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" sheetId="1" state="visible" r:id="rId1"/>
    <sheet name="Bank1" sheetId="2" state="visible" r:id="rId2"/>
    <sheet name="Bank2" sheetId="3" state="visible" r:id="rId3"/>
    <sheet name="Bank3" sheetId="4" state="visible" r:id="rId4"/>
    <sheet name="Bank4" sheetId="5" state="visible" r:id="rId5"/>
    <sheet name="Bank5" sheetId="6" state="visible" r:id="rId6"/>
    <sheet name="Bank6" sheetId="7" state="visible" r:id="rId7"/>
    <sheet name="Bank7" sheetId="8" state="visible" r:id="rId8"/>
    <sheet name="Bank8" sheetId="9" state="visible" r:id="rId9"/>
    <sheet name="Bank9" sheetId="10" state="visible" r:id="rId10"/>
    <sheet name="Bank10" sheetId="11" state="visible" r:id="rId11"/>
    <sheet name="Summary" sheetId="12" state="visible" r:id="rId12"/>
    <sheet name="Sync" sheetId="13" state="visible" r:id="rId13"/>
    <sheet name="Calc" sheetId="14" state="visible" r:id="rId14"/>
    <sheet name="Help" sheetId="15" state="visible" r:id="rId15"/>
  </sheets>
  <externalReferences>
    <externalReference r:id="rId18"/>
  </externalReferences>
  <definedNames>
    <definedName name="BankTbl">Sync!$A$6:$D$15</definedName>
    <definedName name="CustTbl">Sync!$F$6:$G$205</definedName>
    <definedName name="SuppTbl">Sync!$I$6:$J$105</definedName>
    <definedName name="AcctTbl">Sync!$L$6:$M$55</definedName>
    <definedName name="StaffTbl">Sync!$O$6:$P$55</definedName>
    <definedName name="CustCodes">Sync!$F$6:$F$205</definedName>
    <definedName name="SuppCodes">Sync!$I$6:$I$105</definedName>
    <definedName name="AcctCodes">Sync!$L$6:$L$55</definedName>
    <definedName name="StaffCodes">Sync!$O$6:$O$55</definedName>
    <definedName name="ListBanks">OFFSET(Sync!$AT$6,0,0,MAX(COUNTIF(Sync!$AT$6:$AT$15,"?*"),1),1)</definedName>
    <definedName name="ListPartyTypes">OFFSET(Sync!$AO$6,0,0,MAX(COUNTIF(Sync!$AO$6:$AO$25,"?*"),1),1)</definedName>
    <definedName name="ListTxnTypes">OFFSET(Sync!$AQ$6,0,0,MAX(COUNTIF(Sync!$AQ$6:$AQ$19,"?*"),1),1)</definedName>
    <definedName name="CalcBank">Calc!$G$9:$G$2008</definedName>
    <definedName name="CalcKey">Calc!$H$9:$H$2008</definedName>
    <definedName name="CalcRankKey">Calc!$J$9:$J$2008</definedName>
    <definedName name="CalcNormDate">Calc!$E$9:$E$2008</definedName>
    <definedName name="CalcTime">Calc!$F$9:$F$2008</definedName>
    <definedName name="CalcMonth">Calc!$K$9:$K$2008</definedName>
    <definedName name="CalcDep">Calc!$L$9:$L$2008</definedName>
    <definedName name="CalcWit">Calc!$M$9:$M$2008</definedName>
    <definedName name="EntryDates">Entry!$C$9:$C$2008</definedName>
    <definedName name="EntryTimes">Entry!$D$9:$D$2008</definedName>
    <definedName name="EntryBanks">Entry!$E$9:$E$2008</definedName>
    <definedName name="EntryParty">Entry!$G$9:$G$2008</definedName>
    <definedName name="EntryPartyName">Entry!$H$9:$H$2008</definedName>
    <definedName name="EntryPartyType">Entry!$I$9:$I$2008</definedName>
    <definedName name="EntryTxnType">Entry!$J$9:$J$2008</definedName>
    <definedName name="EntryDep">Entry!$K$9:$K$2008</definedName>
    <definedName name="EntryWit">Entry!$L$9:$L$2008</definedName>
    <definedName name="EntryMan">Entry!$M$9:$M$2008</definedName>
    <definedName name="EntryTxnID">Entry!$B$9:$B$2008</definedName>
    <definedName name="EntryNotes">Entry!$P$9:$P$2008</definedName>
    <definedName name="_xlnm.Print_Titles" localSheetId="0">'Entry'!$7:$8</definedName>
    <definedName name="_xlnm.Print_Area" localSheetId="0">'Entry'!$A$1:$P$2008</definedName>
    <definedName name="_xlnm.Print_Titles" localSheetId="1">'Bank1'!$15:$16</definedName>
    <definedName name="_xlnm.Print_Area" localSheetId="1">'Bank1'!$A$1:$O$516</definedName>
    <definedName name="_xlnm.Print_Titles" localSheetId="2">'Bank2'!$15:$16</definedName>
    <definedName name="_xlnm.Print_Area" localSheetId="2">'Bank2'!$A$1:$O$516</definedName>
    <definedName name="_xlnm.Print_Titles" localSheetId="3">'Bank3'!$15:$16</definedName>
    <definedName name="_xlnm.Print_Area" localSheetId="3">'Bank3'!$A$1:$O$516</definedName>
    <definedName name="_xlnm.Print_Titles" localSheetId="4">'Bank4'!$15:$16</definedName>
    <definedName name="_xlnm.Print_Area" localSheetId="4">'Bank4'!$A$1:$O$516</definedName>
    <definedName name="_xlnm.Print_Titles" localSheetId="5">'Bank5'!$15:$16</definedName>
    <definedName name="_xlnm.Print_Area" localSheetId="5">'Bank5'!$A$1:$O$516</definedName>
    <definedName name="_xlnm.Print_Titles" localSheetId="6">'Bank6'!$15:$16</definedName>
    <definedName name="_xlnm.Print_Area" localSheetId="6">'Bank6'!$A$1:$O$516</definedName>
    <definedName name="_xlnm.Print_Titles" localSheetId="7">'Bank7'!$15:$16</definedName>
    <definedName name="_xlnm.Print_Area" localSheetId="7">'Bank7'!$A$1:$O$516</definedName>
    <definedName name="_xlnm.Print_Titles" localSheetId="8">'Bank8'!$15:$16</definedName>
    <definedName name="_xlnm.Print_Area" localSheetId="8">'Bank8'!$A$1:$O$516</definedName>
    <definedName name="_xlnm.Print_Titles" localSheetId="9">'Bank9'!$15:$16</definedName>
    <definedName name="_xlnm.Print_Area" localSheetId="9">'Bank9'!$A$1:$O$516</definedName>
    <definedName name="_xlnm.Print_Titles" localSheetId="10">'Bank10'!$15:$16</definedName>
    <definedName name="_xlnm.Print_Area" localSheetId="10">'Bank10'!$A$1:$O$516</definedName>
    <definedName name="_xlnm.Print_Area" localSheetId="11">'Summary'!$A$1:$K$54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ahoma"/>
      <b val="1"/>
      <color rgb="00FFFFFF"/>
      <sz val="15"/>
    </font>
    <font>
      <name val="Tahoma"/>
      <color rgb="00C8E6C9"/>
      <sz val="8"/>
    </font>
    <font>
      <name val="Tahoma"/>
      <b val="1"/>
      <color rgb="00E65100"/>
      <sz val="13"/>
    </font>
    <font>
      <name val="Tahoma"/>
      <i val="1"/>
      <color rgb="00607D8B"/>
      <sz val="8"/>
    </font>
    <font>
      <name val="Tahoma"/>
      <b val="1"/>
      <color rgb="00607D8B"/>
      <sz val="7.5"/>
    </font>
    <font>
      <name val="Tahoma"/>
      <b val="1"/>
      <color rgb="00263238"/>
      <sz val="11"/>
    </font>
    <font>
      <name val="Tahoma"/>
      <b val="1"/>
      <color rgb="00FFFFFF"/>
      <sz val="9.5"/>
    </font>
    <font>
      <name val="Tahoma"/>
      <color rgb="00546E7A"/>
      <sz val="6.5"/>
    </font>
    <font>
      <name val="Tahoma"/>
      <color rgb="00263238"/>
      <sz val="9"/>
    </font>
    <font>
      <name val="Tahoma"/>
      <b val="1"/>
      <color rgb="001B5E20"/>
      <sz val="11"/>
    </font>
    <font>
      <name val="Tahoma"/>
      <b val="1"/>
      <color rgb="00C62828"/>
      <sz val="8"/>
    </font>
    <font>
      <name val="Tahoma"/>
      <b val="1"/>
      <color rgb="00607D8B"/>
      <sz val="8.5"/>
    </font>
    <font>
      <name val="Tahoma"/>
      <b val="1"/>
      <color rgb="00E65100"/>
      <sz val="10"/>
    </font>
    <font>
      <name val="Tahoma"/>
      <b val="1"/>
      <color rgb="001B5E20"/>
      <sz val="10"/>
    </font>
    <font>
      <name val="Tahoma"/>
      <b val="1"/>
      <color rgb="00263238"/>
      <sz val="10"/>
    </font>
    <font>
      <name val="Tahoma"/>
      <i val="1"/>
      <color rgb="00607D8B"/>
      <sz val="7.5"/>
    </font>
    <font>
      <name val="Tahoma"/>
      <color rgb="00263238"/>
      <sz val="9.5"/>
    </font>
    <font>
      <name val="Tahoma"/>
      <b val="1"/>
      <color rgb="00263238"/>
      <sz val="9"/>
    </font>
    <font>
      <name val="Tahoma"/>
      <b val="1"/>
      <color rgb="00FFFFFF"/>
      <sz val="10"/>
    </font>
    <font>
      <name val="Tahoma"/>
      <b val="1"/>
      <color rgb="00607D8B"/>
      <sz val="9"/>
    </font>
    <font>
      <name val="Tahoma"/>
      <b val="1"/>
      <color rgb="001B5E20"/>
      <sz val="9.5"/>
    </font>
    <font>
      <name val="Tahoma"/>
      <b val="1"/>
      <color rgb="00FFFFFF"/>
      <sz val="8"/>
    </font>
    <font>
      <name val="Tahoma"/>
      <color rgb="00607D8B"/>
      <sz val="7"/>
    </font>
    <font>
      <name val="Tahoma"/>
      <b val="1"/>
      <color rgb="00FFFFFF"/>
      <sz val="7.5"/>
    </font>
    <font>
      <name val="Tahoma"/>
      <b val="1"/>
      <color rgb="00E65100"/>
      <sz val="12"/>
    </font>
    <font>
      <name val="Tahoma"/>
      <b val="1"/>
      <color rgb="00FFFFFF"/>
      <sz val="10.5"/>
    </font>
  </fonts>
  <fills count="13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1F8F2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EF3F1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F3F8F3"/>
      </patternFill>
    </fill>
    <fill>
      <patternFill patternType="solid">
        <fgColor rgb="00FFE0B2"/>
      </patternFill>
    </fill>
    <fill>
      <patternFill patternType="solid">
        <fgColor rgb="00607D8B"/>
      </patternFill>
    </fill>
  </fills>
  <borders count="5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EF6C00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78909C"/>
      </bottom>
    </border>
    <border>
      <left style="medium">
        <color rgb="0078909C"/>
      </left>
      <right style="medium">
        <color rgb="0078909C"/>
      </right>
      <top style="medium">
        <color rgb="0078909C"/>
      </top>
      <bottom style="medium">
        <color rgb="0078909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right" vertical="center" wrapText="1"/>
    </xf>
    <xf numFmtId="0" fontId="5" fillId="6" borderId="2" applyAlignment="1" pivotButton="0" quotePrefix="0" xfId="0">
      <alignment horizontal="center" vertical="center"/>
    </xf>
    <xf numFmtId="1" fontId="6" fillId="5" borderId="2" applyAlignment="1" pivotButton="0" quotePrefix="0" xfId="0">
      <alignment horizontal="center" vertical="center"/>
    </xf>
    <xf numFmtId="3" fontId="6" fillId="5" borderId="2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/>
    </xf>
    <xf numFmtId="49" fontId="9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3" fontId="9" fillId="8" borderId="2" applyAlignment="1" pivotButton="0" quotePrefix="0" xfId="0">
      <alignment horizontal="center" vertical="center"/>
    </xf>
    <xf numFmtId="3" fontId="9" fillId="7" borderId="2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center" vertical="center"/>
    </xf>
    <xf numFmtId="0" fontId="11" fillId="5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  <xf numFmtId="0" fontId="12" fillId="6" borderId="2" applyAlignment="1" pivotButton="0" quotePrefix="0" xfId="0">
      <alignment horizontal="right" vertical="center"/>
    </xf>
    <xf numFmtId="0" fontId="13" fillId="7" borderId="4" applyAlignment="1" pivotButton="0" quotePrefix="0" xfId="0">
      <alignment horizontal="center" vertical="center"/>
    </xf>
    <xf numFmtId="0" fontId="17" fillId="8" borderId="2" applyAlignment="1" pivotButton="0" quotePrefix="0" xfId="0">
      <alignment horizontal="right" vertical="center"/>
    </xf>
    <xf numFmtId="0" fontId="14" fillId="7" borderId="2" applyAlignment="1" pivotButton="0" quotePrefix="0" xfId="0">
      <alignment horizontal="right" vertical="center"/>
    </xf>
    <xf numFmtId="3" fontId="15" fillId="7" borderId="2" applyAlignment="1" pivotButton="0" quotePrefix="0" xfId="0">
      <alignment horizontal="center" vertical="center"/>
    </xf>
    <xf numFmtId="0" fontId="17" fillId="8" borderId="2" applyAlignment="1" pivotButton="0" quotePrefix="0" xfId="0">
      <alignment horizontal="left" vertical="center"/>
    </xf>
    <xf numFmtId="0" fontId="16" fillId="5" borderId="2" applyAlignment="1" pivotButton="0" quotePrefix="0" xfId="0">
      <alignment horizontal="right" vertical="center" wrapText="1"/>
    </xf>
    <xf numFmtId="0" fontId="9" fillId="5" borderId="2" applyAlignment="1" pivotButton="0" quotePrefix="0" xfId="0">
      <alignment horizontal="center" vertical="center"/>
    </xf>
    <xf numFmtId="3" fontId="9" fillId="5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3" fontId="9" fillId="10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3" fontId="14" fillId="6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20" fillId="6" borderId="2" applyAlignment="1" pivotButton="0" quotePrefix="0" xfId="0">
      <alignment horizontal="center" vertical="center"/>
    </xf>
    <xf numFmtId="49" fontId="13" fillId="8" borderId="4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3" fontId="21" fillId="6" borderId="2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center" vertical="center" wrapText="1"/>
    </xf>
    <xf numFmtId="0" fontId="23" fillId="0" borderId="0" pivotButton="0" quotePrefix="0" xfId="0"/>
    <xf numFmtId="0" fontId="11" fillId="11" borderId="0" applyAlignment="1" pivotButton="0" quotePrefix="0" xfId="0">
      <alignment horizontal="left" vertical="center"/>
    </xf>
    <xf numFmtId="0" fontId="24" fillId="12" borderId="2" applyAlignment="1" pivotButton="0" quotePrefix="0" xfId="0">
      <alignment horizontal="center" vertical="center" wrapText="1"/>
    </xf>
    <xf numFmtId="0" fontId="25" fillId="4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right" vertical="center"/>
    </xf>
    <xf numFmtId="0" fontId="9" fillId="5" borderId="2" applyAlignment="1" pivotButton="0" quotePrefix="0" xfId="0">
      <alignment horizontal="right" vertical="center" wrapText="1"/>
    </xf>
    <xf numFmtId="0" fontId="9" fillId="10" borderId="2" applyAlignment="1" pivotButton="0" quotePrefix="0" xfId="0">
      <alignment horizontal="right" vertical="center" wrapText="1"/>
    </xf>
  </cellXfs>
  <cellStyles count="1">
    <cellStyle name="Normal" xfId="0" builtinId="0" hidden="0"/>
  </cellStyles>
  <dxfs count="11">
    <dxf>
      <font>
        <name val="Tahoma"/>
        <b val="1"/>
        <color rgb="002E7D32"/>
        <sz val="10"/>
      </font>
      <fill>
        <patternFill patternType="solid">
          <fgColor rgb="00C8E6C9"/>
        </patternFill>
      </fill>
    </dxf>
    <dxf>
      <font>
        <name val="Tahoma"/>
        <b val="1"/>
        <color rgb="00C62828"/>
        <sz val="10"/>
      </font>
      <fill>
        <patternFill patternType="solid">
          <fgColor rgb="00FFCDD2"/>
        </patternFill>
      </fill>
    </dxf>
    <dxf>
      <font>
        <name val="Tahoma"/>
        <b val="1"/>
        <color rgb="00E65100"/>
        <sz val="10"/>
      </font>
      <fill>
        <patternFill patternType="solid">
          <fgColor rgb="00FFE0B2"/>
        </patternFill>
      </fill>
    </dxf>
    <dxf>
      <font>
        <name val="Tahoma"/>
        <color rgb="00607D8B"/>
        <sz val="9"/>
      </font>
    </dxf>
    <dxf>
      <font>
        <name val="Tahoma"/>
        <b val="1"/>
        <color rgb="00E65100"/>
        <sz val="9"/>
      </font>
      <fill>
        <patternFill patternType="solid">
          <fgColor rgb="00FFE0B2"/>
        </patternFill>
      </fill>
    </dxf>
    <dxf>
      <font>
        <name val="Tahoma"/>
        <b val="1"/>
        <color rgb="00C62828"/>
        <sz val="9"/>
      </font>
    </dxf>
    <dxf>
      <font>
        <name val="Tahoma"/>
        <b val="1"/>
        <color rgb="00C62828"/>
        <sz val="8"/>
      </font>
      <fill>
        <patternFill patternType="solid">
          <fgColor rgb="00FFCDD2"/>
        </patternFill>
      </fill>
    </dxf>
    <dxf>
      <font>
        <name val="Tahoma"/>
        <b val="1"/>
        <color rgb="00C62828"/>
        <sz val="11"/>
      </font>
      <fill>
        <patternFill patternType="solid">
          <fgColor rgb="00FFCDD2"/>
        </patternFill>
      </fill>
    </dxf>
    <dxf>
      <font>
        <name val="Tahoma"/>
        <b val="1"/>
        <color rgb="002E7D32"/>
        <sz val="11"/>
      </font>
      <fill>
        <patternFill patternType="solid">
          <fgColor rgb="00C8E6C9"/>
        </patternFill>
      </fill>
    </dxf>
    <dxf>
      <font>
        <name val="Tahoma"/>
        <b val="1"/>
        <color rgb="002E7D32"/>
        <sz val="9"/>
      </font>
      <fill>
        <patternFill patternType="solid">
          <fgColor rgb="00C8E6C9"/>
        </patternFill>
      </fill>
    </dxf>
    <dxf>
      <font>
        <name val="Tahoma"/>
        <b val="1"/>
        <color rgb="00C62828"/>
        <sz val="9"/>
      </font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Relationship Id="rId18" Type="http://schemas.openxmlformats.org/officeDocument/2006/relationships/externalLink" Target="externalLinks/externalLink1.xml"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مانده نهایی سیستم بانک‌ها (ریال)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'Summary'!F11</f>
            </strRef>
          </tx>
          <spPr>
            <a:ln>
              <a:prstDash val="solid"/>
            </a:ln>
          </spPr>
          <cat>
            <numRef>
              <f>'Summary'!$B$12:$B$21</f>
            </numRef>
          </cat>
          <val>
            <numRef>
              <f>'Summary'!$F$12:$F$21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ریال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روند ماهانه واریز / برداشت (سال انتخابی)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'Summary'!C26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'Summary'!$B$28:$B$39</f>
            </numRef>
          </cat>
          <val>
            <numRef>
              <f>'Summary'!$C$27:$C$39</f>
            </numRef>
          </val>
        </ser>
        <ser>
          <idx val="1"/>
          <order val="1"/>
          <tx>
            <strRef>
              <f>'Summary'!D26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'Summary'!$B$28:$B$39</f>
            </numRef>
          </cat>
          <val>
            <numRef>
              <f>'Summary'!$D$27:$D$39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ریال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مازندشت</author>
  </authors>
  <commentList>
    <comment ref="C7" authorId="0" shapeId="0">
      <text>
        <t>تاریخ شمسی: 1405/07/10 یا 14050710 (ارقام لاتین).</t>
      </text>
    </comment>
    <comment ref="D7" authorId="0" shapeId="0">
      <text>
        <t>ساعت 24 ساعته: 09:30 یا 9:30 — برای خالی بگذارید 00:00 فرض می‌شود.</t>
      </text>
    </comment>
    <comment ref="E7" authorId="0" shapeId="0">
      <text>
        <t>بانک را از کشویی انتخاب کنید (BANK01 تا BANK10). عنوان از فایل INFO می‌آید.</t>
      </text>
    </comment>
    <comment ref="G7" authorId="0" shapeId="0">
      <text>
        <t>کد طرف حساب: C… مشتری، S… تأمین‌کننده، X… سایر حساب‌ها، E… کارمند. نام به‌صورت خودکار می‌آید.</t>
      </text>
    </comment>
    <comment ref="I7" authorId="0" shapeId="0">
      <text>
        <t>نوع طرف حساب — لیست آن در INFO ← PartyTypes تعریف می‌شود.</t>
      </text>
    </comment>
    <comment ref="J7" authorId="0" shapeId="0">
      <text>
        <t>نوع تراکنش (واریز/برداشت/…) — لیست آن در INFO ← TxnTypes. در آینده ماهیت‌های تازه اضافه کنید.</t>
      </text>
    </comment>
    <comment ref="K7" authorId="0" shapeId="0">
      <text>
        <t>مبلغ واریز به ریال — در هر ردیف فقط واریز «یا» برداشت پر شود.</t>
      </text>
    </comment>
    <comment ref="L7" authorId="0" shapeId="0">
      <text>
        <t>مبلغ برداشت به ریال.</t>
      </text>
    </comment>
    <comment ref="M7" authorId="0" shapeId="0">
      <text>
        <t>موجودی واقعی بانک (طبق پیامک/صورت‌حساب) — اختیاری؛ اگر بنویسید، سیستم آن را با مانده محاسباتی مقایسه می‌کند.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42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Mazandasht_INFO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Home"/>
      <sheetName val="Company"/>
      <sheetName val="Banks"/>
      <sheetName val="Customers"/>
      <sheetName val="Suppliers"/>
      <sheetName val="Accounts"/>
      <sheetName val="Staff"/>
      <sheetName val="PartyTypes"/>
      <sheetName val="TxnTypes"/>
      <sheetName val="Products_Buy"/>
      <sheetName val="Products_Sell"/>
      <sheetName val="Baskets"/>
      <sheetName val="Warehouses"/>
      <sheetName val="Lists"/>
    </sheetNames>
    <sheetDataSet>
      <sheetData sheetId="1"/>
      <sheetData sheetId="2">
        <row r="7">
          <cell r="A7" t="str">
            <v>BANK01</v>
          </cell>
          <cell r="B7" t="str">
            <v>ملت — جاری شرکت</v>
          </cell>
          <cell r="C7">
            <v>500000000</v>
          </cell>
          <cell r="D7" t="str">
            <v>بله</v>
          </cell>
        </row>
        <row r="8">
          <cell r="A8" t="str">
            <v>BANK02</v>
          </cell>
          <cell r="B8" t="str">
            <v>صادرات — جاری شرکت</v>
          </cell>
          <cell r="C8">
            <v>120000000</v>
          </cell>
          <cell r="D8" t="str">
            <v>بله</v>
          </cell>
        </row>
        <row r="9">
          <cell r="A9" t="str">
            <v>BANK03</v>
          </cell>
          <cell r="B9" t="str">
            <v>حساب ۳ — تعریف نشده</v>
          </cell>
          <cell r="C9">
            <v>0</v>
          </cell>
          <cell r="D9" t="str">
            <v>بله</v>
          </cell>
        </row>
        <row r="10">
          <cell r="A10" t="str">
            <v>BANK04</v>
          </cell>
          <cell r="B10" t="str">
            <v>حساب ۴ — تعریف نشده</v>
          </cell>
          <cell r="C10">
            <v>0</v>
          </cell>
          <cell r="D10" t="str">
            <v>بله</v>
          </cell>
        </row>
        <row r="11">
          <cell r="A11" t="str">
            <v>BANK05</v>
          </cell>
          <cell r="B11" t="str">
            <v>حساب ۵ — تعریف نشده</v>
          </cell>
          <cell r="C11">
            <v>0</v>
          </cell>
          <cell r="D11" t="str">
            <v>بله</v>
          </cell>
        </row>
        <row r="12">
          <cell r="A12" t="str">
            <v>BANK06</v>
          </cell>
          <cell r="B12" t="str">
            <v>حساب ۶ — تعریف نشده</v>
          </cell>
          <cell r="C12">
            <v>0</v>
          </cell>
          <cell r="D12" t="str">
            <v>بله</v>
          </cell>
        </row>
        <row r="13">
          <cell r="A13" t="str">
            <v>BANK07</v>
          </cell>
          <cell r="B13" t="str">
            <v>حساب ۷ — تعریف نشده</v>
          </cell>
          <cell r="C13">
            <v>0</v>
          </cell>
          <cell r="D13" t="str">
            <v>بله</v>
          </cell>
        </row>
        <row r="14">
          <cell r="A14" t="str">
            <v>BANK08</v>
          </cell>
          <cell r="B14" t="str">
            <v>حساب ۸ — تعریف نشده</v>
          </cell>
          <cell r="C14">
            <v>0</v>
          </cell>
          <cell r="D14" t="str">
            <v>بله</v>
          </cell>
        </row>
        <row r="15">
          <cell r="A15" t="str">
            <v>BANK09</v>
          </cell>
          <cell r="B15" t="str">
            <v>حساب ۹ — تعریف نشده</v>
          </cell>
          <cell r="C15">
            <v>0</v>
          </cell>
          <cell r="D15" t="str">
            <v>بله</v>
          </cell>
        </row>
        <row r="16">
          <cell r="A16" t="str">
            <v>BANK10</v>
          </cell>
          <cell r="B16" t="str">
            <v>حساب ۱۰ — تعریف نشده</v>
          </cell>
          <cell r="C16">
            <v>0</v>
          </cell>
          <cell r="D16" t="str">
            <v>بله</v>
          </cell>
        </row>
      </sheetData>
      <sheetData sheetId="3">
        <row r="7">
          <cell r="A7" t="str">
            <v>C001</v>
          </cell>
          <cell r="B7" t="str">
            <v>مشتری عمده</v>
          </cell>
          <cell r="C7" t="str">
            <v>علی محمدی (نمونه)</v>
          </cell>
        </row>
        <row r="8">
          <cell r="A8" t="str">
            <v>C002</v>
          </cell>
          <cell r="B8" t="str">
            <v>مشتری صادراتی</v>
          </cell>
          <cell r="C8" t="str">
            <v>شرکت پارس میوه (نمونه)</v>
          </cell>
        </row>
        <row r="9">
          <cell r="A9" t="str">
            <v>C003</v>
          </cell>
          <cell r="B9" t="str">
            <v>مشتری خرده‌فروش</v>
          </cell>
          <cell r="C9" t="str">
            <v>فروشگاه بهار (نمونه)</v>
          </cell>
        </row>
        <row r="10">
          <cell r="A10" t="str">
            <v>C004</v>
          </cell>
        </row>
        <row r="11">
          <cell r="A11" t="str">
            <v>C005</v>
          </cell>
        </row>
        <row r="12">
          <cell r="A12" t="str">
            <v>C006</v>
          </cell>
        </row>
        <row r="13">
          <cell r="A13" t="str">
            <v>C007</v>
          </cell>
        </row>
        <row r="14">
          <cell r="A14" t="str">
            <v>C008</v>
          </cell>
        </row>
        <row r="15">
          <cell r="A15" t="str">
            <v>C009</v>
          </cell>
        </row>
        <row r="16">
          <cell r="A16" t="str">
            <v>C010</v>
          </cell>
        </row>
        <row r="17">
          <cell r="A17" t="str">
            <v>C011</v>
          </cell>
        </row>
        <row r="18">
          <cell r="A18" t="str">
            <v>C012</v>
          </cell>
        </row>
        <row r="19">
          <cell r="A19" t="str">
            <v>C013</v>
          </cell>
        </row>
        <row r="20">
          <cell r="A20" t="str">
            <v>C014</v>
          </cell>
        </row>
        <row r="21">
          <cell r="A21" t="str">
            <v>C015</v>
          </cell>
        </row>
        <row r="22">
          <cell r="A22" t="str">
            <v>C016</v>
          </cell>
        </row>
        <row r="23">
          <cell r="A23" t="str">
            <v>C017</v>
          </cell>
        </row>
        <row r="24">
          <cell r="A24" t="str">
            <v>C018</v>
          </cell>
        </row>
        <row r="25">
          <cell r="A25" t="str">
            <v>C019</v>
          </cell>
        </row>
        <row r="26">
          <cell r="A26" t="str">
            <v>C020</v>
          </cell>
        </row>
        <row r="27">
          <cell r="A27" t="str">
            <v>C021</v>
          </cell>
        </row>
        <row r="28">
          <cell r="A28" t="str">
            <v>C022</v>
          </cell>
        </row>
        <row r="29">
          <cell r="A29" t="str">
            <v>C023</v>
          </cell>
        </row>
        <row r="30">
          <cell r="A30" t="str">
            <v>C024</v>
          </cell>
        </row>
        <row r="31">
          <cell r="A31" t="str">
            <v>C025</v>
          </cell>
        </row>
        <row r="32">
          <cell r="A32" t="str">
            <v>C026</v>
          </cell>
        </row>
        <row r="33">
          <cell r="A33" t="str">
            <v>C027</v>
          </cell>
        </row>
        <row r="34">
          <cell r="A34" t="str">
            <v>C028</v>
          </cell>
        </row>
        <row r="35">
          <cell r="A35" t="str">
            <v>C029</v>
          </cell>
        </row>
        <row r="36">
          <cell r="A36" t="str">
            <v>C030</v>
          </cell>
        </row>
        <row r="37">
          <cell r="A37" t="str">
            <v>C031</v>
          </cell>
        </row>
        <row r="38">
          <cell r="A38" t="str">
            <v>C032</v>
          </cell>
        </row>
        <row r="39">
          <cell r="A39" t="str">
            <v>C033</v>
          </cell>
        </row>
        <row r="40">
          <cell r="A40" t="str">
            <v>C034</v>
          </cell>
        </row>
        <row r="41">
          <cell r="A41" t="str">
            <v>C035</v>
          </cell>
        </row>
        <row r="42">
          <cell r="A42" t="str">
            <v>C036</v>
          </cell>
        </row>
        <row r="43">
          <cell r="A43" t="str">
            <v>C037</v>
          </cell>
        </row>
        <row r="44">
          <cell r="A44" t="str">
            <v>C038</v>
          </cell>
        </row>
        <row r="45">
          <cell r="A45" t="str">
            <v>C039</v>
          </cell>
        </row>
        <row r="46">
          <cell r="A46" t="str">
            <v>C040</v>
          </cell>
        </row>
        <row r="47">
          <cell r="A47" t="str">
            <v>C041</v>
          </cell>
        </row>
        <row r="48">
          <cell r="A48" t="str">
            <v>C042</v>
          </cell>
        </row>
        <row r="49">
          <cell r="A49" t="str">
            <v>C043</v>
          </cell>
        </row>
        <row r="50">
          <cell r="A50" t="str">
            <v>C044</v>
          </cell>
        </row>
        <row r="51">
          <cell r="A51" t="str">
            <v>C045</v>
          </cell>
        </row>
        <row r="52">
          <cell r="A52" t="str">
            <v>C046</v>
          </cell>
        </row>
        <row r="53">
          <cell r="A53" t="str">
            <v>C047</v>
          </cell>
        </row>
        <row r="54">
          <cell r="A54" t="str">
            <v>C048</v>
          </cell>
        </row>
        <row r="55">
          <cell r="A55" t="str">
            <v>C049</v>
          </cell>
        </row>
        <row r="56">
          <cell r="A56" t="str">
            <v>C050</v>
          </cell>
        </row>
        <row r="57">
          <cell r="A57" t="str">
            <v>C051</v>
          </cell>
        </row>
        <row r="58">
          <cell r="A58" t="str">
            <v>C052</v>
          </cell>
        </row>
        <row r="59">
          <cell r="A59" t="str">
            <v>C053</v>
          </cell>
        </row>
        <row r="60">
          <cell r="A60" t="str">
            <v>C054</v>
          </cell>
        </row>
        <row r="61">
          <cell r="A61" t="str">
            <v>C055</v>
          </cell>
        </row>
        <row r="62">
          <cell r="A62" t="str">
            <v>C056</v>
          </cell>
        </row>
        <row r="63">
          <cell r="A63" t="str">
            <v>C057</v>
          </cell>
        </row>
        <row r="64">
          <cell r="A64" t="str">
            <v>C058</v>
          </cell>
        </row>
        <row r="65">
          <cell r="A65" t="str">
            <v>C059</v>
          </cell>
        </row>
        <row r="66">
          <cell r="A66" t="str">
            <v>C060</v>
          </cell>
        </row>
        <row r="67">
          <cell r="A67" t="str">
            <v>C061</v>
          </cell>
        </row>
        <row r="68">
          <cell r="A68" t="str">
            <v>C062</v>
          </cell>
        </row>
        <row r="69">
          <cell r="A69" t="str">
            <v>C063</v>
          </cell>
        </row>
        <row r="70">
          <cell r="A70" t="str">
            <v>C064</v>
          </cell>
        </row>
        <row r="71">
          <cell r="A71" t="str">
            <v>C065</v>
          </cell>
        </row>
        <row r="72">
          <cell r="A72" t="str">
            <v>C066</v>
          </cell>
        </row>
        <row r="73">
          <cell r="A73" t="str">
            <v>C067</v>
          </cell>
        </row>
        <row r="74">
          <cell r="A74" t="str">
            <v>C068</v>
          </cell>
        </row>
        <row r="75">
          <cell r="A75" t="str">
            <v>C069</v>
          </cell>
        </row>
        <row r="76">
          <cell r="A76" t="str">
            <v>C070</v>
          </cell>
        </row>
        <row r="77">
          <cell r="A77" t="str">
            <v>C071</v>
          </cell>
        </row>
        <row r="78">
          <cell r="A78" t="str">
            <v>C072</v>
          </cell>
        </row>
        <row r="79">
          <cell r="A79" t="str">
            <v>C073</v>
          </cell>
        </row>
        <row r="80">
          <cell r="A80" t="str">
            <v>C074</v>
          </cell>
        </row>
        <row r="81">
          <cell r="A81" t="str">
            <v>C075</v>
          </cell>
        </row>
        <row r="82">
          <cell r="A82" t="str">
            <v>C076</v>
          </cell>
        </row>
        <row r="83">
          <cell r="A83" t="str">
            <v>C077</v>
          </cell>
        </row>
        <row r="84">
          <cell r="A84" t="str">
            <v>C078</v>
          </cell>
        </row>
        <row r="85">
          <cell r="A85" t="str">
            <v>C079</v>
          </cell>
        </row>
        <row r="86">
          <cell r="A86" t="str">
            <v>C080</v>
          </cell>
        </row>
        <row r="87">
          <cell r="A87" t="str">
            <v>C081</v>
          </cell>
        </row>
        <row r="88">
          <cell r="A88" t="str">
            <v>C082</v>
          </cell>
        </row>
        <row r="89">
          <cell r="A89" t="str">
            <v>C083</v>
          </cell>
        </row>
        <row r="90">
          <cell r="A90" t="str">
            <v>C084</v>
          </cell>
        </row>
        <row r="91">
          <cell r="A91" t="str">
            <v>C085</v>
          </cell>
        </row>
        <row r="92">
          <cell r="A92" t="str">
            <v>C086</v>
          </cell>
        </row>
        <row r="93">
          <cell r="A93" t="str">
            <v>C087</v>
          </cell>
        </row>
        <row r="94">
          <cell r="A94" t="str">
            <v>C088</v>
          </cell>
        </row>
        <row r="95">
          <cell r="A95" t="str">
            <v>C089</v>
          </cell>
        </row>
        <row r="96">
          <cell r="A96" t="str">
            <v>C090</v>
          </cell>
        </row>
        <row r="97">
          <cell r="A97" t="str">
            <v>C091</v>
          </cell>
        </row>
        <row r="98">
          <cell r="A98" t="str">
            <v>C092</v>
          </cell>
        </row>
        <row r="99">
          <cell r="A99" t="str">
            <v>C093</v>
          </cell>
        </row>
        <row r="100">
          <cell r="A100" t="str">
            <v>C094</v>
          </cell>
        </row>
        <row r="101">
          <cell r="A101" t="str">
            <v>C095</v>
          </cell>
        </row>
        <row r="102">
          <cell r="A102" t="str">
            <v>C096</v>
          </cell>
        </row>
        <row r="103">
          <cell r="A103" t="str">
            <v>C097</v>
          </cell>
        </row>
        <row r="104">
          <cell r="A104" t="str">
            <v>C098</v>
          </cell>
        </row>
        <row r="105">
          <cell r="A105" t="str">
            <v>C099</v>
          </cell>
        </row>
        <row r="106">
          <cell r="A106" t="str">
            <v>C100</v>
          </cell>
        </row>
        <row r="107">
          <cell r="A107" t="str">
            <v>C101</v>
          </cell>
        </row>
        <row r="108">
          <cell r="A108" t="str">
            <v>C102</v>
          </cell>
        </row>
        <row r="109">
          <cell r="A109" t="str">
            <v>C103</v>
          </cell>
        </row>
        <row r="110">
          <cell r="A110" t="str">
            <v>C104</v>
          </cell>
        </row>
        <row r="111">
          <cell r="A111" t="str">
            <v>C105</v>
          </cell>
        </row>
        <row r="112">
          <cell r="A112" t="str">
            <v>C106</v>
          </cell>
        </row>
        <row r="113">
          <cell r="A113" t="str">
            <v>C107</v>
          </cell>
        </row>
        <row r="114">
          <cell r="A114" t="str">
            <v>C108</v>
          </cell>
        </row>
        <row r="115">
          <cell r="A115" t="str">
            <v>C109</v>
          </cell>
        </row>
        <row r="116">
          <cell r="A116" t="str">
            <v>C110</v>
          </cell>
        </row>
        <row r="117">
          <cell r="A117" t="str">
            <v>C111</v>
          </cell>
        </row>
        <row r="118">
          <cell r="A118" t="str">
            <v>C112</v>
          </cell>
        </row>
        <row r="119">
          <cell r="A119" t="str">
            <v>C113</v>
          </cell>
        </row>
        <row r="120">
          <cell r="A120" t="str">
            <v>C114</v>
          </cell>
        </row>
        <row r="121">
          <cell r="A121" t="str">
            <v>C115</v>
          </cell>
        </row>
        <row r="122">
          <cell r="A122" t="str">
            <v>C116</v>
          </cell>
        </row>
        <row r="123">
          <cell r="A123" t="str">
            <v>C117</v>
          </cell>
        </row>
        <row r="124">
          <cell r="A124" t="str">
            <v>C118</v>
          </cell>
        </row>
        <row r="125">
          <cell r="A125" t="str">
            <v>C119</v>
          </cell>
        </row>
        <row r="126">
          <cell r="A126" t="str">
            <v>C120</v>
          </cell>
        </row>
        <row r="127">
          <cell r="A127" t="str">
            <v>C121</v>
          </cell>
        </row>
        <row r="128">
          <cell r="A128" t="str">
            <v>C122</v>
          </cell>
        </row>
        <row r="129">
          <cell r="A129" t="str">
            <v>C123</v>
          </cell>
        </row>
        <row r="130">
          <cell r="A130" t="str">
            <v>C124</v>
          </cell>
        </row>
        <row r="131">
          <cell r="A131" t="str">
            <v>C125</v>
          </cell>
        </row>
        <row r="132">
          <cell r="A132" t="str">
            <v>C126</v>
          </cell>
        </row>
        <row r="133">
          <cell r="A133" t="str">
            <v>C127</v>
          </cell>
        </row>
        <row r="134">
          <cell r="A134" t="str">
            <v>C128</v>
          </cell>
        </row>
        <row r="135">
          <cell r="A135" t="str">
            <v>C129</v>
          </cell>
        </row>
        <row r="136">
          <cell r="A136" t="str">
            <v>C130</v>
          </cell>
        </row>
        <row r="137">
          <cell r="A137" t="str">
            <v>C131</v>
          </cell>
        </row>
        <row r="138">
          <cell r="A138" t="str">
            <v>C132</v>
          </cell>
        </row>
        <row r="139">
          <cell r="A139" t="str">
            <v>C133</v>
          </cell>
        </row>
        <row r="140">
          <cell r="A140" t="str">
            <v>C134</v>
          </cell>
        </row>
        <row r="141">
          <cell r="A141" t="str">
            <v>C135</v>
          </cell>
        </row>
        <row r="142">
          <cell r="A142" t="str">
            <v>C136</v>
          </cell>
        </row>
        <row r="143">
          <cell r="A143" t="str">
            <v>C137</v>
          </cell>
        </row>
        <row r="144">
          <cell r="A144" t="str">
            <v>C138</v>
          </cell>
        </row>
        <row r="145">
          <cell r="A145" t="str">
            <v>C139</v>
          </cell>
        </row>
        <row r="146">
          <cell r="A146" t="str">
            <v>C140</v>
          </cell>
        </row>
        <row r="147">
          <cell r="A147" t="str">
            <v>C141</v>
          </cell>
        </row>
        <row r="148">
          <cell r="A148" t="str">
            <v>C142</v>
          </cell>
        </row>
        <row r="149">
          <cell r="A149" t="str">
            <v>C143</v>
          </cell>
        </row>
        <row r="150">
          <cell r="A150" t="str">
            <v>C144</v>
          </cell>
        </row>
        <row r="151">
          <cell r="A151" t="str">
            <v>C145</v>
          </cell>
        </row>
        <row r="152">
          <cell r="A152" t="str">
            <v>C146</v>
          </cell>
        </row>
        <row r="153">
          <cell r="A153" t="str">
            <v>C147</v>
          </cell>
        </row>
        <row r="154">
          <cell r="A154" t="str">
            <v>C148</v>
          </cell>
        </row>
        <row r="155">
          <cell r="A155" t="str">
            <v>C149</v>
          </cell>
        </row>
        <row r="156">
          <cell r="A156" t="str">
            <v>C150</v>
          </cell>
        </row>
        <row r="157">
          <cell r="A157" t="str">
            <v>C151</v>
          </cell>
        </row>
        <row r="158">
          <cell r="A158" t="str">
            <v>C152</v>
          </cell>
        </row>
        <row r="159">
          <cell r="A159" t="str">
            <v>C153</v>
          </cell>
        </row>
        <row r="160">
          <cell r="A160" t="str">
            <v>C154</v>
          </cell>
        </row>
        <row r="161">
          <cell r="A161" t="str">
            <v>C155</v>
          </cell>
        </row>
        <row r="162">
          <cell r="A162" t="str">
            <v>C156</v>
          </cell>
        </row>
        <row r="163">
          <cell r="A163" t="str">
            <v>C157</v>
          </cell>
        </row>
        <row r="164">
          <cell r="A164" t="str">
            <v>C158</v>
          </cell>
        </row>
        <row r="165">
          <cell r="A165" t="str">
            <v>C159</v>
          </cell>
        </row>
        <row r="166">
          <cell r="A166" t="str">
            <v>C160</v>
          </cell>
        </row>
        <row r="167">
          <cell r="A167" t="str">
            <v>C161</v>
          </cell>
        </row>
        <row r="168">
          <cell r="A168" t="str">
            <v>C162</v>
          </cell>
        </row>
        <row r="169">
          <cell r="A169" t="str">
            <v>C163</v>
          </cell>
        </row>
        <row r="170">
          <cell r="A170" t="str">
            <v>C164</v>
          </cell>
        </row>
        <row r="171">
          <cell r="A171" t="str">
            <v>C165</v>
          </cell>
        </row>
        <row r="172">
          <cell r="A172" t="str">
            <v>C166</v>
          </cell>
        </row>
        <row r="173">
          <cell r="A173" t="str">
            <v>C167</v>
          </cell>
        </row>
        <row r="174">
          <cell r="A174" t="str">
            <v>C168</v>
          </cell>
        </row>
        <row r="175">
          <cell r="A175" t="str">
            <v>C169</v>
          </cell>
        </row>
        <row r="176">
          <cell r="A176" t="str">
            <v>C170</v>
          </cell>
        </row>
        <row r="177">
          <cell r="A177" t="str">
            <v>C171</v>
          </cell>
        </row>
        <row r="178">
          <cell r="A178" t="str">
            <v>C172</v>
          </cell>
        </row>
        <row r="179">
          <cell r="A179" t="str">
            <v>C173</v>
          </cell>
        </row>
        <row r="180">
          <cell r="A180" t="str">
            <v>C174</v>
          </cell>
        </row>
        <row r="181">
          <cell r="A181" t="str">
            <v>C175</v>
          </cell>
        </row>
        <row r="182">
          <cell r="A182" t="str">
            <v>C176</v>
          </cell>
        </row>
        <row r="183">
          <cell r="A183" t="str">
            <v>C177</v>
          </cell>
        </row>
        <row r="184">
          <cell r="A184" t="str">
            <v>C178</v>
          </cell>
        </row>
        <row r="185">
          <cell r="A185" t="str">
            <v>C179</v>
          </cell>
        </row>
        <row r="186">
          <cell r="A186" t="str">
            <v>C180</v>
          </cell>
        </row>
        <row r="187">
          <cell r="A187" t="str">
            <v>C181</v>
          </cell>
        </row>
        <row r="188">
          <cell r="A188" t="str">
            <v>C182</v>
          </cell>
        </row>
        <row r="189">
          <cell r="A189" t="str">
            <v>C183</v>
          </cell>
        </row>
        <row r="190">
          <cell r="A190" t="str">
            <v>C184</v>
          </cell>
        </row>
        <row r="191">
          <cell r="A191" t="str">
            <v>C185</v>
          </cell>
        </row>
        <row r="192">
          <cell r="A192" t="str">
            <v>C186</v>
          </cell>
        </row>
        <row r="193">
          <cell r="A193" t="str">
            <v>C187</v>
          </cell>
        </row>
        <row r="194">
          <cell r="A194" t="str">
            <v>C188</v>
          </cell>
        </row>
        <row r="195">
          <cell r="A195" t="str">
            <v>C189</v>
          </cell>
        </row>
        <row r="196">
          <cell r="A196" t="str">
            <v>C190</v>
          </cell>
        </row>
        <row r="197">
          <cell r="A197" t="str">
            <v>C191</v>
          </cell>
        </row>
        <row r="198">
          <cell r="A198" t="str">
            <v>C192</v>
          </cell>
        </row>
        <row r="199">
          <cell r="A199" t="str">
            <v>C193</v>
          </cell>
        </row>
        <row r="200">
          <cell r="A200" t="str">
            <v>C194</v>
          </cell>
        </row>
        <row r="201">
          <cell r="A201" t="str">
            <v>C195</v>
          </cell>
        </row>
        <row r="202">
          <cell r="A202" t="str">
            <v>C196</v>
          </cell>
        </row>
        <row r="203">
          <cell r="A203" t="str">
            <v>C197</v>
          </cell>
        </row>
        <row r="204">
          <cell r="A204" t="str">
            <v>C198</v>
          </cell>
        </row>
        <row r="205">
          <cell r="A205" t="str">
            <v>C199</v>
          </cell>
        </row>
        <row r="206">
          <cell r="A206" t="str">
            <v>C200</v>
          </cell>
        </row>
      </sheetData>
      <sheetData sheetId="4">
        <row r="7">
          <cell r="A7" t="str">
            <v>S001</v>
          </cell>
          <cell r="B7" t="str">
            <v>باغ‌دار</v>
          </cell>
          <cell r="C7" t="str">
            <v>حسن رستمی (نمونه)</v>
          </cell>
        </row>
        <row r="8">
          <cell r="A8" t="str">
            <v>S002</v>
          </cell>
          <cell r="B8" t="str">
            <v>حجره‌دار میدان بار</v>
          </cell>
          <cell r="C8" t="str">
            <v>کریم نوری (نمونه)</v>
          </cell>
        </row>
        <row r="9">
          <cell r="A9" t="str">
            <v>S003</v>
          </cell>
          <cell r="B9" t="str">
            <v>عامل خرید</v>
          </cell>
          <cell r="C9" t="str">
            <v>محسن کاظمی (نمونه)</v>
          </cell>
        </row>
        <row r="10">
          <cell r="A10" t="str">
            <v>S004</v>
          </cell>
        </row>
        <row r="11">
          <cell r="A11" t="str">
            <v>S005</v>
          </cell>
        </row>
        <row r="12">
          <cell r="A12" t="str">
            <v>S006</v>
          </cell>
        </row>
        <row r="13">
          <cell r="A13" t="str">
            <v>S007</v>
          </cell>
        </row>
        <row r="14">
          <cell r="A14" t="str">
            <v>S008</v>
          </cell>
        </row>
        <row r="15">
          <cell r="A15" t="str">
            <v>S009</v>
          </cell>
        </row>
        <row r="16">
          <cell r="A16" t="str">
            <v>S010</v>
          </cell>
        </row>
        <row r="17">
          <cell r="A17" t="str">
            <v>S011</v>
          </cell>
        </row>
        <row r="18">
          <cell r="A18" t="str">
            <v>S012</v>
          </cell>
        </row>
        <row r="19">
          <cell r="A19" t="str">
            <v>S013</v>
          </cell>
        </row>
        <row r="20">
          <cell r="A20" t="str">
            <v>S014</v>
          </cell>
        </row>
        <row r="21">
          <cell r="A21" t="str">
            <v>S015</v>
          </cell>
        </row>
        <row r="22">
          <cell r="A22" t="str">
            <v>S016</v>
          </cell>
        </row>
        <row r="23">
          <cell r="A23" t="str">
            <v>S017</v>
          </cell>
        </row>
        <row r="24">
          <cell r="A24" t="str">
            <v>S018</v>
          </cell>
        </row>
        <row r="25">
          <cell r="A25" t="str">
            <v>S019</v>
          </cell>
        </row>
        <row r="26">
          <cell r="A26" t="str">
            <v>S020</v>
          </cell>
        </row>
        <row r="27">
          <cell r="A27" t="str">
            <v>S021</v>
          </cell>
        </row>
        <row r="28">
          <cell r="A28" t="str">
            <v>S022</v>
          </cell>
        </row>
        <row r="29">
          <cell r="A29" t="str">
            <v>S023</v>
          </cell>
        </row>
        <row r="30">
          <cell r="A30" t="str">
            <v>S024</v>
          </cell>
        </row>
        <row r="31">
          <cell r="A31" t="str">
            <v>S025</v>
          </cell>
        </row>
        <row r="32">
          <cell r="A32" t="str">
            <v>S026</v>
          </cell>
        </row>
        <row r="33">
          <cell r="A33" t="str">
            <v>S027</v>
          </cell>
        </row>
        <row r="34">
          <cell r="A34" t="str">
            <v>S028</v>
          </cell>
        </row>
        <row r="35">
          <cell r="A35" t="str">
            <v>S029</v>
          </cell>
        </row>
        <row r="36">
          <cell r="A36" t="str">
            <v>S030</v>
          </cell>
        </row>
        <row r="37">
          <cell r="A37" t="str">
            <v>S031</v>
          </cell>
        </row>
        <row r="38">
          <cell r="A38" t="str">
            <v>S032</v>
          </cell>
        </row>
        <row r="39">
          <cell r="A39" t="str">
            <v>S033</v>
          </cell>
        </row>
        <row r="40">
          <cell r="A40" t="str">
            <v>S034</v>
          </cell>
        </row>
        <row r="41">
          <cell r="A41" t="str">
            <v>S035</v>
          </cell>
        </row>
        <row r="42">
          <cell r="A42" t="str">
            <v>S036</v>
          </cell>
        </row>
        <row r="43">
          <cell r="A43" t="str">
            <v>S037</v>
          </cell>
        </row>
        <row r="44">
          <cell r="A44" t="str">
            <v>S038</v>
          </cell>
        </row>
        <row r="45">
          <cell r="A45" t="str">
            <v>S039</v>
          </cell>
        </row>
        <row r="46">
          <cell r="A46" t="str">
            <v>S040</v>
          </cell>
        </row>
        <row r="47">
          <cell r="A47" t="str">
            <v>S041</v>
          </cell>
        </row>
        <row r="48">
          <cell r="A48" t="str">
            <v>S042</v>
          </cell>
        </row>
        <row r="49">
          <cell r="A49" t="str">
            <v>S043</v>
          </cell>
        </row>
        <row r="50">
          <cell r="A50" t="str">
            <v>S044</v>
          </cell>
        </row>
        <row r="51">
          <cell r="A51" t="str">
            <v>S045</v>
          </cell>
        </row>
        <row r="52">
          <cell r="A52" t="str">
            <v>S046</v>
          </cell>
        </row>
        <row r="53">
          <cell r="A53" t="str">
            <v>S047</v>
          </cell>
        </row>
        <row r="54">
          <cell r="A54" t="str">
            <v>S048</v>
          </cell>
        </row>
        <row r="55">
          <cell r="A55" t="str">
            <v>S049</v>
          </cell>
        </row>
        <row r="56">
          <cell r="A56" t="str">
            <v>S050</v>
          </cell>
        </row>
        <row r="57">
          <cell r="A57" t="str">
            <v>S051</v>
          </cell>
        </row>
        <row r="58">
          <cell r="A58" t="str">
            <v>S052</v>
          </cell>
        </row>
        <row r="59">
          <cell r="A59" t="str">
            <v>S053</v>
          </cell>
        </row>
        <row r="60">
          <cell r="A60" t="str">
            <v>S054</v>
          </cell>
        </row>
        <row r="61">
          <cell r="A61" t="str">
            <v>S055</v>
          </cell>
        </row>
        <row r="62">
          <cell r="A62" t="str">
            <v>S056</v>
          </cell>
        </row>
        <row r="63">
          <cell r="A63" t="str">
            <v>S057</v>
          </cell>
        </row>
        <row r="64">
          <cell r="A64" t="str">
            <v>S058</v>
          </cell>
        </row>
        <row r="65">
          <cell r="A65" t="str">
            <v>S059</v>
          </cell>
        </row>
        <row r="66">
          <cell r="A66" t="str">
            <v>S060</v>
          </cell>
        </row>
        <row r="67">
          <cell r="A67" t="str">
            <v>S061</v>
          </cell>
        </row>
        <row r="68">
          <cell r="A68" t="str">
            <v>S062</v>
          </cell>
        </row>
        <row r="69">
          <cell r="A69" t="str">
            <v>S063</v>
          </cell>
        </row>
        <row r="70">
          <cell r="A70" t="str">
            <v>S064</v>
          </cell>
        </row>
        <row r="71">
          <cell r="A71" t="str">
            <v>S065</v>
          </cell>
        </row>
        <row r="72">
          <cell r="A72" t="str">
            <v>S066</v>
          </cell>
        </row>
        <row r="73">
          <cell r="A73" t="str">
            <v>S067</v>
          </cell>
        </row>
        <row r="74">
          <cell r="A74" t="str">
            <v>S068</v>
          </cell>
        </row>
        <row r="75">
          <cell r="A75" t="str">
            <v>S069</v>
          </cell>
        </row>
        <row r="76">
          <cell r="A76" t="str">
            <v>S070</v>
          </cell>
        </row>
        <row r="77">
          <cell r="A77" t="str">
            <v>S071</v>
          </cell>
        </row>
        <row r="78">
          <cell r="A78" t="str">
            <v>S072</v>
          </cell>
        </row>
        <row r="79">
          <cell r="A79" t="str">
            <v>S073</v>
          </cell>
        </row>
        <row r="80">
          <cell r="A80" t="str">
            <v>S074</v>
          </cell>
        </row>
        <row r="81">
          <cell r="A81" t="str">
            <v>S075</v>
          </cell>
        </row>
        <row r="82">
          <cell r="A82" t="str">
            <v>S076</v>
          </cell>
        </row>
        <row r="83">
          <cell r="A83" t="str">
            <v>S077</v>
          </cell>
        </row>
        <row r="84">
          <cell r="A84" t="str">
            <v>S078</v>
          </cell>
        </row>
        <row r="85">
          <cell r="A85" t="str">
            <v>S079</v>
          </cell>
        </row>
        <row r="86">
          <cell r="A86" t="str">
            <v>S080</v>
          </cell>
        </row>
        <row r="87">
          <cell r="A87" t="str">
            <v>S081</v>
          </cell>
        </row>
        <row r="88">
          <cell r="A88" t="str">
            <v>S082</v>
          </cell>
        </row>
        <row r="89">
          <cell r="A89" t="str">
            <v>S083</v>
          </cell>
        </row>
        <row r="90">
          <cell r="A90" t="str">
            <v>S084</v>
          </cell>
        </row>
        <row r="91">
          <cell r="A91" t="str">
            <v>S085</v>
          </cell>
        </row>
        <row r="92">
          <cell r="A92" t="str">
            <v>S086</v>
          </cell>
        </row>
        <row r="93">
          <cell r="A93" t="str">
            <v>S087</v>
          </cell>
        </row>
        <row r="94">
          <cell r="A94" t="str">
            <v>S088</v>
          </cell>
        </row>
        <row r="95">
          <cell r="A95" t="str">
            <v>S089</v>
          </cell>
        </row>
        <row r="96">
          <cell r="A96" t="str">
            <v>S090</v>
          </cell>
        </row>
        <row r="97">
          <cell r="A97" t="str">
            <v>S091</v>
          </cell>
        </row>
        <row r="98">
          <cell r="A98" t="str">
            <v>S092</v>
          </cell>
        </row>
        <row r="99">
          <cell r="A99" t="str">
            <v>S093</v>
          </cell>
        </row>
        <row r="100">
          <cell r="A100" t="str">
            <v>S094</v>
          </cell>
        </row>
        <row r="101">
          <cell r="A101" t="str">
            <v>S095</v>
          </cell>
        </row>
        <row r="102">
          <cell r="A102" t="str">
            <v>S096</v>
          </cell>
        </row>
        <row r="103">
          <cell r="A103" t="str">
            <v>S097</v>
          </cell>
        </row>
        <row r="104">
          <cell r="A104" t="str">
            <v>S098</v>
          </cell>
        </row>
        <row r="105">
          <cell r="A105" t="str">
            <v>S099</v>
          </cell>
        </row>
        <row r="106">
          <cell r="A106" t="str">
            <v>S100</v>
          </cell>
        </row>
      </sheetData>
      <sheetData sheetId="5">
        <row r="7">
          <cell r="A7" t="str">
            <v>X001</v>
          </cell>
          <cell r="B7" t="str">
            <v>حساب اداری</v>
          </cell>
          <cell r="C7" t="str">
            <v>کارمزد و هزینه بانکی</v>
          </cell>
        </row>
        <row r="8">
          <cell r="A8" t="str">
            <v>X002</v>
          </cell>
          <cell r="B8" t="str">
            <v>حساب اداری</v>
          </cell>
          <cell r="C8" t="str">
            <v>مالیات و عوارض</v>
          </cell>
        </row>
        <row r="9">
          <cell r="A9" t="str">
            <v>X003</v>
          </cell>
          <cell r="B9" t="str">
            <v>حساب داخلی</v>
          </cell>
          <cell r="C9" t="str">
            <v>صندوق / نقدی</v>
          </cell>
        </row>
        <row r="10">
          <cell r="A10" t="str">
            <v>X004</v>
          </cell>
        </row>
        <row r="11">
          <cell r="A11" t="str">
            <v>X005</v>
          </cell>
        </row>
        <row r="12">
          <cell r="A12" t="str">
            <v>X006</v>
          </cell>
        </row>
        <row r="13">
          <cell r="A13" t="str">
            <v>X007</v>
          </cell>
        </row>
        <row r="14">
          <cell r="A14" t="str">
            <v>X008</v>
          </cell>
        </row>
        <row r="15">
          <cell r="A15" t="str">
            <v>X009</v>
          </cell>
        </row>
        <row r="16">
          <cell r="A16" t="str">
            <v>X010</v>
          </cell>
        </row>
        <row r="17">
          <cell r="A17" t="str">
            <v>X011</v>
          </cell>
        </row>
        <row r="18">
          <cell r="A18" t="str">
            <v>X012</v>
          </cell>
        </row>
        <row r="19">
          <cell r="A19" t="str">
            <v>X013</v>
          </cell>
        </row>
        <row r="20">
          <cell r="A20" t="str">
            <v>X014</v>
          </cell>
        </row>
        <row r="21">
          <cell r="A21" t="str">
            <v>X015</v>
          </cell>
        </row>
        <row r="22">
          <cell r="A22" t="str">
            <v>X016</v>
          </cell>
        </row>
        <row r="23">
          <cell r="A23" t="str">
            <v>X017</v>
          </cell>
        </row>
        <row r="24">
          <cell r="A24" t="str">
            <v>X018</v>
          </cell>
        </row>
        <row r="25">
          <cell r="A25" t="str">
            <v>X019</v>
          </cell>
        </row>
        <row r="26">
          <cell r="A26" t="str">
            <v>X020</v>
          </cell>
        </row>
        <row r="27">
          <cell r="A27" t="str">
            <v>X021</v>
          </cell>
        </row>
        <row r="28">
          <cell r="A28" t="str">
            <v>X022</v>
          </cell>
        </row>
        <row r="29">
          <cell r="A29" t="str">
            <v>X023</v>
          </cell>
        </row>
        <row r="30">
          <cell r="A30" t="str">
            <v>X024</v>
          </cell>
        </row>
        <row r="31">
          <cell r="A31" t="str">
            <v>X025</v>
          </cell>
        </row>
        <row r="32">
          <cell r="A32" t="str">
            <v>X026</v>
          </cell>
        </row>
        <row r="33">
          <cell r="A33" t="str">
            <v>X027</v>
          </cell>
        </row>
        <row r="34">
          <cell r="A34" t="str">
            <v>X028</v>
          </cell>
        </row>
        <row r="35">
          <cell r="A35" t="str">
            <v>X029</v>
          </cell>
        </row>
        <row r="36">
          <cell r="A36" t="str">
            <v>X030</v>
          </cell>
        </row>
        <row r="37">
          <cell r="A37" t="str">
            <v>X031</v>
          </cell>
        </row>
        <row r="38">
          <cell r="A38" t="str">
            <v>X032</v>
          </cell>
        </row>
        <row r="39">
          <cell r="A39" t="str">
            <v>X033</v>
          </cell>
        </row>
        <row r="40">
          <cell r="A40" t="str">
            <v>X034</v>
          </cell>
        </row>
        <row r="41">
          <cell r="A41" t="str">
            <v>X035</v>
          </cell>
        </row>
        <row r="42">
          <cell r="A42" t="str">
            <v>X036</v>
          </cell>
        </row>
        <row r="43">
          <cell r="A43" t="str">
            <v>X037</v>
          </cell>
        </row>
        <row r="44">
          <cell r="A44" t="str">
            <v>X038</v>
          </cell>
        </row>
        <row r="45">
          <cell r="A45" t="str">
            <v>X039</v>
          </cell>
        </row>
        <row r="46">
          <cell r="A46" t="str">
            <v>X040</v>
          </cell>
        </row>
        <row r="47">
          <cell r="A47" t="str">
            <v>X041</v>
          </cell>
        </row>
        <row r="48">
          <cell r="A48" t="str">
            <v>X042</v>
          </cell>
        </row>
        <row r="49">
          <cell r="A49" t="str">
            <v>X043</v>
          </cell>
        </row>
        <row r="50">
          <cell r="A50" t="str">
            <v>X044</v>
          </cell>
        </row>
        <row r="51">
          <cell r="A51" t="str">
            <v>X045</v>
          </cell>
        </row>
        <row r="52">
          <cell r="A52" t="str">
            <v>X046</v>
          </cell>
        </row>
        <row r="53">
          <cell r="A53" t="str">
            <v>X047</v>
          </cell>
        </row>
        <row r="54">
          <cell r="A54" t="str">
            <v>X048</v>
          </cell>
        </row>
        <row r="55">
          <cell r="A55" t="str">
            <v>X049</v>
          </cell>
        </row>
        <row r="56">
          <cell r="A56" t="str">
            <v>X050</v>
          </cell>
        </row>
      </sheetData>
      <sheetData sheetId="6">
        <row r="7">
          <cell r="A7" t="str">
            <v>E001</v>
          </cell>
          <cell r="B7" t="str">
            <v>(نام مدیرعامل)</v>
          </cell>
        </row>
        <row r="8">
          <cell r="A8" t="str">
            <v>E002</v>
          </cell>
          <cell r="B8" t="str">
            <v>(نام حسابدار)</v>
          </cell>
        </row>
        <row r="9">
          <cell r="A9" t="str">
            <v>E003</v>
          </cell>
          <cell r="B9" t="str">
            <v>(نام فروشنده ۱)</v>
          </cell>
        </row>
        <row r="10">
          <cell r="A10" t="str">
            <v>E004</v>
          </cell>
          <cell r="B10" t="str">
            <v>(نام انباردار)</v>
          </cell>
        </row>
        <row r="11">
          <cell r="A11" t="str">
            <v>E005</v>
          </cell>
        </row>
        <row r="12">
          <cell r="A12" t="str">
            <v>E006</v>
          </cell>
        </row>
        <row r="13">
          <cell r="A13" t="str">
            <v>E007</v>
          </cell>
        </row>
        <row r="14">
          <cell r="A14" t="str">
            <v>E008</v>
          </cell>
        </row>
        <row r="15">
          <cell r="A15" t="str">
            <v>E009</v>
          </cell>
        </row>
        <row r="16">
          <cell r="A16" t="str">
            <v>E010</v>
          </cell>
        </row>
        <row r="17">
          <cell r="A17" t="str">
            <v>E011</v>
          </cell>
        </row>
        <row r="18">
          <cell r="A18" t="str">
            <v>E012</v>
          </cell>
        </row>
        <row r="19">
          <cell r="A19" t="str">
            <v>E013</v>
          </cell>
        </row>
        <row r="20">
          <cell r="A20" t="str">
            <v>E014</v>
          </cell>
        </row>
        <row r="21">
          <cell r="A21" t="str">
            <v>E015</v>
          </cell>
        </row>
        <row r="22">
          <cell r="A22" t="str">
            <v>E016</v>
          </cell>
        </row>
        <row r="23">
          <cell r="A23" t="str">
            <v>E017</v>
          </cell>
        </row>
        <row r="24">
          <cell r="A24" t="str">
            <v>E018</v>
          </cell>
        </row>
        <row r="25">
          <cell r="A25" t="str">
            <v>E019</v>
          </cell>
        </row>
        <row r="26">
          <cell r="A26" t="str">
            <v>E020</v>
          </cell>
        </row>
        <row r="27">
          <cell r="A27" t="str">
            <v>E021</v>
          </cell>
        </row>
        <row r="28">
          <cell r="A28" t="str">
            <v>E022</v>
          </cell>
        </row>
        <row r="29">
          <cell r="A29" t="str">
            <v>E023</v>
          </cell>
        </row>
        <row r="30">
          <cell r="A30" t="str">
            <v>E024</v>
          </cell>
        </row>
        <row r="31">
          <cell r="A31" t="str">
            <v>E025</v>
          </cell>
        </row>
        <row r="32">
          <cell r="A32" t="str">
            <v>E026</v>
          </cell>
        </row>
        <row r="33">
          <cell r="A33" t="str">
            <v>E027</v>
          </cell>
        </row>
        <row r="34">
          <cell r="A34" t="str">
            <v>E028</v>
          </cell>
        </row>
        <row r="35">
          <cell r="A35" t="str">
            <v>E029</v>
          </cell>
        </row>
        <row r="36">
          <cell r="A36" t="str">
            <v>E030</v>
          </cell>
        </row>
        <row r="37">
          <cell r="A37" t="str">
            <v>E031</v>
          </cell>
        </row>
        <row r="38">
          <cell r="A38" t="str">
            <v>E032</v>
          </cell>
        </row>
        <row r="39">
          <cell r="A39" t="str">
            <v>E033</v>
          </cell>
        </row>
        <row r="40">
          <cell r="A40" t="str">
            <v>E034</v>
          </cell>
        </row>
        <row r="41">
          <cell r="A41" t="str">
            <v>E035</v>
          </cell>
        </row>
        <row r="42">
          <cell r="A42" t="str">
            <v>E036</v>
          </cell>
        </row>
        <row r="43">
          <cell r="A43" t="str">
            <v>E037</v>
          </cell>
        </row>
        <row r="44">
          <cell r="A44" t="str">
            <v>E038</v>
          </cell>
        </row>
        <row r="45">
          <cell r="A45" t="str">
            <v>E039</v>
          </cell>
        </row>
        <row r="46">
          <cell r="A46" t="str">
            <v>E040</v>
          </cell>
        </row>
        <row r="47">
          <cell r="A47" t="str">
            <v>E041</v>
          </cell>
        </row>
        <row r="48">
          <cell r="A48" t="str">
            <v>E042</v>
          </cell>
        </row>
        <row r="49">
          <cell r="A49" t="str">
            <v>E043</v>
          </cell>
        </row>
        <row r="50">
          <cell r="A50" t="str">
            <v>E044</v>
          </cell>
        </row>
        <row r="51">
          <cell r="A51" t="str">
            <v>E045</v>
          </cell>
        </row>
        <row r="52">
          <cell r="A52" t="str">
            <v>E046</v>
          </cell>
        </row>
        <row r="53">
          <cell r="A53" t="str">
            <v>E047</v>
          </cell>
        </row>
        <row r="54">
          <cell r="A54" t="str">
            <v>E048</v>
          </cell>
        </row>
        <row r="55">
          <cell r="A55" t="str">
            <v>E049</v>
          </cell>
        </row>
        <row r="56">
          <cell r="A56" t="str">
            <v>E050</v>
          </cell>
        </row>
      </sheetData>
      <sheetData sheetId="7">
        <row r="7">
          <cell r="A7" t="str">
            <v>PT01</v>
          </cell>
          <cell r="B7" t="str">
            <v>مشتری عمده</v>
          </cell>
        </row>
        <row r="8">
          <cell r="A8" t="str">
            <v>PT02</v>
          </cell>
          <cell r="B8" t="str">
            <v>مشتری صادراتی</v>
          </cell>
        </row>
        <row r="9">
          <cell r="A9" t="str">
            <v>PT03</v>
          </cell>
          <cell r="B9" t="str">
            <v>مشتری خرده‌فروش</v>
          </cell>
        </row>
        <row r="10">
          <cell r="A10" t="str">
            <v>PT04</v>
          </cell>
          <cell r="B10" t="str">
            <v>باغ‌دار</v>
          </cell>
        </row>
        <row r="11">
          <cell r="A11" t="str">
            <v>PT05</v>
          </cell>
          <cell r="B11" t="str">
            <v>حجره‌دار میدان بار</v>
          </cell>
        </row>
        <row r="12">
          <cell r="A12" t="str">
            <v>PT06</v>
          </cell>
          <cell r="B12" t="str">
            <v>عامل خرید</v>
          </cell>
        </row>
        <row r="13">
          <cell r="A13" t="str">
            <v>PT07</v>
          </cell>
          <cell r="B13" t="str">
            <v>حساب اداری/داخلی</v>
          </cell>
        </row>
        <row r="14">
          <cell r="A14" t="str">
            <v>PT08</v>
          </cell>
          <cell r="B14" t="str">
            <v>سایر</v>
          </cell>
        </row>
        <row r="15">
          <cell r="A15" t="str">
            <v>PT09</v>
          </cell>
        </row>
        <row r="16">
          <cell r="A16" t="str">
            <v>PT10</v>
          </cell>
        </row>
        <row r="17">
          <cell r="A17" t="str">
            <v>PT11</v>
          </cell>
        </row>
        <row r="18">
          <cell r="A18" t="str">
            <v>PT12</v>
          </cell>
        </row>
        <row r="19">
          <cell r="A19" t="str">
            <v>PT13</v>
          </cell>
        </row>
        <row r="20">
          <cell r="A20" t="str">
            <v>PT14</v>
          </cell>
        </row>
        <row r="21">
          <cell r="A21" t="str">
            <v>PT15</v>
          </cell>
        </row>
        <row r="22">
          <cell r="A22" t="str">
            <v>PT16</v>
          </cell>
        </row>
        <row r="23">
          <cell r="A23" t="str">
            <v>PT17</v>
          </cell>
        </row>
        <row r="24">
          <cell r="A24" t="str">
            <v>PT18</v>
          </cell>
        </row>
        <row r="25">
          <cell r="A25" t="str">
            <v>PT19</v>
          </cell>
        </row>
        <row r="26">
          <cell r="A26" t="str">
            <v>PT20</v>
          </cell>
        </row>
      </sheetData>
      <sheetData sheetId="8">
        <row r="7">
          <cell r="A7" t="str">
            <v>T01</v>
          </cell>
          <cell r="B7" t="str">
            <v>واریز</v>
          </cell>
        </row>
        <row r="8">
          <cell r="A8" t="str">
            <v>T02</v>
          </cell>
          <cell r="B8" t="str">
            <v>برداشت</v>
          </cell>
        </row>
        <row r="9">
          <cell r="A9" t="str">
            <v>T03</v>
          </cell>
          <cell r="B9" t="str">
            <v>انتقال بین بانکی</v>
          </cell>
        </row>
        <row r="10">
          <cell r="A10" t="str">
            <v>T04</v>
          </cell>
          <cell r="B10" t="str">
            <v>اصلاحیه / تعدیل</v>
          </cell>
        </row>
        <row r="11">
          <cell r="A11" t="str">
            <v>T05</v>
          </cell>
          <cell r="B11" t="str">
            <v>سایر</v>
          </cell>
        </row>
        <row r="12">
          <cell r="A12" t="str">
            <v>T06</v>
          </cell>
        </row>
        <row r="13">
          <cell r="A13" t="str">
            <v>T07</v>
          </cell>
        </row>
        <row r="14">
          <cell r="A14" t="str">
            <v>T08</v>
          </cell>
        </row>
        <row r="15">
          <cell r="A15" t="str">
            <v>T09</v>
          </cell>
        </row>
        <row r="16">
          <cell r="A16" t="str">
            <v>T10</v>
          </cell>
        </row>
        <row r="17">
          <cell r="A17" t="str">
            <v>T11</v>
          </cell>
        </row>
        <row r="18">
          <cell r="A18" t="str">
            <v>T12</v>
          </cell>
        </row>
        <row r="19">
          <cell r="A19" t="str">
            <v>T13</v>
          </cell>
        </row>
        <row r="20">
          <cell r="A20" t="str">
            <v>T14</v>
          </cell>
        </row>
      </sheetData>
      <sheetData sheetId="9">
        <row r="7">
          <cell r="A7" t="str">
            <v>PB01</v>
          </cell>
          <cell r="B7" t="str">
            <v>پرتقال (عمومی)</v>
          </cell>
        </row>
        <row r="8">
          <cell r="A8" t="str">
            <v>PB02</v>
          </cell>
          <cell r="B8" t="str">
            <v>نارنگی</v>
          </cell>
        </row>
        <row r="9">
          <cell r="A9" t="str">
            <v>PB03</v>
          </cell>
          <cell r="B9" t="str">
            <v>لیمو ترش</v>
          </cell>
        </row>
        <row r="10">
          <cell r="A10" t="str">
            <v>PB04</v>
          </cell>
          <cell r="B10" t="str">
            <v>گریپ‌فرویت</v>
          </cell>
        </row>
        <row r="11">
          <cell r="A11" t="str">
            <v>PB05</v>
          </cell>
        </row>
        <row r="12">
          <cell r="A12" t="str">
            <v>PB06</v>
          </cell>
        </row>
        <row r="13">
          <cell r="A13" t="str">
            <v>PB07</v>
          </cell>
        </row>
        <row r="14">
          <cell r="A14" t="str">
            <v>PB08</v>
          </cell>
        </row>
        <row r="15">
          <cell r="A15" t="str">
            <v>PB09</v>
          </cell>
        </row>
        <row r="16">
          <cell r="A16" t="str">
            <v>PB10</v>
          </cell>
        </row>
        <row r="17">
          <cell r="A17" t="str">
            <v>PB11</v>
          </cell>
        </row>
        <row r="18">
          <cell r="A18" t="str">
            <v>PB12</v>
          </cell>
        </row>
        <row r="19">
          <cell r="A19" t="str">
            <v>PB13</v>
          </cell>
        </row>
        <row r="20">
          <cell r="A20" t="str">
            <v>PB14</v>
          </cell>
        </row>
        <row r="21">
          <cell r="A21" t="str">
            <v>PB15</v>
          </cell>
        </row>
        <row r="22">
          <cell r="A22" t="str">
            <v>PB16</v>
          </cell>
        </row>
        <row r="23">
          <cell r="A23" t="str">
            <v>PB17</v>
          </cell>
        </row>
        <row r="24">
          <cell r="A24" t="str">
            <v>PB18</v>
          </cell>
        </row>
        <row r="25">
          <cell r="A25" t="str">
            <v>PB19</v>
          </cell>
        </row>
        <row r="26">
          <cell r="A26" t="str">
            <v>PB20</v>
          </cell>
        </row>
        <row r="27">
          <cell r="A27" t="str">
            <v>PB21</v>
          </cell>
        </row>
        <row r="28">
          <cell r="A28" t="str">
            <v>PB22</v>
          </cell>
        </row>
        <row r="29">
          <cell r="A29" t="str">
            <v>PB23</v>
          </cell>
        </row>
        <row r="30">
          <cell r="A30" t="str">
            <v>PB24</v>
          </cell>
        </row>
        <row r="31">
          <cell r="A31" t="str">
            <v>PB25</v>
          </cell>
        </row>
        <row r="32">
          <cell r="A32" t="str">
            <v>PB26</v>
          </cell>
        </row>
        <row r="33">
          <cell r="A33" t="str">
            <v>PB27</v>
          </cell>
        </row>
        <row r="34">
          <cell r="A34" t="str">
            <v>PB28</v>
          </cell>
        </row>
        <row r="35">
          <cell r="A35" t="str">
            <v>PB29</v>
          </cell>
        </row>
        <row r="36">
          <cell r="A36" t="str">
            <v>PB30</v>
          </cell>
        </row>
        <row r="37">
          <cell r="A37" t="str">
            <v>PB31</v>
          </cell>
        </row>
        <row r="38">
          <cell r="A38" t="str">
            <v>PB32</v>
          </cell>
        </row>
        <row r="39">
          <cell r="A39" t="str">
            <v>PB33</v>
          </cell>
        </row>
        <row r="40">
          <cell r="A40" t="str">
            <v>PB34</v>
          </cell>
        </row>
        <row r="41">
          <cell r="A41" t="str">
            <v>PB35</v>
          </cell>
        </row>
        <row r="42">
          <cell r="A42" t="str">
            <v>PB36</v>
          </cell>
        </row>
        <row r="43">
          <cell r="A43" t="str">
            <v>PB37</v>
          </cell>
        </row>
        <row r="44">
          <cell r="A44" t="str">
            <v>PB38</v>
          </cell>
        </row>
        <row r="45">
          <cell r="A45" t="str">
            <v>PB39</v>
          </cell>
        </row>
        <row r="46">
          <cell r="A46" t="str">
            <v>PB40</v>
          </cell>
        </row>
        <row r="47">
          <cell r="A47" t="str">
            <v>PB41</v>
          </cell>
        </row>
        <row r="48">
          <cell r="A48" t="str">
            <v>PB42</v>
          </cell>
        </row>
        <row r="49">
          <cell r="A49" t="str">
            <v>PB43</v>
          </cell>
        </row>
        <row r="50">
          <cell r="A50" t="str">
            <v>PB44</v>
          </cell>
        </row>
        <row r="51">
          <cell r="A51" t="str">
            <v>PB45</v>
          </cell>
        </row>
        <row r="52">
          <cell r="A52" t="str">
            <v>PB46</v>
          </cell>
        </row>
        <row r="53">
          <cell r="A53" t="str">
            <v>PB47</v>
          </cell>
        </row>
        <row r="54">
          <cell r="A54" t="str">
            <v>PB48</v>
          </cell>
        </row>
        <row r="55">
          <cell r="A55" t="str">
            <v>PB49</v>
          </cell>
        </row>
        <row r="56">
          <cell r="A56" t="str">
            <v>PB50</v>
          </cell>
        </row>
        <row r="57">
          <cell r="A57" t="str">
            <v>PB51</v>
          </cell>
        </row>
        <row r="58">
          <cell r="A58" t="str">
            <v>PB52</v>
          </cell>
        </row>
        <row r="59">
          <cell r="A59" t="str">
            <v>PB53</v>
          </cell>
        </row>
        <row r="60">
          <cell r="A60" t="str">
            <v>PB54</v>
          </cell>
        </row>
        <row r="61">
          <cell r="A61" t="str">
            <v>PB55</v>
          </cell>
        </row>
        <row r="62">
          <cell r="A62" t="str">
            <v>PB56</v>
          </cell>
        </row>
        <row r="63">
          <cell r="A63" t="str">
            <v>PB57</v>
          </cell>
        </row>
        <row r="64">
          <cell r="A64" t="str">
            <v>PB58</v>
          </cell>
        </row>
        <row r="65">
          <cell r="A65" t="str">
            <v>PB59</v>
          </cell>
        </row>
        <row r="66">
          <cell r="A66" t="str">
            <v>PB60</v>
          </cell>
        </row>
        <row r="67">
          <cell r="A67" t="str">
            <v>PB61</v>
          </cell>
        </row>
        <row r="68">
          <cell r="A68" t="str">
            <v>PB62</v>
          </cell>
        </row>
        <row r="69">
          <cell r="A69" t="str">
            <v>PB63</v>
          </cell>
        </row>
        <row r="70">
          <cell r="A70" t="str">
            <v>PB64</v>
          </cell>
        </row>
        <row r="71">
          <cell r="A71" t="str">
            <v>PB65</v>
          </cell>
        </row>
        <row r="72">
          <cell r="A72" t="str">
            <v>PB66</v>
          </cell>
        </row>
        <row r="73">
          <cell r="A73" t="str">
            <v>PB67</v>
          </cell>
        </row>
        <row r="74">
          <cell r="A74" t="str">
            <v>PB68</v>
          </cell>
        </row>
        <row r="75">
          <cell r="A75" t="str">
            <v>PB69</v>
          </cell>
        </row>
        <row r="76">
          <cell r="A76" t="str">
            <v>PB70</v>
          </cell>
        </row>
        <row r="77">
          <cell r="A77" t="str">
            <v>PB71</v>
          </cell>
        </row>
        <row r="78">
          <cell r="A78" t="str">
            <v>PB72</v>
          </cell>
        </row>
        <row r="79">
          <cell r="A79" t="str">
            <v>PB73</v>
          </cell>
        </row>
        <row r="80">
          <cell r="A80" t="str">
            <v>PB74</v>
          </cell>
        </row>
        <row r="81">
          <cell r="A81" t="str">
            <v>PB75</v>
          </cell>
        </row>
        <row r="82">
          <cell r="A82" t="str">
            <v>PB76</v>
          </cell>
        </row>
        <row r="83">
          <cell r="A83" t="str">
            <v>PB77</v>
          </cell>
        </row>
        <row r="84">
          <cell r="A84" t="str">
            <v>PB78</v>
          </cell>
        </row>
        <row r="85">
          <cell r="A85" t="str">
            <v>PB79</v>
          </cell>
        </row>
        <row r="86">
          <cell r="A86" t="str">
            <v>PB80</v>
          </cell>
        </row>
        <row r="87">
          <cell r="A87" t="str">
            <v>PB81</v>
          </cell>
        </row>
        <row r="88">
          <cell r="A88" t="str">
            <v>PB82</v>
          </cell>
        </row>
        <row r="89">
          <cell r="A89" t="str">
            <v>PB83</v>
          </cell>
        </row>
        <row r="90">
          <cell r="A90" t="str">
            <v>PB84</v>
          </cell>
        </row>
        <row r="91">
          <cell r="A91" t="str">
            <v>PB85</v>
          </cell>
        </row>
        <row r="92">
          <cell r="A92" t="str">
            <v>PB86</v>
          </cell>
        </row>
        <row r="93">
          <cell r="A93" t="str">
            <v>PB87</v>
          </cell>
        </row>
        <row r="94">
          <cell r="A94" t="str">
            <v>PB88</v>
          </cell>
        </row>
        <row r="95">
          <cell r="A95" t="str">
            <v>PB89</v>
          </cell>
        </row>
        <row r="96">
          <cell r="A96" t="str">
            <v>PB90</v>
          </cell>
        </row>
        <row r="97">
          <cell r="A97" t="str">
            <v>PB91</v>
          </cell>
        </row>
        <row r="98">
          <cell r="A98" t="str">
            <v>PB92</v>
          </cell>
        </row>
        <row r="99">
          <cell r="A99" t="str">
            <v>PB93</v>
          </cell>
        </row>
        <row r="100">
          <cell r="A100" t="str">
            <v>PB94</v>
          </cell>
        </row>
        <row r="101">
          <cell r="A101" t="str">
            <v>PB95</v>
          </cell>
        </row>
        <row r="102">
          <cell r="A102" t="str">
            <v>PB96</v>
          </cell>
        </row>
        <row r="103">
          <cell r="A103" t="str">
            <v>PB97</v>
          </cell>
        </row>
        <row r="104">
          <cell r="A104" t="str">
            <v>PB98</v>
          </cell>
        </row>
        <row r="105">
          <cell r="A105" t="str">
            <v>PB99</v>
          </cell>
        </row>
        <row r="106">
          <cell r="A106" t="str">
            <v>PB100</v>
          </cell>
        </row>
      </sheetData>
      <sheetData sheetId="10">
        <row r="7">
          <cell r="A7" t="str">
            <v>PS01</v>
          </cell>
          <cell r="B7" t="str">
            <v>پرتقال درجه ۱ — بسته‌بندی</v>
          </cell>
        </row>
        <row r="8">
          <cell r="A8" t="str">
            <v>PS02</v>
          </cell>
          <cell r="B8" t="str">
            <v>پرتقال درجه ۲ — عمومی</v>
          </cell>
        </row>
        <row r="9">
          <cell r="A9" t="str">
            <v>PS03</v>
          </cell>
          <cell r="B9" t="str">
            <v>نارنگی درجه ۱ — بسته‌بندی</v>
          </cell>
        </row>
        <row r="10">
          <cell r="A10" t="str">
            <v>PS04</v>
          </cell>
          <cell r="B10" t="str">
            <v>نارنگی عمومی</v>
          </cell>
        </row>
        <row r="11">
          <cell r="A11" t="str">
            <v>PS05</v>
          </cell>
        </row>
        <row r="12">
          <cell r="A12" t="str">
            <v>PS06</v>
          </cell>
        </row>
        <row r="13">
          <cell r="A13" t="str">
            <v>PS07</v>
          </cell>
        </row>
        <row r="14">
          <cell r="A14" t="str">
            <v>PS08</v>
          </cell>
        </row>
        <row r="15">
          <cell r="A15" t="str">
            <v>PS09</v>
          </cell>
        </row>
        <row r="16">
          <cell r="A16" t="str">
            <v>PS10</v>
          </cell>
        </row>
        <row r="17">
          <cell r="A17" t="str">
            <v>PS11</v>
          </cell>
        </row>
        <row r="18">
          <cell r="A18" t="str">
            <v>PS12</v>
          </cell>
        </row>
        <row r="19">
          <cell r="A19" t="str">
            <v>PS13</v>
          </cell>
        </row>
        <row r="20">
          <cell r="A20" t="str">
            <v>PS14</v>
          </cell>
        </row>
        <row r="21">
          <cell r="A21" t="str">
            <v>PS15</v>
          </cell>
        </row>
        <row r="22">
          <cell r="A22" t="str">
            <v>PS16</v>
          </cell>
        </row>
        <row r="23">
          <cell r="A23" t="str">
            <v>PS17</v>
          </cell>
        </row>
        <row r="24">
          <cell r="A24" t="str">
            <v>PS18</v>
          </cell>
        </row>
        <row r="25">
          <cell r="A25" t="str">
            <v>PS19</v>
          </cell>
        </row>
        <row r="26">
          <cell r="A26" t="str">
            <v>PS20</v>
          </cell>
        </row>
        <row r="27">
          <cell r="A27" t="str">
            <v>PS21</v>
          </cell>
        </row>
        <row r="28">
          <cell r="A28" t="str">
            <v>PS22</v>
          </cell>
        </row>
        <row r="29">
          <cell r="A29" t="str">
            <v>PS23</v>
          </cell>
        </row>
        <row r="30">
          <cell r="A30" t="str">
            <v>PS24</v>
          </cell>
        </row>
        <row r="31">
          <cell r="A31" t="str">
            <v>PS25</v>
          </cell>
        </row>
        <row r="32">
          <cell r="A32" t="str">
            <v>PS26</v>
          </cell>
        </row>
        <row r="33">
          <cell r="A33" t="str">
            <v>PS27</v>
          </cell>
        </row>
        <row r="34">
          <cell r="A34" t="str">
            <v>PS28</v>
          </cell>
        </row>
        <row r="35">
          <cell r="A35" t="str">
            <v>PS29</v>
          </cell>
        </row>
        <row r="36">
          <cell r="A36" t="str">
            <v>PS30</v>
          </cell>
        </row>
        <row r="37">
          <cell r="A37" t="str">
            <v>PS31</v>
          </cell>
        </row>
        <row r="38">
          <cell r="A38" t="str">
            <v>PS32</v>
          </cell>
        </row>
        <row r="39">
          <cell r="A39" t="str">
            <v>PS33</v>
          </cell>
        </row>
        <row r="40">
          <cell r="A40" t="str">
            <v>PS34</v>
          </cell>
        </row>
        <row r="41">
          <cell r="A41" t="str">
            <v>PS35</v>
          </cell>
        </row>
        <row r="42">
          <cell r="A42" t="str">
            <v>PS36</v>
          </cell>
        </row>
        <row r="43">
          <cell r="A43" t="str">
            <v>PS37</v>
          </cell>
        </row>
        <row r="44">
          <cell r="A44" t="str">
            <v>PS38</v>
          </cell>
        </row>
        <row r="45">
          <cell r="A45" t="str">
            <v>PS39</v>
          </cell>
        </row>
        <row r="46">
          <cell r="A46" t="str">
            <v>PS40</v>
          </cell>
        </row>
        <row r="47">
          <cell r="A47" t="str">
            <v>PS41</v>
          </cell>
        </row>
        <row r="48">
          <cell r="A48" t="str">
            <v>PS42</v>
          </cell>
        </row>
        <row r="49">
          <cell r="A49" t="str">
            <v>PS43</v>
          </cell>
        </row>
        <row r="50">
          <cell r="A50" t="str">
            <v>PS44</v>
          </cell>
        </row>
        <row r="51">
          <cell r="A51" t="str">
            <v>PS45</v>
          </cell>
        </row>
        <row r="52">
          <cell r="A52" t="str">
            <v>PS46</v>
          </cell>
        </row>
        <row r="53">
          <cell r="A53" t="str">
            <v>PS47</v>
          </cell>
        </row>
        <row r="54">
          <cell r="A54" t="str">
            <v>PS48</v>
          </cell>
        </row>
        <row r="55">
          <cell r="A55" t="str">
            <v>PS49</v>
          </cell>
        </row>
        <row r="56">
          <cell r="A56" t="str">
            <v>PS50</v>
          </cell>
        </row>
        <row r="57">
          <cell r="A57" t="str">
            <v>PS51</v>
          </cell>
        </row>
        <row r="58">
          <cell r="A58" t="str">
            <v>PS52</v>
          </cell>
        </row>
        <row r="59">
          <cell r="A59" t="str">
            <v>PS53</v>
          </cell>
        </row>
        <row r="60">
          <cell r="A60" t="str">
            <v>PS54</v>
          </cell>
        </row>
        <row r="61">
          <cell r="A61" t="str">
            <v>PS55</v>
          </cell>
        </row>
        <row r="62">
          <cell r="A62" t="str">
            <v>PS56</v>
          </cell>
        </row>
        <row r="63">
          <cell r="A63" t="str">
            <v>PS57</v>
          </cell>
        </row>
        <row r="64">
          <cell r="A64" t="str">
            <v>PS58</v>
          </cell>
        </row>
        <row r="65">
          <cell r="A65" t="str">
            <v>PS59</v>
          </cell>
        </row>
        <row r="66">
          <cell r="A66" t="str">
            <v>PS60</v>
          </cell>
        </row>
        <row r="67">
          <cell r="A67" t="str">
            <v>PS61</v>
          </cell>
        </row>
        <row r="68">
          <cell r="A68" t="str">
            <v>PS62</v>
          </cell>
        </row>
        <row r="69">
          <cell r="A69" t="str">
            <v>PS63</v>
          </cell>
        </row>
        <row r="70">
          <cell r="A70" t="str">
            <v>PS64</v>
          </cell>
        </row>
        <row r="71">
          <cell r="A71" t="str">
            <v>PS65</v>
          </cell>
        </row>
        <row r="72">
          <cell r="A72" t="str">
            <v>PS66</v>
          </cell>
        </row>
        <row r="73">
          <cell r="A73" t="str">
            <v>PS67</v>
          </cell>
        </row>
        <row r="74">
          <cell r="A74" t="str">
            <v>PS68</v>
          </cell>
        </row>
        <row r="75">
          <cell r="A75" t="str">
            <v>PS69</v>
          </cell>
        </row>
        <row r="76">
          <cell r="A76" t="str">
            <v>PS70</v>
          </cell>
        </row>
        <row r="77">
          <cell r="A77" t="str">
            <v>PS71</v>
          </cell>
        </row>
        <row r="78">
          <cell r="A78" t="str">
            <v>PS72</v>
          </cell>
        </row>
        <row r="79">
          <cell r="A79" t="str">
            <v>PS73</v>
          </cell>
        </row>
        <row r="80">
          <cell r="A80" t="str">
            <v>PS74</v>
          </cell>
        </row>
        <row r="81">
          <cell r="A81" t="str">
            <v>PS75</v>
          </cell>
        </row>
        <row r="82">
          <cell r="A82" t="str">
            <v>PS76</v>
          </cell>
        </row>
        <row r="83">
          <cell r="A83" t="str">
            <v>PS77</v>
          </cell>
        </row>
        <row r="84">
          <cell r="A84" t="str">
            <v>PS78</v>
          </cell>
        </row>
        <row r="85">
          <cell r="A85" t="str">
            <v>PS79</v>
          </cell>
        </row>
        <row r="86">
          <cell r="A86" t="str">
            <v>PS80</v>
          </cell>
        </row>
        <row r="87">
          <cell r="A87" t="str">
            <v>PS81</v>
          </cell>
        </row>
        <row r="88">
          <cell r="A88" t="str">
            <v>PS82</v>
          </cell>
        </row>
        <row r="89">
          <cell r="A89" t="str">
            <v>PS83</v>
          </cell>
        </row>
        <row r="90">
          <cell r="A90" t="str">
            <v>PS84</v>
          </cell>
        </row>
        <row r="91">
          <cell r="A91" t="str">
            <v>PS85</v>
          </cell>
        </row>
        <row r="92">
          <cell r="A92" t="str">
            <v>PS86</v>
          </cell>
        </row>
        <row r="93">
          <cell r="A93" t="str">
            <v>PS87</v>
          </cell>
        </row>
        <row r="94">
          <cell r="A94" t="str">
            <v>PS88</v>
          </cell>
        </row>
        <row r="95">
          <cell r="A95" t="str">
            <v>PS89</v>
          </cell>
        </row>
        <row r="96">
          <cell r="A96" t="str">
            <v>PS90</v>
          </cell>
        </row>
        <row r="97">
          <cell r="A97" t="str">
            <v>PS91</v>
          </cell>
        </row>
        <row r="98">
          <cell r="A98" t="str">
            <v>PS92</v>
          </cell>
        </row>
        <row r="99">
          <cell r="A99" t="str">
            <v>PS93</v>
          </cell>
        </row>
        <row r="100">
          <cell r="A100" t="str">
            <v>PS94</v>
          </cell>
        </row>
        <row r="101">
          <cell r="A101" t="str">
            <v>PS95</v>
          </cell>
        </row>
        <row r="102">
          <cell r="A102" t="str">
            <v>PS96</v>
          </cell>
        </row>
        <row r="103">
          <cell r="A103" t="str">
            <v>PS97</v>
          </cell>
        </row>
        <row r="104">
          <cell r="A104" t="str">
            <v>PS98</v>
          </cell>
        </row>
        <row r="105">
          <cell r="A105" t="str">
            <v>PS99</v>
          </cell>
        </row>
        <row r="106">
          <cell r="A106" t="str">
            <v>PS100</v>
          </cell>
        </row>
      </sheetData>
      <sheetData sheetId="11">
        <row r="7">
          <cell r="A7" t="str">
            <v>BK01</v>
          </cell>
          <cell r="B7" t="str">
            <v>سبد ۵ کیلویی</v>
          </cell>
        </row>
        <row r="8">
          <cell r="A8" t="str">
            <v>BK02</v>
          </cell>
          <cell r="B8" t="str">
            <v>سبد ۱۰ کیلویی</v>
          </cell>
        </row>
        <row r="9">
          <cell r="A9" t="str">
            <v>BK03</v>
          </cell>
          <cell r="B9" t="str">
            <v>جعبه ۱۰ کیلویی</v>
          </cell>
        </row>
        <row r="10">
          <cell r="A10" t="str">
            <v>BK04</v>
          </cell>
        </row>
        <row r="11">
          <cell r="A11" t="str">
            <v>BK05</v>
          </cell>
        </row>
        <row r="12">
          <cell r="A12" t="str">
            <v>BK06</v>
          </cell>
        </row>
        <row r="13">
          <cell r="A13" t="str">
            <v>BK07</v>
          </cell>
        </row>
        <row r="14">
          <cell r="A14" t="str">
            <v>BK08</v>
          </cell>
        </row>
        <row r="15">
          <cell r="A15" t="str">
            <v>BK09</v>
          </cell>
        </row>
        <row r="16">
          <cell r="A16" t="str">
            <v>BK10</v>
          </cell>
        </row>
        <row r="17">
          <cell r="A17" t="str">
            <v>BK11</v>
          </cell>
        </row>
        <row r="18">
          <cell r="A18" t="str">
            <v>BK12</v>
          </cell>
        </row>
        <row r="19">
          <cell r="A19" t="str">
            <v>BK13</v>
          </cell>
        </row>
        <row r="20">
          <cell r="A20" t="str">
            <v>BK14</v>
          </cell>
        </row>
        <row r="21">
          <cell r="A21" t="str">
            <v>BK15</v>
          </cell>
        </row>
        <row r="22">
          <cell r="A22" t="str">
            <v>BK16</v>
          </cell>
        </row>
        <row r="23">
          <cell r="A23" t="str">
            <v>BK17</v>
          </cell>
        </row>
        <row r="24">
          <cell r="A24" t="str">
            <v>BK18</v>
          </cell>
        </row>
        <row r="25">
          <cell r="A25" t="str">
            <v>BK19</v>
          </cell>
        </row>
        <row r="26">
          <cell r="A26" t="str">
            <v>BK20</v>
          </cell>
        </row>
        <row r="27">
          <cell r="A27" t="str">
            <v>BK21</v>
          </cell>
        </row>
        <row r="28">
          <cell r="A28" t="str">
            <v>BK22</v>
          </cell>
        </row>
        <row r="29">
          <cell r="A29" t="str">
            <v>BK23</v>
          </cell>
        </row>
        <row r="30">
          <cell r="A30" t="str">
            <v>BK24</v>
          </cell>
        </row>
        <row r="31">
          <cell r="A31" t="str">
            <v>BK25</v>
          </cell>
        </row>
        <row r="32">
          <cell r="A32" t="str">
            <v>BK26</v>
          </cell>
        </row>
        <row r="33">
          <cell r="A33" t="str">
            <v>BK27</v>
          </cell>
        </row>
        <row r="34">
          <cell r="A34" t="str">
            <v>BK28</v>
          </cell>
        </row>
        <row r="35">
          <cell r="A35" t="str">
            <v>BK29</v>
          </cell>
        </row>
        <row r="36">
          <cell r="A36" t="str">
            <v>BK30</v>
          </cell>
        </row>
      </sheetData>
      <sheetData sheetId="12">
        <row r="7">
          <cell r="A7" t="str">
            <v>W01</v>
          </cell>
          <cell r="B7" t="str">
            <v>انبار اصلی (باغدشت)</v>
          </cell>
        </row>
        <row r="8">
          <cell r="A8" t="str">
            <v>W02</v>
          </cell>
          <cell r="B8" t="str">
            <v>سردخانه ۱</v>
          </cell>
        </row>
        <row r="9">
          <cell r="A9" t="str">
            <v>W03</v>
          </cell>
          <cell r="B9" t="str">
            <v>سایبان سورتینگ</v>
          </cell>
        </row>
        <row r="10">
          <cell r="A10" t="str">
            <v>W04</v>
          </cell>
        </row>
        <row r="11">
          <cell r="A11" t="str">
            <v>W05</v>
          </cell>
        </row>
        <row r="12">
          <cell r="A12" t="str">
            <v>W06</v>
          </cell>
        </row>
        <row r="13">
          <cell r="A13" t="str">
            <v>W07</v>
          </cell>
        </row>
        <row r="14">
          <cell r="A14" t="str">
            <v>W08</v>
          </cell>
        </row>
        <row r="15">
          <cell r="A15" t="str">
            <v>W09</v>
          </cell>
        </row>
        <row r="16">
          <cell r="A16" t="str">
            <v>W10</v>
          </cell>
        </row>
        <row r="17">
          <cell r="A17" t="str">
            <v>W11</v>
          </cell>
        </row>
        <row r="18">
          <cell r="A18" t="str">
            <v>W12</v>
          </cell>
        </row>
        <row r="19">
          <cell r="A19" t="str">
            <v>W13</v>
          </cell>
        </row>
        <row r="20">
          <cell r="A20" t="str">
            <v>W14</v>
          </cell>
        </row>
        <row r="21">
          <cell r="A21" t="str">
            <v>W15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F6C00"/>
    <outlinePr summaryBelow="1" summaryRight="1"/>
    <pageSetUpPr fitToPage="1"/>
  </sheetPr>
  <dimension ref="A1:P2008"/>
  <sheetViews>
    <sheetView showGridLines="0" rightToLeft="1" zoomScale="8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8" customWidth="1" min="4" max="4"/>
    <col width="27" customWidth="1" min="5" max="5"/>
    <col width="24" customWidth="1" min="6" max="6"/>
    <col width="10" customWidth="1" min="7" max="7"/>
    <col width="24" customWidth="1" min="8" max="8"/>
    <col width="16" customWidth="1" min="9" max="9"/>
    <col width="13" customWidth="1" min="10" max="10"/>
    <col width="15" customWidth="1" min="11" max="11"/>
    <col width="15" customWidth="1" min="12" max="12"/>
    <col width="16" customWidth="1" min="13" max="13"/>
    <col width="16" customWidth="1" min="14" max="14"/>
    <col width="9" customWidth="1" min="15" max="15"/>
    <col width="38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4" customHeight="1">
      <c r="A3" s="3" t="inlineStr">
        <is>
          <t>ثبت تراکنش‌های بانکی — ورود داده (Entry)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 ht="24" customHeight="1">
      <c r="A4" s="4" t="inlineStr">
        <is>
          <t>ستون‌های زرد = ورود دستی شما | ستون‌های خاکستری = خودکار.  تاریخ: 1405/07/10 (یا 14050710) — ساعت: 09:30 (یا 9:30) — بانک و نوع‌ها از کشویی انتخاب شوند — کد طرف حساب را تایپ کنید (مثل C001 یا S001 یا X001) تا نامش بیاید.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13" customHeight="1">
      <c r="A5" s="5" t="inlineStr">
        <is>
          <t>تعداد ردیف ثبت‌شده</t>
        </is>
      </c>
      <c r="B5" s="5" t="n"/>
      <c r="C5" s="5" t="n"/>
      <c r="D5" s="5" t="inlineStr">
        <is>
          <t>جمع واریز (ریال)</t>
        </is>
      </c>
      <c r="E5" s="5" t="n"/>
      <c r="F5" s="5" t="n"/>
      <c r="G5" s="5" t="inlineStr">
        <is>
          <t>جمع برداشت (ریال)</t>
        </is>
      </c>
      <c r="H5" s="5" t="n"/>
      <c r="I5" s="5" t="n"/>
      <c r="J5" s="5" t="inlineStr">
        <is>
          <t>تعداد √ منطبق</t>
        </is>
      </c>
      <c r="K5" s="5" t="n"/>
      <c r="L5" s="5" t="inlineStr">
        <is>
          <t>تعداد × مغایر</t>
        </is>
      </c>
      <c r="M5" s="5" t="n"/>
      <c r="N5" s="5" t="inlineStr">
        <is>
          <t>ظرفیت باقی‌مانده</t>
        </is>
      </c>
      <c r="O5" s="5" t="n"/>
      <c r="P5" s="5" t="n"/>
    </row>
    <row r="6" ht="20" customHeight="1">
      <c r="A6" s="6">
        <f>COUNTA($C$9:$C$2008)</f>
        <v/>
      </c>
      <c r="B6" s="6" t="n"/>
      <c r="C6" s="6" t="n"/>
      <c r="D6" s="7">
        <f>SUM($K$9:$K$2008)</f>
        <v/>
      </c>
      <c r="E6" s="7" t="n"/>
      <c r="F6" s="7" t="n"/>
      <c r="G6" s="7">
        <f>SUM($L$9:$L$2008)</f>
        <v/>
      </c>
      <c r="H6" s="7" t="n"/>
      <c r="I6" s="7" t="n"/>
      <c r="J6" s="6">
        <f>COUNTIF($O$9:$O$2008,"√")</f>
        <v/>
      </c>
      <c r="K6" s="6" t="n"/>
      <c r="L6" s="6">
        <f>COUNTIF($O$9:$O$2008,"×")</f>
        <v/>
      </c>
      <c r="M6" s="6" t="n"/>
      <c r="N6" s="6">
        <f>2000-COUNTA($C$9:$C$2008)</f>
        <v/>
      </c>
      <c r="O6" s="6" t="n"/>
      <c r="P6" s="6" t="n"/>
    </row>
    <row r="7" ht="30" customHeight="1">
      <c r="A7" s="8" t="inlineStr">
        <is>
          <t>ردیف</t>
        </is>
      </c>
      <c r="B7" s="8" t="inlineStr">
        <is>
          <t>شناسه</t>
        </is>
      </c>
      <c r="C7" s="8" t="inlineStr">
        <is>
          <t>تاریخ</t>
        </is>
      </c>
      <c r="D7" s="8" t="inlineStr">
        <is>
          <t>ساعت</t>
        </is>
      </c>
      <c r="E7" s="8" t="inlineStr">
        <is>
          <t>بانک</t>
        </is>
      </c>
      <c r="F7" s="8" t="inlineStr">
        <is>
          <t>نام بانک</t>
        </is>
      </c>
      <c r="G7" s="8" t="inlineStr">
        <is>
          <t>کد طرف حساب</t>
        </is>
      </c>
      <c r="H7" s="8" t="inlineStr">
        <is>
          <t>نام طرف حساب</t>
        </is>
      </c>
      <c r="I7" s="8" t="inlineStr">
        <is>
          <t>نوع طرف حساب</t>
        </is>
      </c>
      <c r="J7" s="8" t="inlineStr">
        <is>
          <t>نوع تراکنش</t>
        </is>
      </c>
      <c r="K7" s="8" t="inlineStr">
        <is>
          <t>مبلغ واریز (ریال)</t>
        </is>
      </c>
      <c r="L7" s="8" t="inlineStr">
        <is>
          <t>مبلغ برداشت (ریال)</t>
        </is>
      </c>
      <c r="M7" s="8" t="inlineStr">
        <is>
          <t>موجودی بانک (ریال)</t>
        </is>
      </c>
      <c r="N7" s="8" t="inlineStr">
        <is>
          <t>موجودی سیستم (ریال)</t>
        </is>
      </c>
      <c r="O7" s="8" t="inlineStr">
        <is>
          <t>وضعیت</t>
        </is>
      </c>
      <c r="P7" s="8" t="inlineStr">
        <is>
          <t>توضیحات</t>
        </is>
      </c>
    </row>
    <row r="8" ht="13" customHeight="1">
      <c r="A8" s="9" t="inlineStr">
        <is>
          <t>No.</t>
        </is>
      </c>
      <c r="B8" s="9" t="inlineStr">
        <is>
          <t>TxnID</t>
        </is>
      </c>
      <c r="C8" s="9" t="inlineStr">
        <is>
          <t>Date</t>
        </is>
      </c>
      <c r="D8" s="9" t="inlineStr">
        <is>
          <t>Time</t>
        </is>
      </c>
      <c r="E8" s="9" t="inlineStr">
        <is>
          <t>Bank</t>
        </is>
      </c>
      <c r="F8" s="9" t="inlineStr">
        <is>
          <t>Bank Name</t>
        </is>
      </c>
      <c r="G8" s="9" t="inlineStr">
        <is>
          <t>Party Code</t>
        </is>
      </c>
      <c r="H8" s="9" t="inlineStr">
        <is>
          <t>Party</t>
        </is>
      </c>
      <c r="I8" s="9" t="inlineStr">
        <is>
          <t>Party Type</t>
        </is>
      </c>
      <c r="J8" s="9" t="inlineStr">
        <is>
          <t>Txn Type</t>
        </is>
      </c>
      <c r="K8" s="9" t="inlineStr">
        <is>
          <t>Deposit</t>
        </is>
      </c>
      <c r="L8" s="9" t="inlineStr">
        <is>
          <t>Withdrawal</t>
        </is>
      </c>
      <c r="M8" s="9" t="inlineStr">
        <is>
          <t>Bank Balance</t>
        </is>
      </c>
      <c r="N8" s="9" t="inlineStr">
        <is>
          <t>System Balance</t>
        </is>
      </c>
      <c r="O8" s="9" t="inlineStr">
        <is>
          <t>Status</t>
        </is>
      </c>
      <c r="P8" s="9" t="inlineStr">
        <is>
          <t>Notes</t>
        </is>
      </c>
    </row>
    <row r="9">
      <c r="A9" s="10">
        <f>IF($C9="","",COUNTA($C$9:$C9))</f>
        <v/>
      </c>
      <c r="B9" s="10">
        <f>IF($C9="","","TXN-"&amp;RIGHT("0000"&amp;1,4))</f>
        <v/>
      </c>
      <c r="C9" s="11" t="inlineStr">
        <is>
          <t>1405/07/01</t>
        </is>
      </c>
      <c r="D9" s="11" t="inlineStr">
        <is>
          <t>08:30</t>
        </is>
      </c>
      <c r="E9" s="12" t="inlineStr">
        <is>
          <t>BANK01 – ملت — جاری شرکت</t>
        </is>
      </c>
      <c r="F9" s="10">
        <f>IF($E9="","",IFERROR(IF(VLOOKUP(LEFT(UPPER(TRIM($E9)),6),BankTbl,2,0)="","(بدون عنوان)",VLOOKUP(LEFT(UPPER(TRIM($E9)),6),BankTbl,2,0)),"بانک ناشناخته"))</f>
        <v/>
      </c>
      <c r="G9" s="11" t="inlineStr">
        <is>
          <t>C001</t>
        </is>
      </c>
      <c r="H9" s="10">
        <f>IF($G9="","",IFERROR(VLOOKUP($G9,CustTbl,2,0),IFERROR(VLOOKUP($G9,SuppTbl,2,0),IFERROR(VLOOKUP($G9,AcctTbl,2,0),IFERROR(VLOOKUP($G9,StaffTbl,2,0),"کد ناشناخته")))))</f>
        <v/>
      </c>
      <c r="I9" s="12" t="inlineStr">
        <is>
          <t>مشتری عمده</t>
        </is>
      </c>
      <c r="J9" s="12" t="inlineStr">
        <is>
          <t>واریز</t>
        </is>
      </c>
      <c r="K9" s="13" t="n">
        <v>250000000</v>
      </c>
      <c r="L9" s="13" t="n"/>
      <c r="M9" s="13" t="n">
        <v>750000000</v>
      </c>
      <c r="N9" s="14">
        <f>IF(OR($C9="",$E9="",Calc!$H9=""),"",IFERROR(VLOOKUP(LEFT(UPPER(TRIM($E9)),6),BankTbl,3,0),0)+SUMIFS(CalcDep,CalcBank,LEFT(UPPER(TRIM($E9)),6),CalcKey,"&lt;="&amp;Calc!$H9)-SUMIFS(CalcWit,CalcBank,LEFT(UPPER(TRIM($E9)),6),CalcKey,"&lt;="&amp;Calc!$H9))</f>
        <v/>
      </c>
      <c r="O9" s="10">
        <f>IF(OR($C9="",$M9=""),"",IF($N9="","؟",IF(ROUND($M9-$N9,0)=0,"√","×")))</f>
        <v/>
      </c>
      <c r="P9" s="12" t="inlineStr">
        <is>
          <t>واریز بابت خرید مرکبات (ردیف نمونه)</t>
        </is>
      </c>
    </row>
    <row r="10">
      <c r="A10" s="10">
        <f>IF($C10="","",COUNTA($C$9:$C10))</f>
        <v/>
      </c>
      <c r="B10" s="10">
        <f>IF($C10="","","TXN-"&amp;RIGHT("0000"&amp;2,4))</f>
        <v/>
      </c>
      <c r="C10" s="11" t="inlineStr">
        <is>
          <t>1405/07/01</t>
        </is>
      </c>
      <c r="D10" s="11" t="inlineStr">
        <is>
          <t>10:15</t>
        </is>
      </c>
      <c r="E10" s="12" t="inlineStr">
        <is>
          <t>BANK01 – ملت — جاری شرکت</t>
        </is>
      </c>
      <c r="F10" s="10">
        <f>IF($E10="","",IFERROR(IF(VLOOKUP(LEFT(UPPER(TRIM($E10)),6),BankTbl,2,0)="","(بدون عنوان)",VLOOKUP(LEFT(UPPER(TRIM($E10)),6),BankTbl,2,0)),"بانک ناشناخته"))</f>
        <v/>
      </c>
      <c r="G10" s="11" t="inlineStr">
        <is>
          <t>X001</t>
        </is>
      </c>
      <c r="H10" s="10">
        <f>IF($G10="","",IFERROR(VLOOKUP($G10,CustTbl,2,0),IFERROR(VLOOKUP($G10,SuppTbl,2,0),IFERROR(VLOOKUP($G10,AcctTbl,2,0),IFERROR(VLOOKUP($G10,StaffTbl,2,0),"کد ناشناخته")))))</f>
        <v/>
      </c>
      <c r="I10" s="12" t="inlineStr">
        <is>
          <t>حساب اداری/داخلی</t>
        </is>
      </c>
      <c r="J10" s="12" t="inlineStr">
        <is>
          <t>برداشت</t>
        </is>
      </c>
      <c r="K10" s="13" t="n"/>
      <c r="L10" s="13" t="n">
        <v>1200000</v>
      </c>
      <c r="M10" s="13" t="n">
        <v>748800000</v>
      </c>
      <c r="N10" s="14">
        <f>IF(OR($C10="",$E10="",Calc!$H10=""),"",IFERROR(VLOOKUP(LEFT(UPPER(TRIM($E10)),6),BankTbl,3,0),0)+SUMIFS(CalcDep,CalcBank,LEFT(UPPER(TRIM($E10)),6),CalcKey,"&lt;="&amp;Calc!$H10)-SUMIFS(CalcWit,CalcBank,LEFT(UPPER(TRIM($E10)),6),CalcKey,"&lt;="&amp;Calc!$H10))</f>
        <v/>
      </c>
      <c r="O10" s="10">
        <f>IF(OR($C10="",$M10=""),"",IF($N10="","؟",IF(ROUND($M10-$N10,0)=0,"√","×")))</f>
        <v/>
      </c>
      <c r="P10" s="12" t="inlineStr">
        <is>
          <t>کارمزد بانکی (نمونه)</t>
        </is>
      </c>
    </row>
    <row r="11">
      <c r="A11" s="10">
        <f>IF($C11="","",COUNTA($C$9:$C11))</f>
        <v/>
      </c>
      <c r="B11" s="10">
        <f>IF($C11="","","TXN-"&amp;RIGHT("0000"&amp;3,4))</f>
        <v/>
      </c>
      <c r="C11" s="11" t="inlineStr">
        <is>
          <t>1405/07/02</t>
        </is>
      </c>
      <c r="D11" s="11" t="inlineStr">
        <is>
          <t>09:00</t>
        </is>
      </c>
      <c r="E11" s="12" t="inlineStr">
        <is>
          <t>BANK01 – ملت — جاری شرکت</t>
        </is>
      </c>
      <c r="F11" s="10">
        <f>IF($E11="","",IFERROR(IF(VLOOKUP(LEFT(UPPER(TRIM($E11)),6),BankTbl,2,0)="","(بدون عنوان)",VLOOKUP(LEFT(UPPER(TRIM($E11)),6),BankTbl,2,0)),"بانک ناشناخته"))</f>
        <v/>
      </c>
      <c r="G11" s="11" t="inlineStr">
        <is>
          <t>S002</t>
        </is>
      </c>
      <c r="H11" s="10">
        <f>IF($G11="","",IFERROR(VLOOKUP($G11,CustTbl,2,0),IFERROR(VLOOKUP($G11,SuppTbl,2,0),IFERROR(VLOOKUP($G11,AcctTbl,2,0),IFERROR(VLOOKUP($G11,StaffTbl,2,0),"کد ناشناخته")))))</f>
        <v/>
      </c>
      <c r="I11" s="12" t="inlineStr">
        <is>
          <t>حجره‌دار میدان بار</t>
        </is>
      </c>
      <c r="J11" s="12" t="inlineStr">
        <is>
          <t>برداشت</t>
        </is>
      </c>
      <c r="K11" s="13" t="n"/>
      <c r="L11" s="13" t="n">
        <v>80000000</v>
      </c>
      <c r="M11" s="13" t="n">
        <v>668800000</v>
      </c>
      <c r="N11" s="14">
        <f>IF(OR($C11="",$E11="",Calc!$H11=""),"",IFERROR(VLOOKUP(LEFT(UPPER(TRIM($E11)),6),BankTbl,3,0),0)+SUMIFS(CalcDep,CalcBank,LEFT(UPPER(TRIM($E11)),6),CalcKey,"&lt;="&amp;Calc!$H11)-SUMIFS(CalcWit,CalcBank,LEFT(UPPER(TRIM($E11)),6),CalcKey,"&lt;="&amp;Calc!$H11))</f>
        <v/>
      </c>
      <c r="O11" s="10">
        <f>IF(OR($C11="",$M11=""),"",IF($N11="","؟",IF(ROUND($M11-$N11,0)=0,"√","×")))</f>
        <v/>
      </c>
      <c r="P11" s="12" t="inlineStr">
        <is>
          <t>خرید پرتقال از میدان بار (نمونه)</t>
        </is>
      </c>
    </row>
    <row r="12">
      <c r="A12" s="10">
        <f>IF($C12="","",COUNTA($C$9:$C12))</f>
        <v/>
      </c>
      <c r="B12" s="10">
        <f>IF($C12="","","TXN-"&amp;RIGHT("0000"&amp;4,4))</f>
        <v/>
      </c>
      <c r="C12" s="11" t="inlineStr">
        <is>
          <t>1405/07/02</t>
        </is>
      </c>
      <c r="D12" s="11" t="inlineStr">
        <is>
          <t>12:45</t>
        </is>
      </c>
      <c r="E12" s="12" t="inlineStr">
        <is>
          <t>BANK02 – صادرات — جاری شرکت</t>
        </is>
      </c>
      <c r="F12" s="10">
        <f>IF($E12="","",IFERROR(IF(VLOOKUP(LEFT(UPPER(TRIM($E12)),6),BankTbl,2,0)="","(بدون عنوان)",VLOOKUP(LEFT(UPPER(TRIM($E12)),6),BankTbl,2,0)),"بانک ناشناخته"))</f>
        <v/>
      </c>
      <c r="G12" s="11" t="inlineStr">
        <is>
          <t>C002</t>
        </is>
      </c>
      <c r="H12" s="10">
        <f>IF($G12="","",IFERROR(VLOOKUP($G12,CustTbl,2,0),IFERROR(VLOOKUP($G12,SuppTbl,2,0),IFERROR(VLOOKUP($G12,AcctTbl,2,0),IFERROR(VLOOKUP($G12,StaffTbl,2,0),"کد ناشناخته")))))</f>
        <v/>
      </c>
      <c r="I12" s="12" t="inlineStr">
        <is>
          <t>مشتری صادراتی</t>
        </is>
      </c>
      <c r="J12" s="12" t="inlineStr">
        <is>
          <t>واریز</t>
        </is>
      </c>
      <c r="K12" s="13" t="n">
        <v>90000000</v>
      </c>
      <c r="L12" s="13" t="n"/>
      <c r="M12" s="13" t="n">
        <v>215000000</v>
      </c>
      <c r="N12" s="14">
        <f>IF(OR($C12="",$E12="",Calc!$H12=""),"",IFERROR(VLOOKUP(LEFT(UPPER(TRIM($E12)),6),BankTbl,3,0),0)+SUMIFS(CalcDep,CalcBank,LEFT(UPPER(TRIM($E12)),6),CalcKey,"&lt;="&amp;Calc!$H12)-SUMIFS(CalcWit,CalcBank,LEFT(UPPER(TRIM($E12)),6),CalcKey,"&lt;="&amp;Calc!$H12))</f>
        <v/>
      </c>
      <c r="O12" s="10">
        <f>IF(OR($C12="",$M12=""),"",IF($N12="","؟",IF(ROUND($M12-$N12,0)=0,"√","×")))</f>
        <v/>
      </c>
      <c r="P12" s="12" t="inlineStr">
        <is>
          <t>واریز مشتری — مغایرت عمدی برای نمایش × (نمونه)</t>
        </is>
      </c>
    </row>
    <row r="13">
      <c r="A13" s="10">
        <f>IF($C13="","",COUNTA($C$9:$C13))</f>
        <v/>
      </c>
      <c r="B13" s="10">
        <f>IF($C13="","","TXN-"&amp;RIGHT("0000"&amp;5,4))</f>
        <v/>
      </c>
      <c r="C13" s="11" t="inlineStr">
        <is>
          <t>1405/07/03</t>
        </is>
      </c>
      <c r="D13" s="11" t="inlineStr">
        <is>
          <t>11:20</t>
        </is>
      </c>
      <c r="E13" s="12" t="inlineStr">
        <is>
          <t>BANK02 – صادرات — جاری شرکت</t>
        </is>
      </c>
      <c r="F13" s="10">
        <f>IF($E13="","",IFERROR(IF(VLOOKUP(LEFT(UPPER(TRIM($E13)),6),BankTbl,2,0)="","(بدون عنوان)",VLOOKUP(LEFT(UPPER(TRIM($E13)),6),BankTbl,2,0)),"بانک ناشناخته"))</f>
        <v/>
      </c>
      <c r="G13" s="11" t="inlineStr">
        <is>
          <t>X003</t>
        </is>
      </c>
      <c r="H13" s="10">
        <f>IF($G13="","",IFERROR(VLOOKUP($G13,CustTbl,2,0),IFERROR(VLOOKUP($G13,SuppTbl,2,0),IFERROR(VLOOKUP($G13,AcctTbl,2,0),IFERROR(VLOOKUP($G13,StaffTbl,2,0),"کد ناشناخته")))))</f>
        <v/>
      </c>
      <c r="I13" s="12" t="inlineStr">
        <is>
          <t>حساب اداری/داخلی</t>
        </is>
      </c>
      <c r="J13" s="12" t="inlineStr">
        <is>
          <t>برداشت</t>
        </is>
      </c>
      <c r="K13" s="13" t="n"/>
      <c r="L13" s="13" t="n">
        <v>15000000</v>
      </c>
      <c r="M13" s="13" t="n"/>
      <c r="N13" s="14">
        <f>IF(OR($C13="",$E13="",Calc!$H13=""),"",IFERROR(VLOOKUP(LEFT(UPPER(TRIM($E13)),6),BankTbl,3,0),0)+SUMIFS(CalcDep,CalcBank,LEFT(UPPER(TRIM($E13)),6),CalcKey,"&lt;="&amp;Calc!$H13)-SUMIFS(CalcWit,CalcBank,LEFT(UPPER(TRIM($E13)),6),CalcKey,"&lt;="&amp;Calc!$H13))</f>
        <v/>
      </c>
      <c r="O13" s="10">
        <f>IF(OR($C13="",$M13=""),"",IF($N13="","؟",IF(ROUND($M13-$N13,0)=0,"√","×")))</f>
        <v/>
      </c>
      <c r="P13" s="12" t="inlineStr">
        <is>
          <t>برداشت نقدی به صندوق — بدون کنترل مانده (نمونه)</t>
        </is>
      </c>
    </row>
    <row r="14">
      <c r="A14" s="10">
        <f>IF($C14="","",COUNTA($C$9:$C14))</f>
        <v/>
      </c>
      <c r="B14" s="10">
        <f>IF($C14="","","TXN-"&amp;RIGHT("0000"&amp;6,4))</f>
        <v/>
      </c>
      <c r="C14" s="11" t="inlineStr">
        <is>
          <t>1405/07/01</t>
        </is>
      </c>
      <c r="D14" s="11" t="inlineStr">
        <is>
          <t>08:30</t>
        </is>
      </c>
      <c r="E14" s="12" t="inlineStr">
        <is>
          <t>BANK01 – ملت — جاری شرکت</t>
        </is>
      </c>
      <c r="F14" s="10">
        <f>IF($E14="","",IFERROR(IF(VLOOKUP(LEFT(UPPER(TRIM($E14)),6),BankTbl,2,0)="","(بدون عنوان)",VLOOKUP(LEFT(UPPER(TRIM($E14)),6),BankTbl,2,0)),"بانک ناشناخته"))</f>
        <v/>
      </c>
      <c r="G14" s="11" t="inlineStr">
        <is>
          <t>C001</t>
        </is>
      </c>
      <c r="H14" s="10">
        <f>IF($G14="","",IFERROR(VLOOKUP($G14,CustTbl,2,0),IFERROR(VLOOKUP($G14,SuppTbl,2,0),IFERROR(VLOOKUP($G14,AcctTbl,2,0),IFERROR(VLOOKUP($G14,StaffTbl,2,0),"کد ناشناخته")))))</f>
        <v/>
      </c>
      <c r="I14" s="12" t="inlineStr">
        <is>
          <t>مشتری عمده</t>
        </is>
      </c>
      <c r="J14" s="12" t="inlineStr">
        <is>
          <t>واریز</t>
        </is>
      </c>
      <c r="K14" s="13" t="n">
        <v>250000000</v>
      </c>
      <c r="L14" s="13" t="n"/>
      <c r="M14" s="13" t="n">
        <v>750000000</v>
      </c>
      <c r="N14" s="14">
        <f>IF(OR($C14="",$E14="",Calc!$H14=""),"",IFERROR(VLOOKUP(LEFT(UPPER(TRIM($E14)),6),BankTbl,3,0),0)+SUMIFS(CalcDep,CalcBank,LEFT(UPPER(TRIM($E14)),6),CalcKey,"&lt;="&amp;Calc!$H14)-SUMIFS(CalcWit,CalcBank,LEFT(UPPER(TRIM($E14)),6),CalcKey,"&lt;="&amp;Calc!$H14))</f>
        <v/>
      </c>
      <c r="O14" s="10">
        <f>IF(OR($C14="",$M14=""),"",IF($N14="","؟",IF(ROUND($M14-$N14,0)=0,"√","×")))</f>
        <v/>
      </c>
      <c r="P14" s="12" t="inlineStr">
        <is>
          <t>ردیف تکراری — اثر آن را بر ستون وضعیت ببینید (نمونه)</t>
        </is>
      </c>
    </row>
    <row r="15">
      <c r="A15" s="10">
        <f>IF($C15="","",COUNTA($C$9:$C15))</f>
        <v/>
      </c>
      <c r="B15" s="10">
        <f>IF($C15="","","TXN-"&amp;RIGHT("0000"&amp;7,4))</f>
        <v/>
      </c>
      <c r="C15" s="11" t="n"/>
      <c r="D15" s="11" t="n"/>
      <c r="E15" s="12" t="n"/>
      <c r="F15" s="10">
        <f>IF($E15="","",IFERROR(IF(VLOOKUP(LEFT(UPPER(TRIM($E15)),6),BankTbl,2,0)="","(بدون عنوان)",VLOOKUP(LEFT(UPPER(TRIM($E15)),6),BankTbl,2,0)),"بانک ناشناخته"))</f>
        <v/>
      </c>
      <c r="G15" s="11" t="n"/>
      <c r="H15" s="10">
        <f>IF($G15="","",IFERROR(VLOOKUP($G15,CustTbl,2,0),IFERROR(VLOOKUP($G15,SuppTbl,2,0),IFERROR(VLOOKUP($G15,AcctTbl,2,0),IFERROR(VLOOKUP($G15,StaffTbl,2,0),"کد ناشناخته")))))</f>
        <v/>
      </c>
      <c r="I15" s="12" t="n"/>
      <c r="J15" s="12" t="n"/>
      <c r="K15" s="13" t="n"/>
      <c r="L15" s="13" t="n"/>
      <c r="M15" s="13" t="n"/>
      <c r="N15" s="14">
        <f>IF(OR($C15="",$E15="",Calc!$H15=""),"",IFERROR(VLOOKUP(LEFT(UPPER(TRIM($E15)),6),BankTbl,3,0),0)+SUMIFS(CalcDep,CalcBank,LEFT(UPPER(TRIM($E15)),6),CalcKey,"&lt;="&amp;Calc!$H15)-SUMIFS(CalcWit,CalcBank,LEFT(UPPER(TRIM($E15)),6),CalcKey,"&lt;="&amp;Calc!$H15))</f>
        <v/>
      </c>
      <c r="O15" s="10">
        <f>IF(OR($C15="",$M15=""),"",IF($N15="","؟",IF(ROUND($M15-$N15,0)=0,"√","×")))</f>
        <v/>
      </c>
      <c r="P15" s="12" t="n"/>
    </row>
    <row r="16">
      <c r="A16" s="10">
        <f>IF($C16="","",COUNTA($C$9:$C16))</f>
        <v/>
      </c>
      <c r="B16" s="10">
        <f>IF($C16="","","TXN-"&amp;RIGHT("0000"&amp;8,4))</f>
        <v/>
      </c>
      <c r="C16" s="11" t="n"/>
      <c r="D16" s="11" t="n"/>
      <c r="E16" s="12" t="n"/>
      <c r="F16" s="10">
        <f>IF($E16="","",IFERROR(IF(VLOOKUP(LEFT(UPPER(TRIM($E16)),6),BankTbl,2,0)="","(بدون عنوان)",VLOOKUP(LEFT(UPPER(TRIM($E16)),6),BankTbl,2,0)),"بانک ناشناخته"))</f>
        <v/>
      </c>
      <c r="G16" s="11" t="n"/>
      <c r="H16" s="10">
        <f>IF($G16="","",IFERROR(VLOOKUP($G16,CustTbl,2,0),IFERROR(VLOOKUP($G16,SuppTbl,2,0),IFERROR(VLOOKUP($G16,AcctTbl,2,0),IFERROR(VLOOKUP($G16,StaffTbl,2,0),"کد ناشناخته")))))</f>
        <v/>
      </c>
      <c r="I16" s="12" t="n"/>
      <c r="J16" s="12" t="n"/>
      <c r="K16" s="13" t="n"/>
      <c r="L16" s="13" t="n"/>
      <c r="M16" s="13" t="n"/>
      <c r="N16" s="14">
        <f>IF(OR($C16="",$E16="",Calc!$H16=""),"",IFERROR(VLOOKUP(LEFT(UPPER(TRIM($E16)),6),BankTbl,3,0),0)+SUMIFS(CalcDep,CalcBank,LEFT(UPPER(TRIM($E16)),6),CalcKey,"&lt;="&amp;Calc!$H16)-SUMIFS(CalcWit,CalcBank,LEFT(UPPER(TRIM($E16)),6),CalcKey,"&lt;="&amp;Calc!$H16))</f>
        <v/>
      </c>
      <c r="O16" s="10">
        <f>IF(OR($C16="",$M16=""),"",IF($N16="","؟",IF(ROUND($M16-$N16,0)=0,"√","×")))</f>
        <v/>
      </c>
      <c r="P16" s="12" t="n"/>
    </row>
    <row r="17">
      <c r="A17" s="10">
        <f>IF($C17="","",COUNTA($C$9:$C17))</f>
        <v/>
      </c>
      <c r="B17" s="10">
        <f>IF($C17="","","TXN-"&amp;RIGHT("0000"&amp;9,4))</f>
        <v/>
      </c>
      <c r="C17" s="11" t="n"/>
      <c r="D17" s="11" t="n"/>
      <c r="E17" s="12" t="n"/>
      <c r="F17" s="10">
        <f>IF($E17="","",IFERROR(IF(VLOOKUP(LEFT(UPPER(TRIM($E17)),6),BankTbl,2,0)="","(بدون عنوان)",VLOOKUP(LEFT(UPPER(TRIM($E17)),6),BankTbl,2,0)),"بانک ناشناخته"))</f>
        <v/>
      </c>
      <c r="G17" s="11" t="n"/>
      <c r="H17" s="10">
        <f>IF($G17="","",IFERROR(VLOOKUP($G17,CustTbl,2,0),IFERROR(VLOOKUP($G17,SuppTbl,2,0),IFERROR(VLOOKUP($G17,AcctTbl,2,0),IFERROR(VLOOKUP($G17,StaffTbl,2,0),"کد ناشناخته")))))</f>
        <v/>
      </c>
      <c r="I17" s="12" t="n"/>
      <c r="J17" s="12" t="n"/>
      <c r="K17" s="13" t="n"/>
      <c r="L17" s="13" t="n"/>
      <c r="M17" s="13" t="n"/>
      <c r="N17" s="14">
        <f>IF(OR($C17="",$E17="",Calc!$H17=""),"",IFERROR(VLOOKUP(LEFT(UPPER(TRIM($E17)),6),BankTbl,3,0),0)+SUMIFS(CalcDep,CalcBank,LEFT(UPPER(TRIM($E17)),6),CalcKey,"&lt;="&amp;Calc!$H17)-SUMIFS(CalcWit,CalcBank,LEFT(UPPER(TRIM($E17)),6),CalcKey,"&lt;="&amp;Calc!$H17))</f>
        <v/>
      </c>
      <c r="O17" s="10">
        <f>IF(OR($C17="",$M17=""),"",IF($N17="","؟",IF(ROUND($M17-$N17,0)=0,"√","×")))</f>
        <v/>
      </c>
      <c r="P17" s="12" t="n"/>
    </row>
    <row r="18">
      <c r="A18" s="10">
        <f>IF($C18="","",COUNTA($C$9:$C18))</f>
        <v/>
      </c>
      <c r="B18" s="10">
        <f>IF($C18="","","TXN-"&amp;RIGHT("0000"&amp;10,4))</f>
        <v/>
      </c>
      <c r="C18" s="11" t="n"/>
      <c r="D18" s="11" t="n"/>
      <c r="E18" s="12" t="n"/>
      <c r="F18" s="10">
        <f>IF($E18="","",IFERROR(IF(VLOOKUP(LEFT(UPPER(TRIM($E18)),6),BankTbl,2,0)="","(بدون عنوان)",VLOOKUP(LEFT(UPPER(TRIM($E18)),6),BankTbl,2,0)),"بانک ناشناخته"))</f>
        <v/>
      </c>
      <c r="G18" s="11" t="n"/>
      <c r="H18" s="10">
        <f>IF($G18="","",IFERROR(VLOOKUP($G18,CustTbl,2,0),IFERROR(VLOOKUP($G18,SuppTbl,2,0),IFERROR(VLOOKUP($G18,AcctTbl,2,0),IFERROR(VLOOKUP($G18,StaffTbl,2,0),"کد ناشناخته")))))</f>
        <v/>
      </c>
      <c r="I18" s="12" t="n"/>
      <c r="J18" s="12" t="n"/>
      <c r="K18" s="13" t="n"/>
      <c r="L18" s="13" t="n"/>
      <c r="M18" s="13" t="n"/>
      <c r="N18" s="14">
        <f>IF(OR($C18="",$E18="",Calc!$H18=""),"",IFERROR(VLOOKUP(LEFT(UPPER(TRIM($E18)),6),BankTbl,3,0),0)+SUMIFS(CalcDep,CalcBank,LEFT(UPPER(TRIM($E18)),6),CalcKey,"&lt;="&amp;Calc!$H18)-SUMIFS(CalcWit,CalcBank,LEFT(UPPER(TRIM($E18)),6),CalcKey,"&lt;="&amp;Calc!$H18))</f>
        <v/>
      </c>
      <c r="O18" s="10">
        <f>IF(OR($C18="",$M18=""),"",IF($N18="","؟",IF(ROUND($M18-$N18,0)=0,"√","×")))</f>
        <v/>
      </c>
      <c r="P18" s="12" t="n"/>
    </row>
    <row r="19">
      <c r="A19" s="10">
        <f>IF($C19="","",COUNTA($C$9:$C19))</f>
        <v/>
      </c>
      <c r="B19" s="10">
        <f>IF($C19="","","TXN-"&amp;RIGHT("0000"&amp;11,4))</f>
        <v/>
      </c>
      <c r="C19" s="11" t="n"/>
      <c r="D19" s="11" t="n"/>
      <c r="E19" s="12" t="n"/>
      <c r="F19" s="10">
        <f>IF($E19="","",IFERROR(IF(VLOOKUP(LEFT(UPPER(TRIM($E19)),6),BankTbl,2,0)="","(بدون عنوان)",VLOOKUP(LEFT(UPPER(TRIM($E19)),6),BankTbl,2,0)),"بانک ناشناخته"))</f>
        <v/>
      </c>
      <c r="G19" s="11" t="n"/>
      <c r="H19" s="10">
        <f>IF($G19="","",IFERROR(VLOOKUP($G19,CustTbl,2,0),IFERROR(VLOOKUP($G19,SuppTbl,2,0),IFERROR(VLOOKUP($G19,AcctTbl,2,0),IFERROR(VLOOKUP($G19,StaffTbl,2,0),"کد ناشناخته")))))</f>
        <v/>
      </c>
      <c r="I19" s="12" t="n"/>
      <c r="J19" s="12" t="n"/>
      <c r="K19" s="13" t="n"/>
      <c r="L19" s="13" t="n"/>
      <c r="M19" s="13" t="n"/>
      <c r="N19" s="14">
        <f>IF(OR($C19="",$E19="",Calc!$H19=""),"",IFERROR(VLOOKUP(LEFT(UPPER(TRIM($E19)),6),BankTbl,3,0),0)+SUMIFS(CalcDep,CalcBank,LEFT(UPPER(TRIM($E19)),6),CalcKey,"&lt;="&amp;Calc!$H19)-SUMIFS(CalcWit,CalcBank,LEFT(UPPER(TRIM($E19)),6),CalcKey,"&lt;="&amp;Calc!$H19))</f>
        <v/>
      </c>
      <c r="O19" s="10">
        <f>IF(OR($C19="",$M19=""),"",IF($N19="","؟",IF(ROUND($M19-$N19,0)=0,"√","×")))</f>
        <v/>
      </c>
      <c r="P19" s="12" t="n"/>
    </row>
    <row r="20">
      <c r="A20" s="10">
        <f>IF($C20="","",COUNTA($C$9:$C20))</f>
        <v/>
      </c>
      <c r="B20" s="10">
        <f>IF($C20="","","TXN-"&amp;RIGHT("0000"&amp;12,4))</f>
        <v/>
      </c>
      <c r="C20" s="11" t="n"/>
      <c r="D20" s="11" t="n"/>
      <c r="E20" s="12" t="n"/>
      <c r="F20" s="10">
        <f>IF($E20="","",IFERROR(IF(VLOOKUP(LEFT(UPPER(TRIM($E20)),6),BankTbl,2,0)="","(بدون عنوان)",VLOOKUP(LEFT(UPPER(TRIM($E20)),6),BankTbl,2,0)),"بانک ناشناخته"))</f>
        <v/>
      </c>
      <c r="G20" s="11" t="n"/>
      <c r="H20" s="10">
        <f>IF($G20="","",IFERROR(VLOOKUP($G20,CustTbl,2,0),IFERROR(VLOOKUP($G20,SuppTbl,2,0),IFERROR(VLOOKUP($G20,AcctTbl,2,0),IFERROR(VLOOKUP($G20,StaffTbl,2,0),"کد ناشناخته")))))</f>
        <v/>
      </c>
      <c r="I20" s="12" t="n"/>
      <c r="J20" s="12" t="n"/>
      <c r="K20" s="13" t="n"/>
      <c r="L20" s="13" t="n"/>
      <c r="M20" s="13" t="n"/>
      <c r="N20" s="14">
        <f>IF(OR($C20="",$E20="",Calc!$H20=""),"",IFERROR(VLOOKUP(LEFT(UPPER(TRIM($E20)),6),BankTbl,3,0),0)+SUMIFS(CalcDep,CalcBank,LEFT(UPPER(TRIM($E20)),6),CalcKey,"&lt;="&amp;Calc!$H20)-SUMIFS(CalcWit,CalcBank,LEFT(UPPER(TRIM($E20)),6),CalcKey,"&lt;="&amp;Calc!$H20))</f>
        <v/>
      </c>
      <c r="O20" s="10">
        <f>IF(OR($C20="",$M20=""),"",IF($N20="","؟",IF(ROUND($M20-$N20,0)=0,"√","×")))</f>
        <v/>
      </c>
      <c r="P20" s="12" t="n"/>
    </row>
    <row r="21">
      <c r="A21" s="10">
        <f>IF($C21="","",COUNTA($C$9:$C21))</f>
        <v/>
      </c>
      <c r="B21" s="10">
        <f>IF($C21="","","TXN-"&amp;RIGHT("0000"&amp;13,4))</f>
        <v/>
      </c>
      <c r="C21" s="11" t="n"/>
      <c r="D21" s="11" t="n"/>
      <c r="E21" s="12" t="n"/>
      <c r="F21" s="10">
        <f>IF($E21="","",IFERROR(IF(VLOOKUP(LEFT(UPPER(TRIM($E21)),6),BankTbl,2,0)="","(بدون عنوان)",VLOOKUP(LEFT(UPPER(TRIM($E21)),6),BankTbl,2,0)),"بانک ناشناخته"))</f>
        <v/>
      </c>
      <c r="G21" s="11" t="n"/>
      <c r="H21" s="10">
        <f>IF($G21="","",IFERROR(VLOOKUP($G21,CustTbl,2,0),IFERROR(VLOOKUP($G21,SuppTbl,2,0),IFERROR(VLOOKUP($G21,AcctTbl,2,0),IFERROR(VLOOKUP($G21,StaffTbl,2,0),"کد ناشناخته")))))</f>
        <v/>
      </c>
      <c r="I21" s="12" t="n"/>
      <c r="J21" s="12" t="n"/>
      <c r="K21" s="13" t="n"/>
      <c r="L21" s="13" t="n"/>
      <c r="M21" s="13" t="n"/>
      <c r="N21" s="14">
        <f>IF(OR($C21="",$E21="",Calc!$H21=""),"",IFERROR(VLOOKUP(LEFT(UPPER(TRIM($E21)),6),BankTbl,3,0),0)+SUMIFS(CalcDep,CalcBank,LEFT(UPPER(TRIM($E21)),6),CalcKey,"&lt;="&amp;Calc!$H21)-SUMIFS(CalcWit,CalcBank,LEFT(UPPER(TRIM($E21)),6),CalcKey,"&lt;="&amp;Calc!$H21))</f>
        <v/>
      </c>
      <c r="O21" s="10">
        <f>IF(OR($C21="",$M21=""),"",IF($N21="","؟",IF(ROUND($M21-$N21,0)=0,"√","×")))</f>
        <v/>
      </c>
      <c r="P21" s="12" t="n"/>
    </row>
    <row r="22">
      <c r="A22" s="10">
        <f>IF($C22="","",COUNTA($C$9:$C22))</f>
        <v/>
      </c>
      <c r="B22" s="10">
        <f>IF($C22="","","TXN-"&amp;RIGHT("0000"&amp;14,4))</f>
        <v/>
      </c>
      <c r="C22" s="11" t="n"/>
      <c r="D22" s="11" t="n"/>
      <c r="E22" s="12" t="n"/>
      <c r="F22" s="10">
        <f>IF($E22="","",IFERROR(IF(VLOOKUP(LEFT(UPPER(TRIM($E22)),6),BankTbl,2,0)="","(بدون عنوان)",VLOOKUP(LEFT(UPPER(TRIM($E22)),6),BankTbl,2,0)),"بانک ناشناخته"))</f>
        <v/>
      </c>
      <c r="G22" s="11" t="n"/>
      <c r="H22" s="10">
        <f>IF($G22="","",IFERROR(VLOOKUP($G22,CustTbl,2,0),IFERROR(VLOOKUP($G22,SuppTbl,2,0),IFERROR(VLOOKUP($G22,AcctTbl,2,0),IFERROR(VLOOKUP($G22,StaffTbl,2,0),"کد ناشناخته")))))</f>
        <v/>
      </c>
      <c r="I22" s="12" t="n"/>
      <c r="J22" s="12" t="n"/>
      <c r="K22" s="13" t="n"/>
      <c r="L22" s="13" t="n"/>
      <c r="M22" s="13" t="n"/>
      <c r="N22" s="14">
        <f>IF(OR($C22="",$E22="",Calc!$H22=""),"",IFERROR(VLOOKUP(LEFT(UPPER(TRIM($E22)),6),BankTbl,3,0),0)+SUMIFS(CalcDep,CalcBank,LEFT(UPPER(TRIM($E22)),6),CalcKey,"&lt;="&amp;Calc!$H22)-SUMIFS(CalcWit,CalcBank,LEFT(UPPER(TRIM($E22)),6),CalcKey,"&lt;="&amp;Calc!$H22))</f>
        <v/>
      </c>
      <c r="O22" s="10">
        <f>IF(OR($C22="",$M22=""),"",IF($N22="","؟",IF(ROUND($M22-$N22,0)=0,"√","×")))</f>
        <v/>
      </c>
      <c r="P22" s="12" t="n"/>
    </row>
    <row r="23">
      <c r="A23" s="10">
        <f>IF($C23="","",COUNTA($C$9:$C23))</f>
        <v/>
      </c>
      <c r="B23" s="10">
        <f>IF($C23="","","TXN-"&amp;RIGHT("0000"&amp;15,4))</f>
        <v/>
      </c>
      <c r="C23" s="11" t="n"/>
      <c r="D23" s="11" t="n"/>
      <c r="E23" s="12" t="n"/>
      <c r="F23" s="10">
        <f>IF($E23="","",IFERROR(IF(VLOOKUP(LEFT(UPPER(TRIM($E23)),6),BankTbl,2,0)="","(بدون عنوان)",VLOOKUP(LEFT(UPPER(TRIM($E23)),6),BankTbl,2,0)),"بانک ناشناخته"))</f>
        <v/>
      </c>
      <c r="G23" s="11" t="n"/>
      <c r="H23" s="10">
        <f>IF($G23="","",IFERROR(VLOOKUP($G23,CustTbl,2,0),IFERROR(VLOOKUP($G23,SuppTbl,2,0),IFERROR(VLOOKUP($G23,AcctTbl,2,0),IFERROR(VLOOKUP($G23,StaffTbl,2,0),"کد ناشناخته")))))</f>
        <v/>
      </c>
      <c r="I23" s="12" t="n"/>
      <c r="J23" s="12" t="n"/>
      <c r="K23" s="13" t="n"/>
      <c r="L23" s="13" t="n"/>
      <c r="M23" s="13" t="n"/>
      <c r="N23" s="14">
        <f>IF(OR($C23="",$E23="",Calc!$H23=""),"",IFERROR(VLOOKUP(LEFT(UPPER(TRIM($E23)),6),BankTbl,3,0),0)+SUMIFS(CalcDep,CalcBank,LEFT(UPPER(TRIM($E23)),6),CalcKey,"&lt;="&amp;Calc!$H23)-SUMIFS(CalcWit,CalcBank,LEFT(UPPER(TRIM($E23)),6),CalcKey,"&lt;="&amp;Calc!$H23))</f>
        <v/>
      </c>
      <c r="O23" s="10">
        <f>IF(OR($C23="",$M23=""),"",IF($N23="","؟",IF(ROUND($M23-$N23,0)=0,"√","×")))</f>
        <v/>
      </c>
      <c r="P23" s="12" t="n"/>
    </row>
    <row r="24">
      <c r="A24" s="10">
        <f>IF($C24="","",COUNTA($C$9:$C24))</f>
        <v/>
      </c>
      <c r="B24" s="10">
        <f>IF($C24="","","TXN-"&amp;RIGHT("0000"&amp;16,4))</f>
        <v/>
      </c>
      <c r="C24" s="11" t="n"/>
      <c r="D24" s="11" t="n"/>
      <c r="E24" s="12" t="n"/>
      <c r="F24" s="10">
        <f>IF($E24="","",IFERROR(IF(VLOOKUP(LEFT(UPPER(TRIM($E24)),6),BankTbl,2,0)="","(بدون عنوان)",VLOOKUP(LEFT(UPPER(TRIM($E24)),6),BankTbl,2,0)),"بانک ناشناخته"))</f>
        <v/>
      </c>
      <c r="G24" s="11" t="n"/>
      <c r="H24" s="10">
        <f>IF($G24="","",IFERROR(VLOOKUP($G24,CustTbl,2,0),IFERROR(VLOOKUP($G24,SuppTbl,2,0),IFERROR(VLOOKUP($G24,AcctTbl,2,0),IFERROR(VLOOKUP($G24,StaffTbl,2,0),"کد ناشناخته")))))</f>
        <v/>
      </c>
      <c r="I24" s="12" t="n"/>
      <c r="J24" s="12" t="n"/>
      <c r="K24" s="13" t="n"/>
      <c r="L24" s="13" t="n"/>
      <c r="M24" s="13" t="n"/>
      <c r="N24" s="14">
        <f>IF(OR($C24="",$E24="",Calc!$H24=""),"",IFERROR(VLOOKUP(LEFT(UPPER(TRIM($E24)),6),BankTbl,3,0),0)+SUMIFS(CalcDep,CalcBank,LEFT(UPPER(TRIM($E24)),6),CalcKey,"&lt;="&amp;Calc!$H24)-SUMIFS(CalcWit,CalcBank,LEFT(UPPER(TRIM($E24)),6),CalcKey,"&lt;="&amp;Calc!$H24))</f>
        <v/>
      </c>
      <c r="O24" s="10">
        <f>IF(OR($C24="",$M24=""),"",IF($N24="","؟",IF(ROUND($M24-$N24,0)=0,"√","×")))</f>
        <v/>
      </c>
      <c r="P24" s="12" t="n"/>
    </row>
    <row r="25">
      <c r="A25" s="10">
        <f>IF($C25="","",COUNTA($C$9:$C25))</f>
        <v/>
      </c>
      <c r="B25" s="10">
        <f>IF($C25="","","TXN-"&amp;RIGHT("0000"&amp;17,4))</f>
        <v/>
      </c>
      <c r="C25" s="11" t="n"/>
      <c r="D25" s="11" t="n"/>
      <c r="E25" s="12" t="n"/>
      <c r="F25" s="10">
        <f>IF($E25="","",IFERROR(IF(VLOOKUP(LEFT(UPPER(TRIM($E25)),6),BankTbl,2,0)="","(بدون عنوان)",VLOOKUP(LEFT(UPPER(TRIM($E25)),6),BankTbl,2,0)),"بانک ناشناخته"))</f>
        <v/>
      </c>
      <c r="G25" s="11" t="n"/>
      <c r="H25" s="10">
        <f>IF($G25="","",IFERROR(VLOOKUP($G25,CustTbl,2,0),IFERROR(VLOOKUP($G25,SuppTbl,2,0),IFERROR(VLOOKUP($G25,AcctTbl,2,0),IFERROR(VLOOKUP($G25,StaffTbl,2,0),"کد ناشناخته")))))</f>
        <v/>
      </c>
      <c r="I25" s="12" t="n"/>
      <c r="J25" s="12" t="n"/>
      <c r="K25" s="13" t="n"/>
      <c r="L25" s="13" t="n"/>
      <c r="M25" s="13" t="n"/>
      <c r="N25" s="14">
        <f>IF(OR($C25="",$E25="",Calc!$H25=""),"",IFERROR(VLOOKUP(LEFT(UPPER(TRIM($E25)),6),BankTbl,3,0),0)+SUMIFS(CalcDep,CalcBank,LEFT(UPPER(TRIM($E25)),6),CalcKey,"&lt;="&amp;Calc!$H25)-SUMIFS(CalcWit,CalcBank,LEFT(UPPER(TRIM($E25)),6),CalcKey,"&lt;="&amp;Calc!$H25))</f>
        <v/>
      </c>
      <c r="O25" s="10">
        <f>IF(OR($C25="",$M25=""),"",IF($N25="","؟",IF(ROUND($M25-$N25,0)=0,"√","×")))</f>
        <v/>
      </c>
      <c r="P25" s="12" t="n"/>
    </row>
    <row r="26">
      <c r="A26" s="10">
        <f>IF($C26="","",COUNTA($C$9:$C26))</f>
        <v/>
      </c>
      <c r="B26" s="10">
        <f>IF($C26="","","TXN-"&amp;RIGHT("0000"&amp;18,4))</f>
        <v/>
      </c>
      <c r="C26" s="11" t="n"/>
      <c r="D26" s="11" t="n"/>
      <c r="E26" s="12" t="n"/>
      <c r="F26" s="10">
        <f>IF($E26="","",IFERROR(IF(VLOOKUP(LEFT(UPPER(TRIM($E26)),6),BankTbl,2,0)="","(بدون عنوان)",VLOOKUP(LEFT(UPPER(TRIM($E26)),6),BankTbl,2,0)),"بانک ناشناخته"))</f>
        <v/>
      </c>
      <c r="G26" s="11" t="n"/>
      <c r="H26" s="10">
        <f>IF($G26="","",IFERROR(VLOOKUP($G26,CustTbl,2,0),IFERROR(VLOOKUP($G26,SuppTbl,2,0),IFERROR(VLOOKUP($G26,AcctTbl,2,0),IFERROR(VLOOKUP($G26,StaffTbl,2,0),"کد ناشناخته")))))</f>
        <v/>
      </c>
      <c r="I26" s="12" t="n"/>
      <c r="J26" s="12" t="n"/>
      <c r="K26" s="13" t="n"/>
      <c r="L26" s="13" t="n"/>
      <c r="M26" s="13" t="n"/>
      <c r="N26" s="14">
        <f>IF(OR($C26="",$E26="",Calc!$H26=""),"",IFERROR(VLOOKUP(LEFT(UPPER(TRIM($E26)),6),BankTbl,3,0),0)+SUMIFS(CalcDep,CalcBank,LEFT(UPPER(TRIM($E26)),6),CalcKey,"&lt;="&amp;Calc!$H26)-SUMIFS(CalcWit,CalcBank,LEFT(UPPER(TRIM($E26)),6),CalcKey,"&lt;="&amp;Calc!$H26))</f>
        <v/>
      </c>
      <c r="O26" s="10">
        <f>IF(OR($C26="",$M26=""),"",IF($N26="","؟",IF(ROUND($M26-$N26,0)=0,"√","×")))</f>
        <v/>
      </c>
      <c r="P26" s="12" t="n"/>
    </row>
    <row r="27">
      <c r="A27" s="10">
        <f>IF($C27="","",COUNTA($C$9:$C27))</f>
        <v/>
      </c>
      <c r="B27" s="10">
        <f>IF($C27="","","TXN-"&amp;RIGHT("0000"&amp;19,4))</f>
        <v/>
      </c>
      <c r="C27" s="11" t="n"/>
      <c r="D27" s="11" t="n"/>
      <c r="E27" s="12" t="n"/>
      <c r="F27" s="10">
        <f>IF($E27="","",IFERROR(IF(VLOOKUP(LEFT(UPPER(TRIM($E27)),6),BankTbl,2,0)="","(بدون عنوان)",VLOOKUP(LEFT(UPPER(TRIM($E27)),6),BankTbl,2,0)),"بانک ناشناخته"))</f>
        <v/>
      </c>
      <c r="G27" s="11" t="n"/>
      <c r="H27" s="10">
        <f>IF($G27="","",IFERROR(VLOOKUP($G27,CustTbl,2,0),IFERROR(VLOOKUP($G27,SuppTbl,2,0),IFERROR(VLOOKUP($G27,AcctTbl,2,0),IFERROR(VLOOKUP($G27,StaffTbl,2,0),"کد ناشناخته")))))</f>
        <v/>
      </c>
      <c r="I27" s="12" t="n"/>
      <c r="J27" s="12" t="n"/>
      <c r="K27" s="13" t="n"/>
      <c r="L27" s="13" t="n"/>
      <c r="M27" s="13" t="n"/>
      <c r="N27" s="14">
        <f>IF(OR($C27="",$E27="",Calc!$H27=""),"",IFERROR(VLOOKUP(LEFT(UPPER(TRIM($E27)),6),BankTbl,3,0),0)+SUMIFS(CalcDep,CalcBank,LEFT(UPPER(TRIM($E27)),6),CalcKey,"&lt;="&amp;Calc!$H27)-SUMIFS(CalcWit,CalcBank,LEFT(UPPER(TRIM($E27)),6),CalcKey,"&lt;="&amp;Calc!$H27))</f>
        <v/>
      </c>
      <c r="O27" s="10">
        <f>IF(OR($C27="",$M27=""),"",IF($N27="","؟",IF(ROUND($M27-$N27,0)=0,"√","×")))</f>
        <v/>
      </c>
      <c r="P27" s="12" t="n"/>
    </row>
    <row r="28">
      <c r="A28" s="10">
        <f>IF($C28="","",COUNTA($C$9:$C28))</f>
        <v/>
      </c>
      <c r="B28" s="10">
        <f>IF($C28="","","TXN-"&amp;RIGHT("0000"&amp;20,4))</f>
        <v/>
      </c>
      <c r="C28" s="11" t="n"/>
      <c r="D28" s="11" t="n"/>
      <c r="E28" s="12" t="n"/>
      <c r="F28" s="10">
        <f>IF($E28="","",IFERROR(IF(VLOOKUP(LEFT(UPPER(TRIM($E28)),6),BankTbl,2,0)="","(بدون عنوان)",VLOOKUP(LEFT(UPPER(TRIM($E28)),6),BankTbl,2,0)),"بانک ناشناخته"))</f>
        <v/>
      </c>
      <c r="G28" s="11" t="n"/>
      <c r="H28" s="10">
        <f>IF($G28="","",IFERROR(VLOOKUP($G28,CustTbl,2,0),IFERROR(VLOOKUP($G28,SuppTbl,2,0),IFERROR(VLOOKUP($G28,AcctTbl,2,0),IFERROR(VLOOKUP($G28,StaffTbl,2,0),"کد ناشناخته")))))</f>
        <v/>
      </c>
      <c r="I28" s="12" t="n"/>
      <c r="J28" s="12" t="n"/>
      <c r="K28" s="13" t="n"/>
      <c r="L28" s="13" t="n"/>
      <c r="M28" s="13" t="n"/>
      <c r="N28" s="14">
        <f>IF(OR($C28="",$E28="",Calc!$H28=""),"",IFERROR(VLOOKUP(LEFT(UPPER(TRIM($E28)),6),BankTbl,3,0),0)+SUMIFS(CalcDep,CalcBank,LEFT(UPPER(TRIM($E28)),6),CalcKey,"&lt;="&amp;Calc!$H28)-SUMIFS(CalcWit,CalcBank,LEFT(UPPER(TRIM($E28)),6),CalcKey,"&lt;="&amp;Calc!$H28))</f>
        <v/>
      </c>
      <c r="O28" s="10">
        <f>IF(OR($C28="",$M28=""),"",IF($N28="","؟",IF(ROUND($M28-$N28,0)=0,"√","×")))</f>
        <v/>
      </c>
      <c r="P28" s="12" t="n"/>
    </row>
    <row r="29">
      <c r="A29" s="10">
        <f>IF($C29="","",COUNTA($C$9:$C29))</f>
        <v/>
      </c>
      <c r="B29" s="10">
        <f>IF($C29="","","TXN-"&amp;RIGHT("0000"&amp;21,4))</f>
        <v/>
      </c>
      <c r="C29" s="11" t="n"/>
      <c r="D29" s="11" t="n"/>
      <c r="E29" s="12" t="n"/>
      <c r="F29" s="10">
        <f>IF($E29="","",IFERROR(IF(VLOOKUP(LEFT(UPPER(TRIM($E29)),6),BankTbl,2,0)="","(بدون عنوان)",VLOOKUP(LEFT(UPPER(TRIM($E29)),6),BankTbl,2,0)),"بانک ناشناخته"))</f>
        <v/>
      </c>
      <c r="G29" s="11" t="n"/>
      <c r="H29" s="10">
        <f>IF($G29="","",IFERROR(VLOOKUP($G29,CustTbl,2,0),IFERROR(VLOOKUP($G29,SuppTbl,2,0),IFERROR(VLOOKUP($G29,AcctTbl,2,0),IFERROR(VLOOKUP($G29,StaffTbl,2,0),"کد ناشناخته")))))</f>
        <v/>
      </c>
      <c r="I29" s="12" t="n"/>
      <c r="J29" s="12" t="n"/>
      <c r="K29" s="13" t="n"/>
      <c r="L29" s="13" t="n"/>
      <c r="M29" s="13" t="n"/>
      <c r="N29" s="14">
        <f>IF(OR($C29="",$E29="",Calc!$H29=""),"",IFERROR(VLOOKUP(LEFT(UPPER(TRIM($E29)),6),BankTbl,3,0),0)+SUMIFS(CalcDep,CalcBank,LEFT(UPPER(TRIM($E29)),6),CalcKey,"&lt;="&amp;Calc!$H29)-SUMIFS(CalcWit,CalcBank,LEFT(UPPER(TRIM($E29)),6),CalcKey,"&lt;="&amp;Calc!$H29))</f>
        <v/>
      </c>
      <c r="O29" s="10">
        <f>IF(OR($C29="",$M29=""),"",IF($N29="","؟",IF(ROUND($M29-$N29,0)=0,"√","×")))</f>
        <v/>
      </c>
      <c r="P29" s="12" t="n"/>
    </row>
    <row r="30">
      <c r="A30" s="10">
        <f>IF($C30="","",COUNTA($C$9:$C30))</f>
        <v/>
      </c>
      <c r="B30" s="10">
        <f>IF($C30="","","TXN-"&amp;RIGHT("0000"&amp;22,4))</f>
        <v/>
      </c>
      <c r="C30" s="11" t="n"/>
      <c r="D30" s="11" t="n"/>
      <c r="E30" s="12" t="n"/>
      <c r="F30" s="10">
        <f>IF($E30="","",IFERROR(IF(VLOOKUP(LEFT(UPPER(TRIM($E30)),6),BankTbl,2,0)="","(بدون عنوان)",VLOOKUP(LEFT(UPPER(TRIM($E30)),6),BankTbl,2,0)),"بانک ناشناخته"))</f>
        <v/>
      </c>
      <c r="G30" s="11" t="n"/>
      <c r="H30" s="10">
        <f>IF($G30="","",IFERROR(VLOOKUP($G30,CustTbl,2,0),IFERROR(VLOOKUP($G30,SuppTbl,2,0),IFERROR(VLOOKUP($G30,AcctTbl,2,0),IFERROR(VLOOKUP($G30,StaffTbl,2,0),"کد ناشناخته")))))</f>
        <v/>
      </c>
      <c r="I30" s="12" t="n"/>
      <c r="J30" s="12" t="n"/>
      <c r="K30" s="13" t="n"/>
      <c r="L30" s="13" t="n"/>
      <c r="M30" s="13" t="n"/>
      <c r="N30" s="14">
        <f>IF(OR($C30="",$E30="",Calc!$H30=""),"",IFERROR(VLOOKUP(LEFT(UPPER(TRIM($E30)),6),BankTbl,3,0),0)+SUMIFS(CalcDep,CalcBank,LEFT(UPPER(TRIM($E30)),6),CalcKey,"&lt;="&amp;Calc!$H30)-SUMIFS(CalcWit,CalcBank,LEFT(UPPER(TRIM($E30)),6),CalcKey,"&lt;="&amp;Calc!$H30))</f>
        <v/>
      </c>
      <c r="O30" s="10">
        <f>IF(OR($C30="",$M30=""),"",IF($N30="","؟",IF(ROUND($M30-$N30,0)=0,"√","×")))</f>
        <v/>
      </c>
      <c r="P30" s="12" t="n"/>
    </row>
    <row r="31">
      <c r="A31" s="10">
        <f>IF($C31="","",COUNTA($C$9:$C31))</f>
        <v/>
      </c>
      <c r="B31" s="10">
        <f>IF($C31="","","TXN-"&amp;RIGHT("0000"&amp;23,4))</f>
        <v/>
      </c>
      <c r="C31" s="11" t="n"/>
      <c r="D31" s="11" t="n"/>
      <c r="E31" s="12" t="n"/>
      <c r="F31" s="10">
        <f>IF($E31="","",IFERROR(IF(VLOOKUP(LEFT(UPPER(TRIM($E31)),6),BankTbl,2,0)="","(بدون عنوان)",VLOOKUP(LEFT(UPPER(TRIM($E31)),6),BankTbl,2,0)),"بانک ناشناخته"))</f>
        <v/>
      </c>
      <c r="G31" s="11" t="n"/>
      <c r="H31" s="10">
        <f>IF($G31="","",IFERROR(VLOOKUP($G31,CustTbl,2,0),IFERROR(VLOOKUP($G31,SuppTbl,2,0),IFERROR(VLOOKUP($G31,AcctTbl,2,0),IFERROR(VLOOKUP($G31,StaffTbl,2,0),"کد ناشناخته")))))</f>
        <v/>
      </c>
      <c r="I31" s="12" t="n"/>
      <c r="J31" s="12" t="n"/>
      <c r="K31" s="13" t="n"/>
      <c r="L31" s="13" t="n"/>
      <c r="M31" s="13" t="n"/>
      <c r="N31" s="14">
        <f>IF(OR($C31="",$E31="",Calc!$H31=""),"",IFERROR(VLOOKUP(LEFT(UPPER(TRIM($E31)),6),BankTbl,3,0),0)+SUMIFS(CalcDep,CalcBank,LEFT(UPPER(TRIM($E31)),6),CalcKey,"&lt;="&amp;Calc!$H31)-SUMIFS(CalcWit,CalcBank,LEFT(UPPER(TRIM($E31)),6),CalcKey,"&lt;="&amp;Calc!$H31))</f>
        <v/>
      </c>
      <c r="O31" s="10">
        <f>IF(OR($C31="",$M31=""),"",IF($N31="","؟",IF(ROUND($M31-$N31,0)=0,"√","×")))</f>
        <v/>
      </c>
      <c r="P31" s="12" t="n"/>
    </row>
    <row r="32">
      <c r="A32" s="10">
        <f>IF($C32="","",COUNTA($C$9:$C32))</f>
        <v/>
      </c>
      <c r="B32" s="10">
        <f>IF($C32="","","TXN-"&amp;RIGHT("0000"&amp;24,4))</f>
        <v/>
      </c>
      <c r="C32" s="11" t="n"/>
      <c r="D32" s="11" t="n"/>
      <c r="E32" s="12" t="n"/>
      <c r="F32" s="10">
        <f>IF($E32="","",IFERROR(IF(VLOOKUP(LEFT(UPPER(TRIM($E32)),6),BankTbl,2,0)="","(بدون عنوان)",VLOOKUP(LEFT(UPPER(TRIM($E32)),6),BankTbl,2,0)),"بانک ناشناخته"))</f>
        <v/>
      </c>
      <c r="G32" s="11" t="n"/>
      <c r="H32" s="10">
        <f>IF($G32="","",IFERROR(VLOOKUP($G32,CustTbl,2,0),IFERROR(VLOOKUP($G32,SuppTbl,2,0),IFERROR(VLOOKUP($G32,AcctTbl,2,0),IFERROR(VLOOKUP($G32,StaffTbl,2,0),"کد ناشناخته")))))</f>
        <v/>
      </c>
      <c r="I32" s="12" t="n"/>
      <c r="J32" s="12" t="n"/>
      <c r="K32" s="13" t="n"/>
      <c r="L32" s="13" t="n"/>
      <c r="M32" s="13" t="n"/>
      <c r="N32" s="14">
        <f>IF(OR($C32="",$E32="",Calc!$H32=""),"",IFERROR(VLOOKUP(LEFT(UPPER(TRIM($E32)),6),BankTbl,3,0),0)+SUMIFS(CalcDep,CalcBank,LEFT(UPPER(TRIM($E32)),6),CalcKey,"&lt;="&amp;Calc!$H32)-SUMIFS(CalcWit,CalcBank,LEFT(UPPER(TRIM($E32)),6),CalcKey,"&lt;="&amp;Calc!$H32))</f>
        <v/>
      </c>
      <c r="O32" s="10">
        <f>IF(OR($C32="",$M32=""),"",IF($N32="","؟",IF(ROUND($M32-$N32,0)=0,"√","×")))</f>
        <v/>
      </c>
      <c r="P32" s="12" t="n"/>
    </row>
    <row r="33">
      <c r="A33" s="10">
        <f>IF($C33="","",COUNTA($C$9:$C33))</f>
        <v/>
      </c>
      <c r="B33" s="10">
        <f>IF($C33="","","TXN-"&amp;RIGHT("0000"&amp;25,4))</f>
        <v/>
      </c>
      <c r="C33" s="11" t="n"/>
      <c r="D33" s="11" t="n"/>
      <c r="E33" s="12" t="n"/>
      <c r="F33" s="10">
        <f>IF($E33="","",IFERROR(IF(VLOOKUP(LEFT(UPPER(TRIM($E33)),6),BankTbl,2,0)="","(بدون عنوان)",VLOOKUP(LEFT(UPPER(TRIM($E33)),6),BankTbl,2,0)),"بانک ناشناخته"))</f>
        <v/>
      </c>
      <c r="G33" s="11" t="n"/>
      <c r="H33" s="10">
        <f>IF($G33="","",IFERROR(VLOOKUP($G33,CustTbl,2,0),IFERROR(VLOOKUP($G33,SuppTbl,2,0),IFERROR(VLOOKUP($G33,AcctTbl,2,0),IFERROR(VLOOKUP($G33,StaffTbl,2,0),"کد ناشناخته")))))</f>
        <v/>
      </c>
      <c r="I33" s="12" t="n"/>
      <c r="J33" s="12" t="n"/>
      <c r="K33" s="13" t="n"/>
      <c r="L33" s="13" t="n"/>
      <c r="M33" s="13" t="n"/>
      <c r="N33" s="14">
        <f>IF(OR($C33="",$E33="",Calc!$H33=""),"",IFERROR(VLOOKUP(LEFT(UPPER(TRIM($E33)),6),BankTbl,3,0),0)+SUMIFS(CalcDep,CalcBank,LEFT(UPPER(TRIM($E33)),6),CalcKey,"&lt;="&amp;Calc!$H33)-SUMIFS(CalcWit,CalcBank,LEFT(UPPER(TRIM($E33)),6),CalcKey,"&lt;="&amp;Calc!$H33))</f>
        <v/>
      </c>
      <c r="O33" s="10">
        <f>IF(OR($C33="",$M33=""),"",IF($N33="","؟",IF(ROUND($M33-$N33,0)=0,"√","×")))</f>
        <v/>
      </c>
      <c r="P33" s="12" t="n"/>
    </row>
    <row r="34">
      <c r="A34" s="10">
        <f>IF($C34="","",COUNTA($C$9:$C34))</f>
        <v/>
      </c>
      <c r="B34" s="10">
        <f>IF($C34="","","TXN-"&amp;RIGHT("0000"&amp;26,4))</f>
        <v/>
      </c>
      <c r="C34" s="11" t="n"/>
      <c r="D34" s="11" t="n"/>
      <c r="E34" s="12" t="n"/>
      <c r="F34" s="10">
        <f>IF($E34="","",IFERROR(IF(VLOOKUP(LEFT(UPPER(TRIM($E34)),6),BankTbl,2,0)="","(بدون عنوان)",VLOOKUP(LEFT(UPPER(TRIM($E34)),6),BankTbl,2,0)),"بانک ناشناخته"))</f>
        <v/>
      </c>
      <c r="G34" s="11" t="n"/>
      <c r="H34" s="10">
        <f>IF($G34="","",IFERROR(VLOOKUP($G34,CustTbl,2,0),IFERROR(VLOOKUP($G34,SuppTbl,2,0),IFERROR(VLOOKUP($G34,AcctTbl,2,0),IFERROR(VLOOKUP($G34,StaffTbl,2,0),"کد ناشناخته")))))</f>
        <v/>
      </c>
      <c r="I34" s="12" t="n"/>
      <c r="J34" s="12" t="n"/>
      <c r="K34" s="13" t="n"/>
      <c r="L34" s="13" t="n"/>
      <c r="M34" s="13" t="n"/>
      <c r="N34" s="14">
        <f>IF(OR($C34="",$E34="",Calc!$H34=""),"",IFERROR(VLOOKUP(LEFT(UPPER(TRIM($E34)),6),BankTbl,3,0),0)+SUMIFS(CalcDep,CalcBank,LEFT(UPPER(TRIM($E34)),6),CalcKey,"&lt;="&amp;Calc!$H34)-SUMIFS(CalcWit,CalcBank,LEFT(UPPER(TRIM($E34)),6),CalcKey,"&lt;="&amp;Calc!$H34))</f>
        <v/>
      </c>
      <c r="O34" s="10">
        <f>IF(OR($C34="",$M34=""),"",IF($N34="","؟",IF(ROUND($M34-$N34,0)=0,"√","×")))</f>
        <v/>
      </c>
      <c r="P34" s="12" t="n"/>
    </row>
    <row r="35">
      <c r="A35" s="10">
        <f>IF($C35="","",COUNTA($C$9:$C35))</f>
        <v/>
      </c>
      <c r="B35" s="10">
        <f>IF($C35="","","TXN-"&amp;RIGHT("0000"&amp;27,4))</f>
        <v/>
      </c>
      <c r="C35" s="11" t="n"/>
      <c r="D35" s="11" t="n"/>
      <c r="E35" s="12" t="n"/>
      <c r="F35" s="10">
        <f>IF($E35="","",IFERROR(IF(VLOOKUP(LEFT(UPPER(TRIM($E35)),6),BankTbl,2,0)="","(بدون عنوان)",VLOOKUP(LEFT(UPPER(TRIM($E35)),6),BankTbl,2,0)),"بانک ناشناخته"))</f>
        <v/>
      </c>
      <c r="G35" s="11" t="n"/>
      <c r="H35" s="10">
        <f>IF($G35="","",IFERROR(VLOOKUP($G35,CustTbl,2,0),IFERROR(VLOOKUP($G35,SuppTbl,2,0),IFERROR(VLOOKUP($G35,AcctTbl,2,0),IFERROR(VLOOKUP($G35,StaffTbl,2,0),"کد ناشناخته")))))</f>
        <v/>
      </c>
      <c r="I35" s="12" t="n"/>
      <c r="J35" s="12" t="n"/>
      <c r="K35" s="13" t="n"/>
      <c r="L35" s="13" t="n"/>
      <c r="M35" s="13" t="n"/>
      <c r="N35" s="14">
        <f>IF(OR($C35="",$E35="",Calc!$H35=""),"",IFERROR(VLOOKUP(LEFT(UPPER(TRIM($E35)),6),BankTbl,3,0),0)+SUMIFS(CalcDep,CalcBank,LEFT(UPPER(TRIM($E35)),6),CalcKey,"&lt;="&amp;Calc!$H35)-SUMIFS(CalcWit,CalcBank,LEFT(UPPER(TRIM($E35)),6),CalcKey,"&lt;="&amp;Calc!$H35))</f>
        <v/>
      </c>
      <c r="O35" s="10">
        <f>IF(OR($C35="",$M35=""),"",IF($N35="","؟",IF(ROUND($M35-$N35,0)=0,"√","×")))</f>
        <v/>
      </c>
      <c r="P35" s="12" t="n"/>
    </row>
    <row r="36">
      <c r="A36" s="10">
        <f>IF($C36="","",COUNTA($C$9:$C36))</f>
        <v/>
      </c>
      <c r="B36" s="10">
        <f>IF($C36="","","TXN-"&amp;RIGHT("0000"&amp;28,4))</f>
        <v/>
      </c>
      <c r="C36" s="11" t="n"/>
      <c r="D36" s="11" t="n"/>
      <c r="E36" s="12" t="n"/>
      <c r="F36" s="10">
        <f>IF($E36="","",IFERROR(IF(VLOOKUP(LEFT(UPPER(TRIM($E36)),6),BankTbl,2,0)="","(بدون عنوان)",VLOOKUP(LEFT(UPPER(TRIM($E36)),6),BankTbl,2,0)),"بانک ناشناخته"))</f>
        <v/>
      </c>
      <c r="G36" s="11" t="n"/>
      <c r="H36" s="10">
        <f>IF($G36="","",IFERROR(VLOOKUP($G36,CustTbl,2,0),IFERROR(VLOOKUP($G36,SuppTbl,2,0),IFERROR(VLOOKUP($G36,AcctTbl,2,0),IFERROR(VLOOKUP($G36,StaffTbl,2,0),"کد ناشناخته")))))</f>
        <v/>
      </c>
      <c r="I36" s="12" t="n"/>
      <c r="J36" s="12" t="n"/>
      <c r="K36" s="13" t="n"/>
      <c r="L36" s="13" t="n"/>
      <c r="M36" s="13" t="n"/>
      <c r="N36" s="14">
        <f>IF(OR($C36="",$E36="",Calc!$H36=""),"",IFERROR(VLOOKUP(LEFT(UPPER(TRIM($E36)),6),BankTbl,3,0),0)+SUMIFS(CalcDep,CalcBank,LEFT(UPPER(TRIM($E36)),6),CalcKey,"&lt;="&amp;Calc!$H36)-SUMIFS(CalcWit,CalcBank,LEFT(UPPER(TRIM($E36)),6),CalcKey,"&lt;="&amp;Calc!$H36))</f>
        <v/>
      </c>
      <c r="O36" s="10">
        <f>IF(OR($C36="",$M36=""),"",IF($N36="","؟",IF(ROUND($M36-$N36,0)=0,"√","×")))</f>
        <v/>
      </c>
      <c r="P36" s="12" t="n"/>
    </row>
    <row r="37">
      <c r="A37" s="10">
        <f>IF($C37="","",COUNTA($C$9:$C37))</f>
        <v/>
      </c>
      <c r="B37" s="10">
        <f>IF($C37="","","TXN-"&amp;RIGHT("0000"&amp;29,4))</f>
        <v/>
      </c>
      <c r="C37" s="11" t="n"/>
      <c r="D37" s="11" t="n"/>
      <c r="E37" s="12" t="n"/>
      <c r="F37" s="10">
        <f>IF($E37="","",IFERROR(IF(VLOOKUP(LEFT(UPPER(TRIM($E37)),6),BankTbl,2,0)="","(بدون عنوان)",VLOOKUP(LEFT(UPPER(TRIM($E37)),6),BankTbl,2,0)),"بانک ناشناخته"))</f>
        <v/>
      </c>
      <c r="G37" s="11" t="n"/>
      <c r="H37" s="10">
        <f>IF($G37="","",IFERROR(VLOOKUP($G37,CustTbl,2,0),IFERROR(VLOOKUP($G37,SuppTbl,2,0),IFERROR(VLOOKUP($G37,AcctTbl,2,0),IFERROR(VLOOKUP($G37,StaffTbl,2,0),"کد ناشناخته")))))</f>
        <v/>
      </c>
      <c r="I37" s="12" t="n"/>
      <c r="J37" s="12" t="n"/>
      <c r="K37" s="13" t="n"/>
      <c r="L37" s="13" t="n"/>
      <c r="M37" s="13" t="n"/>
      <c r="N37" s="14">
        <f>IF(OR($C37="",$E37="",Calc!$H37=""),"",IFERROR(VLOOKUP(LEFT(UPPER(TRIM($E37)),6),BankTbl,3,0),0)+SUMIFS(CalcDep,CalcBank,LEFT(UPPER(TRIM($E37)),6),CalcKey,"&lt;="&amp;Calc!$H37)-SUMIFS(CalcWit,CalcBank,LEFT(UPPER(TRIM($E37)),6),CalcKey,"&lt;="&amp;Calc!$H37))</f>
        <v/>
      </c>
      <c r="O37" s="10">
        <f>IF(OR($C37="",$M37=""),"",IF($N37="","؟",IF(ROUND($M37-$N37,0)=0,"√","×")))</f>
        <v/>
      </c>
      <c r="P37" s="12" t="n"/>
    </row>
    <row r="38">
      <c r="A38" s="10">
        <f>IF($C38="","",COUNTA($C$9:$C38))</f>
        <v/>
      </c>
      <c r="B38" s="10">
        <f>IF($C38="","","TXN-"&amp;RIGHT("0000"&amp;30,4))</f>
        <v/>
      </c>
      <c r="C38" s="11" t="n"/>
      <c r="D38" s="11" t="n"/>
      <c r="E38" s="12" t="n"/>
      <c r="F38" s="10">
        <f>IF($E38="","",IFERROR(IF(VLOOKUP(LEFT(UPPER(TRIM($E38)),6),BankTbl,2,0)="","(بدون عنوان)",VLOOKUP(LEFT(UPPER(TRIM($E38)),6),BankTbl,2,0)),"بانک ناشناخته"))</f>
        <v/>
      </c>
      <c r="G38" s="11" t="n"/>
      <c r="H38" s="10">
        <f>IF($G38="","",IFERROR(VLOOKUP($G38,CustTbl,2,0),IFERROR(VLOOKUP($G38,SuppTbl,2,0),IFERROR(VLOOKUP($G38,AcctTbl,2,0),IFERROR(VLOOKUP($G38,StaffTbl,2,0),"کد ناشناخته")))))</f>
        <v/>
      </c>
      <c r="I38" s="12" t="n"/>
      <c r="J38" s="12" t="n"/>
      <c r="K38" s="13" t="n"/>
      <c r="L38" s="13" t="n"/>
      <c r="M38" s="13" t="n"/>
      <c r="N38" s="14">
        <f>IF(OR($C38="",$E38="",Calc!$H38=""),"",IFERROR(VLOOKUP(LEFT(UPPER(TRIM($E38)),6),BankTbl,3,0),0)+SUMIFS(CalcDep,CalcBank,LEFT(UPPER(TRIM($E38)),6),CalcKey,"&lt;="&amp;Calc!$H38)-SUMIFS(CalcWit,CalcBank,LEFT(UPPER(TRIM($E38)),6),CalcKey,"&lt;="&amp;Calc!$H38))</f>
        <v/>
      </c>
      <c r="O38" s="10">
        <f>IF(OR($C38="",$M38=""),"",IF($N38="","؟",IF(ROUND($M38-$N38,0)=0,"√","×")))</f>
        <v/>
      </c>
      <c r="P38" s="12" t="n"/>
    </row>
    <row r="39">
      <c r="A39" s="10">
        <f>IF($C39="","",COUNTA($C$9:$C39))</f>
        <v/>
      </c>
      <c r="B39" s="10">
        <f>IF($C39="","","TXN-"&amp;RIGHT("0000"&amp;31,4))</f>
        <v/>
      </c>
      <c r="C39" s="11" t="n"/>
      <c r="D39" s="11" t="n"/>
      <c r="E39" s="12" t="n"/>
      <c r="F39" s="10">
        <f>IF($E39="","",IFERROR(IF(VLOOKUP(LEFT(UPPER(TRIM($E39)),6),BankTbl,2,0)="","(بدون عنوان)",VLOOKUP(LEFT(UPPER(TRIM($E39)),6),BankTbl,2,0)),"بانک ناشناخته"))</f>
        <v/>
      </c>
      <c r="G39" s="11" t="n"/>
      <c r="H39" s="10">
        <f>IF($G39="","",IFERROR(VLOOKUP($G39,CustTbl,2,0),IFERROR(VLOOKUP($G39,SuppTbl,2,0),IFERROR(VLOOKUP($G39,AcctTbl,2,0),IFERROR(VLOOKUP($G39,StaffTbl,2,0),"کد ناشناخته")))))</f>
        <v/>
      </c>
      <c r="I39" s="12" t="n"/>
      <c r="J39" s="12" t="n"/>
      <c r="K39" s="13" t="n"/>
      <c r="L39" s="13" t="n"/>
      <c r="M39" s="13" t="n"/>
      <c r="N39" s="14">
        <f>IF(OR($C39="",$E39="",Calc!$H39=""),"",IFERROR(VLOOKUP(LEFT(UPPER(TRIM($E39)),6),BankTbl,3,0),0)+SUMIFS(CalcDep,CalcBank,LEFT(UPPER(TRIM($E39)),6),CalcKey,"&lt;="&amp;Calc!$H39)-SUMIFS(CalcWit,CalcBank,LEFT(UPPER(TRIM($E39)),6),CalcKey,"&lt;="&amp;Calc!$H39))</f>
        <v/>
      </c>
      <c r="O39" s="10">
        <f>IF(OR($C39="",$M39=""),"",IF($N39="","؟",IF(ROUND($M39-$N39,0)=0,"√","×")))</f>
        <v/>
      </c>
      <c r="P39" s="12" t="n"/>
    </row>
    <row r="40">
      <c r="A40" s="10">
        <f>IF($C40="","",COUNTA($C$9:$C40))</f>
        <v/>
      </c>
      <c r="B40" s="10">
        <f>IF($C40="","","TXN-"&amp;RIGHT("0000"&amp;32,4))</f>
        <v/>
      </c>
      <c r="C40" s="11" t="n"/>
      <c r="D40" s="11" t="n"/>
      <c r="E40" s="12" t="n"/>
      <c r="F40" s="10">
        <f>IF($E40="","",IFERROR(IF(VLOOKUP(LEFT(UPPER(TRIM($E40)),6),BankTbl,2,0)="","(بدون عنوان)",VLOOKUP(LEFT(UPPER(TRIM($E40)),6),BankTbl,2,0)),"بانک ناشناخته"))</f>
        <v/>
      </c>
      <c r="G40" s="11" t="n"/>
      <c r="H40" s="10">
        <f>IF($G40="","",IFERROR(VLOOKUP($G40,CustTbl,2,0),IFERROR(VLOOKUP($G40,SuppTbl,2,0),IFERROR(VLOOKUP($G40,AcctTbl,2,0),IFERROR(VLOOKUP($G40,StaffTbl,2,0),"کد ناشناخته")))))</f>
        <v/>
      </c>
      <c r="I40" s="12" t="n"/>
      <c r="J40" s="12" t="n"/>
      <c r="K40" s="13" t="n"/>
      <c r="L40" s="13" t="n"/>
      <c r="M40" s="13" t="n"/>
      <c r="N40" s="14">
        <f>IF(OR($C40="",$E40="",Calc!$H40=""),"",IFERROR(VLOOKUP(LEFT(UPPER(TRIM($E40)),6),BankTbl,3,0),0)+SUMIFS(CalcDep,CalcBank,LEFT(UPPER(TRIM($E40)),6),CalcKey,"&lt;="&amp;Calc!$H40)-SUMIFS(CalcWit,CalcBank,LEFT(UPPER(TRIM($E40)),6),CalcKey,"&lt;="&amp;Calc!$H40))</f>
        <v/>
      </c>
      <c r="O40" s="10">
        <f>IF(OR($C40="",$M40=""),"",IF($N40="","؟",IF(ROUND($M40-$N40,0)=0,"√","×")))</f>
        <v/>
      </c>
      <c r="P40" s="12" t="n"/>
    </row>
    <row r="41">
      <c r="A41" s="10">
        <f>IF($C41="","",COUNTA($C$9:$C41))</f>
        <v/>
      </c>
      <c r="B41" s="10">
        <f>IF($C41="","","TXN-"&amp;RIGHT("0000"&amp;33,4))</f>
        <v/>
      </c>
      <c r="C41" s="11" t="n"/>
      <c r="D41" s="11" t="n"/>
      <c r="E41" s="12" t="n"/>
      <c r="F41" s="10">
        <f>IF($E41="","",IFERROR(IF(VLOOKUP(LEFT(UPPER(TRIM($E41)),6),BankTbl,2,0)="","(بدون عنوان)",VLOOKUP(LEFT(UPPER(TRIM($E41)),6),BankTbl,2,0)),"بانک ناشناخته"))</f>
        <v/>
      </c>
      <c r="G41" s="11" t="n"/>
      <c r="H41" s="10">
        <f>IF($G41="","",IFERROR(VLOOKUP($G41,CustTbl,2,0),IFERROR(VLOOKUP($G41,SuppTbl,2,0),IFERROR(VLOOKUP($G41,AcctTbl,2,0),IFERROR(VLOOKUP($G41,StaffTbl,2,0),"کد ناشناخته")))))</f>
        <v/>
      </c>
      <c r="I41" s="12" t="n"/>
      <c r="J41" s="12" t="n"/>
      <c r="K41" s="13" t="n"/>
      <c r="L41" s="13" t="n"/>
      <c r="M41" s="13" t="n"/>
      <c r="N41" s="14">
        <f>IF(OR($C41="",$E41="",Calc!$H41=""),"",IFERROR(VLOOKUP(LEFT(UPPER(TRIM($E41)),6),BankTbl,3,0),0)+SUMIFS(CalcDep,CalcBank,LEFT(UPPER(TRIM($E41)),6),CalcKey,"&lt;="&amp;Calc!$H41)-SUMIFS(CalcWit,CalcBank,LEFT(UPPER(TRIM($E41)),6),CalcKey,"&lt;="&amp;Calc!$H41))</f>
        <v/>
      </c>
      <c r="O41" s="10">
        <f>IF(OR($C41="",$M41=""),"",IF($N41="","؟",IF(ROUND($M41-$N41,0)=0,"√","×")))</f>
        <v/>
      </c>
      <c r="P41" s="12" t="n"/>
    </row>
    <row r="42">
      <c r="A42" s="10">
        <f>IF($C42="","",COUNTA($C$9:$C42))</f>
        <v/>
      </c>
      <c r="B42" s="10">
        <f>IF($C42="","","TXN-"&amp;RIGHT("0000"&amp;34,4))</f>
        <v/>
      </c>
      <c r="C42" s="11" t="n"/>
      <c r="D42" s="11" t="n"/>
      <c r="E42" s="12" t="n"/>
      <c r="F42" s="10">
        <f>IF($E42="","",IFERROR(IF(VLOOKUP(LEFT(UPPER(TRIM($E42)),6),BankTbl,2,0)="","(بدون عنوان)",VLOOKUP(LEFT(UPPER(TRIM($E42)),6),BankTbl,2,0)),"بانک ناشناخته"))</f>
        <v/>
      </c>
      <c r="G42" s="11" t="n"/>
      <c r="H42" s="10">
        <f>IF($G42="","",IFERROR(VLOOKUP($G42,CustTbl,2,0),IFERROR(VLOOKUP($G42,SuppTbl,2,0),IFERROR(VLOOKUP($G42,AcctTbl,2,0),IFERROR(VLOOKUP($G42,StaffTbl,2,0),"کد ناشناخته")))))</f>
        <v/>
      </c>
      <c r="I42" s="12" t="n"/>
      <c r="J42" s="12" t="n"/>
      <c r="K42" s="13" t="n"/>
      <c r="L42" s="13" t="n"/>
      <c r="M42" s="13" t="n"/>
      <c r="N42" s="14">
        <f>IF(OR($C42="",$E42="",Calc!$H42=""),"",IFERROR(VLOOKUP(LEFT(UPPER(TRIM($E42)),6),BankTbl,3,0),0)+SUMIFS(CalcDep,CalcBank,LEFT(UPPER(TRIM($E42)),6),CalcKey,"&lt;="&amp;Calc!$H42)-SUMIFS(CalcWit,CalcBank,LEFT(UPPER(TRIM($E42)),6),CalcKey,"&lt;="&amp;Calc!$H42))</f>
        <v/>
      </c>
      <c r="O42" s="10">
        <f>IF(OR($C42="",$M42=""),"",IF($N42="","؟",IF(ROUND($M42-$N42,0)=0,"√","×")))</f>
        <v/>
      </c>
      <c r="P42" s="12" t="n"/>
    </row>
    <row r="43">
      <c r="A43" s="10">
        <f>IF($C43="","",COUNTA($C$9:$C43))</f>
        <v/>
      </c>
      <c r="B43" s="10">
        <f>IF($C43="","","TXN-"&amp;RIGHT("0000"&amp;35,4))</f>
        <v/>
      </c>
      <c r="C43" s="11" t="n"/>
      <c r="D43" s="11" t="n"/>
      <c r="E43" s="12" t="n"/>
      <c r="F43" s="10">
        <f>IF($E43="","",IFERROR(IF(VLOOKUP(LEFT(UPPER(TRIM($E43)),6),BankTbl,2,0)="","(بدون عنوان)",VLOOKUP(LEFT(UPPER(TRIM($E43)),6),BankTbl,2,0)),"بانک ناشناخته"))</f>
        <v/>
      </c>
      <c r="G43" s="11" t="n"/>
      <c r="H43" s="10">
        <f>IF($G43="","",IFERROR(VLOOKUP($G43,CustTbl,2,0),IFERROR(VLOOKUP($G43,SuppTbl,2,0),IFERROR(VLOOKUP($G43,AcctTbl,2,0),IFERROR(VLOOKUP($G43,StaffTbl,2,0),"کد ناشناخته")))))</f>
        <v/>
      </c>
      <c r="I43" s="12" t="n"/>
      <c r="J43" s="12" t="n"/>
      <c r="K43" s="13" t="n"/>
      <c r="L43" s="13" t="n"/>
      <c r="M43" s="13" t="n"/>
      <c r="N43" s="14">
        <f>IF(OR($C43="",$E43="",Calc!$H43=""),"",IFERROR(VLOOKUP(LEFT(UPPER(TRIM($E43)),6),BankTbl,3,0),0)+SUMIFS(CalcDep,CalcBank,LEFT(UPPER(TRIM($E43)),6),CalcKey,"&lt;="&amp;Calc!$H43)-SUMIFS(CalcWit,CalcBank,LEFT(UPPER(TRIM($E43)),6),CalcKey,"&lt;="&amp;Calc!$H43))</f>
        <v/>
      </c>
      <c r="O43" s="10">
        <f>IF(OR($C43="",$M43=""),"",IF($N43="","؟",IF(ROUND($M43-$N43,0)=0,"√","×")))</f>
        <v/>
      </c>
      <c r="P43" s="12" t="n"/>
    </row>
    <row r="44">
      <c r="A44" s="10">
        <f>IF($C44="","",COUNTA($C$9:$C44))</f>
        <v/>
      </c>
      <c r="B44" s="10">
        <f>IF($C44="","","TXN-"&amp;RIGHT("0000"&amp;36,4))</f>
        <v/>
      </c>
      <c r="C44" s="11" t="n"/>
      <c r="D44" s="11" t="n"/>
      <c r="E44" s="12" t="n"/>
      <c r="F44" s="10">
        <f>IF($E44="","",IFERROR(IF(VLOOKUP(LEFT(UPPER(TRIM($E44)),6),BankTbl,2,0)="","(بدون عنوان)",VLOOKUP(LEFT(UPPER(TRIM($E44)),6),BankTbl,2,0)),"بانک ناشناخته"))</f>
        <v/>
      </c>
      <c r="G44" s="11" t="n"/>
      <c r="H44" s="10">
        <f>IF($G44="","",IFERROR(VLOOKUP($G44,CustTbl,2,0),IFERROR(VLOOKUP($G44,SuppTbl,2,0),IFERROR(VLOOKUP($G44,AcctTbl,2,0),IFERROR(VLOOKUP($G44,StaffTbl,2,0),"کد ناشناخته")))))</f>
        <v/>
      </c>
      <c r="I44" s="12" t="n"/>
      <c r="J44" s="12" t="n"/>
      <c r="K44" s="13" t="n"/>
      <c r="L44" s="13" t="n"/>
      <c r="M44" s="13" t="n"/>
      <c r="N44" s="14">
        <f>IF(OR($C44="",$E44="",Calc!$H44=""),"",IFERROR(VLOOKUP(LEFT(UPPER(TRIM($E44)),6),BankTbl,3,0),0)+SUMIFS(CalcDep,CalcBank,LEFT(UPPER(TRIM($E44)),6),CalcKey,"&lt;="&amp;Calc!$H44)-SUMIFS(CalcWit,CalcBank,LEFT(UPPER(TRIM($E44)),6),CalcKey,"&lt;="&amp;Calc!$H44))</f>
        <v/>
      </c>
      <c r="O44" s="10">
        <f>IF(OR($C44="",$M44=""),"",IF($N44="","؟",IF(ROUND($M44-$N44,0)=0,"√","×")))</f>
        <v/>
      </c>
      <c r="P44" s="12" t="n"/>
    </row>
    <row r="45">
      <c r="A45" s="10">
        <f>IF($C45="","",COUNTA($C$9:$C45))</f>
        <v/>
      </c>
      <c r="B45" s="10">
        <f>IF($C45="","","TXN-"&amp;RIGHT("0000"&amp;37,4))</f>
        <v/>
      </c>
      <c r="C45" s="11" t="n"/>
      <c r="D45" s="11" t="n"/>
      <c r="E45" s="12" t="n"/>
      <c r="F45" s="10">
        <f>IF($E45="","",IFERROR(IF(VLOOKUP(LEFT(UPPER(TRIM($E45)),6),BankTbl,2,0)="","(بدون عنوان)",VLOOKUP(LEFT(UPPER(TRIM($E45)),6),BankTbl,2,0)),"بانک ناشناخته"))</f>
        <v/>
      </c>
      <c r="G45" s="11" t="n"/>
      <c r="H45" s="10">
        <f>IF($G45="","",IFERROR(VLOOKUP($G45,CustTbl,2,0),IFERROR(VLOOKUP($G45,SuppTbl,2,0),IFERROR(VLOOKUP($G45,AcctTbl,2,0),IFERROR(VLOOKUP($G45,StaffTbl,2,0),"کد ناشناخته")))))</f>
        <v/>
      </c>
      <c r="I45" s="12" t="n"/>
      <c r="J45" s="12" t="n"/>
      <c r="K45" s="13" t="n"/>
      <c r="L45" s="13" t="n"/>
      <c r="M45" s="13" t="n"/>
      <c r="N45" s="14">
        <f>IF(OR($C45="",$E45="",Calc!$H45=""),"",IFERROR(VLOOKUP(LEFT(UPPER(TRIM($E45)),6),BankTbl,3,0),0)+SUMIFS(CalcDep,CalcBank,LEFT(UPPER(TRIM($E45)),6),CalcKey,"&lt;="&amp;Calc!$H45)-SUMIFS(CalcWit,CalcBank,LEFT(UPPER(TRIM($E45)),6),CalcKey,"&lt;="&amp;Calc!$H45))</f>
        <v/>
      </c>
      <c r="O45" s="10">
        <f>IF(OR($C45="",$M45=""),"",IF($N45="","؟",IF(ROUND($M45-$N45,0)=0,"√","×")))</f>
        <v/>
      </c>
      <c r="P45" s="12" t="n"/>
    </row>
    <row r="46">
      <c r="A46" s="10">
        <f>IF($C46="","",COUNTA($C$9:$C46))</f>
        <v/>
      </c>
      <c r="B46" s="10">
        <f>IF($C46="","","TXN-"&amp;RIGHT("0000"&amp;38,4))</f>
        <v/>
      </c>
      <c r="C46" s="11" t="n"/>
      <c r="D46" s="11" t="n"/>
      <c r="E46" s="12" t="n"/>
      <c r="F46" s="10">
        <f>IF($E46="","",IFERROR(IF(VLOOKUP(LEFT(UPPER(TRIM($E46)),6),BankTbl,2,0)="","(بدون عنوان)",VLOOKUP(LEFT(UPPER(TRIM($E46)),6),BankTbl,2,0)),"بانک ناشناخته"))</f>
        <v/>
      </c>
      <c r="G46" s="11" t="n"/>
      <c r="H46" s="10">
        <f>IF($G46="","",IFERROR(VLOOKUP($G46,CustTbl,2,0),IFERROR(VLOOKUP($G46,SuppTbl,2,0),IFERROR(VLOOKUP($G46,AcctTbl,2,0),IFERROR(VLOOKUP($G46,StaffTbl,2,0),"کد ناشناخته")))))</f>
        <v/>
      </c>
      <c r="I46" s="12" t="n"/>
      <c r="J46" s="12" t="n"/>
      <c r="K46" s="13" t="n"/>
      <c r="L46" s="13" t="n"/>
      <c r="M46" s="13" t="n"/>
      <c r="N46" s="14">
        <f>IF(OR($C46="",$E46="",Calc!$H46=""),"",IFERROR(VLOOKUP(LEFT(UPPER(TRIM($E46)),6),BankTbl,3,0),0)+SUMIFS(CalcDep,CalcBank,LEFT(UPPER(TRIM($E46)),6),CalcKey,"&lt;="&amp;Calc!$H46)-SUMIFS(CalcWit,CalcBank,LEFT(UPPER(TRIM($E46)),6),CalcKey,"&lt;="&amp;Calc!$H46))</f>
        <v/>
      </c>
      <c r="O46" s="10">
        <f>IF(OR($C46="",$M46=""),"",IF($N46="","؟",IF(ROUND($M46-$N46,0)=0,"√","×")))</f>
        <v/>
      </c>
      <c r="P46" s="12" t="n"/>
    </row>
    <row r="47">
      <c r="A47" s="10">
        <f>IF($C47="","",COUNTA($C$9:$C47))</f>
        <v/>
      </c>
      <c r="B47" s="10">
        <f>IF($C47="","","TXN-"&amp;RIGHT("0000"&amp;39,4))</f>
        <v/>
      </c>
      <c r="C47" s="11" t="n"/>
      <c r="D47" s="11" t="n"/>
      <c r="E47" s="12" t="n"/>
      <c r="F47" s="10">
        <f>IF($E47="","",IFERROR(IF(VLOOKUP(LEFT(UPPER(TRIM($E47)),6),BankTbl,2,0)="","(بدون عنوان)",VLOOKUP(LEFT(UPPER(TRIM($E47)),6),BankTbl,2,0)),"بانک ناشناخته"))</f>
        <v/>
      </c>
      <c r="G47" s="11" t="n"/>
      <c r="H47" s="10">
        <f>IF($G47="","",IFERROR(VLOOKUP($G47,CustTbl,2,0),IFERROR(VLOOKUP($G47,SuppTbl,2,0),IFERROR(VLOOKUP($G47,AcctTbl,2,0),IFERROR(VLOOKUP($G47,StaffTbl,2,0),"کد ناشناخته")))))</f>
        <v/>
      </c>
      <c r="I47" s="12" t="n"/>
      <c r="J47" s="12" t="n"/>
      <c r="K47" s="13" t="n"/>
      <c r="L47" s="13" t="n"/>
      <c r="M47" s="13" t="n"/>
      <c r="N47" s="14">
        <f>IF(OR($C47="",$E47="",Calc!$H47=""),"",IFERROR(VLOOKUP(LEFT(UPPER(TRIM($E47)),6),BankTbl,3,0),0)+SUMIFS(CalcDep,CalcBank,LEFT(UPPER(TRIM($E47)),6),CalcKey,"&lt;="&amp;Calc!$H47)-SUMIFS(CalcWit,CalcBank,LEFT(UPPER(TRIM($E47)),6),CalcKey,"&lt;="&amp;Calc!$H47))</f>
        <v/>
      </c>
      <c r="O47" s="10">
        <f>IF(OR($C47="",$M47=""),"",IF($N47="","؟",IF(ROUND($M47-$N47,0)=0,"√","×")))</f>
        <v/>
      </c>
      <c r="P47" s="12" t="n"/>
    </row>
    <row r="48">
      <c r="A48" s="10">
        <f>IF($C48="","",COUNTA($C$9:$C48))</f>
        <v/>
      </c>
      <c r="B48" s="10">
        <f>IF($C48="","","TXN-"&amp;RIGHT("0000"&amp;40,4))</f>
        <v/>
      </c>
      <c r="C48" s="11" t="n"/>
      <c r="D48" s="11" t="n"/>
      <c r="E48" s="12" t="n"/>
      <c r="F48" s="10">
        <f>IF($E48="","",IFERROR(IF(VLOOKUP(LEFT(UPPER(TRIM($E48)),6),BankTbl,2,0)="","(بدون عنوان)",VLOOKUP(LEFT(UPPER(TRIM($E48)),6),BankTbl,2,0)),"بانک ناشناخته"))</f>
        <v/>
      </c>
      <c r="G48" s="11" t="n"/>
      <c r="H48" s="10">
        <f>IF($G48="","",IFERROR(VLOOKUP($G48,CustTbl,2,0),IFERROR(VLOOKUP($G48,SuppTbl,2,0),IFERROR(VLOOKUP($G48,AcctTbl,2,0),IFERROR(VLOOKUP($G48,StaffTbl,2,0),"کد ناشناخته")))))</f>
        <v/>
      </c>
      <c r="I48" s="12" t="n"/>
      <c r="J48" s="12" t="n"/>
      <c r="K48" s="13" t="n"/>
      <c r="L48" s="13" t="n"/>
      <c r="M48" s="13" t="n"/>
      <c r="N48" s="14">
        <f>IF(OR($C48="",$E48="",Calc!$H48=""),"",IFERROR(VLOOKUP(LEFT(UPPER(TRIM($E48)),6),BankTbl,3,0),0)+SUMIFS(CalcDep,CalcBank,LEFT(UPPER(TRIM($E48)),6),CalcKey,"&lt;="&amp;Calc!$H48)-SUMIFS(CalcWit,CalcBank,LEFT(UPPER(TRIM($E48)),6),CalcKey,"&lt;="&amp;Calc!$H48))</f>
        <v/>
      </c>
      <c r="O48" s="10">
        <f>IF(OR($C48="",$M48=""),"",IF($N48="","؟",IF(ROUND($M48-$N48,0)=0,"√","×")))</f>
        <v/>
      </c>
      <c r="P48" s="12" t="n"/>
    </row>
    <row r="49">
      <c r="A49" s="10">
        <f>IF($C49="","",COUNTA($C$9:$C49))</f>
        <v/>
      </c>
      <c r="B49" s="10">
        <f>IF($C49="","","TXN-"&amp;RIGHT("0000"&amp;41,4))</f>
        <v/>
      </c>
      <c r="C49" s="11" t="n"/>
      <c r="D49" s="11" t="n"/>
      <c r="E49" s="12" t="n"/>
      <c r="F49" s="10">
        <f>IF($E49="","",IFERROR(IF(VLOOKUP(LEFT(UPPER(TRIM($E49)),6),BankTbl,2,0)="","(بدون عنوان)",VLOOKUP(LEFT(UPPER(TRIM($E49)),6),BankTbl,2,0)),"بانک ناشناخته"))</f>
        <v/>
      </c>
      <c r="G49" s="11" t="n"/>
      <c r="H49" s="10">
        <f>IF($G49="","",IFERROR(VLOOKUP($G49,CustTbl,2,0),IFERROR(VLOOKUP($G49,SuppTbl,2,0),IFERROR(VLOOKUP($G49,AcctTbl,2,0),IFERROR(VLOOKUP($G49,StaffTbl,2,0),"کد ناشناخته")))))</f>
        <v/>
      </c>
      <c r="I49" s="12" t="n"/>
      <c r="J49" s="12" t="n"/>
      <c r="K49" s="13" t="n"/>
      <c r="L49" s="13" t="n"/>
      <c r="M49" s="13" t="n"/>
      <c r="N49" s="14">
        <f>IF(OR($C49="",$E49="",Calc!$H49=""),"",IFERROR(VLOOKUP(LEFT(UPPER(TRIM($E49)),6),BankTbl,3,0),0)+SUMIFS(CalcDep,CalcBank,LEFT(UPPER(TRIM($E49)),6),CalcKey,"&lt;="&amp;Calc!$H49)-SUMIFS(CalcWit,CalcBank,LEFT(UPPER(TRIM($E49)),6),CalcKey,"&lt;="&amp;Calc!$H49))</f>
        <v/>
      </c>
      <c r="O49" s="10">
        <f>IF(OR($C49="",$M49=""),"",IF($N49="","؟",IF(ROUND($M49-$N49,0)=0,"√","×")))</f>
        <v/>
      </c>
      <c r="P49" s="12" t="n"/>
    </row>
    <row r="50">
      <c r="A50" s="10">
        <f>IF($C50="","",COUNTA($C$9:$C50))</f>
        <v/>
      </c>
      <c r="B50" s="10">
        <f>IF($C50="","","TXN-"&amp;RIGHT("0000"&amp;42,4))</f>
        <v/>
      </c>
      <c r="C50" s="11" t="n"/>
      <c r="D50" s="11" t="n"/>
      <c r="E50" s="12" t="n"/>
      <c r="F50" s="10">
        <f>IF($E50="","",IFERROR(IF(VLOOKUP(LEFT(UPPER(TRIM($E50)),6),BankTbl,2,0)="","(بدون عنوان)",VLOOKUP(LEFT(UPPER(TRIM($E50)),6),BankTbl,2,0)),"بانک ناشناخته"))</f>
        <v/>
      </c>
      <c r="G50" s="11" t="n"/>
      <c r="H50" s="10">
        <f>IF($G50="","",IFERROR(VLOOKUP($G50,CustTbl,2,0),IFERROR(VLOOKUP($G50,SuppTbl,2,0),IFERROR(VLOOKUP($G50,AcctTbl,2,0),IFERROR(VLOOKUP($G50,StaffTbl,2,0),"کد ناشناخته")))))</f>
        <v/>
      </c>
      <c r="I50" s="12" t="n"/>
      <c r="J50" s="12" t="n"/>
      <c r="K50" s="13" t="n"/>
      <c r="L50" s="13" t="n"/>
      <c r="M50" s="13" t="n"/>
      <c r="N50" s="14">
        <f>IF(OR($C50="",$E50="",Calc!$H50=""),"",IFERROR(VLOOKUP(LEFT(UPPER(TRIM($E50)),6),BankTbl,3,0),0)+SUMIFS(CalcDep,CalcBank,LEFT(UPPER(TRIM($E50)),6),CalcKey,"&lt;="&amp;Calc!$H50)-SUMIFS(CalcWit,CalcBank,LEFT(UPPER(TRIM($E50)),6),CalcKey,"&lt;="&amp;Calc!$H50))</f>
        <v/>
      </c>
      <c r="O50" s="10">
        <f>IF(OR($C50="",$M50=""),"",IF($N50="","؟",IF(ROUND($M50-$N50,0)=0,"√","×")))</f>
        <v/>
      </c>
      <c r="P50" s="12" t="n"/>
    </row>
    <row r="51">
      <c r="A51" s="10">
        <f>IF($C51="","",COUNTA($C$9:$C51))</f>
        <v/>
      </c>
      <c r="B51" s="10">
        <f>IF($C51="","","TXN-"&amp;RIGHT("0000"&amp;43,4))</f>
        <v/>
      </c>
      <c r="C51" s="11" t="n"/>
      <c r="D51" s="11" t="n"/>
      <c r="E51" s="12" t="n"/>
      <c r="F51" s="10">
        <f>IF($E51="","",IFERROR(IF(VLOOKUP(LEFT(UPPER(TRIM($E51)),6),BankTbl,2,0)="","(بدون عنوان)",VLOOKUP(LEFT(UPPER(TRIM($E51)),6),BankTbl,2,0)),"بانک ناشناخته"))</f>
        <v/>
      </c>
      <c r="G51" s="11" t="n"/>
      <c r="H51" s="10">
        <f>IF($G51="","",IFERROR(VLOOKUP($G51,CustTbl,2,0),IFERROR(VLOOKUP($G51,SuppTbl,2,0),IFERROR(VLOOKUP($G51,AcctTbl,2,0),IFERROR(VLOOKUP($G51,StaffTbl,2,0),"کد ناشناخته")))))</f>
        <v/>
      </c>
      <c r="I51" s="12" t="n"/>
      <c r="J51" s="12" t="n"/>
      <c r="K51" s="13" t="n"/>
      <c r="L51" s="13" t="n"/>
      <c r="M51" s="13" t="n"/>
      <c r="N51" s="14">
        <f>IF(OR($C51="",$E51="",Calc!$H51=""),"",IFERROR(VLOOKUP(LEFT(UPPER(TRIM($E51)),6),BankTbl,3,0),0)+SUMIFS(CalcDep,CalcBank,LEFT(UPPER(TRIM($E51)),6),CalcKey,"&lt;="&amp;Calc!$H51)-SUMIFS(CalcWit,CalcBank,LEFT(UPPER(TRIM($E51)),6),CalcKey,"&lt;="&amp;Calc!$H51))</f>
        <v/>
      </c>
      <c r="O51" s="10">
        <f>IF(OR($C51="",$M51=""),"",IF($N51="","؟",IF(ROUND($M51-$N51,0)=0,"√","×")))</f>
        <v/>
      </c>
      <c r="P51" s="12" t="n"/>
    </row>
    <row r="52">
      <c r="A52" s="10">
        <f>IF($C52="","",COUNTA($C$9:$C52))</f>
        <v/>
      </c>
      <c r="B52" s="10">
        <f>IF($C52="","","TXN-"&amp;RIGHT("0000"&amp;44,4))</f>
        <v/>
      </c>
      <c r="C52" s="11" t="n"/>
      <c r="D52" s="11" t="n"/>
      <c r="E52" s="12" t="n"/>
      <c r="F52" s="10">
        <f>IF($E52="","",IFERROR(IF(VLOOKUP(LEFT(UPPER(TRIM($E52)),6),BankTbl,2,0)="","(بدون عنوان)",VLOOKUP(LEFT(UPPER(TRIM($E52)),6),BankTbl,2,0)),"بانک ناشناخته"))</f>
        <v/>
      </c>
      <c r="G52" s="11" t="n"/>
      <c r="H52" s="10">
        <f>IF($G52="","",IFERROR(VLOOKUP($G52,CustTbl,2,0),IFERROR(VLOOKUP($G52,SuppTbl,2,0),IFERROR(VLOOKUP($G52,AcctTbl,2,0),IFERROR(VLOOKUP($G52,StaffTbl,2,0),"کد ناشناخته")))))</f>
        <v/>
      </c>
      <c r="I52" s="12" t="n"/>
      <c r="J52" s="12" t="n"/>
      <c r="K52" s="13" t="n"/>
      <c r="L52" s="13" t="n"/>
      <c r="M52" s="13" t="n"/>
      <c r="N52" s="14">
        <f>IF(OR($C52="",$E52="",Calc!$H52=""),"",IFERROR(VLOOKUP(LEFT(UPPER(TRIM($E52)),6),BankTbl,3,0),0)+SUMIFS(CalcDep,CalcBank,LEFT(UPPER(TRIM($E52)),6),CalcKey,"&lt;="&amp;Calc!$H52)-SUMIFS(CalcWit,CalcBank,LEFT(UPPER(TRIM($E52)),6),CalcKey,"&lt;="&amp;Calc!$H52))</f>
        <v/>
      </c>
      <c r="O52" s="10">
        <f>IF(OR($C52="",$M52=""),"",IF($N52="","؟",IF(ROUND($M52-$N52,0)=0,"√","×")))</f>
        <v/>
      </c>
      <c r="P52" s="12" t="n"/>
    </row>
    <row r="53">
      <c r="A53" s="10">
        <f>IF($C53="","",COUNTA($C$9:$C53))</f>
        <v/>
      </c>
      <c r="B53" s="10">
        <f>IF($C53="","","TXN-"&amp;RIGHT("0000"&amp;45,4))</f>
        <v/>
      </c>
      <c r="C53" s="11" t="n"/>
      <c r="D53" s="11" t="n"/>
      <c r="E53" s="12" t="n"/>
      <c r="F53" s="10">
        <f>IF($E53="","",IFERROR(IF(VLOOKUP(LEFT(UPPER(TRIM($E53)),6),BankTbl,2,0)="","(بدون عنوان)",VLOOKUP(LEFT(UPPER(TRIM($E53)),6),BankTbl,2,0)),"بانک ناشناخته"))</f>
        <v/>
      </c>
      <c r="G53" s="11" t="n"/>
      <c r="H53" s="10">
        <f>IF($G53="","",IFERROR(VLOOKUP($G53,CustTbl,2,0),IFERROR(VLOOKUP($G53,SuppTbl,2,0),IFERROR(VLOOKUP($G53,AcctTbl,2,0),IFERROR(VLOOKUP($G53,StaffTbl,2,0),"کد ناشناخته")))))</f>
        <v/>
      </c>
      <c r="I53" s="12" t="n"/>
      <c r="J53" s="12" t="n"/>
      <c r="K53" s="13" t="n"/>
      <c r="L53" s="13" t="n"/>
      <c r="M53" s="13" t="n"/>
      <c r="N53" s="14">
        <f>IF(OR($C53="",$E53="",Calc!$H53=""),"",IFERROR(VLOOKUP(LEFT(UPPER(TRIM($E53)),6),BankTbl,3,0),0)+SUMIFS(CalcDep,CalcBank,LEFT(UPPER(TRIM($E53)),6),CalcKey,"&lt;="&amp;Calc!$H53)-SUMIFS(CalcWit,CalcBank,LEFT(UPPER(TRIM($E53)),6),CalcKey,"&lt;="&amp;Calc!$H53))</f>
        <v/>
      </c>
      <c r="O53" s="10">
        <f>IF(OR($C53="",$M53=""),"",IF($N53="","؟",IF(ROUND($M53-$N53,0)=0,"√","×")))</f>
        <v/>
      </c>
      <c r="P53" s="12" t="n"/>
    </row>
    <row r="54">
      <c r="A54" s="10">
        <f>IF($C54="","",COUNTA($C$9:$C54))</f>
        <v/>
      </c>
      <c r="B54" s="10">
        <f>IF($C54="","","TXN-"&amp;RIGHT("0000"&amp;46,4))</f>
        <v/>
      </c>
      <c r="C54" s="11" t="n"/>
      <c r="D54" s="11" t="n"/>
      <c r="E54" s="12" t="n"/>
      <c r="F54" s="10">
        <f>IF($E54="","",IFERROR(IF(VLOOKUP(LEFT(UPPER(TRIM($E54)),6),BankTbl,2,0)="","(بدون عنوان)",VLOOKUP(LEFT(UPPER(TRIM($E54)),6),BankTbl,2,0)),"بانک ناشناخته"))</f>
        <v/>
      </c>
      <c r="G54" s="11" t="n"/>
      <c r="H54" s="10">
        <f>IF($G54="","",IFERROR(VLOOKUP($G54,CustTbl,2,0),IFERROR(VLOOKUP($G54,SuppTbl,2,0),IFERROR(VLOOKUP($G54,AcctTbl,2,0),IFERROR(VLOOKUP($G54,StaffTbl,2,0),"کد ناشناخته")))))</f>
        <v/>
      </c>
      <c r="I54" s="12" t="n"/>
      <c r="J54" s="12" t="n"/>
      <c r="K54" s="13" t="n"/>
      <c r="L54" s="13" t="n"/>
      <c r="M54" s="13" t="n"/>
      <c r="N54" s="14">
        <f>IF(OR($C54="",$E54="",Calc!$H54=""),"",IFERROR(VLOOKUP(LEFT(UPPER(TRIM($E54)),6),BankTbl,3,0),0)+SUMIFS(CalcDep,CalcBank,LEFT(UPPER(TRIM($E54)),6),CalcKey,"&lt;="&amp;Calc!$H54)-SUMIFS(CalcWit,CalcBank,LEFT(UPPER(TRIM($E54)),6),CalcKey,"&lt;="&amp;Calc!$H54))</f>
        <v/>
      </c>
      <c r="O54" s="10">
        <f>IF(OR($C54="",$M54=""),"",IF($N54="","؟",IF(ROUND($M54-$N54,0)=0,"√","×")))</f>
        <v/>
      </c>
      <c r="P54" s="12" t="n"/>
    </row>
    <row r="55">
      <c r="A55" s="10">
        <f>IF($C55="","",COUNTA($C$9:$C55))</f>
        <v/>
      </c>
      <c r="B55" s="10">
        <f>IF($C55="","","TXN-"&amp;RIGHT("0000"&amp;47,4))</f>
        <v/>
      </c>
      <c r="C55" s="11" t="n"/>
      <c r="D55" s="11" t="n"/>
      <c r="E55" s="12" t="n"/>
      <c r="F55" s="10">
        <f>IF($E55="","",IFERROR(IF(VLOOKUP(LEFT(UPPER(TRIM($E55)),6),BankTbl,2,0)="","(بدون عنوان)",VLOOKUP(LEFT(UPPER(TRIM($E55)),6),BankTbl,2,0)),"بانک ناشناخته"))</f>
        <v/>
      </c>
      <c r="G55" s="11" t="n"/>
      <c r="H55" s="10">
        <f>IF($G55="","",IFERROR(VLOOKUP($G55,CustTbl,2,0),IFERROR(VLOOKUP($G55,SuppTbl,2,0),IFERROR(VLOOKUP($G55,AcctTbl,2,0),IFERROR(VLOOKUP($G55,StaffTbl,2,0),"کد ناشناخته")))))</f>
        <v/>
      </c>
      <c r="I55" s="12" t="n"/>
      <c r="J55" s="12" t="n"/>
      <c r="K55" s="13" t="n"/>
      <c r="L55" s="13" t="n"/>
      <c r="M55" s="13" t="n"/>
      <c r="N55" s="14">
        <f>IF(OR($C55="",$E55="",Calc!$H55=""),"",IFERROR(VLOOKUP(LEFT(UPPER(TRIM($E55)),6),BankTbl,3,0),0)+SUMIFS(CalcDep,CalcBank,LEFT(UPPER(TRIM($E55)),6),CalcKey,"&lt;="&amp;Calc!$H55)-SUMIFS(CalcWit,CalcBank,LEFT(UPPER(TRIM($E55)),6),CalcKey,"&lt;="&amp;Calc!$H55))</f>
        <v/>
      </c>
      <c r="O55" s="10">
        <f>IF(OR($C55="",$M55=""),"",IF($N55="","؟",IF(ROUND($M55-$N55,0)=0,"√","×")))</f>
        <v/>
      </c>
      <c r="P55" s="12" t="n"/>
    </row>
    <row r="56">
      <c r="A56" s="10">
        <f>IF($C56="","",COUNTA($C$9:$C56))</f>
        <v/>
      </c>
      <c r="B56" s="10">
        <f>IF($C56="","","TXN-"&amp;RIGHT("0000"&amp;48,4))</f>
        <v/>
      </c>
      <c r="C56" s="11" t="n"/>
      <c r="D56" s="11" t="n"/>
      <c r="E56" s="12" t="n"/>
      <c r="F56" s="10">
        <f>IF($E56="","",IFERROR(IF(VLOOKUP(LEFT(UPPER(TRIM($E56)),6),BankTbl,2,0)="","(بدون عنوان)",VLOOKUP(LEFT(UPPER(TRIM($E56)),6),BankTbl,2,0)),"بانک ناشناخته"))</f>
        <v/>
      </c>
      <c r="G56" s="11" t="n"/>
      <c r="H56" s="10">
        <f>IF($G56="","",IFERROR(VLOOKUP($G56,CustTbl,2,0),IFERROR(VLOOKUP($G56,SuppTbl,2,0),IFERROR(VLOOKUP($G56,AcctTbl,2,0),IFERROR(VLOOKUP($G56,StaffTbl,2,0),"کد ناشناخته")))))</f>
        <v/>
      </c>
      <c r="I56" s="12" t="n"/>
      <c r="J56" s="12" t="n"/>
      <c r="K56" s="13" t="n"/>
      <c r="L56" s="13" t="n"/>
      <c r="M56" s="13" t="n"/>
      <c r="N56" s="14">
        <f>IF(OR($C56="",$E56="",Calc!$H56=""),"",IFERROR(VLOOKUP(LEFT(UPPER(TRIM($E56)),6),BankTbl,3,0),0)+SUMIFS(CalcDep,CalcBank,LEFT(UPPER(TRIM($E56)),6),CalcKey,"&lt;="&amp;Calc!$H56)-SUMIFS(CalcWit,CalcBank,LEFT(UPPER(TRIM($E56)),6),CalcKey,"&lt;="&amp;Calc!$H56))</f>
        <v/>
      </c>
      <c r="O56" s="10">
        <f>IF(OR($C56="",$M56=""),"",IF($N56="","؟",IF(ROUND($M56-$N56,0)=0,"√","×")))</f>
        <v/>
      </c>
      <c r="P56" s="12" t="n"/>
    </row>
    <row r="57">
      <c r="A57" s="10">
        <f>IF($C57="","",COUNTA($C$9:$C57))</f>
        <v/>
      </c>
      <c r="B57" s="10">
        <f>IF($C57="","","TXN-"&amp;RIGHT("0000"&amp;49,4))</f>
        <v/>
      </c>
      <c r="C57" s="11" t="n"/>
      <c r="D57" s="11" t="n"/>
      <c r="E57" s="12" t="n"/>
      <c r="F57" s="10">
        <f>IF($E57="","",IFERROR(IF(VLOOKUP(LEFT(UPPER(TRIM($E57)),6),BankTbl,2,0)="","(بدون عنوان)",VLOOKUP(LEFT(UPPER(TRIM($E57)),6),BankTbl,2,0)),"بانک ناشناخته"))</f>
        <v/>
      </c>
      <c r="G57" s="11" t="n"/>
      <c r="H57" s="10">
        <f>IF($G57="","",IFERROR(VLOOKUP($G57,CustTbl,2,0),IFERROR(VLOOKUP($G57,SuppTbl,2,0),IFERROR(VLOOKUP($G57,AcctTbl,2,0),IFERROR(VLOOKUP($G57,StaffTbl,2,0),"کد ناشناخته")))))</f>
        <v/>
      </c>
      <c r="I57" s="12" t="n"/>
      <c r="J57" s="12" t="n"/>
      <c r="K57" s="13" t="n"/>
      <c r="L57" s="13" t="n"/>
      <c r="M57" s="13" t="n"/>
      <c r="N57" s="14">
        <f>IF(OR($C57="",$E57="",Calc!$H57=""),"",IFERROR(VLOOKUP(LEFT(UPPER(TRIM($E57)),6),BankTbl,3,0),0)+SUMIFS(CalcDep,CalcBank,LEFT(UPPER(TRIM($E57)),6),CalcKey,"&lt;="&amp;Calc!$H57)-SUMIFS(CalcWit,CalcBank,LEFT(UPPER(TRIM($E57)),6),CalcKey,"&lt;="&amp;Calc!$H57))</f>
        <v/>
      </c>
      <c r="O57" s="10">
        <f>IF(OR($C57="",$M57=""),"",IF($N57="","؟",IF(ROUND($M57-$N57,0)=0,"√","×")))</f>
        <v/>
      </c>
      <c r="P57" s="12" t="n"/>
    </row>
    <row r="58">
      <c r="A58" s="10">
        <f>IF($C58="","",COUNTA($C$9:$C58))</f>
        <v/>
      </c>
      <c r="B58" s="10">
        <f>IF($C58="","","TXN-"&amp;RIGHT("0000"&amp;50,4))</f>
        <v/>
      </c>
      <c r="C58" s="11" t="n"/>
      <c r="D58" s="11" t="n"/>
      <c r="E58" s="12" t="n"/>
      <c r="F58" s="10">
        <f>IF($E58="","",IFERROR(IF(VLOOKUP(LEFT(UPPER(TRIM($E58)),6),BankTbl,2,0)="","(بدون عنوان)",VLOOKUP(LEFT(UPPER(TRIM($E58)),6),BankTbl,2,0)),"بانک ناشناخته"))</f>
        <v/>
      </c>
      <c r="G58" s="11" t="n"/>
      <c r="H58" s="10">
        <f>IF($G58="","",IFERROR(VLOOKUP($G58,CustTbl,2,0),IFERROR(VLOOKUP($G58,SuppTbl,2,0),IFERROR(VLOOKUP($G58,AcctTbl,2,0),IFERROR(VLOOKUP($G58,StaffTbl,2,0),"کد ناشناخته")))))</f>
        <v/>
      </c>
      <c r="I58" s="12" t="n"/>
      <c r="J58" s="12" t="n"/>
      <c r="K58" s="13" t="n"/>
      <c r="L58" s="13" t="n"/>
      <c r="M58" s="13" t="n"/>
      <c r="N58" s="14">
        <f>IF(OR($C58="",$E58="",Calc!$H58=""),"",IFERROR(VLOOKUP(LEFT(UPPER(TRIM($E58)),6),BankTbl,3,0),0)+SUMIFS(CalcDep,CalcBank,LEFT(UPPER(TRIM($E58)),6),CalcKey,"&lt;="&amp;Calc!$H58)-SUMIFS(CalcWit,CalcBank,LEFT(UPPER(TRIM($E58)),6),CalcKey,"&lt;="&amp;Calc!$H58))</f>
        <v/>
      </c>
      <c r="O58" s="10">
        <f>IF(OR($C58="",$M58=""),"",IF($N58="","؟",IF(ROUND($M58-$N58,0)=0,"√","×")))</f>
        <v/>
      </c>
      <c r="P58" s="12" t="n"/>
    </row>
    <row r="59">
      <c r="A59" s="10">
        <f>IF($C59="","",COUNTA($C$9:$C59))</f>
        <v/>
      </c>
      <c r="B59" s="10">
        <f>IF($C59="","","TXN-"&amp;RIGHT("0000"&amp;51,4))</f>
        <v/>
      </c>
      <c r="C59" s="11" t="n"/>
      <c r="D59" s="11" t="n"/>
      <c r="E59" s="12" t="n"/>
      <c r="F59" s="10">
        <f>IF($E59="","",IFERROR(IF(VLOOKUP(LEFT(UPPER(TRIM($E59)),6),BankTbl,2,0)="","(بدون عنوان)",VLOOKUP(LEFT(UPPER(TRIM($E59)),6),BankTbl,2,0)),"بانک ناشناخته"))</f>
        <v/>
      </c>
      <c r="G59" s="11" t="n"/>
      <c r="H59" s="10">
        <f>IF($G59="","",IFERROR(VLOOKUP($G59,CustTbl,2,0),IFERROR(VLOOKUP($G59,SuppTbl,2,0),IFERROR(VLOOKUP($G59,AcctTbl,2,0),IFERROR(VLOOKUP($G59,StaffTbl,2,0),"کد ناشناخته")))))</f>
        <v/>
      </c>
      <c r="I59" s="12" t="n"/>
      <c r="J59" s="12" t="n"/>
      <c r="K59" s="13" t="n"/>
      <c r="L59" s="13" t="n"/>
      <c r="M59" s="13" t="n"/>
      <c r="N59" s="14">
        <f>IF(OR($C59="",$E59="",Calc!$H59=""),"",IFERROR(VLOOKUP(LEFT(UPPER(TRIM($E59)),6),BankTbl,3,0),0)+SUMIFS(CalcDep,CalcBank,LEFT(UPPER(TRIM($E59)),6),CalcKey,"&lt;="&amp;Calc!$H59)-SUMIFS(CalcWit,CalcBank,LEFT(UPPER(TRIM($E59)),6),CalcKey,"&lt;="&amp;Calc!$H59))</f>
        <v/>
      </c>
      <c r="O59" s="10">
        <f>IF(OR($C59="",$M59=""),"",IF($N59="","؟",IF(ROUND($M59-$N59,0)=0,"√","×")))</f>
        <v/>
      </c>
      <c r="P59" s="12" t="n"/>
    </row>
    <row r="60">
      <c r="A60" s="10">
        <f>IF($C60="","",COUNTA($C$9:$C60))</f>
        <v/>
      </c>
      <c r="B60" s="10">
        <f>IF($C60="","","TXN-"&amp;RIGHT("0000"&amp;52,4))</f>
        <v/>
      </c>
      <c r="C60" s="11" t="n"/>
      <c r="D60" s="11" t="n"/>
      <c r="E60" s="12" t="n"/>
      <c r="F60" s="10">
        <f>IF($E60="","",IFERROR(IF(VLOOKUP(LEFT(UPPER(TRIM($E60)),6),BankTbl,2,0)="","(بدون عنوان)",VLOOKUP(LEFT(UPPER(TRIM($E60)),6),BankTbl,2,0)),"بانک ناشناخته"))</f>
        <v/>
      </c>
      <c r="G60" s="11" t="n"/>
      <c r="H60" s="10">
        <f>IF($G60="","",IFERROR(VLOOKUP($G60,CustTbl,2,0),IFERROR(VLOOKUP($G60,SuppTbl,2,0),IFERROR(VLOOKUP($G60,AcctTbl,2,0),IFERROR(VLOOKUP($G60,StaffTbl,2,0),"کد ناشناخته")))))</f>
        <v/>
      </c>
      <c r="I60" s="12" t="n"/>
      <c r="J60" s="12" t="n"/>
      <c r="K60" s="13" t="n"/>
      <c r="L60" s="13" t="n"/>
      <c r="M60" s="13" t="n"/>
      <c r="N60" s="14">
        <f>IF(OR($C60="",$E60="",Calc!$H60=""),"",IFERROR(VLOOKUP(LEFT(UPPER(TRIM($E60)),6),BankTbl,3,0),0)+SUMIFS(CalcDep,CalcBank,LEFT(UPPER(TRIM($E60)),6),CalcKey,"&lt;="&amp;Calc!$H60)-SUMIFS(CalcWit,CalcBank,LEFT(UPPER(TRIM($E60)),6),CalcKey,"&lt;="&amp;Calc!$H60))</f>
        <v/>
      </c>
      <c r="O60" s="10">
        <f>IF(OR($C60="",$M60=""),"",IF($N60="","؟",IF(ROUND($M60-$N60,0)=0,"√","×")))</f>
        <v/>
      </c>
      <c r="P60" s="12" t="n"/>
    </row>
    <row r="61">
      <c r="A61" s="10">
        <f>IF($C61="","",COUNTA($C$9:$C61))</f>
        <v/>
      </c>
      <c r="B61" s="10">
        <f>IF($C61="","","TXN-"&amp;RIGHT("0000"&amp;53,4))</f>
        <v/>
      </c>
      <c r="C61" s="11" t="n"/>
      <c r="D61" s="11" t="n"/>
      <c r="E61" s="12" t="n"/>
      <c r="F61" s="10">
        <f>IF($E61="","",IFERROR(IF(VLOOKUP(LEFT(UPPER(TRIM($E61)),6),BankTbl,2,0)="","(بدون عنوان)",VLOOKUP(LEFT(UPPER(TRIM($E61)),6),BankTbl,2,0)),"بانک ناشناخته"))</f>
        <v/>
      </c>
      <c r="G61" s="11" t="n"/>
      <c r="H61" s="10">
        <f>IF($G61="","",IFERROR(VLOOKUP($G61,CustTbl,2,0),IFERROR(VLOOKUP($G61,SuppTbl,2,0),IFERROR(VLOOKUP($G61,AcctTbl,2,0),IFERROR(VLOOKUP($G61,StaffTbl,2,0),"کد ناشناخته")))))</f>
        <v/>
      </c>
      <c r="I61" s="12" t="n"/>
      <c r="J61" s="12" t="n"/>
      <c r="K61" s="13" t="n"/>
      <c r="L61" s="13" t="n"/>
      <c r="M61" s="13" t="n"/>
      <c r="N61" s="14">
        <f>IF(OR($C61="",$E61="",Calc!$H61=""),"",IFERROR(VLOOKUP(LEFT(UPPER(TRIM($E61)),6),BankTbl,3,0),0)+SUMIFS(CalcDep,CalcBank,LEFT(UPPER(TRIM($E61)),6),CalcKey,"&lt;="&amp;Calc!$H61)-SUMIFS(CalcWit,CalcBank,LEFT(UPPER(TRIM($E61)),6),CalcKey,"&lt;="&amp;Calc!$H61))</f>
        <v/>
      </c>
      <c r="O61" s="10">
        <f>IF(OR($C61="",$M61=""),"",IF($N61="","؟",IF(ROUND($M61-$N61,0)=0,"√","×")))</f>
        <v/>
      </c>
      <c r="P61" s="12" t="n"/>
    </row>
    <row r="62">
      <c r="A62" s="10">
        <f>IF($C62="","",COUNTA($C$9:$C62))</f>
        <v/>
      </c>
      <c r="B62" s="10">
        <f>IF($C62="","","TXN-"&amp;RIGHT("0000"&amp;54,4))</f>
        <v/>
      </c>
      <c r="C62" s="11" t="n"/>
      <c r="D62" s="11" t="n"/>
      <c r="E62" s="12" t="n"/>
      <c r="F62" s="10">
        <f>IF($E62="","",IFERROR(IF(VLOOKUP(LEFT(UPPER(TRIM($E62)),6),BankTbl,2,0)="","(بدون عنوان)",VLOOKUP(LEFT(UPPER(TRIM($E62)),6),BankTbl,2,0)),"بانک ناشناخته"))</f>
        <v/>
      </c>
      <c r="G62" s="11" t="n"/>
      <c r="H62" s="10">
        <f>IF($G62="","",IFERROR(VLOOKUP($G62,CustTbl,2,0),IFERROR(VLOOKUP($G62,SuppTbl,2,0),IFERROR(VLOOKUP($G62,AcctTbl,2,0),IFERROR(VLOOKUP($G62,StaffTbl,2,0),"کد ناشناخته")))))</f>
        <v/>
      </c>
      <c r="I62" s="12" t="n"/>
      <c r="J62" s="12" t="n"/>
      <c r="K62" s="13" t="n"/>
      <c r="L62" s="13" t="n"/>
      <c r="M62" s="13" t="n"/>
      <c r="N62" s="14">
        <f>IF(OR($C62="",$E62="",Calc!$H62=""),"",IFERROR(VLOOKUP(LEFT(UPPER(TRIM($E62)),6),BankTbl,3,0),0)+SUMIFS(CalcDep,CalcBank,LEFT(UPPER(TRIM($E62)),6),CalcKey,"&lt;="&amp;Calc!$H62)-SUMIFS(CalcWit,CalcBank,LEFT(UPPER(TRIM($E62)),6),CalcKey,"&lt;="&amp;Calc!$H62))</f>
        <v/>
      </c>
      <c r="O62" s="10">
        <f>IF(OR($C62="",$M62=""),"",IF($N62="","؟",IF(ROUND($M62-$N62,0)=0,"√","×")))</f>
        <v/>
      </c>
      <c r="P62" s="12" t="n"/>
    </row>
    <row r="63">
      <c r="A63" s="10">
        <f>IF($C63="","",COUNTA($C$9:$C63))</f>
        <v/>
      </c>
      <c r="B63" s="10">
        <f>IF($C63="","","TXN-"&amp;RIGHT("0000"&amp;55,4))</f>
        <v/>
      </c>
      <c r="C63" s="11" t="n"/>
      <c r="D63" s="11" t="n"/>
      <c r="E63" s="12" t="n"/>
      <c r="F63" s="10">
        <f>IF($E63="","",IFERROR(IF(VLOOKUP(LEFT(UPPER(TRIM($E63)),6),BankTbl,2,0)="","(بدون عنوان)",VLOOKUP(LEFT(UPPER(TRIM($E63)),6),BankTbl,2,0)),"بانک ناشناخته"))</f>
        <v/>
      </c>
      <c r="G63" s="11" t="n"/>
      <c r="H63" s="10">
        <f>IF($G63="","",IFERROR(VLOOKUP($G63,CustTbl,2,0),IFERROR(VLOOKUP($G63,SuppTbl,2,0),IFERROR(VLOOKUP($G63,AcctTbl,2,0),IFERROR(VLOOKUP($G63,StaffTbl,2,0),"کد ناشناخته")))))</f>
        <v/>
      </c>
      <c r="I63" s="12" t="n"/>
      <c r="J63" s="12" t="n"/>
      <c r="K63" s="13" t="n"/>
      <c r="L63" s="13" t="n"/>
      <c r="M63" s="13" t="n"/>
      <c r="N63" s="14">
        <f>IF(OR($C63="",$E63="",Calc!$H63=""),"",IFERROR(VLOOKUP(LEFT(UPPER(TRIM($E63)),6),BankTbl,3,0),0)+SUMIFS(CalcDep,CalcBank,LEFT(UPPER(TRIM($E63)),6),CalcKey,"&lt;="&amp;Calc!$H63)-SUMIFS(CalcWit,CalcBank,LEFT(UPPER(TRIM($E63)),6),CalcKey,"&lt;="&amp;Calc!$H63))</f>
        <v/>
      </c>
      <c r="O63" s="10">
        <f>IF(OR($C63="",$M63=""),"",IF($N63="","؟",IF(ROUND($M63-$N63,0)=0,"√","×")))</f>
        <v/>
      </c>
      <c r="P63" s="12" t="n"/>
    </row>
    <row r="64">
      <c r="A64" s="10">
        <f>IF($C64="","",COUNTA($C$9:$C64))</f>
        <v/>
      </c>
      <c r="B64" s="10">
        <f>IF($C64="","","TXN-"&amp;RIGHT("0000"&amp;56,4))</f>
        <v/>
      </c>
      <c r="C64" s="11" t="n"/>
      <c r="D64" s="11" t="n"/>
      <c r="E64" s="12" t="n"/>
      <c r="F64" s="10">
        <f>IF($E64="","",IFERROR(IF(VLOOKUP(LEFT(UPPER(TRIM($E64)),6),BankTbl,2,0)="","(بدون عنوان)",VLOOKUP(LEFT(UPPER(TRIM($E64)),6),BankTbl,2,0)),"بانک ناشناخته"))</f>
        <v/>
      </c>
      <c r="G64" s="11" t="n"/>
      <c r="H64" s="10">
        <f>IF($G64="","",IFERROR(VLOOKUP($G64,CustTbl,2,0),IFERROR(VLOOKUP($G64,SuppTbl,2,0),IFERROR(VLOOKUP($G64,AcctTbl,2,0),IFERROR(VLOOKUP($G64,StaffTbl,2,0),"کد ناشناخته")))))</f>
        <v/>
      </c>
      <c r="I64" s="12" t="n"/>
      <c r="J64" s="12" t="n"/>
      <c r="K64" s="13" t="n"/>
      <c r="L64" s="13" t="n"/>
      <c r="M64" s="13" t="n"/>
      <c r="N64" s="14">
        <f>IF(OR($C64="",$E64="",Calc!$H64=""),"",IFERROR(VLOOKUP(LEFT(UPPER(TRIM($E64)),6),BankTbl,3,0),0)+SUMIFS(CalcDep,CalcBank,LEFT(UPPER(TRIM($E64)),6),CalcKey,"&lt;="&amp;Calc!$H64)-SUMIFS(CalcWit,CalcBank,LEFT(UPPER(TRIM($E64)),6),CalcKey,"&lt;="&amp;Calc!$H64))</f>
        <v/>
      </c>
      <c r="O64" s="10">
        <f>IF(OR($C64="",$M64=""),"",IF($N64="","؟",IF(ROUND($M64-$N64,0)=0,"√","×")))</f>
        <v/>
      </c>
      <c r="P64" s="12" t="n"/>
    </row>
    <row r="65">
      <c r="A65" s="10">
        <f>IF($C65="","",COUNTA($C$9:$C65))</f>
        <v/>
      </c>
      <c r="B65" s="10">
        <f>IF($C65="","","TXN-"&amp;RIGHT("0000"&amp;57,4))</f>
        <v/>
      </c>
      <c r="C65" s="11" t="n"/>
      <c r="D65" s="11" t="n"/>
      <c r="E65" s="12" t="n"/>
      <c r="F65" s="10">
        <f>IF($E65="","",IFERROR(IF(VLOOKUP(LEFT(UPPER(TRIM($E65)),6),BankTbl,2,0)="","(بدون عنوان)",VLOOKUP(LEFT(UPPER(TRIM($E65)),6),BankTbl,2,0)),"بانک ناشناخته"))</f>
        <v/>
      </c>
      <c r="G65" s="11" t="n"/>
      <c r="H65" s="10">
        <f>IF($G65="","",IFERROR(VLOOKUP($G65,CustTbl,2,0),IFERROR(VLOOKUP($G65,SuppTbl,2,0),IFERROR(VLOOKUP($G65,AcctTbl,2,0),IFERROR(VLOOKUP($G65,StaffTbl,2,0),"کد ناشناخته")))))</f>
        <v/>
      </c>
      <c r="I65" s="12" t="n"/>
      <c r="J65" s="12" t="n"/>
      <c r="K65" s="13" t="n"/>
      <c r="L65" s="13" t="n"/>
      <c r="M65" s="13" t="n"/>
      <c r="N65" s="14">
        <f>IF(OR($C65="",$E65="",Calc!$H65=""),"",IFERROR(VLOOKUP(LEFT(UPPER(TRIM($E65)),6),BankTbl,3,0),0)+SUMIFS(CalcDep,CalcBank,LEFT(UPPER(TRIM($E65)),6),CalcKey,"&lt;="&amp;Calc!$H65)-SUMIFS(CalcWit,CalcBank,LEFT(UPPER(TRIM($E65)),6),CalcKey,"&lt;="&amp;Calc!$H65))</f>
        <v/>
      </c>
      <c r="O65" s="10">
        <f>IF(OR($C65="",$M65=""),"",IF($N65="","؟",IF(ROUND($M65-$N65,0)=0,"√","×")))</f>
        <v/>
      </c>
      <c r="P65" s="12" t="n"/>
    </row>
    <row r="66">
      <c r="A66" s="10">
        <f>IF($C66="","",COUNTA($C$9:$C66))</f>
        <v/>
      </c>
      <c r="B66" s="10">
        <f>IF($C66="","","TXN-"&amp;RIGHT("0000"&amp;58,4))</f>
        <v/>
      </c>
      <c r="C66" s="11" t="n"/>
      <c r="D66" s="11" t="n"/>
      <c r="E66" s="12" t="n"/>
      <c r="F66" s="10">
        <f>IF($E66="","",IFERROR(IF(VLOOKUP(LEFT(UPPER(TRIM($E66)),6),BankTbl,2,0)="","(بدون عنوان)",VLOOKUP(LEFT(UPPER(TRIM($E66)),6),BankTbl,2,0)),"بانک ناشناخته"))</f>
        <v/>
      </c>
      <c r="G66" s="11" t="n"/>
      <c r="H66" s="10">
        <f>IF($G66="","",IFERROR(VLOOKUP($G66,CustTbl,2,0),IFERROR(VLOOKUP($G66,SuppTbl,2,0),IFERROR(VLOOKUP($G66,AcctTbl,2,0),IFERROR(VLOOKUP($G66,StaffTbl,2,0),"کد ناشناخته")))))</f>
        <v/>
      </c>
      <c r="I66" s="12" t="n"/>
      <c r="J66" s="12" t="n"/>
      <c r="K66" s="13" t="n"/>
      <c r="L66" s="13" t="n"/>
      <c r="M66" s="13" t="n"/>
      <c r="N66" s="14">
        <f>IF(OR($C66="",$E66="",Calc!$H66=""),"",IFERROR(VLOOKUP(LEFT(UPPER(TRIM($E66)),6),BankTbl,3,0),0)+SUMIFS(CalcDep,CalcBank,LEFT(UPPER(TRIM($E66)),6),CalcKey,"&lt;="&amp;Calc!$H66)-SUMIFS(CalcWit,CalcBank,LEFT(UPPER(TRIM($E66)),6),CalcKey,"&lt;="&amp;Calc!$H66))</f>
        <v/>
      </c>
      <c r="O66" s="10">
        <f>IF(OR($C66="",$M66=""),"",IF($N66="","؟",IF(ROUND($M66-$N66,0)=0,"√","×")))</f>
        <v/>
      </c>
      <c r="P66" s="12" t="n"/>
    </row>
    <row r="67">
      <c r="A67" s="10">
        <f>IF($C67="","",COUNTA($C$9:$C67))</f>
        <v/>
      </c>
      <c r="B67" s="10">
        <f>IF($C67="","","TXN-"&amp;RIGHT("0000"&amp;59,4))</f>
        <v/>
      </c>
      <c r="C67" s="11" t="n"/>
      <c r="D67" s="11" t="n"/>
      <c r="E67" s="12" t="n"/>
      <c r="F67" s="10">
        <f>IF($E67="","",IFERROR(IF(VLOOKUP(LEFT(UPPER(TRIM($E67)),6),BankTbl,2,0)="","(بدون عنوان)",VLOOKUP(LEFT(UPPER(TRIM($E67)),6),BankTbl,2,0)),"بانک ناشناخته"))</f>
        <v/>
      </c>
      <c r="G67" s="11" t="n"/>
      <c r="H67" s="10">
        <f>IF($G67="","",IFERROR(VLOOKUP($G67,CustTbl,2,0),IFERROR(VLOOKUP($G67,SuppTbl,2,0),IFERROR(VLOOKUP($G67,AcctTbl,2,0),IFERROR(VLOOKUP($G67,StaffTbl,2,0),"کد ناشناخته")))))</f>
        <v/>
      </c>
      <c r="I67" s="12" t="n"/>
      <c r="J67" s="12" t="n"/>
      <c r="K67" s="13" t="n"/>
      <c r="L67" s="13" t="n"/>
      <c r="M67" s="13" t="n"/>
      <c r="N67" s="14">
        <f>IF(OR($C67="",$E67="",Calc!$H67=""),"",IFERROR(VLOOKUP(LEFT(UPPER(TRIM($E67)),6),BankTbl,3,0),0)+SUMIFS(CalcDep,CalcBank,LEFT(UPPER(TRIM($E67)),6),CalcKey,"&lt;="&amp;Calc!$H67)-SUMIFS(CalcWit,CalcBank,LEFT(UPPER(TRIM($E67)),6),CalcKey,"&lt;="&amp;Calc!$H67))</f>
        <v/>
      </c>
      <c r="O67" s="10">
        <f>IF(OR($C67="",$M67=""),"",IF($N67="","؟",IF(ROUND($M67-$N67,0)=0,"√","×")))</f>
        <v/>
      </c>
      <c r="P67" s="12" t="n"/>
    </row>
    <row r="68">
      <c r="A68" s="10">
        <f>IF($C68="","",COUNTA($C$9:$C68))</f>
        <v/>
      </c>
      <c r="B68" s="10">
        <f>IF($C68="","","TXN-"&amp;RIGHT("0000"&amp;60,4))</f>
        <v/>
      </c>
      <c r="C68" s="11" t="n"/>
      <c r="D68" s="11" t="n"/>
      <c r="E68" s="12" t="n"/>
      <c r="F68" s="10">
        <f>IF($E68="","",IFERROR(IF(VLOOKUP(LEFT(UPPER(TRIM($E68)),6),BankTbl,2,0)="","(بدون عنوان)",VLOOKUP(LEFT(UPPER(TRIM($E68)),6),BankTbl,2,0)),"بانک ناشناخته"))</f>
        <v/>
      </c>
      <c r="G68" s="11" t="n"/>
      <c r="H68" s="10">
        <f>IF($G68="","",IFERROR(VLOOKUP($G68,CustTbl,2,0),IFERROR(VLOOKUP($G68,SuppTbl,2,0),IFERROR(VLOOKUP($G68,AcctTbl,2,0),IFERROR(VLOOKUP($G68,StaffTbl,2,0),"کد ناشناخته")))))</f>
        <v/>
      </c>
      <c r="I68" s="12" t="n"/>
      <c r="J68" s="12" t="n"/>
      <c r="K68" s="13" t="n"/>
      <c r="L68" s="13" t="n"/>
      <c r="M68" s="13" t="n"/>
      <c r="N68" s="14">
        <f>IF(OR($C68="",$E68="",Calc!$H68=""),"",IFERROR(VLOOKUP(LEFT(UPPER(TRIM($E68)),6),BankTbl,3,0),0)+SUMIFS(CalcDep,CalcBank,LEFT(UPPER(TRIM($E68)),6),CalcKey,"&lt;="&amp;Calc!$H68)-SUMIFS(CalcWit,CalcBank,LEFT(UPPER(TRIM($E68)),6),CalcKey,"&lt;="&amp;Calc!$H68))</f>
        <v/>
      </c>
      <c r="O68" s="10">
        <f>IF(OR($C68="",$M68=""),"",IF($N68="","؟",IF(ROUND($M68-$N68,0)=0,"√","×")))</f>
        <v/>
      </c>
      <c r="P68" s="12" t="n"/>
    </row>
    <row r="69">
      <c r="A69" s="10">
        <f>IF($C69="","",COUNTA($C$9:$C69))</f>
        <v/>
      </c>
      <c r="B69" s="10">
        <f>IF($C69="","","TXN-"&amp;RIGHT("0000"&amp;61,4))</f>
        <v/>
      </c>
      <c r="C69" s="11" t="n"/>
      <c r="D69" s="11" t="n"/>
      <c r="E69" s="12" t="n"/>
      <c r="F69" s="10">
        <f>IF($E69="","",IFERROR(IF(VLOOKUP(LEFT(UPPER(TRIM($E69)),6),BankTbl,2,0)="","(بدون عنوان)",VLOOKUP(LEFT(UPPER(TRIM($E69)),6),BankTbl,2,0)),"بانک ناشناخته"))</f>
        <v/>
      </c>
      <c r="G69" s="11" t="n"/>
      <c r="H69" s="10">
        <f>IF($G69="","",IFERROR(VLOOKUP($G69,CustTbl,2,0),IFERROR(VLOOKUP($G69,SuppTbl,2,0),IFERROR(VLOOKUP($G69,AcctTbl,2,0),IFERROR(VLOOKUP($G69,StaffTbl,2,0),"کد ناشناخته")))))</f>
        <v/>
      </c>
      <c r="I69" s="12" t="n"/>
      <c r="J69" s="12" t="n"/>
      <c r="K69" s="13" t="n"/>
      <c r="L69" s="13" t="n"/>
      <c r="M69" s="13" t="n"/>
      <c r="N69" s="14">
        <f>IF(OR($C69="",$E69="",Calc!$H69=""),"",IFERROR(VLOOKUP(LEFT(UPPER(TRIM($E69)),6),BankTbl,3,0),0)+SUMIFS(CalcDep,CalcBank,LEFT(UPPER(TRIM($E69)),6),CalcKey,"&lt;="&amp;Calc!$H69)-SUMIFS(CalcWit,CalcBank,LEFT(UPPER(TRIM($E69)),6),CalcKey,"&lt;="&amp;Calc!$H69))</f>
        <v/>
      </c>
      <c r="O69" s="10">
        <f>IF(OR($C69="",$M69=""),"",IF($N69="","؟",IF(ROUND($M69-$N69,0)=0,"√","×")))</f>
        <v/>
      </c>
      <c r="P69" s="12" t="n"/>
    </row>
    <row r="70">
      <c r="A70" s="10">
        <f>IF($C70="","",COUNTA($C$9:$C70))</f>
        <v/>
      </c>
      <c r="B70" s="10">
        <f>IF($C70="","","TXN-"&amp;RIGHT("0000"&amp;62,4))</f>
        <v/>
      </c>
      <c r="C70" s="11" t="n"/>
      <c r="D70" s="11" t="n"/>
      <c r="E70" s="12" t="n"/>
      <c r="F70" s="10">
        <f>IF($E70="","",IFERROR(IF(VLOOKUP(LEFT(UPPER(TRIM($E70)),6),BankTbl,2,0)="","(بدون عنوان)",VLOOKUP(LEFT(UPPER(TRIM($E70)),6),BankTbl,2,0)),"بانک ناشناخته"))</f>
        <v/>
      </c>
      <c r="G70" s="11" t="n"/>
      <c r="H70" s="10">
        <f>IF($G70="","",IFERROR(VLOOKUP($G70,CustTbl,2,0),IFERROR(VLOOKUP($G70,SuppTbl,2,0),IFERROR(VLOOKUP($G70,AcctTbl,2,0),IFERROR(VLOOKUP($G70,StaffTbl,2,0),"کد ناشناخته")))))</f>
        <v/>
      </c>
      <c r="I70" s="12" t="n"/>
      <c r="J70" s="12" t="n"/>
      <c r="K70" s="13" t="n"/>
      <c r="L70" s="13" t="n"/>
      <c r="M70" s="13" t="n"/>
      <c r="N70" s="14">
        <f>IF(OR($C70="",$E70="",Calc!$H70=""),"",IFERROR(VLOOKUP(LEFT(UPPER(TRIM($E70)),6),BankTbl,3,0),0)+SUMIFS(CalcDep,CalcBank,LEFT(UPPER(TRIM($E70)),6),CalcKey,"&lt;="&amp;Calc!$H70)-SUMIFS(CalcWit,CalcBank,LEFT(UPPER(TRIM($E70)),6),CalcKey,"&lt;="&amp;Calc!$H70))</f>
        <v/>
      </c>
      <c r="O70" s="10">
        <f>IF(OR($C70="",$M70=""),"",IF($N70="","؟",IF(ROUND($M70-$N70,0)=0,"√","×")))</f>
        <v/>
      </c>
      <c r="P70" s="12" t="n"/>
    </row>
    <row r="71">
      <c r="A71" s="10">
        <f>IF($C71="","",COUNTA($C$9:$C71))</f>
        <v/>
      </c>
      <c r="B71" s="10">
        <f>IF($C71="","","TXN-"&amp;RIGHT("0000"&amp;63,4))</f>
        <v/>
      </c>
      <c r="C71" s="11" t="n"/>
      <c r="D71" s="11" t="n"/>
      <c r="E71" s="12" t="n"/>
      <c r="F71" s="10">
        <f>IF($E71="","",IFERROR(IF(VLOOKUP(LEFT(UPPER(TRIM($E71)),6),BankTbl,2,0)="","(بدون عنوان)",VLOOKUP(LEFT(UPPER(TRIM($E71)),6),BankTbl,2,0)),"بانک ناشناخته"))</f>
        <v/>
      </c>
      <c r="G71" s="11" t="n"/>
      <c r="H71" s="10">
        <f>IF($G71="","",IFERROR(VLOOKUP($G71,CustTbl,2,0),IFERROR(VLOOKUP($G71,SuppTbl,2,0),IFERROR(VLOOKUP($G71,AcctTbl,2,0),IFERROR(VLOOKUP($G71,StaffTbl,2,0),"کد ناشناخته")))))</f>
        <v/>
      </c>
      <c r="I71" s="12" t="n"/>
      <c r="J71" s="12" t="n"/>
      <c r="K71" s="13" t="n"/>
      <c r="L71" s="13" t="n"/>
      <c r="M71" s="13" t="n"/>
      <c r="N71" s="14">
        <f>IF(OR($C71="",$E71="",Calc!$H71=""),"",IFERROR(VLOOKUP(LEFT(UPPER(TRIM($E71)),6),BankTbl,3,0),0)+SUMIFS(CalcDep,CalcBank,LEFT(UPPER(TRIM($E71)),6),CalcKey,"&lt;="&amp;Calc!$H71)-SUMIFS(CalcWit,CalcBank,LEFT(UPPER(TRIM($E71)),6),CalcKey,"&lt;="&amp;Calc!$H71))</f>
        <v/>
      </c>
      <c r="O71" s="10">
        <f>IF(OR($C71="",$M71=""),"",IF($N71="","؟",IF(ROUND($M71-$N71,0)=0,"√","×")))</f>
        <v/>
      </c>
      <c r="P71" s="12" t="n"/>
    </row>
    <row r="72">
      <c r="A72" s="10">
        <f>IF($C72="","",COUNTA($C$9:$C72))</f>
        <v/>
      </c>
      <c r="B72" s="10">
        <f>IF($C72="","","TXN-"&amp;RIGHT("0000"&amp;64,4))</f>
        <v/>
      </c>
      <c r="C72" s="11" t="n"/>
      <c r="D72" s="11" t="n"/>
      <c r="E72" s="12" t="n"/>
      <c r="F72" s="10">
        <f>IF($E72="","",IFERROR(IF(VLOOKUP(LEFT(UPPER(TRIM($E72)),6),BankTbl,2,0)="","(بدون عنوان)",VLOOKUP(LEFT(UPPER(TRIM($E72)),6),BankTbl,2,0)),"بانک ناشناخته"))</f>
        <v/>
      </c>
      <c r="G72" s="11" t="n"/>
      <c r="H72" s="10">
        <f>IF($G72="","",IFERROR(VLOOKUP($G72,CustTbl,2,0),IFERROR(VLOOKUP($G72,SuppTbl,2,0),IFERROR(VLOOKUP($G72,AcctTbl,2,0),IFERROR(VLOOKUP($G72,StaffTbl,2,0),"کد ناشناخته")))))</f>
        <v/>
      </c>
      <c r="I72" s="12" t="n"/>
      <c r="J72" s="12" t="n"/>
      <c r="K72" s="13" t="n"/>
      <c r="L72" s="13" t="n"/>
      <c r="M72" s="13" t="n"/>
      <c r="N72" s="14">
        <f>IF(OR($C72="",$E72="",Calc!$H72=""),"",IFERROR(VLOOKUP(LEFT(UPPER(TRIM($E72)),6),BankTbl,3,0),0)+SUMIFS(CalcDep,CalcBank,LEFT(UPPER(TRIM($E72)),6),CalcKey,"&lt;="&amp;Calc!$H72)-SUMIFS(CalcWit,CalcBank,LEFT(UPPER(TRIM($E72)),6),CalcKey,"&lt;="&amp;Calc!$H72))</f>
        <v/>
      </c>
      <c r="O72" s="10">
        <f>IF(OR($C72="",$M72=""),"",IF($N72="","؟",IF(ROUND($M72-$N72,0)=0,"√","×")))</f>
        <v/>
      </c>
      <c r="P72" s="12" t="n"/>
    </row>
    <row r="73">
      <c r="A73" s="10">
        <f>IF($C73="","",COUNTA($C$9:$C73))</f>
        <v/>
      </c>
      <c r="B73" s="10">
        <f>IF($C73="","","TXN-"&amp;RIGHT("0000"&amp;65,4))</f>
        <v/>
      </c>
      <c r="C73" s="11" t="n"/>
      <c r="D73" s="11" t="n"/>
      <c r="E73" s="12" t="n"/>
      <c r="F73" s="10">
        <f>IF($E73="","",IFERROR(IF(VLOOKUP(LEFT(UPPER(TRIM($E73)),6),BankTbl,2,0)="","(بدون عنوان)",VLOOKUP(LEFT(UPPER(TRIM($E73)),6),BankTbl,2,0)),"بانک ناشناخته"))</f>
        <v/>
      </c>
      <c r="G73" s="11" t="n"/>
      <c r="H73" s="10">
        <f>IF($G73="","",IFERROR(VLOOKUP($G73,CustTbl,2,0),IFERROR(VLOOKUP($G73,SuppTbl,2,0),IFERROR(VLOOKUP($G73,AcctTbl,2,0),IFERROR(VLOOKUP($G73,StaffTbl,2,0),"کد ناشناخته")))))</f>
        <v/>
      </c>
      <c r="I73" s="12" t="n"/>
      <c r="J73" s="12" t="n"/>
      <c r="K73" s="13" t="n"/>
      <c r="L73" s="13" t="n"/>
      <c r="M73" s="13" t="n"/>
      <c r="N73" s="14">
        <f>IF(OR($C73="",$E73="",Calc!$H73=""),"",IFERROR(VLOOKUP(LEFT(UPPER(TRIM($E73)),6),BankTbl,3,0),0)+SUMIFS(CalcDep,CalcBank,LEFT(UPPER(TRIM($E73)),6),CalcKey,"&lt;="&amp;Calc!$H73)-SUMIFS(CalcWit,CalcBank,LEFT(UPPER(TRIM($E73)),6),CalcKey,"&lt;="&amp;Calc!$H73))</f>
        <v/>
      </c>
      <c r="O73" s="10">
        <f>IF(OR($C73="",$M73=""),"",IF($N73="","؟",IF(ROUND($M73-$N73,0)=0,"√","×")))</f>
        <v/>
      </c>
      <c r="P73" s="12" t="n"/>
    </row>
    <row r="74">
      <c r="A74" s="10">
        <f>IF($C74="","",COUNTA($C$9:$C74))</f>
        <v/>
      </c>
      <c r="B74" s="10">
        <f>IF($C74="","","TXN-"&amp;RIGHT("0000"&amp;66,4))</f>
        <v/>
      </c>
      <c r="C74" s="11" t="n"/>
      <c r="D74" s="11" t="n"/>
      <c r="E74" s="12" t="n"/>
      <c r="F74" s="10">
        <f>IF($E74="","",IFERROR(IF(VLOOKUP(LEFT(UPPER(TRIM($E74)),6),BankTbl,2,0)="","(بدون عنوان)",VLOOKUP(LEFT(UPPER(TRIM($E74)),6),BankTbl,2,0)),"بانک ناشناخته"))</f>
        <v/>
      </c>
      <c r="G74" s="11" t="n"/>
      <c r="H74" s="10">
        <f>IF($G74="","",IFERROR(VLOOKUP($G74,CustTbl,2,0),IFERROR(VLOOKUP($G74,SuppTbl,2,0),IFERROR(VLOOKUP($G74,AcctTbl,2,0),IFERROR(VLOOKUP($G74,StaffTbl,2,0),"کد ناشناخته")))))</f>
        <v/>
      </c>
      <c r="I74" s="12" t="n"/>
      <c r="J74" s="12" t="n"/>
      <c r="K74" s="13" t="n"/>
      <c r="L74" s="13" t="n"/>
      <c r="M74" s="13" t="n"/>
      <c r="N74" s="14">
        <f>IF(OR($C74="",$E74="",Calc!$H74=""),"",IFERROR(VLOOKUP(LEFT(UPPER(TRIM($E74)),6),BankTbl,3,0),0)+SUMIFS(CalcDep,CalcBank,LEFT(UPPER(TRIM($E74)),6),CalcKey,"&lt;="&amp;Calc!$H74)-SUMIFS(CalcWit,CalcBank,LEFT(UPPER(TRIM($E74)),6),CalcKey,"&lt;="&amp;Calc!$H74))</f>
        <v/>
      </c>
      <c r="O74" s="10">
        <f>IF(OR($C74="",$M74=""),"",IF($N74="","؟",IF(ROUND($M74-$N74,0)=0,"√","×")))</f>
        <v/>
      </c>
      <c r="P74" s="12" t="n"/>
    </row>
    <row r="75">
      <c r="A75" s="10">
        <f>IF($C75="","",COUNTA($C$9:$C75))</f>
        <v/>
      </c>
      <c r="B75" s="10">
        <f>IF($C75="","","TXN-"&amp;RIGHT("0000"&amp;67,4))</f>
        <v/>
      </c>
      <c r="C75" s="11" t="n"/>
      <c r="D75" s="11" t="n"/>
      <c r="E75" s="12" t="n"/>
      <c r="F75" s="10">
        <f>IF($E75="","",IFERROR(IF(VLOOKUP(LEFT(UPPER(TRIM($E75)),6),BankTbl,2,0)="","(بدون عنوان)",VLOOKUP(LEFT(UPPER(TRIM($E75)),6),BankTbl,2,0)),"بانک ناشناخته"))</f>
        <v/>
      </c>
      <c r="G75" s="11" t="n"/>
      <c r="H75" s="10">
        <f>IF($G75="","",IFERROR(VLOOKUP($G75,CustTbl,2,0),IFERROR(VLOOKUP($G75,SuppTbl,2,0),IFERROR(VLOOKUP($G75,AcctTbl,2,0),IFERROR(VLOOKUP($G75,StaffTbl,2,0),"کد ناشناخته")))))</f>
        <v/>
      </c>
      <c r="I75" s="12" t="n"/>
      <c r="J75" s="12" t="n"/>
      <c r="K75" s="13" t="n"/>
      <c r="L75" s="13" t="n"/>
      <c r="M75" s="13" t="n"/>
      <c r="N75" s="14">
        <f>IF(OR($C75="",$E75="",Calc!$H75=""),"",IFERROR(VLOOKUP(LEFT(UPPER(TRIM($E75)),6),BankTbl,3,0),0)+SUMIFS(CalcDep,CalcBank,LEFT(UPPER(TRIM($E75)),6),CalcKey,"&lt;="&amp;Calc!$H75)-SUMIFS(CalcWit,CalcBank,LEFT(UPPER(TRIM($E75)),6),CalcKey,"&lt;="&amp;Calc!$H75))</f>
        <v/>
      </c>
      <c r="O75" s="10">
        <f>IF(OR($C75="",$M75=""),"",IF($N75="","؟",IF(ROUND($M75-$N75,0)=0,"√","×")))</f>
        <v/>
      </c>
      <c r="P75" s="12" t="n"/>
    </row>
    <row r="76">
      <c r="A76" s="10">
        <f>IF($C76="","",COUNTA($C$9:$C76))</f>
        <v/>
      </c>
      <c r="B76" s="10">
        <f>IF($C76="","","TXN-"&amp;RIGHT("0000"&amp;68,4))</f>
        <v/>
      </c>
      <c r="C76" s="11" t="n"/>
      <c r="D76" s="11" t="n"/>
      <c r="E76" s="12" t="n"/>
      <c r="F76" s="10">
        <f>IF($E76="","",IFERROR(IF(VLOOKUP(LEFT(UPPER(TRIM($E76)),6),BankTbl,2,0)="","(بدون عنوان)",VLOOKUP(LEFT(UPPER(TRIM($E76)),6),BankTbl,2,0)),"بانک ناشناخته"))</f>
        <v/>
      </c>
      <c r="G76" s="11" t="n"/>
      <c r="H76" s="10">
        <f>IF($G76="","",IFERROR(VLOOKUP($G76,CustTbl,2,0),IFERROR(VLOOKUP($G76,SuppTbl,2,0),IFERROR(VLOOKUP($G76,AcctTbl,2,0),IFERROR(VLOOKUP($G76,StaffTbl,2,0),"کد ناشناخته")))))</f>
        <v/>
      </c>
      <c r="I76" s="12" t="n"/>
      <c r="J76" s="12" t="n"/>
      <c r="K76" s="13" t="n"/>
      <c r="L76" s="13" t="n"/>
      <c r="M76" s="13" t="n"/>
      <c r="N76" s="14">
        <f>IF(OR($C76="",$E76="",Calc!$H76=""),"",IFERROR(VLOOKUP(LEFT(UPPER(TRIM($E76)),6),BankTbl,3,0),0)+SUMIFS(CalcDep,CalcBank,LEFT(UPPER(TRIM($E76)),6),CalcKey,"&lt;="&amp;Calc!$H76)-SUMIFS(CalcWit,CalcBank,LEFT(UPPER(TRIM($E76)),6),CalcKey,"&lt;="&amp;Calc!$H76))</f>
        <v/>
      </c>
      <c r="O76" s="10">
        <f>IF(OR($C76="",$M76=""),"",IF($N76="","؟",IF(ROUND($M76-$N76,0)=0,"√","×")))</f>
        <v/>
      </c>
      <c r="P76" s="12" t="n"/>
    </row>
    <row r="77">
      <c r="A77" s="10">
        <f>IF($C77="","",COUNTA($C$9:$C77))</f>
        <v/>
      </c>
      <c r="B77" s="10">
        <f>IF($C77="","","TXN-"&amp;RIGHT("0000"&amp;69,4))</f>
        <v/>
      </c>
      <c r="C77" s="11" t="n"/>
      <c r="D77" s="11" t="n"/>
      <c r="E77" s="12" t="n"/>
      <c r="F77" s="10">
        <f>IF($E77="","",IFERROR(IF(VLOOKUP(LEFT(UPPER(TRIM($E77)),6),BankTbl,2,0)="","(بدون عنوان)",VLOOKUP(LEFT(UPPER(TRIM($E77)),6),BankTbl,2,0)),"بانک ناشناخته"))</f>
        <v/>
      </c>
      <c r="G77" s="11" t="n"/>
      <c r="H77" s="10">
        <f>IF($G77="","",IFERROR(VLOOKUP($G77,CustTbl,2,0),IFERROR(VLOOKUP($G77,SuppTbl,2,0),IFERROR(VLOOKUP($G77,AcctTbl,2,0),IFERROR(VLOOKUP($G77,StaffTbl,2,0),"کد ناشناخته")))))</f>
        <v/>
      </c>
      <c r="I77" s="12" t="n"/>
      <c r="J77" s="12" t="n"/>
      <c r="K77" s="13" t="n"/>
      <c r="L77" s="13" t="n"/>
      <c r="M77" s="13" t="n"/>
      <c r="N77" s="14">
        <f>IF(OR($C77="",$E77="",Calc!$H77=""),"",IFERROR(VLOOKUP(LEFT(UPPER(TRIM($E77)),6),BankTbl,3,0),0)+SUMIFS(CalcDep,CalcBank,LEFT(UPPER(TRIM($E77)),6),CalcKey,"&lt;="&amp;Calc!$H77)-SUMIFS(CalcWit,CalcBank,LEFT(UPPER(TRIM($E77)),6),CalcKey,"&lt;="&amp;Calc!$H77))</f>
        <v/>
      </c>
      <c r="O77" s="10">
        <f>IF(OR($C77="",$M77=""),"",IF($N77="","؟",IF(ROUND($M77-$N77,0)=0,"√","×")))</f>
        <v/>
      </c>
      <c r="P77" s="12" t="n"/>
    </row>
    <row r="78">
      <c r="A78" s="10">
        <f>IF($C78="","",COUNTA($C$9:$C78))</f>
        <v/>
      </c>
      <c r="B78" s="10">
        <f>IF($C78="","","TXN-"&amp;RIGHT("0000"&amp;70,4))</f>
        <v/>
      </c>
      <c r="C78" s="11" t="n"/>
      <c r="D78" s="11" t="n"/>
      <c r="E78" s="12" t="n"/>
      <c r="F78" s="10">
        <f>IF($E78="","",IFERROR(IF(VLOOKUP(LEFT(UPPER(TRIM($E78)),6),BankTbl,2,0)="","(بدون عنوان)",VLOOKUP(LEFT(UPPER(TRIM($E78)),6),BankTbl,2,0)),"بانک ناشناخته"))</f>
        <v/>
      </c>
      <c r="G78" s="11" t="n"/>
      <c r="H78" s="10">
        <f>IF($G78="","",IFERROR(VLOOKUP($G78,CustTbl,2,0),IFERROR(VLOOKUP($G78,SuppTbl,2,0),IFERROR(VLOOKUP($G78,AcctTbl,2,0),IFERROR(VLOOKUP($G78,StaffTbl,2,0),"کد ناشناخته")))))</f>
        <v/>
      </c>
      <c r="I78" s="12" t="n"/>
      <c r="J78" s="12" t="n"/>
      <c r="K78" s="13" t="n"/>
      <c r="L78" s="13" t="n"/>
      <c r="M78" s="13" t="n"/>
      <c r="N78" s="14">
        <f>IF(OR($C78="",$E78="",Calc!$H78=""),"",IFERROR(VLOOKUP(LEFT(UPPER(TRIM($E78)),6),BankTbl,3,0),0)+SUMIFS(CalcDep,CalcBank,LEFT(UPPER(TRIM($E78)),6),CalcKey,"&lt;="&amp;Calc!$H78)-SUMIFS(CalcWit,CalcBank,LEFT(UPPER(TRIM($E78)),6),CalcKey,"&lt;="&amp;Calc!$H78))</f>
        <v/>
      </c>
      <c r="O78" s="10">
        <f>IF(OR($C78="",$M78=""),"",IF($N78="","؟",IF(ROUND($M78-$N78,0)=0,"√","×")))</f>
        <v/>
      </c>
      <c r="P78" s="12" t="n"/>
    </row>
    <row r="79">
      <c r="A79" s="10">
        <f>IF($C79="","",COUNTA($C$9:$C79))</f>
        <v/>
      </c>
      <c r="B79" s="10">
        <f>IF($C79="","","TXN-"&amp;RIGHT("0000"&amp;71,4))</f>
        <v/>
      </c>
      <c r="C79" s="11" t="n"/>
      <c r="D79" s="11" t="n"/>
      <c r="E79" s="12" t="n"/>
      <c r="F79" s="10">
        <f>IF($E79="","",IFERROR(IF(VLOOKUP(LEFT(UPPER(TRIM($E79)),6),BankTbl,2,0)="","(بدون عنوان)",VLOOKUP(LEFT(UPPER(TRIM($E79)),6),BankTbl,2,0)),"بانک ناشناخته"))</f>
        <v/>
      </c>
      <c r="G79" s="11" t="n"/>
      <c r="H79" s="10">
        <f>IF($G79="","",IFERROR(VLOOKUP($G79,CustTbl,2,0),IFERROR(VLOOKUP($G79,SuppTbl,2,0),IFERROR(VLOOKUP($G79,AcctTbl,2,0),IFERROR(VLOOKUP($G79,StaffTbl,2,0),"کد ناشناخته")))))</f>
        <v/>
      </c>
      <c r="I79" s="12" t="n"/>
      <c r="J79" s="12" t="n"/>
      <c r="K79" s="13" t="n"/>
      <c r="L79" s="13" t="n"/>
      <c r="M79" s="13" t="n"/>
      <c r="N79" s="14">
        <f>IF(OR($C79="",$E79="",Calc!$H79=""),"",IFERROR(VLOOKUP(LEFT(UPPER(TRIM($E79)),6),BankTbl,3,0),0)+SUMIFS(CalcDep,CalcBank,LEFT(UPPER(TRIM($E79)),6),CalcKey,"&lt;="&amp;Calc!$H79)-SUMIFS(CalcWit,CalcBank,LEFT(UPPER(TRIM($E79)),6),CalcKey,"&lt;="&amp;Calc!$H79))</f>
        <v/>
      </c>
      <c r="O79" s="10">
        <f>IF(OR($C79="",$M79=""),"",IF($N79="","؟",IF(ROUND($M79-$N79,0)=0,"√","×")))</f>
        <v/>
      </c>
      <c r="P79" s="12" t="n"/>
    </row>
    <row r="80">
      <c r="A80" s="10">
        <f>IF($C80="","",COUNTA($C$9:$C80))</f>
        <v/>
      </c>
      <c r="B80" s="10">
        <f>IF($C80="","","TXN-"&amp;RIGHT("0000"&amp;72,4))</f>
        <v/>
      </c>
      <c r="C80" s="11" t="n"/>
      <c r="D80" s="11" t="n"/>
      <c r="E80" s="12" t="n"/>
      <c r="F80" s="10">
        <f>IF($E80="","",IFERROR(IF(VLOOKUP(LEFT(UPPER(TRIM($E80)),6),BankTbl,2,0)="","(بدون عنوان)",VLOOKUP(LEFT(UPPER(TRIM($E80)),6),BankTbl,2,0)),"بانک ناشناخته"))</f>
        <v/>
      </c>
      <c r="G80" s="11" t="n"/>
      <c r="H80" s="10">
        <f>IF($G80="","",IFERROR(VLOOKUP($G80,CustTbl,2,0),IFERROR(VLOOKUP($G80,SuppTbl,2,0),IFERROR(VLOOKUP($G80,AcctTbl,2,0),IFERROR(VLOOKUP($G80,StaffTbl,2,0),"کد ناشناخته")))))</f>
        <v/>
      </c>
      <c r="I80" s="12" t="n"/>
      <c r="J80" s="12" t="n"/>
      <c r="K80" s="13" t="n"/>
      <c r="L80" s="13" t="n"/>
      <c r="M80" s="13" t="n"/>
      <c r="N80" s="14">
        <f>IF(OR($C80="",$E80="",Calc!$H80=""),"",IFERROR(VLOOKUP(LEFT(UPPER(TRIM($E80)),6),BankTbl,3,0),0)+SUMIFS(CalcDep,CalcBank,LEFT(UPPER(TRIM($E80)),6),CalcKey,"&lt;="&amp;Calc!$H80)-SUMIFS(CalcWit,CalcBank,LEFT(UPPER(TRIM($E80)),6),CalcKey,"&lt;="&amp;Calc!$H80))</f>
        <v/>
      </c>
      <c r="O80" s="10">
        <f>IF(OR($C80="",$M80=""),"",IF($N80="","؟",IF(ROUND($M80-$N80,0)=0,"√","×")))</f>
        <v/>
      </c>
      <c r="P80" s="12" t="n"/>
    </row>
    <row r="81">
      <c r="A81" s="10">
        <f>IF($C81="","",COUNTA($C$9:$C81))</f>
        <v/>
      </c>
      <c r="B81" s="10">
        <f>IF($C81="","","TXN-"&amp;RIGHT("0000"&amp;73,4))</f>
        <v/>
      </c>
      <c r="C81" s="11" t="n"/>
      <c r="D81" s="11" t="n"/>
      <c r="E81" s="12" t="n"/>
      <c r="F81" s="10">
        <f>IF($E81="","",IFERROR(IF(VLOOKUP(LEFT(UPPER(TRIM($E81)),6),BankTbl,2,0)="","(بدون عنوان)",VLOOKUP(LEFT(UPPER(TRIM($E81)),6),BankTbl,2,0)),"بانک ناشناخته"))</f>
        <v/>
      </c>
      <c r="G81" s="11" t="n"/>
      <c r="H81" s="10">
        <f>IF($G81="","",IFERROR(VLOOKUP($G81,CustTbl,2,0),IFERROR(VLOOKUP($G81,SuppTbl,2,0),IFERROR(VLOOKUP($G81,AcctTbl,2,0),IFERROR(VLOOKUP($G81,StaffTbl,2,0),"کد ناشناخته")))))</f>
        <v/>
      </c>
      <c r="I81" s="12" t="n"/>
      <c r="J81" s="12" t="n"/>
      <c r="K81" s="13" t="n"/>
      <c r="L81" s="13" t="n"/>
      <c r="M81" s="13" t="n"/>
      <c r="N81" s="14">
        <f>IF(OR($C81="",$E81="",Calc!$H81=""),"",IFERROR(VLOOKUP(LEFT(UPPER(TRIM($E81)),6),BankTbl,3,0),0)+SUMIFS(CalcDep,CalcBank,LEFT(UPPER(TRIM($E81)),6),CalcKey,"&lt;="&amp;Calc!$H81)-SUMIFS(CalcWit,CalcBank,LEFT(UPPER(TRIM($E81)),6),CalcKey,"&lt;="&amp;Calc!$H81))</f>
        <v/>
      </c>
      <c r="O81" s="10">
        <f>IF(OR($C81="",$M81=""),"",IF($N81="","؟",IF(ROUND($M81-$N81,0)=0,"√","×")))</f>
        <v/>
      </c>
      <c r="P81" s="12" t="n"/>
    </row>
    <row r="82">
      <c r="A82" s="10">
        <f>IF($C82="","",COUNTA($C$9:$C82))</f>
        <v/>
      </c>
      <c r="B82" s="10">
        <f>IF($C82="","","TXN-"&amp;RIGHT("0000"&amp;74,4))</f>
        <v/>
      </c>
      <c r="C82" s="11" t="n"/>
      <c r="D82" s="11" t="n"/>
      <c r="E82" s="12" t="n"/>
      <c r="F82" s="10">
        <f>IF($E82="","",IFERROR(IF(VLOOKUP(LEFT(UPPER(TRIM($E82)),6),BankTbl,2,0)="","(بدون عنوان)",VLOOKUP(LEFT(UPPER(TRIM($E82)),6),BankTbl,2,0)),"بانک ناشناخته"))</f>
        <v/>
      </c>
      <c r="G82" s="11" t="n"/>
      <c r="H82" s="10">
        <f>IF($G82="","",IFERROR(VLOOKUP($G82,CustTbl,2,0),IFERROR(VLOOKUP($G82,SuppTbl,2,0),IFERROR(VLOOKUP($G82,AcctTbl,2,0),IFERROR(VLOOKUP($G82,StaffTbl,2,0),"کد ناشناخته")))))</f>
        <v/>
      </c>
      <c r="I82" s="12" t="n"/>
      <c r="J82" s="12" t="n"/>
      <c r="K82" s="13" t="n"/>
      <c r="L82" s="13" t="n"/>
      <c r="M82" s="13" t="n"/>
      <c r="N82" s="14">
        <f>IF(OR($C82="",$E82="",Calc!$H82=""),"",IFERROR(VLOOKUP(LEFT(UPPER(TRIM($E82)),6),BankTbl,3,0),0)+SUMIFS(CalcDep,CalcBank,LEFT(UPPER(TRIM($E82)),6),CalcKey,"&lt;="&amp;Calc!$H82)-SUMIFS(CalcWit,CalcBank,LEFT(UPPER(TRIM($E82)),6),CalcKey,"&lt;="&amp;Calc!$H82))</f>
        <v/>
      </c>
      <c r="O82" s="10">
        <f>IF(OR($C82="",$M82=""),"",IF($N82="","؟",IF(ROUND($M82-$N82,0)=0,"√","×")))</f>
        <v/>
      </c>
      <c r="P82" s="12" t="n"/>
    </row>
    <row r="83">
      <c r="A83" s="10">
        <f>IF($C83="","",COUNTA($C$9:$C83))</f>
        <v/>
      </c>
      <c r="B83" s="10">
        <f>IF($C83="","","TXN-"&amp;RIGHT("0000"&amp;75,4))</f>
        <v/>
      </c>
      <c r="C83" s="11" t="n"/>
      <c r="D83" s="11" t="n"/>
      <c r="E83" s="12" t="n"/>
      <c r="F83" s="10">
        <f>IF($E83="","",IFERROR(IF(VLOOKUP(LEFT(UPPER(TRIM($E83)),6),BankTbl,2,0)="","(بدون عنوان)",VLOOKUP(LEFT(UPPER(TRIM($E83)),6),BankTbl,2,0)),"بانک ناشناخته"))</f>
        <v/>
      </c>
      <c r="G83" s="11" t="n"/>
      <c r="H83" s="10">
        <f>IF($G83="","",IFERROR(VLOOKUP($G83,CustTbl,2,0),IFERROR(VLOOKUP($G83,SuppTbl,2,0),IFERROR(VLOOKUP($G83,AcctTbl,2,0),IFERROR(VLOOKUP($G83,StaffTbl,2,0),"کد ناشناخته")))))</f>
        <v/>
      </c>
      <c r="I83" s="12" t="n"/>
      <c r="J83" s="12" t="n"/>
      <c r="K83" s="13" t="n"/>
      <c r="L83" s="13" t="n"/>
      <c r="M83" s="13" t="n"/>
      <c r="N83" s="14">
        <f>IF(OR($C83="",$E83="",Calc!$H83=""),"",IFERROR(VLOOKUP(LEFT(UPPER(TRIM($E83)),6),BankTbl,3,0),0)+SUMIFS(CalcDep,CalcBank,LEFT(UPPER(TRIM($E83)),6),CalcKey,"&lt;="&amp;Calc!$H83)-SUMIFS(CalcWit,CalcBank,LEFT(UPPER(TRIM($E83)),6),CalcKey,"&lt;="&amp;Calc!$H83))</f>
        <v/>
      </c>
      <c r="O83" s="10">
        <f>IF(OR($C83="",$M83=""),"",IF($N83="","؟",IF(ROUND($M83-$N83,0)=0,"√","×")))</f>
        <v/>
      </c>
      <c r="P83" s="12" t="n"/>
    </row>
    <row r="84">
      <c r="A84" s="10">
        <f>IF($C84="","",COUNTA($C$9:$C84))</f>
        <v/>
      </c>
      <c r="B84" s="10">
        <f>IF($C84="","","TXN-"&amp;RIGHT("0000"&amp;76,4))</f>
        <v/>
      </c>
      <c r="C84" s="11" t="n"/>
      <c r="D84" s="11" t="n"/>
      <c r="E84" s="12" t="n"/>
      <c r="F84" s="10">
        <f>IF($E84="","",IFERROR(IF(VLOOKUP(LEFT(UPPER(TRIM($E84)),6),BankTbl,2,0)="","(بدون عنوان)",VLOOKUP(LEFT(UPPER(TRIM($E84)),6),BankTbl,2,0)),"بانک ناشناخته"))</f>
        <v/>
      </c>
      <c r="G84" s="11" t="n"/>
      <c r="H84" s="10">
        <f>IF($G84="","",IFERROR(VLOOKUP($G84,CustTbl,2,0),IFERROR(VLOOKUP($G84,SuppTbl,2,0),IFERROR(VLOOKUP($G84,AcctTbl,2,0),IFERROR(VLOOKUP($G84,StaffTbl,2,0),"کد ناشناخته")))))</f>
        <v/>
      </c>
      <c r="I84" s="12" t="n"/>
      <c r="J84" s="12" t="n"/>
      <c r="K84" s="13" t="n"/>
      <c r="L84" s="13" t="n"/>
      <c r="M84" s="13" t="n"/>
      <c r="N84" s="14">
        <f>IF(OR($C84="",$E84="",Calc!$H84=""),"",IFERROR(VLOOKUP(LEFT(UPPER(TRIM($E84)),6),BankTbl,3,0),0)+SUMIFS(CalcDep,CalcBank,LEFT(UPPER(TRIM($E84)),6),CalcKey,"&lt;="&amp;Calc!$H84)-SUMIFS(CalcWit,CalcBank,LEFT(UPPER(TRIM($E84)),6),CalcKey,"&lt;="&amp;Calc!$H84))</f>
        <v/>
      </c>
      <c r="O84" s="10">
        <f>IF(OR($C84="",$M84=""),"",IF($N84="","؟",IF(ROUND($M84-$N84,0)=0,"√","×")))</f>
        <v/>
      </c>
      <c r="P84" s="12" t="n"/>
    </row>
    <row r="85">
      <c r="A85" s="10">
        <f>IF($C85="","",COUNTA($C$9:$C85))</f>
        <v/>
      </c>
      <c r="B85" s="10">
        <f>IF($C85="","","TXN-"&amp;RIGHT("0000"&amp;77,4))</f>
        <v/>
      </c>
      <c r="C85" s="11" t="n"/>
      <c r="D85" s="11" t="n"/>
      <c r="E85" s="12" t="n"/>
      <c r="F85" s="10">
        <f>IF($E85="","",IFERROR(IF(VLOOKUP(LEFT(UPPER(TRIM($E85)),6),BankTbl,2,0)="","(بدون عنوان)",VLOOKUP(LEFT(UPPER(TRIM($E85)),6),BankTbl,2,0)),"بانک ناشناخته"))</f>
        <v/>
      </c>
      <c r="G85" s="11" t="n"/>
      <c r="H85" s="10">
        <f>IF($G85="","",IFERROR(VLOOKUP($G85,CustTbl,2,0),IFERROR(VLOOKUP($G85,SuppTbl,2,0),IFERROR(VLOOKUP($G85,AcctTbl,2,0),IFERROR(VLOOKUP($G85,StaffTbl,2,0),"کد ناشناخته")))))</f>
        <v/>
      </c>
      <c r="I85" s="12" t="n"/>
      <c r="J85" s="12" t="n"/>
      <c r="K85" s="13" t="n"/>
      <c r="L85" s="13" t="n"/>
      <c r="M85" s="13" t="n"/>
      <c r="N85" s="14">
        <f>IF(OR($C85="",$E85="",Calc!$H85=""),"",IFERROR(VLOOKUP(LEFT(UPPER(TRIM($E85)),6),BankTbl,3,0),0)+SUMIFS(CalcDep,CalcBank,LEFT(UPPER(TRIM($E85)),6),CalcKey,"&lt;="&amp;Calc!$H85)-SUMIFS(CalcWit,CalcBank,LEFT(UPPER(TRIM($E85)),6),CalcKey,"&lt;="&amp;Calc!$H85))</f>
        <v/>
      </c>
      <c r="O85" s="10">
        <f>IF(OR($C85="",$M85=""),"",IF($N85="","؟",IF(ROUND($M85-$N85,0)=0,"√","×")))</f>
        <v/>
      </c>
      <c r="P85" s="12" t="n"/>
    </row>
    <row r="86">
      <c r="A86" s="10">
        <f>IF($C86="","",COUNTA($C$9:$C86))</f>
        <v/>
      </c>
      <c r="B86" s="10">
        <f>IF($C86="","","TXN-"&amp;RIGHT("0000"&amp;78,4))</f>
        <v/>
      </c>
      <c r="C86" s="11" t="n"/>
      <c r="D86" s="11" t="n"/>
      <c r="E86" s="12" t="n"/>
      <c r="F86" s="10">
        <f>IF($E86="","",IFERROR(IF(VLOOKUP(LEFT(UPPER(TRIM($E86)),6),BankTbl,2,0)="","(بدون عنوان)",VLOOKUP(LEFT(UPPER(TRIM($E86)),6),BankTbl,2,0)),"بانک ناشناخته"))</f>
        <v/>
      </c>
      <c r="G86" s="11" t="n"/>
      <c r="H86" s="10">
        <f>IF($G86="","",IFERROR(VLOOKUP($G86,CustTbl,2,0),IFERROR(VLOOKUP($G86,SuppTbl,2,0),IFERROR(VLOOKUP($G86,AcctTbl,2,0),IFERROR(VLOOKUP($G86,StaffTbl,2,0),"کد ناشناخته")))))</f>
        <v/>
      </c>
      <c r="I86" s="12" t="n"/>
      <c r="J86" s="12" t="n"/>
      <c r="K86" s="13" t="n"/>
      <c r="L86" s="13" t="n"/>
      <c r="M86" s="13" t="n"/>
      <c r="N86" s="14">
        <f>IF(OR($C86="",$E86="",Calc!$H86=""),"",IFERROR(VLOOKUP(LEFT(UPPER(TRIM($E86)),6),BankTbl,3,0),0)+SUMIFS(CalcDep,CalcBank,LEFT(UPPER(TRIM($E86)),6),CalcKey,"&lt;="&amp;Calc!$H86)-SUMIFS(CalcWit,CalcBank,LEFT(UPPER(TRIM($E86)),6),CalcKey,"&lt;="&amp;Calc!$H86))</f>
        <v/>
      </c>
      <c r="O86" s="10">
        <f>IF(OR($C86="",$M86=""),"",IF($N86="","؟",IF(ROUND($M86-$N86,0)=0,"√","×")))</f>
        <v/>
      </c>
      <c r="P86" s="12" t="n"/>
    </row>
    <row r="87">
      <c r="A87" s="10">
        <f>IF($C87="","",COUNTA($C$9:$C87))</f>
        <v/>
      </c>
      <c r="B87" s="10">
        <f>IF($C87="","","TXN-"&amp;RIGHT("0000"&amp;79,4))</f>
        <v/>
      </c>
      <c r="C87" s="11" t="n"/>
      <c r="D87" s="11" t="n"/>
      <c r="E87" s="12" t="n"/>
      <c r="F87" s="10">
        <f>IF($E87="","",IFERROR(IF(VLOOKUP(LEFT(UPPER(TRIM($E87)),6),BankTbl,2,0)="","(بدون عنوان)",VLOOKUP(LEFT(UPPER(TRIM($E87)),6),BankTbl,2,0)),"بانک ناشناخته"))</f>
        <v/>
      </c>
      <c r="G87" s="11" t="n"/>
      <c r="H87" s="10">
        <f>IF($G87="","",IFERROR(VLOOKUP($G87,CustTbl,2,0),IFERROR(VLOOKUP($G87,SuppTbl,2,0),IFERROR(VLOOKUP($G87,AcctTbl,2,0),IFERROR(VLOOKUP($G87,StaffTbl,2,0),"کد ناشناخته")))))</f>
        <v/>
      </c>
      <c r="I87" s="12" t="n"/>
      <c r="J87" s="12" t="n"/>
      <c r="K87" s="13" t="n"/>
      <c r="L87" s="13" t="n"/>
      <c r="M87" s="13" t="n"/>
      <c r="N87" s="14">
        <f>IF(OR($C87="",$E87="",Calc!$H87=""),"",IFERROR(VLOOKUP(LEFT(UPPER(TRIM($E87)),6),BankTbl,3,0),0)+SUMIFS(CalcDep,CalcBank,LEFT(UPPER(TRIM($E87)),6),CalcKey,"&lt;="&amp;Calc!$H87)-SUMIFS(CalcWit,CalcBank,LEFT(UPPER(TRIM($E87)),6),CalcKey,"&lt;="&amp;Calc!$H87))</f>
        <v/>
      </c>
      <c r="O87" s="10">
        <f>IF(OR($C87="",$M87=""),"",IF($N87="","؟",IF(ROUND($M87-$N87,0)=0,"√","×")))</f>
        <v/>
      </c>
      <c r="P87" s="12" t="n"/>
    </row>
    <row r="88">
      <c r="A88" s="10">
        <f>IF($C88="","",COUNTA($C$9:$C88))</f>
        <v/>
      </c>
      <c r="B88" s="10">
        <f>IF($C88="","","TXN-"&amp;RIGHT("0000"&amp;80,4))</f>
        <v/>
      </c>
      <c r="C88" s="11" t="n"/>
      <c r="D88" s="11" t="n"/>
      <c r="E88" s="12" t="n"/>
      <c r="F88" s="10">
        <f>IF($E88="","",IFERROR(IF(VLOOKUP(LEFT(UPPER(TRIM($E88)),6),BankTbl,2,0)="","(بدون عنوان)",VLOOKUP(LEFT(UPPER(TRIM($E88)),6),BankTbl,2,0)),"بانک ناشناخته"))</f>
        <v/>
      </c>
      <c r="G88" s="11" t="n"/>
      <c r="H88" s="10">
        <f>IF($G88="","",IFERROR(VLOOKUP($G88,CustTbl,2,0),IFERROR(VLOOKUP($G88,SuppTbl,2,0),IFERROR(VLOOKUP($G88,AcctTbl,2,0),IFERROR(VLOOKUP($G88,StaffTbl,2,0),"کد ناشناخته")))))</f>
        <v/>
      </c>
      <c r="I88" s="12" t="n"/>
      <c r="J88" s="12" t="n"/>
      <c r="K88" s="13" t="n"/>
      <c r="L88" s="13" t="n"/>
      <c r="M88" s="13" t="n"/>
      <c r="N88" s="14">
        <f>IF(OR($C88="",$E88="",Calc!$H88=""),"",IFERROR(VLOOKUP(LEFT(UPPER(TRIM($E88)),6),BankTbl,3,0),0)+SUMIFS(CalcDep,CalcBank,LEFT(UPPER(TRIM($E88)),6),CalcKey,"&lt;="&amp;Calc!$H88)-SUMIFS(CalcWit,CalcBank,LEFT(UPPER(TRIM($E88)),6),CalcKey,"&lt;="&amp;Calc!$H88))</f>
        <v/>
      </c>
      <c r="O88" s="10">
        <f>IF(OR($C88="",$M88=""),"",IF($N88="","؟",IF(ROUND($M88-$N88,0)=0,"√","×")))</f>
        <v/>
      </c>
      <c r="P88" s="12" t="n"/>
    </row>
    <row r="89">
      <c r="A89" s="10">
        <f>IF($C89="","",COUNTA($C$9:$C89))</f>
        <v/>
      </c>
      <c r="B89" s="10">
        <f>IF($C89="","","TXN-"&amp;RIGHT("0000"&amp;81,4))</f>
        <v/>
      </c>
      <c r="C89" s="11" t="n"/>
      <c r="D89" s="11" t="n"/>
      <c r="E89" s="12" t="n"/>
      <c r="F89" s="10">
        <f>IF($E89="","",IFERROR(IF(VLOOKUP(LEFT(UPPER(TRIM($E89)),6),BankTbl,2,0)="","(بدون عنوان)",VLOOKUP(LEFT(UPPER(TRIM($E89)),6),BankTbl,2,0)),"بانک ناشناخته"))</f>
        <v/>
      </c>
      <c r="G89" s="11" t="n"/>
      <c r="H89" s="10">
        <f>IF($G89="","",IFERROR(VLOOKUP($G89,CustTbl,2,0),IFERROR(VLOOKUP($G89,SuppTbl,2,0),IFERROR(VLOOKUP($G89,AcctTbl,2,0),IFERROR(VLOOKUP($G89,StaffTbl,2,0),"کد ناشناخته")))))</f>
        <v/>
      </c>
      <c r="I89" s="12" t="n"/>
      <c r="J89" s="12" t="n"/>
      <c r="K89" s="13" t="n"/>
      <c r="L89" s="13" t="n"/>
      <c r="M89" s="13" t="n"/>
      <c r="N89" s="14">
        <f>IF(OR($C89="",$E89="",Calc!$H89=""),"",IFERROR(VLOOKUP(LEFT(UPPER(TRIM($E89)),6),BankTbl,3,0),0)+SUMIFS(CalcDep,CalcBank,LEFT(UPPER(TRIM($E89)),6),CalcKey,"&lt;="&amp;Calc!$H89)-SUMIFS(CalcWit,CalcBank,LEFT(UPPER(TRIM($E89)),6),CalcKey,"&lt;="&amp;Calc!$H89))</f>
        <v/>
      </c>
      <c r="O89" s="10">
        <f>IF(OR($C89="",$M89=""),"",IF($N89="","؟",IF(ROUND($M89-$N89,0)=0,"√","×")))</f>
        <v/>
      </c>
      <c r="P89" s="12" t="n"/>
    </row>
    <row r="90">
      <c r="A90" s="10">
        <f>IF($C90="","",COUNTA($C$9:$C90))</f>
        <v/>
      </c>
      <c r="B90" s="10">
        <f>IF($C90="","","TXN-"&amp;RIGHT("0000"&amp;82,4))</f>
        <v/>
      </c>
      <c r="C90" s="11" t="n"/>
      <c r="D90" s="11" t="n"/>
      <c r="E90" s="12" t="n"/>
      <c r="F90" s="10">
        <f>IF($E90="","",IFERROR(IF(VLOOKUP(LEFT(UPPER(TRIM($E90)),6),BankTbl,2,0)="","(بدون عنوان)",VLOOKUP(LEFT(UPPER(TRIM($E90)),6),BankTbl,2,0)),"بانک ناشناخته"))</f>
        <v/>
      </c>
      <c r="G90" s="11" t="n"/>
      <c r="H90" s="10">
        <f>IF($G90="","",IFERROR(VLOOKUP($G90,CustTbl,2,0),IFERROR(VLOOKUP($G90,SuppTbl,2,0),IFERROR(VLOOKUP($G90,AcctTbl,2,0),IFERROR(VLOOKUP($G90,StaffTbl,2,0),"کد ناشناخته")))))</f>
        <v/>
      </c>
      <c r="I90" s="12" t="n"/>
      <c r="J90" s="12" t="n"/>
      <c r="K90" s="13" t="n"/>
      <c r="L90" s="13" t="n"/>
      <c r="M90" s="13" t="n"/>
      <c r="N90" s="14">
        <f>IF(OR($C90="",$E90="",Calc!$H90=""),"",IFERROR(VLOOKUP(LEFT(UPPER(TRIM($E90)),6),BankTbl,3,0),0)+SUMIFS(CalcDep,CalcBank,LEFT(UPPER(TRIM($E90)),6),CalcKey,"&lt;="&amp;Calc!$H90)-SUMIFS(CalcWit,CalcBank,LEFT(UPPER(TRIM($E90)),6),CalcKey,"&lt;="&amp;Calc!$H90))</f>
        <v/>
      </c>
      <c r="O90" s="10">
        <f>IF(OR($C90="",$M90=""),"",IF($N90="","؟",IF(ROUND($M90-$N90,0)=0,"√","×")))</f>
        <v/>
      </c>
      <c r="P90" s="12" t="n"/>
    </row>
    <row r="91">
      <c r="A91" s="10">
        <f>IF($C91="","",COUNTA($C$9:$C91))</f>
        <v/>
      </c>
      <c r="B91" s="10">
        <f>IF($C91="","","TXN-"&amp;RIGHT("0000"&amp;83,4))</f>
        <v/>
      </c>
      <c r="C91" s="11" t="n"/>
      <c r="D91" s="11" t="n"/>
      <c r="E91" s="12" t="n"/>
      <c r="F91" s="10">
        <f>IF($E91="","",IFERROR(IF(VLOOKUP(LEFT(UPPER(TRIM($E91)),6),BankTbl,2,0)="","(بدون عنوان)",VLOOKUP(LEFT(UPPER(TRIM($E91)),6),BankTbl,2,0)),"بانک ناشناخته"))</f>
        <v/>
      </c>
      <c r="G91" s="11" t="n"/>
      <c r="H91" s="10">
        <f>IF($G91="","",IFERROR(VLOOKUP($G91,CustTbl,2,0),IFERROR(VLOOKUP($G91,SuppTbl,2,0),IFERROR(VLOOKUP($G91,AcctTbl,2,0),IFERROR(VLOOKUP($G91,StaffTbl,2,0),"کد ناشناخته")))))</f>
        <v/>
      </c>
      <c r="I91" s="12" t="n"/>
      <c r="J91" s="12" t="n"/>
      <c r="K91" s="13" t="n"/>
      <c r="L91" s="13" t="n"/>
      <c r="M91" s="13" t="n"/>
      <c r="N91" s="14">
        <f>IF(OR($C91="",$E91="",Calc!$H91=""),"",IFERROR(VLOOKUP(LEFT(UPPER(TRIM($E91)),6),BankTbl,3,0),0)+SUMIFS(CalcDep,CalcBank,LEFT(UPPER(TRIM($E91)),6),CalcKey,"&lt;="&amp;Calc!$H91)-SUMIFS(CalcWit,CalcBank,LEFT(UPPER(TRIM($E91)),6),CalcKey,"&lt;="&amp;Calc!$H91))</f>
        <v/>
      </c>
      <c r="O91" s="10">
        <f>IF(OR($C91="",$M91=""),"",IF($N91="","؟",IF(ROUND($M91-$N91,0)=0,"√","×")))</f>
        <v/>
      </c>
      <c r="P91" s="12" t="n"/>
    </row>
    <row r="92">
      <c r="A92" s="10">
        <f>IF($C92="","",COUNTA($C$9:$C92))</f>
        <v/>
      </c>
      <c r="B92" s="10">
        <f>IF($C92="","","TXN-"&amp;RIGHT("0000"&amp;84,4))</f>
        <v/>
      </c>
      <c r="C92" s="11" t="n"/>
      <c r="D92" s="11" t="n"/>
      <c r="E92" s="12" t="n"/>
      <c r="F92" s="10">
        <f>IF($E92="","",IFERROR(IF(VLOOKUP(LEFT(UPPER(TRIM($E92)),6),BankTbl,2,0)="","(بدون عنوان)",VLOOKUP(LEFT(UPPER(TRIM($E92)),6),BankTbl,2,0)),"بانک ناشناخته"))</f>
        <v/>
      </c>
      <c r="G92" s="11" t="n"/>
      <c r="H92" s="10">
        <f>IF($G92="","",IFERROR(VLOOKUP($G92,CustTbl,2,0),IFERROR(VLOOKUP($G92,SuppTbl,2,0),IFERROR(VLOOKUP($G92,AcctTbl,2,0),IFERROR(VLOOKUP($G92,StaffTbl,2,0),"کد ناشناخته")))))</f>
        <v/>
      </c>
      <c r="I92" s="12" t="n"/>
      <c r="J92" s="12" t="n"/>
      <c r="K92" s="13" t="n"/>
      <c r="L92" s="13" t="n"/>
      <c r="M92" s="13" t="n"/>
      <c r="N92" s="14">
        <f>IF(OR($C92="",$E92="",Calc!$H92=""),"",IFERROR(VLOOKUP(LEFT(UPPER(TRIM($E92)),6),BankTbl,3,0),0)+SUMIFS(CalcDep,CalcBank,LEFT(UPPER(TRIM($E92)),6),CalcKey,"&lt;="&amp;Calc!$H92)-SUMIFS(CalcWit,CalcBank,LEFT(UPPER(TRIM($E92)),6),CalcKey,"&lt;="&amp;Calc!$H92))</f>
        <v/>
      </c>
      <c r="O92" s="10">
        <f>IF(OR($C92="",$M92=""),"",IF($N92="","؟",IF(ROUND($M92-$N92,0)=0,"√","×")))</f>
        <v/>
      </c>
      <c r="P92" s="12" t="n"/>
    </row>
    <row r="93">
      <c r="A93" s="10">
        <f>IF($C93="","",COUNTA($C$9:$C93))</f>
        <v/>
      </c>
      <c r="B93" s="10">
        <f>IF($C93="","","TXN-"&amp;RIGHT("0000"&amp;85,4))</f>
        <v/>
      </c>
      <c r="C93" s="11" t="n"/>
      <c r="D93" s="11" t="n"/>
      <c r="E93" s="12" t="n"/>
      <c r="F93" s="10">
        <f>IF($E93="","",IFERROR(IF(VLOOKUP(LEFT(UPPER(TRIM($E93)),6),BankTbl,2,0)="","(بدون عنوان)",VLOOKUP(LEFT(UPPER(TRIM($E93)),6),BankTbl,2,0)),"بانک ناشناخته"))</f>
        <v/>
      </c>
      <c r="G93" s="11" t="n"/>
      <c r="H93" s="10">
        <f>IF($G93="","",IFERROR(VLOOKUP($G93,CustTbl,2,0),IFERROR(VLOOKUP($G93,SuppTbl,2,0),IFERROR(VLOOKUP($G93,AcctTbl,2,0),IFERROR(VLOOKUP($G93,StaffTbl,2,0),"کد ناشناخته")))))</f>
        <v/>
      </c>
      <c r="I93" s="12" t="n"/>
      <c r="J93" s="12" t="n"/>
      <c r="K93" s="13" t="n"/>
      <c r="L93" s="13" t="n"/>
      <c r="M93" s="13" t="n"/>
      <c r="N93" s="14">
        <f>IF(OR($C93="",$E93="",Calc!$H93=""),"",IFERROR(VLOOKUP(LEFT(UPPER(TRIM($E93)),6),BankTbl,3,0),0)+SUMIFS(CalcDep,CalcBank,LEFT(UPPER(TRIM($E93)),6),CalcKey,"&lt;="&amp;Calc!$H93)-SUMIFS(CalcWit,CalcBank,LEFT(UPPER(TRIM($E93)),6),CalcKey,"&lt;="&amp;Calc!$H93))</f>
        <v/>
      </c>
      <c r="O93" s="10">
        <f>IF(OR($C93="",$M93=""),"",IF($N93="","؟",IF(ROUND($M93-$N93,0)=0,"√","×")))</f>
        <v/>
      </c>
      <c r="P93" s="12" t="n"/>
    </row>
    <row r="94">
      <c r="A94" s="10">
        <f>IF($C94="","",COUNTA($C$9:$C94))</f>
        <v/>
      </c>
      <c r="B94" s="10">
        <f>IF($C94="","","TXN-"&amp;RIGHT("0000"&amp;86,4))</f>
        <v/>
      </c>
      <c r="C94" s="11" t="n"/>
      <c r="D94" s="11" t="n"/>
      <c r="E94" s="12" t="n"/>
      <c r="F94" s="10">
        <f>IF($E94="","",IFERROR(IF(VLOOKUP(LEFT(UPPER(TRIM($E94)),6),BankTbl,2,0)="","(بدون عنوان)",VLOOKUP(LEFT(UPPER(TRIM($E94)),6),BankTbl,2,0)),"بانک ناشناخته"))</f>
        <v/>
      </c>
      <c r="G94" s="11" t="n"/>
      <c r="H94" s="10">
        <f>IF($G94="","",IFERROR(VLOOKUP($G94,CustTbl,2,0),IFERROR(VLOOKUP($G94,SuppTbl,2,0),IFERROR(VLOOKUP($G94,AcctTbl,2,0),IFERROR(VLOOKUP($G94,StaffTbl,2,0),"کد ناشناخته")))))</f>
        <v/>
      </c>
      <c r="I94" s="12" t="n"/>
      <c r="J94" s="12" t="n"/>
      <c r="K94" s="13" t="n"/>
      <c r="L94" s="13" t="n"/>
      <c r="M94" s="13" t="n"/>
      <c r="N94" s="14">
        <f>IF(OR($C94="",$E94="",Calc!$H94=""),"",IFERROR(VLOOKUP(LEFT(UPPER(TRIM($E94)),6),BankTbl,3,0),0)+SUMIFS(CalcDep,CalcBank,LEFT(UPPER(TRIM($E94)),6),CalcKey,"&lt;="&amp;Calc!$H94)-SUMIFS(CalcWit,CalcBank,LEFT(UPPER(TRIM($E94)),6),CalcKey,"&lt;="&amp;Calc!$H94))</f>
        <v/>
      </c>
      <c r="O94" s="10">
        <f>IF(OR($C94="",$M94=""),"",IF($N94="","؟",IF(ROUND($M94-$N94,0)=0,"√","×")))</f>
        <v/>
      </c>
      <c r="P94" s="12" t="n"/>
    </row>
    <row r="95">
      <c r="A95" s="10">
        <f>IF($C95="","",COUNTA($C$9:$C95))</f>
        <v/>
      </c>
      <c r="B95" s="10">
        <f>IF($C95="","","TXN-"&amp;RIGHT("0000"&amp;87,4))</f>
        <v/>
      </c>
      <c r="C95" s="11" t="n"/>
      <c r="D95" s="11" t="n"/>
      <c r="E95" s="12" t="n"/>
      <c r="F95" s="10">
        <f>IF($E95="","",IFERROR(IF(VLOOKUP(LEFT(UPPER(TRIM($E95)),6),BankTbl,2,0)="","(بدون عنوان)",VLOOKUP(LEFT(UPPER(TRIM($E95)),6),BankTbl,2,0)),"بانک ناشناخته"))</f>
        <v/>
      </c>
      <c r="G95" s="11" t="n"/>
      <c r="H95" s="10">
        <f>IF($G95="","",IFERROR(VLOOKUP($G95,CustTbl,2,0),IFERROR(VLOOKUP($G95,SuppTbl,2,0),IFERROR(VLOOKUP($G95,AcctTbl,2,0),IFERROR(VLOOKUP($G95,StaffTbl,2,0),"کد ناشناخته")))))</f>
        <v/>
      </c>
      <c r="I95" s="12" t="n"/>
      <c r="J95" s="12" t="n"/>
      <c r="K95" s="13" t="n"/>
      <c r="L95" s="13" t="n"/>
      <c r="M95" s="13" t="n"/>
      <c r="N95" s="14">
        <f>IF(OR($C95="",$E95="",Calc!$H95=""),"",IFERROR(VLOOKUP(LEFT(UPPER(TRIM($E95)),6),BankTbl,3,0),0)+SUMIFS(CalcDep,CalcBank,LEFT(UPPER(TRIM($E95)),6),CalcKey,"&lt;="&amp;Calc!$H95)-SUMIFS(CalcWit,CalcBank,LEFT(UPPER(TRIM($E95)),6),CalcKey,"&lt;="&amp;Calc!$H95))</f>
        <v/>
      </c>
      <c r="O95" s="10">
        <f>IF(OR($C95="",$M95=""),"",IF($N95="","؟",IF(ROUND($M95-$N95,0)=0,"√","×")))</f>
        <v/>
      </c>
      <c r="P95" s="12" t="n"/>
    </row>
    <row r="96">
      <c r="A96" s="10">
        <f>IF($C96="","",COUNTA($C$9:$C96))</f>
        <v/>
      </c>
      <c r="B96" s="10">
        <f>IF($C96="","","TXN-"&amp;RIGHT("0000"&amp;88,4))</f>
        <v/>
      </c>
      <c r="C96" s="11" t="n"/>
      <c r="D96" s="11" t="n"/>
      <c r="E96" s="12" t="n"/>
      <c r="F96" s="10">
        <f>IF($E96="","",IFERROR(IF(VLOOKUP(LEFT(UPPER(TRIM($E96)),6),BankTbl,2,0)="","(بدون عنوان)",VLOOKUP(LEFT(UPPER(TRIM($E96)),6),BankTbl,2,0)),"بانک ناشناخته"))</f>
        <v/>
      </c>
      <c r="G96" s="11" t="n"/>
      <c r="H96" s="10">
        <f>IF($G96="","",IFERROR(VLOOKUP($G96,CustTbl,2,0),IFERROR(VLOOKUP($G96,SuppTbl,2,0),IFERROR(VLOOKUP($G96,AcctTbl,2,0),IFERROR(VLOOKUP($G96,StaffTbl,2,0),"کد ناشناخته")))))</f>
        <v/>
      </c>
      <c r="I96" s="12" t="n"/>
      <c r="J96" s="12" t="n"/>
      <c r="K96" s="13" t="n"/>
      <c r="L96" s="13" t="n"/>
      <c r="M96" s="13" t="n"/>
      <c r="N96" s="14">
        <f>IF(OR($C96="",$E96="",Calc!$H96=""),"",IFERROR(VLOOKUP(LEFT(UPPER(TRIM($E96)),6),BankTbl,3,0),0)+SUMIFS(CalcDep,CalcBank,LEFT(UPPER(TRIM($E96)),6),CalcKey,"&lt;="&amp;Calc!$H96)-SUMIFS(CalcWit,CalcBank,LEFT(UPPER(TRIM($E96)),6),CalcKey,"&lt;="&amp;Calc!$H96))</f>
        <v/>
      </c>
      <c r="O96" s="10">
        <f>IF(OR($C96="",$M96=""),"",IF($N96="","؟",IF(ROUND($M96-$N96,0)=0,"√","×")))</f>
        <v/>
      </c>
      <c r="P96" s="12" t="n"/>
    </row>
    <row r="97">
      <c r="A97" s="10">
        <f>IF($C97="","",COUNTA($C$9:$C97))</f>
        <v/>
      </c>
      <c r="B97" s="10">
        <f>IF($C97="","","TXN-"&amp;RIGHT("0000"&amp;89,4))</f>
        <v/>
      </c>
      <c r="C97" s="11" t="n"/>
      <c r="D97" s="11" t="n"/>
      <c r="E97" s="12" t="n"/>
      <c r="F97" s="10">
        <f>IF($E97="","",IFERROR(IF(VLOOKUP(LEFT(UPPER(TRIM($E97)),6),BankTbl,2,0)="","(بدون عنوان)",VLOOKUP(LEFT(UPPER(TRIM($E97)),6),BankTbl,2,0)),"بانک ناشناخته"))</f>
        <v/>
      </c>
      <c r="G97" s="11" t="n"/>
      <c r="H97" s="10">
        <f>IF($G97="","",IFERROR(VLOOKUP($G97,CustTbl,2,0),IFERROR(VLOOKUP($G97,SuppTbl,2,0),IFERROR(VLOOKUP($G97,AcctTbl,2,0),IFERROR(VLOOKUP($G97,StaffTbl,2,0),"کد ناشناخته")))))</f>
        <v/>
      </c>
      <c r="I97" s="12" t="n"/>
      <c r="J97" s="12" t="n"/>
      <c r="K97" s="13" t="n"/>
      <c r="L97" s="13" t="n"/>
      <c r="M97" s="13" t="n"/>
      <c r="N97" s="14">
        <f>IF(OR($C97="",$E97="",Calc!$H97=""),"",IFERROR(VLOOKUP(LEFT(UPPER(TRIM($E97)),6),BankTbl,3,0),0)+SUMIFS(CalcDep,CalcBank,LEFT(UPPER(TRIM($E97)),6),CalcKey,"&lt;="&amp;Calc!$H97)-SUMIFS(CalcWit,CalcBank,LEFT(UPPER(TRIM($E97)),6),CalcKey,"&lt;="&amp;Calc!$H97))</f>
        <v/>
      </c>
      <c r="O97" s="10">
        <f>IF(OR($C97="",$M97=""),"",IF($N97="","؟",IF(ROUND($M97-$N97,0)=0,"√","×")))</f>
        <v/>
      </c>
      <c r="P97" s="12" t="n"/>
    </row>
    <row r="98">
      <c r="A98" s="10">
        <f>IF($C98="","",COUNTA($C$9:$C98))</f>
        <v/>
      </c>
      <c r="B98" s="10">
        <f>IF($C98="","","TXN-"&amp;RIGHT("0000"&amp;90,4))</f>
        <v/>
      </c>
      <c r="C98" s="11" t="n"/>
      <c r="D98" s="11" t="n"/>
      <c r="E98" s="12" t="n"/>
      <c r="F98" s="10">
        <f>IF($E98="","",IFERROR(IF(VLOOKUP(LEFT(UPPER(TRIM($E98)),6),BankTbl,2,0)="","(بدون عنوان)",VLOOKUP(LEFT(UPPER(TRIM($E98)),6),BankTbl,2,0)),"بانک ناشناخته"))</f>
        <v/>
      </c>
      <c r="G98" s="11" t="n"/>
      <c r="H98" s="10">
        <f>IF($G98="","",IFERROR(VLOOKUP($G98,CustTbl,2,0),IFERROR(VLOOKUP($G98,SuppTbl,2,0),IFERROR(VLOOKUP($G98,AcctTbl,2,0),IFERROR(VLOOKUP($G98,StaffTbl,2,0),"کد ناشناخته")))))</f>
        <v/>
      </c>
      <c r="I98" s="12" t="n"/>
      <c r="J98" s="12" t="n"/>
      <c r="K98" s="13" t="n"/>
      <c r="L98" s="13" t="n"/>
      <c r="M98" s="13" t="n"/>
      <c r="N98" s="14">
        <f>IF(OR($C98="",$E98="",Calc!$H98=""),"",IFERROR(VLOOKUP(LEFT(UPPER(TRIM($E98)),6),BankTbl,3,0),0)+SUMIFS(CalcDep,CalcBank,LEFT(UPPER(TRIM($E98)),6),CalcKey,"&lt;="&amp;Calc!$H98)-SUMIFS(CalcWit,CalcBank,LEFT(UPPER(TRIM($E98)),6),CalcKey,"&lt;="&amp;Calc!$H98))</f>
        <v/>
      </c>
      <c r="O98" s="10">
        <f>IF(OR($C98="",$M98=""),"",IF($N98="","؟",IF(ROUND($M98-$N98,0)=0,"√","×")))</f>
        <v/>
      </c>
      <c r="P98" s="12" t="n"/>
    </row>
    <row r="99">
      <c r="A99" s="10">
        <f>IF($C99="","",COUNTA($C$9:$C99))</f>
        <v/>
      </c>
      <c r="B99" s="10">
        <f>IF($C99="","","TXN-"&amp;RIGHT("0000"&amp;91,4))</f>
        <v/>
      </c>
      <c r="C99" s="11" t="n"/>
      <c r="D99" s="11" t="n"/>
      <c r="E99" s="12" t="n"/>
      <c r="F99" s="10">
        <f>IF($E99="","",IFERROR(IF(VLOOKUP(LEFT(UPPER(TRIM($E99)),6),BankTbl,2,0)="","(بدون عنوان)",VLOOKUP(LEFT(UPPER(TRIM($E99)),6),BankTbl,2,0)),"بانک ناشناخته"))</f>
        <v/>
      </c>
      <c r="G99" s="11" t="n"/>
      <c r="H99" s="10">
        <f>IF($G99="","",IFERROR(VLOOKUP($G99,CustTbl,2,0),IFERROR(VLOOKUP($G99,SuppTbl,2,0),IFERROR(VLOOKUP($G99,AcctTbl,2,0),IFERROR(VLOOKUP($G99,StaffTbl,2,0),"کد ناشناخته")))))</f>
        <v/>
      </c>
      <c r="I99" s="12" t="n"/>
      <c r="J99" s="12" t="n"/>
      <c r="K99" s="13" t="n"/>
      <c r="L99" s="13" t="n"/>
      <c r="M99" s="13" t="n"/>
      <c r="N99" s="14">
        <f>IF(OR($C99="",$E99="",Calc!$H99=""),"",IFERROR(VLOOKUP(LEFT(UPPER(TRIM($E99)),6),BankTbl,3,0),0)+SUMIFS(CalcDep,CalcBank,LEFT(UPPER(TRIM($E99)),6),CalcKey,"&lt;="&amp;Calc!$H99)-SUMIFS(CalcWit,CalcBank,LEFT(UPPER(TRIM($E99)),6),CalcKey,"&lt;="&amp;Calc!$H99))</f>
        <v/>
      </c>
      <c r="O99" s="10">
        <f>IF(OR($C99="",$M99=""),"",IF($N99="","؟",IF(ROUND($M99-$N99,0)=0,"√","×")))</f>
        <v/>
      </c>
      <c r="P99" s="12" t="n"/>
    </row>
    <row r="100">
      <c r="A100" s="10">
        <f>IF($C100="","",COUNTA($C$9:$C100))</f>
        <v/>
      </c>
      <c r="B100" s="10">
        <f>IF($C100="","","TXN-"&amp;RIGHT("0000"&amp;92,4))</f>
        <v/>
      </c>
      <c r="C100" s="11" t="n"/>
      <c r="D100" s="11" t="n"/>
      <c r="E100" s="12" t="n"/>
      <c r="F100" s="10">
        <f>IF($E100="","",IFERROR(IF(VLOOKUP(LEFT(UPPER(TRIM($E100)),6),BankTbl,2,0)="","(بدون عنوان)",VLOOKUP(LEFT(UPPER(TRIM($E100)),6),BankTbl,2,0)),"بانک ناشناخته"))</f>
        <v/>
      </c>
      <c r="G100" s="11" t="n"/>
      <c r="H100" s="10">
        <f>IF($G100="","",IFERROR(VLOOKUP($G100,CustTbl,2,0),IFERROR(VLOOKUP($G100,SuppTbl,2,0),IFERROR(VLOOKUP($G100,AcctTbl,2,0),IFERROR(VLOOKUP($G100,StaffTbl,2,0),"کد ناشناخته")))))</f>
        <v/>
      </c>
      <c r="I100" s="12" t="n"/>
      <c r="J100" s="12" t="n"/>
      <c r="K100" s="13" t="n"/>
      <c r="L100" s="13" t="n"/>
      <c r="M100" s="13" t="n"/>
      <c r="N100" s="14">
        <f>IF(OR($C100="",$E100="",Calc!$H100=""),"",IFERROR(VLOOKUP(LEFT(UPPER(TRIM($E100)),6),BankTbl,3,0),0)+SUMIFS(CalcDep,CalcBank,LEFT(UPPER(TRIM($E100)),6),CalcKey,"&lt;="&amp;Calc!$H100)-SUMIFS(CalcWit,CalcBank,LEFT(UPPER(TRIM($E100)),6),CalcKey,"&lt;="&amp;Calc!$H100))</f>
        <v/>
      </c>
      <c r="O100" s="10">
        <f>IF(OR($C100="",$M100=""),"",IF($N100="","؟",IF(ROUND($M100-$N100,0)=0,"√","×")))</f>
        <v/>
      </c>
      <c r="P100" s="12" t="n"/>
    </row>
    <row r="101">
      <c r="A101" s="10">
        <f>IF($C101="","",COUNTA($C$9:$C101))</f>
        <v/>
      </c>
      <c r="B101" s="10">
        <f>IF($C101="","","TXN-"&amp;RIGHT("0000"&amp;93,4))</f>
        <v/>
      </c>
      <c r="C101" s="11" t="n"/>
      <c r="D101" s="11" t="n"/>
      <c r="E101" s="12" t="n"/>
      <c r="F101" s="10">
        <f>IF($E101="","",IFERROR(IF(VLOOKUP(LEFT(UPPER(TRIM($E101)),6),BankTbl,2,0)="","(بدون عنوان)",VLOOKUP(LEFT(UPPER(TRIM($E101)),6),BankTbl,2,0)),"بانک ناشناخته"))</f>
        <v/>
      </c>
      <c r="G101" s="11" t="n"/>
      <c r="H101" s="10">
        <f>IF($G101="","",IFERROR(VLOOKUP($G101,CustTbl,2,0),IFERROR(VLOOKUP($G101,SuppTbl,2,0),IFERROR(VLOOKUP($G101,AcctTbl,2,0),IFERROR(VLOOKUP($G101,StaffTbl,2,0),"کد ناشناخته")))))</f>
        <v/>
      </c>
      <c r="I101" s="12" t="n"/>
      <c r="J101" s="12" t="n"/>
      <c r="K101" s="13" t="n"/>
      <c r="L101" s="13" t="n"/>
      <c r="M101" s="13" t="n"/>
      <c r="N101" s="14">
        <f>IF(OR($C101="",$E101="",Calc!$H101=""),"",IFERROR(VLOOKUP(LEFT(UPPER(TRIM($E101)),6),BankTbl,3,0),0)+SUMIFS(CalcDep,CalcBank,LEFT(UPPER(TRIM($E101)),6),CalcKey,"&lt;="&amp;Calc!$H101)-SUMIFS(CalcWit,CalcBank,LEFT(UPPER(TRIM($E101)),6),CalcKey,"&lt;="&amp;Calc!$H101))</f>
        <v/>
      </c>
      <c r="O101" s="10">
        <f>IF(OR($C101="",$M101=""),"",IF($N101="","؟",IF(ROUND($M101-$N101,0)=0,"√","×")))</f>
        <v/>
      </c>
      <c r="P101" s="12" t="n"/>
    </row>
    <row r="102">
      <c r="A102" s="10">
        <f>IF($C102="","",COUNTA($C$9:$C102))</f>
        <v/>
      </c>
      <c r="B102" s="10">
        <f>IF($C102="","","TXN-"&amp;RIGHT("0000"&amp;94,4))</f>
        <v/>
      </c>
      <c r="C102" s="11" t="n"/>
      <c r="D102" s="11" t="n"/>
      <c r="E102" s="12" t="n"/>
      <c r="F102" s="10">
        <f>IF($E102="","",IFERROR(IF(VLOOKUP(LEFT(UPPER(TRIM($E102)),6),BankTbl,2,0)="","(بدون عنوان)",VLOOKUP(LEFT(UPPER(TRIM($E102)),6),BankTbl,2,0)),"بانک ناشناخته"))</f>
        <v/>
      </c>
      <c r="G102" s="11" t="n"/>
      <c r="H102" s="10">
        <f>IF($G102="","",IFERROR(VLOOKUP($G102,CustTbl,2,0),IFERROR(VLOOKUP($G102,SuppTbl,2,0),IFERROR(VLOOKUP($G102,AcctTbl,2,0),IFERROR(VLOOKUP($G102,StaffTbl,2,0),"کد ناشناخته")))))</f>
        <v/>
      </c>
      <c r="I102" s="12" t="n"/>
      <c r="J102" s="12" t="n"/>
      <c r="K102" s="13" t="n"/>
      <c r="L102" s="13" t="n"/>
      <c r="M102" s="13" t="n"/>
      <c r="N102" s="14">
        <f>IF(OR($C102="",$E102="",Calc!$H102=""),"",IFERROR(VLOOKUP(LEFT(UPPER(TRIM($E102)),6),BankTbl,3,0),0)+SUMIFS(CalcDep,CalcBank,LEFT(UPPER(TRIM($E102)),6),CalcKey,"&lt;="&amp;Calc!$H102)-SUMIFS(CalcWit,CalcBank,LEFT(UPPER(TRIM($E102)),6),CalcKey,"&lt;="&amp;Calc!$H102))</f>
        <v/>
      </c>
      <c r="O102" s="10">
        <f>IF(OR($C102="",$M102=""),"",IF($N102="","؟",IF(ROUND($M102-$N102,0)=0,"√","×")))</f>
        <v/>
      </c>
      <c r="P102" s="12" t="n"/>
    </row>
    <row r="103">
      <c r="A103" s="10">
        <f>IF($C103="","",COUNTA($C$9:$C103))</f>
        <v/>
      </c>
      <c r="B103" s="10">
        <f>IF($C103="","","TXN-"&amp;RIGHT("0000"&amp;95,4))</f>
        <v/>
      </c>
      <c r="C103" s="11" t="n"/>
      <c r="D103" s="11" t="n"/>
      <c r="E103" s="12" t="n"/>
      <c r="F103" s="10">
        <f>IF($E103="","",IFERROR(IF(VLOOKUP(LEFT(UPPER(TRIM($E103)),6),BankTbl,2,0)="","(بدون عنوان)",VLOOKUP(LEFT(UPPER(TRIM($E103)),6),BankTbl,2,0)),"بانک ناشناخته"))</f>
        <v/>
      </c>
      <c r="G103" s="11" t="n"/>
      <c r="H103" s="10">
        <f>IF($G103="","",IFERROR(VLOOKUP($G103,CustTbl,2,0),IFERROR(VLOOKUP($G103,SuppTbl,2,0),IFERROR(VLOOKUP($G103,AcctTbl,2,0),IFERROR(VLOOKUP($G103,StaffTbl,2,0),"کد ناشناخته")))))</f>
        <v/>
      </c>
      <c r="I103" s="12" t="n"/>
      <c r="J103" s="12" t="n"/>
      <c r="K103" s="13" t="n"/>
      <c r="L103" s="13" t="n"/>
      <c r="M103" s="13" t="n"/>
      <c r="N103" s="14">
        <f>IF(OR($C103="",$E103="",Calc!$H103=""),"",IFERROR(VLOOKUP(LEFT(UPPER(TRIM($E103)),6),BankTbl,3,0),0)+SUMIFS(CalcDep,CalcBank,LEFT(UPPER(TRIM($E103)),6),CalcKey,"&lt;="&amp;Calc!$H103)-SUMIFS(CalcWit,CalcBank,LEFT(UPPER(TRIM($E103)),6),CalcKey,"&lt;="&amp;Calc!$H103))</f>
        <v/>
      </c>
      <c r="O103" s="10">
        <f>IF(OR($C103="",$M103=""),"",IF($N103="","؟",IF(ROUND($M103-$N103,0)=0,"√","×")))</f>
        <v/>
      </c>
      <c r="P103" s="12" t="n"/>
    </row>
    <row r="104">
      <c r="A104" s="10">
        <f>IF($C104="","",COUNTA($C$9:$C104))</f>
        <v/>
      </c>
      <c r="B104" s="10">
        <f>IF($C104="","","TXN-"&amp;RIGHT("0000"&amp;96,4))</f>
        <v/>
      </c>
      <c r="C104" s="11" t="n"/>
      <c r="D104" s="11" t="n"/>
      <c r="E104" s="12" t="n"/>
      <c r="F104" s="10">
        <f>IF($E104="","",IFERROR(IF(VLOOKUP(LEFT(UPPER(TRIM($E104)),6),BankTbl,2,0)="","(بدون عنوان)",VLOOKUP(LEFT(UPPER(TRIM($E104)),6),BankTbl,2,0)),"بانک ناشناخته"))</f>
        <v/>
      </c>
      <c r="G104" s="11" t="n"/>
      <c r="H104" s="10">
        <f>IF($G104="","",IFERROR(VLOOKUP($G104,CustTbl,2,0),IFERROR(VLOOKUP($G104,SuppTbl,2,0),IFERROR(VLOOKUP($G104,AcctTbl,2,0),IFERROR(VLOOKUP($G104,StaffTbl,2,0),"کد ناشناخته")))))</f>
        <v/>
      </c>
      <c r="I104" s="12" t="n"/>
      <c r="J104" s="12" t="n"/>
      <c r="K104" s="13" t="n"/>
      <c r="L104" s="13" t="n"/>
      <c r="M104" s="13" t="n"/>
      <c r="N104" s="14">
        <f>IF(OR($C104="",$E104="",Calc!$H104=""),"",IFERROR(VLOOKUP(LEFT(UPPER(TRIM($E104)),6),BankTbl,3,0),0)+SUMIFS(CalcDep,CalcBank,LEFT(UPPER(TRIM($E104)),6),CalcKey,"&lt;="&amp;Calc!$H104)-SUMIFS(CalcWit,CalcBank,LEFT(UPPER(TRIM($E104)),6),CalcKey,"&lt;="&amp;Calc!$H104))</f>
        <v/>
      </c>
      <c r="O104" s="10">
        <f>IF(OR($C104="",$M104=""),"",IF($N104="","؟",IF(ROUND($M104-$N104,0)=0,"√","×")))</f>
        <v/>
      </c>
      <c r="P104" s="12" t="n"/>
    </row>
    <row r="105">
      <c r="A105" s="10">
        <f>IF($C105="","",COUNTA($C$9:$C105))</f>
        <v/>
      </c>
      <c r="B105" s="10">
        <f>IF($C105="","","TXN-"&amp;RIGHT("0000"&amp;97,4))</f>
        <v/>
      </c>
      <c r="C105" s="11" t="n"/>
      <c r="D105" s="11" t="n"/>
      <c r="E105" s="12" t="n"/>
      <c r="F105" s="10">
        <f>IF($E105="","",IFERROR(IF(VLOOKUP(LEFT(UPPER(TRIM($E105)),6),BankTbl,2,0)="","(بدون عنوان)",VLOOKUP(LEFT(UPPER(TRIM($E105)),6),BankTbl,2,0)),"بانک ناشناخته"))</f>
        <v/>
      </c>
      <c r="G105" s="11" t="n"/>
      <c r="H105" s="10">
        <f>IF($G105="","",IFERROR(VLOOKUP($G105,CustTbl,2,0),IFERROR(VLOOKUP($G105,SuppTbl,2,0),IFERROR(VLOOKUP($G105,AcctTbl,2,0),IFERROR(VLOOKUP($G105,StaffTbl,2,0),"کد ناشناخته")))))</f>
        <v/>
      </c>
      <c r="I105" s="12" t="n"/>
      <c r="J105" s="12" t="n"/>
      <c r="K105" s="13" t="n"/>
      <c r="L105" s="13" t="n"/>
      <c r="M105" s="13" t="n"/>
      <c r="N105" s="14">
        <f>IF(OR($C105="",$E105="",Calc!$H105=""),"",IFERROR(VLOOKUP(LEFT(UPPER(TRIM($E105)),6),BankTbl,3,0),0)+SUMIFS(CalcDep,CalcBank,LEFT(UPPER(TRIM($E105)),6),CalcKey,"&lt;="&amp;Calc!$H105)-SUMIFS(CalcWit,CalcBank,LEFT(UPPER(TRIM($E105)),6),CalcKey,"&lt;="&amp;Calc!$H105))</f>
        <v/>
      </c>
      <c r="O105" s="10">
        <f>IF(OR($C105="",$M105=""),"",IF($N105="","؟",IF(ROUND($M105-$N105,0)=0,"√","×")))</f>
        <v/>
      </c>
      <c r="P105" s="12" t="n"/>
    </row>
    <row r="106">
      <c r="A106" s="10">
        <f>IF($C106="","",COUNTA($C$9:$C106))</f>
        <v/>
      </c>
      <c r="B106" s="10">
        <f>IF($C106="","","TXN-"&amp;RIGHT("0000"&amp;98,4))</f>
        <v/>
      </c>
      <c r="C106" s="11" t="n"/>
      <c r="D106" s="11" t="n"/>
      <c r="E106" s="12" t="n"/>
      <c r="F106" s="10">
        <f>IF($E106="","",IFERROR(IF(VLOOKUP(LEFT(UPPER(TRIM($E106)),6),BankTbl,2,0)="","(بدون عنوان)",VLOOKUP(LEFT(UPPER(TRIM($E106)),6),BankTbl,2,0)),"بانک ناشناخته"))</f>
        <v/>
      </c>
      <c r="G106" s="11" t="n"/>
      <c r="H106" s="10">
        <f>IF($G106="","",IFERROR(VLOOKUP($G106,CustTbl,2,0),IFERROR(VLOOKUP($G106,SuppTbl,2,0),IFERROR(VLOOKUP($G106,AcctTbl,2,0),IFERROR(VLOOKUP($G106,StaffTbl,2,0),"کد ناشناخته")))))</f>
        <v/>
      </c>
      <c r="I106" s="12" t="n"/>
      <c r="J106" s="12" t="n"/>
      <c r="K106" s="13" t="n"/>
      <c r="L106" s="13" t="n"/>
      <c r="M106" s="13" t="n"/>
      <c r="N106" s="14">
        <f>IF(OR($C106="",$E106="",Calc!$H106=""),"",IFERROR(VLOOKUP(LEFT(UPPER(TRIM($E106)),6),BankTbl,3,0),0)+SUMIFS(CalcDep,CalcBank,LEFT(UPPER(TRIM($E106)),6),CalcKey,"&lt;="&amp;Calc!$H106)-SUMIFS(CalcWit,CalcBank,LEFT(UPPER(TRIM($E106)),6),CalcKey,"&lt;="&amp;Calc!$H106))</f>
        <v/>
      </c>
      <c r="O106" s="10">
        <f>IF(OR($C106="",$M106=""),"",IF($N106="","؟",IF(ROUND($M106-$N106,0)=0,"√","×")))</f>
        <v/>
      </c>
      <c r="P106" s="12" t="n"/>
    </row>
    <row r="107">
      <c r="A107" s="10">
        <f>IF($C107="","",COUNTA($C$9:$C107))</f>
        <v/>
      </c>
      <c r="B107" s="10">
        <f>IF($C107="","","TXN-"&amp;RIGHT("0000"&amp;99,4))</f>
        <v/>
      </c>
      <c r="C107" s="11" t="n"/>
      <c r="D107" s="11" t="n"/>
      <c r="E107" s="12" t="n"/>
      <c r="F107" s="10">
        <f>IF($E107="","",IFERROR(IF(VLOOKUP(LEFT(UPPER(TRIM($E107)),6),BankTbl,2,0)="","(بدون عنوان)",VLOOKUP(LEFT(UPPER(TRIM($E107)),6),BankTbl,2,0)),"بانک ناشناخته"))</f>
        <v/>
      </c>
      <c r="G107" s="11" t="n"/>
      <c r="H107" s="10">
        <f>IF($G107="","",IFERROR(VLOOKUP($G107,CustTbl,2,0),IFERROR(VLOOKUP($G107,SuppTbl,2,0),IFERROR(VLOOKUP($G107,AcctTbl,2,0),IFERROR(VLOOKUP($G107,StaffTbl,2,0),"کد ناشناخته")))))</f>
        <v/>
      </c>
      <c r="I107" s="12" t="n"/>
      <c r="J107" s="12" t="n"/>
      <c r="K107" s="13" t="n"/>
      <c r="L107" s="13" t="n"/>
      <c r="M107" s="13" t="n"/>
      <c r="N107" s="14">
        <f>IF(OR($C107="",$E107="",Calc!$H107=""),"",IFERROR(VLOOKUP(LEFT(UPPER(TRIM($E107)),6),BankTbl,3,0),0)+SUMIFS(CalcDep,CalcBank,LEFT(UPPER(TRIM($E107)),6),CalcKey,"&lt;="&amp;Calc!$H107)-SUMIFS(CalcWit,CalcBank,LEFT(UPPER(TRIM($E107)),6),CalcKey,"&lt;="&amp;Calc!$H107))</f>
        <v/>
      </c>
      <c r="O107" s="10">
        <f>IF(OR($C107="",$M107=""),"",IF($N107="","؟",IF(ROUND($M107-$N107,0)=0,"√","×")))</f>
        <v/>
      </c>
      <c r="P107" s="12" t="n"/>
    </row>
    <row r="108">
      <c r="A108" s="10">
        <f>IF($C108="","",COUNTA($C$9:$C108))</f>
        <v/>
      </c>
      <c r="B108" s="10">
        <f>IF($C108="","","TXN-"&amp;RIGHT("0000"&amp;100,4))</f>
        <v/>
      </c>
      <c r="C108" s="11" t="n"/>
      <c r="D108" s="11" t="n"/>
      <c r="E108" s="12" t="n"/>
      <c r="F108" s="10">
        <f>IF($E108="","",IFERROR(IF(VLOOKUP(LEFT(UPPER(TRIM($E108)),6),BankTbl,2,0)="","(بدون عنوان)",VLOOKUP(LEFT(UPPER(TRIM($E108)),6),BankTbl,2,0)),"بانک ناشناخته"))</f>
        <v/>
      </c>
      <c r="G108" s="11" t="n"/>
      <c r="H108" s="10">
        <f>IF($G108="","",IFERROR(VLOOKUP($G108,CustTbl,2,0),IFERROR(VLOOKUP($G108,SuppTbl,2,0),IFERROR(VLOOKUP($G108,AcctTbl,2,0),IFERROR(VLOOKUP($G108,StaffTbl,2,0),"کد ناشناخته")))))</f>
        <v/>
      </c>
      <c r="I108" s="12" t="n"/>
      <c r="J108" s="12" t="n"/>
      <c r="K108" s="13" t="n"/>
      <c r="L108" s="13" t="n"/>
      <c r="M108" s="13" t="n"/>
      <c r="N108" s="14">
        <f>IF(OR($C108="",$E108="",Calc!$H108=""),"",IFERROR(VLOOKUP(LEFT(UPPER(TRIM($E108)),6),BankTbl,3,0),0)+SUMIFS(CalcDep,CalcBank,LEFT(UPPER(TRIM($E108)),6),CalcKey,"&lt;="&amp;Calc!$H108)-SUMIFS(CalcWit,CalcBank,LEFT(UPPER(TRIM($E108)),6),CalcKey,"&lt;="&amp;Calc!$H108))</f>
        <v/>
      </c>
      <c r="O108" s="10">
        <f>IF(OR($C108="",$M108=""),"",IF($N108="","؟",IF(ROUND($M108-$N108,0)=0,"√","×")))</f>
        <v/>
      </c>
      <c r="P108" s="12" t="n"/>
    </row>
    <row r="109">
      <c r="A109" s="10">
        <f>IF($C109="","",COUNTA($C$9:$C109))</f>
        <v/>
      </c>
      <c r="B109" s="10">
        <f>IF($C109="","","TXN-"&amp;RIGHT("0000"&amp;101,4))</f>
        <v/>
      </c>
      <c r="C109" s="11" t="n"/>
      <c r="D109" s="11" t="n"/>
      <c r="E109" s="12" t="n"/>
      <c r="F109" s="10">
        <f>IF($E109="","",IFERROR(IF(VLOOKUP(LEFT(UPPER(TRIM($E109)),6),BankTbl,2,0)="","(بدون عنوان)",VLOOKUP(LEFT(UPPER(TRIM($E109)),6),BankTbl,2,0)),"بانک ناشناخته"))</f>
        <v/>
      </c>
      <c r="G109" s="11" t="n"/>
      <c r="H109" s="10">
        <f>IF($G109="","",IFERROR(VLOOKUP($G109,CustTbl,2,0),IFERROR(VLOOKUP($G109,SuppTbl,2,0),IFERROR(VLOOKUP($G109,AcctTbl,2,0),IFERROR(VLOOKUP($G109,StaffTbl,2,0),"کد ناشناخته")))))</f>
        <v/>
      </c>
      <c r="I109" s="12" t="n"/>
      <c r="J109" s="12" t="n"/>
      <c r="K109" s="13" t="n"/>
      <c r="L109" s="13" t="n"/>
      <c r="M109" s="13" t="n"/>
      <c r="N109" s="14">
        <f>IF(OR($C109="",$E109="",Calc!$H109=""),"",IFERROR(VLOOKUP(LEFT(UPPER(TRIM($E109)),6),BankTbl,3,0),0)+SUMIFS(CalcDep,CalcBank,LEFT(UPPER(TRIM($E109)),6),CalcKey,"&lt;="&amp;Calc!$H109)-SUMIFS(CalcWit,CalcBank,LEFT(UPPER(TRIM($E109)),6),CalcKey,"&lt;="&amp;Calc!$H109))</f>
        <v/>
      </c>
      <c r="O109" s="10">
        <f>IF(OR($C109="",$M109=""),"",IF($N109="","؟",IF(ROUND($M109-$N109,0)=0,"√","×")))</f>
        <v/>
      </c>
      <c r="P109" s="12" t="n"/>
    </row>
    <row r="110">
      <c r="A110" s="10">
        <f>IF($C110="","",COUNTA($C$9:$C110))</f>
        <v/>
      </c>
      <c r="B110" s="10">
        <f>IF($C110="","","TXN-"&amp;RIGHT("0000"&amp;102,4))</f>
        <v/>
      </c>
      <c r="C110" s="11" t="n"/>
      <c r="D110" s="11" t="n"/>
      <c r="E110" s="12" t="n"/>
      <c r="F110" s="10">
        <f>IF($E110="","",IFERROR(IF(VLOOKUP(LEFT(UPPER(TRIM($E110)),6),BankTbl,2,0)="","(بدون عنوان)",VLOOKUP(LEFT(UPPER(TRIM($E110)),6),BankTbl,2,0)),"بانک ناشناخته"))</f>
        <v/>
      </c>
      <c r="G110" s="11" t="n"/>
      <c r="H110" s="10">
        <f>IF($G110="","",IFERROR(VLOOKUP($G110,CustTbl,2,0),IFERROR(VLOOKUP($G110,SuppTbl,2,0),IFERROR(VLOOKUP($G110,AcctTbl,2,0),IFERROR(VLOOKUP($G110,StaffTbl,2,0),"کد ناشناخته")))))</f>
        <v/>
      </c>
      <c r="I110" s="12" t="n"/>
      <c r="J110" s="12" t="n"/>
      <c r="K110" s="13" t="n"/>
      <c r="L110" s="13" t="n"/>
      <c r="M110" s="13" t="n"/>
      <c r="N110" s="14">
        <f>IF(OR($C110="",$E110="",Calc!$H110=""),"",IFERROR(VLOOKUP(LEFT(UPPER(TRIM($E110)),6),BankTbl,3,0),0)+SUMIFS(CalcDep,CalcBank,LEFT(UPPER(TRIM($E110)),6),CalcKey,"&lt;="&amp;Calc!$H110)-SUMIFS(CalcWit,CalcBank,LEFT(UPPER(TRIM($E110)),6),CalcKey,"&lt;="&amp;Calc!$H110))</f>
        <v/>
      </c>
      <c r="O110" s="10">
        <f>IF(OR($C110="",$M110=""),"",IF($N110="","؟",IF(ROUND($M110-$N110,0)=0,"√","×")))</f>
        <v/>
      </c>
      <c r="P110" s="12" t="n"/>
    </row>
    <row r="111">
      <c r="A111" s="10">
        <f>IF($C111="","",COUNTA($C$9:$C111))</f>
        <v/>
      </c>
      <c r="B111" s="10">
        <f>IF($C111="","","TXN-"&amp;RIGHT("0000"&amp;103,4))</f>
        <v/>
      </c>
      <c r="C111" s="11" t="n"/>
      <c r="D111" s="11" t="n"/>
      <c r="E111" s="12" t="n"/>
      <c r="F111" s="10">
        <f>IF($E111="","",IFERROR(IF(VLOOKUP(LEFT(UPPER(TRIM($E111)),6),BankTbl,2,0)="","(بدون عنوان)",VLOOKUP(LEFT(UPPER(TRIM($E111)),6),BankTbl,2,0)),"بانک ناشناخته"))</f>
        <v/>
      </c>
      <c r="G111" s="11" t="n"/>
      <c r="H111" s="10">
        <f>IF($G111="","",IFERROR(VLOOKUP($G111,CustTbl,2,0),IFERROR(VLOOKUP($G111,SuppTbl,2,0),IFERROR(VLOOKUP($G111,AcctTbl,2,0),IFERROR(VLOOKUP($G111,StaffTbl,2,0),"کد ناشناخته")))))</f>
        <v/>
      </c>
      <c r="I111" s="12" t="n"/>
      <c r="J111" s="12" t="n"/>
      <c r="K111" s="13" t="n"/>
      <c r="L111" s="13" t="n"/>
      <c r="M111" s="13" t="n"/>
      <c r="N111" s="14">
        <f>IF(OR($C111="",$E111="",Calc!$H111=""),"",IFERROR(VLOOKUP(LEFT(UPPER(TRIM($E111)),6),BankTbl,3,0),0)+SUMIFS(CalcDep,CalcBank,LEFT(UPPER(TRIM($E111)),6),CalcKey,"&lt;="&amp;Calc!$H111)-SUMIFS(CalcWit,CalcBank,LEFT(UPPER(TRIM($E111)),6),CalcKey,"&lt;="&amp;Calc!$H111))</f>
        <v/>
      </c>
      <c r="O111" s="10">
        <f>IF(OR($C111="",$M111=""),"",IF($N111="","؟",IF(ROUND($M111-$N111,0)=0,"√","×")))</f>
        <v/>
      </c>
      <c r="P111" s="12" t="n"/>
    </row>
    <row r="112">
      <c r="A112" s="10">
        <f>IF($C112="","",COUNTA($C$9:$C112))</f>
        <v/>
      </c>
      <c r="B112" s="10">
        <f>IF($C112="","","TXN-"&amp;RIGHT("0000"&amp;104,4))</f>
        <v/>
      </c>
      <c r="C112" s="11" t="n"/>
      <c r="D112" s="11" t="n"/>
      <c r="E112" s="12" t="n"/>
      <c r="F112" s="10">
        <f>IF($E112="","",IFERROR(IF(VLOOKUP(LEFT(UPPER(TRIM($E112)),6),BankTbl,2,0)="","(بدون عنوان)",VLOOKUP(LEFT(UPPER(TRIM($E112)),6),BankTbl,2,0)),"بانک ناشناخته"))</f>
        <v/>
      </c>
      <c r="G112" s="11" t="n"/>
      <c r="H112" s="10">
        <f>IF($G112="","",IFERROR(VLOOKUP($G112,CustTbl,2,0),IFERROR(VLOOKUP($G112,SuppTbl,2,0),IFERROR(VLOOKUP($G112,AcctTbl,2,0),IFERROR(VLOOKUP($G112,StaffTbl,2,0),"کد ناشناخته")))))</f>
        <v/>
      </c>
      <c r="I112" s="12" t="n"/>
      <c r="J112" s="12" t="n"/>
      <c r="K112" s="13" t="n"/>
      <c r="L112" s="13" t="n"/>
      <c r="M112" s="13" t="n"/>
      <c r="N112" s="14">
        <f>IF(OR($C112="",$E112="",Calc!$H112=""),"",IFERROR(VLOOKUP(LEFT(UPPER(TRIM($E112)),6),BankTbl,3,0),0)+SUMIFS(CalcDep,CalcBank,LEFT(UPPER(TRIM($E112)),6),CalcKey,"&lt;="&amp;Calc!$H112)-SUMIFS(CalcWit,CalcBank,LEFT(UPPER(TRIM($E112)),6),CalcKey,"&lt;="&amp;Calc!$H112))</f>
        <v/>
      </c>
      <c r="O112" s="10">
        <f>IF(OR($C112="",$M112=""),"",IF($N112="","؟",IF(ROUND($M112-$N112,0)=0,"√","×")))</f>
        <v/>
      </c>
      <c r="P112" s="12" t="n"/>
    </row>
    <row r="113">
      <c r="A113" s="10">
        <f>IF($C113="","",COUNTA($C$9:$C113))</f>
        <v/>
      </c>
      <c r="B113" s="10">
        <f>IF($C113="","","TXN-"&amp;RIGHT("0000"&amp;105,4))</f>
        <v/>
      </c>
      <c r="C113" s="11" t="n"/>
      <c r="D113" s="11" t="n"/>
      <c r="E113" s="12" t="n"/>
      <c r="F113" s="10">
        <f>IF($E113="","",IFERROR(IF(VLOOKUP(LEFT(UPPER(TRIM($E113)),6),BankTbl,2,0)="","(بدون عنوان)",VLOOKUP(LEFT(UPPER(TRIM($E113)),6),BankTbl,2,0)),"بانک ناشناخته"))</f>
        <v/>
      </c>
      <c r="G113" s="11" t="n"/>
      <c r="H113" s="10">
        <f>IF($G113="","",IFERROR(VLOOKUP($G113,CustTbl,2,0),IFERROR(VLOOKUP($G113,SuppTbl,2,0),IFERROR(VLOOKUP($G113,AcctTbl,2,0),IFERROR(VLOOKUP($G113,StaffTbl,2,0),"کد ناشناخته")))))</f>
        <v/>
      </c>
      <c r="I113" s="12" t="n"/>
      <c r="J113" s="12" t="n"/>
      <c r="K113" s="13" t="n"/>
      <c r="L113" s="13" t="n"/>
      <c r="M113" s="13" t="n"/>
      <c r="N113" s="14">
        <f>IF(OR($C113="",$E113="",Calc!$H113=""),"",IFERROR(VLOOKUP(LEFT(UPPER(TRIM($E113)),6),BankTbl,3,0),0)+SUMIFS(CalcDep,CalcBank,LEFT(UPPER(TRIM($E113)),6),CalcKey,"&lt;="&amp;Calc!$H113)-SUMIFS(CalcWit,CalcBank,LEFT(UPPER(TRIM($E113)),6),CalcKey,"&lt;="&amp;Calc!$H113))</f>
        <v/>
      </c>
      <c r="O113" s="10">
        <f>IF(OR($C113="",$M113=""),"",IF($N113="","؟",IF(ROUND($M113-$N113,0)=0,"√","×")))</f>
        <v/>
      </c>
      <c r="P113" s="12" t="n"/>
    </row>
    <row r="114">
      <c r="A114" s="10">
        <f>IF($C114="","",COUNTA($C$9:$C114))</f>
        <v/>
      </c>
      <c r="B114" s="10">
        <f>IF($C114="","","TXN-"&amp;RIGHT("0000"&amp;106,4))</f>
        <v/>
      </c>
      <c r="C114" s="11" t="n"/>
      <c r="D114" s="11" t="n"/>
      <c r="E114" s="12" t="n"/>
      <c r="F114" s="10">
        <f>IF($E114="","",IFERROR(IF(VLOOKUP(LEFT(UPPER(TRIM($E114)),6),BankTbl,2,0)="","(بدون عنوان)",VLOOKUP(LEFT(UPPER(TRIM($E114)),6),BankTbl,2,0)),"بانک ناشناخته"))</f>
        <v/>
      </c>
      <c r="G114" s="11" t="n"/>
      <c r="H114" s="10">
        <f>IF($G114="","",IFERROR(VLOOKUP($G114,CustTbl,2,0),IFERROR(VLOOKUP($G114,SuppTbl,2,0),IFERROR(VLOOKUP($G114,AcctTbl,2,0),IFERROR(VLOOKUP($G114,StaffTbl,2,0),"کد ناشناخته")))))</f>
        <v/>
      </c>
      <c r="I114" s="12" t="n"/>
      <c r="J114" s="12" t="n"/>
      <c r="K114" s="13" t="n"/>
      <c r="L114" s="13" t="n"/>
      <c r="M114" s="13" t="n"/>
      <c r="N114" s="14">
        <f>IF(OR($C114="",$E114="",Calc!$H114=""),"",IFERROR(VLOOKUP(LEFT(UPPER(TRIM($E114)),6),BankTbl,3,0),0)+SUMIFS(CalcDep,CalcBank,LEFT(UPPER(TRIM($E114)),6),CalcKey,"&lt;="&amp;Calc!$H114)-SUMIFS(CalcWit,CalcBank,LEFT(UPPER(TRIM($E114)),6),CalcKey,"&lt;="&amp;Calc!$H114))</f>
        <v/>
      </c>
      <c r="O114" s="10">
        <f>IF(OR($C114="",$M114=""),"",IF($N114="","؟",IF(ROUND($M114-$N114,0)=0,"√","×")))</f>
        <v/>
      </c>
      <c r="P114" s="12" t="n"/>
    </row>
    <row r="115">
      <c r="A115" s="10">
        <f>IF($C115="","",COUNTA($C$9:$C115))</f>
        <v/>
      </c>
      <c r="B115" s="10">
        <f>IF($C115="","","TXN-"&amp;RIGHT("0000"&amp;107,4))</f>
        <v/>
      </c>
      <c r="C115" s="11" t="n"/>
      <c r="D115" s="11" t="n"/>
      <c r="E115" s="12" t="n"/>
      <c r="F115" s="10">
        <f>IF($E115="","",IFERROR(IF(VLOOKUP(LEFT(UPPER(TRIM($E115)),6),BankTbl,2,0)="","(بدون عنوان)",VLOOKUP(LEFT(UPPER(TRIM($E115)),6),BankTbl,2,0)),"بانک ناشناخته"))</f>
        <v/>
      </c>
      <c r="G115" s="11" t="n"/>
      <c r="H115" s="10">
        <f>IF($G115="","",IFERROR(VLOOKUP($G115,CustTbl,2,0),IFERROR(VLOOKUP($G115,SuppTbl,2,0),IFERROR(VLOOKUP($G115,AcctTbl,2,0),IFERROR(VLOOKUP($G115,StaffTbl,2,0),"کد ناشناخته")))))</f>
        <v/>
      </c>
      <c r="I115" s="12" t="n"/>
      <c r="J115" s="12" t="n"/>
      <c r="K115" s="13" t="n"/>
      <c r="L115" s="13" t="n"/>
      <c r="M115" s="13" t="n"/>
      <c r="N115" s="14">
        <f>IF(OR($C115="",$E115="",Calc!$H115=""),"",IFERROR(VLOOKUP(LEFT(UPPER(TRIM($E115)),6),BankTbl,3,0),0)+SUMIFS(CalcDep,CalcBank,LEFT(UPPER(TRIM($E115)),6),CalcKey,"&lt;="&amp;Calc!$H115)-SUMIFS(CalcWit,CalcBank,LEFT(UPPER(TRIM($E115)),6),CalcKey,"&lt;="&amp;Calc!$H115))</f>
        <v/>
      </c>
      <c r="O115" s="10">
        <f>IF(OR($C115="",$M115=""),"",IF($N115="","؟",IF(ROUND($M115-$N115,0)=0,"√","×")))</f>
        <v/>
      </c>
      <c r="P115" s="12" t="n"/>
    </row>
    <row r="116">
      <c r="A116" s="10">
        <f>IF($C116="","",COUNTA($C$9:$C116))</f>
        <v/>
      </c>
      <c r="B116" s="10">
        <f>IF($C116="","","TXN-"&amp;RIGHT("0000"&amp;108,4))</f>
        <v/>
      </c>
      <c r="C116" s="11" t="n"/>
      <c r="D116" s="11" t="n"/>
      <c r="E116" s="12" t="n"/>
      <c r="F116" s="10">
        <f>IF($E116="","",IFERROR(IF(VLOOKUP(LEFT(UPPER(TRIM($E116)),6),BankTbl,2,0)="","(بدون عنوان)",VLOOKUP(LEFT(UPPER(TRIM($E116)),6),BankTbl,2,0)),"بانک ناشناخته"))</f>
        <v/>
      </c>
      <c r="G116" s="11" t="n"/>
      <c r="H116" s="10">
        <f>IF($G116="","",IFERROR(VLOOKUP($G116,CustTbl,2,0),IFERROR(VLOOKUP($G116,SuppTbl,2,0),IFERROR(VLOOKUP($G116,AcctTbl,2,0),IFERROR(VLOOKUP($G116,StaffTbl,2,0),"کد ناشناخته")))))</f>
        <v/>
      </c>
      <c r="I116" s="12" t="n"/>
      <c r="J116" s="12" t="n"/>
      <c r="K116" s="13" t="n"/>
      <c r="L116" s="13" t="n"/>
      <c r="M116" s="13" t="n"/>
      <c r="N116" s="14">
        <f>IF(OR($C116="",$E116="",Calc!$H116=""),"",IFERROR(VLOOKUP(LEFT(UPPER(TRIM($E116)),6),BankTbl,3,0),0)+SUMIFS(CalcDep,CalcBank,LEFT(UPPER(TRIM($E116)),6),CalcKey,"&lt;="&amp;Calc!$H116)-SUMIFS(CalcWit,CalcBank,LEFT(UPPER(TRIM($E116)),6),CalcKey,"&lt;="&amp;Calc!$H116))</f>
        <v/>
      </c>
      <c r="O116" s="10">
        <f>IF(OR($C116="",$M116=""),"",IF($N116="","؟",IF(ROUND($M116-$N116,0)=0,"√","×")))</f>
        <v/>
      </c>
      <c r="P116" s="12" t="n"/>
    </row>
    <row r="117">
      <c r="A117" s="10">
        <f>IF($C117="","",COUNTA($C$9:$C117))</f>
        <v/>
      </c>
      <c r="B117" s="10">
        <f>IF($C117="","","TXN-"&amp;RIGHT("0000"&amp;109,4))</f>
        <v/>
      </c>
      <c r="C117" s="11" t="n"/>
      <c r="D117" s="11" t="n"/>
      <c r="E117" s="12" t="n"/>
      <c r="F117" s="10">
        <f>IF($E117="","",IFERROR(IF(VLOOKUP(LEFT(UPPER(TRIM($E117)),6),BankTbl,2,0)="","(بدون عنوان)",VLOOKUP(LEFT(UPPER(TRIM($E117)),6),BankTbl,2,0)),"بانک ناشناخته"))</f>
        <v/>
      </c>
      <c r="G117" s="11" t="n"/>
      <c r="H117" s="10">
        <f>IF($G117="","",IFERROR(VLOOKUP($G117,CustTbl,2,0),IFERROR(VLOOKUP($G117,SuppTbl,2,0),IFERROR(VLOOKUP($G117,AcctTbl,2,0),IFERROR(VLOOKUP($G117,StaffTbl,2,0),"کد ناشناخته")))))</f>
        <v/>
      </c>
      <c r="I117" s="12" t="n"/>
      <c r="J117" s="12" t="n"/>
      <c r="K117" s="13" t="n"/>
      <c r="L117" s="13" t="n"/>
      <c r="M117" s="13" t="n"/>
      <c r="N117" s="14">
        <f>IF(OR($C117="",$E117="",Calc!$H117=""),"",IFERROR(VLOOKUP(LEFT(UPPER(TRIM($E117)),6),BankTbl,3,0),0)+SUMIFS(CalcDep,CalcBank,LEFT(UPPER(TRIM($E117)),6),CalcKey,"&lt;="&amp;Calc!$H117)-SUMIFS(CalcWit,CalcBank,LEFT(UPPER(TRIM($E117)),6),CalcKey,"&lt;="&amp;Calc!$H117))</f>
        <v/>
      </c>
      <c r="O117" s="10">
        <f>IF(OR($C117="",$M117=""),"",IF($N117="","؟",IF(ROUND($M117-$N117,0)=0,"√","×")))</f>
        <v/>
      </c>
      <c r="P117" s="12" t="n"/>
    </row>
    <row r="118">
      <c r="A118" s="10">
        <f>IF($C118="","",COUNTA($C$9:$C118))</f>
        <v/>
      </c>
      <c r="B118" s="10">
        <f>IF($C118="","","TXN-"&amp;RIGHT("0000"&amp;110,4))</f>
        <v/>
      </c>
      <c r="C118" s="11" t="n"/>
      <c r="D118" s="11" t="n"/>
      <c r="E118" s="12" t="n"/>
      <c r="F118" s="10">
        <f>IF($E118="","",IFERROR(IF(VLOOKUP(LEFT(UPPER(TRIM($E118)),6),BankTbl,2,0)="","(بدون عنوان)",VLOOKUP(LEFT(UPPER(TRIM($E118)),6),BankTbl,2,0)),"بانک ناشناخته"))</f>
        <v/>
      </c>
      <c r="G118" s="11" t="n"/>
      <c r="H118" s="10">
        <f>IF($G118="","",IFERROR(VLOOKUP($G118,CustTbl,2,0),IFERROR(VLOOKUP($G118,SuppTbl,2,0),IFERROR(VLOOKUP($G118,AcctTbl,2,0),IFERROR(VLOOKUP($G118,StaffTbl,2,0),"کد ناشناخته")))))</f>
        <v/>
      </c>
      <c r="I118" s="12" t="n"/>
      <c r="J118" s="12" t="n"/>
      <c r="K118" s="13" t="n"/>
      <c r="L118" s="13" t="n"/>
      <c r="M118" s="13" t="n"/>
      <c r="N118" s="14">
        <f>IF(OR($C118="",$E118="",Calc!$H118=""),"",IFERROR(VLOOKUP(LEFT(UPPER(TRIM($E118)),6),BankTbl,3,0),0)+SUMIFS(CalcDep,CalcBank,LEFT(UPPER(TRIM($E118)),6),CalcKey,"&lt;="&amp;Calc!$H118)-SUMIFS(CalcWit,CalcBank,LEFT(UPPER(TRIM($E118)),6),CalcKey,"&lt;="&amp;Calc!$H118))</f>
        <v/>
      </c>
      <c r="O118" s="10">
        <f>IF(OR($C118="",$M118=""),"",IF($N118="","؟",IF(ROUND($M118-$N118,0)=0,"√","×")))</f>
        <v/>
      </c>
      <c r="P118" s="12" t="n"/>
    </row>
    <row r="119">
      <c r="A119" s="10">
        <f>IF($C119="","",COUNTA($C$9:$C119))</f>
        <v/>
      </c>
      <c r="B119" s="10">
        <f>IF($C119="","","TXN-"&amp;RIGHT("0000"&amp;111,4))</f>
        <v/>
      </c>
      <c r="C119" s="11" t="n"/>
      <c r="D119" s="11" t="n"/>
      <c r="E119" s="12" t="n"/>
      <c r="F119" s="10">
        <f>IF($E119="","",IFERROR(IF(VLOOKUP(LEFT(UPPER(TRIM($E119)),6),BankTbl,2,0)="","(بدون عنوان)",VLOOKUP(LEFT(UPPER(TRIM($E119)),6),BankTbl,2,0)),"بانک ناشناخته"))</f>
        <v/>
      </c>
      <c r="G119" s="11" t="n"/>
      <c r="H119" s="10">
        <f>IF($G119="","",IFERROR(VLOOKUP($G119,CustTbl,2,0),IFERROR(VLOOKUP($G119,SuppTbl,2,0),IFERROR(VLOOKUP($G119,AcctTbl,2,0),IFERROR(VLOOKUP($G119,StaffTbl,2,0),"کد ناشناخته")))))</f>
        <v/>
      </c>
      <c r="I119" s="12" t="n"/>
      <c r="J119" s="12" t="n"/>
      <c r="K119" s="13" t="n"/>
      <c r="L119" s="13" t="n"/>
      <c r="M119" s="13" t="n"/>
      <c r="N119" s="14">
        <f>IF(OR($C119="",$E119="",Calc!$H119=""),"",IFERROR(VLOOKUP(LEFT(UPPER(TRIM($E119)),6),BankTbl,3,0),0)+SUMIFS(CalcDep,CalcBank,LEFT(UPPER(TRIM($E119)),6),CalcKey,"&lt;="&amp;Calc!$H119)-SUMIFS(CalcWit,CalcBank,LEFT(UPPER(TRIM($E119)),6),CalcKey,"&lt;="&amp;Calc!$H119))</f>
        <v/>
      </c>
      <c r="O119" s="10">
        <f>IF(OR($C119="",$M119=""),"",IF($N119="","؟",IF(ROUND($M119-$N119,0)=0,"√","×")))</f>
        <v/>
      </c>
      <c r="P119" s="12" t="n"/>
    </row>
    <row r="120">
      <c r="A120" s="10">
        <f>IF($C120="","",COUNTA($C$9:$C120))</f>
        <v/>
      </c>
      <c r="B120" s="10">
        <f>IF($C120="","","TXN-"&amp;RIGHT("0000"&amp;112,4))</f>
        <v/>
      </c>
      <c r="C120" s="11" t="n"/>
      <c r="D120" s="11" t="n"/>
      <c r="E120" s="12" t="n"/>
      <c r="F120" s="10">
        <f>IF($E120="","",IFERROR(IF(VLOOKUP(LEFT(UPPER(TRIM($E120)),6),BankTbl,2,0)="","(بدون عنوان)",VLOOKUP(LEFT(UPPER(TRIM($E120)),6),BankTbl,2,0)),"بانک ناشناخته"))</f>
        <v/>
      </c>
      <c r="G120" s="11" t="n"/>
      <c r="H120" s="10">
        <f>IF($G120="","",IFERROR(VLOOKUP($G120,CustTbl,2,0),IFERROR(VLOOKUP($G120,SuppTbl,2,0),IFERROR(VLOOKUP($G120,AcctTbl,2,0),IFERROR(VLOOKUP($G120,StaffTbl,2,0),"کد ناشناخته")))))</f>
        <v/>
      </c>
      <c r="I120" s="12" t="n"/>
      <c r="J120" s="12" t="n"/>
      <c r="K120" s="13" t="n"/>
      <c r="L120" s="13" t="n"/>
      <c r="M120" s="13" t="n"/>
      <c r="N120" s="14">
        <f>IF(OR($C120="",$E120="",Calc!$H120=""),"",IFERROR(VLOOKUP(LEFT(UPPER(TRIM($E120)),6),BankTbl,3,0),0)+SUMIFS(CalcDep,CalcBank,LEFT(UPPER(TRIM($E120)),6),CalcKey,"&lt;="&amp;Calc!$H120)-SUMIFS(CalcWit,CalcBank,LEFT(UPPER(TRIM($E120)),6),CalcKey,"&lt;="&amp;Calc!$H120))</f>
        <v/>
      </c>
      <c r="O120" s="10">
        <f>IF(OR($C120="",$M120=""),"",IF($N120="","؟",IF(ROUND($M120-$N120,0)=0,"√","×")))</f>
        <v/>
      </c>
      <c r="P120" s="12" t="n"/>
    </row>
    <row r="121">
      <c r="A121" s="10">
        <f>IF($C121="","",COUNTA($C$9:$C121))</f>
        <v/>
      </c>
      <c r="B121" s="10">
        <f>IF($C121="","","TXN-"&amp;RIGHT("0000"&amp;113,4))</f>
        <v/>
      </c>
      <c r="C121" s="11" t="n"/>
      <c r="D121" s="11" t="n"/>
      <c r="E121" s="12" t="n"/>
      <c r="F121" s="10">
        <f>IF($E121="","",IFERROR(IF(VLOOKUP(LEFT(UPPER(TRIM($E121)),6),BankTbl,2,0)="","(بدون عنوان)",VLOOKUP(LEFT(UPPER(TRIM($E121)),6),BankTbl,2,0)),"بانک ناشناخته"))</f>
        <v/>
      </c>
      <c r="G121" s="11" t="n"/>
      <c r="H121" s="10">
        <f>IF($G121="","",IFERROR(VLOOKUP($G121,CustTbl,2,0),IFERROR(VLOOKUP($G121,SuppTbl,2,0),IFERROR(VLOOKUP($G121,AcctTbl,2,0),IFERROR(VLOOKUP($G121,StaffTbl,2,0),"کد ناشناخته")))))</f>
        <v/>
      </c>
      <c r="I121" s="12" t="n"/>
      <c r="J121" s="12" t="n"/>
      <c r="K121" s="13" t="n"/>
      <c r="L121" s="13" t="n"/>
      <c r="M121" s="13" t="n"/>
      <c r="N121" s="14">
        <f>IF(OR($C121="",$E121="",Calc!$H121=""),"",IFERROR(VLOOKUP(LEFT(UPPER(TRIM($E121)),6),BankTbl,3,0),0)+SUMIFS(CalcDep,CalcBank,LEFT(UPPER(TRIM($E121)),6),CalcKey,"&lt;="&amp;Calc!$H121)-SUMIFS(CalcWit,CalcBank,LEFT(UPPER(TRIM($E121)),6),CalcKey,"&lt;="&amp;Calc!$H121))</f>
        <v/>
      </c>
      <c r="O121" s="10">
        <f>IF(OR($C121="",$M121=""),"",IF($N121="","؟",IF(ROUND($M121-$N121,0)=0,"√","×")))</f>
        <v/>
      </c>
      <c r="P121" s="12" t="n"/>
    </row>
    <row r="122">
      <c r="A122" s="10">
        <f>IF($C122="","",COUNTA($C$9:$C122))</f>
        <v/>
      </c>
      <c r="B122" s="10">
        <f>IF($C122="","","TXN-"&amp;RIGHT("0000"&amp;114,4))</f>
        <v/>
      </c>
      <c r="C122" s="11" t="n"/>
      <c r="D122" s="11" t="n"/>
      <c r="E122" s="12" t="n"/>
      <c r="F122" s="10">
        <f>IF($E122="","",IFERROR(IF(VLOOKUP(LEFT(UPPER(TRIM($E122)),6),BankTbl,2,0)="","(بدون عنوان)",VLOOKUP(LEFT(UPPER(TRIM($E122)),6),BankTbl,2,0)),"بانک ناشناخته"))</f>
        <v/>
      </c>
      <c r="G122" s="11" t="n"/>
      <c r="H122" s="10">
        <f>IF($G122="","",IFERROR(VLOOKUP($G122,CustTbl,2,0),IFERROR(VLOOKUP($G122,SuppTbl,2,0),IFERROR(VLOOKUP($G122,AcctTbl,2,0),IFERROR(VLOOKUP($G122,StaffTbl,2,0),"کد ناشناخته")))))</f>
        <v/>
      </c>
      <c r="I122" s="12" t="n"/>
      <c r="J122" s="12" t="n"/>
      <c r="K122" s="13" t="n"/>
      <c r="L122" s="13" t="n"/>
      <c r="M122" s="13" t="n"/>
      <c r="N122" s="14">
        <f>IF(OR($C122="",$E122="",Calc!$H122=""),"",IFERROR(VLOOKUP(LEFT(UPPER(TRIM($E122)),6),BankTbl,3,0),0)+SUMIFS(CalcDep,CalcBank,LEFT(UPPER(TRIM($E122)),6),CalcKey,"&lt;="&amp;Calc!$H122)-SUMIFS(CalcWit,CalcBank,LEFT(UPPER(TRIM($E122)),6),CalcKey,"&lt;="&amp;Calc!$H122))</f>
        <v/>
      </c>
      <c r="O122" s="10">
        <f>IF(OR($C122="",$M122=""),"",IF($N122="","؟",IF(ROUND($M122-$N122,0)=0,"√","×")))</f>
        <v/>
      </c>
      <c r="P122" s="12" t="n"/>
    </row>
    <row r="123">
      <c r="A123" s="10">
        <f>IF($C123="","",COUNTA($C$9:$C123))</f>
        <v/>
      </c>
      <c r="B123" s="10">
        <f>IF($C123="","","TXN-"&amp;RIGHT("0000"&amp;115,4))</f>
        <v/>
      </c>
      <c r="C123" s="11" t="n"/>
      <c r="D123" s="11" t="n"/>
      <c r="E123" s="12" t="n"/>
      <c r="F123" s="10">
        <f>IF($E123="","",IFERROR(IF(VLOOKUP(LEFT(UPPER(TRIM($E123)),6),BankTbl,2,0)="","(بدون عنوان)",VLOOKUP(LEFT(UPPER(TRIM($E123)),6),BankTbl,2,0)),"بانک ناشناخته"))</f>
        <v/>
      </c>
      <c r="G123" s="11" t="n"/>
      <c r="H123" s="10">
        <f>IF($G123="","",IFERROR(VLOOKUP($G123,CustTbl,2,0),IFERROR(VLOOKUP($G123,SuppTbl,2,0),IFERROR(VLOOKUP($G123,AcctTbl,2,0),IFERROR(VLOOKUP($G123,StaffTbl,2,0),"کد ناشناخته")))))</f>
        <v/>
      </c>
      <c r="I123" s="12" t="n"/>
      <c r="J123" s="12" t="n"/>
      <c r="K123" s="13" t="n"/>
      <c r="L123" s="13" t="n"/>
      <c r="M123" s="13" t="n"/>
      <c r="N123" s="14">
        <f>IF(OR($C123="",$E123="",Calc!$H123=""),"",IFERROR(VLOOKUP(LEFT(UPPER(TRIM($E123)),6),BankTbl,3,0),0)+SUMIFS(CalcDep,CalcBank,LEFT(UPPER(TRIM($E123)),6),CalcKey,"&lt;="&amp;Calc!$H123)-SUMIFS(CalcWit,CalcBank,LEFT(UPPER(TRIM($E123)),6),CalcKey,"&lt;="&amp;Calc!$H123))</f>
        <v/>
      </c>
      <c r="O123" s="10">
        <f>IF(OR($C123="",$M123=""),"",IF($N123="","؟",IF(ROUND($M123-$N123,0)=0,"√","×")))</f>
        <v/>
      </c>
      <c r="P123" s="12" t="n"/>
    </row>
    <row r="124">
      <c r="A124" s="10">
        <f>IF($C124="","",COUNTA($C$9:$C124))</f>
        <v/>
      </c>
      <c r="B124" s="10">
        <f>IF($C124="","","TXN-"&amp;RIGHT("0000"&amp;116,4))</f>
        <v/>
      </c>
      <c r="C124" s="11" t="n"/>
      <c r="D124" s="11" t="n"/>
      <c r="E124" s="12" t="n"/>
      <c r="F124" s="10">
        <f>IF($E124="","",IFERROR(IF(VLOOKUP(LEFT(UPPER(TRIM($E124)),6),BankTbl,2,0)="","(بدون عنوان)",VLOOKUP(LEFT(UPPER(TRIM($E124)),6),BankTbl,2,0)),"بانک ناشناخته"))</f>
        <v/>
      </c>
      <c r="G124" s="11" t="n"/>
      <c r="H124" s="10">
        <f>IF($G124="","",IFERROR(VLOOKUP($G124,CustTbl,2,0),IFERROR(VLOOKUP($G124,SuppTbl,2,0),IFERROR(VLOOKUP($G124,AcctTbl,2,0),IFERROR(VLOOKUP($G124,StaffTbl,2,0),"کد ناشناخته")))))</f>
        <v/>
      </c>
      <c r="I124" s="12" t="n"/>
      <c r="J124" s="12" t="n"/>
      <c r="K124" s="13" t="n"/>
      <c r="L124" s="13" t="n"/>
      <c r="M124" s="13" t="n"/>
      <c r="N124" s="14">
        <f>IF(OR($C124="",$E124="",Calc!$H124=""),"",IFERROR(VLOOKUP(LEFT(UPPER(TRIM($E124)),6),BankTbl,3,0),0)+SUMIFS(CalcDep,CalcBank,LEFT(UPPER(TRIM($E124)),6),CalcKey,"&lt;="&amp;Calc!$H124)-SUMIFS(CalcWit,CalcBank,LEFT(UPPER(TRIM($E124)),6),CalcKey,"&lt;="&amp;Calc!$H124))</f>
        <v/>
      </c>
      <c r="O124" s="10">
        <f>IF(OR($C124="",$M124=""),"",IF($N124="","؟",IF(ROUND($M124-$N124,0)=0,"√","×")))</f>
        <v/>
      </c>
      <c r="P124" s="12" t="n"/>
    </row>
    <row r="125">
      <c r="A125" s="10">
        <f>IF($C125="","",COUNTA($C$9:$C125))</f>
        <v/>
      </c>
      <c r="B125" s="10">
        <f>IF($C125="","","TXN-"&amp;RIGHT("0000"&amp;117,4))</f>
        <v/>
      </c>
      <c r="C125" s="11" t="n"/>
      <c r="D125" s="11" t="n"/>
      <c r="E125" s="12" t="n"/>
      <c r="F125" s="10">
        <f>IF($E125="","",IFERROR(IF(VLOOKUP(LEFT(UPPER(TRIM($E125)),6),BankTbl,2,0)="","(بدون عنوان)",VLOOKUP(LEFT(UPPER(TRIM($E125)),6),BankTbl,2,0)),"بانک ناشناخته"))</f>
        <v/>
      </c>
      <c r="G125" s="11" t="n"/>
      <c r="H125" s="10">
        <f>IF($G125="","",IFERROR(VLOOKUP($G125,CustTbl,2,0),IFERROR(VLOOKUP($G125,SuppTbl,2,0),IFERROR(VLOOKUP($G125,AcctTbl,2,0),IFERROR(VLOOKUP($G125,StaffTbl,2,0),"کد ناشناخته")))))</f>
        <v/>
      </c>
      <c r="I125" s="12" t="n"/>
      <c r="J125" s="12" t="n"/>
      <c r="K125" s="13" t="n"/>
      <c r="L125" s="13" t="n"/>
      <c r="M125" s="13" t="n"/>
      <c r="N125" s="14">
        <f>IF(OR($C125="",$E125="",Calc!$H125=""),"",IFERROR(VLOOKUP(LEFT(UPPER(TRIM($E125)),6),BankTbl,3,0),0)+SUMIFS(CalcDep,CalcBank,LEFT(UPPER(TRIM($E125)),6),CalcKey,"&lt;="&amp;Calc!$H125)-SUMIFS(CalcWit,CalcBank,LEFT(UPPER(TRIM($E125)),6),CalcKey,"&lt;="&amp;Calc!$H125))</f>
        <v/>
      </c>
      <c r="O125" s="10">
        <f>IF(OR($C125="",$M125=""),"",IF($N125="","؟",IF(ROUND($M125-$N125,0)=0,"√","×")))</f>
        <v/>
      </c>
      <c r="P125" s="12" t="n"/>
    </row>
    <row r="126">
      <c r="A126" s="10">
        <f>IF($C126="","",COUNTA($C$9:$C126))</f>
        <v/>
      </c>
      <c r="B126" s="10">
        <f>IF($C126="","","TXN-"&amp;RIGHT("0000"&amp;118,4))</f>
        <v/>
      </c>
      <c r="C126" s="11" t="n"/>
      <c r="D126" s="11" t="n"/>
      <c r="E126" s="12" t="n"/>
      <c r="F126" s="10">
        <f>IF($E126="","",IFERROR(IF(VLOOKUP(LEFT(UPPER(TRIM($E126)),6),BankTbl,2,0)="","(بدون عنوان)",VLOOKUP(LEFT(UPPER(TRIM($E126)),6),BankTbl,2,0)),"بانک ناشناخته"))</f>
        <v/>
      </c>
      <c r="G126" s="11" t="n"/>
      <c r="H126" s="10">
        <f>IF($G126="","",IFERROR(VLOOKUP($G126,CustTbl,2,0),IFERROR(VLOOKUP($G126,SuppTbl,2,0),IFERROR(VLOOKUP($G126,AcctTbl,2,0),IFERROR(VLOOKUP($G126,StaffTbl,2,0),"کد ناشناخته")))))</f>
        <v/>
      </c>
      <c r="I126" s="12" t="n"/>
      <c r="J126" s="12" t="n"/>
      <c r="K126" s="13" t="n"/>
      <c r="L126" s="13" t="n"/>
      <c r="M126" s="13" t="n"/>
      <c r="N126" s="14">
        <f>IF(OR($C126="",$E126="",Calc!$H126=""),"",IFERROR(VLOOKUP(LEFT(UPPER(TRIM($E126)),6),BankTbl,3,0),0)+SUMIFS(CalcDep,CalcBank,LEFT(UPPER(TRIM($E126)),6),CalcKey,"&lt;="&amp;Calc!$H126)-SUMIFS(CalcWit,CalcBank,LEFT(UPPER(TRIM($E126)),6),CalcKey,"&lt;="&amp;Calc!$H126))</f>
        <v/>
      </c>
      <c r="O126" s="10">
        <f>IF(OR($C126="",$M126=""),"",IF($N126="","؟",IF(ROUND($M126-$N126,0)=0,"√","×")))</f>
        <v/>
      </c>
      <c r="P126" s="12" t="n"/>
    </row>
    <row r="127">
      <c r="A127" s="10">
        <f>IF($C127="","",COUNTA($C$9:$C127))</f>
        <v/>
      </c>
      <c r="B127" s="10">
        <f>IF($C127="","","TXN-"&amp;RIGHT("0000"&amp;119,4))</f>
        <v/>
      </c>
      <c r="C127" s="11" t="n"/>
      <c r="D127" s="11" t="n"/>
      <c r="E127" s="12" t="n"/>
      <c r="F127" s="10">
        <f>IF($E127="","",IFERROR(IF(VLOOKUP(LEFT(UPPER(TRIM($E127)),6),BankTbl,2,0)="","(بدون عنوان)",VLOOKUP(LEFT(UPPER(TRIM($E127)),6),BankTbl,2,0)),"بانک ناشناخته"))</f>
        <v/>
      </c>
      <c r="G127" s="11" t="n"/>
      <c r="H127" s="10">
        <f>IF($G127="","",IFERROR(VLOOKUP($G127,CustTbl,2,0),IFERROR(VLOOKUP($G127,SuppTbl,2,0),IFERROR(VLOOKUP($G127,AcctTbl,2,0),IFERROR(VLOOKUP($G127,StaffTbl,2,0),"کد ناشناخته")))))</f>
        <v/>
      </c>
      <c r="I127" s="12" t="n"/>
      <c r="J127" s="12" t="n"/>
      <c r="K127" s="13" t="n"/>
      <c r="L127" s="13" t="n"/>
      <c r="M127" s="13" t="n"/>
      <c r="N127" s="14">
        <f>IF(OR($C127="",$E127="",Calc!$H127=""),"",IFERROR(VLOOKUP(LEFT(UPPER(TRIM($E127)),6),BankTbl,3,0),0)+SUMIFS(CalcDep,CalcBank,LEFT(UPPER(TRIM($E127)),6),CalcKey,"&lt;="&amp;Calc!$H127)-SUMIFS(CalcWit,CalcBank,LEFT(UPPER(TRIM($E127)),6),CalcKey,"&lt;="&amp;Calc!$H127))</f>
        <v/>
      </c>
      <c r="O127" s="10">
        <f>IF(OR($C127="",$M127=""),"",IF($N127="","؟",IF(ROUND($M127-$N127,0)=0,"√","×")))</f>
        <v/>
      </c>
      <c r="P127" s="12" t="n"/>
    </row>
    <row r="128">
      <c r="A128" s="10">
        <f>IF($C128="","",COUNTA($C$9:$C128))</f>
        <v/>
      </c>
      <c r="B128" s="10">
        <f>IF($C128="","","TXN-"&amp;RIGHT("0000"&amp;120,4))</f>
        <v/>
      </c>
      <c r="C128" s="11" t="n"/>
      <c r="D128" s="11" t="n"/>
      <c r="E128" s="12" t="n"/>
      <c r="F128" s="10">
        <f>IF($E128="","",IFERROR(IF(VLOOKUP(LEFT(UPPER(TRIM($E128)),6),BankTbl,2,0)="","(بدون عنوان)",VLOOKUP(LEFT(UPPER(TRIM($E128)),6),BankTbl,2,0)),"بانک ناشناخته"))</f>
        <v/>
      </c>
      <c r="G128" s="11" t="n"/>
      <c r="H128" s="10">
        <f>IF($G128="","",IFERROR(VLOOKUP($G128,CustTbl,2,0),IFERROR(VLOOKUP($G128,SuppTbl,2,0),IFERROR(VLOOKUP($G128,AcctTbl,2,0),IFERROR(VLOOKUP($G128,StaffTbl,2,0),"کد ناشناخته")))))</f>
        <v/>
      </c>
      <c r="I128" s="12" t="n"/>
      <c r="J128" s="12" t="n"/>
      <c r="K128" s="13" t="n"/>
      <c r="L128" s="13" t="n"/>
      <c r="M128" s="13" t="n"/>
      <c r="N128" s="14">
        <f>IF(OR($C128="",$E128="",Calc!$H128=""),"",IFERROR(VLOOKUP(LEFT(UPPER(TRIM($E128)),6),BankTbl,3,0),0)+SUMIFS(CalcDep,CalcBank,LEFT(UPPER(TRIM($E128)),6),CalcKey,"&lt;="&amp;Calc!$H128)-SUMIFS(CalcWit,CalcBank,LEFT(UPPER(TRIM($E128)),6),CalcKey,"&lt;="&amp;Calc!$H128))</f>
        <v/>
      </c>
      <c r="O128" s="10">
        <f>IF(OR($C128="",$M128=""),"",IF($N128="","؟",IF(ROUND($M128-$N128,0)=0,"√","×")))</f>
        <v/>
      </c>
      <c r="P128" s="12" t="n"/>
    </row>
    <row r="129">
      <c r="A129" s="10">
        <f>IF($C129="","",COUNTA($C$9:$C129))</f>
        <v/>
      </c>
      <c r="B129" s="10">
        <f>IF($C129="","","TXN-"&amp;RIGHT("0000"&amp;121,4))</f>
        <v/>
      </c>
      <c r="C129" s="11" t="n"/>
      <c r="D129" s="11" t="n"/>
      <c r="E129" s="12" t="n"/>
      <c r="F129" s="10">
        <f>IF($E129="","",IFERROR(IF(VLOOKUP(LEFT(UPPER(TRIM($E129)),6),BankTbl,2,0)="","(بدون عنوان)",VLOOKUP(LEFT(UPPER(TRIM($E129)),6),BankTbl,2,0)),"بانک ناشناخته"))</f>
        <v/>
      </c>
      <c r="G129" s="11" t="n"/>
      <c r="H129" s="10">
        <f>IF($G129="","",IFERROR(VLOOKUP($G129,CustTbl,2,0),IFERROR(VLOOKUP($G129,SuppTbl,2,0),IFERROR(VLOOKUP($G129,AcctTbl,2,0),IFERROR(VLOOKUP($G129,StaffTbl,2,0),"کد ناشناخته")))))</f>
        <v/>
      </c>
      <c r="I129" s="12" t="n"/>
      <c r="J129" s="12" t="n"/>
      <c r="K129" s="13" t="n"/>
      <c r="L129" s="13" t="n"/>
      <c r="M129" s="13" t="n"/>
      <c r="N129" s="14">
        <f>IF(OR($C129="",$E129="",Calc!$H129=""),"",IFERROR(VLOOKUP(LEFT(UPPER(TRIM($E129)),6),BankTbl,3,0),0)+SUMIFS(CalcDep,CalcBank,LEFT(UPPER(TRIM($E129)),6),CalcKey,"&lt;="&amp;Calc!$H129)-SUMIFS(CalcWit,CalcBank,LEFT(UPPER(TRIM($E129)),6),CalcKey,"&lt;="&amp;Calc!$H129))</f>
        <v/>
      </c>
      <c r="O129" s="10">
        <f>IF(OR($C129="",$M129=""),"",IF($N129="","؟",IF(ROUND($M129-$N129,0)=0,"√","×")))</f>
        <v/>
      </c>
      <c r="P129" s="12" t="n"/>
    </row>
    <row r="130">
      <c r="A130" s="10">
        <f>IF($C130="","",COUNTA($C$9:$C130))</f>
        <v/>
      </c>
      <c r="B130" s="10">
        <f>IF($C130="","","TXN-"&amp;RIGHT("0000"&amp;122,4))</f>
        <v/>
      </c>
      <c r="C130" s="11" t="n"/>
      <c r="D130" s="11" t="n"/>
      <c r="E130" s="12" t="n"/>
      <c r="F130" s="10">
        <f>IF($E130="","",IFERROR(IF(VLOOKUP(LEFT(UPPER(TRIM($E130)),6),BankTbl,2,0)="","(بدون عنوان)",VLOOKUP(LEFT(UPPER(TRIM($E130)),6),BankTbl,2,0)),"بانک ناشناخته"))</f>
        <v/>
      </c>
      <c r="G130" s="11" t="n"/>
      <c r="H130" s="10">
        <f>IF($G130="","",IFERROR(VLOOKUP($G130,CustTbl,2,0),IFERROR(VLOOKUP($G130,SuppTbl,2,0),IFERROR(VLOOKUP($G130,AcctTbl,2,0),IFERROR(VLOOKUP($G130,StaffTbl,2,0),"کد ناشناخته")))))</f>
        <v/>
      </c>
      <c r="I130" s="12" t="n"/>
      <c r="J130" s="12" t="n"/>
      <c r="K130" s="13" t="n"/>
      <c r="L130" s="13" t="n"/>
      <c r="M130" s="13" t="n"/>
      <c r="N130" s="14">
        <f>IF(OR($C130="",$E130="",Calc!$H130=""),"",IFERROR(VLOOKUP(LEFT(UPPER(TRIM($E130)),6),BankTbl,3,0),0)+SUMIFS(CalcDep,CalcBank,LEFT(UPPER(TRIM($E130)),6),CalcKey,"&lt;="&amp;Calc!$H130)-SUMIFS(CalcWit,CalcBank,LEFT(UPPER(TRIM($E130)),6),CalcKey,"&lt;="&amp;Calc!$H130))</f>
        <v/>
      </c>
      <c r="O130" s="10">
        <f>IF(OR($C130="",$M130=""),"",IF($N130="","؟",IF(ROUND($M130-$N130,0)=0,"√","×")))</f>
        <v/>
      </c>
      <c r="P130" s="12" t="n"/>
    </row>
    <row r="131">
      <c r="A131" s="10">
        <f>IF($C131="","",COUNTA($C$9:$C131))</f>
        <v/>
      </c>
      <c r="B131" s="10">
        <f>IF($C131="","","TXN-"&amp;RIGHT("0000"&amp;123,4))</f>
        <v/>
      </c>
      <c r="C131" s="11" t="n"/>
      <c r="D131" s="11" t="n"/>
      <c r="E131" s="12" t="n"/>
      <c r="F131" s="10">
        <f>IF($E131="","",IFERROR(IF(VLOOKUP(LEFT(UPPER(TRIM($E131)),6),BankTbl,2,0)="","(بدون عنوان)",VLOOKUP(LEFT(UPPER(TRIM($E131)),6),BankTbl,2,0)),"بانک ناشناخته"))</f>
        <v/>
      </c>
      <c r="G131" s="11" t="n"/>
      <c r="H131" s="10">
        <f>IF($G131="","",IFERROR(VLOOKUP($G131,CustTbl,2,0),IFERROR(VLOOKUP($G131,SuppTbl,2,0),IFERROR(VLOOKUP($G131,AcctTbl,2,0),IFERROR(VLOOKUP($G131,StaffTbl,2,0),"کد ناشناخته")))))</f>
        <v/>
      </c>
      <c r="I131" s="12" t="n"/>
      <c r="J131" s="12" t="n"/>
      <c r="K131" s="13" t="n"/>
      <c r="L131" s="13" t="n"/>
      <c r="M131" s="13" t="n"/>
      <c r="N131" s="14">
        <f>IF(OR($C131="",$E131="",Calc!$H131=""),"",IFERROR(VLOOKUP(LEFT(UPPER(TRIM($E131)),6),BankTbl,3,0),0)+SUMIFS(CalcDep,CalcBank,LEFT(UPPER(TRIM($E131)),6),CalcKey,"&lt;="&amp;Calc!$H131)-SUMIFS(CalcWit,CalcBank,LEFT(UPPER(TRIM($E131)),6),CalcKey,"&lt;="&amp;Calc!$H131))</f>
        <v/>
      </c>
      <c r="O131" s="10">
        <f>IF(OR($C131="",$M131=""),"",IF($N131="","؟",IF(ROUND($M131-$N131,0)=0,"√","×")))</f>
        <v/>
      </c>
      <c r="P131" s="12" t="n"/>
    </row>
    <row r="132">
      <c r="A132" s="10">
        <f>IF($C132="","",COUNTA($C$9:$C132))</f>
        <v/>
      </c>
      <c r="B132" s="10">
        <f>IF($C132="","","TXN-"&amp;RIGHT("0000"&amp;124,4))</f>
        <v/>
      </c>
      <c r="C132" s="11" t="n"/>
      <c r="D132" s="11" t="n"/>
      <c r="E132" s="12" t="n"/>
      <c r="F132" s="10">
        <f>IF($E132="","",IFERROR(IF(VLOOKUP(LEFT(UPPER(TRIM($E132)),6),BankTbl,2,0)="","(بدون عنوان)",VLOOKUP(LEFT(UPPER(TRIM($E132)),6),BankTbl,2,0)),"بانک ناشناخته"))</f>
        <v/>
      </c>
      <c r="G132" s="11" t="n"/>
      <c r="H132" s="10">
        <f>IF($G132="","",IFERROR(VLOOKUP($G132,CustTbl,2,0),IFERROR(VLOOKUP($G132,SuppTbl,2,0),IFERROR(VLOOKUP($G132,AcctTbl,2,0),IFERROR(VLOOKUP($G132,StaffTbl,2,0),"کد ناشناخته")))))</f>
        <v/>
      </c>
      <c r="I132" s="12" t="n"/>
      <c r="J132" s="12" t="n"/>
      <c r="K132" s="13" t="n"/>
      <c r="L132" s="13" t="n"/>
      <c r="M132" s="13" t="n"/>
      <c r="N132" s="14">
        <f>IF(OR($C132="",$E132="",Calc!$H132=""),"",IFERROR(VLOOKUP(LEFT(UPPER(TRIM($E132)),6),BankTbl,3,0),0)+SUMIFS(CalcDep,CalcBank,LEFT(UPPER(TRIM($E132)),6),CalcKey,"&lt;="&amp;Calc!$H132)-SUMIFS(CalcWit,CalcBank,LEFT(UPPER(TRIM($E132)),6),CalcKey,"&lt;="&amp;Calc!$H132))</f>
        <v/>
      </c>
      <c r="O132" s="10">
        <f>IF(OR($C132="",$M132=""),"",IF($N132="","؟",IF(ROUND($M132-$N132,0)=0,"√","×")))</f>
        <v/>
      </c>
      <c r="P132" s="12" t="n"/>
    </row>
    <row r="133">
      <c r="A133" s="10">
        <f>IF($C133="","",COUNTA($C$9:$C133))</f>
        <v/>
      </c>
      <c r="B133" s="10">
        <f>IF($C133="","","TXN-"&amp;RIGHT("0000"&amp;125,4))</f>
        <v/>
      </c>
      <c r="C133" s="11" t="n"/>
      <c r="D133" s="11" t="n"/>
      <c r="E133" s="12" t="n"/>
      <c r="F133" s="10">
        <f>IF($E133="","",IFERROR(IF(VLOOKUP(LEFT(UPPER(TRIM($E133)),6),BankTbl,2,0)="","(بدون عنوان)",VLOOKUP(LEFT(UPPER(TRIM($E133)),6),BankTbl,2,0)),"بانک ناشناخته"))</f>
        <v/>
      </c>
      <c r="G133" s="11" t="n"/>
      <c r="H133" s="10">
        <f>IF($G133="","",IFERROR(VLOOKUP($G133,CustTbl,2,0),IFERROR(VLOOKUP($G133,SuppTbl,2,0),IFERROR(VLOOKUP($G133,AcctTbl,2,0),IFERROR(VLOOKUP($G133,StaffTbl,2,0),"کد ناشناخته")))))</f>
        <v/>
      </c>
      <c r="I133" s="12" t="n"/>
      <c r="J133" s="12" t="n"/>
      <c r="K133" s="13" t="n"/>
      <c r="L133" s="13" t="n"/>
      <c r="M133" s="13" t="n"/>
      <c r="N133" s="14">
        <f>IF(OR($C133="",$E133="",Calc!$H133=""),"",IFERROR(VLOOKUP(LEFT(UPPER(TRIM($E133)),6),BankTbl,3,0),0)+SUMIFS(CalcDep,CalcBank,LEFT(UPPER(TRIM($E133)),6),CalcKey,"&lt;="&amp;Calc!$H133)-SUMIFS(CalcWit,CalcBank,LEFT(UPPER(TRIM($E133)),6),CalcKey,"&lt;="&amp;Calc!$H133))</f>
        <v/>
      </c>
      <c r="O133" s="10">
        <f>IF(OR($C133="",$M133=""),"",IF($N133="","؟",IF(ROUND($M133-$N133,0)=0,"√","×")))</f>
        <v/>
      </c>
      <c r="P133" s="12" t="n"/>
    </row>
    <row r="134">
      <c r="A134" s="10">
        <f>IF($C134="","",COUNTA($C$9:$C134))</f>
        <v/>
      </c>
      <c r="B134" s="10">
        <f>IF($C134="","","TXN-"&amp;RIGHT("0000"&amp;126,4))</f>
        <v/>
      </c>
      <c r="C134" s="11" t="n"/>
      <c r="D134" s="11" t="n"/>
      <c r="E134" s="12" t="n"/>
      <c r="F134" s="10">
        <f>IF($E134="","",IFERROR(IF(VLOOKUP(LEFT(UPPER(TRIM($E134)),6),BankTbl,2,0)="","(بدون عنوان)",VLOOKUP(LEFT(UPPER(TRIM($E134)),6),BankTbl,2,0)),"بانک ناشناخته"))</f>
        <v/>
      </c>
      <c r="G134" s="11" t="n"/>
      <c r="H134" s="10">
        <f>IF($G134="","",IFERROR(VLOOKUP($G134,CustTbl,2,0),IFERROR(VLOOKUP($G134,SuppTbl,2,0),IFERROR(VLOOKUP($G134,AcctTbl,2,0),IFERROR(VLOOKUP($G134,StaffTbl,2,0),"کد ناشناخته")))))</f>
        <v/>
      </c>
      <c r="I134" s="12" t="n"/>
      <c r="J134" s="12" t="n"/>
      <c r="K134" s="13" t="n"/>
      <c r="L134" s="13" t="n"/>
      <c r="M134" s="13" t="n"/>
      <c r="N134" s="14">
        <f>IF(OR($C134="",$E134="",Calc!$H134=""),"",IFERROR(VLOOKUP(LEFT(UPPER(TRIM($E134)),6),BankTbl,3,0),0)+SUMIFS(CalcDep,CalcBank,LEFT(UPPER(TRIM($E134)),6),CalcKey,"&lt;="&amp;Calc!$H134)-SUMIFS(CalcWit,CalcBank,LEFT(UPPER(TRIM($E134)),6),CalcKey,"&lt;="&amp;Calc!$H134))</f>
        <v/>
      </c>
      <c r="O134" s="10">
        <f>IF(OR($C134="",$M134=""),"",IF($N134="","؟",IF(ROUND($M134-$N134,0)=0,"√","×")))</f>
        <v/>
      </c>
      <c r="P134" s="12" t="n"/>
    </row>
    <row r="135">
      <c r="A135" s="10">
        <f>IF($C135="","",COUNTA($C$9:$C135))</f>
        <v/>
      </c>
      <c r="B135" s="10">
        <f>IF($C135="","","TXN-"&amp;RIGHT("0000"&amp;127,4))</f>
        <v/>
      </c>
      <c r="C135" s="11" t="n"/>
      <c r="D135" s="11" t="n"/>
      <c r="E135" s="12" t="n"/>
      <c r="F135" s="10">
        <f>IF($E135="","",IFERROR(IF(VLOOKUP(LEFT(UPPER(TRIM($E135)),6),BankTbl,2,0)="","(بدون عنوان)",VLOOKUP(LEFT(UPPER(TRIM($E135)),6),BankTbl,2,0)),"بانک ناشناخته"))</f>
        <v/>
      </c>
      <c r="G135" s="11" t="n"/>
      <c r="H135" s="10">
        <f>IF($G135="","",IFERROR(VLOOKUP($G135,CustTbl,2,0),IFERROR(VLOOKUP($G135,SuppTbl,2,0),IFERROR(VLOOKUP($G135,AcctTbl,2,0),IFERROR(VLOOKUP($G135,StaffTbl,2,0),"کد ناشناخته")))))</f>
        <v/>
      </c>
      <c r="I135" s="12" t="n"/>
      <c r="J135" s="12" t="n"/>
      <c r="K135" s="13" t="n"/>
      <c r="L135" s="13" t="n"/>
      <c r="M135" s="13" t="n"/>
      <c r="N135" s="14">
        <f>IF(OR($C135="",$E135="",Calc!$H135=""),"",IFERROR(VLOOKUP(LEFT(UPPER(TRIM($E135)),6),BankTbl,3,0),0)+SUMIFS(CalcDep,CalcBank,LEFT(UPPER(TRIM($E135)),6),CalcKey,"&lt;="&amp;Calc!$H135)-SUMIFS(CalcWit,CalcBank,LEFT(UPPER(TRIM($E135)),6),CalcKey,"&lt;="&amp;Calc!$H135))</f>
        <v/>
      </c>
      <c r="O135" s="10">
        <f>IF(OR($C135="",$M135=""),"",IF($N135="","؟",IF(ROUND($M135-$N135,0)=0,"√","×")))</f>
        <v/>
      </c>
      <c r="P135" s="12" t="n"/>
    </row>
    <row r="136">
      <c r="A136" s="10">
        <f>IF($C136="","",COUNTA($C$9:$C136))</f>
        <v/>
      </c>
      <c r="B136" s="10">
        <f>IF($C136="","","TXN-"&amp;RIGHT("0000"&amp;128,4))</f>
        <v/>
      </c>
      <c r="C136" s="11" t="n"/>
      <c r="D136" s="11" t="n"/>
      <c r="E136" s="12" t="n"/>
      <c r="F136" s="10">
        <f>IF($E136="","",IFERROR(IF(VLOOKUP(LEFT(UPPER(TRIM($E136)),6),BankTbl,2,0)="","(بدون عنوان)",VLOOKUP(LEFT(UPPER(TRIM($E136)),6),BankTbl,2,0)),"بانک ناشناخته"))</f>
        <v/>
      </c>
      <c r="G136" s="11" t="n"/>
      <c r="H136" s="10">
        <f>IF($G136="","",IFERROR(VLOOKUP($G136,CustTbl,2,0),IFERROR(VLOOKUP($G136,SuppTbl,2,0),IFERROR(VLOOKUP($G136,AcctTbl,2,0),IFERROR(VLOOKUP($G136,StaffTbl,2,0),"کد ناشناخته")))))</f>
        <v/>
      </c>
      <c r="I136" s="12" t="n"/>
      <c r="J136" s="12" t="n"/>
      <c r="K136" s="13" t="n"/>
      <c r="L136" s="13" t="n"/>
      <c r="M136" s="13" t="n"/>
      <c r="N136" s="14">
        <f>IF(OR($C136="",$E136="",Calc!$H136=""),"",IFERROR(VLOOKUP(LEFT(UPPER(TRIM($E136)),6),BankTbl,3,0),0)+SUMIFS(CalcDep,CalcBank,LEFT(UPPER(TRIM($E136)),6),CalcKey,"&lt;="&amp;Calc!$H136)-SUMIFS(CalcWit,CalcBank,LEFT(UPPER(TRIM($E136)),6),CalcKey,"&lt;="&amp;Calc!$H136))</f>
        <v/>
      </c>
      <c r="O136" s="10">
        <f>IF(OR($C136="",$M136=""),"",IF($N136="","؟",IF(ROUND($M136-$N136,0)=0,"√","×")))</f>
        <v/>
      </c>
      <c r="P136" s="12" t="n"/>
    </row>
    <row r="137">
      <c r="A137" s="10">
        <f>IF($C137="","",COUNTA($C$9:$C137))</f>
        <v/>
      </c>
      <c r="B137" s="10">
        <f>IF($C137="","","TXN-"&amp;RIGHT("0000"&amp;129,4))</f>
        <v/>
      </c>
      <c r="C137" s="11" t="n"/>
      <c r="D137" s="11" t="n"/>
      <c r="E137" s="12" t="n"/>
      <c r="F137" s="10">
        <f>IF($E137="","",IFERROR(IF(VLOOKUP(LEFT(UPPER(TRIM($E137)),6),BankTbl,2,0)="","(بدون عنوان)",VLOOKUP(LEFT(UPPER(TRIM($E137)),6),BankTbl,2,0)),"بانک ناشناخته"))</f>
        <v/>
      </c>
      <c r="G137" s="11" t="n"/>
      <c r="H137" s="10">
        <f>IF($G137="","",IFERROR(VLOOKUP($G137,CustTbl,2,0),IFERROR(VLOOKUP($G137,SuppTbl,2,0),IFERROR(VLOOKUP($G137,AcctTbl,2,0),IFERROR(VLOOKUP($G137,StaffTbl,2,0),"کد ناشناخته")))))</f>
        <v/>
      </c>
      <c r="I137" s="12" t="n"/>
      <c r="J137" s="12" t="n"/>
      <c r="K137" s="13" t="n"/>
      <c r="L137" s="13" t="n"/>
      <c r="M137" s="13" t="n"/>
      <c r="N137" s="14">
        <f>IF(OR($C137="",$E137="",Calc!$H137=""),"",IFERROR(VLOOKUP(LEFT(UPPER(TRIM($E137)),6),BankTbl,3,0),0)+SUMIFS(CalcDep,CalcBank,LEFT(UPPER(TRIM($E137)),6),CalcKey,"&lt;="&amp;Calc!$H137)-SUMIFS(CalcWit,CalcBank,LEFT(UPPER(TRIM($E137)),6),CalcKey,"&lt;="&amp;Calc!$H137))</f>
        <v/>
      </c>
      <c r="O137" s="10">
        <f>IF(OR($C137="",$M137=""),"",IF($N137="","؟",IF(ROUND($M137-$N137,0)=0,"√","×")))</f>
        <v/>
      </c>
      <c r="P137" s="12" t="n"/>
    </row>
    <row r="138">
      <c r="A138" s="10">
        <f>IF($C138="","",COUNTA($C$9:$C138))</f>
        <v/>
      </c>
      <c r="B138" s="10">
        <f>IF($C138="","","TXN-"&amp;RIGHT("0000"&amp;130,4))</f>
        <v/>
      </c>
      <c r="C138" s="11" t="n"/>
      <c r="D138" s="11" t="n"/>
      <c r="E138" s="12" t="n"/>
      <c r="F138" s="10">
        <f>IF($E138="","",IFERROR(IF(VLOOKUP(LEFT(UPPER(TRIM($E138)),6),BankTbl,2,0)="","(بدون عنوان)",VLOOKUP(LEFT(UPPER(TRIM($E138)),6),BankTbl,2,0)),"بانک ناشناخته"))</f>
        <v/>
      </c>
      <c r="G138" s="11" t="n"/>
      <c r="H138" s="10">
        <f>IF($G138="","",IFERROR(VLOOKUP($G138,CustTbl,2,0),IFERROR(VLOOKUP($G138,SuppTbl,2,0),IFERROR(VLOOKUP($G138,AcctTbl,2,0),IFERROR(VLOOKUP($G138,StaffTbl,2,0),"کد ناشناخته")))))</f>
        <v/>
      </c>
      <c r="I138" s="12" t="n"/>
      <c r="J138" s="12" t="n"/>
      <c r="K138" s="13" t="n"/>
      <c r="L138" s="13" t="n"/>
      <c r="M138" s="13" t="n"/>
      <c r="N138" s="14">
        <f>IF(OR($C138="",$E138="",Calc!$H138=""),"",IFERROR(VLOOKUP(LEFT(UPPER(TRIM($E138)),6),BankTbl,3,0),0)+SUMIFS(CalcDep,CalcBank,LEFT(UPPER(TRIM($E138)),6),CalcKey,"&lt;="&amp;Calc!$H138)-SUMIFS(CalcWit,CalcBank,LEFT(UPPER(TRIM($E138)),6),CalcKey,"&lt;="&amp;Calc!$H138))</f>
        <v/>
      </c>
      <c r="O138" s="10">
        <f>IF(OR($C138="",$M138=""),"",IF($N138="","؟",IF(ROUND($M138-$N138,0)=0,"√","×")))</f>
        <v/>
      </c>
      <c r="P138" s="12" t="n"/>
    </row>
    <row r="139">
      <c r="A139" s="10">
        <f>IF($C139="","",COUNTA($C$9:$C139))</f>
        <v/>
      </c>
      <c r="B139" s="10">
        <f>IF($C139="","","TXN-"&amp;RIGHT("0000"&amp;131,4))</f>
        <v/>
      </c>
      <c r="C139" s="11" t="n"/>
      <c r="D139" s="11" t="n"/>
      <c r="E139" s="12" t="n"/>
      <c r="F139" s="10">
        <f>IF($E139="","",IFERROR(IF(VLOOKUP(LEFT(UPPER(TRIM($E139)),6),BankTbl,2,0)="","(بدون عنوان)",VLOOKUP(LEFT(UPPER(TRIM($E139)),6),BankTbl,2,0)),"بانک ناشناخته"))</f>
        <v/>
      </c>
      <c r="G139" s="11" t="n"/>
      <c r="H139" s="10">
        <f>IF($G139="","",IFERROR(VLOOKUP($G139,CustTbl,2,0),IFERROR(VLOOKUP($G139,SuppTbl,2,0),IFERROR(VLOOKUP($G139,AcctTbl,2,0),IFERROR(VLOOKUP($G139,StaffTbl,2,0),"کد ناشناخته")))))</f>
        <v/>
      </c>
      <c r="I139" s="12" t="n"/>
      <c r="J139" s="12" t="n"/>
      <c r="K139" s="13" t="n"/>
      <c r="L139" s="13" t="n"/>
      <c r="M139" s="13" t="n"/>
      <c r="N139" s="14">
        <f>IF(OR($C139="",$E139="",Calc!$H139=""),"",IFERROR(VLOOKUP(LEFT(UPPER(TRIM($E139)),6),BankTbl,3,0),0)+SUMIFS(CalcDep,CalcBank,LEFT(UPPER(TRIM($E139)),6),CalcKey,"&lt;="&amp;Calc!$H139)-SUMIFS(CalcWit,CalcBank,LEFT(UPPER(TRIM($E139)),6),CalcKey,"&lt;="&amp;Calc!$H139))</f>
        <v/>
      </c>
      <c r="O139" s="10">
        <f>IF(OR($C139="",$M139=""),"",IF($N139="","؟",IF(ROUND($M139-$N139,0)=0,"√","×")))</f>
        <v/>
      </c>
      <c r="P139" s="12" t="n"/>
    </row>
    <row r="140">
      <c r="A140" s="10">
        <f>IF($C140="","",COUNTA($C$9:$C140))</f>
        <v/>
      </c>
      <c r="B140" s="10">
        <f>IF($C140="","","TXN-"&amp;RIGHT("0000"&amp;132,4))</f>
        <v/>
      </c>
      <c r="C140" s="11" t="n"/>
      <c r="D140" s="11" t="n"/>
      <c r="E140" s="12" t="n"/>
      <c r="F140" s="10">
        <f>IF($E140="","",IFERROR(IF(VLOOKUP(LEFT(UPPER(TRIM($E140)),6),BankTbl,2,0)="","(بدون عنوان)",VLOOKUP(LEFT(UPPER(TRIM($E140)),6),BankTbl,2,0)),"بانک ناشناخته"))</f>
        <v/>
      </c>
      <c r="G140" s="11" t="n"/>
      <c r="H140" s="10">
        <f>IF($G140="","",IFERROR(VLOOKUP($G140,CustTbl,2,0),IFERROR(VLOOKUP($G140,SuppTbl,2,0),IFERROR(VLOOKUP($G140,AcctTbl,2,0),IFERROR(VLOOKUP($G140,StaffTbl,2,0),"کد ناشناخته")))))</f>
        <v/>
      </c>
      <c r="I140" s="12" t="n"/>
      <c r="J140" s="12" t="n"/>
      <c r="K140" s="13" t="n"/>
      <c r="L140" s="13" t="n"/>
      <c r="M140" s="13" t="n"/>
      <c r="N140" s="14">
        <f>IF(OR($C140="",$E140="",Calc!$H140=""),"",IFERROR(VLOOKUP(LEFT(UPPER(TRIM($E140)),6),BankTbl,3,0),0)+SUMIFS(CalcDep,CalcBank,LEFT(UPPER(TRIM($E140)),6),CalcKey,"&lt;="&amp;Calc!$H140)-SUMIFS(CalcWit,CalcBank,LEFT(UPPER(TRIM($E140)),6),CalcKey,"&lt;="&amp;Calc!$H140))</f>
        <v/>
      </c>
      <c r="O140" s="10">
        <f>IF(OR($C140="",$M140=""),"",IF($N140="","؟",IF(ROUND($M140-$N140,0)=0,"√","×")))</f>
        <v/>
      </c>
      <c r="P140" s="12" t="n"/>
    </row>
    <row r="141">
      <c r="A141" s="10">
        <f>IF($C141="","",COUNTA($C$9:$C141))</f>
        <v/>
      </c>
      <c r="B141" s="10">
        <f>IF($C141="","","TXN-"&amp;RIGHT("0000"&amp;133,4))</f>
        <v/>
      </c>
      <c r="C141" s="11" t="n"/>
      <c r="D141" s="11" t="n"/>
      <c r="E141" s="12" t="n"/>
      <c r="F141" s="10">
        <f>IF($E141="","",IFERROR(IF(VLOOKUP(LEFT(UPPER(TRIM($E141)),6),BankTbl,2,0)="","(بدون عنوان)",VLOOKUP(LEFT(UPPER(TRIM($E141)),6),BankTbl,2,0)),"بانک ناشناخته"))</f>
        <v/>
      </c>
      <c r="G141" s="11" t="n"/>
      <c r="H141" s="10">
        <f>IF($G141="","",IFERROR(VLOOKUP($G141,CustTbl,2,0),IFERROR(VLOOKUP($G141,SuppTbl,2,0),IFERROR(VLOOKUP($G141,AcctTbl,2,0),IFERROR(VLOOKUP($G141,StaffTbl,2,0),"کد ناشناخته")))))</f>
        <v/>
      </c>
      <c r="I141" s="12" t="n"/>
      <c r="J141" s="12" t="n"/>
      <c r="K141" s="13" t="n"/>
      <c r="L141" s="13" t="n"/>
      <c r="M141" s="13" t="n"/>
      <c r="N141" s="14">
        <f>IF(OR($C141="",$E141="",Calc!$H141=""),"",IFERROR(VLOOKUP(LEFT(UPPER(TRIM($E141)),6),BankTbl,3,0),0)+SUMIFS(CalcDep,CalcBank,LEFT(UPPER(TRIM($E141)),6),CalcKey,"&lt;="&amp;Calc!$H141)-SUMIFS(CalcWit,CalcBank,LEFT(UPPER(TRIM($E141)),6),CalcKey,"&lt;="&amp;Calc!$H141))</f>
        <v/>
      </c>
      <c r="O141" s="10">
        <f>IF(OR($C141="",$M141=""),"",IF($N141="","؟",IF(ROUND($M141-$N141,0)=0,"√","×")))</f>
        <v/>
      </c>
      <c r="P141" s="12" t="n"/>
    </row>
    <row r="142">
      <c r="A142" s="10">
        <f>IF($C142="","",COUNTA($C$9:$C142))</f>
        <v/>
      </c>
      <c r="B142" s="10">
        <f>IF($C142="","","TXN-"&amp;RIGHT("0000"&amp;134,4))</f>
        <v/>
      </c>
      <c r="C142" s="11" t="n"/>
      <c r="D142" s="11" t="n"/>
      <c r="E142" s="12" t="n"/>
      <c r="F142" s="10">
        <f>IF($E142="","",IFERROR(IF(VLOOKUP(LEFT(UPPER(TRIM($E142)),6),BankTbl,2,0)="","(بدون عنوان)",VLOOKUP(LEFT(UPPER(TRIM($E142)),6),BankTbl,2,0)),"بانک ناشناخته"))</f>
        <v/>
      </c>
      <c r="G142" s="11" t="n"/>
      <c r="H142" s="10">
        <f>IF($G142="","",IFERROR(VLOOKUP($G142,CustTbl,2,0),IFERROR(VLOOKUP($G142,SuppTbl,2,0),IFERROR(VLOOKUP($G142,AcctTbl,2,0),IFERROR(VLOOKUP($G142,StaffTbl,2,0),"کد ناشناخته")))))</f>
        <v/>
      </c>
      <c r="I142" s="12" t="n"/>
      <c r="J142" s="12" t="n"/>
      <c r="K142" s="13" t="n"/>
      <c r="L142" s="13" t="n"/>
      <c r="M142" s="13" t="n"/>
      <c r="N142" s="14">
        <f>IF(OR($C142="",$E142="",Calc!$H142=""),"",IFERROR(VLOOKUP(LEFT(UPPER(TRIM($E142)),6),BankTbl,3,0),0)+SUMIFS(CalcDep,CalcBank,LEFT(UPPER(TRIM($E142)),6),CalcKey,"&lt;="&amp;Calc!$H142)-SUMIFS(CalcWit,CalcBank,LEFT(UPPER(TRIM($E142)),6),CalcKey,"&lt;="&amp;Calc!$H142))</f>
        <v/>
      </c>
      <c r="O142" s="10">
        <f>IF(OR($C142="",$M142=""),"",IF($N142="","؟",IF(ROUND($M142-$N142,0)=0,"√","×")))</f>
        <v/>
      </c>
      <c r="P142" s="12" t="n"/>
    </row>
    <row r="143">
      <c r="A143" s="10">
        <f>IF($C143="","",COUNTA($C$9:$C143))</f>
        <v/>
      </c>
      <c r="B143" s="10">
        <f>IF($C143="","","TXN-"&amp;RIGHT("0000"&amp;135,4))</f>
        <v/>
      </c>
      <c r="C143" s="11" t="n"/>
      <c r="D143" s="11" t="n"/>
      <c r="E143" s="12" t="n"/>
      <c r="F143" s="10">
        <f>IF($E143="","",IFERROR(IF(VLOOKUP(LEFT(UPPER(TRIM($E143)),6),BankTbl,2,0)="","(بدون عنوان)",VLOOKUP(LEFT(UPPER(TRIM($E143)),6),BankTbl,2,0)),"بانک ناشناخته"))</f>
        <v/>
      </c>
      <c r="G143" s="11" t="n"/>
      <c r="H143" s="10">
        <f>IF($G143="","",IFERROR(VLOOKUP($G143,CustTbl,2,0),IFERROR(VLOOKUP($G143,SuppTbl,2,0),IFERROR(VLOOKUP($G143,AcctTbl,2,0),IFERROR(VLOOKUP($G143,StaffTbl,2,0),"کد ناشناخته")))))</f>
        <v/>
      </c>
      <c r="I143" s="12" t="n"/>
      <c r="J143" s="12" t="n"/>
      <c r="K143" s="13" t="n"/>
      <c r="L143" s="13" t="n"/>
      <c r="M143" s="13" t="n"/>
      <c r="N143" s="14">
        <f>IF(OR($C143="",$E143="",Calc!$H143=""),"",IFERROR(VLOOKUP(LEFT(UPPER(TRIM($E143)),6),BankTbl,3,0),0)+SUMIFS(CalcDep,CalcBank,LEFT(UPPER(TRIM($E143)),6),CalcKey,"&lt;="&amp;Calc!$H143)-SUMIFS(CalcWit,CalcBank,LEFT(UPPER(TRIM($E143)),6),CalcKey,"&lt;="&amp;Calc!$H143))</f>
        <v/>
      </c>
      <c r="O143" s="10">
        <f>IF(OR($C143="",$M143=""),"",IF($N143="","؟",IF(ROUND($M143-$N143,0)=0,"√","×")))</f>
        <v/>
      </c>
      <c r="P143" s="12" t="n"/>
    </row>
    <row r="144">
      <c r="A144" s="10">
        <f>IF($C144="","",COUNTA($C$9:$C144))</f>
        <v/>
      </c>
      <c r="B144" s="10">
        <f>IF($C144="","","TXN-"&amp;RIGHT("0000"&amp;136,4))</f>
        <v/>
      </c>
      <c r="C144" s="11" t="n"/>
      <c r="D144" s="11" t="n"/>
      <c r="E144" s="12" t="n"/>
      <c r="F144" s="10">
        <f>IF($E144="","",IFERROR(IF(VLOOKUP(LEFT(UPPER(TRIM($E144)),6),BankTbl,2,0)="","(بدون عنوان)",VLOOKUP(LEFT(UPPER(TRIM($E144)),6),BankTbl,2,0)),"بانک ناشناخته"))</f>
        <v/>
      </c>
      <c r="G144" s="11" t="n"/>
      <c r="H144" s="10">
        <f>IF($G144="","",IFERROR(VLOOKUP($G144,CustTbl,2,0),IFERROR(VLOOKUP($G144,SuppTbl,2,0),IFERROR(VLOOKUP($G144,AcctTbl,2,0),IFERROR(VLOOKUP($G144,StaffTbl,2,0),"کد ناشناخته")))))</f>
        <v/>
      </c>
      <c r="I144" s="12" t="n"/>
      <c r="J144" s="12" t="n"/>
      <c r="K144" s="13" t="n"/>
      <c r="L144" s="13" t="n"/>
      <c r="M144" s="13" t="n"/>
      <c r="N144" s="14">
        <f>IF(OR($C144="",$E144="",Calc!$H144=""),"",IFERROR(VLOOKUP(LEFT(UPPER(TRIM($E144)),6),BankTbl,3,0),0)+SUMIFS(CalcDep,CalcBank,LEFT(UPPER(TRIM($E144)),6),CalcKey,"&lt;="&amp;Calc!$H144)-SUMIFS(CalcWit,CalcBank,LEFT(UPPER(TRIM($E144)),6),CalcKey,"&lt;="&amp;Calc!$H144))</f>
        <v/>
      </c>
      <c r="O144" s="10">
        <f>IF(OR($C144="",$M144=""),"",IF($N144="","؟",IF(ROUND($M144-$N144,0)=0,"√","×")))</f>
        <v/>
      </c>
      <c r="P144" s="12" t="n"/>
    </row>
    <row r="145">
      <c r="A145" s="10">
        <f>IF($C145="","",COUNTA($C$9:$C145))</f>
        <v/>
      </c>
      <c r="B145" s="10">
        <f>IF($C145="","","TXN-"&amp;RIGHT("0000"&amp;137,4))</f>
        <v/>
      </c>
      <c r="C145" s="11" t="n"/>
      <c r="D145" s="11" t="n"/>
      <c r="E145" s="12" t="n"/>
      <c r="F145" s="10">
        <f>IF($E145="","",IFERROR(IF(VLOOKUP(LEFT(UPPER(TRIM($E145)),6),BankTbl,2,0)="","(بدون عنوان)",VLOOKUP(LEFT(UPPER(TRIM($E145)),6),BankTbl,2,0)),"بانک ناشناخته"))</f>
        <v/>
      </c>
      <c r="G145" s="11" t="n"/>
      <c r="H145" s="10">
        <f>IF($G145="","",IFERROR(VLOOKUP($G145,CustTbl,2,0),IFERROR(VLOOKUP($G145,SuppTbl,2,0),IFERROR(VLOOKUP($G145,AcctTbl,2,0),IFERROR(VLOOKUP($G145,StaffTbl,2,0),"کد ناشناخته")))))</f>
        <v/>
      </c>
      <c r="I145" s="12" t="n"/>
      <c r="J145" s="12" t="n"/>
      <c r="K145" s="13" t="n"/>
      <c r="L145" s="13" t="n"/>
      <c r="M145" s="13" t="n"/>
      <c r="N145" s="14">
        <f>IF(OR($C145="",$E145="",Calc!$H145=""),"",IFERROR(VLOOKUP(LEFT(UPPER(TRIM($E145)),6),BankTbl,3,0),0)+SUMIFS(CalcDep,CalcBank,LEFT(UPPER(TRIM($E145)),6),CalcKey,"&lt;="&amp;Calc!$H145)-SUMIFS(CalcWit,CalcBank,LEFT(UPPER(TRIM($E145)),6),CalcKey,"&lt;="&amp;Calc!$H145))</f>
        <v/>
      </c>
      <c r="O145" s="10">
        <f>IF(OR($C145="",$M145=""),"",IF($N145="","؟",IF(ROUND($M145-$N145,0)=0,"√","×")))</f>
        <v/>
      </c>
      <c r="P145" s="12" t="n"/>
    </row>
    <row r="146">
      <c r="A146" s="10">
        <f>IF($C146="","",COUNTA($C$9:$C146))</f>
        <v/>
      </c>
      <c r="B146" s="10">
        <f>IF($C146="","","TXN-"&amp;RIGHT("0000"&amp;138,4))</f>
        <v/>
      </c>
      <c r="C146" s="11" t="n"/>
      <c r="D146" s="11" t="n"/>
      <c r="E146" s="12" t="n"/>
      <c r="F146" s="10">
        <f>IF($E146="","",IFERROR(IF(VLOOKUP(LEFT(UPPER(TRIM($E146)),6),BankTbl,2,0)="","(بدون عنوان)",VLOOKUP(LEFT(UPPER(TRIM($E146)),6),BankTbl,2,0)),"بانک ناشناخته"))</f>
        <v/>
      </c>
      <c r="G146" s="11" t="n"/>
      <c r="H146" s="10">
        <f>IF($G146="","",IFERROR(VLOOKUP($G146,CustTbl,2,0),IFERROR(VLOOKUP($G146,SuppTbl,2,0),IFERROR(VLOOKUP($G146,AcctTbl,2,0),IFERROR(VLOOKUP($G146,StaffTbl,2,0),"کد ناشناخته")))))</f>
        <v/>
      </c>
      <c r="I146" s="12" t="n"/>
      <c r="J146" s="12" t="n"/>
      <c r="K146" s="13" t="n"/>
      <c r="L146" s="13" t="n"/>
      <c r="M146" s="13" t="n"/>
      <c r="N146" s="14">
        <f>IF(OR($C146="",$E146="",Calc!$H146=""),"",IFERROR(VLOOKUP(LEFT(UPPER(TRIM($E146)),6),BankTbl,3,0),0)+SUMIFS(CalcDep,CalcBank,LEFT(UPPER(TRIM($E146)),6),CalcKey,"&lt;="&amp;Calc!$H146)-SUMIFS(CalcWit,CalcBank,LEFT(UPPER(TRIM($E146)),6),CalcKey,"&lt;="&amp;Calc!$H146))</f>
        <v/>
      </c>
      <c r="O146" s="10">
        <f>IF(OR($C146="",$M146=""),"",IF($N146="","؟",IF(ROUND($M146-$N146,0)=0,"√","×")))</f>
        <v/>
      </c>
      <c r="P146" s="12" t="n"/>
    </row>
    <row r="147">
      <c r="A147" s="10">
        <f>IF($C147="","",COUNTA($C$9:$C147))</f>
        <v/>
      </c>
      <c r="B147" s="10">
        <f>IF($C147="","","TXN-"&amp;RIGHT("0000"&amp;139,4))</f>
        <v/>
      </c>
      <c r="C147" s="11" t="n"/>
      <c r="D147" s="11" t="n"/>
      <c r="E147" s="12" t="n"/>
      <c r="F147" s="10">
        <f>IF($E147="","",IFERROR(IF(VLOOKUP(LEFT(UPPER(TRIM($E147)),6),BankTbl,2,0)="","(بدون عنوان)",VLOOKUP(LEFT(UPPER(TRIM($E147)),6),BankTbl,2,0)),"بانک ناشناخته"))</f>
        <v/>
      </c>
      <c r="G147" s="11" t="n"/>
      <c r="H147" s="10">
        <f>IF($G147="","",IFERROR(VLOOKUP($G147,CustTbl,2,0),IFERROR(VLOOKUP($G147,SuppTbl,2,0),IFERROR(VLOOKUP($G147,AcctTbl,2,0),IFERROR(VLOOKUP($G147,StaffTbl,2,0),"کد ناشناخته")))))</f>
        <v/>
      </c>
      <c r="I147" s="12" t="n"/>
      <c r="J147" s="12" t="n"/>
      <c r="K147" s="13" t="n"/>
      <c r="L147" s="13" t="n"/>
      <c r="M147" s="13" t="n"/>
      <c r="N147" s="14">
        <f>IF(OR($C147="",$E147="",Calc!$H147=""),"",IFERROR(VLOOKUP(LEFT(UPPER(TRIM($E147)),6),BankTbl,3,0),0)+SUMIFS(CalcDep,CalcBank,LEFT(UPPER(TRIM($E147)),6),CalcKey,"&lt;="&amp;Calc!$H147)-SUMIFS(CalcWit,CalcBank,LEFT(UPPER(TRIM($E147)),6),CalcKey,"&lt;="&amp;Calc!$H147))</f>
        <v/>
      </c>
      <c r="O147" s="10">
        <f>IF(OR($C147="",$M147=""),"",IF($N147="","؟",IF(ROUND($M147-$N147,0)=0,"√","×")))</f>
        <v/>
      </c>
      <c r="P147" s="12" t="n"/>
    </row>
    <row r="148">
      <c r="A148" s="10">
        <f>IF($C148="","",COUNTA($C$9:$C148))</f>
        <v/>
      </c>
      <c r="B148" s="10">
        <f>IF($C148="","","TXN-"&amp;RIGHT("0000"&amp;140,4))</f>
        <v/>
      </c>
      <c r="C148" s="11" t="n"/>
      <c r="D148" s="11" t="n"/>
      <c r="E148" s="12" t="n"/>
      <c r="F148" s="10">
        <f>IF($E148="","",IFERROR(IF(VLOOKUP(LEFT(UPPER(TRIM($E148)),6),BankTbl,2,0)="","(بدون عنوان)",VLOOKUP(LEFT(UPPER(TRIM($E148)),6),BankTbl,2,0)),"بانک ناشناخته"))</f>
        <v/>
      </c>
      <c r="G148" s="11" t="n"/>
      <c r="H148" s="10">
        <f>IF($G148="","",IFERROR(VLOOKUP($G148,CustTbl,2,0),IFERROR(VLOOKUP($G148,SuppTbl,2,0),IFERROR(VLOOKUP($G148,AcctTbl,2,0),IFERROR(VLOOKUP($G148,StaffTbl,2,0),"کد ناشناخته")))))</f>
        <v/>
      </c>
      <c r="I148" s="12" t="n"/>
      <c r="J148" s="12" t="n"/>
      <c r="K148" s="13" t="n"/>
      <c r="L148" s="13" t="n"/>
      <c r="M148" s="13" t="n"/>
      <c r="N148" s="14">
        <f>IF(OR($C148="",$E148="",Calc!$H148=""),"",IFERROR(VLOOKUP(LEFT(UPPER(TRIM($E148)),6),BankTbl,3,0),0)+SUMIFS(CalcDep,CalcBank,LEFT(UPPER(TRIM($E148)),6),CalcKey,"&lt;="&amp;Calc!$H148)-SUMIFS(CalcWit,CalcBank,LEFT(UPPER(TRIM($E148)),6),CalcKey,"&lt;="&amp;Calc!$H148))</f>
        <v/>
      </c>
      <c r="O148" s="10">
        <f>IF(OR($C148="",$M148=""),"",IF($N148="","؟",IF(ROUND($M148-$N148,0)=0,"√","×")))</f>
        <v/>
      </c>
      <c r="P148" s="12" t="n"/>
    </row>
    <row r="149">
      <c r="A149" s="10">
        <f>IF($C149="","",COUNTA($C$9:$C149))</f>
        <v/>
      </c>
      <c r="B149" s="10">
        <f>IF($C149="","","TXN-"&amp;RIGHT("0000"&amp;141,4))</f>
        <v/>
      </c>
      <c r="C149" s="11" t="n"/>
      <c r="D149" s="11" t="n"/>
      <c r="E149" s="12" t="n"/>
      <c r="F149" s="10">
        <f>IF($E149="","",IFERROR(IF(VLOOKUP(LEFT(UPPER(TRIM($E149)),6),BankTbl,2,0)="","(بدون عنوان)",VLOOKUP(LEFT(UPPER(TRIM($E149)),6),BankTbl,2,0)),"بانک ناشناخته"))</f>
        <v/>
      </c>
      <c r="G149" s="11" t="n"/>
      <c r="H149" s="10">
        <f>IF($G149="","",IFERROR(VLOOKUP($G149,CustTbl,2,0),IFERROR(VLOOKUP($G149,SuppTbl,2,0),IFERROR(VLOOKUP($G149,AcctTbl,2,0),IFERROR(VLOOKUP($G149,StaffTbl,2,0),"کد ناشناخته")))))</f>
        <v/>
      </c>
      <c r="I149" s="12" t="n"/>
      <c r="J149" s="12" t="n"/>
      <c r="K149" s="13" t="n"/>
      <c r="L149" s="13" t="n"/>
      <c r="M149" s="13" t="n"/>
      <c r="N149" s="14">
        <f>IF(OR($C149="",$E149="",Calc!$H149=""),"",IFERROR(VLOOKUP(LEFT(UPPER(TRIM($E149)),6),BankTbl,3,0),0)+SUMIFS(CalcDep,CalcBank,LEFT(UPPER(TRIM($E149)),6),CalcKey,"&lt;="&amp;Calc!$H149)-SUMIFS(CalcWit,CalcBank,LEFT(UPPER(TRIM($E149)),6),CalcKey,"&lt;="&amp;Calc!$H149))</f>
        <v/>
      </c>
      <c r="O149" s="10">
        <f>IF(OR($C149="",$M149=""),"",IF($N149="","؟",IF(ROUND($M149-$N149,0)=0,"√","×")))</f>
        <v/>
      </c>
      <c r="P149" s="12" t="n"/>
    </row>
    <row r="150">
      <c r="A150" s="10">
        <f>IF($C150="","",COUNTA($C$9:$C150))</f>
        <v/>
      </c>
      <c r="B150" s="10">
        <f>IF($C150="","","TXN-"&amp;RIGHT("0000"&amp;142,4))</f>
        <v/>
      </c>
      <c r="C150" s="11" t="n"/>
      <c r="D150" s="11" t="n"/>
      <c r="E150" s="12" t="n"/>
      <c r="F150" s="10">
        <f>IF($E150="","",IFERROR(IF(VLOOKUP(LEFT(UPPER(TRIM($E150)),6),BankTbl,2,0)="","(بدون عنوان)",VLOOKUP(LEFT(UPPER(TRIM($E150)),6),BankTbl,2,0)),"بانک ناشناخته"))</f>
        <v/>
      </c>
      <c r="G150" s="11" t="n"/>
      <c r="H150" s="10">
        <f>IF($G150="","",IFERROR(VLOOKUP($G150,CustTbl,2,0),IFERROR(VLOOKUP($G150,SuppTbl,2,0),IFERROR(VLOOKUP($G150,AcctTbl,2,0),IFERROR(VLOOKUP($G150,StaffTbl,2,0),"کد ناشناخته")))))</f>
        <v/>
      </c>
      <c r="I150" s="12" t="n"/>
      <c r="J150" s="12" t="n"/>
      <c r="K150" s="13" t="n"/>
      <c r="L150" s="13" t="n"/>
      <c r="M150" s="13" t="n"/>
      <c r="N150" s="14">
        <f>IF(OR($C150="",$E150="",Calc!$H150=""),"",IFERROR(VLOOKUP(LEFT(UPPER(TRIM($E150)),6),BankTbl,3,0),0)+SUMIFS(CalcDep,CalcBank,LEFT(UPPER(TRIM($E150)),6),CalcKey,"&lt;="&amp;Calc!$H150)-SUMIFS(CalcWit,CalcBank,LEFT(UPPER(TRIM($E150)),6),CalcKey,"&lt;="&amp;Calc!$H150))</f>
        <v/>
      </c>
      <c r="O150" s="10">
        <f>IF(OR($C150="",$M150=""),"",IF($N150="","؟",IF(ROUND($M150-$N150,0)=0,"√","×")))</f>
        <v/>
      </c>
      <c r="P150" s="12" t="n"/>
    </row>
    <row r="151">
      <c r="A151" s="10">
        <f>IF($C151="","",COUNTA($C$9:$C151))</f>
        <v/>
      </c>
      <c r="B151" s="10">
        <f>IF($C151="","","TXN-"&amp;RIGHT("0000"&amp;143,4))</f>
        <v/>
      </c>
      <c r="C151" s="11" t="n"/>
      <c r="D151" s="11" t="n"/>
      <c r="E151" s="12" t="n"/>
      <c r="F151" s="10">
        <f>IF($E151="","",IFERROR(IF(VLOOKUP(LEFT(UPPER(TRIM($E151)),6),BankTbl,2,0)="","(بدون عنوان)",VLOOKUP(LEFT(UPPER(TRIM($E151)),6),BankTbl,2,0)),"بانک ناشناخته"))</f>
        <v/>
      </c>
      <c r="G151" s="11" t="n"/>
      <c r="H151" s="10">
        <f>IF($G151="","",IFERROR(VLOOKUP($G151,CustTbl,2,0),IFERROR(VLOOKUP($G151,SuppTbl,2,0),IFERROR(VLOOKUP($G151,AcctTbl,2,0),IFERROR(VLOOKUP($G151,StaffTbl,2,0),"کد ناشناخته")))))</f>
        <v/>
      </c>
      <c r="I151" s="12" t="n"/>
      <c r="J151" s="12" t="n"/>
      <c r="K151" s="13" t="n"/>
      <c r="L151" s="13" t="n"/>
      <c r="M151" s="13" t="n"/>
      <c r="N151" s="14">
        <f>IF(OR($C151="",$E151="",Calc!$H151=""),"",IFERROR(VLOOKUP(LEFT(UPPER(TRIM($E151)),6),BankTbl,3,0),0)+SUMIFS(CalcDep,CalcBank,LEFT(UPPER(TRIM($E151)),6),CalcKey,"&lt;="&amp;Calc!$H151)-SUMIFS(CalcWit,CalcBank,LEFT(UPPER(TRIM($E151)),6),CalcKey,"&lt;="&amp;Calc!$H151))</f>
        <v/>
      </c>
      <c r="O151" s="10">
        <f>IF(OR($C151="",$M151=""),"",IF($N151="","؟",IF(ROUND($M151-$N151,0)=0,"√","×")))</f>
        <v/>
      </c>
      <c r="P151" s="12" t="n"/>
    </row>
    <row r="152">
      <c r="A152" s="10">
        <f>IF($C152="","",COUNTA($C$9:$C152))</f>
        <v/>
      </c>
      <c r="B152" s="10">
        <f>IF($C152="","","TXN-"&amp;RIGHT("0000"&amp;144,4))</f>
        <v/>
      </c>
      <c r="C152" s="11" t="n"/>
      <c r="D152" s="11" t="n"/>
      <c r="E152" s="12" t="n"/>
      <c r="F152" s="10">
        <f>IF($E152="","",IFERROR(IF(VLOOKUP(LEFT(UPPER(TRIM($E152)),6),BankTbl,2,0)="","(بدون عنوان)",VLOOKUP(LEFT(UPPER(TRIM($E152)),6),BankTbl,2,0)),"بانک ناشناخته"))</f>
        <v/>
      </c>
      <c r="G152" s="11" t="n"/>
      <c r="H152" s="10">
        <f>IF($G152="","",IFERROR(VLOOKUP($G152,CustTbl,2,0),IFERROR(VLOOKUP($G152,SuppTbl,2,0),IFERROR(VLOOKUP($G152,AcctTbl,2,0),IFERROR(VLOOKUP($G152,StaffTbl,2,0),"کد ناشناخته")))))</f>
        <v/>
      </c>
      <c r="I152" s="12" t="n"/>
      <c r="J152" s="12" t="n"/>
      <c r="K152" s="13" t="n"/>
      <c r="L152" s="13" t="n"/>
      <c r="M152" s="13" t="n"/>
      <c r="N152" s="14">
        <f>IF(OR($C152="",$E152="",Calc!$H152=""),"",IFERROR(VLOOKUP(LEFT(UPPER(TRIM($E152)),6),BankTbl,3,0),0)+SUMIFS(CalcDep,CalcBank,LEFT(UPPER(TRIM($E152)),6),CalcKey,"&lt;="&amp;Calc!$H152)-SUMIFS(CalcWit,CalcBank,LEFT(UPPER(TRIM($E152)),6),CalcKey,"&lt;="&amp;Calc!$H152))</f>
        <v/>
      </c>
      <c r="O152" s="10">
        <f>IF(OR($C152="",$M152=""),"",IF($N152="","؟",IF(ROUND($M152-$N152,0)=0,"√","×")))</f>
        <v/>
      </c>
      <c r="P152" s="12" t="n"/>
    </row>
    <row r="153">
      <c r="A153" s="10">
        <f>IF($C153="","",COUNTA($C$9:$C153))</f>
        <v/>
      </c>
      <c r="B153" s="10">
        <f>IF($C153="","","TXN-"&amp;RIGHT("0000"&amp;145,4))</f>
        <v/>
      </c>
      <c r="C153" s="11" t="n"/>
      <c r="D153" s="11" t="n"/>
      <c r="E153" s="12" t="n"/>
      <c r="F153" s="10">
        <f>IF($E153="","",IFERROR(IF(VLOOKUP(LEFT(UPPER(TRIM($E153)),6),BankTbl,2,0)="","(بدون عنوان)",VLOOKUP(LEFT(UPPER(TRIM($E153)),6),BankTbl,2,0)),"بانک ناشناخته"))</f>
        <v/>
      </c>
      <c r="G153" s="11" t="n"/>
      <c r="H153" s="10">
        <f>IF($G153="","",IFERROR(VLOOKUP($G153,CustTbl,2,0),IFERROR(VLOOKUP($G153,SuppTbl,2,0),IFERROR(VLOOKUP($G153,AcctTbl,2,0),IFERROR(VLOOKUP($G153,StaffTbl,2,0),"کد ناشناخته")))))</f>
        <v/>
      </c>
      <c r="I153" s="12" t="n"/>
      <c r="J153" s="12" t="n"/>
      <c r="K153" s="13" t="n"/>
      <c r="L153" s="13" t="n"/>
      <c r="M153" s="13" t="n"/>
      <c r="N153" s="14">
        <f>IF(OR($C153="",$E153="",Calc!$H153=""),"",IFERROR(VLOOKUP(LEFT(UPPER(TRIM($E153)),6),BankTbl,3,0),0)+SUMIFS(CalcDep,CalcBank,LEFT(UPPER(TRIM($E153)),6),CalcKey,"&lt;="&amp;Calc!$H153)-SUMIFS(CalcWit,CalcBank,LEFT(UPPER(TRIM($E153)),6),CalcKey,"&lt;="&amp;Calc!$H153))</f>
        <v/>
      </c>
      <c r="O153" s="10">
        <f>IF(OR($C153="",$M153=""),"",IF($N153="","؟",IF(ROUND($M153-$N153,0)=0,"√","×")))</f>
        <v/>
      </c>
      <c r="P153" s="12" t="n"/>
    </row>
    <row r="154">
      <c r="A154" s="10">
        <f>IF($C154="","",COUNTA($C$9:$C154))</f>
        <v/>
      </c>
      <c r="B154" s="10">
        <f>IF($C154="","","TXN-"&amp;RIGHT("0000"&amp;146,4))</f>
        <v/>
      </c>
      <c r="C154" s="11" t="n"/>
      <c r="D154" s="11" t="n"/>
      <c r="E154" s="12" t="n"/>
      <c r="F154" s="10">
        <f>IF($E154="","",IFERROR(IF(VLOOKUP(LEFT(UPPER(TRIM($E154)),6),BankTbl,2,0)="","(بدون عنوان)",VLOOKUP(LEFT(UPPER(TRIM($E154)),6),BankTbl,2,0)),"بانک ناشناخته"))</f>
        <v/>
      </c>
      <c r="G154" s="11" t="n"/>
      <c r="H154" s="10">
        <f>IF($G154="","",IFERROR(VLOOKUP($G154,CustTbl,2,0),IFERROR(VLOOKUP($G154,SuppTbl,2,0),IFERROR(VLOOKUP($G154,AcctTbl,2,0),IFERROR(VLOOKUP($G154,StaffTbl,2,0),"کد ناشناخته")))))</f>
        <v/>
      </c>
      <c r="I154" s="12" t="n"/>
      <c r="J154" s="12" t="n"/>
      <c r="K154" s="13" t="n"/>
      <c r="L154" s="13" t="n"/>
      <c r="M154" s="13" t="n"/>
      <c r="N154" s="14">
        <f>IF(OR($C154="",$E154="",Calc!$H154=""),"",IFERROR(VLOOKUP(LEFT(UPPER(TRIM($E154)),6),BankTbl,3,0),0)+SUMIFS(CalcDep,CalcBank,LEFT(UPPER(TRIM($E154)),6),CalcKey,"&lt;="&amp;Calc!$H154)-SUMIFS(CalcWit,CalcBank,LEFT(UPPER(TRIM($E154)),6),CalcKey,"&lt;="&amp;Calc!$H154))</f>
        <v/>
      </c>
      <c r="O154" s="10">
        <f>IF(OR($C154="",$M154=""),"",IF($N154="","؟",IF(ROUND($M154-$N154,0)=0,"√","×")))</f>
        <v/>
      </c>
      <c r="P154" s="12" t="n"/>
    </row>
    <row r="155">
      <c r="A155" s="10">
        <f>IF($C155="","",COUNTA($C$9:$C155))</f>
        <v/>
      </c>
      <c r="B155" s="10">
        <f>IF($C155="","","TXN-"&amp;RIGHT("0000"&amp;147,4))</f>
        <v/>
      </c>
      <c r="C155" s="11" t="n"/>
      <c r="D155" s="11" t="n"/>
      <c r="E155" s="12" t="n"/>
      <c r="F155" s="10">
        <f>IF($E155="","",IFERROR(IF(VLOOKUP(LEFT(UPPER(TRIM($E155)),6),BankTbl,2,0)="","(بدون عنوان)",VLOOKUP(LEFT(UPPER(TRIM($E155)),6),BankTbl,2,0)),"بانک ناشناخته"))</f>
        <v/>
      </c>
      <c r="G155" s="11" t="n"/>
      <c r="H155" s="10">
        <f>IF($G155="","",IFERROR(VLOOKUP($G155,CustTbl,2,0),IFERROR(VLOOKUP($G155,SuppTbl,2,0),IFERROR(VLOOKUP($G155,AcctTbl,2,0),IFERROR(VLOOKUP($G155,StaffTbl,2,0),"کد ناشناخته")))))</f>
        <v/>
      </c>
      <c r="I155" s="12" t="n"/>
      <c r="J155" s="12" t="n"/>
      <c r="K155" s="13" t="n"/>
      <c r="L155" s="13" t="n"/>
      <c r="M155" s="13" t="n"/>
      <c r="N155" s="14">
        <f>IF(OR($C155="",$E155="",Calc!$H155=""),"",IFERROR(VLOOKUP(LEFT(UPPER(TRIM($E155)),6),BankTbl,3,0),0)+SUMIFS(CalcDep,CalcBank,LEFT(UPPER(TRIM($E155)),6),CalcKey,"&lt;="&amp;Calc!$H155)-SUMIFS(CalcWit,CalcBank,LEFT(UPPER(TRIM($E155)),6),CalcKey,"&lt;="&amp;Calc!$H155))</f>
        <v/>
      </c>
      <c r="O155" s="10">
        <f>IF(OR($C155="",$M155=""),"",IF($N155="","؟",IF(ROUND($M155-$N155,0)=0,"√","×")))</f>
        <v/>
      </c>
      <c r="P155" s="12" t="n"/>
    </row>
    <row r="156">
      <c r="A156" s="10">
        <f>IF($C156="","",COUNTA($C$9:$C156))</f>
        <v/>
      </c>
      <c r="B156" s="10">
        <f>IF($C156="","","TXN-"&amp;RIGHT("0000"&amp;148,4))</f>
        <v/>
      </c>
      <c r="C156" s="11" t="n"/>
      <c r="D156" s="11" t="n"/>
      <c r="E156" s="12" t="n"/>
      <c r="F156" s="10">
        <f>IF($E156="","",IFERROR(IF(VLOOKUP(LEFT(UPPER(TRIM($E156)),6),BankTbl,2,0)="","(بدون عنوان)",VLOOKUP(LEFT(UPPER(TRIM($E156)),6),BankTbl,2,0)),"بانک ناشناخته"))</f>
        <v/>
      </c>
      <c r="G156" s="11" t="n"/>
      <c r="H156" s="10">
        <f>IF($G156="","",IFERROR(VLOOKUP($G156,CustTbl,2,0),IFERROR(VLOOKUP($G156,SuppTbl,2,0),IFERROR(VLOOKUP($G156,AcctTbl,2,0),IFERROR(VLOOKUP($G156,StaffTbl,2,0),"کد ناشناخته")))))</f>
        <v/>
      </c>
      <c r="I156" s="12" t="n"/>
      <c r="J156" s="12" t="n"/>
      <c r="K156" s="13" t="n"/>
      <c r="L156" s="13" t="n"/>
      <c r="M156" s="13" t="n"/>
      <c r="N156" s="14">
        <f>IF(OR($C156="",$E156="",Calc!$H156=""),"",IFERROR(VLOOKUP(LEFT(UPPER(TRIM($E156)),6),BankTbl,3,0),0)+SUMIFS(CalcDep,CalcBank,LEFT(UPPER(TRIM($E156)),6),CalcKey,"&lt;="&amp;Calc!$H156)-SUMIFS(CalcWit,CalcBank,LEFT(UPPER(TRIM($E156)),6),CalcKey,"&lt;="&amp;Calc!$H156))</f>
        <v/>
      </c>
      <c r="O156" s="10">
        <f>IF(OR($C156="",$M156=""),"",IF($N156="","؟",IF(ROUND($M156-$N156,0)=0,"√","×")))</f>
        <v/>
      </c>
      <c r="P156" s="12" t="n"/>
    </row>
    <row r="157">
      <c r="A157" s="10">
        <f>IF($C157="","",COUNTA($C$9:$C157))</f>
        <v/>
      </c>
      <c r="B157" s="10">
        <f>IF($C157="","","TXN-"&amp;RIGHT("0000"&amp;149,4))</f>
        <v/>
      </c>
      <c r="C157" s="11" t="n"/>
      <c r="D157" s="11" t="n"/>
      <c r="E157" s="12" t="n"/>
      <c r="F157" s="10">
        <f>IF($E157="","",IFERROR(IF(VLOOKUP(LEFT(UPPER(TRIM($E157)),6),BankTbl,2,0)="","(بدون عنوان)",VLOOKUP(LEFT(UPPER(TRIM($E157)),6),BankTbl,2,0)),"بانک ناشناخته"))</f>
        <v/>
      </c>
      <c r="G157" s="11" t="n"/>
      <c r="H157" s="10">
        <f>IF($G157="","",IFERROR(VLOOKUP($G157,CustTbl,2,0),IFERROR(VLOOKUP($G157,SuppTbl,2,0),IFERROR(VLOOKUP($G157,AcctTbl,2,0),IFERROR(VLOOKUP($G157,StaffTbl,2,0),"کد ناشناخته")))))</f>
        <v/>
      </c>
      <c r="I157" s="12" t="n"/>
      <c r="J157" s="12" t="n"/>
      <c r="K157" s="13" t="n"/>
      <c r="L157" s="13" t="n"/>
      <c r="M157" s="13" t="n"/>
      <c r="N157" s="14">
        <f>IF(OR($C157="",$E157="",Calc!$H157=""),"",IFERROR(VLOOKUP(LEFT(UPPER(TRIM($E157)),6),BankTbl,3,0),0)+SUMIFS(CalcDep,CalcBank,LEFT(UPPER(TRIM($E157)),6),CalcKey,"&lt;="&amp;Calc!$H157)-SUMIFS(CalcWit,CalcBank,LEFT(UPPER(TRIM($E157)),6),CalcKey,"&lt;="&amp;Calc!$H157))</f>
        <v/>
      </c>
      <c r="O157" s="10">
        <f>IF(OR($C157="",$M157=""),"",IF($N157="","؟",IF(ROUND($M157-$N157,0)=0,"√","×")))</f>
        <v/>
      </c>
      <c r="P157" s="12" t="n"/>
    </row>
    <row r="158">
      <c r="A158" s="10">
        <f>IF($C158="","",COUNTA($C$9:$C158))</f>
        <v/>
      </c>
      <c r="B158" s="10">
        <f>IF($C158="","","TXN-"&amp;RIGHT("0000"&amp;150,4))</f>
        <v/>
      </c>
      <c r="C158" s="11" t="n"/>
      <c r="D158" s="11" t="n"/>
      <c r="E158" s="12" t="n"/>
      <c r="F158" s="10">
        <f>IF($E158="","",IFERROR(IF(VLOOKUP(LEFT(UPPER(TRIM($E158)),6),BankTbl,2,0)="","(بدون عنوان)",VLOOKUP(LEFT(UPPER(TRIM($E158)),6),BankTbl,2,0)),"بانک ناشناخته"))</f>
        <v/>
      </c>
      <c r="G158" s="11" t="n"/>
      <c r="H158" s="10">
        <f>IF($G158="","",IFERROR(VLOOKUP($G158,CustTbl,2,0),IFERROR(VLOOKUP($G158,SuppTbl,2,0),IFERROR(VLOOKUP($G158,AcctTbl,2,0),IFERROR(VLOOKUP($G158,StaffTbl,2,0),"کد ناشناخته")))))</f>
        <v/>
      </c>
      <c r="I158" s="12" t="n"/>
      <c r="J158" s="12" t="n"/>
      <c r="K158" s="13" t="n"/>
      <c r="L158" s="13" t="n"/>
      <c r="M158" s="13" t="n"/>
      <c r="N158" s="14">
        <f>IF(OR($C158="",$E158="",Calc!$H158=""),"",IFERROR(VLOOKUP(LEFT(UPPER(TRIM($E158)),6),BankTbl,3,0),0)+SUMIFS(CalcDep,CalcBank,LEFT(UPPER(TRIM($E158)),6),CalcKey,"&lt;="&amp;Calc!$H158)-SUMIFS(CalcWit,CalcBank,LEFT(UPPER(TRIM($E158)),6),CalcKey,"&lt;="&amp;Calc!$H158))</f>
        <v/>
      </c>
      <c r="O158" s="10">
        <f>IF(OR($C158="",$M158=""),"",IF($N158="","؟",IF(ROUND($M158-$N158,0)=0,"√","×")))</f>
        <v/>
      </c>
      <c r="P158" s="12" t="n"/>
    </row>
    <row r="159">
      <c r="A159" s="10">
        <f>IF($C159="","",COUNTA($C$9:$C159))</f>
        <v/>
      </c>
      <c r="B159" s="10">
        <f>IF($C159="","","TXN-"&amp;RIGHT("0000"&amp;151,4))</f>
        <v/>
      </c>
      <c r="C159" s="11" t="n"/>
      <c r="D159" s="11" t="n"/>
      <c r="E159" s="12" t="n"/>
      <c r="F159" s="10">
        <f>IF($E159="","",IFERROR(IF(VLOOKUP(LEFT(UPPER(TRIM($E159)),6),BankTbl,2,0)="","(بدون عنوان)",VLOOKUP(LEFT(UPPER(TRIM($E159)),6),BankTbl,2,0)),"بانک ناشناخته"))</f>
        <v/>
      </c>
      <c r="G159" s="11" t="n"/>
      <c r="H159" s="10">
        <f>IF($G159="","",IFERROR(VLOOKUP($G159,CustTbl,2,0),IFERROR(VLOOKUP($G159,SuppTbl,2,0),IFERROR(VLOOKUP($G159,AcctTbl,2,0),IFERROR(VLOOKUP($G159,StaffTbl,2,0),"کد ناشناخته")))))</f>
        <v/>
      </c>
      <c r="I159" s="12" t="n"/>
      <c r="J159" s="12" t="n"/>
      <c r="K159" s="13" t="n"/>
      <c r="L159" s="13" t="n"/>
      <c r="M159" s="13" t="n"/>
      <c r="N159" s="14">
        <f>IF(OR($C159="",$E159="",Calc!$H159=""),"",IFERROR(VLOOKUP(LEFT(UPPER(TRIM($E159)),6),BankTbl,3,0),0)+SUMIFS(CalcDep,CalcBank,LEFT(UPPER(TRIM($E159)),6),CalcKey,"&lt;="&amp;Calc!$H159)-SUMIFS(CalcWit,CalcBank,LEFT(UPPER(TRIM($E159)),6),CalcKey,"&lt;="&amp;Calc!$H159))</f>
        <v/>
      </c>
      <c r="O159" s="10">
        <f>IF(OR($C159="",$M159=""),"",IF($N159="","؟",IF(ROUND($M159-$N159,0)=0,"√","×")))</f>
        <v/>
      </c>
      <c r="P159" s="12" t="n"/>
    </row>
    <row r="160">
      <c r="A160" s="10">
        <f>IF($C160="","",COUNTA($C$9:$C160))</f>
        <v/>
      </c>
      <c r="B160" s="10">
        <f>IF($C160="","","TXN-"&amp;RIGHT("0000"&amp;152,4))</f>
        <v/>
      </c>
      <c r="C160" s="11" t="n"/>
      <c r="D160" s="11" t="n"/>
      <c r="E160" s="12" t="n"/>
      <c r="F160" s="10">
        <f>IF($E160="","",IFERROR(IF(VLOOKUP(LEFT(UPPER(TRIM($E160)),6),BankTbl,2,0)="","(بدون عنوان)",VLOOKUP(LEFT(UPPER(TRIM($E160)),6),BankTbl,2,0)),"بانک ناشناخته"))</f>
        <v/>
      </c>
      <c r="G160" s="11" t="n"/>
      <c r="H160" s="10">
        <f>IF($G160="","",IFERROR(VLOOKUP($G160,CustTbl,2,0),IFERROR(VLOOKUP($G160,SuppTbl,2,0),IFERROR(VLOOKUP($G160,AcctTbl,2,0),IFERROR(VLOOKUP($G160,StaffTbl,2,0),"کد ناشناخته")))))</f>
        <v/>
      </c>
      <c r="I160" s="12" t="n"/>
      <c r="J160" s="12" t="n"/>
      <c r="K160" s="13" t="n"/>
      <c r="L160" s="13" t="n"/>
      <c r="M160" s="13" t="n"/>
      <c r="N160" s="14">
        <f>IF(OR($C160="",$E160="",Calc!$H160=""),"",IFERROR(VLOOKUP(LEFT(UPPER(TRIM($E160)),6),BankTbl,3,0),0)+SUMIFS(CalcDep,CalcBank,LEFT(UPPER(TRIM($E160)),6),CalcKey,"&lt;="&amp;Calc!$H160)-SUMIFS(CalcWit,CalcBank,LEFT(UPPER(TRIM($E160)),6),CalcKey,"&lt;="&amp;Calc!$H160))</f>
        <v/>
      </c>
      <c r="O160" s="10">
        <f>IF(OR($C160="",$M160=""),"",IF($N160="","؟",IF(ROUND($M160-$N160,0)=0,"√","×")))</f>
        <v/>
      </c>
      <c r="P160" s="12" t="n"/>
    </row>
    <row r="161">
      <c r="A161" s="10">
        <f>IF($C161="","",COUNTA($C$9:$C161))</f>
        <v/>
      </c>
      <c r="B161" s="10">
        <f>IF($C161="","","TXN-"&amp;RIGHT("0000"&amp;153,4))</f>
        <v/>
      </c>
      <c r="C161" s="11" t="n"/>
      <c r="D161" s="11" t="n"/>
      <c r="E161" s="12" t="n"/>
      <c r="F161" s="10">
        <f>IF($E161="","",IFERROR(IF(VLOOKUP(LEFT(UPPER(TRIM($E161)),6),BankTbl,2,0)="","(بدون عنوان)",VLOOKUP(LEFT(UPPER(TRIM($E161)),6),BankTbl,2,0)),"بانک ناشناخته"))</f>
        <v/>
      </c>
      <c r="G161" s="11" t="n"/>
      <c r="H161" s="10">
        <f>IF($G161="","",IFERROR(VLOOKUP($G161,CustTbl,2,0),IFERROR(VLOOKUP($G161,SuppTbl,2,0),IFERROR(VLOOKUP($G161,AcctTbl,2,0),IFERROR(VLOOKUP($G161,StaffTbl,2,0),"کد ناشناخته")))))</f>
        <v/>
      </c>
      <c r="I161" s="12" t="n"/>
      <c r="J161" s="12" t="n"/>
      <c r="K161" s="13" t="n"/>
      <c r="L161" s="13" t="n"/>
      <c r="M161" s="13" t="n"/>
      <c r="N161" s="14">
        <f>IF(OR($C161="",$E161="",Calc!$H161=""),"",IFERROR(VLOOKUP(LEFT(UPPER(TRIM($E161)),6),BankTbl,3,0),0)+SUMIFS(CalcDep,CalcBank,LEFT(UPPER(TRIM($E161)),6),CalcKey,"&lt;="&amp;Calc!$H161)-SUMIFS(CalcWit,CalcBank,LEFT(UPPER(TRIM($E161)),6),CalcKey,"&lt;="&amp;Calc!$H161))</f>
        <v/>
      </c>
      <c r="O161" s="10">
        <f>IF(OR($C161="",$M161=""),"",IF($N161="","؟",IF(ROUND($M161-$N161,0)=0,"√","×")))</f>
        <v/>
      </c>
      <c r="P161" s="12" t="n"/>
    </row>
    <row r="162">
      <c r="A162" s="10">
        <f>IF($C162="","",COUNTA($C$9:$C162))</f>
        <v/>
      </c>
      <c r="B162" s="10">
        <f>IF($C162="","","TXN-"&amp;RIGHT("0000"&amp;154,4))</f>
        <v/>
      </c>
      <c r="C162" s="11" t="n"/>
      <c r="D162" s="11" t="n"/>
      <c r="E162" s="12" t="n"/>
      <c r="F162" s="10">
        <f>IF($E162="","",IFERROR(IF(VLOOKUP(LEFT(UPPER(TRIM($E162)),6),BankTbl,2,0)="","(بدون عنوان)",VLOOKUP(LEFT(UPPER(TRIM($E162)),6),BankTbl,2,0)),"بانک ناشناخته"))</f>
        <v/>
      </c>
      <c r="G162" s="11" t="n"/>
      <c r="H162" s="10">
        <f>IF($G162="","",IFERROR(VLOOKUP($G162,CustTbl,2,0),IFERROR(VLOOKUP($G162,SuppTbl,2,0),IFERROR(VLOOKUP($G162,AcctTbl,2,0),IFERROR(VLOOKUP($G162,StaffTbl,2,0),"کد ناشناخته")))))</f>
        <v/>
      </c>
      <c r="I162" s="12" t="n"/>
      <c r="J162" s="12" t="n"/>
      <c r="K162" s="13" t="n"/>
      <c r="L162" s="13" t="n"/>
      <c r="M162" s="13" t="n"/>
      <c r="N162" s="14">
        <f>IF(OR($C162="",$E162="",Calc!$H162=""),"",IFERROR(VLOOKUP(LEFT(UPPER(TRIM($E162)),6),BankTbl,3,0),0)+SUMIFS(CalcDep,CalcBank,LEFT(UPPER(TRIM($E162)),6),CalcKey,"&lt;="&amp;Calc!$H162)-SUMIFS(CalcWit,CalcBank,LEFT(UPPER(TRIM($E162)),6),CalcKey,"&lt;="&amp;Calc!$H162))</f>
        <v/>
      </c>
      <c r="O162" s="10">
        <f>IF(OR($C162="",$M162=""),"",IF($N162="","؟",IF(ROUND($M162-$N162,0)=0,"√","×")))</f>
        <v/>
      </c>
      <c r="P162" s="12" t="n"/>
    </row>
    <row r="163">
      <c r="A163" s="10">
        <f>IF($C163="","",COUNTA($C$9:$C163))</f>
        <v/>
      </c>
      <c r="B163" s="10">
        <f>IF($C163="","","TXN-"&amp;RIGHT("0000"&amp;155,4))</f>
        <v/>
      </c>
      <c r="C163" s="11" t="n"/>
      <c r="D163" s="11" t="n"/>
      <c r="E163" s="12" t="n"/>
      <c r="F163" s="10">
        <f>IF($E163="","",IFERROR(IF(VLOOKUP(LEFT(UPPER(TRIM($E163)),6),BankTbl,2,0)="","(بدون عنوان)",VLOOKUP(LEFT(UPPER(TRIM($E163)),6),BankTbl,2,0)),"بانک ناشناخته"))</f>
        <v/>
      </c>
      <c r="G163" s="11" t="n"/>
      <c r="H163" s="10">
        <f>IF($G163="","",IFERROR(VLOOKUP($G163,CustTbl,2,0),IFERROR(VLOOKUP($G163,SuppTbl,2,0),IFERROR(VLOOKUP($G163,AcctTbl,2,0),IFERROR(VLOOKUP($G163,StaffTbl,2,0),"کد ناشناخته")))))</f>
        <v/>
      </c>
      <c r="I163" s="12" t="n"/>
      <c r="J163" s="12" t="n"/>
      <c r="K163" s="13" t="n"/>
      <c r="L163" s="13" t="n"/>
      <c r="M163" s="13" t="n"/>
      <c r="N163" s="14">
        <f>IF(OR($C163="",$E163="",Calc!$H163=""),"",IFERROR(VLOOKUP(LEFT(UPPER(TRIM($E163)),6),BankTbl,3,0),0)+SUMIFS(CalcDep,CalcBank,LEFT(UPPER(TRIM($E163)),6),CalcKey,"&lt;="&amp;Calc!$H163)-SUMIFS(CalcWit,CalcBank,LEFT(UPPER(TRIM($E163)),6),CalcKey,"&lt;="&amp;Calc!$H163))</f>
        <v/>
      </c>
      <c r="O163" s="10">
        <f>IF(OR($C163="",$M163=""),"",IF($N163="","؟",IF(ROUND($M163-$N163,0)=0,"√","×")))</f>
        <v/>
      </c>
      <c r="P163" s="12" t="n"/>
    </row>
    <row r="164">
      <c r="A164" s="10">
        <f>IF($C164="","",COUNTA($C$9:$C164))</f>
        <v/>
      </c>
      <c r="B164" s="10">
        <f>IF($C164="","","TXN-"&amp;RIGHT("0000"&amp;156,4))</f>
        <v/>
      </c>
      <c r="C164" s="11" t="n"/>
      <c r="D164" s="11" t="n"/>
      <c r="E164" s="12" t="n"/>
      <c r="F164" s="10">
        <f>IF($E164="","",IFERROR(IF(VLOOKUP(LEFT(UPPER(TRIM($E164)),6),BankTbl,2,0)="","(بدون عنوان)",VLOOKUP(LEFT(UPPER(TRIM($E164)),6),BankTbl,2,0)),"بانک ناشناخته"))</f>
        <v/>
      </c>
      <c r="G164" s="11" t="n"/>
      <c r="H164" s="10">
        <f>IF($G164="","",IFERROR(VLOOKUP($G164,CustTbl,2,0),IFERROR(VLOOKUP($G164,SuppTbl,2,0),IFERROR(VLOOKUP($G164,AcctTbl,2,0),IFERROR(VLOOKUP($G164,StaffTbl,2,0),"کد ناشناخته")))))</f>
        <v/>
      </c>
      <c r="I164" s="12" t="n"/>
      <c r="J164" s="12" t="n"/>
      <c r="K164" s="13" t="n"/>
      <c r="L164" s="13" t="n"/>
      <c r="M164" s="13" t="n"/>
      <c r="N164" s="14">
        <f>IF(OR($C164="",$E164="",Calc!$H164=""),"",IFERROR(VLOOKUP(LEFT(UPPER(TRIM($E164)),6),BankTbl,3,0),0)+SUMIFS(CalcDep,CalcBank,LEFT(UPPER(TRIM($E164)),6),CalcKey,"&lt;="&amp;Calc!$H164)-SUMIFS(CalcWit,CalcBank,LEFT(UPPER(TRIM($E164)),6),CalcKey,"&lt;="&amp;Calc!$H164))</f>
        <v/>
      </c>
      <c r="O164" s="10">
        <f>IF(OR($C164="",$M164=""),"",IF($N164="","؟",IF(ROUND($M164-$N164,0)=0,"√","×")))</f>
        <v/>
      </c>
      <c r="P164" s="12" t="n"/>
    </row>
    <row r="165">
      <c r="A165" s="10">
        <f>IF($C165="","",COUNTA($C$9:$C165))</f>
        <v/>
      </c>
      <c r="B165" s="10">
        <f>IF($C165="","","TXN-"&amp;RIGHT("0000"&amp;157,4))</f>
        <v/>
      </c>
      <c r="C165" s="11" t="n"/>
      <c r="D165" s="11" t="n"/>
      <c r="E165" s="12" t="n"/>
      <c r="F165" s="10">
        <f>IF($E165="","",IFERROR(IF(VLOOKUP(LEFT(UPPER(TRIM($E165)),6),BankTbl,2,0)="","(بدون عنوان)",VLOOKUP(LEFT(UPPER(TRIM($E165)),6),BankTbl,2,0)),"بانک ناشناخته"))</f>
        <v/>
      </c>
      <c r="G165" s="11" t="n"/>
      <c r="H165" s="10">
        <f>IF($G165="","",IFERROR(VLOOKUP($G165,CustTbl,2,0),IFERROR(VLOOKUP($G165,SuppTbl,2,0),IFERROR(VLOOKUP($G165,AcctTbl,2,0),IFERROR(VLOOKUP($G165,StaffTbl,2,0),"کد ناشناخته")))))</f>
        <v/>
      </c>
      <c r="I165" s="12" t="n"/>
      <c r="J165" s="12" t="n"/>
      <c r="K165" s="13" t="n"/>
      <c r="L165" s="13" t="n"/>
      <c r="M165" s="13" t="n"/>
      <c r="N165" s="14">
        <f>IF(OR($C165="",$E165="",Calc!$H165=""),"",IFERROR(VLOOKUP(LEFT(UPPER(TRIM($E165)),6),BankTbl,3,0),0)+SUMIFS(CalcDep,CalcBank,LEFT(UPPER(TRIM($E165)),6),CalcKey,"&lt;="&amp;Calc!$H165)-SUMIFS(CalcWit,CalcBank,LEFT(UPPER(TRIM($E165)),6),CalcKey,"&lt;="&amp;Calc!$H165))</f>
        <v/>
      </c>
      <c r="O165" s="10">
        <f>IF(OR($C165="",$M165=""),"",IF($N165="","؟",IF(ROUND($M165-$N165,0)=0,"√","×")))</f>
        <v/>
      </c>
      <c r="P165" s="12" t="n"/>
    </row>
    <row r="166">
      <c r="A166" s="10">
        <f>IF($C166="","",COUNTA($C$9:$C166))</f>
        <v/>
      </c>
      <c r="B166" s="10">
        <f>IF($C166="","","TXN-"&amp;RIGHT("0000"&amp;158,4))</f>
        <v/>
      </c>
      <c r="C166" s="11" t="n"/>
      <c r="D166" s="11" t="n"/>
      <c r="E166" s="12" t="n"/>
      <c r="F166" s="10">
        <f>IF($E166="","",IFERROR(IF(VLOOKUP(LEFT(UPPER(TRIM($E166)),6),BankTbl,2,0)="","(بدون عنوان)",VLOOKUP(LEFT(UPPER(TRIM($E166)),6),BankTbl,2,0)),"بانک ناشناخته"))</f>
        <v/>
      </c>
      <c r="G166" s="11" t="n"/>
      <c r="H166" s="10">
        <f>IF($G166="","",IFERROR(VLOOKUP($G166,CustTbl,2,0),IFERROR(VLOOKUP($G166,SuppTbl,2,0),IFERROR(VLOOKUP($G166,AcctTbl,2,0),IFERROR(VLOOKUP($G166,StaffTbl,2,0),"کد ناشناخته")))))</f>
        <v/>
      </c>
      <c r="I166" s="12" t="n"/>
      <c r="J166" s="12" t="n"/>
      <c r="K166" s="13" t="n"/>
      <c r="L166" s="13" t="n"/>
      <c r="M166" s="13" t="n"/>
      <c r="N166" s="14">
        <f>IF(OR($C166="",$E166="",Calc!$H166=""),"",IFERROR(VLOOKUP(LEFT(UPPER(TRIM($E166)),6),BankTbl,3,0),0)+SUMIFS(CalcDep,CalcBank,LEFT(UPPER(TRIM($E166)),6),CalcKey,"&lt;="&amp;Calc!$H166)-SUMIFS(CalcWit,CalcBank,LEFT(UPPER(TRIM($E166)),6),CalcKey,"&lt;="&amp;Calc!$H166))</f>
        <v/>
      </c>
      <c r="O166" s="10">
        <f>IF(OR($C166="",$M166=""),"",IF($N166="","؟",IF(ROUND($M166-$N166,0)=0,"√","×")))</f>
        <v/>
      </c>
      <c r="P166" s="12" t="n"/>
    </row>
    <row r="167">
      <c r="A167" s="10">
        <f>IF($C167="","",COUNTA($C$9:$C167))</f>
        <v/>
      </c>
      <c r="B167" s="10">
        <f>IF($C167="","","TXN-"&amp;RIGHT("0000"&amp;159,4))</f>
        <v/>
      </c>
      <c r="C167" s="11" t="n"/>
      <c r="D167" s="11" t="n"/>
      <c r="E167" s="12" t="n"/>
      <c r="F167" s="10">
        <f>IF($E167="","",IFERROR(IF(VLOOKUP(LEFT(UPPER(TRIM($E167)),6),BankTbl,2,0)="","(بدون عنوان)",VLOOKUP(LEFT(UPPER(TRIM($E167)),6),BankTbl,2,0)),"بانک ناشناخته"))</f>
        <v/>
      </c>
      <c r="G167" s="11" t="n"/>
      <c r="H167" s="10">
        <f>IF($G167="","",IFERROR(VLOOKUP($G167,CustTbl,2,0),IFERROR(VLOOKUP($G167,SuppTbl,2,0),IFERROR(VLOOKUP($G167,AcctTbl,2,0),IFERROR(VLOOKUP($G167,StaffTbl,2,0),"کد ناشناخته")))))</f>
        <v/>
      </c>
      <c r="I167" s="12" t="n"/>
      <c r="J167" s="12" t="n"/>
      <c r="K167" s="13" t="n"/>
      <c r="L167" s="13" t="n"/>
      <c r="M167" s="13" t="n"/>
      <c r="N167" s="14">
        <f>IF(OR($C167="",$E167="",Calc!$H167=""),"",IFERROR(VLOOKUP(LEFT(UPPER(TRIM($E167)),6),BankTbl,3,0),0)+SUMIFS(CalcDep,CalcBank,LEFT(UPPER(TRIM($E167)),6),CalcKey,"&lt;="&amp;Calc!$H167)-SUMIFS(CalcWit,CalcBank,LEFT(UPPER(TRIM($E167)),6),CalcKey,"&lt;="&amp;Calc!$H167))</f>
        <v/>
      </c>
      <c r="O167" s="10">
        <f>IF(OR($C167="",$M167=""),"",IF($N167="","؟",IF(ROUND($M167-$N167,0)=0,"√","×")))</f>
        <v/>
      </c>
      <c r="P167" s="12" t="n"/>
    </row>
    <row r="168">
      <c r="A168" s="10">
        <f>IF($C168="","",COUNTA($C$9:$C168))</f>
        <v/>
      </c>
      <c r="B168" s="10">
        <f>IF($C168="","","TXN-"&amp;RIGHT("0000"&amp;160,4))</f>
        <v/>
      </c>
      <c r="C168" s="11" t="n"/>
      <c r="D168" s="11" t="n"/>
      <c r="E168" s="12" t="n"/>
      <c r="F168" s="10">
        <f>IF($E168="","",IFERROR(IF(VLOOKUP(LEFT(UPPER(TRIM($E168)),6),BankTbl,2,0)="","(بدون عنوان)",VLOOKUP(LEFT(UPPER(TRIM($E168)),6),BankTbl,2,0)),"بانک ناشناخته"))</f>
        <v/>
      </c>
      <c r="G168" s="11" t="n"/>
      <c r="H168" s="10">
        <f>IF($G168="","",IFERROR(VLOOKUP($G168,CustTbl,2,0),IFERROR(VLOOKUP($G168,SuppTbl,2,0),IFERROR(VLOOKUP($G168,AcctTbl,2,0),IFERROR(VLOOKUP($G168,StaffTbl,2,0),"کد ناشناخته")))))</f>
        <v/>
      </c>
      <c r="I168" s="12" t="n"/>
      <c r="J168" s="12" t="n"/>
      <c r="K168" s="13" t="n"/>
      <c r="L168" s="13" t="n"/>
      <c r="M168" s="13" t="n"/>
      <c r="N168" s="14">
        <f>IF(OR($C168="",$E168="",Calc!$H168=""),"",IFERROR(VLOOKUP(LEFT(UPPER(TRIM($E168)),6),BankTbl,3,0),0)+SUMIFS(CalcDep,CalcBank,LEFT(UPPER(TRIM($E168)),6),CalcKey,"&lt;="&amp;Calc!$H168)-SUMIFS(CalcWit,CalcBank,LEFT(UPPER(TRIM($E168)),6),CalcKey,"&lt;="&amp;Calc!$H168))</f>
        <v/>
      </c>
      <c r="O168" s="10">
        <f>IF(OR($C168="",$M168=""),"",IF($N168="","؟",IF(ROUND($M168-$N168,0)=0,"√","×")))</f>
        <v/>
      </c>
      <c r="P168" s="12" t="n"/>
    </row>
    <row r="169">
      <c r="A169" s="10">
        <f>IF($C169="","",COUNTA($C$9:$C169))</f>
        <v/>
      </c>
      <c r="B169" s="10">
        <f>IF($C169="","","TXN-"&amp;RIGHT("0000"&amp;161,4))</f>
        <v/>
      </c>
      <c r="C169" s="11" t="n"/>
      <c r="D169" s="11" t="n"/>
      <c r="E169" s="12" t="n"/>
      <c r="F169" s="10">
        <f>IF($E169="","",IFERROR(IF(VLOOKUP(LEFT(UPPER(TRIM($E169)),6),BankTbl,2,0)="","(بدون عنوان)",VLOOKUP(LEFT(UPPER(TRIM($E169)),6),BankTbl,2,0)),"بانک ناشناخته"))</f>
        <v/>
      </c>
      <c r="G169" s="11" t="n"/>
      <c r="H169" s="10">
        <f>IF($G169="","",IFERROR(VLOOKUP($G169,CustTbl,2,0),IFERROR(VLOOKUP($G169,SuppTbl,2,0),IFERROR(VLOOKUP($G169,AcctTbl,2,0),IFERROR(VLOOKUP($G169,StaffTbl,2,0),"کد ناشناخته")))))</f>
        <v/>
      </c>
      <c r="I169" s="12" t="n"/>
      <c r="J169" s="12" t="n"/>
      <c r="K169" s="13" t="n"/>
      <c r="L169" s="13" t="n"/>
      <c r="M169" s="13" t="n"/>
      <c r="N169" s="14">
        <f>IF(OR($C169="",$E169="",Calc!$H169=""),"",IFERROR(VLOOKUP(LEFT(UPPER(TRIM($E169)),6),BankTbl,3,0),0)+SUMIFS(CalcDep,CalcBank,LEFT(UPPER(TRIM($E169)),6),CalcKey,"&lt;="&amp;Calc!$H169)-SUMIFS(CalcWit,CalcBank,LEFT(UPPER(TRIM($E169)),6),CalcKey,"&lt;="&amp;Calc!$H169))</f>
        <v/>
      </c>
      <c r="O169" s="10">
        <f>IF(OR($C169="",$M169=""),"",IF($N169="","؟",IF(ROUND($M169-$N169,0)=0,"√","×")))</f>
        <v/>
      </c>
      <c r="P169" s="12" t="n"/>
    </row>
    <row r="170">
      <c r="A170" s="10">
        <f>IF($C170="","",COUNTA($C$9:$C170))</f>
        <v/>
      </c>
      <c r="B170" s="10">
        <f>IF($C170="","","TXN-"&amp;RIGHT("0000"&amp;162,4))</f>
        <v/>
      </c>
      <c r="C170" s="11" t="n"/>
      <c r="D170" s="11" t="n"/>
      <c r="E170" s="12" t="n"/>
      <c r="F170" s="10">
        <f>IF($E170="","",IFERROR(IF(VLOOKUP(LEFT(UPPER(TRIM($E170)),6),BankTbl,2,0)="","(بدون عنوان)",VLOOKUP(LEFT(UPPER(TRIM($E170)),6),BankTbl,2,0)),"بانک ناشناخته"))</f>
        <v/>
      </c>
      <c r="G170" s="11" t="n"/>
      <c r="H170" s="10">
        <f>IF($G170="","",IFERROR(VLOOKUP($G170,CustTbl,2,0),IFERROR(VLOOKUP($G170,SuppTbl,2,0),IFERROR(VLOOKUP($G170,AcctTbl,2,0),IFERROR(VLOOKUP($G170,StaffTbl,2,0),"کد ناشناخته")))))</f>
        <v/>
      </c>
      <c r="I170" s="12" t="n"/>
      <c r="J170" s="12" t="n"/>
      <c r="K170" s="13" t="n"/>
      <c r="L170" s="13" t="n"/>
      <c r="M170" s="13" t="n"/>
      <c r="N170" s="14">
        <f>IF(OR($C170="",$E170="",Calc!$H170=""),"",IFERROR(VLOOKUP(LEFT(UPPER(TRIM($E170)),6),BankTbl,3,0),0)+SUMIFS(CalcDep,CalcBank,LEFT(UPPER(TRIM($E170)),6),CalcKey,"&lt;="&amp;Calc!$H170)-SUMIFS(CalcWit,CalcBank,LEFT(UPPER(TRIM($E170)),6),CalcKey,"&lt;="&amp;Calc!$H170))</f>
        <v/>
      </c>
      <c r="O170" s="10">
        <f>IF(OR($C170="",$M170=""),"",IF($N170="","؟",IF(ROUND($M170-$N170,0)=0,"√","×")))</f>
        <v/>
      </c>
      <c r="P170" s="12" t="n"/>
    </row>
    <row r="171">
      <c r="A171" s="10">
        <f>IF($C171="","",COUNTA($C$9:$C171))</f>
        <v/>
      </c>
      <c r="B171" s="10">
        <f>IF($C171="","","TXN-"&amp;RIGHT("0000"&amp;163,4))</f>
        <v/>
      </c>
      <c r="C171" s="11" t="n"/>
      <c r="D171" s="11" t="n"/>
      <c r="E171" s="12" t="n"/>
      <c r="F171" s="10">
        <f>IF($E171="","",IFERROR(IF(VLOOKUP(LEFT(UPPER(TRIM($E171)),6),BankTbl,2,0)="","(بدون عنوان)",VLOOKUP(LEFT(UPPER(TRIM($E171)),6),BankTbl,2,0)),"بانک ناشناخته"))</f>
        <v/>
      </c>
      <c r="G171" s="11" t="n"/>
      <c r="H171" s="10">
        <f>IF($G171="","",IFERROR(VLOOKUP($G171,CustTbl,2,0),IFERROR(VLOOKUP($G171,SuppTbl,2,0),IFERROR(VLOOKUP($G171,AcctTbl,2,0),IFERROR(VLOOKUP($G171,StaffTbl,2,0),"کد ناشناخته")))))</f>
        <v/>
      </c>
      <c r="I171" s="12" t="n"/>
      <c r="J171" s="12" t="n"/>
      <c r="K171" s="13" t="n"/>
      <c r="L171" s="13" t="n"/>
      <c r="M171" s="13" t="n"/>
      <c r="N171" s="14">
        <f>IF(OR($C171="",$E171="",Calc!$H171=""),"",IFERROR(VLOOKUP(LEFT(UPPER(TRIM($E171)),6),BankTbl,3,0),0)+SUMIFS(CalcDep,CalcBank,LEFT(UPPER(TRIM($E171)),6),CalcKey,"&lt;="&amp;Calc!$H171)-SUMIFS(CalcWit,CalcBank,LEFT(UPPER(TRIM($E171)),6),CalcKey,"&lt;="&amp;Calc!$H171))</f>
        <v/>
      </c>
      <c r="O171" s="10">
        <f>IF(OR($C171="",$M171=""),"",IF($N171="","؟",IF(ROUND($M171-$N171,0)=0,"√","×")))</f>
        <v/>
      </c>
      <c r="P171" s="12" t="n"/>
    </row>
    <row r="172">
      <c r="A172" s="10">
        <f>IF($C172="","",COUNTA($C$9:$C172))</f>
        <v/>
      </c>
      <c r="B172" s="10">
        <f>IF($C172="","","TXN-"&amp;RIGHT("0000"&amp;164,4))</f>
        <v/>
      </c>
      <c r="C172" s="11" t="n"/>
      <c r="D172" s="11" t="n"/>
      <c r="E172" s="12" t="n"/>
      <c r="F172" s="10">
        <f>IF($E172="","",IFERROR(IF(VLOOKUP(LEFT(UPPER(TRIM($E172)),6),BankTbl,2,0)="","(بدون عنوان)",VLOOKUP(LEFT(UPPER(TRIM($E172)),6),BankTbl,2,0)),"بانک ناشناخته"))</f>
        <v/>
      </c>
      <c r="G172" s="11" t="n"/>
      <c r="H172" s="10">
        <f>IF($G172="","",IFERROR(VLOOKUP($G172,CustTbl,2,0),IFERROR(VLOOKUP($G172,SuppTbl,2,0),IFERROR(VLOOKUP($G172,AcctTbl,2,0),IFERROR(VLOOKUP($G172,StaffTbl,2,0),"کد ناشناخته")))))</f>
        <v/>
      </c>
      <c r="I172" s="12" t="n"/>
      <c r="J172" s="12" t="n"/>
      <c r="K172" s="13" t="n"/>
      <c r="L172" s="13" t="n"/>
      <c r="M172" s="13" t="n"/>
      <c r="N172" s="14">
        <f>IF(OR($C172="",$E172="",Calc!$H172=""),"",IFERROR(VLOOKUP(LEFT(UPPER(TRIM($E172)),6),BankTbl,3,0),0)+SUMIFS(CalcDep,CalcBank,LEFT(UPPER(TRIM($E172)),6),CalcKey,"&lt;="&amp;Calc!$H172)-SUMIFS(CalcWit,CalcBank,LEFT(UPPER(TRIM($E172)),6),CalcKey,"&lt;="&amp;Calc!$H172))</f>
        <v/>
      </c>
      <c r="O172" s="10">
        <f>IF(OR($C172="",$M172=""),"",IF($N172="","؟",IF(ROUND($M172-$N172,0)=0,"√","×")))</f>
        <v/>
      </c>
      <c r="P172" s="12" t="n"/>
    </row>
    <row r="173">
      <c r="A173" s="10">
        <f>IF($C173="","",COUNTA($C$9:$C173))</f>
        <v/>
      </c>
      <c r="B173" s="10">
        <f>IF($C173="","","TXN-"&amp;RIGHT("0000"&amp;165,4))</f>
        <v/>
      </c>
      <c r="C173" s="11" t="n"/>
      <c r="D173" s="11" t="n"/>
      <c r="E173" s="12" t="n"/>
      <c r="F173" s="10">
        <f>IF($E173="","",IFERROR(IF(VLOOKUP(LEFT(UPPER(TRIM($E173)),6),BankTbl,2,0)="","(بدون عنوان)",VLOOKUP(LEFT(UPPER(TRIM($E173)),6),BankTbl,2,0)),"بانک ناشناخته"))</f>
        <v/>
      </c>
      <c r="G173" s="11" t="n"/>
      <c r="H173" s="10">
        <f>IF($G173="","",IFERROR(VLOOKUP($G173,CustTbl,2,0),IFERROR(VLOOKUP($G173,SuppTbl,2,0),IFERROR(VLOOKUP($G173,AcctTbl,2,0),IFERROR(VLOOKUP($G173,StaffTbl,2,0),"کد ناشناخته")))))</f>
        <v/>
      </c>
      <c r="I173" s="12" t="n"/>
      <c r="J173" s="12" t="n"/>
      <c r="K173" s="13" t="n"/>
      <c r="L173" s="13" t="n"/>
      <c r="M173" s="13" t="n"/>
      <c r="N173" s="14">
        <f>IF(OR($C173="",$E173="",Calc!$H173=""),"",IFERROR(VLOOKUP(LEFT(UPPER(TRIM($E173)),6),BankTbl,3,0),0)+SUMIFS(CalcDep,CalcBank,LEFT(UPPER(TRIM($E173)),6),CalcKey,"&lt;="&amp;Calc!$H173)-SUMIFS(CalcWit,CalcBank,LEFT(UPPER(TRIM($E173)),6),CalcKey,"&lt;="&amp;Calc!$H173))</f>
        <v/>
      </c>
      <c r="O173" s="10">
        <f>IF(OR($C173="",$M173=""),"",IF($N173="","؟",IF(ROUND($M173-$N173,0)=0,"√","×")))</f>
        <v/>
      </c>
      <c r="P173" s="12" t="n"/>
    </row>
    <row r="174">
      <c r="A174" s="10">
        <f>IF($C174="","",COUNTA($C$9:$C174))</f>
        <v/>
      </c>
      <c r="B174" s="10">
        <f>IF($C174="","","TXN-"&amp;RIGHT("0000"&amp;166,4))</f>
        <v/>
      </c>
      <c r="C174" s="11" t="n"/>
      <c r="D174" s="11" t="n"/>
      <c r="E174" s="12" t="n"/>
      <c r="F174" s="10">
        <f>IF($E174="","",IFERROR(IF(VLOOKUP(LEFT(UPPER(TRIM($E174)),6),BankTbl,2,0)="","(بدون عنوان)",VLOOKUP(LEFT(UPPER(TRIM($E174)),6),BankTbl,2,0)),"بانک ناشناخته"))</f>
        <v/>
      </c>
      <c r="G174" s="11" t="n"/>
      <c r="H174" s="10">
        <f>IF($G174="","",IFERROR(VLOOKUP($G174,CustTbl,2,0),IFERROR(VLOOKUP($G174,SuppTbl,2,0),IFERROR(VLOOKUP($G174,AcctTbl,2,0),IFERROR(VLOOKUP($G174,StaffTbl,2,0),"کد ناشناخته")))))</f>
        <v/>
      </c>
      <c r="I174" s="12" t="n"/>
      <c r="J174" s="12" t="n"/>
      <c r="K174" s="13" t="n"/>
      <c r="L174" s="13" t="n"/>
      <c r="M174" s="13" t="n"/>
      <c r="N174" s="14">
        <f>IF(OR($C174="",$E174="",Calc!$H174=""),"",IFERROR(VLOOKUP(LEFT(UPPER(TRIM($E174)),6),BankTbl,3,0),0)+SUMIFS(CalcDep,CalcBank,LEFT(UPPER(TRIM($E174)),6),CalcKey,"&lt;="&amp;Calc!$H174)-SUMIFS(CalcWit,CalcBank,LEFT(UPPER(TRIM($E174)),6),CalcKey,"&lt;="&amp;Calc!$H174))</f>
        <v/>
      </c>
      <c r="O174" s="10">
        <f>IF(OR($C174="",$M174=""),"",IF($N174="","؟",IF(ROUND($M174-$N174,0)=0,"√","×")))</f>
        <v/>
      </c>
      <c r="P174" s="12" t="n"/>
    </row>
    <row r="175">
      <c r="A175" s="10">
        <f>IF($C175="","",COUNTA($C$9:$C175))</f>
        <v/>
      </c>
      <c r="B175" s="10">
        <f>IF($C175="","","TXN-"&amp;RIGHT("0000"&amp;167,4))</f>
        <v/>
      </c>
      <c r="C175" s="11" t="n"/>
      <c r="D175" s="11" t="n"/>
      <c r="E175" s="12" t="n"/>
      <c r="F175" s="10">
        <f>IF($E175="","",IFERROR(IF(VLOOKUP(LEFT(UPPER(TRIM($E175)),6),BankTbl,2,0)="","(بدون عنوان)",VLOOKUP(LEFT(UPPER(TRIM($E175)),6),BankTbl,2,0)),"بانک ناشناخته"))</f>
        <v/>
      </c>
      <c r="G175" s="11" t="n"/>
      <c r="H175" s="10">
        <f>IF($G175="","",IFERROR(VLOOKUP($G175,CustTbl,2,0),IFERROR(VLOOKUP($G175,SuppTbl,2,0),IFERROR(VLOOKUP($G175,AcctTbl,2,0),IFERROR(VLOOKUP($G175,StaffTbl,2,0),"کد ناشناخته")))))</f>
        <v/>
      </c>
      <c r="I175" s="12" t="n"/>
      <c r="J175" s="12" t="n"/>
      <c r="K175" s="13" t="n"/>
      <c r="L175" s="13" t="n"/>
      <c r="M175" s="13" t="n"/>
      <c r="N175" s="14">
        <f>IF(OR($C175="",$E175="",Calc!$H175=""),"",IFERROR(VLOOKUP(LEFT(UPPER(TRIM($E175)),6),BankTbl,3,0),0)+SUMIFS(CalcDep,CalcBank,LEFT(UPPER(TRIM($E175)),6),CalcKey,"&lt;="&amp;Calc!$H175)-SUMIFS(CalcWit,CalcBank,LEFT(UPPER(TRIM($E175)),6),CalcKey,"&lt;="&amp;Calc!$H175))</f>
        <v/>
      </c>
      <c r="O175" s="10">
        <f>IF(OR($C175="",$M175=""),"",IF($N175="","؟",IF(ROUND($M175-$N175,0)=0,"√","×")))</f>
        <v/>
      </c>
      <c r="P175" s="12" t="n"/>
    </row>
    <row r="176">
      <c r="A176" s="10">
        <f>IF($C176="","",COUNTA($C$9:$C176))</f>
        <v/>
      </c>
      <c r="B176" s="10">
        <f>IF($C176="","","TXN-"&amp;RIGHT("0000"&amp;168,4))</f>
        <v/>
      </c>
      <c r="C176" s="11" t="n"/>
      <c r="D176" s="11" t="n"/>
      <c r="E176" s="12" t="n"/>
      <c r="F176" s="10">
        <f>IF($E176="","",IFERROR(IF(VLOOKUP(LEFT(UPPER(TRIM($E176)),6),BankTbl,2,0)="","(بدون عنوان)",VLOOKUP(LEFT(UPPER(TRIM($E176)),6),BankTbl,2,0)),"بانک ناشناخته"))</f>
        <v/>
      </c>
      <c r="G176" s="11" t="n"/>
      <c r="H176" s="10">
        <f>IF($G176="","",IFERROR(VLOOKUP($G176,CustTbl,2,0),IFERROR(VLOOKUP($G176,SuppTbl,2,0),IFERROR(VLOOKUP($G176,AcctTbl,2,0),IFERROR(VLOOKUP($G176,StaffTbl,2,0),"کد ناشناخته")))))</f>
        <v/>
      </c>
      <c r="I176" s="12" t="n"/>
      <c r="J176" s="12" t="n"/>
      <c r="K176" s="13" t="n"/>
      <c r="L176" s="13" t="n"/>
      <c r="M176" s="13" t="n"/>
      <c r="N176" s="14">
        <f>IF(OR($C176="",$E176="",Calc!$H176=""),"",IFERROR(VLOOKUP(LEFT(UPPER(TRIM($E176)),6),BankTbl,3,0),0)+SUMIFS(CalcDep,CalcBank,LEFT(UPPER(TRIM($E176)),6),CalcKey,"&lt;="&amp;Calc!$H176)-SUMIFS(CalcWit,CalcBank,LEFT(UPPER(TRIM($E176)),6),CalcKey,"&lt;="&amp;Calc!$H176))</f>
        <v/>
      </c>
      <c r="O176" s="10">
        <f>IF(OR($C176="",$M176=""),"",IF($N176="","؟",IF(ROUND($M176-$N176,0)=0,"√","×")))</f>
        <v/>
      </c>
      <c r="P176" s="12" t="n"/>
    </row>
    <row r="177">
      <c r="A177" s="10">
        <f>IF($C177="","",COUNTA($C$9:$C177))</f>
        <v/>
      </c>
      <c r="B177" s="10">
        <f>IF($C177="","","TXN-"&amp;RIGHT("0000"&amp;169,4))</f>
        <v/>
      </c>
      <c r="C177" s="11" t="n"/>
      <c r="D177" s="11" t="n"/>
      <c r="E177" s="12" t="n"/>
      <c r="F177" s="10">
        <f>IF($E177="","",IFERROR(IF(VLOOKUP(LEFT(UPPER(TRIM($E177)),6),BankTbl,2,0)="","(بدون عنوان)",VLOOKUP(LEFT(UPPER(TRIM($E177)),6),BankTbl,2,0)),"بانک ناشناخته"))</f>
        <v/>
      </c>
      <c r="G177" s="11" t="n"/>
      <c r="H177" s="10">
        <f>IF($G177="","",IFERROR(VLOOKUP($G177,CustTbl,2,0),IFERROR(VLOOKUP($G177,SuppTbl,2,0),IFERROR(VLOOKUP($G177,AcctTbl,2,0),IFERROR(VLOOKUP($G177,StaffTbl,2,0),"کد ناشناخته")))))</f>
        <v/>
      </c>
      <c r="I177" s="12" t="n"/>
      <c r="J177" s="12" t="n"/>
      <c r="K177" s="13" t="n"/>
      <c r="L177" s="13" t="n"/>
      <c r="M177" s="13" t="n"/>
      <c r="N177" s="14">
        <f>IF(OR($C177="",$E177="",Calc!$H177=""),"",IFERROR(VLOOKUP(LEFT(UPPER(TRIM($E177)),6),BankTbl,3,0),0)+SUMIFS(CalcDep,CalcBank,LEFT(UPPER(TRIM($E177)),6),CalcKey,"&lt;="&amp;Calc!$H177)-SUMIFS(CalcWit,CalcBank,LEFT(UPPER(TRIM($E177)),6),CalcKey,"&lt;="&amp;Calc!$H177))</f>
        <v/>
      </c>
      <c r="O177" s="10">
        <f>IF(OR($C177="",$M177=""),"",IF($N177="","؟",IF(ROUND($M177-$N177,0)=0,"√","×")))</f>
        <v/>
      </c>
      <c r="P177" s="12" t="n"/>
    </row>
    <row r="178">
      <c r="A178" s="10">
        <f>IF($C178="","",COUNTA($C$9:$C178))</f>
        <v/>
      </c>
      <c r="B178" s="10">
        <f>IF($C178="","","TXN-"&amp;RIGHT("0000"&amp;170,4))</f>
        <v/>
      </c>
      <c r="C178" s="11" t="n"/>
      <c r="D178" s="11" t="n"/>
      <c r="E178" s="12" t="n"/>
      <c r="F178" s="10">
        <f>IF($E178="","",IFERROR(IF(VLOOKUP(LEFT(UPPER(TRIM($E178)),6),BankTbl,2,0)="","(بدون عنوان)",VLOOKUP(LEFT(UPPER(TRIM($E178)),6),BankTbl,2,0)),"بانک ناشناخته"))</f>
        <v/>
      </c>
      <c r="G178" s="11" t="n"/>
      <c r="H178" s="10">
        <f>IF($G178="","",IFERROR(VLOOKUP($G178,CustTbl,2,0),IFERROR(VLOOKUP($G178,SuppTbl,2,0),IFERROR(VLOOKUP($G178,AcctTbl,2,0),IFERROR(VLOOKUP($G178,StaffTbl,2,0),"کد ناشناخته")))))</f>
        <v/>
      </c>
      <c r="I178" s="12" t="n"/>
      <c r="J178" s="12" t="n"/>
      <c r="K178" s="13" t="n"/>
      <c r="L178" s="13" t="n"/>
      <c r="M178" s="13" t="n"/>
      <c r="N178" s="14">
        <f>IF(OR($C178="",$E178="",Calc!$H178=""),"",IFERROR(VLOOKUP(LEFT(UPPER(TRIM($E178)),6),BankTbl,3,0),0)+SUMIFS(CalcDep,CalcBank,LEFT(UPPER(TRIM($E178)),6),CalcKey,"&lt;="&amp;Calc!$H178)-SUMIFS(CalcWit,CalcBank,LEFT(UPPER(TRIM($E178)),6),CalcKey,"&lt;="&amp;Calc!$H178))</f>
        <v/>
      </c>
      <c r="O178" s="10">
        <f>IF(OR($C178="",$M178=""),"",IF($N178="","؟",IF(ROUND($M178-$N178,0)=0,"√","×")))</f>
        <v/>
      </c>
      <c r="P178" s="12" t="n"/>
    </row>
    <row r="179">
      <c r="A179" s="10">
        <f>IF($C179="","",COUNTA($C$9:$C179))</f>
        <v/>
      </c>
      <c r="B179" s="10">
        <f>IF($C179="","","TXN-"&amp;RIGHT("0000"&amp;171,4))</f>
        <v/>
      </c>
      <c r="C179" s="11" t="n"/>
      <c r="D179" s="11" t="n"/>
      <c r="E179" s="12" t="n"/>
      <c r="F179" s="10">
        <f>IF($E179="","",IFERROR(IF(VLOOKUP(LEFT(UPPER(TRIM($E179)),6),BankTbl,2,0)="","(بدون عنوان)",VLOOKUP(LEFT(UPPER(TRIM($E179)),6),BankTbl,2,0)),"بانک ناشناخته"))</f>
        <v/>
      </c>
      <c r="G179" s="11" t="n"/>
      <c r="H179" s="10">
        <f>IF($G179="","",IFERROR(VLOOKUP($G179,CustTbl,2,0),IFERROR(VLOOKUP($G179,SuppTbl,2,0),IFERROR(VLOOKUP($G179,AcctTbl,2,0),IFERROR(VLOOKUP($G179,StaffTbl,2,0),"کد ناشناخته")))))</f>
        <v/>
      </c>
      <c r="I179" s="12" t="n"/>
      <c r="J179" s="12" t="n"/>
      <c r="K179" s="13" t="n"/>
      <c r="L179" s="13" t="n"/>
      <c r="M179" s="13" t="n"/>
      <c r="N179" s="14">
        <f>IF(OR($C179="",$E179="",Calc!$H179=""),"",IFERROR(VLOOKUP(LEFT(UPPER(TRIM($E179)),6),BankTbl,3,0),0)+SUMIFS(CalcDep,CalcBank,LEFT(UPPER(TRIM($E179)),6),CalcKey,"&lt;="&amp;Calc!$H179)-SUMIFS(CalcWit,CalcBank,LEFT(UPPER(TRIM($E179)),6),CalcKey,"&lt;="&amp;Calc!$H179))</f>
        <v/>
      </c>
      <c r="O179" s="10">
        <f>IF(OR($C179="",$M179=""),"",IF($N179="","؟",IF(ROUND($M179-$N179,0)=0,"√","×")))</f>
        <v/>
      </c>
      <c r="P179" s="12" t="n"/>
    </row>
    <row r="180">
      <c r="A180" s="10">
        <f>IF($C180="","",COUNTA($C$9:$C180))</f>
        <v/>
      </c>
      <c r="B180" s="10">
        <f>IF($C180="","","TXN-"&amp;RIGHT("0000"&amp;172,4))</f>
        <v/>
      </c>
      <c r="C180" s="11" t="n"/>
      <c r="D180" s="11" t="n"/>
      <c r="E180" s="12" t="n"/>
      <c r="F180" s="10">
        <f>IF($E180="","",IFERROR(IF(VLOOKUP(LEFT(UPPER(TRIM($E180)),6),BankTbl,2,0)="","(بدون عنوان)",VLOOKUP(LEFT(UPPER(TRIM($E180)),6),BankTbl,2,0)),"بانک ناشناخته"))</f>
        <v/>
      </c>
      <c r="G180" s="11" t="n"/>
      <c r="H180" s="10">
        <f>IF($G180="","",IFERROR(VLOOKUP($G180,CustTbl,2,0),IFERROR(VLOOKUP($G180,SuppTbl,2,0),IFERROR(VLOOKUP($G180,AcctTbl,2,0),IFERROR(VLOOKUP($G180,StaffTbl,2,0),"کد ناشناخته")))))</f>
        <v/>
      </c>
      <c r="I180" s="12" t="n"/>
      <c r="J180" s="12" t="n"/>
      <c r="K180" s="13" t="n"/>
      <c r="L180" s="13" t="n"/>
      <c r="M180" s="13" t="n"/>
      <c r="N180" s="14">
        <f>IF(OR($C180="",$E180="",Calc!$H180=""),"",IFERROR(VLOOKUP(LEFT(UPPER(TRIM($E180)),6),BankTbl,3,0),0)+SUMIFS(CalcDep,CalcBank,LEFT(UPPER(TRIM($E180)),6),CalcKey,"&lt;="&amp;Calc!$H180)-SUMIFS(CalcWit,CalcBank,LEFT(UPPER(TRIM($E180)),6),CalcKey,"&lt;="&amp;Calc!$H180))</f>
        <v/>
      </c>
      <c r="O180" s="10">
        <f>IF(OR($C180="",$M180=""),"",IF($N180="","؟",IF(ROUND($M180-$N180,0)=0,"√","×")))</f>
        <v/>
      </c>
      <c r="P180" s="12" t="n"/>
    </row>
    <row r="181">
      <c r="A181" s="10">
        <f>IF($C181="","",COUNTA($C$9:$C181))</f>
        <v/>
      </c>
      <c r="B181" s="10">
        <f>IF($C181="","","TXN-"&amp;RIGHT("0000"&amp;173,4))</f>
        <v/>
      </c>
      <c r="C181" s="11" t="n"/>
      <c r="D181" s="11" t="n"/>
      <c r="E181" s="12" t="n"/>
      <c r="F181" s="10">
        <f>IF($E181="","",IFERROR(IF(VLOOKUP(LEFT(UPPER(TRIM($E181)),6),BankTbl,2,0)="","(بدون عنوان)",VLOOKUP(LEFT(UPPER(TRIM($E181)),6),BankTbl,2,0)),"بانک ناشناخته"))</f>
        <v/>
      </c>
      <c r="G181" s="11" t="n"/>
      <c r="H181" s="10">
        <f>IF($G181="","",IFERROR(VLOOKUP($G181,CustTbl,2,0),IFERROR(VLOOKUP($G181,SuppTbl,2,0),IFERROR(VLOOKUP($G181,AcctTbl,2,0),IFERROR(VLOOKUP($G181,StaffTbl,2,0),"کد ناشناخته")))))</f>
        <v/>
      </c>
      <c r="I181" s="12" t="n"/>
      <c r="J181" s="12" t="n"/>
      <c r="K181" s="13" t="n"/>
      <c r="L181" s="13" t="n"/>
      <c r="M181" s="13" t="n"/>
      <c r="N181" s="14">
        <f>IF(OR($C181="",$E181="",Calc!$H181=""),"",IFERROR(VLOOKUP(LEFT(UPPER(TRIM($E181)),6),BankTbl,3,0),0)+SUMIFS(CalcDep,CalcBank,LEFT(UPPER(TRIM($E181)),6),CalcKey,"&lt;="&amp;Calc!$H181)-SUMIFS(CalcWit,CalcBank,LEFT(UPPER(TRIM($E181)),6),CalcKey,"&lt;="&amp;Calc!$H181))</f>
        <v/>
      </c>
      <c r="O181" s="10">
        <f>IF(OR($C181="",$M181=""),"",IF($N181="","؟",IF(ROUND($M181-$N181,0)=0,"√","×")))</f>
        <v/>
      </c>
      <c r="P181" s="12" t="n"/>
    </row>
    <row r="182">
      <c r="A182" s="10">
        <f>IF($C182="","",COUNTA($C$9:$C182))</f>
        <v/>
      </c>
      <c r="B182" s="10">
        <f>IF($C182="","","TXN-"&amp;RIGHT("0000"&amp;174,4))</f>
        <v/>
      </c>
      <c r="C182" s="11" t="n"/>
      <c r="D182" s="11" t="n"/>
      <c r="E182" s="12" t="n"/>
      <c r="F182" s="10">
        <f>IF($E182="","",IFERROR(IF(VLOOKUP(LEFT(UPPER(TRIM($E182)),6),BankTbl,2,0)="","(بدون عنوان)",VLOOKUP(LEFT(UPPER(TRIM($E182)),6),BankTbl,2,0)),"بانک ناشناخته"))</f>
        <v/>
      </c>
      <c r="G182" s="11" t="n"/>
      <c r="H182" s="10">
        <f>IF($G182="","",IFERROR(VLOOKUP($G182,CustTbl,2,0),IFERROR(VLOOKUP($G182,SuppTbl,2,0),IFERROR(VLOOKUP($G182,AcctTbl,2,0),IFERROR(VLOOKUP($G182,StaffTbl,2,0),"کد ناشناخته")))))</f>
        <v/>
      </c>
      <c r="I182" s="12" t="n"/>
      <c r="J182" s="12" t="n"/>
      <c r="K182" s="13" t="n"/>
      <c r="L182" s="13" t="n"/>
      <c r="M182" s="13" t="n"/>
      <c r="N182" s="14">
        <f>IF(OR($C182="",$E182="",Calc!$H182=""),"",IFERROR(VLOOKUP(LEFT(UPPER(TRIM($E182)),6),BankTbl,3,0),0)+SUMIFS(CalcDep,CalcBank,LEFT(UPPER(TRIM($E182)),6),CalcKey,"&lt;="&amp;Calc!$H182)-SUMIFS(CalcWit,CalcBank,LEFT(UPPER(TRIM($E182)),6),CalcKey,"&lt;="&amp;Calc!$H182))</f>
        <v/>
      </c>
      <c r="O182" s="10">
        <f>IF(OR($C182="",$M182=""),"",IF($N182="","؟",IF(ROUND($M182-$N182,0)=0,"√","×")))</f>
        <v/>
      </c>
      <c r="P182" s="12" t="n"/>
    </row>
    <row r="183">
      <c r="A183" s="10">
        <f>IF($C183="","",COUNTA($C$9:$C183))</f>
        <v/>
      </c>
      <c r="B183" s="10">
        <f>IF($C183="","","TXN-"&amp;RIGHT("0000"&amp;175,4))</f>
        <v/>
      </c>
      <c r="C183" s="11" t="n"/>
      <c r="D183" s="11" t="n"/>
      <c r="E183" s="12" t="n"/>
      <c r="F183" s="10">
        <f>IF($E183="","",IFERROR(IF(VLOOKUP(LEFT(UPPER(TRIM($E183)),6),BankTbl,2,0)="","(بدون عنوان)",VLOOKUP(LEFT(UPPER(TRIM($E183)),6),BankTbl,2,0)),"بانک ناشناخته"))</f>
        <v/>
      </c>
      <c r="G183" s="11" t="n"/>
      <c r="H183" s="10">
        <f>IF($G183="","",IFERROR(VLOOKUP($G183,CustTbl,2,0),IFERROR(VLOOKUP($G183,SuppTbl,2,0),IFERROR(VLOOKUP($G183,AcctTbl,2,0),IFERROR(VLOOKUP($G183,StaffTbl,2,0),"کد ناشناخته")))))</f>
        <v/>
      </c>
      <c r="I183" s="12" t="n"/>
      <c r="J183" s="12" t="n"/>
      <c r="K183" s="13" t="n"/>
      <c r="L183" s="13" t="n"/>
      <c r="M183" s="13" t="n"/>
      <c r="N183" s="14">
        <f>IF(OR($C183="",$E183="",Calc!$H183=""),"",IFERROR(VLOOKUP(LEFT(UPPER(TRIM($E183)),6),BankTbl,3,0),0)+SUMIFS(CalcDep,CalcBank,LEFT(UPPER(TRIM($E183)),6),CalcKey,"&lt;="&amp;Calc!$H183)-SUMIFS(CalcWit,CalcBank,LEFT(UPPER(TRIM($E183)),6),CalcKey,"&lt;="&amp;Calc!$H183))</f>
        <v/>
      </c>
      <c r="O183" s="10">
        <f>IF(OR($C183="",$M183=""),"",IF($N183="","؟",IF(ROUND($M183-$N183,0)=0,"√","×")))</f>
        <v/>
      </c>
      <c r="P183" s="12" t="n"/>
    </row>
    <row r="184">
      <c r="A184" s="10">
        <f>IF($C184="","",COUNTA($C$9:$C184))</f>
        <v/>
      </c>
      <c r="B184" s="10">
        <f>IF($C184="","","TXN-"&amp;RIGHT("0000"&amp;176,4))</f>
        <v/>
      </c>
      <c r="C184" s="11" t="n"/>
      <c r="D184" s="11" t="n"/>
      <c r="E184" s="12" t="n"/>
      <c r="F184" s="10">
        <f>IF($E184="","",IFERROR(IF(VLOOKUP(LEFT(UPPER(TRIM($E184)),6),BankTbl,2,0)="","(بدون عنوان)",VLOOKUP(LEFT(UPPER(TRIM($E184)),6),BankTbl,2,0)),"بانک ناشناخته"))</f>
        <v/>
      </c>
      <c r="G184" s="11" t="n"/>
      <c r="H184" s="10">
        <f>IF($G184="","",IFERROR(VLOOKUP($G184,CustTbl,2,0),IFERROR(VLOOKUP($G184,SuppTbl,2,0),IFERROR(VLOOKUP($G184,AcctTbl,2,0),IFERROR(VLOOKUP($G184,StaffTbl,2,0),"کد ناشناخته")))))</f>
        <v/>
      </c>
      <c r="I184" s="12" t="n"/>
      <c r="J184" s="12" t="n"/>
      <c r="K184" s="13" t="n"/>
      <c r="L184" s="13" t="n"/>
      <c r="M184" s="13" t="n"/>
      <c r="N184" s="14">
        <f>IF(OR($C184="",$E184="",Calc!$H184=""),"",IFERROR(VLOOKUP(LEFT(UPPER(TRIM($E184)),6),BankTbl,3,0),0)+SUMIFS(CalcDep,CalcBank,LEFT(UPPER(TRIM($E184)),6),CalcKey,"&lt;="&amp;Calc!$H184)-SUMIFS(CalcWit,CalcBank,LEFT(UPPER(TRIM($E184)),6),CalcKey,"&lt;="&amp;Calc!$H184))</f>
        <v/>
      </c>
      <c r="O184" s="10">
        <f>IF(OR($C184="",$M184=""),"",IF($N184="","؟",IF(ROUND($M184-$N184,0)=0,"√","×")))</f>
        <v/>
      </c>
      <c r="P184" s="12" t="n"/>
    </row>
    <row r="185">
      <c r="A185" s="10">
        <f>IF($C185="","",COUNTA($C$9:$C185))</f>
        <v/>
      </c>
      <c r="B185" s="10">
        <f>IF($C185="","","TXN-"&amp;RIGHT("0000"&amp;177,4))</f>
        <v/>
      </c>
      <c r="C185" s="11" t="n"/>
      <c r="D185" s="11" t="n"/>
      <c r="E185" s="12" t="n"/>
      <c r="F185" s="10">
        <f>IF($E185="","",IFERROR(IF(VLOOKUP(LEFT(UPPER(TRIM($E185)),6),BankTbl,2,0)="","(بدون عنوان)",VLOOKUP(LEFT(UPPER(TRIM($E185)),6),BankTbl,2,0)),"بانک ناشناخته"))</f>
        <v/>
      </c>
      <c r="G185" s="11" t="n"/>
      <c r="H185" s="10">
        <f>IF($G185="","",IFERROR(VLOOKUP($G185,CustTbl,2,0),IFERROR(VLOOKUP($G185,SuppTbl,2,0),IFERROR(VLOOKUP($G185,AcctTbl,2,0),IFERROR(VLOOKUP($G185,StaffTbl,2,0),"کد ناشناخته")))))</f>
        <v/>
      </c>
      <c r="I185" s="12" t="n"/>
      <c r="J185" s="12" t="n"/>
      <c r="K185" s="13" t="n"/>
      <c r="L185" s="13" t="n"/>
      <c r="M185" s="13" t="n"/>
      <c r="N185" s="14">
        <f>IF(OR($C185="",$E185="",Calc!$H185=""),"",IFERROR(VLOOKUP(LEFT(UPPER(TRIM($E185)),6),BankTbl,3,0),0)+SUMIFS(CalcDep,CalcBank,LEFT(UPPER(TRIM($E185)),6),CalcKey,"&lt;="&amp;Calc!$H185)-SUMIFS(CalcWit,CalcBank,LEFT(UPPER(TRIM($E185)),6),CalcKey,"&lt;="&amp;Calc!$H185))</f>
        <v/>
      </c>
      <c r="O185" s="10">
        <f>IF(OR($C185="",$M185=""),"",IF($N185="","؟",IF(ROUND($M185-$N185,0)=0,"√","×")))</f>
        <v/>
      </c>
      <c r="P185" s="12" t="n"/>
    </row>
    <row r="186">
      <c r="A186" s="10">
        <f>IF($C186="","",COUNTA($C$9:$C186))</f>
        <v/>
      </c>
      <c r="B186" s="10">
        <f>IF($C186="","","TXN-"&amp;RIGHT("0000"&amp;178,4))</f>
        <v/>
      </c>
      <c r="C186" s="11" t="n"/>
      <c r="D186" s="11" t="n"/>
      <c r="E186" s="12" t="n"/>
      <c r="F186" s="10">
        <f>IF($E186="","",IFERROR(IF(VLOOKUP(LEFT(UPPER(TRIM($E186)),6),BankTbl,2,0)="","(بدون عنوان)",VLOOKUP(LEFT(UPPER(TRIM($E186)),6),BankTbl,2,0)),"بانک ناشناخته"))</f>
        <v/>
      </c>
      <c r="G186" s="11" t="n"/>
      <c r="H186" s="10">
        <f>IF($G186="","",IFERROR(VLOOKUP($G186,CustTbl,2,0),IFERROR(VLOOKUP($G186,SuppTbl,2,0),IFERROR(VLOOKUP($G186,AcctTbl,2,0),IFERROR(VLOOKUP($G186,StaffTbl,2,0),"کد ناشناخته")))))</f>
        <v/>
      </c>
      <c r="I186" s="12" t="n"/>
      <c r="J186" s="12" t="n"/>
      <c r="K186" s="13" t="n"/>
      <c r="L186" s="13" t="n"/>
      <c r="M186" s="13" t="n"/>
      <c r="N186" s="14">
        <f>IF(OR($C186="",$E186="",Calc!$H186=""),"",IFERROR(VLOOKUP(LEFT(UPPER(TRIM($E186)),6),BankTbl,3,0),0)+SUMIFS(CalcDep,CalcBank,LEFT(UPPER(TRIM($E186)),6),CalcKey,"&lt;="&amp;Calc!$H186)-SUMIFS(CalcWit,CalcBank,LEFT(UPPER(TRIM($E186)),6),CalcKey,"&lt;="&amp;Calc!$H186))</f>
        <v/>
      </c>
      <c r="O186" s="10">
        <f>IF(OR($C186="",$M186=""),"",IF($N186="","؟",IF(ROUND($M186-$N186,0)=0,"√","×")))</f>
        <v/>
      </c>
      <c r="P186" s="12" t="n"/>
    </row>
    <row r="187">
      <c r="A187" s="10">
        <f>IF($C187="","",COUNTA($C$9:$C187))</f>
        <v/>
      </c>
      <c r="B187" s="10">
        <f>IF($C187="","","TXN-"&amp;RIGHT("0000"&amp;179,4))</f>
        <v/>
      </c>
      <c r="C187" s="11" t="n"/>
      <c r="D187" s="11" t="n"/>
      <c r="E187" s="12" t="n"/>
      <c r="F187" s="10">
        <f>IF($E187="","",IFERROR(IF(VLOOKUP(LEFT(UPPER(TRIM($E187)),6),BankTbl,2,0)="","(بدون عنوان)",VLOOKUP(LEFT(UPPER(TRIM($E187)),6),BankTbl,2,0)),"بانک ناشناخته"))</f>
        <v/>
      </c>
      <c r="G187" s="11" t="n"/>
      <c r="H187" s="10">
        <f>IF($G187="","",IFERROR(VLOOKUP($G187,CustTbl,2,0),IFERROR(VLOOKUP($G187,SuppTbl,2,0),IFERROR(VLOOKUP($G187,AcctTbl,2,0),IFERROR(VLOOKUP($G187,StaffTbl,2,0),"کد ناشناخته")))))</f>
        <v/>
      </c>
      <c r="I187" s="12" t="n"/>
      <c r="J187" s="12" t="n"/>
      <c r="K187" s="13" t="n"/>
      <c r="L187" s="13" t="n"/>
      <c r="M187" s="13" t="n"/>
      <c r="N187" s="14">
        <f>IF(OR($C187="",$E187="",Calc!$H187=""),"",IFERROR(VLOOKUP(LEFT(UPPER(TRIM($E187)),6),BankTbl,3,0),0)+SUMIFS(CalcDep,CalcBank,LEFT(UPPER(TRIM($E187)),6),CalcKey,"&lt;="&amp;Calc!$H187)-SUMIFS(CalcWit,CalcBank,LEFT(UPPER(TRIM($E187)),6),CalcKey,"&lt;="&amp;Calc!$H187))</f>
        <v/>
      </c>
      <c r="O187" s="10">
        <f>IF(OR($C187="",$M187=""),"",IF($N187="","؟",IF(ROUND($M187-$N187,0)=0,"√","×")))</f>
        <v/>
      </c>
      <c r="P187" s="12" t="n"/>
    </row>
    <row r="188">
      <c r="A188" s="10">
        <f>IF($C188="","",COUNTA($C$9:$C188))</f>
        <v/>
      </c>
      <c r="B188" s="10">
        <f>IF($C188="","","TXN-"&amp;RIGHT("0000"&amp;180,4))</f>
        <v/>
      </c>
      <c r="C188" s="11" t="n"/>
      <c r="D188" s="11" t="n"/>
      <c r="E188" s="12" t="n"/>
      <c r="F188" s="10">
        <f>IF($E188="","",IFERROR(IF(VLOOKUP(LEFT(UPPER(TRIM($E188)),6),BankTbl,2,0)="","(بدون عنوان)",VLOOKUP(LEFT(UPPER(TRIM($E188)),6),BankTbl,2,0)),"بانک ناشناخته"))</f>
        <v/>
      </c>
      <c r="G188" s="11" t="n"/>
      <c r="H188" s="10">
        <f>IF($G188="","",IFERROR(VLOOKUP($G188,CustTbl,2,0),IFERROR(VLOOKUP($G188,SuppTbl,2,0),IFERROR(VLOOKUP($G188,AcctTbl,2,0),IFERROR(VLOOKUP($G188,StaffTbl,2,0),"کد ناشناخته")))))</f>
        <v/>
      </c>
      <c r="I188" s="12" t="n"/>
      <c r="J188" s="12" t="n"/>
      <c r="K188" s="13" t="n"/>
      <c r="L188" s="13" t="n"/>
      <c r="M188" s="13" t="n"/>
      <c r="N188" s="14">
        <f>IF(OR($C188="",$E188="",Calc!$H188=""),"",IFERROR(VLOOKUP(LEFT(UPPER(TRIM($E188)),6),BankTbl,3,0),0)+SUMIFS(CalcDep,CalcBank,LEFT(UPPER(TRIM($E188)),6),CalcKey,"&lt;="&amp;Calc!$H188)-SUMIFS(CalcWit,CalcBank,LEFT(UPPER(TRIM($E188)),6),CalcKey,"&lt;="&amp;Calc!$H188))</f>
        <v/>
      </c>
      <c r="O188" s="10">
        <f>IF(OR($C188="",$M188=""),"",IF($N188="","؟",IF(ROUND($M188-$N188,0)=0,"√","×")))</f>
        <v/>
      </c>
      <c r="P188" s="12" t="n"/>
    </row>
    <row r="189">
      <c r="A189" s="10">
        <f>IF($C189="","",COUNTA($C$9:$C189))</f>
        <v/>
      </c>
      <c r="B189" s="10">
        <f>IF($C189="","","TXN-"&amp;RIGHT("0000"&amp;181,4))</f>
        <v/>
      </c>
      <c r="C189" s="11" t="n"/>
      <c r="D189" s="11" t="n"/>
      <c r="E189" s="12" t="n"/>
      <c r="F189" s="10">
        <f>IF($E189="","",IFERROR(IF(VLOOKUP(LEFT(UPPER(TRIM($E189)),6),BankTbl,2,0)="","(بدون عنوان)",VLOOKUP(LEFT(UPPER(TRIM($E189)),6),BankTbl,2,0)),"بانک ناشناخته"))</f>
        <v/>
      </c>
      <c r="G189" s="11" t="n"/>
      <c r="H189" s="10">
        <f>IF($G189="","",IFERROR(VLOOKUP($G189,CustTbl,2,0),IFERROR(VLOOKUP($G189,SuppTbl,2,0),IFERROR(VLOOKUP($G189,AcctTbl,2,0),IFERROR(VLOOKUP($G189,StaffTbl,2,0),"کد ناشناخته")))))</f>
        <v/>
      </c>
      <c r="I189" s="12" t="n"/>
      <c r="J189" s="12" t="n"/>
      <c r="K189" s="13" t="n"/>
      <c r="L189" s="13" t="n"/>
      <c r="M189" s="13" t="n"/>
      <c r="N189" s="14">
        <f>IF(OR($C189="",$E189="",Calc!$H189=""),"",IFERROR(VLOOKUP(LEFT(UPPER(TRIM($E189)),6),BankTbl,3,0),0)+SUMIFS(CalcDep,CalcBank,LEFT(UPPER(TRIM($E189)),6),CalcKey,"&lt;="&amp;Calc!$H189)-SUMIFS(CalcWit,CalcBank,LEFT(UPPER(TRIM($E189)),6),CalcKey,"&lt;="&amp;Calc!$H189))</f>
        <v/>
      </c>
      <c r="O189" s="10">
        <f>IF(OR($C189="",$M189=""),"",IF($N189="","؟",IF(ROUND($M189-$N189,0)=0,"√","×")))</f>
        <v/>
      </c>
      <c r="P189" s="12" t="n"/>
    </row>
    <row r="190">
      <c r="A190" s="10">
        <f>IF($C190="","",COUNTA($C$9:$C190))</f>
        <v/>
      </c>
      <c r="B190" s="10">
        <f>IF($C190="","","TXN-"&amp;RIGHT("0000"&amp;182,4))</f>
        <v/>
      </c>
      <c r="C190" s="11" t="n"/>
      <c r="D190" s="11" t="n"/>
      <c r="E190" s="12" t="n"/>
      <c r="F190" s="10">
        <f>IF($E190="","",IFERROR(IF(VLOOKUP(LEFT(UPPER(TRIM($E190)),6),BankTbl,2,0)="","(بدون عنوان)",VLOOKUP(LEFT(UPPER(TRIM($E190)),6),BankTbl,2,0)),"بانک ناشناخته"))</f>
        <v/>
      </c>
      <c r="G190" s="11" t="n"/>
      <c r="H190" s="10">
        <f>IF($G190="","",IFERROR(VLOOKUP($G190,CustTbl,2,0),IFERROR(VLOOKUP($G190,SuppTbl,2,0),IFERROR(VLOOKUP($G190,AcctTbl,2,0),IFERROR(VLOOKUP($G190,StaffTbl,2,0),"کد ناشناخته")))))</f>
        <v/>
      </c>
      <c r="I190" s="12" t="n"/>
      <c r="J190" s="12" t="n"/>
      <c r="K190" s="13" t="n"/>
      <c r="L190" s="13" t="n"/>
      <c r="M190" s="13" t="n"/>
      <c r="N190" s="14">
        <f>IF(OR($C190="",$E190="",Calc!$H190=""),"",IFERROR(VLOOKUP(LEFT(UPPER(TRIM($E190)),6),BankTbl,3,0),0)+SUMIFS(CalcDep,CalcBank,LEFT(UPPER(TRIM($E190)),6),CalcKey,"&lt;="&amp;Calc!$H190)-SUMIFS(CalcWit,CalcBank,LEFT(UPPER(TRIM($E190)),6),CalcKey,"&lt;="&amp;Calc!$H190))</f>
        <v/>
      </c>
      <c r="O190" s="10">
        <f>IF(OR($C190="",$M190=""),"",IF($N190="","؟",IF(ROUND($M190-$N190,0)=0,"√","×")))</f>
        <v/>
      </c>
      <c r="P190" s="12" t="n"/>
    </row>
    <row r="191">
      <c r="A191" s="10">
        <f>IF($C191="","",COUNTA($C$9:$C191))</f>
        <v/>
      </c>
      <c r="B191" s="10">
        <f>IF($C191="","","TXN-"&amp;RIGHT("0000"&amp;183,4))</f>
        <v/>
      </c>
      <c r="C191" s="11" t="n"/>
      <c r="D191" s="11" t="n"/>
      <c r="E191" s="12" t="n"/>
      <c r="F191" s="10">
        <f>IF($E191="","",IFERROR(IF(VLOOKUP(LEFT(UPPER(TRIM($E191)),6),BankTbl,2,0)="","(بدون عنوان)",VLOOKUP(LEFT(UPPER(TRIM($E191)),6),BankTbl,2,0)),"بانک ناشناخته"))</f>
        <v/>
      </c>
      <c r="G191" s="11" t="n"/>
      <c r="H191" s="10">
        <f>IF($G191="","",IFERROR(VLOOKUP($G191,CustTbl,2,0),IFERROR(VLOOKUP($G191,SuppTbl,2,0),IFERROR(VLOOKUP($G191,AcctTbl,2,0),IFERROR(VLOOKUP($G191,StaffTbl,2,0),"کد ناشناخته")))))</f>
        <v/>
      </c>
      <c r="I191" s="12" t="n"/>
      <c r="J191" s="12" t="n"/>
      <c r="K191" s="13" t="n"/>
      <c r="L191" s="13" t="n"/>
      <c r="M191" s="13" t="n"/>
      <c r="N191" s="14">
        <f>IF(OR($C191="",$E191="",Calc!$H191=""),"",IFERROR(VLOOKUP(LEFT(UPPER(TRIM($E191)),6),BankTbl,3,0),0)+SUMIFS(CalcDep,CalcBank,LEFT(UPPER(TRIM($E191)),6),CalcKey,"&lt;="&amp;Calc!$H191)-SUMIFS(CalcWit,CalcBank,LEFT(UPPER(TRIM($E191)),6),CalcKey,"&lt;="&amp;Calc!$H191))</f>
        <v/>
      </c>
      <c r="O191" s="10">
        <f>IF(OR($C191="",$M191=""),"",IF($N191="","؟",IF(ROUND($M191-$N191,0)=0,"√","×")))</f>
        <v/>
      </c>
      <c r="P191" s="12" t="n"/>
    </row>
    <row r="192">
      <c r="A192" s="10">
        <f>IF($C192="","",COUNTA($C$9:$C192))</f>
        <v/>
      </c>
      <c r="B192" s="10">
        <f>IF($C192="","","TXN-"&amp;RIGHT("0000"&amp;184,4))</f>
        <v/>
      </c>
      <c r="C192" s="11" t="n"/>
      <c r="D192" s="11" t="n"/>
      <c r="E192" s="12" t="n"/>
      <c r="F192" s="10">
        <f>IF($E192="","",IFERROR(IF(VLOOKUP(LEFT(UPPER(TRIM($E192)),6),BankTbl,2,0)="","(بدون عنوان)",VLOOKUP(LEFT(UPPER(TRIM($E192)),6),BankTbl,2,0)),"بانک ناشناخته"))</f>
        <v/>
      </c>
      <c r="G192" s="11" t="n"/>
      <c r="H192" s="10">
        <f>IF($G192="","",IFERROR(VLOOKUP($G192,CustTbl,2,0),IFERROR(VLOOKUP($G192,SuppTbl,2,0),IFERROR(VLOOKUP($G192,AcctTbl,2,0),IFERROR(VLOOKUP($G192,StaffTbl,2,0),"کد ناشناخته")))))</f>
        <v/>
      </c>
      <c r="I192" s="12" t="n"/>
      <c r="J192" s="12" t="n"/>
      <c r="K192" s="13" t="n"/>
      <c r="L192" s="13" t="n"/>
      <c r="M192" s="13" t="n"/>
      <c r="N192" s="14">
        <f>IF(OR($C192="",$E192="",Calc!$H192=""),"",IFERROR(VLOOKUP(LEFT(UPPER(TRIM($E192)),6),BankTbl,3,0),0)+SUMIFS(CalcDep,CalcBank,LEFT(UPPER(TRIM($E192)),6),CalcKey,"&lt;="&amp;Calc!$H192)-SUMIFS(CalcWit,CalcBank,LEFT(UPPER(TRIM($E192)),6),CalcKey,"&lt;="&amp;Calc!$H192))</f>
        <v/>
      </c>
      <c r="O192" s="10">
        <f>IF(OR($C192="",$M192=""),"",IF($N192="","؟",IF(ROUND($M192-$N192,0)=0,"√","×")))</f>
        <v/>
      </c>
      <c r="P192" s="12" t="n"/>
    </row>
    <row r="193">
      <c r="A193" s="10">
        <f>IF($C193="","",COUNTA($C$9:$C193))</f>
        <v/>
      </c>
      <c r="B193" s="10">
        <f>IF($C193="","","TXN-"&amp;RIGHT("0000"&amp;185,4))</f>
        <v/>
      </c>
      <c r="C193" s="11" t="n"/>
      <c r="D193" s="11" t="n"/>
      <c r="E193" s="12" t="n"/>
      <c r="F193" s="10">
        <f>IF($E193="","",IFERROR(IF(VLOOKUP(LEFT(UPPER(TRIM($E193)),6),BankTbl,2,0)="","(بدون عنوان)",VLOOKUP(LEFT(UPPER(TRIM($E193)),6),BankTbl,2,0)),"بانک ناشناخته"))</f>
        <v/>
      </c>
      <c r="G193" s="11" t="n"/>
      <c r="H193" s="10">
        <f>IF($G193="","",IFERROR(VLOOKUP($G193,CustTbl,2,0),IFERROR(VLOOKUP($G193,SuppTbl,2,0),IFERROR(VLOOKUP($G193,AcctTbl,2,0),IFERROR(VLOOKUP($G193,StaffTbl,2,0),"کد ناشناخته")))))</f>
        <v/>
      </c>
      <c r="I193" s="12" t="n"/>
      <c r="J193" s="12" t="n"/>
      <c r="K193" s="13" t="n"/>
      <c r="L193" s="13" t="n"/>
      <c r="M193" s="13" t="n"/>
      <c r="N193" s="14">
        <f>IF(OR($C193="",$E193="",Calc!$H193=""),"",IFERROR(VLOOKUP(LEFT(UPPER(TRIM($E193)),6),BankTbl,3,0),0)+SUMIFS(CalcDep,CalcBank,LEFT(UPPER(TRIM($E193)),6),CalcKey,"&lt;="&amp;Calc!$H193)-SUMIFS(CalcWit,CalcBank,LEFT(UPPER(TRIM($E193)),6),CalcKey,"&lt;="&amp;Calc!$H193))</f>
        <v/>
      </c>
      <c r="O193" s="10">
        <f>IF(OR($C193="",$M193=""),"",IF($N193="","؟",IF(ROUND($M193-$N193,0)=0,"√","×")))</f>
        <v/>
      </c>
      <c r="P193" s="12" t="n"/>
    </row>
    <row r="194">
      <c r="A194" s="10">
        <f>IF($C194="","",COUNTA($C$9:$C194))</f>
        <v/>
      </c>
      <c r="B194" s="10">
        <f>IF($C194="","","TXN-"&amp;RIGHT("0000"&amp;186,4))</f>
        <v/>
      </c>
      <c r="C194" s="11" t="n"/>
      <c r="D194" s="11" t="n"/>
      <c r="E194" s="12" t="n"/>
      <c r="F194" s="10">
        <f>IF($E194="","",IFERROR(IF(VLOOKUP(LEFT(UPPER(TRIM($E194)),6),BankTbl,2,0)="","(بدون عنوان)",VLOOKUP(LEFT(UPPER(TRIM($E194)),6),BankTbl,2,0)),"بانک ناشناخته"))</f>
        <v/>
      </c>
      <c r="G194" s="11" t="n"/>
      <c r="H194" s="10">
        <f>IF($G194="","",IFERROR(VLOOKUP($G194,CustTbl,2,0),IFERROR(VLOOKUP($G194,SuppTbl,2,0),IFERROR(VLOOKUP($G194,AcctTbl,2,0),IFERROR(VLOOKUP($G194,StaffTbl,2,0),"کد ناشناخته")))))</f>
        <v/>
      </c>
      <c r="I194" s="12" t="n"/>
      <c r="J194" s="12" t="n"/>
      <c r="K194" s="13" t="n"/>
      <c r="L194" s="13" t="n"/>
      <c r="M194" s="13" t="n"/>
      <c r="N194" s="14">
        <f>IF(OR($C194="",$E194="",Calc!$H194=""),"",IFERROR(VLOOKUP(LEFT(UPPER(TRIM($E194)),6),BankTbl,3,0),0)+SUMIFS(CalcDep,CalcBank,LEFT(UPPER(TRIM($E194)),6),CalcKey,"&lt;="&amp;Calc!$H194)-SUMIFS(CalcWit,CalcBank,LEFT(UPPER(TRIM($E194)),6),CalcKey,"&lt;="&amp;Calc!$H194))</f>
        <v/>
      </c>
      <c r="O194" s="10">
        <f>IF(OR($C194="",$M194=""),"",IF($N194="","؟",IF(ROUND($M194-$N194,0)=0,"√","×")))</f>
        <v/>
      </c>
      <c r="P194" s="12" t="n"/>
    </row>
    <row r="195">
      <c r="A195" s="10">
        <f>IF($C195="","",COUNTA($C$9:$C195))</f>
        <v/>
      </c>
      <c r="B195" s="10">
        <f>IF($C195="","","TXN-"&amp;RIGHT("0000"&amp;187,4))</f>
        <v/>
      </c>
      <c r="C195" s="11" t="n"/>
      <c r="D195" s="11" t="n"/>
      <c r="E195" s="12" t="n"/>
      <c r="F195" s="10">
        <f>IF($E195="","",IFERROR(IF(VLOOKUP(LEFT(UPPER(TRIM($E195)),6),BankTbl,2,0)="","(بدون عنوان)",VLOOKUP(LEFT(UPPER(TRIM($E195)),6),BankTbl,2,0)),"بانک ناشناخته"))</f>
        <v/>
      </c>
      <c r="G195" s="11" t="n"/>
      <c r="H195" s="10">
        <f>IF($G195="","",IFERROR(VLOOKUP($G195,CustTbl,2,0),IFERROR(VLOOKUP($G195,SuppTbl,2,0),IFERROR(VLOOKUP($G195,AcctTbl,2,0),IFERROR(VLOOKUP($G195,StaffTbl,2,0),"کد ناشناخته")))))</f>
        <v/>
      </c>
      <c r="I195" s="12" t="n"/>
      <c r="J195" s="12" t="n"/>
      <c r="K195" s="13" t="n"/>
      <c r="L195" s="13" t="n"/>
      <c r="M195" s="13" t="n"/>
      <c r="N195" s="14">
        <f>IF(OR($C195="",$E195="",Calc!$H195=""),"",IFERROR(VLOOKUP(LEFT(UPPER(TRIM($E195)),6),BankTbl,3,0),0)+SUMIFS(CalcDep,CalcBank,LEFT(UPPER(TRIM($E195)),6),CalcKey,"&lt;="&amp;Calc!$H195)-SUMIFS(CalcWit,CalcBank,LEFT(UPPER(TRIM($E195)),6),CalcKey,"&lt;="&amp;Calc!$H195))</f>
        <v/>
      </c>
      <c r="O195" s="10">
        <f>IF(OR($C195="",$M195=""),"",IF($N195="","؟",IF(ROUND($M195-$N195,0)=0,"√","×")))</f>
        <v/>
      </c>
      <c r="P195" s="12" t="n"/>
    </row>
    <row r="196">
      <c r="A196" s="10">
        <f>IF($C196="","",COUNTA($C$9:$C196))</f>
        <v/>
      </c>
      <c r="B196" s="10">
        <f>IF($C196="","","TXN-"&amp;RIGHT("0000"&amp;188,4))</f>
        <v/>
      </c>
      <c r="C196" s="11" t="n"/>
      <c r="D196" s="11" t="n"/>
      <c r="E196" s="12" t="n"/>
      <c r="F196" s="10">
        <f>IF($E196="","",IFERROR(IF(VLOOKUP(LEFT(UPPER(TRIM($E196)),6),BankTbl,2,0)="","(بدون عنوان)",VLOOKUP(LEFT(UPPER(TRIM($E196)),6),BankTbl,2,0)),"بانک ناشناخته"))</f>
        <v/>
      </c>
      <c r="G196" s="11" t="n"/>
      <c r="H196" s="10">
        <f>IF($G196="","",IFERROR(VLOOKUP($G196,CustTbl,2,0),IFERROR(VLOOKUP($G196,SuppTbl,2,0),IFERROR(VLOOKUP($G196,AcctTbl,2,0),IFERROR(VLOOKUP($G196,StaffTbl,2,0),"کد ناشناخته")))))</f>
        <v/>
      </c>
      <c r="I196" s="12" t="n"/>
      <c r="J196" s="12" t="n"/>
      <c r="K196" s="13" t="n"/>
      <c r="L196" s="13" t="n"/>
      <c r="M196" s="13" t="n"/>
      <c r="N196" s="14">
        <f>IF(OR($C196="",$E196="",Calc!$H196=""),"",IFERROR(VLOOKUP(LEFT(UPPER(TRIM($E196)),6),BankTbl,3,0),0)+SUMIFS(CalcDep,CalcBank,LEFT(UPPER(TRIM($E196)),6),CalcKey,"&lt;="&amp;Calc!$H196)-SUMIFS(CalcWit,CalcBank,LEFT(UPPER(TRIM($E196)),6),CalcKey,"&lt;="&amp;Calc!$H196))</f>
        <v/>
      </c>
      <c r="O196" s="10">
        <f>IF(OR($C196="",$M196=""),"",IF($N196="","؟",IF(ROUND($M196-$N196,0)=0,"√","×")))</f>
        <v/>
      </c>
      <c r="P196" s="12" t="n"/>
    </row>
    <row r="197">
      <c r="A197" s="10">
        <f>IF($C197="","",COUNTA($C$9:$C197))</f>
        <v/>
      </c>
      <c r="B197" s="10">
        <f>IF($C197="","","TXN-"&amp;RIGHT("0000"&amp;189,4))</f>
        <v/>
      </c>
      <c r="C197" s="11" t="n"/>
      <c r="D197" s="11" t="n"/>
      <c r="E197" s="12" t="n"/>
      <c r="F197" s="10">
        <f>IF($E197="","",IFERROR(IF(VLOOKUP(LEFT(UPPER(TRIM($E197)),6),BankTbl,2,0)="","(بدون عنوان)",VLOOKUP(LEFT(UPPER(TRIM($E197)),6),BankTbl,2,0)),"بانک ناشناخته"))</f>
        <v/>
      </c>
      <c r="G197" s="11" t="n"/>
      <c r="H197" s="10">
        <f>IF($G197="","",IFERROR(VLOOKUP($G197,CustTbl,2,0),IFERROR(VLOOKUP($G197,SuppTbl,2,0),IFERROR(VLOOKUP($G197,AcctTbl,2,0),IFERROR(VLOOKUP($G197,StaffTbl,2,0),"کد ناشناخته")))))</f>
        <v/>
      </c>
      <c r="I197" s="12" t="n"/>
      <c r="J197" s="12" t="n"/>
      <c r="K197" s="13" t="n"/>
      <c r="L197" s="13" t="n"/>
      <c r="M197" s="13" t="n"/>
      <c r="N197" s="14">
        <f>IF(OR($C197="",$E197="",Calc!$H197=""),"",IFERROR(VLOOKUP(LEFT(UPPER(TRIM($E197)),6),BankTbl,3,0),0)+SUMIFS(CalcDep,CalcBank,LEFT(UPPER(TRIM($E197)),6),CalcKey,"&lt;="&amp;Calc!$H197)-SUMIFS(CalcWit,CalcBank,LEFT(UPPER(TRIM($E197)),6),CalcKey,"&lt;="&amp;Calc!$H197))</f>
        <v/>
      </c>
      <c r="O197" s="10">
        <f>IF(OR($C197="",$M197=""),"",IF($N197="","؟",IF(ROUND($M197-$N197,0)=0,"√","×")))</f>
        <v/>
      </c>
      <c r="P197" s="12" t="n"/>
    </row>
    <row r="198">
      <c r="A198" s="10">
        <f>IF($C198="","",COUNTA($C$9:$C198))</f>
        <v/>
      </c>
      <c r="B198" s="10">
        <f>IF($C198="","","TXN-"&amp;RIGHT("0000"&amp;190,4))</f>
        <v/>
      </c>
      <c r="C198" s="11" t="n"/>
      <c r="D198" s="11" t="n"/>
      <c r="E198" s="12" t="n"/>
      <c r="F198" s="10">
        <f>IF($E198="","",IFERROR(IF(VLOOKUP(LEFT(UPPER(TRIM($E198)),6),BankTbl,2,0)="","(بدون عنوان)",VLOOKUP(LEFT(UPPER(TRIM($E198)),6),BankTbl,2,0)),"بانک ناشناخته"))</f>
        <v/>
      </c>
      <c r="G198" s="11" t="n"/>
      <c r="H198" s="10">
        <f>IF($G198="","",IFERROR(VLOOKUP($G198,CustTbl,2,0),IFERROR(VLOOKUP($G198,SuppTbl,2,0),IFERROR(VLOOKUP($G198,AcctTbl,2,0),IFERROR(VLOOKUP($G198,StaffTbl,2,0),"کد ناشناخته")))))</f>
        <v/>
      </c>
      <c r="I198" s="12" t="n"/>
      <c r="J198" s="12" t="n"/>
      <c r="K198" s="13" t="n"/>
      <c r="L198" s="13" t="n"/>
      <c r="M198" s="13" t="n"/>
      <c r="N198" s="14">
        <f>IF(OR($C198="",$E198="",Calc!$H198=""),"",IFERROR(VLOOKUP(LEFT(UPPER(TRIM($E198)),6),BankTbl,3,0),0)+SUMIFS(CalcDep,CalcBank,LEFT(UPPER(TRIM($E198)),6),CalcKey,"&lt;="&amp;Calc!$H198)-SUMIFS(CalcWit,CalcBank,LEFT(UPPER(TRIM($E198)),6),CalcKey,"&lt;="&amp;Calc!$H198))</f>
        <v/>
      </c>
      <c r="O198" s="10">
        <f>IF(OR($C198="",$M198=""),"",IF($N198="","؟",IF(ROUND($M198-$N198,0)=0,"√","×")))</f>
        <v/>
      </c>
      <c r="P198" s="12" t="n"/>
    </row>
    <row r="199">
      <c r="A199" s="10">
        <f>IF($C199="","",COUNTA($C$9:$C199))</f>
        <v/>
      </c>
      <c r="B199" s="10">
        <f>IF($C199="","","TXN-"&amp;RIGHT("0000"&amp;191,4))</f>
        <v/>
      </c>
      <c r="C199" s="11" t="n"/>
      <c r="D199" s="11" t="n"/>
      <c r="E199" s="12" t="n"/>
      <c r="F199" s="10">
        <f>IF($E199="","",IFERROR(IF(VLOOKUP(LEFT(UPPER(TRIM($E199)),6),BankTbl,2,0)="","(بدون عنوان)",VLOOKUP(LEFT(UPPER(TRIM($E199)),6),BankTbl,2,0)),"بانک ناشناخته"))</f>
        <v/>
      </c>
      <c r="G199" s="11" t="n"/>
      <c r="H199" s="10">
        <f>IF($G199="","",IFERROR(VLOOKUP($G199,CustTbl,2,0),IFERROR(VLOOKUP($G199,SuppTbl,2,0),IFERROR(VLOOKUP($G199,AcctTbl,2,0),IFERROR(VLOOKUP($G199,StaffTbl,2,0),"کد ناشناخته")))))</f>
        <v/>
      </c>
      <c r="I199" s="12" t="n"/>
      <c r="J199" s="12" t="n"/>
      <c r="K199" s="13" t="n"/>
      <c r="L199" s="13" t="n"/>
      <c r="M199" s="13" t="n"/>
      <c r="N199" s="14">
        <f>IF(OR($C199="",$E199="",Calc!$H199=""),"",IFERROR(VLOOKUP(LEFT(UPPER(TRIM($E199)),6),BankTbl,3,0),0)+SUMIFS(CalcDep,CalcBank,LEFT(UPPER(TRIM($E199)),6),CalcKey,"&lt;="&amp;Calc!$H199)-SUMIFS(CalcWit,CalcBank,LEFT(UPPER(TRIM($E199)),6),CalcKey,"&lt;="&amp;Calc!$H199))</f>
        <v/>
      </c>
      <c r="O199" s="10">
        <f>IF(OR($C199="",$M199=""),"",IF($N199="","؟",IF(ROUND($M199-$N199,0)=0,"√","×")))</f>
        <v/>
      </c>
      <c r="P199" s="12" t="n"/>
    </row>
    <row r="200">
      <c r="A200" s="10">
        <f>IF($C200="","",COUNTA($C$9:$C200))</f>
        <v/>
      </c>
      <c r="B200" s="10">
        <f>IF($C200="","","TXN-"&amp;RIGHT("0000"&amp;192,4))</f>
        <v/>
      </c>
      <c r="C200" s="11" t="n"/>
      <c r="D200" s="11" t="n"/>
      <c r="E200" s="12" t="n"/>
      <c r="F200" s="10">
        <f>IF($E200="","",IFERROR(IF(VLOOKUP(LEFT(UPPER(TRIM($E200)),6),BankTbl,2,0)="","(بدون عنوان)",VLOOKUP(LEFT(UPPER(TRIM($E200)),6),BankTbl,2,0)),"بانک ناشناخته"))</f>
        <v/>
      </c>
      <c r="G200" s="11" t="n"/>
      <c r="H200" s="10">
        <f>IF($G200="","",IFERROR(VLOOKUP($G200,CustTbl,2,0),IFERROR(VLOOKUP($G200,SuppTbl,2,0),IFERROR(VLOOKUP($G200,AcctTbl,2,0),IFERROR(VLOOKUP($G200,StaffTbl,2,0),"کد ناشناخته")))))</f>
        <v/>
      </c>
      <c r="I200" s="12" t="n"/>
      <c r="J200" s="12" t="n"/>
      <c r="K200" s="13" t="n"/>
      <c r="L200" s="13" t="n"/>
      <c r="M200" s="13" t="n"/>
      <c r="N200" s="14">
        <f>IF(OR($C200="",$E200="",Calc!$H200=""),"",IFERROR(VLOOKUP(LEFT(UPPER(TRIM($E200)),6),BankTbl,3,0),0)+SUMIFS(CalcDep,CalcBank,LEFT(UPPER(TRIM($E200)),6),CalcKey,"&lt;="&amp;Calc!$H200)-SUMIFS(CalcWit,CalcBank,LEFT(UPPER(TRIM($E200)),6),CalcKey,"&lt;="&amp;Calc!$H200))</f>
        <v/>
      </c>
      <c r="O200" s="10">
        <f>IF(OR($C200="",$M200=""),"",IF($N200="","؟",IF(ROUND($M200-$N200,0)=0,"√","×")))</f>
        <v/>
      </c>
      <c r="P200" s="12" t="n"/>
    </row>
    <row r="201">
      <c r="A201" s="10">
        <f>IF($C201="","",COUNTA($C$9:$C201))</f>
        <v/>
      </c>
      <c r="B201" s="10">
        <f>IF($C201="","","TXN-"&amp;RIGHT("0000"&amp;193,4))</f>
        <v/>
      </c>
      <c r="C201" s="11" t="n"/>
      <c r="D201" s="11" t="n"/>
      <c r="E201" s="12" t="n"/>
      <c r="F201" s="10">
        <f>IF($E201="","",IFERROR(IF(VLOOKUP(LEFT(UPPER(TRIM($E201)),6),BankTbl,2,0)="","(بدون عنوان)",VLOOKUP(LEFT(UPPER(TRIM($E201)),6),BankTbl,2,0)),"بانک ناشناخته"))</f>
        <v/>
      </c>
      <c r="G201" s="11" t="n"/>
      <c r="H201" s="10">
        <f>IF($G201="","",IFERROR(VLOOKUP($G201,CustTbl,2,0),IFERROR(VLOOKUP($G201,SuppTbl,2,0),IFERROR(VLOOKUP($G201,AcctTbl,2,0),IFERROR(VLOOKUP($G201,StaffTbl,2,0),"کد ناشناخته")))))</f>
        <v/>
      </c>
      <c r="I201" s="12" t="n"/>
      <c r="J201" s="12" t="n"/>
      <c r="K201" s="13" t="n"/>
      <c r="L201" s="13" t="n"/>
      <c r="M201" s="13" t="n"/>
      <c r="N201" s="14">
        <f>IF(OR($C201="",$E201="",Calc!$H201=""),"",IFERROR(VLOOKUP(LEFT(UPPER(TRIM($E201)),6),BankTbl,3,0),0)+SUMIFS(CalcDep,CalcBank,LEFT(UPPER(TRIM($E201)),6),CalcKey,"&lt;="&amp;Calc!$H201)-SUMIFS(CalcWit,CalcBank,LEFT(UPPER(TRIM($E201)),6),CalcKey,"&lt;="&amp;Calc!$H201))</f>
        <v/>
      </c>
      <c r="O201" s="10">
        <f>IF(OR($C201="",$M201=""),"",IF($N201="","؟",IF(ROUND($M201-$N201,0)=0,"√","×")))</f>
        <v/>
      </c>
      <c r="P201" s="12" t="n"/>
    </row>
    <row r="202">
      <c r="A202" s="10">
        <f>IF($C202="","",COUNTA($C$9:$C202))</f>
        <v/>
      </c>
      <c r="B202" s="10">
        <f>IF($C202="","","TXN-"&amp;RIGHT("0000"&amp;194,4))</f>
        <v/>
      </c>
      <c r="C202" s="11" t="n"/>
      <c r="D202" s="11" t="n"/>
      <c r="E202" s="12" t="n"/>
      <c r="F202" s="10">
        <f>IF($E202="","",IFERROR(IF(VLOOKUP(LEFT(UPPER(TRIM($E202)),6),BankTbl,2,0)="","(بدون عنوان)",VLOOKUP(LEFT(UPPER(TRIM($E202)),6),BankTbl,2,0)),"بانک ناشناخته"))</f>
        <v/>
      </c>
      <c r="G202" s="11" t="n"/>
      <c r="H202" s="10">
        <f>IF($G202="","",IFERROR(VLOOKUP($G202,CustTbl,2,0),IFERROR(VLOOKUP($G202,SuppTbl,2,0),IFERROR(VLOOKUP($G202,AcctTbl,2,0),IFERROR(VLOOKUP($G202,StaffTbl,2,0),"کد ناشناخته")))))</f>
        <v/>
      </c>
      <c r="I202" s="12" t="n"/>
      <c r="J202" s="12" t="n"/>
      <c r="K202" s="13" t="n"/>
      <c r="L202" s="13" t="n"/>
      <c r="M202" s="13" t="n"/>
      <c r="N202" s="14">
        <f>IF(OR($C202="",$E202="",Calc!$H202=""),"",IFERROR(VLOOKUP(LEFT(UPPER(TRIM($E202)),6),BankTbl,3,0),0)+SUMIFS(CalcDep,CalcBank,LEFT(UPPER(TRIM($E202)),6),CalcKey,"&lt;="&amp;Calc!$H202)-SUMIFS(CalcWit,CalcBank,LEFT(UPPER(TRIM($E202)),6),CalcKey,"&lt;="&amp;Calc!$H202))</f>
        <v/>
      </c>
      <c r="O202" s="10">
        <f>IF(OR($C202="",$M202=""),"",IF($N202="","؟",IF(ROUND($M202-$N202,0)=0,"√","×")))</f>
        <v/>
      </c>
      <c r="P202" s="12" t="n"/>
    </row>
    <row r="203">
      <c r="A203" s="10">
        <f>IF($C203="","",COUNTA($C$9:$C203))</f>
        <v/>
      </c>
      <c r="B203" s="10">
        <f>IF($C203="","","TXN-"&amp;RIGHT("0000"&amp;195,4))</f>
        <v/>
      </c>
      <c r="C203" s="11" t="n"/>
      <c r="D203" s="11" t="n"/>
      <c r="E203" s="12" t="n"/>
      <c r="F203" s="10">
        <f>IF($E203="","",IFERROR(IF(VLOOKUP(LEFT(UPPER(TRIM($E203)),6),BankTbl,2,0)="","(بدون عنوان)",VLOOKUP(LEFT(UPPER(TRIM($E203)),6),BankTbl,2,0)),"بانک ناشناخته"))</f>
        <v/>
      </c>
      <c r="G203" s="11" t="n"/>
      <c r="H203" s="10">
        <f>IF($G203="","",IFERROR(VLOOKUP($G203,CustTbl,2,0),IFERROR(VLOOKUP($G203,SuppTbl,2,0),IFERROR(VLOOKUP($G203,AcctTbl,2,0),IFERROR(VLOOKUP($G203,StaffTbl,2,0),"کد ناشناخته")))))</f>
        <v/>
      </c>
      <c r="I203" s="12" t="n"/>
      <c r="J203" s="12" t="n"/>
      <c r="K203" s="13" t="n"/>
      <c r="L203" s="13" t="n"/>
      <c r="M203" s="13" t="n"/>
      <c r="N203" s="14">
        <f>IF(OR($C203="",$E203="",Calc!$H203=""),"",IFERROR(VLOOKUP(LEFT(UPPER(TRIM($E203)),6),BankTbl,3,0),0)+SUMIFS(CalcDep,CalcBank,LEFT(UPPER(TRIM($E203)),6),CalcKey,"&lt;="&amp;Calc!$H203)-SUMIFS(CalcWit,CalcBank,LEFT(UPPER(TRIM($E203)),6),CalcKey,"&lt;="&amp;Calc!$H203))</f>
        <v/>
      </c>
      <c r="O203" s="10">
        <f>IF(OR($C203="",$M203=""),"",IF($N203="","؟",IF(ROUND($M203-$N203,0)=0,"√","×")))</f>
        <v/>
      </c>
      <c r="P203" s="12" t="n"/>
    </row>
    <row r="204">
      <c r="A204" s="10">
        <f>IF($C204="","",COUNTA($C$9:$C204))</f>
        <v/>
      </c>
      <c r="B204" s="10">
        <f>IF($C204="","","TXN-"&amp;RIGHT("0000"&amp;196,4))</f>
        <v/>
      </c>
      <c r="C204" s="11" t="n"/>
      <c r="D204" s="11" t="n"/>
      <c r="E204" s="12" t="n"/>
      <c r="F204" s="10">
        <f>IF($E204="","",IFERROR(IF(VLOOKUP(LEFT(UPPER(TRIM($E204)),6),BankTbl,2,0)="","(بدون عنوان)",VLOOKUP(LEFT(UPPER(TRIM($E204)),6),BankTbl,2,0)),"بانک ناشناخته"))</f>
        <v/>
      </c>
      <c r="G204" s="11" t="n"/>
      <c r="H204" s="10">
        <f>IF($G204="","",IFERROR(VLOOKUP($G204,CustTbl,2,0),IFERROR(VLOOKUP($G204,SuppTbl,2,0),IFERROR(VLOOKUP($G204,AcctTbl,2,0),IFERROR(VLOOKUP($G204,StaffTbl,2,0),"کد ناشناخته")))))</f>
        <v/>
      </c>
      <c r="I204" s="12" t="n"/>
      <c r="J204" s="12" t="n"/>
      <c r="K204" s="13" t="n"/>
      <c r="L204" s="13" t="n"/>
      <c r="M204" s="13" t="n"/>
      <c r="N204" s="14">
        <f>IF(OR($C204="",$E204="",Calc!$H204=""),"",IFERROR(VLOOKUP(LEFT(UPPER(TRIM($E204)),6),BankTbl,3,0),0)+SUMIFS(CalcDep,CalcBank,LEFT(UPPER(TRIM($E204)),6),CalcKey,"&lt;="&amp;Calc!$H204)-SUMIFS(CalcWit,CalcBank,LEFT(UPPER(TRIM($E204)),6),CalcKey,"&lt;="&amp;Calc!$H204))</f>
        <v/>
      </c>
      <c r="O204" s="10">
        <f>IF(OR($C204="",$M204=""),"",IF($N204="","؟",IF(ROUND($M204-$N204,0)=0,"√","×")))</f>
        <v/>
      </c>
      <c r="P204" s="12" t="n"/>
    </row>
    <row r="205">
      <c r="A205" s="10">
        <f>IF($C205="","",COUNTA($C$9:$C205))</f>
        <v/>
      </c>
      <c r="B205" s="10">
        <f>IF($C205="","","TXN-"&amp;RIGHT("0000"&amp;197,4))</f>
        <v/>
      </c>
      <c r="C205" s="11" t="n"/>
      <c r="D205" s="11" t="n"/>
      <c r="E205" s="12" t="n"/>
      <c r="F205" s="10">
        <f>IF($E205="","",IFERROR(IF(VLOOKUP(LEFT(UPPER(TRIM($E205)),6),BankTbl,2,0)="","(بدون عنوان)",VLOOKUP(LEFT(UPPER(TRIM($E205)),6),BankTbl,2,0)),"بانک ناشناخته"))</f>
        <v/>
      </c>
      <c r="G205" s="11" t="n"/>
      <c r="H205" s="10">
        <f>IF($G205="","",IFERROR(VLOOKUP($G205,CustTbl,2,0),IFERROR(VLOOKUP($G205,SuppTbl,2,0),IFERROR(VLOOKUP($G205,AcctTbl,2,0),IFERROR(VLOOKUP($G205,StaffTbl,2,0),"کد ناشناخته")))))</f>
        <v/>
      </c>
      <c r="I205" s="12" t="n"/>
      <c r="J205" s="12" t="n"/>
      <c r="K205" s="13" t="n"/>
      <c r="L205" s="13" t="n"/>
      <c r="M205" s="13" t="n"/>
      <c r="N205" s="14">
        <f>IF(OR($C205="",$E205="",Calc!$H205=""),"",IFERROR(VLOOKUP(LEFT(UPPER(TRIM($E205)),6),BankTbl,3,0),0)+SUMIFS(CalcDep,CalcBank,LEFT(UPPER(TRIM($E205)),6),CalcKey,"&lt;="&amp;Calc!$H205)-SUMIFS(CalcWit,CalcBank,LEFT(UPPER(TRIM($E205)),6),CalcKey,"&lt;="&amp;Calc!$H205))</f>
        <v/>
      </c>
      <c r="O205" s="10">
        <f>IF(OR($C205="",$M205=""),"",IF($N205="","؟",IF(ROUND($M205-$N205,0)=0,"√","×")))</f>
        <v/>
      </c>
      <c r="P205" s="12" t="n"/>
    </row>
    <row r="206">
      <c r="A206" s="10">
        <f>IF($C206="","",COUNTA($C$9:$C206))</f>
        <v/>
      </c>
      <c r="B206" s="10">
        <f>IF($C206="","","TXN-"&amp;RIGHT("0000"&amp;198,4))</f>
        <v/>
      </c>
      <c r="C206" s="11" t="n"/>
      <c r="D206" s="11" t="n"/>
      <c r="E206" s="12" t="n"/>
      <c r="F206" s="10">
        <f>IF($E206="","",IFERROR(IF(VLOOKUP(LEFT(UPPER(TRIM($E206)),6),BankTbl,2,0)="","(بدون عنوان)",VLOOKUP(LEFT(UPPER(TRIM($E206)),6),BankTbl,2,0)),"بانک ناشناخته"))</f>
        <v/>
      </c>
      <c r="G206" s="11" t="n"/>
      <c r="H206" s="10">
        <f>IF($G206="","",IFERROR(VLOOKUP($G206,CustTbl,2,0),IFERROR(VLOOKUP($G206,SuppTbl,2,0),IFERROR(VLOOKUP($G206,AcctTbl,2,0),IFERROR(VLOOKUP($G206,StaffTbl,2,0),"کد ناشناخته")))))</f>
        <v/>
      </c>
      <c r="I206" s="12" t="n"/>
      <c r="J206" s="12" t="n"/>
      <c r="K206" s="13" t="n"/>
      <c r="L206" s="13" t="n"/>
      <c r="M206" s="13" t="n"/>
      <c r="N206" s="14">
        <f>IF(OR($C206="",$E206="",Calc!$H206=""),"",IFERROR(VLOOKUP(LEFT(UPPER(TRIM($E206)),6),BankTbl,3,0),0)+SUMIFS(CalcDep,CalcBank,LEFT(UPPER(TRIM($E206)),6),CalcKey,"&lt;="&amp;Calc!$H206)-SUMIFS(CalcWit,CalcBank,LEFT(UPPER(TRIM($E206)),6),CalcKey,"&lt;="&amp;Calc!$H206))</f>
        <v/>
      </c>
      <c r="O206" s="10">
        <f>IF(OR($C206="",$M206=""),"",IF($N206="","؟",IF(ROUND($M206-$N206,0)=0,"√","×")))</f>
        <v/>
      </c>
      <c r="P206" s="12" t="n"/>
    </row>
    <row r="207">
      <c r="A207" s="10">
        <f>IF($C207="","",COUNTA($C$9:$C207))</f>
        <v/>
      </c>
      <c r="B207" s="10">
        <f>IF($C207="","","TXN-"&amp;RIGHT("0000"&amp;199,4))</f>
        <v/>
      </c>
      <c r="C207" s="11" t="n"/>
      <c r="D207" s="11" t="n"/>
      <c r="E207" s="12" t="n"/>
      <c r="F207" s="10">
        <f>IF($E207="","",IFERROR(IF(VLOOKUP(LEFT(UPPER(TRIM($E207)),6),BankTbl,2,0)="","(بدون عنوان)",VLOOKUP(LEFT(UPPER(TRIM($E207)),6),BankTbl,2,0)),"بانک ناشناخته"))</f>
        <v/>
      </c>
      <c r="G207" s="11" t="n"/>
      <c r="H207" s="10">
        <f>IF($G207="","",IFERROR(VLOOKUP($G207,CustTbl,2,0),IFERROR(VLOOKUP($G207,SuppTbl,2,0),IFERROR(VLOOKUP($G207,AcctTbl,2,0),IFERROR(VLOOKUP($G207,StaffTbl,2,0),"کد ناشناخته")))))</f>
        <v/>
      </c>
      <c r="I207" s="12" t="n"/>
      <c r="J207" s="12" t="n"/>
      <c r="K207" s="13" t="n"/>
      <c r="L207" s="13" t="n"/>
      <c r="M207" s="13" t="n"/>
      <c r="N207" s="14">
        <f>IF(OR($C207="",$E207="",Calc!$H207=""),"",IFERROR(VLOOKUP(LEFT(UPPER(TRIM($E207)),6),BankTbl,3,0),0)+SUMIFS(CalcDep,CalcBank,LEFT(UPPER(TRIM($E207)),6),CalcKey,"&lt;="&amp;Calc!$H207)-SUMIFS(CalcWit,CalcBank,LEFT(UPPER(TRIM($E207)),6),CalcKey,"&lt;="&amp;Calc!$H207))</f>
        <v/>
      </c>
      <c r="O207" s="10">
        <f>IF(OR($C207="",$M207=""),"",IF($N207="","؟",IF(ROUND($M207-$N207,0)=0,"√","×")))</f>
        <v/>
      </c>
      <c r="P207" s="12" t="n"/>
    </row>
    <row r="208">
      <c r="A208" s="10">
        <f>IF($C208="","",COUNTA($C$9:$C208))</f>
        <v/>
      </c>
      <c r="B208" s="10">
        <f>IF($C208="","","TXN-"&amp;RIGHT("0000"&amp;200,4))</f>
        <v/>
      </c>
      <c r="C208" s="11" t="n"/>
      <c r="D208" s="11" t="n"/>
      <c r="E208" s="12" t="n"/>
      <c r="F208" s="10">
        <f>IF($E208="","",IFERROR(IF(VLOOKUP(LEFT(UPPER(TRIM($E208)),6),BankTbl,2,0)="","(بدون عنوان)",VLOOKUP(LEFT(UPPER(TRIM($E208)),6),BankTbl,2,0)),"بانک ناشناخته"))</f>
        <v/>
      </c>
      <c r="G208" s="11" t="n"/>
      <c r="H208" s="10">
        <f>IF($G208="","",IFERROR(VLOOKUP($G208,CustTbl,2,0),IFERROR(VLOOKUP($G208,SuppTbl,2,0),IFERROR(VLOOKUP($G208,AcctTbl,2,0),IFERROR(VLOOKUP($G208,StaffTbl,2,0),"کد ناشناخته")))))</f>
        <v/>
      </c>
      <c r="I208" s="12" t="n"/>
      <c r="J208" s="12" t="n"/>
      <c r="K208" s="13" t="n"/>
      <c r="L208" s="13" t="n"/>
      <c r="M208" s="13" t="n"/>
      <c r="N208" s="14">
        <f>IF(OR($C208="",$E208="",Calc!$H208=""),"",IFERROR(VLOOKUP(LEFT(UPPER(TRIM($E208)),6),BankTbl,3,0),0)+SUMIFS(CalcDep,CalcBank,LEFT(UPPER(TRIM($E208)),6),CalcKey,"&lt;="&amp;Calc!$H208)-SUMIFS(CalcWit,CalcBank,LEFT(UPPER(TRIM($E208)),6),CalcKey,"&lt;="&amp;Calc!$H208))</f>
        <v/>
      </c>
      <c r="O208" s="10">
        <f>IF(OR($C208="",$M208=""),"",IF($N208="","؟",IF(ROUND($M208-$N208,0)=0,"√","×")))</f>
        <v/>
      </c>
      <c r="P208" s="12" t="n"/>
    </row>
    <row r="209">
      <c r="A209" s="10">
        <f>IF($C209="","",COUNTA($C$9:$C209))</f>
        <v/>
      </c>
      <c r="B209" s="10">
        <f>IF($C209="","","TXN-"&amp;RIGHT("0000"&amp;201,4))</f>
        <v/>
      </c>
      <c r="C209" s="11" t="n"/>
      <c r="D209" s="11" t="n"/>
      <c r="E209" s="12" t="n"/>
      <c r="F209" s="10">
        <f>IF($E209="","",IFERROR(IF(VLOOKUP(LEFT(UPPER(TRIM($E209)),6),BankTbl,2,0)="","(بدون عنوان)",VLOOKUP(LEFT(UPPER(TRIM($E209)),6),BankTbl,2,0)),"بانک ناشناخته"))</f>
        <v/>
      </c>
      <c r="G209" s="11" t="n"/>
      <c r="H209" s="10">
        <f>IF($G209="","",IFERROR(VLOOKUP($G209,CustTbl,2,0),IFERROR(VLOOKUP($G209,SuppTbl,2,0),IFERROR(VLOOKUP($G209,AcctTbl,2,0),IFERROR(VLOOKUP($G209,StaffTbl,2,0),"کد ناشناخته")))))</f>
        <v/>
      </c>
      <c r="I209" s="12" t="n"/>
      <c r="J209" s="12" t="n"/>
      <c r="K209" s="13" t="n"/>
      <c r="L209" s="13" t="n"/>
      <c r="M209" s="13" t="n"/>
      <c r="N209" s="14">
        <f>IF(OR($C209="",$E209="",Calc!$H209=""),"",IFERROR(VLOOKUP(LEFT(UPPER(TRIM($E209)),6),BankTbl,3,0),0)+SUMIFS(CalcDep,CalcBank,LEFT(UPPER(TRIM($E209)),6),CalcKey,"&lt;="&amp;Calc!$H209)-SUMIFS(CalcWit,CalcBank,LEFT(UPPER(TRIM($E209)),6),CalcKey,"&lt;="&amp;Calc!$H209))</f>
        <v/>
      </c>
      <c r="O209" s="10">
        <f>IF(OR($C209="",$M209=""),"",IF($N209="","؟",IF(ROUND($M209-$N209,0)=0,"√","×")))</f>
        <v/>
      </c>
      <c r="P209" s="12" t="n"/>
    </row>
    <row r="210">
      <c r="A210" s="10">
        <f>IF($C210="","",COUNTA($C$9:$C210))</f>
        <v/>
      </c>
      <c r="B210" s="10">
        <f>IF($C210="","","TXN-"&amp;RIGHT("0000"&amp;202,4))</f>
        <v/>
      </c>
      <c r="C210" s="11" t="n"/>
      <c r="D210" s="11" t="n"/>
      <c r="E210" s="12" t="n"/>
      <c r="F210" s="10">
        <f>IF($E210="","",IFERROR(IF(VLOOKUP(LEFT(UPPER(TRIM($E210)),6),BankTbl,2,0)="","(بدون عنوان)",VLOOKUP(LEFT(UPPER(TRIM($E210)),6),BankTbl,2,0)),"بانک ناشناخته"))</f>
        <v/>
      </c>
      <c r="G210" s="11" t="n"/>
      <c r="H210" s="10">
        <f>IF($G210="","",IFERROR(VLOOKUP($G210,CustTbl,2,0),IFERROR(VLOOKUP($G210,SuppTbl,2,0),IFERROR(VLOOKUP($G210,AcctTbl,2,0),IFERROR(VLOOKUP($G210,StaffTbl,2,0),"کد ناشناخته")))))</f>
        <v/>
      </c>
      <c r="I210" s="12" t="n"/>
      <c r="J210" s="12" t="n"/>
      <c r="K210" s="13" t="n"/>
      <c r="L210" s="13" t="n"/>
      <c r="M210" s="13" t="n"/>
      <c r="N210" s="14">
        <f>IF(OR($C210="",$E210="",Calc!$H210=""),"",IFERROR(VLOOKUP(LEFT(UPPER(TRIM($E210)),6),BankTbl,3,0),0)+SUMIFS(CalcDep,CalcBank,LEFT(UPPER(TRIM($E210)),6),CalcKey,"&lt;="&amp;Calc!$H210)-SUMIFS(CalcWit,CalcBank,LEFT(UPPER(TRIM($E210)),6),CalcKey,"&lt;="&amp;Calc!$H210))</f>
        <v/>
      </c>
      <c r="O210" s="10">
        <f>IF(OR($C210="",$M210=""),"",IF($N210="","؟",IF(ROUND($M210-$N210,0)=0,"√","×")))</f>
        <v/>
      </c>
      <c r="P210" s="12" t="n"/>
    </row>
    <row r="211">
      <c r="A211" s="10">
        <f>IF($C211="","",COUNTA($C$9:$C211))</f>
        <v/>
      </c>
      <c r="B211" s="10">
        <f>IF($C211="","","TXN-"&amp;RIGHT("0000"&amp;203,4))</f>
        <v/>
      </c>
      <c r="C211" s="11" t="n"/>
      <c r="D211" s="11" t="n"/>
      <c r="E211" s="12" t="n"/>
      <c r="F211" s="10">
        <f>IF($E211="","",IFERROR(IF(VLOOKUP(LEFT(UPPER(TRIM($E211)),6),BankTbl,2,0)="","(بدون عنوان)",VLOOKUP(LEFT(UPPER(TRIM($E211)),6),BankTbl,2,0)),"بانک ناشناخته"))</f>
        <v/>
      </c>
      <c r="G211" s="11" t="n"/>
      <c r="H211" s="10">
        <f>IF($G211="","",IFERROR(VLOOKUP($G211,CustTbl,2,0),IFERROR(VLOOKUP($G211,SuppTbl,2,0),IFERROR(VLOOKUP($G211,AcctTbl,2,0),IFERROR(VLOOKUP($G211,StaffTbl,2,0),"کد ناشناخته")))))</f>
        <v/>
      </c>
      <c r="I211" s="12" t="n"/>
      <c r="J211" s="12" t="n"/>
      <c r="K211" s="13" t="n"/>
      <c r="L211" s="13" t="n"/>
      <c r="M211" s="13" t="n"/>
      <c r="N211" s="14">
        <f>IF(OR($C211="",$E211="",Calc!$H211=""),"",IFERROR(VLOOKUP(LEFT(UPPER(TRIM($E211)),6),BankTbl,3,0),0)+SUMIFS(CalcDep,CalcBank,LEFT(UPPER(TRIM($E211)),6),CalcKey,"&lt;="&amp;Calc!$H211)-SUMIFS(CalcWit,CalcBank,LEFT(UPPER(TRIM($E211)),6),CalcKey,"&lt;="&amp;Calc!$H211))</f>
        <v/>
      </c>
      <c r="O211" s="10">
        <f>IF(OR($C211="",$M211=""),"",IF($N211="","؟",IF(ROUND($M211-$N211,0)=0,"√","×")))</f>
        <v/>
      </c>
      <c r="P211" s="12" t="n"/>
    </row>
    <row r="212">
      <c r="A212" s="10">
        <f>IF($C212="","",COUNTA($C$9:$C212))</f>
        <v/>
      </c>
      <c r="B212" s="10">
        <f>IF($C212="","","TXN-"&amp;RIGHT("0000"&amp;204,4))</f>
        <v/>
      </c>
      <c r="C212" s="11" t="n"/>
      <c r="D212" s="11" t="n"/>
      <c r="E212" s="12" t="n"/>
      <c r="F212" s="10">
        <f>IF($E212="","",IFERROR(IF(VLOOKUP(LEFT(UPPER(TRIM($E212)),6),BankTbl,2,0)="","(بدون عنوان)",VLOOKUP(LEFT(UPPER(TRIM($E212)),6),BankTbl,2,0)),"بانک ناشناخته"))</f>
        <v/>
      </c>
      <c r="G212" s="11" t="n"/>
      <c r="H212" s="10">
        <f>IF($G212="","",IFERROR(VLOOKUP($G212,CustTbl,2,0),IFERROR(VLOOKUP($G212,SuppTbl,2,0),IFERROR(VLOOKUP($G212,AcctTbl,2,0),IFERROR(VLOOKUP($G212,StaffTbl,2,0),"کد ناشناخته")))))</f>
        <v/>
      </c>
      <c r="I212" s="12" t="n"/>
      <c r="J212" s="12" t="n"/>
      <c r="K212" s="13" t="n"/>
      <c r="L212" s="13" t="n"/>
      <c r="M212" s="13" t="n"/>
      <c r="N212" s="14">
        <f>IF(OR($C212="",$E212="",Calc!$H212=""),"",IFERROR(VLOOKUP(LEFT(UPPER(TRIM($E212)),6),BankTbl,3,0),0)+SUMIFS(CalcDep,CalcBank,LEFT(UPPER(TRIM($E212)),6),CalcKey,"&lt;="&amp;Calc!$H212)-SUMIFS(CalcWit,CalcBank,LEFT(UPPER(TRIM($E212)),6),CalcKey,"&lt;="&amp;Calc!$H212))</f>
        <v/>
      </c>
      <c r="O212" s="10">
        <f>IF(OR($C212="",$M212=""),"",IF($N212="","؟",IF(ROUND($M212-$N212,0)=0,"√","×")))</f>
        <v/>
      </c>
      <c r="P212" s="12" t="n"/>
    </row>
    <row r="213">
      <c r="A213" s="10">
        <f>IF($C213="","",COUNTA($C$9:$C213))</f>
        <v/>
      </c>
      <c r="B213" s="10">
        <f>IF($C213="","","TXN-"&amp;RIGHT("0000"&amp;205,4))</f>
        <v/>
      </c>
      <c r="C213" s="11" t="n"/>
      <c r="D213" s="11" t="n"/>
      <c r="E213" s="12" t="n"/>
      <c r="F213" s="10">
        <f>IF($E213="","",IFERROR(IF(VLOOKUP(LEFT(UPPER(TRIM($E213)),6),BankTbl,2,0)="","(بدون عنوان)",VLOOKUP(LEFT(UPPER(TRIM($E213)),6),BankTbl,2,0)),"بانک ناشناخته"))</f>
        <v/>
      </c>
      <c r="G213" s="11" t="n"/>
      <c r="H213" s="10">
        <f>IF($G213="","",IFERROR(VLOOKUP($G213,CustTbl,2,0),IFERROR(VLOOKUP($G213,SuppTbl,2,0),IFERROR(VLOOKUP($G213,AcctTbl,2,0),IFERROR(VLOOKUP($G213,StaffTbl,2,0),"کد ناشناخته")))))</f>
        <v/>
      </c>
      <c r="I213" s="12" t="n"/>
      <c r="J213" s="12" t="n"/>
      <c r="K213" s="13" t="n"/>
      <c r="L213" s="13" t="n"/>
      <c r="M213" s="13" t="n"/>
      <c r="N213" s="14">
        <f>IF(OR($C213="",$E213="",Calc!$H213=""),"",IFERROR(VLOOKUP(LEFT(UPPER(TRIM($E213)),6),BankTbl,3,0),0)+SUMIFS(CalcDep,CalcBank,LEFT(UPPER(TRIM($E213)),6),CalcKey,"&lt;="&amp;Calc!$H213)-SUMIFS(CalcWit,CalcBank,LEFT(UPPER(TRIM($E213)),6),CalcKey,"&lt;="&amp;Calc!$H213))</f>
        <v/>
      </c>
      <c r="O213" s="10">
        <f>IF(OR($C213="",$M213=""),"",IF($N213="","؟",IF(ROUND($M213-$N213,0)=0,"√","×")))</f>
        <v/>
      </c>
      <c r="P213" s="12" t="n"/>
    </row>
    <row r="214">
      <c r="A214" s="10">
        <f>IF($C214="","",COUNTA($C$9:$C214))</f>
        <v/>
      </c>
      <c r="B214" s="10">
        <f>IF($C214="","","TXN-"&amp;RIGHT("0000"&amp;206,4))</f>
        <v/>
      </c>
      <c r="C214" s="11" t="n"/>
      <c r="D214" s="11" t="n"/>
      <c r="E214" s="12" t="n"/>
      <c r="F214" s="10">
        <f>IF($E214="","",IFERROR(IF(VLOOKUP(LEFT(UPPER(TRIM($E214)),6),BankTbl,2,0)="","(بدون عنوان)",VLOOKUP(LEFT(UPPER(TRIM($E214)),6),BankTbl,2,0)),"بانک ناشناخته"))</f>
        <v/>
      </c>
      <c r="G214" s="11" t="n"/>
      <c r="H214" s="10">
        <f>IF($G214="","",IFERROR(VLOOKUP($G214,CustTbl,2,0),IFERROR(VLOOKUP($G214,SuppTbl,2,0),IFERROR(VLOOKUP($G214,AcctTbl,2,0),IFERROR(VLOOKUP($G214,StaffTbl,2,0),"کد ناشناخته")))))</f>
        <v/>
      </c>
      <c r="I214" s="12" t="n"/>
      <c r="J214" s="12" t="n"/>
      <c r="K214" s="13" t="n"/>
      <c r="L214" s="13" t="n"/>
      <c r="M214" s="13" t="n"/>
      <c r="N214" s="14">
        <f>IF(OR($C214="",$E214="",Calc!$H214=""),"",IFERROR(VLOOKUP(LEFT(UPPER(TRIM($E214)),6),BankTbl,3,0),0)+SUMIFS(CalcDep,CalcBank,LEFT(UPPER(TRIM($E214)),6),CalcKey,"&lt;="&amp;Calc!$H214)-SUMIFS(CalcWit,CalcBank,LEFT(UPPER(TRIM($E214)),6),CalcKey,"&lt;="&amp;Calc!$H214))</f>
        <v/>
      </c>
      <c r="O214" s="10">
        <f>IF(OR($C214="",$M214=""),"",IF($N214="","؟",IF(ROUND($M214-$N214,0)=0,"√","×")))</f>
        <v/>
      </c>
      <c r="P214" s="12" t="n"/>
    </row>
    <row r="215">
      <c r="A215" s="10">
        <f>IF($C215="","",COUNTA($C$9:$C215))</f>
        <v/>
      </c>
      <c r="B215" s="10">
        <f>IF($C215="","","TXN-"&amp;RIGHT("0000"&amp;207,4))</f>
        <v/>
      </c>
      <c r="C215" s="11" t="n"/>
      <c r="D215" s="11" t="n"/>
      <c r="E215" s="12" t="n"/>
      <c r="F215" s="10">
        <f>IF($E215="","",IFERROR(IF(VLOOKUP(LEFT(UPPER(TRIM($E215)),6),BankTbl,2,0)="","(بدون عنوان)",VLOOKUP(LEFT(UPPER(TRIM($E215)),6),BankTbl,2,0)),"بانک ناشناخته"))</f>
        <v/>
      </c>
      <c r="G215" s="11" t="n"/>
      <c r="H215" s="10">
        <f>IF($G215="","",IFERROR(VLOOKUP($G215,CustTbl,2,0),IFERROR(VLOOKUP($G215,SuppTbl,2,0),IFERROR(VLOOKUP($G215,AcctTbl,2,0),IFERROR(VLOOKUP($G215,StaffTbl,2,0),"کد ناشناخته")))))</f>
        <v/>
      </c>
      <c r="I215" s="12" t="n"/>
      <c r="J215" s="12" t="n"/>
      <c r="K215" s="13" t="n"/>
      <c r="L215" s="13" t="n"/>
      <c r="M215" s="13" t="n"/>
      <c r="N215" s="14">
        <f>IF(OR($C215="",$E215="",Calc!$H215=""),"",IFERROR(VLOOKUP(LEFT(UPPER(TRIM($E215)),6),BankTbl,3,0),0)+SUMIFS(CalcDep,CalcBank,LEFT(UPPER(TRIM($E215)),6),CalcKey,"&lt;="&amp;Calc!$H215)-SUMIFS(CalcWit,CalcBank,LEFT(UPPER(TRIM($E215)),6),CalcKey,"&lt;="&amp;Calc!$H215))</f>
        <v/>
      </c>
      <c r="O215" s="10">
        <f>IF(OR($C215="",$M215=""),"",IF($N215="","؟",IF(ROUND($M215-$N215,0)=0,"√","×")))</f>
        <v/>
      </c>
      <c r="P215" s="12" t="n"/>
    </row>
    <row r="216">
      <c r="A216" s="10">
        <f>IF($C216="","",COUNTA($C$9:$C216))</f>
        <v/>
      </c>
      <c r="B216" s="10">
        <f>IF($C216="","","TXN-"&amp;RIGHT("0000"&amp;208,4))</f>
        <v/>
      </c>
      <c r="C216" s="11" t="n"/>
      <c r="D216" s="11" t="n"/>
      <c r="E216" s="12" t="n"/>
      <c r="F216" s="10">
        <f>IF($E216="","",IFERROR(IF(VLOOKUP(LEFT(UPPER(TRIM($E216)),6),BankTbl,2,0)="","(بدون عنوان)",VLOOKUP(LEFT(UPPER(TRIM($E216)),6),BankTbl,2,0)),"بانک ناشناخته"))</f>
        <v/>
      </c>
      <c r="G216" s="11" t="n"/>
      <c r="H216" s="10">
        <f>IF($G216="","",IFERROR(VLOOKUP($G216,CustTbl,2,0),IFERROR(VLOOKUP($G216,SuppTbl,2,0),IFERROR(VLOOKUP($G216,AcctTbl,2,0),IFERROR(VLOOKUP($G216,StaffTbl,2,0),"کد ناشناخته")))))</f>
        <v/>
      </c>
      <c r="I216" s="12" t="n"/>
      <c r="J216" s="12" t="n"/>
      <c r="K216" s="13" t="n"/>
      <c r="L216" s="13" t="n"/>
      <c r="M216" s="13" t="n"/>
      <c r="N216" s="14">
        <f>IF(OR($C216="",$E216="",Calc!$H216=""),"",IFERROR(VLOOKUP(LEFT(UPPER(TRIM($E216)),6),BankTbl,3,0),0)+SUMIFS(CalcDep,CalcBank,LEFT(UPPER(TRIM($E216)),6),CalcKey,"&lt;="&amp;Calc!$H216)-SUMIFS(CalcWit,CalcBank,LEFT(UPPER(TRIM($E216)),6),CalcKey,"&lt;="&amp;Calc!$H216))</f>
        <v/>
      </c>
      <c r="O216" s="10">
        <f>IF(OR($C216="",$M216=""),"",IF($N216="","؟",IF(ROUND($M216-$N216,0)=0,"√","×")))</f>
        <v/>
      </c>
      <c r="P216" s="12" t="n"/>
    </row>
    <row r="217">
      <c r="A217" s="10">
        <f>IF($C217="","",COUNTA($C$9:$C217))</f>
        <v/>
      </c>
      <c r="B217" s="10">
        <f>IF($C217="","","TXN-"&amp;RIGHT("0000"&amp;209,4))</f>
        <v/>
      </c>
      <c r="C217" s="11" t="n"/>
      <c r="D217" s="11" t="n"/>
      <c r="E217" s="12" t="n"/>
      <c r="F217" s="10">
        <f>IF($E217="","",IFERROR(IF(VLOOKUP(LEFT(UPPER(TRIM($E217)),6),BankTbl,2,0)="","(بدون عنوان)",VLOOKUP(LEFT(UPPER(TRIM($E217)),6),BankTbl,2,0)),"بانک ناشناخته"))</f>
        <v/>
      </c>
      <c r="G217" s="11" t="n"/>
      <c r="H217" s="10">
        <f>IF($G217="","",IFERROR(VLOOKUP($G217,CustTbl,2,0),IFERROR(VLOOKUP($G217,SuppTbl,2,0),IFERROR(VLOOKUP($G217,AcctTbl,2,0),IFERROR(VLOOKUP($G217,StaffTbl,2,0),"کد ناشناخته")))))</f>
        <v/>
      </c>
      <c r="I217" s="12" t="n"/>
      <c r="J217" s="12" t="n"/>
      <c r="K217" s="13" t="n"/>
      <c r="L217" s="13" t="n"/>
      <c r="M217" s="13" t="n"/>
      <c r="N217" s="14">
        <f>IF(OR($C217="",$E217="",Calc!$H217=""),"",IFERROR(VLOOKUP(LEFT(UPPER(TRIM($E217)),6),BankTbl,3,0),0)+SUMIFS(CalcDep,CalcBank,LEFT(UPPER(TRIM($E217)),6),CalcKey,"&lt;="&amp;Calc!$H217)-SUMIFS(CalcWit,CalcBank,LEFT(UPPER(TRIM($E217)),6),CalcKey,"&lt;="&amp;Calc!$H217))</f>
        <v/>
      </c>
      <c r="O217" s="10">
        <f>IF(OR($C217="",$M217=""),"",IF($N217="","؟",IF(ROUND($M217-$N217,0)=0,"√","×")))</f>
        <v/>
      </c>
      <c r="P217" s="12" t="n"/>
    </row>
    <row r="218">
      <c r="A218" s="10">
        <f>IF($C218="","",COUNTA($C$9:$C218))</f>
        <v/>
      </c>
      <c r="B218" s="10">
        <f>IF($C218="","","TXN-"&amp;RIGHT("0000"&amp;210,4))</f>
        <v/>
      </c>
      <c r="C218" s="11" t="n"/>
      <c r="D218" s="11" t="n"/>
      <c r="E218" s="12" t="n"/>
      <c r="F218" s="10">
        <f>IF($E218="","",IFERROR(IF(VLOOKUP(LEFT(UPPER(TRIM($E218)),6),BankTbl,2,0)="","(بدون عنوان)",VLOOKUP(LEFT(UPPER(TRIM($E218)),6),BankTbl,2,0)),"بانک ناشناخته"))</f>
        <v/>
      </c>
      <c r="G218" s="11" t="n"/>
      <c r="H218" s="10">
        <f>IF($G218="","",IFERROR(VLOOKUP($G218,CustTbl,2,0),IFERROR(VLOOKUP($G218,SuppTbl,2,0),IFERROR(VLOOKUP($G218,AcctTbl,2,0),IFERROR(VLOOKUP($G218,StaffTbl,2,0),"کد ناشناخته")))))</f>
        <v/>
      </c>
      <c r="I218" s="12" t="n"/>
      <c r="J218" s="12" t="n"/>
      <c r="K218" s="13" t="n"/>
      <c r="L218" s="13" t="n"/>
      <c r="M218" s="13" t="n"/>
      <c r="N218" s="14">
        <f>IF(OR($C218="",$E218="",Calc!$H218=""),"",IFERROR(VLOOKUP(LEFT(UPPER(TRIM($E218)),6),BankTbl,3,0),0)+SUMIFS(CalcDep,CalcBank,LEFT(UPPER(TRIM($E218)),6),CalcKey,"&lt;="&amp;Calc!$H218)-SUMIFS(CalcWit,CalcBank,LEFT(UPPER(TRIM($E218)),6),CalcKey,"&lt;="&amp;Calc!$H218))</f>
        <v/>
      </c>
      <c r="O218" s="10">
        <f>IF(OR($C218="",$M218=""),"",IF($N218="","؟",IF(ROUND($M218-$N218,0)=0,"√","×")))</f>
        <v/>
      </c>
      <c r="P218" s="12" t="n"/>
    </row>
    <row r="219">
      <c r="A219" s="10">
        <f>IF($C219="","",COUNTA($C$9:$C219))</f>
        <v/>
      </c>
      <c r="B219" s="10">
        <f>IF($C219="","","TXN-"&amp;RIGHT("0000"&amp;211,4))</f>
        <v/>
      </c>
      <c r="C219" s="11" t="n"/>
      <c r="D219" s="11" t="n"/>
      <c r="E219" s="12" t="n"/>
      <c r="F219" s="10">
        <f>IF($E219="","",IFERROR(IF(VLOOKUP(LEFT(UPPER(TRIM($E219)),6),BankTbl,2,0)="","(بدون عنوان)",VLOOKUP(LEFT(UPPER(TRIM($E219)),6),BankTbl,2,0)),"بانک ناشناخته"))</f>
        <v/>
      </c>
      <c r="G219" s="11" t="n"/>
      <c r="H219" s="10">
        <f>IF($G219="","",IFERROR(VLOOKUP($G219,CustTbl,2,0),IFERROR(VLOOKUP($G219,SuppTbl,2,0),IFERROR(VLOOKUP($G219,AcctTbl,2,0),IFERROR(VLOOKUP($G219,StaffTbl,2,0),"کد ناشناخته")))))</f>
        <v/>
      </c>
      <c r="I219" s="12" t="n"/>
      <c r="J219" s="12" t="n"/>
      <c r="K219" s="13" t="n"/>
      <c r="L219" s="13" t="n"/>
      <c r="M219" s="13" t="n"/>
      <c r="N219" s="14">
        <f>IF(OR($C219="",$E219="",Calc!$H219=""),"",IFERROR(VLOOKUP(LEFT(UPPER(TRIM($E219)),6),BankTbl,3,0),0)+SUMIFS(CalcDep,CalcBank,LEFT(UPPER(TRIM($E219)),6),CalcKey,"&lt;="&amp;Calc!$H219)-SUMIFS(CalcWit,CalcBank,LEFT(UPPER(TRIM($E219)),6),CalcKey,"&lt;="&amp;Calc!$H219))</f>
        <v/>
      </c>
      <c r="O219" s="10">
        <f>IF(OR($C219="",$M219=""),"",IF($N219="","؟",IF(ROUND($M219-$N219,0)=0,"√","×")))</f>
        <v/>
      </c>
      <c r="P219" s="12" t="n"/>
    </row>
    <row r="220">
      <c r="A220" s="10">
        <f>IF($C220="","",COUNTA($C$9:$C220))</f>
        <v/>
      </c>
      <c r="B220" s="10">
        <f>IF($C220="","","TXN-"&amp;RIGHT("0000"&amp;212,4))</f>
        <v/>
      </c>
      <c r="C220" s="11" t="n"/>
      <c r="D220" s="11" t="n"/>
      <c r="E220" s="12" t="n"/>
      <c r="F220" s="10">
        <f>IF($E220="","",IFERROR(IF(VLOOKUP(LEFT(UPPER(TRIM($E220)),6),BankTbl,2,0)="","(بدون عنوان)",VLOOKUP(LEFT(UPPER(TRIM($E220)),6),BankTbl,2,0)),"بانک ناشناخته"))</f>
        <v/>
      </c>
      <c r="G220" s="11" t="n"/>
      <c r="H220" s="10">
        <f>IF($G220="","",IFERROR(VLOOKUP($G220,CustTbl,2,0),IFERROR(VLOOKUP($G220,SuppTbl,2,0),IFERROR(VLOOKUP($G220,AcctTbl,2,0),IFERROR(VLOOKUP($G220,StaffTbl,2,0),"کد ناشناخته")))))</f>
        <v/>
      </c>
      <c r="I220" s="12" t="n"/>
      <c r="J220" s="12" t="n"/>
      <c r="K220" s="13" t="n"/>
      <c r="L220" s="13" t="n"/>
      <c r="M220" s="13" t="n"/>
      <c r="N220" s="14">
        <f>IF(OR($C220="",$E220="",Calc!$H220=""),"",IFERROR(VLOOKUP(LEFT(UPPER(TRIM($E220)),6),BankTbl,3,0),0)+SUMIFS(CalcDep,CalcBank,LEFT(UPPER(TRIM($E220)),6),CalcKey,"&lt;="&amp;Calc!$H220)-SUMIFS(CalcWit,CalcBank,LEFT(UPPER(TRIM($E220)),6),CalcKey,"&lt;="&amp;Calc!$H220))</f>
        <v/>
      </c>
      <c r="O220" s="10">
        <f>IF(OR($C220="",$M220=""),"",IF($N220="","؟",IF(ROUND($M220-$N220,0)=0,"√","×")))</f>
        <v/>
      </c>
      <c r="P220" s="12" t="n"/>
    </row>
    <row r="221">
      <c r="A221" s="10">
        <f>IF($C221="","",COUNTA($C$9:$C221))</f>
        <v/>
      </c>
      <c r="B221" s="10">
        <f>IF($C221="","","TXN-"&amp;RIGHT("0000"&amp;213,4))</f>
        <v/>
      </c>
      <c r="C221" s="11" t="n"/>
      <c r="D221" s="11" t="n"/>
      <c r="E221" s="12" t="n"/>
      <c r="F221" s="10">
        <f>IF($E221="","",IFERROR(IF(VLOOKUP(LEFT(UPPER(TRIM($E221)),6),BankTbl,2,0)="","(بدون عنوان)",VLOOKUP(LEFT(UPPER(TRIM($E221)),6),BankTbl,2,0)),"بانک ناشناخته"))</f>
        <v/>
      </c>
      <c r="G221" s="11" t="n"/>
      <c r="H221" s="10">
        <f>IF($G221="","",IFERROR(VLOOKUP($G221,CustTbl,2,0),IFERROR(VLOOKUP($G221,SuppTbl,2,0),IFERROR(VLOOKUP($G221,AcctTbl,2,0),IFERROR(VLOOKUP($G221,StaffTbl,2,0),"کد ناشناخته")))))</f>
        <v/>
      </c>
      <c r="I221" s="12" t="n"/>
      <c r="J221" s="12" t="n"/>
      <c r="K221" s="13" t="n"/>
      <c r="L221" s="13" t="n"/>
      <c r="M221" s="13" t="n"/>
      <c r="N221" s="14">
        <f>IF(OR($C221="",$E221="",Calc!$H221=""),"",IFERROR(VLOOKUP(LEFT(UPPER(TRIM($E221)),6),BankTbl,3,0),0)+SUMIFS(CalcDep,CalcBank,LEFT(UPPER(TRIM($E221)),6),CalcKey,"&lt;="&amp;Calc!$H221)-SUMIFS(CalcWit,CalcBank,LEFT(UPPER(TRIM($E221)),6),CalcKey,"&lt;="&amp;Calc!$H221))</f>
        <v/>
      </c>
      <c r="O221" s="10">
        <f>IF(OR($C221="",$M221=""),"",IF($N221="","؟",IF(ROUND($M221-$N221,0)=0,"√","×")))</f>
        <v/>
      </c>
      <c r="P221" s="12" t="n"/>
    </row>
    <row r="222">
      <c r="A222" s="10">
        <f>IF($C222="","",COUNTA($C$9:$C222))</f>
        <v/>
      </c>
      <c r="B222" s="10">
        <f>IF($C222="","","TXN-"&amp;RIGHT("0000"&amp;214,4))</f>
        <v/>
      </c>
      <c r="C222" s="11" t="n"/>
      <c r="D222" s="11" t="n"/>
      <c r="E222" s="12" t="n"/>
      <c r="F222" s="10">
        <f>IF($E222="","",IFERROR(IF(VLOOKUP(LEFT(UPPER(TRIM($E222)),6),BankTbl,2,0)="","(بدون عنوان)",VLOOKUP(LEFT(UPPER(TRIM($E222)),6),BankTbl,2,0)),"بانک ناشناخته"))</f>
        <v/>
      </c>
      <c r="G222" s="11" t="n"/>
      <c r="H222" s="10">
        <f>IF($G222="","",IFERROR(VLOOKUP($G222,CustTbl,2,0),IFERROR(VLOOKUP($G222,SuppTbl,2,0),IFERROR(VLOOKUP($G222,AcctTbl,2,0),IFERROR(VLOOKUP($G222,StaffTbl,2,0),"کد ناشناخته")))))</f>
        <v/>
      </c>
      <c r="I222" s="12" t="n"/>
      <c r="J222" s="12" t="n"/>
      <c r="K222" s="13" t="n"/>
      <c r="L222" s="13" t="n"/>
      <c r="M222" s="13" t="n"/>
      <c r="N222" s="14">
        <f>IF(OR($C222="",$E222="",Calc!$H222=""),"",IFERROR(VLOOKUP(LEFT(UPPER(TRIM($E222)),6),BankTbl,3,0),0)+SUMIFS(CalcDep,CalcBank,LEFT(UPPER(TRIM($E222)),6),CalcKey,"&lt;="&amp;Calc!$H222)-SUMIFS(CalcWit,CalcBank,LEFT(UPPER(TRIM($E222)),6),CalcKey,"&lt;="&amp;Calc!$H222))</f>
        <v/>
      </c>
      <c r="O222" s="10">
        <f>IF(OR($C222="",$M222=""),"",IF($N222="","؟",IF(ROUND($M222-$N222,0)=0,"√","×")))</f>
        <v/>
      </c>
      <c r="P222" s="12" t="n"/>
    </row>
    <row r="223">
      <c r="A223" s="10">
        <f>IF($C223="","",COUNTA($C$9:$C223))</f>
        <v/>
      </c>
      <c r="B223" s="10">
        <f>IF($C223="","","TXN-"&amp;RIGHT("0000"&amp;215,4))</f>
        <v/>
      </c>
      <c r="C223" s="11" t="n"/>
      <c r="D223" s="11" t="n"/>
      <c r="E223" s="12" t="n"/>
      <c r="F223" s="10">
        <f>IF($E223="","",IFERROR(IF(VLOOKUP(LEFT(UPPER(TRIM($E223)),6),BankTbl,2,0)="","(بدون عنوان)",VLOOKUP(LEFT(UPPER(TRIM($E223)),6),BankTbl,2,0)),"بانک ناشناخته"))</f>
        <v/>
      </c>
      <c r="G223" s="11" t="n"/>
      <c r="H223" s="10">
        <f>IF($G223="","",IFERROR(VLOOKUP($G223,CustTbl,2,0),IFERROR(VLOOKUP($G223,SuppTbl,2,0),IFERROR(VLOOKUP($G223,AcctTbl,2,0),IFERROR(VLOOKUP($G223,StaffTbl,2,0),"کد ناشناخته")))))</f>
        <v/>
      </c>
      <c r="I223" s="12" t="n"/>
      <c r="J223" s="12" t="n"/>
      <c r="K223" s="13" t="n"/>
      <c r="L223" s="13" t="n"/>
      <c r="M223" s="13" t="n"/>
      <c r="N223" s="14">
        <f>IF(OR($C223="",$E223="",Calc!$H223=""),"",IFERROR(VLOOKUP(LEFT(UPPER(TRIM($E223)),6),BankTbl,3,0),0)+SUMIFS(CalcDep,CalcBank,LEFT(UPPER(TRIM($E223)),6),CalcKey,"&lt;="&amp;Calc!$H223)-SUMIFS(CalcWit,CalcBank,LEFT(UPPER(TRIM($E223)),6),CalcKey,"&lt;="&amp;Calc!$H223))</f>
        <v/>
      </c>
      <c r="O223" s="10">
        <f>IF(OR($C223="",$M223=""),"",IF($N223="","؟",IF(ROUND($M223-$N223,0)=0,"√","×")))</f>
        <v/>
      </c>
      <c r="P223" s="12" t="n"/>
    </row>
    <row r="224">
      <c r="A224" s="10">
        <f>IF($C224="","",COUNTA($C$9:$C224))</f>
        <v/>
      </c>
      <c r="B224" s="10">
        <f>IF($C224="","","TXN-"&amp;RIGHT("0000"&amp;216,4))</f>
        <v/>
      </c>
      <c r="C224" s="11" t="n"/>
      <c r="D224" s="11" t="n"/>
      <c r="E224" s="12" t="n"/>
      <c r="F224" s="10">
        <f>IF($E224="","",IFERROR(IF(VLOOKUP(LEFT(UPPER(TRIM($E224)),6),BankTbl,2,0)="","(بدون عنوان)",VLOOKUP(LEFT(UPPER(TRIM($E224)),6),BankTbl,2,0)),"بانک ناشناخته"))</f>
        <v/>
      </c>
      <c r="G224" s="11" t="n"/>
      <c r="H224" s="10">
        <f>IF($G224="","",IFERROR(VLOOKUP($G224,CustTbl,2,0),IFERROR(VLOOKUP($G224,SuppTbl,2,0),IFERROR(VLOOKUP($G224,AcctTbl,2,0),IFERROR(VLOOKUP($G224,StaffTbl,2,0),"کد ناشناخته")))))</f>
        <v/>
      </c>
      <c r="I224" s="12" t="n"/>
      <c r="J224" s="12" t="n"/>
      <c r="K224" s="13" t="n"/>
      <c r="L224" s="13" t="n"/>
      <c r="M224" s="13" t="n"/>
      <c r="N224" s="14">
        <f>IF(OR($C224="",$E224="",Calc!$H224=""),"",IFERROR(VLOOKUP(LEFT(UPPER(TRIM($E224)),6),BankTbl,3,0),0)+SUMIFS(CalcDep,CalcBank,LEFT(UPPER(TRIM($E224)),6),CalcKey,"&lt;="&amp;Calc!$H224)-SUMIFS(CalcWit,CalcBank,LEFT(UPPER(TRIM($E224)),6),CalcKey,"&lt;="&amp;Calc!$H224))</f>
        <v/>
      </c>
      <c r="O224" s="10">
        <f>IF(OR($C224="",$M224=""),"",IF($N224="","؟",IF(ROUND($M224-$N224,0)=0,"√","×")))</f>
        <v/>
      </c>
      <c r="P224" s="12" t="n"/>
    </row>
    <row r="225">
      <c r="A225" s="10">
        <f>IF($C225="","",COUNTA($C$9:$C225))</f>
        <v/>
      </c>
      <c r="B225" s="10">
        <f>IF($C225="","","TXN-"&amp;RIGHT("0000"&amp;217,4))</f>
        <v/>
      </c>
      <c r="C225" s="11" t="n"/>
      <c r="D225" s="11" t="n"/>
      <c r="E225" s="12" t="n"/>
      <c r="F225" s="10">
        <f>IF($E225="","",IFERROR(IF(VLOOKUP(LEFT(UPPER(TRIM($E225)),6),BankTbl,2,0)="","(بدون عنوان)",VLOOKUP(LEFT(UPPER(TRIM($E225)),6),BankTbl,2,0)),"بانک ناشناخته"))</f>
        <v/>
      </c>
      <c r="G225" s="11" t="n"/>
      <c r="H225" s="10">
        <f>IF($G225="","",IFERROR(VLOOKUP($G225,CustTbl,2,0),IFERROR(VLOOKUP($G225,SuppTbl,2,0),IFERROR(VLOOKUP($G225,AcctTbl,2,0),IFERROR(VLOOKUP($G225,StaffTbl,2,0),"کد ناشناخته")))))</f>
        <v/>
      </c>
      <c r="I225" s="12" t="n"/>
      <c r="J225" s="12" t="n"/>
      <c r="K225" s="13" t="n"/>
      <c r="L225" s="13" t="n"/>
      <c r="M225" s="13" t="n"/>
      <c r="N225" s="14">
        <f>IF(OR($C225="",$E225="",Calc!$H225=""),"",IFERROR(VLOOKUP(LEFT(UPPER(TRIM($E225)),6),BankTbl,3,0),0)+SUMIFS(CalcDep,CalcBank,LEFT(UPPER(TRIM($E225)),6),CalcKey,"&lt;="&amp;Calc!$H225)-SUMIFS(CalcWit,CalcBank,LEFT(UPPER(TRIM($E225)),6),CalcKey,"&lt;="&amp;Calc!$H225))</f>
        <v/>
      </c>
      <c r="O225" s="10">
        <f>IF(OR($C225="",$M225=""),"",IF($N225="","؟",IF(ROUND($M225-$N225,0)=0,"√","×")))</f>
        <v/>
      </c>
      <c r="P225" s="12" t="n"/>
    </row>
    <row r="226">
      <c r="A226" s="10">
        <f>IF($C226="","",COUNTA($C$9:$C226))</f>
        <v/>
      </c>
      <c r="B226" s="10">
        <f>IF($C226="","","TXN-"&amp;RIGHT("0000"&amp;218,4))</f>
        <v/>
      </c>
      <c r="C226" s="11" t="n"/>
      <c r="D226" s="11" t="n"/>
      <c r="E226" s="12" t="n"/>
      <c r="F226" s="10">
        <f>IF($E226="","",IFERROR(IF(VLOOKUP(LEFT(UPPER(TRIM($E226)),6),BankTbl,2,0)="","(بدون عنوان)",VLOOKUP(LEFT(UPPER(TRIM($E226)),6),BankTbl,2,0)),"بانک ناشناخته"))</f>
        <v/>
      </c>
      <c r="G226" s="11" t="n"/>
      <c r="H226" s="10">
        <f>IF($G226="","",IFERROR(VLOOKUP($G226,CustTbl,2,0),IFERROR(VLOOKUP($G226,SuppTbl,2,0),IFERROR(VLOOKUP($G226,AcctTbl,2,0),IFERROR(VLOOKUP($G226,StaffTbl,2,0),"کد ناشناخته")))))</f>
        <v/>
      </c>
      <c r="I226" s="12" t="n"/>
      <c r="J226" s="12" t="n"/>
      <c r="K226" s="13" t="n"/>
      <c r="L226" s="13" t="n"/>
      <c r="M226" s="13" t="n"/>
      <c r="N226" s="14">
        <f>IF(OR($C226="",$E226="",Calc!$H226=""),"",IFERROR(VLOOKUP(LEFT(UPPER(TRIM($E226)),6),BankTbl,3,0),0)+SUMIFS(CalcDep,CalcBank,LEFT(UPPER(TRIM($E226)),6),CalcKey,"&lt;="&amp;Calc!$H226)-SUMIFS(CalcWit,CalcBank,LEFT(UPPER(TRIM($E226)),6),CalcKey,"&lt;="&amp;Calc!$H226))</f>
        <v/>
      </c>
      <c r="O226" s="10">
        <f>IF(OR($C226="",$M226=""),"",IF($N226="","؟",IF(ROUND($M226-$N226,0)=0,"√","×")))</f>
        <v/>
      </c>
      <c r="P226" s="12" t="n"/>
    </row>
    <row r="227">
      <c r="A227" s="10">
        <f>IF($C227="","",COUNTA($C$9:$C227))</f>
        <v/>
      </c>
      <c r="B227" s="10">
        <f>IF($C227="","","TXN-"&amp;RIGHT("0000"&amp;219,4))</f>
        <v/>
      </c>
      <c r="C227" s="11" t="n"/>
      <c r="D227" s="11" t="n"/>
      <c r="E227" s="12" t="n"/>
      <c r="F227" s="10">
        <f>IF($E227="","",IFERROR(IF(VLOOKUP(LEFT(UPPER(TRIM($E227)),6),BankTbl,2,0)="","(بدون عنوان)",VLOOKUP(LEFT(UPPER(TRIM($E227)),6),BankTbl,2,0)),"بانک ناشناخته"))</f>
        <v/>
      </c>
      <c r="G227" s="11" t="n"/>
      <c r="H227" s="10">
        <f>IF($G227="","",IFERROR(VLOOKUP($G227,CustTbl,2,0),IFERROR(VLOOKUP($G227,SuppTbl,2,0),IFERROR(VLOOKUP($G227,AcctTbl,2,0),IFERROR(VLOOKUP($G227,StaffTbl,2,0),"کد ناشناخته")))))</f>
        <v/>
      </c>
      <c r="I227" s="12" t="n"/>
      <c r="J227" s="12" t="n"/>
      <c r="K227" s="13" t="n"/>
      <c r="L227" s="13" t="n"/>
      <c r="M227" s="13" t="n"/>
      <c r="N227" s="14">
        <f>IF(OR($C227="",$E227="",Calc!$H227=""),"",IFERROR(VLOOKUP(LEFT(UPPER(TRIM($E227)),6),BankTbl,3,0),0)+SUMIFS(CalcDep,CalcBank,LEFT(UPPER(TRIM($E227)),6),CalcKey,"&lt;="&amp;Calc!$H227)-SUMIFS(CalcWit,CalcBank,LEFT(UPPER(TRIM($E227)),6),CalcKey,"&lt;="&amp;Calc!$H227))</f>
        <v/>
      </c>
      <c r="O227" s="10">
        <f>IF(OR($C227="",$M227=""),"",IF($N227="","؟",IF(ROUND($M227-$N227,0)=0,"√","×")))</f>
        <v/>
      </c>
      <c r="P227" s="12" t="n"/>
    </row>
    <row r="228">
      <c r="A228" s="10">
        <f>IF($C228="","",COUNTA($C$9:$C228))</f>
        <v/>
      </c>
      <c r="B228" s="10">
        <f>IF($C228="","","TXN-"&amp;RIGHT("0000"&amp;220,4))</f>
        <v/>
      </c>
      <c r="C228" s="11" t="n"/>
      <c r="D228" s="11" t="n"/>
      <c r="E228" s="12" t="n"/>
      <c r="F228" s="10">
        <f>IF($E228="","",IFERROR(IF(VLOOKUP(LEFT(UPPER(TRIM($E228)),6),BankTbl,2,0)="","(بدون عنوان)",VLOOKUP(LEFT(UPPER(TRIM($E228)),6),BankTbl,2,0)),"بانک ناشناخته"))</f>
        <v/>
      </c>
      <c r="G228" s="11" t="n"/>
      <c r="H228" s="10">
        <f>IF($G228="","",IFERROR(VLOOKUP($G228,CustTbl,2,0),IFERROR(VLOOKUP($G228,SuppTbl,2,0),IFERROR(VLOOKUP($G228,AcctTbl,2,0),IFERROR(VLOOKUP($G228,StaffTbl,2,0),"کد ناشناخته")))))</f>
        <v/>
      </c>
      <c r="I228" s="12" t="n"/>
      <c r="J228" s="12" t="n"/>
      <c r="K228" s="13" t="n"/>
      <c r="L228" s="13" t="n"/>
      <c r="M228" s="13" t="n"/>
      <c r="N228" s="14">
        <f>IF(OR($C228="",$E228="",Calc!$H228=""),"",IFERROR(VLOOKUP(LEFT(UPPER(TRIM($E228)),6),BankTbl,3,0),0)+SUMIFS(CalcDep,CalcBank,LEFT(UPPER(TRIM($E228)),6),CalcKey,"&lt;="&amp;Calc!$H228)-SUMIFS(CalcWit,CalcBank,LEFT(UPPER(TRIM($E228)),6),CalcKey,"&lt;="&amp;Calc!$H228))</f>
        <v/>
      </c>
      <c r="O228" s="10">
        <f>IF(OR($C228="",$M228=""),"",IF($N228="","؟",IF(ROUND($M228-$N228,0)=0,"√","×")))</f>
        <v/>
      </c>
      <c r="P228" s="12" t="n"/>
    </row>
    <row r="229">
      <c r="A229" s="10">
        <f>IF($C229="","",COUNTA($C$9:$C229))</f>
        <v/>
      </c>
      <c r="B229" s="10">
        <f>IF($C229="","","TXN-"&amp;RIGHT("0000"&amp;221,4))</f>
        <v/>
      </c>
      <c r="C229" s="11" t="n"/>
      <c r="D229" s="11" t="n"/>
      <c r="E229" s="12" t="n"/>
      <c r="F229" s="10">
        <f>IF($E229="","",IFERROR(IF(VLOOKUP(LEFT(UPPER(TRIM($E229)),6),BankTbl,2,0)="","(بدون عنوان)",VLOOKUP(LEFT(UPPER(TRIM($E229)),6),BankTbl,2,0)),"بانک ناشناخته"))</f>
        <v/>
      </c>
      <c r="G229" s="11" t="n"/>
      <c r="H229" s="10">
        <f>IF($G229="","",IFERROR(VLOOKUP($G229,CustTbl,2,0),IFERROR(VLOOKUP($G229,SuppTbl,2,0),IFERROR(VLOOKUP($G229,AcctTbl,2,0),IFERROR(VLOOKUP($G229,StaffTbl,2,0),"کد ناشناخته")))))</f>
        <v/>
      </c>
      <c r="I229" s="12" t="n"/>
      <c r="J229" s="12" t="n"/>
      <c r="K229" s="13" t="n"/>
      <c r="L229" s="13" t="n"/>
      <c r="M229" s="13" t="n"/>
      <c r="N229" s="14">
        <f>IF(OR($C229="",$E229="",Calc!$H229=""),"",IFERROR(VLOOKUP(LEFT(UPPER(TRIM($E229)),6),BankTbl,3,0),0)+SUMIFS(CalcDep,CalcBank,LEFT(UPPER(TRIM($E229)),6),CalcKey,"&lt;="&amp;Calc!$H229)-SUMIFS(CalcWit,CalcBank,LEFT(UPPER(TRIM($E229)),6),CalcKey,"&lt;="&amp;Calc!$H229))</f>
        <v/>
      </c>
      <c r="O229" s="10">
        <f>IF(OR($C229="",$M229=""),"",IF($N229="","؟",IF(ROUND($M229-$N229,0)=0,"√","×")))</f>
        <v/>
      </c>
      <c r="P229" s="12" t="n"/>
    </row>
    <row r="230">
      <c r="A230" s="10">
        <f>IF($C230="","",COUNTA($C$9:$C230))</f>
        <v/>
      </c>
      <c r="B230" s="10">
        <f>IF($C230="","","TXN-"&amp;RIGHT("0000"&amp;222,4))</f>
        <v/>
      </c>
      <c r="C230" s="11" t="n"/>
      <c r="D230" s="11" t="n"/>
      <c r="E230" s="12" t="n"/>
      <c r="F230" s="10">
        <f>IF($E230="","",IFERROR(IF(VLOOKUP(LEFT(UPPER(TRIM($E230)),6),BankTbl,2,0)="","(بدون عنوان)",VLOOKUP(LEFT(UPPER(TRIM($E230)),6),BankTbl,2,0)),"بانک ناشناخته"))</f>
        <v/>
      </c>
      <c r="G230" s="11" t="n"/>
      <c r="H230" s="10">
        <f>IF($G230="","",IFERROR(VLOOKUP($G230,CustTbl,2,0),IFERROR(VLOOKUP($G230,SuppTbl,2,0),IFERROR(VLOOKUP($G230,AcctTbl,2,0),IFERROR(VLOOKUP($G230,StaffTbl,2,0),"کد ناشناخته")))))</f>
        <v/>
      </c>
      <c r="I230" s="12" t="n"/>
      <c r="J230" s="12" t="n"/>
      <c r="K230" s="13" t="n"/>
      <c r="L230" s="13" t="n"/>
      <c r="M230" s="13" t="n"/>
      <c r="N230" s="14">
        <f>IF(OR($C230="",$E230="",Calc!$H230=""),"",IFERROR(VLOOKUP(LEFT(UPPER(TRIM($E230)),6),BankTbl,3,0),0)+SUMIFS(CalcDep,CalcBank,LEFT(UPPER(TRIM($E230)),6),CalcKey,"&lt;="&amp;Calc!$H230)-SUMIFS(CalcWit,CalcBank,LEFT(UPPER(TRIM($E230)),6),CalcKey,"&lt;="&amp;Calc!$H230))</f>
        <v/>
      </c>
      <c r="O230" s="10">
        <f>IF(OR($C230="",$M230=""),"",IF($N230="","؟",IF(ROUND($M230-$N230,0)=0,"√","×")))</f>
        <v/>
      </c>
      <c r="P230" s="12" t="n"/>
    </row>
    <row r="231">
      <c r="A231" s="10">
        <f>IF($C231="","",COUNTA($C$9:$C231))</f>
        <v/>
      </c>
      <c r="B231" s="10">
        <f>IF($C231="","","TXN-"&amp;RIGHT("0000"&amp;223,4))</f>
        <v/>
      </c>
      <c r="C231" s="11" t="n"/>
      <c r="D231" s="11" t="n"/>
      <c r="E231" s="12" t="n"/>
      <c r="F231" s="10">
        <f>IF($E231="","",IFERROR(IF(VLOOKUP(LEFT(UPPER(TRIM($E231)),6),BankTbl,2,0)="","(بدون عنوان)",VLOOKUP(LEFT(UPPER(TRIM($E231)),6),BankTbl,2,0)),"بانک ناشناخته"))</f>
        <v/>
      </c>
      <c r="G231" s="11" t="n"/>
      <c r="H231" s="10">
        <f>IF($G231="","",IFERROR(VLOOKUP($G231,CustTbl,2,0),IFERROR(VLOOKUP($G231,SuppTbl,2,0),IFERROR(VLOOKUP($G231,AcctTbl,2,0),IFERROR(VLOOKUP($G231,StaffTbl,2,0),"کد ناشناخته")))))</f>
        <v/>
      </c>
      <c r="I231" s="12" t="n"/>
      <c r="J231" s="12" t="n"/>
      <c r="K231" s="13" t="n"/>
      <c r="L231" s="13" t="n"/>
      <c r="M231" s="13" t="n"/>
      <c r="N231" s="14">
        <f>IF(OR($C231="",$E231="",Calc!$H231=""),"",IFERROR(VLOOKUP(LEFT(UPPER(TRIM($E231)),6),BankTbl,3,0),0)+SUMIFS(CalcDep,CalcBank,LEFT(UPPER(TRIM($E231)),6),CalcKey,"&lt;="&amp;Calc!$H231)-SUMIFS(CalcWit,CalcBank,LEFT(UPPER(TRIM($E231)),6),CalcKey,"&lt;="&amp;Calc!$H231))</f>
        <v/>
      </c>
      <c r="O231" s="10">
        <f>IF(OR($C231="",$M231=""),"",IF($N231="","؟",IF(ROUND($M231-$N231,0)=0,"√","×")))</f>
        <v/>
      </c>
      <c r="P231" s="12" t="n"/>
    </row>
    <row r="232">
      <c r="A232" s="10">
        <f>IF($C232="","",COUNTA($C$9:$C232))</f>
        <v/>
      </c>
      <c r="B232" s="10">
        <f>IF($C232="","","TXN-"&amp;RIGHT("0000"&amp;224,4))</f>
        <v/>
      </c>
      <c r="C232" s="11" t="n"/>
      <c r="D232" s="11" t="n"/>
      <c r="E232" s="12" t="n"/>
      <c r="F232" s="10">
        <f>IF($E232="","",IFERROR(IF(VLOOKUP(LEFT(UPPER(TRIM($E232)),6),BankTbl,2,0)="","(بدون عنوان)",VLOOKUP(LEFT(UPPER(TRIM($E232)),6),BankTbl,2,0)),"بانک ناشناخته"))</f>
        <v/>
      </c>
      <c r="G232" s="11" t="n"/>
      <c r="H232" s="10">
        <f>IF($G232="","",IFERROR(VLOOKUP($G232,CustTbl,2,0),IFERROR(VLOOKUP($G232,SuppTbl,2,0),IFERROR(VLOOKUP($G232,AcctTbl,2,0),IFERROR(VLOOKUP($G232,StaffTbl,2,0),"کد ناشناخته")))))</f>
        <v/>
      </c>
      <c r="I232" s="12" t="n"/>
      <c r="J232" s="12" t="n"/>
      <c r="K232" s="13" t="n"/>
      <c r="L232" s="13" t="n"/>
      <c r="M232" s="13" t="n"/>
      <c r="N232" s="14">
        <f>IF(OR($C232="",$E232="",Calc!$H232=""),"",IFERROR(VLOOKUP(LEFT(UPPER(TRIM($E232)),6),BankTbl,3,0),0)+SUMIFS(CalcDep,CalcBank,LEFT(UPPER(TRIM($E232)),6),CalcKey,"&lt;="&amp;Calc!$H232)-SUMIFS(CalcWit,CalcBank,LEFT(UPPER(TRIM($E232)),6),CalcKey,"&lt;="&amp;Calc!$H232))</f>
        <v/>
      </c>
      <c r="O232" s="10">
        <f>IF(OR($C232="",$M232=""),"",IF($N232="","؟",IF(ROUND($M232-$N232,0)=0,"√","×")))</f>
        <v/>
      </c>
      <c r="P232" s="12" t="n"/>
    </row>
    <row r="233">
      <c r="A233" s="10">
        <f>IF($C233="","",COUNTA($C$9:$C233))</f>
        <v/>
      </c>
      <c r="B233" s="10">
        <f>IF($C233="","","TXN-"&amp;RIGHT("0000"&amp;225,4))</f>
        <v/>
      </c>
      <c r="C233" s="11" t="n"/>
      <c r="D233" s="11" t="n"/>
      <c r="E233" s="12" t="n"/>
      <c r="F233" s="10">
        <f>IF($E233="","",IFERROR(IF(VLOOKUP(LEFT(UPPER(TRIM($E233)),6),BankTbl,2,0)="","(بدون عنوان)",VLOOKUP(LEFT(UPPER(TRIM($E233)),6),BankTbl,2,0)),"بانک ناشناخته"))</f>
        <v/>
      </c>
      <c r="G233" s="11" t="n"/>
      <c r="H233" s="10">
        <f>IF($G233="","",IFERROR(VLOOKUP($G233,CustTbl,2,0),IFERROR(VLOOKUP($G233,SuppTbl,2,0),IFERROR(VLOOKUP($G233,AcctTbl,2,0),IFERROR(VLOOKUP($G233,StaffTbl,2,0),"کد ناشناخته")))))</f>
        <v/>
      </c>
      <c r="I233" s="12" t="n"/>
      <c r="J233" s="12" t="n"/>
      <c r="K233" s="13" t="n"/>
      <c r="L233" s="13" t="n"/>
      <c r="M233" s="13" t="n"/>
      <c r="N233" s="14">
        <f>IF(OR($C233="",$E233="",Calc!$H233=""),"",IFERROR(VLOOKUP(LEFT(UPPER(TRIM($E233)),6),BankTbl,3,0),0)+SUMIFS(CalcDep,CalcBank,LEFT(UPPER(TRIM($E233)),6),CalcKey,"&lt;="&amp;Calc!$H233)-SUMIFS(CalcWit,CalcBank,LEFT(UPPER(TRIM($E233)),6),CalcKey,"&lt;="&amp;Calc!$H233))</f>
        <v/>
      </c>
      <c r="O233" s="10">
        <f>IF(OR($C233="",$M233=""),"",IF($N233="","؟",IF(ROUND($M233-$N233,0)=0,"√","×")))</f>
        <v/>
      </c>
      <c r="P233" s="12" t="n"/>
    </row>
    <row r="234">
      <c r="A234" s="10">
        <f>IF($C234="","",COUNTA($C$9:$C234))</f>
        <v/>
      </c>
      <c r="B234" s="10">
        <f>IF($C234="","","TXN-"&amp;RIGHT("0000"&amp;226,4))</f>
        <v/>
      </c>
      <c r="C234" s="11" t="n"/>
      <c r="D234" s="11" t="n"/>
      <c r="E234" s="12" t="n"/>
      <c r="F234" s="10">
        <f>IF($E234="","",IFERROR(IF(VLOOKUP(LEFT(UPPER(TRIM($E234)),6),BankTbl,2,0)="","(بدون عنوان)",VLOOKUP(LEFT(UPPER(TRIM($E234)),6),BankTbl,2,0)),"بانک ناشناخته"))</f>
        <v/>
      </c>
      <c r="G234" s="11" t="n"/>
      <c r="H234" s="10">
        <f>IF($G234="","",IFERROR(VLOOKUP($G234,CustTbl,2,0),IFERROR(VLOOKUP($G234,SuppTbl,2,0),IFERROR(VLOOKUP($G234,AcctTbl,2,0),IFERROR(VLOOKUP($G234,StaffTbl,2,0),"کد ناشناخته")))))</f>
        <v/>
      </c>
      <c r="I234" s="12" t="n"/>
      <c r="J234" s="12" t="n"/>
      <c r="K234" s="13" t="n"/>
      <c r="L234" s="13" t="n"/>
      <c r="M234" s="13" t="n"/>
      <c r="N234" s="14">
        <f>IF(OR($C234="",$E234="",Calc!$H234=""),"",IFERROR(VLOOKUP(LEFT(UPPER(TRIM($E234)),6),BankTbl,3,0),0)+SUMIFS(CalcDep,CalcBank,LEFT(UPPER(TRIM($E234)),6),CalcKey,"&lt;="&amp;Calc!$H234)-SUMIFS(CalcWit,CalcBank,LEFT(UPPER(TRIM($E234)),6),CalcKey,"&lt;="&amp;Calc!$H234))</f>
        <v/>
      </c>
      <c r="O234" s="10">
        <f>IF(OR($C234="",$M234=""),"",IF($N234="","؟",IF(ROUND($M234-$N234,0)=0,"√","×")))</f>
        <v/>
      </c>
      <c r="P234" s="12" t="n"/>
    </row>
    <row r="235">
      <c r="A235" s="10">
        <f>IF($C235="","",COUNTA($C$9:$C235))</f>
        <v/>
      </c>
      <c r="B235" s="10">
        <f>IF($C235="","","TXN-"&amp;RIGHT("0000"&amp;227,4))</f>
        <v/>
      </c>
      <c r="C235" s="11" t="n"/>
      <c r="D235" s="11" t="n"/>
      <c r="E235" s="12" t="n"/>
      <c r="F235" s="10">
        <f>IF($E235="","",IFERROR(IF(VLOOKUP(LEFT(UPPER(TRIM($E235)),6),BankTbl,2,0)="","(بدون عنوان)",VLOOKUP(LEFT(UPPER(TRIM($E235)),6),BankTbl,2,0)),"بانک ناشناخته"))</f>
        <v/>
      </c>
      <c r="G235" s="11" t="n"/>
      <c r="H235" s="10">
        <f>IF($G235="","",IFERROR(VLOOKUP($G235,CustTbl,2,0),IFERROR(VLOOKUP($G235,SuppTbl,2,0),IFERROR(VLOOKUP($G235,AcctTbl,2,0),IFERROR(VLOOKUP($G235,StaffTbl,2,0),"کد ناشناخته")))))</f>
        <v/>
      </c>
      <c r="I235" s="12" t="n"/>
      <c r="J235" s="12" t="n"/>
      <c r="K235" s="13" t="n"/>
      <c r="L235" s="13" t="n"/>
      <c r="M235" s="13" t="n"/>
      <c r="N235" s="14">
        <f>IF(OR($C235="",$E235="",Calc!$H235=""),"",IFERROR(VLOOKUP(LEFT(UPPER(TRIM($E235)),6),BankTbl,3,0),0)+SUMIFS(CalcDep,CalcBank,LEFT(UPPER(TRIM($E235)),6),CalcKey,"&lt;="&amp;Calc!$H235)-SUMIFS(CalcWit,CalcBank,LEFT(UPPER(TRIM($E235)),6),CalcKey,"&lt;="&amp;Calc!$H235))</f>
        <v/>
      </c>
      <c r="O235" s="10">
        <f>IF(OR($C235="",$M235=""),"",IF($N235="","؟",IF(ROUND($M235-$N235,0)=0,"√","×")))</f>
        <v/>
      </c>
      <c r="P235" s="12" t="n"/>
    </row>
    <row r="236">
      <c r="A236" s="10">
        <f>IF($C236="","",COUNTA($C$9:$C236))</f>
        <v/>
      </c>
      <c r="B236" s="10">
        <f>IF($C236="","","TXN-"&amp;RIGHT("0000"&amp;228,4))</f>
        <v/>
      </c>
      <c r="C236" s="11" t="n"/>
      <c r="D236" s="11" t="n"/>
      <c r="E236" s="12" t="n"/>
      <c r="F236" s="10">
        <f>IF($E236="","",IFERROR(IF(VLOOKUP(LEFT(UPPER(TRIM($E236)),6),BankTbl,2,0)="","(بدون عنوان)",VLOOKUP(LEFT(UPPER(TRIM($E236)),6),BankTbl,2,0)),"بانک ناشناخته"))</f>
        <v/>
      </c>
      <c r="G236" s="11" t="n"/>
      <c r="H236" s="10">
        <f>IF($G236="","",IFERROR(VLOOKUP($G236,CustTbl,2,0),IFERROR(VLOOKUP($G236,SuppTbl,2,0),IFERROR(VLOOKUP($G236,AcctTbl,2,0),IFERROR(VLOOKUP($G236,StaffTbl,2,0),"کد ناشناخته")))))</f>
        <v/>
      </c>
      <c r="I236" s="12" t="n"/>
      <c r="J236" s="12" t="n"/>
      <c r="K236" s="13" t="n"/>
      <c r="L236" s="13" t="n"/>
      <c r="M236" s="13" t="n"/>
      <c r="N236" s="14">
        <f>IF(OR($C236="",$E236="",Calc!$H236=""),"",IFERROR(VLOOKUP(LEFT(UPPER(TRIM($E236)),6),BankTbl,3,0),0)+SUMIFS(CalcDep,CalcBank,LEFT(UPPER(TRIM($E236)),6),CalcKey,"&lt;="&amp;Calc!$H236)-SUMIFS(CalcWit,CalcBank,LEFT(UPPER(TRIM($E236)),6),CalcKey,"&lt;="&amp;Calc!$H236))</f>
        <v/>
      </c>
      <c r="O236" s="10">
        <f>IF(OR($C236="",$M236=""),"",IF($N236="","؟",IF(ROUND($M236-$N236,0)=0,"√","×")))</f>
        <v/>
      </c>
      <c r="P236" s="12" t="n"/>
    </row>
    <row r="237">
      <c r="A237" s="10">
        <f>IF($C237="","",COUNTA($C$9:$C237))</f>
        <v/>
      </c>
      <c r="B237" s="10">
        <f>IF($C237="","","TXN-"&amp;RIGHT("0000"&amp;229,4))</f>
        <v/>
      </c>
      <c r="C237" s="11" t="n"/>
      <c r="D237" s="11" t="n"/>
      <c r="E237" s="12" t="n"/>
      <c r="F237" s="10">
        <f>IF($E237="","",IFERROR(IF(VLOOKUP(LEFT(UPPER(TRIM($E237)),6),BankTbl,2,0)="","(بدون عنوان)",VLOOKUP(LEFT(UPPER(TRIM($E237)),6),BankTbl,2,0)),"بانک ناشناخته"))</f>
        <v/>
      </c>
      <c r="G237" s="11" t="n"/>
      <c r="H237" s="10">
        <f>IF($G237="","",IFERROR(VLOOKUP($G237,CustTbl,2,0),IFERROR(VLOOKUP($G237,SuppTbl,2,0),IFERROR(VLOOKUP($G237,AcctTbl,2,0),IFERROR(VLOOKUP($G237,StaffTbl,2,0),"کد ناشناخته")))))</f>
        <v/>
      </c>
      <c r="I237" s="12" t="n"/>
      <c r="J237" s="12" t="n"/>
      <c r="K237" s="13" t="n"/>
      <c r="L237" s="13" t="n"/>
      <c r="M237" s="13" t="n"/>
      <c r="N237" s="14">
        <f>IF(OR($C237="",$E237="",Calc!$H237=""),"",IFERROR(VLOOKUP(LEFT(UPPER(TRIM($E237)),6),BankTbl,3,0),0)+SUMIFS(CalcDep,CalcBank,LEFT(UPPER(TRIM($E237)),6),CalcKey,"&lt;="&amp;Calc!$H237)-SUMIFS(CalcWit,CalcBank,LEFT(UPPER(TRIM($E237)),6),CalcKey,"&lt;="&amp;Calc!$H237))</f>
        <v/>
      </c>
      <c r="O237" s="10">
        <f>IF(OR($C237="",$M237=""),"",IF($N237="","؟",IF(ROUND($M237-$N237,0)=0,"√","×")))</f>
        <v/>
      </c>
      <c r="P237" s="12" t="n"/>
    </row>
    <row r="238">
      <c r="A238" s="10">
        <f>IF($C238="","",COUNTA($C$9:$C238))</f>
        <v/>
      </c>
      <c r="B238" s="10">
        <f>IF($C238="","","TXN-"&amp;RIGHT("0000"&amp;230,4))</f>
        <v/>
      </c>
      <c r="C238" s="11" t="n"/>
      <c r="D238" s="11" t="n"/>
      <c r="E238" s="12" t="n"/>
      <c r="F238" s="10">
        <f>IF($E238="","",IFERROR(IF(VLOOKUP(LEFT(UPPER(TRIM($E238)),6),BankTbl,2,0)="","(بدون عنوان)",VLOOKUP(LEFT(UPPER(TRIM($E238)),6),BankTbl,2,0)),"بانک ناشناخته"))</f>
        <v/>
      </c>
      <c r="G238" s="11" t="n"/>
      <c r="H238" s="10">
        <f>IF($G238="","",IFERROR(VLOOKUP($G238,CustTbl,2,0),IFERROR(VLOOKUP($G238,SuppTbl,2,0),IFERROR(VLOOKUP($G238,AcctTbl,2,0),IFERROR(VLOOKUP($G238,StaffTbl,2,0),"کد ناشناخته")))))</f>
        <v/>
      </c>
      <c r="I238" s="12" t="n"/>
      <c r="J238" s="12" t="n"/>
      <c r="K238" s="13" t="n"/>
      <c r="L238" s="13" t="n"/>
      <c r="M238" s="13" t="n"/>
      <c r="N238" s="14">
        <f>IF(OR($C238="",$E238="",Calc!$H238=""),"",IFERROR(VLOOKUP(LEFT(UPPER(TRIM($E238)),6),BankTbl,3,0),0)+SUMIFS(CalcDep,CalcBank,LEFT(UPPER(TRIM($E238)),6),CalcKey,"&lt;="&amp;Calc!$H238)-SUMIFS(CalcWit,CalcBank,LEFT(UPPER(TRIM($E238)),6),CalcKey,"&lt;="&amp;Calc!$H238))</f>
        <v/>
      </c>
      <c r="O238" s="10">
        <f>IF(OR($C238="",$M238=""),"",IF($N238="","؟",IF(ROUND($M238-$N238,0)=0,"√","×")))</f>
        <v/>
      </c>
      <c r="P238" s="12" t="n"/>
    </row>
    <row r="239">
      <c r="A239" s="10">
        <f>IF($C239="","",COUNTA($C$9:$C239))</f>
        <v/>
      </c>
      <c r="B239" s="10">
        <f>IF($C239="","","TXN-"&amp;RIGHT("0000"&amp;231,4))</f>
        <v/>
      </c>
      <c r="C239" s="11" t="n"/>
      <c r="D239" s="11" t="n"/>
      <c r="E239" s="12" t="n"/>
      <c r="F239" s="10">
        <f>IF($E239="","",IFERROR(IF(VLOOKUP(LEFT(UPPER(TRIM($E239)),6),BankTbl,2,0)="","(بدون عنوان)",VLOOKUP(LEFT(UPPER(TRIM($E239)),6),BankTbl,2,0)),"بانک ناشناخته"))</f>
        <v/>
      </c>
      <c r="G239" s="11" t="n"/>
      <c r="H239" s="10">
        <f>IF($G239="","",IFERROR(VLOOKUP($G239,CustTbl,2,0),IFERROR(VLOOKUP($G239,SuppTbl,2,0),IFERROR(VLOOKUP($G239,AcctTbl,2,0),IFERROR(VLOOKUP($G239,StaffTbl,2,0),"کد ناشناخته")))))</f>
        <v/>
      </c>
      <c r="I239" s="12" t="n"/>
      <c r="J239" s="12" t="n"/>
      <c r="K239" s="13" t="n"/>
      <c r="L239" s="13" t="n"/>
      <c r="M239" s="13" t="n"/>
      <c r="N239" s="14">
        <f>IF(OR($C239="",$E239="",Calc!$H239=""),"",IFERROR(VLOOKUP(LEFT(UPPER(TRIM($E239)),6),BankTbl,3,0),0)+SUMIFS(CalcDep,CalcBank,LEFT(UPPER(TRIM($E239)),6),CalcKey,"&lt;="&amp;Calc!$H239)-SUMIFS(CalcWit,CalcBank,LEFT(UPPER(TRIM($E239)),6),CalcKey,"&lt;="&amp;Calc!$H239))</f>
        <v/>
      </c>
      <c r="O239" s="10">
        <f>IF(OR($C239="",$M239=""),"",IF($N239="","؟",IF(ROUND($M239-$N239,0)=0,"√","×")))</f>
        <v/>
      </c>
      <c r="P239" s="12" t="n"/>
    </row>
    <row r="240">
      <c r="A240" s="10">
        <f>IF($C240="","",COUNTA($C$9:$C240))</f>
        <v/>
      </c>
      <c r="B240" s="10">
        <f>IF($C240="","","TXN-"&amp;RIGHT("0000"&amp;232,4))</f>
        <v/>
      </c>
      <c r="C240" s="11" t="n"/>
      <c r="D240" s="11" t="n"/>
      <c r="E240" s="12" t="n"/>
      <c r="F240" s="10">
        <f>IF($E240="","",IFERROR(IF(VLOOKUP(LEFT(UPPER(TRIM($E240)),6),BankTbl,2,0)="","(بدون عنوان)",VLOOKUP(LEFT(UPPER(TRIM($E240)),6),BankTbl,2,0)),"بانک ناشناخته"))</f>
        <v/>
      </c>
      <c r="G240" s="11" t="n"/>
      <c r="H240" s="10">
        <f>IF($G240="","",IFERROR(VLOOKUP($G240,CustTbl,2,0),IFERROR(VLOOKUP($G240,SuppTbl,2,0),IFERROR(VLOOKUP($G240,AcctTbl,2,0),IFERROR(VLOOKUP($G240,StaffTbl,2,0),"کد ناشناخته")))))</f>
        <v/>
      </c>
      <c r="I240" s="12" t="n"/>
      <c r="J240" s="12" t="n"/>
      <c r="K240" s="13" t="n"/>
      <c r="L240" s="13" t="n"/>
      <c r="M240" s="13" t="n"/>
      <c r="N240" s="14">
        <f>IF(OR($C240="",$E240="",Calc!$H240=""),"",IFERROR(VLOOKUP(LEFT(UPPER(TRIM($E240)),6),BankTbl,3,0),0)+SUMIFS(CalcDep,CalcBank,LEFT(UPPER(TRIM($E240)),6),CalcKey,"&lt;="&amp;Calc!$H240)-SUMIFS(CalcWit,CalcBank,LEFT(UPPER(TRIM($E240)),6),CalcKey,"&lt;="&amp;Calc!$H240))</f>
        <v/>
      </c>
      <c r="O240" s="10">
        <f>IF(OR($C240="",$M240=""),"",IF($N240="","؟",IF(ROUND($M240-$N240,0)=0,"√","×")))</f>
        <v/>
      </c>
      <c r="P240" s="12" t="n"/>
    </row>
    <row r="241">
      <c r="A241" s="10">
        <f>IF($C241="","",COUNTA($C$9:$C241))</f>
        <v/>
      </c>
      <c r="B241" s="10">
        <f>IF($C241="","","TXN-"&amp;RIGHT("0000"&amp;233,4))</f>
        <v/>
      </c>
      <c r="C241" s="11" t="n"/>
      <c r="D241" s="11" t="n"/>
      <c r="E241" s="12" t="n"/>
      <c r="F241" s="10">
        <f>IF($E241="","",IFERROR(IF(VLOOKUP(LEFT(UPPER(TRIM($E241)),6),BankTbl,2,0)="","(بدون عنوان)",VLOOKUP(LEFT(UPPER(TRIM($E241)),6),BankTbl,2,0)),"بانک ناشناخته"))</f>
        <v/>
      </c>
      <c r="G241" s="11" t="n"/>
      <c r="H241" s="10">
        <f>IF($G241="","",IFERROR(VLOOKUP($G241,CustTbl,2,0),IFERROR(VLOOKUP($G241,SuppTbl,2,0),IFERROR(VLOOKUP($G241,AcctTbl,2,0),IFERROR(VLOOKUP($G241,StaffTbl,2,0),"کد ناشناخته")))))</f>
        <v/>
      </c>
      <c r="I241" s="12" t="n"/>
      <c r="J241" s="12" t="n"/>
      <c r="K241" s="13" t="n"/>
      <c r="L241" s="13" t="n"/>
      <c r="M241" s="13" t="n"/>
      <c r="N241" s="14">
        <f>IF(OR($C241="",$E241="",Calc!$H241=""),"",IFERROR(VLOOKUP(LEFT(UPPER(TRIM($E241)),6),BankTbl,3,0),0)+SUMIFS(CalcDep,CalcBank,LEFT(UPPER(TRIM($E241)),6),CalcKey,"&lt;="&amp;Calc!$H241)-SUMIFS(CalcWit,CalcBank,LEFT(UPPER(TRIM($E241)),6),CalcKey,"&lt;="&amp;Calc!$H241))</f>
        <v/>
      </c>
      <c r="O241" s="10">
        <f>IF(OR($C241="",$M241=""),"",IF($N241="","؟",IF(ROUND($M241-$N241,0)=0,"√","×")))</f>
        <v/>
      </c>
      <c r="P241" s="12" t="n"/>
    </row>
    <row r="242">
      <c r="A242" s="10">
        <f>IF($C242="","",COUNTA($C$9:$C242))</f>
        <v/>
      </c>
      <c r="B242" s="10">
        <f>IF($C242="","","TXN-"&amp;RIGHT("0000"&amp;234,4))</f>
        <v/>
      </c>
      <c r="C242" s="11" t="n"/>
      <c r="D242" s="11" t="n"/>
      <c r="E242" s="12" t="n"/>
      <c r="F242" s="10">
        <f>IF($E242="","",IFERROR(IF(VLOOKUP(LEFT(UPPER(TRIM($E242)),6),BankTbl,2,0)="","(بدون عنوان)",VLOOKUP(LEFT(UPPER(TRIM($E242)),6),BankTbl,2,0)),"بانک ناشناخته"))</f>
        <v/>
      </c>
      <c r="G242" s="11" t="n"/>
      <c r="H242" s="10">
        <f>IF($G242="","",IFERROR(VLOOKUP($G242,CustTbl,2,0),IFERROR(VLOOKUP($G242,SuppTbl,2,0),IFERROR(VLOOKUP($G242,AcctTbl,2,0),IFERROR(VLOOKUP($G242,StaffTbl,2,0),"کد ناشناخته")))))</f>
        <v/>
      </c>
      <c r="I242" s="12" t="n"/>
      <c r="J242" s="12" t="n"/>
      <c r="K242" s="13" t="n"/>
      <c r="L242" s="13" t="n"/>
      <c r="M242" s="13" t="n"/>
      <c r="N242" s="14">
        <f>IF(OR($C242="",$E242="",Calc!$H242=""),"",IFERROR(VLOOKUP(LEFT(UPPER(TRIM($E242)),6),BankTbl,3,0),0)+SUMIFS(CalcDep,CalcBank,LEFT(UPPER(TRIM($E242)),6),CalcKey,"&lt;="&amp;Calc!$H242)-SUMIFS(CalcWit,CalcBank,LEFT(UPPER(TRIM($E242)),6),CalcKey,"&lt;="&amp;Calc!$H242))</f>
        <v/>
      </c>
      <c r="O242" s="10">
        <f>IF(OR($C242="",$M242=""),"",IF($N242="","؟",IF(ROUND($M242-$N242,0)=0,"√","×")))</f>
        <v/>
      </c>
      <c r="P242" s="12" t="n"/>
    </row>
    <row r="243">
      <c r="A243" s="10">
        <f>IF($C243="","",COUNTA($C$9:$C243))</f>
        <v/>
      </c>
      <c r="B243" s="10">
        <f>IF($C243="","","TXN-"&amp;RIGHT("0000"&amp;235,4))</f>
        <v/>
      </c>
      <c r="C243" s="11" t="n"/>
      <c r="D243" s="11" t="n"/>
      <c r="E243" s="12" t="n"/>
      <c r="F243" s="10">
        <f>IF($E243="","",IFERROR(IF(VLOOKUP(LEFT(UPPER(TRIM($E243)),6),BankTbl,2,0)="","(بدون عنوان)",VLOOKUP(LEFT(UPPER(TRIM($E243)),6),BankTbl,2,0)),"بانک ناشناخته"))</f>
        <v/>
      </c>
      <c r="G243" s="11" t="n"/>
      <c r="H243" s="10">
        <f>IF($G243="","",IFERROR(VLOOKUP($G243,CustTbl,2,0),IFERROR(VLOOKUP($G243,SuppTbl,2,0),IFERROR(VLOOKUP($G243,AcctTbl,2,0),IFERROR(VLOOKUP($G243,StaffTbl,2,0),"کد ناشناخته")))))</f>
        <v/>
      </c>
      <c r="I243" s="12" t="n"/>
      <c r="J243" s="12" t="n"/>
      <c r="K243" s="13" t="n"/>
      <c r="L243" s="13" t="n"/>
      <c r="M243" s="13" t="n"/>
      <c r="N243" s="14">
        <f>IF(OR($C243="",$E243="",Calc!$H243=""),"",IFERROR(VLOOKUP(LEFT(UPPER(TRIM($E243)),6),BankTbl,3,0),0)+SUMIFS(CalcDep,CalcBank,LEFT(UPPER(TRIM($E243)),6),CalcKey,"&lt;="&amp;Calc!$H243)-SUMIFS(CalcWit,CalcBank,LEFT(UPPER(TRIM($E243)),6),CalcKey,"&lt;="&amp;Calc!$H243))</f>
        <v/>
      </c>
      <c r="O243" s="10">
        <f>IF(OR($C243="",$M243=""),"",IF($N243="","؟",IF(ROUND($M243-$N243,0)=0,"√","×")))</f>
        <v/>
      </c>
      <c r="P243" s="12" t="n"/>
    </row>
    <row r="244">
      <c r="A244" s="10">
        <f>IF($C244="","",COUNTA($C$9:$C244))</f>
        <v/>
      </c>
      <c r="B244" s="10">
        <f>IF($C244="","","TXN-"&amp;RIGHT("0000"&amp;236,4))</f>
        <v/>
      </c>
      <c r="C244" s="11" t="n"/>
      <c r="D244" s="11" t="n"/>
      <c r="E244" s="12" t="n"/>
      <c r="F244" s="10">
        <f>IF($E244="","",IFERROR(IF(VLOOKUP(LEFT(UPPER(TRIM($E244)),6),BankTbl,2,0)="","(بدون عنوان)",VLOOKUP(LEFT(UPPER(TRIM($E244)),6),BankTbl,2,0)),"بانک ناشناخته"))</f>
        <v/>
      </c>
      <c r="G244" s="11" t="n"/>
      <c r="H244" s="10">
        <f>IF($G244="","",IFERROR(VLOOKUP($G244,CustTbl,2,0),IFERROR(VLOOKUP($G244,SuppTbl,2,0),IFERROR(VLOOKUP($G244,AcctTbl,2,0),IFERROR(VLOOKUP($G244,StaffTbl,2,0),"کد ناشناخته")))))</f>
        <v/>
      </c>
      <c r="I244" s="12" t="n"/>
      <c r="J244" s="12" t="n"/>
      <c r="K244" s="13" t="n"/>
      <c r="L244" s="13" t="n"/>
      <c r="M244" s="13" t="n"/>
      <c r="N244" s="14">
        <f>IF(OR($C244="",$E244="",Calc!$H244=""),"",IFERROR(VLOOKUP(LEFT(UPPER(TRIM($E244)),6),BankTbl,3,0),0)+SUMIFS(CalcDep,CalcBank,LEFT(UPPER(TRIM($E244)),6),CalcKey,"&lt;="&amp;Calc!$H244)-SUMIFS(CalcWit,CalcBank,LEFT(UPPER(TRIM($E244)),6),CalcKey,"&lt;="&amp;Calc!$H244))</f>
        <v/>
      </c>
      <c r="O244" s="10">
        <f>IF(OR($C244="",$M244=""),"",IF($N244="","؟",IF(ROUND($M244-$N244,0)=0,"√","×")))</f>
        <v/>
      </c>
      <c r="P244" s="12" t="n"/>
    </row>
    <row r="245">
      <c r="A245" s="10">
        <f>IF($C245="","",COUNTA($C$9:$C245))</f>
        <v/>
      </c>
      <c r="B245" s="10">
        <f>IF($C245="","","TXN-"&amp;RIGHT("0000"&amp;237,4))</f>
        <v/>
      </c>
      <c r="C245" s="11" t="n"/>
      <c r="D245" s="11" t="n"/>
      <c r="E245" s="12" t="n"/>
      <c r="F245" s="10">
        <f>IF($E245="","",IFERROR(IF(VLOOKUP(LEFT(UPPER(TRIM($E245)),6),BankTbl,2,0)="","(بدون عنوان)",VLOOKUP(LEFT(UPPER(TRIM($E245)),6),BankTbl,2,0)),"بانک ناشناخته"))</f>
        <v/>
      </c>
      <c r="G245" s="11" t="n"/>
      <c r="H245" s="10">
        <f>IF($G245="","",IFERROR(VLOOKUP($G245,CustTbl,2,0),IFERROR(VLOOKUP($G245,SuppTbl,2,0),IFERROR(VLOOKUP($G245,AcctTbl,2,0),IFERROR(VLOOKUP($G245,StaffTbl,2,0),"کد ناشناخته")))))</f>
        <v/>
      </c>
      <c r="I245" s="12" t="n"/>
      <c r="J245" s="12" t="n"/>
      <c r="K245" s="13" t="n"/>
      <c r="L245" s="13" t="n"/>
      <c r="M245" s="13" t="n"/>
      <c r="N245" s="14">
        <f>IF(OR($C245="",$E245="",Calc!$H245=""),"",IFERROR(VLOOKUP(LEFT(UPPER(TRIM($E245)),6),BankTbl,3,0),0)+SUMIFS(CalcDep,CalcBank,LEFT(UPPER(TRIM($E245)),6),CalcKey,"&lt;="&amp;Calc!$H245)-SUMIFS(CalcWit,CalcBank,LEFT(UPPER(TRIM($E245)),6),CalcKey,"&lt;="&amp;Calc!$H245))</f>
        <v/>
      </c>
      <c r="O245" s="10">
        <f>IF(OR($C245="",$M245=""),"",IF($N245="","؟",IF(ROUND($M245-$N245,0)=0,"√","×")))</f>
        <v/>
      </c>
      <c r="P245" s="12" t="n"/>
    </row>
    <row r="246">
      <c r="A246" s="10">
        <f>IF($C246="","",COUNTA($C$9:$C246))</f>
        <v/>
      </c>
      <c r="B246" s="10">
        <f>IF($C246="","","TXN-"&amp;RIGHT("0000"&amp;238,4))</f>
        <v/>
      </c>
      <c r="C246" s="11" t="n"/>
      <c r="D246" s="11" t="n"/>
      <c r="E246" s="12" t="n"/>
      <c r="F246" s="10">
        <f>IF($E246="","",IFERROR(IF(VLOOKUP(LEFT(UPPER(TRIM($E246)),6),BankTbl,2,0)="","(بدون عنوان)",VLOOKUP(LEFT(UPPER(TRIM($E246)),6),BankTbl,2,0)),"بانک ناشناخته"))</f>
        <v/>
      </c>
      <c r="G246" s="11" t="n"/>
      <c r="H246" s="10">
        <f>IF($G246="","",IFERROR(VLOOKUP($G246,CustTbl,2,0),IFERROR(VLOOKUP($G246,SuppTbl,2,0),IFERROR(VLOOKUP($G246,AcctTbl,2,0),IFERROR(VLOOKUP($G246,StaffTbl,2,0),"کد ناشناخته")))))</f>
        <v/>
      </c>
      <c r="I246" s="12" t="n"/>
      <c r="J246" s="12" t="n"/>
      <c r="K246" s="13" t="n"/>
      <c r="L246" s="13" t="n"/>
      <c r="M246" s="13" t="n"/>
      <c r="N246" s="14">
        <f>IF(OR($C246="",$E246="",Calc!$H246=""),"",IFERROR(VLOOKUP(LEFT(UPPER(TRIM($E246)),6),BankTbl,3,0),0)+SUMIFS(CalcDep,CalcBank,LEFT(UPPER(TRIM($E246)),6),CalcKey,"&lt;="&amp;Calc!$H246)-SUMIFS(CalcWit,CalcBank,LEFT(UPPER(TRIM($E246)),6),CalcKey,"&lt;="&amp;Calc!$H246))</f>
        <v/>
      </c>
      <c r="O246" s="10">
        <f>IF(OR($C246="",$M246=""),"",IF($N246="","؟",IF(ROUND($M246-$N246,0)=0,"√","×")))</f>
        <v/>
      </c>
      <c r="P246" s="12" t="n"/>
    </row>
    <row r="247">
      <c r="A247" s="10">
        <f>IF($C247="","",COUNTA($C$9:$C247))</f>
        <v/>
      </c>
      <c r="B247" s="10">
        <f>IF($C247="","","TXN-"&amp;RIGHT("0000"&amp;239,4))</f>
        <v/>
      </c>
      <c r="C247" s="11" t="n"/>
      <c r="D247" s="11" t="n"/>
      <c r="E247" s="12" t="n"/>
      <c r="F247" s="10">
        <f>IF($E247="","",IFERROR(IF(VLOOKUP(LEFT(UPPER(TRIM($E247)),6),BankTbl,2,0)="","(بدون عنوان)",VLOOKUP(LEFT(UPPER(TRIM($E247)),6),BankTbl,2,0)),"بانک ناشناخته"))</f>
        <v/>
      </c>
      <c r="G247" s="11" t="n"/>
      <c r="H247" s="10">
        <f>IF($G247="","",IFERROR(VLOOKUP($G247,CustTbl,2,0),IFERROR(VLOOKUP($G247,SuppTbl,2,0),IFERROR(VLOOKUP($G247,AcctTbl,2,0),IFERROR(VLOOKUP($G247,StaffTbl,2,0),"کد ناشناخته")))))</f>
        <v/>
      </c>
      <c r="I247" s="12" t="n"/>
      <c r="J247" s="12" t="n"/>
      <c r="K247" s="13" t="n"/>
      <c r="L247" s="13" t="n"/>
      <c r="M247" s="13" t="n"/>
      <c r="N247" s="14">
        <f>IF(OR($C247="",$E247="",Calc!$H247=""),"",IFERROR(VLOOKUP(LEFT(UPPER(TRIM($E247)),6),BankTbl,3,0),0)+SUMIFS(CalcDep,CalcBank,LEFT(UPPER(TRIM($E247)),6),CalcKey,"&lt;="&amp;Calc!$H247)-SUMIFS(CalcWit,CalcBank,LEFT(UPPER(TRIM($E247)),6),CalcKey,"&lt;="&amp;Calc!$H247))</f>
        <v/>
      </c>
      <c r="O247" s="10">
        <f>IF(OR($C247="",$M247=""),"",IF($N247="","؟",IF(ROUND($M247-$N247,0)=0,"√","×")))</f>
        <v/>
      </c>
      <c r="P247" s="12" t="n"/>
    </row>
    <row r="248">
      <c r="A248" s="10">
        <f>IF($C248="","",COUNTA($C$9:$C248))</f>
        <v/>
      </c>
      <c r="B248" s="10">
        <f>IF($C248="","","TXN-"&amp;RIGHT("0000"&amp;240,4))</f>
        <v/>
      </c>
      <c r="C248" s="11" t="n"/>
      <c r="D248" s="11" t="n"/>
      <c r="E248" s="12" t="n"/>
      <c r="F248" s="10">
        <f>IF($E248="","",IFERROR(IF(VLOOKUP(LEFT(UPPER(TRIM($E248)),6),BankTbl,2,0)="","(بدون عنوان)",VLOOKUP(LEFT(UPPER(TRIM($E248)),6),BankTbl,2,0)),"بانک ناشناخته"))</f>
        <v/>
      </c>
      <c r="G248" s="11" t="n"/>
      <c r="H248" s="10">
        <f>IF($G248="","",IFERROR(VLOOKUP($G248,CustTbl,2,0),IFERROR(VLOOKUP($G248,SuppTbl,2,0),IFERROR(VLOOKUP($G248,AcctTbl,2,0),IFERROR(VLOOKUP($G248,StaffTbl,2,0),"کد ناشناخته")))))</f>
        <v/>
      </c>
      <c r="I248" s="12" t="n"/>
      <c r="J248" s="12" t="n"/>
      <c r="K248" s="13" t="n"/>
      <c r="L248" s="13" t="n"/>
      <c r="M248" s="13" t="n"/>
      <c r="N248" s="14">
        <f>IF(OR($C248="",$E248="",Calc!$H248=""),"",IFERROR(VLOOKUP(LEFT(UPPER(TRIM($E248)),6),BankTbl,3,0),0)+SUMIFS(CalcDep,CalcBank,LEFT(UPPER(TRIM($E248)),6),CalcKey,"&lt;="&amp;Calc!$H248)-SUMIFS(CalcWit,CalcBank,LEFT(UPPER(TRIM($E248)),6),CalcKey,"&lt;="&amp;Calc!$H248))</f>
        <v/>
      </c>
      <c r="O248" s="10">
        <f>IF(OR($C248="",$M248=""),"",IF($N248="","؟",IF(ROUND($M248-$N248,0)=0,"√","×")))</f>
        <v/>
      </c>
      <c r="P248" s="12" t="n"/>
    </row>
    <row r="249">
      <c r="A249" s="10">
        <f>IF($C249="","",COUNTA($C$9:$C249))</f>
        <v/>
      </c>
      <c r="B249" s="10">
        <f>IF($C249="","","TXN-"&amp;RIGHT("0000"&amp;241,4))</f>
        <v/>
      </c>
      <c r="C249" s="11" t="n"/>
      <c r="D249" s="11" t="n"/>
      <c r="E249" s="12" t="n"/>
      <c r="F249" s="10">
        <f>IF($E249="","",IFERROR(IF(VLOOKUP(LEFT(UPPER(TRIM($E249)),6),BankTbl,2,0)="","(بدون عنوان)",VLOOKUP(LEFT(UPPER(TRIM($E249)),6),BankTbl,2,0)),"بانک ناشناخته"))</f>
        <v/>
      </c>
      <c r="G249" s="11" t="n"/>
      <c r="H249" s="10">
        <f>IF($G249="","",IFERROR(VLOOKUP($G249,CustTbl,2,0),IFERROR(VLOOKUP($G249,SuppTbl,2,0),IFERROR(VLOOKUP($G249,AcctTbl,2,0),IFERROR(VLOOKUP($G249,StaffTbl,2,0),"کد ناشناخته")))))</f>
        <v/>
      </c>
      <c r="I249" s="12" t="n"/>
      <c r="J249" s="12" t="n"/>
      <c r="K249" s="13" t="n"/>
      <c r="L249" s="13" t="n"/>
      <c r="M249" s="13" t="n"/>
      <c r="N249" s="14">
        <f>IF(OR($C249="",$E249="",Calc!$H249=""),"",IFERROR(VLOOKUP(LEFT(UPPER(TRIM($E249)),6),BankTbl,3,0),0)+SUMIFS(CalcDep,CalcBank,LEFT(UPPER(TRIM($E249)),6),CalcKey,"&lt;="&amp;Calc!$H249)-SUMIFS(CalcWit,CalcBank,LEFT(UPPER(TRIM($E249)),6),CalcKey,"&lt;="&amp;Calc!$H249))</f>
        <v/>
      </c>
      <c r="O249" s="10">
        <f>IF(OR($C249="",$M249=""),"",IF($N249="","؟",IF(ROUND($M249-$N249,0)=0,"√","×")))</f>
        <v/>
      </c>
      <c r="P249" s="12" t="n"/>
    </row>
    <row r="250">
      <c r="A250" s="10">
        <f>IF($C250="","",COUNTA($C$9:$C250))</f>
        <v/>
      </c>
      <c r="B250" s="10">
        <f>IF($C250="","","TXN-"&amp;RIGHT("0000"&amp;242,4))</f>
        <v/>
      </c>
      <c r="C250" s="11" t="n"/>
      <c r="D250" s="11" t="n"/>
      <c r="E250" s="12" t="n"/>
      <c r="F250" s="10">
        <f>IF($E250="","",IFERROR(IF(VLOOKUP(LEFT(UPPER(TRIM($E250)),6),BankTbl,2,0)="","(بدون عنوان)",VLOOKUP(LEFT(UPPER(TRIM($E250)),6),BankTbl,2,0)),"بانک ناشناخته"))</f>
        <v/>
      </c>
      <c r="G250" s="11" t="n"/>
      <c r="H250" s="10">
        <f>IF($G250="","",IFERROR(VLOOKUP($G250,CustTbl,2,0),IFERROR(VLOOKUP($G250,SuppTbl,2,0),IFERROR(VLOOKUP($G250,AcctTbl,2,0),IFERROR(VLOOKUP($G250,StaffTbl,2,0),"کد ناشناخته")))))</f>
        <v/>
      </c>
      <c r="I250" s="12" t="n"/>
      <c r="J250" s="12" t="n"/>
      <c r="K250" s="13" t="n"/>
      <c r="L250" s="13" t="n"/>
      <c r="M250" s="13" t="n"/>
      <c r="N250" s="14">
        <f>IF(OR($C250="",$E250="",Calc!$H250=""),"",IFERROR(VLOOKUP(LEFT(UPPER(TRIM($E250)),6),BankTbl,3,0),0)+SUMIFS(CalcDep,CalcBank,LEFT(UPPER(TRIM($E250)),6),CalcKey,"&lt;="&amp;Calc!$H250)-SUMIFS(CalcWit,CalcBank,LEFT(UPPER(TRIM($E250)),6),CalcKey,"&lt;="&amp;Calc!$H250))</f>
        <v/>
      </c>
      <c r="O250" s="10">
        <f>IF(OR($C250="",$M250=""),"",IF($N250="","؟",IF(ROUND($M250-$N250,0)=0,"√","×")))</f>
        <v/>
      </c>
      <c r="P250" s="12" t="n"/>
    </row>
    <row r="251">
      <c r="A251" s="10">
        <f>IF($C251="","",COUNTA($C$9:$C251))</f>
        <v/>
      </c>
      <c r="B251" s="10">
        <f>IF($C251="","","TXN-"&amp;RIGHT("0000"&amp;243,4))</f>
        <v/>
      </c>
      <c r="C251" s="11" t="n"/>
      <c r="D251" s="11" t="n"/>
      <c r="E251" s="12" t="n"/>
      <c r="F251" s="10">
        <f>IF($E251="","",IFERROR(IF(VLOOKUP(LEFT(UPPER(TRIM($E251)),6),BankTbl,2,0)="","(بدون عنوان)",VLOOKUP(LEFT(UPPER(TRIM($E251)),6),BankTbl,2,0)),"بانک ناشناخته"))</f>
        <v/>
      </c>
      <c r="G251" s="11" t="n"/>
      <c r="H251" s="10">
        <f>IF($G251="","",IFERROR(VLOOKUP($G251,CustTbl,2,0),IFERROR(VLOOKUP($G251,SuppTbl,2,0),IFERROR(VLOOKUP($G251,AcctTbl,2,0),IFERROR(VLOOKUP($G251,StaffTbl,2,0),"کد ناشناخته")))))</f>
        <v/>
      </c>
      <c r="I251" s="12" t="n"/>
      <c r="J251" s="12" t="n"/>
      <c r="K251" s="13" t="n"/>
      <c r="L251" s="13" t="n"/>
      <c r="M251" s="13" t="n"/>
      <c r="N251" s="14">
        <f>IF(OR($C251="",$E251="",Calc!$H251=""),"",IFERROR(VLOOKUP(LEFT(UPPER(TRIM($E251)),6),BankTbl,3,0),0)+SUMIFS(CalcDep,CalcBank,LEFT(UPPER(TRIM($E251)),6),CalcKey,"&lt;="&amp;Calc!$H251)-SUMIFS(CalcWit,CalcBank,LEFT(UPPER(TRIM($E251)),6),CalcKey,"&lt;="&amp;Calc!$H251))</f>
        <v/>
      </c>
      <c r="O251" s="10">
        <f>IF(OR($C251="",$M251=""),"",IF($N251="","؟",IF(ROUND($M251-$N251,0)=0,"√","×")))</f>
        <v/>
      </c>
      <c r="P251" s="12" t="n"/>
    </row>
    <row r="252">
      <c r="A252" s="10">
        <f>IF($C252="","",COUNTA($C$9:$C252))</f>
        <v/>
      </c>
      <c r="B252" s="10">
        <f>IF($C252="","","TXN-"&amp;RIGHT("0000"&amp;244,4))</f>
        <v/>
      </c>
      <c r="C252" s="11" t="n"/>
      <c r="D252" s="11" t="n"/>
      <c r="E252" s="12" t="n"/>
      <c r="F252" s="10">
        <f>IF($E252="","",IFERROR(IF(VLOOKUP(LEFT(UPPER(TRIM($E252)),6),BankTbl,2,0)="","(بدون عنوان)",VLOOKUP(LEFT(UPPER(TRIM($E252)),6),BankTbl,2,0)),"بانک ناشناخته"))</f>
        <v/>
      </c>
      <c r="G252" s="11" t="n"/>
      <c r="H252" s="10">
        <f>IF($G252="","",IFERROR(VLOOKUP($G252,CustTbl,2,0),IFERROR(VLOOKUP($G252,SuppTbl,2,0),IFERROR(VLOOKUP($G252,AcctTbl,2,0),IFERROR(VLOOKUP($G252,StaffTbl,2,0),"کد ناشناخته")))))</f>
        <v/>
      </c>
      <c r="I252" s="12" t="n"/>
      <c r="J252" s="12" t="n"/>
      <c r="K252" s="13" t="n"/>
      <c r="L252" s="13" t="n"/>
      <c r="M252" s="13" t="n"/>
      <c r="N252" s="14">
        <f>IF(OR($C252="",$E252="",Calc!$H252=""),"",IFERROR(VLOOKUP(LEFT(UPPER(TRIM($E252)),6),BankTbl,3,0),0)+SUMIFS(CalcDep,CalcBank,LEFT(UPPER(TRIM($E252)),6),CalcKey,"&lt;="&amp;Calc!$H252)-SUMIFS(CalcWit,CalcBank,LEFT(UPPER(TRIM($E252)),6),CalcKey,"&lt;="&amp;Calc!$H252))</f>
        <v/>
      </c>
      <c r="O252" s="10">
        <f>IF(OR($C252="",$M252=""),"",IF($N252="","؟",IF(ROUND($M252-$N252,0)=0,"√","×")))</f>
        <v/>
      </c>
      <c r="P252" s="12" t="n"/>
    </row>
    <row r="253">
      <c r="A253" s="10">
        <f>IF($C253="","",COUNTA($C$9:$C253))</f>
        <v/>
      </c>
      <c r="B253" s="10">
        <f>IF($C253="","","TXN-"&amp;RIGHT("0000"&amp;245,4))</f>
        <v/>
      </c>
      <c r="C253" s="11" t="n"/>
      <c r="D253" s="11" t="n"/>
      <c r="E253" s="12" t="n"/>
      <c r="F253" s="10">
        <f>IF($E253="","",IFERROR(IF(VLOOKUP(LEFT(UPPER(TRIM($E253)),6),BankTbl,2,0)="","(بدون عنوان)",VLOOKUP(LEFT(UPPER(TRIM($E253)),6),BankTbl,2,0)),"بانک ناشناخته"))</f>
        <v/>
      </c>
      <c r="G253" s="11" t="n"/>
      <c r="H253" s="10">
        <f>IF($G253="","",IFERROR(VLOOKUP($G253,CustTbl,2,0),IFERROR(VLOOKUP($G253,SuppTbl,2,0),IFERROR(VLOOKUP($G253,AcctTbl,2,0),IFERROR(VLOOKUP($G253,StaffTbl,2,0),"کد ناشناخته")))))</f>
        <v/>
      </c>
      <c r="I253" s="12" t="n"/>
      <c r="J253" s="12" t="n"/>
      <c r="K253" s="13" t="n"/>
      <c r="L253" s="13" t="n"/>
      <c r="M253" s="13" t="n"/>
      <c r="N253" s="14">
        <f>IF(OR($C253="",$E253="",Calc!$H253=""),"",IFERROR(VLOOKUP(LEFT(UPPER(TRIM($E253)),6),BankTbl,3,0),0)+SUMIFS(CalcDep,CalcBank,LEFT(UPPER(TRIM($E253)),6),CalcKey,"&lt;="&amp;Calc!$H253)-SUMIFS(CalcWit,CalcBank,LEFT(UPPER(TRIM($E253)),6),CalcKey,"&lt;="&amp;Calc!$H253))</f>
        <v/>
      </c>
      <c r="O253" s="10">
        <f>IF(OR($C253="",$M253=""),"",IF($N253="","؟",IF(ROUND($M253-$N253,0)=0,"√","×")))</f>
        <v/>
      </c>
      <c r="P253" s="12" t="n"/>
    </row>
    <row r="254">
      <c r="A254" s="10">
        <f>IF($C254="","",COUNTA($C$9:$C254))</f>
        <v/>
      </c>
      <c r="B254" s="10">
        <f>IF($C254="","","TXN-"&amp;RIGHT("0000"&amp;246,4))</f>
        <v/>
      </c>
      <c r="C254" s="11" t="n"/>
      <c r="D254" s="11" t="n"/>
      <c r="E254" s="12" t="n"/>
      <c r="F254" s="10">
        <f>IF($E254="","",IFERROR(IF(VLOOKUP(LEFT(UPPER(TRIM($E254)),6),BankTbl,2,0)="","(بدون عنوان)",VLOOKUP(LEFT(UPPER(TRIM($E254)),6),BankTbl,2,0)),"بانک ناشناخته"))</f>
        <v/>
      </c>
      <c r="G254" s="11" t="n"/>
      <c r="H254" s="10">
        <f>IF($G254="","",IFERROR(VLOOKUP($G254,CustTbl,2,0),IFERROR(VLOOKUP($G254,SuppTbl,2,0),IFERROR(VLOOKUP($G254,AcctTbl,2,0),IFERROR(VLOOKUP($G254,StaffTbl,2,0),"کد ناشناخته")))))</f>
        <v/>
      </c>
      <c r="I254" s="12" t="n"/>
      <c r="J254" s="12" t="n"/>
      <c r="K254" s="13" t="n"/>
      <c r="L254" s="13" t="n"/>
      <c r="M254" s="13" t="n"/>
      <c r="N254" s="14">
        <f>IF(OR($C254="",$E254="",Calc!$H254=""),"",IFERROR(VLOOKUP(LEFT(UPPER(TRIM($E254)),6),BankTbl,3,0),0)+SUMIFS(CalcDep,CalcBank,LEFT(UPPER(TRIM($E254)),6),CalcKey,"&lt;="&amp;Calc!$H254)-SUMIFS(CalcWit,CalcBank,LEFT(UPPER(TRIM($E254)),6),CalcKey,"&lt;="&amp;Calc!$H254))</f>
        <v/>
      </c>
      <c r="O254" s="10">
        <f>IF(OR($C254="",$M254=""),"",IF($N254="","؟",IF(ROUND($M254-$N254,0)=0,"√","×")))</f>
        <v/>
      </c>
      <c r="P254" s="12" t="n"/>
    </row>
    <row r="255">
      <c r="A255" s="10">
        <f>IF($C255="","",COUNTA($C$9:$C255))</f>
        <v/>
      </c>
      <c r="B255" s="10">
        <f>IF($C255="","","TXN-"&amp;RIGHT("0000"&amp;247,4))</f>
        <v/>
      </c>
      <c r="C255" s="11" t="n"/>
      <c r="D255" s="11" t="n"/>
      <c r="E255" s="12" t="n"/>
      <c r="F255" s="10">
        <f>IF($E255="","",IFERROR(IF(VLOOKUP(LEFT(UPPER(TRIM($E255)),6),BankTbl,2,0)="","(بدون عنوان)",VLOOKUP(LEFT(UPPER(TRIM($E255)),6),BankTbl,2,0)),"بانک ناشناخته"))</f>
        <v/>
      </c>
      <c r="G255" s="11" t="n"/>
      <c r="H255" s="10">
        <f>IF($G255="","",IFERROR(VLOOKUP($G255,CustTbl,2,0),IFERROR(VLOOKUP($G255,SuppTbl,2,0),IFERROR(VLOOKUP($G255,AcctTbl,2,0),IFERROR(VLOOKUP($G255,StaffTbl,2,0),"کد ناشناخته")))))</f>
        <v/>
      </c>
      <c r="I255" s="12" t="n"/>
      <c r="J255" s="12" t="n"/>
      <c r="K255" s="13" t="n"/>
      <c r="L255" s="13" t="n"/>
      <c r="M255" s="13" t="n"/>
      <c r="N255" s="14">
        <f>IF(OR($C255="",$E255="",Calc!$H255=""),"",IFERROR(VLOOKUP(LEFT(UPPER(TRIM($E255)),6),BankTbl,3,0),0)+SUMIFS(CalcDep,CalcBank,LEFT(UPPER(TRIM($E255)),6),CalcKey,"&lt;="&amp;Calc!$H255)-SUMIFS(CalcWit,CalcBank,LEFT(UPPER(TRIM($E255)),6),CalcKey,"&lt;="&amp;Calc!$H255))</f>
        <v/>
      </c>
      <c r="O255" s="10">
        <f>IF(OR($C255="",$M255=""),"",IF($N255="","؟",IF(ROUND($M255-$N255,0)=0,"√","×")))</f>
        <v/>
      </c>
      <c r="P255" s="12" t="n"/>
    </row>
    <row r="256">
      <c r="A256" s="10">
        <f>IF($C256="","",COUNTA($C$9:$C256))</f>
        <v/>
      </c>
      <c r="B256" s="10">
        <f>IF($C256="","","TXN-"&amp;RIGHT("0000"&amp;248,4))</f>
        <v/>
      </c>
      <c r="C256" s="11" t="n"/>
      <c r="D256" s="11" t="n"/>
      <c r="E256" s="12" t="n"/>
      <c r="F256" s="10">
        <f>IF($E256="","",IFERROR(IF(VLOOKUP(LEFT(UPPER(TRIM($E256)),6),BankTbl,2,0)="","(بدون عنوان)",VLOOKUP(LEFT(UPPER(TRIM($E256)),6),BankTbl,2,0)),"بانک ناشناخته"))</f>
        <v/>
      </c>
      <c r="G256" s="11" t="n"/>
      <c r="H256" s="10">
        <f>IF($G256="","",IFERROR(VLOOKUP($G256,CustTbl,2,0),IFERROR(VLOOKUP($G256,SuppTbl,2,0),IFERROR(VLOOKUP($G256,AcctTbl,2,0),IFERROR(VLOOKUP($G256,StaffTbl,2,0),"کد ناشناخته")))))</f>
        <v/>
      </c>
      <c r="I256" s="12" t="n"/>
      <c r="J256" s="12" t="n"/>
      <c r="K256" s="13" t="n"/>
      <c r="L256" s="13" t="n"/>
      <c r="M256" s="13" t="n"/>
      <c r="N256" s="14">
        <f>IF(OR($C256="",$E256="",Calc!$H256=""),"",IFERROR(VLOOKUP(LEFT(UPPER(TRIM($E256)),6),BankTbl,3,0),0)+SUMIFS(CalcDep,CalcBank,LEFT(UPPER(TRIM($E256)),6),CalcKey,"&lt;="&amp;Calc!$H256)-SUMIFS(CalcWit,CalcBank,LEFT(UPPER(TRIM($E256)),6),CalcKey,"&lt;="&amp;Calc!$H256))</f>
        <v/>
      </c>
      <c r="O256" s="10">
        <f>IF(OR($C256="",$M256=""),"",IF($N256="","؟",IF(ROUND($M256-$N256,0)=0,"√","×")))</f>
        <v/>
      </c>
      <c r="P256" s="12" t="n"/>
    </row>
    <row r="257">
      <c r="A257" s="10">
        <f>IF($C257="","",COUNTA($C$9:$C257))</f>
        <v/>
      </c>
      <c r="B257" s="10">
        <f>IF($C257="","","TXN-"&amp;RIGHT("0000"&amp;249,4))</f>
        <v/>
      </c>
      <c r="C257" s="11" t="n"/>
      <c r="D257" s="11" t="n"/>
      <c r="E257" s="12" t="n"/>
      <c r="F257" s="10">
        <f>IF($E257="","",IFERROR(IF(VLOOKUP(LEFT(UPPER(TRIM($E257)),6),BankTbl,2,0)="","(بدون عنوان)",VLOOKUP(LEFT(UPPER(TRIM($E257)),6),BankTbl,2,0)),"بانک ناشناخته"))</f>
        <v/>
      </c>
      <c r="G257" s="11" t="n"/>
      <c r="H257" s="10">
        <f>IF($G257="","",IFERROR(VLOOKUP($G257,CustTbl,2,0),IFERROR(VLOOKUP($G257,SuppTbl,2,0),IFERROR(VLOOKUP($G257,AcctTbl,2,0),IFERROR(VLOOKUP($G257,StaffTbl,2,0),"کد ناشناخته")))))</f>
        <v/>
      </c>
      <c r="I257" s="12" t="n"/>
      <c r="J257" s="12" t="n"/>
      <c r="K257" s="13" t="n"/>
      <c r="L257" s="13" t="n"/>
      <c r="M257" s="13" t="n"/>
      <c r="N257" s="14">
        <f>IF(OR($C257="",$E257="",Calc!$H257=""),"",IFERROR(VLOOKUP(LEFT(UPPER(TRIM($E257)),6),BankTbl,3,0),0)+SUMIFS(CalcDep,CalcBank,LEFT(UPPER(TRIM($E257)),6),CalcKey,"&lt;="&amp;Calc!$H257)-SUMIFS(CalcWit,CalcBank,LEFT(UPPER(TRIM($E257)),6),CalcKey,"&lt;="&amp;Calc!$H257))</f>
        <v/>
      </c>
      <c r="O257" s="10">
        <f>IF(OR($C257="",$M257=""),"",IF($N257="","؟",IF(ROUND($M257-$N257,0)=0,"√","×")))</f>
        <v/>
      </c>
      <c r="P257" s="12" t="n"/>
    </row>
    <row r="258">
      <c r="A258" s="10">
        <f>IF($C258="","",COUNTA($C$9:$C258))</f>
        <v/>
      </c>
      <c r="B258" s="10">
        <f>IF($C258="","","TXN-"&amp;RIGHT("0000"&amp;250,4))</f>
        <v/>
      </c>
      <c r="C258" s="11" t="n"/>
      <c r="D258" s="11" t="n"/>
      <c r="E258" s="12" t="n"/>
      <c r="F258" s="10">
        <f>IF($E258="","",IFERROR(IF(VLOOKUP(LEFT(UPPER(TRIM($E258)),6),BankTbl,2,0)="","(بدون عنوان)",VLOOKUP(LEFT(UPPER(TRIM($E258)),6),BankTbl,2,0)),"بانک ناشناخته"))</f>
        <v/>
      </c>
      <c r="G258" s="11" t="n"/>
      <c r="H258" s="10">
        <f>IF($G258="","",IFERROR(VLOOKUP($G258,CustTbl,2,0),IFERROR(VLOOKUP($G258,SuppTbl,2,0),IFERROR(VLOOKUP($G258,AcctTbl,2,0),IFERROR(VLOOKUP($G258,StaffTbl,2,0),"کد ناشناخته")))))</f>
        <v/>
      </c>
      <c r="I258" s="12" t="n"/>
      <c r="J258" s="12" t="n"/>
      <c r="K258" s="13" t="n"/>
      <c r="L258" s="13" t="n"/>
      <c r="M258" s="13" t="n"/>
      <c r="N258" s="14">
        <f>IF(OR($C258="",$E258="",Calc!$H258=""),"",IFERROR(VLOOKUP(LEFT(UPPER(TRIM($E258)),6),BankTbl,3,0),0)+SUMIFS(CalcDep,CalcBank,LEFT(UPPER(TRIM($E258)),6),CalcKey,"&lt;="&amp;Calc!$H258)-SUMIFS(CalcWit,CalcBank,LEFT(UPPER(TRIM($E258)),6),CalcKey,"&lt;="&amp;Calc!$H258))</f>
        <v/>
      </c>
      <c r="O258" s="10">
        <f>IF(OR($C258="",$M258=""),"",IF($N258="","؟",IF(ROUND($M258-$N258,0)=0,"√","×")))</f>
        <v/>
      </c>
      <c r="P258" s="12" t="n"/>
    </row>
    <row r="259">
      <c r="A259" s="10">
        <f>IF($C259="","",COUNTA($C$9:$C259))</f>
        <v/>
      </c>
      <c r="B259" s="10">
        <f>IF($C259="","","TXN-"&amp;RIGHT("0000"&amp;251,4))</f>
        <v/>
      </c>
      <c r="C259" s="11" t="n"/>
      <c r="D259" s="11" t="n"/>
      <c r="E259" s="12" t="n"/>
      <c r="F259" s="10">
        <f>IF($E259="","",IFERROR(IF(VLOOKUP(LEFT(UPPER(TRIM($E259)),6),BankTbl,2,0)="","(بدون عنوان)",VLOOKUP(LEFT(UPPER(TRIM($E259)),6),BankTbl,2,0)),"بانک ناشناخته"))</f>
        <v/>
      </c>
      <c r="G259" s="11" t="n"/>
      <c r="H259" s="10">
        <f>IF($G259="","",IFERROR(VLOOKUP($G259,CustTbl,2,0),IFERROR(VLOOKUP($G259,SuppTbl,2,0),IFERROR(VLOOKUP($G259,AcctTbl,2,0),IFERROR(VLOOKUP($G259,StaffTbl,2,0),"کد ناشناخته")))))</f>
        <v/>
      </c>
      <c r="I259" s="12" t="n"/>
      <c r="J259" s="12" t="n"/>
      <c r="K259" s="13" t="n"/>
      <c r="L259" s="13" t="n"/>
      <c r="M259" s="13" t="n"/>
      <c r="N259" s="14">
        <f>IF(OR($C259="",$E259="",Calc!$H259=""),"",IFERROR(VLOOKUP(LEFT(UPPER(TRIM($E259)),6),BankTbl,3,0),0)+SUMIFS(CalcDep,CalcBank,LEFT(UPPER(TRIM($E259)),6),CalcKey,"&lt;="&amp;Calc!$H259)-SUMIFS(CalcWit,CalcBank,LEFT(UPPER(TRIM($E259)),6),CalcKey,"&lt;="&amp;Calc!$H259))</f>
        <v/>
      </c>
      <c r="O259" s="10">
        <f>IF(OR($C259="",$M259=""),"",IF($N259="","؟",IF(ROUND($M259-$N259,0)=0,"√","×")))</f>
        <v/>
      </c>
      <c r="P259" s="12" t="n"/>
    </row>
    <row r="260">
      <c r="A260" s="10">
        <f>IF($C260="","",COUNTA($C$9:$C260))</f>
        <v/>
      </c>
      <c r="B260" s="10">
        <f>IF($C260="","","TXN-"&amp;RIGHT("0000"&amp;252,4))</f>
        <v/>
      </c>
      <c r="C260" s="11" t="n"/>
      <c r="D260" s="11" t="n"/>
      <c r="E260" s="12" t="n"/>
      <c r="F260" s="10">
        <f>IF($E260="","",IFERROR(IF(VLOOKUP(LEFT(UPPER(TRIM($E260)),6),BankTbl,2,0)="","(بدون عنوان)",VLOOKUP(LEFT(UPPER(TRIM($E260)),6),BankTbl,2,0)),"بانک ناشناخته"))</f>
        <v/>
      </c>
      <c r="G260" s="11" t="n"/>
      <c r="H260" s="10">
        <f>IF($G260="","",IFERROR(VLOOKUP($G260,CustTbl,2,0),IFERROR(VLOOKUP($G260,SuppTbl,2,0),IFERROR(VLOOKUP($G260,AcctTbl,2,0),IFERROR(VLOOKUP($G260,StaffTbl,2,0),"کد ناشناخته")))))</f>
        <v/>
      </c>
      <c r="I260" s="12" t="n"/>
      <c r="J260" s="12" t="n"/>
      <c r="K260" s="13" t="n"/>
      <c r="L260" s="13" t="n"/>
      <c r="M260" s="13" t="n"/>
      <c r="N260" s="14">
        <f>IF(OR($C260="",$E260="",Calc!$H260=""),"",IFERROR(VLOOKUP(LEFT(UPPER(TRIM($E260)),6),BankTbl,3,0),0)+SUMIFS(CalcDep,CalcBank,LEFT(UPPER(TRIM($E260)),6),CalcKey,"&lt;="&amp;Calc!$H260)-SUMIFS(CalcWit,CalcBank,LEFT(UPPER(TRIM($E260)),6),CalcKey,"&lt;="&amp;Calc!$H260))</f>
        <v/>
      </c>
      <c r="O260" s="10">
        <f>IF(OR($C260="",$M260=""),"",IF($N260="","؟",IF(ROUND($M260-$N260,0)=0,"√","×")))</f>
        <v/>
      </c>
      <c r="P260" s="12" t="n"/>
    </row>
    <row r="261">
      <c r="A261" s="10">
        <f>IF($C261="","",COUNTA($C$9:$C261))</f>
        <v/>
      </c>
      <c r="B261" s="10">
        <f>IF($C261="","","TXN-"&amp;RIGHT("0000"&amp;253,4))</f>
        <v/>
      </c>
      <c r="C261" s="11" t="n"/>
      <c r="D261" s="11" t="n"/>
      <c r="E261" s="12" t="n"/>
      <c r="F261" s="10">
        <f>IF($E261="","",IFERROR(IF(VLOOKUP(LEFT(UPPER(TRIM($E261)),6),BankTbl,2,0)="","(بدون عنوان)",VLOOKUP(LEFT(UPPER(TRIM($E261)),6),BankTbl,2,0)),"بانک ناشناخته"))</f>
        <v/>
      </c>
      <c r="G261" s="11" t="n"/>
      <c r="H261" s="10">
        <f>IF($G261="","",IFERROR(VLOOKUP($G261,CustTbl,2,0),IFERROR(VLOOKUP($G261,SuppTbl,2,0),IFERROR(VLOOKUP($G261,AcctTbl,2,0),IFERROR(VLOOKUP($G261,StaffTbl,2,0),"کد ناشناخته")))))</f>
        <v/>
      </c>
      <c r="I261" s="12" t="n"/>
      <c r="J261" s="12" t="n"/>
      <c r="K261" s="13" t="n"/>
      <c r="L261" s="13" t="n"/>
      <c r="M261" s="13" t="n"/>
      <c r="N261" s="14">
        <f>IF(OR($C261="",$E261="",Calc!$H261=""),"",IFERROR(VLOOKUP(LEFT(UPPER(TRIM($E261)),6),BankTbl,3,0),0)+SUMIFS(CalcDep,CalcBank,LEFT(UPPER(TRIM($E261)),6),CalcKey,"&lt;="&amp;Calc!$H261)-SUMIFS(CalcWit,CalcBank,LEFT(UPPER(TRIM($E261)),6),CalcKey,"&lt;="&amp;Calc!$H261))</f>
        <v/>
      </c>
      <c r="O261" s="10">
        <f>IF(OR($C261="",$M261=""),"",IF($N261="","؟",IF(ROUND($M261-$N261,0)=0,"√","×")))</f>
        <v/>
      </c>
      <c r="P261" s="12" t="n"/>
    </row>
    <row r="262">
      <c r="A262" s="10">
        <f>IF($C262="","",COUNTA($C$9:$C262))</f>
        <v/>
      </c>
      <c r="B262" s="10">
        <f>IF($C262="","","TXN-"&amp;RIGHT("0000"&amp;254,4))</f>
        <v/>
      </c>
      <c r="C262" s="11" t="n"/>
      <c r="D262" s="11" t="n"/>
      <c r="E262" s="12" t="n"/>
      <c r="F262" s="10">
        <f>IF($E262="","",IFERROR(IF(VLOOKUP(LEFT(UPPER(TRIM($E262)),6),BankTbl,2,0)="","(بدون عنوان)",VLOOKUP(LEFT(UPPER(TRIM($E262)),6),BankTbl,2,0)),"بانک ناشناخته"))</f>
        <v/>
      </c>
      <c r="G262" s="11" t="n"/>
      <c r="H262" s="10">
        <f>IF($G262="","",IFERROR(VLOOKUP($G262,CustTbl,2,0),IFERROR(VLOOKUP($G262,SuppTbl,2,0),IFERROR(VLOOKUP($G262,AcctTbl,2,0),IFERROR(VLOOKUP($G262,StaffTbl,2,0),"کد ناشناخته")))))</f>
        <v/>
      </c>
      <c r="I262" s="12" t="n"/>
      <c r="J262" s="12" t="n"/>
      <c r="K262" s="13" t="n"/>
      <c r="L262" s="13" t="n"/>
      <c r="M262" s="13" t="n"/>
      <c r="N262" s="14">
        <f>IF(OR($C262="",$E262="",Calc!$H262=""),"",IFERROR(VLOOKUP(LEFT(UPPER(TRIM($E262)),6),BankTbl,3,0),0)+SUMIFS(CalcDep,CalcBank,LEFT(UPPER(TRIM($E262)),6),CalcKey,"&lt;="&amp;Calc!$H262)-SUMIFS(CalcWit,CalcBank,LEFT(UPPER(TRIM($E262)),6),CalcKey,"&lt;="&amp;Calc!$H262))</f>
        <v/>
      </c>
      <c r="O262" s="10">
        <f>IF(OR($C262="",$M262=""),"",IF($N262="","؟",IF(ROUND($M262-$N262,0)=0,"√","×")))</f>
        <v/>
      </c>
      <c r="P262" s="12" t="n"/>
    </row>
    <row r="263">
      <c r="A263" s="10">
        <f>IF($C263="","",COUNTA($C$9:$C263))</f>
        <v/>
      </c>
      <c r="B263" s="10">
        <f>IF($C263="","","TXN-"&amp;RIGHT("0000"&amp;255,4))</f>
        <v/>
      </c>
      <c r="C263" s="11" t="n"/>
      <c r="D263" s="11" t="n"/>
      <c r="E263" s="12" t="n"/>
      <c r="F263" s="10">
        <f>IF($E263="","",IFERROR(IF(VLOOKUP(LEFT(UPPER(TRIM($E263)),6),BankTbl,2,0)="","(بدون عنوان)",VLOOKUP(LEFT(UPPER(TRIM($E263)),6),BankTbl,2,0)),"بانک ناشناخته"))</f>
        <v/>
      </c>
      <c r="G263" s="11" t="n"/>
      <c r="H263" s="10">
        <f>IF($G263="","",IFERROR(VLOOKUP($G263,CustTbl,2,0),IFERROR(VLOOKUP($G263,SuppTbl,2,0),IFERROR(VLOOKUP($G263,AcctTbl,2,0),IFERROR(VLOOKUP($G263,StaffTbl,2,0),"کد ناشناخته")))))</f>
        <v/>
      </c>
      <c r="I263" s="12" t="n"/>
      <c r="J263" s="12" t="n"/>
      <c r="K263" s="13" t="n"/>
      <c r="L263" s="13" t="n"/>
      <c r="M263" s="13" t="n"/>
      <c r="N263" s="14">
        <f>IF(OR($C263="",$E263="",Calc!$H263=""),"",IFERROR(VLOOKUP(LEFT(UPPER(TRIM($E263)),6),BankTbl,3,0),0)+SUMIFS(CalcDep,CalcBank,LEFT(UPPER(TRIM($E263)),6),CalcKey,"&lt;="&amp;Calc!$H263)-SUMIFS(CalcWit,CalcBank,LEFT(UPPER(TRIM($E263)),6),CalcKey,"&lt;="&amp;Calc!$H263))</f>
        <v/>
      </c>
      <c r="O263" s="10">
        <f>IF(OR($C263="",$M263=""),"",IF($N263="","؟",IF(ROUND($M263-$N263,0)=0,"√","×")))</f>
        <v/>
      </c>
      <c r="P263" s="12" t="n"/>
    </row>
    <row r="264">
      <c r="A264" s="10">
        <f>IF($C264="","",COUNTA($C$9:$C264))</f>
        <v/>
      </c>
      <c r="B264" s="10">
        <f>IF($C264="","","TXN-"&amp;RIGHT("0000"&amp;256,4))</f>
        <v/>
      </c>
      <c r="C264" s="11" t="n"/>
      <c r="D264" s="11" t="n"/>
      <c r="E264" s="12" t="n"/>
      <c r="F264" s="10">
        <f>IF($E264="","",IFERROR(IF(VLOOKUP(LEFT(UPPER(TRIM($E264)),6),BankTbl,2,0)="","(بدون عنوان)",VLOOKUP(LEFT(UPPER(TRIM($E264)),6),BankTbl,2,0)),"بانک ناشناخته"))</f>
        <v/>
      </c>
      <c r="G264" s="11" t="n"/>
      <c r="H264" s="10">
        <f>IF($G264="","",IFERROR(VLOOKUP($G264,CustTbl,2,0),IFERROR(VLOOKUP($G264,SuppTbl,2,0),IFERROR(VLOOKUP($G264,AcctTbl,2,0),IFERROR(VLOOKUP($G264,StaffTbl,2,0),"کد ناشناخته")))))</f>
        <v/>
      </c>
      <c r="I264" s="12" t="n"/>
      <c r="J264" s="12" t="n"/>
      <c r="K264" s="13" t="n"/>
      <c r="L264" s="13" t="n"/>
      <c r="M264" s="13" t="n"/>
      <c r="N264" s="14">
        <f>IF(OR($C264="",$E264="",Calc!$H264=""),"",IFERROR(VLOOKUP(LEFT(UPPER(TRIM($E264)),6),BankTbl,3,0),0)+SUMIFS(CalcDep,CalcBank,LEFT(UPPER(TRIM($E264)),6),CalcKey,"&lt;="&amp;Calc!$H264)-SUMIFS(CalcWit,CalcBank,LEFT(UPPER(TRIM($E264)),6),CalcKey,"&lt;="&amp;Calc!$H264))</f>
        <v/>
      </c>
      <c r="O264" s="10">
        <f>IF(OR($C264="",$M264=""),"",IF($N264="","؟",IF(ROUND($M264-$N264,0)=0,"√","×")))</f>
        <v/>
      </c>
      <c r="P264" s="12" t="n"/>
    </row>
    <row r="265">
      <c r="A265" s="10">
        <f>IF($C265="","",COUNTA($C$9:$C265))</f>
        <v/>
      </c>
      <c r="B265" s="10">
        <f>IF($C265="","","TXN-"&amp;RIGHT("0000"&amp;257,4))</f>
        <v/>
      </c>
      <c r="C265" s="11" t="n"/>
      <c r="D265" s="11" t="n"/>
      <c r="E265" s="12" t="n"/>
      <c r="F265" s="10">
        <f>IF($E265="","",IFERROR(IF(VLOOKUP(LEFT(UPPER(TRIM($E265)),6),BankTbl,2,0)="","(بدون عنوان)",VLOOKUP(LEFT(UPPER(TRIM($E265)),6),BankTbl,2,0)),"بانک ناشناخته"))</f>
        <v/>
      </c>
      <c r="G265" s="11" t="n"/>
      <c r="H265" s="10">
        <f>IF($G265="","",IFERROR(VLOOKUP($G265,CustTbl,2,0),IFERROR(VLOOKUP($G265,SuppTbl,2,0),IFERROR(VLOOKUP($G265,AcctTbl,2,0),IFERROR(VLOOKUP($G265,StaffTbl,2,0),"کد ناشناخته")))))</f>
        <v/>
      </c>
      <c r="I265" s="12" t="n"/>
      <c r="J265" s="12" t="n"/>
      <c r="K265" s="13" t="n"/>
      <c r="L265" s="13" t="n"/>
      <c r="M265" s="13" t="n"/>
      <c r="N265" s="14">
        <f>IF(OR($C265="",$E265="",Calc!$H265=""),"",IFERROR(VLOOKUP(LEFT(UPPER(TRIM($E265)),6),BankTbl,3,0),0)+SUMIFS(CalcDep,CalcBank,LEFT(UPPER(TRIM($E265)),6),CalcKey,"&lt;="&amp;Calc!$H265)-SUMIFS(CalcWit,CalcBank,LEFT(UPPER(TRIM($E265)),6),CalcKey,"&lt;="&amp;Calc!$H265))</f>
        <v/>
      </c>
      <c r="O265" s="10">
        <f>IF(OR($C265="",$M265=""),"",IF($N265="","؟",IF(ROUND($M265-$N265,0)=0,"√","×")))</f>
        <v/>
      </c>
      <c r="P265" s="12" t="n"/>
    </row>
    <row r="266">
      <c r="A266" s="10">
        <f>IF($C266="","",COUNTA($C$9:$C266))</f>
        <v/>
      </c>
      <c r="B266" s="10">
        <f>IF($C266="","","TXN-"&amp;RIGHT("0000"&amp;258,4))</f>
        <v/>
      </c>
      <c r="C266" s="11" t="n"/>
      <c r="D266" s="11" t="n"/>
      <c r="E266" s="12" t="n"/>
      <c r="F266" s="10">
        <f>IF($E266="","",IFERROR(IF(VLOOKUP(LEFT(UPPER(TRIM($E266)),6),BankTbl,2,0)="","(بدون عنوان)",VLOOKUP(LEFT(UPPER(TRIM($E266)),6),BankTbl,2,0)),"بانک ناشناخته"))</f>
        <v/>
      </c>
      <c r="G266" s="11" t="n"/>
      <c r="H266" s="10">
        <f>IF($G266="","",IFERROR(VLOOKUP($G266,CustTbl,2,0),IFERROR(VLOOKUP($G266,SuppTbl,2,0),IFERROR(VLOOKUP($G266,AcctTbl,2,0),IFERROR(VLOOKUP($G266,StaffTbl,2,0),"کد ناشناخته")))))</f>
        <v/>
      </c>
      <c r="I266" s="12" t="n"/>
      <c r="J266" s="12" t="n"/>
      <c r="K266" s="13" t="n"/>
      <c r="L266" s="13" t="n"/>
      <c r="M266" s="13" t="n"/>
      <c r="N266" s="14">
        <f>IF(OR($C266="",$E266="",Calc!$H266=""),"",IFERROR(VLOOKUP(LEFT(UPPER(TRIM($E266)),6),BankTbl,3,0),0)+SUMIFS(CalcDep,CalcBank,LEFT(UPPER(TRIM($E266)),6),CalcKey,"&lt;="&amp;Calc!$H266)-SUMIFS(CalcWit,CalcBank,LEFT(UPPER(TRIM($E266)),6),CalcKey,"&lt;="&amp;Calc!$H266))</f>
        <v/>
      </c>
      <c r="O266" s="10">
        <f>IF(OR($C266="",$M266=""),"",IF($N266="","؟",IF(ROUND($M266-$N266,0)=0,"√","×")))</f>
        <v/>
      </c>
      <c r="P266" s="12" t="n"/>
    </row>
    <row r="267">
      <c r="A267" s="10">
        <f>IF($C267="","",COUNTA($C$9:$C267))</f>
        <v/>
      </c>
      <c r="B267" s="10">
        <f>IF($C267="","","TXN-"&amp;RIGHT("0000"&amp;259,4))</f>
        <v/>
      </c>
      <c r="C267" s="11" t="n"/>
      <c r="D267" s="11" t="n"/>
      <c r="E267" s="12" t="n"/>
      <c r="F267" s="10">
        <f>IF($E267="","",IFERROR(IF(VLOOKUP(LEFT(UPPER(TRIM($E267)),6),BankTbl,2,0)="","(بدون عنوان)",VLOOKUP(LEFT(UPPER(TRIM($E267)),6),BankTbl,2,0)),"بانک ناشناخته"))</f>
        <v/>
      </c>
      <c r="G267" s="11" t="n"/>
      <c r="H267" s="10">
        <f>IF($G267="","",IFERROR(VLOOKUP($G267,CustTbl,2,0),IFERROR(VLOOKUP($G267,SuppTbl,2,0),IFERROR(VLOOKUP($G267,AcctTbl,2,0),IFERROR(VLOOKUP($G267,StaffTbl,2,0),"کد ناشناخته")))))</f>
        <v/>
      </c>
      <c r="I267" s="12" t="n"/>
      <c r="J267" s="12" t="n"/>
      <c r="K267" s="13" t="n"/>
      <c r="L267" s="13" t="n"/>
      <c r="M267" s="13" t="n"/>
      <c r="N267" s="14">
        <f>IF(OR($C267="",$E267="",Calc!$H267=""),"",IFERROR(VLOOKUP(LEFT(UPPER(TRIM($E267)),6),BankTbl,3,0),0)+SUMIFS(CalcDep,CalcBank,LEFT(UPPER(TRIM($E267)),6),CalcKey,"&lt;="&amp;Calc!$H267)-SUMIFS(CalcWit,CalcBank,LEFT(UPPER(TRIM($E267)),6),CalcKey,"&lt;="&amp;Calc!$H267))</f>
        <v/>
      </c>
      <c r="O267" s="10">
        <f>IF(OR($C267="",$M267=""),"",IF($N267="","؟",IF(ROUND($M267-$N267,0)=0,"√","×")))</f>
        <v/>
      </c>
      <c r="P267" s="12" t="n"/>
    </row>
    <row r="268">
      <c r="A268" s="10">
        <f>IF($C268="","",COUNTA($C$9:$C268))</f>
        <v/>
      </c>
      <c r="B268" s="10">
        <f>IF($C268="","","TXN-"&amp;RIGHT("0000"&amp;260,4))</f>
        <v/>
      </c>
      <c r="C268" s="11" t="n"/>
      <c r="D268" s="11" t="n"/>
      <c r="E268" s="12" t="n"/>
      <c r="F268" s="10">
        <f>IF($E268="","",IFERROR(IF(VLOOKUP(LEFT(UPPER(TRIM($E268)),6),BankTbl,2,0)="","(بدون عنوان)",VLOOKUP(LEFT(UPPER(TRIM($E268)),6),BankTbl,2,0)),"بانک ناشناخته"))</f>
        <v/>
      </c>
      <c r="G268" s="11" t="n"/>
      <c r="H268" s="10">
        <f>IF($G268="","",IFERROR(VLOOKUP($G268,CustTbl,2,0),IFERROR(VLOOKUP($G268,SuppTbl,2,0),IFERROR(VLOOKUP($G268,AcctTbl,2,0),IFERROR(VLOOKUP($G268,StaffTbl,2,0),"کد ناشناخته")))))</f>
        <v/>
      </c>
      <c r="I268" s="12" t="n"/>
      <c r="J268" s="12" t="n"/>
      <c r="K268" s="13" t="n"/>
      <c r="L268" s="13" t="n"/>
      <c r="M268" s="13" t="n"/>
      <c r="N268" s="14">
        <f>IF(OR($C268="",$E268="",Calc!$H268=""),"",IFERROR(VLOOKUP(LEFT(UPPER(TRIM($E268)),6),BankTbl,3,0),0)+SUMIFS(CalcDep,CalcBank,LEFT(UPPER(TRIM($E268)),6),CalcKey,"&lt;="&amp;Calc!$H268)-SUMIFS(CalcWit,CalcBank,LEFT(UPPER(TRIM($E268)),6),CalcKey,"&lt;="&amp;Calc!$H268))</f>
        <v/>
      </c>
      <c r="O268" s="10">
        <f>IF(OR($C268="",$M268=""),"",IF($N268="","؟",IF(ROUND($M268-$N268,0)=0,"√","×")))</f>
        <v/>
      </c>
      <c r="P268" s="12" t="n"/>
    </row>
    <row r="269">
      <c r="A269" s="10">
        <f>IF($C269="","",COUNTA($C$9:$C269))</f>
        <v/>
      </c>
      <c r="B269" s="10">
        <f>IF($C269="","","TXN-"&amp;RIGHT("0000"&amp;261,4))</f>
        <v/>
      </c>
      <c r="C269" s="11" t="n"/>
      <c r="D269" s="11" t="n"/>
      <c r="E269" s="12" t="n"/>
      <c r="F269" s="10">
        <f>IF($E269="","",IFERROR(IF(VLOOKUP(LEFT(UPPER(TRIM($E269)),6),BankTbl,2,0)="","(بدون عنوان)",VLOOKUP(LEFT(UPPER(TRIM($E269)),6),BankTbl,2,0)),"بانک ناشناخته"))</f>
        <v/>
      </c>
      <c r="G269" s="11" t="n"/>
      <c r="H269" s="10">
        <f>IF($G269="","",IFERROR(VLOOKUP($G269,CustTbl,2,0),IFERROR(VLOOKUP($G269,SuppTbl,2,0),IFERROR(VLOOKUP($G269,AcctTbl,2,0),IFERROR(VLOOKUP($G269,StaffTbl,2,0),"کد ناشناخته")))))</f>
        <v/>
      </c>
      <c r="I269" s="12" t="n"/>
      <c r="J269" s="12" t="n"/>
      <c r="K269" s="13" t="n"/>
      <c r="L269" s="13" t="n"/>
      <c r="M269" s="13" t="n"/>
      <c r="N269" s="14">
        <f>IF(OR($C269="",$E269="",Calc!$H269=""),"",IFERROR(VLOOKUP(LEFT(UPPER(TRIM($E269)),6),BankTbl,3,0),0)+SUMIFS(CalcDep,CalcBank,LEFT(UPPER(TRIM($E269)),6),CalcKey,"&lt;="&amp;Calc!$H269)-SUMIFS(CalcWit,CalcBank,LEFT(UPPER(TRIM($E269)),6),CalcKey,"&lt;="&amp;Calc!$H269))</f>
        <v/>
      </c>
      <c r="O269" s="10">
        <f>IF(OR($C269="",$M269=""),"",IF($N269="","؟",IF(ROUND($M269-$N269,0)=0,"√","×")))</f>
        <v/>
      </c>
      <c r="P269" s="12" t="n"/>
    </row>
    <row r="270">
      <c r="A270" s="10">
        <f>IF($C270="","",COUNTA($C$9:$C270))</f>
        <v/>
      </c>
      <c r="B270" s="10">
        <f>IF($C270="","","TXN-"&amp;RIGHT("0000"&amp;262,4))</f>
        <v/>
      </c>
      <c r="C270" s="11" t="n"/>
      <c r="D270" s="11" t="n"/>
      <c r="E270" s="12" t="n"/>
      <c r="F270" s="10">
        <f>IF($E270="","",IFERROR(IF(VLOOKUP(LEFT(UPPER(TRIM($E270)),6),BankTbl,2,0)="","(بدون عنوان)",VLOOKUP(LEFT(UPPER(TRIM($E270)),6),BankTbl,2,0)),"بانک ناشناخته"))</f>
        <v/>
      </c>
      <c r="G270" s="11" t="n"/>
      <c r="H270" s="10">
        <f>IF($G270="","",IFERROR(VLOOKUP($G270,CustTbl,2,0),IFERROR(VLOOKUP($G270,SuppTbl,2,0),IFERROR(VLOOKUP($G270,AcctTbl,2,0),IFERROR(VLOOKUP($G270,StaffTbl,2,0),"کد ناشناخته")))))</f>
        <v/>
      </c>
      <c r="I270" s="12" t="n"/>
      <c r="J270" s="12" t="n"/>
      <c r="K270" s="13" t="n"/>
      <c r="L270" s="13" t="n"/>
      <c r="M270" s="13" t="n"/>
      <c r="N270" s="14">
        <f>IF(OR($C270="",$E270="",Calc!$H270=""),"",IFERROR(VLOOKUP(LEFT(UPPER(TRIM($E270)),6),BankTbl,3,0),0)+SUMIFS(CalcDep,CalcBank,LEFT(UPPER(TRIM($E270)),6),CalcKey,"&lt;="&amp;Calc!$H270)-SUMIFS(CalcWit,CalcBank,LEFT(UPPER(TRIM($E270)),6),CalcKey,"&lt;="&amp;Calc!$H270))</f>
        <v/>
      </c>
      <c r="O270" s="10">
        <f>IF(OR($C270="",$M270=""),"",IF($N270="","؟",IF(ROUND($M270-$N270,0)=0,"√","×")))</f>
        <v/>
      </c>
      <c r="P270" s="12" t="n"/>
    </row>
    <row r="271">
      <c r="A271" s="10">
        <f>IF($C271="","",COUNTA($C$9:$C271))</f>
        <v/>
      </c>
      <c r="B271" s="10">
        <f>IF($C271="","","TXN-"&amp;RIGHT("0000"&amp;263,4))</f>
        <v/>
      </c>
      <c r="C271" s="11" t="n"/>
      <c r="D271" s="11" t="n"/>
      <c r="E271" s="12" t="n"/>
      <c r="F271" s="10">
        <f>IF($E271="","",IFERROR(IF(VLOOKUP(LEFT(UPPER(TRIM($E271)),6),BankTbl,2,0)="","(بدون عنوان)",VLOOKUP(LEFT(UPPER(TRIM($E271)),6),BankTbl,2,0)),"بانک ناشناخته"))</f>
        <v/>
      </c>
      <c r="G271" s="11" t="n"/>
      <c r="H271" s="10">
        <f>IF($G271="","",IFERROR(VLOOKUP($G271,CustTbl,2,0),IFERROR(VLOOKUP($G271,SuppTbl,2,0),IFERROR(VLOOKUP($G271,AcctTbl,2,0),IFERROR(VLOOKUP($G271,StaffTbl,2,0),"کد ناشناخته")))))</f>
        <v/>
      </c>
      <c r="I271" s="12" t="n"/>
      <c r="J271" s="12" t="n"/>
      <c r="K271" s="13" t="n"/>
      <c r="L271" s="13" t="n"/>
      <c r="M271" s="13" t="n"/>
      <c r="N271" s="14">
        <f>IF(OR($C271="",$E271="",Calc!$H271=""),"",IFERROR(VLOOKUP(LEFT(UPPER(TRIM($E271)),6),BankTbl,3,0),0)+SUMIFS(CalcDep,CalcBank,LEFT(UPPER(TRIM($E271)),6),CalcKey,"&lt;="&amp;Calc!$H271)-SUMIFS(CalcWit,CalcBank,LEFT(UPPER(TRIM($E271)),6),CalcKey,"&lt;="&amp;Calc!$H271))</f>
        <v/>
      </c>
      <c r="O271" s="10">
        <f>IF(OR($C271="",$M271=""),"",IF($N271="","؟",IF(ROUND($M271-$N271,0)=0,"√","×")))</f>
        <v/>
      </c>
      <c r="P271" s="12" t="n"/>
    </row>
    <row r="272">
      <c r="A272" s="10">
        <f>IF($C272="","",COUNTA($C$9:$C272))</f>
        <v/>
      </c>
      <c r="B272" s="10">
        <f>IF($C272="","","TXN-"&amp;RIGHT("0000"&amp;264,4))</f>
        <v/>
      </c>
      <c r="C272" s="11" t="n"/>
      <c r="D272" s="11" t="n"/>
      <c r="E272" s="12" t="n"/>
      <c r="F272" s="10">
        <f>IF($E272="","",IFERROR(IF(VLOOKUP(LEFT(UPPER(TRIM($E272)),6),BankTbl,2,0)="","(بدون عنوان)",VLOOKUP(LEFT(UPPER(TRIM($E272)),6),BankTbl,2,0)),"بانک ناشناخته"))</f>
        <v/>
      </c>
      <c r="G272" s="11" t="n"/>
      <c r="H272" s="10">
        <f>IF($G272="","",IFERROR(VLOOKUP($G272,CustTbl,2,0),IFERROR(VLOOKUP($G272,SuppTbl,2,0),IFERROR(VLOOKUP($G272,AcctTbl,2,0),IFERROR(VLOOKUP($G272,StaffTbl,2,0),"کد ناشناخته")))))</f>
        <v/>
      </c>
      <c r="I272" s="12" t="n"/>
      <c r="J272" s="12" t="n"/>
      <c r="K272" s="13" t="n"/>
      <c r="L272" s="13" t="n"/>
      <c r="M272" s="13" t="n"/>
      <c r="N272" s="14">
        <f>IF(OR($C272="",$E272="",Calc!$H272=""),"",IFERROR(VLOOKUP(LEFT(UPPER(TRIM($E272)),6),BankTbl,3,0),0)+SUMIFS(CalcDep,CalcBank,LEFT(UPPER(TRIM($E272)),6),CalcKey,"&lt;="&amp;Calc!$H272)-SUMIFS(CalcWit,CalcBank,LEFT(UPPER(TRIM($E272)),6),CalcKey,"&lt;="&amp;Calc!$H272))</f>
        <v/>
      </c>
      <c r="O272" s="10">
        <f>IF(OR($C272="",$M272=""),"",IF($N272="","؟",IF(ROUND($M272-$N272,0)=0,"√","×")))</f>
        <v/>
      </c>
      <c r="P272" s="12" t="n"/>
    </row>
    <row r="273">
      <c r="A273" s="10">
        <f>IF($C273="","",COUNTA($C$9:$C273))</f>
        <v/>
      </c>
      <c r="B273" s="10">
        <f>IF($C273="","","TXN-"&amp;RIGHT("0000"&amp;265,4))</f>
        <v/>
      </c>
      <c r="C273" s="11" t="n"/>
      <c r="D273" s="11" t="n"/>
      <c r="E273" s="12" t="n"/>
      <c r="F273" s="10">
        <f>IF($E273="","",IFERROR(IF(VLOOKUP(LEFT(UPPER(TRIM($E273)),6),BankTbl,2,0)="","(بدون عنوان)",VLOOKUP(LEFT(UPPER(TRIM($E273)),6),BankTbl,2,0)),"بانک ناشناخته"))</f>
        <v/>
      </c>
      <c r="G273" s="11" t="n"/>
      <c r="H273" s="10">
        <f>IF($G273="","",IFERROR(VLOOKUP($G273,CustTbl,2,0),IFERROR(VLOOKUP($G273,SuppTbl,2,0),IFERROR(VLOOKUP($G273,AcctTbl,2,0),IFERROR(VLOOKUP($G273,StaffTbl,2,0),"کد ناشناخته")))))</f>
        <v/>
      </c>
      <c r="I273" s="12" t="n"/>
      <c r="J273" s="12" t="n"/>
      <c r="K273" s="13" t="n"/>
      <c r="L273" s="13" t="n"/>
      <c r="M273" s="13" t="n"/>
      <c r="N273" s="14">
        <f>IF(OR($C273="",$E273="",Calc!$H273=""),"",IFERROR(VLOOKUP(LEFT(UPPER(TRIM($E273)),6),BankTbl,3,0),0)+SUMIFS(CalcDep,CalcBank,LEFT(UPPER(TRIM($E273)),6),CalcKey,"&lt;="&amp;Calc!$H273)-SUMIFS(CalcWit,CalcBank,LEFT(UPPER(TRIM($E273)),6),CalcKey,"&lt;="&amp;Calc!$H273))</f>
        <v/>
      </c>
      <c r="O273" s="10">
        <f>IF(OR($C273="",$M273=""),"",IF($N273="","؟",IF(ROUND($M273-$N273,0)=0,"√","×")))</f>
        <v/>
      </c>
      <c r="P273" s="12" t="n"/>
    </row>
    <row r="274">
      <c r="A274" s="10">
        <f>IF($C274="","",COUNTA($C$9:$C274))</f>
        <v/>
      </c>
      <c r="B274" s="10">
        <f>IF($C274="","","TXN-"&amp;RIGHT("0000"&amp;266,4))</f>
        <v/>
      </c>
      <c r="C274" s="11" t="n"/>
      <c r="D274" s="11" t="n"/>
      <c r="E274" s="12" t="n"/>
      <c r="F274" s="10">
        <f>IF($E274="","",IFERROR(IF(VLOOKUP(LEFT(UPPER(TRIM($E274)),6),BankTbl,2,0)="","(بدون عنوان)",VLOOKUP(LEFT(UPPER(TRIM($E274)),6),BankTbl,2,0)),"بانک ناشناخته"))</f>
        <v/>
      </c>
      <c r="G274" s="11" t="n"/>
      <c r="H274" s="10">
        <f>IF($G274="","",IFERROR(VLOOKUP($G274,CustTbl,2,0),IFERROR(VLOOKUP($G274,SuppTbl,2,0),IFERROR(VLOOKUP($G274,AcctTbl,2,0),IFERROR(VLOOKUP($G274,StaffTbl,2,0),"کد ناشناخته")))))</f>
        <v/>
      </c>
      <c r="I274" s="12" t="n"/>
      <c r="J274" s="12" t="n"/>
      <c r="K274" s="13" t="n"/>
      <c r="L274" s="13" t="n"/>
      <c r="M274" s="13" t="n"/>
      <c r="N274" s="14">
        <f>IF(OR($C274="",$E274="",Calc!$H274=""),"",IFERROR(VLOOKUP(LEFT(UPPER(TRIM($E274)),6),BankTbl,3,0),0)+SUMIFS(CalcDep,CalcBank,LEFT(UPPER(TRIM($E274)),6),CalcKey,"&lt;="&amp;Calc!$H274)-SUMIFS(CalcWit,CalcBank,LEFT(UPPER(TRIM($E274)),6),CalcKey,"&lt;="&amp;Calc!$H274))</f>
        <v/>
      </c>
      <c r="O274" s="10">
        <f>IF(OR($C274="",$M274=""),"",IF($N274="","؟",IF(ROUND($M274-$N274,0)=0,"√","×")))</f>
        <v/>
      </c>
      <c r="P274" s="12" t="n"/>
    </row>
    <row r="275">
      <c r="A275" s="10">
        <f>IF($C275="","",COUNTA($C$9:$C275))</f>
        <v/>
      </c>
      <c r="B275" s="10">
        <f>IF($C275="","","TXN-"&amp;RIGHT("0000"&amp;267,4))</f>
        <v/>
      </c>
      <c r="C275" s="11" t="n"/>
      <c r="D275" s="11" t="n"/>
      <c r="E275" s="12" t="n"/>
      <c r="F275" s="10">
        <f>IF($E275="","",IFERROR(IF(VLOOKUP(LEFT(UPPER(TRIM($E275)),6),BankTbl,2,0)="","(بدون عنوان)",VLOOKUP(LEFT(UPPER(TRIM($E275)),6),BankTbl,2,0)),"بانک ناشناخته"))</f>
        <v/>
      </c>
      <c r="G275" s="11" t="n"/>
      <c r="H275" s="10">
        <f>IF($G275="","",IFERROR(VLOOKUP($G275,CustTbl,2,0),IFERROR(VLOOKUP($G275,SuppTbl,2,0),IFERROR(VLOOKUP($G275,AcctTbl,2,0),IFERROR(VLOOKUP($G275,StaffTbl,2,0),"کد ناشناخته")))))</f>
        <v/>
      </c>
      <c r="I275" s="12" t="n"/>
      <c r="J275" s="12" t="n"/>
      <c r="K275" s="13" t="n"/>
      <c r="L275" s="13" t="n"/>
      <c r="M275" s="13" t="n"/>
      <c r="N275" s="14">
        <f>IF(OR($C275="",$E275="",Calc!$H275=""),"",IFERROR(VLOOKUP(LEFT(UPPER(TRIM($E275)),6),BankTbl,3,0),0)+SUMIFS(CalcDep,CalcBank,LEFT(UPPER(TRIM($E275)),6),CalcKey,"&lt;="&amp;Calc!$H275)-SUMIFS(CalcWit,CalcBank,LEFT(UPPER(TRIM($E275)),6),CalcKey,"&lt;="&amp;Calc!$H275))</f>
        <v/>
      </c>
      <c r="O275" s="10">
        <f>IF(OR($C275="",$M275=""),"",IF($N275="","؟",IF(ROUND($M275-$N275,0)=0,"√","×")))</f>
        <v/>
      </c>
      <c r="P275" s="12" t="n"/>
    </row>
    <row r="276">
      <c r="A276" s="10">
        <f>IF($C276="","",COUNTA($C$9:$C276))</f>
        <v/>
      </c>
      <c r="B276" s="10">
        <f>IF($C276="","","TXN-"&amp;RIGHT("0000"&amp;268,4))</f>
        <v/>
      </c>
      <c r="C276" s="11" t="n"/>
      <c r="D276" s="11" t="n"/>
      <c r="E276" s="12" t="n"/>
      <c r="F276" s="10">
        <f>IF($E276="","",IFERROR(IF(VLOOKUP(LEFT(UPPER(TRIM($E276)),6),BankTbl,2,0)="","(بدون عنوان)",VLOOKUP(LEFT(UPPER(TRIM($E276)),6),BankTbl,2,0)),"بانک ناشناخته"))</f>
        <v/>
      </c>
      <c r="G276" s="11" t="n"/>
      <c r="H276" s="10">
        <f>IF($G276="","",IFERROR(VLOOKUP($G276,CustTbl,2,0),IFERROR(VLOOKUP($G276,SuppTbl,2,0),IFERROR(VLOOKUP($G276,AcctTbl,2,0),IFERROR(VLOOKUP($G276,StaffTbl,2,0),"کد ناشناخته")))))</f>
        <v/>
      </c>
      <c r="I276" s="12" t="n"/>
      <c r="J276" s="12" t="n"/>
      <c r="K276" s="13" t="n"/>
      <c r="L276" s="13" t="n"/>
      <c r="M276" s="13" t="n"/>
      <c r="N276" s="14">
        <f>IF(OR($C276="",$E276="",Calc!$H276=""),"",IFERROR(VLOOKUP(LEFT(UPPER(TRIM($E276)),6),BankTbl,3,0),0)+SUMIFS(CalcDep,CalcBank,LEFT(UPPER(TRIM($E276)),6),CalcKey,"&lt;="&amp;Calc!$H276)-SUMIFS(CalcWit,CalcBank,LEFT(UPPER(TRIM($E276)),6),CalcKey,"&lt;="&amp;Calc!$H276))</f>
        <v/>
      </c>
      <c r="O276" s="10">
        <f>IF(OR($C276="",$M276=""),"",IF($N276="","؟",IF(ROUND($M276-$N276,0)=0,"√","×")))</f>
        <v/>
      </c>
      <c r="P276" s="12" t="n"/>
    </row>
    <row r="277">
      <c r="A277" s="10">
        <f>IF($C277="","",COUNTA($C$9:$C277))</f>
        <v/>
      </c>
      <c r="B277" s="10">
        <f>IF($C277="","","TXN-"&amp;RIGHT("0000"&amp;269,4))</f>
        <v/>
      </c>
      <c r="C277" s="11" t="n"/>
      <c r="D277" s="11" t="n"/>
      <c r="E277" s="12" t="n"/>
      <c r="F277" s="10">
        <f>IF($E277="","",IFERROR(IF(VLOOKUP(LEFT(UPPER(TRIM($E277)),6),BankTbl,2,0)="","(بدون عنوان)",VLOOKUP(LEFT(UPPER(TRIM($E277)),6),BankTbl,2,0)),"بانک ناشناخته"))</f>
        <v/>
      </c>
      <c r="G277" s="11" t="n"/>
      <c r="H277" s="10">
        <f>IF($G277="","",IFERROR(VLOOKUP($G277,CustTbl,2,0),IFERROR(VLOOKUP($G277,SuppTbl,2,0),IFERROR(VLOOKUP($G277,AcctTbl,2,0),IFERROR(VLOOKUP($G277,StaffTbl,2,0),"کد ناشناخته")))))</f>
        <v/>
      </c>
      <c r="I277" s="12" t="n"/>
      <c r="J277" s="12" t="n"/>
      <c r="K277" s="13" t="n"/>
      <c r="L277" s="13" t="n"/>
      <c r="M277" s="13" t="n"/>
      <c r="N277" s="14">
        <f>IF(OR($C277="",$E277="",Calc!$H277=""),"",IFERROR(VLOOKUP(LEFT(UPPER(TRIM($E277)),6),BankTbl,3,0),0)+SUMIFS(CalcDep,CalcBank,LEFT(UPPER(TRIM($E277)),6),CalcKey,"&lt;="&amp;Calc!$H277)-SUMIFS(CalcWit,CalcBank,LEFT(UPPER(TRIM($E277)),6),CalcKey,"&lt;="&amp;Calc!$H277))</f>
        <v/>
      </c>
      <c r="O277" s="10">
        <f>IF(OR($C277="",$M277=""),"",IF($N277="","؟",IF(ROUND($M277-$N277,0)=0,"√","×")))</f>
        <v/>
      </c>
      <c r="P277" s="12" t="n"/>
    </row>
    <row r="278">
      <c r="A278" s="10">
        <f>IF($C278="","",COUNTA($C$9:$C278))</f>
        <v/>
      </c>
      <c r="B278" s="10">
        <f>IF($C278="","","TXN-"&amp;RIGHT("0000"&amp;270,4))</f>
        <v/>
      </c>
      <c r="C278" s="11" t="n"/>
      <c r="D278" s="11" t="n"/>
      <c r="E278" s="12" t="n"/>
      <c r="F278" s="10">
        <f>IF($E278="","",IFERROR(IF(VLOOKUP(LEFT(UPPER(TRIM($E278)),6),BankTbl,2,0)="","(بدون عنوان)",VLOOKUP(LEFT(UPPER(TRIM($E278)),6),BankTbl,2,0)),"بانک ناشناخته"))</f>
        <v/>
      </c>
      <c r="G278" s="11" t="n"/>
      <c r="H278" s="10">
        <f>IF($G278="","",IFERROR(VLOOKUP($G278,CustTbl,2,0),IFERROR(VLOOKUP($G278,SuppTbl,2,0),IFERROR(VLOOKUP($G278,AcctTbl,2,0),IFERROR(VLOOKUP($G278,StaffTbl,2,0),"کد ناشناخته")))))</f>
        <v/>
      </c>
      <c r="I278" s="12" t="n"/>
      <c r="J278" s="12" t="n"/>
      <c r="K278" s="13" t="n"/>
      <c r="L278" s="13" t="n"/>
      <c r="M278" s="13" t="n"/>
      <c r="N278" s="14">
        <f>IF(OR($C278="",$E278="",Calc!$H278=""),"",IFERROR(VLOOKUP(LEFT(UPPER(TRIM($E278)),6),BankTbl,3,0),0)+SUMIFS(CalcDep,CalcBank,LEFT(UPPER(TRIM($E278)),6),CalcKey,"&lt;="&amp;Calc!$H278)-SUMIFS(CalcWit,CalcBank,LEFT(UPPER(TRIM($E278)),6),CalcKey,"&lt;="&amp;Calc!$H278))</f>
        <v/>
      </c>
      <c r="O278" s="10">
        <f>IF(OR($C278="",$M278=""),"",IF($N278="","؟",IF(ROUND($M278-$N278,0)=0,"√","×")))</f>
        <v/>
      </c>
      <c r="P278" s="12" t="n"/>
    </row>
    <row r="279">
      <c r="A279" s="10">
        <f>IF($C279="","",COUNTA($C$9:$C279))</f>
        <v/>
      </c>
      <c r="B279" s="10">
        <f>IF($C279="","","TXN-"&amp;RIGHT("0000"&amp;271,4))</f>
        <v/>
      </c>
      <c r="C279" s="11" t="n"/>
      <c r="D279" s="11" t="n"/>
      <c r="E279" s="12" t="n"/>
      <c r="F279" s="10">
        <f>IF($E279="","",IFERROR(IF(VLOOKUP(LEFT(UPPER(TRIM($E279)),6),BankTbl,2,0)="","(بدون عنوان)",VLOOKUP(LEFT(UPPER(TRIM($E279)),6),BankTbl,2,0)),"بانک ناشناخته"))</f>
        <v/>
      </c>
      <c r="G279" s="11" t="n"/>
      <c r="H279" s="10">
        <f>IF($G279="","",IFERROR(VLOOKUP($G279,CustTbl,2,0),IFERROR(VLOOKUP($G279,SuppTbl,2,0),IFERROR(VLOOKUP($G279,AcctTbl,2,0),IFERROR(VLOOKUP($G279,StaffTbl,2,0),"کد ناشناخته")))))</f>
        <v/>
      </c>
      <c r="I279" s="12" t="n"/>
      <c r="J279" s="12" t="n"/>
      <c r="K279" s="13" t="n"/>
      <c r="L279" s="13" t="n"/>
      <c r="M279" s="13" t="n"/>
      <c r="N279" s="14">
        <f>IF(OR($C279="",$E279="",Calc!$H279=""),"",IFERROR(VLOOKUP(LEFT(UPPER(TRIM($E279)),6),BankTbl,3,0),0)+SUMIFS(CalcDep,CalcBank,LEFT(UPPER(TRIM($E279)),6),CalcKey,"&lt;="&amp;Calc!$H279)-SUMIFS(CalcWit,CalcBank,LEFT(UPPER(TRIM($E279)),6),CalcKey,"&lt;="&amp;Calc!$H279))</f>
        <v/>
      </c>
      <c r="O279" s="10">
        <f>IF(OR($C279="",$M279=""),"",IF($N279="","؟",IF(ROUND($M279-$N279,0)=0,"√","×")))</f>
        <v/>
      </c>
      <c r="P279" s="12" t="n"/>
    </row>
    <row r="280">
      <c r="A280" s="10">
        <f>IF($C280="","",COUNTA($C$9:$C280))</f>
        <v/>
      </c>
      <c r="B280" s="10">
        <f>IF($C280="","","TXN-"&amp;RIGHT("0000"&amp;272,4))</f>
        <v/>
      </c>
      <c r="C280" s="11" t="n"/>
      <c r="D280" s="11" t="n"/>
      <c r="E280" s="12" t="n"/>
      <c r="F280" s="10">
        <f>IF($E280="","",IFERROR(IF(VLOOKUP(LEFT(UPPER(TRIM($E280)),6),BankTbl,2,0)="","(بدون عنوان)",VLOOKUP(LEFT(UPPER(TRIM($E280)),6),BankTbl,2,0)),"بانک ناشناخته"))</f>
        <v/>
      </c>
      <c r="G280" s="11" t="n"/>
      <c r="H280" s="10">
        <f>IF($G280="","",IFERROR(VLOOKUP($G280,CustTbl,2,0),IFERROR(VLOOKUP($G280,SuppTbl,2,0),IFERROR(VLOOKUP($G280,AcctTbl,2,0),IFERROR(VLOOKUP($G280,StaffTbl,2,0),"کد ناشناخته")))))</f>
        <v/>
      </c>
      <c r="I280" s="12" t="n"/>
      <c r="J280" s="12" t="n"/>
      <c r="K280" s="13" t="n"/>
      <c r="L280" s="13" t="n"/>
      <c r="M280" s="13" t="n"/>
      <c r="N280" s="14">
        <f>IF(OR($C280="",$E280="",Calc!$H280=""),"",IFERROR(VLOOKUP(LEFT(UPPER(TRIM($E280)),6),BankTbl,3,0),0)+SUMIFS(CalcDep,CalcBank,LEFT(UPPER(TRIM($E280)),6),CalcKey,"&lt;="&amp;Calc!$H280)-SUMIFS(CalcWit,CalcBank,LEFT(UPPER(TRIM($E280)),6),CalcKey,"&lt;="&amp;Calc!$H280))</f>
        <v/>
      </c>
      <c r="O280" s="10">
        <f>IF(OR($C280="",$M280=""),"",IF($N280="","؟",IF(ROUND($M280-$N280,0)=0,"√","×")))</f>
        <v/>
      </c>
      <c r="P280" s="12" t="n"/>
    </row>
    <row r="281">
      <c r="A281" s="10">
        <f>IF($C281="","",COUNTA($C$9:$C281))</f>
        <v/>
      </c>
      <c r="B281" s="10">
        <f>IF($C281="","","TXN-"&amp;RIGHT("0000"&amp;273,4))</f>
        <v/>
      </c>
      <c r="C281" s="11" t="n"/>
      <c r="D281" s="11" t="n"/>
      <c r="E281" s="12" t="n"/>
      <c r="F281" s="10">
        <f>IF($E281="","",IFERROR(IF(VLOOKUP(LEFT(UPPER(TRIM($E281)),6),BankTbl,2,0)="","(بدون عنوان)",VLOOKUP(LEFT(UPPER(TRIM($E281)),6),BankTbl,2,0)),"بانک ناشناخته"))</f>
        <v/>
      </c>
      <c r="G281" s="11" t="n"/>
      <c r="H281" s="10">
        <f>IF($G281="","",IFERROR(VLOOKUP($G281,CustTbl,2,0),IFERROR(VLOOKUP($G281,SuppTbl,2,0),IFERROR(VLOOKUP($G281,AcctTbl,2,0),IFERROR(VLOOKUP($G281,StaffTbl,2,0),"کد ناشناخته")))))</f>
        <v/>
      </c>
      <c r="I281" s="12" t="n"/>
      <c r="J281" s="12" t="n"/>
      <c r="K281" s="13" t="n"/>
      <c r="L281" s="13" t="n"/>
      <c r="M281" s="13" t="n"/>
      <c r="N281" s="14">
        <f>IF(OR($C281="",$E281="",Calc!$H281=""),"",IFERROR(VLOOKUP(LEFT(UPPER(TRIM($E281)),6),BankTbl,3,0),0)+SUMIFS(CalcDep,CalcBank,LEFT(UPPER(TRIM($E281)),6),CalcKey,"&lt;="&amp;Calc!$H281)-SUMIFS(CalcWit,CalcBank,LEFT(UPPER(TRIM($E281)),6),CalcKey,"&lt;="&amp;Calc!$H281))</f>
        <v/>
      </c>
      <c r="O281" s="10">
        <f>IF(OR($C281="",$M281=""),"",IF($N281="","؟",IF(ROUND($M281-$N281,0)=0,"√","×")))</f>
        <v/>
      </c>
      <c r="P281" s="12" t="n"/>
    </row>
    <row r="282">
      <c r="A282" s="10">
        <f>IF($C282="","",COUNTA($C$9:$C282))</f>
        <v/>
      </c>
      <c r="B282" s="10">
        <f>IF($C282="","","TXN-"&amp;RIGHT("0000"&amp;274,4))</f>
        <v/>
      </c>
      <c r="C282" s="11" t="n"/>
      <c r="D282" s="11" t="n"/>
      <c r="E282" s="12" t="n"/>
      <c r="F282" s="10">
        <f>IF($E282="","",IFERROR(IF(VLOOKUP(LEFT(UPPER(TRIM($E282)),6),BankTbl,2,0)="","(بدون عنوان)",VLOOKUP(LEFT(UPPER(TRIM($E282)),6),BankTbl,2,0)),"بانک ناشناخته"))</f>
        <v/>
      </c>
      <c r="G282" s="11" t="n"/>
      <c r="H282" s="10">
        <f>IF($G282="","",IFERROR(VLOOKUP($G282,CustTbl,2,0),IFERROR(VLOOKUP($G282,SuppTbl,2,0),IFERROR(VLOOKUP($G282,AcctTbl,2,0),IFERROR(VLOOKUP($G282,StaffTbl,2,0),"کد ناشناخته")))))</f>
        <v/>
      </c>
      <c r="I282" s="12" t="n"/>
      <c r="J282" s="12" t="n"/>
      <c r="K282" s="13" t="n"/>
      <c r="L282" s="13" t="n"/>
      <c r="M282" s="13" t="n"/>
      <c r="N282" s="14">
        <f>IF(OR($C282="",$E282="",Calc!$H282=""),"",IFERROR(VLOOKUP(LEFT(UPPER(TRIM($E282)),6),BankTbl,3,0),0)+SUMIFS(CalcDep,CalcBank,LEFT(UPPER(TRIM($E282)),6),CalcKey,"&lt;="&amp;Calc!$H282)-SUMIFS(CalcWit,CalcBank,LEFT(UPPER(TRIM($E282)),6),CalcKey,"&lt;="&amp;Calc!$H282))</f>
        <v/>
      </c>
      <c r="O282" s="10">
        <f>IF(OR($C282="",$M282=""),"",IF($N282="","؟",IF(ROUND($M282-$N282,0)=0,"√","×")))</f>
        <v/>
      </c>
      <c r="P282" s="12" t="n"/>
    </row>
    <row r="283">
      <c r="A283" s="10">
        <f>IF($C283="","",COUNTA($C$9:$C283))</f>
        <v/>
      </c>
      <c r="B283" s="10">
        <f>IF($C283="","","TXN-"&amp;RIGHT("0000"&amp;275,4))</f>
        <v/>
      </c>
      <c r="C283" s="11" t="n"/>
      <c r="D283" s="11" t="n"/>
      <c r="E283" s="12" t="n"/>
      <c r="F283" s="10">
        <f>IF($E283="","",IFERROR(IF(VLOOKUP(LEFT(UPPER(TRIM($E283)),6),BankTbl,2,0)="","(بدون عنوان)",VLOOKUP(LEFT(UPPER(TRIM($E283)),6),BankTbl,2,0)),"بانک ناشناخته"))</f>
        <v/>
      </c>
      <c r="G283" s="11" t="n"/>
      <c r="H283" s="10">
        <f>IF($G283="","",IFERROR(VLOOKUP($G283,CustTbl,2,0),IFERROR(VLOOKUP($G283,SuppTbl,2,0),IFERROR(VLOOKUP($G283,AcctTbl,2,0),IFERROR(VLOOKUP($G283,StaffTbl,2,0),"کد ناشناخته")))))</f>
        <v/>
      </c>
      <c r="I283" s="12" t="n"/>
      <c r="J283" s="12" t="n"/>
      <c r="K283" s="13" t="n"/>
      <c r="L283" s="13" t="n"/>
      <c r="M283" s="13" t="n"/>
      <c r="N283" s="14">
        <f>IF(OR($C283="",$E283="",Calc!$H283=""),"",IFERROR(VLOOKUP(LEFT(UPPER(TRIM($E283)),6),BankTbl,3,0),0)+SUMIFS(CalcDep,CalcBank,LEFT(UPPER(TRIM($E283)),6),CalcKey,"&lt;="&amp;Calc!$H283)-SUMIFS(CalcWit,CalcBank,LEFT(UPPER(TRIM($E283)),6),CalcKey,"&lt;="&amp;Calc!$H283))</f>
        <v/>
      </c>
      <c r="O283" s="10">
        <f>IF(OR($C283="",$M283=""),"",IF($N283="","؟",IF(ROUND($M283-$N283,0)=0,"√","×")))</f>
        <v/>
      </c>
      <c r="P283" s="12" t="n"/>
    </row>
    <row r="284">
      <c r="A284" s="10">
        <f>IF($C284="","",COUNTA($C$9:$C284))</f>
        <v/>
      </c>
      <c r="B284" s="10">
        <f>IF($C284="","","TXN-"&amp;RIGHT("0000"&amp;276,4))</f>
        <v/>
      </c>
      <c r="C284" s="11" t="n"/>
      <c r="D284" s="11" t="n"/>
      <c r="E284" s="12" t="n"/>
      <c r="F284" s="10">
        <f>IF($E284="","",IFERROR(IF(VLOOKUP(LEFT(UPPER(TRIM($E284)),6),BankTbl,2,0)="","(بدون عنوان)",VLOOKUP(LEFT(UPPER(TRIM($E284)),6),BankTbl,2,0)),"بانک ناشناخته"))</f>
        <v/>
      </c>
      <c r="G284" s="11" t="n"/>
      <c r="H284" s="10">
        <f>IF($G284="","",IFERROR(VLOOKUP($G284,CustTbl,2,0),IFERROR(VLOOKUP($G284,SuppTbl,2,0),IFERROR(VLOOKUP($G284,AcctTbl,2,0),IFERROR(VLOOKUP($G284,StaffTbl,2,0),"کد ناشناخته")))))</f>
        <v/>
      </c>
      <c r="I284" s="12" t="n"/>
      <c r="J284" s="12" t="n"/>
      <c r="K284" s="13" t="n"/>
      <c r="L284" s="13" t="n"/>
      <c r="M284" s="13" t="n"/>
      <c r="N284" s="14">
        <f>IF(OR($C284="",$E284="",Calc!$H284=""),"",IFERROR(VLOOKUP(LEFT(UPPER(TRIM($E284)),6),BankTbl,3,0),0)+SUMIFS(CalcDep,CalcBank,LEFT(UPPER(TRIM($E284)),6),CalcKey,"&lt;="&amp;Calc!$H284)-SUMIFS(CalcWit,CalcBank,LEFT(UPPER(TRIM($E284)),6),CalcKey,"&lt;="&amp;Calc!$H284))</f>
        <v/>
      </c>
      <c r="O284" s="10">
        <f>IF(OR($C284="",$M284=""),"",IF($N284="","؟",IF(ROUND($M284-$N284,0)=0,"√","×")))</f>
        <v/>
      </c>
      <c r="P284" s="12" t="n"/>
    </row>
    <row r="285">
      <c r="A285" s="10">
        <f>IF($C285="","",COUNTA($C$9:$C285))</f>
        <v/>
      </c>
      <c r="B285" s="10">
        <f>IF($C285="","","TXN-"&amp;RIGHT("0000"&amp;277,4))</f>
        <v/>
      </c>
      <c r="C285" s="11" t="n"/>
      <c r="D285" s="11" t="n"/>
      <c r="E285" s="12" t="n"/>
      <c r="F285" s="10">
        <f>IF($E285="","",IFERROR(IF(VLOOKUP(LEFT(UPPER(TRIM($E285)),6),BankTbl,2,0)="","(بدون عنوان)",VLOOKUP(LEFT(UPPER(TRIM($E285)),6),BankTbl,2,0)),"بانک ناشناخته"))</f>
        <v/>
      </c>
      <c r="G285" s="11" t="n"/>
      <c r="H285" s="10">
        <f>IF($G285="","",IFERROR(VLOOKUP($G285,CustTbl,2,0),IFERROR(VLOOKUP($G285,SuppTbl,2,0),IFERROR(VLOOKUP($G285,AcctTbl,2,0),IFERROR(VLOOKUP($G285,StaffTbl,2,0),"کد ناشناخته")))))</f>
        <v/>
      </c>
      <c r="I285" s="12" t="n"/>
      <c r="J285" s="12" t="n"/>
      <c r="K285" s="13" t="n"/>
      <c r="L285" s="13" t="n"/>
      <c r="M285" s="13" t="n"/>
      <c r="N285" s="14">
        <f>IF(OR($C285="",$E285="",Calc!$H285=""),"",IFERROR(VLOOKUP(LEFT(UPPER(TRIM($E285)),6),BankTbl,3,0),0)+SUMIFS(CalcDep,CalcBank,LEFT(UPPER(TRIM($E285)),6),CalcKey,"&lt;="&amp;Calc!$H285)-SUMIFS(CalcWit,CalcBank,LEFT(UPPER(TRIM($E285)),6),CalcKey,"&lt;="&amp;Calc!$H285))</f>
        <v/>
      </c>
      <c r="O285" s="10">
        <f>IF(OR($C285="",$M285=""),"",IF($N285="","؟",IF(ROUND($M285-$N285,0)=0,"√","×")))</f>
        <v/>
      </c>
      <c r="P285" s="12" t="n"/>
    </row>
    <row r="286">
      <c r="A286" s="10">
        <f>IF($C286="","",COUNTA($C$9:$C286))</f>
        <v/>
      </c>
      <c r="B286" s="10">
        <f>IF($C286="","","TXN-"&amp;RIGHT("0000"&amp;278,4))</f>
        <v/>
      </c>
      <c r="C286" s="11" t="n"/>
      <c r="D286" s="11" t="n"/>
      <c r="E286" s="12" t="n"/>
      <c r="F286" s="10">
        <f>IF($E286="","",IFERROR(IF(VLOOKUP(LEFT(UPPER(TRIM($E286)),6),BankTbl,2,0)="","(بدون عنوان)",VLOOKUP(LEFT(UPPER(TRIM($E286)),6),BankTbl,2,0)),"بانک ناشناخته"))</f>
        <v/>
      </c>
      <c r="G286" s="11" t="n"/>
      <c r="H286" s="10">
        <f>IF($G286="","",IFERROR(VLOOKUP($G286,CustTbl,2,0),IFERROR(VLOOKUP($G286,SuppTbl,2,0),IFERROR(VLOOKUP($G286,AcctTbl,2,0),IFERROR(VLOOKUP($G286,StaffTbl,2,0),"کد ناشناخته")))))</f>
        <v/>
      </c>
      <c r="I286" s="12" t="n"/>
      <c r="J286" s="12" t="n"/>
      <c r="K286" s="13" t="n"/>
      <c r="L286" s="13" t="n"/>
      <c r="M286" s="13" t="n"/>
      <c r="N286" s="14">
        <f>IF(OR($C286="",$E286="",Calc!$H286=""),"",IFERROR(VLOOKUP(LEFT(UPPER(TRIM($E286)),6),BankTbl,3,0),0)+SUMIFS(CalcDep,CalcBank,LEFT(UPPER(TRIM($E286)),6),CalcKey,"&lt;="&amp;Calc!$H286)-SUMIFS(CalcWit,CalcBank,LEFT(UPPER(TRIM($E286)),6),CalcKey,"&lt;="&amp;Calc!$H286))</f>
        <v/>
      </c>
      <c r="O286" s="10">
        <f>IF(OR($C286="",$M286=""),"",IF($N286="","؟",IF(ROUND($M286-$N286,0)=0,"√","×")))</f>
        <v/>
      </c>
      <c r="P286" s="12" t="n"/>
    </row>
    <row r="287">
      <c r="A287" s="10">
        <f>IF($C287="","",COUNTA($C$9:$C287))</f>
        <v/>
      </c>
      <c r="B287" s="10">
        <f>IF($C287="","","TXN-"&amp;RIGHT("0000"&amp;279,4))</f>
        <v/>
      </c>
      <c r="C287" s="11" t="n"/>
      <c r="D287" s="11" t="n"/>
      <c r="E287" s="12" t="n"/>
      <c r="F287" s="10">
        <f>IF($E287="","",IFERROR(IF(VLOOKUP(LEFT(UPPER(TRIM($E287)),6),BankTbl,2,0)="","(بدون عنوان)",VLOOKUP(LEFT(UPPER(TRIM($E287)),6),BankTbl,2,0)),"بانک ناشناخته"))</f>
        <v/>
      </c>
      <c r="G287" s="11" t="n"/>
      <c r="H287" s="10">
        <f>IF($G287="","",IFERROR(VLOOKUP($G287,CustTbl,2,0),IFERROR(VLOOKUP($G287,SuppTbl,2,0),IFERROR(VLOOKUP($G287,AcctTbl,2,0),IFERROR(VLOOKUP($G287,StaffTbl,2,0),"کد ناشناخته")))))</f>
        <v/>
      </c>
      <c r="I287" s="12" t="n"/>
      <c r="J287" s="12" t="n"/>
      <c r="K287" s="13" t="n"/>
      <c r="L287" s="13" t="n"/>
      <c r="M287" s="13" t="n"/>
      <c r="N287" s="14">
        <f>IF(OR($C287="",$E287="",Calc!$H287=""),"",IFERROR(VLOOKUP(LEFT(UPPER(TRIM($E287)),6),BankTbl,3,0),0)+SUMIFS(CalcDep,CalcBank,LEFT(UPPER(TRIM($E287)),6),CalcKey,"&lt;="&amp;Calc!$H287)-SUMIFS(CalcWit,CalcBank,LEFT(UPPER(TRIM($E287)),6),CalcKey,"&lt;="&amp;Calc!$H287))</f>
        <v/>
      </c>
      <c r="O287" s="10">
        <f>IF(OR($C287="",$M287=""),"",IF($N287="","؟",IF(ROUND($M287-$N287,0)=0,"√","×")))</f>
        <v/>
      </c>
      <c r="P287" s="12" t="n"/>
    </row>
    <row r="288">
      <c r="A288" s="10">
        <f>IF($C288="","",COUNTA($C$9:$C288))</f>
        <v/>
      </c>
      <c r="B288" s="10">
        <f>IF($C288="","","TXN-"&amp;RIGHT("0000"&amp;280,4))</f>
        <v/>
      </c>
      <c r="C288" s="11" t="n"/>
      <c r="D288" s="11" t="n"/>
      <c r="E288" s="12" t="n"/>
      <c r="F288" s="10">
        <f>IF($E288="","",IFERROR(IF(VLOOKUP(LEFT(UPPER(TRIM($E288)),6),BankTbl,2,0)="","(بدون عنوان)",VLOOKUP(LEFT(UPPER(TRIM($E288)),6),BankTbl,2,0)),"بانک ناشناخته"))</f>
        <v/>
      </c>
      <c r="G288" s="11" t="n"/>
      <c r="H288" s="10">
        <f>IF($G288="","",IFERROR(VLOOKUP($G288,CustTbl,2,0),IFERROR(VLOOKUP($G288,SuppTbl,2,0),IFERROR(VLOOKUP($G288,AcctTbl,2,0),IFERROR(VLOOKUP($G288,StaffTbl,2,0),"کد ناشناخته")))))</f>
        <v/>
      </c>
      <c r="I288" s="12" t="n"/>
      <c r="J288" s="12" t="n"/>
      <c r="K288" s="13" t="n"/>
      <c r="L288" s="13" t="n"/>
      <c r="M288" s="13" t="n"/>
      <c r="N288" s="14">
        <f>IF(OR($C288="",$E288="",Calc!$H288=""),"",IFERROR(VLOOKUP(LEFT(UPPER(TRIM($E288)),6),BankTbl,3,0),0)+SUMIFS(CalcDep,CalcBank,LEFT(UPPER(TRIM($E288)),6),CalcKey,"&lt;="&amp;Calc!$H288)-SUMIFS(CalcWit,CalcBank,LEFT(UPPER(TRIM($E288)),6),CalcKey,"&lt;="&amp;Calc!$H288))</f>
        <v/>
      </c>
      <c r="O288" s="10">
        <f>IF(OR($C288="",$M288=""),"",IF($N288="","؟",IF(ROUND($M288-$N288,0)=0,"√","×")))</f>
        <v/>
      </c>
      <c r="P288" s="12" t="n"/>
    </row>
    <row r="289">
      <c r="A289" s="10">
        <f>IF($C289="","",COUNTA($C$9:$C289))</f>
        <v/>
      </c>
      <c r="B289" s="10">
        <f>IF($C289="","","TXN-"&amp;RIGHT("0000"&amp;281,4))</f>
        <v/>
      </c>
      <c r="C289" s="11" t="n"/>
      <c r="D289" s="11" t="n"/>
      <c r="E289" s="12" t="n"/>
      <c r="F289" s="10">
        <f>IF($E289="","",IFERROR(IF(VLOOKUP(LEFT(UPPER(TRIM($E289)),6),BankTbl,2,0)="","(بدون عنوان)",VLOOKUP(LEFT(UPPER(TRIM($E289)),6),BankTbl,2,0)),"بانک ناشناخته"))</f>
        <v/>
      </c>
      <c r="G289" s="11" t="n"/>
      <c r="H289" s="10">
        <f>IF($G289="","",IFERROR(VLOOKUP($G289,CustTbl,2,0),IFERROR(VLOOKUP($G289,SuppTbl,2,0),IFERROR(VLOOKUP($G289,AcctTbl,2,0),IFERROR(VLOOKUP($G289,StaffTbl,2,0),"کد ناشناخته")))))</f>
        <v/>
      </c>
      <c r="I289" s="12" t="n"/>
      <c r="J289" s="12" t="n"/>
      <c r="K289" s="13" t="n"/>
      <c r="L289" s="13" t="n"/>
      <c r="M289" s="13" t="n"/>
      <c r="N289" s="14">
        <f>IF(OR($C289="",$E289="",Calc!$H289=""),"",IFERROR(VLOOKUP(LEFT(UPPER(TRIM($E289)),6),BankTbl,3,0),0)+SUMIFS(CalcDep,CalcBank,LEFT(UPPER(TRIM($E289)),6),CalcKey,"&lt;="&amp;Calc!$H289)-SUMIFS(CalcWit,CalcBank,LEFT(UPPER(TRIM($E289)),6),CalcKey,"&lt;="&amp;Calc!$H289))</f>
        <v/>
      </c>
      <c r="O289" s="10">
        <f>IF(OR($C289="",$M289=""),"",IF($N289="","؟",IF(ROUND($M289-$N289,0)=0,"√","×")))</f>
        <v/>
      </c>
      <c r="P289" s="12" t="n"/>
    </row>
    <row r="290">
      <c r="A290" s="10">
        <f>IF($C290="","",COUNTA($C$9:$C290))</f>
        <v/>
      </c>
      <c r="B290" s="10">
        <f>IF($C290="","","TXN-"&amp;RIGHT("0000"&amp;282,4))</f>
        <v/>
      </c>
      <c r="C290" s="11" t="n"/>
      <c r="D290" s="11" t="n"/>
      <c r="E290" s="12" t="n"/>
      <c r="F290" s="10">
        <f>IF($E290="","",IFERROR(IF(VLOOKUP(LEFT(UPPER(TRIM($E290)),6),BankTbl,2,0)="","(بدون عنوان)",VLOOKUP(LEFT(UPPER(TRIM($E290)),6),BankTbl,2,0)),"بانک ناشناخته"))</f>
        <v/>
      </c>
      <c r="G290" s="11" t="n"/>
      <c r="H290" s="10">
        <f>IF($G290="","",IFERROR(VLOOKUP($G290,CustTbl,2,0),IFERROR(VLOOKUP($G290,SuppTbl,2,0),IFERROR(VLOOKUP($G290,AcctTbl,2,0),IFERROR(VLOOKUP($G290,StaffTbl,2,0),"کد ناشناخته")))))</f>
        <v/>
      </c>
      <c r="I290" s="12" t="n"/>
      <c r="J290" s="12" t="n"/>
      <c r="K290" s="13" t="n"/>
      <c r="L290" s="13" t="n"/>
      <c r="M290" s="13" t="n"/>
      <c r="N290" s="14">
        <f>IF(OR($C290="",$E290="",Calc!$H290=""),"",IFERROR(VLOOKUP(LEFT(UPPER(TRIM($E290)),6),BankTbl,3,0),0)+SUMIFS(CalcDep,CalcBank,LEFT(UPPER(TRIM($E290)),6),CalcKey,"&lt;="&amp;Calc!$H290)-SUMIFS(CalcWit,CalcBank,LEFT(UPPER(TRIM($E290)),6),CalcKey,"&lt;="&amp;Calc!$H290))</f>
        <v/>
      </c>
      <c r="O290" s="10">
        <f>IF(OR($C290="",$M290=""),"",IF($N290="","؟",IF(ROUND($M290-$N290,0)=0,"√","×")))</f>
        <v/>
      </c>
      <c r="P290" s="12" t="n"/>
    </row>
    <row r="291">
      <c r="A291" s="10">
        <f>IF($C291="","",COUNTA($C$9:$C291))</f>
        <v/>
      </c>
      <c r="B291" s="10">
        <f>IF($C291="","","TXN-"&amp;RIGHT("0000"&amp;283,4))</f>
        <v/>
      </c>
      <c r="C291" s="11" t="n"/>
      <c r="D291" s="11" t="n"/>
      <c r="E291" s="12" t="n"/>
      <c r="F291" s="10">
        <f>IF($E291="","",IFERROR(IF(VLOOKUP(LEFT(UPPER(TRIM($E291)),6),BankTbl,2,0)="","(بدون عنوان)",VLOOKUP(LEFT(UPPER(TRIM($E291)),6),BankTbl,2,0)),"بانک ناشناخته"))</f>
        <v/>
      </c>
      <c r="G291" s="11" t="n"/>
      <c r="H291" s="10">
        <f>IF($G291="","",IFERROR(VLOOKUP($G291,CustTbl,2,0),IFERROR(VLOOKUP($G291,SuppTbl,2,0),IFERROR(VLOOKUP($G291,AcctTbl,2,0),IFERROR(VLOOKUP($G291,StaffTbl,2,0),"کد ناشناخته")))))</f>
        <v/>
      </c>
      <c r="I291" s="12" t="n"/>
      <c r="J291" s="12" t="n"/>
      <c r="K291" s="13" t="n"/>
      <c r="L291" s="13" t="n"/>
      <c r="M291" s="13" t="n"/>
      <c r="N291" s="14">
        <f>IF(OR($C291="",$E291="",Calc!$H291=""),"",IFERROR(VLOOKUP(LEFT(UPPER(TRIM($E291)),6),BankTbl,3,0),0)+SUMIFS(CalcDep,CalcBank,LEFT(UPPER(TRIM($E291)),6),CalcKey,"&lt;="&amp;Calc!$H291)-SUMIFS(CalcWit,CalcBank,LEFT(UPPER(TRIM($E291)),6),CalcKey,"&lt;="&amp;Calc!$H291))</f>
        <v/>
      </c>
      <c r="O291" s="10">
        <f>IF(OR($C291="",$M291=""),"",IF($N291="","؟",IF(ROUND($M291-$N291,0)=0,"√","×")))</f>
        <v/>
      </c>
      <c r="P291" s="12" t="n"/>
    </row>
    <row r="292">
      <c r="A292" s="10">
        <f>IF($C292="","",COUNTA($C$9:$C292))</f>
        <v/>
      </c>
      <c r="B292" s="10">
        <f>IF($C292="","","TXN-"&amp;RIGHT("0000"&amp;284,4))</f>
        <v/>
      </c>
      <c r="C292" s="11" t="n"/>
      <c r="D292" s="11" t="n"/>
      <c r="E292" s="12" t="n"/>
      <c r="F292" s="10">
        <f>IF($E292="","",IFERROR(IF(VLOOKUP(LEFT(UPPER(TRIM($E292)),6),BankTbl,2,0)="","(بدون عنوان)",VLOOKUP(LEFT(UPPER(TRIM($E292)),6),BankTbl,2,0)),"بانک ناشناخته"))</f>
        <v/>
      </c>
      <c r="G292" s="11" t="n"/>
      <c r="H292" s="10">
        <f>IF($G292="","",IFERROR(VLOOKUP($G292,CustTbl,2,0),IFERROR(VLOOKUP($G292,SuppTbl,2,0),IFERROR(VLOOKUP($G292,AcctTbl,2,0),IFERROR(VLOOKUP($G292,StaffTbl,2,0),"کد ناشناخته")))))</f>
        <v/>
      </c>
      <c r="I292" s="12" t="n"/>
      <c r="J292" s="12" t="n"/>
      <c r="K292" s="13" t="n"/>
      <c r="L292" s="13" t="n"/>
      <c r="M292" s="13" t="n"/>
      <c r="N292" s="14">
        <f>IF(OR($C292="",$E292="",Calc!$H292=""),"",IFERROR(VLOOKUP(LEFT(UPPER(TRIM($E292)),6),BankTbl,3,0),0)+SUMIFS(CalcDep,CalcBank,LEFT(UPPER(TRIM($E292)),6),CalcKey,"&lt;="&amp;Calc!$H292)-SUMIFS(CalcWit,CalcBank,LEFT(UPPER(TRIM($E292)),6),CalcKey,"&lt;="&amp;Calc!$H292))</f>
        <v/>
      </c>
      <c r="O292" s="10">
        <f>IF(OR($C292="",$M292=""),"",IF($N292="","؟",IF(ROUND($M292-$N292,0)=0,"√","×")))</f>
        <v/>
      </c>
      <c r="P292" s="12" t="n"/>
    </row>
    <row r="293">
      <c r="A293" s="10">
        <f>IF($C293="","",COUNTA($C$9:$C293))</f>
        <v/>
      </c>
      <c r="B293" s="10">
        <f>IF($C293="","","TXN-"&amp;RIGHT("0000"&amp;285,4))</f>
        <v/>
      </c>
      <c r="C293" s="11" t="n"/>
      <c r="D293" s="11" t="n"/>
      <c r="E293" s="12" t="n"/>
      <c r="F293" s="10">
        <f>IF($E293="","",IFERROR(IF(VLOOKUP(LEFT(UPPER(TRIM($E293)),6),BankTbl,2,0)="","(بدون عنوان)",VLOOKUP(LEFT(UPPER(TRIM($E293)),6),BankTbl,2,0)),"بانک ناشناخته"))</f>
        <v/>
      </c>
      <c r="G293" s="11" t="n"/>
      <c r="H293" s="10">
        <f>IF($G293="","",IFERROR(VLOOKUP($G293,CustTbl,2,0),IFERROR(VLOOKUP($G293,SuppTbl,2,0),IFERROR(VLOOKUP($G293,AcctTbl,2,0),IFERROR(VLOOKUP($G293,StaffTbl,2,0),"کد ناشناخته")))))</f>
        <v/>
      </c>
      <c r="I293" s="12" t="n"/>
      <c r="J293" s="12" t="n"/>
      <c r="K293" s="13" t="n"/>
      <c r="L293" s="13" t="n"/>
      <c r="M293" s="13" t="n"/>
      <c r="N293" s="14">
        <f>IF(OR($C293="",$E293="",Calc!$H293=""),"",IFERROR(VLOOKUP(LEFT(UPPER(TRIM($E293)),6),BankTbl,3,0),0)+SUMIFS(CalcDep,CalcBank,LEFT(UPPER(TRIM($E293)),6),CalcKey,"&lt;="&amp;Calc!$H293)-SUMIFS(CalcWit,CalcBank,LEFT(UPPER(TRIM($E293)),6),CalcKey,"&lt;="&amp;Calc!$H293))</f>
        <v/>
      </c>
      <c r="O293" s="10">
        <f>IF(OR($C293="",$M293=""),"",IF($N293="","؟",IF(ROUND($M293-$N293,0)=0,"√","×")))</f>
        <v/>
      </c>
      <c r="P293" s="12" t="n"/>
    </row>
    <row r="294">
      <c r="A294" s="10">
        <f>IF($C294="","",COUNTA($C$9:$C294))</f>
        <v/>
      </c>
      <c r="B294" s="10">
        <f>IF($C294="","","TXN-"&amp;RIGHT("0000"&amp;286,4))</f>
        <v/>
      </c>
      <c r="C294" s="11" t="n"/>
      <c r="D294" s="11" t="n"/>
      <c r="E294" s="12" t="n"/>
      <c r="F294" s="10">
        <f>IF($E294="","",IFERROR(IF(VLOOKUP(LEFT(UPPER(TRIM($E294)),6),BankTbl,2,0)="","(بدون عنوان)",VLOOKUP(LEFT(UPPER(TRIM($E294)),6),BankTbl,2,0)),"بانک ناشناخته"))</f>
        <v/>
      </c>
      <c r="G294" s="11" t="n"/>
      <c r="H294" s="10">
        <f>IF($G294="","",IFERROR(VLOOKUP($G294,CustTbl,2,0),IFERROR(VLOOKUP($G294,SuppTbl,2,0),IFERROR(VLOOKUP($G294,AcctTbl,2,0),IFERROR(VLOOKUP($G294,StaffTbl,2,0),"کد ناشناخته")))))</f>
        <v/>
      </c>
      <c r="I294" s="12" t="n"/>
      <c r="J294" s="12" t="n"/>
      <c r="K294" s="13" t="n"/>
      <c r="L294" s="13" t="n"/>
      <c r="M294" s="13" t="n"/>
      <c r="N294" s="14">
        <f>IF(OR($C294="",$E294="",Calc!$H294=""),"",IFERROR(VLOOKUP(LEFT(UPPER(TRIM($E294)),6),BankTbl,3,0),0)+SUMIFS(CalcDep,CalcBank,LEFT(UPPER(TRIM($E294)),6),CalcKey,"&lt;="&amp;Calc!$H294)-SUMIFS(CalcWit,CalcBank,LEFT(UPPER(TRIM($E294)),6),CalcKey,"&lt;="&amp;Calc!$H294))</f>
        <v/>
      </c>
      <c r="O294" s="10">
        <f>IF(OR($C294="",$M294=""),"",IF($N294="","؟",IF(ROUND($M294-$N294,0)=0,"√","×")))</f>
        <v/>
      </c>
      <c r="P294" s="12" t="n"/>
    </row>
    <row r="295">
      <c r="A295" s="10">
        <f>IF($C295="","",COUNTA($C$9:$C295))</f>
        <v/>
      </c>
      <c r="B295" s="10">
        <f>IF($C295="","","TXN-"&amp;RIGHT("0000"&amp;287,4))</f>
        <v/>
      </c>
      <c r="C295" s="11" t="n"/>
      <c r="D295" s="11" t="n"/>
      <c r="E295" s="12" t="n"/>
      <c r="F295" s="10">
        <f>IF($E295="","",IFERROR(IF(VLOOKUP(LEFT(UPPER(TRIM($E295)),6),BankTbl,2,0)="","(بدون عنوان)",VLOOKUP(LEFT(UPPER(TRIM($E295)),6),BankTbl,2,0)),"بانک ناشناخته"))</f>
        <v/>
      </c>
      <c r="G295" s="11" t="n"/>
      <c r="H295" s="10">
        <f>IF($G295="","",IFERROR(VLOOKUP($G295,CustTbl,2,0),IFERROR(VLOOKUP($G295,SuppTbl,2,0),IFERROR(VLOOKUP($G295,AcctTbl,2,0),IFERROR(VLOOKUP($G295,StaffTbl,2,0),"کد ناشناخته")))))</f>
        <v/>
      </c>
      <c r="I295" s="12" t="n"/>
      <c r="J295" s="12" t="n"/>
      <c r="K295" s="13" t="n"/>
      <c r="L295" s="13" t="n"/>
      <c r="M295" s="13" t="n"/>
      <c r="N295" s="14">
        <f>IF(OR($C295="",$E295="",Calc!$H295=""),"",IFERROR(VLOOKUP(LEFT(UPPER(TRIM($E295)),6),BankTbl,3,0),0)+SUMIFS(CalcDep,CalcBank,LEFT(UPPER(TRIM($E295)),6),CalcKey,"&lt;="&amp;Calc!$H295)-SUMIFS(CalcWit,CalcBank,LEFT(UPPER(TRIM($E295)),6),CalcKey,"&lt;="&amp;Calc!$H295))</f>
        <v/>
      </c>
      <c r="O295" s="10">
        <f>IF(OR($C295="",$M295=""),"",IF($N295="","؟",IF(ROUND($M295-$N295,0)=0,"√","×")))</f>
        <v/>
      </c>
      <c r="P295" s="12" t="n"/>
    </row>
    <row r="296">
      <c r="A296" s="10">
        <f>IF($C296="","",COUNTA($C$9:$C296))</f>
        <v/>
      </c>
      <c r="B296" s="10">
        <f>IF($C296="","","TXN-"&amp;RIGHT("0000"&amp;288,4))</f>
        <v/>
      </c>
      <c r="C296" s="11" t="n"/>
      <c r="D296" s="11" t="n"/>
      <c r="E296" s="12" t="n"/>
      <c r="F296" s="10">
        <f>IF($E296="","",IFERROR(IF(VLOOKUP(LEFT(UPPER(TRIM($E296)),6),BankTbl,2,0)="","(بدون عنوان)",VLOOKUP(LEFT(UPPER(TRIM($E296)),6),BankTbl,2,0)),"بانک ناشناخته"))</f>
        <v/>
      </c>
      <c r="G296" s="11" t="n"/>
      <c r="H296" s="10">
        <f>IF($G296="","",IFERROR(VLOOKUP($G296,CustTbl,2,0),IFERROR(VLOOKUP($G296,SuppTbl,2,0),IFERROR(VLOOKUP($G296,AcctTbl,2,0),IFERROR(VLOOKUP($G296,StaffTbl,2,0),"کد ناشناخته")))))</f>
        <v/>
      </c>
      <c r="I296" s="12" t="n"/>
      <c r="J296" s="12" t="n"/>
      <c r="K296" s="13" t="n"/>
      <c r="L296" s="13" t="n"/>
      <c r="M296" s="13" t="n"/>
      <c r="N296" s="14">
        <f>IF(OR($C296="",$E296="",Calc!$H296=""),"",IFERROR(VLOOKUP(LEFT(UPPER(TRIM($E296)),6),BankTbl,3,0),0)+SUMIFS(CalcDep,CalcBank,LEFT(UPPER(TRIM($E296)),6),CalcKey,"&lt;="&amp;Calc!$H296)-SUMIFS(CalcWit,CalcBank,LEFT(UPPER(TRIM($E296)),6),CalcKey,"&lt;="&amp;Calc!$H296))</f>
        <v/>
      </c>
      <c r="O296" s="10">
        <f>IF(OR($C296="",$M296=""),"",IF($N296="","؟",IF(ROUND($M296-$N296,0)=0,"√","×")))</f>
        <v/>
      </c>
      <c r="P296" s="12" t="n"/>
    </row>
    <row r="297">
      <c r="A297" s="10">
        <f>IF($C297="","",COUNTA($C$9:$C297))</f>
        <v/>
      </c>
      <c r="B297" s="10">
        <f>IF($C297="","","TXN-"&amp;RIGHT("0000"&amp;289,4))</f>
        <v/>
      </c>
      <c r="C297" s="11" t="n"/>
      <c r="D297" s="11" t="n"/>
      <c r="E297" s="12" t="n"/>
      <c r="F297" s="10">
        <f>IF($E297="","",IFERROR(IF(VLOOKUP(LEFT(UPPER(TRIM($E297)),6),BankTbl,2,0)="","(بدون عنوان)",VLOOKUP(LEFT(UPPER(TRIM($E297)),6),BankTbl,2,0)),"بانک ناشناخته"))</f>
        <v/>
      </c>
      <c r="G297" s="11" t="n"/>
      <c r="H297" s="10">
        <f>IF($G297="","",IFERROR(VLOOKUP($G297,CustTbl,2,0),IFERROR(VLOOKUP($G297,SuppTbl,2,0),IFERROR(VLOOKUP($G297,AcctTbl,2,0),IFERROR(VLOOKUP($G297,StaffTbl,2,0),"کد ناشناخته")))))</f>
        <v/>
      </c>
      <c r="I297" s="12" t="n"/>
      <c r="J297" s="12" t="n"/>
      <c r="K297" s="13" t="n"/>
      <c r="L297" s="13" t="n"/>
      <c r="M297" s="13" t="n"/>
      <c r="N297" s="14">
        <f>IF(OR($C297="",$E297="",Calc!$H297=""),"",IFERROR(VLOOKUP(LEFT(UPPER(TRIM($E297)),6),BankTbl,3,0),0)+SUMIFS(CalcDep,CalcBank,LEFT(UPPER(TRIM($E297)),6),CalcKey,"&lt;="&amp;Calc!$H297)-SUMIFS(CalcWit,CalcBank,LEFT(UPPER(TRIM($E297)),6),CalcKey,"&lt;="&amp;Calc!$H297))</f>
        <v/>
      </c>
      <c r="O297" s="10">
        <f>IF(OR($C297="",$M297=""),"",IF($N297="","؟",IF(ROUND($M297-$N297,0)=0,"√","×")))</f>
        <v/>
      </c>
      <c r="P297" s="12" t="n"/>
    </row>
    <row r="298">
      <c r="A298" s="10">
        <f>IF($C298="","",COUNTA($C$9:$C298))</f>
        <v/>
      </c>
      <c r="B298" s="10">
        <f>IF($C298="","","TXN-"&amp;RIGHT("0000"&amp;290,4))</f>
        <v/>
      </c>
      <c r="C298" s="11" t="n"/>
      <c r="D298" s="11" t="n"/>
      <c r="E298" s="12" t="n"/>
      <c r="F298" s="10">
        <f>IF($E298="","",IFERROR(IF(VLOOKUP(LEFT(UPPER(TRIM($E298)),6),BankTbl,2,0)="","(بدون عنوان)",VLOOKUP(LEFT(UPPER(TRIM($E298)),6),BankTbl,2,0)),"بانک ناشناخته"))</f>
        <v/>
      </c>
      <c r="G298" s="11" t="n"/>
      <c r="H298" s="10">
        <f>IF($G298="","",IFERROR(VLOOKUP($G298,CustTbl,2,0),IFERROR(VLOOKUP($G298,SuppTbl,2,0),IFERROR(VLOOKUP($G298,AcctTbl,2,0),IFERROR(VLOOKUP($G298,StaffTbl,2,0),"کد ناشناخته")))))</f>
        <v/>
      </c>
      <c r="I298" s="12" t="n"/>
      <c r="J298" s="12" t="n"/>
      <c r="K298" s="13" t="n"/>
      <c r="L298" s="13" t="n"/>
      <c r="M298" s="13" t="n"/>
      <c r="N298" s="14">
        <f>IF(OR($C298="",$E298="",Calc!$H298=""),"",IFERROR(VLOOKUP(LEFT(UPPER(TRIM($E298)),6),BankTbl,3,0),0)+SUMIFS(CalcDep,CalcBank,LEFT(UPPER(TRIM($E298)),6),CalcKey,"&lt;="&amp;Calc!$H298)-SUMIFS(CalcWit,CalcBank,LEFT(UPPER(TRIM($E298)),6),CalcKey,"&lt;="&amp;Calc!$H298))</f>
        <v/>
      </c>
      <c r="O298" s="10">
        <f>IF(OR($C298="",$M298=""),"",IF($N298="","؟",IF(ROUND($M298-$N298,0)=0,"√","×")))</f>
        <v/>
      </c>
      <c r="P298" s="12" t="n"/>
    </row>
    <row r="299">
      <c r="A299" s="10">
        <f>IF($C299="","",COUNTA($C$9:$C299))</f>
        <v/>
      </c>
      <c r="B299" s="10">
        <f>IF($C299="","","TXN-"&amp;RIGHT("0000"&amp;291,4))</f>
        <v/>
      </c>
      <c r="C299" s="11" t="n"/>
      <c r="D299" s="11" t="n"/>
      <c r="E299" s="12" t="n"/>
      <c r="F299" s="10">
        <f>IF($E299="","",IFERROR(IF(VLOOKUP(LEFT(UPPER(TRIM($E299)),6),BankTbl,2,0)="","(بدون عنوان)",VLOOKUP(LEFT(UPPER(TRIM($E299)),6),BankTbl,2,0)),"بانک ناشناخته"))</f>
        <v/>
      </c>
      <c r="G299" s="11" t="n"/>
      <c r="H299" s="10">
        <f>IF($G299="","",IFERROR(VLOOKUP($G299,CustTbl,2,0),IFERROR(VLOOKUP($G299,SuppTbl,2,0),IFERROR(VLOOKUP($G299,AcctTbl,2,0),IFERROR(VLOOKUP($G299,StaffTbl,2,0),"کد ناشناخته")))))</f>
        <v/>
      </c>
      <c r="I299" s="12" t="n"/>
      <c r="J299" s="12" t="n"/>
      <c r="K299" s="13" t="n"/>
      <c r="L299" s="13" t="n"/>
      <c r="M299" s="13" t="n"/>
      <c r="N299" s="14">
        <f>IF(OR($C299="",$E299="",Calc!$H299=""),"",IFERROR(VLOOKUP(LEFT(UPPER(TRIM($E299)),6),BankTbl,3,0),0)+SUMIFS(CalcDep,CalcBank,LEFT(UPPER(TRIM($E299)),6),CalcKey,"&lt;="&amp;Calc!$H299)-SUMIFS(CalcWit,CalcBank,LEFT(UPPER(TRIM($E299)),6),CalcKey,"&lt;="&amp;Calc!$H299))</f>
        <v/>
      </c>
      <c r="O299" s="10">
        <f>IF(OR($C299="",$M299=""),"",IF($N299="","؟",IF(ROUND($M299-$N299,0)=0,"√","×")))</f>
        <v/>
      </c>
      <c r="P299" s="12" t="n"/>
    </row>
    <row r="300">
      <c r="A300" s="10">
        <f>IF($C300="","",COUNTA($C$9:$C300))</f>
        <v/>
      </c>
      <c r="B300" s="10">
        <f>IF($C300="","","TXN-"&amp;RIGHT("0000"&amp;292,4))</f>
        <v/>
      </c>
      <c r="C300" s="11" t="n"/>
      <c r="D300" s="11" t="n"/>
      <c r="E300" s="12" t="n"/>
      <c r="F300" s="10">
        <f>IF($E300="","",IFERROR(IF(VLOOKUP(LEFT(UPPER(TRIM($E300)),6),BankTbl,2,0)="","(بدون عنوان)",VLOOKUP(LEFT(UPPER(TRIM($E300)),6),BankTbl,2,0)),"بانک ناشناخته"))</f>
        <v/>
      </c>
      <c r="G300" s="11" t="n"/>
      <c r="H300" s="10">
        <f>IF($G300="","",IFERROR(VLOOKUP($G300,CustTbl,2,0),IFERROR(VLOOKUP($G300,SuppTbl,2,0),IFERROR(VLOOKUP($G300,AcctTbl,2,0),IFERROR(VLOOKUP($G300,StaffTbl,2,0),"کد ناشناخته")))))</f>
        <v/>
      </c>
      <c r="I300" s="12" t="n"/>
      <c r="J300" s="12" t="n"/>
      <c r="K300" s="13" t="n"/>
      <c r="L300" s="13" t="n"/>
      <c r="M300" s="13" t="n"/>
      <c r="N300" s="14">
        <f>IF(OR($C300="",$E300="",Calc!$H300=""),"",IFERROR(VLOOKUP(LEFT(UPPER(TRIM($E300)),6),BankTbl,3,0),0)+SUMIFS(CalcDep,CalcBank,LEFT(UPPER(TRIM($E300)),6),CalcKey,"&lt;="&amp;Calc!$H300)-SUMIFS(CalcWit,CalcBank,LEFT(UPPER(TRIM($E300)),6),CalcKey,"&lt;="&amp;Calc!$H300))</f>
        <v/>
      </c>
      <c r="O300" s="10">
        <f>IF(OR($C300="",$M300=""),"",IF($N300="","؟",IF(ROUND($M300-$N300,0)=0,"√","×")))</f>
        <v/>
      </c>
      <c r="P300" s="12" t="n"/>
    </row>
    <row r="301">
      <c r="A301" s="10">
        <f>IF($C301="","",COUNTA($C$9:$C301))</f>
        <v/>
      </c>
      <c r="B301" s="10">
        <f>IF($C301="","","TXN-"&amp;RIGHT("0000"&amp;293,4))</f>
        <v/>
      </c>
      <c r="C301" s="11" t="n"/>
      <c r="D301" s="11" t="n"/>
      <c r="E301" s="12" t="n"/>
      <c r="F301" s="10">
        <f>IF($E301="","",IFERROR(IF(VLOOKUP(LEFT(UPPER(TRIM($E301)),6),BankTbl,2,0)="","(بدون عنوان)",VLOOKUP(LEFT(UPPER(TRIM($E301)),6),BankTbl,2,0)),"بانک ناشناخته"))</f>
        <v/>
      </c>
      <c r="G301" s="11" t="n"/>
      <c r="H301" s="10">
        <f>IF($G301="","",IFERROR(VLOOKUP($G301,CustTbl,2,0),IFERROR(VLOOKUP($G301,SuppTbl,2,0),IFERROR(VLOOKUP($G301,AcctTbl,2,0),IFERROR(VLOOKUP($G301,StaffTbl,2,0),"کد ناشناخته")))))</f>
        <v/>
      </c>
      <c r="I301" s="12" t="n"/>
      <c r="J301" s="12" t="n"/>
      <c r="K301" s="13" t="n"/>
      <c r="L301" s="13" t="n"/>
      <c r="M301" s="13" t="n"/>
      <c r="N301" s="14">
        <f>IF(OR($C301="",$E301="",Calc!$H301=""),"",IFERROR(VLOOKUP(LEFT(UPPER(TRIM($E301)),6),BankTbl,3,0),0)+SUMIFS(CalcDep,CalcBank,LEFT(UPPER(TRIM($E301)),6),CalcKey,"&lt;="&amp;Calc!$H301)-SUMIFS(CalcWit,CalcBank,LEFT(UPPER(TRIM($E301)),6),CalcKey,"&lt;="&amp;Calc!$H301))</f>
        <v/>
      </c>
      <c r="O301" s="10">
        <f>IF(OR($C301="",$M301=""),"",IF($N301="","؟",IF(ROUND($M301-$N301,0)=0,"√","×")))</f>
        <v/>
      </c>
      <c r="P301" s="12" t="n"/>
    </row>
    <row r="302">
      <c r="A302" s="10">
        <f>IF($C302="","",COUNTA($C$9:$C302))</f>
        <v/>
      </c>
      <c r="B302" s="10">
        <f>IF($C302="","","TXN-"&amp;RIGHT("0000"&amp;294,4))</f>
        <v/>
      </c>
      <c r="C302" s="11" t="n"/>
      <c r="D302" s="11" t="n"/>
      <c r="E302" s="12" t="n"/>
      <c r="F302" s="10">
        <f>IF($E302="","",IFERROR(IF(VLOOKUP(LEFT(UPPER(TRIM($E302)),6),BankTbl,2,0)="","(بدون عنوان)",VLOOKUP(LEFT(UPPER(TRIM($E302)),6),BankTbl,2,0)),"بانک ناشناخته"))</f>
        <v/>
      </c>
      <c r="G302" s="11" t="n"/>
      <c r="H302" s="10">
        <f>IF($G302="","",IFERROR(VLOOKUP($G302,CustTbl,2,0),IFERROR(VLOOKUP($G302,SuppTbl,2,0),IFERROR(VLOOKUP($G302,AcctTbl,2,0),IFERROR(VLOOKUP($G302,StaffTbl,2,0),"کد ناشناخته")))))</f>
        <v/>
      </c>
      <c r="I302" s="12" t="n"/>
      <c r="J302" s="12" t="n"/>
      <c r="K302" s="13" t="n"/>
      <c r="L302" s="13" t="n"/>
      <c r="M302" s="13" t="n"/>
      <c r="N302" s="14">
        <f>IF(OR($C302="",$E302="",Calc!$H302=""),"",IFERROR(VLOOKUP(LEFT(UPPER(TRIM($E302)),6),BankTbl,3,0),0)+SUMIFS(CalcDep,CalcBank,LEFT(UPPER(TRIM($E302)),6),CalcKey,"&lt;="&amp;Calc!$H302)-SUMIFS(CalcWit,CalcBank,LEFT(UPPER(TRIM($E302)),6),CalcKey,"&lt;="&amp;Calc!$H302))</f>
        <v/>
      </c>
      <c r="O302" s="10">
        <f>IF(OR($C302="",$M302=""),"",IF($N302="","؟",IF(ROUND($M302-$N302,0)=0,"√","×")))</f>
        <v/>
      </c>
      <c r="P302" s="12" t="n"/>
    </row>
    <row r="303">
      <c r="A303" s="10">
        <f>IF($C303="","",COUNTA($C$9:$C303))</f>
        <v/>
      </c>
      <c r="B303" s="10">
        <f>IF($C303="","","TXN-"&amp;RIGHT("0000"&amp;295,4))</f>
        <v/>
      </c>
      <c r="C303" s="11" t="n"/>
      <c r="D303" s="11" t="n"/>
      <c r="E303" s="12" t="n"/>
      <c r="F303" s="10">
        <f>IF($E303="","",IFERROR(IF(VLOOKUP(LEFT(UPPER(TRIM($E303)),6),BankTbl,2,0)="","(بدون عنوان)",VLOOKUP(LEFT(UPPER(TRIM($E303)),6),BankTbl,2,0)),"بانک ناشناخته"))</f>
        <v/>
      </c>
      <c r="G303" s="11" t="n"/>
      <c r="H303" s="10">
        <f>IF($G303="","",IFERROR(VLOOKUP($G303,CustTbl,2,0),IFERROR(VLOOKUP($G303,SuppTbl,2,0),IFERROR(VLOOKUP($G303,AcctTbl,2,0),IFERROR(VLOOKUP($G303,StaffTbl,2,0),"کد ناشناخته")))))</f>
        <v/>
      </c>
      <c r="I303" s="12" t="n"/>
      <c r="J303" s="12" t="n"/>
      <c r="K303" s="13" t="n"/>
      <c r="L303" s="13" t="n"/>
      <c r="M303" s="13" t="n"/>
      <c r="N303" s="14">
        <f>IF(OR($C303="",$E303="",Calc!$H303=""),"",IFERROR(VLOOKUP(LEFT(UPPER(TRIM($E303)),6),BankTbl,3,0),0)+SUMIFS(CalcDep,CalcBank,LEFT(UPPER(TRIM($E303)),6),CalcKey,"&lt;="&amp;Calc!$H303)-SUMIFS(CalcWit,CalcBank,LEFT(UPPER(TRIM($E303)),6),CalcKey,"&lt;="&amp;Calc!$H303))</f>
        <v/>
      </c>
      <c r="O303" s="10">
        <f>IF(OR($C303="",$M303=""),"",IF($N303="","؟",IF(ROUND($M303-$N303,0)=0,"√","×")))</f>
        <v/>
      </c>
      <c r="P303" s="12" t="n"/>
    </row>
    <row r="304">
      <c r="A304" s="10">
        <f>IF($C304="","",COUNTA($C$9:$C304))</f>
        <v/>
      </c>
      <c r="B304" s="10">
        <f>IF($C304="","","TXN-"&amp;RIGHT("0000"&amp;296,4))</f>
        <v/>
      </c>
      <c r="C304" s="11" t="n"/>
      <c r="D304" s="11" t="n"/>
      <c r="E304" s="12" t="n"/>
      <c r="F304" s="10">
        <f>IF($E304="","",IFERROR(IF(VLOOKUP(LEFT(UPPER(TRIM($E304)),6),BankTbl,2,0)="","(بدون عنوان)",VLOOKUP(LEFT(UPPER(TRIM($E304)),6),BankTbl,2,0)),"بانک ناشناخته"))</f>
        <v/>
      </c>
      <c r="G304" s="11" t="n"/>
      <c r="H304" s="10">
        <f>IF($G304="","",IFERROR(VLOOKUP($G304,CustTbl,2,0),IFERROR(VLOOKUP($G304,SuppTbl,2,0),IFERROR(VLOOKUP($G304,AcctTbl,2,0),IFERROR(VLOOKUP($G304,StaffTbl,2,0),"کد ناشناخته")))))</f>
        <v/>
      </c>
      <c r="I304" s="12" t="n"/>
      <c r="J304" s="12" t="n"/>
      <c r="K304" s="13" t="n"/>
      <c r="L304" s="13" t="n"/>
      <c r="M304" s="13" t="n"/>
      <c r="N304" s="14">
        <f>IF(OR($C304="",$E304="",Calc!$H304=""),"",IFERROR(VLOOKUP(LEFT(UPPER(TRIM($E304)),6),BankTbl,3,0),0)+SUMIFS(CalcDep,CalcBank,LEFT(UPPER(TRIM($E304)),6),CalcKey,"&lt;="&amp;Calc!$H304)-SUMIFS(CalcWit,CalcBank,LEFT(UPPER(TRIM($E304)),6),CalcKey,"&lt;="&amp;Calc!$H304))</f>
        <v/>
      </c>
      <c r="O304" s="10">
        <f>IF(OR($C304="",$M304=""),"",IF($N304="","؟",IF(ROUND($M304-$N304,0)=0,"√","×")))</f>
        <v/>
      </c>
      <c r="P304" s="12" t="n"/>
    </row>
    <row r="305">
      <c r="A305" s="10">
        <f>IF($C305="","",COUNTA($C$9:$C305))</f>
        <v/>
      </c>
      <c r="B305" s="10">
        <f>IF($C305="","","TXN-"&amp;RIGHT("0000"&amp;297,4))</f>
        <v/>
      </c>
      <c r="C305" s="11" t="n"/>
      <c r="D305" s="11" t="n"/>
      <c r="E305" s="12" t="n"/>
      <c r="F305" s="10">
        <f>IF($E305="","",IFERROR(IF(VLOOKUP(LEFT(UPPER(TRIM($E305)),6),BankTbl,2,0)="","(بدون عنوان)",VLOOKUP(LEFT(UPPER(TRIM($E305)),6),BankTbl,2,0)),"بانک ناشناخته"))</f>
        <v/>
      </c>
      <c r="G305" s="11" t="n"/>
      <c r="H305" s="10">
        <f>IF($G305="","",IFERROR(VLOOKUP($G305,CustTbl,2,0),IFERROR(VLOOKUP($G305,SuppTbl,2,0),IFERROR(VLOOKUP($G305,AcctTbl,2,0),IFERROR(VLOOKUP($G305,StaffTbl,2,0),"کد ناشناخته")))))</f>
        <v/>
      </c>
      <c r="I305" s="12" t="n"/>
      <c r="J305" s="12" t="n"/>
      <c r="K305" s="13" t="n"/>
      <c r="L305" s="13" t="n"/>
      <c r="M305" s="13" t="n"/>
      <c r="N305" s="14">
        <f>IF(OR($C305="",$E305="",Calc!$H305=""),"",IFERROR(VLOOKUP(LEFT(UPPER(TRIM($E305)),6),BankTbl,3,0),0)+SUMIFS(CalcDep,CalcBank,LEFT(UPPER(TRIM($E305)),6),CalcKey,"&lt;="&amp;Calc!$H305)-SUMIFS(CalcWit,CalcBank,LEFT(UPPER(TRIM($E305)),6),CalcKey,"&lt;="&amp;Calc!$H305))</f>
        <v/>
      </c>
      <c r="O305" s="10">
        <f>IF(OR($C305="",$M305=""),"",IF($N305="","؟",IF(ROUND($M305-$N305,0)=0,"√","×")))</f>
        <v/>
      </c>
      <c r="P305" s="12" t="n"/>
    </row>
    <row r="306">
      <c r="A306" s="10">
        <f>IF($C306="","",COUNTA($C$9:$C306))</f>
        <v/>
      </c>
      <c r="B306" s="10">
        <f>IF($C306="","","TXN-"&amp;RIGHT("0000"&amp;298,4))</f>
        <v/>
      </c>
      <c r="C306" s="11" t="n"/>
      <c r="D306" s="11" t="n"/>
      <c r="E306" s="12" t="n"/>
      <c r="F306" s="10">
        <f>IF($E306="","",IFERROR(IF(VLOOKUP(LEFT(UPPER(TRIM($E306)),6),BankTbl,2,0)="","(بدون عنوان)",VLOOKUP(LEFT(UPPER(TRIM($E306)),6),BankTbl,2,0)),"بانک ناشناخته"))</f>
        <v/>
      </c>
      <c r="G306" s="11" t="n"/>
      <c r="H306" s="10">
        <f>IF($G306="","",IFERROR(VLOOKUP($G306,CustTbl,2,0),IFERROR(VLOOKUP($G306,SuppTbl,2,0),IFERROR(VLOOKUP($G306,AcctTbl,2,0),IFERROR(VLOOKUP($G306,StaffTbl,2,0),"کد ناشناخته")))))</f>
        <v/>
      </c>
      <c r="I306" s="12" t="n"/>
      <c r="J306" s="12" t="n"/>
      <c r="K306" s="13" t="n"/>
      <c r="L306" s="13" t="n"/>
      <c r="M306" s="13" t="n"/>
      <c r="N306" s="14">
        <f>IF(OR($C306="",$E306="",Calc!$H306=""),"",IFERROR(VLOOKUP(LEFT(UPPER(TRIM($E306)),6),BankTbl,3,0),0)+SUMIFS(CalcDep,CalcBank,LEFT(UPPER(TRIM($E306)),6),CalcKey,"&lt;="&amp;Calc!$H306)-SUMIFS(CalcWit,CalcBank,LEFT(UPPER(TRIM($E306)),6),CalcKey,"&lt;="&amp;Calc!$H306))</f>
        <v/>
      </c>
      <c r="O306" s="10">
        <f>IF(OR($C306="",$M306=""),"",IF($N306="","؟",IF(ROUND($M306-$N306,0)=0,"√","×")))</f>
        <v/>
      </c>
      <c r="P306" s="12" t="n"/>
    </row>
    <row r="307">
      <c r="A307" s="10">
        <f>IF($C307="","",COUNTA($C$9:$C307))</f>
        <v/>
      </c>
      <c r="B307" s="10">
        <f>IF($C307="","","TXN-"&amp;RIGHT("0000"&amp;299,4))</f>
        <v/>
      </c>
      <c r="C307" s="11" t="n"/>
      <c r="D307" s="11" t="n"/>
      <c r="E307" s="12" t="n"/>
      <c r="F307" s="10">
        <f>IF($E307="","",IFERROR(IF(VLOOKUP(LEFT(UPPER(TRIM($E307)),6),BankTbl,2,0)="","(بدون عنوان)",VLOOKUP(LEFT(UPPER(TRIM($E307)),6),BankTbl,2,0)),"بانک ناشناخته"))</f>
        <v/>
      </c>
      <c r="G307" s="11" t="n"/>
      <c r="H307" s="10">
        <f>IF($G307="","",IFERROR(VLOOKUP($G307,CustTbl,2,0),IFERROR(VLOOKUP($G307,SuppTbl,2,0),IFERROR(VLOOKUP($G307,AcctTbl,2,0),IFERROR(VLOOKUP($G307,StaffTbl,2,0),"کد ناشناخته")))))</f>
        <v/>
      </c>
      <c r="I307" s="12" t="n"/>
      <c r="J307" s="12" t="n"/>
      <c r="K307" s="13" t="n"/>
      <c r="L307" s="13" t="n"/>
      <c r="M307" s="13" t="n"/>
      <c r="N307" s="14">
        <f>IF(OR($C307="",$E307="",Calc!$H307=""),"",IFERROR(VLOOKUP(LEFT(UPPER(TRIM($E307)),6),BankTbl,3,0),0)+SUMIFS(CalcDep,CalcBank,LEFT(UPPER(TRIM($E307)),6),CalcKey,"&lt;="&amp;Calc!$H307)-SUMIFS(CalcWit,CalcBank,LEFT(UPPER(TRIM($E307)),6),CalcKey,"&lt;="&amp;Calc!$H307))</f>
        <v/>
      </c>
      <c r="O307" s="10">
        <f>IF(OR($C307="",$M307=""),"",IF($N307="","؟",IF(ROUND($M307-$N307,0)=0,"√","×")))</f>
        <v/>
      </c>
      <c r="P307" s="12" t="n"/>
    </row>
    <row r="308">
      <c r="A308" s="10">
        <f>IF($C308="","",COUNTA($C$9:$C308))</f>
        <v/>
      </c>
      <c r="B308" s="10">
        <f>IF($C308="","","TXN-"&amp;RIGHT("0000"&amp;300,4))</f>
        <v/>
      </c>
      <c r="C308" s="11" t="n"/>
      <c r="D308" s="11" t="n"/>
      <c r="E308" s="12" t="n"/>
      <c r="F308" s="10">
        <f>IF($E308="","",IFERROR(IF(VLOOKUP(LEFT(UPPER(TRIM($E308)),6),BankTbl,2,0)="","(بدون عنوان)",VLOOKUP(LEFT(UPPER(TRIM($E308)),6),BankTbl,2,0)),"بانک ناشناخته"))</f>
        <v/>
      </c>
      <c r="G308" s="11" t="n"/>
      <c r="H308" s="10">
        <f>IF($G308="","",IFERROR(VLOOKUP($G308,CustTbl,2,0),IFERROR(VLOOKUP($G308,SuppTbl,2,0),IFERROR(VLOOKUP($G308,AcctTbl,2,0),IFERROR(VLOOKUP($G308,StaffTbl,2,0),"کد ناشناخته")))))</f>
        <v/>
      </c>
      <c r="I308" s="12" t="n"/>
      <c r="J308" s="12" t="n"/>
      <c r="K308" s="13" t="n"/>
      <c r="L308" s="13" t="n"/>
      <c r="M308" s="13" t="n"/>
      <c r="N308" s="14">
        <f>IF(OR($C308="",$E308="",Calc!$H308=""),"",IFERROR(VLOOKUP(LEFT(UPPER(TRIM($E308)),6),BankTbl,3,0),0)+SUMIFS(CalcDep,CalcBank,LEFT(UPPER(TRIM($E308)),6),CalcKey,"&lt;="&amp;Calc!$H308)-SUMIFS(CalcWit,CalcBank,LEFT(UPPER(TRIM($E308)),6),CalcKey,"&lt;="&amp;Calc!$H308))</f>
        <v/>
      </c>
      <c r="O308" s="10">
        <f>IF(OR($C308="",$M308=""),"",IF($N308="","؟",IF(ROUND($M308-$N308,0)=0,"√","×")))</f>
        <v/>
      </c>
      <c r="P308" s="12" t="n"/>
    </row>
    <row r="309">
      <c r="A309" s="10">
        <f>IF($C309="","",COUNTA($C$9:$C309))</f>
        <v/>
      </c>
      <c r="B309" s="10">
        <f>IF($C309="","","TXN-"&amp;RIGHT("0000"&amp;301,4))</f>
        <v/>
      </c>
      <c r="C309" s="11" t="n"/>
      <c r="D309" s="11" t="n"/>
      <c r="E309" s="12" t="n"/>
      <c r="F309" s="10">
        <f>IF($E309="","",IFERROR(IF(VLOOKUP(LEFT(UPPER(TRIM($E309)),6),BankTbl,2,0)="","(بدون عنوان)",VLOOKUP(LEFT(UPPER(TRIM($E309)),6),BankTbl,2,0)),"بانک ناشناخته"))</f>
        <v/>
      </c>
      <c r="G309" s="11" t="n"/>
      <c r="H309" s="10">
        <f>IF($G309="","",IFERROR(VLOOKUP($G309,CustTbl,2,0),IFERROR(VLOOKUP($G309,SuppTbl,2,0),IFERROR(VLOOKUP($G309,AcctTbl,2,0),IFERROR(VLOOKUP($G309,StaffTbl,2,0),"کد ناشناخته")))))</f>
        <v/>
      </c>
      <c r="I309" s="12" t="n"/>
      <c r="J309" s="12" t="n"/>
      <c r="K309" s="13" t="n"/>
      <c r="L309" s="13" t="n"/>
      <c r="M309" s="13" t="n"/>
      <c r="N309" s="14">
        <f>IF(OR($C309="",$E309="",Calc!$H309=""),"",IFERROR(VLOOKUP(LEFT(UPPER(TRIM($E309)),6),BankTbl,3,0),0)+SUMIFS(CalcDep,CalcBank,LEFT(UPPER(TRIM($E309)),6),CalcKey,"&lt;="&amp;Calc!$H309)-SUMIFS(CalcWit,CalcBank,LEFT(UPPER(TRIM($E309)),6),CalcKey,"&lt;="&amp;Calc!$H309))</f>
        <v/>
      </c>
      <c r="O309" s="10">
        <f>IF(OR($C309="",$M309=""),"",IF($N309="","؟",IF(ROUND($M309-$N309,0)=0,"√","×")))</f>
        <v/>
      </c>
      <c r="P309" s="12" t="n"/>
    </row>
    <row r="310">
      <c r="A310" s="10">
        <f>IF($C310="","",COUNTA($C$9:$C310))</f>
        <v/>
      </c>
      <c r="B310" s="10">
        <f>IF($C310="","","TXN-"&amp;RIGHT("0000"&amp;302,4))</f>
        <v/>
      </c>
      <c r="C310" s="11" t="n"/>
      <c r="D310" s="11" t="n"/>
      <c r="E310" s="12" t="n"/>
      <c r="F310" s="10">
        <f>IF($E310="","",IFERROR(IF(VLOOKUP(LEFT(UPPER(TRIM($E310)),6),BankTbl,2,0)="","(بدون عنوان)",VLOOKUP(LEFT(UPPER(TRIM($E310)),6),BankTbl,2,0)),"بانک ناشناخته"))</f>
        <v/>
      </c>
      <c r="G310" s="11" t="n"/>
      <c r="H310" s="10">
        <f>IF($G310="","",IFERROR(VLOOKUP($G310,CustTbl,2,0),IFERROR(VLOOKUP($G310,SuppTbl,2,0),IFERROR(VLOOKUP($G310,AcctTbl,2,0),IFERROR(VLOOKUP($G310,StaffTbl,2,0),"کد ناشناخته")))))</f>
        <v/>
      </c>
      <c r="I310" s="12" t="n"/>
      <c r="J310" s="12" t="n"/>
      <c r="K310" s="13" t="n"/>
      <c r="L310" s="13" t="n"/>
      <c r="M310" s="13" t="n"/>
      <c r="N310" s="14">
        <f>IF(OR($C310="",$E310="",Calc!$H310=""),"",IFERROR(VLOOKUP(LEFT(UPPER(TRIM($E310)),6),BankTbl,3,0),0)+SUMIFS(CalcDep,CalcBank,LEFT(UPPER(TRIM($E310)),6),CalcKey,"&lt;="&amp;Calc!$H310)-SUMIFS(CalcWit,CalcBank,LEFT(UPPER(TRIM($E310)),6),CalcKey,"&lt;="&amp;Calc!$H310))</f>
        <v/>
      </c>
      <c r="O310" s="10">
        <f>IF(OR($C310="",$M310=""),"",IF($N310="","؟",IF(ROUND($M310-$N310,0)=0,"√","×")))</f>
        <v/>
      </c>
      <c r="P310" s="12" t="n"/>
    </row>
    <row r="311">
      <c r="A311" s="10">
        <f>IF($C311="","",COUNTA($C$9:$C311))</f>
        <v/>
      </c>
      <c r="B311" s="10">
        <f>IF($C311="","","TXN-"&amp;RIGHT("0000"&amp;303,4))</f>
        <v/>
      </c>
      <c r="C311" s="11" t="n"/>
      <c r="D311" s="11" t="n"/>
      <c r="E311" s="12" t="n"/>
      <c r="F311" s="10">
        <f>IF($E311="","",IFERROR(IF(VLOOKUP(LEFT(UPPER(TRIM($E311)),6),BankTbl,2,0)="","(بدون عنوان)",VLOOKUP(LEFT(UPPER(TRIM($E311)),6),BankTbl,2,0)),"بانک ناشناخته"))</f>
        <v/>
      </c>
      <c r="G311" s="11" t="n"/>
      <c r="H311" s="10">
        <f>IF($G311="","",IFERROR(VLOOKUP($G311,CustTbl,2,0),IFERROR(VLOOKUP($G311,SuppTbl,2,0),IFERROR(VLOOKUP($G311,AcctTbl,2,0),IFERROR(VLOOKUP($G311,StaffTbl,2,0),"کد ناشناخته")))))</f>
        <v/>
      </c>
      <c r="I311" s="12" t="n"/>
      <c r="J311" s="12" t="n"/>
      <c r="K311" s="13" t="n"/>
      <c r="L311" s="13" t="n"/>
      <c r="M311" s="13" t="n"/>
      <c r="N311" s="14">
        <f>IF(OR($C311="",$E311="",Calc!$H311=""),"",IFERROR(VLOOKUP(LEFT(UPPER(TRIM($E311)),6),BankTbl,3,0),0)+SUMIFS(CalcDep,CalcBank,LEFT(UPPER(TRIM($E311)),6),CalcKey,"&lt;="&amp;Calc!$H311)-SUMIFS(CalcWit,CalcBank,LEFT(UPPER(TRIM($E311)),6),CalcKey,"&lt;="&amp;Calc!$H311))</f>
        <v/>
      </c>
      <c r="O311" s="10">
        <f>IF(OR($C311="",$M311=""),"",IF($N311="","؟",IF(ROUND($M311-$N311,0)=0,"√","×")))</f>
        <v/>
      </c>
      <c r="P311" s="12" t="n"/>
    </row>
    <row r="312">
      <c r="A312" s="10">
        <f>IF($C312="","",COUNTA($C$9:$C312))</f>
        <v/>
      </c>
      <c r="B312" s="10">
        <f>IF($C312="","","TXN-"&amp;RIGHT("0000"&amp;304,4))</f>
        <v/>
      </c>
      <c r="C312" s="11" t="n"/>
      <c r="D312" s="11" t="n"/>
      <c r="E312" s="12" t="n"/>
      <c r="F312" s="10">
        <f>IF($E312="","",IFERROR(IF(VLOOKUP(LEFT(UPPER(TRIM($E312)),6),BankTbl,2,0)="","(بدون عنوان)",VLOOKUP(LEFT(UPPER(TRIM($E312)),6),BankTbl,2,0)),"بانک ناشناخته"))</f>
        <v/>
      </c>
      <c r="G312" s="11" t="n"/>
      <c r="H312" s="10">
        <f>IF($G312="","",IFERROR(VLOOKUP($G312,CustTbl,2,0),IFERROR(VLOOKUP($G312,SuppTbl,2,0),IFERROR(VLOOKUP($G312,AcctTbl,2,0),IFERROR(VLOOKUP($G312,StaffTbl,2,0),"کد ناشناخته")))))</f>
        <v/>
      </c>
      <c r="I312" s="12" t="n"/>
      <c r="J312" s="12" t="n"/>
      <c r="K312" s="13" t="n"/>
      <c r="L312" s="13" t="n"/>
      <c r="M312" s="13" t="n"/>
      <c r="N312" s="14">
        <f>IF(OR($C312="",$E312="",Calc!$H312=""),"",IFERROR(VLOOKUP(LEFT(UPPER(TRIM($E312)),6),BankTbl,3,0),0)+SUMIFS(CalcDep,CalcBank,LEFT(UPPER(TRIM($E312)),6),CalcKey,"&lt;="&amp;Calc!$H312)-SUMIFS(CalcWit,CalcBank,LEFT(UPPER(TRIM($E312)),6),CalcKey,"&lt;="&amp;Calc!$H312))</f>
        <v/>
      </c>
      <c r="O312" s="10">
        <f>IF(OR($C312="",$M312=""),"",IF($N312="","؟",IF(ROUND($M312-$N312,0)=0,"√","×")))</f>
        <v/>
      </c>
      <c r="P312" s="12" t="n"/>
    </row>
    <row r="313">
      <c r="A313" s="10">
        <f>IF($C313="","",COUNTA($C$9:$C313))</f>
        <v/>
      </c>
      <c r="B313" s="10">
        <f>IF($C313="","","TXN-"&amp;RIGHT("0000"&amp;305,4))</f>
        <v/>
      </c>
      <c r="C313" s="11" t="n"/>
      <c r="D313" s="11" t="n"/>
      <c r="E313" s="12" t="n"/>
      <c r="F313" s="10">
        <f>IF($E313="","",IFERROR(IF(VLOOKUP(LEFT(UPPER(TRIM($E313)),6),BankTbl,2,0)="","(بدون عنوان)",VLOOKUP(LEFT(UPPER(TRIM($E313)),6),BankTbl,2,0)),"بانک ناشناخته"))</f>
        <v/>
      </c>
      <c r="G313" s="11" t="n"/>
      <c r="H313" s="10">
        <f>IF($G313="","",IFERROR(VLOOKUP($G313,CustTbl,2,0),IFERROR(VLOOKUP($G313,SuppTbl,2,0),IFERROR(VLOOKUP($G313,AcctTbl,2,0),IFERROR(VLOOKUP($G313,StaffTbl,2,0),"کد ناشناخته")))))</f>
        <v/>
      </c>
      <c r="I313" s="12" t="n"/>
      <c r="J313" s="12" t="n"/>
      <c r="K313" s="13" t="n"/>
      <c r="L313" s="13" t="n"/>
      <c r="M313" s="13" t="n"/>
      <c r="N313" s="14">
        <f>IF(OR($C313="",$E313="",Calc!$H313=""),"",IFERROR(VLOOKUP(LEFT(UPPER(TRIM($E313)),6),BankTbl,3,0),0)+SUMIFS(CalcDep,CalcBank,LEFT(UPPER(TRIM($E313)),6),CalcKey,"&lt;="&amp;Calc!$H313)-SUMIFS(CalcWit,CalcBank,LEFT(UPPER(TRIM($E313)),6),CalcKey,"&lt;="&amp;Calc!$H313))</f>
        <v/>
      </c>
      <c r="O313" s="10">
        <f>IF(OR($C313="",$M313=""),"",IF($N313="","؟",IF(ROUND($M313-$N313,0)=0,"√","×")))</f>
        <v/>
      </c>
      <c r="P313" s="12" t="n"/>
    </row>
    <row r="314">
      <c r="A314" s="10">
        <f>IF($C314="","",COUNTA($C$9:$C314))</f>
        <v/>
      </c>
      <c r="B314" s="10">
        <f>IF($C314="","","TXN-"&amp;RIGHT("0000"&amp;306,4))</f>
        <v/>
      </c>
      <c r="C314" s="11" t="n"/>
      <c r="D314" s="11" t="n"/>
      <c r="E314" s="12" t="n"/>
      <c r="F314" s="10">
        <f>IF($E314="","",IFERROR(IF(VLOOKUP(LEFT(UPPER(TRIM($E314)),6),BankTbl,2,0)="","(بدون عنوان)",VLOOKUP(LEFT(UPPER(TRIM($E314)),6),BankTbl,2,0)),"بانک ناشناخته"))</f>
        <v/>
      </c>
      <c r="G314" s="11" t="n"/>
      <c r="H314" s="10">
        <f>IF($G314="","",IFERROR(VLOOKUP($G314,CustTbl,2,0),IFERROR(VLOOKUP($G314,SuppTbl,2,0),IFERROR(VLOOKUP($G314,AcctTbl,2,0),IFERROR(VLOOKUP($G314,StaffTbl,2,0),"کد ناشناخته")))))</f>
        <v/>
      </c>
      <c r="I314" s="12" t="n"/>
      <c r="J314" s="12" t="n"/>
      <c r="K314" s="13" t="n"/>
      <c r="L314" s="13" t="n"/>
      <c r="M314" s="13" t="n"/>
      <c r="N314" s="14">
        <f>IF(OR($C314="",$E314="",Calc!$H314=""),"",IFERROR(VLOOKUP(LEFT(UPPER(TRIM($E314)),6),BankTbl,3,0),0)+SUMIFS(CalcDep,CalcBank,LEFT(UPPER(TRIM($E314)),6),CalcKey,"&lt;="&amp;Calc!$H314)-SUMIFS(CalcWit,CalcBank,LEFT(UPPER(TRIM($E314)),6),CalcKey,"&lt;="&amp;Calc!$H314))</f>
        <v/>
      </c>
      <c r="O314" s="10">
        <f>IF(OR($C314="",$M314=""),"",IF($N314="","؟",IF(ROUND($M314-$N314,0)=0,"√","×")))</f>
        <v/>
      </c>
      <c r="P314" s="12" t="n"/>
    </row>
    <row r="315">
      <c r="A315" s="10">
        <f>IF($C315="","",COUNTA($C$9:$C315))</f>
        <v/>
      </c>
      <c r="B315" s="10">
        <f>IF($C315="","","TXN-"&amp;RIGHT("0000"&amp;307,4))</f>
        <v/>
      </c>
      <c r="C315" s="11" t="n"/>
      <c r="D315" s="11" t="n"/>
      <c r="E315" s="12" t="n"/>
      <c r="F315" s="10">
        <f>IF($E315="","",IFERROR(IF(VLOOKUP(LEFT(UPPER(TRIM($E315)),6),BankTbl,2,0)="","(بدون عنوان)",VLOOKUP(LEFT(UPPER(TRIM($E315)),6),BankTbl,2,0)),"بانک ناشناخته"))</f>
        <v/>
      </c>
      <c r="G315" s="11" t="n"/>
      <c r="H315" s="10">
        <f>IF($G315="","",IFERROR(VLOOKUP($G315,CustTbl,2,0),IFERROR(VLOOKUP($G315,SuppTbl,2,0),IFERROR(VLOOKUP($G315,AcctTbl,2,0),IFERROR(VLOOKUP($G315,StaffTbl,2,0),"کد ناشناخته")))))</f>
        <v/>
      </c>
      <c r="I315" s="12" t="n"/>
      <c r="J315" s="12" t="n"/>
      <c r="K315" s="13" t="n"/>
      <c r="L315" s="13" t="n"/>
      <c r="M315" s="13" t="n"/>
      <c r="N315" s="14">
        <f>IF(OR($C315="",$E315="",Calc!$H315=""),"",IFERROR(VLOOKUP(LEFT(UPPER(TRIM($E315)),6),BankTbl,3,0),0)+SUMIFS(CalcDep,CalcBank,LEFT(UPPER(TRIM($E315)),6),CalcKey,"&lt;="&amp;Calc!$H315)-SUMIFS(CalcWit,CalcBank,LEFT(UPPER(TRIM($E315)),6),CalcKey,"&lt;="&amp;Calc!$H315))</f>
        <v/>
      </c>
      <c r="O315" s="10">
        <f>IF(OR($C315="",$M315=""),"",IF($N315="","؟",IF(ROUND($M315-$N315,0)=0,"√","×")))</f>
        <v/>
      </c>
      <c r="P315" s="12" t="n"/>
    </row>
    <row r="316">
      <c r="A316" s="10">
        <f>IF($C316="","",COUNTA($C$9:$C316))</f>
        <v/>
      </c>
      <c r="B316" s="10">
        <f>IF($C316="","","TXN-"&amp;RIGHT("0000"&amp;308,4))</f>
        <v/>
      </c>
      <c r="C316" s="11" t="n"/>
      <c r="D316" s="11" t="n"/>
      <c r="E316" s="12" t="n"/>
      <c r="F316" s="10">
        <f>IF($E316="","",IFERROR(IF(VLOOKUP(LEFT(UPPER(TRIM($E316)),6),BankTbl,2,0)="","(بدون عنوان)",VLOOKUP(LEFT(UPPER(TRIM($E316)),6),BankTbl,2,0)),"بانک ناشناخته"))</f>
        <v/>
      </c>
      <c r="G316" s="11" t="n"/>
      <c r="H316" s="10">
        <f>IF($G316="","",IFERROR(VLOOKUP($G316,CustTbl,2,0),IFERROR(VLOOKUP($G316,SuppTbl,2,0),IFERROR(VLOOKUP($G316,AcctTbl,2,0),IFERROR(VLOOKUP($G316,StaffTbl,2,0),"کد ناشناخته")))))</f>
        <v/>
      </c>
      <c r="I316" s="12" t="n"/>
      <c r="J316" s="12" t="n"/>
      <c r="K316" s="13" t="n"/>
      <c r="L316" s="13" t="n"/>
      <c r="M316" s="13" t="n"/>
      <c r="N316" s="14">
        <f>IF(OR($C316="",$E316="",Calc!$H316=""),"",IFERROR(VLOOKUP(LEFT(UPPER(TRIM($E316)),6),BankTbl,3,0),0)+SUMIFS(CalcDep,CalcBank,LEFT(UPPER(TRIM($E316)),6),CalcKey,"&lt;="&amp;Calc!$H316)-SUMIFS(CalcWit,CalcBank,LEFT(UPPER(TRIM($E316)),6),CalcKey,"&lt;="&amp;Calc!$H316))</f>
        <v/>
      </c>
      <c r="O316" s="10">
        <f>IF(OR($C316="",$M316=""),"",IF($N316="","؟",IF(ROUND($M316-$N316,0)=0,"√","×")))</f>
        <v/>
      </c>
      <c r="P316" s="12" t="n"/>
    </row>
    <row r="317">
      <c r="A317" s="10">
        <f>IF($C317="","",COUNTA($C$9:$C317))</f>
        <v/>
      </c>
      <c r="B317" s="10">
        <f>IF($C317="","","TXN-"&amp;RIGHT("0000"&amp;309,4))</f>
        <v/>
      </c>
      <c r="C317" s="11" t="n"/>
      <c r="D317" s="11" t="n"/>
      <c r="E317" s="12" t="n"/>
      <c r="F317" s="10">
        <f>IF($E317="","",IFERROR(IF(VLOOKUP(LEFT(UPPER(TRIM($E317)),6),BankTbl,2,0)="","(بدون عنوان)",VLOOKUP(LEFT(UPPER(TRIM($E317)),6),BankTbl,2,0)),"بانک ناشناخته"))</f>
        <v/>
      </c>
      <c r="G317" s="11" t="n"/>
      <c r="H317" s="10">
        <f>IF($G317="","",IFERROR(VLOOKUP($G317,CustTbl,2,0),IFERROR(VLOOKUP($G317,SuppTbl,2,0),IFERROR(VLOOKUP($G317,AcctTbl,2,0),IFERROR(VLOOKUP($G317,StaffTbl,2,0),"کد ناشناخته")))))</f>
        <v/>
      </c>
      <c r="I317" s="12" t="n"/>
      <c r="J317" s="12" t="n"/>
      <c r="K317" s="13" t="n"/>
      <c r="L317" s="13" t="n"/>
      <c r="M317" s="13" t="n"/>
      <c r="N317" s="14">
        <f>IF(OR($C317="",$E317="",Calc!$H317=""),"",IFERROR(VLOOKUP(LEFT(UPPER(TRIM($E317)),6),BankTbl,3,0),0)+SUMIFS(CalcDep,CalcBank,LEFT(UPPER(TRIM($E317)),6),CalcKey,"&lt;="&amp;Calc!$H317)-SUMIFS(CalcWit,CalcBank,LEFT(UPPER(TRIM($E317)),6),CalcKey,"&lt;="&amp;Calc!$H317))</f>
        <v/>
      </c>
      <c r="O317" s="10">
        <f>IF(OR($C317="",$M317=""),"",IF($N317="","؟",IF(ROUND($M317-$N317,0)=0,"√","×")))</f>
        <v/>
      </c>
      <c r="P317" s="12" t="n"/>
    </row>
    <row r="318">
      <c r="A318" s="10">
        <f>IF($C318="","",COUNTA($C$9:$C318))</f>
        <v/>
      </c>
      <c r="B318" s="10">
        <f>IF($C318="","","TXN-"&amp;RIGHT("0000"&amp;310,4))</f>
        <v/>
      </c>
      <c r="C318" s="11" t="n"/>
      <c r="D318" s="11" t="n"/>
      <c r="E318" s="12" t="n"/>
      <c r="F318" s="10">
        <f>IF($E318="","",IFERROR(IF(VLOOKUP(LEFT(UPPER(TRIM($E318)),6),BankTbl,2,0)="","(بدون عنوان)",VLOOKUP(LEFT(UPPER(TRIM($E318)),6),BankTbl,2,0)),"بانک ناشناخته"))</f>
        <v/>
      </c>
      <c r="G318" s="11" t="n"/>
      <c r="H318" s="10">
        <f>IF($G318="","",IFERROR(VLOOKUP($G318,CustTbl,2,0),IFERROR(VLOOKUP($G318,SuppTbl,2,0),IFERROR(VLOOKUP($G318,AcctTbl,2,0),IFERROR(VLOOKUP($G318,StaffTbl,2,0),"کد ناشناخته")))))</f>
        <v/>
      </c>
      <c r="I318" s="12" t="n"/>
      <c r="J318" s="12" t="n"/>
      <c r="K318" s="13" t="n"/>
      <c r="L318" s="13" t="n"/>
      <c r="M318" s="13" t="n"/>
      <c r="N318" s="14">
        <f>IF(OR($C318="",$E318="",Calc!$H318=""),"",IFERROR(VLOOKUP(LEFT(UPPER(TRIM($E318)),6),BankTbl,3,0),0)+SUMIFS(CalcDep,CalcBank,LEFT(UPPER(TRIM($E318)),6),CalcKey,"&lt;="&amp;Calc!$H318)-SUMIFS(CalcWit,CalcBank,LEFT(UPPER(TRIM($E318)),6),CalcKey,"&lt;="&amp;Calc!$H318))</f>
        <v/>
      </c>
      <c r="O318" s="10">
        <f>IF(OR($C318="",$M318=""),"",IF($N318="","؟",IF(ROUND($M318-$N318,0)=0,"√","×")))</f>
        <v/>
      </c>
      <c r="P318" s="12" t="n"/>
    </row>
    <row r="319">
      <c r="A319" s="10">
        <f>IF($C319="","",COUNTA($C$9:$C319))</f>
        <v/>
      </c>
      <c r="B319" s="10">
        <f>IF($C319="","","TXN-"&amp;RIGHT("0000"&amp;311,4))</f>
        <v/>
      </c>
      <c r="C319" s="11" t="n"/>
      <c r="D319" s="11" t="n"/>
      <c r="E319" s="12" t="n"/>
      <c r="F319" s="10">
        <f>IF($E319="","",IFERROR(IF(VLOOKUP(LEFT(UPPER(TRIM($E319)),6),BankTbl,2,0)="","(بدون عنوان)",VLOOKUP(LEFT(UPPER(TRIM($E319)),6),BankTbl,2,0)),"بانک ناشناخته"))</f>
        <v/>
      </c>
      <c r="G319" s="11" t="n"/>
      <c r="H319" s="10">
        <f>IF($G319="","",IFERROR(VLOOKUP($G319,CustTbl,2,0),IFERROR(VLOOKUP($G319,SuppTbl,2,0),IFERROR(VLOOKUP($G319,AcctTbl,2,0),IFERROR(VLOOKUP($G319,StaffTbl,2,0),"کد ناشناخته")))))</f>
        <v/>
      </c>
      <c r="I319" s="12" t="n"/>
      <c r="J319" s="12" t="n"/>
      <c r="K319" s="13" t="n"/>
      <c r="L319" s="13" t="n"/>
      <c r="M319" s="13" t="n"/>
      <c r="N319" s="14">
        <f>IF(OR($C319="",$E319="",Calc!$H319=""),"",IFERROR(VLOOKUP(LEFT(UPPER(TRIM($E319)),6),BankTbl,3,0),0)+SUMIFS(CalcDep,CalcBank,LEFT(UPPER(TRIM($E319)),6),CalcKey,"&lt;="&amp;Calc!$H319)-SUMIFS(CalcWit,CalcBank,LEFT(UPPER(TRIM($E319)),6),CalcKey,"&lt;="&amp;Calc!$H319))</f>
        <v/>
      </c>
      <c r="O319" s="10">
        <f>IF(OR($C319="",$M319=""),"",IF($N319="","؟",IF(ROUND($M319-$N319,0)=0,"√","×")))</f>
        <v/>
      </c>
      <c r="P319" s="12" t="n"/>
    </row>
    <row r="320">
      <c r="A320" s="10">
        <f>IF($C320="","",COUNTA($C$9:$C320))</f>
        <v/>
      </c>
      <c r="B320" s="10">
        <f>IF($C320="","","TXN-"&amp;RIGHT("0000"&amp;312,4))</f>
        <v/>
      </c>
      <c r="C320" s="11" t="n"/>
      <c r="D320" s="11" t="n"/>
      <c r="E320" s="12" t="n"/>
      <c r="F320" s="10">
        <f>IF($E320="","",IFERROR(IF(VLOOKUP(LEFT(UPPER(TRIM($E320)),6),BankTbl,2,0)="","(بدون عنوان)",VLOOKUP(LEFT(UPPER(TRIM($E320)),6),BankTbl,2,0)),"بانک ناشناخته"))</f>
        <v/>
      </c>
      <c r="G320" s="11" t="n"/>
      <c r="H320" s="10">
        <f>IF($G320="","",IFERROR(VLOOKUP($G320,CustTbl,2,0),IFERROR(VLOOKUP($G320,SuppTbl,2,0),IFERROR(VLOOKUP($G320,AcctTbl,2,0),IFERROR(VLOOKUP($G320,StaffTbl,2,0),"کد ناشناخته")))))</f>
        <v/>
      </c>
      <c r="I320" s="12" t="n"/>
      <c r="J320" s="12" t="n"/>
      <c r="K320" s="13" t="n"/>
      <c r="L320" s="13" t="n"/>
      <c r="M320" s="13" t="n"/>
      <c r="N320" s="14">
        <f>IF(OR($C320="",$E320="",Calc!$H320=""),"",IFERROR(VLOOKUP(LEFT(UPPER(TRIM($E320)),6),BankTbl,3,0),0)+SUMIFS(CalcDep,CalcBank,LEFT(UPPER(TRIM($E320)),6),CalcKey,"&lt;="&amp;Calc!$H320)-SUMIFS(CalcWit,CalcBank,LEFT(UPPER(TRIM($E320)),6),CalcKey,"&lt;="&amp;Calc!$H320))</f>
        <v/>
      </c>
      <c r="O320" s="10">
        <f>IF(OR($C320="",$M320=""),"",IF($N320="","؟",IF(ROUND($M320-$N320,0)=0,"√","×")))</f>
        <v/>
      </c>
      <c r="P320" s="12" t="n"/>
    </row>
    <row r="321">
      <c r="A321" s="10">
        <f>IF($C321="","",COUNTA($C$9:$C321))</f>
        <v/>
      </c>
      <c r="B321" s="10">
        <f>IF($C321="","","TXN-"&amp;RIGHT("0000"&amp;313,4))</f>
        <v/>
      </c>
      <c r="C321" s="11" t="n"/>
      <c r="D321" s="11" t="n"/>
      <c r="E321" s="12" t="n"/>
      <c r="F321" s="10">
        <f>IF($E321="","",IFERROR(IF(VLOOKUP(LEFT(UPPER(TRIM($E321)),6),BankTbl,2,0)="","(بدون عنوان)",VLOOKUP(LEFT(UPPER(TRIM($E321)),6),BankTbl,2,0)),"بانک ناشناخته"))</f>
        <v/>
      </c>
      <c r="G321" s="11" t="n"/>
      <c r="H321" s="10">
        <f>IF($G321="","",IFERROR(VLOOKUP($G321,CustTbl,2,0),IFERROR(VLOOKUP($G321,SuppTbl,2,0),IFERROR(VLOOKUP($G321,AcctTbl,2,0),IFERROR(VLOOKUP($G321,StaffTbl,2,0),"کد ناشناخته")))))</f>
        <v/>
      </c>
      <c r="I321" s="12" t="n"/>
      <c r="J321" s="12" t="n"/>
      <c r="K321" s="13" t="n"/>
      <c r="L321" s="13" t="n"/>
      <c r="M321" s="13" t="n"/>
      <c r="N321" s="14">
        <f>IF(OR($C321="",$E321="",Calc!$H321=""),"",IFERROR(VLOOKUP(LEFT(UPPER(TRIM($E321)),6),BankTbl,3,0),0)+SUMIFS(CalcDep,CalcBank,LEFT(UPPER(TRIM($E321)),6),CalcKey,"&lt;="&amp;Calc!$H321)-SUMIFS(CalcWit,CalcBank,LEFT(UPPER(TRIM($E321)),6),CalcKey,"&lt;="&amp;Calc!$H321))</f>
        <v/>
      </c>
      <c r="O321" s="10">
        <f>IF(OR($C321="",$M321=""),"",IF($N321="","؟",IF(ROUND($M321-$N321,0)=0,"√","×")))</f>
        <v/>
      </c>
      <c r="P321" s="12" t="n"/>
    </row>
    <row r="322">
      <c r="A322" s="10">
        <f>IF($C322="","",COUNTA($C$9:$C322))</f>
        <v/>
      </c>
      <c r="B322" s="10">
        <f>IF($C322="","","TXN-"&amp;RIGHT("0000"&amp;314,4))</f>
        <v/>
      </c>
      <c r="C322" s="11" t="n"/>
      <c r="D322" s="11" t="n"/>
      <c r="E322" s="12" t="n"/>
      <c r="F322" s="10">
        <f>IF($E322="","",IFERROR(IF(VLOOKUP(LEFT(UPPER(TRIM($E322)),6),BankTbl,2,0)="","(بدون عنوان)",VLOOKUP(LEFT(UPPER(TRIM($E322)),6),BankTbl,2,0)),"بانک ناشناخته"))</f>
        <v/>
      </c>
      <c r="G322" s="11" t="n"/>
      <c r="H322" s="10">
        <f>IF($G322="","",IFERROR(VLOOKUP($G322,CustTbl,2,0),IFERROR(VLOOKUP($G322,SuppTbl,2,0),IFERROR(VLOOKUP($G322,AcctTbl,2,0),IFERROR(VLOOKUP($G322,StaffTbl,2,0),"کد ناشناخته")))))</f>
        <v/>
      </c>
      <c r="I322" s="12" t="n"/>
      <c r="J322" s="12" t="n"/>
      <c r="K322" s="13" t="n"/>
      <c r="L322" s="13" t="n"/>
      <c r="M322" s="13" t="n"/>
      <c r="N322" s="14">
        <f>IF(OR($C322="",$E322="",Calc!$H322=""),"",IFERROR(VLOOKUP(LEFT(UPPER(TRIM($E322)),6),BankTbl,3,0),0)+SUMIFS(CalcDep,CalcBank,LEFT(UPPER(TRIM($E322)),6),CalcKey,"&lt;="&amp;Calc!$H322)-SUMIFS(CalcWit,CalcBank,LEFT(UPPER(TRIM($E322)),6),CalcKey,"&lt;="&amp;Calc!$H322))</f>
        <v/>
      </c>
      <c r="O322" s="10">
        <f>IF(OR($C322="",$M322=""),"",IF($N322="","؟",IF(ROUND($M322-$N322,0)=0,"√","×")))</f>
        <v/>
      </c>
      <c r="P322" s="12" t="n"/>
    </row>
    <row r="323">
      <c r="A323" s="10">
        <f>IF($C323="","",COUNTA($C$9:$C323))</f>
        <v/>
      </c>
      <c r="B323" s="10">
        <f>IF($C323="","","TXN-"&amp;RIGHT("0000"&amp;315,4))</f>
        <v/>
      </c>
      <c r="C323" s="11" t="n"/>
      <c r="D323" s="11" t="n"/>
      <c r="E323" s="12" t="n"/>
      <c r="F323" s="10">
        <f>IF($E323="","",IFERROR(IF(VLOOKUP(LEFT(UPPER(TRIM($E323)),6),BankTbl,2,0)="","(بدون عنوان)",VLOOKUP(LEFT(UPPER(TRIM($E323)),6),BankTbl,2,0)),"بانک ناشناخته"))</f>
        <v/>
      </c>
      <c r="G323" s="11" t="n"/>
      <c r="H323" s="10">
        <f>IF($G323="","",IFERROR(VLOOKUP($G323,CustTbl,2,0),IFERROR(VLOOKUP($G323,SuppTbl,2,0),IFERROR(VLOOKUP($G323,AcctTbl,2,0),IFERROR(VLOOKUP($G323,StaffTbl,2,0),"کد ناشناخته")))))</f>
        <v/>
      </c>
      <c r="I323" s="12" t="n"/>
      <c r="J323" s="12" t="n"/>
      <c r="K323" s="13" t="n"/>
      <c r="L323" s="13" t="n"/>
      <c r="M323" s="13" t="n"/>
      <c r="N323" s="14">
        <f>IF(OR($C323="",$E323="",Calc!$H323=""),"",IFERROR(VLOOKUP(LEFT(UPPER(TRIM($E323)),6),BankTbl,3,0),0)+SUMIFS(CalcDep,CalcBank,LEFT(UPPER(TRIM($E323)),6),CalcKey,"&lt;="&amp;Calc!$H323)-SUMIFS(CalcWit,CalcBank,LEFT(UPPER(TRIM($E323)),6),CalcKey,"&lt;="&amp;Calc!$H323))</f>
        <v/>
      </c>
      <c r="O323" s="10">
        <f>IF(OR($C323="",$M323=""),"",IF($N323="","؟",IF(ROUND($M323-$N323,0)=0,"√","×")))</f>
        <v/>
      </c>
      <c r="P323" s="12" t="n"/>
    </row>
    <row r="324">
      <c r="A324" s="10">
        <f>IF($C324="","",COUNTA($C$9:$C324))</f>
        <v/>
      </c>
      <c r="B324" s="10">
        <f>IF($C324="","","TXN-"&amp;RIGHT("0000"&amp;316,4))</f>
        <v/>
      </c>
      <c r="C324" s="11" t="n"/>
      <c r="D324" s="11" t="n"/>
      <c r="E324" s="12" t="n"/>
      <c r="F324" s="10">
        <f>IF($E324="","",IFERROR(IF(VLOOKUP(LEFT(UPPER(TRIM($E324)),6),BankTbl,2,0)="","(بدون عنوان)",VLOOKUP(LEFT(UPPER(TRIM($E324)),6),BankTbl,2,0)),"بانک ناشناخته"))</f>
        <v/>
      </c>
      <c r="G324" s="11" t="n"/>
      <c r="H324" s="10">
        <f>IF($G324="","",IFERROR(VLOOKUP($G324,CustTbl,2,0),IFERROR(VLOOKUP($G324,SuppTbl,2,0),IFERROR(VLOOKUP($G324,AcctTbl,2,0),IFERROR(VLOOKUP($G324,StaffTbl,2,0),"کد ناشناخته")))))</f>
        <v/>
      </c>
      <c r="I324" s="12" t="n"/>
      <c r="J324" s="12" t="n"/>
      <c r="K324" s="13" t="n"/>
      <c r="L324" s="13" t="n"/>
      <c r="M324" s="13" t="n"/>
      <c r="N324" s="14">
        <f>IF(OR($C324="",$E324="",Calc!$H324=""),"",IFERROR(VLOOKUP(LEFT(UPPER(TRIM($E324)),6),BankTbl,3,0),0)+SUMIFS(CalcDep,CalcBank,LEFT(UPPER(TRIM($E324)),6),CalcKey,"&lt;="&amp;Calc!$H324)-SUMIFS(CalcWit,CalcBank,LEFT(UPPER(TRIM($E324)),6),CalcKey,"&lt;="&amp;Calc!$H324))</f>
        <v/>
      </c>
      <c r="O324" s="10">
        <f>IF(OR($C324="",$M324=""),"",IF($N324="","؟",IF(ROUND($M324-$N324,0)=0,"√","×")))</f>
        <v/>
      </c>
      <c r="P324" s="12" t="n"/>
    </row>
    <row r="325">
      <c r="A325" s="10">
        <f>IF($C325="","",COUNTA($C$9:$C325))</f>
        <v/>
      </c>
      <c r="B325" s="10">
        <f>IF($C325="","","TXN-"&amp;RIGHT("0000"&amp;317,4))</f>
        <v/>
      </c>
      <c r="C325" s="11" t="n"/>
      <c r="D325" s="11" t="n"/>
      <c r="E325" s="12" t="n"/>
      <c r="F325" s="10">
        <f>IF($E325="","",IFERROR(IF(VLOOKUP(LEFT(UPPER(TRIM($E325)),6),BankTbl,2,0)="","(بدون عنوان)",VLOOKUP(LEFT(UPPER(TRIM($E325)),6),BankTbl,2,0)),"بانک ناشناخته"))</f>
        <v/>
      </c>
      <c r="G325" s="11" t="n"/>
      <c r="H325" s="10">
        <f>IF($G325="","",IFERROR(VLOOKUP($G325,CustTbl,2,0),IFERROR(VLOOKUP($G325,SuppTbl,2,0),IFERROR(VLOOKUP($G325,AcctTbl,2,0),IFERROR(VLOOKUP($G325,StaffTbl,2,0),"کد ناشناخته")))))</f>
        <v/>
      </c>
      <c r="I325" s="12" t="n"/>
      <c r="J325" s="12" t="n"/>
      <c r="K325" s="13" t="n"/>
      <c r="L325" s="13" t="n"/>
      <c r="M325" s="13" t="n"/>
      <c r="N325" s="14">
        <f>IF(OR($C325="",$E325="",Calc!$H325=""),"",IFERROR(VLOOKUP(LEFT(UPPER(TRIM($E325)),6),BankTbl,3,0),0)+SUMIFS(CalcDep,CalcBank,LEFT(UPPER(TRIM($E325)),6),CalcKey,"&lt;="&amp;Calc!$H325)-SUMIFS(CalcWit,CalcBank,LEFT(UPPER(TRIM($E325)),6),CalcKey,"&lt;="&amp;Calc!$H325))</f>
        <v/>
      </c>
      <c r="O325" s="10">
        <f>IF(OR($C325="",$M325=""),"",IF($N325="","؟",IF(ROUND($M325-$N325,0)=0,"√","×")))</f>
        <v/>
      </c>
      <c r="P325" s="12" t="n"/>
    </row>
    <row r="326">
      <c r="A326" s="10">
        <f>IF($C326="","",COUNTA($C$9:$C326))</f>
        <v/>
      </c>
      <c r="B326" s="10">
        <f>IF($C326="","","TXN-"&amp;RIGHT("0000"&amp;318,4))</f>
        <v/>
      </c>
      <c r="C326" s="11" t="n"/>
      <c r="D326" s="11" t="n"/>
      <c r="E326" s="12" t="n"/>
      <c r="F326" s="10">
        <f>IF($E326="","",IFERROR(IF(VLOOKUP(LEFT(UPPER(TRIM($E326)),6),BankTbl,2,0)="","(بدون عنوان)",VLOOKUP(LEFT(UPPER(TRIM($E326)),6),BankTbl,2,0)),"بانک ناشناخته"))</f>
        <v/>
      </c>
      <c r="G326" s="11" t="n"/>
      <c r="H326" s="10">
        <f>IF($G326="","",IFERROR(VLOOKUP($G326,CustTbl,2,0),IFERROR(VLOOKUP($G326,SuppTbl,2,0),IFERROR(VLOOKUP($G326,AcctTbl,2,0),IFERROR(VLOOKUP($G326,StaffTbl,2,0),"کد ناشناخته")))))</f>
        <v/>
      </c>
      <c r="I326" s="12" t="n"/>
      <c r="J326" s="12" t="n"/>
      <c r="K326" s="13" t="n"/>
      <c r="L326" s="13" t="n"/>
      <c r="M326" s="13" t="n"/>
      <c r="N326" s="14">
        <f>IF(OR($C326="",$E326="",Calc!$H326=""),"",IFERROR(VLOOKUP(LEFT(UPPER(TRIM($E326)),6),BankTbl,3,0),0)+SUMIFS(CalcDep,CalcBank,LEFT(UPPER(TRIM($E326)),6),CalcKey,"&lt;="&amp;Calc!$H326)-SUMIFS(CalcWit,CalcBank,LEFT(UPPER(TRIM($E326)),6),CalcKey,"&lt;="&amp;Calc!$H326))</f>
        <v/>
      </c>
      <c r="O326" s="10">
        <f>IF(OR($C326="",$M326=""),"",IF($N326="","؟",IF(ROUND($M326-$N326,0)=0,"√","×")))</f>
        <v/>
      </c>
      <c r="P326" s="12" t="n"/>
    </row>
    <row r="327">
      <c r="A327" s="10">
        <f>IF($C327="","",COUNTA($C$9:$C327))</f>
        <v/>
      </c>
      <c r="B327" s="10">
        <f>IF($C327="","","TXN-"&amp;RIGHT("0000"&amp;319,4))</f>
        <v/>
      </c>
      <c r="C327" s="11" t="n"/>
      <c r="D327" s="11" t="n"/>
      <c r="E327" s="12" t="n"/>
      <c r="F327" s="10">
        <f>IF($E327="","",IFERROR(IF(VLOOKUP(LEFT(UPPER(TRIM($E327)),6),BankTbl,2,0)="","(بدون عنوان)",VLOOKUP(LEFT(UPPER(TRIM($E327)),6),BankTbl,2,0)),"بانک ناشناخته"))</f>
        <v/>
      </c>
      <c r="G327" s="11" t="n"/>
      <c r="H327" s="10">
        <f>IF($G327="","",IFERROR(VLOOKUP($G327,CustTbl,2,0),IFERROR(VLOOKUP($G327,SuppTbl,2,0),IFERROR(VLOOKUP($G327,AcctTbl,2,0),IFERROR(VLOOKUP($G327,StaffTbl,2,0),"کد ناشناخته")))))</f>
        <v/>
      </c>
      <c r="I327" s="12" t="n"/>
      <c r="J327" s="12" t="n"/>
      <c r="K327" s="13" t="n"/>
      <c r="L327" s="13" t="n"/>
      <c r="M327" s="13" t="n"/>
      <c r="N327" s="14">
        <f>IF(OR($C327="",$E327="",Calc!$H327=""),"",IFERROR(VLOOKUP(LEFT(UPPER(TRIM($E327)),6),BankTbl,3,0),0)+SUMIFS(CalcDep,CalcBank,LEFT(UPPER(TRIM($E327)),6),CalcKey,"&lt;="&amp;Calc!$H327)-SUMIFS(CalcWit,CalcBank,LEFT(UPPER(TRIM($E327)),6),CalcKey,"&lt;="&amp;Calc!$H327))</f>
        <v/>
      </c>
      <c r="O327" s="10">
        <f>IF(OR($C327="",$M327=""),"",IF($N327="","؟",IF(ROUND($M327-$N327,0)=0,"√","×")))</f>
        <v/>
      </c>
      <c r="P327" s="12" t="n"/>
    </row>
    <row r="328">
      <c r="A328" s="10">
        <f>IF($C328="","",COUNTA($C$9:$C328))</f>
        <v/>
      </c>
      <c r="B328" s="10">
        <f>IF($C328="","","TXN-"&amp;RIGHT("0000"&amp;320,4))</f>
        <v/>
      </c>
      <c r="C328" s="11" t="n"/>
      <c r="D328" s="11" t="n"/>
      <c r="E328" s="12" t="n"/>
      <c r="F328" s="10">
        <f>IF($E328="","",IFERROR(IF(VLOOKUP(LEFT(UPPER(TRIM($E328)),6),BankTbl,2,0)="","(بدون عنوان)",VLOOKUP(LEFT(UPPER(TRIM($E328)),6),BankTbl,2,0)),"بانک ناشناخته"))</f>
        <v/>
      </c>
      <c r="G328" s="11" t="n"/>
      <c r="H328" s="10">
        <f>IF($G328="","",IFERROR(VLOOKUP($G328,CustTbl,2,0),IFERROR(VLOOKUP($G328,SuppTbl,2,0),IFERROR(VLOOKUP($G328,AcctTbl,2,0),IFERROR(VLOOKUP($G328,StaffTbl,2,0),"کد ناشناخته")))))</f>
        <v/>
      </c>
      <c r="I328" s="12" t="n"/>
      <c r="J328" s="12" t="n"/>
      <c r="K328" s="13" t="n"/>
      <c r="L328" s="13" t="n"/>
      <c r="M328" s="13" t="n"/>
      <c r="N328" s="14">
        <f>IF(OR($C328="",$E328="",Calc!$H328=""),"",IFERROR(VLOOKUP(LEFT(UPPER(TRIM($E328)),6),BankTbl,3,0),0)+SUMIFS(CalcDep,CalcBank,LEFT(UPPER(TRIM($E328)),6),CalcKey,"&lt;="&amp;Calc!$H328)-SUMIFS(CalcWit,CalcBank,LEFT(UPPER(TRIM($E328)),6),CalcKey,"&lt;="&amp;Calc!$H328))</f>
        <v/>
      </c>
      <c r="O328" s="10">
        <f>IF(OR($C328="",$M328=""),"",IF($N328="","؟",IF(ROUND($M328-$N328,0)=0,"√","×")))</f>
        <v/>
      </c>
      <c r="P328" s="12" t="n"/>
    </row>
    <row r="329">
      <c r="A329" s="10">
        <f>IF($C329="","",COUNTA($C$9:$C329))</f>
        <v/>
      </c>
      <c r="B329" s="10">
        <f>IF($C329="","","TXN-"&amp;RIGHT("0000"&amp;321,4))</f>
        <v/>
      </c>
      <c r="C329" s="11" t="n"/>
      <c r="D329" s="11" t="n"/>
      <c r="E329" s="12" t="n"/>
      <c r="F329" s="10">
        <f>IF($E329="","",IFERROR(IF(VLOOKUP(LEFT(UPPER(TRIM($E329)),6),BankTbl,2,0)="","(بدون عنوان)",VLOOKUP(LEFT(UPPER(TRIM($E329)),6),BankTbl,2,0)),"بانک ناشناخته"))</f>
        <v/>
      </c>
      <c r="G329" s="11" t="n"/>
      <c r="H329" s="10">
        <f>IF($G329="","",IFERROR(VLOOKUP($G329,CustTbl,2,0),IFERROR(VLOOKUP($G329,SuppTbl,2,0),IFERROR(VLOOKUP($G329,AcctTbl,2,0),IFERROR(VLOOKUP($G329,StaffTbl,2,0),"کد ناشناخته")))))</f>
        <v/>
      </c>
      <c r="I329" s="12" t="n"/>
      <c r="J329" s="12" t="n"/>
      <c r="K329" s="13" t="n"/>
      <c r="L329" s="13" t="n"/>
      <c r="M329" s="13" t="n"/>
      <c r="N329" s="14">
        <f>IF(OR($C329="",$E329="",Calc!$H329=""),"",IFERROR(VLOOKUP(LEFT(UPPER(TRIM($E329)),6),BankTbl,3,0),0)+SUMIFS(CalcDep,CalcBank,LEFT(UPPER(TRIM($E329)),6),CalcKey,"&lt;="&amp;Calc!$H329)-SUMIFS(CalcWit,CalcBank,LEFT(UPPER(TRIM($E329)),6),CalcKey,"&lt;="&amp;Calc!$H329))</f>
        <v/>
      </c>
      <c r="O329" s="10">
        <f>IF(OR($C329="",$M329=""),"",IF($N329="","؟",IF(ROUND($M329-$N329,0)=0,"√","×")))</f>
        <v/>
      </c>
      <c r="P329" s="12" t="n"/>
    </row>
    <row r="330">
      <c r="A330" s="10">
        <f>IF($C330="","",COUNTA($C$9:$C330))</f>
        <v/>
      </c>
      <c r="B330" s="10">
        <f>IF($C330="","","TXN-"&amp;RIGHT("0000"&amp;322,4))</f>
        <v/>
      </c>
      <c r="C330" s="11" t="n"/>
      <c r="D330" s="11" t="n"/>
      <c r="E330" s="12" t="n"/>
      <c r="F330" s="10">
        <f>IF($E330="","",IFERROR(IF(VLOOKUP(LEFT(UPPER(TRIM($E330)),6),BankTbl,2,0)="","(بدون عنوان)",VLOOKUP(LEFT(UPPER(TRIM($E330)),6),BankTbl,2,0)),"بانک ناشناخته"))</f>
        <v/>
      </c>
      <c r="G330" s="11" t="n"/>
      <c r="H330" s="10">
        <f>IF($G330="","",IFERROR(VLOOKUP($G330,CustTbl,2,0),IFERROR(VLOOKUP($G330,SuppTbl,2,0),IFERROR(VLOOKUP($G330,AcctTbl,2,0),IFERROR(VLOOKUP($G330,StaffTbl,2,0),"کد ناشناخته")))))</f>
        <v/>
      </c>
      <c r="I330" s="12" t="n"/>
      <c r="J330" s="12" t="n"/>
      <c r="K330" s="13" t="n"/>
      <c r="L330" s="13" t="n"/>
      <c r="M330" s="13" t="n"/>
      <c r="N330" s="14">
        <f>IF(OR($C330="",$E330="",Calc!$H330=""),"",IFERROR(VLOOKUP(LEFT(UPPER(TRIM($E330)),6),BankTbl,3,0),0)+SUMIFS(CalcDep,CalcBank,LEFT(UPPER(TRIM($E330)),6),CalcKey,"&lt;="&amp;Calc!$H330)-SUMIFS(CalcWit,CalcBank,LEFT(UPPER(TRIM($E330)),6),CalcKey,"&lt;="&amp;Calc!$H330))</f>
        <v/>
      </c>
      <c r="O330" s="10">
        <f>IF(OR($C330="",$M330=""),"",IF($N330="","؟",IF(ROUND($M330-$N330,0)=0,"√","×")))</f>
        <v/>
      </c>
      <c r="P330" s="12" t="n"/>
    </row>
    <row r="331">
      <c r="A331" s="10">
        <f>IF($C331="","",COUNTA($C$9:$C331))</f>
        <v/>
      </c>
      <c r="B331" s="10">
        <f>IF($C331="","","TXN-"&amp;RIGHT("0000"&amp;323,4))</f>
        <v/>
      </c>
      <c r="C331" s="11" t="n"/>
      <c r="D331" s="11" t="n"/>
      <c r="E331" s="12" t="n"/>
      <c r="F331" s="10">
        <f>IF($E331="","",IFERROR(IF(VLOOKUP(LEFT(UPPER(TRIM($E331)),6),BankTbl,2,0)="","(بدون عنوان)",VLOOKUP(LEFT(UPPER(TRIM($E331)),6),BankTbl,2,0)),"بانک ناشناخته"))</f>
        <v/>
      </c>
      <c r="G331" s="11" t="n"/>
      <c r="H331" s="10">
        <f>IF($G331="","",IFERROR(VLOOKUP($G331,CustTbl,2,0),IFERROR(VLOOKUP($G331,SuppTbl,2,0),IFERROR(VLOOKUP($G331,AcctTbl,2,0),IFERROR(VLOOKUP($G331,StaffTbl,2,0),"کد ناشناخته")))))</f>
        <v/>
      </c>
      <c r="I331" s="12" t="n"/>
      <c r="J331" s="12" t="n"/>
      <c r="K331" s="13" t="n"/>
      <c r="L331" s="13" t="n"/>
      <c r="M331" s="13" t="n"/>
      <c r="N331" s="14">
        <f>IF(OR($C331="",$E331="",Calc!$H331=""),"",IFERROR(VLOOKUP(LEFT(UPPER(TRIM($E331)),6),BankTbl,3,0),0)+SUMIFS(CalcDep,CalcBank,LEFT(UPPER(TRIM($E331)),6),CalcKey,"&lt;="&amp;Calc!$H331)-SUMIFS(CalcWit,CalcBank,LEFT(UPPER(TRIM($E331)),6),CalcKey,"&lt;="&amp;Calc!$H331))</f>
        <v/>
      </c>
      <c r="O331" s="10">
        <f>IF(OR($C331="",$M331=""),"",IF($N331="","؟",IF(ROUND($M331-$N331,0)=0,"√","×")))</f>
        <v/>
      </c>
      <c r="P331" s="12" t="n"/>
    </row>
    <row r="332">
      <c r="A332" s="10">
        <f>IF($C332="","",COUNTA($C$9:$C332))</f>
        <v/>
      </c>
      <c r="B332" s="10">
        <f>IF($C332="","","TXN-"&amp;RIGHT("0000"&amp;324,4))</f>
        <v/>
      </c>
      <c r="C332" s="11" t="n"/>
      <c r="D332" s="11" t="n"/>
      <c r="E332" s="12" t="n"/>
      <c r="F332" s="10">
        <f>IF($E332="","",IFERROR(IF(VLOOKUP(LEFT(UPPER(TRIM($E332)),6),BankTbl,2,0)="","(بدون عنوان)",VLOOKUP(LEFT(UPPER(TRIM($E332)),6),BankTbl,2,0)),"بانک ناشناخته"))</f>
        <v/>
      </c>
      <c r="G332" s="11" t="n"/>
      <c r="H332" s="10">
        <f>IF($G332="","",IFERROR(VLOOKUP($G332,CustTbl,2,0),IFERROR(VLOOKUP($G332,SuppTbl,2,0),IFERROR(VLOOKUP($G332,AcctTbl,2,0),IFERROR(VLOOKUP($G332,StaffTbl,2,0),"کد ناشناخته")))))</f>
        <v/>
      </c>
      <c r="I332" s="12" t="n"/>
      <c r="J332" s="12" t="n"/>
      <c r="K332" s="13" t="n"/>
      <c r="L332" s="13" t="n"/>
      <c r="M332" s="13" t="n"/>
      <c r="N332" s="14">
        <f>IF(OR($C332="",$E332="",Calc!$H332=""),"",IFERROR(VLOOKUP(LEFT(UPPER(TRIM($E332)),6),BankTbl,3,0),0)+SUMIFS(CalcDep,CalcBank,LEFT(UPPER(TRIM($E332)),6),CalcKey,"&lt;="&amp;Calc!$H332)-SUMIFS(CalcWit,CalcBank,LEFT(UPPER(TRIM($E332)),6),CalcKey,"&lt;="&amp;Calc!$H332))</f>
        <v/>
      </c>
      <c r="O332" s="10">
        <f>IF(OR($C332="",$M332=""),"",IF($N332="","؟",IF(ROUND($M332-$N332,0)=0,"√","×")))</f>
        <v/>
      </c>
      <c r="P332" s="12" t="n"/>
    </row>
    <row r="333">
      <c r="A333" s="10">
        <f>IF($C333="","",COUNTA($C$9:$C333))</f>
        <v/>
      </c>
      <c r="B333" s="10">
        <f>IF($C333="","","TXN-"&amp;RIGHT("0000"&amp;325,4))</f>
        <v/>
      </c>
      <c r="C333" s="11" t="n"/>
      <c r="D333" s="11" t="n"/>
      <c r="E333" s="12" t="n"/>
      <c r="F333" s="10">
        <f>IF($E333="","",IFERROR(IF(VLOOKUP(LEFT(UPPER(TRIM($E333)),6),BankTbl,2,0)="","(بدون عنوان)",VLOOKUP(LEFT(UPPER(TRIM($E333)),6),BankTbl,2,0)),"بانک ناشناخته"))</f>
        <v/>
      </c>
      <c r="G333" s="11" t="n"/>
      <c r="H333" s="10">
        <f>IF($G333="","",IFERROR(VLOOKUP($G333,CustTbl,2,0),IFERROR(VLOOKUP($G333,SuppTbl,2,0),IFERROR(VLOOKUP($G333,AcctTbl,2,0),IFERROR(VLOOKUP($G333,StaffTbl,2,0),"کد ناشناخته")))))</f>
        <v/>
      </c>
      <c r="I333" s="12" t="n"/>
      <c r="J333" s="12" t="n"/>
      <c r="K333" s="13" t="n"/>
      <c r="L333" s="13" t="n"/>
      <c r="M333" s="13" t="n"/>
      <c r="N333" s="14">
        <f>IF(OR($C333="",$E333="",Calc!$H333=""),"",IFERROR(VLOOKUP(LEFT(UPPER(TRIM($E333)),6),BankTbl,3,0),0)+SUMIFS(CalcDep,CalcBank,LEFT(UPPER(TRIM($E333)),6),CalcKey,"&lt;="&amp;Calc!$H333)-SUMIFS(CalcWit,CalcBank,LEFT(UPPER(TRIM($E333)),6),CalcKey,"&lt;="&amp;Calc!$H333))</f>
        <v/>
      </c>
      <c r="O333" s="10">
        <f>IF(OR($C333="",$M333=""),"",IF($N333="","؟",IF(ROUND($M333-$N333,0)=0,"√","×")))</f>
        <v/>
      </c>
      <c r="P333" s="12" t="n"/>
    </row>
    <row r="334">
      <c r="A334" s="10">
        <f>IF($C334="","",COUNTA($C$9:$C334))</f>
        <v/>
      </c>
      <c r="B334" s="10">
        <f>IF($C334="","","TXN-"&amp;RIGHT("0000"&amp;326,4))</f>
        <v/>
      </c>
      <c r="C334" s="11" t="n"/>
      <c r="D334" s="11" t="n"/>
      <c r="E334" s="12" t="n"/>
      <c r="F334" s="10">
        <f>IF($E334="","",IFERROR(IF(VLOOKUP(LEFT(UPPER(TRIM($E334)),6),BankTbl,2,0)="","(بدون عنوان)",VLOOKUP(LEFT(UPPER(TRIM($E334)),6),BankTbl,2,0)),"بانک ناشناخته"))</f>
        <v/>
      </c>
      <c r="G334" s="11" t="n"/>
      <c r="H334" s="10">
        <f>IF($G334="","",IFERROR(VLOOKUP($G334,CustTbl,2,0),IFERROR(VLOOKUP($G334,SuppTbl,2,0),IFERROR(VLOOKUP($G334,AcctTbl,2,0),IFERROR(VLOOKUP($G334,StaffTbl,2,0),"کد ناشناخته")))))</f>
        <v/>
      </c>
      <c r="I334" s="12" t="n"/>
      <c r="J334" s="12" t="n"/>
      <c r="K334" s="13" t="n"/>
      <c r="L334" s="13" t="n"/>
      <c r="M334" s="13" t="n"/>
      <c r="N334" s="14">
        <f>IF(OR($C334="",$E334="",Calc!$H334=""),"",IFERROR(VLOOKUP(LEFT(UPPER(TRIM($E334)),6),BankTbl,3,0),0)+SUMIFS(CalcDep,CalcBank,LEFT(UPPER(TRIM($E334)),6),CalcKey,"&lt;="&amp;Calc!$H334)-SUMIFS(CalcWit,CalcBank,LEFT(UPPER(TRIM($E334)),6),CalcKey,"&lt;="&amp;Calc!$H334))</f>
        <v/>
      </c>
      <c r="O334" s="10">
        <f>IF(OR($C334="",$M334=""),"",IF($N334="","؟",IF(ROUND($M334-$N334,0)=0,"√","×")))</f>
        <v/>
      </c>
      <c r="P334" s="12" t="n"/>
    </row>
    <row r="335">
      <c r="A335" s="10">
        <f>IF($C335="","",COUNTA($C$9:$C335))</f>
        <v/>
      </c>
      <c r="B335" s="10">
        <f>IF($C335="","","TXN-"&amp;RIGHT("0000"&amp;327,4))</f>
        <v/>
      </c>
      <c r="C335" s="11" t="n"/>
      <c r="D335" s="11" t="n"/>
      <c r="E335" s="12" t="n"/>
      <c r="F335" s="10">
        <f>IF($E335="","",IFERROR(IF(VLOOKUP(LEFT(UPPER(TRIM($E335)),6),BankTbl,2,0)="","(بدون عنوان)",VLOOKUP(LEFT(UPPER(TRIM($E335)),6),BankTbl,2,0)),"بانک ناشناخته"))</f>
        <v/>
      </c>
      <c r="G335" s="11" t="n"/>
      <c r="H335" s="10">
        <f>IF($G335="","",IFERROR(VLOOKUP($G335,CustTbl,2,0),IFERROR(VLOOKUP($G335,SuppTbl,2,0),IFERROR(VLOOKUP($G335,AcctTbl,2,0),IFERROR(VLOOKUP($G335,StaffTbl,2,0),"کد ناشناخته")))))</f>
        <v/>
      </c>
      <c r="I335" s="12" t="n"/>
      <c r="J335" s="12" t="n"/>
      <c r="K335" s="13" t="n"/>
      <c r="L335" s="13" t="n"/>
      <c r="M335" s="13" t="n"/>
      <c r="N335" s="14">
        <f>IF(OR($C335="",$E335="",Calc!$H335=""),"",IFERROR(VLOOKUP(LEFT(UPPER(TRIM($E335)),6),BankTbl,3,0),0)+SUMIFS(CalcDep,CalcBank,LEFT(UPPER(TRIM($E335)),6),CalcKey,"&lt;="&amp;Calc!$H335)-SUMIFS(CalcWit,CalcBank,LEFT(UPPER(TRIM($E335)),6),CalcKey,"&lt;="&amp;Calc!$H335))</f>
        <v/>
      </c>
      <c r="O335" s="10">
        <f>IF(OR($C335="",$M335=""),"",IF($N335="","؟",IF(ROUND($M335-$N335,0)=0,"√","×")))</f>
        <v/>
      </c>
      <c r="P335" s="12" t="n"/>
    </row>
    <row r="336">
      <c r="A336" s="10">
        <f>IF($C336="","",COUNTA($C$9:$C336))</f>
        <v/>
      </c>
      <c r="B336" s="10">
        <f>IF($C336="","","TXN-"&amp;RIGHT("0000"&amp;328,4))</f>
        <v/>
      </c>
      <c r="C336" s="11" t="n"/>
      <c r="D336" s="11" t="n"/>
      <c r="E336" s="12" t="n"/>
      <c r="F336" s="10">
        <f>IF($E336="","",IFERROR(IF(VLOOKUP(LEFT(UPPER(TRIM($E336)),6),BankTbl,2,0)="","(بدون عنوان)",VLOOKUP(LEFT(UPPER(TRIM($E336)),6),BankTbl,2,0)),"بانک ناشناخته"))</f>
        <v/>
      </c>
      <c r="G336" s="11" t="n"/>
      <c r="H336" s="10">
        <f>IF($G336="","",IFERROR(VLOOKUP($G336,CustTbl,2,0),IFERROR(VLOOKUP($G336,SuppTbl,2,0),IFERROR(VLOOKUP($G336,AcctTbl,2,0),IFERROR(VLOOKUP($G336,StaffTbl,2,0),"کد ناشناخته")))))</f>
        <v/>
      </c>
      <c r="I336" s="12" t="n"/>
      <c r="J336" s="12" t="n"/>
      <c r="K336" s="13" t="n"/>
      <c r="L336" s="13" t="n"/>
      <c r="M336" s="13" t="n"/>
      <c r="N336" s="14">
        <f>IF(OR($C336="",$E336="",Calc!$H336=""),"",IFERROR(VLOOKUP(LEFT(UPPER(TRIM($E336)),6),BankTbl,3,0),0)+SUMIFS(CalcDep,CalcBank,LEFT(UPPER(TRIM($E336)),6),CalcKey,"&lt;="&amp;Calc!$H336)-SUMIFS(CalcWit,CalcBank,LEFT(UPPER(TRIM($E336)),6),CalcKey,"&lt;="&amp;Calc!$H336))</f>
        <v/>
      </c>
      <c r="O336" s="10">
        <f>IF(OR($C336="",$M336=""),"",IF($N336="","؟",IF(ROUND($M336-$N336,0)=0,"√","×")))</f>
        <v/>
      </c>
      <c r="P336" s="12" t="n"/>
    </row>
    <row r="337">
      <c r="A337" s="10">
        <f>IF($C337="","",COUNTA($C$9:$C337))</f>
        <v/>
      </c>
      <c r="B337" s="10">
        <f>IF($C337="","","TXN-"&amp;RIGHT("0000"&amp;329,4))</f>
        <v/>
      </c>
      <c r="C337" s="11" t="n"/>
      <c r="D337" s="11" t="n"/>
      <c r="E337" s="12" t="n"/>
      <c r="F337" s="10">
        <f>IF($E337="","",IFERROR(IF(VLOOKUP(LEFT(UPPER(TRIM($E337)),6),BankTbl,2,0)="","(بدون عنوان)",VLOOKUP(LEFT(UPPER(TRIM($E337)),6),BankTbl,2,0)),"بانک ناشناخته"))</f>
        <v/>
      </c>
      <c r="G337" s="11" t="n"/>
      <c r="H337" s="10">
        <f>IF($G337="","",IFERROR(VLOOKUP($G337,CustTbl,2,0),IFERROR(VLOOKUP($G337,SuppTbl,2,0),IFERROR(VLOOKUP($G337,AcctTbl,2,0),IFERROR(VLOOKUP($G337,StaffTbl,2,0),"کد ناشناخته")))))</f>
        <v/>
      </c>
      <c r="I337" s="12" t="n"/>
      <c r="J337" s="12" t="n"/>
      <c r="K337" s="13" t="n"/>
      <c r="L337" s="13" t="n"/>
      <c r="M337" s="13" t="n"/>
      <c r="N337" s="14">
        <f>IF(OR($C337="",$E337="",Calc!$H337=""),"",IFERROR(VLOOKUP(LEFT(UPPER(TRIM($E337)),6),BankTbl,3,0),0)+SUMIFS(CalcDep,CalcBank,LEFT(UPPER(TRIM($E337)),6),CalcKey,"&lt;="&amp;Calc!$H337)-SUMIFS(CalcWit,CalcBank,LEFT(UPPER(TRIM($E337)),6),CalcKey,"&lt;="&amp;Calc!$H337))</f>
        <v/>
      </c>
      <c r="O337" s="10">
        <f>IF(OR($C337="",$M337=""),"",IF($N337="","؟",IF(ROUND($M337-$N337,0)=0,"√","×")))</f>
        <v/>
      </c>
      <c r="P337" s="12" t="n"/>
    </row>
    <row r="338">
      <c r="A338" s="10">
        <f>IF($C338="","",COUNTA($C$9:$C338))</f>
        <v/>
      </c>
      <c r="B338" s="10">
        <f>IF($C338="","","TXN-"&amp;RIGHT("0000"&amp;330,4))</f>
        <v/>
      </c>
      <c r="C338" s="11" t="n"/>
      <c r="D338" s="11" t="n"/>
      <c r="E338" s="12" t="n"/>
      <c r="F338" s="10">
        <f>IF($E338="","",IFERROR(IF(VLOOKUP(LEFT(UPPER(TRIM($E338)),6),BankTbl,2,0)="","(بدون عنوان)",VLOOKUP(LEFT(UPPER(TRIM($E338)),6),BankTbl,2,0)),"بانک ناشناخته"))</f>
        <v/>
      </c>
      <c r="G338" s="11" t="n"/>
      <c r="H338" s="10">
        <f>IF($G338="","",IFERROR(VLOOKUP($G338,CustTbl,2,0),IFERROR(VLOOKUP($G338,SuppTbl,2,0),IFERROR(VLOOKUP($G338,AcctTbl,2,0),IFERROR(VLOOKUP($G338,StaffTbl,2,0),"کد ناشناخته")))))</f>
        <v/>
      </c>
      <c r="I338" s="12" t="n"/>
      <c r="J338" s="12" t="n"/>
      <c r="K338" s="13" t="n"/>
      <c r="L338" s="13" t="n"/>
      <c r="M338" s="13" t="n"/>
      <c r="N338" s="14">
        <f>IF(OR($C338="",$E338="",Calc!$H338=""),"",IFERROR(VLOOKUP(LEFT(UPPER(TRIM($E338)),6),BankTbl,3,0),0)+SUMIFS(CalcDep,CalcBank,LEFT(UPPER(TRIM($E338)),6),CalcKey,"&lt;="&amp;Calc!$H338)-SUMIFS(CalcWit,CalcBank,LEFT(UPPER(TRIM($E338)),6),CalcKey,"&lt;="&amp;Calc!$H338))</f>
        <v/>
      </c>
      <c r="O338" s="10">
        <f>IF(OR($C338="",$M338=""),"",IF($N338="","؟",IF(ROUND($M338-$N338,0)=0,"√","×")))</f>
        <v/>
      </c>
      <c r="P338" s="12" t="n"/>
    </row>
    <row r="339">
      <c r="A339" s="10">
        <f>IF($C339="","",COUNTA($C$9:$C339))</f>
        <v/>
      </c>
      <c r="B339" s="10">
        <f>IF($C339="","","TXN-"&amp;RIGHT("0000"&amp;331,4))</f>
        <v/>
      </c>
      <c r="C339" s="11" t="n"/>
      <c r="D339" s="11" t="n"/>
      <c r="E339" s="12" t="n"/>
      <c r="F339" s="10">
        <f>IF($E339="","",IFERROR(IF(VLOOKUP(LEFT(UPPER(TRIM($E339)),6),BankTbl,2,0)="","(بدون عنوان)",VLOOKUP(LEFT(UPPER(TRIM($E339)),6),BankTbl,2,0)),"بانک ناشناخته"))</f>
        <v/>
      </c>
      <c r="G339" s="11" t="n"/>
      <c r="H339" s="10">
        <f>IF($G339="","",IFERROR(VLOOKUP($G339,CustTbl,2,0),IFERROR(VLOOKUP($G339,SuppTbl,2,0),IFERROR(VLOOKUP($G339,AcctTbl,2,0),IFERROR(VLOOKUP($G339,StaffTbl,2,0),"کد ناشناخته")))))</f>
        <v/>
      </c>
      <c r="I339" s="12" t="n"/>
      <c r="J339" s="12" t="n"/>
      <c r="K339" s="13" t="n"/>
      <c r="L339" s="13" t="n"/>
      <c r="M339" s="13" t="n"/>
      <c r="N339" s="14">
        <f>IF(OR($C339="",$E339="",Calc!$H339=""),"",IFERROR(VLOOKUP(LEFT(UPPER(TRIM($E339)),6),BankTbl,3,0),0)+SUMIFS(CalcDep,CalcBank,LEFT(UPPER(TRIM($E339)),6),CalcKey,"&lt;="&amp;Calc!$H339)-SUMIFS(CalcWit,CalcBank,LEFT(UPPER(TRIM($E339)),6),CalcKey,"&lt;="&amp;Calc!$H339))</f>
        <v/>
      </c>
      <c r="O339" s="10">
        <f>IF(OR($C339="",$M339=""),"",IF($N339="","؟",IF(ROUND($M339-$N339,0)=0,"√","×")))</f>
        <v/>
      </c>
      <c r="P339" s="12" t="n"/>
    </row>
    <row r="340">
      <c r="A340" s="10">
        <f>IF($C340="","",COUNTA($C$9:$C340))</f>
        <v/>
      </c>
      <c r="B340" s="10">
        <f>IF($C340="","","TXN-"&amp;RIGHT("0000"&amp;332,4))</f>
        <v/>
      </c>
      <c r="C340" s="11" t="n"/>
      <c r="D340" s="11" t="n"/>
      <c r="E340" s="12" t="n"/>
      <c r="F340" s="10">
        <f>IF($E340="","",IFERROR(IF(VLOOKUP(LEFT(UPPER(TRIM($E340)),6),BankTbl,2,0)="","(بدون عنوان)",VLOOKUP(LEFT(UPPER(TRIM($E340)),6),BankTbl,2,0)),"بانک ناشناخته"))</f>
        <v/>
      </c>
      <c r="G340" s="11" t="n"/>
      <c r="H340" s="10">
        <f>IF($G340="","",IFERROR(VLOOKUP($G340,CustTbl,2,0),IFERROR(VLOOKUP($G340,SuppTbl,2,0),IFERROR(VLOOKUP($G340,AcctTbl,2,0),IFERROR(VLOOKUP($G340,StaffTbl,2,0),"کد ناشناخته")))))</f>
        <v/>
      </c>
      <c r="I340" s="12" t="n"/>
      <c r="J340" s="12" t="n"/>
      <c r="K340" s="13" t="n"/>
      <c r="L340" s="13" t="n"/>
      <c r="M340" s="13" t="n"/>
      <c r="N340" s="14">
        <f>IF(OR($C340="",$E340="",Calc!$H340=""),"",IFERROR(VLOOKUP(LEFT(UPPER(TRIM($E340)),6),BankTbl,3,0),0)+SUMIFS(CalcDep,CalcBank,LEFT(UPPER(TRIM($E340)),6),CalcKey,"&lt;="&amp;Calc!$H340)-SUMIFS(CalcWit,CalcBank,LEFT(UPPER(TRIM($E340)),6),CalcKey,"&lt;="&amp;Calc!$H340))</f>
        <v/>
      </c>
      <c r="O340" s="10">
        <f>IF(OR($C340="",$M340=""),"",IF($N340="","؟",IF(ROUND($M340-$N340,0)=0,"√","×")))</f>
        <v/>
      </c>
      <c r="P340" s="12" t="n"/>
    </row>
    <row r="341">
      <c r="A341" s="10">
        <f>IF($C341="","",COUNTA($C$9:$C341))</f>
        <v/>
      </c>
      <c r="B341" s="10">
        <f>IF($C341="","","TXN-"&amp;RIGHT("0000"&amp;333,4))</f>
        <v/>
      </c>
      <c r="C341" s="11" t="n"/>
      <c r="D341" s="11" t="n"/>
      <c r="E341" s="12" t="n"/>
      <c r="F341" s="10">
        <f>IF($E341="","",IFERROR(IF(VLOOKUP(LEFT(UPPER(TRIM($E341)),6),BankTbl,2,0)="","(بدون عنوان)",VLOOKUP(LEFT(UPPER(TRIM($E341)),6),BankTbl,2,0)),"بانک ناشناخته"))</f>
        <v/>
      </c>
      <c r="G341" s="11" t="n"/>
      <c r="H341" s="10">
        <f>IF($G341="","",IFERROR(VLOOKUP($G341,CustTbl,2,0),IFERROR(VLOOKUP($G341,SuppTbl,2,0),IFERROR(VLOOKUP($G341,AcctTbl,2,0),IFERROR(VLOOKUP($G341,StaffTbl,2,0),"کد ناشناخته")))))</f>
        <v/>
      </c>
      <c r="I341" s="12" t="n"/>
      <c r="J341" s="12" t="n"/>
      <c r="K341" s="13" t="n"/>
      <c r="L341" s="13" t="n"/>
      <c r="M341" s="13" t="n"/>
      <c r="N341" s="14">
        <f>IF(OR($C341="",$E341="",Calc!$H341=""),"",IFERROR(VLOOKUP(LEFT(UPPER(TRIM($E341)),6),BankTbl,3,0),0)+SUMIFS(CalcDep,CalcBank,LEFT(UPPER(TRIM($E341)),6),CalcKey,"&lt;="&amp;Calc!$H341)-SUMIFS(CalcWit,CalcBank,LEFT(UPPER(TRIM($E341)),6),CalcKey,"&lt;="&amp;Calc!$H341))</f>
        <v/>
      </c>
      <c r="O341" s="10">
        <f>IF(OR($C341="",$M341=""),"",IF($N341="","؟",IF(ROUND($M341-$N341,0)=0,"√","×")))</f>
        <v/>
      </c>
      <c r="P341" s="12" t="n"/>
    </row>
    <row r="342">
      <c r="A342" s="10">
        <f>IF($C342="","",COUNTA($C$9:$C342))</f>
        <v/>
      </c>
      <c r="B342" s="10">
        <f>IF($C342="","","TXN-"&amp;RIGHT("0000"&amp;334,4))</f>
        <v/>
      </c>
      <c r="C342" s="11" t="n"/>
      <c r="D342" s="11" t="n"/>
      <c r="E342" s="12" t="n"/>
      <c r="F342" s="10">
        <f>IF($E342="","",IFERROR(IF(VLOOKUP(LEFT(UPPER(TRIM($E342)),6),BankTbl,2,0)="","(بدون عنوان)",VLOOKUP(LEFT(UPPER(TRIM($E342)),6),BankTbl,2,0)),"بانک ناشناخته"))</f>
        <v/>
      </c>
      <c r="G342" s="11" t="n"/>
      <c r="H342" s="10">
        <f>IF($G342="","",IFERROR(VLOOKUP($G342,CustTbl,2,0),IFERROR(VLOOKUP($G342,SuppTbl,2,0),IFERROR(VLOOKUP($G342,AcctTbl,2,0),IFERROR(VLOOKUP($G342,StaffTbl,2,0),"کد ناشناخته")))))</f>
        <v/>
      </c>
      <c r="I342" s="12" t="n"/>
      <c r="J342" s="12" t="n"/>
      <c r="K342" s="13" t="n"/>
      <c r="L342" s="13" t="n"/>
      <c r="M342" s="13" t="n"/>
      <c r="N342" s="14">
        <f>IF(OR($C342="",$E342="",Calc!$H342=""),"",IFERROR(VLOOKUP(LEFT(UPPER(TRIM($E342)),6),BankTbl,3,0),0)+SUMIFS(CalcDep,CalcBank,LEFT(UPPER(TRIM($E342)),6),CalcKey,"&lt;="&amp;Calc!$H342)-SUMIFS(CalcWit,CalcBank,LEFT(UPPER(TRIM($E342)),6),CalcKey,"&lt;="&amp;Calc!$H342))</f>
        <v/>
      </c>
      <c r="O342" s="10">
        <f>IF(OR($C342="",$M342=""),"",IF($N342="","؟",IF(ROUND($M342-$N342,0)=0,"√","×")))</f>
        <v/>
      </c>
      <c r="P342" s="12" t="n"/>
    </row>
    <row r="343">
      <c r="A343" s="10">
        <f>IF($C343="","",COUNTA($C$9:$C343))</f>
        <v/>
      </c>
      <c r="B343" s="10">
        <f>IF($C343="","","TXN-"&amp;RIGHT("0000"&amp;335,4))</f>
        <v/>
      </c>
      <c r="C343" s="11" t="n"/>
      <c r="D343" s="11" t="n"/>
      <c r="E343" s="12" t="n"/>
      <c r="F343" s="10">
        <f>IF($E343="","",IFERROR(IF(VLOOKUP(LEFT(UPPER(TRIM($E343)),6),BankTbl,2,0)="","(بدون عنوان)",VLOOKUP(LEFT(UPPER(TRIM($E343)),6),BankTbl,2,0)),"بانک ناشناخته"))</f>
        <v/>
      </c>
      <c r="G343" s="11" t="n"/>
      <c r="H343" s="10">
        <f>IF($G343="","",IFERROR(VLOOKUP($G343,CustTbl,2,0),IFERROR(VLOOKUP($G343,SuppTbl,2,0),IFERROR(VLOOKUP($G343,AcctTbl,2,0),IFERROR(VLOOKUP($G343,StaffTbl,2,0),"کد ناشناخته")))))</f>
        <v/>
      </c>
      <c r="I343" s="12" t="n"/>
      <c r="J343" s="12" t="n"/>
      <c r="K343" s="13" t="n"/>
      <c r="L343" s="13" t="n"/>
      <c r="M343" s="13" t="n"/>
      <c r="N343" s="14">
        <f>IF(OR($C343="",$E343="",Calc!$H343=""),"",IFERROR(VLOOKUP(LEFT(UPPER(TRIM($E343)),6),BankTbl,3,0),0)+SUMIFS(CalcDep,CalcBank,LEFT(UPPER(TRIM($E343)),6),CalcKey,"&lt;="&amp;Calc!$H343)-SUMIFS(CalcWit,CalcBank,LEFT(UPPER(TRIM($E343)),6),CalcKey,"&lt;="&amp;Calc!$H343))</f>
        <v/>
      </c>
      <c r="O343" s="10">
        <f>IF(OR($C343="",$M343=""),"",IF($N343="","؟",IF(ROUND($M343-$N343,0)=0,"√","×")))</f>
        <v/>
      </c>
      <c r="P343" s="12" t="n"/>
    </row>
    <row r="344">
      <c r="A344" s="10">
        <f>IF($C344="","",COUNTA($C$9:$C344))</f>
        <v/>
      </c>
      <c r="B344" s="10">
        <f>IF($C344="","","TXN-"&amp;RIGHT("0000"&amp;336,4))</f>
        <v/>
      </c>
      <c r="C344" s="11" t="n"/>
      <c r="D344" s="11" t="n"/>
      <c r="E344" s="12" t="n"/>
      <c r="F344" s="10">
        <f>IF($E344="","",IFERROR(IF(VLOOKUP(LEFT(UPPER(TRIM($E344)),6),BankTbl,2,0)="","(بدون عنوان)",VLOOKUP(LEFT(UPPER(TRIM($E344)),6),BankTbl,2,0)),"بانک ناشناخته"))</f>
        <v/>
      </c>
      <c r="G344" s="11" t="n"/>
      <c r="H344" s="10">
        <f>IF($G344="","",IFERROR(VLOOKUP($G344,CustTbl,2,0),IFERROR(VLOOKUP($G344,SuppTbl,2,0),IFERROR(VLOOKUP($G344,AcctTbl,2,0),IFERROR(VLOOKUP($G344,StaffTbl,2,0),"کد ناشناخته")))))</f>
        <v/>
      </c>
      <c r="I344" s="12" t="n"/>
      <c r="J344" s="12" t="n"/>
      <c r="K344" s="13" t="n"/>
      <c r="L344" s="13" t="n"/>
      <c r="M344" s="13" t="n"/>
      <c r="N344" s="14">
        <f>IF(OR($C344="",$E344="",Calc!$H344=""),"",IFERROR(VLOOKUP(LEFT(UPPER(TRIM($E344)),6),BankTbl,3,0),0)+SUMIFS(CalcDep,CalcBank,LEFT(UPPER(TRIM($E344)),6),CalcKey,"&lt;="&amp;Calc!$H344)-SUMIFS(CalcWit,CalcBank,LEFT(UPPER(TRIM($E344)),6),CalcKey,"&lt;="&amp;Calc!$H344))</f>
        <v/>
      </c>
      <c r="O344" s="10">
        <f>IF(OR($C344="",$M344=""),"",IF($N344="","؟",IF(ROUND($M344-$N344,0)=0,"√","×")))</f>
        <v/>
      </c>
      <c r="P344" s="12" t="n"/>
    </row>
    <row r="345">
      <c r="A345" s="10">
        <f>IF($C345="","",COUNTA($C$9:$C345))</f>
        <v/>
      </c>
      <c r="B345" s="10">
        <f>IF($C345="","","TXN-"&amp;RIGHT("0000"&amp;337,4))</f>
        <v/>
      </c>
      <c r="C345" s="11" t="n"/>
      <c r="D345" s="11" t="n"/>
      <c r="E345" s="12" t="n"/>
      <c r="F345" s="10">
        <f>IF($E345="","",IFERROR(IF(VLOOKUP(LEFT(UPPER(TRIM($E345)),6),BankTbl,2,0)="","(بدون عنوان)",VLOOKUP(LEFT(UPPER(TRIM($E345)),6),BankTbl,2,0)),"بانک ناشناخته"))</f>
        <v/>
      </c>
      <c r="G345" s="11" t="n"/>
      <c r="H345" s="10">
        <f>IF($G345="","",IFERROR(VLOOKUP($G345,CustTbl,2,0),IFERROR(VLOOKUP($G345,SuppTbl,2,0),IFERROR(VLOOKUP($G345,AcctTbl,2,0),IFERROR(VLOOKUP($G345,StaffTbl,2,0),"کد ناشناخته")))))</f>
        <v/>
      </c>
      <c r="I345" s="12" t="n"/>
      <c r="J345" s="12" t="n"/>
      <c r="K345" s="13" t="n"/>
      <c r="L345" s="13" t="n"/>
      <c r="M345" s="13" t="n"/>
      <c r="N345" s="14">
        <f>IF(OR($C345="",$E345="",Calc!$H345=""),"",IFERROR(VLOOKUP(LEFT(UPPER(TRIM($E345)),6),BankTbl,3,0),0)+SUMIFS(CalcDep,CalcBank,LEFT(UPPER(TRIM($E345)),6),CalcKey,"&lt;="&amp;Calc!$H345)-SUMIFS(CalcWit,CalcBank,LEFT(UPPER(TRIM($E345)),6),CalcKey,"&lt;="&amp;Calc!$H345))</f>
        <v/>
      </c>
      <c r="O345" s="10">
        <f>IF(OR($C345="",$M345=""),"",IF($N345="","؟",IF(ROUND($M345-$N345,0)=0,"√","×")))</f>
        <v/>
      </c>
      <c r="P345" s="12" t="n"/>
    </row>
    <row r="346">
      <c r="A346" s="10">
        <f>IF($C346="","",COUNTA($C$9:$C346))</f>
        <v/>
      </c>
      <c r="B346" s="10">
        <f>IF($C346="","","TXN-"&amp;RIGHT("0000"&amp;338,4))</f>
        <v/>
      </c>
      <c r="C346" s="11" t="n"/>
      <c r="D346" s="11" t="n"/>
      <c r="E346" s="12" t="n"/>
      <c r="F346" s="10">
        <f>IF($E346="","",IFERROR(IF(VLOOKUP(LEFT(UPPER(TRIM($E346)),6),BankTbl,2,0)="","(بدون عنوان)",VLOOKUP(LEFT(UPPER(TRIM($E346)),6),BankTbl,2,0)),"بانک ناشناخته"))</f>
        <v/>
      </c>
      <c r="G346" s="11" t="n"/>
      <c r="H346" s="10">
        <f>IF($G346="","",IFERROR(VLOOKUP($G346,CustTbl,2,0),IFERROR(VLOOKUP($G346,SuppTbl,2,0),IFERROR(VLOOKUP($G346,AcctTbl,2,0),IFERROR(VLOOKUP($G346,StaffTbl,2,0),"کد ناشناخته")))))</f>
        <v/>
      </c>
      <c r="I346" s="12" t="n"/>
      <c r="J346" s="12" t="n"/>
      <c r="K346" s="13" t="n"/>
      <c r="L346" s="13" t="n"/>
      <c r="M346" s="13" t="n"/>
      <c r="N346" s="14">
        <f>IF(OR($C346="",$E346="",Calc!$H346=""),"",IFERROR(VLOOKUP(LEFT(UPPER(TRIM($E346)),6),BankTbl,3,0),0)+SUMIFS(CalcDep,CalcBank,LEFT(UPPER(TRIM($E346)),6),CalcKey,"&lt;="&amp;Calc!$H346)-SUMIFS(CalcWit,CalcBank,LEFT(UPPER(TRIM($E346)),6),CalcKey,"&lt;="&amp;Calc!$H346))</f>
        <v/>
      </c>
      <c r="O346" s="10">
        <f>IF(OR($C346="",$M346=""),"",IF($N346="","؟",IF(ROUND($M346-$N346,0)=0,"√","×")))</f>
        <v/>
      </c>
      <c r="P346" s="12" t="n"/>
    </row>
    <row r="347">
      <c r="A347" s="10">
        <f>IF($C347="","",COUNTA($C$9:$C347))</f>
        <v/>
      </c>
      <c r="B347" s="10">
        <f>IF($C347="","","TXN-"&amp;RIGHT("0000"&amp;339,4))</f>
        <v/>
      </c>
      <c r="C347" s="11" t="n"/>
      <c r="D347" s="11" t="n"/>
      <c r="E347" s="12" t="n"/>
      <c r="F347" s="10">
        <f>IF($E347="","",IFERROR(IF(VLOOKUP(LEFT(UPPER(TRIM($E347)),6),BankTbl,2,0)="","(بدون عنوان)",VLOOKUP(LEFT(UPPER(TRIM($E347)),6),BankTbl,2,0)),"بانک ناشناخته"))</f>
        <v/>
      </c>
      <c r="G347" s="11" t="n"/>
      <c r="H347" s="10">
        <f>IF($G347="","",IFERROR(VLOOKUP($G347,CustTbl,2,0),IFERROR(VLOOKUP($G347,SuppTbl,2,0),IFERROR(VLOOKUP($G347,AcctTbl,2,0),IFERROR(VLOOKUP($G347,StaffTbl,2,0),"کد ناشناخته")))))</f>
        <v/>
      </c>
      <c r="I347" s="12" t="n"/>
      <c r="J347" s="12" t="n"/>
      <c r="K347" s="13" t="n"/>
      <c r="L347" s="13" t="n"/>
      <c r="M347" s="13" t="n"/>
      <c r="N347" s="14">
        <f>IF(OR($C347="",$E347="",Calc!$H347=""),"",IFERROR(VLOOKUP(LEFT(UPPER(TRIM($E347)),6),BankTbl,3,0),0)+SUMIFS(CalcDep,CalcBank,LEFT(UPPER(TRIM($E347)),6),CalcKey,"&lt;="&amp;Calc!$H347)-SUMIFS(CalcWit,CalcBank,LEFT(UPPER(TRIM($E347)),6),CalcKey,"&lt;="&amp;Calc!$H347))</f>
        <v/>
      </c>
      <c r="O347" s="10">
        <f>IF(OR($C347="",$M347=""),"",IF($N347="","؟",IF(ROUND($M347-$N347,0)=0,"√","×")))</f>
        <v/>
      </c>
      <c r="P347" s="12" t="n"/>
    </row>
    <row r="348">
      <c r="A348" s="10">
        <f>IF($C348="","",COUNTA($C$9:$C348))</f>
        <v/>
      </c>
      <c r="B348" s="10">
        <f>IF($C348="","","TXN-"&amp;RIGHT("0000"&amp;340,4))</f>
        <v/>
      </c>
      <c r="C348" s="11" t="n"/>
      <c r="D348" s="11" t="n"/>
      <c r="E348" s="12" t="n"/>
      <c r="F348" s="10">
        <f>IF($E348="","",IFERROR(IF(VLOOKUP(LEFT(UPPER(TRIM($E348)),6),BankTbl,2,0)="","(بدون عنوان)",VLOOKUP(LEFT(UPPER(TRIM($E348)),6),BankTbl,2,0)),"بانک ناشناخته"))</f>
        <v/>
      </c>
      <c r="G348" s="11" t="n"/>
      <c r="H348" s="10">
        <f>IF($G348="","",IFERROR(VLOOKUP($G348,CustTbl,2,0),IFERROR(VLOOKUP($G348,SuppTbl,2,0),IFERROR(VLOOKUP($G348,AcctTbl,2,0),IFERROR(VLOOKUP($G348,StaffTbl,2,0),"کد ناشناخته")))))</f>
        <v/>
      </c>
      <c r="I348" s="12" t="n"/>
      <c r="J348" s="12" t="n"/>
      <c r="K348" s="13" t="n"/>
      <c r="L348" s="13" t="n"/>
      <c r="M348" s="13" t="n"/>
      <c r="N348" s="14">
        <f>IF(OR($C348="",$E348="",Calc!$H348=""),"",IFERROR(VLOOKUP(LEFT(UPPER(TRIM($E348)),6),BankTbl,3,0),0)+SUMIFS(CalcDep,CalcBank,LEFT(UPPER(TRIM($E348)),6),CalcKey,"&lt;="&amp;Calc!$H348)-SUMIFS(CalcWit,CalcBank,LEFT(UPPER(TRIM($E348)),6),CalcKey,"&lt;="&amp;Calc!$H348))</f>
        <v/>
      </c>
      <c r="O348" s="10">
        <f>IF(OR($C348="",$M348=""),"",IF($N348="","؟",IF(ROUND($M348-$N348,0)=0,"√","×")))</f>
        <v/>
      </c>
      <c r="P348" s="12" t="n"/>
    </row>
    <row r="349">
      <c r="A349" s="10">
        <f>IF($C349="","",COUNTA($C$9:$C349))</f>
        <v/>
      </c>
      <c r="B349" s="10">
        <f>IF($C349="","","TXN-"&amp;RIGHT("0000"&amp;341,4))</f>
        <v/>
      </c>
      <c r="C349" s="11" t="n"/>
      <c r="D349" s="11" t="n"/>
      <c r="E349" s="12" t="n"/>
      <c r="F349" s="10">
        <f>IF($E349="","",IFERROR(IF(VLOOKUP(LEFT(UPPER(TRIM($E349)),6),BankTbl,2,0)="","(بدون عنوان)",VLOOKUP(LEFT(UPPER(TRIM($E349)),6),BankTbl,2,0)),"بانک ناشناخته"))</f>
        <v/>
      </c>
      <c r="G349" s="11" t="n"/>
      <c r="H349" s="10">
        <f>IF($G349="","",IFERROR(VLOOKUP($G349,CustTbl,2,0),IFERROR(VLOOKUP($G349,SuppTbl,2,0),IFERROR(VLOOKUP($G349,AcctTbl,2,0),IFERROR(VLOOKUP($G349,StaffTbl,2,0),"کد ناشناخته")))))</f>
        <v/>
      </c>
      <c r="I349" s="12" t="n"/>
      <c r="J349" s="12" t="n"/>
      <c r="K349" s="13" t="n"/>
      <c r="L349" s="13" t="n"/>
      <c r="M349" s="13" t="n"/>
      <c r="N349" s="14">
        <f>IF(OR($C349="",$E349="",Calc!$H349=""),"",IFERROR(VLOOKUP(LEFT(UPPER(TRIM($E349)),6),BankTbl,3,0),0)+SUMIFS(CalcDep,CalcBank,LEFT(UPPER(TRIM($E349)),6),CalcKey,"&lt;="&amp;Calc!$H349)-SUMIFS(CalcWit,CalcBank,LEFT(UPPER(TRIM($E349)),6),CalcKey,"&lt;="&amp;Calc!$H349))</f>
        <v/>
      </c>
      <c r="O349" s="10">
        <f>IF(OR($C349="",$M349=""),"",IF($N349="","؟",IF(ROUND($M349-$N349,0)=0,"√","×")))</f>
        <v/>
      </c>
      <c r="P349" s="12" t="n"/>
    </row>
    <row r="350">
      <c r="A350" s="10">
        <f>IF($C350="","",COUNTA($C$9:$C350))</f>
        <v/>
      </c>
      <c r="B350" s="10">
        <f>IF($C350="","","TXN-"&amp;RIGHT("0000"&amp;342,4))</f>
        <v/>
      </c>
      <c r="C350" s="11" t="n"/>
      <c r="D350" s="11" t="n"/>
      <c r="E350" s="12" t="n"/>
      <c r="F350" s="10">
        <f>IF($E350="","",IFERROR(IF(VLOOKUP(LEFT(UPPER(TRIM($E350)),6),BankTbl,2,0)="","(بدون عنوان)",VLOOKUP(LEFT(UPPER(TRIM($E350)),6),BankTbl,2,0)),"بانک ناشناخته"))</f>
        <v/>
      </c>
      <c r="G350" s="11" t="n"/>
      <c r="H350" s="10">
        <f>IF($G350="","",IFERROR(VLOOKUP($G350,CustTbl,2,0),IFERROR(VLOOKUP($G350,SuppTbl,2,0),IFERROR(VLOOKUP($G350,AcctTbl,2,0),IFERROR(VLOOKUP($G350,StaffTbl,2,0),"کد ناشناخته")))))</f>
        <v/>
      </c>
      <c r="I350" s="12" t="n"/>
      <c r="J350" s="12" t="n"/>
      <c r="K350" s="13" t="n"/>
      <c r="L350" s="13" t="n"/>
      <c r="M350" s="13" t="n"/>
      <c r="N350" s="14">
        <f>IF(OR($C350="",$E350="",Calc!$H350=""),"",IFERROR(VLOOKUP(LEFT(UPPER(TRIM($E350)),6),BankTbl,3,0),0)+SUMIFS(CalcDep,CalcBank,LEFT(UPPER(TRIM($E350)),6),CalcKey,"&lt;="&amp;Calc!$H350)-SUMIFS(CalcWit,CalcBank,LEFT(UPPER(TRIM($E350)),6),CalcKey,"&lt;="&amp;Calc!$H350))</f>
        <v/>
      </c>
      <c r="O350" s="10">
        <f>IF(OR($C350="",$M350=""),"",IF($N350="","؟",IF(ROUND($M350-$N350,0)=0,"√","×")))</f>
        <v/>
      </c>
      <c r="P350" s="12" t="n"/>
    </row>
    <row r="351">
      <c r="A351" s="10">
        <f>IF($C351="","",COUNTA($C$9:$C351))</f>
        <v/>
      </c>
      <c r="B351" s="10">
        <f>IF($C351="","","TXN-"&amp;RIGHT("0000"&amp;343,4))</f>
        <v/>
      </c>
      <c r="C351" s="11" t="n"/>
      <c r="D351" s="11" t="n"/>
      <c r="E351" s="12" t="n"/>
      <c r="F351" s="10">
        <f>IF($E351="","",IFERROR(IF(VLOOKUP(LEFT(UPPER(TRIM($E351)),6),BankTbl,2,0)="","(بدون عنوان)",VLOOKUP(LEFT(UPPER(TRIM($E351)),6),BankTbl,2,0)),"بانک ناشناخته"))</f>
        <v/>
      </c>
      <c r="G351" s="11" t="n"/>
      <c r="H351" s="10">
        <f>IF($G351="","",IFERROR(VLOOKUP($G351,CustTbl,2,0),IFERROR(VLOOKUP($G351,SuppTbl,2,0),IFERROR(VLOOKUP($G351,AcctTbl,2,0),IFERROR(VLOOKUP($G351,StaffTbl,2,0),"کد ناشناخته")))))</f>
        <v/>
      </c>
      <c r="I351" s="12" t="n"/>
      <c r="J351" s="12" t="n"/>
      <c r="K351" s="13" t="n"/>
      <c r="L351" s="13" t="n"/>
      <c r="M351" s="13" t="n"/>
      <c r="N351" s="14">
        <f>IF(OR($C351="",$E351="",Calc!$H351=""),"",IFERROR(VLOOKUP(LEFT(UPPER(TRIM($E351)),6),BankTbl,3,0),0)+SUMIFS(CalcDep,CalcBank,LEFT(UPPER(TRIM($E351)),6),CalcKey,"&lt;="&amp;Calc!$H351)-SUMIFS(CalcWit,CalcBank,LEFT(UPPER(TRIM($E351)),6),CalcKey,"&lt;="&amp;Calc!$H351))</f>
        <v/>
      </c>
      <c r="O351" s="10">
        <f>IF(OR($C351="",$M351=""),"",IF($N351="","؟",IF(ROUND($M351-$N351,0)=0,"√","×")))</f>
        <v/>
      </c>
      <c r="P351" s="12" t="n"/>
    </row>
    <row r="352">
      <c r="A352" s="10">
        <f>IF($C352="","",COUNTA($C$9:$C352))</f>
        <v/>
      </c>
      <c r="B352" s="10">
        <f>IF($C352="","","TXN-"&amp;RIGHT("0000"&amp;344,4))</f>
        <v/>
      </c>
      <c r="C352" s="11" t="n"/>
      <c r="D352" s="11" t="n"/>
      <c r="E352" s="12" t="n"/>
      <c r="F352" s="10">
        <f>IF($E352="","",IFERROR(IF(VLOOKUP(LEFT(UPPER(TRIM($E352)),6),BankTbl,2,0)="","(بدون عنوان)",VLOOKUP(LEFT(UPPER(TRIM($E352)),6),BankTbl,2,0)),"بانک ناشناخته"))</f>
        <v/>
      </c>
      <c r="G352" s="11" t="n"/>
      <c r="H352" s="10">
        <f>IF($G352="","",IFERROR(VLOOKUP($G352,CustTbl,2,0),IFERROR(VLOOKUP($G352,SuppTbl,2,0),IFERROR(VLOOKUP($G352,AcctTbl,2,0),IFERROR(VLOOKUP($G352,StaffTbl,2,0),"کد ناشناخته")))))</f>
        <v/>
      </c>
      <c r="I352" s="12" t="n"/>
      <c r="J352" s="12" t="n"/>
      <c r="K352" s="13" t="n"/>
      <c r="L352" s="13" t="n"/>
      <c r="M352" s="13" t="n"/>
      <c r="N352" s="14">
        <f>IF(OR($C352="",$E352="",Calc!$H352=""),"",IFERROR(VLOOKUP(LEFT(UPPER(TRIM($E352)),6),BankTbl,3,0),0)+SUMIFS(CalcDep,CalcBank,LEFT(UPPER(TRIM($E352)),6),CalcKey,"&lt;="&amp;Calc!$H352)-SUMIFS(CalcWit,CalcBank,LEFT(UPPER(TRIM($E352)),6),CalcKey,"&lt;="&amp;Calc!$H352))</f>
        <v/>
      </c>
      <c r="O352" s="10">
        <f>IF(OR($C352="",$M352=""),"",IF($N352="","؟",IF(ROUND($M352-$N352,0)=0,"√","×")))</f>
        <v/>
      </c>
      <c r="P352" s="12" t="n"/>
    </row>
    <row r="353">
      <c r="A353" s="10">
        <f>IF($C353="","",COUNTA($C$9:$C353))</f>
        <v/>
      </c>
      <c r="B353" s="10">
        <f>IF($C353="","","TXN-"&amp;RIGHT("0000"&amp;345,4))</f>
        <v/>
      </c>
      <c r="C353" s="11" t="n"/>
      <c r="D353" s="11" t="n"/>
      <c r="E353" s="12" t="n"/>
      <c r="F353" s="10">
        <f>IF($E353="","",IFERROR(IF(VLOOKUP(LEFT(UPPER(TRIM($E353)),6),BankTbl,2,0)="","(بدون عنوان)",VLOOKUP(LEFT(UPPER(TRIM($E353)),6),BankTbl,2,0)),"بانک ناشناخته"))</f>
        <v/>
      </c>
      <c r="G353" s="11" t="n"/>
      <c r="H353" s="10">
        <f>IF($G353="","",IFERROR(VLOOKUP($G353,CustTbl,2,0),IFERROR(VLOOKUP($G353,SuppTbl,2,0),IFERROR(VLOOKUP($G353,AcctTbl,2,0),IFERROR(VLOOKUP($G353,StaffTbl,2,0),"کد ناشناخته")))))</f>
        <v/>
      </c>
      <c r="I353" s="12" t="n"/>
      <c r="J353" s="12" t="n"/>
      <c r="K353" s="13" t="n"/>
      <c r="L353" s="13" t="n"/>
      <c r="M353" s="13" t="n"/>
      <c r="N353" s="14">
        <f>IF(OR($C353="",$E353="",Calc!$H353=""),"",IFERROR(VLOOKUP(LEFT(UPPER(TRIM($E353)),6),BankTbl,3,0),0)+SUMIFS(CalcDep,CalcBank,LEFT(UPPER(TRIM($E353)),6),CalcKey,"&lt;="&amp;Calc!$H353)-SUMIFS(CalcWit,CalcBank,LEFT(UPPER(TRIM($E353)),6),CalcKey,"&lt;="&amp;Calc!$H353))</f>
        <v/>
      </c>
      <c r="O353" s="10">
        <f>IF(OR($C353="",$M353=""),"",IF($N353="","؟",IF(ROUND($M353-$N353,0)=0,"√","×")))</f>
        <v/>
      </c>
      <c r="P353" s="12" t="n"/>
    </row>
    <row r="354">
      <c r="A354" s="10">
        <f>IF($C354="","",COUNTA($C$9:$C354))</f>
        <v/>
      </c>
      <c r="B354" s="10">
        <f>IF($C354="","","TXN-"&amp;RIGHT("0000"&amp;346,4))</f>
        <v/>
      </c>
      <c r="C354" s="11" t="n"/>
      <c r="D354" s="11" t="n"/>
      <c r="E354" s="12" t="n"/>
      <c r="F354" s="10">
        <f>IF($E354="","",IFERROR(IF(VLOOKUP(LEFT(UPPER(TRIM($E354)),6),BankTbl,2,0)="","(بدون عنوان)",VLOOKUP(LEFT(UPPER(TRIM($E354)),6),BankTbl,2,0)),"بانک ناشناخته"))</f>
        <v/>
      </c>
      <c r="G354" s="11" t="n"/>
      <c r="H354" s="10">
        <f>IF($G354="","",IFERROR(VLOOKUP($G354,CustTbl,2,0),IFERROR(VLOOKUP($G354,SuppTbl,2,0),IFERROR(VLOOKUP($G354,AcctTbl,2,0),IFERROR(VLOOKUP($G354,StaffTbl,2,0),"کد ناشناخته")))))</f>
        <v/>
      </c>
      <c r="I354" s="12" t="n"/>
      <c r="J354" s="12" t="n"/>
      <c r="K354" s="13" t="n"/>
      <c r="L354" s="13" t="n"/>
      <c r="M354" s="13" t="n"/>
      <c r="N354" s="14">
        <f>IF(OR($C354="",$E354="",Calc!$H354=""),"",IFERROR(VLOOKUP(LEFT(UPPER(TRIM($E354)),6),BankTbl,3,0),0)+SUMIFS(CalcDep,CalcBank,LEFT(UPPER(TRIM($E354)),6),CalcKey,"&lt;="&amp;Calc!$H354)-SUMIFS(CalcWit,CalcBank,LEFT(UPPER(TRIM($E354)),6),CalcKey,"&lt;="&amp;Calc!$H354))</f>
        <v/>
      </c>
      <c r="O354" s="10">
        <f>IF(OR($C354="",$M354=""),"",IF($N354="","؟",IF(ROUND($M354-$N354,0)=0,"√","×")))</f>
        <v/>
      </c>
      <c r="P354" s="12" t="n"/>
    </row>
    <row r="355">
      <c r="A355" s="10">
        <f>IF($C355="","",COUNTA($C$9:$C355))</f>
        <v/>
      </c>
      <c r="B355" s="10">
        <f>IF($C355="","","TXN-"&amp;RIGHT("0000"&amp;347,4))</f>
        <v/>
      </c>
      <c r="C355" s="11" t="n"/>
      <c r="D355" s="11" t="n"/>
      <c r="E355" s="12" t="n"/>
      <c r="F355" s="10">
        <f>IF($E355="","",IFERROR(IF(VLOOKUP(LEFT(UPPER(TRIM($E355)),6),BankTbl,2,0)="","(بدون عنوان)",VLOOKUP(LEFT(UPPER(TRIM($E355)),6),BankTbl,2,0)),"بانک ناشناخته"))</f>
        <v/>
      </c>
      <c r="G355" s="11" t="n"/>
      <c r="H355" s="10">
        <f>IF($G355="","",IFERROR(VLOOKUP($G355,CustTbl,2,0),IFERROR(VLOOKUP($G355,SuppTbl,2,0),IFERROR(VLOOKUP($G355,AcctTbl,2,0),IFERROR(VLOOKUP($G355,StaffTbl,2,0),"کد ناشناخته")))))</f>
        <v/>
      </c>
      <c r="I355" s="12" t="n"/>
      <c r="J355" s="12" t="n"/>
      <c r="K355" s="13" t="n"/>
      <c r="L355" s="13" t="n"/>
      <c r="M355" s="13" t="n"/>
      <c r="N355" s="14">
        <f>IF(OR($C355="",$E355="",Calc!$H355=""),"",IFERROR(VLOOKUP(LEFT(UPPER(TRIM($E355)),6),BankTbl,3,0),0)+SUMIFS(CalcDep,CalcBank,LEFT(UPPER(TRIM($E355)),6),CalcKey,"&lt;="&amp;Calc!$H355)-SUMIFS(CalcWit,CalcBank,LEFT(UPPER(TRIM($E355)),6),CalcKey,"&lt;="&amp;Calc!$H355))</f>
        <v/>
      </c>
      <c r="O355" s="10">
        <f>IF(OR($C355="",$M355=""),"",IF($N355="","؟",IF(ROUND($M355-$N355,0)=0,"√","×")))</f>
        <v/>
      </c>
      <c r="P355" s="12" t="n"/>
    </row>
    <row r="356">
      <c r="A356" s="10">
        <f>IF($C356="","",COUNTA($C$9:$C356))</f>
        <v/>
      </c>
      <c r="B356" s="10">
        <f>IF($C356="","","TXN-"&amp;RIGHT("0000"&amp;348,4))</f>
        <v/>
      </c>
      <c r="C356" s="11" t="n"/>
      <c r="D356" s="11" t="n"/>
      <c r="E356" s="12" t="n"/>
      <c r="F356" s="10">
        <f>IF($E356="","",IFERROR(IF(VLOOKUP(LEFT(UPPER(TRIM($E356)),6),BankTbl,2,0)="","(بدون عنوان)",VLOOKUP(LEFT(UPPER(TRIM($E356)),6),BankTbl,2,0)),"بانک ناشناخته"))</f>
        <v/>
      </c>
      <c r="G356" s="11" t="n"/>
      <c r="H356" s="10">
        <f>IF($G356="","",IFERROR(VLOOKUP($G356,CustTbl,2,0),IFERROR(VLOOKUP($G356,SuppTbl,2,0),IFERROR(VLOOKUP($G356,AcctTbl,2,0),IFERROR(VLOOKUP($G356,StaffTbl,2,0),"کد ناشناخته")))))</f>
        <v/>
      </c>
      <c r="I356" s="12" t="n"/>
      <c r="J356" s="12" t="n"/>
      <c r="K356" s="13" t="n"/>
      <c r="L356" s="13" t="n"/>
      <c r="M356" s="13" t="n"/>
      <c r="N356" s="14">
        <f>IF(OR($C356="",$E356="",Calc!$H356=""),"",IFERROR(VLOOKUP(LEFT(UPPER(TRIM($E356)),6),BankTbl,3,0),0)+SUMIFS(CalcDep,CalcBank,LEFT(UPPER(TRIM($E356)),6),CalcKey,"&lt;="&amp;Calc!$H356)-SUMIFS(CalcWit,CalcBank,LEFT(UPPER(TRIM($E356)),6),CalcKey,"&lt;="&amp;Calc!$H356))</f>
        <v/>
      </c>
      <c r="O356" s="10">
        <f>IF(OR($C356="",$M356=""),"",IF($N356="","؟",IF(ROUND($M356-$N356,0)=0,"√","×")))</f>
        <v/>
      </c>
      <c r="P356" s="12" t="n"/>
    </row>
    <row r="357">
      <c r="A357" s="10">
        <f>IF($C357="","",COUNTA($C$9:$C357))</f>
        <v/>
      </c>
      <c r="B357" s="10">
        <f>IF($C357="","","TXN-"&amp;RIGHT("0000"&amp;349,4))</f>
        <v/>
      </c>
      <c r="C357" s="11" t="n"/>
      <c r="D357" s="11" t="n"/>
      <c r="E357" s="12" t="n"/>
      <c r="F357" s="10">
        <f>IF($E357="","",IFERROR(IF(VLOOKUP(LEFT(UPPER(TRIM($E357)),6),BankTbl,2,0)="","(بدون عنوان)",VLOOKUP(LEFT(UPPER(TRIM($E357)),6),BankTbl,2,0)),"بانک ناشناخته"))</f>
        <v/>
      </c>
      <c r="G357" s="11" t="n"/>
      <c r="H357" s="10">
        <f>IF($G357="","",IFERROR(VLOOKUP($G357,CustTbl,2,0),IFERROR(VLOOKUP($G357,SuppTbl,2,0),IFERROR(VLOOKUP($G357,AcctTbl,2,0),IFERROR(VLOOKUP($G357,StaffTbl,2,0),"کد ناشناخته")))))</f>
        <v/>
      </c>
      <c r="I357" s="12" t="n"/>
      <c r="J357" s="12" t="n"/>
      <c r="K357" s="13" t="n"/>
      <c r="L357" s="13" t="n"/>
      <c r="M357" s="13" t="n"/>
      <c r="N357" s="14">
        <f>IF(OR($C357="",$E357="",Calc!$H357=""),"",IFERROR(VLOOKUP(LEFT(UPPER(TRIM($E357)),6),BankTbl,3,0),0)+SUMIFS(CalcDep,CalcBank,LEFT(UPPER(TRIM($E357)),6),CalcKey,"&lt;="&amp;Calc!$H357)-SUMIFS(CalcWit,CalcBank,LEFT(UPPER(TRIM($E357)),6),CalcKey,"&lt;="&amp;Calc!$H357))</f>
        <v/>
      </c>
      <c r="O357" s="10">
        <f>IF(OR($C357="",$M357=""),"",IF($N357="","؟",IF(ROUND($M357-$N357,0)=0,"√","×")))</f>
        <v/>
      </c>
      <c r="P357" s="12" t="n"/>
    </row>
    <row r="358">
      <c r="A358" s="10">
        <f>IF($C358="","",COUNTA($C$9:$C358))</f>
        <v/>
      </c>
      <c r="B358" s="10">
        <f>IF($C358="","","TXN-"&amp;RIGHT("0000"&amp;350,4))</f>
        <v/>
      </c>
      <c r="C358" s="11" t="n"/>
      <c r="D358" s="11" t="n"/>
      <c r="E358" s="12" t="n"/>
      <c r="F358" s="10">
        <f>IF($E358="","",IFERROR(IF(VLOOKUP(LEFT(UPPER(TRIM($E358)),6),BankTbl,2,0)="","(بدون عنوان)",VLOOKUP(LEFT(UPPER(TRIM($E358)),6),BankTbl,2,0)),"بانک ناشناخته"))</f>
        <v/>
      </c>
      <c r="G358" s="11" t="n"/>
      <c r="H358" s="10">
        <f>IF($G358="","",IFERROR(VLOOKUP($G358,CustTbl,2,0),IFERROR(VLOOKUP($G358,SuppTbl,2,0),IFERROR(VLOOKUP($G358,AcctTbl,2,0),IFERROR(VLOOKUP($G358,StaffTbl,2,0),"کد ناشناخته")))))</f>
        <v/>
      </c>
      <c r="I358" s="12" t="n"/>
      <c r="J358" s="12" t="n"/>
      <c r="K358" s="13" t="n"/>
      <c r="L358" s="13" t="n"/>
      <c r="M358" s="13" t="n"/>
      <c r="N358" s="14">
        <f>IF(OR($C358="",$E358="",Calc!$H358=""),"",IFERROR(VLOOKUP(LEFT(UPPER(TRIM($E358)),6),BankTbl,3,0),0)+SUMIFS(CalcDep,CalcBank,LEFT(UPPER(TRIM($E358)),6),CalcKey,"&lt;="&amp;Calc!$H358)-SUMIFS(CalcWit,CalcBank,LEFT(UPPER(TRIM($E358)),6),CalcKey,"&lt;="&amp;Calc!$H358))</f>
        <v/>
      </c>
      <c r="O358" s="10">
        <f>IF(OR($C358="",$M358=""),"",IF($N358="","؟",IF(ROUND($M358-$N358,0)=0,"√","×")))</f>
        <v/>
      </c>
      <c r="P358" s="12" t="n"/>
    </row>
    <row r="359">
      <c r="A359" s="10">
        <f>IF($C359="","",COUNTA($C$9:$C359))</f>
        <v/>
      </c>
      <c r="B359" s="10">
        <f>IF($C359="","","TXN-"&amp;RIGHT("0000"&amp;351,4))</f>
        <v/>
      </c>
      <c r="C359" s="11" t="n"/>
      <c r="D359" s="11" t="n"/>
      <c r="E359" s="12" t="n"/>
      <c r="F359" s="10">
        <f>IF($E359="","",IFERROR(IF(VLOOKUP(LEFT(UPPER(TRIM($E359)),6),BankTbl,2,0)="","(بدون عنوان)",VLOOKUP(LEFT(UPPER(TRIM($E359)),6),BankTbl,2,0)),"بانک ناشناخته"))</f>
        <v/>
      </c>
      <c r="G359" s="11" t="n"/>
      <c r="H359" s="10">
        <f>IF($G359="","",IFERROR(VLOOKUP($G359,CustTbl,2,0),IFERROR(VLOOKUP($G359,SuppTbl,2,0),IFERROR(VLOOKUP($G359,AcctTbl,2,0),IFERROR(VLOOKUP($G359,StaffTbl,2,0),"کد ناشناخته")))))</f>
        <v/>
      </c>
      <c r="I359" s="12" t="n"/>
      <c r="J359" s="12" t="n"/>
      <c r="K359" s="13" t="n"/>
      <c r="L359" s="13" t="n"/>
      <c r="M359" s="13" t="n"/>
      <c r="N359" s="14">
        <f>IF(OR($C359="",$E359="",Calc!$H359=""),"",IFERROR(VLOOKUP(LEFT(UPPER(TRIM($E359)),6),BankTbl,3,0),0)+SUMIFS(CalcDep,CalcBank,LEFT(UPPER(TRIM($E359)),6),CalcKey,"&lt;="&amp;Calc!$H359)-SUMIFS(CalcWit,CalcBank,LEFT(UPPER(TRIM($E359)),6),CalcKey,"&lt;="&amp;Calc!$H359))</f>
        <v/>
      </c>
      <c r="O359" s="10">
        <f>IF(OR($C359="",$M359=""),"",IF($N359="","؟",IF(ROUND($M359-$N359,0)=0,"√","×")))</f>
        <v/>
      </c>
      <c r="P359" s="12" t="n"/>
    </row>
    <row r="360">
      <c r="A360" s="10">
        <f>IF($C360="","",COUNTA($C$9:$C360))</f>
        <v/>
      </c>
      <c r="B360" s="10">
        <f>IF($C360="","","TXN-"&amp;RIGHT("0000"&amp;352,4))</f>
        <v/>
      </c>
      <c r="C360" s="11" t="n"/>
      <c r="D360" s="11" t="n"/>
      <c r="E360" s="12" t="n"/>
      <c r="F360" s="10">
        <f>IF($E360="","",IFERROR(IF(VLOOKUP(LEFT(UPPER(TRIM($E360)),6),BankTbl,2,0)="","(بدون عنوان)",VLOOKUP(LEFT(UPPER(TRIM($E360)),6),BankTbl,2,0)),"بانک ناشناخته"))</f>
        <v/>
      </c>
      <c r="G360" s="11" t="n"/>
      <c r="H360" s="10">
        <f>IF($G360="","",IFERROR(VLOOKUP($G360,CustTbl,2,0),IFERROR(VLOOKUP($G360,SuppTbl,2,0),IFERROR(VLOOKUP($G360,AcctTbl,2,0),IFERROR(VLOOKUP($G360,StaffTbl,2,0),"کد ناشناخته")))))</f>
        <v/>
      </c>
      <c r="I360" s="12" t="n"/>
      <c r="J360" s="12" t="n"/>
      <c r="K360" s="13" t="n"/>
      <c r="L360" s="13" t="n"/>
      <c r="M360" s="13" t="n"/>
      <c r="N360" s="14">
        <f>IF(OR($C360="",$E360="",Calc!$H360=""),"",IFERROR(VLOOKUP(LEFT(UPPER(TRIM($E360)),6),BankTbl,3,0),0)+SUMIFS(CalcDep,CalcBank,LEFT(UPPER(TRIM($E360)),6),CalcKey,"&lt;="&amp;Calc!$H360)-SUMIFS(CalcWit,CalcBank,LEFT(UPPER(TRIM($E360)),6),CalcKey,"&lt;="&amp;Calc!$H360))</f>
        <v/>
      </c>
      <c r="O360" s="10">
        <f>IF(OR($C360="",$M360=""),"",IF($N360="","؟",IF(ROUND($M360-$N360,0)=0,"√","×")))</f>
        <v/>
      </c>
      <c r="P360" s="12" t="n"/>
    </row>
    <row r="361">
      <c r="A361" s="10">
        <f>IF($C361="","",COUNTA($C$9:$C361))</f>
        <v/>
      </c>
      <c r="B361" s="10">
        <f>IF($C361="","","TXN-"&amp;RIGHT("0000"&amp;353,4))</f>
        <v/>
      </c>
      <c r="C361" s="11" t="n"/>
      <c r="D361" s="11" t="n"/>
      <c r="E361" s="12" t="n"/>
      <c r="F361" s="10">
        <f>IF($E361="","",IFERROR(IF(VLOOKUP(LEFT(UPPER(TRIM($E361)),6),BankTbl,2,0)="","(بدون عنوان)",VLOOKUP(LEFT(UPPER(TRIM($E361)),6),BankTbl,2,0)),"بانک ناشناخته"))</f>
        <v/>
      </c>
      <c r="G361" s="11" t="n"/>
      <c r="H361" s="10">
        <f>IF($G361="","",IFERROR(VLOOKUP($G361,CustTbl,2,0),IFERROR(VLOOKUP($G361,SuppTbl,2,0),IFERROR(VLOOKUP($G361,AcctTbl,2,0),IFERROR(VLOOKUP($G361,StaffTbl,2,0),"کد ناشناخته")))))</f>
        <v/>
      </c>
      <c r="I361" s="12" t="n"/>
      <c r="J361" s="12" t="n"/>
      <c r="K361" s="13" t="n"/>
      <c r="L361" s="13" t="n"/>
      <c r="M361" s="13" t="n"/>
      <c r="N361" s="14">
        <f>IF(OR($C361="",$E361="",Calc!$H361=""),"",IFERROR(VLOOKUP(LEFT(UPPER(TRIM($E361)),6),BankTbl,3,0),0)+SUMIFS(CalcDep,CalcBank,LEFT(UPPER(TRIM($E361)),6),CalcKey,"&lt;="&amp;Calc!$H361)-SUMIFS(CalcWit,CalcBank,LEFT(UPPER(TRIM($E361)),6),CalcKey,"&lt;="&amp;Calc!$H361))</f>
        <v/>
      </c>
      <c r="O361" s="10">
        <f>IF(OR($C361="",$M361=""),"",IF($N361="","؟",IF(ROUND($M361-$N361,0)=0,"√","×")))</f>
        <v/>
      </c>
      <c r="P361" s="12" t="n"/>
    </row>
    <row r="362">
      <c r="A362" s="10">
        <f>IF($C362="","",COUNTA($C$9:$C362))</f>
        <v/>
      </c>
      <c r="B362" s="10">
        <f>IF($C362="","","TXN-"&amp;RIGHT("0000"&amp;354,4))</f>
        <v/>
      </c>
      <c r="C362" s="11" t="n"/>
      <c r="D362" s="11" t="n"/>
      <c r="E362" s="12" t="n"/>
      <c r="F362" s="10">
        <f>IF($E362="","",IFERROR(IF(VLOOKUP(LEFT(UPPER(TRIM($E362)),6),BankTbl,2,0)="","(بدون عنوان)",VLOOKUP(LEFT(UPPER(TRIM($E362)),6),BankTbl,2,0)),"بانک ناشناخته"))</f>
        <v/>
      </c>
      <c r="G362" s="11" t="n"/>
      <c r="H362" s="10">
        <f>IF($G362="","",IFERROR(VLOOKUP($G362,CustTbl,2,0),IFERROR(VLOOKUP($G362,SuppTbl,2,0),IFERROR(VLOOKUP($G362,AcctTbl,2,0),IFERROR(VLOOKUP($G362,StaffTbl,2,0),"کد ناشناخته")))))</f>
        <v/>
      </c>
      <c r="I362" s="12" t="n"/>
      <c r="J362" s="12" t="n"/>
      <c r="K362" s="13" t="n"/>
      <c r="L362" s="13" t="n"/>
      <c r="M362" s="13" t="n"/>
      <c r="N362" s="14">
        <f>IF(OR($C362="",$E362="",Calc!$H362=""),"",IFERROR(VLOOKUP(LEFT(UPPER(TRIM($E362)),6),BankTbl,3,0),0)+SUMIFS(CalcDep,CalcBank,LEFT(UPPER(TRIM($E362)),6),CalcKey,"&lt;="&amp;Calc!$H362)-SUMIFS(CalcWit,CalcBank,LEFT(UPPER(TRIM($E362)),6),CalcKey,"&lt;="&amp;Calc!$H362))</f>
        <v/>
      </c>
      <c r="O362" s="10">
        <f>IF(OR($C362="",$M362=""),"",IF($N362="","؟",IF(ROUND($M362-$N362,0)=0,"√","×")))</f>
        <v/>
      </c>
      <c r="P362" s="12" t="n"/>
    </row>
    <row r="363">
      <c r="A363" s="10">
        <f>IF($C363="","",COUNTA($C$9:$C363))</f>
        <v/>
      </c>
      <c r="B363" s="10">
        <f>IF($C363="","","TXN-"&amp;RIGHT("0000"&amp;355,4))</f>
        <v/>
      </c>
      <c r="C363" s="11" t="n"/>
      <c r="D363" s="11" t="n"/>
      <c r="E363" s="12" t="n"/>
      <c r="F363" s="10">
        <f>IF($E363="","",IFERROR(IF(VLOOKUP(LEFT(UPPER(TRIM($E363)),6),BankTbl,2,0)="","(بدون عنوان)",VLOOKUP(LEFT(UPPER(TRIM($E363)),6),BankTbl,2,0)),"بانک ناشناخته"))</f>
        <v/>
      </c>
      <c r="G363" s="11" t="n"/>
      <c r="H363" s="10">
        <f>IF($G363="","",IFERROR(VLOOKUP($G363,CustTbl,2,0),IFERROR(VLOOKUP($G363,SuppTbl,2,0),IFERROR(VLOOKUP($G363,AcctTbl,2,0),IFERROR(VLOOKUP($G363,StaffTbl,2,0),"کد ناشناخته")))))</f>
        <v/>
      </c>
      <c r="I363" s="12" t="n"/>
      <c r="J363" s="12" t="n"/>
      <c r="K363" s="13" t="n"/>
      <c r="L363" s="13" t="n"/>
      <c r="M363" s="13" t="n"/>
      <c r="N363" s="14">
        <f>IF(OR($C363="",$E363="",Calc!$H363=""),"",IFERROR(VLOOKUP(LEFT(UPPER(TRIM($E363)),6),BankTbl,3,0),0)+SUMIFS(CalcDep,CalcBank,LEFT(UPPER(TRIM($E363)),6),CalcKey,"&lt;="&amp;Calc!$H363)-SUMIFS(CalcWit,CalcBank,LEFT(UPPER(TRIM($E363)),6),CalcKey,"&lt;="&amp;Calc!$H363))</f>
        <v/>
      </c>
      <c r="O363" s="10">
        <f>IF(OR($C363="",$M363=""),"",IF($N363="","؟",IF(ROUND($M363-$N363,0)=0,"√","×")))</f>
        <v/>
      </c>
      <c r="P363" s="12" t="n"/>
    </row>
    <row r="364">
      <c r="A364" s="10">
        <f>IF($C364="","",COUNTA($C$9:$C364))</f>
        <v/>
      </c>
      <c r="B364" s="10">
        <f>IF($C364="","","TXN-"&amp;RIGHT("0000"&amp;356,4))</f>
        <v/>
      </c>
      <c r="C364" s="11" t="n"/>
      <c r="D364" s="11" t="n"/>
      <c r="E364" s="12" t="n"/>
      <c r="F364" s="10">
        <f>IF($E364="","",IFERROR(IF(VLOOKUP(LEFT(UPPER(TRIM($E364)),6),BankTbl,2,0)="","(بدون عنوان)",VLOOKUP(LEFT(UPPER(TRIM($E364)),6),BankTbl,2,0)),"بانک ناشناخته"))</f>
        <v/>
      </c>
      <c r="G364" s="11" t="n"/>
      <c r="H364" s="10">
        <f>IF($G364="","",IFERROR(VLOOKUP($G364,CustTbl,2,0),IFERROR(VLOOKUP($G364,SuppTbl,2,0),IFERROR(VLOOKUP($G364,AcctTbl,2,0),IFERROR(VLOOKUP($G364,StaffTbl,2,0),"کد ناشناخته")))))</f>
        <v/>
      </c>
      <c r="I364" s="12" t="n"/>
      <c r="J364" s="12" t="n"/>
      <c r="K364" s="13" t="n"/>
      <c r="L364" s="13" t="n"/>
      <c r="M364" s="13" t="n"/>
      <c r="N364" s="14">
        <f>IF(OR($C364="",$E364="",Calc!$H364=""),"",IFERROR(VLOOKUP(LEFT(UPPER(TRIM($E364)),6),BankTbl,3,0),0)+SUMIFS(CalcDep,CalcBank,LEFT(UPPER(TRIM($E364)),6),CalcKey,"&lt;="&amp;Calc!$H364)-SUMIFS(CalcWit,CalcBank,LEFT(UPPER(TRIM($E364)),6),CalcKey,"&lt;="&amp;Calc!$H364))</f>
        <v/>
      </c>
      <c r="O364" s="10">
        <f>IF(OR($C364="",$M364=""),"",IF($N364="","؟",IF(ROUND($M364-$N364,0)=0,"√","×")))</f>
        <v/>
      </c>
      <c r="P364" s="12" t="n"/>
    </row>
    <row r="365">
      <c r="A365" s="10">
        <f>IF($C365="","",COUNTA($C$9:$C365))</f>
        <v/>
      </c>
      <c r="B365" s="10">
        <f>IF($C365="","","TXN-"&amp;RIGHT("0000"&amp;357,4))</f>
        <v/>
      </c>
      <c r="C365" s="11" t="n"/>
      <c r="D365" s="11" t="n"/>
      <c r="E365" s="12" t="n"/>
      <c r="F365" s="10">
        <f>IF($E365="","",IFERROR(IF(VLOOKUP(LEFT(UPPER(TRIM($E365)),6),BankTbl,2,0)="","(بدون عنوان)",VLOOKUP(LEFT(UPPER(TRIM($E365)),6),BankTbl,2,0)),"بانک ناشناخته"))</f>
        <v/>
      </c>
      <c r="G365" s="11" t="n"/>
      <c r="H365" s="10">
        <f>IF($G365="","",IFERROR(VLOOKUP($G365,CustTbl,2,0),IFERROR(VLOOKUP($G365,SuppTbl,2,0),IFERROR(VLOOKUP($G365,AcctTbl,2,0),IFERROR(VLOOKUP($G365,StaffTbl,2,0),"کد ناشناخته")))))</f>
        <v/>
      </c>
      <c r="I365" s="12" t="n"/>
      <c r="J365" s="12" t="n"/>
      <c r="K365" s="13" t="n"/>
      <c r="L365" s="13" t="n"/>
      <c r="M365" s="13" t="n"/>
      <c r="N365" s="14">
        <f>IF(OR($C365="",$E365="",Calc!$H365=""),"",IFERROR(VLOOKUP(LEFT(UPPER(TRIM($E365)),6),BankTbl,3,0),0)+SUMIFS(CalcDep,CalcBank,LEFT(UPPER(TRIM($E365)),6),CalcKey,"&lt;="&amp;Calc!$H365)-SUMIFS(CalcWit,CalcBank,LEFT(UPPER(TRIM($E365)),6),CalcKey,"&lt;="&amp;Calc!$H365))</f>
        <v/>
      </c>
      <c r="O365" s="10">
        <f>IF(OR($C365="",$M365=""),"",IF($N365="","؟",IF(ROUND($M365-$N365,0)=0,"√","×")))</f>
        <v/>
      </c>
      <c r="P365" s="12" t="n"/>
    </row>
    <row r="366">
      <c r="A366" s="10">
        <f>IF($C366="","",COUNTA($C$9:$C366))</f>
        <v/>
      </c>
      <c r="B366" s="10">
        <f>IF($C366="","","TXN-"&amp;RIGHT("0000"&amp;358,4))</f>
        <v/>
      </c>
      <c r="C366" s="11" t="n"/>
      <c r="D366" s="11" t="n"/>
      <c r="E366" s="12" t="n"/>
      <c r="F366" s="10">
        <f>IF($E366="","",IFERROR(IF(VLOOKUP(LEFT(UPPER(TRIM($E366)),6),BankTbl,2,0)="","(بدون عنوان)",VLOOKUP(LEFT(UPPER(TRIM($E366)),6),BankTbl,2,0)),"بانک ناشناخته"))</f>
        <v/>
      </c>
      <c r="G366" s="11" t="n"/>
      <c r="H366" s="10">
        <f>IF($G366="","",IFERROR(VLOOKUP($G366,CustTbl,2,0),IFERROR(VLOOKUP($G366,SuppTbl,2,0),IFERROR(VLOOKUP($G366,AcctTbl,2,0),IFERROR(VLOOKUP($G366,StaffTbl,2,0),"کد ناشناخته")))))</f>
        <v/>
      </c>
      <c r="I366" s="12" t="n"/>
      <c r="J366" s="12" t="n"/>
      <c r="K366" s="13" t="n"/>
      <c r="L366" s="13" t="n"/>
      <c r="M366" s="13" t="n"/>
      <c r="N366" s="14">
        <f>IF(OR($C366="",$E366="",Calc!$H366=""),"",IFERROR(VLOOKUP(LEFT(UPPER(TRIM($E366)),6),BankTbl,3,0),0)+SUMIFS(CalcDep,CalcBank,LEFT(UPPER(TRIM($E366)),6),CalcKey,"&lt;="&amp;Calc!$H366)-SUMIFS(CalcWit,CalcBank,LEFT(UPPER(TRIM($E366)),6),CalcKey,"&lt;="&amp;Calc!$H366))</f>
        <v/>
      </c>
      <c r="O366" s="10">
        <f>IF(OR($C366="",$M366=""),"",IF($N366="","؟",IF(ROUND($M366-$N366,0)=0,"√","×")))</f>
        <v/>
      </c>
      <c r="P366" s="12" t="n"/>
    </row>
    <row r="367">
      <c r="A367" s="10">
        <f>IF($C367="","",COUNTA($C$9:$C367))</f>
        <v/>
      </c>
      <c r="B367" s="10">
        <f>IF($C367="","","TXN-"&amp;RIGHT("0000"&amp;359,4))</f>
        <v/>
      </c>
      <c r="C367" s="11" t="n"/>
      <c r="D367" s="11" t="n"/>
      <c r="E367" s="12" t="n"/>
      <c r="F367" s="10">
        <f>IF($E367="","",IFERROR(IF(VLOOKUP(LEFT(UPPER(TRIM($E367)),6),BankTbl,2,0)="","(بدون عنوان)",VLOOKUP(LEFT(UPPER(TRIM($E367)),6),BankTbl,2,0)),"بانک ناشناخته"))</f>
        <v/>
      </c>
      <c r="G367" s="11" t="n"/>
      <c r="H367" s="10">
        <f>IF($G367="","",IFERROR(VLOOKUP($G367,CustTbl,2,0),IFERROR(VLOOKUP($G367,SuppTbl,2,0),IFERROR(VLOOKUP($G367,AcctTbl,2,0),IFERROR(VLOOKUP($G367,StaffTbl,2,0),"کد ناشناخته")))))</f>
        <v/>
      </c>
      <c r="I367" s="12" t="n"/>
      <c r="J367" s="12" t="n"/>
      <c r="K367" s="13" t="n"/>
      <c r="L367" s="13" t="n"/>
      <c r="M367" s="13" t="n"/>
      <c r="N367" s="14">
        <f>IF(OR($C367="",$E367="",Calc!$H367=""),"",IFERROR(VLOOKUP(LEFT(UPPER(TRIM($E367)),6),BankTbl,3,0),0)+SUMIFS(CalcDep,CalcBank,LEFT(UPPER(TRIM($E367)),6),CalcKey,"&lt;="&amp;Calc!$H367)-SUMIFS(CalcWit,CalcBank,LEFT(UPPER(TRIM($E367)),6),CalcKey,"&lt;="&amp;Calc!$H367))</f>
        <v/>
      </c>
      <c r="O367" s="10">
        <f>IF(OR($C367="",$M367=""),"",IF($N367="","؟",IF(ROUND($M367-$N367,0)=0,"√","×")))</f>
        <v/>
      </c>
      <c r="P367" s="12" t="n"/>
    </row>
    <row r="368">
      <c r="A368" s="10">
        <f>IF($C368="","",COUNTA($C$9:$C368))</f>
        <v/>
      </c>
      <c r="B368" s="10">
        <f>IF($C368="","","TXN-"&amp;RIGHT("0000"&amp;360,4))</f>
        <v/>
      </c>
      <c r="C368" s="11" t="n"/>
      <c r="D368" s="11" t="n"/>
      <c r="E368" s="12" t="n"/>
      <c r="F368" s="10">
        <f>IF($E368="","",IFERROR(IF(VLOOKUP(LEFT(UPPER(TRIM($E368)),6),BankTbl,2,0)="","(بدون عنوان)",VLOOKUP(LEFT(UPPER(TRIM($E368)),6),BankTbl,2,0)),"بانک ناشناخته"))</f>
        <v/>
      </c>
      <c r="G368" s="11" t="n"/>
      <c r="H368" s="10">
        <f>IF($G368="","",IFERROR(VLOOKUP($G368,CustTbl,2,0),IFERROR(VLOOKUP($G368,SuppTbl,2,0),IFERROR(VLOOKUP($G368,AcctTbl,2,0),IFERROR(VLOOKUP($G368,StaffTbl,2,0),"کد ناشناخته")))))</f>
        <v/>
      </c>
      <c r="I368" s="12" t="n"/>
      <c r="J368" s="12" t="n"/>
      <c r="K368" s="13" t="n"/>
      <c r="L368" s="13" t="n"/>
      <c r="M368" s="13" t="n"/>
      <c r="N368" s="14">
        <f>IF(OR($C368="",$E368="",Calc!$H368=""),"",IFERROR(VLOOKUP(LEFT(UPPER(TRIM($E368)),6),BankTbl,3,0),0)+SUMIFS(CalcDep,CalcBank,LEFT(UPPER(TRIM($E368)),6),CalcKey,"&lt;="&amp;Calc!$H368)-SUMIFS(CalcWit,CalcBank,LEFT(UPPER(TRIM($E368)),6),CalcKey,"&lt;="&amp;Calc!$H368))</f>
        <v/>
      </c>
      <c r="O368" s="10">
        <f>IF(OR($C368="",$M368=""),"",IF($N368="","؟",IF(ROUND($M368-$N368,0)=0,"√","×")))</f>
        <v/>
      </c>
      <c r="P368" s="12" t="n"/>
    </row>
    <row r="369">
      <c r="A369" s="10">
        <f>IF($C369="","",COUNTA($C$9:$C369))</f>
        <v/>
      </c>
      <c r="B369" s="10">
        <f>IF($C369="","","TXN-"&amp;RIGHT("0000"&amp;361,4))</f>
        <v/>
      </c>
      <c r="C369" s="11" t="n"/>
      <c r="D369" s="11" t="n"/>
      <c r="E369" s="12" t="n"/>
      <c r="F369" s="10">
        <f>IF($E369="","",IFERROR(IF(VLOOKUP(LEFT(UPPER(TRIM($E369)),6),BankTbl,2,0)="","(بدون عنوان)",VLOOKUP(LEFT(UPPER(TRIM($E369)),6),BankTbl,2,0)),"بانک ناشناخته"))</f>
        <v/>
      </c>
      <c r="G369" s="11" t="n"/>
      <c r="H369" s="10">
        <f>IF($G369="","",IFERROR(VLOOKUP($G369,CustTbl,2,0),IFERROR(VLOOKUP($G369,SuppTbl,2,0),IFERROR(VLOOKUP($G369,AcctTbl,2,0),IFERROR(VLOOKUP($G369,StaffTbl,2,0),"کد ناشناخته")))))</f>
        <v/>
      </c>
      <c r="I369" s="12" t="n"/>
      <c r="J369" s="12" t="n"/>
      <c r="K369" s="13" t="n"/>
      <c r="L369" s="13" t="n"/>
      <c r="M369" s="13" t="n"/>
      <c r="N369" s="14">
        <f>IF(OR($C369="",$E369="",Calc!$H369=""),"",IFERROR(VLOOKUP(LEFT(UPPER(TRIM($E369)),6),BankTbl,3,0),0)+SUMIFS(CalcDep,CalcBank,LEFT(UPPER(TRIM($E369)),6),CalcKey,"&lt;="&amp;Calc!$H369)-SUMIFS(CalcWit,CalcBank,LEFT(UPPER(TRIM($E369)),6),CalcKey,"&lt;="&amp;Calc!$H369))</f>
        <v/>
      </c>
      <c r="O369" s="10">
        <f>IF(OR($C369="",$M369=""),"",IF($N369="","؟",IF(ROUND($M369-$N369,0)=0,"√","×")))</f>
        <v/>
      </c>
      <c r="P369" s="12" t="n"/>
    </row>
    <row r="370">
      <c r="A370" s="10">
        <f>IF($C370="","",COUNTA($C$9:$C370))</f>
        <v/>
      </c>
      <c r="B370" s="10">
        <f>IF($C370="","","TXN-"&amp;RIGHT("0000"&amp;362,4))</f>
        <v/>
      </c>
      <c r="C370" s="11" t="n"/>
      <c r="D370" s="11" t="n"/>
      <c r="E370" s="12" t="n"/>
      <c r="F370" s="10">
        <f>IF($E370="","",IFERROR(IF(VLOOKUP(LEFT(UPPER(TRIM($E370)),6),BankTbl,2,0)="","(بدون عنوان)",VLOOKUP(LEFT(UPPER(TRIM($E370)),6),BankTbl,2,0)),"بانک ناشناخته"))</f>
        <v/>
      </c>
      <c r="G370" s="11" t="n"/>
      <c r="H370" s="10">
        <f>IF($G370="","",IFERROR(VLOOKUP($G370,CustTbl,2,0),IFERROR(VLOOKUP($G370,SuppTbl,2,0),IFERROR(VLOOKUP($G370,AcctTbl,2,0),IFERROR(VLOOKUP($G370,StaffTbl,2,0),"کد ناشناخته")))))</f>
        <v/>
      </c>
      <c r="I370" s="12" t="n"/>
      <c r="J370" s="12" t="n"/>
      <c r="K370" s="13" t="n"/>
      <c r="L370" s="13" t="n"/>
      <c r="M370" s="13" t="n"/>
      <c r="N370" s="14">
        <f>IF(OR($C370="",$E370="",Calc!$H370=""),"",IFERROR(VLOOKUP(LEFT(UPPER(TRIM($E370)),6),BankTbl,3,0),0)+SUMIFS(CalcDep,CalcBank,LEFT(UPPER(TRIM($E370)),6),CalcKey,"&lt;="&amp;Calc!$H370)-SUMIFS(CalcWit,CalcBank,LEFT(UPPER(TRIM($E370)),6),CalcKey,"&lt;="&amp;Calc!$H370))</f>
        <v/>
      </c>
      <c r="O370" s="10">
        <f>IF(OR($C370="",$M370=""),"",IF($N370="","؟",IF(ROUND($M370-$N370,0)=0,"√","×")))</f>
        <v/>
      </c>
      <c r="P370" s="12" t="n"/>
    </row>
    <row r="371">
      <c r="A371" s="10">
        <f>IF($C371="","",COUNTA($C$9:$C371))</f>
        <v/>
      </c>
      <c r="B371" s="10">
        <f>IF($C371="","","TXN-"&amp;RIGHT("0000"&amp;363,4))</f>
        <v/>
      </c>
      <c r="C371" s="11" t="n"/>
      <c r="D371" s="11" t="n"/>
      <c r="E371" s="12" t="n"/>
      <c r="F371" s="10">
        <f>IF($E371="","",IFERROR(IF(VLOOKUP(LEFT(UPPER(TRIM($E371)),6),BankTbl,2,0)="","(بدون عنوان)",VLOOKUP(LEFT(UPPER(TRIM($E371)),6),BankTbl,2,0)),"بانک ناشناخته"))</f>
        <v/>
      </c>
      <c r="G371" s="11" t="n"/>
      <c r="H371" s="10">
        <f>IF($G371="","",IFERROR(VLOOKUP($G371,CustTbl,2,0),IFERROR(VLOOKUP($G371,SuppTbl,2,0),IFERROR(VLOOKUP($G371,AcctTbl,2,0),IFERROR(VLOOKUP($G371,StaffTbl,2,0),"کد ناشناخته")))))</f>
        <v/>
      </c>
      <c r="I371" s="12" t="n"/>
      <c r="J371" s="12" t="n"/>
      <c r="K371" s="13" t="n"/>
      <c r="L371" s="13" t="n"/>
      <c r="M371" s="13" t="n"/>
      <c r="N371" s="14">
        <f>IF(OR($C371="",$E371="",Calc!$H371=""),"",IFERROR(VLOOKUP(LEFT(UPPER(TRIM($E371)),6),BankTbl,3,0),0)+SUMIFS(CalcDep,CalcBank,LEFT(UPPER(TRIM($E371)),6),CalcKey,"&lt;="&amp;Calc!$H371)-SUMIFS(CalcWit,CalcBank,LEFT(UPPER(TRIM($E371)),6),CalcKey,"&lt;="&amp;Calc!$H371))</f>
        <v/>
      </c>
      <c r="O371" s="10">
        <f>IF(OR($C371="",$M371=""),"",IF($N371="","؟",IF(ROUND($M371-$N371,0)=0,"√","×")))</f>
        <v/>
      </c>
      <c r="P371" s="12" t="n"/>
    </row>
    <row r="372">
      <c r="A372" s="10">
        <f>IF($C372="","",COUNTA($C$9:$C372))</f>
        <v/>
      </c>
      <c r="B372" s="10">
        <f>IF($C372="","","TXN-"&amp;RIGHT("0000"&amp;364,4))</f>
        <v/>
      </c>
      <c r="C372" s="11" t="n"/>
      <c r="D372" s="11" t="n"/>
      <c r="E372" s="12" t="n"/>
      <c r="F372" s="10">
        <f>IF($E372="","",IFERROR(IF(VLOOKUP(LEFT(UPPER(TRIM($E372)),6),BankTbl,2,0)="","(بدون عنوان)",VLOOKUP(LEFT(UPPER(TRIM($E372)),6),BankTbl,2,0)),"بانک ناشناخته"))</f>
        <v/>
      </c>
      <c r="G372" s="11" t="n"/>
      <c r="H372" s="10">
        <f>IF($G372="","",IFERROR(VLOOKUP($G372,CustTbl,2,0),IFERROR(VLOOKUP($G372,SuppTbl,2,0),IFERROR(VLOOKUP($G372,AcctTbl,2,0),IFERROR(VLOOKUP($G372,StaffTbl,2,0),"کد ناشناخته")))))</f>
        <v/>
      </c>
      <c r="I372" s="12" t="n"/>
      <c r="J372" s="12" t="n"/>
      <c r="K372" s="13" t="n"/>
      <c r="L372" s="13" t="n"/>
      <c r="M372" s="13" t="n"/>
      <c r="N372" s="14">
        <f>IF(OR($C372="",$E372="",Calc!$H372=""),"",IFERROR(VLOOKUP(LEFT(UPPER(TRIM($E372)),6),BankTbl,3,0),0)+SUMIFS(CalcDep,CalcBank,LEFT(UPPER(TRIM($E372)),6),CalcKey,"&lt;="&amp;Calc!$H372)-SUMIFS(CalcWit,CalcBank,LEFT(UPPER(TRIM($E372)),6),CalcKey,"&lt;="&amp;Calc!$H372))</f>
        <v/>
      </c>
      <c r="O372" s="10">
        <f>IF(OR($C372="",$M372=""),"",IF($N372="","؟",IF(ROUND($M372-$N372,0)=0,"√","×")))</f>
        <v/>
      </c>
      <c r="P372" s="12" t="n"/>
    </row>
    <row r="373">
      <c r="A373" s="10">
        <f>IF($C373="","",COUNTA($C$9:$C373))</f>
        <v/>
      </c>
      <c r="B373" s="10">
        <f>IF($C373="","","TXN-"&amp;RIGHT("0000"&amp;365,4))</f>
        <v/>
      </c>
      <c r="C373" s="11" t="n"/>
      <c r="D373" s="11" t="n"/>
      <c r="E373" s="12" t="n"/>
      <c r="F373" s="10">
        <f>IF($E373="","",IFERROR(IF(VLOOKUP(LEFT(UPPER(TRIM($E373)),6),BankTbl,2,0)="","(بدون عنوان)",VLOOKUP(LEFT(UPPER(TRIM($E373)),6),BankTbl,2,0)),"بانک ناشناخته"))</f>
        <v/>
      </c>
      <c r="G373" s="11" t="n"/>
      <c r="H373" s="10">
        <f>IF($G373="","",IFERROR(VLOOKUP($G373,CustTbl,2,0),IFERROR(VLOOKUP($G373,SuppTbl,2,0),IFERROR(VLOOKUP($G373,AcctTbl,2,0),IFERROR(VLOOKUP($G373,StaffTbl,2,0),"کد ناشناخته")))))</f>
        <v/>
      </c>
      <c r="I373" s="12" t="n"/>
      <c r="J373" s="12" t="n"/>
      <c r="K373" s="13" t="n"/>
      <c r="L373" s="13" t="n"/>
      <c r="M373" s="13" t="n"/>
      <c r="N373" s="14">
        <f>IF(OR($C373="",$E373="",Calc!$H373=""),"",IFERROR(VLOOKUP(LEFT(UPPER(TRIM($E373)),6),BankTbl,3,0),0)+SUMIFS(CalcDep,CalcBank,LEFT(UPPER(TRIM($E373)),6),CalcKey,"&lt;="&amp;Calc!$H373)-SUMIFS(CalcWit,CalcBank,LEFT(UPPER(TRIM($E373)),6),CalcKey,"&lt;="&amp;Calc!$H373))</f>
        <v/>
      </c>
      <c r="O373" s="10">
        <f>IF(OR($C373="",$M373=""),"",IF($N373="","؟",IF(ROUND($M373-$N373,0)=0,"√","×")))</f>
        <v/>
      </c>
      <c r="P373" s="12" t="n"/>
    </row>
    <row r="374">
      <c r="A374" s="10">
        <f>IF($C374="","",COUNTA($C$9:$C374))</f>
        <v/>
      </c>
      <c r="B374" s="10">
        <f>IF($C374="","","TXN-"&amp;RIGHT("0000"&amp;366,4))</f>
        <v/>
      </c>
      <c r="C374" s="11" t="n"/>
      <c r="D374" s="11" t="n"/>
      <c r="E374" s="12" t="n"/>
      <c r="F374" s="10">
        <f>IF($E374="","",IFERROR(IF(VLOOKUP(LEFT(UPPER(TRIM($E374)),6),BankTbl,2,0)="","(بدون عنوان)",VLOOKUP(LEFT(UPPER(TRIM($E374)),6),BankTbl,2,0)),"بانک ناشناخته"))</f>
        <v/>
      </c>
      <c r="G374" s="11" t="n"/>
      <c r="H374" s="10">
        <f>IF($G374="","",IFERROR(VLOOKUP($G374,CustTbl,2,0),IFERROR(VLOOKUP($G374,SuppTbl,2,0),IFERROR(VLOOKUP($G374,AcctTbl,2,0),IFERROR(VLOOKUP($G374,StaffTbl,2,0),"کد ناشناخته")))))</f>
        <v/>
      </c>
      <c r="I374" s="12" t="n"/>
      <c r="J374" s="12" t="n"/>
      <c r="K374" s="13" t="n"/>
      <c r="L374" s="13" t="n"/>
      <c r="M374" s="13" t="n"/>
      <c r="N374" s="14">
        <f>IF(OR($C374="",$E374="",Calc!$H374=""),"",IFERROR(VLOOKUP(LEFT(UPPER(TRIM($E374)),6),BankTbl,3,0),0)+SUMIFS(CalcDep,CalcBank,LEFT(UPPER(TRIM($E374)),6),CalcKey,"&lt;="&amp;Calc!$H374)-SUMIFS(CalcWit,CalcBank,LEFT(UPPER(TRIM($E374)),6),CalcKey,"&lt;="&amp;Calc!$H374))</f>
        <v/>
      </c>
      <c r="O374" s="10">
        <f>IF(OR($C374="",$M374=""),"",IF($N374="","؟",IF(ROUND($M374-$N374,0)=0,"√","×")))</f>
        <v/>
      </c>
      <c r="P374" s="12" t="n"/>
    </row>
    <row r="375">
      <c r="A375" s="10">
        <f>IF($C375="","",COUNTA($C$9:$C375))</f>
        <v/>
      </c>
      <c r="B375" s="10">
        <f>IF($C375="","","TXN-"&amp;RIGHT("0000"&amp;367,4))</f>
        <v/>
      </c>
      <c r="C375" s="11" t="n"/>
      <c r="D375" s="11" t="n"/>
      <c r="E375" s="12" t="n"/>
      <c r="F375" s="10">
        <f>IF($E375="","",IFERROR(IF(VLOOKUP(LEFT(UPPER(TRIM($E375)),6),BankTbl,2,0)="","(بدون عنوان)",VLOOKUP(LEFT(UPPER(TRIM($E375)),6),BankTbl,2,0)),"بانک ناشناخته"))</f>
        <v/>
      </c>
      <c r="G375" s="11" t="n"/>
      <c r="H375" s="10">
        <f>IF($G375="","",IFERROR(VLOOKUP($G375,CustTbl,2,0),IFERROR(VLOOKUP($G375,SuppTbl,2,0),IFERROR(VLOOKUP($G375,AcctTbl,2,0),IFERROR(VLOOKUP($G375,StaffTbl,2,0),"کد ناشناخته")))))</f>
        <v/>
      </c>
      <c r="I375" s="12" t="n"/>
      <c r="J375" s="12" t="n"/>
      <c r="K375" s="13" t="n"/>
      <c r="L375" s="13" t="n"/>
      <c r="M375" s="13" t="n"/>
      <c r="N375" s="14">
        <f>IF(OR($C375="",$E375="",Calc!$H375=""),"",IFERROR(VLOOKUP(LEFT(UPPER(TRIM($E375)),6),BankTbl,3,0),0)+SUMIFS(CalcDep,CalcBank,LEFT(UPPER(TRIM($E375)),6),CalcKey,"&lt;="&amp;Calc!$H375)-SUMIFS(CalcWit,CalcBank,LEFT(UPPER(TRIM($E375)),6),CalcKey,"&lt;="&amp;Calc!$H375))</f>
        <v/>
      </c>
      <c r="O375" s="10">
        <f>IF(OR($C375="",$M375=""),"",IF($N375="","؟",IF(ROUND($M375-$N375,0)=0,"√","×")))</f>
        <v/>
      </c>
      <c r="P375" s="12" t="n"/>
    </row>
    <row r="376">
      <c r="A376" s="10">
        <f>IF($C376="","",COUNTA($C$9:$C376))</f>
        <v/>
      </c>
      <c r="B376" s="10">
        <f>IF($C376="","","TXN-"&amp;RIGHT("0000"&amp;368,4))</f>
        <v/>
      </c>
      <c r="C376" s="11" t="n"/>
      <c r="D376" s="11" t="n"/>
      <c r="E376" s="12" t="n"/>
      <c r="F376" s="10">
        <f>IF($E376="","",IFERROR(IF(VLOOKUP(LEFT(UPPER(TRIM($E376)),6),BankTbl,2,0)="","(بدون عنوان)",VLOOKUP(LEFT(UPPER(TRIM($E376)),6),BankTbl,2,0)),"بانک ناشناخته"))</f>
        <v/>
      </c>
      <c r="G376" s="11" t="n"/>
      <c r="H376" s="10">
        <f>IF($G376="","",IFERROR(VLOOKUP($G376,CustTbl,2,0),IFERROR(VLOOKUP($G376,SuppTbl,2,0),IFERROR(VLOOKUP($G376,AcctTbl,2,0),IFERROR(VLOOKUP($G376,StaffTbl,2,0),"کد ناشناخته")))))</f>
        <v/>
      </c>
      <c r="I376" s="12" t="n"/>
      <c r="J376" s="12" t="n"/>
      <c r="K376" s="13" t="n"/>
      <c r="L376" s="13" t="n"/>
      <c r="M376" s="13" t="n"/>
      <c r="N376" s="14">
        <f>IF(OR($C376="",$E376="",Calc!$H376=""),"",IFERROR(VLOOKUP(LEFT(UPPER(TRIM($E376)),6),BankTbl,3,0),0)+SUMIFS(CalcDep,CalcBank,LEFT(UPPER(TRIM($E376)),6),CalcKey,"&lt;="&amp;Calc!$H376)-SUMIFS(CalcWit,CalcBank,LEFT(UPPER(TRIM($E376)),6),CalcKey,"&lt;="&amp;Calc!$H376))</f>
        <v/>
      </c>
      <c r="O376" s="10">
        <f>IF(OR($C376="",$M376=""),"",IF($N376="","؟",IF(ROUND($M376-$N376,0)=0,"√","×")))</f>
        <v/>
      </c>
      <c r="P376" s="12" t="n"/>
    </row>
    <row r="377">
      <c r="A377" s="10">
        <f>IF($C377="","",COUNTA($C$9:$C377))</f>
        <v/>
      </c>
      <c r="B377" s="10">
        <f>IF($C377="","","TXN-"&amp;RIGHT("0000"&amp;369,4))</f>
        <v/>
      </c>
      <c r="C377" s="11" t="n"/>
      <c r="D377" s="11" t="n"/>
      <c r="E377" s="12" t="n"/>
      <c r="F377" s="10">
        <f>IF($E377="","",IFERROR(IF(VLOOKUP(LEFT(UPPER(TRIM($E377)),6),BankTbl,2,0)="","(بدون عنوان)",VLOOKUP(LEFT(UPPER(TRIM($E377)),6),BankTbl,2,0)),"بانک ناشناخته"))</f>
        <v/>
      </c>
      <c r="G377" s="11" t="n"/>
      <c r="H377" s="10">
        <f>IF($G377="","",IFERROR(VLOOKUP($G377,CustTbl,2,0),IFERROR(VLOOKUP($G377,SuppTbl,2,0),IFERROR(VLOOKUP($G377,AcctTbl,2,0),IFERROR(VLOOKUP($G377,StaffTbl,2,0),"کد ناشناخته")))))</f>
        <v/>
      </c>
      <c r="I377" s="12" t="n"/>
      <c r="J377" s="12" t="n"/>
      <c r="K377" s="13" t="n"/>
      <c r="L377" s="13" t="n"/>
      <c r="M377" s="13" t="n"/>
      <c r="N377" s="14">
        <f>IF(OR($C377="",$E377="",Calc!$H377=""),"",IFERROR(VLOOKUP(LEFT(UPPER(TRIM($E377)),6),BankTbl,3,0),0)+SUMIFS(CalcDep,CalcBank,LEFT(UPPER(TRIM($E377)),6),CalcKey,"&lt;="&amp;Calc!$H377)-SUMIFS(CalcWit,CalcBank,LEFT(UPPER(TRIM($E377)),6),CalcKey,"&lt;="&amp;Calc!$H377))</f>
        <v/>
      </c>
      <c r="O377" s="10">
        <f>IF(OR($C377="",$M377=""),"",IF($N377="","؟",IF(ROUND($M377-$N377,0)=0,"√","×")))</f>
        <v/>
      </c>
      <c r="P377" s="12" t="n"/>
    </row>
    <row r="378">
      <c r="A378" s="10">
        <f>IF($C378="","",COUNTA($C$9:$C378))</f>
        <v/>
      </c>
      <c r="B378" s="10">
        <f>IF($C378="","","TXN-"&amp;RIGHT("0000"&amp;370,4))</f>
        <v/>
      </c>
      <c r="C378" s="11" t="n"/>
      <c r="D378" s="11" t="n"/>
      <c r="E378" s="12" t="n"/>
      <c r="F378" s="10">
        <f>IF($E378="","",IFERROR(IF(VLOOKUP(LEFT(UPPER(TRIM($E378)),6),BankTbl,2,0)="","(بدون عنوان)",VLOOKUP(LEFT(UPPER(TRIM($E378)),6),BankTbl,2,0)),"بانک ناشناخته"))</f>
        <v/>
      </c>
      <c r="G378" s="11" t="n"/>
      <c r="H378" s="10">
        <f>IF($G378="","",IFERROR(VLOOKUP($G378,CustTbl,2,0),IFERROR(VLOOKUP($G378,SuppTbl,2,0),IFERROR(VLOOKUP($G378,AcctTbl,2,0),IFERROR(VLOOKUP($G378,StaffTbl,2,0),"کد ناشناخته")))))</f>
        <v/>
      </c>
      <c r="I378" s="12" t="n"/>
      <c r="J378" s="12" t="n"/>
      <c r="K378" s="13" t="n"/>
      <c r="L378" s="13" t="n"/>
      <c r="M378" s="13" t="n"/>
      <c r="N378" s="14">
        <f>IF(OR($C378="",$E378="",Calc!$H378=""),"",IFERROR(VLOOKUP(LEFT(UPPER(TRIM($E378)),6),BankTbl,3,0),0)+SUMIFS(CalcDep,CalcBank,LEFT(UPPER(TRIM($E378)),6),CalcKey,"&lt;="&amp;Calc!$H378)-SUMIFS(CalcWit,CalcBank,LEFT(UPPER(TRIM($E378)),6),CalcKey,"&lt;="&amp;Calc!$H378))</f>
        <v/>
      </c>
      <c r="O378" s="10">
        <f>IF(OR($C378="",$M378=""),"",IF($N378="","؟",IF(ROUND($M378-$N378,0)=0,"√","×")))</f>
        <v/>
      </c>
      <c r="P378" s="12" t="n"/>
    </row>
    <row r="379">
      <c r="A379" s="10">
        <f>IF($C379="","",COUNTA($C$9:$C379))</f>
        <v/>
      </c>
      <c r="B379" s="10">
        <f>IF($C379="","","TXN-"&amp;RIGHT("0000"&amp;371,4))</f>
        <v/>
      </c>
      <c r="C379" s="11" t="n"/>
      <c r="D379" s="11" t="n"/>
      <c r="E379" s="12" t="n"/>
      <c r="F379" s="10">
        <f>IF($E379="","",IFERROR(IF(VLOOKUP(LEFT(UPPER(TRIM($E379)),6),BankTbl,2,0)="","(بدون عنوان)",VLOOKUP(LEFT(UPPER(TRIM($E379)),6),BankTbl,2,0)),"بانک ناشناخته"))</f>
        <v/>
      </c>
      <c r="G379" s="11" t="n"/>
      <c r="H379" s="10">
        <f>IF($G379="","",IFERROR(VLOOKUP($G379,CustTbl,2,0),IFERROR(VLOOKUP($G379,SuppTbl,2,0),IFERROR(VLOOKUP($G379,AcctTbl,2,0),IFERROR(VLOOKUP($G379,StaffTbl,2,0),"کد ناشناخته")))))</f>
        <v/>
      </c>
      <c r="I379" s="12" t="n"/>
      <c r="J379" s="12" t="n"/>
      <c r="K379" s="13" t="n"/>
      <c r="L379" s="13" t="n"/>
      <c r="M379" s="13" t="n"/>
      <c r="N379" s="14">
        <f>IF(OR($C379="",$E379="",Calc!$H379=""),"",IFERROR(VLOOKUP(LEFT(UPPER(TRIM($E379)),6),BankTbl,3,0),0)+SUMIFS(CalcDep,CalcBank,LEFT(UPPER(TRIM($E379)),6),CalcKey,"&lt;="&amp;Calc!$H379)-SUMIFS(CalcWit,CalcBank,LEFT(UPPER(TRIM($E379)),6),CalcKey,"&lt;="&amp;Calc!$H379))</f>
        <v/>
      </c>
      <c r="O379" s="10">
        <f>IF(OR($C379="",$M379=""),"",IF($N379="","؟",IF(ROUND($M379-$N379,0)=0,"√","×")))</f>
        <v/>
      </c>
      <c r="P379" s="12" t="n"/>
    </row>
    <row r="380">
      <c r="A380" s="10">
        <f>IF($C380="","",COUNTA($C$9:$C380))</f>
        <v/>
      </c>
      <c r="B380" s="10">
        <f>IF($C380="","","TXN-"&amp;RIGHT("0000"&amp;372,4))</f>
        <v/>
      </c>
      <c r="C380" s="11" t="n"/>
      <c r="D380" s="11" t="n"/>
      <c r="E380" s="12" t="n"/>
      <c r="F380" s="10">
        <f>IF($E380="","",IFERROR(IF(VLOOKUP(LEFT(UPPER(TRIM($E380)),6),BankTbl,2,0)="","(بدون عنوان)",VLOOKUP(LEFT(UPPER(TRIM($E380)),6),BankTbl,2,0)),"بانک ناشناخته"))</f>
        <v/>
      </c>
      <c r="G380" s="11" t="n"/>
      <c r="H380" s="10">
        <f>IF($G380="","",IFERROR(VLOOKUP($G380,CustTbl,2,0),IFERROR(VLOOKUP($G380,SuppTbl,2,0),IFERROR(VLOOKUP($G380,AcctTbl,2,0),IFERROR(VLOOKUP($G380,StaffTbl,2,0),"کد ناشناخته")))))</f>
        <v/>
      </c>
      <c r="I380" s="12" t="n"/>
      <c r="J380" s="12" t="n"/>
      <c r="K380" s="13" t="n"/>
      <c r="L380" s="13" t="n"/>
      <c r="M380" s="13" t="n"/>
      <c r="N380" s="14">
        <f>IF(OR($C380="",$E380="",Calc!$H380=""),"",IFERROR(VLOOKUP(LEFT(UPPER(TRIM($E380)),6),BankTbl,3,0),0)+SUMIFS(CalcDep,CalcBank,LEFT(UPPER(TRIM($E380)),6),CalcKey,"&lt;="&amp;Calc!$H380)-SUMIFS(CalcWit,CalcBank,LEFT(UPPER(TRIM($E380)),6),CalcKey,"&lt;="&amp;Calc!$H380))</f>
        <v/>
      </c>
      <c r="O380" s="10">
        <f>IF(OR($C380="",$M380=""),"",IF($N380="","؟",IF(ROUND($M380-$N380,0)=0,"√","×")))</f>
        <v/>
      </c>
      <c r="P380" s="12" t="n"/>
    </row>
    <row r="381">
      <c r="A381" s="10">
        <f>IF($C381="","",COUNTA($C$9:$C381))</f>
        <v/>
      </c>
      <c r="B381" s="10">
        <f>IF($C381="","","TXN-"&amp;RIGHT("0000"&amp;373,4))</f>
        <v/>
      </c>
      <c r="C381" s="11" t="n"/>
      <c r="D381" s="11" t="n"/>
      <c r="E381" s="12" t="n"/>
      <c r="F381" s="10">
        <f>IF($E381="","",IFERROR(IF(VLOOKUP(LEFT(UPPER(TRIM($E381)),6),BankTbl,2,0)="","(بدون عنوان)",VLOOKUP(LEFT(UPPER(TRIM($E381)),6),BankTbl,2,0)),"بانک ناشناخته"))</f>
        <v/>
      </c>
      <c r="G381" s="11" t="n"/>
      <c r="H381" s="10">
        <f>IF($G381="","",IFERROR(VLOOKUP($G381,CustTbl,2,0),IFERROR(VLOOKUP($G381,SuppTbl,2,0),IFERROR(VLOOKUP($G381,AcctTbl,2,0),IFERROR(VLOOKUP($G381,StaffTbl,2,0),"کد ناشناخته")))))</f>
        <v/>
      </c>
      <c r="I381" s="12" t="n"/>
      <c r="J381" s="12" t="n"/>
      <c r="K381" s="13" t="n"/>
      <c r="L381" s="13" t="n"/>
      <c r="M381" s="13" t="n"/>
      <c r="N381" s="14">
        <f>IF(OR($C381="",$E381="",Calc!$H381=""),"",IFERROR(VLOOKUP(LEFT(UPPER(TRIM($E381)),6),BankTbl,3,0),0)+SUMIFS(CalcDep,CalcBank,LEFT(UPPER(TRIM($E381)),6),CalcKey,"&lt;="&amp;Calc!$H381)-SUMIFS(CalcWit,CalcBank,LEFT(UPPER(TRIM($E381)),6),CalcKey,"&lt;="&amp;Calc!$H381))</f>
        <v/>
      </c>
      <c r="O381" s="10">
        <f>IF(OR($C381="",$M381=""),"",IF($N381="","؟",IF(ROUND($M381-$N381,0)=0,"√","×")))</f>
        <v/>
      </c>
      <c r="P381" s="12" t="n"/>
    </row>
    <row r="382">
      <c r="A382" s="10">
        <f>IF($C382="","",COUNTA($C$9:$C382))</f>
        <v/>
      </c>
      <c r="B382" s="10">
        <f>IF($C382="","","TXN-"&amp;RIGHT("0000"&amp;374,4))</f>
        <v/>
      </c>
      <c r="C382" s="11" t="n"/>
      <c r="D382" s="11" t="n"/>
      <c r="E382" s="12" t="n"/>
      <c r="F382" s="10">
        <f>IF($E382="","",IFERROR(IF(VLOOKUP(LEFT(UPPER(TRIM($E382)),6),BankTbl,2,0)="","(بدون عنوان)",VLOOKUP(LEFT(UPPER(TRIM($E382)),6),BankTbl,2,0)),"بانک ناشناخته"))</f>
        <v/>
      </c>
      <c r="G382" s="11" t="n"/>
      <c r="H382" s="10">
        <f>IF($G382="","",IFERROR(VLOOKUP($G382,CustTbl,2,0),IFERROR(VLOOKUP($G382,SuppTbl,2,0),IFERROR(VLOOKUP($G382,AcctTbl,2,0),IFERROR(VLOOKUP($G382,StaffTbl,2,0),"کد ناشناخته")))))</f>
        <v/>
      </c>
      <c r="I382" s="12" t="n"/>
      <c r="J382" s="12" t="n"/>
      <c r="K382" s="13" t="n"/>
      <c r="L382" s="13" t="n"/>
      <c r="M382" s="13" t="n"/>
      <c r="N382" s="14">
        <f>IF(OR($C382="",$E382="",Calc!$H382=""),"",IFERROR(VLOOKUP(LEFT(UPPER(TRIM($E382)),6),BankTbl,3,0),0)+SUMIFS(CalcDep,CalcBank,LEFT(UPPER(TRIM($E382)),6),CalcKey,"&lt;="&amp;Calc!$H382)-SUMIFS(CalcWit,CalcBank,LEFT(UPPER(TRIM($E382)),6),CalcKey,"&lt;="&amp;Calc!$H382))</f>
        <v/>
      </c>
      <c r="O382" s="10">
        <f>IF(OR($C382="",$M382=""),"",IF($N382="","؟",IF(ROUND($M382-$N382,0)=0,"√","×")))</f>
        <v/>
      </c>
      <c r="P382" s="12" t="n"/>
    </row>
    <row r="383">
      <c r="A383" s="10">
        <f>IF($C383="","",COUNTA($C$9:$C383))</f>
        <v/>
      </c>
      <c r="B383" s="10">
        <f>IF($C383="","","TXN-"&amp;RIGHT("0000"&amp;375,4))</f>
        <v/>
      </c>
      <c r="C383" s="11" t="n"/>
      <c r="D383" s="11" t="n"/>
      <c r="E383" s="12" t="n"/>
      <c r="F383" s="10">
        <f>IF($E383="","",IFERROR(IF(VLOOKUP(LEFT(UPPER(TRIM($E383)),6),BankTbl,2,0)="","(بدون عنوان)",VLOOKUP(LEFT(UPPER(TRIM($E383)),6),BankTbl,2,0)),"بانک ناشناخته"))</f>
        <v/>
      </c>
      <c r="G383" s="11" t="n"/>
      <c r="H383" s="10">
        <f>IF($G383="","",IFERROR(VLOOKUP($G383,CustTbl,2,0),IFERROR(VLOOKUP($G383,SuppTbl,2,0),IFERROR(VLOOKUP($G383,AcctTbl,2,0),IFERROR(VLOOKUP($G383,StaffTbl,2,0),"کد ناشناخته")))))</f>
        <v/>
      </c>
      <c r="I383" s="12" t="n"/>
      <c r="J383" s="12" t="n"/>
      <c r="K383" s="13" t="n"/>
      <c r="L383" s="13" t="n"/>
      <c r="M383" s="13" t="n"/>
      <c r="N383" s="14">
        <f>IF(OR($C383="",$E383="",Calc!$H383=""),"",IFERROR(VLOOKUP(LEFT(UPPER(TRIM($E383)),6),BankTbl,3,0),0)+SUMIFS(CalcDep,CalcBank,LEFT(UPPER(TRIM($E383)),6),CalcKey,"&lt;="&amp;Calc!$H383)-SUMIFS(CalcWit,CalcBank,LEFT(UPPER(TRIM($E383)),6),CalcKey,"&lt;="&amp;Calc!$H383))</f>
        <v/>
      </c>
      <c r="O383" s="10">
        <f>IF(OR($C383="",$M383=""),"",IF($N383="","؟",IF(ROUND($M383-$N383,0)=0,"√","×")))</f>
        <v/>
      </c>
      <c r="P383" s="12" t="n"/>
    </row>
    <row r="384">
      <c r="A384" s="10">
        <f>IF($C384="","",COUNTA($C$9:$C384))</f>
        <v/>
      </c>
      <c r="B384" s="10">
        <f>IF($C384="","","TXN-"&amp;RIGHT("0000"&amp;376,4))</f>
        <v/>
      </c>
      <c r="C384" s="11" t="n"/>
      <c r="D384" s="11" t="n"/>
      <c r="E384" s="12" t="n"/>
      <c r="F384" s="10">
        <f>IF($E384="","",IFERROR(IF(VLOOKUP(LEFT(UPPER(TRIM($E384)),6),BankTbl,2,0)="","(بدون عنوان)",VLOOKUP(LEFT(UPPER(TRIM($E384)),6),BankTbl,2,0)),"بانک ناشناخته"))</f>
        <v/>
      </c>
      <c r="G384" s="11" t="n"/>
      <c r="H384" s="10">
        <f>IF($G384="","",IFERROR(VLOOKUP($G384,CustTbl,2,0),IFERROR(VLOOKUP($G384,SuppTbl,2,0),IFERROR(VLOOKUP($G384,AcctTbl,2,0),IFERROR(VLOOKUP($G384,StaffTbl,2,0),"کد ناشناخته")))))</f>
        <v/>
      </c>
      <c r="I384" s="12" t="n"/>
      <c r="J384" s="12" t="n"/>
      <c r="K384" s="13" t="n"/>
      <c r="L384" s="13" t="n"/>
      <c r="M384" s="13" t="n"/>
      <c r="N384" s="14">
        <f>IF(OR($C384="",$E384="",Calc!$H384=""),"",IFERROR(VLOOKUP(LEFT(UPPER(TRIM($E384)),6),BankTbl,3,0),0)+SUMIFS(CalcDep,CalcBank,LEFT(UPPER(TRIM($E384)),6),CalcKey,"&lt;="&amp;Calc!$H384)-SUMIFS(CalcWit,CalcBank,LEFT(UPPER(TRIM($E384)),6),CalcKey,"&lt;="&amp;Calc!$H384))</f>
        <v/>
      </c>
      <c r="O384" s="10">
        <f>IF(OR($C384="",$M384=""),"",IF($N384="","؟",IF(ROUND($M384-$N384,0)=0,"√","×")))</f>
        <v/>
      </c>
      <c r="P384" s="12" t="n"/>
    </row>
    <row r="385">
      <c r="A385" s="10">
        <f>IF($C385="","",COUNTA($C$9:$C385))</f>
        <v/>
      </c>
      <c r="B385" s="10">
        <f>IF($C385="","","TXN-"&amp;RIGHT("0000"&amp;377,4))</f>
        <v/>
      </c>
      <c r="C385" s="11" t="n"/>
      <c r="D385" s="11" t="n"/>
      <c r="E385" s="12" t="n"/>
      <c r="F385" s="10">
        <f>IF($E385="","",IFERROR(IF(VLOOKUP(LEFT(UPPER(TRIM($E385)),6),BankTbl,2,0)="","(بدون عنوان)",VLOOKUP(LEFT(UPPER(TRIM($E385)),6),BankTbl,2,0)),"بانک ناشناخته"))</f>
        <v/>
      </c>
      <c r="G385" s="11" t="n"/>
      <c r="H385" s="10">
        <f>IF($G385="","",IFERROR(VLOOKUP($G385,CustTbl,2,0),IFERROR(VLOOKUP($G385,SuppTbl,2,0),IFERROR(VLOOKUP($G385,AcctTbl,2,0),IFERROR(VLOOKUP($G385,StaffTbl,2,0),"کد ناشناخته")))))</f>
        <v/>
      </c>
      <c r="I385" s="12" t="n"/>
      <c r="J385" s="12" t="n"/>
      <c r="K385" s="13" t="n"/>
      <c r="L385" s="13" t="n"/>
      <c r="M385" s="13" t="n"/>
      <c r="N385" s="14">
        <f>IF(OR($C385="",$E385="",Calc!$H385=""),"",IFERROR(VLOOKUP(LEFT(UPPER(TRIM($E385)),6),BankTbl,3,0),0)+SUMIFS(CalcDep,CalcBank,LEFT(UPPER(TRIM($E385)),6),CalcKey,"&lt;="&amp;Calc!$H385)-SUMIFS(CalcWit,CalcBank,LEFT(UPPER(TRIM($E385)),6),CalcKey,"&lt;="&amp;Calc!$H385))</f>
        <v/>
      </c>
      <c r="O385" s="10">
        <f>IF(OR($C385="",$M385=""),"",IF($N385="","؟",IF(ROUND($M385-$N385,0)=0,"√","×")))</f>
        <v/>
      </c>
      <c r="P385" s="12" t="n"/>
    </row>
    <row r="386">
      <c r="A386" s="10">
        <f>IF($C386="","",COUNTA($C$9:$C386))</f>
        <v/>
      </c>
      <c r="B386" s="10">
        <f>IF($C386="","","TXN-"&amp;RIGHT("0000"&amp;378,4))</f>
        <v/>
      </c>
      <c r="C386" s="11" t="n"/>
      <c r="D386" s="11" t="n"/>
      <c r="E386" s="12" t="n"/>
      <c r="F386" s="10">
        <f>IF($E386="","",IFERROR(IF(VLOOKUP(LEFT(UPPER(TRIM($E386)),6),BankTbl,2,0)="","(بدون عنوان)",VLOOKUP(LEFT(UPPER(TRIM($E386)),6),BankTbl,2,0)),"بانک ناشناخته"))</f>
        <v/>
      </c>
      <c r="G386" s="11" t="n"/>
      <c r="H386" s="10">
        <f>IF($G386="","",IFERROR(VLOOKUP($G386,CustTbl,2,0),IFERROR(VLOOKUP($G386,SuppTbl,2,0),IFERROR(VLOOKUP($G386,AcctTbl,2,0),IFERROR(VLOOKUP($G386,StaffTbl,2,0),"کد ناشناخته")))))</f>
        <v/>
      </c>
      <c r="I386" s="12" t="n"/>
      <c r="J386" s="12" t="n"/>
      <c r="K386" s="13" t="n"/>
      <c r="L386" s="13" t="n"/>
      <c r="M386" s="13" t="n"/>
      <c r="N386" s="14">
        <f>IF(OR($C386="",$E386="",Calc!$H386=""),"",IFERROR(VLOOKUP(LEFT(UPPER(TRIM($E386)),6),BankTbl,3,0),0)+SUMIFS(CalcDep,CalcBank,LEFT(UPPER(TRIM($E386)),6),CalcKey,"&lt;="&amp;Calc!$H386)-SUMIFS(CalcWit,CalcBank,LEFT(UPPER(TRIM($E386)),6),CalcKey,"&lt;="&amp;Calc!$H386))</f>
        <v/>
      </c>
      <c r="O386" s="10">
        <f>IF(OR($C386="",$M386=""),"",IF($N386="","؟",IF(ROUND($M386-$N386,0)=0,"√","×")))</f>
        <v/>
      </c>
      <c r="P386" s="12" t="n"/>
    </row>
    <row r="387">
      <c r="A387" s="10">
        <f>IF($C387="","",COUNTA($C$9:$C387))</f>
        <v/>
      </c>
      <c r="B387" s="10">
        <f>IF($C387="","","TXN-"&amp;RIGHT("0000"&amp;379,4))</f>
        <v/>
      </c>
      <c r="C387" s="11" t="n"/>
      <c r="D387" s="11" t="n"/>
      <c r="E387" s="12" t="n"/>
      <c r="F387" s="10">
        <f>IF($E387="","",IFERROR(IF(VLOOKUP(LEFT(UPPER(TRIM($E387)),6),BankTbl,2,0)="","(بدون عنوان)",VLOOKUP(LEFT(UPPER(TRIM($E387)),6),BankTbl,2,0)),"بانک ناشناخته"))</f>
        <v/>
      </c>
      <c r="G387" s="11" t="n"/>
      <c r="H387" s="10">
        <f>IF($G387="","",IFERROR(VLOOKUP($G387,CustTbl,2,0),IFERROR(VLOOKUP($G387,SuppTbl,2,0),IFERROR(VLOOKUP($G387,AcctTbl,2,0),IFERROR(VLOOKUP($G387,StaffTbl,2,0),"کد ناشناخته")))))</f>
        <v/>
      </c>
      <c r="I387" s="12" t="n"/>
      <c r="J387" s="12" t="n"/>
      <c r="K387" s="13" t="n"/>
      <c r="L387" s="13" t="n"/>
      <c r="M387" s="13" t="n"/>
      <c r="N387" s="14">
        <f>IF(OR($C387="",$E387="",Calc!$H387=""),"",IFERROR(VLOOKUP(LEFT(UPPER(TRIM($E387)),6),BankTbl,3,0),0)+SUMIFS(CalcDep,CalcBank,LEFT(UPPER(TRIM($E387)),6),CalcKey,"&lt;="&amp;Calc!$H387)-SUMIFS(CalcWit,CalcBank,LEFT(UPPER(TRIM($E387)),6),CalcKey,"&lt;="&amp;Calc!$H387))</f>
        <v/>
      </c>
      <c r="O387" s="10">
        <f>IF(OR($C387="",$M387=""),"",IF($N387="","؟",IF(ROUND($M387-$N387,0)=0,"√","×")))</f>
        <v/>
      </c>
      <c r="P387" s="12" t="n"/>
    </row>
    <row r="388">
      <c r="A388" s="10">
        <f>IF($C388="","",COUNTA($C$9:$C388))</f>
        <v/>
      </c>
      <c r="B388" s="10">
        <f>IF($C388="","","TXN-"&amp;RIGHT("0000"&amp;380,4))</f>
        <v/>
      </c>
      <c r="C388" s="11" t="n"/>
      <c r="D388" s="11" t="n"/>
      <c r="E388" s="12" t="n"/>
      <c r="F388" s="10">
        <f>IF($E388="","",IFERROR(IF(VLOOKUP(LEFT(UPPER(TRIM($E388)),6),BankTbl,2,0)="","(بدون عنوان)",VLOOKUP(LEFT(UPPER(TRIM($E388)),6),BankTbl,2,0)),"بانک ناشناخته"))</f>
        <v/>
      </c>
      <c r="G388" s="11" t="n"/>
      <c r="H388" s="10">
        <f>IF($G388="","",IFERROR(VLOOKUP($G388,CustTbl,2,0),IFERROR(VLOOKUP($G388,SuppTbl,2,0),IFERROR(VLOOKUP($G388,AcctTbl,2,0),IFERROR(VLOOKUP($G388,StaffTbl,2,0),"کد ناشناخته")))))</f>
        <v/>
      </c>
      <c r="I388" s="12" t="n"/>
      <c r="J388" s="12" t="n"/>
      <c r="K388" s="13" t="n"/>
      <c r="L388" s="13" t="n"/>
      <c r="M388" s="13" t="n"/>
      <c r="N388" s="14">
        <f>IF(OR($C388="",$E388="",Calc!$H388=""),"",IFERROR(VLOOKUP(LEFT(UPPER(TRIM($E388)),6),BankTbl,3,0),0)+SUMIFS(CalcDep,CalcBank,LEFT(UPPER(TRIM($E388)),6),CalcKey,"&lt;="&amp;Calc!$H388)-SUMIFS(CalcWit,CalcBank,LEFT(UPPER(TRIM($E388)),6),CalcKey,"&lt;="&amp;Calc!$H388))</f>
        <v/>
      </c>
      <c r="O388" s="10">
        <f>IF(OR($C388="",$M388=""),"",IF($N388="","؟",IF(ROUND($M388-$N388,0)=0,"√","×")))</f>
        <v/>
      </c>
      <c r="P388" s="12" t="n"/>
    </row>
    <row r="389">
      <c r="A389" s="10">
        <f>IF($C389="","",COUNTA($C$9:$C389))</f>
        <v/>
      </c>
      <c r="B389" s="10">
        <f>IF($C389="","","TXN-"&amp;RIGHT("0000"&amp;381,4))</f>
        <v/>
      </c>
      <c r="C389" s="11" t="n"/>
      <c r="D389" s="11" t="n"/>
      <c r="E389" s="12" t="n"/>
      <c r="F389" s="10">
        <f>IF($E389="","",IFERROR(IF(VLOOKUP(LEFT(UPPER(TRIM($E389)),6),BankTbl,2,0)="","(بدون عنوان)",VLOOKUP(LEFT(UPPER(TRIM($E389)),6),BankTbl,2,0)),"بانک ناشناخته"))</f>
        <v/>
      </c>
      <c r="G389" s="11" t="n"/>
      <c r="H389" s="10">
        <f>IF($G389="","",IFERROR(VLOOKUP($G389,CustTbl,2,0),IFERROR(VLOOKUP($G389,SuppTbl,2,0),IFERROR(VLOOKUP($G389,AcctTbl,2,0),IFERROR(VLOOKUP($G389,StaffTbl,2,0),"کد ناشناخته")))))</f>
        <v/>
      </c>
      <c r="I389" s="12" t="n"/>
      <c r="J389" s="12" t="n"/>
      <c r="K389" s="13" t="n"/>
      <c r="L389" s="13" t="n"/>
      <c r="M389" s="13" t="n"/>
      <c r="N389" s="14">
        <f>IF(OR($C389="",$E389="",Calc!$H389=""),"",IFERROR(VLOOKUP(LEFT(UPPER(TRIM($E389)),6),BankTbl,3,0),0)+SUMIFS(CalcDep,CalcBank,LEFT(UPPER(TRIM($E389)),6),CalcKey,"&lt;="&amp;Calc!$H389)-SUMIFS(CalcWit,CalcBank,LEFT(UPPER(TRIM($E389)),6),CalcKey,"&lt;="&amp;Calc!$H389))</f>
        <v/>
      </c>
      <c r="O389" s="10">
        <f>IF(OR($C389="",$M389=""),"",IF($N389="","؟",IF(ROUND($M389-$N389,0)=0,"√","×")))</f>
        <v/>
      </c>
      <c r="P389" s="12" t="n"/>
    </row>
    <row r="390">
      <c r="A390" s="10">
        <f>IF($C390="","",COUNTA($C$9:$C390))</f>
        <v/>
      </c>
      <c r="B390" s="10">
        <f>IF($C390="","","TXN-"&amp;RIGHT("0000"&amp;382,4))</f>
        <v/>
      </c>
      <c r="C390" s="11" t="n"/>
      <c r="D390" s="11" t="n"/>
      <c r="E390" s="12" t="n"/>
      <c r="F390" s="10">
        <f>IF($E390="","",IFERROR(IF(VLOOKUP(LEFT(UPPER(TRIM($E390)),6),BankTbl,2,0)="","(بدون عنوان)",VLOOKUP(LEFT(UPPER(TRIM($E390)),6),BankTbl,2,0)),"بانک ناشناخته"))</f>
        <v/>
      </c>
      <c r="G390" s="11" t="n"/>
      <c r="H390" s="10">
        <f>IF($G390="","",IFERROR(VLOOKUP($G390,CustTbl,2,0),IFERROR(VLOOKUP($G390,SuppTbl,2,0),IFERROR(VLOOKUP($G390,AcctTbl,2,0),IFERROR(VLOOKUP($G390,StaffTbl,2,0),"کد ناشناخته")))))</f>
        <v/>
      </c>
      <c r="I390" s="12" t="n"/>
      <c r="J390" s="12" t="n"/>
      <c r="K390" s="13" t="n"/>
      <c r="L390" s="13" t="n"/>
      <c r="M390" s="13" t="n"/>
      <c r="N390" s="14">
        <f>IF(OR($C390="",$E390="",Calc!$H390=""),"",IFERROR(VLOOKUP(LEFT(UPPER(TRIM($E390)),6),BankTbl,3,0),0)+SUMIFS(CalcDep,CalcBank,LEFT(UPPER(TRIM($E390)),6),CalcKey,"&lt;="&amp;Calc!$H390)-SUMIFS(CalcWit,CalcBank,LEFT(UPPER(TRIM($E390)),6),CalcKey,"&lt;="&amp;Calc!$H390))</f>
        <v/>
      </c>
      <c r="O390" s="10">
        <f>IF(OR($C390="",$M390=""),"",IF($N390="","؟",IF(ROUND($M390-$N390,0)=0,"√","×")))</f>
        <v/>
      </c>
      <c r="P390" s="12" t="n"/>
    </row>
    <row r="391">
      <c r="A391" s="10">
        <f>IF($C391="","",COUNTA($C$9:$C391))</f>
        <v/>
      </c>
      <c r="B391" s="10">
        <f>IF($C391="","","TXN-"&amp;RIGHT("0000"&amp;383,4))</f>
        <v/>
      </c>
      <c r="C391" s="11" t="n"/>
      <c r="D391" s="11" t="n"/>
      <c r="E391" s="12" t="n"/>
      <c r="F391" s="10">
        <f>IF($E391="","",IFERROR(IF(VLOOKUP(LEFT(UPPER(TRIM($E391)),6),BankTbl,2,0)="","(بدون عنوان)",VLOOKUP(LEFT(UPPER(TRIM($E391)),6),BankTbl,2,0)),"بانک ناشناخته"))</f>
        <v/>
      </c>
      <c r="G391" s="11" t="n"/>
      <c r="H391" s="10">
        <f>IF($G391="","",IFERROR(VLOOKUP($G391,CustTbl,2,0),IFERROR(VLOOKUP($G391,SuppTbl,2,0),IFERROR(VLOOKUP($G391,AcctTbl,2,0),IFERROR(VLOOKUP($G391,StaffTbl,2,0),"کد ناشناخته")))))</f>
        <v/>
      </c>
      <c r="I391" s="12" t="n"/>
      <c r="J391" s="12" t="n"/>
      <c r="K391" s="13" t="n"/>
      <c r="L391" s="13" t="n"/>
      <c r="M391" s="13" t="n"/>
      <c r="N391" s="14">
        <f>IF(OR($C391="",$E391="",Calc!$H391=""),"",IFERROR(VLOOKUP(LEFT(UPPER(TRIM($E391)),6),BankTbl,3,0),0)+SUMIFS(CalcDep,CalcBank,LEFT(UPPER(TRIM($E391)),6),CalcKey,"&lt;="&amp;Calc!$H391)-SUMIFS(CalcWit,CalcBank,LEFT(UPPER(TRIM($E391)),6),CalcKey,"&lt;="&amp;Calc!$H391))</f>
        <v/>
      </c>
      <c r="O391" s="10">
        <f>IF(OR($C391="",$M391=""),"",IF($N391="","؟",IF(ROUND($M391-$N391,0)=0,"√","×")))</f>
        <v/>
      </c>
      <c r="P391" s="12" t="n"/>
    </row>
    <row r="392">
      <c r="A392" s="10">
        <f>IF($C392="","",COUNTA($C$9:$C392))</f>
        <v/>
      </c>
      <c r="B392" s="10">
        <f>IF($C392="","","TXN-"&amp;RIGHT("0000"&amp;384,4))</f>
        <v/>
      </c>
      <c r="C392" s="11" t="n"/>
      <c r="D392" s="11" t="n"/>
      <c r="E392" s="12" t="n"/>
      <c r="F392" s="10">
        <f>IF($E392="","",IFERROR(IF(VLOOKUP(LEFT(UPPER(TRIM($E392)),6),BankTbl,2,0)="","(بدون عنوان)",VLOOKUP(LEFT(UPPER(TRIM($E392)),6),BankTbl,2,0)),"بانک ناشناخته"))</f>
        <v/>
      </c>
      <c r="G392" s="11" t="n"/>
      <c r="H392" s="10">
        <f>IF($G392="","",IFERROR(VLOOKUP($G392,CustTbl,2,0),IFERROR(VLOOKUP($G392,SuppTbl,2,0),IFERROR(VLOOKUP($G392,AcctTbl,2,0),IFERROR(VLOOKUP($G392,StaffTbl,2,0),"کد ناشناخته")))))</f>
        <v/>
      </c>
      <c r="I392" s="12" t="n"/>
      <c r="J392" s="12" t="n"/>
      <c r="K392" s="13" t="n"/>
      <c r="L392" s="13" t="n"/>
      <c r="M392" s="13" t="n"/>
      <c r="N392" s="14">
        <f>IF(OR($C392="",$E392="",Calc!$H392=""),"",IFERROR(VLOOKUP(LEFT(UPPER(TRIM($E392)),6),BankTbl,3,0),0)+SUMIFS(CalcDep,CalcBank,LEFT(UPPER(TRIM($E392)),6),CalcKey,"&lt;="&amp;Calc!$H392)-SUMIFS(CalcWit,CalcBank,LEFT(UPPER(TRIM($E392)),6),CalcKey,"&lt;="&amp;Calc!$H392))</f>
        <v/>
      </c>
      <c r="O392" s="10">
        <f>IF(OR($C392="",$M392=""),"",IF($N392="","؟",IF(ROUND($M392-$N392,0)=0,"√","×")))</f>
        <v/>
      </c>
      <c r="P392" s="12" t="n"/>
    </row>
    <row r="393">
      <c r="A393" s="10">
        <f>IF($C393="","",COUNTA($C$9:$C393))</f>
        <v/>
      </c>
      <c r="B393" s="10">
        <f>IF($C393="","","TXN-"&amp;RIGHT("0000"&amp;385,4))</f>
        <v/>
      </c>
      <c r="C393" s="11" t="n"/>
      <c r="D393" s="11" t="n"/>
      <c r="E393" s="12" t="n"/>
      <c r="F393" s="10">
        <f>IF($E393="","",IFERROR(IF(VLOOKUP(LEFT(UPPER(TRIM($E393)),6),BankTbl,2,0)="","(بدون عنوان)",VLOOKUP(LEFT(UPPER(TRIM($E393)),6),BankTbl,2,0)),"بانک ناشناخته"))</f>
        <v/>
      </c>
      <c r="G393" s="11" t="n"/>
      <c r="H393" s="10">
        <f>IF($G393="","",IFERROR(VLOOKUP($G393,CustTbl,2,0),IFERROR(VLOOKUP($G393,SuppTbl,2,0),IFERROR(VLOOKUP($G393,AcctTbl,2,0),IFERROR(VLOOKUP($G393,StaffTbl,2,0),"کد ناشناخته")))))</f>
        <v/>
      </c>
      <c r="I393" s="12" t="n"/>
      <c r="J393" s="12" t="n"/>
      <c r="K393" s="13" t="n"/>
      <c r="L393" s="13" t="n"/>
      <c r="M393" s="13" t="n"/>
      <c r="N393" s="14">
        <f>IF(OR($C393="",$E393="",Calc!$H393=""),"",IFERROR(VLOOKUP(LEFT(UPPER(TRIM($E393)),6),BankTbl,3,0),0)+SUMIFS(CalcDep,CalcBank,LEFT(UPPER(TRIM($E393)),6),CalcKey,"&lt;="&amp;Calc!$H393)-SUMIFS(CalcWit,CalcBank,LEFT(UPPER(TRIM($E393)),6),CalcKey,"&lt;="&amp;Calc!$H393))</f>
        <v/>
      </c>
      <c r="O393" s="10">
        <f>IF(OR($C393="",$M393=""),"",IF($N393="","؟",IF(ROUND($M393-$N393,0)=0,"√","×")))</f>
        <v/>
      </c>
      <c r="P393" s="12" t="n"/>
    </row>
    <row r="394">
      <c r="A394" s="10">
        <f>IF($C394="","",COUNTA($C$9:$C394))</f>
        <v/>
      </c>
      <c r="B394" s="10">
        <f>IF($C394="","","TXN-"&amp;RIGHT("0000"&amp;386,4))</f>
        <v/>
      </c>
      <c r="C394" s="11" t="n"/>
      <c r="D394" s="11" t="n"/>
      <c r="E394" s="12" t="n"/>
      <c r="F394" s="10">
        <f>IF($E394="","",IFERROR(IF(VLOOKUP(LEFT(UPPER(TRIM($E394)),6),BankTbl,2,0)="","(بدون عنوان)",VLOOKUP(LEFT(UPPER(TRIM($E394)),6),BankTbl,2,0)),"بانک ناشناخته"))</f>
        <v/>
      </c>
      <c r="G394" s="11" t="n"/>
      <c r="H394" s="10">
        <f>IF($G394="","",IFERROR(VLOOKUP($G394,CustTbl,2,0),IFERROR(VLOOKUP($G394,SuppTbl,2,0),IFERROR(VLOOKUP($G394,AcctTbl,2,0),IFERROR(VLOOKUP($G394,StaffTbl,2,0),"کد ناشناخته")))))</f>
        <v/>
      </c>
      <c r="I394" s="12" t="n"/>
      <c r="J394" s="12" t="n"/>
      <c r="K394" s="13" t="n"/>
      <c r="L394" s="13" t="n"/>
      <c r="M394" s="13" t="n"/>
      <c r="N394" s="14">
        <f>IF(OR($C394="",$E394="",Calc!$H394=""),"",IFERROR(VLOOKUP(LEFT(UPPER(TRIM($E394)),6),BankTbl,3,0),0)+SUMIFS(CalcDep,CalcBank,LEFT(UPPER(TRIM($E394)),6),CalcKey,"&lt;="&amp;Calc!$H394)-SUMIFS(CalcWit,CalcBank,LEFT(UPPER(TRIM($E394)),6),CalcKey,"&lt;="&amp;Calc!$H394))</f>
        <v/>
      </c>
      <c r="O394" s="10">
        <f>IF(OR($C394="",$M394=""),"",IF($N394="","؟",IF(ROUND($M394-$N394,0)=0,"√","×")))</f>
        <v/>
      </c>
      <c r="P394" s="12" t="n"/>
    </row>
    <row r="395">
      <c r="A395" s="10">
        <f>IF($C395="","",COUNTA($C$9:$C395))</f>
        <v/>
      </c>
      <c r="B395" s="10">
        <f>IF($C395="","","TXN-"&amp;RIGHT("0000"&amp;387,4))</f>
        <v/>
      </c>
      <c r="C395" s="11" t="n"/>
      <c r="D395" s="11" t="n"/>
      <c r="E395" s="12" t="n"/>
      <c r="F395" s="10">
        <f>IF($E395="","",IFERROR(IF(VLOOKUP(LEFT(UPPER(TRIM($E395)),6),BankTbl,2,0)="","(بدون عنوان)",VLOOKUP(LEFT(UPPER(TRIM($E395)),6),BankTbl,2,0)),"بانک ناشناخته"))</f>
        <v/>
      </c>
      <c r="G395" s="11" t="n"/>
      <c r="H395" s="10">
        <f>IF($G395="","",IFERROR(VLOOKUP($G395,CustTbl,2,0),IFERROR(VLOOKUP($G395,SuppTbl,2,0),IFERROR(VLOOKUP($G395,AcctTbl,2,0),IFERROR(VLOOKUP($G395,StaffTbl,2,0),"کد ناشناخته")))))</f>
        <v/>
      </c>
      <c r="I395" s="12" t="n"/>
      <c r="J395" s="12" t="n"/>
      <c r="K395" s="13" t="n"/>
      <c r="L395" s="13" t="n"/>
      <c r="M395" s="13" t="n"/>
      <c r="N395" s="14">
        <f>IF(OR($C395="",$E395="",Calc!$H395=""),"",IFERROR(VLOOKUP(LEFT(UPPER(TRIM($E395)),6),BankTbl,3,0),0)+SUMIFS(CalcDep,CalcBank,LEFT(UPPER(TRIM($E395)),6),CalcKey,"&lt;="&amp;Calc!$H395)-SUMIFS(CalcWit,CalcBank,LEFT(UPPER(TRIM($E395)),6),CalcKey,"&lt;="&amp;Calc!$H395))</f>
        <v/>
      </c>
      <c r="O395" s="10">
        <f>IF(OR($C395="",$M395=""),"",IF($N395="","؟",IF(ROUND($M395-$N395,0)=0,"√","×")))</f>
        <v/>
      </c>
      <c r="P395" s="12" t="n"/>
    </row>
    <row r="396">
      <c r="A396" s="10">
        <f>IF($C396="","",COUNTA($C$9:$C396))</f>
        <v/>
      </c>
      <c r="B396" s="10">
        <f>IF($C396="","","TXN-"&amp;RIGHT("0000"&amp;388,4))</f>
        <v/>
      </c>
      <c r="C396" s="11" t="n"/>
      <c r="D396" s="11" t="n"/>
      <c r="E396" s="12" t="n"/>
      <c r="F396" s="10">
        <f>IF($E396="","",IFERROR(IF(VLOOKUP(LEFT(UPPER(TRIM($E396)),6),BankTbl,2,0)="","(بدون عنوان)",VLOOKUP(LEFT(UPPER(TRIM($E396)),6),BankTbl,2,0)),"بانک ناشناخته"))</f>
        <v/>
      </c>
      <c r="G396" s="11" t="n"/>
      <c r="H396" s="10">
        <f>IF($G396="","",IFERROR(VLOOKUP($G396,CustTbl,2,0),IFERROR(VLOOKUP($G396,SuppTbl,2,0),IFERROR(VLOOKUP($G396,AcctTbl,2,0),IFERROR(VLOOKUP($G396,StaffTbl,2,0),"کد ناشناخته")))))</f>
        <v/>
      </c>
      <c r="I396" s="12" t="n"/>
      <c r="J396" s="12" t="n"/>
      <c r="K396" s="13" t="n"/>
      <c r="L396" s="13" t="n"/>
      <c r="M396" s="13" t="n"/>
      <c r="N396" s="14">
        <f>IF(OR($C396="",$E396="",Calc!$H396=""),"",IFERROR(VLOOKUP(LEFT(UPPER(TRIM($E396)),6),BankTbl,3,0),0)+SUMIFS(CalcDep,CalcBank,LEFT(UPPER(TRIM($E396)),6),CalcKey,"&lt;="&amp;Calc!$H396)-SUMIFS(CalcWit,CalcBank,LEFT(UPPER(TRIM($E396)),6),CalcKey,"&lt;="&amp;Calc!$H396))</f>
        <v/>
      </c>
      <c r="O396" s="10">
        <f>IF(OR($C396="",$M396=""),"",IF($N396="","؟",IF(ROUND($M396-$N396,0)=0,"√","×")))</f>
        <v/>
      </c>
      <c r="P396" s="12" t="n"/>
    </row>
    <row r="397">
      <c r="A397" s="10">
        <f>IF($C397="","",COUNTA($C$9:$C397))</f>
        <v/>
      </c>
      <c r="B397" s="10">
        <f>IF($C397="","","TXN-"&amp;RIGHT("0000"&amp;389,4))</f>
        <v/>
      </c>
      <c r="C397" s="11" t="n"/>
      <c r="D397" s="11" t="n"/>
      <c r="E397" s="12" t="n"/>
      <c r="F397" s="10">
        <f>IF($E397="","",IFERROR(IF(VLOOKUP(LEFT(UPPER(TRIM($E397)),6),BankTbl,2,0)="","(بدون عنوان)",VLOOKUP(LEFT(UPPER(TRIM($E397)),6),BankTbl,2,0)),"بانک ناشناخته"))</f>
        <v/>
      </c>
      <c r="G397" s="11" t="n"/>
      <c r="H397" s="10">
        <f>IF($G397="","",IFERROR(VLOOKUP($G397,CustTbl,2,0),IFERROR(VLOOKUP($G397,SuppTbl,2,0),IFERROR(VLOOKUP($G397,AcctTbl,2,0),IFERROR(VLOOKUP($G397,StaffTbl,2,0),"کد ناشناخته")))))</f>
        <v/>
      </c>
      <c r="I397" s="12" t="n"/>
      <c r="J397" s="12" t="n"/>
      <c r="K397" s="13" t="n"/>
      <c r="L397" s="13" t="n"/>
      <c r="M397" s="13" t="n"/>
      <c r="N397" s="14">
        <f>IF(OR($C397="",$E397="",Calc!$H397=""),"",IFERROR(VLOOKUP(LEFT(UPPER(TRIM($E397)),6),BankTbl,3,0),0)+SUMIFS(CalcDep,CalcBank,LEFT(UPPER(TRIM($E397)),6),CalcKey,"&lt;="&amp;Calc!$H397)-SUMIFS(CalcWit,CalcBank,LEFT(UPPER(TRIM($E397)),6),CalcKey,"&lt;="&amp;Calc!$H397))</f>
        <v/>
      </c>
      <c r="O397" s="10">
        <f>IF(OR($C397="",$M397=""),"",IF($N397="","؟",IF(ROUND($M397-$N397,0)=0,"√","×")))</f>
        <v/>
      </c>
      <c r="P397" s="12" t="n"/>
    </row>
    <row r="398">
      <c r="A398" s="10">
        <f>IF($C398="","",COUNTA($C$9:$C398))</f>
        <v/>
      </c>
      <c r="B398" s="10">
        <f>IF($C398="","","TXN-"&amp;RIGHT("0000"&amp;390,4))</f>
        <v/>
      </c>
      <c r="C398" s="11" t="n"/>
      <c r="D398" s="11" t="n"/>
      <c r="E398" s="12" t="n"/>
      <c r="F398" s="10">
        <f>IF($E398="","",IFERROR(IF(VLOOKUP(LEFT(UPPER(TRIM($E398)),6),BankTbl,2,0)="","(بدون عنوان)",VLOOKUP(LEFT(UPPER(TRIM($E398)),6),BankTbl,2,0)),"بانک ناشناخته"))</f>
        <v/>
      </c>
      <c r="G398" s="11" t="n"/>
      <c r="H398" s="10">
        <f>IF($G398="","",IFERROR(VLOOKUP($G398,CustTbl,2,0),IFERROR(VLOOKUP($G398,SuppTbl,2,0),IFERROR(VLOOKUP($G398,AcctTbl,2,0),IFERROR(VLOOKUP($G398,StaffTbl,2,0),"کد ناشناخته")))))</f>
        <v/>
      </c>
      <c r="I398" s="12" t="n"/>
      <c r="J398" s="12" t="n"/>
      <c r="K398" s="13" t="n"/>
      <c r="L398" s="13" t="n"/>
      <c r="M398" s="13" t="n"/>
      <c r="N398" s="14">
        <f>IF(OR($C398="",$E398="",Calc!$H398=""),"",IFERROR(VLOOKUP(LEFT(UPPER(TRIM($E398)),6),BankTbl,3,0),0)+SUMIFS(CalcDep,CalcBank,LEFT(UPPER(TRIM($E398)),6),CalcKey,"&lt;="&amp;Calc!$H398)-SUMIFS(CalcWit,CalcBank,LEFT(UPPER(TRIM($E398)),6),CalcKey,"&lt;="&amp;Calc!$H398))</f>
        <v/>
      </c>
      <c r="O398" s="10">
        <f>IF(OR($C398="",$M398=""),"",IF($N398="","؟",IF(ROUND($M398-$N398,0)=0,"√","×")))</f>
        <v/>
      </c>
      <c r="P398" s="12" t="n"/>
    </row>
    <row r="399">
      <c r="A399" s="10">
        <f>IF($C399="","",COUNTA($C$9:$C399))</f>
        <v/>
      </c>
      <c r="B399" s="10">
        <f>IF($C399="","","TXN-"&amp;RIGHT("0000"&amp;391,4))</f>
        <v/>
      </c>
      <c r="C399" s="11" t="n"/>
      <c r="D399" s="11" t="n"/>
      <c r="E399" s="12" t="n"/>
      <c r="F399" s="10">
        <f>IF($E399="","",IFERROR(IF(VLOOKUP(LEFT(UPPER(TRIM($E399)),6),BankTbl,2,0)="","(بدون عنوان)",VLOOKUP(LEFT(UPPER(TRIM($E399)),6),BankTbl,2,0)),"بانک ناشناخته"))</f>
        <v/>
      </c>
      <c r="G399" s="11" t="n"/>
      <c r="H399" s="10">
        <f>IF($G399="","",IFERROR(VLOOKUP($G399,CustTbl,2,0),IFERROR(VLOOKUP($G399,SuppTbl,2,0),IFERROR(VLOOKUP($G399,AcctTbl,2,0),IFERROR(VLOOKUP($G399,StaffTbl,2,0),"کد ناشناخته")))))</f>
        <v/>
      </c>
      <c r="I399" s="12" t="n"/>
      <c r="J399" s="12" t="n"/>
      <c r="K399" s="13" t="n"/>
      <c r="L399" s="13" t="n"/>
      <c r="M399" s="13" t="n"/>
      <c r="N399" s="14">
        <f>IF(OR($C399="",$E399="",Calc!$H399=""),"",IFERROR(VLOOKUP(LEFT(UPPER(TRIM($E399)),6),BankTbl,3,0),0)+SUMIFS(CalcDep,CalcBank,LEFT(UPPER(TRIM($E399)),6),CalcKey,"&lt;="&amp;Calc!$H399)-SUMIFS(CalcWit,CalcBank,LEFT(UPPER(TRIM($E399)),6),CalcKey,"&lt;="&amp;Calc!$H399))</f>
        <v/>
      </c>
      <c r="O399" s="10">
        <f>IF(OR($C399="",$M399=""),"",IF($N399="","؟",IF(ROUND($M399-$N399,0)=0,"√","×")))</f>
        <v/>
      </c>
      <c r="P399" s="12" t="n"/>
    </row>
    <row r="400">
      <c r="A400" s="10">
        <f>IF($C400="","",COUNTA($C$9:$C400))</f>
        <v/>
      </c>
      <c r="B400" s="10">
        <f>IF($C400="","","TXN-"&amp;RIGHT("0000"&amp;392,4))</f>
        <v/>
      </c>
      <c r="C400" s="11" t="n"/>
      <c r="D400" s="11" t="n"/>
      <c r="E400" s="12" t="n"/>
      <c r="F400" s="10">
        <f>IF($E400="","",IFERROR(IF(VLOOKUP(LEFT(UPPER(TRIM($E400)),6),BankTbl,2,0)="","(بدون عنوان)",VLOOKUP(LEFT(UPPER(TRIM($E400)),6),BankTbl,2,0)),"بانک ناشناخته"))</f>
        <v/>
      </c>
      <c r="G400" s="11" t="n"/>
      <c r="H400" s="10">
        <f>IF($G400="","",IFERROR(VLOOKUP($G400,CustTbl,2,0),IFERROR(VLOOKUP($G400,SuppTbl,2,0),IFERROR(VLOOKUP($G400,AcctTbl,2,0),IFERROR(VLOOKUP($G400,StaffTbl,2,0),"کد ناشناخته")))))</f>
        <v/>
      </c>
      <c r="I400" s="12" t="n"/>
      <c r="J400" s="12" t="n"/>
      <c r="K400" s="13" t="n"/>
      <c r="L400" s="13" t="n"/>
      <c r="M400" s="13" t="n"/>
      <c r="N400" s="14">
        <f>IF(OR($C400="",$E400="",Calc!$H400=""),"",IFERROR(VLOOKUP(LEFT(UPPER(TRIM($E400)),6),BankTbl,3,0),0)+SUMIFS(CalcDep,CalcBank,LEFT(UPPER(TRIM($E400)),6),CalcKey,"&lt;="&amp;Calc!$H400)-SUMIFS(CalcWit,CalcBank,LEFT(UPPER(TRIM($E400)),6),CalcKey,"&lt;="&amp;Calc!$H400))</f>
        <v/>
      </c>
      <c r="O400" s="10">
        <f>IF(OR($C400="",$M400=""),"",IF($N400="","؟",IF(ROUND($M400-$N400,0)=0,"√","×")))</f>
        <v/>
      </c>
      <c r="P400" s="12" t="n"/>
    </row>
    <row r="401">
      <c r="A401" s="10">
        <f>IF($C401="","",COUNTA($C$9:$C401))</f>
        <v/>
      </c>
      <c r="B401" s="10">
        <f>IF($C401="","","TXN-"&amp;RIGHT("0000"&amp;393,4))</f>
        <v/>
      </c>
      <c r="C401" s="11" t="n"/>
      <c r="D401" s="11" t="n"/>
      <c r="E401" s="12" t="n"/>
      <c r="F401" s="10">
        <f>IF($E401="","",IFERROR(IF(VLOOKUP(LEFT(UPPER(TRIM($E401)),6),BankTbl,2,0)="","(بدون عنوان)",VLOOKUP(LEFT(UPPER(TRIM($E401)),6),BankTbl,2,0)),"بانک ناشناخته"))</f>
        <v/>
      </c>
      <c r="G401" s="11" t="n"/>
      <c r="H401" s="10">
        <f>IF($G401="","",IFERROR(VLOOKUP($G401,CustTbl,2,0),IFERROR(VLOOKUP($G401,SuppTbl,2,0),IFERROR(VLOOKUP($G401,AcctTbl,2,0),IFERROR(VLOOKUP($G401,StaffTbl,2,0),"کد ناشناخته")))))</f>
        <v/>
      </c>
      <c r="I401" s="12" t="n"/>
      <c r="J401" s="12" t="n"/>
      <c r="K401" s="13" t="n"/>
      <c r="L401" s="13" t="n"/>
      <c r="M401" s="13" t="n"/>
      <c r="N401" s="14">
        <f>IF(OR($C401="",$E401="",Calc!$H401=""),"",IFERROR(VLOOKUP(LEFT(UPPER(TRIM($E401)),6),BankTbl,3,0),0)+SUMIFS(CalcDep,CalcBank,LEFT(UPPER(TRIM($E401)),6),CalcKey,"&lt;="&amp;Calc!$H401)-SUMIFS(CalcWit,CalcBank,LEFT(UPPER(TRIM($E401)),6),CalcKey,"&lt;="&amp;Calc!$H401))</f>
        <v/>
      </c>
      <c r="O401" s="10">
        <f>IF(OR($C401="",$M401=""),"",IF($N401="","؟",IF(ROUND($M401-$N401,0)=0,"√","×")))</f>
        <v/>
      </c>
      <c r="P401" s="12" t="n"/>
    </row>
    <row r="402">
      <c r="A402" s="10">
        <f>IF($C402="","",COUNTA($C$9:$C402))</f>
        <v/>
      </c>
      <c r="B402" s="10">
        <f>IF($C402="","","TXN-"&amp;RIGHT("0000"&amp;394,4))</f>
        <v/>
      </c>
      <c r="C402" s="11" t="n"/>
      <c r="D402" s="11" t="n"/>
      <c r="E402" s="12" t="n"/>
      <c r="F402" s="10">
        <f>IF($E402="","",IFERROR(IF(VLOOKUP(LEFT(UPPER(TRIM($E402)),6),BankTbl,2,0)="","(بدون عنوان)",VLOOKUP(LEFT(UPPER(TRIM($E402)),6),BankTbl,2,0)),"بانک ناشناخته"))</f>
        <v/>
      </c>
      <c r="G402" s="11" t="n"/>
      <c r="H402" s="10">
        <f>IF($G402="","",IFERROR(VLOOKUP($G402,CustTbl,2,0),IFERROR(VLOOKUP($G402,SuppTbl,2,0),IFERROR(VLOOKUP($G402,AcctTbl,2,0),IFERROR(VLOOKUP($G402,StaffTbl,2,0),"کد ناشناخته")))))</f>
        <v/>
      </c>
      <c r="I402" s="12" t="n"/>
      <c r="J402" s="12" t="n"/>
      <c r="K402" s="13" t="n"/>
      <c r="L402" s="13" t="n"/>
      <c r="M402" s="13" t="n"/>
      <c r="N402" s="14">
        <f>IF(OR($C402="",$E402="",Calc!$H402=""),"",IFERROR(VLOOKUP(LEFT(UPPER(TRIM($E402)),6),BankTbl,3,0),0)+SUMIFS(CalcDep,CalcBank,LEFT(UPPER(TRIM($E402)),6),CalcKey,"&lt;="&amp;Calc!$H402)-SUMIFS(CalcWit,CalcBank,LEFT(UPPER(TRIM($E402)),6),CalcKey,"&lt;="&amp;Calc!$H402))</f>
        <v/>
      </c>
      <c r="O402" s="10">
        <f>IF(OR($C402="",$M402=""),"",IF($N402="","؟",IF(ROUND($M402-$N402,0)=0,"√","×")))</f>
        <v/>
      </c>
      <c r="P402" s="12" t="n"/>
    </row>
    <row r="403">
      <c r="A403" s="10">
        <f>IF($C403="","",COUNTA($C$9:$C403))</f>
        <v/>
      </c>
      <c r="B403" s="10">
        <f>IF($C403="","","TXN-"&amp;RIGHT("0000"&amp;395,4))</f>
        <v/>
      </c>
      <c r="C403" s="11" t="n"/>
      <c r="D403" s="11" t="n"/>
      <c r="E403" s="12" t="n"/>
      <c r="F403" s="10">
        <f>IF($E403="","",IFERROR(IF(VLOOKUP(LEFT(UPPER(TRIM($E403)),6),BankTbl,2,0)="","(بدون عنوان)",VLOOKUP(LEFT(UPPER(TRIM($E403)),6),BankTbl,2,0)),"بانک ناشناخته"))</f>
        <v/>
      </c>
      <c r="G403" s="11" t="n"/>
      <c r="H403" s="10">
        <f>IF($G403="","",IFERROR(VLOOKUP($G403,CustTbl,2,0),IFERROR(VLOOKUP($G403,SuppTbl,2,0),IFERROR(VLOOKUP($G403,AcctTbl,2,0),IFERROR(VLOOKUP($G403,StaffTbl,2,0),"کد ناشناخته")))))</f>
        <v/>
      </c>
      <c r="I403" s="12" t="n"/>
      <c r="J403" s="12" t="n"/>
      <c r="K403" s="13" t="n"/>
      <c r="L403" s="13" t="n"/>
      <c r="M403" s="13" t="n"/>
      <c r="N403" s="14">
        <f>IF(OR($C403="",$E403="",Calc!$H403=""),"",IFERROR(VLOOKUP(LEFT(UPPER(TRIM($E403)),6),BankTbl,3,0),0)+SUMIFS(CalcDep,CalcBank,LEFT(UPPER(TRIM($E403)),6),CalcKey,"&lt;="&amp;Calc!$H403)-SUMIFS(CalcWit,CalcBank,LEFT(UPPER(TRIM($E403)),6),CalcKey,"&lt;="&amp;Calc!$H403))</f>
        <v/>
      </c>
      <c r="O403" s="10">
        <f>IF(OR($C403="",$M403=""),"",IF($N403="","؟",IF(ROUND($M403-$N403,0)=0,"√","×")))</f>
        <v/>
      </c>
      <c r="P403" s="12" t="n"/>
    </row>
    <row r="404">
      <c r="A404" s="10">
        <f>IF($C404="","",COUNTA($C$9:$C404))</f>
        <v/>
      </c>
      <c r="B404" s="10">
        <f>IF($C404="","","TXN-"&amp;RIGHT("0000"&amp;396,4))</f>
        <v/>
      </c>
      <c r="C404" s="11" t="n"/>
      <c r="D404" s="11" t="n"/>
      <c r="E404" s="12" t="n"/>
      <c r="F404" s="10">
        <f>IF($E404="","",IFERROR(IF(VLOOKUP(LEFT(UPPER(TRIM($E404)),6),BankTbl,2,0)="","(بدون عنوان)",VLOOKUP(LEFT(UPPER(TRIM($E404)),6),BankTbl,2,0)),"بانک ناشناخته"))</f>
        <v/>
      </c>
      <c r="G404" s="11" t="n"/>
      <c r="H404" s="10">
        <f>IF($G404="","",IFERROR(VLOOKUP($G404,CustTbl,2,0),IFERROR(VLOOKUP($G404,SuppTbl,2,0),IFERROR(VLOOKUP($G404,AcctTbl,2,0),IFERROR(VLOOKUP($G404,StaffTbl,2,0),"کد ناشناخته")))))</f>
        <v/>
      </c>
      <c r="I404" s="12" t="n"/>
      <c r="J404" s="12" t="n"/>
      <c r="K404" s="13" t="n"/>
      <c r="L404" s="13" t="n"/>
      <c r="M404" s="13" t="n"/>
      <c r="N404" s="14">
        <f>IF(OR($C404="",$E404="",Calc!$H404=""),"",IFERROR(VLOOKUP(LEFT(UPPER(TRIM($E404)),6),BankTbl,3,0),0)+SUMIFS(CalcDep,CalcBank,LEFT(UPPER(TRIM($E404)),6),CalcKey,"&lt;="&amp;Calc!$H404)-SUMIFS(CalcWit,CalcBank,LEFT(UPPER(TRIM($E404)),6),CalcKey,"&lt;="&amp;Calc!$H404))</f>
        <v/>
      </c>
      <c r="O404" s="10">
        <f>IF(OR($C404="",$M404=""),"",IF($N404="","؟",IF(ROUND($M404-$N404,0)=0,"√","×")))</f>
        <v/>
      </c>
      <c r="P404" s="12" t="n"/>
    </row>
    <row r="405">
      <c r="A405" s="10">
        <f>IF($C405="","",COUNTA($C$9:$C405))</f>
        <v/>
      </c>
      <c r="B405" s="10">
        <f>IF($C405="","","TXN-"&amp;RIGHT("0000"&amp;397,4))</f>
        <v/>
      </c>
      <c r="C405" s="11" t="n"/>
      <c r="D405" s="11" t="n"/>
      <c r="E405" s="12" t="n"/>
      <c r="F405" s="10">
        <f>IF($E405="","",IFERROR(IF(VLOOKUP(LEFT(UPPER(TRIM($E405)),6),BankTbl,2,0)="","(بدون عنوان)",VLOOKUP(LEFT(UPPER(TRIM($E405)),6),BankTbl,2,0)),"بانک ناشناخته"))</f>
        <v/>
      </c>
      <c r="G405" s="11" t="n"/>
      <c r="H405" s="10">
        <f>IF($G405="","",IFERROR(VLOOKUP($G405,CustTbl,2,0),IFERROR(VLOOKUP($G405,SuppTbl,2,0),IFERROR(VLOOKUP($G405,AcctTbl,2,0),IFERROR(VLOOKUP($G405,StaffTbl,2,0),"کد ناشناخته")))))</f>
        <v/>
      </c>
      <c r="I405" s="12" t="n"/>
      <c r="J405" s="12" t="n"/>
      <c r="K405" s="13" t="n"/>
      <c r="L405" s="13" t="n"/>
      <c r="M405" s="13" t="n"/>
      <c r="N405" s="14">
        <f>IF(OR($C405="",$E405="",Calc!$H405=""),"",IFERROR(VLOOKUP(LEFT(UPPER(TRIM($E405)),6),BankTbl,3,0),0)+SUMIFS(CalcDep,CalcBank,LEFT(UPPER(TRIM($E405)),6),CalcKey,"&lt;="&amp;Calc!$H405)-SUMIFS(CalcWit,CalcBank,LEFT(UPPER(TRIM($E405)),6),CalcKey,"&lt;="&amp;Calc!$H405))</f>
        <v/>
      </c>
      <c r="O405" s="10">
        <f>IF(OR($C405="",$M405=""),"",IF($N405="","؟",IF(ROUND($M405-$N405,0)=0,"√","×")))</f>
        <v/>
      </c>
      <c r="P405" s="12" t="n"/>
    </row>
    <row r="406">
      <c r="A406" s="10">
        <f>IF($C406="","",COUNTA($C$9:$C406))</f>
        <v/>
      </c>
      <c r="B406" s="10">
        <f>IF($C406="","","TXN-"&amp;RIGHT("0000"&amp;398,4))</f>
        <v/>
      </c>
      <c r="C406" s="11" t="n"/>
      <c r="D406" s="11" t="n"/>
      <c r="E406" s="12" t="n"/>
      <c r="F406" s="10">
        <f>IF($E406="","",IFERROR(IF(VLOOKUP(LEFT(UPPER(TRIM($E406)),6),BankTbl,2,0)="","(بدون عنوان)",VLOOKUP(LEFT(UPPER(TRIM($E406)),6),BankTbl,2,0)),"بانک ناشناخته"))</f>
        <v/>
      </c>
      <c r="G406" s="11" t="n"/>
      <c r="H406" s="10">
        <f>IF($G406="","",IFERROR(VLOOKUP($G406,CustTbl,2,0),IFERROR(VLOOKUP($G406,SuppTbl,2,0),IFERROR(VLOOKUP($G406,AcctTbl,2,0),IFERROR(VLOOKUP($G406,StaffTbl,2,0),"کد ناشناخته")))))</f>
        <v/>
      </c>
      <c r="I406" s="12" t="n"/>
      <c r="J406" s="12" t="n"/>
      <c r="K406" s="13" t="n"/>
      <c r="L406" s="13" t="n"/>
      <c r="M406" s="13" t="n"/>
      <c r="N406" s="14">
        <f>IF(OR($C406="",$E406="",Calc!$H406=""),"",IFERROR(VLOOKUP(LEFT(UPPER(TRIM($E406)),6),BankTbl,3,0),0)+SUMIFS(CalcDep,CalcBank,LEFT(UPPER(TRIM($E406)),6),CalcKey,"&lt;="&amp;Calc!$H406)-SUMIFS(CalcWit,CalcBank,LEFT(UPPER(TRIM($E406)),6),CalcKey,"&lt;="&amp;Calc!$H406))</f>
        <v/>
      </c>
      <c r="O406" s="10">
        <f>IF(OR($C406="",$M406=""),"",IF($N406="","؟",IF(ROUND($M406-$N406,0)=0,"√","×")))</f>
        <v/>
      </c>
      <c r="P406" s="12" t="n"/>
    </row>
    <row r="407">
      <c r="A407" s="10">
        <f>IF($C407="","",COUNTA($C$9:$C407))</f>
        <v/>
      </c>
      <c r="B407" s="10">
        <f>IF($C407="","","TXN-"&amp;RIGHT("0000"&amp;399,4))</f>
        <v/>
      </c>
      <c r="C407" s="11" t="n"/>
      <c r="D407" s="11" t="n"/>
      <c r="E407" s="12" t="n"/>
      <c r="F407" s="10">
        <f>IF($E407="","",IFERROR(IF(VLOOKUP(LEFT(UPPER(TRIM($E407)),6),BankTbl,2,0)="","(بدون عنوان)",VLOOKUP(LEFT(UPPER(TRIM($E407)),6),BankTbl,2,0)),"بانک ناشناخته"))</f>
        <v/>
      </c>
      <c r="G407" s="11" t="n"/>
      <c r="H407" s="10">
        <f>IF($G407="","",IFERROR(VLOOKUP($G407,CustTbl,2,0),IFERROR(VLOOKUP($G407,SuppTbl,2,0),IFERROR(VLOOKUP($G407,AcctTbl,2,0),IFERROR(VLOOKUP($G407,StaffTbl,2,0),"کد ناشناخته")))))</f>
        <v/>
      </c>
      <c r="I407" s="12" t="n"/>
      <c r="J407" s="12" t="n"/>
      <c r="K407" s="13" t="n"/>
      <c r="L407" s="13" t="n"/>
      <c r="M407" s="13" t="n"/>
      <c r="N407" s="14">
        <f>IF(OR($C407="",$E407="",Calc!$H407=""),"",IFERROR(VLOOKUP(LEFT(UPPER(TRIM($E407)),6),BankTbl,3,0),0)+SUMIFS(CalcDep,CalcBank,LEFT(UPPER(TRIM($E407)),6),CalcKey,"&lt;="&amp;Calc!$H407)-SUMIFS(CalcWit,CalcBank,LEFT(UPPER(TRIM($E407)),6),CalcKey,"&lt;="&amp;Calc!$H407))</f>
        <v/>
      </c>
      <c r="O407" s="10">
        <f>IF(OR($C407="",$M407=""),"",IF($N407="","؟",IF(ROUND($M407-$N407,0)=0,"√","×")))</f>
        <v/>
      </c>
      <c r="P407" s="12" t="n"/>
    </row>
    <row r="408">
      <c r="A408" s="10">
        <f>IF($C408="","",COUNTA($C$9:$C408))</f>
        <v/>
      </c>
      <c r="B408" s="10">
        <f>IF($C408="","","TXN-"&amp;RIGHT("0000"&amp;400,4))</f>
        <v/>
      </c>
      <c r="C408" s="11" t="n"/>
      <c r="D408" s="11" t="n"/>
      <c r="E408" s="12" t="n"/>
      <c r="F408" s="10">
        <f>IF($E408="","",IFERROR(IF(VLOOKUP(LEFT(UPPER(TRIM($E408)),6),BankTbl,2,0)="","(بدون عنوان)",VLOOKUP(LEFT(UPPER(TRIM($E408)),6),BankTbl,2,0)),"بانک ناشناخته"))</f>
        <v/>
      </c>
      <c r="G408" s="11" t="n"/>
      <c r="H408" s="10">
        <f>IF($G408="","",IFERROR(VLOOKUP($G408,CustTbl,2,0),IFERROR(VLOOKUP($G408,SuppTbl,2,0),IFERROR(VLOOKUP($G408,AcctTbl,2,0),IFERROR(VLOOKUP($G408,StaffTbl,2,0),"کد ناشناخته")))))</f>
        <v/>
      </c>
      <c r="I408" s="12" t="n"/>
      <c r="J408" s="12" t="n"/>
      <c r="K408" s="13" t="n"/>
      <c r="L408" s="13" t="n"/>
      <c r="M408" s="13" t="n"/>
      <c r="N408" s="14">
        <f>IF(OR($C408="",$E408="",Calc!$H408=""),"",IFERROR(VLOOKUP(LEFT(UPPER(TRIM($E408)),6),BankTbl,3,0),0)+SUMIFS(CalcDep,CalcBank,LEFT(UPPER(TRIM($E408)),6),CalcKey,"&lt;="&amp;Calc!$H408)-SUMIFS(CalcWit,CalcBank,LEFT(UPPER(TRIM($E408)),6),CalcKey,"&lt;="&amp;Calc!$H408))</f>
        <v/>
      </c>
      <c r="O408" s="10">
        <f>IF(OR($C408="",$M408=""),"",IF($N408="","؟",IF(ROUND($M408-$N408,0)=0,"√","×")))</f>
        <v/>
      </c>
      <c r="P408" s="12" t="n"/>
    </row>
    <row r="409">
      <c r="A409" s="10">
        <f>IF($C409="","",COUNTA($C$9:$C409))</f>
        <v/>
      </c>
      <c r="B409" s="10">
        <f>IF($C409="","","TXN-"&amp;RIGHT("0000"&amp;401,4))</f>
        <v/>
      </c>
      <c r="C409" s="11" t="n"/>
      <c r="D409" s="11" t="n"/>
      <c r="E409" s="12" t="n"/>
      <c r="F409" s="10">
        <f>IF($E409="","",IFERROR(IF(VLOOKUP(LEFT(UPPER(TRIM($E409)),6),BankTbl,2,0)="","(بدون عنوان)",VLOOKUP(LEFT(UPPER(TRIM($E409)),6),BankTbl,2,0)),"بانک ناشناخته"))</f>
        <v/>
      </c>
      <c r="G409" s="11" t="n"/>
      <c r="H409" s="10">
        <f>IF($G409="","",IFERROR(VLOOKUP($G409,CustTbl,2,0),IFERROR(VLOOKUP($G409,SuppTbl,2,0),IFERROR(VLOOKUP($G409,AcctTbl,2,0),IFERROR(VLOOKUP($G409,StaffTbl,2,0),"کد ناشناخته")))))</f>
        <v/>
      </c>
      <c r="I409" s="12" t="n"/>
      <c r="J409" s="12" t="n"/>
      <c r="K409" s="13" t="n"/>
      <c r="L409" s="13" t="n"/>
      <c r="M409" s="13" t="n"/>
      <c r="N409" s="14">
        <f>IF(OR($C409="",$E409="",Calc!$H409=""),"",IFERROR(VLOOKUP(LEFT(UPPER(TRIM($E409)),6),BankTbl,3,0),0)+SUMIFS(CalcDep,CalcBank,LEFT(UPPER(TRIM($E409)),6),CalcKey,"&lt;="&amp;Calc!$H409)-SUMIFS(CalcWit,CalcBank,LEFT(UPPER(TRIM($E409)),6),CalcKey,"&lt;="&amp;Calc!$H409))</f>
        <v/>
      </c>
      <c r="O409" s="10">
        <f>IF(OR($C409="",$M409=""),"",IF($N409="","؟",IF(ROUND($M409-$N409,0)=0,"√","×")))</f>
        <v/>
      </c>
      <c r="P409" s="12" t="n"/>
    </row>
    <row r="410">
      <c r="A410" s="10">
        <f>IF($C410="","",COUNTA($C$9:$C410))</f>
        <v/>
      </c>
      <c r="B410" s="10">
        <f>IF($C410="","","TXN-"&amp;RIGHT("0000"&amp;402,4))</f>
        <v/>
      </c>
      <c r="C410" s="11" t="n"/>
      <c r="D410" s="11" t="n"/>
      <c r="E410" s="12" t="n"/>
      <c r="F410" s="10">
        <f>IF($E410="","",IFERROR(IF(VLOOKUP(LEFT(UPPER(TRIM($E410)),6),BankTbl,2,0)="","(بدون عنوان)",VLOOKUP(LEFT(UPPER(TRIM($E410)),6),BankTbl,2,0)),"بانک ناشناخته"))</f>
        <v/>
      </c>
      <c r="G410" s="11" t="n"/>
      <c r="H410" s="10">
        <f>IF($G410="","",IFERROR(VLOOKUP($G410,CustTbl,2,0),IFERROR(VLOOKUP($G410,SuppTbl,2,0),IFERROR(VLOOKUP($G410,AcctTbl,2,0),IFERROR(VLOOKUP($G410,StaffTbl,2,0),"کد ناشناخته")))))</f>
        <v/>
      </c>
      <c r="I410" s="12" t="n"/>
      <c r="J410" s="12" t="n"/>
      <c r="K410" s="13" t="n"/>
      <c r="L410" s="13" t="n"/>
      <c r="M410" s="13" t="n"/>
      <c r="N410" s="14">
        <f>IF(OR($C410="",$E410="",Calc!$H410=""),"",IFERROR(VLOOKUP(LEFT(UPPER(TRIM($E410)),6),BankTbl,3,0),0)+SUMIFS(CalcDep,CalcBank,LEFT(UPPER(TRIM($E410)),6),CalcKey,"&lt;="&amp;Calc!$H410)-SUMIFS(CalcWit,CalcBank,LEFT(UPPER(TRIM($E410)),6),CalcKey,"&lt;="&amp;Calc!$H410))</f>
        <v/>
      </c>
      <c r="O410" s="10">
        <f>IF(OR($C410="",$M410=""),"",IF($N410="","؟",IF(ROUND($M410-$N410,0)=0,"√","×")))</f>
        <v/>
      </c>
      <c r="P410" s="12" t="n"/>
    </row>
    <row r="411">
      <c r="A411" s="10">
        <f>IF($C411="","",COUNTA($C$9:$C411))</f>
        <v/>
      </c>
      <c r="B411" s="10">
        <f>IF($C411="","","TXN-"&amp;RIGHT("0000"&amp;403,4))</f>
        <v/>
      </c>
      <c r="C411" s="11" t="n"/>
      <c r="D411" s="11" t="n"/>
      <c r="E411" s="12" t="n"/>
      <c r="F411" s="10">
        <f>IF($E411="","",IFERROR(IF(VLOOKUP(LEFT(UPPER(TRIM($E411)),6),BankTbl,2,0)="","(بدون عنوان)",VLOOKUP(LEFT(UPPER(TRIM($E411)),6),BankTbl,2,0)),"بانک ناشناخته"))</f>
        <v/>
      </c>
      <c r="G411" s="11" t="n"/>
      <c r="H411" s="10">
        <f>IF($G411="","",IFERROR(VLOOKUP($G411,CustTbl,2,0),IFERROR(VLOOKUP($G411,SuppTbl,2,0),IFERROR(VLOOKUP($G411,AcctTbl,2,0),IFERROR(VLOOKUP($G411,StaffTbl,2,0),"کد ناشناخته")))))</f>
        <v/>
      </c>
      <c r="I411" s="12" t="n"/>
      <c r="J411" s="12" t="n"/>
      <c r="K411" s="13" t="n"/>
      <c r="L411" s="13" t="n"/>
      <c r="M411" s="13" t="n"/>
      <c r="N411" s="14">
        <f>IF(OR($C411="",$E411="",Calc!$H411=""),"",IFERROR(VLOOKUP(LEFT(UPPER(TRIM($E411)),6),BankTbl,3,0),0)+SUMIFS(CalcDep,CalcBank,LEFT(UPPER(TRIM($E411)),6),CalcKey,"&lt;="&amp;Calc!$H411)-SUMIFS(CalcWit,CalcBank,LEFT(UPPER(TRIM($E411)),6),CalcKey,"&lt;="&amp;Calc!$H411))</f>
        <v/>
      </c>
      <c r="O411" s="10">
        <f>IF(OR($C411="",$M411=""),"",IF($N411="","؟",IF(ROUND($M411-$N411,0)=0,"√","×")))</f>
        <v/>
      </c>
      <c r="P411" s="12" t="n"/>
    </row>
    <row r="412">
      <c r="A412" s="10">
        <f>IF($C412="","",COUNTA($C$9:$C412))</f>
        <v/>
      </c>
      <c r="B412" s="10">
        <f>IF($C412="","","TXN-"&amp;RIGHT("0000"&amp;404,4))</f>
        <v/>
      </c>
      <c r="C412" s="11" t="n"/>
      <c r="D412" s="11" t="n"/>
      <c r="E412" s="12" t="n"/>
      <c r="F412" s="10">
        <f>IF($E412="","",IFERROR(IF(VLOOKUP(LEFT(UPPER(TRIM($E412)),6),BankTbl,2,0)="","(بدون عنوان)",VLOOKUP(LEFT(UPPER(TRIM($E412)),6),BankTbl,2,0)),"بانک ناشناخته"))</f>
        <v/>
      </c>
      <c r="G412" s="11" t="n"/>
      <c r="H412" s="10">
        <f>IF($G412="","",IFERROR(VLOOKUP($G412,CustTbl,2,0),IFERROR(VLOOKUP($G412,SuppTbl,2,0),IFERROR(VLOOKUP($G412,AcctTbl,2,0),IFERROR(VLOOKUP($G412,StaffTbl,2,0),"کد ناشناخته")))))</f>
        <v/>
      </c>
      <c r="I412" s="12" t="n"/>
      <c r="J412" s="12" t="n"/>
      <c r="K412" s="13" t="n"/>
      <c r="L412" s="13" t="n"/>
      <c r="M412" s="13" t="n"/>
      <c r="N412" s="14">
        <f>IF(OR($C412="",$E412="",Calc!$H412=""),"",IFERROR(VLOOKUP(LEFT(UPPER(TRIM($E412)),6),BankTbl,3,0),0)+SUMIFS(CalcDep,CalcBank,LEFT(UPPER(TRIM($E412)),6),CalcKey,"&lt;="&amp;Calc!$H412)-SUMIFS(CalcWit,CalcBank,LEFT(UPPER(TRIM($E412)),6),CalcKey,"&lt;="&amp;Calc!$H412))</f>
        <v/>
      </c>
      <c r="O412" s="10">
        <f>IF(OR($C412="",$M412=""),"",IF($N412="","؟",IF(ROUND($M412-$N412,0)=0,"√","×")))</f>
        <v/>
      </c>
      <c r="P412" s="12" t="n"/>
    </row>
    <row r="413">
      <c r="A413" s="10">
        <f>IF($C413="","",COUNTA($C$9:$C413))</f>
        <v/>
      </c>
      <c r="B413" s="10">
        <f>IF($C413="","","TXN-"&amp;RIGHT("0000"&amp;405,4))</f>
        <v/>
      </c>
      <c r="C413" s="11" t="n"/>
      <c r="D413" s="11" t="n"/>
      <c r="E413" s="12" t="n"/>
      <c r="F413" s="10">
        <f>IF($E413="","",IFERROR(IF(VLOOKUP(LEFT(UPPER(TRIM($E413)),6),BankTbl,2,0)="","(بدون عنوان)",VLOOKUP(LEFT(UPPER(TRIM($E413)),6),BankTbl,2,0)),"بانک ناشناخته"))</f>
        <v/>
      </c>
      <c r="G413" s="11" t="n"/>
      <c r="H413" s="10">
        <f>IF($G413="","",IFERROR(VLOOKUP($G413,CustTbl,2,0),IFERROR(VLOOKUP($G413,SuppTbl,2,0),IFERROR(VLOOKUP($G413,AcctTbl,2,0),IFERROR(VLOOKUP($G413,StaffTbl,2,0),"کد ناشناخته")))))</f>
        <v/>
      </c>
      <c r="I413" s="12" t="n"/>
      <c r="J413" s="12" t="n"/>
      <c r="K413" s="13" t="n"/>
      <c r="L413" s="13" t="n"/>
      <c r="M413" s="13" t="n"/>
      <c r="N413" s="14">
        <f>IF(OR($C413="",$E413="",Calc!$H413=""),"",IFERROR(VLOOKUP(LEFT(UPPER(TRIM($E413)),6),BankTbl,3,0),0)+SUMIFS(CalcDep,CalcBank,LEFT(UPPER(TRIM($E413)),6),CalcKey,"&lt;="&amp;Calc!$H413)-SUMIFS(CalcWit,CalcBank,LEFT(UPPER(TRIM($E413)),6),CalcKey,"&lt;="&amp;Calc!$H413))</f>
        <v/>
      </c>
      <c r="O413" s="10">
        <f>IF(OR($C413="",$M413=""),"",IF($N413="","؟",IF(ROUND($M413-$N413,0)=0,"√","×")))</f>
        <v/>
      </c>
      <c r="P413" s="12" t="n"/>
    </row>
    <row r="414">
      <c r="A414" s="10">
        <f>IF($C414="","",COUNTA($C$9:$C414))</f>
        <v/>
      </c>
      <c r="B414" s="10">
        <f>IF($C414="","","TXN-"&amp;RIGHT("0000"&amp;406,4))</f>
        <v/>
      </c>
      <c r="C414" s="11" t="n"/>
      <c r="D414" s="11" t="n"/>
      <c r="E414" s="12" t="n"/>
      <c r="F414" s="10">
        <f>IF($E414="","",IFERROR(IF(VLOOKUP(LEFT(UPPER(TRIM($E414)),6),BankTbl,2,0)="","(بدون عنوان)",VLOOKUP(LEFT(UPPER(TRIM($E414)),6),BankTbl,2,0)),"بانک ناشناخته"))</f>
        <v/>
      </c>
      <c r="G414" s="11" t="n"/>
      <c r="H414" s="10">
        <f>IF($G414="","",IFERROR(VLOOKUP($G414,CustTbl,2,0),IFERROR(VLOOKUP($G414,SuppTbl,2,0),IFERROR(VLOOKUP($G414,AcctTbl,2,0),IFERROR(VLOOKUP($G414,StaffTbl,2,0),"کد ناشناخته")))))</f>
        <v/>
      </c>
      <c r="I414" s="12" t="n"/>
      <c r="J414" s="12" t="n"/>
      <c r="K414" s="13" t="n"/>
      <c r="L414" s="13" t="n"/>
      <c r="M414" s="13" t="n"/>
      <c r="N414" s="14">
        <f>IF(OR($C414="",$E414="",Calc!$H414=""),"",IFERROR(VLOOKUP(LEFT(UPPER(TRIM($E414)),6),BankTbl,3,0),0)+SUMIFS(CalcDep,CalcBank,LEFT(UPPER(TRIM($E414)),6),CalcKey,"&lt;="&amp;Calc!$H414)-SUMIFS(CalcWit,CalcBank,LEFT(UPPER(TRIM($E414)),6),CalcKey,"&lt;="&amp;Calc!$H414))</f>
        <v/>
      </c>
      <c r="O414" s="10">
        <f>IF(OR($C414="",$M414=""),"",IF($N414="","؟",IF(ROUND($M414-$N414,0)=0,"√","×")))</f>
        <v/>
      </c>
      <c r="P414" s="12" t="n"/>
    </row>
    <row r="415">
      <c r="A415" s="10">
        <f>IF($C415="","",COUNTA($C$9:$C415))</f>
        <v/>
      </c>
      <c r="B415" s="10">
        <f>IF($C415="","","TXN-"&amp;RIGHT("0000"&amp;407,4))</f>
        <v/>
      </c>
      <c r="C415" s="11" t="n"/>
      <c r="D415" s="11" t="n"/>
      <c r="E415" s="12" t="n"/>
      <c r="F415" s="10">
        <f>IF($E415="","",IFERROR(IF(VLOOKUP(LEFT(UPPER(TRIM($E415)),6),BankTbl,2,0)="","(بدون عنوان)",VLOOKUP(LEFT(UPPER(TRIM($E415)),6),BankTbl,2,0)),"بانک ناشناخته"))</f>
        <v/>
      </c>
      <c r="G415" s="11" t="n"/>
      <c r="H415" s="10">
        <f>IF($G415="","",IFERROR(VLOOKUP($G415,CustTbl,2,0),IFERROR(VLOOKUP($G415,SuppTbl,2,0),IFERROR(VLOOKUP($G415,AcctTbl,2,0),IFERROR(VLOOKUP($G415,StaffTbl,2,0),"کد ناشناخته")))))</f>
        <v/>
      </c>
      <c r="I415" s="12" t="n"/>
      <c r="J415" s="12" t="n"/>
      <c r="K415" s="13" t="n"/>
      <c r="L415" s="13" t="n"/>
      <c r="M415" s="13" t="n"/>
      <c r="N415" s="14">
        <f>IF(OR($C415="",$E415="",Calc!$H415=""),"",IFERROR(VLOOKUP(LEFT(UPPER(TRIM($E415)),6),BankTbl,3,0),0)+SUMIFS(CalcDep,CalcBank,LEFT(UPPER(TRIM($E415)),6),CalcKey,"&lt;="&amp;Calc!$H415)-SUMIFS(CalcWit,CalcBank,LEFT(UPPER(TRIM($E415)),6),CalcKey,"&lt;="&amp;Calc!$H415))</f>
        <v/>
      </c>
      <c r="O415" s="10">
        <f>IF(OR($C415="",$M415=""),"",IF($N415="","؟",IF(ROUND($M415-$N415,0)=0,"√","×")))</f>
        <v/>
      </c>
      <c r="P415" s="12" t="n"/>
    </row>
    <row r="416">
      <c r="A416" s="10">
        <f>IF($C416="","",COUNTA($C$9:$C416))</f>
        <v/>
      </c>
      <c r="B416" s="10">
        <f>IF($C416="","","TXN-"&amp;RIGHT("0000"&amp;408,4))</f>
        <v/>
      </c>
      <c r="C416" s="11" t="n"/>
      <c r="D416" s="11" t="n"/>
      <c r="E416" s="12" t="n"/>
      <c r="F416" s="10">
        <f>IF($E416="","",IFERROR(IF(VLOOKUP(LEFT(UPPER(TRIM($E416)),6),BankTbl,2,0)="","(بدون عنوان)",VLOOKUP(LEFT(UPPER(TRIM($E416)),6),BankTbl,2,0)),"بانک ناشناخته"))</f>
        <v/>
      </c>
      <c r="G416" s="11" t="n"/>
      <c r="H416" s="10">
        <f>IF($G416="","",IFERROR(VLOOKUP($G416,CustTbl,2,0),IFERROR(VLOOKUP($G416,SuppTbl,2,0),IFERROR(VLOOKUP($G416,AcctTbl,2,0),IFERROR(VLOOKUP($G416,StaffTbl,2,0),"کد ناشناخته")))))</f>
        <v/>
      </c>
      <c r="I416" s="12" t="n"/>
      <c r="J416" s="12" t="n"/>
      <c r="K416" s="13" t="n"/>
      <c r="L416" s="13" t="n"/>
      <c r="M416" s="13" t="n"/>
      <c r="N416" s="14">
        <f>IF(OR($C416="",$E416="",Calc!$H416=""),"",IFERROR(VLOOKUP(LEFT(UPPER(TRIM($E416)),6),BankTbl,3,0),0)+SUMIFS(CalcDep,CalcBank,LEFT(UPPER(TRIM($E416)),6),CalcKey,"&lt;="&amp;Calc!$H416)-SUMIFS(CalcWit,CalcBank,LEFT(UPPER(TRIM($E416)),6),CalcKey,"&lt;="&amp;Calc!$H416))</f>
        <v/>
      </c>
      <c r="O416" s="10">
        <f>IF(OR($C416="",$M416=""),"",IF($N416="","؟",IF(ROUND($M416-$N416,0)=0,"√","×")))</f>
        <v/>
      </c>
      <c r="P416" s="12" t="n"/>
    </row>
    <row r="417">
      <c r="A417" s="10">
        <f>IF($C417="","",COUNTA($C$9:$C417))</f>
        <v/>
      </c>
      <c r="B417" s="10">
        <f>IF($C417="","","TXN-"&amp;RIGHT("0000"&amp;409,4))</f>
        <v/>
      </c>
      <c r="C417" s="11" t="n"/>
      <c r="D417" s="11" t="n"/>
      <c r="E417" s="12" t="n"/>
      <c r="F417" s="10">
        <f>IF($E417="","",IFERROR(IF(VLOOKUP(LEFT(UPPER(TRIM($E417)),6),BankTbl,2,0)="","(بدون عنوان)",VLOOKUP(LEFT(UPPER(TRIM($E417)),6),BankTbl,2,0)),"بانک ناشناخته"))</f>
        <v/>
      </c>
      <c r="G417" s="11" t="n"/>
      <c r="H417" s="10">
        <f>IF($G417="","",IFERROR(VLOOKUP($G417,CustTbl,2,0),IFERROR(VLOOKUP($G417,SuppTbl,2,0),IFERROR(VLOOKUP($G417,AcctTbl,2,0),IFERROR(VLOOKUP($G417,StaffTbl,2,0),"کد ناشناخته")))))</f>
        <v/>
      </c>
      <c r="I417" s="12" t="n"/>
      <c r="J417" s="12" t="n"/>
      <c r="K417" s="13" t="n"/>
      <c r="L417" s="13" t="n"/>
      <c r="M417" s="13" t="n"/>
      <c r="N417" s="14">
        <f>IF(OR($C417="",$E417="",Calc!$H417=""),"",IFERROR(VLOOKUP(LEFT(UPPER(TRIM($E417)),6),BankTbl,3,0),0)+SUMIFS(CalcDep,CalcBank,LEFT(UPPER(TRIM($E417)),6),CalcKey,"&lt;="&amp;Calc!$H417)-SUMIFS(CalcWit,CalcBank,LEFT(UPPER(TRIM($E417)),6),CalcKey,"&lt;="&amp;Calc!$H417))</f>
        <v/>
      </c>
      <c r="O417" s="10">
        <f>IF(OR($C417="",$M417=""),"",IF($N417="","؟",IF(ROUND($M417-$N417,0)=0,"√","×")))</f>
        <v/>
      </c>
      <c r="P417" s="12" t="n"/>
    </row>
    <row r="418">
      <c r="A418" s="10">
        <f>IF($C418="","",COUNTA($C$9:$C418))</f>
        <v/>
      </c>
      <c r="B418" s="10">
        <f>IF($C418="","","TXN-"&amp;RIGHT("0000"&amp;410,4))</f>
        <v/>
      </c>
      <c r="C418" s="11" t="n"/>
      <c r="D418" s="11" t="n"/>
      <c r="E418" s="12" t="n"/>
      <c r="F418" s="10">
        <f>IF($E418="","",IFERROR(IF(VLOOKUP(LEFT(UPPER(TRIM($E418)),6),BankTbl,2,0)="","(بدون عنوان)",VLOOKUP(LEFT(UPPER(TRIM($E418)),6),BankTbl,2,0)),"بانک ناشناخته"))</f>
        <v/>
      </c>
      <c r="G418" s="11" t="n"/>
      <c r="H418" s="10">
        <f>IF($G418="","",IFERROR(VLOOKUP($G418,CustTbl,2,0),IFERROR(VLOOKUP($G418,SuppTbl,2,0),IFERROR(VLOOKUP($G418,AcctTbl,2,0),IFERROR(VLOOKUP($G418,StaffTbl,2,0),"کد ناشناخته")))))</f>
        <v/>
      </c>
      <c r="I418" s="12" t="n"/>
      <c r="J418" s="12" t="n"/>
      <c r="K418" s="13" t="n"/>
      <c r="L418" s="13" t="n"/>
      <c r="M418" s="13" t="n"/>
      <c r="N418" s="14">
        <f>IF(OR($C418="",$E418="",Calc!$H418=""),"",IFERROR(VLOOKUP(LEFT(UPPER(TRIM($E418)),6),BankTbl,3,0),0)+SUMIFS(CalcDep,CalcBank,LEFT(UPPER(TRIM($E418)),6),CalcKey,"&lt;="&amp;Calc!$H418)-SUMIFS(CalcWit,CalcBank,LEFT(UPPER(TRIM($E418)),6),CalcKey,"&lt;="&amp;Calc!$H418))</f>
        <v/>
      </c>
      <c r="O418" s="10">
        <f>IF(OR($C418="",$M418=""),"",IF($N418="","؟",IF(ROUND($M418-$N418,0)=0,"√","×")))</f>
        <v/>
      </c>
      <c r="P418" s="12" t="n"/>
    </row>
    <row r="419">
      <c r="A419" s="10">
        <f>IF($C419="","",COUNTA($C$9:$C419))</f>
        <v/>
      </c>
      <c r="B419" s="10">
        <f>IF($C419="","","TXN-"&amp;RIGHT("0000"&amp;411,4))</f>
        <v/>
      </c>
      <c r="C419" s="11" t="n"/>
      <c r="D419" s="11" t="n"/>
      <c r="E419" s="12" t="n"/>
      <c r="F419" s="10">
        <f>IF($E419="","",IFERROR(IF(VLOOKUP(LEFT(UPPER(TRIM($E419)),6),BankTbl,2,0)="","(بدون عنوان)",VLOOKUP(LEFT(UPPER(TRIM($E419)),6),BankTbl,2,0)),"بانک ناشناخته"))</f>
        <v/>
      </c>
      <c r="G419" s="11" t="n"/>
      <c r="H419" s="10">
        <f>IF($G419="","",IFERROR(VLOOKUP($G419,CustTbl,2,0),IFERROR(VLOOKUP($G419,SuppTbl,2,0),IFERROR(VLOOKUP($G419,AcctTbl,2,0),IFERROR(VLOOKUP($G419,StaffTbl,2,0),"کد ناشناخته")))))</f>
        <v/>
      </c>
      <c r="I419" s="12" t="n"/>
      <c r="J419" s="12" t="n"/>
      <c r="K419" s="13" t="n"/>
      <c r="L419" s="13" t="n"/>
      <c r="M419" s="13" t="n"/>
      <c r="N419" s="14">
        <f>IF(OR($C419="",$E419="",Calc!$H419=""),"",IFERROR(VLOOKUP(LEFT(UPPER(TRIM($E419)),6),BankTbl,3,0),0)+SUMIFS(CalcDep,CalcBank,LEFT(UPPER(TRIM($E419)),6),CalcKey,"&lt;="&amp;Calc!$H419)-SUMIFS(CalcWit,CalcBank,LEFT(UPPER(TRIM($E419)),6),CalcKey,"&lt;="&amp;Calc!$H419))</f>
        <v/>
      </c>
      <c r="O419" s="10">
        <f>IF(OR($C419="",$M419=""),"",IF($N419="","؟",IF(ROUND($M419-$N419,0)=0,"√","×")))</f>
        <v/>
      </c>
      <c r="P419" s="12" t="n"/>
    </row>
    <row r="420">
      <c r="A420" s="10">
        <f>IF($C420="","",COUNTA($C$9:$C420))</f>
        <v/>
      </c>
      <c r="B420" s="10">
        <f>IF($C420="","","TXN-"&amp;RIGHT("0000"&amp;412,4))</f>
        <v/>
      </c>
      <c r="C420" s="11" t="n"/>
      <c r="D420" s="11" t="n"/>
      <c r="E420" s="12" t="n"/>
      <c r="F420" s="10">
        <f>IF($E420="","",IFERROR(IF(VLOOKUP(LEFT(UPPER(TRIM($E420)),6),BankTbl,2,0)="","(بدون عنوان)",VLOOKUP(LEFT(UPPER(TRIM($E420)),6),BankTbl,2,0)),"بانک ناشناخته"))</f>
        <v/>
      </c>
      <c r="G420" s="11" t="n"/>
      <c r="H420" s="10">
        <f>IF($G420="","",IFERROR(VLOOKUP($G420,CustTbl,2,0),IFERROR(VLOOKUP($G420,SuppTbl,2,0),IFERROR(VLOOKUP($G420,AcctTbl,2,0),IFERROR(VLOOKUP($G420,StaffTbl,2,0),"کد ناشناخته")))))</f>
        <v/>
      </c>
      <c r="I420" s="12" t="n"/>
      <c r="J420" s="12" t="n"/>
      <c r="K420" s="13" t="n"/>
      <c r="L420" s="13" t="n"/>
      <c r="M420" s="13" t="n"/>
      <c r="N420" s="14">
        <f>IF(OR($C420="",$E420="",Calc!$H420=""),"",IFERROR(VLOOKUP(LEFT(UPPER(TRIM($E420)),6),BankTbl,3,0),0)+SUMIFS(CalcDep,CalcBank,LEFT(UPPER(TRIM($E420)),6),CalcKey,"&lt;="&amp;Calc!$H420)-SUMIFS(CalcWit,CalcBank,LEFT(UPPER(TRIM($E420)),6),CalcKey,"&lt;="&amp;Calc!$H420))</f>
        <v/>
      </c>
      <c r="O420" s="10">
        <f>IF(OR($C420="",$M420=""),"",IF($N420="","؟",IF(ROUND($M420-$N420,0)=0,"√","×")))</f>
        <v/>
      </c>
      <c r="P420" s="12" t="n"/>
    </row>
    <row r="421">
      <c r="A421" s="10">
        <f>IF($C421="","",COUNTA($C$9:$C421))</f>
        <v/>
      </c>
      <c r="B421" s="10">
        <f>IF($C421="","","TXN-"&amp;RIGHT("0000"&amp;413,4))</f>
        <v/>
      </c>
      <c r="C421" s="11" t="n"/>
      <c r="D421" s="11" t="n"/>
      <c r="E421" s="12" t="n"/>
      <c r="F421" s="10">
        <f>IF($E421="","",IFERROR(IF(VLOOKUP(LEFT(UPPER(TRIM($E421)),6),BankTbl,2,0)="","(بدون عنوان)",VLOOKUP(LEFT(UPPER(TRIM($E421)),6),BankTbl,2,0)),"بانک ناشناخته"))</f>
        <v/>
      </c>
      <c r="G421" s="11" t="n"/>
      <c r="H421" s="10">
        <f>IF($G421="","",IFERROR(VLOOKUP($G421,CustTbl,2,0),IFERROR(VLOOKUP($G421,SuppTbl,2,0),IFERROR(VLOOKUP($G421,AcctTbl,2,0),IFERROR(VLOOKUP($G421,StaffTbl,2,0),"کد ناشناخته")))))</f>
        <v/>
      </c>
      <c r="I421" s="12" t="n"/>
      <c r="J421" s="12" t="n"/>
      <c r="K421" s="13" t="n"/>
      <c r="L421" s="13" t="n"/>
      <c r="M421" s="13" t="n"/>
      <c r="N421" s="14">
        <f>IF(OR($C421="",$E421="",Calc!$H421=""),"",IFERROR(VLOOKUP(LEFT(UPPER(TRIM($E421)),6),BankTbl,3,0),0)+SUMIFS(CalcDep,CalcBank,LEFT(UPPER(TRIM($E421)),6),CalcKey,"&lt;="&amp;Calc!$H421)-SUMIFS(CalcWit,CalcBank,LEFT(UPPER(TRIM($E421)),6),CalcKey,"&lt;="&amp;Calc!$H421))</f>
        <v/>
      </c>
      <c r="O421" s="10">
        <f>IF(OR($C421="",$M421=""),"",IF($N421="","؟",IF(ROUND($M421-$N421,0)=0,"√","×")))</f>
        <v/>
      </c>
      <c r="P421" s="12" t="n"/>
    </row>
    <row r="422">
      <c r="A422" s="10">
        <f>IF($C422="","",COUNTA($C$9:$C422))</f>
        <v/>
      </c>
      <c r="B422" s="10">
        <f>IF($C422="","","TXN-"&amp;RIGHT("0000"&amp;414,4))</f>
        <v/>
      </c>
      <c r="C422" s="11" t="n"/>
      <c r="D422" s="11" t="n"/>
      <c r="E422" s="12" t="n"/>
      <c r="F422" s="10">
        <f>IF($E422="","",IFERROR(IF(VLOOKUP(LEFT(UPPER(TRIM($E422)),6),BankTbl,2,0)="","(بدون عنوان)",VLOOKUP(LEFT(UPPER(TRIM($E422)),6),BankTbl,2,0)),"بانک ناشناخته"))</f>
        <v/>
      </c>
      <c r="G422" s="11" t="n"/>
      <c r="H422" s="10">
        <f>IF($G422="","",IFERROR(VLOOKUP($G422,CustTbl,2,0),IFERROR(VLOOKUP($G422,SuppTbl,2,0),IFERROR(VLOOKUP($G422,AcctTbl,2,0),IFERROR(VLOOKUP($G422,StaffTbl,2,0),"کد ناشناخته")))))</f>
        <v/>
      </c>
      <c r="I422" s="12" t="n"/>
      <c r="J422" s="12" t="n"/>
      <c r="K422" s="13" t="n"/>
      <c r="L422" s="13" t="n"/>
      <c r="M422" s="13" t="n"/>
      <c r="N422" s="14">
        <f>IF(OR($C422="",$E422="",Calc!$H422=""),"",IFERROR(VLOOKUP(LEFT(UPPER(TRIM($E422)),6),BankTbl,3,0),0)+SUMIFS(CalcDep,CalcBank,LEFT(UPPER(TRIM($E422)),6),CalcKey,"&lt;="&amp;Calc!$H422)-SUMIFS(CalcWit,CalcBank,LEFT(UPPER(TRIM($E422)),6),CalcKey,"&lt;="&amp;Calc!$H422))</f>
        <v/>
      </c>
      <c r="O422" s="10">
        <f>IF(OR($C422="",$M422=""),"",IF($N422="","؟",IF(ROUND($M422-$N422,0)=0,"√","×")))</f>
        <v/>
      </c>
      <c r="P422" s="12" t="n"/>
    </row>
    <row r="423">
      <c r="A423" s="10">
        <f>IF($C423="","",COUNTA($C$9:$C423))</f>
        <v/>
      </c>
      <c r="B423" s="10">
        <f>IF($C423="","","TXN-"&amp;RIGHT("0000"&amp;415,4))</f>
        <v/>
      </c>
      <c r="C423" s="11" t="n"/>
      <c r="D423" s="11" t="n"/>
      <c r="E423" s="12" t="n"/>
      <c r="F423" s="10">
        <f>IF($E423="","",IFERROR(IF(VLOOKUP(LEFT(UPPER(TRIM($E423)),6),BankTbl,2,0)="","(بدون عنوان)",VLOOKUP(LEFT(UPPER(TRIM($E423)),6),BankTbl,2,0)),"بانک ناشناخته"))</f>
        <v/>
      </c>
      <c r="G423" s="11" t="n"/>
      <c r="H423" s="10">
        <f>IF($G423="","",IFERROR(VLOOKUP($G423,CustTbl,2,0),IFERROR(VLOOKUP($G423,SuppTbl,2,0),IFERROR(VLOOKUP($G423,AcctTbl,2,0),IFERROR(VLOOKUP($G423,StaffTbl,2,0),"کد ناشناخته")))))</f>
        <v/>
      </c>
      <c r="I423" s="12" t="n"/>
      <c r="J423" s="12" t="n"/>
      <c r="K423" s="13" t="n"/>
      <c r="L423" s="13" t="n"/>
      <c r="M423" s="13" t="n"/>
      <c r="N423" s="14">
        <f>IF(OR($C423="",$E423="",Calc!$H423=""),"",IFERROR(VLOOKUP(LEFT(UPPER(TRIM($E423)),6),BankTbl,3,0),0)+SUMIFS(CalcDep,CalcBank,LEFT(UPPER(TRIM($E423)),6),CalcKey,"&lt;="&amp;Calc!$H423)-SUMIFS(CalcWit,CalcBank,LEFT(UPPER(TRIM($E423)),6),CalcKey,"&lt;="&amp;Calc!$H423))</f>
        <v/>
      </c>
      <c r="O423" s="10">
        <f>IF(OR($C423="",$M423=""),"",IF($N423="","؟",IF(ROUND($M423-$N423,0)=0,"√","×")))</f>
        <v/>
      </c>
      <c r="P423" s="12" t="n"/>
    </row>
    <row r="424">
      <c r="A424" s="10">
        <f>IF($C424="","",COUNTA($C$9:$C424))</f>
        <v/>
      </c>
      <c r="B424" s="10">
        <f>IF($C424="","","TXN-"&amp;RIGHT("0000"&amp;416,4))</f>
        <v/>
      </c>
      <c r="C424" s="11" t="n"/>
      <c r="D424" s="11" t="n"/>
      <c r="E424" s="12" t="n"/>
      <c r="F424" s="10">
        <f>IF($E424="","",IFERROR(IF(VLOOKUP(LEFT(UPPER(TRIM($E424)),6),BankTbl,2,0)="","(بدون عنوان)",VLOOKUP(LEFT(UPPER(TRIM($E424)),6),BankTbl,2,0)),"بانک ناشناخته"))</f>
        <v/>
      </c>
      <c r="G424" s="11" t="n"/>
      <c r="H424" s="10">
        <f>IF($G424="","",IFERROR(VLOOKUP($G424,CustTbl,2,0),IFERROR(VLOOKUP($G424,SuppTbl,2,0),IFERROR(VLOOKUP($G424,AcctTbl,2,0),IFERROR(VLOOKUP($G424,StaffTbl,2,0),"کد ناشناخته")))))</f>
        <v/>
      </c>
      <c r="I424" s="12" t="n"/>
      <c r="J424" s="12" t="n"/>
      <c r="K424" s="13" t="n"/>
      <c r="L424" s="13" t="n"/>
      <c r="M424" s="13" t="n"/>
      <c r="N424" s="14">
        <f>IF(OR($C424="",$E424="",Calc!$H424=""),"",IFERROR(VLOOKUP(LEFT(UPPER(TRIM($E424)),6),BankTbl,3,0),0)+SUMIFS(CalcDep,CalcBank,LEFT(UPPER(TRIM($E424)),6),CalcKey,"&lt;="&amp;Calc!$H424)-SUMIFS(CalcWit,CalcBank,LEFT(UPPER(TRIM($E424)),6),CalcKey,"&lt;="&amp;Calc!$H424))</f>
        <v/>
      </c>
      <c r="O424" s="10">
        <f>IF(OR($C424="",$M424=""),"",IF($N424="","؟",IF(ROUND($M424-$N424,0)=0,"√","×")))</f>
        <v/>
      </c>
      <c r="P424" s="12" t="n"/>
    </row>
    <row r="425">
      <c r="A425" s="10">
        <f>IF($C425="","",COUNTA($C$9:$C425))</f>
        <v/>
      </c>
      <c r="B425" s="10">
        <f>IF($C425="","","TXN-"&amp;RIGHT("0000"&amp;417,4))</f>
        <v/>
      </c>
      <c r="C425" s="11" t="n"/>
      <c r="D425" s="11" t="n"/>
      <c r="E425" s="12" t="n"/>
      <c r="F425" s="10">
        <f>IF($E425="","",IFERROR(IF(VLOOKUP(LEFT(UPPER(TRIM($E425)),6),BankTbl,2,0)="","(بدون عنوان)",VLOOKUP(LEFT(UPPER(TRIM($E425)),6),BankTbl,2,0)),"بانک ناشناخته"))</f>
        <v/>
      </c>
      <c r="G425" s="11" t="n"/>
      <c r="H425" s="10">
        <f>IF($G425="","",IFERROR(VLOOKUP($G425,CustTbl,2,0),IFERROR(VLOOKUP($G425,SuppTbl,2,0),IFERROR(VLOOKUP($G425,AcctTbl,2,0),IFERROR(VLOOKUP($G425,StaffTbl,2,0),"کد ناشناخته")))))</f>
        <v/>
      </c>
      <c r="I425" s="12" t="n"/>
      <c r="J425" s="12" t="n"/>
      <c r="K425" s="13" t="n"/>
      <c r="L425" s="13" t="n"/>
      <c r="M425" s="13" t="n"/>
      <c r="N425" s="14">
        <f>IF(OR($C425="",$E425="",Calc!$H425=""),"",IFERROR(VLOOKUP(LEFT(UPPER(TRIM($E425)),6),BankTbl,3,0),0)+SUMIFS(CalcDep,CalcBank,LEFT(UPPER(TRIM($E425)),6),CalcKey,"&lt;="&amp;Calc!$H425)-SUMIFS(CalcWit,CalcBank,LEFT(UPPER(TRIM($E425)),6),CalcKey,"&lt;="&amp;Calc!$H425))</f>
        <v/>
      </c>
      <c r="O425" s="10">
        <f>IF(OR($C425="",$M425=""),"",IF($N425="","؟",IF(ROUND($M425-$N425,0)=0,"√","×")))</f>
        <v/>
      </c>
      <c r="P425" s="12" t="n"/>
    </row>
    <row r="426">
      <c r="A426" s="10">
        <f>IF($C426="","",COUNTA($C$9:$C426))</f>
        <v/>
      </c>
      <c r="B426" s="10">
        <f>IF($C426="","","TXN-"&amp;RIGHT("0000"&amp;418,4))</f>
        <v/>
      </c>
      <c r="C426" s="11" t="n"/>
      <c r="D426" s="11" t="n"/>
      <c r="E426" s="12" t="n"/>
      <c r="F426" s="10">
        <f>IF($E426="","",IFERROR(IF(VLOOKUP(LEFT(UPPER(TRIM($E426)),6),BankTbl,2,0)="","(بدون عنوان)",VLOOKUP(LEFT(UPPER(TRIM($E426)),6),BankTbl,2,0)),"بانک ناشناخته"))</f>
        <v/>
      </c>
      <c r="G426" s="11" t="n"/>
      <c r="H426" s="10">
        <f>IF($G426="","",IFERROR(VLOOKUP($G426,CustTbl,2,0),IFERROR(VLOOKUP($G426,SuppTbl,2,0),IFERROR(VLOOKUP($G426,AcctTbl,2,0),IFERROR(VLOOKUP($G426,StaffTbl,2,0),"کد ناشناخته")))))</f>
        <v/>
      </c>
      <c r="I426" s="12" t="n"/>
      <c r="J426" s="12" t="n"/>
      <c r="K426" s="13" t="n"/>
      <c r="L426" s="13" t="n"/>
      <c r="M426" s="13" t="n"/>
      <c r="N426" s="14">
        <f>IF(OR($C426="",$E426="",Calc!$H426=""),"",IFERROR(VLOOKUP(LEFT(UPPER(TRIM($E426)),6),BankTbl,3,0),0)+SUMIFS(CalcDep,CalcBank,LEFT(UPPER(TRIM($E426)),6),CalcKey,"&lt;="&amp;Calc!$H426)-SUMIFS(CalcWit,CalcBank,LEFT(UPPER(TRIM($E426)),6),CalcKey,"&lt;="&amp;Calc!$H426))</f>
        <v/>
      </c>
      <c r="O426" s="10">
        <f>IF(OR($C426="",$M426=""),"",IF($N426="","؟",IF(ROUND($M426-$N426,0)=0,"√","×")))</f>
        <v/>
      </c>
      <c r="P426" s="12" t="n"/>
    </row>
    <row r="427">
      <c r="A427" s="10">
        <f>IF($C427="","",COUNTA($C$9:$C427))</f>
        <v/>
      </c>
      <c r="B427" s="10">
        <f>IF($C427="","","TXN-"&amp;RIGHT("0000"&amp;419,4))</f>
        <v/>
      </c>
      <c r="C427" s="11" t="n"/>
      <c r="D427" s="11" t="n"/>
      <c r="E427" s="12" t="n"/>
      <c r="F427" s="10">
        <f>IF($E427="","",IFERROR(IF(VLOOKUP(LEFT(UPPER(TRIM($E427)),6),BankTbl,2,0)="","(بدون عنوان)",VLOOKUP(LEFT(UPPER(TRIM($E427)),6),BankTbl,2,0)),"بانک ناشناخته"))</f>
        <v/>
      </c>
      <c r="G427" s="11" t="n"/>
      <c r="H427" s="10">
        <f>IF($G427="","",IFERROR(VLOOKUP($G427,CustTbl,2,0),IFERROR(VLOOKUP($G427,SuppTbl,2,0),IFERROR(VLOOKUP($G427,AcctTbl,2,0),IFERROR(VLOOKUP($G427,StaffTbl,2,0),"کد ناشناخته")))))</f>
        <v/>
      </c>
      <c r="I427" s="12" t="n"/>
      <c r="J427" s="12" t="n"/>
      <c r="K427" s="13" t="n"/>
      <c r="L427" s="13" t="n"/>
      <c r="M427" s="13" t="n"/>
      <c r="N427" s="14">
        <f>IF(OR($C427="",$E427="",Calc!$H427=""),"",IFERROR(VLOOKUP(LEFT(UPPER(TRIM($E427)),6),BankTbl,3,0),0)+SUMIFS(CalcDep,CalcBank,LEFT(UPPER(TRIM($E427)),6),CalcKey,"&lt;="&amp;Calc!$H427)-SUMIFS(CalcWit,CalcBank,LEFT(UPPER(TRIM($E427)),6),CalcKey,"&lt;="&amp;Calc!$H427))</f>
        <v/>
      </c>
      <c r="O427" s="10">
        <f>IF(OR($C427="",$M427=""),"",IF($N427="","؟",IF(ROUND($M427-$N427,0)=0,"√","×")))</f>
        <v/>
      </c>
      <c r="P427" s="12" t="n"/>
    </row>
    <row r="428">
      <c r="A428" s="10">
        <f>IF($C428="","",COUNTA($C$9:$C428))</f>
        <v/>
      </c>
      <c r="B428" s="10">
        <f>IF($C428="","","TXN-"&amp;RIGHT("0000"&amp;420,4))</f>
        <v/>
      </c>
      <c r="C428" s="11" t="n"/>
      <c r="D428" s="11" t="n"/>
      <c r="E428" s="12" t="n"/>
      <c r="F428" s="10">
        <f>IF($E428="","",IFERROR(IF(VLOOKUP(LEFT(UPPER(TRIM($E428)),6),BankTbl,2,0)="","(بدون عنوان)",VLOOKUP(LEFT(UPPER(TRIM($E428)),6),BankTbl,2,0)),"بانک ناشناخته"))</f>
        <v/>
      </c>
      <c r="G428" s="11" t="n"/>
      <c r="H428" s="10">
        <f>IF($G428="","",IFERROR(VLOOKUP($G428,CustTbl,2,0),IFERROR(VLOOKUP($G428,SuppTbl,2,0),IFERROR(VLOOKUP($G428,AcctTbl,2,0),IFERROR(VLOOKUP($G428,StaffTbl,2,0),"کد ناشناخته")))))</f>
        <v/>
      </c>
      <c r="I428" s="12" t="n"/>
      <c r="J428" s="12" t="n"/>
      <c r="K428" s="13" t="n"/>
      <c r="L428" s="13" t="n"/>
      <c r="M428" s="13" t="n"/>
      <c r="N428" s="14">
        <f>IF(OR($C428="",$E428="",Calc!$H428=""),"",IFERROR(VLOOKUP(LEFT(UPPER(TRIM($E428)),6),BankTbl,3,0),0)+SUMIFS(CalcDep,CalcBank,LEFT(UPPER(TRIM($E428)),6),CalcKey,"&lt;="&amp;Calc!$H428)-SUMIFS(CalcWit,CalcBank,LEFT(UPPER(TRIM($E428)),6),CalcKey,"&lt;="&amp;Calc!$H428))</f>
        <v/>
      </c>
      <c r="O428" s="10">
        <f>IF(OR($C428="",$M428=""),"",IF($N428="","؟",IF(ROUND($M428-$N428,0)=0,"√","×")))</f>
        <v/>
      </c>
      <c r="P428" s="12" t="n"/>
    </row>
    <row r="429">
      <c r="A429" s="10">
        <f>IF($C429="","",COUNTA($C$9:$C429))</f>
        <v/>
      </c>
      <c r="B429" s="10">
        <f>IF($C429="","","TXN-"&amp;RIGHT("0000"&amp;421,4))</f>
        <v/>
      </c>
      <c r="C429" s="11" t="n"/>
      <c r="D429" s="11" t="n"/>
      <c r="E429" s="12" t="n"/>
      <c r="F429" s="10">
        <f>IF($E429="","",IFERROR(IF(VLOOKUP(LEFT(UPPER(TRIM($E429)),6),BankTbl,2,0)="","(بدون عنوان)",VLOOKUP(LEFT(UPPER(TRIM($E429)),6),BankTbl,2,0)),"بانک ناشناخته"))</f>
        <v/>
      </c>
      <c r="G429" s="11" t="n"/>
      <c r="H429" s="10">
        <f>IF($G429="","",IFERROR(VLOOKUP($G429,CustTbl,2,0),IFERROR(VLOOKUP($G429,SuppTbl,2,0),IFERROR(VLOOKUP($G429,AcctTbl,2,0),IFERROR(VLOOKUP($G429,StaffTbl,2,0),"کد ناشناخته")))))</f>
        <v/>
      </c>
      <c r="I429" s="12" t="n"/>
      <c r="J429" s="12" t="n"/>
      <c r="K429" s="13" t="n"/>
      <c r="L429" s="13" t="n"/>
      <c r="M429" s="13" t="n"/>
      <c r="N429" s="14">
        <f>IF(OR($C429="",$E429="",Calc!$H429=""),"",IFERROR(VLOOKUP(LEFT(UPPER(TRIM($E429)),6),BankTbl,3,0),0)+SUMIFS(CalcDep,CalcBank,LEFT(UPPER(TRIM($E429)),6),CalcKey,"&lt;="&amp;Calc!$H429)-SUMIFS(CalcWit,CalcBank,LEFT(UPPER(TRIM($E429)),6),CalcKey,"&lt;="&amp;Calc!$H429))</f>
        <v/>
      </c>
      <c r="O429" s="10">
        <f>IF(OR($C429="",$M429=""),"",IF($N429="","؟",IF(ROUND($M429-$N429,0)=0,"√","×")))</f>
        <v/>
      </c>
      <c r="P429" s="12" t="n"/>
    </row>
    <row r="430">
      <c r="A430" s="10">
        <f>IF($C430="","",COUNTA($C$9:$C430))</f>
        <v/>
      </c>
      <c r="B430" s="10">
        <f>IF($C430="","","TXN-"&amp;RIGHT("0000"&amp;422,4))</f>
        <v/>
      </c>
      <c r="C430" s="11" t="n"/>
      <c r="D430" s="11" t="n"/>
      <c r="E430" s="12" t="n"/>
      <c r="F430" s="10">
        <f>IF($E430="","",IFERROR(IF(VLOOKUP(LEFT(UPPER(TRIM($E430)),6),BankTbl,2,0)="","(بدون عنوان)",VLOOKUP(LEFT(UPPER(TRIM($E430)),6),BankTbl,2,0)),"بانک ناشناخته"))</f>
        <v/>
      </c>
      <c r="G430" s="11" t="n"/>
      <c r="H430" s="10">
        <f>IF($G430="","",IFERROR(VLOOKUP($G430,CustTbl,2,0),IFERROR(VLOOKUP($G430,SuppTbl,2,0),IFERROR(VLOOKUP($G430,AcctTbl,2,0),IFERROR(VLOOKUP($G430,StaffTbl,2,0),"کد ناشناخته")))))</f>
        <v/>
      </c>
      <c r="I430" s="12" t="n"/>
      <c r="J430" s="12" t="n"/>
      <c r="K430" s="13" t="n"/>
      <c r="L430" s="13" t="n"/>
      <c r="M430" s="13" t="n"/>
      <c r="N430" s="14">
        <f>IF(OR($C430="",$E430="",Calc!$H430=""),"",IFERROR(VLOOKUP(LEFT(UPPER(TRIM($E430)),6),BankTbl,3,0),0)+SUMIFS(CalcDep,CalcBank,LEFT(UPPER(TRIM($E430)),6),CalcKey,"&lt;="&amp;Calc!$H430)-SUMIFS(CalcWit,CalcBank,LEFT(UPPER(TRIM($E430)),6),CalcKey,"&lt;="&amp;Calc!$H430))</f>
        <v/>
      </c>
      <c r="O430" s="10">
        <f>IF(OR($C430="",$M430=""),"",IF($N430="","؟",IF(ROUND($M430-$N430,0)=0,"√","×")))</f>
        <v/>
      </c>
      <c r="P430" s="12" t="n"/>
    </row>
    <row r="431">
      <c r="A431" s="10">
        <f>IF($C431="","",COUNTA($C$9:$C431))</f>
        <v/>
      </c>
      <c r="B431" s="10">
        <f>IF($C431="","","TXN-"&amp;RIGHT("0000"&amp;423,4))</f>
        <v/>
      </c>
      <c r="C431" s="11" t="n"/>
      <c r="D431" s="11" t="n"/>
      <c r="E431" s="12" t="n"/>
      <c r="F431" s="10">
        <f>IF($E431="","",IFERROR(IF(VLOOKUP(LEFT(UPPER(TRIM($E431)),6),BankTbl,2,0)="","(بدون عنوان)",VLOOKUP(LEFT(UPPER(TRIM($E431)),6),BankTbl,2,0)),"بانک ناشناخته"))</f>
        <v/>
      </c>
      <c r="G431" s="11" t="n"/>
      <c r="H431" s="10">
        <f>IF($G431="","",IFERROR(VLOOKUP($G431,CustTbl,2,0),IFERROR(VLOOKUP($G431,SuppTbl,2,0),IFERROR(VLOOKUP($G431,AcctTbl,2,0),IFERROR(VLOOKUP($G431,StaffTbl,2,0),"کد ناشناخته")))))</f>
        <v/>
      </c>
      <c r="I431" s="12" t="n"/>
      <c r="J431" s="12" t="n"/>
      <c r="K431" s="13" t="n"/>
      <c r="L431" s="13" t="n"/>
      <c r="M431" s="13" t="n"/>
      <c r="N431" s="14">
        <f>IF(OR($C431="",$E431="",Calc!$H431=""),"",IFERROR(VLOOKUP(LEFT(UPPER(TRIM($E431)),6),BankTbl,3,0),0)+SUMIFS(CalcDep,CalcBank,LEFT(UPPER(TRIM($E431)),6),CalcKey,"&lt;="&amp;Calc!$H431)-SUMIFS(CalcWit,CalcBank,LEFT(UPPER(TRIM($E431)),6),CalcKey,"&lt;="&amp;Calc!$H431))</f>
        <v/>
      </c>
      <c r="O431" s="10">
        <f>IF(OR($C431="",$M431=""),"",IF($N431="","؟",IF(ROUND($M431-$N431,0)=0,"√","×")))</f>
        <v/>
      </c>
      <c r="P431" s="12" t="n"/>
    </row>
    <row r="432">
      <c r="A432" s="10">
        <f>IF($C432="","",COUNTA($C$9:$C432))</f>
        <v/>
      </c>
      <c r="B432" s="10">
        <f>IF($C432="","","TXN-"&amp;RIGHT("0000"&amp;424,4))</f>
        <v/>
      </c>
      <c r="C432" s="11" t="n"/>
      <c r="D432" s="11" t="n"/>
      <c r="E432" s="12" t="n"/>
      <c r="F432" s="10">
        <f>IF($E432="","",IFERROR(IF(VLOOKUP(LEFT(UPPER(TRIM($E432)),6),BankTbl,2,0)="","(بدون عنوان)",VLOOKUP(LEFT(UPPER(TRIM($E432)),6),BankTbl,2,0)),"بانک ناشناخته"))</f>
        <v/>
      </c>
      <c r="G432" s="11" t="n"/>
      <c r="H432" s="10">
        <f>IF($G432="","",IFERROR(VLOOKUP($G432,CustTbl,2,0),IFERROR(VLOOKUP($G432,SuppTbl,2,0),IFERROR(VLOOKUP($G432,AcctTbl,2,0),IFERROR(VLOOKUP($G432,StaffTbl,2,0),"کد ناشناخته")))))</f>
        <v/>
      </c>
      <c r="I432" s="12" t="n"/>
      <c r="J432" s="12" t="n"/>
      <c r="K432" s="13" t="n"/>
      <c r="L432" s="13" t="n"/>
      <c r="M432" s="13" t="n"/>
      <c r="N432" s="14">
        <f>IF(OR($C432="",$E432="",Calc!$H432=""),"",IFERROR(VLOOKUP(LEFT(UPPER(TRIM($E432)),6),BankTbl,3,0),0)+SUMIFS(CalcDep,CalcBank,LEFT(UPPER(TRIM($E432)),6),CalcKey,"&lt;="&amp;Calc!$H432)-SUMIFS(CalcWit,CalcBank,LEFT(UPPER(TRIM($E432)),6),CalcKey,"&lt;="&amp;Calc!$H432))</f>
        <v/>
      </c>
      <c r="O432" s="10">
        <f>IF(OR($C432="",$M432=""),"",IF($N432="","؟",IF(ROUND($M432-$N432,0)=0,"√","×")))</f>
        <v/>
      </c>
      <c r="P432" s="12" t="n"/>
    </row>
    <row r="433">
      <c r="A433" s="10">
        <f>IF($C433="","",COUNTA($C$9:$C433))</f>
        <v/>
      </c>
      <c r="B433" s="10">
        <f>IF($C433="","","TXN-"&amp;RIGHT("0000"&amp;425,4))</f>
        <v/>
      </c>
      <c r="C433" s="11" t="n"/>
      <c r="D433" s="11" t="n"/>
      <c r="E433" s="12" t="n"/>
      <c r="F433" s="10">
        <f>IF($E433="","",IFERROR(IF(VLOOKUP(LEFT(UPPER(TRIM($E433)),6),BankTbl,2,0)="","(بدون عنوان)",VLOOKUP(LEFT(UPPER(TRIM($E433)),6),BankTbl,2,0)),"بانک ناشناخته"))</f>
        <v/>
      </c>
      <c r="G433" s="11" t="n"/>
      <c r="H433" s="10">
        <f>IF($G433="","",IFERROR(VLOOKUP($G433,CustTbl,2,0),IFERROR(VLOOKUP($G433,SuppTbl,2,0),IFERROR(VLOOKUP($G433,AcctTbl,2,0),IFERROR(VLOOKUP($G433,StaffTbl,2,0),"کد ناشناخته")))))</f>
        <v/>
      </c>
      <c r="I433" s="12" t="n"/>
      <c r="J433" s="12" t="n"/>
      <c r="K433" s="13" t="n"/>
      <c r="L433" s="13" t="n"/>
      <c r="M433" s="13" t="n"/>
      <c r="N433" s="14">
        <f>IF(OR($C433="",$E433="",Calc!$H433=""),"",IFERROR(VLOOKUP(LEFT(UPPER(TRIM($E433)),6),BankTbl,3,0),0)+SUMIFS(CalcDep,CalcBank,LEFT(UPPER(TRIM($E433)),6),CalcKey,"&lt;="&amp;Calc!$H433)-SUMIFS(CalcWit,CalcBank,LEFT(UPPER(TRIM($E433)),6),CalcKey,"&lt;="&amp;Calc!$H433))</f>
        <v/>
      </c>
      <c r="O433" s="10">
        <f>IF(OR($C433="",$M433=""),"",IF($N433="","؟",IF(ROUND($M433-$N433,0)=0,"√","×")))</f>
        <v/>
      </c>
      <c r="P433" s="12" t="n"/>
    </row>
    <row r="434">
      <c r="A434" s="10">
        <f>IF($C434="","",COUNTA($C$9:$C434))</f>
        <v/>
      </c>
      <c r="B434" s="10">
        <f>IF($C434="","","TXN-"&amp;RIGHT("0000"&amp;426,4))</f>
        <v/>
      </c>
      <c r="C434" s="11" t="n"/>
      <c r="D434" s="11" t="n"/>
      <c r="E434" s="12" t="n"/>
      <c r="F434" s="10">
        <f>IF($E434="","",IFERROR(IF(VLOOKUP(LEFT(UPPER(TRIM($E434)),6),BankTbl,2,0)="","(بدون عنوان)",VLOOKUP(LEFT(UPPER(TRIM($E434)),6),BankTbl,2,0)),"بانک ناشناخته"))</f>
        <v/>
      </c>
      <c r="G434" s="11" t="n"/>
      <c r="H434" s="10">
        <f>IF($G434="","",IFERROR(VLOOKUP($G434,CustTbl,2,0),IFERROR(VLOOKUP($G434,SuppTbl,2,0),IFERROR(VLOOKUP($G434,AcctTbl,2,0),IFERROR(VLOOKUP($G434,StaffTbl,2,0),"کد ناشناخته")))))</f>
        <v/>
      </c>
      <c r="I434" s="12" t="n"/>
      <c r="J434" s="12" t="n"/>
      <c r="K434" s="13" t="n"/>
      <c r="L434" s="13" t="n"/>
      <c r="M434" s="13" t="n"/>
      <c r="N434" s="14">
        <f>IF(OR($C434="",$E434="",Calc!$H434=""),"",IFERROR(VLOOKUP(LEFT(UPPER(TRIM($E434)),6),BankTbl,3,0),0)+SUMIFS(CalcDep,CalcBank,LEFT(UPPER(TRIM($E434)),6),CalcKey,"&lt;="&amp;Calc!$H434)-SUMIFS(CalcWit,CalcBank,LEFT(UPPER(TRIM($E434)),6),CalcKey,"&lt;="&amp;Calc!$H434))</f>
        <v/>
      </c>
      <c r="O434" s="10">
        <f>IF(OR($C434="",$M434=""),"",IF($N434="","؟",IF(ROUND($M434-$N434,0)=0,"√","×")))</f>
        <v/>
      </c>
      <c r="P434" s="12" t="n"/>
    </row>
    <row r="435">
      <c r="A435" s="10">
        <f>IF($C435="","",COUNTA($C$9:$C435))</f>
        <v/>
      </c>
      <c r="B435" s="10">
        <f>IF($C435="","","TXN-"&amp;RIGHT("0000"&amp;427,4))</f>
        <v/>
      </c>
      <c r="C435" s="11" t="n"/>
      <c r="D435" s="11" t="n"/>
      <c r="E435" s="12" t="n"/>
      <c r="F435" s="10">
        <f>IF($E435="","",IFERROR(IF(VLOOKUP(LEFT(UPPER(TRIM($E435)),6),BankTbl,2,0)="","(بدون عنوان)",VLOOKUP(LEFT(UPPER(TRIM($E435)),6),BankTbl,2,0)),"بانک ناشناخته"))</f>
        <v/>
      </c>
      <c r="G435" s="11" t="n"/>
      <c r="H435" s="10">
        <f>IF($G435="","",IFERROR(VLOOKUP($G435,CustTbl,2,0),IFERROR(VLOOKUP($G435,SuppTbl,2,0),IFERROR(VLOOKUP($G435,AcctTbl,2,0),IFERROR(VLOOKUP($G435,StaffTbl,2,0),"کد ناشناخته")))))</f>
        <v/>
      </c>
      <c r="I435" s="12" t="n"/>
      <c r="J435" s="12" t="n"/>
      <c r="K435" s="13" t="n"/>
      <c r="L435" s="13" t="n"/>
      <c r="M435" s="13" t="n"/>
      <c r="N435" s="14">
        <f>IF(OR($C435="",$E435="",Calc!$H435=""),"",IFERROR(VLOOKUP(LEFT(UPPER(TRIM($E435)),6),BankTbl,3,0),0)+SUMIFS(CalcDep,CalcBank,LEFT(UPPER(TRIM($E435)),6),CalcKey,"&lt;="&amp;Calc!$H435)-SUMIFS(CalcWit,CalcBank,LEFT(UPPER(TRIM($E435)),6),CalcKey,"&lt;="&amp;Calc!$H435))</f>
        <v/>
      </c>
      <c r="O435" s="10">
        <f>IF(OR($C435="",$M435=""),"",IF($N435="","؟",IF(ROUND($M435-$N435,0)=0,"√","×")))</f>
        <v/>
      </c>
      <c r="P435" s="12" t="n"/>
    </row>
    <row r="436">
      <c r="A436" s="10">
        <f>IF($C436="","",COUNTA($C$9:$C436))</f>
        <v/>
      </c>
      <c r="B436" s="10">
        <f>IF($C436="","","TXN-"&amp;RIGHT("0000"&amp;428,4))</f>
        <v/>
      </c>
      <c r="C436" s="11" t="n"/>
      <c r="D436" s="11" t="n"/>
      <c r="E436" s="12" t="n"/>
      <c r="F436" s="10">
        <f>IF($E436="","",IFERROR(IF(VLOOKUP(LEFT(UPPER(TRIM($E436)),6),BankTbl,2,0)="","(بدون عنوان)",VLOOKUP(LEFT(UPPER(TRIM($E436)),6),BankTbl,2,0)),"بانک ناشناخته"))</f>
        <v/>
      </c>
      <c r="G436" s="11" t="n"/>
      <c r="H436" s="10">
        <f>IF($G436="","",IFERROR(VLOOKUP($G436,CustTbl,2,0),IFERROR(VLOOKUP($G436,SuppTbl,2,0),IFERROR(VLOOKUP($G436,AcctTbl,2,0),IFERROR(VLOOKUP($G436,StaffTbl,2,0),"کد ناشناخته")))))</f>
        <v/>
      </c>
      <c r="I436" s="12" t="n"/>
      <c r="J436" s="12" t="n"/>
      <c r="K436" s="13" t="n"/>
      <c r="L436" s="13" t="n"/>
      <c r="M436" s="13" t="n"/>
      <c r="N436" s="14">
        <f>IF(OR($C436="",$E436="",Calc!$H436=""),"",IFERROR(VLOOKUP(LEFT(UPPER(TRIM($E436)),6),BankTbl,3,0),0)+SUMIFS(CalcDep,CalcBank,LEFT(UPPER(TRIM($E436)),6),CalcKey,"&lt;="&amp;Calc!$H436)-SUMIFS(CalcWit,CalcBank,LEFT(UPPER(TRIM($E436)),6),CalcKey,"&lt;="&amp;Calc!$H436))</f>
        <v/>
      </c>
      <c r="O436" s="10">
        <f>IF(OR($C436="",$M436=""),"",IF($N436="","؟",IF(ROUND($M436-$N436,0)=0,"√","×")))</f>
        <v/>
      </c>
      <c r="P436" s="12" t="n"/>
    </row>
    <row r="437">
      <c r="A437" s="10">
        <f>IF($C437="","",COUNTA($C$9:$C437))</f>
        <v/>
      </c>
      <c r="B437" s="10">
        <f>IF($C437="","","TXN-"&amp;RIGHT("0000"&amp;429,4))</f>
        <v/>
      </c>
      <c r="C437" s="11" t="n"/>
      <c r="D437" s="11" t="n"/>
      <c r="E437" s="12" t="n"/>
      <c r="F437" s="10">
        <f>IF($E437="","",IFERROR(IF(VLOOKUP(LEFT(UPPER(TRIM($E437)),6),BankTbl,2,0)="","(بدون عنوان)",VLOOKUP(LEFT(UPPER(TRIM($E437)),6),BankTbl,2,0)),"بانک ناشناخته"))</f>
        <v/>
      </c>
      <c r="G437" s="11" t="n"/>
      <c r="H437" s="10">
        <f>IF($G437="","",IFERROR(VLOOKUP($G437,CustTbl,2,0),IFERROR(VLOOKUP($G437,SuppTbl,2,0),IFERROR(VLOOKUP($G437,AcctTbl,2,0),IFERROR(VLOOKUP($G437,StaffTbl,2,0),"کد ناشناخته")))))</f>
        <v/>
      </c>
      <c r="I437" s="12" t="n"/>
      <c r="J437" s="12" t="n"/>
      <c r="K437" s="13" t="n"/>
      <c r="L437" s="13" t="n"/>
      <c r="M437" s="13" t="n"/>
      <c r="N437" s="14">
        <f>IF(OR($C437="",$E437="",Calc!$H437=""),"",IFERROR(VLOOKUP(LEFT(UPPER(TRIM($E437)),6),BankTbl,3,0),0)+SUMIFS(CalcDep,CalcBank,LEFT(UPPER(TRIM($E437)),6),CalcKey,"&lt;="&amp;Calc!$H437)-SUMIFS(CalcWit,CalcBank,LEFT(UPPER(TRIM($E437)),6),CalcKey,"&lt;="&amp;Calc!$H437))</f>
        <v/>
      </c>
      <c r="O437" s="10">
        <f>IF(OR($C437="",$M437=""),"",IF($N437="","؟",IF(ROUND($M437-$N437,0)=0,"√","×")))</f>
        <v/>
      </c>
      <c r="P437" s="12" t="n"/>
    </row>
    <row r="438">
      <c r="A438" s="10">
        <f>IF($C438="","",COUNTA($C$9:$C438))</f>
        <v/>
      </c>
      <c r="B438" s="10">
        <f>IF($C438="","","TXN-"&amp;RIGHT("0000"&amp;430,4))</f>
        <v/>
      </c>
      <c r="C438" s="11" t="n"/>
      <c r="D438" s="11" t="n"/>
      <c r="E438" s="12" t="n"/>
      <c r="F438" s="10">
        <f>IF($E438="","",IFERROR(IF(VLOOKUP(LEFT(UPPER(TRIM($E438)),6),BankTbl,2,0)="","(بدون عنوان)",VLOOKUP(LEFT(UPPER(TRIM($E438)),6),BankTbl,2,0)),"بانک ناشناخته"))</f>
        <v/>
      </c>
      <c r="G438" s="11" t="n"/>
      <c r="H438" s="10">
        <f>IF($G438="","",IFERROR(VLOOKUP($G438,CustTbl,2,0),IFERROR(VLOOKUP($G438,SuppTbl,2,0),IFERROR(VLOOKUP($G438,AcctTbl,2,0),IFERROR(VLOOKUP($G438,StaffTbl,2,0),"کد ناشناخته")))))</f>
        <v/>
      </c>
      <c r="I438" s="12" t="n"/>
      <c r="J438" s="12" t="n"/>
      <c r="K438" s="13" t="n"/>
      <c r="L438" s="13" t="n"/>
      <c r="M438" s="13" t="n"/>
      <c r="N438" s="14">
        <f>IF(OR($C438="",$E438="",Calc!$H438=""),"",IFERROR(VLOOKUP(LEFT(UPPER(TRIM($E438)),6),BankTbl,3,0),0)+SUMIFS(CalcDep,CalcBank,LEFT(UPPER(TRIM($E438)),6),CalcKey,"&lt;="&amp;Calc!$H438)-SUMIFS(CalcWit,CalcBank,LEFT(UPPER(TRIM($E438)),6),CalcKey,"&lt;="&amp;Calc!$H438))</f>
        <v/>
      </c>
      <c r="O438" s="10">
        <f>IF(OR($C438="",$M438=""),"",IF($N438="","؟",IF(ROUND($M438-$N438,0)=0,"√","×")))</f>
        <v/>
      </c>
      <c r="P438" s="12" t="n"/>
    </row>
    <row r="439">
      <c r="A439" s="10">
        <f>IF($C439="","",COUNTA($C$9:$C439))</f>
        <v/>
      </c>
      <c r="B439" s="10">
        <f>IF($C439="","","TXN-"&amp;RIGHT("0000"&amp;431,4))</f>
        <v/>
      </c>
      <c r="C439" s="11" t="n"/>
      <c r="D439" s="11" t="n"/>
      <c r="E439" s="12" t="n"/>
      <c r="F439" s="10">
        <f>IF($E439="","",IFERROR(IF(VLOOKUP(LEFT(UPPER(TRIM($E439)),6),BankTbl,2,0)="","(بدون عنوان)",VLOOKUP(LEFT(UPPER(TRIM($E439)),6),BankTbl,2,0)),"بانک ناشناخته"))</f>
        <v/>
      </c>
      <c r="G439" s="11" t="n"/>
      <c r="H439" s="10">
        <f>IF($G439="","",IFERROR(VLOOKUP($G439,CustTbl,2,0),IFERROR(VLOOKUP($G439,SuppTbl,2,0),IFERROR(VLOOKUP($G439,AcctTbl,2,0),IFERROR(VLOOKUP($G439,StaffTbl,2,0),"کد ناشناخته")))))</f>
        <v/>
      </c>
      <c r="I439" s="12" t="n"/>
      <c r="J439" s="12" t="n"/>
      <c r="K439" s="13" t="n"/>
      <c r="L439" s="13" t="n"/>
      <c r="M439" s="13" t="n"/>
      <c r="N439" s="14">
        <f>IF(OR($C439="",$E439="",Calc!$H439=""),"",IFERROR(VLOOKUP(LEFT(UPPER(TRIM($E439)),6),BankTbl,3,0),0)+SUMIFS(CalcDep,CalcBank,LEFT(UPPER(TRIM($E439)),6),CalcKey,"&lt;="&amp;Calc!$H439)-SUMIFS(CalcWit,CalcBank,LEFT(UPPER(TRIM($E439)),6),CalcKey,"&lt;="&amp;Calc!$H439))</f>
        <v/>
      </c>
      <c r="O439" s="10">
        <f>IF(OR($C439="",$M439=""),"",IF($N439="","؟",IF(ROUND($M439-$N439,0)=0,"√","×")))</f>
        <v/>
      </c>
      <c r="P439" s="12" t="n"/>
    </row>
    <row r="440">
      <c r="A440" s="10">
        <f>IF($C440="","",COUNTA($C$9:$C440))</f>
        <v/>
      </c>
      <c r="B440" s="10">
        <f>IF($C440="","","TXN-"&amp;RIGHT("0000"&amp;432,4))</f>
        <v/>
      </c>
      <c r="C440" s="11" t="n"/>
      <c r="D440" s="11" t="n"/>
      <c r="E440" s="12" t="n"/>
      <c r="F440" s="10">
        <f>IF($E440="","",IFERROR(IF(VLOOKUP(LEFT(UPPER(TRIM($E440)),6),BankTbl,2,0)="","(بدون عنوان)",VLOOKUP(LEFT(UPPER(TRIM($E440)),6),BankTbl,2,0)),"بانک ناشناخته"))</f>
        <v/>
      </c>
      <c r="G440" s="11" t="n"/>
      <c r="H440" s="10">
        <f>IF($G440="","",IFERROR(VLOOKUP($G440,CustTbl,2,0),IFERROR(VLOOKUP($G440,SuppTbl,2,0),IFERROR(VLOOKUP($G440,AcctTbl,2,0),IFERROR(VLOOKUP($G440,StaffTbl,2,0),"کد ناشناخته")))))</f>
        <v/>
      </c>
      <c r="I440" s="12" t="n"/>
      <c r="J440" s="12" t="n"/>
      <c r="K440" s="13" t="n"/>
      <c r="L440" s="13" t="n"/>
      <c r="M440" s="13" t="n"/>
      <c r="N440" s="14">
        <f>IF(OR($C440="",$E440="",Calc!$H440=""),"",IFERROR(VLOOKUP(LEFT(UPPER(TRIM($E440)),6),BankTbl,3,0),0)+SUMIFS(CalcDep,CalcBank,LEFT(UPPER(TRIM($E440)),6),CalcKey,"&lt;="&amp;Calc!$H440)-SUMIFS(CalcWit,CalcBank,LEFT(UPPER(TRIM($E440)),6),CalcKey,"&lt;="&amp;Calc!$H440))</f>
        <v/>
      </c>
      <c r="O440" s="10">
        <f>IF(OR($C440="",$M440=""),"",IF($N440="","؟",IF(ROUND($M440-$N440,0)=0,"√","×")))</f>
        <v/>
      </c>
      <c r="P440" s="12" t="n"/>
    </row>
    <row r="441">
      <c r="A441" s="10">
        <f>IF($C441="","",COUNTA($C$9:$C441))</f>
        <v/>
      </c>
      <c r="B441" s="10">
        <f>IF($C441="","","TXN-"&amp;RIGHT("0000"&amp;433,4))</f>
        <v/>
      </c>
      <c r="C441" s="11" t="n"/>
      <c r="D441" s="11" t="n"/>
      <c r="E441" s="12" t="n"/>
      <c r="F441" s="10">
        <f>IF($E441="","",IFERROR(IF(VLOOKUP(LEFT(UPPER(TRIM($E441)),6),BankTbl,2,0)="","(بدون عنوان)",VLOOKUP(LEFT(UPPER(TRIM($E441)),6),BankTbl,2,0)),"بانک ناشناخته"))</f>
        <v/>
      </c>
      <c r="G441" s="11" t="n"/>
      <c r="H441" s="10">
        <f>IF($G441="","",IFERROR(VLOOKUP($G441,CustTbl,2,0),IFERROR(VLOOKUP($G441,SuppTbl,2,0),IFERROR(VLOOKUP($G441,AcctTbl,2,0),IFERROR(VLOOKUP($G441,StaffTbl,2,0),"کد ناشناخته")))))</f>
        <v/>
      </c>
      <c r="I441" s="12" t="n"/>
      <c r="J441" s="12" t="n"/>
      <c r="K441" s="13" t="n"/>
      <c r="L441" s="13" t="n"/>
      <c r="M441" s="13" t="n"/>
      <c r="N441" s="14">
        <f>IF(OR($C441="",$E441="",Calc!$H441=""),"",IFERROR(VLOOKUP(LEFT(UPPER(TRIM($E441)),6),BankTbl,3,0),0)+SUMIFS(CalcDep,CalcBank,LEFT(UPPER(TRIM($E441)),6),CalcKey,"&lt;="&amp;Calc!$H441)-SUMIFS(CalcWit,CalcBank,LEFT(UPPER(TRIM($E441)),6),CalcKey,"&lt;="&amp;Calc!$H441))</f>
        <v/>
      </c>
      <c r="O441" s="10">
        <f>IF(OR($C441="",$M441=""),"",IF($N441="","؟",IF(ROUND($M441-$N441,0)=0,"√","×")))</f>
        <v/>
      </c>
      <c r="P441" s="12" t="n"/>
    </row>
    <row r="442">
      <c r="A442" s="10">
        <f>IF($C442="","",COUNTA($C$9:$C442))</f>
        <v/>
      </c>
      <c r="B442" s="10">
        <f>IF($C442="","","TXN-"&amp;RIGHT("0000"&amp;434,4))</f>
        <v/>
      </c>
      <c r="C442" s="11" t="n"/>
      <c r="D442" s="11" t="n"/>
      <c r="E442" s="12" t="n"/>
      <c r="F442" s="10">
        <f>IF($E442="","",IFERROR(IF(VLOOKUP(LEFT(UPPER(TRIM($E442)),6),BankTbl,2,0)="","(بدون عنوان)",VLOOKUP(LEFT(UPPER(TRIM($E442)),6),BankTbl,2,0)),"بانک ناشناخته"))</f>
        <v/>
      </c>
      <c r="G442" s="11" t="n"/>
      <c r="H442" s="10">
        <f>IF($G442="","",IFERROR(VLOOKUP($G442,CustTbl,2,0),IFERROR(VLOOKUP($G442,SuppTbl,2,0),IFERROR(VLOOKUP($G442,AcctTbl,2,0),IFERROR(VLOOKUP($G442,StaffTbl,2,0),"کد ناشناخته")))))</f>
        <v/>
      </c>
      <c r="I442" s="12" t="n"/>
      <c r="J442" s="12" t="n"/>
      <c r="K442" s="13" t="n"/>
      <c r="L442" s="13" t="n"/>
      <c r="M442" s="13" t="n"/>
      <c r="N442" s="14">
        <f>IF(OR($C442="",$E442="",Calc!$H442=""),"",IFERROR(VLOOKUP(LEFT(UPPER(TRIM($E442)),6),BankTbl,3,0),0)+SUMIFS(CalcDep,CalcBank,LEFT(UPPER(TRIM($E442)),6),CalcKey,"&lt;="&amp;Calc!$H442)-SUMIFS(CalcWit,CalcBank,LEFT(UPPER(TRIM($E442)),6),CalcKey,"&lt;="&amp;Calc!$H442))</f>
        <v/>
      </c>
      <c r="O442" s="10">
        <f>IF(OR($C442="",$M442=""),"",IF($N442="","؟",IF(ROUND($M442-$N442,0)=0,"√","×")))</f>
        <v/>
      </c>
      <c r="P442" s="12" t="n"/>
    </row>
    <row r="443">
      <c r="A443" s="10">
        <f>IF($C443="","",COUNTA($C$9:$C443))</f>
        <v/>
      </c>
      <c r="B443" s="10">
        <f>IF($C443="","","TXN-"&amp;RIGHT("0000"&amp;435,4))</f>
        <v/>
      </c>
      <c r="C443" s="11" t="n"/>
      <c r="D443" s="11" t="n"/>
      <c r="E443" s="12" t="n"/>
      <c r="F443" s="10">
        <f>IF($E443="","",IFERROR(IF(VLOOKUP(LEFT(UPPER(TRIM($E443)),6),BankTbl,2,0)="","(بدون عنوان)",VLOOKUP(LEFT(UPPER(TRIM($E443)),6),BankTbl,2,0)),"بانک ناشناخته"))</f>
        <v/>
      </c>
      <c r="G443" s="11" t="n"/>
      <c r="H443" s="10">
        <f>IF($G443="","",IFERROR(VLOOKUP($G443,CustTbl,2,0),IFERROR(VLOOKUP($G443,SuppTbl,2,0),IFERROR(VLOOKUP($G443,AcctTbl,2,0),IFERROR(VLOOKUP($G443,StaffTbl,2,0),"کد ناشناخته")))))</f>
        <v/>
      </c>
      <c r="I443" s="12" t="n"/>
      <c r="J443" s="12" t="n"/>
      <c r="K443" s="13" t="n"/>
      <c r="L443" s="13" t="n"/>
      <c r="M443" s="13" t="n"/>
      <c r="N443" s="14">
        <f>IF(OR($C443="",$E443="",Calc!$H443=""),"",IFERROR(VLOOKUP(LEFT(UPPER(TRIM($E443)),6),BankTbl,3,0),0)+SUMIFS(CalcDep,CalcBank,LEFT(UPPER(TRIM($E443)),6),CalcKey,"&lt;="&amp;Calc!$H443)-SUMIFS(CalcWit,CalcBank,LEFT(UPPER(TRIM($E443)),6),CalcKey,"&lt;="&amp;Calc!$H443))</f>
        <v/>
      </c>
      <c r="O443" s="10">
        <f>IF(OR($C443="",$M443=""),"",IF($N443="","؟",IF(ROUND($M443-$N443,0)=0,"√","×")))</f>
        <v/>
      </c>
      <c r="P443" s="12" t="n"/>
    </row>
    <row r="444">
      <c r="A444" s="10">
        <f>IF($C444="","",COUNTA($C$9:$C444))</f>
        <v/>
      </c>
      <c r="B444" s="10">
        <f>IF($C444="","","TXN-"&amp;RIGHT("0000"&amp;436,4))</f>
        <v/>
      </c>
      <c r="C444" s="11" t="n"/>
      <c r="D444" s="11" t="n"/>
      <c r="E444" s="12" t="n"/>
      <c r="F444" s="10">
        <f>IF($E444="","",IFERROR(IF(VLOOKUP(LEFT(UPPER(TRIM($E444)),6),BankTbl,2,0)="","(بدون عنوان)",VLOOKUP(LEFT(UPPER(TRIM($E444)),6),BankTbl,2,0)),"بانک ناشناخته"))</f>
        <v/>
      </c>
      <c r="G444" s="11" t="n"/>
      <c r="H444" s="10">
        <f>IF($G444="","",IFERROR(VLOOKUP($G444,CustTbl,2,0),IFERROR(VLOOKUP($G444,SuppTbl,2,0),IFERROR(VLOOKUP($G444,AcctTbl,2,0),IFERROR(VLOOKUP($G444,StaffTbl,2,0),"کد ناشناخته")))))</f>
        <v/>
      </c>
      <c r="I444" s="12" t="n"/>
      <c r="J444" s="12" t="n"/>
      <c r="K444" s="13" t="n"/>
      <c r="L444" s="13" t="n"/>
      <c r="M444" s="13" t="n"/>
      <c r="N444" s="14">
        <f>IF(OR($C444="",$E444="",Calc!$H444=""),"",IFERROR(VLOOKUP(LEFT(UPPER(TRIM($E444)),6),BankTbl,3,0),0)+SUMIFS(CalcDep,CalcBank,LEFT(UPPER(TRIM($E444)),6),CalcKey,"&lt;="&amp;Calc!$H444)-SUMIFS(CalcWit,CalcBank,LEFT(UPPER(TRIM($E444)),6),CalcKey,"&lt;="&amp;Calc!$H444))</f>
        <v/>
      </c>
      <c r="O444" s="10">
        <f>IF(OR($C444="",$M444=""),"",IF($N444="","؟",IF(ROUND($M444-$N444,0)=0,"√","×")))</f>
        <v/>
      </c>
      <c r="P444" s="12" t="n"/>
    </row>
    <row r="445">
      <c r="A445" s="10">
        <f>IF($C445="","",COUNTA($C$9:$C445))</f>
        <v/>
      </c>
      <c r="B445" s="10">
        <f>IF($C445="","","TXN-"&amp;RIGHT("0000"&amp;437,4))</f>
        <v/>
      </c>
      <c r="C445" s="11" t="n"/>
      <c r="D445" s="11" t="n"/>
      <c r="E445" s="12" t="n"/>
      <c r="F445" s="10">
        <f>IF($E445="","",IFERROR(IF(VLOOKUP(LEFT(UPPER(TRIM($E445)),6),BankTbl,2,0)="","(بدون عنوان)",VLOOKUP(LEFT(UPPER(TRIM($E445)),6),BankTbl,2,0)),"بانک ناشناخته"))</f>
        <v/>
      </c>
      <c r="G445" s="11" t="n"/>
      <c r="H445" s="10">
        <f>IF($G445="","",IFERROR(VLOOKUP($G445,CustTbl,2,0),IFERROR(VLOOKUP($G445,SuppTbl,2,0),IFERROR(VLOOKUP($G445,AcctTbl,2,0),IFERROR(VLOOKUP($G445,StaffTbl,2,0),"کد ناشناخته")))))</f>
        <v/>
      </c>
      <c r="I445" s="12" t="n"/>
      <c r="J445" s="12" t="n"/>
      <c r="K445" s="13" t="n"/>
      <c r="L445" s="13" t="n"/>
      <c r="M445" s="13" t="n"/>
      <c r="N445" s="14">
        <f>IF(OR($C445="",$E445="",Calc!$H445=""),"",IFERROR(VLOOKUP(LEFT(UPPER(TRIM($E445)),6),BankTbl,3,0),0)+SUMIFS(CalcDep,CalcBank,LEFT(UPPER(TRIM($E445)),6),CalcKey,"&lt;="&amp;Calc!$H445)-SUMIFS(CalcWit,CalcBank,LEFT(UPPER(TRIM($E445)),6),CalcKey,"&lt;="&amp;Calc!$H445))</f>
        <v/>
      </c>
      <c r="O445" s="10">
        <f>IF(OR($C445="",$M445=""),"",IF($N445="","؟",IF(ROUND($M445-$N445,0)=0,"√","×")))</f>
        <v/>
      </c>
      <c r="P445" s="12" t="n"/>
    </row>
    <row r="446">
      <c r="A446" s="10">
        <f>IF($C446="","",COUNTA($C$9:$C446))</f>
        <v/>
      </c>
      <c r="B446" s="10">
        <f>IF($C446="","","TXN-"&amp;RIGHT("0000"&amp;438,4))</f>
        <v/>
      </c>
      <c r="C446" s="11" t="n"/>
      <c r="D446" s="11" t="n"/>
      <c r="E446" s="12" t="n"/>
      <c r="F446" s="10">
        <f>IF($E446="","",IFERROR(IF(VLOOKUP(LEFT(UPPER(TRIM($E446)),6),BankTbl,2,0)="","(بدون عنوان)",VLOOKUP(LEFT(UPPER(TRIM($E446)),6),BankTbl,2,0)),"بانک ناشناخته"))</f>
        <v/>
      </c>
      <c r="G446" s="11" t="n"/>
      <c r="H446" s="10">
        <f>IF($G446="","",IFERROR(VLOOKUP($G446,CustTbl,2,0),IFERROR(VLOOKUP($G446,SuppTbl,2,0),IFERROR(VLOOKUP($G446,AcctTbl,2,0),IFERROR(VLOOKUP($G446,StaffTbl,2,0),"کد ناشناخته")))))</f>
        <v/>
      </c>
      <c r="I446" s="12" t="n"/>
      <c r="J446" s="12" t="n"/>
      <c r="K446" s="13" t="n"/>
      <c r="L446" s="13" t="n"/>
      <c r="M446" s="13" t="n"/>
      <c r="N446" s="14">
        <f>IF(OR($C446="",$E446="",Calc!$H446=""),"",IFERROR(VLOOKUP(LEFT(UPPER(TRIM($E446)),6),BankTbl,3,0),0)+SUMIFS(CalcDep,CalcBank,LEFT(UPPER(TRIM($E446)),6),CalcKey,"&lt;="&amp;Calc!$H446)-SUMIFS(CalcWit,CalcBank,LEFT(UPPER(TRIM($E446)),6),CalcKey,"&lt;="&amp;Calc!$H446))</f>
        <v/>
      </c>
      <c r="O446" s="10">
        <f>IF(OR($C446="",$M446=""),"",IF($N446="","؟",IF(ROUND($M446-$N446,0)=0,"√","×")))</f>
        <v/>
      </c>
      <c r="P446" s="12" t="n"/>
    </row>
    <row r="447">
      <c r="A447" s="10">
        <f>IF($C447="","",COUNTA($C$9:$C447))</f>
        <v/>
      </c>
      <c r="B447" s="10">
        <f>IF($C447="","","TXN-"&amp;RIGHT("0000"&amp;439,4))</f>
        <v/>
      </c>
      <c r="C447" s="11" t="n"/>
      <c r="D447" s="11" t="n"/>
      <c r="E447" s="12" t="n"/>
      <c r="F447" s="10">
        <f>IF($E447="","",IFERROR(IF(VLOOKUP(LEFT(UPPER(TRIM($E447)),6),BankTbl,2,0)="","(بدون عنوان)",VLOOKUP(LEFT(UPPER(TRIM($E447)),6),BankTbl,2,0)),"بانک ناشناخته"))</f>
        <v/>
      </c>
      <c r="G447" s="11" t="n"/>
      <c r="H447" s="10">
        <f>IF($G447="","",IFERROR(VLOOKUP($G447,CustTbl,2,0),IFERROR(VLOOKUP($G447,SuppTbl,2,0),IFERROR(VLOOKUP($G447,AcctTbl,2,0),IFERROR(VLOOKUP($G447,StaffTbl,2,0),"کد ناشناخته")))))</f>
        <v/>
      </c>
      <c r="I447" s="12" t="n"/>
      <c r="J447" s="12" t="n"/>
      <c r="K447" s="13" t="n"/>
      <c r="L447" s="13" t="n"/>
      <c r="M447" s="13" t="n"/>
      <c r="N447" s="14">
        <f>IF(OR($C447="",$E447="",Calc!$H447=""),"",IFERROR(VLOOKUP(LEFT(UPPER(TRIM($E447)),6),BankTbl,3,0),0)+SUMIFS(CalcDep,CalcBank,LEFT(UPPER(TRIM($E447)),6),CalcKey,"&lt;="&amp;Calc!$H447)-SUMIFS(CalcWit,CalcBank,LEFT(UPPER(TRIM($E447)),6),CalcKey,"&lt;="&amp;Calc!$H447))</f>
        <v/>
      </c>
      <c r="O447" s="10">
        <f>IF(OR($C447="",$M447=""),"",IF($N447="","؟",IF(ROUND($M447-$N447,0)=0,"√","×")))</f>
        <v/>
      </c>
      <c r="P447" s="12" t="n"/>
    </row>
    <row r="448">
      <c r="A448" s="10">
        <f>IF($C448="","",COUNTA($C$9:$C448))</f>
        <v/>
      </c>
      <c r="B448" s="10">
        <f>IF($C448="","","TXN-"&amp;RIGHT("0000"&amp;440,4))</f>
        <v/>
      </c>
      <c r="C448" s="11" t="n"/>
      <c r="D448" s="11" t="n"/>
      <c r="E448" s="12" t="n"/>
      <c r="F448" s="10">
        <f>IF($E448="","",IFERROR(IF(VLOOKUP(LEFT(UPPER(TRIM($E448)),6),BankTbl,2,0)="","(بدون عنوان)",VLOOKUP(LEFT(UPPER(TRIM($E448)),6),BankTbl,2,0)),"بانک ناشناخته"))</f>
        <v/>
      </c>
      <c r="G448" s="11" t="n"/>
      <c r="H448" s="10">
        <f>IF($G448="","",IFERROR(VLOOKUP($G448,CustTbl,2,0),IFERROR(VLOOKUP($G448,SuppTbl,2,0),IFERROR(VLOOKUP($G448,AcctTbl,2,0),IFERROR(VLOOKUP($G448,StaffTbl,2,0),"کد ناشناخته")))))</f>
        <v/>
      </c>
      <c r="I448" s="12" t="n"/>
      <c r="J448" s="12" t="n"/>
      <c r="K448" s="13" t="n"/>
      <c r="L448" s="13" t="n"/>
      <c r="M448" s="13" t="n"/>
      <c r="N448" s="14">
        <f>IF(OR($C448="",$E448="",Calc!$H448=""),"",IFERROR(VLOOKUP(LEFT(UPPER(TRIM($E448)),6),BankTbl,3,0),0)+SUMIFS(CalcDep,CalcBank,LEFT(UPPER(TRIM($E448)),6),CalcKey,"&lt;="&amp;Calc!$H448)-SUMIFS(CalcWit,CalcBank,LEFT(UPPER(TRIM($E448)),6),CalcKey,"&lt;="&amp;Calc!$H448))</f>
        <v/>
      </c>
      <c r="O448" s="10">
        <f>IF(OR($C448="",$M448=""),"",IF($N448="","؟",IF(ROUND($M448-$N448,0)=0,"√","×")))</f>
        <v/>
      </c>
      <c r="P448" s="12" t="n"/>
    </row>
    <row r="449">
      <c r="A449" s="10">
        <f>IF($C449="","",COUNTA($C$9:$C449))</f>
        <v/>
      </c>
      <c r="B449" s="10">
        <f>IF($C449="","","TXN-"&amp;RIGHT("0000"&amp;441,4))</f>
        <v/>
      </c>
      <c r="C449" s="11" t="n"/>
      <c r="D449" s="11" t="n"/>
      <c r="E449" s="12" t="n"/>
      <c r="F449" s="10">
        <f>IF($E449="","",IFERROR(IF(VLOOKUP(LEFT(UPPER(TRIM($E449)),6),BankTbl,2,0)="","(بدون عنوان)",VLOOKUP(LEFT(UPPER(TRIM($E449)),6),BankTbl,2,0)),"بانک ناشناخته"))</f>
        <v/>
      </c>
      <c r="G449" s="11" t="n"/>
      <c r="H449" s="10">
        <f>IF($G449="","",IFERROR(VLOOKUP($G449,CustTbl,2,0),IFERROR(VLOOKUP($G449,SuppTbl,2,0),IFERROR(VLOOKUP($G449,AcctTbl,2,0),IFERROR(VLOOKUP($G449,StaffTbl,2,0),"کد ناشناخته")))))</f>
        <v/>
      </c>
      <c r="I449" s="12" t="n"/>
      <c r="J449" s="12" t="n"/>
      <c r="K449" s="13" t="n"/>
      <c r="L449" s="13" t="n"/>
      <c r="M449" s="13" t="n"/>
      <c r="N449" s="14">
        <f>IF(OR($C449="",$E449="",Calc!$H449=""),"",IFERROR(VLOOKUP(LEFT(UPPER(TRIM($E449)),6),BankTbl,3,0),0)+SUMIFS(CalcDep,CalcBank,LEFT(UPPER(TRIM($E449)),6),CalcKey,"&lt;="&amp;Calc!$H449)-SUMIFS(CalcWit,CalcBank,LEFT(UPPER(TRIM($E449)),6),CalcKey,"&lt;="&amp;Calc!$H449))</f>
        <v/>
      </c>
      <c r="O449" s="10">
        <f>IF(OR($C449="",$M449=""),"",IF($N449="","؟",IF(ROUND($M449-$N449,0)=0,"√","×")))</f>
        <v/>
      </c>
      <c r="P449" s="12" t="n"/>
    </row>
    <row r="450">
      <c r="A450" s="10">
        <f>IF($C450="","",COUNTA($C$9:$C450))</f>
        <v/>
      </c>
      <c r="B450" s="10">
        <f>IF($C450="","","TXN-"&amp;RIGHT("0000"&amp;442,4))</f>
        <v/>
      </c>
      <c r="C450" s="11" t="n"/>
      <c r="D450" s="11" t="n"/>
      <c r="E450" s="12" t="n"/>
      <c r="F450" s="10">
        <f>IF($E450="","",IFERROR(IF(VLOOKUP(LEFT(UPPER(TRIM($E450)),6),BankTbl,2,0)="","(بدون عنوان)",VLOOKUP(LEFT(UPPER(TRIM($E450)),6),BankTbl,2,0)),"بانک ناشناخته"))</f>
        <v/>
      </c>
      <c r="G450" s="11" t="n"/>
      <c r="H450" s="10">
        <f>IF($G450="","",IFERROR(VLOOKUP($G450,CustTbl,2,0),IFERROR(VLOOKUP($G450,SuppTbl,2,0),IFERROR(VLOOKUP($G450,AcctTbl,2,0),IFERROR(VLOOKUP($G450,StaffTbl,2,0),"کد ناشناخته")))))</f>
        <v/>
      </c>
      <c r="I450" s="12" t="n"/>
      <c r="J450" s="12" t="n"/>
      <c r="K450" s="13" t="n"/>
      <c r="L450" s="13" t="n"/>
      <c r="M450" s="13" t="n"/>
      <c r="N450" s="14">
        <f>IF(OR($C450="",$E450="",Calc!$H450=""),"",IFERROR(VLOOKUP(LEFT(UPPER(TRIM($E450)),6),BankTbl,3,0),0)+SUMIFS(CalcDep,CalcBank,LEFT(UPPER(TRIM($E450)),6),CalcKey,"&lt;="&amp;Calc!$H450)-SUMIFS(CalcWit,CalcBank,LEFT(UPPER(TRIM($E450)),6),CalcKey,"&lt;="&amp;Calc!$H450))</f>
        <v/>
      </c>
      <c r="O450" s="10">
        <f>IF(OR($C450="",$M450=""),"",IF($N450="","؟",IF(ROUND($M450-$N450,0)=0,"√","×")))</f>
        <v/>
      </c>
      <c r="P450" s="12" t="n"/>
    </row>
    <row r="451">
      <c r="A451" s="10">
        <f>IF($C451="","",COUNTA($C$9:$C451))</f>
        <v/>
      </c>
      <c r="B451" s="10">
        <f>IF($C451="","","TXN-"&amp;RIGHT("0000"&amp;443,4))</f>
        <v/>
      </c>
      <c r="C451" s="11" t="n"/>
      <c r="D451" s="11" t="n"/>
      <c r="E451" s="12" t="n"/>
      <c r="F451" s="10">
        <f>IF($E451="","",IFERROR(IF(VLOOKUP(LEFT(UPPER(TRIM($E451)),6),BankTbl,2,0)="","(بدون عنوان)",VLOOKUP(LEFT(UPPER(TRIM($E451)),6),BankTbl,2,0)),"بانک ناشناخته"))</f>
        <v/>
      </c>
      <c r="G451" s="11" t="n"/>
      <c r="H451" s="10">
        <f>IF($G451="","",IFERROR(VLOOKUP($G451,CustTbl,2,0),IFERROR(VLOOKUP($G451,SuppTbl,2,0),IFERROR(VLOOKUP($G451,AcctTbl,2,0),IFERROR(VLOOKUP($G451,StaffTbl,2,0),"کد ناشناخته")))))</f>
        <v/>
      </c>
      <c r="I451" s="12" t="n"/>
      <c r="J451" s="12" t="n"/>
      <c r="K451" s="13" t="n"/>
      <c r="L451" s="13" t="n"/>
      <c r="M451" s="13" t="n"/>
      <c r="N451" s="14">
        <f>IF(OR($C451="",$E451="",Calc!$H451=""),"",IFERROR(VLOOKUP(LEFT(UPPER(TRIM($E451)),6),BankTbl,3,0),0)+SUMIFS(CalcDep,CalcBank,LEFT(UPPER(TRIM($E451)),6),CalcKey,"&lt;="&amp;Calc!$H451)-SUMIFS(CalcWit,CalcBank,LEFT(UPPER(TRIM($E451)),6),CalcKey,"&lt;="&amp;Calc!$H451))</f>
        <v/>
      </c>
      <c r="O451" s="10">
        <f>IF(OR($C451="",$M451=""),"",IF($N451="","؟",IF(ROUND($M451-$N451,0)=0,"√","×")))</f>
        <v/>
      </c>
      <c r="P451" s="12" t="n"/>
    </row>
    <row r="452">
      <c r="A452" s="10">
        <f>IF($C452="","",COUNTA($C$9:$C452))</f>
        <v/>
      </c>
      <c r="B452" s="10">
        <f>IF($C452="","","TXN-"&amp;RIGHT("0000"&amp;444,4))</f>
        <v/>
      </c>
      <c r="C452" s="11" t="n"/>
      <c r="D452" s="11" t="n"/>
      <c r="E452" s="12" t="n"/>
      <c r="F452" s="10">
        <f>IF($E452="","",IFERROR(IF(VLOOKUP(LEFT(UPPER(TRIM($E452)),6),BankTbl,2,0)="","(بدون عنوان)",VLOOKUP(LEFT(UPPER(TRIM($E452)),6),BankTbl,2,0)),"بانک ناشناخته"))</f>
        <v/>
      </c>
      <c r="G452" s="11" t="n"/>
      <c r="H452" s="10">
        <f>IF($G452="","",IFERROR(VLOOKUP($G452,CustTbl,2,0),IFERROR(VLOOKUP($G452,SuppTbl,2,0),IFERROR(VLOOKUP($G452,AcctTbl,2,0),IFERROR(VLOOKUP($G452,StaffTbl,2,0),"کد ناشناخته")))))</f>
        <v/>
      </c>
      <c r="I452" s="12" t="n"/>
      <c r="J452" s="12" t="n"/>
      <c r="K452" s="13" t="n"/>
      <c r="L452" s="13" t="n"/>
      <c r="M452" s="13" t="n"/>
      <c r="N452" s="14">
        <f>IF(OR($C452="",$E452="",Calc!$H452=""),"",IFERROR(VLOOKUP(LEFT(UPPER(TRIM($E452)),6),BankTbl,3,0),0)+SUMIFS(CalcDep,CalcBank,LEFT(UPPER(TRIM($E452)),6),CalcKey,"&lt;="&amp;Calc!$H452)-SUMIFS(CalcWit,CalcBank,LEFT(UPPER(TRIM($E452)),6),CalcKey,"&lt;="&amp;Calc!$H452))</f>
        <v/>
      </c>
      <c r="O452" s="10">
        <f>IF(OR($C452="",$M452=""),"",IF($N452="","؟",IF(ROUND($M452-$N452,0)=0,"√","×")))</f>
        <v/>
      </c>
      <c r="P452" s="12" t="n"/>
    </row>
    <row r="453">
      <c r="A453" s="10">
        <f>IF($C453="","",COUNTA($C$9:$C453))</f>
        <v/>
      </c>
      <c r="B453" s="10">
        <f>IF($C453="","","TXN-"&amp;RIGHT("0000"&amp;445,4))</f>
        <v/>
      </c>
      <c r="C453" s="11" t="n"/>
      <c r="D453" s="11" t="n"/>
      <c r="E453" s="12" t="n"/>
      <c r="F453" s="10">
        <f>IF($E453="","",IFERROR(IF(VLOOKUP(LEFT(UPPER(TRIM($E453)),6),BankTbl,2,0)="","(بدون عنوان)",VLOOKUP(LEFT(UPPER(TRIM($E453)),6),BankTbl,2,0)),"بانک ناشناخته"))</f>
        <v/>
      </c>
      <c r="G453" s="11" t="n"/>
      <c r="H453" s="10">
        <f>IF($G453="","",IFERROR(VLOOKUP($G453,CustTbl,2,0),IFERROR(VLOOKUP($G453,SuppTbl,2,0),IFERROR(VLOOKUP($G453,AcctTbl,2,0),IFERROR(VLOOKUP($G453,StaffTbl,2,0),"کد ناشناخته")))))</f>
        <v/>
      </c>
      <c r="I453" s="12" t="n"/>
      <c r="J453" s="12" t="n"/>
      <c r="K453" s="13" t="n"/>
      <c r="L453" s="13" t="n"/>
      <c r="M453" s="13" t="n"/>
      <c r="N453" s="14">
        <f>IF(OR($C453="",$E453="",Calc!$H453=""),"",IFERROR(VLOOKUP(LEFT(UPPER(TRIM($E453)),6),BankTbl,3,0),0)+SUMIFS(CalcDep,CalcBank,LEFT(UPPER(TRIM($E453)),6),CalcKey,"&lt;="&amp;Calc!$H453)-SUMIFS(CalcWit,CalcBank,LEFT(UPPER(TRIM($E453)),6),CalcKey,"&lt;="&amp;Calc!$H453))</f>
        <v/>
      </c>
      <c r="O453" s="10">
        <f>IF(OR($C453="",$M453=""),"",IF($N453="","؟",IF(ROUND($M453-$N453,0)=0,"√","×")))</f>
        <v/>
      </c>
      <c r="P453" s="12" t="n"/>
    </row>
    <row r="454">
      <c r="A454" s="10">
        <f>IF($C454="","",COUNTA($C$9:$C454))</f>
        <v/>
      </c>
      <c r="B454" s="10">
        <f>IF($C454="","","TXN-"&amp;RIGHT("0000"&amp;446,4))</f>
        <v/>
      </c>
      <c r="C454" s="11" t="n"/>
      <c r="D454" s="11" t="n"/>
      <c r="E454" s="12" t="n"/>
      <c r="F454" s="10">
        <f>IF($E454="","",IFERROR(IF(VLOOKUP(LEFT(UPPER(TRIM($E454)),6),BankTbl,2,0)="","(بدون عنوان)",VLOOKUP(LEFT(UPPER(TRIM($E454)),6),BankTbl,2,0)),"بانک ناشناخته"))</f>
        <v/>
      </c>
      <c r="G454" s="11" t="n"/>
      <c r="H454" s="10">
        <f>IF($G454="","",IFERROR(VLOOKUP($G454,CustTbl,2,0),IFERROR(VLOOKUP($G454,SuppTbl,2,0),IFERROR(VLOOKUP($G454,AcctTbl,2,0),IFERROR(VLOOKUP($G454,StaffTbl,2,0),"کد ناشناخته")))))</f>
        <v/>
      </c>
      <c r="I454" s="12" t="n"/>
      <c r="J454" s="12" t="n"/>
      <c r="K454" s="13" t="n"/>
      <c r="L454" s="13" t="n"/>
      <c r="M454" s="13" t="n"/>
      <c r="N454" s="14">
        <f>IF(OR($C454="",$E454="",Calc!$H454=""),"",IFERROR(VLOOKUP(LEFT(UPPER(TRIM($E454)),6),BankTbl,3,0),0)+SUMIFS(CalcDep,CalcBank,LEFT(UPPER(TRIM($E454)),6),CalcKey,"&lt;="&amp;Calc!$H454)-SUMIFS(CalcWit,CalcBank,LEFT(UPPER(TRIM($E454)),6),CalcKey,"&lt;="&amp;Calc!$H454))</f>
        <v/>
      </c>
      <c r="O454" s="10">
        <f>IF(OR($C454="",$M454=""),"",IF($N454="","؟",IF(ROUND($M454-$N454,0)=0,"√","×")))</f>
        <v/>
      </c>
      <c r="P454" s="12" t="n"/>
    </row>
    <row r="455">
      <c r="A455" s="10">
        <f>IF($C455="","",COUNTA($C$9:$C455))</f>
        <v/>
      </c>
      <c r="B455" s="10">
        <f>IF($C455="","","TXN-"&amp;RIGHT("0000"&amp;447,4))</f>
        <v/>
      </c>
      <c r="C455" s="11" t="n"/>
      <c r="D455" s="11" t="n"/>
      <c r="E455" s="12" t="n"/>
      <c r="F455" s="10">
        <f>IF($E455="","",IFERROR(IF(VLOOKUP(LEFT(UPPER(TRIM($E455)),6),BankTbl,2,0)="","(بدون عنوان)",VLOOKUP(LEFT(UPPER(TRIM($E455)),6),BankTbl,2,0)),"بانک ناشناخته"))</f>
        <v/>
      </c>
      <c r="G455" s="11" t="n"/>
      <c r="H455" s="10">
        <f>IF($G455="","",IFERROR(VLOOKUP($G455,CustTbl,2,0),IFERROR(VLOOKUP($G455,SuppTbl,2,0),IFERROR(VLOOKUP($G455,AcctTbl,2,0),IFERROR(VLOOKUP($G455,StaffTbl,2,0),"کد ناشناخته")))))</f>
        <v/>
      </c>
      <c r="I455" s="12" t="n"/>
      <c r="J455" s="12" t="n"/>
      <c r="K455" s="13" t="n"/>
      <c r="L455" s="13" t="n"/>
      <c r="M455" s="13" t="n"/>
      <c r="N455" s="14">
        <f>IF(OR($C455="",$E455="",Calc!$H455=""),"",IFERROR(VLOOKUP(LEFT(UPPER(TRIM($E455)),6),BankTbl,3,0),0)+SUMIFS(CalcDep,CalcBank,LEFT(UPPER(TRIM($E455)),6),CalcKey,"&lt;="&amp;Calc!$H455)-SUMIFS(CalcWit,CalcBank,LEFT(UPPER(TRIM($E455)),6),CalcKey,"&lt;="&amp;Calc!$H455))</f>
        <v/>
      </c>
      <c r="O455" s="10">
        <f>IF(OR($C455="",$M455=""),"",IF($N455="","؟",IF(ROUND($M455-$N455,0)=0,"√","×")))</f>
        <v/>
      </c>
      <c r="P455" s="12" t="n"/>
    </row>
    <row r="456">
      <c r="A456" s="10">
        <f>IF($C456="","",COUNTA($C$9:$C456))</f>
        <v/>
      </c>
      <c r="B456" s="10">
        <f>IF($C456="","","TXN-"&amp;RIGHT("0000"&amp;448,4))</f>
        <v/>
      </c>
      <c r="C456" s="11" t="n"/>
      <c r="D456" s="11" t="n"/>
      <c r="E456" s="12" t="n"/>
      <c r="F456" s="10">
        <f>IF($E456="","",IFERROR(IF(VLOOKUP(LEFT(UPPER(TRIM($E456)),6),BankTbl,2,0)="","(بدون عنوان)",VLOOKUP(LEFT(UPPER(TRIM($E456)),6),BankTbl,2,0)),"بانک ناشناخته"))</f>
        <v/>
      </c>
      <c r="G456" s="11" t="n"/>
      <c r="H456" s="10">
        <f>IF($G456="","",IFERROR(VLOOKUP($G456,CustTbl,2,0),IFERROR(VLOOKUP($G456,SuppTbl,2,0),IFERROR(VLOOKUP($G456,AcctTbl,2,0),IFERROR(VLOOKUP($G456,StaffTbl,2,0),"کد ناشناخته")))))</f>
        <v/>
      </c>
      <c r="I456" s="12" t="n"/>
      <c r="J456" s="12" t="n"/>
      <c r="K456" s="13" t="n"/>
      <c r="L456" s="13" t="n"/>
      <c r="M456" s="13" t="n"/>
      <c r="N456" s="14">
        <f>IF(OR($C456="",$E456="",Calc!$H456=""),"",IFERROR(VLOOKUP(LEFT(UPPER(TRIM($E456)),6),BankTbl,3,0),0)+SUMIFS(CalcDep,CalcBank,LEFT(UPPER(TRIM($E456)),6),CalcKey,"&lt;="&amp;Calc!$H456)-SUMIFS(CalcWit,CalcBank,LEFT(UPPER(TRIM($E456)),6),CalcKey,"&lt;="&amp;Calc!$H456))</f>
        <v/>
      </c>
      <c r="O456" s="10">
        <f>IF(OR($C456="",$M456=""),"",IF($N456="","؟",IF(ROUND($M456-$N456,0)=0,"√","×")))</f>
        <v/>
      </c>
      <c r="P456" s="12" t="n"/>
    </row>
    <row r="457">
      <c r="A457" s="10">
        <f>IF($C457="","",COUNTA($C$9:$C457))</f>
        <v/>
      </c>
      <c r="B457" s="10">
        <f>IF($C457="","","TXN-"&amp;RIGHT("0000"&amp;449,4))</f>
        <v/>
      </c>
      <c r="C457" s="11" t="n"/>
      <c r="D457" s="11" t="n"/>
      <c r="E457" s="12" t="n"/>
      <c r="F457" s="10">
        <f>IF($E457="","",IFERROR(IF(VLOOKUP(LEFT(UPPER(TRIM($E457)),6),BankTbl,2,0)="","(بدون عنوان)",VLOOKUP(LEFT(UPPER(TRIM($E457)),6),BankTbl,2,0)),"بانک ناشناخته"))</f>
        <v/>
      </c>
      <c r="G457" s="11" t="n"/>
      <c r="H457" s="10">
        <f>IF($G457="","",IFERROR(VLOOKUP($G457,CustTbl,2,0),IFERROR(VLOOKUP($G457,SuppTbl,2,0),IFERROR(VLOOKUP($G457,AcctTbl,2,0),IFERROR(VLOOKUP($G457,StaffTbl,2,0),"کد ناشناخته")))))</f>
        <v/>
      </c>
      <c r="I457" s="12" t="n"/>
      <c r="J457" s="12" t="n"/>
      <c r="K457" s="13" t="n"/>
      <c r="L457" s="13" t="n"/>
      <c r="M457" s="13" t="n"/>
      <c r="N457" s="14">
        <f>IF(OR($C457="",$E457="",Calc!$H457=""),"",IFERROR(VLOOKUP(LEFT(UPPER(TRIM($E457)),6),BankTbl,3,0),0)+SUMIFS(CalcDep,CalcBank,LEFT(UPPER(TRIM($E457)),6),CalcKey,"&lt;="&amp;Calc!$H457)-SUMIFS(CalcWit,CalcBank,LEFT(UPPER(TRIM($E457)),6),CalcKey,"&lt;="&amp;Calc!$H457))</f>
        <v/>
      </c>
      <c r="O457" s="10">
        <f>IF(OR($C457="",$M457=""),"",IF($N457="","؟",IF(ROUND($M457-$N457,0)=0,"√","×")))</f>
        <v/>
      </c>
      <c r="P457" s="12" t="n"/>
    </row>
    <row r="458">
      <c r="A458" s="10">
        <f>IF($C458="","",COUNTA($C$9:$C458))</f>
        <v/>
      </c>
      <c r="B458" s="10">
        <f>IF($C458="","","TXN-"&amp;RIGHT("0000"&amp;450,4))</f>
        <v/>
      </c>
      <c r="C458" s="11" t="n"/>
      <c r="D458" s="11" t="n"/>
      <c r="E458" s="12" t="n"/>
      <c r="F458" s="10">
        <f>IF($E458="","",IFERROR(IF(VLOOKUP(LEFT(UPPER(TRIM($E458)),6),BankTbl,2,0)="","(بدون عنوان)",VLOOKUP(LEFT(UPPER(TRIM($E458)),6),BankTbl,2,0)),"بانک ناشناخته"))</f>
        <v/>
      </c>
      <c r="G458" s="11" t="n"/>
      <c r="H458" s="10">
        <f>IF($G458="","",IFERROR(VLOOKUP($G458,CustTbl,2,0),IFERROR(VLOOKUP($G458,SuppTbl,2,0),IFERROR(VLOOKUP($G458,AcctTbl,2,0),IFERROR(VLOOKUP($G458,StaffTbl,2,0),"کد ناشناخته")))))</f>
        <v/>
      </c>
      <c r="I458" s="12" t="n"/>
      <c r="J458" s="12" t="n"/>
      <c r="K458" s="13" t="n"/>
      <c r="L458" s="13" t="n"/>
      <c r="M458" s="13" t="n"/>
      <c r="N458" s="14">
        <f>IF(OR($C458="",$E458="",Calc!$H458=""),"",IFERROR(VLOOKUP(LEFT(UPPER(TRIM($E458)),6),BankTbl,3,0),0)+SUMIFS(CalcDep,CalcBank,LEFT(UPPER(TRIM($E458)),6),CalcKey,"&lt;="&amp;Calc!$H458)-SUMIFS(CalcWit,CalcBank,LEFT(UPPER(TRIM($E458)),6),CalcKey,"&lt;="&amp;Calc!$H458))</f>
        <v/>
      </c>
      <c r="O458" s="10">
        <f>IF(OR($C458="",$M458=""),"",IF($N458="","؟",IF(ROUND($M458-$N458,0)=0,"√","×")))</f>
        <v/>
      </c>
      <c r="P458" s="12" t="n"/>
    </row>
    <row r="459">
      <c r="A459" s="10">
        <f>IF($C459="","",COUNTA($C$9:$C459))</f>
        <v/>
      </c>
      <c r="B459" s="10">
        <f>IF($C459="","","TXN-"&amp;RIGHT("0000"&amp;451,4))</f>
        <v/>
      </c>
      <c r="C459" s="11" t="n"/>
      <c r="D459" s="11" t="n"/>
      <c r="E459" s="12" t="n"/>
      <c r="F459" s="10">
        <f>IF($E459="","",IFERROR(IF(VLOOKUP(LEFT(UPPER(TRIM($E459)),6),BankTbl,2,0)="","(بدون عنوان)",VLOOKUP(LEFT(UPPER(TRIM($E459)),6),BankTbl,2,0)),"بانک ناشناخته"))</f>
        <v/>
      </c>
      <c r="G459" s="11" t="n"/>
      <c r="H459" s="10">
        <f>IF($G459="","",IFERROR(VLOOKUP($G459,CustTbl,2,0),IFERROR(VLOOKUP($G459,SuppTbl,2,0),IFERROR(VLOOKUP($G459,AcctTbl,2,0),IFERROR(VLOOKUP($G459,StaffTbl,2,0),"کد ناشناخته")))))</f>
        <v/>
      </c>
      <c r="I459" s="12" t="n"/>
      <c r="J459" s="12" t="n"/>
      <c r="K459" s="13" t="n"/>
      <c r="L459" s="13" t="n"/>
      <c r="M459" s="13" t="n"/>
      <c r="N459" s="14">
        <f>IF(OR($C459="",$E459="",Calc!$H459=""),"",IFERROR(VLOOKUP(LEFT(UPPER(TRIM($E459)),6),BankTbl,3,0),0)+SUMIFS(CalcDep,CalcBank,LEFT(UPPER(TRIM($E459)),6),CalcKey,"&lt;="&amp;Calc!$H459)-SUMIFS(CalcWit,CalcBank,LEFT(UPPER(TRIM($E459)),6),CalcKey,"&lt;="&amp;Calc!$H459))</f>
        <v/>
      </c>
      <c r="O459" s="10">
        <f>IF(OR($C459="",$M459=""),"",IF($N459="","؟",IF(ROUND($M459-$N459,0)=0,"√","×")))</f>
        <v/>
      </c>
      <c r="P459" s="12" t="n"/>
    </row>
    <row r="460">
      <c r="A460" s="10">
        <f>IF($C460="","",COUNTA($C$9:$C460))</f>
        <v/>
      </c>
      <c r="B460" s="10">
        <f>IF($C460="","","TXN-"&amp;RIGHT("0000"&amp;452,4))</f>
        <v/>
      </c>
      <c r="C460" s="11" t="n"/>
      <c r="D460" s="11" t="n"/>
      <c r="E460" s="12" t="n"/>
      <c r="F460" s="10">
        <f>IF($E460="","",IFERROR(IF(VLOOKUP(LEFT(UPPER(TRIM($E460)),6),BankTbl,2,0)="","(بدون عنوان)",VLOOKUP(LEFT(UPPER(TRIM($E460)),6),BankTbl,2,0)),"بانک ناشناخته"))</f>
        <v/>
      </c>
      <c r="G460" s="11" t="n"/>
      <c r="H460" s="10">
        <f>IF($G460="","",IFERROR(VLOOKUP($G460,CustTbl,2,0),IFERROR(VLOOKUP($G460,SuppTbl,2,0),IFERROR(VLOOKUP($G460,AcctTbl,2,0),IFERROR(VLOOKUP($G460,StaffTbl,2,0),"کد ناشناخته")))))</f>
        <v/>
      </c>
      <c r="I460" s="12" t="n"/>
      <c r="J460" s="12" t="n"/>
      <c r="K460" s="13" t="n"/>
      <c r="L460" s="13" t="n"/>
      <c r="M460" s="13" t="n"/>
      <c r="N460" s="14">
        <f>IF(OR($C460="",$E460="",Calc!$H460=""),"",IFERROR(VLOOKUP(LEFT(UPPER(TRIM($E460)),6),BankTbl,3,0),0)+SUMIFS(CalcDep,CalcBank,LEFT(UPPER(TRIM($E460)),6),CalcKey,"&lt;="&amp;Calc!$H460)-SUMIFS(CalcWit,CalcBank,LEFT(UPPER(TRIM($E460)),6),CalcKey,"&lt;="&amp;Calc!$H460))</f>
        <v/>
      </c>
      <c r="O460" s="10">
        <f>IF(OR($C460="",$M460=""),"",IF($N460="","؟",IF(ROUND($M460-$N460,0)=0,"√","×")))</f>
        <v/>
      </c>
      <c r="P460" s="12" t="n"/>
    </row>
    <row r="461">
      <c r="A461" s="10">
        <f>IF($C461="","",COUNTA($C$9:$C461))</f>
        <v/>
      </c>
      <c r="B461" s="10">
        <f>IF($C461="","","TXN-"&amp;RIGHT("0000"&amp;453,4))</f>
        <v/>
      </c>
      <c r="C461" s="11" t="n"/>
      <c r="D461" s="11" t="n"/>
      <c r="E461" s="12" t="n"/>
      <c r="F461" s="10">
        <f>IF($E461="","",IFERROR(IF(VLOOKUP(LEFT(UPPER(TRIM($E461)),6),BankTbl,2,0)="","(بدون عنوان)",VLOOKUP(LEFT(UPPER(TRIM($E461)),6),BankTbl,2,0)),"بانک ناشناخته"))</f>
        <v/>
      </c>
      <c r="G461" s="11" t="n"/>
      <c r="H461" s="10">
        <f>IF($G461="","",IFERROR(VLOOKUP($G461,CustTbl,2,0),IFERROR(VLOOKUP($G461,SuppTbl,2,0),IFERROR(VLOOKUP($G461,AcctTbl,2,0),IFERROR(VLOOKUP($G461,StaffTbl,2,0),"کد ناشناخته")))))</f>
        <v/>
      </c>
      <c r="I461" s="12" t="n"/>
      <c r="J461" s="12" t="n"/>
      <c r="K461" s="13" t="n"/>
      <c r="L461" s="13" t="n"/>
      <c r="M461" s="13" t="n"/>
      <c r="N461" s="14">
        <f>IF(OR($C461="",$E461="",Calc!$H461=""),"",IFERROR(VLOOKUP(LEFT(UPPER(TRIM($E461)),6),BankTbl,3,0),0)+SUMIFS(CalcDep,CalcBank,LEFT(UPPER(TRIM($E461)),6),CalcKey,"&lt;="&amp;Calc!$H461)-SUMIFS(CalcWit,CalcBank,LEFT(UPPER(TRIM($E461)),6),CalcKey,"&lt;="&amp;Calc!$H461))</f>
        <v/>
      </c>
      <c r="O461" s="10">
        <f>IF(OR($C461="",$M461=""),"",IF($N461="","؟",IF(ROUND($M461-$N461,0)=0,"√","×")))</f>
        <v/>
      </c>
      <c r="P461" s="12" t="n"/>
    </row>
    <row r="462">
      <c r="A462" s="10">
        <f>IF($C462="","",COUNTA($C$9:$C462))</f>
        <v/>
      </c>
      <c r="B462" s="10">
        <f>IF($C462="","","TXN-"&amp;RIGHT("0000"&amp;454,4))</f>
        <v/>
      </c>
      <c r="C462" s="11" t="n"/>
      <c r="D462" s="11" t="n"/>
      <c r="E462" s="12" t="n"/>
      <c r="F462" s="10">
        <f>IF($E462="","",IFERROR(IF(VLOOKUP(LEFT(UPPER(TRIM($E462)),6),BankTbl,2,0)="","(بدون عنوان)",VLOOKUP(LEFT(UPPER(TRIM($E462)),6),BankTbl,2,0)),"بانک ناشناخته"))</f>
        <v/>
      </c>
      <c r="G462" s="11" t="n"/>
      <c r="H462" s="10">
        <f>IF($G462="","",IFERROR(VLOOKUP($G462,CustTbl,2,0),IFERROR(VLOOKUP($G462,SuppTbl,2,0),IFERROR(VLOOKUP($G462,AcctTbl,2,0),IFERROR(VLOOKUP($G462,StaffTbl,2,0),"کد ناشناخته")))))</f>
        <v/>
      </c>
      <c r="I462" s="12" t="n"/>
      <c r="J462" s="12" t="n"/>
      <c r="K462" s="13" t="n"/>
      <c r="L462" s="13" t="n"/>
      <c r="M462" s="13" t="n"/>
      <c r="N462" s="14">
        <f>IF(OR($C462="",$E462="",Calc!$H462=""),"",IFERROR(VLOOKUP(LEFT(UPPER(TRIM($E462)),6),BankTbl,3,0),0)+SUMIFS(CalcDep,CalcBank,LEFT(UPPER(TRIM($E462)),6),CalcKey,"&lt;="&amp;Calc!$H462)-SUMIFS(CalcWit,CalcBank,LEFT(UPPER(TRIM($E462)),6),CalcKey,"&lt;="&amp;Calc!$H462))</f>
        <v/>
      </c>
      <c r="O462" s="10">
        <f>IF(OR($C462="",$M462=""),"",IF($N462="","؟",IF(ROUND($M462-$N462,0)=0,"√","×")))</f>
        <v/>
      </c>
      <c r="P462" s="12" t="n"/>
    </row>
    <row r="463">
      <c r="A463" s="10">
        <f>IF($C463="","",COUNTA($C$9:$C463))</f>
        <v/>
      </c>
      <c r="B463" s="10">
        <f>IF($C463="","","TXN-"&amp;RIGHT("0000"&amp;455,4))</f>
        <v/>
      </c>
      <c r="C463" s="11" t="n"/>
      <c r="D463" s="11" t="n"/>
      <c r="E463" s="12" t="n"/>
      <c r="F463" s="10">
        <f>IF($E463="","",IFERROR(IF(VLOOKUP(LEFT(UPPER(TRIM($E463)),6),BankTbl,2,0)="","(بدون عنوان)",VLOOKUP(LEFT(UPPER(TRIM($E463)),6),BankTbl,2,0)),"بانک ناشناخته"))</f>
        <v/>
      </c>
      <c r="G463" s="11" t="n"/>
      <c r="H463" s="10">
        <f>IF($G463="","",IFERROR(VLOOKUP($G463,CustTbl,2,0),IFERROR(VLOOKUP($G463,SuppTbl,2,0),IFERROR(VLOOKUP($G463,AcctTbl,2,0),IFERROR(VLOOKUP($G463,StaffTbl,2,0),"کد ناشناخته")))))</f>
        <v/>
      </c>
      <c r="I463" s="12" t="n"/>
      <c r="J463" s="12" t="n"/>
      <c r="K463" s="13" t="n"/>
      <c r="L463" s="13" t="n"/>
      <c r="M463" s="13" t="n"/>
      <c r="N463" s="14">
        <f>IF(OR($C463="",$E463="",Calc!$H463=""),"",IFERROR(VLOOKUP(LEFT(UPPER(TRIM($E463)),6),BankTbl,3,0),0)+SUMIFS(CalcDep,CalcBank,LEFT(UPPER(TRIM($E463)),6),CalcKey,"&lt;="&amp;Calc!$H463)-SUMIFS(CalcWit,CalcBank,LEFT(UPPER(TRIM($E463)),6),CalcKey,"&lt;="&amp;Calc!$H463))</f>
        <v/>
      </c>
      <c r="O463" s="10">
        <f>IF(OR($C463="",$M463=""),"",IF($N463="","؟",IF(ROUND($M463-$N463,0)=0,"√","×")))</f>
        <v/>
      </c>
      <c r="P463" s="12" t="n"/>
    </row>
    <row r="464">
      <c r="A464" s="10">
        <f>IF($C464="","",COUNTA($C$9:$C464))</f>
        <v/>
      </c>
      <c r="B464" s="10">
        <f>IF($C464="","","TXN-"&amp;RIGHT("0000"&amp;456,4))</f>
        <v/>
      </c>
      <c r="C464" s="11" t="n"/>
      <c r="D464" s="11" t="n"/>
      <c r="E464" s="12" t="n"/>
      <c r="F464" s="10">
        <f>IF($E464="","",IFERROR(IF(VLOOKUP(LEFT(UPPER(TRIM($E464)),6),BankTbl,2,0)="","(بدون عنوان)",VLOOKUP(LEFT(UPPER(TRIM($E464)),6),BankTbl,2,0)),"بانک ناشناخته"))</f>
        <v/>
      </c>
      <c r="G464" s="11" t="n"/>
      <c r="H464" s="10">
        <f>IF($G464="","",IFERROR(VLOOKUP($G464,CustTbl,2,0),IFERROR(VLOOKUP($G464,SuppTbl,2,0),IFERROR(VLOOKUP($G464,AcctTbl,2,0),IFERROR(VLOOKUP($G464,StaffTbl,2,0),"کد ناشناخته")))))</f>
        <v/>
      </c>
      <c r="I464" s="12" t="n"/>
      <c r="J464" s="12" t="n"/>
      <c r="K464" s="13" t="n"/>
      <c r="L464" s="13" t="n"/>
      <c r="M464" s="13" t="n"/>
      <c r="N464" s="14">
        <f>IF(OR($C464="",$E464="",Calc!$H464=""),"",IFERROR(VLOOKUP(LEFT(UPPER(TRIM($E464)),6),BankTbl,3,0),0)+SUMIFS(CalcDep,CalcBank,LEFT(UPPER(TRIM($E464)),6),CalcKey,"&lt;="&amp;Calc!$H464)-SUMIFS(CalcWit,CalcBank,LEFT(UPPER(TRIM($E464)),6),CalcKey,"&lt;="&amp;Calc!$H464))</f>
        <v/>
      </c>
      <c r="O464" s="10">
        <f>IF(OR($C464="",$M464=""),"",IF($N464="","؟",IF(ROUND($M464-$N464,0)=0,"√","×")))</f>
        <v/>
      </c>
      <c r="P464" s="12" t="n"/>
    </row>
    <row r="465">
      <c r="A465" s="10">
        <f>IF($C465="","",COUNTA($C$9:$C465))</f>
        <v/>
      </c>
      <c r="B465" s="10">
        <f>IF($C465="","","TXN-"&amp;RIGHT("0000"&amp;457,4))</f>
        <v/>
      </c>
      <c r="C465" s="11" t="n"/>
      <c r="D465" s="11" t="n"/>
      <c r="E465" s="12" t="n"/>
      <c r="F465" s="10">
        <f>IF($E465="","",IFERROR(IF(VLOOKUP(LEFT(UPPER(TRIM($E465)),6),BankTbl,2,0)="","(بدون عنوان)",VLOOKUP(LEFT(UPPER(TRIM($E465)),6),BankTbl,2,0)),"بانک ناشناخته"))</f>
        <v/>
      </c>
      <c r="G465" s="11" t="n"/>
      <c r="H465" s="10">
        <f>IF($G465="","",IFERROR(VLOOKUP($G465,CustTbl,2,0),IFERROR(VLOOKUP($G465,SuppTbl,2,0),IFERROR(VLOOKUP($G465,AcctTbl,2,0),IFERROR(VLOOKUP($G465,StaffTbl,2,0),"کد ناشناخته")))))</f>
        <v/>
      </c>
      <c r="I465" s="12" t="n"/>
      <c r="J465" s="12" t="n"/>
      <c r="K465" s="13" t="n"/>
      <c r="L465" s="13" t="n"/>
      <c r="M465" s="13" t="n"/>
      <c r="N465" s="14">
        <f>IF(OR($C465="",$E465="",Calc!$H465=""),"",IFERROR(VLOOKUP(LEFT(UPPER(TRIM($E465)),6),BankTbl,3,0),0)+SUMIFS(CalcDep,CalcBank,LEFT(UPPER(TRIM($E465)),6),CalcKey,"&lt;="&amp;Calc!$H465)-SUMIFS(CalcWit,CalcBank,LEFT(UPPER(TRIM($E465)),6),CalcKey,"&lt;="&amp;Calc!$H465))</f>
        <v/>
      </c>
      <c r="O465" s="10">
        <f>IF(OR($C465="",$M465=""),"",IF($N465="","؟",IF(ROUND($M465-$N465,0)=0,"√","×")))</f>
        <v/>
      </c>
      <c r="P465" s="12" t="n"/>
    </row>
    <row r="466">
      <c r="A466" s="10">
        <f>IF($C466="","",COUNTA($C$9:$C466))</f>
        <v/>
      </c>
      <c r="B466" s="10">
        <f>IF($C466="","","TXN-"&amp;RIGHT("0000"&amp;458,4))</f>
        <v/>
      </c>
      <c r="C466" s="11" t="n"/>
      <c r="D466" s="11" t="n"/>
      <c r="E466" s="12" t="n"/>
      <c r="F466" s="10">
        <f>IF($E466="","",IFERROR(IF(VLOOKUP(LEFT(UPPER(TRIM($E466)),6),BankTbl,2,0)="","(بدون عنوان)",VLOOKUP(LEFT(UPPER(TRIM($E466)),6),BankTbl,2,0)),"بانک ناشناخته"))</f>
        <v/>
      </c>
      <c r="G466" s="11" t="n"/>
      <c r="H466" s="10">
        <f>IF($G466="","",IFERROR(VLOOKUP($G466,CustTbl,2,0),IFERROR(VLOOKUP($G466,SuppTbl,2,0),IFERROR(VLOOKUP($G466,AcctTbl,2,0),IFERROR(VLOOKUP($G466,StaffTbl,2,0),"کد ناشناخته")))))</f>
        <v/>
      </c>
      <c r="I466" s="12" t="n"/>
      <c r="J466" s="12" t="n"/>
      <c r="K466" s="13" t="n"/>
      <c r="L466" s="13" t="n"/>
      <c r="M466" s="13" t="n"/>
      <c r="N466" s="14">
        <f>IF(OR($C466="",$E466="",Calc!$H466=""),"",IFERROR(VLOOKUP(LEFT(UPPER(TRIM($E466)),6),BankTbl,3,0),0)+SUMIFS(CalcDep,CalcBank,LEFT(UPPER(TRIM($E466)),6),CalcKey,"&lt;="&amp;Calc!$H466)-SUMIFS(CalcWit,CalcBank,LEFT(UPPER(TRIM($E466)),6),CalcKey,"&lt;="&amp;Calc!$H466))</f>
        <v/>
      </c>
      <c r="O466" s="10">
        <f>IF(OR($C466="",$M466=""),"",IF($N466="","؟",IF(ROUND($M466-$N466,0)=0,"√","×")))</f>
        <v/>
      </c>
      <c r="P466" s="12" t="n"/>
    </row>
    <row r="467">
      <c r="A467" s="10">
        <f>IF($C467="","",COUNTA($C$9:$C467))</f>
        <v/>
      </c>
      <c r="B467" s="10">
        <f>IF($C467="","","TXN-"&amp;RIGHT("0000"&amp;459,4))</f>
        <v/>
      </c>
      <c r="C467" s="11" t="n"/>
      <c r="D467" s="11" t="n"/>
      <c r="E467" s="12" t="n"/>
      <c r="F467" s="10">
        <f>IF($E467="","",IFERROR(IF(VLOOKUP(LEFT(UPPER(TRIM($E467)),6),BankTbl,2,0)="","(بدون عنوان)",VLOOKUP(LEFT(UPPER(TRIM($E467)),6),BankTbl,2,0)),"بانک ناشناخته"))</f>
        <v/>
      </c>
      <c r="G467" s="11" t="n"/>
      <c r="H467" s="10">
        <f>IF($G467="","",IFERROR(VLOOKUP($G467,CustTbl,2,0),IFERROR(VLOOKUP($G467,SuppTbl,2,0),IFERROR(VLOOKUP($G467,AcctTbl,2,0),IFERROR(VLOOKUP($G467,StaffTbl,2,0),"کد ناشناخته")))))</f>
        <v/>
      </c>
      <c r="I467" s="12" t="n"/>
      <c r="J467" s="12" t="n"/>
      <c r="K467" s="13" t="n"/>
      <c r="L467" s="13" t="n"/>
      <c r="M467" s="13" t="n"/>
      <c r="N467" s="14">
        <f>IF(OR($C467="",$E467="",Calc!$H467=""),"",IFERROR(VLOOKUP(LEFT(UPPER(TRIM($E467)),6),BankTbl,3,0),0)+SUMIFS(CalcDep,CalcBank,LEFT(UPPER(TRIM($E467)),6),CalcKey,"&lt;="&amp;Calc!$H467)-SUMIFS(CalcWit,CalcBank,LEFT(UPPER(TRIM($E467)),6),CalcKey,"&lt;="&amp;Calc!$H467))</f>
        <v/>
      </c>
      <c r="O467" s="10">
        <f>IF(OR($C467="",$M467=""),"",IF($N467="","؟",IF(ROUND($M467-$N467,0)=0,"√","×")))</f>
        <v/>
      </c>
      <c r="P467" s="12" t="n"/>
    </row>
    <row r="468">
      <c r="A468" s="10">
        <f>IF($C468="","",COUNTA($C$9:$C468))</f>
        <v/>
      </c>
      <c r="B468" s="10">
        <f>IF($C468="","","TXN-"&amp;RIGHT("0000"&amp;460,4))</f>
        <v/>
      </c>
      <c r="C468" s="11" t="n"/>
      <c r="D468" s="11" t="n"/>
      <c r="E468" s="12" t="n"/>
      <c r="F468" s="10">
        <f>IF($E468="","",IFERROR(IF(VLOOKUP(LEFT(UPPER(TRIM($E468)),6),BankTbl,2,0)="","(بدون عنوان)",VLOOKUP(LEFT(UPPER(TRIM($E468)),6),BankTbl,2,0)),"بانک ناشناخته"))</f>
        <v/>
      </c>
      <c r="G468" s="11" t="n"/>
      <c r="H468" s="10">
        <f>IF($G468="","",IFERROR(VLOOKUP($G468,CustTbl,2,0),IFERROR(VLOOKUP($G468,SuppTbl,2,0),IFERROR(VLOOKUP($G468,AcctTbl,2,0),IFERROR(VLOOKUP($G468,StaffTbl,2,0),"کد ناشناخته")))))</f>
        <v/>
      </c>
      <c r="I468" s="12" t="n"/>
      <c r="J468" s="12" t="n"/>
      <c r="K468" s="13" t="n"/>
      <c r="L468" s="13" t="n"/>
      <c r="M468" s="13" t="n"/>
      <c r="N468" s="14">
        <f>IF(OR($C468="",$E468="",Calc!$H468=""),"",IFERROR(VLOOKUP(LEFT(UPPER(TRIM($E468)),6),BankTbl,3,0),0)+SUMIFS(CalcDep,CalcBank,LEFT(UPPER(TRIM($E468)),6),CalcKey,"&lt;="&amp;Calc!$H468)-SUMIFS(CalcWit,CalcBank,LEFT(UPPER(TRIM($E468)),6),CalcKey,"&lt;="&amp;Calc!$H468))</f>
        <v/>
      </c>
      <c r="O468" s="10">
        <f>IF(OR($C468="",$M468=""),"",IF($N468="","؟",IF(ROUND($M468-$N468,0)=0,"√","×")))</f>
        <v/>
      </c>
      <c r="P468" s="12" t="n"/>
    </row>
    <row r="469">
      <c r="A469" s="10">
        <f>IF($C469="","",COUNTA($C$9:$C469))</f>
        <v/>
      </c>
      <c r="B469" s="10">
        <f>IF($C469="","","TXN-"&amp;RIGHT("0000"&amp;461,4))</f>
        <v/>
      </c>
      <c r="C469" s="11" t="n"/>
      <c r="D469" s="11" t="n"/>
      <c r="E469" s="12" t="n"/>
      <c r="F469" s="10">
        <f>IF($E469="","",IFERROR(IF(VLOOKUP(LEFT(UPPER(TRIM($E469)),6),BankTbl,2,0)="","(بدون عنوان)",VLOOKUP(LEFT(UPPER(TRIM($E469)),6),BankTbl,2,0)),"بانک ناشناخته"))</f>
        <v/>
      </c>
      <c r="G469" s="11" t="n"/>
      <c r="H469" s="10">
        <f>IF($G469="","",IFERROR(VLOOKUP($G469,CustTbl,2,0),IFERROR(VLOOKUP($G469,SuppTbl,2,0),IFERROR(VLOOKUP($G469,AcctTbl,2,0),IFERROR(VLOOKUP($G469,StaffTbl,2,0),"کد ناشناخته")))))</f>
        <v/>
      </c>
      <c r="I469" s="12" t="n"/>
      <c r="J469" s="12" t="n"/>
      <c r="K469" s="13" t="n"/>
      <c r="L469" s="13" t="n"/>
      <c r="M469" s="13" t="n"/>
      <c r="N469" s="14">
        <f>IF(OR($C469="",$E469="",Calc!$H469=""),"",IFERROR(VLOOKUP(LEFT(UPPER(TRIM($E469)),6),BankTbl,3,0),0)+SUMIFS(CalcDep,CalcBank,LEFT(UPPER(TRIM($E469)),6),CalcKey,"&lt;="&amp;Calc!$H469)-SUMIFS(CalcWit,CalcBank,LEFT(UPPER(TRIM($E469)),6),CalcKey,"&lt;="&amp;Calc!$H469))</f>
        <v/>
      </c>
      <c r="O469" s="10">
        <f>IF(OR($C469="",$M469=""),"",IF($N469="","؟",IF(ROUND($M469-$N469,0)=0,"√","×")))</f>
        <v/>
      </c>
      <c r="P469" s="12" t="n"/>
    </row>
    <row r="470">
      <c r="A470" s="10">
        <f>IF($C470="","",COUNTA($C$9:$C470))</f>
        <v/>
      </c>
      <c r="B470" s="10">
        <f>IF($C470="","","TXN-"&amp;RIGHT("0000"&amp;462,4))</f>
        <v/>
      </c>
      <c r="C470" s="11" t="n"/>
      <c r="D470" s="11" t="n"/>
      <c r="E470" s="12" t="n"/>
      <c r="F470" s="10">
        <f>IF($E470="","",IFERROR(IF(VLOOKUP(LEFT(UPPER(TRIM($E470)),6),BankTbl,2,0)="","(بدون عنوان)",VLOOKUP(LEFT(UPPER(TRIM($E470)),6),BankTbl,2,0)),"بانک ناشناخته"))</f>
        <v/>
      </c>
      <c r="G470" s="11" t="n"/>
      <c r="H470" s="10">
        <f>IF($G470="","",IFERROR(VLOOKUP($G470,CustTbl,2,0),IFERROR(VLOOKUP($G470,SuppTbl,2,0),IFERROR(VLOOKUP($G470,AcctTbl,2,0),IFERROR(VLOOKUP($G470,StaffTbl,2,0),"کد ناشناخته")))))</f>
        <v/>
      </c>
      <c r="I470" s="12" t="n"/>
      <c r="J470" s="12" t="n"/>
      <c r="K470" s="13" t="n"/>
      <c r="L470" s="13" t="n"/>
      <c r="M470" s="13" t="n"/>
      <c r="N470" s="14">
        <f>IF(OR($C470="",$E470="",Calc!$H470=""),"",IFERROR(VLOOKUP(LEFT(UPPER(TRIM($E470)),6),BankTbl,3,0),0)+SUMIFS(CalcDep,CalcBank,LEFT(UPPER(TRIM($E470)),6),CalcKey,"&lt;="&amp;Calc!$H470)-SUMIFS(CalcWit,CalcBank,LEFT(UPPER(TRIM($E470)),6),CalcKey,"&lt;="&amp;Calc!$H470))</f>
        <v/>
      </c>
      <c r="O470" s="10">
        <f>IF(OR($C470="",$M470=""),"",IF($N470="","؟",IF(ROUND($M470-$N470,0)=0,"√","×")))</f>
        <v/>
      </c>
      <c r="P470" s="12" t="n"/>
    </row>
    <row r="471">
      <c r="A471" s="10">
        <f>IF($C471="","",COUNTA($C$9:$C471))</f>
        <v/>
      </c>
      <c r="B471" s="10">
        <f>IF($C471="","","TXN-"&amp;RIGHT("0000"&amp;463,4))</f>
        <v/>
      </c>
      <c r="C471" s="11" t="n"/>
      <c r="D471" s="11" t="n"/>
      <c r="E471" s="12" t="n"/>
      <c r="F471" s="10">
        <f>IF($E471="","",IFERROR(IF(VLOOKUP(LEFT(UPPER(TRIM($E471)),6),BankTbl,2,0)="","(بدون عنوان)",VLOOKUP(LEFT(UPPER(TRIM($E471)),6),BankTbl,2,0)),"بانک ناشناخته"))</f>
        <v/>
      </c>
      <c r="G471" s="11" t="n"/>
      <c r="H471" s="10">
        <f>IF($G471="","",IFERROR(VLOOKUP($G471,CustTbl,2,0),IFERROR(VLOOKUP($G471,SuppTbl,2,0),IFERROR(VLOOKUP($G471,AcctTbl,2,0),IFERROR(VLOOKUP($G471,StaffTbl,2,0),"کد ناشناخته")))))</f>
        <v/>
      </c>
      <c r="I471" s="12" t="n"/>
      <c r="J471" s="12" t="n"/>
      <c r="K471" s="13" t="n"/>
      <c r="L471" s="13" t="n"/>
      <c r="M471" s="13" t="n"/>
      <c r="N471" s="14">
        <f>IF(OR($C471="",$E471="",Calc!$H471=""),"",IFERROR(VLOOKUP(LEFT(UPPER(TRIM($E471)),6),BankTbl,3,0),0)+SUMIFS(CalcDep,CalcBank,LEFT(UPPER(TRIM($E471)),6),CalcKey,"&lt;="&amp;Calc!$H471)-SUMIFS(CalcWit,CalcBank,LEFT(UPPER(TRIM($E471)),6),CalcKey,"&lt;="&amp;Calc!$H471))</f>
        <v/>
      </c>
      <c r="O471" s="10">
        <f>IF(OR($C471="",$M471=""),"",IF($N471="","؟",IF(ROUND($M471-$N471,0)=0,"√","×")))</f>
        <v/>
      </c>
      <c r="P471" s="12" t="n"/>
    </row>
    <row r="472">
      <c r="A472" s="10">
        <f>IF($C472="","",COUNTA($C$9:$C472))</f>
        <v/>
      </c>
      <c r="B472" s="10">
        <f>IF($C472="","","TXN-"&amp;RIGHT("0000"&amp;464,4))</f>
        <v/>
      </c>
      <c r="C472" s="11" t="n"/>
      <c r="D472" s="11" t="n"/>
      <c r="E472" s="12" t="n"/>
      <c r="F472" s="10">
        <f>IF($E472="","",IFERROR(IF(VLOOKUP(LEFT(UPPER(TRIM($E472)),6),BankTbl,2,0)="","(بدون عنوان)",VLOOKUP(LEFT(UPPER(TRIM($E472)),6),BankTbl,2,0)),"بانک ناشناخته"))</f>
        <v/>
      </c>
      <c r="G472" s="11" t="n"/>
      <c r="H472" s="10">
        <f>IF($G472="","",IFERROR(VLOOKUP($G472,CustTbl,2,0),IFERROR(VLOOKUP($G472,SuppTbl,2,0),IFERROR(VLOOKUP($G472,AcctTbl,2,0),IFERROR(VLOOKUP($G472,StaffTbl,2,0),"کد ناشناخته")))))</f>
        <v/>
      </c>
      <c r="I472" s="12" t="n"/>
      <c r="J472" s="12" t="n"/>
      <c r="K472" s="13" t="n"/>
      <c r="L472" s="13" t="n"/>
      <c r="M472" s="13" t="n"/>
      <c r="N472" s="14">
        <f>IF(OR($C472="",$E472="",Calc!$H472=""),"",IFERROR(VLOOKUP(LEFT(UPPER(TRIM($E472)),6),BankTbl,3,0),0)+SUMIFS(CalcDep,CalcBank,LEFT(UPPER(TRIM($E472)),6),CalcKey,"&lt;="&amp;Calc!$H472)-SUMIFS(CalcWit,CalcBank,LEFT(UPPER(TRIM($E472)),6),CalcKey,"&lt;="&amp;Calc!$H472))</f>
        <v/>
      </c>
      <c r="O472" s="10">
        <f>IF(OR($C472="",$M472=""),"",IF($N472="","؟",IF(ROUND($M472-$N472,0)=0,"√","×")))</f>
        <v/>
      </c>
      <c r="P472" s="12" t="n"/>
    </row>
    <row r="473">
      <c r="A473" s="10">
        <f>IF($C473="","",COUNTA($C$9:$C473))</f>
        <v/>
      </c>
      <c r="B473" s="10">
        <f>IF($C473="","","TXN-"&amp;RIGHT("0000"&amp;465,4))</f>
        <v/>
      </c>
      <c r="C473" s="11" t="n"/>
      <c r="D473" s="11" t="n"/>
      <c r="E473" s="12" t="n"/>
      <c r="F473" s="10">
        <f>IF($E473="","",IFERROR(IF(VLOOKUP(LEFT(UPPER(TRIM($E473)),6),BankTbl,2,0)="","(بدون عنوان)",VLOOKUP(LEFT(UPPER(TRIM($E473)),6),BankTbl,2,0)),"بانک ناشناخته"))</f>
        <v/>
      </c>
      <c r="G473" s="11" t="n"/>
      <c r="H473" s="10">
        <f>IF($G473="","",IFERROR(VLOOKUP($G473,CustTbl,2,0),IFERROR(VLOOKUP($G473,SuppTbl,2,0),IFERROR(VLOOKUP($G473,AcctTbl,2,0),IFERROR(VLOOKUP($G473,StaffTbl,2,0),"کد ناشناخته")))))</f>
        <v/>
      </c>
      <c r="I473" s="12" t="n"/>
      <c r="J473" s="12" t="n"/>
      <c r="K473" s="13" t="n"/>
      <c r="L473" s="13" t="n"/>
      <c r="M473" s="13" t="n"/>
      <c r="N473" s="14">
        <f>IF(OR($C473="",$E473="",Calc!$H473=""),"",IFERROR(VLOOKUP(LEFT(UPPER(TRIM($E473)),6),BankTbl,3,0),0)+SUMIFS(CalcDep,CalcBank,LEFT(UPPER(TRIM($E473)),6),CalcKey,"&lt;="&amp;Calc!$H473)-SUMIFS(CalcWit,CalcBank,LEFT(UPPER(TRIM($E473)),6),CalcKey,"&lt;="&amp;Calc!$H473))</f>
        <v/>
      </c>
      <c r="O473" s="10">
        <f>IF(OR($C473="",$M473=""),"",IF($N473="","؟",IF(ROUND($M473-$N473,0)=0,"√","×")))</f>
        <v/>
      </c>
      <c r="P473" s="12" t="n"/>
    </row>
    <row r="474">
      <c r="A474" s="10">
        <f>IF($C474="","",COUNTA($C$9:$C474))</f>
        <v/>
      </c>
      <c r="B474" s="10">
        <f>IF($C474="","","TXN-"&amp;RIGHT("0000"&amp;466,4))</f>
        <v/>
      </c>
      <c r="C474" s="11" t="n"/>
      <c r="D474" s="11" t="n"/>
      <c r="E474" s="12" t="n"/>
      <c r="F474" s="10">
        <f>IF($E474="","",IFERROR(IF(VLOOKUP(LEFT(UPPER(TRIM($E474)),6),BankTbl,2,0)="","(بدون عنوان)",VLOOKUP(LEFT(UPPER(TRIM($E474)),6),BankTbl,2,0)),"بانک ناشناخته"))</f>
        <v/>
      </c>
      <c r="G474" s="11" t="n"/>
      <c r="H474" s="10">
        <f>IF($G474="","",IFERROR(VLOOKUP($G474,CustTbl,2,0),IFERROR(VLOOKUP($G474,SuppTbl,2,0),IFERROR(VLOOKUP($G474,AcctTbl,2,0),IFERROR(VLOOKUP($G474,StaffTbl,2,0),"کد ناشناخته")))))</f>
        <v/>
      </c>
      <c r="I474" s="12" t="n"/>
      <c r="J474" s="12" t="n"/>
      <c r="K474" s="13" t="n"/>
      <c r="L474" s="13" t="n"/>
      <c r="M474" s="13" t="n"/>
      <c r="N474" s="14">
        <f>IF(OR($C474="",$E474="",Calc!$H474=""),"",IFERROR(VLOOKUP(LEFT(UPPER(TRIM($E474)),6),BankTbl,3,0),0)+SUMIFS(CalcDep,CalcBank,LEFT(UPPER(TRIM($E474)),6),CalcKey,"&lt;="&amp;Calc!$H474)-SUMIFS(CalcWit,CalcBank,LEFT(UPPER(TRIM($E474)),6),CalcKey,"&lt;="&amp;Calc!$H474))</f>
        <v/>
      </c>
      <c r="O474" s="10">
        <f>IF(OR($C474="",$M474=""),"",IF($N474="","؟",IF(ROUND($M474-$N474,0)=0,"√","×")))</f>
        <v/>
      </c>
      <c r="P474" s="12" t="n"/>
    </row>
    <row r="475">
      <c r="A475" s="10">
        <f>IF($C475="","",COUNTA($C$9:$C475))</f>
        <v/>
      </c>
      <c r="B475" s="10">
        <f>IF($C475="","","TXN-"&amp;RIGHT("0000"&amp;467,4))</f>
        <v/>
      </c>
      <c r="C475" s="11" t="n"/>
      <c r="D475" s="11" t="n"/>
      <c r="E475" s="12" t="n"/>
      <c r="F475" s="10">
        <f>IF($E475="","",IFERROR(IF(VLOOKUP(LEFT(UPPER(TRIM($E475)),6),BankTbl,2,0)="","(بدون عنوان)",VLOOKUP(LEFT(UPPER(TRIM($E475)),6),BankTbl,2,0)),"بانک ناشناخته"))</f>
        <v/>
      </c>
      <c r="G475" s="11" t="n"/>
      <c r="H475" s="10">
        <f>IF($G475="","",IFERROR(VLOOKUP($G475,CustTbl,2,0),IFERROR(VLOOKUP($G475,SuppTbl,2,0),IFERROR(VLOOKUP($G475,AcctTbl,2,0),IFERROR(VLOOKUP($G475,StaffTbl,2,0),"کد ناشناخته")))))</f>
        <v/>
      </c>
      <c r="I475" s="12" t="n"/>
      <c r="J475" s="12" t="n"/>
      <c r="K475" s="13" t="n"/>
      <c r="L475" s="13" t="n"/>
      <c r="M475" s="13" t="n"/>
      <c r="N475" s="14">
        <f>IF(OR($C475="",$E475="",Calc!$H475=""),"",IFERROR(VLOOKUP(LEFT(UPPER(TRIM($E475)),6),BankTbl,3,0),0)+SUMIFS(CalcDep,CalcBank,LEFT(UPPER(TRIM($E475)),6),CalcKey,"&lt;="&amp;Calc!$H475)-SUMIFS(CalcWit,CalcBank,LEFT(UPPER(TRIM($E475)),6),CalcKey,"&lt;="&amp;Calc!$H475))</f>
        <v/>
      </c>
      <c r="O475" s="10">
        <f>IF(OR($C475="",$M475=""),"",IF($N475="","؟",IF(ROUND($M475-$N475,0)=0,"√","×")))</f>
        <v/>
      </c>
      <c r="P475" s="12" t="n"/>
    </row>
    <row r="476">
      <c r="A476" s="10">
        <f>IF($C476="","",COUNTA($C$9:$C476))</f>
        <v/>
      </c>
      <c r="B476" s="10">
        <f>IF($C476="","","TXN-"&amp;RIGHT("0000"&amp;468,4))</f>
        <v/>
      </c>
      <c r="C476" s="11" t="n"/>
      <c r="D476" s="11" t="n"/>
      <c r="E476" s="12" t="n"/>
      <c r="F476" s="10">
        <f>IF($E476="","",IFERROR(IF(VLOOKUP(LEFT(UPPER(TRIM($E476)),6),BankTbl,2,0)="","(بدون عنوان)",VLOOKUP(LEFT(UPPER(TRIM($E476)),6),BankTbl,2,0)),"بانک ناشناخته"))</f>
        <v/>
      </c>
      <c r="G476" s="11" t="n"/>
      <c r="H476" s="10">
        <f>IF($G476="","",IFERROR(VLOOKUP($G476,CustTbl,2,0),IFERROR(VLOOKUP($G476,SuppTbl,2,0),IFERROR(VLOOKUP($G476,AcctTbl,2,0),IFERROR(VLOOKUP($G476,StaffTbl,2,0),"کد ناشناخته")))))</f>
        <v/>
      </c>
      <c r="I476" s="12" t="n"/>
      <c r="J476" s="12" t="n"/>
      <c r="K476" s="13" t="n"/>
      <c r="L476" s="13" t="n"/>
      <c r="M476" s="13" t="n"/>
      <c r="N476" s="14">
        <f>IF(OR($C476="",$E476="",Calc!$H476=""),"",IFERROR(VLOOKUP(LEFT(UPPER(TRIM($E476)),6),BankTbl,3,0),0)+SUMIFS(CalcDep,CalcBank,LEFT(UPPER(TRIM($E476)),6),CalcKey,"&lt;="&amp;Calc!$H476)-SUMIFS(CalcWit,CalcBank,LEFT(UPPER(TRIM($E476)),6),CalcKey,"&lt;="&amp;Calc!$H476))</f>
        <v/>
      </c>
      <c r="O476" s="10">
        <f>IF(OR($C476="",$M476=""),"",IF($N476="","؟",IF(ROUND($M476-$N476,0)=0,"√","×")))</f>
        <v/>
      </c>
      <c r="P476" s="12" t="n"/>
    </row>
    <row r="477">
      <c r="A477" s="10">
        <f>IF($C477="","",COUNTA($C$9:$C477))</f>
        <v/>
      </c>
      <c r="B477" s="10">
        <f>IF($C477="","","TXN-"&amp;RIGHT("0000"&amp;469,4))</f>
        <v/>
      </c>
      <c r="C477" s="11" t="n"/>
      <c r="D477" s="11" t="n"/>
      <c r="E477" s="12" t="n"/>
      <c r="F477" s="10">
        <f>IF($E477="","",IFERROR(IF(VLOOKUP(LEFT(UPPER(TRIM($E477)),6),BankTbl,2,0)="","(بدون عنوان)",VLOOKUP(LEFT(UPPER(TRIM($E477)),6),BankTbl,2,0)),"بانک ناشناخته"))</f>
        <v/>
      </c>
      <c r="G477" s="11" t="n"/>
      <c r="H477" s="10">
        <f>IF($G477="","",IFERROR(VLOOKUP($G477,CustTbl,2,0),IFERROR(VLOOKUP($G477,SuppTbl,2,0),IFERROR(VLOOKUP($G477,AcctTbl,2,0),IFERROR(VLOOKUP($G477,StaffTbl,2,0),"کد ناشناخته")))))</f>
        <v/>
      </c>
      <c r="I477" s="12" t="n"/>
      <c r="J477" s="12" t="n"/>
      <c r="K477" s="13" t="n"/>
      <c r="L477" s="13" t="n"/>
      <c r="M477" s="13" t="n"/>
      <c r="N477" s="14">
        <f>IF(OR($C477="",$E477="",Calc!$H477=""),"",IFERROR(VLOOKUP(LEFT(UPPER(TRIM($E477)),6),BankTbl,3,0),0)+SUMIFS(CalcDep,CalcBank,LEFT(UPPER(TRIM($E477)),6),CalcKey,"&lt;="&amp;Calc!$H477)-SUMIFS(CalcWit,CalcBank,LEFT(UPPER(TRIM($E477)),6),CalcKey,"&lt;="&amp;Calc!$H477))</f>
        <v/>
      </c>
      <c r="O477" s="10">
        <f>IF(OR($C477="",$M477=""),"",IF($N477="","؟",IF(ROUND($M477-$N477,0)=0,"√","×")))</f>
        <v/>
      </c>
      <c r="P477" s="12" t="n"/>
    </row>
    <row r="478">
      <c r="A478" s="10">
        <f>IF($C478="","",COUNTA($C$9:$C478))</f>
        <v/>
      </c>
      <c r="B478" s="10">
        <f>IF($C478="","","TXN-"&amp;RIGHT("0000"&amp;470,4))</f>
        <v/>
      </c>
      <c r="C478" s="11" t="n"/>
      <c r="D478" s="11" t="n"/>
      <c r="E478" s="12" t="n"/>
      <c r="F478" s="10">
        <f>IF($E478="","",IFERROR(IF(VLOOKUP(LEFT(UPPER(TRIM($E478)),6),BankTbl,2,0)="","(بدون عنوان)",VLOOKUP(LEFT(UPPER(TRIM($E478)),6),BankTbl,2,0)),"بانک ناشناخته"))</f>
        <v/>
      </c>
      <c r="G478" s="11" t="n"/>
      <c r="H478" s="10">
        <f>IF($G478="","",IFERROR(VLOOKUP($G478,CustTbl,2,0),IFERROR(VLOOKUP($G478,SuppTbl,2,0),IFERROR(VLOOKUP($G478,AcctTbl,2,0),IFERROR(VLOOKUP($G478,StaffTbl,2,0),"کد ناشناخته")))))</f>
        <v/>
      </c>
      <c r="I478" s="12" t="n"/>
      <c r="J478" s="12" t="n"/>
      <c r="K478" s="13" t="n"/>
      <c r="L478" s="13" t="n"/>
      <c r="M478" s="13" t="n"/>
      <c r="N478" s="14">
        <f>IF(OR($C478="",$E478="",Calc!$H478=""),"",IFERROR(VLOOKUP(LEFT(UPPER(TRIM($E478)),6),BankTbl,3,0),0)+SUMIFS(CalcDep,CalcBank,LEFT(UPPER(TRIM($E478)),6),CalcKey,"&lt;="&amp;Calc!$H478)-SUMIFS(CalcWit,CalcBank,LEFT(UPPER(TRIM($E478)),6),CalcKey,"&lt;="&amp;Calc!$H478))</f>
        <v/>
      </c>
      <c r="O478" s="10">
        <f>IF(OR($C478="",$M478=""),"",IF($N478="","؟",IF(ROUND($M478-$N478,0)=0,"√","×")))</f>
        <v/>
      </c>
      <c r="P478" s="12" t="n"/>
    </row>
    <row r="479">
      <c r="A479" s="10">
        <f>IF($C479="","",COUNTA($C$9:$C479))</f>
        <v/>
      </c>
      <c r="B479" s="10">
        <f>IF($C479="","","TXN-"&amp;RIGHT("0000"&amp;471,4))</f>
        <v/>
      </c>
      <c r="C479" s="11" t="n"/>
      <c r="D479" s="11" t="n"/>
      <c r="E479" s="12" t="n"/>
      <c r="F479" s="10">
        <f>IF($E479="","",IFERROR(IF(VLOOKUP(LEFT(UPPER(TRIM($E479)),6),BankTbl,2,0)="","(بدون عنوان)",VLOOKUP(LEFT(UPPER(TRIM($E479)),6),BankTbl,2,0)),"بانک ناشناخته"))</f>
        <v/>
      </c>
      <c r="G479" s="11" t="n"/>
      <c r="H479" s="10">
        <f>IF($G479="","",IFERROR(VLOOKUP($G479,CustTbl,2,0),IFERROR(VLOOKUP($G479,SuppTbl,2,0),IFERROR(VLOOKUP($G479,AcctTbl,2,0),IFERROR(VLOOKUP($G479,StaffTbl,2,0),"کد ناشناخته")))))</f>
        <v/>
      </c>
      <c r="I479" s="12" t="n"/>
      <c r="J479" s="12" t="n"/>
      <c r="K479" s="13" t="n"/>
      <c r="L479" s="13" t="n"/>
      <c r="M479" s="13" t="n"/>
      <c r="N479" s="14">
        <f>IF(OR($C479="",$E479="",Calc!$H479=""),"",IFERROR(VLOOKUP(LEFT(UPPER(TRIM($E479)),6),BankTbl,3,0),0)+SUMIFS(CalcDep,CalcBank,LEFT(UPPER(TRIM($E479)),6),CalcKey,"&lt;="&amp;Calc!$H479)-SUMIFS(CalcWit,CalcBank,LEFT(UPPER(TRIM($E479)),6),CalcKey,"&lt;="&amp;Calc!$H479))</f>
        <v/>
      </c>
      <c r="O479" s="10">
        <f>IF(OR($C479="",$M479=""),"",IF($N479="","؟",IF(ROUND($M479-$N479,0)=0,"√","×")))</f>
        <v/>
      </c>
      <c r="P479" s="12" t="n"/>
    </row>
    <row r="480">
      <c r="A480" s="10">
        <f>IF($C480="","",COUNTA($C$9:$C480))</f>
        <v/>
      </c>
      <c r="B480" s="10">
        <f>IF($C480="","","TXN-"&amp;RIGHT("0000"&amp;472,4))</f>
        <v/>
      </c>
      <c r="C480" s="11" t="n"/>
      <c r="D480" s="11" t="n"/>
      <c r="E480" s="12" t="n"/>
      <c r="F480" s="10">
        <f>IF($E480="","",IFERROR(IF(VLOOKUP(LEFT(UPPER(TRIM($E480)),6),BankTbl,2,0)="","(بدون عنوان)",VLOOKUP(LEFT(UPPER(TRIM($E480)),6),BankTbl,2,0)),"بانک ناشناخته"))</f>
        <v/>
      </c>
      <c r="G480" s="11" t="n"/>
      <c r="H480" s="10">
        <f>IF($G480="","",IFERROR(VLOOKUP($G480,CustTbl,2,0),IFERROR(VLOOKUP($G480,SuppTbl,2,0),IFERROR(VLOOKUP($G480,AcctTbl,2,0),IFERROR(VLOOKUP($G480,StaffTbl,2,0),"کد ناشناخته")))))</f>
        <v/>
      </c>
      <c r="I480" s="12" t="n"/>
      <c r="J480" s="12" t="n"/>
      <c r="K480" s="13" t="n"/>
      <c r="L480" s="13" t="n"/>
      <c r="M480" s="13" t="n"/>
      <c r="N480" s="14">
        <f>IF(OR($C480="",$E480="",Calc!$H480=""),"",IFERROR(VLOOKUP(LEFT(UPPER(TRIM($E480)),6),BankTbl,3,0),0)+SUMIFS(CalcDep,CalcBank,LEFT(UPPER(TRIM($E480)),6),CalcKey,"&lt;="&amp;Calc!$H480)-SUMIFS(CalcWit,CalcBank,LEFT(UPPER(TRIM($E480)),6),CalcKey,"&lt;="&amp;Calc!$H480))</f>
        <v/>
      </c>
      <c r="O480" s="10">
        <f>IF(OR($C480="",$M480=""),"",IF($N480="","؟",IF(ROUND($M480-$N480,0)=0,"√","×")))</f>
        <v/>
      </c>
      <c r="P480" s="12" t="n"/>
    </row>
    <row r="481">
      <c r="A481" s="10">
        <f>IF($C481="","",COUNTA($C$9:$C481))</f>
        <v/>
      </c>
      <c r="B481" s="10">
        <f>IF($C481="","","TXN-"&amp;RIGHT("0000"&amp;473,4))</f>
        <v/>
      </c>
      <c r="C481" s="11" t="n"/>
      <c r="D481" s="11" t="n"/>
      <c r="E481" s="12" t="n"/>
      <c r="F481" s="10">
        <f>IF($E481="","",IFERROR(IF(VLOOKUP(LEFT(UPPER(TRIM($E481)),6),BankTbl,2,0)="","(بدون عنوان)",VLOOKUP(LEFT(UPPER(TRIM($E481)),6),BankTbl,2,0)),"بانک ناشناخته"))</f>
        <v/>
      </c>
      <c r="G481" s="11" t="n"/>
      <c r="H481" s="10">
        <f>IF($G481="","",IFERROR(VLOOKUP($G481,CustTbl,2,0),IFERROR(VLOOKUP($G481,SuppTbl,2,0),IFERROR(VLOOKUP($G481,AcctTbl,2,0),IFERROR(VLOOKUP($G481,StaffTbl,2,0),"کد ناشناخته")))))</f>
        <v/>
      </c>
      <c r="I481" s="12" t="n"/>
      <c r="J481" s="12" t="n"/>
      <c r="K481" s="13" t="n"/>
      <c r="L481" s="13" t="n"/>
      <c r="M481" s="13" t="n"/>
      <c r="N481" s="14">
        <f>IF(OR($C481="",$E481="",Calc!$H481=""),"",IFERROR(VLOOKUP(LEFT(UPPER(TRIM($E481)),6),BankTbl,3,0),0)+SUMIFS(CalcDep,CalcBank,LEFT(UPPER(TRIM($E481)),6),CalcKey,"&lt;="&amp;Calc!$H481)-SUMIFS(CalcWit,CalcBank,LEFT(UPPER(TRIM($E481)),6),CalcKey,"&lt;="&amp;Calc!$H481))</f>
        <v/>
      </c>
      <c r="O481" s="10">
        <f>IF(OR($C481="",$M481=""),"",IF($N481="","؟",IF(ROUND($M481-$N481,0)=0,"√","×")))</f>
        <v/>
      </c>
      <c r="P481" s="12" t="n"/>
    </row>
    <row r="482">
      <c r="A482" s="10">
        <f>IF($C482="","",COUNTA($C$9:$C482))</f>
        <v/>
      </c>
      <c r="B482" s="10">
        <f>IF($C482="","","TXN-"&amp;RIGHT("0000"&amp;474,4))</f>
        <v/>
      </c>
      <c r="C482" s="11" t="n"/>
      <c r="D482" s="11" t="n"/>
      <c r="E482" s="12" t="n"/>
      <c r="F482" s="10">
        <f>IF($E482="","",IFERROR(IF(VLOOKUP(LEFT(UPPER(TRIM($E482)),6),BankTbl,2,0)="","(بدون عنوان)",VLOOKUP(LEFT(UPPER(TRIM($E482)),6),BankTbl,2,0)),"بانک ناشناخته"))</f>
        <v/>
      </c>
      <c r="G482" s="11" t="n"/>
      <c r="H482" s="10">
        <f>IF($G482="","",IFERROR(VLOOKUP($G482,CustTbl,2,0),IFERROR(VLOOKUP($G482,SuppTbl,2,0),IFERROR(VLOOKUP($G482,AcctTbl,2,0),IFERROR(VLOOKUP($G482,StaffTbl,2,0),"کد ناشناخته")))))</f>
        <v/>
      </c>
      <c r="I482" s="12" t="n"/>
      <c r="J482" s="12" t="n"/>
      <c r="K482" s="13" t="n"/>
      <c r="L482" s="13" t="n"/>
      <c r="M482" s="13" t="n"/>
      <c r="N482" s="14">
        <f>IF(OR($C482="",$E482="",Calc!$H482=""),"",IFERROR(VLOOKUP(LEFT(UPPER(TRIM($E482)),6),BankTbl,3,0),0)+SUMIFS(CalcDep,CalcBank,LEFT(UPPER(TRIM($E482)),6),CalcKey,"&lt;="&amp;Calc!$H482)-SUMIFS(CalcWit,CalcBank,LEFT(UPPER(TRIM($E482)),6),CalcKey,"&lt;="&amp;Calc!$H482))</f>
        <v/>
      </c>
      <c r="O482" s="10">
        <f>IF(OR($C482="",$M482=""),"",IF($N482="","؟",IF(ROUND($M482-$N482,0)=0,"√","×")))</f>
        <v/>
      </c>
      <c r="P482" s="12" t="n"/>
    </row>
    <row r="483">
      <c r="A483" s="10">
        <f>IF($C483="","",COUNTA($C$9:$C483))</f>
        <v/>
      </c>
      <c r="B483" s="10">
        <f>IF($C483="","","TXN-"&amp;RIGHT("0000"&amp;475,4))</f>
        <v/>
      </c>
      <c r="C483" s="11" t="n"/>
      <c r="D483" s="11" t="n"/>
      <c r="E483" s="12" t="n"/>
      <c r="F483" s="10">
        <f>IF($E483="","",IFERROR(IF(VLOOKUP(LEFT(UPPER(TRIM($E483)),6),BankTbl,2,0)="","(بدون عنوان)",VLOOKUP(LEFT(UPPER(TRIM($E483)),6),BankTbl,2,0)),"بانک ناشناخته"))</f>
        <v/>
      </c>
      <c r="G483" s="11" t="n"/>
      <c r="H483" s="10">
        <f>IF($G483="","",IFERROR(VLOOKUP($G483,CustTbl,2,0),IFERROR(VLOOKUP($G483,SuppTbl,2,0),IFERROR(VLOOKUP($G483,AcctTbl,2,0),IFERROR(VLOOKUP($G483,StaffTbl,2,0),"کد ناشناخته")))))</f>
        <v/>
      </c>
      <c r="I483" s="12" t="n"/>
      <c r="J483" s="12" t="n"/>
      <c r="K483" s="13" t="n"/>
      <c r="L483" s="13" t="n"/>
      <c r="M483" s="13" t="n"/>
      <c r="N483" s="14">
        <f>IF(OR($C483="",$E483="",Calc!$H483=""),"",IFERROR(VLOOKUP(LEFT(UPPER(TRIM($E483)),6),BankTbl,3,0),0)+SUMIFS(CalcDep,CalcBank,LEFT(UPPER(TRIM($E483)),6),CalcKey,"&lt;="&amp;Calc!$H483)-SUMIFS(CalcWit,CalcBank,LEFT(UPPER(TRIM($E483)),6),CalcKey,"&lt;="&amp;Calc!$H483))</f>
        <v/>
      </c>
      <c r="O483" s="10">
        <f>IF(OR($C483="",$M483=""),"",IF($N483="","؟",IF(ROUND($M483-$N483,0)=0,"√","×")))</f>
        <v/>
      </c>
      <c r="P483" s="12" t="n"/>
    </row>
    <row r="484">
      <c r="A484" s="10">
        <f>IF($C484="","",COUNTA($C$9:$C484))</f>
        <v/>
      </c>
      <c r="B484" s="10">
        <f>IF($C484="","","TXN-"&amp;RIGHT("0000"&amp;476,4))</f>
        <v/>
      </c>
      <c r="C484" s="11" t="n"/>
      <c r="D484" s="11" t="n"/>
      <c r="E484" s="12" t="n"/>
      <c r="F484" s="10">
        <f>IF($E484="","",IFERROR(IF(VLOOKUP(LEFT(UPPER(TRIM($E484)),6),BankTbl,2,0)="","(بدون عنوان)",VLOOKUP(LEFT(UPPER(TRIM($E484)),6),BankTbl,2,0)),"بانک ناشناخته"))</f>
        <v/>
      </c>
      <c r="G484" s="11" t="n"/>
      <c r="H484" s="10">
        <f>IF($G484="","",IFERROR(VLOOKUP($G484,CustTbl,2,0),IFERROR(VLOOKUP($G484,SuppTbl,2,0),IFERROR(VLOOKUP($G484,AcctTbl,2,0),IFERROR(VLOOKUP($G484,StaffTbl,2,0),"کد ناشناخته")))))</f>
        <v/>
      </c>
      <c r="I484" s="12" t="n"/>
      <c r="J484" s="12" t="n"/>
      <c r="K484" s="13" t="n"/>
      <c r="L484" s="13" t="n"/>
      <c r="M484" s="13" t="n"/>
      <c r="N484" s="14">
        <f>IF(OR($C484="",$E484="",Calc!$H484=""),"",IFERROR(VLOOKUP(LEFT(UPPER(TRIM($E484)),6),BankTbl,3,0),0)+SUMIFS(CalcDep,CalcBank,LEFT(UPPER(TRIM($E484)),6),CalcKey,"&lt;="&amp;Calc!$H484)-SUMIFS(CalcWit,CalcBank,LEFT(UPPER(TRIM($E484)),6),CalcKey,"&lt;="&amp;Calc!$H484))</f>
        <v/>
      </c>
      <c r="O484" s="10">
        <f>IF(OR($C484="",$M484=""),"",IF($N484="","؟",IF(ROUND($M484-$N484,0)=0,"√","×")))</f>
        <v/>
      </c>
      <c r="P484" s="12" t="n"/>
    </row>
    <row r="485">
      <c r="A485" s="10">
        <f>IF($C485="","",COUNTA($C$9:$C485))</f>
        <v/>
      </c>
      <c r="B485" s="10">
        <f>IF($C485="","","TXN-"&amp;RIGHT("0000"&amp;477,4))</f>
        <v/>
      </c>
      <c r="C485" s="11" t="n"/>
      <c r="D485" s="11" t="n"/>
      <c r="E485" s="12" t="n"/>
      <c r="F485" s="10">
        <f>IF($E485="","",IFERROR(IF(VLOOKUP(LEFT(UPPER(TRIM($E485)),6),BankTbl,2,0)="","(بدون عنوان)",VLOOKUP(LEFT(UPPER(TRIM($E485)),6),BankTbl,2,0)),"بانک ناشناخته"))</f>
        <v/>
      </c>
      <c r="G485" s="11" t="n"/>
      <c r="H485" s="10">
        <f>IF($G485="","",IFERROR(VLOOKUP($G485,CustTbl,2,0),IFERROR(VLOOKUP($G485,SuppTbl,2,0),IFERROR(VLOOKUP($G485,AcctTbl,2,0),IFERROR(VLOOKUP($G485,StaffTbl,2,0),"کد ناشناخته")))))</f>
        <v/>
      </c>
      <c r="I485" s="12" t="n"/>
      <c r="J485" s="12" t="n"/>
      <c r="K485" s="13" t="n"/>
      <c r="L485" s="13" t="n"/>
      <c r="M485" s="13" t="n"/>
      <c r="N485" s="14">
        <f>IF(OR($C485="",$E485="",Calc!$H485=""),"",IFERROR(VLOOKUP(LEFT(UPPER(TRIM($E485)),6),BankTbl,3,0),0)+SUMIFS(CalcDep,CalcBank,LEFT(UPPER(TRIM($E485)),6),CalcKey,"&lt;="&amp;Calc!$H485)-SUMIFS(CalcWit,CalcBank,LEFT(UPPER(TRIM($E485)),6),CalcKey,"&lt;="&amp;Calc!$H485))</f>
        <v/>
      </c>
      <c r="O485" s="10">
        <f>IF(OR($C485="",$M485=""),"",IF($N485="","؟",IF(ROUND($M485-$N485,0)=0,"√","×")))</f>
        <v/>
      </c>
      <c r="P485" s="12" t="n"/>
    </row>
    <row r="486">
      <c r="A486" s="10">
        <f>IF($C486="","",COUNTA($C$9:$C486))</f>
        <v/>
      </c>
      <c r="B486" s="10">
        <f>IF($C486="","","TXN-"&amp;RIGHT("0000"&amp;478,4))</f>
        <v/>
      </c>
      <c r="C486" s="11" t="n"/>
      <c r="D486" s="11" t="n"/>
      <c r="E486" s="12" t="n"/>
      <c r="F486" s="10">
        <f>IF($E486="","",IFERROR(IF(VLOOKUP(LEFT(UPPER(TRIM($E486)),6),BankTbl,2,0)="","(بدون عنوان)",VLOOKUP(LEFT(UPPER(TRIM($E486)),6),BankTbl,2,0)),"بانک ناشناخته"))</f>
        <v/>
      </c>
      <c r="G486" s="11" t="n"/>
      <c r="H486" s="10">
        <f>IF($G486="","",IFERROR(VLOOKUP($G486,CustTbl,2,0),IFERROR(VLOOKUP($G486,SuppTbl,2,0),IFERROR(VLOOKUP($G486,AcctTbl,2,0),IFERROR(VLOOKUP($G486,StaffTbl,2,0),"کد ناشناخته")))))</f>
        <v/>
      </c>
      <c r="I486" s="12" t="n"/>
      <c r="J486" s="12" t="n"/>
      <c r="K486" s="13" t="n"/>
      <c r="L486" s="13" t="n"/>
      <c r="M486" s="13" t="n"/>
      <c r="N486" s="14">
        <f>IF(OR($C486="",$E486="",Calc!$H486=""),"",IFERROR(VLOOKUP(LEFT(UPPER(TRIM($E486)),6),BankTbl,3,0),0)+SUMIFS(CalcDep,CalcBank,LEFT(UPPER(TRIM($E486)),6),CalcKey,"&lt;="&amp;Calc!$H486)-SUMIFS(CalcWit,CalcBank,LEFT(UPPER(TRIM($E486)),6),CalcKey,"&lt;="&amp;Calc!$H486))</f>
        <v/>
      </c>
      <c r="O486" s="10">
        <f>IF(OR($C486="",$M486=""),"",IF($N486="","؟",IF(ROUND($M486-$N486,0)=0,"√","×")))</f>
        <v/>
      </c>
      <c r="P486" s="12" t="n"/>
    </row>
    <row r="487">
      <c r="A487" s="10">
        <f>IF($C487="","",COUNTA($C$9:$C487))</f>
        <v/>
      </c>
      <c r="B487" s="10">
        <f>IF($C487="","","TXN-"&amp;RIGHT("0000"&amp;479,4))</f>
        <v/>
      </c>
      <c r="C487" s="11" t="n"/>
      <c r="D487" s="11" t="n"/>
      <c r="E487" s="12" t="n"/>
      <c r="F487" s="10">
        <f>IF($E487="","",IFERROR(IF(VLOOKUP(LEFT(UPPER(TRIM($E487)),6),BankTbl,2,0)="","(بدون عنوان)",VLOOKUP(LEFT(UPPER(TRIM($E487)),6),BankTbl,2,0)),"بانک ناشناخته"))</f>
        <v/>
      </c>
      <c r="G487" s="11" t="n"/>
      <c r="H487" s="10">
        <f>IF($G487="","",IFERROR(VLOOKUP($G487,CustTbl,2,0),IFERROR(VLOOKUP($G487,SuppTbl,2,0),IFERROR(VLOOKUP($G487,AcctTbl,2,0),IFERROR(VLOOKUP($G487,StaffTbl,2,0),"کد ناشناخته")))))</f>
        <v/>
      </c>
      <c r="I487" s="12" t="n"/>
      <c r="J487" s="12" t="n"/>
      <c r="K487" s="13" t="n"/>
      <c r="L487" s="13" t="n"/>
      <c r="M487" s="13" t="n"/>
      <c r="N487" s="14">
        <f>IF(OR($C487="",$E487="",Calc!$H487=""),"",IFERROR(VLOOKUP(LEFT(UPPER(TRIM($E487)),6),BankTbl,3,0),0)+SUMIFS(CalcDep,CalcBank,LEFT(UPPER(TRIM($E487)),6),CalcKey,"&lt;="&amp;Calc!$H487)-SUMIFS(CalcWit,CalcBank,LEFT(UPPER(TRIM($E487)),6),CalcKey,"&lt;="&amp;Calc!$H487))</f>
        <v/>
      </c>
      <c r="O487" s="10">
        <f>IF(OR($C487="",$M487=""),"",IF($N487="","؟",IF(ROUND($M487-$N487,0)=0,"√","×")))</f>
        <v/>
      </c>
      <c r="P487" s="12" t="n"/>
    </row>
    <row r="488">
      <c r="A488" s="10">
        <f>IF($C488="","",COUNTA($C$9:$C488))</f>
        <v/>
      </c>
      <c r="B488" s="10">
        <f>IF($C488="","","TXN-"&amp;RIGHT("0000"&amp;480,4))</f>
        <v/>
      </c>
      <c r="C488" s="11" t="n"/>
      <c r="D488" s="11" t="n"/>
      <c r="E488" s="12" t="n"/>
      <c r="F488" s="10">
        <f>IF($E488="","",IFERROR(IF(VLOOKUP(LEFT(UPPER(TRIM($E488)),6),BankTbl,2,0)="","(بدون عنوان)",VLOOKUP(LEFT(UPPER(TRIM($E488)),6),BankTbl,2,0)),"بانک ناشناخته"))</f>
        <v/>
      </c>
      <c r="G488" s="11" t="n"/>
      <c r="H488" s="10">
        <f>IF($G488="","",IFERROR(VLOOKUP($G488,CustTbl,2,0),IFERROR(VLOOKUP($G488,SuppTbl,2,0),IFERROR(VLOOKUP($G488,AcctTbl,2,0),IFERROR(VLOOKUP($G488,StaffTbl,2,0),"کد ناشناخته")))))</f>
        <v/>
      </c>
      <c r="I488" s="12" t="n"/>
      <c r="J488" s="12" t="n"/>
      <c r="K488" s="13" t="n"/>
      <c r="L488" s="13" t="n"/>
      <c r="M488" s="13" t="n"/>
      <c r="N488" s="14">
        <f>IF(OR($C488="",$E488="",Calc!$H488=""),"",IFERROR(VLOOKUP(LEFT(UPPER(TRIM($E488)),6),BankTbl,3,0),0)+SUMIFS(CalcDep,CalcBank,LEFT(UPPER(TRIM($E488)),6),CalcKey,"&lt;="&amp;Calc!$H488)-SUMIFS(CalcWit,CalcBank,LEFT(UPPER(TRIM($E488)),6),CalcKey,"&lt;="&amp;Calc!$H488))</f>
        <v/>
      </c>
      <c r="O488" s="10">
        <f>IF(OR($C488="",$M488=""),"",IF($N488="","؟",IF(ROUND($M488-$N488,0)=0,"√","×")))</f>
        <v/>
      </c>
      <c r="P488" s="12" t="n"/>
    </row>
    <row r="489">
      <c r="A489" s="10">
        <f>IF($C489="","",COUNTA($C$9:$C489))</f>
        <v/>
      </c>
      <c r="B489" s="10">
        <f>IF($C489="","","TXN-"&amp;RIGHT("0000"&amp;481,4))</f>
        <v/>
      </c>
      <c r="C489" s="11" t="n"/>
      <c r="D489" s="11" t="n"/>
      <c r="E489" s="12" t="n"/>
      <c r="F489" s="10">
        <f>IF($E489="","",IFERROR(IF(VLOOKUP(LEFT(UPPER(TRIM($E489)),6),BankTbl,2,0)="","(بدون عنوان)",VLOOKUP(LEFT(UPPER(TRIM($E489)),6),BankTbl,2,0)),"بانک ناشناخته"))</f>
        <v/>
      </c>
      <c r="G489" s="11" t="n"/>
      <c r="H489" s="10">
        <f>IF($G489="","",IFERROR(VLOOKUP($G489,CustTbl,2,0),IFERROR(VLOOKUP($G489,SuppTbl,2,0),IFERROR(VLOOKUP($G489,AcctTbl,2,0),IFERROR(VLOOKUP($G489,StaffTbl,2,0),"کد ناشناخته")))))</f>
        <v/>
      </c>
      <c r="I489" s="12" t="n"/>
      <c r="J489" s="12" t="n"/>
      <c r="K489" s="13" t="n"/>
      <c r="L489" s="13" t="n"/>
      <c r="M489" s="13" t="n"/>
      <c r="N489" s="14">
        <f>IF(OR($C489="",$E489="",Calc!$H489=""),"",IFERROR(VLOOKUP(LEFT(UPPER(TRIM($E489)),6),BankTbl,3,0),0)+SUMIFS(CalcDep,CalcBank,LEFT(UPPER(TRIM($E489)),6),CalcKey,"&lt;="&amp;Calc!$H489)-SUMIFS(CalcWit,CalcBank,LEFT(UPPER(TRIM($E489)),6),CalcKey,"&lt;="&amp;Calc!$H489))</f>
        <v/>
      </c>
      <c r="O489" s="10">
        <f>IF(OR($C489="",$M489=""),"",IF($N489="","؟",IF(ROUND($M489-$N489,0)=0,"√","×")))</f>
        <v/>
      </c>
      <c r="P489" s="12" t="n"/>
    </row>
    <row r="490">
      <c r="A490" s="10">
        <f>IF($C490="","",COUNTA($C$9:$C490))</f>
        <v/>
      </c>
      <c r="B490" s="10">
        <f>IF($C490="","","TXN-"&amp;RIGHT("0000"&amp;482,4))</f>
        <v/>
      </c>
      <c r="C490" s="11" t="n"/>
      <c r="D490" s="11" t="n"/>
      <c r="E490" s="12" t="n"/>
      <c r="F490" s="10">
        <f>IF($E490="","",IFERROR(IF(VLOOKUP(LEFT(UPPER(TRIM($E490)),6),BankTbl,2,0)="","(بدون عنوان)",VLOOKUP(LEFT(UPPER(TRIM($E490)),6),BankTbl,2,0)),"بانک ناشناخته"))</f>
        <v/>
      </c>
      <c r="G490" s="11" t="n"/>
      <c r="H490" s="10">
        <f>IF($G490="","",IFERROR(VLOOKUP($G490,CustTbl,2,0),IFERROR(VLOOKUP($G490,SuppTbl,2,0),IFERROR(VLOOKUP($G490,AcctTbl,2,0),IFERROR(VLOOKUP($G490,StaffTbl,2,0),"کد ناشناخته")))))</f>
        <v/>
      </c>
      <c r="I490" s="12" t="n"/>
      <c r="J490" s="12" t="n"/>
      <c r="K490" s="13" t="n"/>
      <c r="L490" s="13" t="n"/>
      <c r="M490" s="13" t="n"/>
      <c r="N490" s="14">
        <f>IF(OR($C490="",$E490="",Calc!$H490=""),"",IFERROR(VLOOKUP(LEFT(UPPER(TRIM($E490)),6),BankTbl,3,0),0)+SUMIFS(CalcDep,CalcBank,LEFT(UPPER(TRIM($E490)),6),CalcKey,"&lt;="&amp;Calc!$H490)-SUMIFS(CalcWit,CalcBank,LEFT(UPPER(TRIM($E490)),6),CalcKey,"&lt;="&amp;Calc!$H490))</f>
        <v/>
      </c>
      <c r="O490" s="10">
        <f>IF(OR($C490="",$M490=""),"",IF($N490="","؟",IF(ROUND($M490-$N490,0)=0,"√","×")))</f>
        <v/>
      </c>
      <c r="P490" s="12" t="n"/>
    </row>
    <row r="491">
      <c r="A491" s="10">
        <f>IF($C491="","",COUNTA($C$9:$C491))</f>
        <v/>
      </c>
      <c r="B491" s="10">
        <f>IF($C491="","","TXN-"&amp;RIGHT("0000"&amp;483,4))</f>
        <v/>
      </c>
      <c r="C491" s="11" t="n"/>
      <c r="D491" s="11" t="n"/>
      <c r="E491" s="12" t="n"/>
      <c r="F491" s="10">
        <f>IF($E491="","",IFERROR(IF(VLOOKUP(LEFT(UPPER(TRIM($E491)),6),BankTbl,2,0)="","(بدون عنوان)",VLOOKUP(LEFT(UPPER(TRIM($E491)),6),BankTbl,2,0)),"بانک ناشناخته"))</f>
        <v/>
      </c>
      <c r="G491" s="11" t="n"/>
      <c r="H491" s="10">
        <f>IF($G491="","",IFERROR(VLOOKUP($G491,CustTbl,2,0),IFERROR(VLOOKUP($G491,SuppTbl,2,0),IFERROR(VLOOKUP($G491,AcctTbl,2,0),IFERROR(VLOOKUP($G491,StaffTbl,2,0),"کد ناشناخته")))))</f>
        <v/>
      </c>
      <c r="I491" s="12" t="n"/>
      <c r="J491" s="12" t="n"/>
      <c r="K491" s="13" t="n"/>
      <c r="L491" s="13" t="n"/>
      <c r="M491" s="13" t="n"/>
      <c r="N491" s="14">
        <f>IF(OR($C491="",$E491="",Calc!$H491=""),"",IFERROR(VLOOKUP(LEFT(UPPER(TRIM($E491)),6),BankTbl,3,0),0)+SUMIFS(CalcDep,CalcBank,LEFT(UPPER(TRIM($E491)),6),CalcKey,"&lt;="&amp;Calc!$H491)-SUMIFS(CalcWit,CalcBank,LEFT(UPPER(TRIM($E491)),6),CalcKey,"&lt;="&amp;Calc!$H491))</f>
        <v/>
      </c>
      <c r="O491" s="10">
        <f>IF(OR($C491="",$M491=""),"",IF($N491="","؟",IF(ROUND($M491-$N491,0)=0,"√","×")))</f>
        <v/>
      </c>
      <c r="P491" s="12" t="n"/>
    </row>
    <row r="492">
      <c r="A492" s="10">
        <f>IF($C492="","",COUNTA($C$9:$C492))</f>
        <v/>
      </c>
      <c r="B492" s="10">
        <f>IF($C492="","","TXN-"&amp;RIGHT("0000"&amp;484,4))</f>
        <v/>
      </c>
      <c r="C492" s="11" t="n"/>
      <c r="D492" s="11" t="n"/>
      <c r="E492" s="12" t="n"/>
      <c r="F492" s="10">
        <f>IF($E492="","",IFERROR(IF(VLOOKUP(LEFT(UPPER(TRIM($E492)),6),BankTbl,2,0)="","(بدون عنوان)",VLOOKUP(LEFT(UPPER(TRIM($E492)),6),BankTbl,2,0)),"بانک ناشناخته"))</f>
        <v/>
      </c>
      <c r="G492" s="11" t="n"/>
      <c r="H492" s="10">
        <f>IF($G492="","",IFERROR(VLOOKUP($G492,CustTbl,2,0),IFERROR(VLOOKUP($G492,SuppTbl,2,0),IFERROR(VLOOKUP($G492,AcctTbl,2,0),IFERROR(VLOOKUP($G492,StaffTbl,2,0),"کد ناشناخته")))))</f>
        <v/>
      </c>
      <c r="I492" s="12" t="n"/>
      <c r="J492" s="12" t="n"/>
      <c r="K492" s="13" t="n"/>
      <c r="L492" s="13" t="n"/>
      <c r="M492" s="13" t="n"/>
      <c r="N492" s="14">
        <f>IF(OR($C492="",$E492="",Calc!$H492=""),"",IFERROR(VLOOKUP(LEFT(UPPER(TRIM($E492)),6),BankTbl,3,0),0)+SUMIFS(CalcDep,CalcBank,LEFT(UPPER(TRIM($E492)),6),CalcKey,"&lt;="&amp;Calc!$H492)-SUMIFS(CalcWit,CalcBank,LEFT(UPPER(TRIM($E492)),6),CalcKey,"&lt;="&amp;Calc!$H492))</f>
        <v/>
      </c>
      <c r="O492" s="10">
        <f>IF(OR($C492="",$M492=""),"",IF($N492="","؟",IF(ROUND($M492-$N492,0)=0,"√","×")))</f>
        <v/>
      </c>
      <c r="P492" s="12" t="n"/>
    </row>
    <row r="493">
      <c r="A493" s="10">
        <f>IF($C493="","",COUNTA($C$9:$C493))</f>
        <v/>
      </c>
      <c r="B493" s="10">
        <f>IF($C493="","","TXN-"&amp;RIGHT("0000"&amp;485,4))</f>
        <v/>
      </c>
      <c r="C493" s="11" t="n"/>
      <c r="D493" s="11" t="n"/>
      <c r="E493" s="12" t="n"/>
      <c r="F493" s="10">
        <f>IF($E493="","",IFERROR(IF(VLOOKUP(LEFT(UPPER(TRIM($E493)),6),BankTbl,2,0)="","(بدون عنوان)",VLOOKUP(LEFT(UPPER(TRIM($E493)),6),BankTbl,2,0)),"بانک ناشناخته"))</f>
        <v/>
      </c>
      <c r="G493" s="11" t="n"/>
      <c r="H493" s="10">
        <f>IF($G493="","",IFERROR(VLOOKUP($G493,CustTbl,2,0),IFERROR(VLOOKUP($G493,SuppTbl,2,0),IFERROR(VLOOKUP($G493,AcctTbl,2,0),IFERROR(VLOOKUP($G493,StaffTbl,2,0),"کد ناشناخته")))))</f>
        <v/>
      </c>
      <c r="I493" s="12" t="n"/>
      <c r="J493" s="12" t="n"/>
      <c r="K493" s="13" t="n"/>
      <c r="L493" s="13" t="n"/>
      <c r="M493" s="13" t="n"/>
      <c r="N493" s="14">
        <f>IF(OR($C493="",$E493="",Calc!$H493=""),"",IFERROR(VLOOKUP(LEFT(UPPER(TRIM($E493)),6),BankTbl,3,0),0)+SUMIFS(CalcDep,CalcBank,LEFT(UPPER(TRIM($E493)),6),CalcKey,"&lt;="&amp;Calc!$H493)-SUMIFS(CalcWit,CalcBank,LEFT(UPPER(TRIM($E493)),6),CalcKey,"&lt;="&amp;Calc!$H493))</f>
        <v/>
      </c>
      <c r="O493" s="10">
        <f>IF(OR($C493="",$M493=""),"",IF($N493="","؟",IF(ROUND($M493-$N493,0)=0,"√","×")))</f>
        <v/>
      </c>
      <c r="P493" s="12" t="n"/>
    </row>
    <row r="494">
      <c r="A494" s="10">
        <f>IF($C494="","",COUNTA($C$9:$C494))</f>
        <v/>
      </c>
      <c r="B494" s="10">
        <f>IF($C494="","","TXN-"&amp;RIGHT("0000"&amp;486,4))</f>
        <v/>
      </c>
      <c r="C494" s="11" t="n"/>
      <c r="D494" s="11" t="n"/>
      <c r="E494" s="12" t="n"/>
      <c r="F494" s="10">
        <f>IF($E494="","",IFERROR(IF(VLOOKUP(LEFT(UPPER(TRIM($E494)),6),BankTbl,2,0)="","(بدون عنوان)",VLOOKUP(LEFT(UPPER(TRIM($E494)),6),BankTbl,2,0)),"بانک ناشناخته"))</f>
        <v/>
      </c>
      <c r="G494" s="11" t="n"/>
      <c r="H494" s="10">
        <f>IF($G494="","",IFERROR(VLOOKUP($G494,CustTbl,2,0),IFERROR(VLOOKUP($G494,SuppTbl,2,0),IFERROR(VLOOKUP($G494,AcctTbl,2,0),IFERROR(VLOOKUP($G494,StaffTbl,2,0),"کد ناشناخته")))))</f>
        <v/>
      </c>
      <c r="I494" s="12" t="n"/>
      <c r="J494" s="12" t="n"/>
      <c r="K494" s="13" t="n"/>
      <c r="L494" s="13" t="n"/>
      <c r="M494" s="13" t="n"/>
      <c r="N494" s="14">
        <f>IF(OR($C494="",$E494="",Calc!$H494=""),"",IFERROR(VLOOKUP(LEFT(UPPER(TRIM($E494)),6),BankTbl,3,0),0)+SUMIFS(CalcDep,CalcBank,LEFT(UPPER(TRIM($E494)),6),CalcKey,"&lt;="&amp;Calc!$H494)-SUMIFS(CalcWit,CalcBank,LEFT(UPPER(TRIM($E494)),6),CalcKey,"&lt;="&amp;Calc!$H494))</f>
        <v/>
      </c>
      <c r="O494" s="10">
        <f>IF(OR($C494="",$M494=""),"",IF($N494="","؟",IF(ROUND($M494-$N494,0)=0,"√","×")))</f>
        <v/>
      </c>
      <c r="P494" s="12" t="n"/>
    </row>
    <row r="495">
      <c r="A495" s="10">
        <f>IF($C495="","",COUNTA($C$9:$C495))</f>
        <v/>
      </c>
      <c r="B495" s="10">
        <f>IF($C495="","","TXN-"&amp;RIGHT("0000"&amp;487,4))</f>
        <v/>
      </c>
      <c r="C495" s="11" t="n"/>
      <c r="D495" s="11" t="n"/>
      <c r="E495" s="12" t="n"/>
      <c r="F495" s="10">
        <f>IF($E495="","",IFERROR(IF(VLOOKUP(LEFT(UPPER(TRIM($E495)),6),BankTbl,2,0)="","(بدون عنوان)",VLOOKUP(LEFT(UPPER(TRIM($E495)),6),BankTbl,2,0)),"بانک ناشناخته"))</f>
        <v/>
      </c>
      <c r="G495" s="11" t="n"/>
      <c r="H495" s="10">
        <f>IF($G495="","",IFERROR(VLOOKUP($G495,CustTbl,2,0),IFERROR(VLOOKUP($G495,SuppTbl,2,0),IFERROR(VLOOKUP($G495,AcctTbl,2,0),IFERROR(VLOOKUP($G495,StaffTbl,2,0),"کد ناشناخته")))))</f>
        <v/>
      </c>
      <c r="I495" s="12" t="n"/>
      <c r="J495" s="12" t="n"/>
      <c r="K495" s="13" t="n"/>
      <c r="L495" s="13" t="n"/>
      <c r="M495" s="13" t="n"/>
      <c r="N495" s="14">
        <f>IF(OR($C495="",$E495="",Calc!$H495=""),"",IFERROR(VLOOKUP(LEFT(UPPER(TRIM($E495)),6),BankTbl,3,0),0)+SUMIFS(CalcDep,CalcBank,LEFT(UPPER(TRIM($E495)),6),CalcKey,"&lt;="&amp;Calc!$H495)-SUMIFS(CalcWit,CalcBank,LEFT(UPPER(TRIM($E495)),6),CalcKey,"&lt;="&amp;Calc!$H495))</f>
        <v/>
      </c>
      <c r="O495" s="10">
        <f>IF(OR($C495="",$M495=""),"",IF($N495="","؟",IF(ROUND($M495-$N495,0)=0,"√","×")))</f>
        <v/>
      </c>
      <c r="P495" s="12" t="n"/>
    </row>
    <row r="496">
      <c r="A496" s="10">
        <f>IF($C496="","",COUNTA($C$9:$C496))</f>
        <v/>
      </c>
      <c r="B496" s="10">
        <f>IF($C496="","","TXN-"&amp;RIGHT("0000"&amp;488,4))</f>
        <v/>
      </c>
      <c r="C496" s="11" t="n"/>
      <c r="D496" s="11" t="n"/>
      <c r="E496" s="12" t="n"/>
      <c r="F496" s="10">
        <f>IF($E496="","",IFERROR(IF(VLOOKUP(LEFT(UPPER(TRIM($E496)),6),BankTbl,2,0)="","(بدون عنوان)",VLOOKUP(LEFT(UPPER(TRIM($E496)),6),BankTbl,2,0)),"بانک ناشناخته"))</f>
        <v/>
      </c>
      <c r="G496" s="11" t="n"/>
      <c r="H496" s="10">
        <f>IF($G496="","",IFERROR(VLOOKUP($G496,CustTbl,2,0),IFERROR(VLOOKUP($G496,SuppTbl,2,0),IFERROR(VLOOKUP($G496,AcctTbl,2,0),IFERROR(VLOOKUP($G496,StaffTbl,2,0),"کد ناشناخته")))))</f>
        <v/>
      </c>
      <c r="I496" s="12" t="n"/>
      <c r="J496" s="12" t="n"/>
      <c r="K496" s="13" t="n"/>
      <c r="L496" s="13" t="n"/>
      <c r="M496" s="13" t="n"/>
      <c r="N496" s="14">
        <f>IF(OR($C496="",$E496="",Calc!$H496=""),"",IFERROR(VLOOKUP(LEFT(UPPER(TRIM($E496)),6),BankTbl,3,0),0)+SUMIFS(CalcDep,CalcBank,LEFT(UPPER(TRIM($E496)),6),CalcKey,"&lt;="&amp;Calc!$H496)-SUMIFS(CalcWit,CalcBank,LEFT(UPPER(TRIM($E496)),6),CalcKey,"&lt;="&amp;Calc!$H496))</f>
        <v/>
      </c>
      <c r="O496" s="10">
        <f>IF(OR($C496="",$M496=""),"",IF($N496="","؟",IF(ROUND($M496-$N496,0)=0,"√","×")))</f>
        <v/>
      </c>
      <c r="P496" s="12" t="n"/>
    </row>
    <row r="497">
      <c r="A497" s="10">
        <f>IF($C497="","",COUNTA($C$9:$C497))</f>
        <v/>
      </c>
      <c r="B497" s="10">
        <f>IF($C497="","","TXN-"&amp;RIGHT("0000"&amp;489,4))</f>
        <v/>
      </c>
      <c r="C497" s="11" t="n"/>
      <c r="D497" s="11" t="n"/>
      <c r="E497" s="12" t="n"/>
      <c r="F497" s="10">
        <f>IF($E497="","",IFERROR(IF(VLOOKUP(LEFT(UPPER(TRIM($E497)),6),BankTbl,2,0)="","(بدون عنوان)",VLOOKUP(LEFT(UPPER(TRIM($E497)),6),BankTbl,2,0)),"بانک ناشناخته"))</f>
        <v/>
      </c>
      <c r="G497" s="11" t="n"/>
      <c r="H497" s="10">
        <f>IF($G497="","",IFERROR(VLOOKUP($G497,CustTbl,2,0),IFERROR(VLOOKUP($G497,SuppTbl,2,0),IFERROR(VLOOKUP($G497,AcctTbl,2,0),IFERROR(VLOOKUP($G497,StaffTbl,2,0),"کد ناشناخته")))))</f>
        <v/>
      </c>
      <c r="I497" s="12" t="n"/>
      <c r="J497" s="12" t="n"/>
      <c r="K497" s="13" t="n"/>
      <c r="L497" s="13" t="n"/>
      <c r="M497" s="13" t="n"/>
      <c r="N497" s="14">
        <f>IF(OR($C497="",$E497="",Calc!$H497=""),"",IFERROR(VLOOKUP(LEFT(UPPER(TRIM($E497)),6),BankTbl,3,0),0)+SUMIFS(CalcDep,CalcBank,LEFT(UPPER(TRIM($E497)),6),CalcKey,"&lt;="&amp;Calc!$H497)-SUMIFS(CalcWit,CalcBank,LEFT(UPPER(TRIM($E497)),6),CalcKey,"&lt;="&amp;Calc!$H497))</f>
        <v/>
      </c>
      <c r="O497" s="10">
        <f>IF(OR($C497="",$M497=""),"",IF($N497="","؟",IF(ROUND($M497-$N497,0)=0,"√","×")))</f>
        <v/>
      </c>
      <c r="P497" s="12" t="n"/>
    </row>
    <row r="498">
      <c r="A498" s="10">
        <f>IF($C498="","",COUNTA($C$9:$C498))</f>
        <v/>
      </c>
      <c r="B498" s="10">
        <f>IF($C498="","","TXN-"&amp;RIGHT("0000"&amp;490,4))</f>
        <v/>
      </c>
      <c r="C498" s="11" t="n"/>
      <c r="D498" s="11" t="n"/>
      <c r="E498" s="12" t="n"/>
      <c r="F498" s="10">
        <f>IF($E498="","",IFERROR(IF(VLOOKUP(LEFT(UPPER(TRIM($E498)),6),BankTbl,2,0)="","(بدون عنوان)",VLOOKUP(LEFT(UPPER(TRIM($E498)),6),BankTbl,2,0)),"بانک ناشناخته"))</f>
        <v/>
      </c>
      <c r="G498" s="11" t="n"/>
      <c r="H498" s="10">
        <f>IF($G498="","",IFERROR(VLOOKUP($G498,CustTbl,2,0),IFERROR(VLOOKUP($G498,SuppTbl,2,0),IFERROR(VLOOKUP($G498,AcctTbl,2,0),IFERROR(VLOOKUP($G498,StaffTbl,2,0),"کد ناشناخته")))))</f>
        <v/>
      </c>
      <c r="I498" s="12" t="n"/>
      <c r="J498" s="12" t="n"/>
      <c r="K498" s="13" t="n"/>
      <c r="L498" s="13" t="n"/>
      <c r="M498" s="13" t="n"/>
      <c r="N498" s="14">
        <f>IF(OR($C498="",$E498="",Calc!$H498=""),"",IFERROR(VLOOKUP(LEFT(UPPER(TRIM($E498)),6),BankTbl,3,0),0)+SUMIFS(CalcDep,CalcBank,LEFT(UPPER(TRIM($E498)),6),CalcKey,"&lt;="&amp;Calc!$H498)-SUMIFS(CalcWit,CalcBank,LEFT(UPPER(TRIM($E498)),6),CalcKey,"&lt;="&amp;Calc!$H498))</f>
        <v/>
      </c>
      <c r="O498" s="10">
        <f>IF(OR($C498="",$M498=""),"",IF($N498="","؟",IF(ROUND($M498-$N498,0)=0,"√","×")))</f>
        <v/>
      </c>
      <c r="P498" s="12" t="n"/>
    </row>
    <row r="499">
      <c r="A499" s="10">
        <f>IF($C499="","",COUNTA($C$9:$C499))</f>
        <v/>
      </c>
      <c r="B499" s="10">
        <f>IF($C499="","","TXN-"&amp;RIGHT("0000"&amp;491,4))</f>
        <v/>
      </c>
      <c r="C499" s="11" t="n"/>
      <c r="D499" s="11" t="n"/>
      <c r="E499" s="12" t="n"/>
      <c r="F499" s="10">
        <f>IF($E499="","",IFERROR(IF(VLOOKUP(LEFT(UPPER(TRIM($E499)),6),BankTbl,2,0)="","(بدون عنوان)",VLOOKUP(LEFT(UPPER(TRIM($E499)),6),BankTbl,2,0)),"بانک ناشناخته"))</f>
        <v/>
      </c>
      <c r="G499" s="11" t="n"/>
      <c r="H499" s="10">
        <f>IF($G499="","",IFERROR(VLOOKUP($G499,CustTbl,2,0),IFERROR(VLOOKUP($G499,SuppTbl,2,0),IFERROR(VLOOKUP($G499,AcctTbl,2,0),IFERROR(VLOOKUP($G499,StaffTbl,2,0),"کد ناشناخته")))))</f>
        <v/>
      </c>
      <c r="I499" s="12" t="n"/>
      <c r="J499" s="12" t="n"/>
      <c r="K499" s="13" t="n"/>
      <c r="L499" s="13" t="n"/>
      <c r="M499" s="13" t="n"/>
      <c r="N499" s="14">
        <f>IF(OR($C499="",$E499="",Calc!$H499=""),"",IFERROR(VLOOKUP(LEFT(UPPER(TRIM($E499)),6),BankTbl,3,0),0)+SUMIFS(CalcDep,CalcBank,LEFT(UPPER(TRIM($E499)),6),CalcKey,"&lt;="&amp;Calc!$H499)-SUMIFS(CalcWit,CalcBank,LEFT(UPPER(TRIM($E499)),6),CalcKey,"&lt;="&amp;Calc!$H499))</f>
        <v/>
      </c>
      <c r="O499" s="10">
        <f>IF(OR($C499="",$M499=""),"",IF($N499="","؟",IF(ROUND($M499-$N499,0)=0,"√","×")))</f>
        <v/>
      </c>
      <c r="P499" s="12" t="n"/>
    </row>
    <row r="500">
      <c r="A500" s="10">
        <f>IF($C500="","",COUNTA($C$9:$C500))</f>
        <v/>
      </c>
      <c r="B500" s="10">
        <f>IF($C500="","","TXN-"&amp;RIGHT("0000"&amp;492,4))</f>
        <v/>
      </c>
      <c r="C500" s="11" t="n"/>
      <c r="D500" s="11" t="n"/>
      <c r="E500" s="12" t="n"/>
      <c r="F500" s="10">
        <f>IF($E500="","",IFERROR(IF(VLOOKUP(LEFT(UPPER(TRIM($E500)),6),BankTbl,2,0)="","(بدون عنوان)",VLOOKUP(LEFT(UPPER(TRIM($E500)),6),BankTbl,2,0)),"بانک ناشناخته"))</f>
        <v/>
      </c>
      <c r="G500" s="11" t="n"/>
      <c r="H500" s="10">
        <f>IF($G500="","",IFERROR(VLOOKUP($G500,CustTbl,2,0),IFERROR(VLOOKUP($G500,SuppTbl,2,0),IFERROR(VLOOKUP($G500,AcctTbl,2,0),IFERROR(VLOOKUP($G500,StaffTbl,2,0),"کد ناشناخته")))))</f>
        <v/>
      </c>
      <c r="I500" s="12" t="n"/>
      <c r="J500" s="12" t="n"/>
      <c r="K500" s="13" t="n"/>
      <c r="L500" s="13" t="n"/>
      <c r="M500" s="13" t="n"/>
      <c r="N500" s="14">
        <f>IF(OR($C500="",$E500="",Calc!$H500=""),"",IFERROR(VLOOKUP(LEFT(UPPER(TRIM($E500)),6),BankTbl,3,0),0)+SUMIFS(CalcDep,CalcBank,LEFT(UPPER(TRIM($E500)),6),CalcKey,"&lt;="&amp;Calc!$H500)-SUMIFS(CalcWit,CalcBank,LEFT(UPPER(TRIM($E500)),6),CalcKey,"&lt;="&amp;Calc!$H500))</f>
        <v/>
      </c>
      <c r="O500" s="10">
        <f>IF(OR($C500="",$M500=""),"",IF($N500="","؟",IF(ROUND($M500-$N500,0)=0,"√","×")))</f>
        <v/>
      </c>
      <c r="P500" s="12" t="n"/>
    </row>
    <row r="501">
      <c r="A501" s="10">
        <f>IF($C501="","",COUNTA($C$9:$C501))</f>
        <v/>
      </c>
      <c r="B501" s="10">
        <f>IF($C501="","","TXN-"&amp;RIGHT("0000"&amp;493,4))</f>
        <v/>
      </c>
      <c r="C501" s="11" t="n"/>
      <c r="D501" s="11" t="n"/>
      <c r="E501" s="12" t="n"/>
      <c r="F501" s="10">
        <f>IF($E501="","",IFERROR(IF(VLOOKUP(LEFT(UPPER(TRIM($E501)),6),BankTbl,2,0)="","(بدون عنوان)",VLOOKUP(LEFT(UPPER(TRIM($E501)),6),BankTbl,2,0)),"بانک ناشناخته"))</f>
        <v/>
      </c>
      <c r="G501" s="11" t="n"/>
      <c r="H501" s="10">
        <f>IF($G501="","",IFERROR(VLOOKUP($G501,CustTbl,2,0),IFERROR(VLOOKUP($G501,SuppTbl,2,0),IFERROR(VLOOKUP($G501,AcctTbl,2,0),IFERROR(VLOOKUP($G501,StaffTbl,2,0),"کد ناشناخته")))))</f>
        <v/>
      </c>
      <c r="I501" s="12" t="n"/>
      <c r="J501" s="12" t="n"/>
      <c r="K501" s="13" t="n"/>
      <c r="L501" s="13" t="n"/>
      <c r="M501" s="13" t="n"/>
      <c r="N501" s="14">
        <f>IF(OR($C501="",$E501="",Calc!$H501=""),"",IFERROR(VLOOKUP(LEFT(UPPER(TRIM($E501)),6),BankTbl,3,0),0)+SUMIFS(CalcDep,CalcBank,LEFT(UPPER(TRIM($E501)),6),CalcKey,"&lt;="&amp;Calc!$H501)-SUMIFS(CalcWit,CalcBank,LEFT(UPPER(TRIM($E501)),6),CalcKey,"&lt;="&amp;Calc!$H501))</f>
        <v/>
      </c>
      <c r="O501" s="10">
        <f>IF(OR($C501="",$M501=""),"",IF($N501="","؟",IF(ROUND($M501-$N501,0)=0,"√","×")))</f>
        <v/>
      </c>
      <c r="P501" s="12" t="n"/>
    </row>
    <row r="502">
      <c r="A502" s="10">
        <f>IF($C502="","",COUNTA($C$9:$C502))</f>
        <v/>
      </c>
      <c r="B502" s="10">
        <f>IF($C502="","","TXN-"&amp;RIGHT("0000"&amp;494,4))</f>
        <v/>
      </c>
      <c r="C502" s="11" t="n"/>
      <c r="D502" s="11" t="n"/>
      <c r="E502" s="12" t="n"/>
      <c r="F502" s="10">
        <f>IF($E502="","",IFERROR(IF(VLOOKUP(LEFT(UPPER(TRIM($E502)),6),BankTbl,2,0)="","(بدون عنوان)",VLOOKUP(LEFT(UPPER(TRIM($E502)),6),BankTbl,2,0)),"بانک ناشناخته"))</f>
        <v/>
      </c>
      <c r="G502" s="11" t="n"/>
      <c r="H502" s="10">
        <f>IF($G502="","",IFERROR(VLOOKUP($G502,CustTbl,2,0),IFERROR(VLOOKUP($G502,SuppTbl,2,0),IFERROR(VLOOKUP($G502,AcctTbl,2,0),IFERROR(VLOOKUP($G502,StaffTbl,2,0),"کد ناشناخته")))))</f>
        <v/>
      </c>
      <c r="I502" s="12" t="n"/>
      <c r="J502" s="12" t="n"/>
      <c r="K502" s="13" t="n"/>
      <c r="L502" s="13" t="n"/>
      <c r="M502" s="13" t="n"/>
      <c r="N502" s="14">
        <f>IF(OR($C502="",$E502="",Calc!$H502=""),"",IFERROR(VLOOKUP(LEFT(UPPER(TRIM($E502)),6),BankTbl,3,0),0)+SUMIFS(CalcDep,CalcBank,LEFT(UPPER(TRIM($E502)),6),CalcKey,"&lt;="&amp;Calc!$H502)-SUMIFS(CalcWit,CalcBank,LEFT(UPPER(TRIM($E502)),6),CalcKey,"&lt;="&amp;Calc!$H502))</f>
        <v/>
      </c>
      <c r="O502" s="10">
        <f>IF(OR($C502="",$M502=""),"",IF($N502="","؟",IF(ROUND($M502-$N502,0)=0,"√","×")))</f>
        <v/>
      </c>
      <c r="P502" s="12" t="n"/>
    </row>
    <row r="503">
      <c r="A503" s="10">
        <f>IF($C503="","",COUNTA($C$9:$C503))</f>
        <v/>
      </c>
      <c r="B503" s="10">
        <f>IF($C503="","","TXN-"&amp;RIGHT("0000"&amp;495,4))</f>
        <v/>
      </c>
      <c r="C503" s="11" t="n"/>
      <c r="D503" s="11" t="n"/>
      <c r="E503" s="12" t="n"/>
      <c r="F503" s="10">
        <f>IF($E503="","",IFERROR(IF(VLOOKUP(LEFT(UPPER(TRIM($E503)),6),BankTbl,2,0)="","(بدون عنوان)",VLOOKUP(LEFT(UPPER(TRIM($E503)),6),BankTbl,2,0)),"بانک ناشناخته"))</f>
        <v/>
      </c>
      <c r="G503" s="11" t="n"/>
      <c r="H503" s="10">
        <f>IF($G503="","",IFERROR(VLOOKUP($G503,CustTbl,2,0),IFERROR(VLOOKUP($G503,SuppTbl,2,0),IFERROR(VLOOKUP($G503,AcctTbl,2,0),IFERROR(VLOOKUP($G503,StaffTbl,2,0),"کد ناشناخته")))))</f>
        <v/>
      </c>
      <c r="I503" s="12" t="n"/>
      <c r="J503" s="12" t="n"/>
      <c r="K503" s="13" t="n"/>
      <c r="L503" s="13" t="n"/>
      <c r="M503" s="13" t="n"/>
      <c r="N503" s="14">
        <f>IF(OR($C503="",$E503="",Calc!$H503=""),"",IFERROR(VLOOKUP(LEFT(UPPER(TRIM($E503)),6),BankTbl,3,0),0)+SUMIFS(CalcDep,CalcBank,LEFT(UPPER(TRIM($E503)),6),CalcKey,"&lt;="&amp;Calc!$H503)-SUMIFS(CalcWit,CalcBank,LEFT(UPPER(TRIM($E503)),6),CalcKey,"&lt;="&amp;Calc!$H503))</f>
        <v/>
      </c>
      <c r="O503" s="10">
        <f>IF(OR($C503="",$M503=""),"",IF($N503="","؟",IF(ROUND($M503-$N503,0)=0,"√","×")))</f>
        <v/>
      </c>
      <c r="P503" s="12" t="n"/>
    </row>
    <row r="504">
      <c r="A504" s="10">
        <f>IF($C504="","",COUNTA($C$9:$C504))</f>
        <v/>
      </c>
      <c r="B504" s="10">
        <f>IF($C504="","","TXN-"&amp;RIGHT("0000"&amp;496,4))</f>
        <v/>
      </c>
      <c r="C504" s="11" t="n"/>
      <c r="D504" s="11" t="n"/>
      <c r="E504" s="12" t="n"/>
      <c r="F504" s="10">
        <f>IF($E504="","",IFERROR(IF(VLOOKUP(LEFT(UPPER(TRIM($E504)),6),BankTbl,2,0)="","(بدون عنوان)",VLOOKUP(LEFT(UPPER(TRIM($E504)),6),BankTbl,2,0)),"بانک ناشناخته"))</f>
        <v/>
      </c>
      <c r="G504" s="11" t="n"/>
      <c r="H504" s="10">
        <f>IF($G504="","",IFERROR(VLOOKUP($G504,CustTbl,2,0),IFERROR(VLOOKUP($G504,SuppTbl,2,0),IFERROR(VLOOKUP($G504,AcctTbl,2,0),IFERROR(VLOOKUP($G504,StaffTbl,2,0),"کد ناشناخته")))))</f>
        <v/>
      </c>
      <c r="I504" s="12" t="n"/>
      <c r="J504" s="12" t="n"/>
      <c r="K504" s="13" t="n"/>
      <c r="L504" s="13" t="n"/>
      <c r="M504" s="13" t="n"/>
      <c r="N504" s="14">
        <f>IF(OR($C504="",$E504="",Calc!$H504=""),"",IFERROR(VLOOKUP(LEFT(UPPER(TRIM($E504)),6),BankTbl,3,0),0)+SUMIFS(CalcDep,CalcBank,LEFT(UPPER(TRIM($E504)),6),CalcKey,"&lt;="&amp;Calc!$H504)-SUMIFS(CalcWit,CalcBank,LEFT(UPPER(TRIM($E504)),6),CalcKey,"&lt;="&amp;Calc!$H504))</f>
        <v/>
      </c>
      <c r="O504" s="10">
        <f>IF(OR($C504="",$M504=""),"",IF($N504="","؟",IF(ROUND($M504-$N504,0)=0,"√","×")))</f>
        <v/>
      </c>
      <c r="P504" s="12" t="n"/>
    </row>
    <row r="505">
      <c r="A505" s="10">
        <f>IF($C505="","",COUNTA($C$9:$C505))</f>
        <v/>
      </c>
      <c r="B505" s="10">
        <f>IF($C505="","","TXN-"&amp;RIGHT("0000"&amp;497,4))</f>
        <v/>
      </c>
      <c r="C505" s="11" t="n"/>
      <c r="D505" s="11" t="n"/>
      <c r="E505" s="12" t="n"/>
      <c r="F505" s="10">
        <f>IF($E505="","",IFERROR(IF(VLOOKUP(LEFT(UPPER(TRIM($E505)),6),BankTbl,2,0)="","(بدون عنوان)",VLOOKUP(LEFT(UPPER(TRIM($E505)),6),BankTbl,2,0)),"بانک ناشناخته"))</f>
        <v/>
      </c>
      <c r="G505" s="11" t="n"/>
      <c r="H505" s="10">
        <f>IF($G505="","",IFERROR(VLOOKUP($G505,CustTbl,2,0),IFERROR(VLOOKUP($G505,SuppTbl,2,0),IFERROR(VLOOKUP($G505,AcctTbl,2,0),IFERROR(VLOOKUP($G505,StaffTbl,2,0),"کد ناشناخته")))))</f>
        <v/>
      </c>
      <c r="I505" s="12" t="n"/>
      <c r="J505" s="12" t="n"/>
      <c r="K505" s="13" t="n"/>
      <c r="L505" s="13" t="n"/>
      <c r="M505" s="13" t="n"/>
      <c r="N505" s="14">
        <f>IF(OR($C505="",$E505="",Calc!$H505=""),"",IFERROR(VLOOKUP(LEFT(UPPER(TRIM($E505)),6),BankTbl,3,0),0)+SUMIFS(CalcDep,CalcBank,LEFT(UPPER(TRIM($E505)),6),CalcKey,"&lt;="&amp;Calc!$H505)-SUMIFS(CalcWit,CalcBank,LEFT(UPPER(TRIM($E505)),6),CalcKey,"&lt;="&amp;Calc!$H505))</f>
        <v/>
      </c>
      <c r="O505" s="10">
        <f>IF(OR($C505="",$M505=""),"",IF($N505="","؟",IF(ROUND($M505-$N505,0)=0,"√","×")))</f>
        <v/>
      </c>
      <c r="P505" s="12" t="n"/>
    </row>
    <row r="506">
      <c r="A506" s="10">
        <f>IF($C506="","",COUNTA($C$9:$C506))</f>
        <v/>
      </c>
      <c r="B506" s="10">
        <f>IF($C506="","","TXN-"&amp;RIGHT("0000"&amp;498,4))</f>
        <v/>
      </c>
      <c r="C506" s="11" t="n"/>
      <c r="D506" s="11" t="n"/>
      <c r="E506" s="12" t="n"/>
      <c r="F506" s="10">
        <f>IF($E506="","",IFERROR(IF(VLOOKUP(LEFT(UPPER(TRIM($E506)),6),BankTbl,2,0)="","(بدون عنوان)",VLOOKUP(LEFT(UPPER(TRIM($E506)),6),BankTbl,2,0)),"بانک ناشناخته"))</f>
        <v/>
      </c>
      <c r="G506" s="11" t="n"/>
      <c r="H506" s="10">
        <f>IF($G506="","",IFERROR(VLOOKUP($G506,CustTbl,2,0),IFERROR(VLOOKUP($G506,SuppTbl,2,0),IFERROR(VLOOKUP($G506,AcctTbl,2,0),IFERROR(VLOOKUP($G506,StaffTbl,2,0),"کد ناشناخته")))))</f>
        <v/>
      </c>
      <c r="I506" s="12" t="n"/>
      <c r="J506" s="12" t="n"/>
      <c r="K506" s="13" t="n"/>
      <c r="L506" s="13" t="n"/>
      <c r="M506" s="13" t="n"/>
      <c r="N506" s="14">
        <f>IF(OR($C506="",$E506="",Calc!$H506=""),"",IFERROR(VLOOKUP(LEFT(UPPER(TRIM($E506)),6),BankTbl,3,0),0)+SUMIFS(CalcDep,CalcBank,LEFT(UPPER(TRIM($E506)),6),CalcKey,"&lt;="&amp;Calc!$H506)-SUMIFS(CalcWit,CalcBank,LEFT(UPPER(TRIM($E506)),6),CalcKey,"&lt;="&amp;Calc!$H506))</f>
        <v/>
      </c>
      <c r="O506" s="10">
        <f>IF(OR($C506="",$M506=""),"",IF($N506="","؟",IF(ROUND($M506-$N506,0)=0,"√","×")))</f>
        <v/>
      </c>
      <c r="P506" s="12" t="n"/>
    </row>
    <row r="507">
      <c r="A507" s="10">
        <f>IF($C507="","",COUNTA($C$9:$C507))</f>
        <v/>
      </c>
      <c r="B507" s="10">
        <f>IF($C507="","","TXN-"&amp;RIGHT("0000"&amp;499,4))</f>
        <v/>
      </c>
      <c r="C507" s="11" t="n"/>
      <c r="D507" s="11" t="n"/>
      <c r="E507" s="12" t="n"/>
      <c r="F507" s="10">
        <f>IF($E507="","",IFERROR(IF(VLOOKUP(LEFT(UPPER(TRIM($E507)),6),BankTbl,2,0)="","(بدون عنوان)",VLOOKUP(LEFT(UPPER(TRIM($E507)),6),BankTbl,2,0)),"بانک ناشناخته"))</f>
        <v/>
      </c>
      <c r="G507" s="11" t="n"/>
      <c r="H507" s="10">
        <f>IF($G507="","",IFERROR(VLOOKUP($G507,CustTbl,2,0),IFERROR(VLOOKUP($G507,SuppTbl,2,0),IFERROR(VLOOKUP($G507,AcctTbl,2,0),IFERROR(VLOOKUP($G507,StaffTbl,2,0),"کد ناشناخته")))))</f>
        <v/>
      </c>
      <c r="I507" s="12" t="n"/>
      <c r="J507" s="12" t="n"/>
      <c r="K507" s="13" t="n"/>
      <c r="L507" s="13" t="n"/>
      <c r="M507" s="13" t="n"/>
      <c r="N507" s="14">
        <f>IF(OR($C507="",$E507="",Calc!$H507=""),"",IFERROR(VLOOKUP(LEFT(UPPER(TRIM($E507)),6),BankTbl,3,0),0)+SUMIFS(CalcDep,CalcBank,LEFT(UPPER(TRIM($E507)),6),CalcKey,"&lt;="&amp;Calc!$H507)-SUMIFS(CalcWit,CalcBank,LEFT(UPPER(TRIM($E507)),6),CalcKey,"&lt;="&amp;Calc!$H507))</f>
        <v/>
      </c>
      <c r="O507" s="10">
        <f>IF(OR($C507="",$M507=""),"",IF($N507="","؟",IF(ROUND($M507-$N507,0)=0,"√","×")))</f>
        <v/>
      </c>
      <c r="P507" s="12" t="n"/>
    </row>
    <row r="508">
      <c r="A508" s="10">
        <f>IF($C508="","",COUNTA($C$9:$C508))</f>
        <v/>
      </c>
      <c r="B508" s="10">
        <f>IF($C508="","","TXN-"&amp;RIGHT("0000"&amp;500,4))</f>
        <v/>
      </c>
      <c r="C508" s="11" t="n"/>
      <c r="D508" s="11" t="n"/>
      <c r="E508" s="12" t="n"/>
      <c r="F508" s="10">
        <f>IF($E508="","",IFERROR(IF(VLOOKUP(LEFT(UPPER(TRIM($E508)),6),BankTbl,2,0)="","(بدون عنوان)",VLOOKUP(LEFT(UPPER(TRIM($E508)),6),BankTbl,2,0)),"بانک ناشناخته"))</f>
        <v/>
      </c>
      <c r="G508" s="11" t="n"/>
      <c r="H508" s="10">
        <f>IF($G508="","",IFERROR(VLOOKUP($G508,CustTbl,2,0),IFERROR(VLOOKUP($G508,SuppTbl,2,0),IFERROR(VLOOKUP($G508,AcctTbl,2,0),IFERROR(VLOOKUP($G508,StaffTbl,2,0),"کد ناشناخته")))))</f>
        <v/>
      </c>
      <c r="I508" s="12" t="n"/>
      <c r="J508" s="12" t="n"/>
      <c r="K508" s="13" t="n"/>
      <c r="L508" s="13" t="n"/>
      <c r="M508" s="13" t="n"/>
      <c r="N508" s="14">
        <f>IF(OR($C508="",$E508="",Calc!$H508=""),"",IFERROR(VLOOKUP(LEFT(UPPER(TRIM($E508)),6),BankTbl,3,0),0)+SUMIFS(CalcDep,CalcBank,LEFT(UPPER(TRIM($E508)),6),CalcKey,"&lt;="&amp;Calc!$H508)-SUMIFS(CalcWit,CalcBank,LEFT(UPPER(TRIM($E508)),6),CalcKey,"&lt;="&amp;Calc!$H508))</f>
        <v/>
      </c>
      <c r="O508" s="10">
        <f>IF(OR($C508="",$M508=""),"",IF($N508="","؟",IF(ROUND($M508-$N508,0)=0,"√","×")))</f>
        <v/>
      </c>
      <c r="P508" s="12" t="n"/>
    </row>
    <row r="509">
      <c r="A509" s="10">
        <f>IF($C509="","",COUNTA($C$9:$C509))</f>
        <v/>
      </c>
      <c r="B509" s="10">
        <f>IF($C509="","","TXN-"&amp;RIGHT("0000"&amp;501,4))</f>
        <v/>
      </c>
      <c r="C509" s="11" t="n"/>
      <c r="D509" s="11" t="n"/>
      <c r="E509" s="12" t="n"/>
      <c r="F509" s="10">
        <f>IF($E509="","",IFERROR(IF(VLOOKUP(LEFT(UPPER(TRIM($E509)),6),BankTbl,2,0)="","(بدون عنوان)",VLOOKUP(LEFT(UPPER(TRIM($E509)),6),BankTbl,2,0)),"بانک ناشناخته"))</f>
        <v/>
      </c>
      <c r="G509" s="11" t="n"/>
      <c r="H509" s="10">
        <f>IF($G509="","",IFERROR(VLOOKUP($G509,CustTbl,2,0),IFERROR(VLOOKUP($G509,SuppTbl,2,0),IFERROR(VLOOKUP($G509,AcctTbl,2,0),IFERROR(VLOOKUP($G509,StaffTbl,2,0),"کد ناشناخته")))))</f>
        <v/>
      </c>
      <c r="I509" s="12" t="n"/>
      <c r="J509" s="12" t="n"/>
      <c r="K509" s="13" t="n"/>
      <c r="L509" s="13" t="n"/>
      <c r="M509" s="13" t="n"/>
      <c r="N509" s="14">
        <f>IF(OR($C509="",$E509="",Calc!$H509=""),"",IFERROR(VLOOKUP(LEFT(UPPER(TRIM($E509)),6),BankTbl,3,0),0)+SUMIFS(CalcDep,CalcBank,LEFT(UPPER(TRIM($E509)),6),CalcKey,"&lt;="&amp;Calc!$H509)-SUMIFS(CalcWit,CalcBank,LEFT(UPPER(TRIM($E509)),6),CalcKey,"&lt;="&amp;Calc!$H509))</f>
        <v/>
      </c>
      <c r="O509" s="10">
        <f>IF(OR($C509="",$M509=""),"",IF($N509="","؟",IF(ROUND($M509-$N509,0)=0,"√","×")))</f>
        <v/>
      </c>
      <c r="P509" s="12" t="n"/>
    </row>
    <row r="510">
      <c r="A510" s="10">
        <f>IF($C510="","",COUNTA($C$9:$C510))</f>
        <v/>
      </c>
      <c r="B510" s="10">
        <f>IF($C510="","","TXN-"&amp;RIGHT("0000"&amp;502,4))</f>
        <v/>
      </c>
      <c r="C510" s="11" t="n"/>
      <c r="D510" s="11" t="n"/>
      <c r="E510" s="12" t="n"/>
      <c r="F510" s="10">
        <f>IF($E510="","",IFERROR(IF(VLOOKUP(LEFT(UPPER(TRIM($E510)),6),BankTbl,2,0)="","(بدون عنوان)",VLOOKUP(LEFT(UPPER(TRIM($E510)),6),BankTbl,2,0)),"بانک ناشناخته"))</f>
        <v/>
      </c>
      <c r="G510" s="11" t="n"/>
      <c r="H510" s="10">
        <f>IF($G510="","",IFERROR(VLOOKUP($G510,CustTbl,2,0),IFERROR(VLOOKUP($G510,SuppTbl,2,0),IFERROR(VLOOKUP($G510,AcctTbl,2,0),IFERROR(VLOOKUP($G510,StaffTbl,2,0),"کد ناشناخته")))))</f>
        <v/>
      </c>
      <c r="I510" s="12" t="n"/>
      <c r="J510" s="12" t="n"/>
      <c r="K510" s="13" t="n"/>
      <c r="L510" s="13" t="n"/>
      <c r="M510" s="13" t="n"/>
      <c r="N510" s="14">
        <f>IF(OR($C510="",$E510="",Calc!$H510=""),"",IFERROR(VLOOKUP(LEFT(UPPER(TRIM($E510)),6),BankTbl,3,0),0)+SUMIFS(CalcDep,CalcBank,LEFT(UPPER(TRIM($E510)),6),CalcKey,"&lt;="&amp;Calc!$H510)-SUMIFS(CalcWit,CalcBank,LEFT(UPPER(TRIM($E510)),6),CalcKey,"&lt;="&amp;Calc!$H510))</f>
        <v/>
      </c>
      <c r="O510" s="10">
        <f>IF(OR($C510="",$M510=""),"",IF($N510="","؟",IF(ROUND($M510-$N510,0)=0,"√","×")))</f>
        <v/>
      </c>
      <c r="P510" s="12" t="n"/>
    </row>
    <row r="511">
      <c r="A511" s="10">
        <f>IF($C511="","",COUNTA($C$9:$C511))</f>
        <v/>
      </c>
      <c r="B511" s="10">
        <f>IF($C511="","","TXN-"&amp;RIGHT("0000"&amp;503,4))</f>
        <v/>
      </c>
      <c r="C511" s="11" t="n"/>
      <c r="D511" s="11" t="n"/>
      <c r="E511" s="12" t="n"/>
      <c r="F511" s="10">
        <f>IF($E511="","",IFERROR(IF(VLOOKUP(LEFT(UPPER(TRIM($E511)),6),BankTbl,2,0)="","(بدون عنوان)",VLOOKUP(LEFT(UPPER(TRIM($E511)),6),BankTbl,2,0)),"بانک ناشناخته"))</f>
        <v/>
      </c>
      <c r="G511" s="11" t="n"/>
      <c r="H511" s="10">
        <f>IF($G511="","",IFERROR(VLOOKUP($G511,CustTbl,2,0),IFERROR(VLOOKUP($G511,SuppTbl,2,0),IFERROR(VLOOKUP($G511,AcctTbl,2,0),IFERROR(VLOOKUP($G511,StaffTbl,2,0),"کد ناشناخته")))))</f>
        <v/>
      </c>
      <c r="I511" s="12" t="n"/>
      <c r="J511" s="12" t="n"/>
      <c r="K511" s="13" t="n"/>
      <c r="L511" s="13" t="n"/>
      <c r="M511" s="13" t="n"/>
      <c r="N511" s="14">
        <f>IF(OR($C511="",$E511="",Calc!$H511=""),"",IFERROR(VLOOKUP(LEFT(UPPER(TRIM($E511)),6),BankTbl,3,0),0)+SUMIFS(CalcDep,CalcBank,LEFT(UPPER(TRIM($E511)),6),CalcKey,"&lt;="&amp;Calc!$H511)-SUMIFS(CalcWit,CalcBank,LEFT(UPPER(TRIM($E511)),6),CalcKey,"&lt;="&amp;Calc!$H511))</f>
        <v/>
      </c>
      <c r="O511" s="10">
        <f>IF(OR($C511="",$M511=""),"",IF($N511="","؟",IF(ROUND($M511-$N511,0)=0,"√","×")))</f>
        <v/>
      </c>
      <c r="P511" s="12" t="n"/>
    </row>
    <row r="512">
      <c r="A512" s="10">
        <f>IF($C512="","",COUNTA($C$9:$C512))</f>
        <v/>
      </c>
      <c r="B512" s="10">
        <f>IF($C512="","","TXN-"&amp;RIGHT("0000"&amp;504,4))</f>
        <v/>
      </c>
      <c r="C512" s="11" t="n"/>
      <c r="D512" s="11" t="n"/>
      <c r="E512" s="12" t="n"/>
      <c r="F512" s="10">
        <f>IF($E512="","",IFERROR(IF(VLOOKUP(LEFT(UPPER(TRIM($E512)),6),BankTbl,2,0)="","(بدون عنوان)",VLOOKUP(LEFT(UPPER(TRIM($E512)),6),BankTbl,2,0)),"بانک ناشناخته"))</f>
        <v/>
      </c>
      <c r="G512" s="11" t="n"/>
      <c r="H512" s="10">
        <f>IF($G512="","",IFERROR(VLOOKUP($G512,CustTbl,2,0),IFERROR(VLOOKUP($G512,SuppTbl,2,0),IFERROR(VLOOKUP($G512,AcctTbl,2,0),IFERROR(VLOOKUP($G512,StaffTbl,2,0),"کد ناشناخته")))))</f>
        <v/>
      </c>
      <c r="I512" s="12" t="n"/>
      <c r="J512" s="12" t="n"/>
      <c r="K512" s="13" t="n"/>
      <c r="L512" s="13" t="n"/>
      <c r="M512" s="13" t="n"/>
      <c r="N512" s="14">
        <f>IF(OR($C512="",$E512="",Calc!$H512=""),"",IFERROR(VLOOKUP(LEFT(UPPER(TRIM($E512)),6),BankTbl,3,0),0)+SUMIFS(CalcDep,CalcBank,LEFT(UPPER(TRIM($E512)),6),CalcKey,"&lt;="&amp;Calc!$H512)-SUMIFS(CalcWit,CalcBank,LEFT(UPPER(TRIM($E512)),6),CalcKey,"&lt;="&amp;Calc!$H512))</f>
        <v/>
      </c>
      <c r="O512" s="10">
        <f>IF(OR($C512="",$M512=""),"",IF($N512="","؟",IF(ROUND($M512-$N512,0)=0,"√","×")))</f>
        <v/>
      </c>
      <c r="P512" s="12" t="n"/>
    </row>
    <row r="513">
      <c r="A513" s="10">
        <f>IF($C513="","",COUNTA($C$9:$C513))</f>
        <v/>
      </c>
      <c r="B513" s="10">
        <f>IF($C513="","","TXN-"&amp;RIGHT("0000"&amp;505,4))</f>
        <v/>
      </c>
      <c r="C513" s="11" t="n"/>
      <c r="D513" s="11" t="n"/>
      <c r="E513" s="12" t="n"/>
      <c r="F513" s="10">
        <f>IF($E513="","",IFERROR(IF(VLOOKUP(LEFT(UPPER(TRIM($E513)),6),BankTbl,2,0)="","(بدون عنوان)",VLOOKUP(LEFT(UPPER(TRIM($E513)),6),BankTbl,2,0)),"بانک ناشناخته"))</f>
        <v/>
      </c>
      <c r="G513" s="11" t="n"/>
      <c r="H513" s="10">
        <f>IF($G513="","",IFERROR(VLOOKUP($G513,CustTbl,2,0),IFERROR(VLOOKUP($G513,SuppTbl,2,0),IFERROR(VLOOKUP($G513,AcctTbl,2,0),IFERROR(VLOOKUP($G513,StaffTbl,2,0),"کد ناشناخته")))))</f>
        <v/>
      </c>
      <c r="I513" s="12" t="n"/>
      <c r="J513" s="12" t="n"/>
      <c r="K513" s="13" t="n"/>
      <c r="L513" s="13" t="n"/>
      <c r="M513" s="13" t="n"/>
      <c r="N513" s="14">
        <f>IF(OR($C513="",$E513="",Calc!$H513=""),"",IFERROR(VLOOKUP(LEFT(UPPER(TRIM($E513)),6),BankTbl,3,0),0)+SUMIFS(CalcDep,CalcBank,LEFT(UPPER(TRIM($E513)),6),CalcKey,"&lt;="&amp;Calc!$H513)-SUMIFS(CalcWit,CalcBank,LEFT(UPPER(TRIM($E513)),6),CalcKey,"&lt;="&amp;Calc!$H513))</f>
        <v/>
      </c>
      <c r="O513" s="10">
        <f>IF(OR($C513="",$M513=""),"",IF($N513="","؟",IF(ROUND($M513-$N513,0)=0,"√","×")))</f>
        <v/>
      </c>
      <c r="P513" s="12" t="n"/>
    </row>
    <row r="514">
      <c r="A514" s="10">
        <f>IF($C514="","",COUNTA($C$9:$C514))</f>
        <v/>
      </c>
      <c r="B514" s="10">
        <f>IF($C514="","","TXN-"&amp;RIGHT("0000"&amp;506,4))</f>
        <v/>
      </c>
      <c r="C514" s="11" t="n"/>
      <c r="D514" s="11" t="n"/>
      <c r="E514" s="12" t="n"/>
      <c r="F514" s="10">
        <f>IF($E514="","",IFERROR(IF(VLOOKUP(LEFT(UPPER(TRIM($E514)),6),BankTbl,2,0)="","(بدون عنوان)",VLOOKUP(LEFT(UPPER(TRIM($E514)),6),BankTbl,2,0)),"بانک ناشناخته"))</f>
        <v/>
      </c>
      <c r="G514" s="11" t="n"/>
      <c r="H514" s="10">
        <f>IF($G514="","",IFERROR(VLOOKUP($G514,CustTbl,2,0),IFERROR(VLOOKUP($G514,SuppTbl,2,0),IFERROR(VLOOKUP($G514,AcctTbl,2,0),IFERROR(VLOOKUP($G514,StaffTbl,2,0),"کد ناشناخته")))))</f>
        <v/>
      </c>
      <c r="I514" s="12" t="n"/>
      <c r="J514" s="12" t="n"/>
      <c r="K514" s="13" t="n"/>
      <c r="L514" s="13" t="n"/>
      <c r="M514" s="13" t="n"/>
      <c r="N514" s="14">
        <f>IF(OR($C514="",$E514="",Calc!$H514=""),"",IFERROR(VLOOKUP(LEFT(UPPER(TRIM($E514)),6),BankTbl,3,0),0)+SUMIFS(CalcDep,CalcBank,LEFT(UPPER(TRIM($E514)),6),CalcKey,"&lt;="&amp;Calc!$H514)-SUMIFS(CalcWit,CalcBank,LEFT(UPPER(TRIM($E514)),6),CalcKey,"&lt;="&amp;Calc!$H514))</f>
        <v/>
      </c>
      <c r="O514" s="10">
        <f>IF(OR($C514="",$M514=""),"",IF($N514="","؟",IF(ROUND($M514-$N514,0)=0,"√","×")))</f>
        <v/>
      </c>
      <c r="P514" s="12" t="n"/>
    </row>
    <row r="515">
      <c r="A515" s="10">
        <f>IF($C515="","",COUNTA($C$9:$C515))</f>
        <v/>
      </c>
      <c r="B515" s="10">
        <f>IF($C515="","","TXN-"&amp;RIGHT("0000"&amp;507,4))</f>
        <v/>
      </c>
      <c r="C515" s="11" t="n"/>
      <c r="D515" s="11" t="n"/>
      <c r="E515" s="12" t="n"/>
      <c r="F515" s="10">
        <f>IF($E515="","",IFERROR(IF(VLOOKUP(LEFT(UPPER(TRIM($E515)),6),BankTbl,2,0)="","(بدون عنوان)",VLOOKUP(LEFT(UPPER(TRIM($E515)),6),BankTbl,2,0)),"بانک ناشناخته"))</f>
        <v/>
      </c>
      <c r="G515" s="11" t="n"/>
      <c r="H515" s="10">
        <f>IF($G515="","",IFERROR(VLOOKUP($G515,CustTbl,2,0),IFERROR(VLOOKUP($G515,SuppTbl,2,0),IFERROR(VLOOKUP($G515,AcctTbl,2,0),IFERROR(VLOOKUP($G515,StaffTbl,2,0),"کد ناشناخته")))))</f>
        <v/>
      </c>
      <c r="I515" s="12" t="n"/>
      <c r="J515" s="12" t="n"/>
      <c r="K515" s="13" t="n"/>
      <c r="L515" s="13" t="n"/>
      <c r="M515" s="13" t="n"/>
      <c r="N515" s="14">
        <f>IF(OR($C515="",$E515="",Calc!$H515=""),"",IFERROR(VLOOKUP(LEFT(UPPER(TRIM($E515)),6),BankTbl,3,0),0)+SUMIFS(CalcDep,CalcBank,LEFT(UPPER(TRIM($E515)),6),CalcKey,"&lt;="&amp;Calc!$H515)-SUMIFS(CalcWit,CalcBank,LEFT(UPPER(TRIM($E515)),6),CalcKey,"&lt;="&amp;Calc!$H515))</f>
        <v/>
      </c>
      <c r="O515" s="10">
        <f>IF(OR($C515="",$M515=""),"",IF($N515="","؟",IF(ROUND($M515-$N515,0)=0,"√","×")))</f>
        <v/>
      </c>
      <c r="P515" s="12" t="n"/>
    </row>
    <row r="516">
      <c r="A516" s="10">
        <f>IF($C516="","",COUNTA($C$9:$C516))</f>
        <v/>
      </c>
      <c r="B516" s="10">
        <f>IF($C516="","","TXN-"&amp;RIGHT("0000"&amp;508,4))</f>
        <v/>
      </c>
      <c r="C516" s="11" t="n"/>
      <c r="D516" s="11" t="n"/>
      <c r="E516" s="12" t="n"/>
      <c r="F516" s="10">
        <f>IF($E516="","",IFERROR(IF(VLOOKUP(LEFT(UPPER(TRIM($E516)),6),BankTbl,2,0)="","(بدون عنوان)",VLOOKUP(LEFT(UPPER(TRIM($E516)),6),BankTbl,2,0)),"بانک ناشناخته"))</f>
        <v/>
      </c>
      <c r="G516" s="11" t="n"/>
      <c r="H516" s="10">
        <f>IF($G516="","",IFERROR(VLOOKUP($G516,CustTbl,2,0),IFERROR(VLOOKUP($G516,SuppTbl,2,0),IFERROR(VLOOKUP($G516,AcctTbl,2,0),IFERROR(VLOOKUP($G516,StaffTbl,2,0),"کد ناشناخته")))))</f>
        <v/>
      </c>
      <c r="I516" s="12" t="n"/>
      <c r="J516" s="12" t="n"/>
      <c r="K516" s="13" t="n"/>
      <c r="L516" s="13" t="n"/>
      <c r="M516" s="13" t="n"/>
      <c r="N516" s="14">
        <f>IF(OR($C516="",$E516="",Calc!$H516=""),"",IFERROR(VLOOKUP(LEFT(UPPER(TRIM($E516)),6),BankTbl,3,0),0)+SUMIFS(CalcDep,CalcBank,LEFT(UPPER(TRIM($E516)),6),CalcKey,"&lt;="&amp;Calc!$H516)-SUMIFS(CalcWit,CalcBank,LEFT(UPPER(TRIM($E516)),6),CalcKey,"&lt;="&amp;Calc!$H516))</f>
        <v/>
      </c>
      <c r="O516" s="10">
        <f>IF(OR($C516="",$M516=""),"",IF($N516="","؟",IF(ROUND($M516-$N516,0)=0,"√","×")))</f>
        <v/>
      </c>
      <c r="P516" s="12" t="n"/>
    </row>
    <row r="517">
      <c r="A517" s="10">
        <f>IF($C517="","",COUNTA($C$9:$C517))</f>
        <v/>
      </c>
      <c r="B517" s="10">
        <f>IF($C517="","","TXN-"&amp;RIGHT("0000"&amp;509,4))</f>
        <v/>
      </c>
      <c r="C517" s="11" t="n"/>
      <c r="D517" s="11" t="n"/>
      <c r="E517" s="12" t="n"/>
      <c r="F517" s="10">
        <f>IF($E517="","",IFERROR(IF(VLOOKUP(LEFT(UPPER(TRIM($E517)),6),BankTbl,2,0)="","(بدون عنوان)",VLOOKUP(LEFT(UPPER(TRIM($E517)),6),BankTbl,2,0)),"بانک ناشناخته"))</f>
        <v/>
      </c>
      <c r="G517" s="11" t="n"/>
      <c r="H517" s="10">
        <f>IF($G517="","",IFERROR(VLOOKUP($G517,CustTbl,2,0),IFERROR(VLOOKUP($G517,SuppTbl,2,0),IFERROR(VLOOKUP($G517,AcctTbl,2,0),IFERROR(VLOOKUP($G517,StaffTbl,2,0),"کد ناشناخته")))))</f>
        <v/>
      </c>
      <c r="I517" s="12" t="n"/>
      <c r="J517" s="12" t="n"/>
      <c r="K517" s="13" t="n"/>
      <c r="L517" s="13" t="n"/>
      <c r="M517" s="13" t="n"/>
      <c r="N517" s="14">
        <f>IF(OR($C517="",$E517="",Calc!$H517=""),"",IFERROR(VLOOKUP(LEFT(UPPER(TRIM($E517)),6),BankTbl,3,0),0)+SUMIFS(CalcDep,CalcBank,LEFT(UPPER(TRIM($E517)),6),CalcKey,"&lt;="&amp;Calc!$H517)-SUMIFS(CalcWit,CalcBank,LEFT(UPPER(TRIM($E517)),6),CalcKey,"&lt;="&amp;Calc!$H517))</f>
        <v/>
      </c>
      <c r="O517" s="10">
        <f>IF(OR($C517="",$M517=""),"",IF($N517="","؟",IF(ROUND($M517-$N517,0)=0,"√","×")))</f>
        <v/>
      </c>
      <c r="P517" s="12" t="n"/>
    </row>
    <row r="518">
      <c r="A518" s="10">
        <f>IF($C518="","",COUNTA($C$9:$C518))</f>
        <v/>
      </c>
      <c r="B518" s="10">
        <f>IF($C518="","","TXN-"&amp;RIGHT("0000"&amp;510,4))</f>
        <v/>
      </c>
      <c r="C518" s="11" t="n"/>
      <c r="D518" s="11" t="n"/>
      <c r="E518" s="12" t="n"/>
      <c r="F518" s="10">
        <f>IF($E518="","",IFERROR(IF(VLOOKUP(LEFT(UPPER(TRIM($E518)),6),BankTbl,2,0)="","(بدون عنوان)",VLOOKUP(LEFT(UPPER(TRIM($E518)),6),BankTbl,2,0)),"بانک ناشناخته"))</f>
        <v/>
      </c>
      <c r="G518" s="11" t="n"/>
      <c r="H518" s="10">
        <f>IF($G518="","",IFERROR(VLOOKUP($G518,CustTbl,2,0),IFERROR(VLOOKUP($G518,SuppTbl,2,0),IFERROR(VLOOKUP($G518,AcctTbl,2,0),IFERROR(VLOOKUP($G518,StaffTbl,2,0),"کد ناشناخته")))))</f>
        <v/>
      </c>
      <c r="I518" s="12" t="n"/>
      <c r="J518" s="12" t="n"/>
      <c r="K518" s="13" t="n"/>
      <c r="L518" s="13" t="n"/>
      <c r="M518" s="13" t="n"/>
      <c r="N518" s="14">
        <f>IF(OR($C518="",$E518="",Calc!$H518=""),"",IFERROR(VLOOKUP(LEFT(UPPER(TRIM($E518)),6),BankTbl,3,0),0)+SUMIFS(CalcDep,CalcBank,LEFT(UPPER(TRIM($E518)),6),CalcKey,"&lt;="&amp;Calc!$H518)-SUMIFS(CalcWit,CalcBank,LEFT(UPPER(TRIM($E518)),6),CalcKey,"&lt;="&amp;Calc!$H518))</f>
        <v/>
      </c>
      <c r="O518" s="10">
        <f>IF(OR($C518="",$M518=""),"",IF($N518="","؟",IF(ROUND($M518-$N518,0)=0,"√","×")))</f>
        <v/>
      </c>
      <c r="P518" s="12" t="n"/>
    </row>
    <row r="519">
      <c r="A519" s="10">
        <f>IF($C519="","",COUNTA($C$9:$C519))</f>
        <v/>
      </c>
      <c r="B519" s="10">
        <f>IF($C519="","","TXN-"&amp;RIGHT("0000"&amp;511,4))</f>
        <v/>
      </c>
      <c r="C519" s="11" t="n"/>
      <c r="D519" s="11" t="n"/>
      <c r="E519" s="12" t="n"/>
      <c r="F519" s="10">
        <f>IF($E519="","",IFERROR(IF(VLOOKUP(LEFT(UPPER(TRIM($E519)),6),BankTbl,2,0)="","(بدون عنوان)",VLOOKUP(LEFT(UPPER(TRIM($E519)),6),BankTbl,2,0)),"بانک ناشناخته"))</f>
        <v/>
      </c>
      <c r="G519" s="11" t="n"/>
      <c r="H519" s="10">
        <f>IF($G519="","",IFERROR(VLOOKUP($G519,CustTbl,2,0),IFERROR(VLOOKUP($G519,SuppTbl,2,0),IFERROR(VLOOKUP($G519,AcctTbl,2,0),IFERROR(VLOOKUP($G519,StaffTbl,2,0),"کد ناشناخته")))))</f>
        <v/>
      </c>
      <c r="I519" s="12" t="n"/>
      <c r="J519" s="12" t="n"/>
      <c r="K519" s="13" t="n"/>
      <c r="L519" s="13" t="n"/>
      <c r="M519" s="13" t="n"/>
      <c r="N519" s="14">
        <f>IF(OR($C519="",$E519="",Calc!$H519=""),"",IFERROR(VLOOKUP(LEFT(UPPER(TRIM($E519)),6),BankTbl,3,0),0)+SUMIFS(CalcDep,CalcBank,LEFT(UPPER(TRIM($E519)),6),CalcKey,"&lt;="&amp;Calc!$H519)-SUMIFS(CalcWit,CalcBank,LEFT(UPPER(TRIM($E519)),6),CalcKey,"&lt;="&amp;Calc!$H519))</f>
        <v/>
      </c>
      <c r="O519" s="10">
        <f>IF(OR($C519="",$M519=""),"",IF($N519="","؟",IF(ROUND($M519-$N519,0)=0,"√","×")))</f>
        <v/>
      </c>
      <c r="P519" s="12" t="n"/>
    </row>
    <row r="520">
      <c r="A520" s="10">
        <f>IF($C520="","",COUNTA($C$9:$C520))</f>
        <v/>
      </c>
      <c r="B520" s="10">
        <f>IF($C520="","","TXN-"&amp;RIGHT("0000"&amp;512,4))</f>
        <v/>
      </c>
      <c r="C520" s="11" t="n"/>
      <c r="D520" s="11" t="n"/>
      <c r="E520" s="12" t="n"/>
      <c r="F520" s="10">
        <f>IF($E520="","",IFERROR(IF(VLOOKUP(LEFT(UPPER(TRIM($E520)),6),BankTbl,2,0)="","(بدون عنوان)",VLOOKUP(LEFT(UPPER(TRIM($E520)),6),BankTbl,2,0)),"بانک ناشناخته"))</f>
        <v/>
      </c>
      <c r="G520" s="11" t="n"/>
      <c r="H520" s="10">
        <f>IF($G520="","",IFERROR(VLOOKUP($G520,CustTbl,2,0),IFERROR(VLOOKUP($G520,SuppTbl,2,0),IFERROR(VLOOKUP($G520,AcctTbl,2,0),IFERROR(VLOOKUP($G520,StaffTbl,2,0),"کد ناشناخته")))))</f>
        <v/>
      </c>
      <c r="I520" s="12" t="n"/>
      <c r="J520" s="12" t="n"/>
      <c r="K520" s="13" t="n"/>
      <c r="L520" s="13" t="n"/>
      <c r="M520" s="13" t="n"/>
      <c r="N520" s="14">
        <f>IF(OR($C520="",$E520="",Calc!$H520=""),"",IFERROR(VLOOKUP(LEFT(UPPER(TRIM($E520)),6),BankTbl,3,0),0)+SUMIFS(CalcDep,CalcBank,LEFT(UPPER(TRIM($E520)),6),CalcKey,"&lt;="&amp;Calc!$H520)-SUMIFS(CalcWit,CalcBank,LEFT(UPPER(TRIM($E520)),6),CalcKey,"&lt;="&amp;Calc!$H520))</f>
        <v/>
      </c>
      <c r="O520" s="10">
        <f>IF(OR($C520="",$M520=""),"",IF($N520="","؟",IF(ROUND($M520-$N520,0)=0,"√","×")))</f>
        <v/>
      </c>
      <c r="P520" s="12" t="n"/>
    </row>
    <row r="521">
      <c r="A521" s="10">
        <f>IF($C521="","",COUNTA($C$9:$C521))</f>
        <v/>
      </c>
      <c r="B521" s="10">
        <f>IF($C521="","","TXN-"&amp;RIGHT("0000"&amp;513,4))</f>
        <v/>
      </c>
      <c r="C521" s="11" t="n"/>
      <c r="D521" s="11" t="n"/>
      <c r="E521" s="12" t="n"/>
      <c r="F521" s="10">
        <f>IF($E521="","",IFERROR(IF(VLOOKUP(LEFT(UPPER(TRIM($E521)),6),BankTbl,2,0)="","(بدون عنوان)",VLOOKUP(LEFT(UPPER(TRIM($E521)),6),BankTbl,2,0)),"بانک ناشناخته"))</f>
        <v/>
      </c>
      <c r="G521" s="11" t="n"/>
      <c r="H521" s="10">
        <f>IF($G521="","",IFERROR(VLOOKUP($G521,CustTbl,2,0),IFERROR(VLOOKUP($G521,SuppTbl,2,0),IFERROR(VLOOKUP($G521,AcctTbl,2,0),IFERROR(VLOOKUP($G521,StaffTbl,2,0),"کد ناشناخته")))))</f>
        <v/>
      </c>
      <c r="I521" s="12" t="n"/>
      <c r="J521" s="12" t="n"/>
      <c r="K521" s="13" t="n"/>
      <c r="L521" s="13" t="n"/>
      <c r="M521" s="13" t="n"/>
      <c r="N521" s="14">
        <f>IF(OR($C521="",$E521="",Calc!$H521=""),"",IFERROR(VLOOKUP(LEFT(UPPER(TRIM($E521)),6),BankTbl,3,0),0)+SUMIFS(CalcDep,CalcBank,LEFT(UPPER(TRIM($E521)),6),CalcKey,"&lt;="&amp;Calc!$H521)-SUMIFS(CalcWit,CalcBank,LEFT(UPPER(TRIM($E521)),6),CalcKey,"&lt;="&amp;Calc!$H521))</f>
        <v/>
      </c>
      <c r="O521" s="10">
        <f>IF(OR($C521="",$M521=""),"",IF($N521="","؟",IF(ROUND($M521-$N521,0)=0,"√","×")))</f>
        <v/>
      </c>
      <c r="P521" s="12" t="n"/>
    </row>
    <row r="522">
      <c r="A522" s="10">
        <f>IF($C522="","",COUNTA($C$9:$C522))</f>
        <v/>
      </c>
      <c r="B522" s="10">
        <f>IF($C522="","","TXN-"&amp;RIGHT("0000"&amp;514,4))</f>
        <v/>
      </c>
      <c r="C522" s="11" t="n"/>
      <c r="D522" s="11" t="n"/>
      <c r="E522" s="12" t="n"/>
      <c r="F522" s="10">
        <f>IF($E522="","",IFERROR(IF(VLOOKUP(LEFT(UPPER(TRIM($E522)),6),BankTbl,2,0)="","(بدون عنوان)",VLOOKUP(LEFT(UPPER(TRIM($E522)),6),BankTbl,2,0)),"بانک ناشناخته"))</f>
        <v/>
      </c>
      <c r="G522" s="11" t="n"/>
      <c r="H522" s="10">
        <f>IF($G522="","",IFERROR(VLOOKUP($G522,CustTbl,2,0),IFERROR(VLOOKUP($G522,SuppTbl,2,0),IFERROR(VLOOKUP($G522,AcctTbl,2,0),IFERROR(VLOOKUP($G522,StaffTbl,2,0),"کد ناشناخته")))))</f>
        <v/>
      </c>
      <c r="I522" s="12" t="n"/>
      <c r="J522" s="12" t="n"/>
      <c r="K522" s="13" t="n"/>
      <c r="L522" s="13" t="n"/>
      <c r="M522" s="13" t="n"/>
      <c r="N522" s="14">
        <f>IF(OR($C522="",$E522="",Calc!$H522=""),"",IFERROR(VLOOKUP(LEFT(UPPER(TRIM($E522)),6),BankTbl,3,0),0)+SUMIFS(CalcDep,CalcBank,LEFT(UPPER(TRIM($E522)),6),CalcKey,"&lt;="&amp;Calc!$H522)-SUMIFS(CalcWit,CalcBank,LEFT(UPPER(TRIM($E522)),6),CalcKey,"&lt;="&amp;Calc!$H522))</f>
        <v/>
      </c>
      <c r="O522" s="10">
        <f>IF(OR($C522="",$M522=""),"",IF($N522="","؟",IF(ROUND($M522-$N522,0)=0,"√","×")))</f>
        <v/>
      </c>
      <c r="P522" s="12" t="n"/>
    </row>
    <row r="523">
      <c r="A523" s="10">
        <f>IF($C523="","",COUNTA($C$9:$C523))</f>
        <v/>
      </c>
      <c r="B523" s="10">
        <f>IF($C523="","","TXN-"&amp;RIGHT("0000"&amp;515,4))</f>
        <v/>
      </c>
      <c r="C523" s="11" t="n"/>
      <c r="D523" s="11" t="n"/>
      <c r="E523" s="12" t="n"/>
      <c r="F523" s="10">
        <f>IF($E523="","",IFERROR(IF(VLOOKUP(LEFT(UPPER(TRIM($E523)),6),BankTbl,2,0)="","(بدون عنوان)",VLOOKUP(LEFT(UPPER(TRIM($E523)),6),BankTbl,2,0)),"بانک ناشناخته"))</f>
        <v/>
      </c>
      <c r="G523" s="11" t="n"/>
      <c r="H523" s="10">
        <f>IF($G523="","",IFERROR(VLOOKUP($G523,CustTbl,2,0),IFERROR(VLOOKUP($G523,SuppTbl,2,0),IFERROR(VLOOKUP($G523,AcctTbl,2,0),IFERROR(VLOOKUP($G523,StaffTbl,2,0),"کد ناشناخته")))))</f>
        <v/>
      </c>
      <c r="I523" s="12" t="n"/>
      <c r="J523" s="12" t="n"/>
      <c r="K523" s="13" t="n"/>
      <c r="L523" s="13" t="n"/>
      <c r="M523" s="13" t="n"/>
      <c r="N523" s="14">
        <f>IF(OR($C523="",$E523="",Calc!$H523=""),"",IFERROR(VLOOKUP(LEFT(UPPER(TRIM($E523)),6),BankTbl,3,0),0)+SUMIFS(CalcDep,CalcBank,LEFT(UPPER(TRIM($E523)),6),CalcKey,"&lt;="&amp;Calc!$H523)-SUMIFS(CalcWit,CalcBank,LEFT(UPPER(TRIM($E523)),6),CalcKey,"&lt;="&amp;Calc!$H523))</f>
        <v/>
      </c>
      <c r="O523" s="10">
        <f>IF(OR($C523="",$M523=""),"",IF($N523="","؟",IF(ROUND($M523-$N523,0)=0,"√","×")))</f>
        <v/>
      </c>
      <c r="P523" s="12" t="n"/>
    </row>
    <row r="524">
      <c r="A524" s="10">
        <f>IF($C524="","",COUNTA($C$9:$C524))</f>
        <v/>
      </c>
      <c r="B524" s="10">
        <f>IF($C524="","","TXN-"&amp;RIGHT("0000"&amp;516,4))</f>
        <v/>
      </c>
      <c r="C524" s="11" t="n"/>
      <c r="D524" s="11" t="n"/>
      <c r="E524" s="12" t="n"/>
      <c r="F524" s="10">
        <f>IF($E524="","",IFERROR(IF(VLOOKUP(LEFT(UPPER(TRIM($E524)),6),BankTbl,2,0)="","(بدون عنوان)",VLOOKUP(LEFT(UPPER(TRIM($E524)),6),BankTbl,2,0)),"بانک ناشناخته"))</f>
        <v/>
      </c>
      <c r="G524" s="11" t="n"/>
      <c r="H524" s="10">
        <f>IF($G524="","",IFERROR(VLOOKUP($G524,CustTbl,2,0),IFERROR(VLOOKUP($G524,SuppTbl,2,0),IFERROR(VLOOKUP($G524,AcctTbl,2,0),IFERROR(VLOOKUP($G524,StaffTbl,2,0),"کد ناشناخته")))))</f>
        <v/>
      </c>
      <c r="I524" s="12" t="n"/>
      <c r="J524" s="12" t="n"/>
      <c r="K524" s="13" t="n"/>
      <c r="L524" s="13" t="n"/>
      <c r="M524" s="13" t="n"/>
      <c r="N524" s="14">
        <f>IF(OR($C524="",$E524="",Calc!$H524=""),"",IFERROR(VLOOKUP(LEFT(UPPER(TRIM($E524)),6),BankTbl,3,0),0)+SUMIFS(CalcDep,CalcBank,LEFT(UPPER(TRIM($E524)),6),CalcKey,"&lt;="&amp;Calc!$H524)-SUMIFS(CalcWit,CalcBank,LEFT(UPPER(TRIM($E524)),6),CalcKey,"&lt;="&amp;Calc!$H524))</f>
        <v/>
      </c>
      <c r="O524" s="10">
        <f>IF(OR($C524="",$M524=""),"",IF($N524="","؟",IF(ROUND($M524-$N524,0)=0,"√","×")))</f>
        <v/>
      </c>
      <c r="P524" s="12" t="n"/>
    </row>
    <row r="525">
      <c r="A525" s="10">
        <f>IF($C525="","",COUNTA($C$9:$C525))</f>
        <v/>
      </c>
      <c r="B525" s="10">
        <f>IF($C525="","","TXN-"&amp;RIGHT("0000"&amp;517,4))</f>
        <v/>
      </c>
      <c r="C525" s="11" t="n"/>
      <c r="D525" s="11" t="n"/>
      <c r="E525" s="12" t="n"/>
      <c r="F525" s="10">
        <f>IF($E525="","",IFERROR(IF(VLOOKUP(LEFT(UPPER(TRIM($E525)),6),BankTbl,2,0)="","(بدون عنوان)",VLOOKUP(LEFT(UPPER(TRIM($E525)),6),BankTbl,2,0)),"بانک ناشناخته"))</f>
        <v/>
      </c>
      <c r="G525" s="11" t="n"/>
      <c r="H525" s="10">
        <f>IF($G525="","",IFERROR(VLOOKUP($G525,CustTbl,2,0),IFERROR(VLOOKUP($G525,SuppTbl,2,0),IFERROR(VLOOKUP($G525,AcctTbl,2,0),IFERROR(VLOOKUP($G525,StaffTbl,2,0),"کد ناشناخته")))))</f>
        <v/>
      </c>
      <c r="I525" s="12" t="n"/>
      <c r="J525" s="12" t="n"/>
      <c r="K525" s="13" t="n"/>
      <c r="L525" s="13" t="n"/>
      <c r="M525" s="13" t="n"/>
      <c r="N525" s="14">
        <f>IF(OR($C525="",$E525="",Calc!$H525=""),"",IFERROR(VLOOKUP(LEFT(UPPER(TRIM($E525)),6),BankTbl,3,0),0)+SUMIFS(CalcDep,CalcBank,LEFT(UPPER(TRIM($E525)),6),CalcKey,"&lt;="&amp;Calc!$H525)-SUMIFS(CalcWit,CalcBank,LEFT(UPPER(TRIM($E525)),6),CalcKey,"&lt;="&amp;Calc!$H525))</f>
        <v/>
      </c>
      <c r="O525" s="10">
        <f>IF(OR($C525="",$M525=""),"",IF($N525="","؟",IF(ROUND($M525-$N525,0)=0,"√","×")))</f>
        <v/>
      </c>
      <c r="P525" s="12" t="n"/>
    </row>
    <row r="526">
      <c r="A526" s="10">
        <f>IF($C526="","",COUNTA($C$9:$C526))</f>
        <v/>
      </c>
      <c r="B526" s="10">
        <f>IF($C526="","","TXN-"&amp;RIGHT("0000"&amp;518,4))</f>
        <v/>
      </c>
      <c r="C526" s="11" t="n"/>
      <c r="D526" s="11" t="n"/>
      <c r="E526" s="12" t="n"/>
      <c r="F526" s="10">
        <f>IF($E526="","",IFERROR(IF(VLOOKUP(LEFT(UPPER(TRIM($E526)),6),BankTbl,2,0)="","(بدون عنوان)",VLOOKUP(LEFT(UPPER(TRIM($E526)),6),BankTbl,2,0)),"بانک ناشناخته"))</f>
        <v/>
      </c>
      <c r="G526" s="11" t="n"/>
      <c r="H526" s="10">
        <f>IF($G526="","",IFERROR(VLOOKUP($G526,CustTbl,2,0),IFERROR(VLOOKUP($G526,SuppTbl,2,0),IFERROR(VLOOKUP($G526,AcctTbl,2,0),IFERROR(VLOOKUP($G526,StaffTbl,2,0),"کد ناشناخته")))))</f>
        <v/>
      </c>
      <c r="I526" s="12" t="n"/>
      <c r="J526" s="12" t="n"/>
      <c r="K526" s="13" t="n"/>
      <c r="L526" s="13" t="n"/>
      <c r="M526" s="13" t="n"/>
      <c r="N526" s="14">
        <f>IF(OR($C526="",$E526="",Calc!$H526=""),"",IFERROR(VLOOKUP(LEFT(UPPER(TRIM($E526)),6),BankTbl,3,0),0)+SUMIFS(CalcDep,CalcBank,LEFT(UPPER(TRIM($E526)),6),CalcKey,"&lt;="&amp;Calc!$H526)-SUMIFS(CalcWit,CalcBank,LEFT(UPPER(TRIM($E526)),6),CalcKey,"&lt;="&amp;Calc!$H526))</f>
        <v/>
      </c>
      <c r="O526" s="10">
        <f>IF(OR($C526="",$M526=""),"",IF($N526="","؟",IF(ROUND($M526-$N526,0)=0,"√","×")))</f>
        <v/>
      </c>
      <c r="P526" s="12" t="n"/>
    </row>
    <row r="527">
      <c r="A527" s="10">
        <f>IF($C527="","",COUNTA($C$9:$C527))</f>
        <v/>
      </c>
      <c r="B527" s="10">
        <f>IF($C527="","","TXN-"&amp;RIGHT("0000"&amp;519,4))</f>
        <v/>
      </c>
      <c r="C527" s="11" t="n"/>
      <c r="D527" s="11" t="n"/>
      <c r="E527" s="12" t="n"/>
      <c r="F527" s="10">
        <f>IF($E527="","",IFERROR(IF(VLOOKUP(LEFT(UPPER(TRIM($E527)),6),BankTbl,2,0)="","(بدون عنوان)",VLOOKUP(LEFT(UPPER(TRIM($E527)),6),BankTbl,2,0)),"بانک ناشناخته"))</f>
        <v/>
      </c>
      <c r="G527" s="11" t="n"/>
      <c r="H527" s="10">
        <f>IF($G527="","",IFERROR(VLOOKUP($G527,CustTbl,2,0),IFERROR(VLOOKUP($G527,SuppTbl,2,0),IFERROR(VLOOKUP($G527,AcctTbl,2,0),IFERROR(VLOOKUP($G527,StaffTbl,2,0),"کد ناشناخته")))))</f>
        <v/>
      </c>
      <c r="I527" s="12" t="n"/>
      <c r="J527" s="12" t="n"/>
      <c r="K527" s="13" t="n"/>
      <c r="L527" s="13" t="n"/>
      <c r="M527" s="13" t="n"/>
      <c r="N527" s="14">
        <f>IF(OR($C527="",$E527="",Calc!$H527=""),"",IFERROR(VLOOKUP(LEFT(UPPER(TRIM($E527)),6),BankTbl,3,0),0)+SUMIFS(CalcDep,CalcBank,LEFT(UPPER(TRIM($E527)),6),CalcKey,"&lt;="&amp;Calc!$H527)-SUMIFS(CalcWit,CalcBank,LEFT(UPPER(TRIM($E527)),6),CalcKey,"&lt;="&amp;Calc!$H527))</f>
        <v/>
      </c>
      <c r="O527" s="10">
        <f>IF(OR($C527="",$M527=""),"",IF($N527="","؟",IF(ROUND($M527-$N527,0)=0,"√","×")))</f>
        <v/>
      </c>
      <c r="P527" s="12" t="n"/>
    </row>
    <row r="528">
      <c r="A528" s="10">
        <f>IF($C528="","",COUNTA($C$9:$C528))</f>
        <v/>
      </c>
      <c r="B528" s="10">
        <f>IF($C528="","","TXN-"&amp;RIGHT("0000"&amp;520,4))</f>
        <v/>
      </c>
      <c r="C528" s="11" t="n"/>
      <c r="D528" s="11" t="n"/>
      <c r="E528" s="12" t="n"/>
      <c r="F528" s="10">
        <f>IF($E528="","",IFERROR(IF(VLOOKUP(LEFT(UPPER(TRIM($E528)),6),BankTbl,2,0)="","(بدون عنوان)",VLOOKUP(LEFT(UPPER(TRIM($E528)),6),BankTbl,2,0)),"بانک ناشناخته"))</f>
        <v/>
      </c>
      <c r="G528" s="11" t="n"/>
      <c r="H528" s="10">
        <f>IF($G528="","",IFERROR(VLOOKUP($G528,CustTbl,2,0),IFERROR(VLOOKUP($G528,SuppTbl,2,0),IFERROR(VLOOKUP($G528,AcctTbl,2,0),IFERROR(VLOOKUP($G528,StaffTbl,2,0),"کد ناشناخته")))))</f>
        <v/>
      </c>
      <c r="I528" s="12" t="n"/>
      <c r="J528" s="12" t="n"/>
      <c r="K528" s="13" t="n"/>
      <c r="L528" s="13" t="n"/>
      <c r="M528" s="13" t="n"/>
      <c r="N528" s="14">
        <f>IF(OR($C528="",$E528="",Calc!$H528=""),"",IFERROR(VLOOKUP(LEFT(UPPER(TRIM($E528)),6),BankTbl,3,0),0)+SUMIFS(CalcDep,CalcBank,LEFT(UPPER(TRIM($E528)),6),CalcKey,"&lt;="&amp;Calc!$H528)-SUMIFS(CalcWit,CalcBank,LEFT(UPPER(TRIM($E528)),6),CalcKey,"&lt;="&amp;Calc!$H528))</f>
        <v/>
      </c>
      <c r="O528" s="10">
        <f>IF(OR($C528="",$M528=""),"",IF($N528="","؟",IF(ROUND($M528-$N528,0)=0,"√","×")))</f>
        <v/>
      </c>
      <c r="P528" s="12" t="n"/>
    </row>
    <row r="529">
      <c r="A529" s="10">
        <f>IF($C529="","",COUNTA($C$9:$C529))</f>
        <v/>
      </c>
      <c r="B529" s="10">
        <f>IF($C529="","","TXN-"&amp;RIGHT("0000"&amp;521,4))</f>
        <v/>
      </c>
      <c r="C529" s="11" t="n"/>
      <c r="D529" s="11" t="n"/>
      <c r="E529" s="12" t="n"/>
      <c r="F529" s="10">
        <f>IF($E529="","",IFERROR(IF(VLOOKUP(LEFT(UPPER(TRIM($E529)),6),BankTbl,2,0)="","(بدون عنوان)",VLOOKUP(LEFT(UPPER(TRIM($E529)),6),BankTbl,2,0)),"بانک ناشناخته"))</f>
        <v/>
      </c>
      <c r="G529" s="11" t="n"/>
      <c r="H529" s="10">
        <f>IF($G529="","",IFERROR(VLOOKUP($G529,CustTbl,2,0),IFERROR(VLOOKUP($G529,SuppTbl,2,0),IFERROR(VLOOKUP($G529,AcctTbl,2,0),IFERROR(VLOOKUP($G529,StaffTbl,2,0),"کد ناشناخته")))))</f>
        <v/>
      </c>
      <c r="I529" s="12" t="n"/>
      <c r="J529" s="12" t="n"/>
      <c r="K529" s="13" t="n"/>
      <c r="L529" s="13" t="n"/>
      <c r="M529" s="13" t="n"/>
      <c r="N529" s="14">
        <f>IF(OR($C529="",$E529="",Calc!$H529=""),"",IFERROR(VLOOKUP(LEFT(UPPER(TRIM($E529)),6),BankTbl,3,0),0)+SUMIFS(CalcDep,CalcBank,LEFT(UPPER(TRIM($E529)),6),CalcKey,"&lt;="&amp;Calc!$H529)-SUMIFS(CalcWit,CalcBank,LEFT(UPPER(TRIM($E529)),6),CalcKey,"&lt;="&amp;Calc!$H529))</f>
        <v/>
      </c>
      <c r="O529" s="10">
        <f>IF(OR($C529="",$M529=""),"",IF($N529="","؟",IF(ROUND($M529-$N529,0)=0,"√","×")))</f>
        <v/>
      </c>
      <c r="P529" s="12" t="n"/>
    </row>
    <row r="530">
      <c r="A530" s="10">
        <f>IF($C530="","",COUNTA($C$9:$C530))</f>
        <v/>
      </c>
      <c r="B530" s="10">
        <f>IF($C530="","","TXN-"&amp;RIGHT("0000"&amp;522,4))</f>
        <v/>
      </c>
      <c r="C530" s="11" t="n"/>
      <c r="D530" s="11" t="n"/>
      <c r="E530" s="12" t="n"/>
      <c r="F530" s="10">
        <f>IF($E530="","",IFERROR(IF(VLOOKUP(LEFT(UPPER(TRIM($E530)),6),BankTbl,2,0)="","(بدون عنوان)",VLOOKUP(LEFT(UPPER(TRIM($E530)),6),BankTbl,2,0)),"بانک ناشناخته"))</f>
        <v/>
      </c>
      <c r="G530" s="11" t="n"/>
      <c r="H530" s="10">
        <f>IF($G530="","",IFERROR(VLOOKUP($G530,CustTbl,2,0),IFERROR(VLOOKUP($G530,SuppTbl,2,0),IFERROR(VLOOKUP($G530,AcctTbl,2,0),IFERROR(VLOOKUP($G530,StaffTbl,2,0),"کد ناشناخته")))))</f>
        <v/>
      </c>
      <c r="I530" s="12" t="n"/>
      <c r="J530" s="12" t="n"/>
      <c r="K530" s="13" t="n"/>
      <c r="L530" s="13" t="n"/>
      <c r="M530" s="13" t="n"/>
      <c r="N530" s="14">
        <f>IF(OR($C530="",$E530="",Calc!$H530=""),"",IFERROR(VLOOKUP(LEFT(UPPER(TRIM($E530)),6),BankTbl,3,0),0)+SUMIFS(CalcDep,CalcBank,LEFT(UPPER(TRIM($E530)),6),CalcKey,"&lt;="&amp;Calc!$H530)-SUMIFS(CalcWit,CalcBank,LEFT(UPPER(TRIM($E530)),6),CalcKey,"&lt;="&amp;Calc!$H530))</f>
        <v/>
      </c>
      <c r="O530" s="10">
        <f>IF(OR($C530="",$M530=""),"",IF($N530="","؟",IF(ROUND($M530-$N530,0)=0,"√","×")))</f>
        <v/>
      </c>
      <c r="P530" s="12" t="n"/>
    </row>
    <row r="531">
      <c r="A531" s="10">
        <f>IF($C531="","",COUNTA($C$9:$C531))</f>
        <v/>
      </c>
      <c r="B531" s="10">
        <f>IF($C531="","","TXN-"&amp;RIGHT("0000"&amp;523,4))</f>
        <v/>
      </c>
      <c r="C531" s="11" t="n"/>
      <c r="D531" s="11" t="n"/>
      <c r="E531" s="12" t="n"/>
      <c r="F531" s="10">
        <f>IF($E531="","",IFERROR(IF(VLOOKUP(LEFT(UPPER(TRIM($E531)),6),BankTbl,2,0)="","(بدون عنوان)",VLOOKUP(LEFT(UPPER(TRIM($E531)),6),BankTbl,2,0)),"بانک ناشناخته"))</f>
        <v/>
      </c>
      <c r="G531" s="11" t="n"/>
      <c r="H531" s="10">
        <f>IF($G531="","",IFERROR(VLOOKUP($G531,CustTbl,2,0),IFERROR(VLOOKUP($G531,SuppTbl,2,0),IFERROR(VLOOKUP($G531,AcctTbl,2,0),IFERROR(VLOOKUP($G531,StaffTbl,2,0),"کد ناشناخته")))))</f>
        <v/>
      </c>
      <c r="I531" s="12" t="n"/>
      <c r="J531" s="12" t="n"/>
      <c r="K531" s="13" t="n"/>
      <c r="L531" s="13" t="n"/>
      <c r="M531" s="13" t="n"/>
      <c r="N531" s="14">
        <f>IF(OR($C531="",$E531="",Calc!$H531=""),"",IFERROR(VLOOKUP(LEFT(UPPER(TRIM($E531)),6),BankTbl,3,0),0)+SUMIFS(CalcDep,CalcBank,LEFT(UPPER(TRIM($E531)),6),CalcKey,"&lt;="&amp;Calc!$H531)-SUMIFS(CalcWit,CalcBank,LEFT(UPPER(TRIM($E531)),6),CalcKey,"&lt;="&amp;Calc!$H531))</f>
        <v/>
      </c>
      <c r="O531" s="10">
        <f>IF(OR($C531="",$M531=""),"",IF($N531="","؟",IF(ROUND($M531-$N531,0)=0,"√","×")))</f>
        <v/>
      </c>
      <c r="P531" s="12" t="n"/>
    </row>
    <row r="532">
      <c r="A532" s="10">
        <f>IF($C532="","",COUNTA($C$9:$C532))</f>
        <v/>
      </c>
      <c r="B532" s="10">
        <f>IF($C532="","","TXN-"&amp;RIGHT("0000"&amp;524,4))</f>
        <v/>
      </c>
      <c r="C532" s="11" t="n"/>
      <c r="D532" s="11" t="n"/>
      <c r="E532" s="12" t="n"/>
      <c r="F532" s="10">
        <f>IF($E532="","",IFERROR(IF(VLOOKUP(LEFT(UPPER(TRIM($E532)),6),BankTbl,2,0)="","(بدون عنوان)",VLOOKUP(LEFT(UPPER(TRIM($E532)),6),BankTbl,2,0)),"بانک ناشناخته"))</f>
        <v/>
      </c>
      <c r="G532" s="11" t="n"/>
      <c r="H532" s="10">
        <f>IF($G532="","",IFERROR(VLOOKUP($G532,CustTbl,2,0),IFERROR(VLOOKUP($G532,SuppTbl,2,0),IFERROR(VLOOKUP($G532,AcctTbl,2,0),IFERROR(VLOOKUP($G532,StaffTbl,2,0),"کد ناشناخته")))))</f>
        <v/>
      </c>
      <c r="I532" s="12" t="n"/>
      <c r="J532" s="12" t="n"/>
      <c r="K532" s="13" t="n"/>
      <c r="L532" s="13" t="n"/>
      <c r="M532" s="13" t="n"/>
      <c r="N532" s="14">
        <f>IF(OR($C532="",$E532="",Calc!$H532=""),"",IFERROR(VLOOKUP(LEFT(UPPER(TRIM($E532)),6),BankTbl,3,0),0)+SUMIFS(CalcDep,CalcBank,LEFT(UPPER(TRIM($E532)),6),CalcKey,"&lt;="&amp;Calc!$H532)-SUMIFS(CalcWit,CalcBank,LEFT(UPPER(TRIM($E532)),6),CalcKey,"&lt;="&amp;Calc!$H532))</f>
        <v/>
      </c>
      <c r="O532" s="10">
        <f>IF(OR($C532="",$M532=""),"",IF($N532="","؟",IF(ROUND($M532-$N532,0)=0,"√","×")))</f>
        <v/>
      </c>
      <c r="P532" s="12" t="n"/>
    </row>
    <row r="533">
      <c r="A533" s="10">
        <f>IF($C533="","",COUNTA($C$9:$C533))</f>
        <v/>
      </c>
      <c r="B533" s="10">
        <f>IF($C533="","","TXN-"&amp;RIGHT("0000"&amp;525,4))</f>
        <v/>
      </c>
      <c r="C533" s="11" t="n"/>
      <c r="D533" s="11" t="n"/>
      <c r="E533" s="12" t="n"/>
      <c r="F533" s="10">
        <f>IF($E533="","",IFERROR(IF(VLOOKUP(LEFT(UPPER(TRIM($E533)),6),BankTbl,2,0)="","(بدون عنوان)",VLOOKUP(LEFT(UPPER(TRIM($E533)),6),BankTbl,2,0)),"بانک ناشناخته"))</f>
        <v/>
      </c>
      <c r="G533" s="11" t="n"/>
      <c r="H533" s="10">
        <f>IF($G533="","",IFERROR(VLOOKUP($G533,CustTbl,2,0),IFERROR(VLOOKUP($G533,SuppTbl,2,0),IFERROR(VLOOKUP($G533,AcctTbl,2,0),IFERROR(VLOOKUP($G533,StaffTbl,2,0),"کد ناشناخته")))))</f>
        <v/>
      </c>
      <c r="I533" s="12" t="n"/>
      <c r="J533" s="12" t="n"/>
      <c r="K533" s="13" t="n"/>
      <c r="L533" s="13" t="n"/>
      <c r="M533" s="13" t="n"/>
      <c r="N533" s="14">
        <f>IF(OR($C533="",$E533="",Calc!$H533=""),"",IFERROR(VLOOKUP(LEFT(UPPER(TRIM($E533)),6),BankTbl,3,0),0)+SUMIFS(CalcDep,CalcBank,LEFT(UPPER(TRIM($E533)),6),CalcKey,"&lt;="&amp;Calc!$H533)-SUMIFS(CalcWit,CalcBank,LEFT(UPPER(TRIM($E533)),6),CalcKey,"&lt;="&amp;Calc!$H533))</f>
        <v/>
      </c>
      <c r="O533" s="10">
        <f>IF(OR($C533="",$M533=""),"",IF($N533="","؟",IF(ROUND($M533-$N533,0)=0,"√","×")))</f>
        <v/>
      </c>
      <c r="P533" s="12" t="n"/>
    </row>
    <row r="534">
      <c r="A534" s="10">
        <f>IF($C534="","",COUNTA($C$9:$C534))</f>
        <v/>
      </c>
      <c r="B534" s="10">
        <f>IF($C534="","","TXN-"&amp;RIGHT("0000"&amp;526,4))</f>
        <v/>
      </c>
      <c r="C534" s="11" t="n"/>
      <c r="D534" s="11" t="n"/>
      <c r="E534" s="12" t="n"/>
      <c r="F534" s="10">
        <f>IF($E534="","",IFERROR(IF(VLOOKUP(LEFT(UPPER(TRIM($E534)),6),BankTbl,2,0)="","(بدون عنوان)",VLOOKUP(LEFT(UPPER(TRIM($E534)),6),BankTbl,2,0)),"بانک ناشناخته"))</f>
        <v/>
      </c>
      <c r="G534" s="11" t="n"/>
      <c r="H534" s="10">
        <f>IF($G534="","",IFERROR(VLOOKUP($G534,CustTbl,2,0),IFERROR(VLOOKUP($G534,SuppTbl,2,0),IFERROR(VLOOKUP($G534,AcctTbl,2,0),IFERROR(VLOOKUP($G534,StaffTbl,2,0),"کد ناشناخته")))))</f>
        <v/>
      </c>
      <c r="I534" s="12" t="n"/>
      <c r="J534" s="12" t="n"/>
      <c r="K534" s="13" t="n"/>
      <c r="L534" s="13" t="n"/>
      <c r="M534" s="13" t="n"/>
      <c r="N534" s="14">
        <f>IF(OR($C534="",$E534="",Calc!$H534=""),"",IFERROR(VLOOKUP(LEFT(UPPER(TRIM($E534)),6),BankTbl,3,0),0)+SUMIFS(CalcDep,CalcBank,LEFT(UPPER(TRIM($E534)),6),CalcKey,"&lt;="&amp;Calc!$H534)-SUMIFS(CalcWit,CalcBank,LEFT(UPPER(TRIM($E534)),6),CalcKey,"&lt;="&amp;Calc!$H534))</f>
        <v/>
      </c>
      <c r="O534" s="10">
        <f>IF(OR($C534="",$M534=""),"",IF($N534="","؟",IF(ROUND($M534-$N534,0)=0,"√","×")))</f>
        <v/>
      </c>
      <c r="P534" s="12" t="n"/>
    </row>
    <row r="535">
      <c r="A535" s="10">
        <f>IF($C535="","",COUNTA($C$9:$C535))</f>
        <v/>
      </c>
      <c r="B535" s="10">
        <f>IF($C535="","","TXN-"&amp;RIGHT("0000"&amp;527,4))</f>
        <v/>
      </c>
      <c r="C535" s="11" t="n"/>
      <c r="D535" s="11" t="n"/>
      <c r="E535" s="12" t="n"/>
      <c r="F535" s="10">
        <f>IF($E535="","",IFERROR(IF(VLOOKUP(LEFT(UPPER(TRIM($E535)),6),BankTbl,2,0)="","(بدون عنوان)",VLOOKUP(LEFT(UPPER(TRIM($E535)),6),BankTbl,2,0)),"بانک ناشناخته"))</f>
        <v/>
      </c>
      <c r="G535" s="11" t="n"/>
      <c r="H535" s="10">
        <f>IF($G535="","",IFERROR(VLOOKUP($G535,CustTbl,2,0),IFERROR(VLOOKUP($G535,SuppTbl,2,0),IFERROR(VLOOKUP($G535,AcctTbl,2,0),IFERROR(VLOOKUP($G535,StaffTbl,2,0),"کد ناشناخته")))))</f>
        <v/>
      </c>
      <c r="I535" s="12" t="n"/>
      <c r="J535" s="12" t="n"/>
      <c r="K535" s="13" t="n"/>
      <c r="L535" s="13" t="n"/>
      <c r="M535" s="13" t="n"/>
      <c r="N535" s="14">
        <f>IF(OR($C535="",$E535="",Calc!$H535=""),"",IFERROR(VLOOKUP(LEFT(UPPER(TRIM($E535)),6),BankTbl,3,0),0)+SUMIFS(CalcDep,CalcBank,LEFT(UPPER(TRIM($E535)),6),CalcKey,"&lt;="&amp;Calc!$H535)-SUMIFS(CalcWit,CalcBank,LEFT(UPPER(TRIM($E535)),6),CalcKey,"&lt;="&amp;Calc!$H535))</f>
        <v/>
      </c>
      <c r="O535" s="10">
        <f>IF(OR($C535="",$M535=""),"",IF($N535="","؟",IF(ROUND($M535-$N535,0)=0,"√","×")))</f>
        <v/>
      </c>
      <c r="P535" s="12" t="n"/>
    </row>
    <row r="536">
      <c r="A536" s="10">
        <f>IF($C536="","",COUNTA($C$9:$C536))</f>
        <v/>
      </c>
      <c r="B536" s="10">
        <f>IF($C536="","","TXN-"&amp;RIGHT("0000"&amp;528,4))</f>
        <v/>
      </c>
      <c r="C536" s="11" t="n"/>
      <c r="D536" s="11" t="n"/>
      <c r="E536" s="12" t="n"/>
      <c r="F536" s="10">
        <f>IF($E536="","",IFERROR(IF(VLOOKUP(LEFT(UPPER(TRIM($E536)),6),BankTbl,2,0)="","(بدون عنوان)",VLOOKUP(LEFT(UPPER(TRIM($E536)),6),BankTbl,2,0)),"بانک ناشناخته"))</f>
        <v/>
      </c>
      <c r="G536" s="11" t="n"/>
      <c r="H536" s="10">
        <f>IF($G536="","",IFERROR(VLOOKUP($G536,CustTbl,2,0),IFERROR(VLOOKUP($G536,SuppTbl,2,0),IFERROR(VLOOKUP($G536,AcctTbl,2,0),IFERROR(VLOOKUP($G536,StaffTbl,2,0),"کد ناشناخته")))))</f>
        <v/>
      </c>
      <c r="I536" s="12" t="n"/>
      <c r="J536" s="12" t="n"/>
      <c r="K536" s="13" t="n"/>
      <c r="L536" s="13" t="n"/>
      <c r="M536" s="13" t="n"/>
      <c r="N536" s="14">
        <f>IF(OR($C536="",$E536="",Calc!$H536=""),"",IFERROR(VLOOKUP(LEFT(UPPER(TRIM($E536)),6),BankTbl,3,0),0)+SUMIFS(CalcDep,CalcBank,LEFT(UPPER(TRIM($E536)),6),CalcKey,"&lt;="&amp;Calc!$H536)-SUMIFS(CalcWit,CalcBank,LEFT(UPPER(TRIM($E536)),6),CalcKey,"&lt;="&amp;Calc!$H536))</f>
        <v/>
      </c>
      <c r="O536" s="10">
        <f>IF(OR($C536="",$M536=""),"",IF($N536="","؟",IF(ROUND($M536-$N536,0)=0,"√","×")))</f>
        <v/>
      </c>
      <c r="P536" s="12" t="n"/>
    </row>
    <row r="537">
      <c r="A537" s="10">
        <f>IF($C537="","",COUNTA($C$9:$C537))</f>
        <v/>
      </c>
      <c r="B537" s="10">
        <f>IF($C537="","","TXN-"&amp;RIGHT("0000"&amp;529,4))</f>
        <v/>
      </c>
      <c r="C537" s="11" t="n"/>
      <c r="D537" s="11" t="n"/>
      <c r="E537" s="12" t="n"/>
      <c r="F537" s="10">
        <f>IF($E537="","",IFERROR(IF(VLOOKUP(LEFT(UPPER(TRIM($E537)),6),BankTbl,2,0)="","(بدون عنوان)",VLOOKUP(LEFT(UPPER(TRIM($E537)),6),BankTbl,2,0)),"بانک ناشناخته"))</f>
        <v/>
      </c>
      <c r="G537" s="11" t="n"/>
      <c r="H537" s="10">
        <f>IF($G537="","",IFERROR(VLOOKUP($G537,CustTbl,2,0),IFERROR(VLOOKUP($G537,SuppTbl,2,0),IFERROR(VLOOKUP($G537,AcctTbl,2,0),IFERROR(VLOOKUP($G537,StaffTbl,2,0),"کد ناشناخته")))))</f>
        <v/>
      </c>
      <c r="I537" s="12" t="n"/>
      <c r="J537" s="12" t="n"/>
      <c r="K537" s="13" t="n"/>
      <c r="L537" s="13" t="n"/>
      <c r="M537" s="13" t="n"/>
      <c r="N537" s="14">
        <f>IF(OR($C537="",$E537="",Calc!$H537=""),"",IFERROR(VLOOKUP(LEFT(UPPER(TRIM($E537)),6),BankTbl,3,0),0)+SUMIFS(CalcDep,CalcBank,LEFT(UPPER(TRIM($E537)),6),CalcKey,"&lt;="&amp;Calc!$H537)-SUMIFS(CalcWit,CalcBank,LEFT(UPPER(TRIM($E537)),6),CalcKey,"&lt;="&amp;Calc!$H537))</f>
        <v/>
      </c>
      <c r="O537" s="10">
        <f>IF(OR($C537="",$M537=""),"",IF($N537="","؟",IF(ROUND($M537-$N537,0)=0,"√","×")))</f>
        <v/>
      </c>
      <c r="P537" s="12" t="n"/>
    </row>
    <row r="538">
      <c r="A538" s="10">
        <f>IF($C538="","",COUNTA($C$9:$C538))</f>
        <v/>
      </c>
      <c r="B538" s="10">
        <f>IF($C538="","","TXN-"&amp;RIGHT("0000"&amp;530,4))</f>
        <v/>
      </c>
      <c r="C538" s="11" t="n"/>
      <c r="D538" s="11" t="n"/>
      <c r="E538" s="12" t="n"/>
      <c r="F538" s="10">
        <f>IF($E538="","",IFERROR(IF(VLOOKUP(LEFT(UPPER(TRIM($E538)),6),BankTbl,2,0)="","(بدون عنوان)",VLOOKUP(LEFT(UPPER(TRIM($E538)),6),BankTbl,2,0)),"بانک ناشناخته"))</f>
        <v/>
      </c>
      <c r="G538" s="11" t="n"/>
      <c r="H538" s="10">
        <f>IF($G538="","",IFERROR(VLOOKUP($G538,CustTbl,2,0),IFERROR(VLOOKUP($G538,SuppTbl,2,0),IFERROR(VLOOKUP($G538,AcctTbl,2,0),IFERROR(VLOOKUP($G538,StaffTbl,2,0),"کد ناشناخته")))))</f>
        <v/>
      </c>
      <c r="I538" s="12" t="n"/>
      <c r="J538" s="12" t="n"/>
      <c r="K538" s="13" t="n"/>
      <c r="L538" s="13" t="n"/>
      <c r="M538" s="13" t="n"/>
      <c r="N538" s="14">
        <f>IF(OR($C538="",$E538="",Calc!$H538=""),"",IFERROR(VLOOKUP(LEFT(UPPER(TRIM($E538)),6),BankTbl,3,0),0)+SUMIFS(CalcDep,CalcBank,LEFT(UPPER(TRIM($E538)),6),CalcKey,"&lt;="&amp;Calc!$H538)-SUMIFS(CalcWit,CalcBank,LEFT(UPPER(TRIM($E538)),6),CalcKey,"&lt;="&amp;Calc!$H538))</f>
        <v/>
      </c>
      <c r="O538" s="10">
        <f>IF(OR($C538="",$M538=""),"",IF($N538="","؟",IF(ROUND($M538-$N538,0)=0,"√","×")))</f>
        <v/>
      </c>
      <c r="P538" s="12" t="n"/>
    </row>
    <row r="539">
      <c r="A539" s="10">
        <f>IF($C539="","",COUNTA($C$9:$C539))</f>
        <v/>
      </c>
      <c r="B539" s="10">
        <f>IF($C539="","","TXN-"&amp;RIGHT("0000"&amp;531,4))</f>
        <v/>
      </c>
      <c r="C539" s="11" t="n"/>
      <c r="D539" s="11" t="n"/>
      <c r="E539" s="12" t="n"/>
      <c r="F539" s="10">
        <f>IF($E539="","",IFERROR(IF(VLOOKUP(LEFT(UPPER(TRIM($E539)),6),BankTbl,2,0)="","(بدون عنوان)",VLOOKUP(LEFT(UPPER(TRIM($E539)),6),BankTbl,2,0)),"بانک ناشناخته"))</f>
        <v/>
      </c>
      <c r="G539" s="11" t="n"/>
      <c r="H539" s="10">
        <f>IF($G539="","",IFERROR(VLOOKUP($G539,CustTbl,2,0),IFERROR(VLOOKUP($G539,SuppTbl,2,0),IFERROR(VLOOKUP($G539,AcctTbl,2,0),IFERROR(VLOOKUP($G539,StaffTbl,2,0),"کد ناشناخته")))))</f>
        <v/>
      </c>
      <c r="I539" s="12" t="n"/>
      <c r="J539" s="12" t="n"/>
      <c r="K539" s="13" t="n"/>
      <c r="L539" s="13" t="n"/>
      <c r="M539" s="13" t="n"/>
      <c r="N539" s="14">
        <f>IF(OR($C539="",$E539="",Calc!$H539=""),"",IFERROR(VLOOKUP(LEFT(UPPER(TRIM($E539)),6),BankTbl,3,0),0)+SUMIFS(CalcDep,CalcBank,LEFT(UPPER(TRIM($E539)),6),CalcKey,"&lt;="&amp;Calc!$H539)-SUMIFS(CalcWit,CalcBank,LEFT(UPPER(TRIM($E539)),6),CalcKey,"&lt;="&amp;Calc!$H539))</f>
        <v/>
      </c>
      <c r="O539" s="10">
        <f>IF(OR($C539="",$M539=""),"",IF($N539="","؟",IF(ROUND($M539-$N539,0)=0,"√","×")))</f>
        <v/>
      </c>
      <c r="P539" s="12" t="n"/>
    </row>
    <row r="540">
      <c r="A540" s="10">
        <f>IF($C540="","",COUNTA($C$9:$C540))</f>
        <v/>
      </c>
      <c r="B540" s="10">
        <f>IF($C540="","","TXN-"&amp;RIGHT("0000"&amp;532,4))</f>
        <v/>
      </c>
      <c r="C540" s="11" t="n"/>
      <c r="D540" s="11" t="n"/>
      <c r="E540" s="12" t="n"/>
      <c r="F540" s="10">
        <f>IF($E540="","",IFERROR(IF(VLOOKUP(LEFT(UPPER(TRIM($E540)),6),BankTbl,2,0)="","(بدون عنوان)",VLOOKUP(LEFT(UPPER(TRIM($E540)),6),BankTbl,2,0)),"بانک ناشناخته"))</f>
        <v/>
      </c>
      <c r="G540" s="11" t="n"/>
      <c r="H540" s="10">
        <f>IF($G540="","",IFERROR(VLOOKUP($G540,CustTbl,2,0),IFERROR(VLOOKUP($G540,SuppTbl,2,0),IFERROR(VLOOKUP($G540,AcctTbl,2,0),IFERROR(VLOOKUP($G540,StaffTbl,2,0),"کد ناشناخته")))))</f>
        <v/>
      </c>
      <c r="I540" s="12" t="n"/>
      <c r="J540" s="12" t="n"/>
      <c r="K540" s="13" t="n"/>
      <c r="L540" s="13" t="n"/>
      <c r="M540" s="13" t="n"/>
      <c r="N540" s="14">
        <f>IF(OR($C540="",$E540="",Calc!$H540=""),"",IFERROR(VLOOKUP(LEFT(UPPER(TRIM($E540)),6),BankTbl,3,0),0)+SUMIFS(CalcDep,CalcBank,LEFT(UPPER(TRIM($E540)),6),CalcKey,"&lt;="&amp;Calc!$H540)-SUMIFS(CalcWit,CalcBank,LEFT(UPPER(TRIM($E540)),6),CalcKey,"&lt;="&amp;Calc!$H540))</f>
        <v/>
      </c>
      <c r="O540" s="10">
        <f>IF(OR($C540="",$M540=""),"",IF($N540="","؟",IF(ROUND($M540-$N540,0)=0,"√","×")))</f>
        <v/>
      </c>
      <c r="P540" s="12" t="n"/>
    </row>
    <row r="541">
      <c r="A541" s="10">
        <f>IF($C541="","",COUNTA($C$9:$C541))</f>
        <v/>
      </c>
      <c r="B541" s="10">
        <f>IF($C541="","","TXN-"&amp;RIGHT("0000"&amp;533,4))</f>
        <v/>
      </c>
      <c r="C541" s="11" t="n"/>
      <c r="D541" s="11" t="n"/>
      <c r="E541" s="12" t="n"/>
      <c r="F541" s="10">
        <f>IF($E541="","",IFERROR(IF(VLOOKUP(LEFT(UPPER(TRIM($E541)),6),BankTbl,2,0)="","(بدون عنوان)",VLOOKUP(LEFT(UPPER(TRIM($E541)),6),BankTbl,2,0)),"بانک ناشناخته"))</f>
        <v/>
      </c>
      <c r="G541" s="11" t="n"/>
      <c r="H541" s="10">
        <f>IF($G541="","",IFERROR(VLOOKUP($G541,CustTbl,2,0),IFERROR(VLOOKUP($G541,SuppTbl,2,0),IFERROR(VLOOKUP($G541,AcctTbl,2,0),IFERROR(VLOOKUP($G541,StaffTbl,2,0),"کد ناشناخته")))))</f>
        <v/>
      </c>
      <c r="I541" s="12" t="n"/>
      <c r="J541" s="12" t="n"/>
      <c r="K541" s="13" t="n"/>
      <c r="L541" s="13" t="n"/>
      <c r="M541" s="13" t="n"/>
      <c r="N541" s="14">
        <f>IF(OR($C541="",$E541="",Calc!$H541=""),"",IFERROR(VLOOKUP(LEFT(UPPER(TRIM($E541)),6),BankTbl,3,0),0)+SUMIFS(CalcDep,CalcBank,LEFT(UPPER(TRIM($E541)),6),CalcKey,"&lt;="&amp;Calc!$H541)-SUMIFS(CalcWit,CalcBank,LEFT(UPPER(TRIM($E541)),6),CalcKey,"&lt;="&amp;Calc!$H541))</f>
        <v/>
      </c>
      <c r="O541" s="10">
        <f>IF(OR($C541="",$M541=""),"",IF($N541="","؟",IF(ROUND($M541-$N541,0)=0,"√","×")))</f>
        <v/>
      </c>
      <c r="P541" s="12" t="n"/>
    </row>
    <row r="542">
      <c r="A542" s="10">
        <f>IF($C542="","",COUNTA($C$9:$C542))</f>
        <v/>
      </c>
      <c r="B542" s="10">
        <f>IF($C542="","","TXN-"&amp;RIGHT("0000"&amp;534,4))</f>
        <v/>
      </c>
      <c r="C542" s="11" t="n"/>
      <c r="D542" s="11" t="n"/>
      <c r="E542" s="12" t="n"/>
      <c r="F542" s="10">
        <f>IF($E542="","",IFERROR(IF(VLOOKUP(LEFT(UPPER(TRIM($E542)),6),BankTbl,2,0)="","(بدون عنوان)",VLOOKUP(LEFT(UPPER(TRIM($E542)),6),BankTbl,2,0)),"بانک ناشناخته"))</f>
        <v/>
      </c>
      <c r="G542" s="11" t="n"/>
      <c r="H542" s="10">
        <f>IF($G542="","",IFERROR(VLOOKUP($G542,CustTbl,2,0),IFERROR(VLOOKUP($G542,SuppTbl,2,0),IFERROR(VLOOKUP($G542,AcctTbl,2,0),IFERROR(VLOOKUP($G542,StaffTbl,2,0),"کد ناشناخته")))))</f>
        <v/>
      </c>
      <c r="I542" s="12" t="n"/>
      <c r="J542" s="12" t="n"/>
      <c r="K542" s="13" t="n"/>
      <c r="L542" s="13" t="n"/>
      <c r="M542" s="13" t="n"/>
      <c r="N542" s="14">
        <f>IF(OR($C542="",$E542="",Calc!$H542=""),"",IFERROR(VLOOKUP(LEFT(UPPER(TRIM($E542)),6),BankTbl,3,0),0)+SUMIFS(CalcDep,CalcBank,LEFT(UPPER(TRIM($E542)),6),CalcKey,"&lt;="&amp;Calc!$H542)-SUMIFS(CalcWit,CalcBank,LEFT(UPPER(TRIM($E542)),6),CalcKey,"&lt;="&amp;Calc!$H542))</f>
        <v/>
      </c>
      <c r="O542" s="10">
        <f>IF(OR($C542="",$M542=""),"",IF($N542="","؟",IF(ROUND($M542-$N542,0)=0,"√","×")))</f>
        <v/>
      </c>
      <c r="P542" s="12" t="n"/>
    </row>
    <row r="543">
      <c r="A543" s="10">
        <f>IF($C543="","",COUNTA($C$9:$C543))</f>
        <v/>
      </c>
      <c r="B543" s="10">
        <f>IF($C543="","","TXN-"&amp;RIGHT("0000"&amp;535,4))</f>
        <v/>
      </c>
      <c r="C543" s="11" t="n"/>
      <c r="D543" s="11" t="n"/>
      <c r="E543" s="12" t="n"/>
      <c r="F543" s="10">
        <f>IF($E543="","",IFERROR(IF(VLOOKUP(LEFT(UPPER(TRIM($E543)),6),BankTbl,2,0)="","(بدون عنوان)",VLOOKUP(LEFT(UPPER(TRIM($E543)),6),BankTbl,2,0)),"بانک ناشناخته"))</f>
        <v/>
      </c>
      <c r="G543" s="11" t="n"/>
      <c r="H543" s="10">
        <f>IF($G543="","",IFERROR(VLOOKUP($G543,CustTbl,2,0),IFERROR(VLOOKUP($G543,SuppTbl,2,0),IFERROR(VLOOKUP($G543,AcctTbl,2,0),IFERROR(VLOOKUP($G543,StaffTbl,2,0),"کد ناشناخته")))))</f>
        <v/>
      </c>
      <c r="I543" s="12" t="n"/>
      <c r="J543" s="12" t="n"/>
      <c r="K543" s="13" t="n"/>
      <c r="L543" s="13" t="n"/>
      <c r="M543" s="13" t="n"/>
      <c r="N543" s="14">
        <f>IF(OR($C543="",$E543="",Calc!$H543=""),"",IFERROR(VLOOKUP(LEFT(UPPER(TRIM($E543)),6),BankTbl,3,0),0)+SUMIFS(CalcDep,CalcBank,LEFT(UPPER(TRIM($E543)),6),CalcKey,"&lt;="&amp;Calc!$H543)-SUMIFS(CalcWit,CalcBank,LEFT(UPPER(TRIM($E543)),6),CalcKey,"&lt;="&amp;Calc!$H543))</f>
        <v/>
      </c>
      <c r="O543" s="10">
        <f>IF(OR($C543="",$M543=""),"",IF($N543="","؟",IF(ROUND($M543-$N543,0)=0,"√","×")))</f>
        <v/>
      </c>
      <c r="P543" s="12" t="n"/>
    </row>
    <row r="544">
      <c r="A544" s="10">
        <f>IF($C544="","",COUNTA($C$9:$C544))</f>
        <v/>
      </c>
      <c r="B544" s="10">
        <f>IF($C544="","","TXN-"&amp;RIGHT("0000"&amp;536,4))</f>
        <v/>
      </c>
      <c r="C544" s="11" t="n"/>
      <c r="D544" s="11" t="n"/>
      <c r="E544" s="12" t="n"/>
      <c r="F544" s="10">
        <f>IF($E544="","",IFERROR(IF(VLOOKUP(LEFT(UPPER(TRIM($E544)),6),BankTbl,2,0)="","(بدون عنوان)",VLOOKUP(LEFT(UPPER(TRIM($E544)),6),BankTbl,2,0)),"بانک ناشناخته"))</f>
        <v/>
      </c>
      <c r="G544" s="11" t="n"/>
      <c r="H544" s="10">
        <f>IF($G544="","",IFERROR(VLOOKUP($G544,CustTbl,2,0),IFERROR(VLOOKUP($G544,SuppTbl,2,0),IFERROR(VLOOKUP($G544,AcctTbl,2,0),IFERROR(VLOOKUP($G544,StaffTbl,2,0),"کد ناشناخته")))))</f>
        <v/>
      </c>
      <c r="I544" s="12" t="n"/>
      <c r="J544" s="12" t="n"/>
      <c r="K544" s="13" t="n"/>
      <c r="L544" s="13" t="n"/>
      <c r="M544" s="13" t="n"/>
      <c r="N544" s="14">
        <f>IF(OR($C544="",$E544="",Calc!$H544=""),"",IFERROR(VLOOKUP(LEFT(UPPER(TRIM($E544)),6),BankTbl,3,0),0)+SUMIFS(CalcDep,CalcBank,LEFT(UPPER(TRIM($E544)),6),CalcKey,"&lt;="&amp;Calc!$H544)-SUMIFS(CalcWit,CalcBank,LEFT(UPPER(TRIM($E544)),6),CalcKey,"&lt;="&amp;Calc!$H544))</f>
        <v/>
      </c>
      <c r="O544" s="10">
        <f>IF(OR($C544="",$M544=""),"",IF($N544="","؟",IF(ROUND($M544-$N544,0)=0,"√","×")))</f>
        <v/>
      </c>
      <c r="P544" s="12" t="n"/>
    </row>
    <row r="545">
      <c r="A545" s="10">
        <f>IF($C545="","",COUNTA($C$9:$C545))</f>
        <v/>
      </c>
      <c r="B545" s="10">
        <f>IF($C545="","","TXN-"&amp;RIGHT("0000"&amp;537,4))</f>
        <v/>
      </c>
      <c r="C545" s="11" t="n"/>
      <c r="D545" s="11" t="n"/>
      <c r="E545" s="12" t="n"/>
      <c r="F545" s="10">
        <f>IF($E545="","",IFERROR(IF(VLOOKUP(LEFT(UPPER(TRIM($E545)),6),BankTbl,2,0)="","(بدون عنوان)",VLOOKUP(LEFT(UPPER(TRIM($E545)),6),BankTbl,2,0)),"بانک ناشناخته"))</f>
        <v/>
      </c>
      <c r="G545" s="11" t="n"/>
      <c r="H545" s="10">
        <f>IF($G545="","",IFERROR(VLOOKUP($G545,CustTbl,2,0),IFERROR(VLOOKUP($G545,SuppTbl,2,0),IFERROR(VLOOKUP($G545,AcctTbl,2,0),IFERROR(VLOOKUP($G545,StaffTbl,2,0),"کد ناشناخته")))))</f>
        <v/>
      </c>
      <c r="I545" s="12" t="n"/>
      <c r="J545" s="12" t="n"/>
      <c r="K545" s="13" t="n"/>
      <c r="L545" s="13" t="n"/>
      <c r="M545" s="13" t="n"/>
      <c r="N545" s="14">
        <f>IF(OR($C545="",$E545="",Calc!$H545=""),"",IFERROR(VLOOKUP(LEFT(UPPER(TRIM($E545)),6),BankTbl,3,0),0)+SUMIFS(CalcDep,CalcBank,LEFT(UPPER(TRIM($E545)),6),CalcKey,"&lt;="&amp;Calc!$H545)-SUMIFS(CalcWit,CalcBank,LEFT(UPPER(TRIM($E545)),6),CalcKey,"&lt;="&amp;Calc!$H545))</f>
        <v/>
      </c>
      <c r="O545" s="10">
        <f>IF(OR($C545="",$M545=""),"",IF($N545="","؟",IF(ROUND($M545-$N545,0)=0,"√","×")))</f>
        <v/>
      </c>
      <c r="P545" s="12" t="n"/>
    </row>
    <row r="546">
      <c r="A546" s="10">
        <f>IF($C546="","",COUNTA($C$9:$C546))</f>
        <v/>
      </c>
      <c r="B546" s="10">
        <f>IF($C546="","","TXN-"&amp;RIGHT("0000"&amp;538,4))</f>
        <v/>
      </c>
      <c r="C546" s="11" t="n"/>
      <c r="D546" s="11" t="n"/>
      <c r="E546" s="12" t="n"/>
      <c r="F546" s="10">
        <f>IF($E546="","",IFERROR(IF(VLOOKUP(LEFT(UPPER(TRIM($E546)),6),BankTbl,2,0)="","(بدون عنوان)",VLOOKUP(LEFT(UPPER(TRIM($E546)),6),BankTbl,2,0)),"بانک ناشناخته"))</f>
        <v/>
      </c>
      <c r="G546" s="11" t="n"/>
      <c r="H546" s="10">
        <f>IF($G546="","",IFERROR(VLOOKUP($G546,CustTbl,2,0),IFERROR(VLOOKUP($G546,SuppTbl,2,0),IFERROR(VLOOKUP($G546,AcctTbl,2,0),IFERROR(VLOOKUP($G546,StaffTbl,2,0),"کد ناشناخته")))))</f>
        <v/>
      </c>
      <c r="I546" s="12" t="n"/>
      <c r="J546" s="12" t="n"/>
      <c r="K546" s="13" t="n"/>
      <c r="L546" s="13" t="n"/>
      <c r="M546" s="13" t="n"/>
      <c r="N546" s="14">
        <f>IF(OR($C546="",$E546="",Calc!$H546=""),"",IFERROR(VLOOKUP(LEFT(UPPER(TRIM($E546)),6),BankTbl,3,0),0)+SUMIFS(CalcDep,CalcBank,LEFT(UPPER(TRIM($E546)),6),CalcKey,"&lt;="&amp;Calc!$H546)-SUMIFS(CalcWit,CalcBank,LEFT(UPPER(TRIM($E546)),6),CalcKey,"&lt;="&amp;Calc!$H546))</f>
        <v/>
      </c>
      <c r="O546" s="10">
        <f>IF(OR($C546="",$M546=""),"",IF($N546="","؟",IF(ROUND($M546-$N546,0)=0,"√","×")))</f>
        <v/>
      </c>
      <c r="P546" s="12" t="n"/>
    </row>
    <row r="547">
      <c r="A547" s="10">
        <f>IF($C547="","",COUNTA($C$9:$C547))</f>
        <v/>
      </c>
      <c r="B547" s="10">
        <f>IF($C547="","","TXN-"&amp;RIGHT("0000"&amp;539,4))</f>
        <v/>
      </c>
      <c r="C547" s="11" t="n"/>
      <c r="D547" s="11" t="n"/>
      <c r="E547" s="12" t="n"/>
      <c r="F547" s="10">
        <f>IF($E547="","",IFERROR(IF(VLOOKUP(LEFT(UPPER(TRIM($E547)),6),BankTbl,2,0)="","(بدون عنوان)",VLOOKUP(LEFT(UPPER(TRIM($E547)),6),BankTbl,2,0)),"بانک ناشناخته"))</f>
        <v/>
      </c>
      <c r="G547" s="11" t="n"/>
      <c r="H547" s="10">
        <f>IF($G547="","",IFERROR(VLOOKUP($G547,CustTbl,2,0),IFERROR(VLOOKUP($G547,SuppTbl,2,0),IFERROR(VLOOKUP($G547,AcctTbl,2,0),IFERROR(VLOOKUP($G547,StaffTbl,2,0),"کد ناشناخته")))))</f>
        <v/>
      </c>
      <c r="I547" s="12" t="n"/>
      <c r="J547" s="12" t="n"/>
      <c r="K547" s="13" t="n"/>
      <c r="L547" s="13" t="n"/>
      <c r="M547" s="13" t="n"/>
      <c r="N547" s="14">
        <f>IF(OR($C547="",$E547="",Calc!$H547=""),"",IFERROR(VLOOKUP(LEFT(UPPER(TRIM($E547)),6),BankTbl,3,0),0)+SUMIFS(CalcDep,CalcBank,LEFT(UPPER(TRIM($E547)),6),CalcKey,"&lt;="&amp;Calc!$H547)-SUMIFS(CalcWit,CalcBank,LEFT(UPPER(TRIM($E547)),6),CalcKey,"&lt;="&amp;Calc!$H547))</f>
        <v/>
      </c>
      <c r="O547" s="10">
        <f>IF(OR($C547="",$M547=""),"",IF($N547="","؟",IF(ROUND($M547-$N547,0)=0,"√","×")))</f>
        <v/>
      </c>
      <c r="P547" s="12" t="n"/>
    </row>
    <row r="548">
      <c r="A548" s="10">
        <f>IF($C548="","",COUNTA($C$9:$C548))</f>
        <v/>
      </c>
      <c r="B548" s="10">
        <f>IF($C548="","","TXN-"&amp;RIGHT("0000"&amp;540,4))</f>
        <v/>
      </c>
      <c r="C548" s="11" t="n"/>
      <c r="D548" s="11" t="n"/>
      <c r="E548" s="12" t="n"/>
      <c r="F548" s="10">
        <f>IF($E548="","",IFERROR(IF(VLOOKUP(LEFT(UPPER(TRIM($E548)),6),BankTbl,2,0)="","(بدون عنوان)",VLOOKUP(LEFT(UPPER(TRIM($E548)),6),BankTbl,2,0)),"بانک ناشناخته"))</f>
        <v/>
      </c>
      <c r="G548" s="11" t="n"/>
      <c r="H548" s="10">
        <f>IF($G548="","",IFERROR(VLOOKUP($G548,CustTbl,2,0),IFERROR(VLOOKUP($G548,SuppTbl,2,0),IFERROR(VLOOKUP($G548,AcctTbl,2,0),IFERROR(VLOOKUP($G548,StaffTbl,2,0),"کد ناشناخته")))))</f>
        <v/>
      </c>
      <c r="I548" s="12" t="n"/>
      <c r="J548" s="12" t="n"/>
      <c r="K548" s="13" t="n"/>
      <c r="L548" s="13" t="n"/>
      <c r="M548" s="13" t="n"/>
      <c r="N548" s="14">
        <f>IF(OR($C548="",$E548="",Calc!$H548=""),"",IFERROR(VLOOKUP(LEFT(UPPER(TRIM($E548)),6),BankTbl,3,0),0)+SUMIFS(CalcDep,CalcBank,LEFT(UPPER(TRIM($E548)),6),CalcKey,"&lt;="&amp;Calc!$H548)-SUMIFS(CalcWit,CalcBank,LEFT(UPPER(TRIM($E548)),6),CalcKey,"&lt;="&amp;Calc!$H548))</f>
        <v/>
      </c>
      <c r="O548" s="10">
        <f>IF(OR($C548="",$M548=""),"",IF($N548="","؟",IF(ROUND($M548-$N548,0)=0,"√","×")))</f>
        <v/>
      </c>
      <c r="P548" s="12" t="n"/>
    </row>
    <row r="549">
      <c r="A549" s="10">
        <f>IF($C549="","",COUNTA($C$9:$C549))</f>
        <v/>
      </c>
      <c r="B549" s="10">
        <f>IF($C549="","","TXN-"&amp;RIGHT("0000"&amp;541,4))</f>
        <v/>
      </c>
      <c r="C549" s="11" t="n"/>
      <c r="D549" s="11" t="n"/>
      <c r="E549" s="12" t="n"/>
      <c r="F549" s="10">
        <f>IF($E549="","",IFERROR(IF(VLOOKUP(LEFT(UPPER(TRIM($E549)),6),BankTbl,2,0)="","(بدون عنوان)",VLOOKUP(LEFT(UPPER(TRIM($E549)),6),BankTbl,2,0)),"بانک ناشناخته"))</f>
        <v/>
      </c>
      <c r="G549" s="11" t="n"/>
      <c r="H549" s="10">
        <f>IF($G549="","",IFERROR(VLOOKUP($G549,CustTbl,2,0),IFERROR(VLOOKUP($G549,SuppTbl,2,0),IFERROR(VLOOKUP($G549,AcctTbl,2,0),IFERROR(VLOOKUP($G549,StaffTbl,2,0),"کد ناشناخته")))))</f>
        <v/>
      </c>
      <c r="I549" s="12" t="n"/>
      <c r="J549" s="12" t="n"/>
      <c r="K549" s="13" t="n"/>
      <c r="L549" s="13" t="n"/>
      <c r="M549" s="13" t="n"/>
      <c r="N549" s="14">
        <f>IF(OR($C549="",$E549="",Calc!$H549=""),"",IFERROR(VLOOKUP(LEFT(UPPER(TRIM($E549)),6),BankTbl,3,0),0)+SUMIFS(CalcDep,CalcBank,LEFT(UPPER(TRIM($E549)),6),CalcKey,"&lt;="&amp;Calc!$H549)-SUMIFS(CalcWit,CalcBank,LEFT(UPPER(TRIM($E549)),6),CalcKey,"&lt;="&amp;Calc!$H549))</f>
        <v/>
      </c>
      <c r="O549" s="10">
        <f>IF(OR($C549="",$M549=""),"",IF($N549="","؟",IF(ROUND($M549-$N549,0)=0,"√","×")))</f>
        <v/>
      </c>
      <c r="P549" s="12" t="n"/>
    </row>
    <row r="550">
      <c r="A550" s="10">
        <f>IF($C550="","",COUNTA($C$9:$C550))</f>
        <v/>
      </c>
      <c r="B550" s="10">
        <f>IF($C550="","","TXN-"&amp;RIGHT("0000"&amp;542,4))</f>
        <v/>
      </c>
      <c r="C550" s="11" t="n"/>
      <c r="D550" s="11" t="n"/>
      <c r="E550" s="12" t="n"/>
      <c r="F550" s="10">
        <f>IF($E550="","",IFERROR(IF(VLOOKUP(LEFT(UPPER(TRIM($E550)),6),BankTbl,2,0)="","(بدون عنوان)",VLOOKUP(LEFT(UPPER(TRIM($E550)),6),BankTbl,2,0)),"بانک ناشناخته"))</f>
        <v/>
      </c>
      <c r="G550" s="11" t="n"/>
      <c r="H550" s="10">
        <f>IF($G550="","",IFERROR(VLOOKUP($G550,CustTbl,2,0),IFERROR(VLOOKUP($G550,SuppTbl,2,0),IFERROR(VLOOKUP($G550,AcctTbl,2,0),IFERROR(VLOOKUP($G550,StaffTbl,2,0),"کد ناشناخته")))))</f>
        <v/>
      </c>
      <c r="I550" s="12" t="n"/>
      <c r="J550" s="12" t="n"/>
      <c r="K550" s="13" t="n"/>
      <c r="L550" s="13" t="n"/>
      <c r="M550" s="13" t="n"/>
      <c r="N550" s="14">
        <f>IF(OR($C550="",$E550="",Calc!$H550=""),"",IFERROR(VLOOKUP(LEFT(UPPER(TRIM($E550)),6),BankTbl,3,0),0)+SUMIFS(CalcDep,CalcBank,LEFT(UPPER(TRIM($E550)),6),CalcKey,"&lt;="&amp;Calc!$H550)-SUMIFS(CalcWit,CalcBank,LEFT(UPPER(TRIM($E550)),6),CalcKey,"&lt;="&amp;Calc!$H550))</f>
        <v/>
      </c>
      <c r="O550" s="10">
        <f>IF(OR($C550="",$M550=""),"",IF($N550="","؟",IF(ROUND($M550-$N550,0)=0,"√","×")))</f>
        <v/>
      </c>
      <c r="P550" s="12" t="n"/>
    </row>
    <row r="551">
      <c r="A551" s="10">
        <f>IF($C551="","",COUNTA($C$9:$C551))</f>
        <v/>
      </c>
      <c r="B551" s="10">
        <f>IF($C551="","","TXN-"&amp;RIGHT("0000"&amp;543,4))</f>
        <v/>
      </c>
      <c r="C551" s="11" t="n"/>
      <c r="D551" s="11" t="n"/>
      <c r="E551" s="12" t="n"/>
      <c r="F551" s="10">
        <f>IF($E551="","",IFERROR(IF(VLOOKUP(LEFT(UPPER(TRIM($E551)),6),BankTbl,2,0)="","(بدون عنوان)",VLOOKUP(LEFT(UPPER(TRIM($E551)),6),BankTbl,2,0)),"بانک ناشناخته"))</f>
        <v/>
      </c>
      <c r="G551" s="11" t="n"/>
      <c r="H551" s="10">
        <f>IF($G551="","",IFERROR(VLOOKUP($G551,CustTbl,2,0),IFERROR(VLOOKUP($G551,SuppTbl,2,0),IFERROR(VLOOKUP($G551,AcctTbl,2,0),IFERROR(VLOOKUP($G551,StaffTbl,2,0),"کد ناشناخته")))))</f>
        <v/>
      </c>
      <c r="I551" s="12" t="n"/>
      <c r="J551" s="12" t="n"/>
      <c r="K551" s="13" t="n"/>
      <c r="L551" s="13" t="n"/>
      <c r="M551" s="13" t="n"/>
      <c r="N551" s="14">
        <f>IF(OR($C551="",$E551="",Calc!$H551=""),"",IFERROR(VLOOKUP(LEFT(UPPER(TRIM($E551)),6),BankTbl,3,0),0)+SUMIFS(CalcDep,CalcBank,LEFT(UPPER(TRIM($E551)),6),CalcKey,"&lt;="&amp;Calc!$H551)-SUMIFS(CalcWit,CalcBank,LEFT(UPPER(TRIM($E551)),6),CalcKey,"&lt;="&amp;Calc!$H551))</f>
        <v/>
      </c>
      <c r="O551" s="10">
        <f>IF(OR($C551="",$M551=""),"",IF($N551="","؟",IF(ROUND($M551-$N551,0)=0,"√","×")))</f>
        <v/>
      </c>
      <c r="P551" s="12" t="n"/>
    </row>
    <row r="552">
      <c r="A552" s="10">
        <f>IF($C552="","",COUNTA($C$9:$C552))</f>
        <v/>
      </c>
      <c r="B552" s="10">
        <f>IF($C552="","","TXN-"&amp;RIGHT("0000"&amp;544,4))</f>
        <v/>
      </c>
      <c r="C552" s="11" t="n"/>
      <c r="D552" s="11" t="n"/>
      <c r="E552" s="12" t="n"/>
      <c r="F552" s="10">
        <f>IF($E552="","",IFERROR(IF(VLOOKUP(LEFT(UPPER(TRIM($E552)),6),BankTbl,2,0)="","(بدون عنوان)",VLOOKUP(LEFT(UPPER(TRIM($E552)),6),BankTbl,2,0)),"بانک ناشناخته"))</f>
        <v/>
      </c>
      <c r="G552" s="11" t="n"/>
      <c r="H552" s="10">
        <f>IF($G552="","",IFERROR(VLOOKUP($G552,CustTbl,2,0),IFERROR(VLOOKUP($G552,SuppTbl,2,0),IFERROR(VLOOKUP($G552,AcctTbl,2,0),IFERROR(VLOOKUP($G552,StaffTbl,2,0),"کد ناشناخته")))))</f>
        <v/>
      </c>
      <c r="I552" s="12" t="n"/>
      <c r="J552" s="12" t="n"/>
      <c r="K552" s="13" t="n"/>
      <c r="L552" s="13" t="n"/>
      <c r="M552" s="13" t="n"/>
      <c r="N552" s="14">
        <f>IF(OR($C552="",$E552="",Calc!$H552=""),"",IFERROR(VLOOKUP(LEFT(UPPER(TRIM($E552)),6),BankTbl,3,0),0)+SUMIFS(CalcDep,CalcBank,LEFT(UPPER(TRIM($E552)),6),CalcKey,"&lt;="&amp;Calc!$H552)-SUMIFS(CalcWit,CalcBank,LEFT(UPPER(TRIM($E552)),6),CalcKey,"&lt;="&amp;Calc!$H552))</f>
        <v/>
      </c>
      <c r="O552" s="10">
        <f>IF(OR($C552="",$M552=""),"",IF($N552="","؟",IF(ROUND($M552-$N552,0)=0,"√","×")))</f>
        <v/>
      </c>
      <c r="P552" s="12" t="n"/>
    </row>
    <row r="553">
      <c r="A553" s="10">
        <f>IF($C553="","",COUNTA($C$9:$C553))</f>
        <v/>
      </c>
      <c r="B553" s="10">
        <f>IF($C553="","","TXN-"&amp;RIGHT("0000"&amp;545,4))</f>
        <v/>
      </c>
      <c r="C553" s="11" t="n"/>
      <c r="D553" s="11" t="n"/>
      <c r="E553" s="12" t="n"/>
      <c r="F553" s="10">
        <f>IF($E553="","",IFERROR(IF(VLOOKUP(LEFT(UPPER(TRIM($E553)),6),BankTbl,2,0)="","(بدون عنوان)",VLOOKUP(LEFT(UPPER(TRIM($E553)),6),BankTbl,2,0)),"بانک ناشناخته"))</f>
        <v/>
      </c>
      <c r="G553" s="11" t="n"/>
      <c r="H553" s="10">
        <f>IF($G553="","",IFERROR(VLOOKUP($G553,CustTbl,2,0),IFERROR(VLOOKUP($G553,SuppTbl,2,0),IFERROR(VLOOKUP($G553,AcctTbl,2,0),IFERROR(VLOOKUP($G553,StaffTbl,2,0),"کد ناشناخته")))))</f>
        <v/>
      </c>
      <c r="I553" s="12" t="n"/>
      <c r="J553" s="12" t="n"/>
      <c r="K553" s="13" t="n"/>
      <c r="L553" s="13" t="n"/>
      <c r="M553" s="13" t="n"/>
      <c r="N553" s="14">
        <f>IF(OR($C553="",$E553="",Calc!$H553=""),"",IFERROR(VLOOKUP(LEFT(UPPER(TRIM($E553)),6),BankTbl,3,0),0)+SUMIFS(CalcDep,CalcBank,LEFT(UPPER(TRIM($E553)),6),CalcKey,"&lt;="&amp;Calc!$H553)-SUMIFS(CalcWit,CalcBank,LEFT(UPPER(TRIM($E553)),6),CalcKey,"&lt;="&amp;Calc!$H553))</f>
        <v/>
      </c>
      <c r="O553" s="10">
        <f>IF(OR($C553="",$M553=""),"",IF($N553="","؟",IF(ROUND($M553-$N553,0)=0,"√","×")))</f>
        <v/>
      </c>
      <c r="P553" s="12" t="n"/>
    </row>
    <row r="554">
      <c r="A554" s="10">
        <f>IF($C554="","",COUNTA($C$9:$C554))</f>
        <v/>
      </c>
      <c r="B554" s="10">
        <f>IF($C554="","","TXN-"&amp;RIGHT("0000"&amp;546,4))</f>
        <v/>
      </c>
      <c r="C554" s="11" t="n"/>
      <c r="D554" s="11" t="n"/>
      <c r="E554" s="12" t="n"/>
      <c r="F554" s="10">
        <f>IF($E554="","",IFERROR(IF(VLOOKUP(LEFT(UPPER(TRIM($E554)),6),BankTbl,2,0)="","(بدون عنوان)",VLOOKUP(LEFT(UPPER(TRIM($E554)),6),BankTbl,2,0)),"بانک ناشناخته"))</f>
        <v/>
      </c>
      <c r="G554" s="11" t="n"/>
      <c r="H554" s="10">
        <f>IF($G554="","",IFERROR(VLOOKUP($G554,CustTbl,2,0),IFERROR(VLOOKUP($G554,SuppTbl,2,0),IFERROR(VLOOKUP($G554,AcctTbl,2,0),IFERROR(VLOOKUP($G554,StaffTbl,2,0),"کد ناشناخته")))))</f>
        <v/>
      </c>
      <c r="I554" s="12" t="n"/>
      <c r="J554" s="12" t="n"/>
      <c r="K554" s="13" t="n"/>
      <c r="L554" s="13" t="n"/>
      <c r="M554" s="13" t="n"/>
      <c r="N554" s="14">
        <f>IF(OR($C554="",$E554="",Calc!$H554=""),"",IFERROR(VLOOKUP(LEFT(UPPER(TRIM($E554)),6),BankTbl,3,0),0)+SUMIFS(CalcDep,CalcBank,LEFT(UPPER(TRIM($E554)),6),CalcKey,"&lt;="&amp;Calc!$H554)-SUMIFS(CalcWit,CalcBank,LEFT(UPPER(TRIM($E554)),6),CalcKey,"&lt;="&amp;Calc!$H554))</f>
        <v/>
      </c>
      <c r="O554" s="10">
        <f>IF(OR($C554="",$M554=""),"",IF($N554="","؟",IF(ROUND($M554-$N554,0)=0,"√","×")))</f>
        <v/>
      </c>
      <c r="P554" s="12" t="n"/>
    </row>
    <row r="555">
      <c r="A555" s="10">
        <f>IF($C555="","",COUNTA($C$9:$C555))</f>
        <v/>
      </c>
      <c r="B555" s="10">
        <f>IF($C555="","","TXN-"&amp;RIGHT("0000"&amp;547,4))</f>
        <v/>
      </c>
      <c r="C555" s="11" t="n"/>
      <c r="D555" s="11" t="n"/>
      <c r="E555" s="12" t="n"/>
      <c r="F555" s="10">
        <f>IF($E555="","",IFERROR(IF(VLOOKUP(LEFT(UPPER(TRIM($E555)),6),BankTbl,2,0)="","(بدون عنوان)",VLOOKUP(LEFT(UPPER(TRIM($E555)),6),BankTbl,2,0)),"بانک ناشناخته"))</f>
        <v/>
      </c>
      <c r="G555" s="11" t="n"/>
      <c r="H555" s="10">
        <f>IF($G555="","",IFERROR(VLOOKUP($G555,CustTbl,2,0),IFERROR(VLOOKUP($G555,SuppTbl,2,0),IFERROR(VLOOKUP($G555,AcctTbl,2,0),IFERROR(VLOOKUP($G555,StaffTbl,2,0),"کد ناشناخته")))))</f>
        <v/>
      </c>
      <c r="I555" s="12" t="n"/>
      <c r="J555" s="12" t="n"/>
      <c r="K555" s="13" t="n"/>
      <c r="L555" s="13" t="n"/>
      <c r="M555" s="13" t="n"/>
      <c r="N555" s="14">
        <f>IF(OR($C555="",$E555="",Calc!$H555=""),"",IFERROR(VLOOKUP(LEFT(UPPER(TRIM($E555)),6),BankTbl,3,0),0)+SUMIFS(CalcDep,CalcBank,LEFT(UPPER(TRIM($E555)),6),CalcKey,"&lt;="&amp;Calc!$H555)-SUMIFS(CalcWit,CalcBank,LEFT(UPPER(TRIM($E555)),6),CalcKey,"&lt;="&amp;Calc!$H555))</f>
        <v/>
      </c>
      <c r="O555" s="10">
        <f>IF(OR($C555="",$M555=""),"",IF($N555="","؟",IF(ROUND($M555-$N555,0)=0,"√","×")))</f>
        <v/>
      </c>
      <c r="P555" s="12" t="n"/>
    </row>
    <row r="556">
      <c r="A556" s="10">
        <f>IF($C556="","",COUNTA($C$9:$C556))</f>
        <v/>
      </c>
      <c r="B556" s="10">
        <f>IF($C556="","","TXN-"&amp;RIGHT("0000"&amp;548,4))</f>
        <v/>
      </c>
      <c r="C556" s="11" t="n"/>
      <c r="D556" s="11" t="n"/>
      <c r="E556" s="12" t="n"/>
      <c r="F556" s="10">
        <f>IF($E556="","",IFERROR(IF(VLOOKUP(LEFT(UPPER(TRIM($E556)),6),BankTbl,2,0)="","(بدون عنوان)",VLOOKUP(LEFT(UPPER(TRIM($E556)),6),BankTbl,2,0)),"بانک ناشناخته"))</f>
        <v/>
      </c>
      <c r="G556" s="11" t="n"/>
      <c r="H556" s="10">
        <f>IF($G556="","",IFERROR(VLOOKUP($G556,CustTbl,2,0),IFERROR(VLOOKUP($G556,SuppTbl,2,0),IFERROR(VLOOKUP($G556,AcctTbl,2,0),IFERROR(VLOOKUP($G556,StaffTbl,2,0),"کد ناشناخته")))))</f>
        <v/>
      </c>
      <c r="I556" s="12" t="n"/>
      <c r="J556" s="12" t="n"/>
      <c r="K556" s="13" t="n"/>
      <c r="L556" s="13" t="n"/>
      <c r="M556" s="13" t="n"/>
      <c r="N556" s="14">
        <f>IF(OR($C556="",$E556="",Calc!$H556=""),"",IFERROR(VLOOKUP(LEFT(UPPER(TRIM($E556)),6),BankTbl,3,0),0)+SUMIFS(CalcDep,CalcBank,LEFT(UPPER(TRIM($E556)),6),CalcKey,"&lt;="&amp;Calc!$H556)-SUMIFS(CalcWit,CalcBank,LEFT(UPPER(TRIM($E556)),6),CalcKey,"&lt;="&amp;Calc!$H556))</f>
        <v/>
      </c>
      <c r="O556" s="10">
        <f>IF(OR($C556="",$M556=""),"",IF($N556="","؟",IF(ROUND($M556-$N556,0)=0,"√","×")))</f>
        <v/>
      </c>
      <c r="P556" s="12" t="n"/>
    </row>
    <row r="557">
      <c r="A557" s="10">
        <f>IF($C557="","",COUNTA($C$9:$C557))</f>
        <v/>
      </c>
      <c r="B557" s="10">
        <f>IF($C557="","","TXN-"&amp;RIGHT("0000"&amp;549,4))</f>
        <v/>
      </c>
      <c r="C557" s="11" t="n"/>
      <c r="D557" s="11" t="n"/>
      <c r="E557" s="12" t="n"/>
      <c r="F557" s="10">
        <f>IF($E557="","",IFERROR(IF(VLOOKUP(LEFT(UPPER(TRIM($E557)),6),BankTbl,2,0)="","(بدون عنوان)",VLOOKUP(LEFT(UPPER(TRIM($E557)),6),BankTbl,2,0)),"بانک ناشناخته"))</f>
        <v/>
      </c>
      <c r="G557" s="11" t="n"/>
      <c r="H557" s="10">
        <f>IF($G557="","",IFERROR(VLOOKUP($G557,CustTbl,2,0),IFERROR(VLOOKUP($G557,SuppTbl,2,0),IFERROR(VLOOKUP($G557,AcctTbl,2,0),IFERROR(VLOOKUP($G557,StaffTbl,2,0),"کد ناشناخته")))))</f>
        <v/>
      </c>
      <c r="I557" s="12" t="n"/>
      <c r="J557" s="12" t="n"/>
      <c r="K557" s="13" t="n"/>
      <c r="L557" s="13" t="n"/>
      <c r="M557" s="13" t="n"/>
      <c r="N557" s="14">
        <f>IF(OR($C557="",$E557="",Calc!$H557=""),"",IFERROR(VLOOKUP(LEFT(UPPER(TRIM($E557)),6),BankTbl,3,0),0)+SUMIFS(CalcDep,CalcBank,LEFT(UPPER(TRIM($E557)),6),CalcKey,"&lt;="&amp;Calc!$H557)-SUMIFS(CalcWit,CalcBank,LEFT(UPPER(TRIM($E557)),6),CalcKey,"&lt;="&amp;Calc!$H557))</f>
        <v/>
      </c>
      <c r="O557" s="10">
        <f>IF(OR($C557="",$M557=""),"",IF($N557="","؟",IF(ROUND($M557-$N557,0)=0,"√","×")))</f>
        <v/>
      </c>
      <c r="P557" s="12" t="n"/>
    </row>
    <row r="558">
      <c r="A558" s="10">
        <f>IF($C558="","",COUNTA($C$9:$C558))</f>
        <v/>
      </c>
      <c r="B558" s="10">
        <f>IF($C558="","","TXN-"&amp;RIGHT("0000"&amp;550,4))</f>
        <v/>
      </c>
      <c r="C558" s="11" t="n"/>
      <c r="D558" s="11" t="n"/>
      <c r="E558" s="12" t="n"/>
      <c r="F558" s="10">
        <f>IF($E558="","",IFERROR(IF(VLOOKUP(LEFT(UPPER(TRIM($E558)),6),BankTbl,2,0)="","(بدون عنوان)",VLOOKUP(LEFT(UPPER(TRIM($E558)),6),BankTbl,2,0)),"بانک ناشناخته"))</f>
        <v/>
      </c>
      <c r="G558" s="11" t="n"/>
      <c r="H558" s="10">
        <f>IF($G558="","",IFERROR(VLOOKUP($G558,CustTbl,2,0),IFERROR(VLOOKUP($G558,SuppTbl,2,0),IFERROR(VLOOKUP($G558,AcctTbl,2,0),IFERROR(VLOOKUP($G558,StaffTbl,2,0),"کد ناشناخته")))))</f>
        <v/>
      </c>
      <c r="I558" s="12" t="n"/>
      <c r="J558" s="12" t="n"/>
      <c r="K558" s="13" t="n"/>
      <c r="L558" s="13" t="n"/>
      <c r="M558" s="13" t="n"/>
      <c r="N558" s="14">
        <f>IF(OR($C558="",$E558="",Calc!$H558=""),"",IFERROR(VLOOKUP(LEFT(UPPER(TRIM($E558)),6),BankTbl,3,0),0)+SUMIFS(CalcDep,CalcBank,LEFT(UPPER(TRIM($E558)),6),CalcKey,"&lt;="&amp;Calc!$H558)-SUMIFS(CalcWit,CalcBank,LEFT(UPPER(TRIM($E558)),6),CalcKey,"&lt;="&amp;Calc!$H558))</f>
        <v/>
      </c>
      <c r="O558" s="10">
        <f>IF(OR($C558="",$M558=""),"",IF($N558="","؟",IF(ROUND($M558-$N558,0)=0,"√","×")))</f>
        <v/>
      </c>
      <c r="P558" s="12" t="n"/>
    </row>
    <row r="559">
      <c r="A559" s="10">
        <f>IF($C559="","",COUNTA($C$9:$C559))</f>
        <v/>
      </c>
      <c r="B559" s="10">
        <f>IF($C559="","","TXN-"&amp;RIGHT("0000"&amp;551,4))</f>
        <v/>
      </c>
      <c r="C559" s="11" t="n"/>
      <c r="D559" s="11" t="n"/>
      <c r="E559" s="12" t="n"/>
      <c r="F559" s="10">
        <f>IF($E559="","",IFERROR(IF(VLOOKUP(LEFT(UPPER(TRIM($E559)),6),BankTbl,2,0)="","(بدون عنوان)",VLOOKUP(LEFT(UPPER(TRIM($E559)),6),BankTbl,2,0)),"بانک ناشناخته"))</f>
        <v/>
      </c>
      <c r="G559" s="11" t="n"/>
      <c r="H559" s="10">
        <f>IF($G559="","",IFERROR(VLOOKUP($G559,CustTbl,2,0),IFERROR(VLOOKUP($G559,SuppTbl,2,0),IFERROR(VLOOKUP($G559,AcctTbl,2,0),IFERROR(VLOOKUP($G559,StaffTbl,2,0),"کد ناشناخته")))))</f>
        <v/>
      </c>
      <c r="I559" s="12" t="n"/>
      <c r="J559" s="12" t="n"/>
      <c r="K559" s="13" t="n"/>
      <c r="L559" s="13" t="n"/>
      <c r="M559" s="13" t="n"/>
      <c r="N559" s="14">
        <f>IF(OR($C559="",$E559="",Calc!$H559=""),"",IFERROR(VLOOKUP(LEFT(UPPER(TRIM($E559)),6),BankTbl,3,0),0)+SUMIFS(CalcDep,CalcBank,LEFT(UPPER(TRIM($E559)),6),CalcKey,"&lt;="&amp;Calc!$H559)-SUMIFS(CalcWit,CalcBank,LEFT(UPPER(TRIM($E559)),6),CalcKey,"&lt;="&amp;Calc!$H559))</f>
        <v/>
      </c>
      <c r="O559" s="10">
        <f>IF(OR($C559="",$M559=""),"",IF($N559="","؟",IF(ROUND($M559-$N559,0)=0,"√","×")))</f>
        <v/>
      </c>
      <c r="P559" s="12" t="n"/>
    </row>
    <row r="560">
      <c r="A560" s="10">
        <f>IF($C560="","",COUNTA($C$9:$C560))</f>
        <v/>
      </c>
      <c r="B560" s="10">
        <f>IF($C560="","","TXN-"&amp;RIGHT("0000"&amp;552,4))</f>
        <v/>
      </c>
      <c r="C560" s="11" t="n"/>
      <c r="D560" s="11" t="n"/>
      <c r="E560" s="12" t="n"/>
      <c r="F560" s="10">
        <f>IF($E560="","",IFERROR(IF(VLOOKUP(LEFT(UPPER(TRIM($E560)),6),BankTbl,2,0)="","(بدون عنوان)",VLOOKUP(LEFT(UPPER(TRIM($E560)),6),BankTbl,2,0)),"بانک ناشناخته"))</f>
        <v/>
      </c>
      <c r="G560" s="11" t="n"/>
      <c r="H560" s="10">
        <f>IF($G560="","",IFERROR(VLOOKUP($G560,CustTbl,2,0),IFERROR(VLOOKUP($G560,SuppTbl,2,0),IFERROR(VLOOKUP($G560,AcctTbl,2,0),IFERROR(VLOOKUP($G560,StaffTbl,2,0),"کد ناشناخته")))))</f>
        <v/>
      </c>
      <c r="I560" s="12" t="n"/>
      <c r="J560" s="12" t="n"/>
      <c r="K560" s="13" t="n"/>
      <c r="L560" s="13" t="n"/>
      <c r="M560" s="13" t="n"/>
      <c r="N560" s="14">
        <f>IF(OR($C560="",$E560="",Calc!$H560=""),"",IFERROR(VLOOKUP(LEFT(UPPER(TRIM($E560)),6),BankTbl,3,0),0)+SUMIFS(CalcDep,CalcBank,LEFT(UPPER(TRIM($E560)),6),CalcKey,"&lt;="&amp;Calc!$H560)-SUMIFS(CalcWit,CalcBank,LEFT(UPPER(TRIM($E560)),6),CalcKey,"&lt;="&amp;Calc!$H560))</f>
        <v/>
      </c>
      <c r="O560" s="10">
        <f>IF(OR($C560="",$M560=""),"",IF($N560="","؟",IF(ROUND($M560-$N560,0)=0,"√","×")))</f>
        <v/>
      </c>
      <c r="P560" s="12" t="n"/>
    </row>
    <row r="561">
      <c r="A561" s="10">
        <f>IF($C561="","",COUNTA($C$9:$C561))</f>
        <v/>
      </c>
      <c r="B561" s="10">
        <f>IF($C561="","","TXN-"&amp;RIGHT("0000"&amp;553,4))</f>
        <v/>
      </c>
      <c r="C561" s="11" t="n"/>
      <c r="D561" s="11" t="n"/>
      <c r="E561" s="12" t="n"/>
      <c r="F561" s="10">
        <f>IF($E561="","",IFERROR(IF(VLOOKUP(LEFT(UPPER(TRIM($E561)),6),BankTbl,2,0)="","(بدون عنوان)",VLOOKUP(LEFT(UPPER(TRIM($E561)),6),BankTbl,2,0)),"بانک ناشناخته"))</f>
        <v/>
      </c>
      <c r="G561" s="11" t="n"/>
      <c r="H561" s="10">
        <f>IF($G561="","",IFERROR(VLOOKUP($G561,CustTbl,2,0),IFERROR(VLOOKUP($G561,SuppTbl,2,0),IFERROR(VLOOKUP($G561,AcctTbl,2,0),IFERROR(VLOOKUP($G561,StaffTbl,2,0),"کد ناشناخته")))))</f>
        <v/>
      </c>
      <c r="I561" s="12" t="n"/>
      <c r="J561" s="12" t="n"/>
      <c r="K561" s="13" t="n"/>
      <c r="L561" s="13" t="n"/>
      <c r="M561" s="13" t="n"/>
      <c r="N561" s="14">
        <f>IF(OR($C561="",$E561="",Calc!$H561=""),"",IFERROR(VLOOKUP(LEFT(UPPER(TRIM($E561)),6),BankTbl,3,0),0)+SUMIFS(CalcDep,CalcBank,LEFT(UPPER(TRIM($E561)),6),CalcKey,"&lt;="&amp;Calc!$H561)-SUMIFS(CalcWit,CalcBank,LEFT(UPPER(TRIM($E561)),6),CalcKey,"&lt;="&amp;Calc!$H561))</f>
        <v/>
      </c>
      <c r="O561" s="10">
        <f>IF(OR($C561="",$M561=""),"",IF($N561="","؟",IF(ROUND($M561-$N561,0)=0,"√","×")))</f>
        <v/>
      </c>
      <c r="P561" s="12" t="n"/>
    </row>
    <row r="562">
      <c r="A562" s="10">
        <f>IF($C562="","",COUNTA($C$9:$C562))</f>
        <v/>
      </c>
      <c r="B562" s="10">
        <f>IF($C562="","","TXN-"&amp;RIGHT("0000"&amp;554,4))</f>
        <v/>
      </c>
      <c r="C562" s="11" t="n"/>
      <c r="D562" s="11" t="n"/>
      <c r="E562" s="12" t="n"/>
      <c r="F562" s="10">
        <f>IF($E562="","",IFERROR(IF(VLOOKUP(LEFT(UPPER(TRIM($E562)),6),BankTbl,2,0)="","(بدون عنوان)",VLOOKUP(LEFT(UPPER(TRIM($E562)),6),BankTbl,2,0)),"بانک ناشناخته"))</f>
        <v/>
      </c>
      <c r="G562" s="11" t="n"/>
      <c r="H562" s="10">
        <f>IF($G562="","",IFERROR(VLOOKUP($G562,CustTbl,2,0),IFERROR(VLOOKUP($G562,SuppTbl,2,0),IFERROR(VLOOKUP($G562,AcctTbl,2,0),IFERROR(VLOOKUP($G562,StaffTbl,2,0),"کد ناشناخته")))))</f>
        <v/>
      </c>
      <c r="I562" s="12" t="n"/>
      <c r="J562" s="12" t="n"/>
      <c r="K562" s="13" t="n"/>
      <c r="L562" s="13" t="n"/>
      <c r="M562" s="13" t="n"/>
      <c r="N562" s="14">
        <f>IF(OR($C562="",$E562="",Calc!$H562=""),"",IFERROR(VLOOKUP(LEFT(UPPER(TRIM($E562)),6),BankTbl,3,0),0)+SUMIFS(CalcDep,CalcBank,LEFT(UPPER(TRIM($E562)),6),CalcKey,"&lt;="&amp;Calc!$H562)-SUMIFS(CalcWit,CalcBank,LEFT(UPPER(TRIM($E562)),6),CalcKey,"&lt;="&amp;Calc!$H562))</f>
        <v/>
      </c>
      <c r="O562" s="10">
        <f>IF(OR($C562="",$M562=""),"",IF($N562="","؟",IF(ROUND($M562-$N562,0)=0,"√","×")))</f>
        <v/>
      </c>
      <c r="P562" s="12" t="n"/>
    </row>
    <row r="563">
      <c r="A563" s="10">
        <f>IF($C563="","",COUNTA($C$9:$C563))</f>
        <v/>
      </c>
      <c r="B563" s="10">
        <f>IF($C563="","","TXN-"&amp;RIGHT("0000"&amp;555,4))</f>
        <v/>
      </c>
      <c r="C563" s="11" t="n"/>
      <c r="D563" s="11" t="n"/>
      <c r="E563" s="12" t="n"/>
      <c r="F563" s="10">
        <f>IF($E563="","",IFERROR(IF(VLOOKUP(LEFT(UPPER(TRIM($E563)),6),BankTbl,2,0)="","(بدون عنوان)",VLOOKUP(LEFT(UPPER(TRIM($E563)),6),BankTbl,2,0)),"بانک ناشناخته"))</f>
        <v/>
      </c>
      <c r="G563" s="11" t="n"/>
      <c r="H563" s="10">
        <f>IF($G563="","",IFERROR(VLOOKUP($G563,CustTbl,2,0),IFERROR(VLOOKUP($G563,SuppTbl,2,0),IFERROR(VLOOKUP($G563,AcctTbl,2,0),IFERROR(VLOOKUP($G563,StaffTbl,2,0),"کد ناشناخته")))))</f>
        <v/>
      </c>
      <c r="I563" s="12" t="n"/>
      <c r="J563" s="12" t="n"/>
      <c r="K563" s="13" t="n"/>
      <c r="L563" s="13" t="n"/>
      <c r="M563" s="13" t="n"/>
      <c r="N563" s="14">
        <f>IF(OR($C563="",$E563="",Calc!$H563=""),"",IFERROR(VLOOKUP(LEFT(UPPER(TRIM($E563)),6),BankTbl,3,0),0)+SUMIFS(CalcDep,CalcBank,LEFT(UPPER(TRIM($E563)),6),CalcKey,"&lt;="&amp;Calc!$H563)-SUMIFS(CalcWit,CalcBank,LEFT(UPPER(TRIM($E563)),6),CalcKey,"&lt;="&amp;Calc!$H563))</f>
        <v/>
      </c>
      <c r="O563" s="10">
        <f>IF(OR($C563="",$M563=""),"",IF($N563="","؟",IF(ROUND($M563-$N563,0)=0,"√","×")))</f>
        <v/>
      </c>
      <c r="P563" s="12" t="n"/>
    </row>
    <row r="564">
      <c r="A564" s="10">
        <f>IF($C564="","",COUNTA($C$9:$C564))</f>
        <v/>
      </c>
      <c r="B564" s="10">
        <f>IF($C564="","","TXN-"&amp;RIGHT("0000"&amp;556,4))</f>
        <v/>
      </c>
      <c r="C564" s="11" t="n"/>
      <c r="D564" s="11" t="n"/>
      <c r="E564" s="12" t="n"/>
      <c r="F564" s="10">
        <f>IF($E564="","",IFERROR(IF(VLOOKUP(LEFT(UPPER(TRIM($E564)),6),BankTbl,2,0)="","(بدون عنوان)",VLOOKUP(LEFT(UPPER(TRIM($E564)),6),BankTbl,2,0)),"بانک ناشناخته"))</f>
        <v/>
      </c>
      <c r="G564" s="11" t="n"/>
      <c r="H564" s="10">
        <f>IF($G564="","",IFERROR(VLOOKUP($G564,CustTbl,2,0),IFERROR(VLOOKUP($G564,SuppTbl,2,0),IFERROR(VLOOKUP($G564,AcctTbl,2,0),IFERROR(VLOOKUP($G564,StaffTbl,2,0),"کد ناشناخته")))))</f>
        <v/>
      </c>
      <c r="I564" s="12" t="n"/>
      <c r="J564" s="12" t="n"/>
      <c r="K564" s="13" t="n"/>
      <c r="L564" s="13" t="n"/>
      <c r="M564" s="13" t="n"/>
      <c r="N564" s="14">
        <f>IF(OR($C564="",$E564="",Calc!$H564=""),"",IFERROR(VLOOKUP(LEFT(UPPER(TRIM($E564)),6),BankTbl,3,0),0)+SUMIFS(CalcDep,CalcBank,LEFT(UPPER(TRIM($E564)),6),CalcKey,"&lt;="&amp;Calc!$H564)-SUMIFS(CalcWit,CalcBank,LEFT(UPPER(TRIM($E564)),6),CalcKey,"&lt;="&amp;Calc!$H564))</f>
        <v/>
      </c>
      <c r="O564" s="10">
        <f>IF(OR($C564="",$M564=""),"",IF($N564="","؟",IF(ROUND($M564-$N564,0)=0,"√","×")))</f>
        <v/>
      </c>
      <c r="P564" s="12" t="n"/>
    </row>
    <row r="565">
      <c r="A565" s="10">
        <f>IF($C565="","",COUNTA($C$9:$C565))</f>
        <v/>
      </c>
      <c r="B565" s="10">
        <f>IF($C565="","","TXN-"&amp;RIGHT("0000"&amp;557,4))</f>
        <v/>
      </c>
      <c r="C565" s="11" t="n"/>
      <c r="D565" s="11" t="n"/>
      <c r="E565" s="12" t="n"/>
      <c r="F565" s="10">
        <f>IF($E565="","",IFERROR(IF(VLOOKUP(LEFT(UPPER(TRIM($E565)),6),BankTbl,2,0)="","(بدون عنوان)",VLOOKUP(LEFT(UPPER(TRIM($E565)),6),BankTbl,2,0)),"بانک ناشناخته"))</f>
        <v/>
      </c>
      <c r="G565" s="11" t="n"/>
      <c r="H565" s="10">
        <f>IF($G565="","",IFERROR(VLOOKUP($G565,CustTbl,2,0),IFERROR(VLOOKUP($G565,SuppTbl,2,0),IFERROR(VLOOKUP($G565,AcctTbl,2,0),IFERROR(VLOOKUP($G565,StaffTbl,2,0),"کد ناشناخته")))))</f>
        <v/>
      </c>
      <c r="I565" s="12" t="n"/>
      <c r="J565" s="12" t="n"/>
      <c r="K565" s="13" t="n"/>
      <c r="L565" s="13" t="n"/>
      <c r="M565" s="13" t="n"/>
      <c r="N565" s="14">
        <f>IF(OR($C565="",$E565="",Calc!$H565=""),"",IFERROR(VLOOKUP(LEFT(UPPER(TRIM($E565)),6),BankTbl,3,0),0)+SUMIFS(CalcDep,CalcBank,LEFT(UPPER(TRIM($E565)),6),CalcKey,"&lt;="&amp;Calc!$H565)-SUMIFS(CalcWit,CalcBank,LEFT(UPPER(TRIM($E565)),6),CalcKey,"&lt;="&amp;Calc!$H565))</f>
        <v/>
      </c>
      <c r="O565" s="10">
        <f>IF(OR($C565="",$M565=""),"",IF($N565="","؟",IF(ROUND($M565-$N565,0)=0,"√","×")))</f>
        <v/>
      </c>
      <c r="P565" s="12" t="n"/>
    </row>
    <row r="566">
      <c r="A566" s="10">
        <f>IF($C566="","",COUNTA($C$9:$C566))</f>
        <v/>
      </c>
      <c r="B566" s="10">
        <f>IF($C566="","","TXN-"&amp;RIGHT("0000"&amp;558,4))</f>
        <v/>
      </c>
      <c r="C566" s="11" t="n"/>
      <c r="D566" s="11" t="n"/>
      <c r="E566" s="12" t="n"/>
      <c r="F566" s="10">
        <f>IF($E566="","",IFERROR(IF(VLOOKUP(LEFT(UPPER(TRIM($E566)),6),BankTbl,2,0)="","(بدون عنوان)",VLOOKUP(LEFT(UPPER(TRIM($E566)),6),BankTbl,2,0)),"بانک ناشناخته"))</f>
        <v/>
      </c>
      <c r="G566" s="11" t="n"/>
      <c r="H566" s="10">
        <f>IF($G566="","",IFERROR(VLOOKUP($G566,CustTbl,2,0),IFERROR(VLOOKUP($G566,SuppTbl,2,0),IFERROR(VLOOKUP($G566,AcctTbl,2,0),IFERROR(VLOOKUP($G566,StaffTbl,2,0),"کد ناشناخته")))))</f>
        <v/>
      </c>
      <c r="I566" s="12" t="n"/>
      <c r="J566" s="12" t="n"/>
      <c r="K566" s="13" t="n"/>
      <c r="L566" s="13" t="n"/>
      <c r="M566" s="13" t="n"/>
      <c r="N566" s="14">
        <f>IF(OR($C566="",$E566="",Calc!$H566=""),"",IFERROR(VLOOKUP(LEFT(UPPER(TRIM($E566)),6),BankTbl,3,0),0)+SUMIFS(CalcDep,CalcBank,LEFT(UPPER(TRIM($E566)),6),CalcKey,"&lt;="&amp;Calc!$H566)-SUMIFS(CalcWit,CalcBank,LEFT(UPPER(TRIM($E566)),6),CalcKey,"&lt;="&amp;Calc!$H566))</f>
        <v/>
      </c>
      <c r="O566" s="10">
        <f>IF(OR($C566="",$M566=""),"",IF($N566="","؟",IF(ROUND($M566-$N566,0)=0,"√","×")))</f>
        <v/>
      </c>
      <c r="P566" s="12" t="n"/>
    </row>
    <row r="567">
      <c r="A567" s="10">
        <f>IF($C567="","",COUNTA($C$9:$C567))</f>
        <v/>
      </c>
      <c r="B567" s="10">
        <f>IF($C567="","","TXN-"&amp;RIGHT("0000"&amp;559,4))</f>
        <v/>
      </c>
      <c r="C567" s="11" t="n"/>
      <c r="D567" s="11" t="n"/>
      <c r="E567" s="12" t="n"/>
      <c r="F567" s="10">
        <f>IF($E567="","",IFERROR(IF(VLOOKUP(LEFT(UPPER(TRIM($E567)),6),BankTbl,2,0)="","(بدون عنوان)",VLOOKUP(LEFT(UPPER(TRIM($E567)),6),BankTbl,2,0)),"بانک ناشناخته"))</f>
        <v/>
      </c>
      <c r="G567" s="11" t="n"/>
      <c r="H567" s="10">
        <f>IF($G567="","",IFERROR(VLOOKUP($G567,CustTbl,2,0),IFERROR(VLOOKUP($G567,SuppTbl,2,0),IFERROR(VLOOKUP($G567,AcctTbl,2,0),IFERROR(VLOOKUP($G567,StaffTbl,2,0),"کد ناشناخته")))))</f>
        <v/>
      </c>
      <c r="I567" s="12" t="n"/>
      <c r="J567" s="12" t="n"/>
      <c r="K567" s="13" t="n"/>
      <c r="L567" s="13" t="n"/>
      <c r="M567" s="13" t="n"/>
      <c r="N567" s="14">
        <f>IF(OR($C567="",$E567="",Calc!$H567=""),"",IFERROR(VLOOKUP(LEFT(UPPER(TRIM($E567)),6),BankTbl,3,0),0)+SUMIFS(CalcDep,CalcBank,LEFT(UPPER(TRIM($E567)),6),CalcKey,"&lt;="&amp;Calc!$H567)-SUMIFS(CalcWit,CalcBank,LEFT(UPPER(TRIM($E567)),6),CalcKey,"&lt;="&amp;Calc!$H567))</f>
        <v/>
      </c>
      <c r="O567" s="10">
        <f>IF(OR($C567="",$M567=""),"",IF($N567="","؟",IF(ROUND($M567-$N567,0)=0,"√","×")))</f>
        <v/>
      </c>
      <c r="P567" s="12" t="n"/>
    </row>
    <row r="568">
      <c r="A568" s="10">
        <f>IF($C568="","",COUNTA($C$9:$C568))</f>
        <v/>
      </c>
      <c r="B568" s="10">
        <f>IF($C568="","","TXN-"&amp;RIGHT("0000"&amp;560,4))</f>
        <v/>
      </c>
      <c r="C568" s="11" t="n"/>
      <c r="D568" s="11" t="n"/>
      <c r="E568" s="12" t="n"/>
      <c r="F568" s="10">
        <f>IF($E568="","",IFERROR(IF(VLOOKUP(LEFT(UPPER(TRIM($E568)),6),BankTbl,2,0)="","(بدون عنوان)",VLOOKUP(LEFT(UPPER(TRIM($E568)),6),BankTbl,2,0)),"بانک ناشناخته"))</f>
        <v/>
      </c>
      <c r="G568" s="11" t="n"/>
      <c r="H568" s="10">
        <f>IF($G568="","",IFERROR(VLOOKUP($G568,CustTbl,2,0),IFERROR(VLOOKUP($G568,SuppTbl,2,0),IFERROR(VLOOKUP($G568,AcctTbl,2,0),IFERROR(VLOOKUP($G568,StaffTbl,2,0),"کد ناشناخته")))))</f>
        <v/>
      </c>
      <c r="I568" s="12" t="n"/>
      <c r="J568" s="12" t="n"/>
      <c r="K568" s="13" t="n"/>
      <c r="L568" s="13" t="n"/>
      <c r="M568" s="13" t="n"/>
      <c r="N568" s="14">
        <f>IF(OR($C568="",$E568="",Calc!$H568=""),"",IFERROR(VLOOKUP(LEFT(UPPER(TRIM($E568)),6),BankTbl,3,0),0)+SUMIFS(CalcDep,CalcBank,LEFT(UPPER(TRIM($E568)),6),CalcKey,"&lt;="&amp;Calc!$H568)-SUMIFS(CalcWit,CalcBank,LEFT(UPPER(TRIM($E568)),6),CalcKey,"&lt;="&amp;Calc!$H568))</f>
        <v/>
      </c>
      <c r="O568" s="10">
        <f>IF(OR($C568="",$M568=""),"",IF($N568="","؟",IF(ROUND($M568-$N568,0)=0,"√","×")))</f>
        <v/>
      </c>
      <c r="P568" s="12" t="n"/>
    </row>
    <row r="569">
      <c r="A569" s="10">
        <f>IF($C569="","",COUNTA($C$9:$C569))</f>
        <v/>
      </c>
      <c r="B569" s="10">
        <f>IF($C569="","","TXN-"&amp;RIGHT("0000"&amp;561,4))</f>
        <v/>
      </c>
      <c r="C569" s="11" t="n"/>
      <c r="D569" s="11" t="n"/>
      <c r="E569" s="12" t="n"/>
      <c r="F569" s="10">
        <f>IF($E569="","",IFERROR(IF(VLOOKUP(LEFT(UPPER(TRIM($E569)),6),BankTbl,2,0)="","(بدون عنوان)",VLOOKUP(LEFT(UPPER(TRIM($E569)),6),BankTbl,2,0)),"بانک ناشناخته"))</f>
        <v/>
      </c>
      <c r="G569" s="11" t="n"/>
      <c r="H569" s="10">
        <f>IF($G569="","",IFERROR(VLOOKUP($G569,CustTbl,2,0),IFERROR(VLOOKUP($G569,SuppTbl,2,0),IFERROR(VLOOKUP($G569,AcctTbl,2,0),IFERROR(VLOOKUP($G569,StaffTbl,2,0),"کد ناشناخته")))))</f>
        <v/>
      </c>
      <c r="I569" s="12" t="n"/>
      <c r="J569" s="12" t="n"/>
      <c r="K569" s="13" t="n"/>
      <c r="L569" s="13" t="n"/>
      <c r="M569" s="13" t="n"/>
      <c r="N569" s="14">
        <f>IF(OR($C569="",$E569="",Calc!$H569=""),"",IFERROR(VLOOKUP(LEFT(UPPER(TRIM($E569)),6),BankTbl,3,0),0)+SUMIFS(CalcDep,CalcBank,LEFT(UPPER(TRIM($E569)),6),CalcKey,"&lt;="&amp;Calc!$H569)-SUMIFS(CalcWit,CalcBank,LEFT(UPPER(TRIM($E569)),6),CalcKey,"&lt;="&amp;Calc!$H569))</f>
        <v/>
      </c>
      <c r="O569" s="10">
        <f>IF(OR($C569="",$M569=""),"",IF($N569="","؟",IF(ROUND($M569-$N569,0)=0,"√","×")))</f>
        <v/>
      </c>
      <c r="P569" s="12" t="n"/>
    </row>
    <row r="570">
      <c r="A570" s="10">
        <f>IF($C570="","",COUNTA($C$9:$C570))</f>
        <v/>
      </c>
      <c r="B570" s="10">
        <f>IF($C570="","","TXN-"&amp;RIGHT("0000"&amp;562,4))</f>
        <v/>
      </c>
      <c r="C570" s="11" t="n"/>
      <c r="D570" s="11" t="n"/>
      <c r="E570" s="12" t="n"/>
      <c r="F570" s="10">
        <f>IF($E570="","",IFERROR(IF(VLOOKUP(LEFT(UPPER(TRIM($E570)),6),BankTbl,2,0)="","(بدون عنوان)",VLOOKUP(LEFT(UPPER(TRIM($E570)),6),BankTbl,2,0)),"بانک ناشناخته"))</f>
        <v/>
      </c>
      <c r="G570" s="11" t="n"/>
      <c r="H570" s="10">
        <f>IF($G570="","",IFERROR(VLOOKUP($G570,CustTbl,2,0),IFERROR(VLOOKUP($G570,SuppTbl,2,0),IFERROR(VLOOKUP($G570,AcctTbl,2,0),IFERROR(VLOOKUP($G570,StaffTbl,2,0),"کد ناشناخته")))))</f>
        <v/>
      </c>
      <c r="I570" s="12" t="n"/>
      <c r="J570" s="12" t="n"/>
      <c r="K570" s="13" t="n"/>
      <c r="L570" s="13" t="n"/>
      <c r="M570" s="13" t="n"/>
      <c r="N570" s="14">
        <f>IF(OR($C570="",$E570="",Calc!$H570=""),"",IFERROR(VLOOKUP(LEFT(UPPER(TRIM($E570)),6),BankTbl,3,0),0)+SUMIFS(CalcDep,CalcBank,LEFT(UPPER(TRIM($E570)),6),CalcKey,"&lt;="&amp;Calc!$H570)-SUMIFS(CalcWit,CalcBank,LEFT(UPPER(TRIM($E570)),6),CalcKey,"&lt;="&amp;Calc!$H570))</f>
        <v/>
      </c>
      <c r="O570" s="10">
        <f>IF(OR($C570="",$M570=""),"",IF($N570="","؟",IF(ROUND($M570-$N570,0)=0,"√","×")))</f>
        <v/>
      </c>
      <c r="P570" s="12" t="n"/>
    </row>
    <row r="571">
      <c r="A571" s="10">
        <f>IF($C571="","",COUNTA($C$9:$C571))</f>
        <v/>
      </c>
      <c r="B571" s="10">
        <f>IF($C571="","","TXN-"&amp;RIGHT("0000"&amp;563,4))</f>
        <v/>
      </c>
      <c r="C571" s="11" t="n"/>
      <c r="D571" s="11" t="n"/>
      <c r="E571" s="12" t="n"/>
      <c r="F571" s="10">
        <f>IF($E571="","",IFERROR(IF(VLOOKUP(LEFT(UPPER(TRIM($E571)),6),BankTbl,2,0)="","(بدون عنوان)",VLOOKUP(LEFT(UPPER(TRIM($E571)),6),BankTbl,2,0)),"بانک ناشناخته"))</f>
        <v/>
      </c>
      <c r="G571" s="11" t="n"/>
      <c r="H571" s="10">
        <f>IF($G571="","",IFERROR(VLOOKUP($G571,CustTbl,2,0),IFERROR(VLOOKUP($G571,SuppTbl,2,0),IFERROR(VLOOKUP($G571,AcctTbl,2,0),IFERROR(VLOOKUP($G571,StaffTbl,2,0),"کد ناشناخته")))))</f>
        <v/>
      </c>
      <c r="I571" s="12" t="n"/>
      <c r="J571" s="12" t="n"/>
      <c r="K571" s="13" t="n"/>
      <c r="L571" s="13" t="n"/>
      <c r="M571" s="13" t="n"/>
      <c r="N571" s="14">
        <f>IF(OR($C571="",$E571="",Calc!$H571=""),"",IFERROR(VLOOKUP(LEFT(UPPER(TRIM($E571)),6),BankTbl,3,0),0)+SUMIFS(CalcDep,CalcBank,LEFT(UPPER(TRIM($E571)),6),CalcKey,"&lt;="&amp;Calc!$H571)-SUMIFS(CalcWit,CalcBank,LEFT(UPPER(TRIM($E571)),6),CalcKey,"&lt;="&amp;Calc!$H571))</f>
        <v/>
      </c>
      <c r="O571" s="10">
        <f>IF(OR($C571="",$M571=""),"",IF($N571="","؟",IF(ROUND($M571-$N571,0)=0,"√","×")))</f>
        <v/>
      </c>
      <c r="P571" s="12" t="n"/>
    </row>
    <row r="572">
      <c r="A572" s="10">
        <f>IF($C572="","",COUNTA($C$9:$C572))</f>
        <v/>
      </c>
      <c r="B572" s="10">
        <f>IF($C572="","","TXN-"&amp;RIGHT("0000"&amp;564,4))</f>
        <v/>
      </c>
      <c r="C572" s="11" t="n"/>
      <c r="D572" s="11" t="n"/>
      <c r="E572" s="12" t="n"/>
      <c r="F572" s="10">
        <f>IF($E572="","",IFERROR(IF(VLOOKUP(LEFT(UPPER(TRIM($E572)),6),BankTbl,2,0)="","(بدون عنوان)",VLOOKUP(LEFT(UPPER(TRIM($E572)),6),BankTbl,2,0)),"بانک ناشناخته"))</f>
        <v/>
      </c>
      <c r="G572" s="11" t="n"/>
      <c r="H572" s="10">
        <f>IF($G572="","",IFERROR(VLOOKUP($G572,CustTbl,2,0),IFERROR(VLOOKUP($G572,SuppTbl,2,0),IFERROR(VLOOKUP($G572,AcctTbl,2,0),IFERROR(VLOOKUP($G572,StaffTbl,2,0),"کد ناشناخته")))))</f>
        <v/>
      </c>
      <c r="I572" s="12" t="n"/>
      <c r="J572" s="12" t="n"/>
      <c r="K572" s="13" t="n"/>
      <c r="L572" s="13" t="n"/>
      <c r="M572" s="13" t="n"/>
      <c r="N572" s="14">
        <f>IF(OR($C572="",$E572="",Calc!$H572=""),"",IFERROR(VLOOKUP(LEFT(UPPER(TRIM($E572)),6),BankTbl,3,0),0)+SUMIFS(CalcDep,CalcBank,LEFT(UPPER(TRIM($E572)),6),CalcKey,"&lt;="&amp;Calc!$H572)-SUMIFS(CalcWit,CalcBank,LEFT(UPPER(TRIM($E572)),6),CalcKey,"&lt;="&amp;Calc!$H572))</f>
        <v/>
      </c>
      <c r="O572" s="10">
        <f>IF(OR($C572="",$M572=""),"",IF($N572="","؟",IF(ROUND($M572-$N572,0)=0,"√","×")))</f>
        <v/>
      </c>
      <c r="P572" s="12" t="n"/>
    </row>
    <row r="573">
      <c r="A573" s="10">
        <f>IF($C573="","",COUNTA($C$9:$C573))</f>
        <v/>
      </c>
      <c r="B573" s="10">
        <f>IF($C573="","","TXN-"&amp;RIGHT("0000"&amp;565,4))</f>
        <v/>
      </c>
      <c r="C573" s="11" t="n"/>
      <c r="D573" s="11" t="n"/>
      <c r="E573" s="12" t="n"/>
      <c r="F573" s="10">
        <f>IF($E573="","",IFERROR(IF(VLOOKUP(LEFT(UPPER(TRIM($E573)),6),BankTbl,2,0)="","(بدون عنوان)",VLOOKUP(LEFT(UPPER(TRIM($E573)),6),BankTbl,2,0)),"بانک ناشناخته"))</f>
        <v/>
      </c>
      <c r="G573" s="11" t="n"/>
      <c r="H573" s="10">
        <f>IF($G573="","",IFERROR(VLOOKUP($G573,CustTbl,2,0),IFERROR(VLOOKUP($G573,SuppTbl,2,0),IFERROR(VLOOKUP($G573,AcctTbl,2,0),IFERROR(VLOOKUP($G573,StaffTbl,2,0),"کد ناشناخته")))))</f>
        <v/>
      </c>
      <c r="I573" s="12" t="n"/>
      <c r="J573" s="12" t="n"/>
      <c r="K573" s="13" t="n"/>
      <c r="L573" s="13" t="n"/>
      <c r="M573" s="13" t="n"/>
      <c r="N573" s="14">
        <f>IF(OR($C573="",$E573="",Calc!$H573=""),"",IFERROR(VLOOKUP(LEFT(UPPER(TRIM($E573)),6),BankTbl,3,0),0)+SUMIFS(CalcDep,CalcBank,LEFT(UPPER(TRIM($E573)),6),CalcKey,"&lt;="&amp;Calc!$H573)-SUMIFS(CalcWit,CalcBank,LEFT(UPPER(TRIM($E573)),6),CalcKey,"&lt;="&amp;Calc!$H573))</f>
        <v/>
      </c>
      <c r="O573" s="10">
        <f>IF(OR($C573="",$M573=""),"",IF($N573="","؟",IF(ROUND($M573-$N573,0)=0,"√","×")))</f>
        <v/>
      </c>
      <c r="P573" s="12" t="n"/>
    </row>
    <row r="574">
      <c r="A574" s="10">
        <f>IF($C574="","",COUNTA($C$9:$C574))</f>
        <v/>
      </c>
      <c r="B574" s="10">
        <f>IF($C574="","","TXN-"&amp;RIGHT("0000"&amp;566,4))</f>
        <v/>
      </c>
      <c r="C574" s="11" t="n"/>
      <c r="D574" s="11" t="n"/>
      <c r="E574" s="12" t="n"/>
      <c r="F574" s="10">
        <f>IF($E574="","",IFERROR(IF(VLOOKUP(LEFT(UPPER(TRIM($E574)),6),BankTbl,2,0)="","(بدون عنوان)",VLOOKUP(LEFT(UPPER(TRIM($E574)),6),BankTbl,2,0)),"بانک ناشناخته"))</f>
        <v/>
      </c>
      <c r="G574" s="11" t="n"/>
      <c r="H574" s="10">
        <f>IF($G574="","",IFERROR(VLOOKUP($G574,CustTbl,2,0),IFERROR(VLOOKUP($G574,SuppTbl,2,0),IFERROR(VLOOKUP($G574,AcctTbl,2,0),IFERROR(VLOOKUP($G574,StaffTbl,2,0),"کد ناشناخته")))))</f>
        <v/>
      </c>
      <c r="I574" s="12" t="n"/>
      <c r="J574" s="12" t="n"/>
      <c r="K574" s="13" t="n"/>
      <c r="L574" s="13" t="n"/>
      <c r="M574" s="13" t="n"/>
      <c r="N574" s="14">
        <f>IF(OR($C574="",$E574="",Calc!$H574=""),"",IFERROR(VLOOKUP(LEFT(UPPER(TRIM($E574)),6),BankTbl,3,0),0)+SUMIFS(CalcDep,CalcBank,LEFT(UPPER(TRIM($E574)),6),CalcKey,"&lt;="&amp;Calc!$H574)-SUMIFS(CalcWit,CalcBank,LEFT(UPPER(TRIM($E574)),6),CalcKey,"&lt;="&amp;Calc!$H574))</f>
        <v/>
      </c>
      <c r="O574" s="10">
        <f>IF(OR($C574="",$M574=""),"",IF($N574="","؟",IF(ROUND($M574-$N574,0)=0,"√","×")))</f>
        <v/>
      </c>
      <c r="P574" s="12" t="n"/>
    </row>
    <row r="575">
      <c r="A575" s="10">
        <f>IF($C575="","",COUNTA($C$9:$C575))</f>
        <v/>
      </c>
      <c r="B575" s="10">
        <f>IF($C575="","","TXN-"&amp;RIGHT("0000"&amp;567,4))</f>
        <v/>
      </c>
      <c r="C575" s="11" t="n"/>
      <c r="D575" s="11" t="n"/>
      <c r="E575" s="12" t="n"/>
      <c r="F575" s="10">
        <f>IF($E575="","",IFERROR(IF(VLOOKUP(LEFT(UPPER(TRIM($E575)),6),BankTbl,2,0)="","(بدون عنوان)",VLOOKUP(LEFT(UPPER(TRIM($E575)),6),BankTbl,2,0)),"بانک ناشناخته"))</f>
        <v/>
      </c>
      <c r="G575" s="11" t="n"/>
      <c r="H575" s="10">
        <f>IF($G575="","",IFERROR(VLOOKUP($G575,CustTbl,2,0),IFERROR(VLOOKUP($G575,SuppTbl,2,0),IFERROR(VLOOKUP($G575,AcctTbl,2,0),IFERROR(VLOOKUP($G575,StaffTbl,2,0),"کد ناشناخته")))))</f>
        <v/>
      </c>
      <c r="I575" s="12" t="n"/>
      <c r="J575" s="12" t="n"/>
      <c r="K575" s="13" t="n"/>
      <c r="L575" s="13" t="n"/>
      <c r="M575" s="13" t="n"/>
      <c r="N575" s="14">
        <f>IF(OR($C575="",$E575="",Calc!$H575=""),"",IFERROR(VLOOKUP(LEFT(UPPER(TRIM($E575)),6),BankTbl,3,0),0)+SUMIFS(CalcDep,CalcBank,LEFT(UPPER(TRIM($E575)),6),CalcKey,"&lt;="&amp;Calc!$H575)-SUMIFS(CalcWit,CalcBank,LEFT(UPPER(TRIM($E575)),6),CalcKey,"&lt;="&amp;Calc!$H575))</f>
        <v/>
      </c>
      <c r="O575" s="10">
        <f>IF(OR($C575="",$M575=""),"",IF($N575="","؟",IF(ROUND($M575-$N575,0)=0,"√","×")))</f>
        <v/>
      </c>
      <c r="P575" s="12" t="n"/>
    </row>
    <row r="576">
      <c r="A576" s="10">
        <f>IF($C576="","",COUNTA($C$9:$C576))</f>
        <v/>
      </c>
      <c r="B576" s="10">
        <f>IF($C576="","","TXN-"&amp;RIGHT("0000"&amp;568,4))</f>
        <v/>
      </c>
      <c r="C576" s="11" t="n"/>
      <c r="D576" s="11" t="n"/>
      <c r="E576" s="12" t="n"/>
      <c r="F576" s="10">
        <f>IF($E576="","",IFERROR(IF(VLOOKUP(LEFT(UPPER(TRIM($E576)),6),BankTbl,2,0)="","(بدون عنوان)",VLOOKUP(LEFT(UPPER(TRIM($E576)),6),BankTbl,2,0)),"بانک ناشناخته"))</f>
        <v/>
      </c>
      <c r="G576" s="11" t="n"/>
      <c r="H576" s="10">
        <f>IF($G576="","",IFERROR(VLOOKUP($G576,CustTbl,2,0),IFERROR(VLOOKUP($G576,SuppTbl,2,0),IFERROR(VLOOKUP($G576,AcctTbl,2,0),IFERROR(VLOOKUP($G576,StaffTbl,2,0),"کد ناشناخته")))))</f>
        <v/>
      </c>
      <c r="I576" s="12" t="n"/>
      <c r="J576" s="12" t="n"/>
      <c r="K576" s="13" t="n"/>
      <c r="L576" s="13" t="n"/>
      <c r="M576" s="13" t="n"/>
      <c r="N576" s="14">
        <f>IF(OR($C576="",$E576="",Calc!$H576=""),"",IFERROR(VLOOKUP(LEFT(UPPER(TRIM($E576)),6),BankTbl,3,0),0)+SUMIFS(CalcDep,CalcBank,LEFT(UPPER(TRIM($E576)),6),CalcKey,"&lt;="&amp;Calc!$H576)-SUMIFS(CalcWit,CalcBank,LEFT(UPPER(TRIM($E576)),6),CalcKey,"&lt;="&amp;Calc!$H576))</f>
        <v/>
      </c>
      <c r="O576" s="10">
        <f>IF(OR($C576="",$M576=""),"",IF($N576="","؟",IF(ROUND($M576-$N576,0)=0,"√","×")))</f>
        <v/>
      </c>
      <c r="P576" s="12" t="n"/>
    </row>
    <row r="577">
      <c r="A577" s="10">
        <f>IF($C577="","",COUNTA($C$9:$C577))</f>
        <v/>
      </c>
      <c r="B577" s="10">
        <f>IF($C577="","","TXN-"&amp;RIGHT("0000"&amp;569,4))</f>
        <v/>
      </c>
      <c r="C577" s="11" t="n"/>
      <c r="D577" s="11" t="n"/>
      <c r="E577" s="12" t="n"/>
      <c r="F577" s="10">
        <f>IF($E577="","",IFERROR(IF(VLOOKUP(LEFT(UPPER(TRIM($E577)),6),BankTbl,2,0)="","(بدون عنوان)",VLOOKUP(LEFT(UPPER(TRIM($E577)),6),BankTbl,2,0)),"بانک ناشناخته"))</f>
        <v/>
      </c>
      <c r="G577" s="11" t="n"/>
      <c r="H577" s="10">
        <f>IF($G577="","",IFERROR(VLOOKUP($G577,CustTbl,2,0),IFERROR(VLOOKUP($G577,SuppTbl,2,0),IFERROR(VLOOKUP($G577,AcctTbl,2,0),IFERROR(VLOOKUP($G577,StaffTbl,2,0),"کد ناشناخته")))))</f>
        <v/>
      </c>
      <c r="I577" s="12" t="n"/>
      <c r="J577" s="12" t="n"/>
      <c r="K577" s="13" t="n"/>
      <c r="L577" s="13" t="n"/>
      <c r="M577" s="13" t="n"/>
      <c r="N577" s="14">
        <f>IF(OR($C577="",$E577="",Calc!$H577=""),"",IFERROR(VLOOKUP(LEFT(UPPER(TRIM($E577)),6),BankTbl,3,0),0)+SUMIFS(CalcDep,CalcBank,LEFT(UPPER(TRIM($E577)),6),CalcKey,"&lt;="&amp;Calc!$H577)-SUMIFS(CalcWit,CalcBank,LEFT(UPPER(TRIM($E577)),6),CalcKey,"&lt;="&amp;Calc!$H577))</f>
        <v/>
      </c>
      <c r="O577" s="10">
        <f>IF(OR($C577="",$M577=""),"",IF($N577="","؟",IF(ROUND($M577-$N577,0)=0,"√","×")))</f>
        <v/>
      </c>
      <c r="P577" s="12" t="n"/>
    </row>
    <row r="578">
      <c r="A578" s="10">
        <f>IF($C578="","",COUNTA($C$9:$C578))</f>
        <v/>
      </c>
      <c r="B578" s="10">
        <f>IF($C578="","","TXN-"&amp;RIGHT("0000"&amp;570,4))</f>
        <v/>
      </c>
      <c r="C578" s="11" t="n"/>
      <c r="D578" s="11" t="n"/>
      <c r="E578" s="12" t="n"/>
      <c r="F578" s="10">
        <f>IF($E578="","",IFERROR(IF(VLOOKUP(LEFT(UPPER(TRIM($E578)),6),BankTbl,2,0)="","(بدون عنوان)",VLOOKUP(LEFT(UPPER(TRIM($E578)),6),BankTbl,2,0)),"بانک ناشناخته"))</f>
        <v/>
      </c>
      <c r="G578" s="11" t="n"/>
      <c r="H578" s="10">
        <f>IF($G578="","",IFERROR(VLOOKUP($G578,CustTbl,2,0),IFERROR(VLOOKUP($G578,SuppTbl,2,0),IFERROR(VLOOKUP($G578,AcctTbl,2,0),IFERROR(VLOOKUP($G578,StaffTbl,2,0),"کد ناشناخته")))))</f>
        <v/>
      </c>
      <c r="I578" s="12" t="n"/>
      <c r="J578" s="12" t="n"/>
      <c r="K578" s="13" t="n"/>
      <c r="L578" s="13" t="n"/>
      <c r="M578" s="13" t="n"/>
      <c r="N578" s="14">
        <f>IF(OR($C578="",$E578="",Calc!$H578=""),"",IFERROR(VLOOKUP(LEFT(UPPER(TRIM($E578)),6),BankTbl,3,0),0)+SUMIFS(CalcDep,CalcBank,LEFT(UPPER(TRIM($E578)),6),CalcKey,"&lt;="&amp;Calc!$H578)-SUMIFS(CalcWit,CalcBank,LEFT(UPPER(TRIM($E578)),6),CalcKey,"&lt;="&amp;Calc!$H578))</f>
        <v/>
      </c>
      <c r="O578" s="10">
        <f>IF(OR($C578="",$M578=""),"",IF($N578="","؟",IF(ROUND($M578-$N578,0)=0,"√","×")))</f>
        <v/>
      </c>
      <c r="P578" s="12" t="n"/>
    </row>
    <row r="579">
      <c r="A579" s="10">
        <f>IF($C579="","",COUNTA($C$9:$C579))</f>
        <v/>
      </c>
      <c r="B579" s="10">
        <f>IF($C579="","","TXN-"&amp;RIGHT("0000"&amp;571,4))</f>
        <v/>
      </c>
      <c r="C579" s="11" t="n"/>
      <c r="D579" s="11" t="n"/>
      <c r="E579" s="12" t="n"/>
      <c r="F579" s="10">
        <f>IF($E579="","",IFERROR(IF(VLOOKUP(LEFT(UPPER(TRIM($E579)),6),BankTbl,2,0)="","(بدون عنوان)",VLOOKUP(LEFT(UPPER(TRIM($E579)),6),BankTbl,2,0)),"بانک ناشناخته"))</f>
        <v/>
      </c>
      <c r="G579" s="11" t="n"/>
      <c r="H579" s="10">
        <f>IF($G579="","",IFERROR(VLOOKUP($G579,CustTbl,2,0),IFERROR(VLOOKUP($G579,SuppTbl,2,0),IFERROR(VLOOKUP($G579,AcctTbl,2,0),IFERROR(VLOOKUP($G579,StaffTbl,2,0),"کد ناشناخته")))))</f>
        <v/>
      </c>
      <c r="I579" s="12" t="n"/>
      <c r="J579" s="12" t="n"/>
      <c r="K579" s="13" t="n"/>
      <c r="L579" s="13" t="n"/>
      <c r="M579" s="13" t="n"/>
      <c r="N579" s="14">
        <f>IF(OR($C579="",$E579="",Calc!$H579=""),"",IFERROR(VLOOKUP(LEFT(UPPER(TRIM($E579)),6),BankTbl,3,0),0)+SUMIFS(CalcDep,CalcBank,LEFT(UPPER(TRIM($E579)),6),CalcKey,"&lt;="&amp;Calc!$H579)-SUMIFS(CalcWit,CalcBank,LEFT(UPPER(TRIM($E579)),6),CalcKey,"&lt;="&amp;Calc!$H579))</f>
        <v/>
      </c>
      <c r="O579" s="10">
        <f>IF(OR($C579="",$M579=""),"",IF($N579="","؟",IF(ROUND($M579-$N579,0)=0,"√","×")))</f>
        <v/>
      </c>
      <c r="P579" s="12" t="n"/>
    </row>
    <row r="580">
      <c r="A580" s="10">
        <f>IF($C580="","",COUNTA($C$9:$C580))</f>
        <v/>
      </c>
      <c r="B580" s="10">
        <f>IF($C580="","","TXN-"&amp;RIGHT("0000"&amp;572,4))</f>
        <v/>
      </c>
      <c r="C580" s="11" t="n"/>
      <c r="D580" s="11" t="n"/>
      <c r="E580" s="12" t="n"/>
      <c r="F580" s="10">
        <f>IF($E580="","",IFERROR(IF(VLOOKUP(LEFT(UPPER(TRIM($E580)),6),BankTbl,2,0)="","(بدون عنوان)",VLOOKUP(LEFT(UPPER(TRIM($E580)),6),BankTbl,2,0)),"بانک ناشناخته"))</f>
        <v/>
      </c>
      <c r="G580" s="11" t="n"/>
      <c r="H580" s="10">
        <f>IF($G580="","",IFERROR(VLOOKUP($G580,CustTbl,2,0),IFERROR(VLOOKUP($G580,SuppTbl,2,0),IFERROR(VLOOKUP($G580,AcctTbl,2,0),IFERROR(VLOOKUP($G580,StaffTbl,2,0),"کد ناشناخته")))))</f>
        <v/>
      </c>
      <c r="I580" s="12" t="n"/>
      <c r="J580" s="12" t="n"/>
      <c r="K580" s="13" t="n"/>
      <c r="L580" s="13" t="n"/>
      <c r="M580" s="13" t="n"/>
      <c r="N580" s="14">
        <f>IF(OR($C580="",$E580="",Calc!$H580=""),"",IFERROR(VLOOKUP(LEFT(UPPER(TRIM($E580)),6),BankTbl,3,0),0)+SUMIFS(CalcDep,CalcBank,LEFT(UPPER(TRIM($E580)),6),CalcKey,"&lt;="&amp;Calc!$H580)-SUMIFS(CalcWit,CalcBank,LEFT(UPPER(TRIM($E580)),6),CalcKey,"&lt;="&amp;Calc!$H580))</f>
        <v/>
      </c>
      <c r="O580" s="10">
        <f>IF(OR($C580="",$M580=""),"",IF($N580="","؟",IF(ROUND($M580-$N580,0)=0,"√","×")))</f>
        <v/>
      </c>
      <c r="P580" s="12" t="n"/>
    </row>
    <row r="581">
      <c r="A581" s="10">
        <f>IF($C581="","",COUNTA($C$9:$C581))</f>
        <v/>
      </c>
      <c r="B581" s="10">
        <f>IF($C581="","","TXN-"&amp;RIGHT("0000"&amp;573,4))</f>
        <v/>
      </c>
      <c r="C581" s="11" t="n"/>
      <c r="D581" s="11" t="n"/>
      <c r="E581" s="12" t="n"/>
      <c r="F581" s="10">
        <f>IF($E581="","",IFERROR(IF(VLOOKUP(LEFT(UPPER(TRIM($E581)),6),BankTbl,2,0)="","(بدون عنوان)",VLOOKUP(LEFT(UPPER(TRIM($E581)),6),BankTbl,2,0)),"بانک ناشناخته"))</f>
        <v/>
      </c>
      <c r="G581" s="11" t="n"/>
      <c r="H581" s="10">
        <f>IF($G581="","",IFERROR(VLOOKUP($G581,CustTbl,2,0),IFERROR(VLOOKUP($G581,SuppTbl,2,0),IFERROR(VLOOKUP($G581,AcctTbl,2,0),IFERROR(VLOOKUP($G581,StaffTbl,2,0),"کد ناشناخته")))))</f>
        <v/>
      </c>
      <c r="I581" s="12" t="n"/>
      <c r="J581" s="12" t="n"/>
      <c r="K581" s="13" t="n"/>
      <c r="L581" s="13" t="n"/>
      <c r="M581" s="13" t="n"/>
      <c r="N581" s="14">
        <f>IF(OR($C581="",$E581="",Calc!$H581=""),"",IFERROR(VLOOKUP(LEFT(UPPER(TRIM($E581)),6),BankTbl,3,0),0)+SUMIFS(CalcDep,CalcBank,LEFT(UPPER(TRIM($E581)),6),CalcKey,"&lt;="&amp;Calc!$H581)-SUMIFS(CalcWit,CalcBank,LEFT(UPPER(TRIM($E581)),6),CalcKey,"&lt;="&amp;Calc!$H581))</f>
        <v/>
      </c>
      <c r="O581" s="10">
        <f>IF(OR($C581="",$M581=""),"",IF($N581="","؟",IF(ROUND($M581-$N581,0)=0,"√","×")))</f>
        <v/>
      </c>
      <c r="P581" s="12" t="n"/>
    </row>
    <row r="582">
      <c r="A582" s="10">
        <f>IF($C582="","",COUNTA($C$9:$C582))</f>
        <v/>
      </c>
      <c r="B582" s="10">
        <f>IF($C582="","","TXN-"&amp;RIGHT("0000"&amp;574,4))</f>
        <v/>
      </c>
      <c r="C582" s="11" t="n"/>
      <c r="D582" s="11" t="n"/>
      <c r="E582" s="12" t="n"/>
      <c r="F582" s="10">
        <f>IF($E582="","",IFERROR(IF(VLOOKUP(LEFT(UPPER(TRIM($E582)),6),BankTbl,2,0)="","(بدون عنوان)",VLOOKUP(LEFT(UPPER(TRIM($E582)),6),BankTbl,2,0)),"بانک ناشناخته"))</f>
        <v/>
      </c>
      <c r="G582" s="11" t="n"/>
      <c r="H582" s="10">
        <f>IF($G582="","",IFERROR(VLOOKUP($G582,CustTbl,2,0),IFERROR(VLOOKUP($G582,SuppTbl,2,0),IFERROR(VLOOKUP($G582,AcctTbl,2,0),IFERROR(VLOOKUP($G582,StaffTbl,2,0),"کد ناشناخته")))))</f>
        <v/>
      </c>
      <c r="I582" s="12" t="n"/>
      <c r="J582" s="12" t="n"/>
      <c r="K582" s="13" t="n"/>
      <c r="L582" s="13" t="n"/>
      <c r="M582" s="13" t="n"/>
      <c r="N582" s="14">
        <f>IF(OR($C582="",$E582="",Calc!$H582=""),"",IFERROR(VLOOKUP(LEFT(UPPER(TRIM($E582)),6),BankTbl,3,0),0)+SUMIFS(CalcDep,CalcBank,LEFT(UPPER(TRIM($E582)),6),CalcKey,"&lt;="&amp;Calc!$H582)-SUMIFS(CalcWit,CalcBank,LEFT(UPPER(TRIM($E582)),6),CalcKey,"&lt;="&amp;Calc!$H582))</f>
        <v/>
      </c>
      <c r="O582" s="10">
        <f>IF(OR($C582="",$M582=""),"",IF($N582="","؟",IF(ROUND($M582-$N582,0)=0,"√","×")))</f>
        <v/>
      </c>
      <c r="P582" s="12" t="n"/>
    </row>
    <row r="583">
      <c r="A583" s="10">
        <f>IF($C583="","",COUNTA($C$9:$C583))</f>
        <v/>
      </c>
      <c r="B583" s="10">
        <f>IF($C583="","","TXN-"&amp;RIGHT("0000"&amp;575,4))</f>
        <v/>
      </c>
      <c r="C583" s="11" t="n"/>
      <c r="D583" s="11" t="n"/>
      <c r="E583" s="12" t="n"/>
      <c r="F583" s="10">
        <f>IF($E583="","",IFERROR(IF(VLOOKUP(LEFT(UPPER(TRIM($E583)),6),BankTbl,2,0)="","(بدون عنوان)",VLOOKUP(LEFT(UPPER(TRIM($E583)),6),BankTbl,2,0)),"بانک ناشناخته"))</f>
        <v/>
      </c>
      <c r="G583" s="11" t="n"/>
      <c r="H583" s="10">
        <f>IF($G583="","",IFERROR(VLOOKUP($G583,CustTbl,2,0),IFERROR(VLOOKUP($G583,SuppTbl,2,0),IFERROR(VLOOKUP($G583,AcctTbl,2,0),IFERROR(VLOOKUP($G583,StaffTbl,2,0),"کد ناشناخته")))))</f>
        <v/>
      </c>
      <c r="I583" s="12" t="n"/>
      <c r="J583" s="12" t="n"/>
      <c r="K583" s="13" t="n"/>
      <c r="L583" s="13" t="n"/>
      <c r="M583" s="13" t="n"/>
      <c r="N583" s="14">
        <f>IF(OR($C583="",$E583="",Calc!$H583=""),"",IFERROR(VLOOKUP(LEFT(UPPER(TRIM($E583)),6),BankTbl,3,0),0)+SUMIFS(CalcDep,CalcBank,LEFT(UPPER(TRIM($E583)),6),CalcKey,"&lt;="&amp;Calc!$H583)-SUMIFS(CalcWit,CalcBank,LEFT(UPPER(TRIM($E583)),6),CalcKey,"&lt;="&amp;Calc!$H583))</f>
        <v/>
      </c>
      <c r="O583" s="10">
        <f>IF(OR($C583="",$M583=""),"",IF($N583="","؟",IF(ROUND($M583-$N583,0)=0,"√","×")))</f>
        <v/>
      </c>
      <c r="P583" s="12" t="n"/>
    </row>
    <row r="584">
      <c r="A584" s="10">
        <f>IF($C584="","",COUNTA($C$9:$C584))</f>
        <v/>
      </c>
      <c r="B584" s="10">
        <f>IF($C584="","","TXN-"&amp;RIGHT("0000"&amp;576,4))</f>
        <v/>
      </c>
      <c r="C584" s="11" t="n"/>
      <c r="D584" s="11" t="n"/>
      <c r="E584" s="12" t="n"/>
      <c r="F584" s="10">
        <f>IF($E584="","",IFERROR(IF(VLOOKUP(LEFT(UPPER(TRIM($E584)),6),BankTbl,2,0)="","(بدون عنوان)",VLOOKUP(LEFT(UPPER(TRIM($E584)),6),BankTbl,2,0)),"بانک ناشناخته"))</f>
        <v/>
      </c>
      <c r="G584" s="11" t="n"/>
      <c r="H584" s="10">
        <f>IF($G584="","",IFERROR(VLOOKUP($G584,CustTbl,2,0),IFERROR(VLOOKUP($G584,SuppTbl,2,0),IFERROR(VLOOKUP($G584,AcctTbl,2,0),IFERROR(VLOOKUP($G584,StaffTbl,2,0),"کد ناشناخته")))))</f>
        <v/>
      </c>
      <c r="I584" s="12" t="n"/>
      <c r="J584" s="12" t="n"/>
      <c r="K584" s="13" t="n"/>
      <c r="L584" s="13" t="n"/>
      <c r="M584" s="13" t="n"/>
      <c r="N584" s="14">
        <f>IF(OR($C584="",$E584="",Calc!$H584=""),"",IFERROR(VLOOKUP(LEFT(UPPER(TRIM($E584)),6),BankTbl,3,0),0)+SUMIFS(CalcDep,CalcBank,LEFT(UPPER(TRIM($E584)),6),CalcKey,"&lt;="&amp;Calc!$H584)-SUMIFS(CalcWit,CalcBank,LEFT(UPPER(TRIM($E584)),6),CalcKey,"&lt;="&amp;Calc!$H584))</f>
        <v/>
      </c>
      <c r="O584" s="10">
        <f>IF(OR($C584="",$M584=""),"",IF($N584="","؟",IF(ROUND($M584-$N584,0)=0,"√","×")))</f>
        <v/>
      </c>
      <c r="P584" s="12" t="n"/>
    </row>
    <row r="585">
      <c r="A585" s="10">
        <f>IF($C585="","",COUNTA($C$9:$C585))</f>
        <v/>
      </c>
      <c r="B585" s="10">
        <f>IF($C585="","","TXN-"&amp;RIGHT("0000"&amp;577,4))</f>
        <v/>
      </c>
      <c r="C585" s="11" t="n"/>
      <c r="D585" s="11" t="n"/>
      <c r="E585" s="12" t="n"/>
      <c r="F585" s="10">
        <f>IF($E585="","",IFERROR(IF(VLOOKUP(LEFT(UPPER(TRIM($E585)),6),BankTbl,2,0)="","(بدون عنوان)",VLOOKUP(LEFT(UPPER(TRIM($E585)),6),BankTbl,2,0)),"بانک ناشناخته"))</f>
        <v/>
      </c>
      <c r="G585" s="11" t="n"/>
      <c r="H585" s="10">
        <f>IF($G585="","",IFERROR(VLOOKUP($G585,CustTbl,2,0),IFERROR(VLOOKUP($G585,SuppTbl,2,0),IFERROR(VLOOKUP($G585,AcctTbl,2,0),IFERROR(VLOOKUP($G585,StaffTbl,2,0),"کد ناشناخته")))))</f>
        <v/>
      </c>
      <c r="I585" s="12" t="n"/>
      <c r="J585" s="12" t="n"/>
      <c r="K585" s="13" t="n"/>
      <c r="L585" s="13" t="n"/>
      <c r="M585" s="13" t="n"/>
      <c r="N585" s="14">
        <f>IF(OR($C585="",$E585="",Calc!$H585=""),"",IFERROR(VLOOKUP(LEFT(UPPER(TRIM($E585)),6),BankTbl,3,0),0)+SUMIFS(CalcDep,CalcBank,LEFT(UPPER(TRIM($E585)),6),CalcKey,"&lt;="&amp;Calc!$H585)-SUMIFS(CalcWit,CalcBank,LEFT(UPPER(TRIM($E585)),6),CalcKey,"&lt;="&amp;Calc!$H585))</f>
        <v/>
      </c>
      <c r="O585" s="10">
        <f>IF(OR($C585="",$M585=""),"",IF($N585="","؟",IF(ROUND($M585-$N585,0)=0,"√","×")))</f>
        <v/>
      </c>
      <c r="P585" s="12" t="n"/>
    </row>
    <row r="586">
      <c r="A586" s="10">
        <f>IF($C586="","",COUNTA($C$9:$C586))</f>
        <v/>
      </c>
      <c r="B586" s="10">
        <f>IF($C586="","","TXN-"&amp;RIGHT("0000"&amp;578,4))</f>
        <v/>
      </c>
      <c r="C586" s="11" t="n"/>
      <c r="D586" s="11" t="n"/>
      <c r="E586" s="12" t="n"/>
      <c r="F586" s="10">
        <f>IF($E586="","",IFERROR(IF(VLOOKUP(LEFT(UPPER(TRIM($E586)),6),BankTbl,2,0)="","(بدون عنوان)",VLOOKUP(LEFT(UPPER(TRIM($E586)),6),BankTbl,2,0)),"بانک ناشناخته"))</f>
        <v/>
      </c>
      <c r="G586" s="11" t="n"/>
      <c r="H586" s="10">
        <f>IF($G586="","",IFERROR(VLOOKUP($G586,CustTbl,2,0),IFERROR(VLOOKUP($G586,SuppTbl,2,0),IFERROR(VLOOKUP($G586,AcctTbl,2,0),IFERROR(VLOOKUP($G586,StaffTbl,2,0),"کد ناشناخته")))))</f>
        <v/>
      </c>
      <c r="I586" s="12" t="n"/>
      <c r="J586" s="12" t="n"/>
      <c r="K586" s="13" t="n"/>
      <c r="L586" s="13" t="n"/>
      <c r="M586" s="13" t="n"/>
      <c r="N586" s="14">
        <f>IF(OR($C586="",$E586="",Calc!$H586=""),"",IFERROR(VLOOKUP(LEFT(UPPER(TRIM($E586)),6),BankTbl,3,0),0)+SUMIFS(CalcDep,CalcBank,LEFT(UPPER(TRIM($E586)),6),CalcKey,"&lt;="&amp;Calc!$H586)-SUMIFS(CalcWit,CalcBank,LEFT(UPPER(TRIM($E586)),6),CalcKey,"&lt;="&amp;Calc!$H586))</f>
        <v/>
      </c>
      <c r="O586" s="10">
        <f>IF(OR($C586="",$M586=""),"",IF($N586="","؟",IF(ROUND($M586-$N586,0)=0,"√","×")))</f>
        <v/>
      </c>
      <c r="P586" s="12" t="n"/>
    </row>
    <row r="587">
      <c r="A587" s="10">
        <f>IF($C587="","",COUNTA($C$9:$C587))</f>
        <v/>
      </c>
      <c r="B587" s="10">
        <f>IF($C587="","","TXN-"&amp;RIGHT("0000"&amp;579,4))</f>
        <v/>
      </c>
      <c r="C587" s="11" t="n"/>
      <c r="D587" s="11" t="n"/>
      <c r="E587" s="12" t="n"/>
      <c r="F587" s="10">
        <f>IF($E587="","",IFERROR(IF(VLOOKUP(LEFT(UPPER(TRIM($E587)),6),BankTbl,2,0)="","(بدون عنوان)",VLOOKUP(LEFT(UPPER(TRIM($E587)),6),BankTbl,2,0)),"بانک ناشناخته"))</f>
        <v/>
      </c>
      <c r="G587" s="11" t="n"/>
      <c r="H587" s="10">
        <f>IF($G587="","",IFERROR(VLOOKUP($G587,CustTbl,2,0),IFERROR(VLOOKUP($G587,SuppTbl,2,0),IFERROR(VLOOKUP($G587,AcctTbl,2,0),IFERROR(VLOOKUP($G587,StaffTbl,2,0),"کد ناشناخته")))))</f>
        <v/>
      </c>
      <c r="I587" s="12" t="n"/>
      <c r="J587" s="12" t="n"/>
      <c r="K587" s="13" t="n"/>
      <c r="L587" s="13" t="n"/>
      <c r="M587" s="13" t="n"/>
      <c r="N587" s="14">
        <f>IF(OR($C587="",$E587="",Calc!$H587=""),"",IFERROR(VLOOKUP(LEFT(UPPER(TRIM($E587)),6),BankTbl,3,0),0)+SUMIFS(CalcDep,CalcBank,LEFT(UPPER(TRIM($E587)),6),CalcKey,"&lt;="&amp;Calc!$H587)-SUMIFS(CalcWit,CalcBank,LEFT(UPPER(TRIM($E587)),6),CalcKey,"&lt;="&amp;Calc!$H587))</f>
        <v/>
      </c>
      <c r="O587" s="10">
        <f>IF(OR($C587="",$M587=""),"",IF($N587="","؟",IF(ROUND($M587-$N587,0)=0,"√","×")))</f>
        <v/>
      </c>
      <c r="P587" s="12" t="n"/>
    </row>
    <row r="588">
      <c r="A588" s="10">
        <f>IF($C588="","",COUNTA($C$9:$C588))</f>
        <v/>
      </c>
      <c r="B588" s="10">
        <f>IF($C588="","","TXN-"&amp;RIGHT("0000"&amp;580,4))</f>
        <v/>
      </c>
      <c r="C588" s="11" t="n"/>
      <c r="D588" s="11" t="n"/>
      <c r="E588" s="12" t="n"/>
      <c r="F588" s="10">
        <f>IF($E588="","",IFERROR(IF(VLOOKUP(LEFT(UPPER(TRIM($E588)),6),BankTbl,2,0)="","(بدون عنوان)",VLOOKUP(LEFT(UPPER(TRIM($E588)),6),BankTbl,2,0)),"بانک ناشناخته"))</f>
        <v/>
      </c>
      <c r="G588" s="11" t="n"/>
      <c r="H588" s="10">
        <f>IF($G588="","",IFERROR(VLOOKUP($G588,CustTbl,2,0),IFERROR(VLOOKUP($G588,SuppTbl,2,0),IFERROR(VLOOKUP($G588,AcctTbl,2,0),IFERROR(VLOOKUP($G588,StaffTbl,2,0),"کد ناشناخته")))))</f>
        <v/>
      </c>
      <c r="I588" s="12" t="n"/>
      <c r="J588" s="12" t="n"/>
      <c r="K588" s="13" t="n"/>
      <c r="L588" s="13" t="n"/>
      <c r="M588" s="13" t="n"/>
      <c r="N588" s="14">
        <f>IF(OR($C588="",$E588="",Calc!$H588=""),"",IFERROR(VLOOKUP(LEFT(UPPER(TRIM($E588)),6),BankTbl,3,0),0)+SUMIFS(CalcDep,CalcBank,LEFT(UPPER(TRIM($E588)),6),CalcKey,"&lt;="&amp;Calc!$H588)-SUMIFS(CalcWit,CalcBank,LEFT(UPPER(TRIM($E588)),6),CalcKey,"&lt;="&amp;Calc!$H588))</f>
        <v/>
      </c>
      <c r="O588" s="10">
        <f>IF(OR($C588="",$M588=""),"",IF($N588="","؟",IF(ROUND($M588-$N588,0)=0,"√","×")))</f>
        <v/>
      </c>
      <c r="P588" s="12" t="n"/>
    </row>
    <row r="589">
      <c r="A589" s="10">
        <f>IF($C589="","",COUNTA($C$9:$C589))</f>
        <v/>
      </c>
      <c r="B589" s="10">
        <f>IF($C589="","","TXN-"&amp;RIGHT("0000"&amp;581,4))</f>
        <v/>
      </c>
      <c r="C589" s="11" t="n"/>
      <c r="D589" s="11" t="n"/>
      <c r="E589" s="12" t="n"/>
      <c r="F589" s="10">
        <f>IF($E589="","",IFERROR(IF(VLOOKUP(LEFT(UPPER(TRIM($E589)),6),BankTbl,2,0)="","(بدون عنوان)",VLOOKUP(LEFT(UPPER(TRIM($E589)),6),BankTbl,2,0)),"بانک ناشناخته"))</f>
        <v/>
      </c>
      <c r="G589" s="11" t="n"/>
      <c r="H589" s="10">
        <f>IF($G589="","",IFERROR(VLOOKUP($G589,CustTbl,2,0),IFERROR(VLOOKUP($G589,SuppTbl,2,0),IFERROR(VLOOKUP($G589,AcctTbl,2,0),IFERROR(VLOOKUP($G589,StaffTbl,2,0),"کد ناشناخته")))))</f>
        <v/>
      </c>
      <c r="I589" s="12" t="n"/>
      <c r="J589" s="12" t="n"/>
      <c r="K589" s="13" t="n"/>
      <c r="L589" s="13" t="n"/>
      <c r="M589" s="13" t="n"/>
      <c r="N589" s="14">
        <f>IF(OR($C589="",$E589="",Calc!$H589=""),"",IFERROR(VLOOKUP(LEFT(UPPER(TRIM($E589)),6),BankTbl,3,0),0)+SUMIFS(CalcDep,CalcBank,LEFT(UPPER(TRIM($E589)),6),CalcKey,"&lt;="&amp;Calc!$H589)-SUMIFS(CalcWit,CalcBank,LEFT(UPPER(TRIM($E589)),6),CalcKey,"&lt;="&amp;Calc!$H589))</f>
        <v/>
      </c>
      <c r="O589" s="10">
        <f>IF(OR($C589="",$M589=""),"",IF($N589="","؟",IF(ROUND($M589-$N589,0)=0,"√","×")))</f>
        <v/>
      </c>
      <c r="P589" s="12" t="n"/>
    </row>
    <row r="590">
      <c r="A590" s="10">
        <f>IF($C590="","",COUNTA($C$9:$C590))</f>
        <v/>
      </c>
      <c r="B590" s="10">
        <f>IF($C590="","","TXN-"&amp;RIGHT("0000"&amp;582,4))</f>
        <v/>
      </c>
      <c r="C590" s="11" t="n"/>
      <c r="D590" s="11" t="n"/>
      <c r="E590" s="12" t="n"/>
      <c r="F590" s="10">
        <f>IF($E590="","",IFERROR(IF(VLOOKUP(LEFT(UPPER(TRIM($E590)),6),BankTbl,2,0)="","(بدون عنوان)",VLOOKUP(LEFT(UPPER(TRIM($E590)),6),BankTbl,2,0)),"بانک ناشناخته"))</f>
        <v/>
      </c>
      <c r="G590" s="11" t="n"/>
      <c r="H590" s="10">
        <f>IF($G590="","",IFERROR(VLOOKUP($G590,CustTbl,2,0),IFERROR(VLOOKUP($G590,SuppTbl,2,0),IFERROR(VLOOKUP($G590,AcctTbl,2,0),IFERROR(VLOOKUP($G590,StaffTbl,2,0),"کد ناشناخته")))))</f>
        <v/>
      </c>
      <c r="I590" s="12" t="n"/>
      <c r="J590" s="12" t="n"/>
      <c r="K590" s="13" t="n"/>
      <c r="L590" s="13" t="n"/>
      <c r="M590" s="13" t="n"/>
      <c r="N590" s="14">
        <f>IF(OR($C590="",$E590="",Calc!$H590=""),"",IFERROR(VLOOKUP(LEFT(UPPER(TRIM($E590)),6),BankTbl,3,0),0)+SUMIFS(CalcDep,CalcBank,LEFT(UPPER(TRIM($E590)),6),CalcKey,"&lt;="&amp;Calc!$H590)-SUMIFS(CalcWit,CalcBank,LEFT(UPPER(TRIM($E590)),6),CalcKey,"&lt;="&amp;Calc!$H590))</f>
        <v/>
      </c>
      <c r="O590" s="10">
        <f>IF(OR($C590="",$M590=""),"",IF($N590="","؟",IF(ROUND($M590-$N590,0)=0,"√","×")))</f>
        <v/>
      </c>
      <c r="P590" s="12" t="n"/>
    </row>
    <row r="591">
      <c r="A591" s="10">
        <f>IF($C591="","",COUNTA($C$9:$C591))</f>
        <v/>
      </c>
      <c r="B591" s="10">
        <f>IF($C591="","","TXN-"&amp;RIGHT("0000"&amp;583,4))</f>
        <v/>
      </c>
      <c r="C591" s="11" t="n"/>
      <c r="D591" s="11" t="n"/>
      <c r="E591" s="12" t="n"/>
      <c r="F591" s="10">
        <f>IF($E591="","",IFERROR(IF(VLOOKUP(LEFT(UPPER(TRIM($E591)),6),BankTbl,2,0)="","(بدون عنوان)",VLOOKUP(LEFT(UPPER(TRIM($E591)),6),BankTbl,2,0)),"بانک ناشناخته"))</f>
        <v/>
      </c>
      <c r="G591" s="11" t="n"/>
      <c r="H591" s="10">
        <f>IF($G591="","",IFERROR(VLOOKUP($G591,CustTbl,2,0),IFERROR(VLOOKUP($G591,SuppTbl,2,0),IFERROR(VLOOKUP($G591,AcctTbl,2,0),IFERROR(VLOOKUP($G591,StaffTbl,2,0),"کد ناشناخته")))))</f>
        <v/>
      </c>
      <c r="I591" s="12" t="n"/>
      <c r="J591" s="12" t="n"/>
      <c r="K591" s="13" t="n"/>
      <c r="L591" s="13" t="n"/>
      <c r="M591" s="13" t="n"/>
      <c r="N591" s="14">
        <f>IF(OR($C591="",$E591="",Calc!$H591=""),"",IFERROR(VLOOKUP(LEFT(UPPER(TRIM($E591)),6),BankTbl,3,0),0)+SUMIFS(CalcDep,CalcBank,LEFT(UPPER(TRIM($E591)),6),CalcKey,"&lt;="&amp;Calc!$H591)-SUMIFS(CalcWit,CalcBank,LEFT(UPPER(TRIM($E591)),6),CalcKey,"&lt;="&amp;Calc!$H591))</f>
        <v/>
      </c>
      <c r="O591" s="10">
        <f>IF(OR($C591="",$M591=""),"",IF($N591="","؟",IF(ROUND($M591-$N591,0)=0,"√","×")))</f>
        <v/>
      </c>
      <c r="P591" s="12" t="n"/>
    </row>
    <row r="592">
      <c r="A592" s="10">
        <f>IF($C592="","",COUNTA($C$9:$C592))</f>
        <v/>
      </c>
      <c r="B592" s="10">
        <f>IF($C592="","","TXN-"&amp;RIGHT("0000"&amp;584,4))</f>
        <v/>
      </c>
      <c r="C592" s="11" t="n"/>
      <c r="D592" s="11" t="n"/>
      <c r="E592" s="12" t="n"/>
      <c r="F592" s="10">
        <f>IF($E592="","",IFERROR(IF(VLOOKUP(LEFT(UPPER(TRIM($E592)),6),BankTbl,2,0)="","(بدون عنوان)",VLOOKUP(LEFT(UPPER(TRIM($E592)),6),BankTbl,2,0)),"بانک ناشناخته"))</f>
        <v/>
      </c>
      <c r="G592" s="11" t="n"/>
      <c r="H592" s="10">
        <f>IF($G592="","",IFERROR(VLOOKUP($G592,CustTbl,2,0),IFERROR(VLOOKUP($G592,SuppTbl,2,0),IFERROR(VLOOKUP($G592,AcctTbl,2,0),IFERROR(VLOOKUP($G592,StaffTbl,2,0),"کد ناشناخته")))))</f>
        <v/>
      </c>
      <c r="I592" s="12" t="n"/>
      <c r="J592" s="12" t="n"/>
      <c r="K592" s="13" t="n"/>
      <c r="L592" s="13" t="n"/>
      <c r="M592" s="13" t="n"/>
      <c r="N592" s="14">
        <f>IF(OR($C592="",$E592="",Calc!$H592=""),"",IFERROR(VLOOKUP(LEFT(UPPER(TRIM($E592)),6),BankTbl,3,0),0)+SUMIFS(CalcDep,CalcBank,LEFT(UPPER(TRIM($E592)),6),CalcKey,"&lt;="&amp;Calc!$H592)-SUMIFS(CalcWit,CalcBank,LEFT(UPPER(TRIM($E592)),6),CalcKey,"&lt;="&amp;Calc!$H592))</f>
        <v/>
      </c>
      <c r="O592" s="10">
        <f>IF(OR($C592="",$M592=""),"",IF($N592="","؟",IF(ROUND($M592-$N592,0)=0,"√","×")))</f>
        <v/>
      </c>
      <c r="P592" s="12" t="n"/>
    </row>
    <row r="593">
      <c r="A593" s="10">
        <f>IF($C593="","",COUNTA($C$9:$C593))</f>
        <v/>
      </c>
      <c r="B593" s="10">
        <f>IF($C593="","","TXN-"&amp;RIGHT("0000"&amp;585,4))</f>
        <v/>
      </c>
      <c r="C593" s="11" t="n"/>
      <c r="D593" s="11" t="n"/>
      <c r="E593" s="12" t="n"/>
      <c r="F593" s="10">
        <f>IF($E593="","",IFERROR(IF(VLOOKUP(LEFT(UPPER(TRIM($E593)),6),BankTbl,2,0)="","(بدون عنوان)",VLOOKUP(LEFT(UPPER(TRIM($E593)),6),BankTbl,2,0)),"بانک ناشناخته"))</f>
        <v/>
      </c>
      <c r="G593" s="11" t="n"/>
      <c r="H593" s="10">
        <f>IF($G593="","",IFERROR(VLOOKUP($G593,CustTbl,2,0),IFERROR(VLOOKUP($G593,SuppTbl,2,0),IFERROR(VLOOKUP($G593,AcctTbl,2,0),IFERROR(VLOOKUP($G593,StaffTbl,2,0),"کد ناشناخته")))))</f>
        <v/>
      </c>
      <c r="I593" s="12" t="n"/>
      <c r="J593" s="12" t="n"/>
      <c r="K593" s="13" t="n"/>
      <c r="L593" s="13" t="n"/>
      <c r="M593" s="13" t="n"/>
      <c r="N593" s="14">
        <f>IF(OR($C593="",$E593="",Calc!$H593=""),"",IFERROR(VLOOKUP(LEFT(UPPER(TRIM($E593)),6),BankTbl,3,0),0)+SUMIFS(CalcDep,CalcBank,LEFT(UPPER(TRIM($E593)),6),CalcKey,"&lt;="&amp;Calc!$H593)-SUMIFS(CalcWit,CalcBank,LEFT(UPPER(TRIM($E593)),6),CalcKey,"&lt;="&amp;Calc!$H593))</f>
        <v/>
      </c>
      <c r="O593" s="10">
        <f>IF(OR($C593="",$M593=""),"",IF($N593="","؟",IF(ROUND($M593-$N593,0)=0,"√","×")))</f>
        <v/>
      </c>
      <c r="P593" s="12" t="n"/>
    </row>
    <row r="594">
      <c r="A594" s="10">
        <f>IF($C594="","",COUNTA($C$9:$C594))</f>
        <v/>
      </c>
      <c r="B594" s="10">
        <f>IF($C594="","","TXN-"&amp;RIGHT("0000"&amp;586,4))</f>
        <v/>
      </c>
      <c r="C594" s="11" t="n"/>
      <c r="D594" s="11" t="n"/>
      <c r="E594" s="12" t="n"/>
      <c r="F594" s="10">
        <f>IF($E594="","",IFERROR(IF(VLOOKUP(LEFT(UPPER(TRIM($E594)),6),BankTbl,2,0)="","(بدون عنوان)",VLOOKUP(LEFT(UPPER(TRIM($E594)),6),BankTbl,2,0)),"بانک ناشناخته"))</f>
        <v/>
      </c>
      <c r="G594" s="11" t="n"/>
      <c r="H594" s="10">
        <f>IF($G594="","",IFERROR(VLOOKUP($G594,CustTbl,2,0),IFERROR(VLOOKUP($G594,SuppTbl,2,0),IFERROR(VLOOKUP($G594,AcctTbl,2,0),IFERROR(VLOOKUP($G594,StaffTbl,2,0),"کد ناشناخته")))))</f>
        <v/>
      </c>
      <c r="I594" s="12" t="n"/>
      <c r="J594" s="12" t="n"/>
      <c r="K594" s="13" t="n"/>
      <c r="L594" s="13" t="n"/>
      <c r="M594" s="13" t="n"/>
      <c r="N594" s="14">
        <f>IF(OR($C594="",$E594="",Calc!$H594=""),"",IFERROR(VLOOKUP(LEFT(UPPER(TRIM($E594)),6),BankTbl,3,0),0)+SUMIFS(CalcDep,CalcBank,LEFT(UPPER(TRIM($E594)),6),CalcKey,"&lt;="&amp;Calc!$H594)-SUMIFS(CalcWit,CalcBank,LEFT(UPPER(TRIM($E594)),6),CalcKey,"&lt;="&amp;Calc!$H594))</f>
        <v/>
      </c>
      <c r="O594" s="10">
        <f>IF(OR($C594="",$M594=""),"",IF($N594="","؟",IF(ROUND($M594-$N594,0)=0,"√","×")))</f>
        <v/>
      </c>
      <c r="P594" s="12" t="n"/>
    </row>
    <row r="595">
      <c r="A595" s="10">
        <f>IF($C595="","",COUNTA($C$9:$C595))</f>
        <v/>
      </c>
      <c r="B595" s="10">
        <f>IF($C595="","","TXN-"&amp;RIGHT("0000"&amp;587,4))</f>
        <v/>
      </c>
      <c r="C595" s="11" t="n"/>
      <c r="D595" s="11" t="n"/>
      <c r="E595" s="12" t="n"/>
      <c r="F595" s="10">
        <f>IF($E595="","",IFERROR(IF(VLOOKUP(LEFT(UPPER(TRIM($E595)),6),BankTbl,2,0)="","(بدون عنوان)",VLOOKUP(LEFT(UPPER(TRIM($E595)),6),BankTbl,2,0)),"بانک ناشناخته"))</f>
        <v/>
      </c>
      <c r="G595" s="11" t="n"/>
      <c r="H595" s="10">
        <f>IF($G595="","",IFERROR(VLOOKUP($G595,CustTbl,2,0),IFERROR(VLOOKUP($G595,SuppTbl,2,0),IFERROR(VLOOKUP($G595,AcctTbl,2,0),IFERROR(VLOOKUP($G595,StaffTbl,2,0),"کد ناشناخته")))))</f>
        <v/>
      </c>
      <c r="I595" s="12" t="n"/>
      <c r="J595" s="12" t="n"/>
      <c r="K595" s="13" t="n"/>
      <c r="L595" s="13" t="n"/>
      <c r="M595" s="13" t="n"/>
      <c r="N595" s="14">
        <f>IF(OR($C595="",$E595="",Calc!$H595=""),"",IFERROR(VLOOKUP(LEFT(UPPER(TRIM($E595)),6),BankTbl,3,0),0)+SUMIFS(CalcDep,CalcBank,LEFT(UPPER(TRIM($E595)),6),CalcKey,"&lt;="&amp;Calc!$H595)-SUMIFS(CalcWit,CalcBank,LEFT(UPPER(TRIM($E595)),6),CalcKey,"&lt;="&amp;Calc!$H595))</f>
        <v/>
      </c>
      <c r="O595" s="10">
        <f>IF(OR($C595="",$M595=""),"",IF($N595="","؟",IF(ROUND($M595-$N595,0)=0,"√","×")))</f>
        <v/>
      </c>
      <c r="P595" s="12" t="n"/>
    </row>
    <row r="596">
      <c r="A596" s="10">
        <f>IF($C596="","",COUNTA($C$9:$C596))</f>
        <v/>
      </c>
      <c r="B596" s="10">
        <f>IF($C596="","","TXN-"&amp;RIGHT("0000"&amp;588,4))</f>
        <v/>
      </c>
      <c r="C596" s="11" t="n"/>
      <c r="D596" s="11" t="n"/>
      <c r="E596" s="12" t="n"/>
      <c r="F596" s="10">
        <f>IF($E596="","",IFERROR(IF(VLOOKUP(LEFT(UPPER(TRIM($E596)),6),BankTbl,2,0)="","(بدون عنوان)",VLOOKUP(LEFT(UPPER(TRIM($E596)),6),BankTbl,2,0)),"بانک ناشناخته"))</f>
        <v/>
      </c>
      <c r="G596" s="11" t="n"/>
      <c r="H596" s="10">
        <f>IF($G596="","",IFERROR(VLOOKUP($G596,CustTbl,2,0),IFERROR(VLOOKUP($G596,SuppTbl,2,0),IFERROR(VLOOKUP($G596,AcctTbl,2,0),IFERROR(VLOOKUP($G596,StaffTbl,2,0),"کد ناشناخته")))))</f>
        <v/>
      </c>
      <c r="I596" s="12" t="n"/>
      <c r="J596" s="12" t="n"/>
      <c r="K596" s="13" t="n"/>
      <c r="L596" s="13" t="n"/>
      <c r="M596" s="13" t="n"/>
      <c r="N596" s="14">
        <f>IF(OR($C596="",$E596="",Calc!$H596=""),"",IFERROR(VLOOKUP(LEFT(UPPER(TRIM($E596)),6),BankTbl,3,0),0)+SUMIFS(CalcDep,CalcBank,LEFT(UPPER(TRIM($E596)),6),CalcKey,"&lt;="&amp;Calc!$H596)-SUMIFS(CalcWit,CalcBank,LEFT(UPPER(TRIM($E596)),6),CalcKey,"&lt;="&amp;Calc!$H596))</f>
        <v/>
      </c>
      <c r="O596" s="10">
        <f>IF(OR($C596="",$M596=""),"",IF($N596="","؟",IF(ROUND($M596-$N596,0)=0,"√","×")))</f>
        <v/>
      </c>
      <c r="P596" s="12" t="n"/>
    </row>
    <row r="597">
      <c r="A597" s="10">
        <f>IF($C597="","",COUNTA($C$9:$C597))</f>
        <v/>
      </c>
      <c r="B597" s="10">
        <f>IF($C597="","","TXN-"&amp;RIGHT("0000"&amp;589,4))</f>
        <v/>
      </c>
      <c r="C597" s="11" t="n"/>
      <c r="D597" s="11" t="n"/>
      <c r="E597" s="12" t="n"/>
      <c r="F597" s="10">
        <f>IF($E597="","",IFERROR(IF(VLOOKUP(LEFT(UPPER(TRIM($E597)),6),BankTbl,2,0)="","(بدون عنوان)",VLOOKUP(LEFT(UPPER(TRIM($E597)),6),BankTbl,2,0)),"بانک ناشناخته"))</f>
        <v/>
      </c>
      <c r="G597" s="11" t="n"/>
      <c r="H597" s="10">
        <f>IF($G597="","",IFERROR(VLOOKUP($G597,CustTbl,2,0),IFERROR(VLOOKUP($G597,SuppTbl,2,0),IFERROR(VLOOKUP($G597,AcctTbl,2,0),IFERROR(VLOOKUP($G597,StaffTbl,2,0),"کد ناشناخته")))))</f>
        <v/>
      </c>
      <c r="I597" s="12" t="n"/>
      <c r="J597" s="12" t="n"/>
      <c r="K597" s="13" t="n"/>
      <c r="L597" s="13" t="n"/>
      <c r="M597" s="13" t="n"/>
      <c r="N597" s="14">
        <f>IF(OR($C597="",$E597="",Calc!$H597=""),"",IFERROR(VLOOKUP(LEFT(UPPER(TRIM($E597)),6),BankTbl,3,0),0)+SUMIFS(CalcDep,CalcBank,LEFT(UPPER(TRIM($E597)),6),CalcKey,"&lt;="&amp;Calc!$H597)-SUMIFS(CalcWit,CalcBank,LEFT(UPPER(TRIM($E597)),6),CalcKey,"&lt;="&amp;Calc!$H597))</f>
        <v/>
      </c>
      <c r="O597" s="10">
        <f>IF(OR($C597="",$M597=""),"",IF($N597="","؟",IF(ROUND($M597-$N597,0)=0,"√","×")))</f>
        <v/>
      </c>
      <c r="P597" s="12" t="n"/>
    </row>
    <row r="598">
      <c r="A598" s="10">
        <f>IF($C598="","",COUNTA($C$9:$C598))</f>
        <v/>
      </c>
      <c r="B598" s="10">
        <f>IF($C598="","","TXN-"&amp;RIGHT("0000"&amp;590,4))</f>
        <v/>
      </c>
      <c r="C598" s="11" t="n"/>
      <c r="D598" s="11" t="n"/>
      <c r="E598" s="12" t="n"/>
      <c r="F598" s="10">
        <f>IF($E598="","",IFERROR(IF(VLOOKUP(LEFT(UPPER(TRIM($E598)),6),BankTbl,2,0)="","(بدون عنوان)",VLOOKUP(LEFT(UPPER(TRIM($E598)),6),BankTbl,2,0)),"بانک ناشناخته"))</f>
        <v/>
      </c>
      <c r="G598" s="11" t="n"/>
      <c r="H598" s="10">
        <f>IF($G598="","",IFERROR(VLOOKUP($G598,CustTbl,2,0),IFERROR(VLOOKUP($G598,SuppTbl,2,0),IFERROR(VLOOKUP($G598,AcctTbl,2,0),IFERROR(VLOOKUP($G598,StaffTbl,2,0),"کد ناشناخته")))))</f>
        <v/>
      </c>
      <c r="I598" s="12" t="n"/>
      <c r="J598" s="12" t="n"/>
      <c r="K598" s="13" t="n"/>
      <c r="L598" s="13" t="n"/>
      <c r="M598" s="13" t="n"/>
      <c r="N598" s="14">
        <f>IF(OR($C598="",$E598="",Calc!$H598=""),"",IFERROR(VLOOKUP(LEFT(UPPER(TRIM($E598)),6),BankTbl,3,0),0)+SUMIFS(CalcDep,CalcBank,LEFT(UPPER(TRIM($E598)),6),CalcKey,"&lt;="&amp;Calc!$H598)-SUMIFS(CalcWit,CalcBank,LEFT(UPPER(TRIM($E598)),6),CalcKey,"&lt;="&amp;Calc!$H598))</f>
        <v/>
      </c>
      <c r="O598" s="10">
        <f>IF(OR($C598="",$M598=""),"",IF($N598="","؟",IF(ROUND($M598-$N598,0)=0,"√","×")))</f>
        <v/>
      </c>
      <c r="P598" s="12" t="n"/>
    </row>
    <row r="599">
      <c r="A599" s="10">
        <f>IF($C599="","",COUNTA($C$9:$C599))</f>
        <v/>
      </c>
      <c r="B599" s="10">
        <f>IF($C599="","","TXN-"&amp;RIGHT("0000"&amp;591,4))</f>
        <v/>
      </c>
      <c r="C599" s="11" t="n"/>
      <c r="D599" s="11" t="n"/>
      <c r="E599" s="12" t="n"/>
      <c r="F599" s="10">
        <f>IF($E599="","",IFERROR(IF(VLOOKUP(LEFT(UPPER(TRIM($E599)),6),BankTbl,2,0)="","(بدون عنوان)",VLOOKUP(LEFT(UPPER(TRIM($E599)),6),BankTbl,2,0)),"بانک ناشناخته"))</f>
        <v/>
      </c>
      <c r="G599" s="11" t="n"/>
      <c r="H599" s="10">
        <f>IF($G599="","",IFERROR(VLOOKUP($G599,CustTbl,2,0),IFERROR(VLOOKUP($G599,SuppTbl,2,0),IFERROR(VLOOKUP($G599,AcctTbl,2,0),IFERROR(VLOOKUP($G599,StaffTbl,2,0),"کد ناشناخته")))))</f>
        <v/>
      </c>
      <c r="I599" s="12" t="n"/>
      <c r="J599" s="12" t="n"/>
      <c r="K599" s="13" t="n"/>
      <c r="L599" s="13" t="n"/>
      <c r="M599" s="13" t="n"/>
      <c r="N599" s="14">
        <f>IF(OR($C599="",$E599="",Calc!$H599=""),"",IFERROR(VLOOKUP(LEFT(UPPER(TRIM($E599)),6),BankTbl,3,0),0)+SUMIFS(CalcDep,CalcBank,LEFT(UPPER(TRIM($E599)),6),CalcKey,"&lt;="&amp;Calc!$H599)-SUMIFS(CalcWit,CalcBank,LEFT(UPPER(TRIM($E599)),6),CalcKey,"&lt;="&amp;Calc!$H599))</f>
        <v/>
      </c>
      <c r="O599" s="10">
        <f>IF(OR($C599="",$M599=""),"",IF($N599="","؟",IF(ROUND($M599-$N599,0)=0,"√","×")))</f>
        <v/>
      </c>
      <c r="P599" s="12" t="n"/>
    </row>
    <row r="600">
      <c r="A600" s="10">
        <f>IF($C600="","",COUNTA($C$9:$C600))</f>
        <v/>
      </c>
      <c r="B600" s="10">
        <f>IF($C600="","","TXN-"&amp;RIGHT("0000"&amp;592,4))</f>
        <v/>
      </c>
      <c r="C600" s="11" t="n"/>
      <c r="D600" s="11" t="n"/>
      <c r="E600" s="12" t="n"/>
      <c r="F600" s="10">
        <f>IF($E600="","",IFERROR(IF(VLOOKUP(LEFT(UPPER(TRIM($E600)),6),BankTbl,2,0)="","(بدون عنوان)",VLOOKUP(LEFT(UPPER(TRIM($E600)),6),BankTbl,2,0)),"بانک ناشناخته"))</f>
        <v/>
      </c>
      <c r="G600" s="11" t="n"/>
      <c r="H600" s="10">
        <f>IF($G600="","",IFERROR(VLOOKUP($G600,CustTbl,2,0),IFERROR(VLOOKUP($G600,SuppTbl,2,0),IFERROR(VLOOKUP($G600,AcctTbl,2,0),IFERROR(VLOOKUP($G600,StaffTbl,2,0),"کد ناشناخته")))))</f>
        <v/>
      </c>
      <c r="I600" s="12" t="n"/>
      <c r="J600" s="12" t="n"/>
      <c r="K600" s="13" t="n"/>
      <c r="L600" s="13" t="n"/>
      <c r="M600" s="13" t="n"/>
      <c r="N600" s="14">
        <f>IF(OR($C600="",$E600="",Calc!$H600=""),"",IFERROR(VLOOKUP(LEFT(UPPER(TRIM($E600)),6),BankTbl,3,0),0)+SUMIFS(CalcDep,CalcBank,LEFT(UPPER(TRIM($E600)),6),CalcKey,"&lt;="&amp;Calc!$H600)-SUMIFS(CalcWit,CalcBank,LEFT(UPPER(TRIM($E600)),6),CalcKey,"&lt;="&amp;Calc!$H600))</f>
        <v/>
      </c>
      <c r="O600" s="10">
        <f>IF(OR($C600="",$M600=""),"",IF($N600="","؟",IF(ROUND($M600-$N600,0)=0,"√","×")))</f>
        <v/>
      </c>
      <c r="P600" s="12" t="n"/>
    </row>
    <row r="601">
      <c r="A601" s="10">
        <f>IF($C601="","",COUNTA($C$9:$C601))</f>
        <v/>
      </c>
      <c r="B601" s="10">
        <f>IF($C601="","","TXN-"&amp;RIGHT("0000"&amp;593,4))</f>
        <v/>
      </c>
      <c r="C601" s="11" t="n"/>
      <c r="D601" s="11" t="n"/>
      <c r="E601" s="12" t="n"/>
      <c r="F601" s="10">
        <f>IF($E601="","",IFERROR(IF(VLOOKUP(LEFT(UPPER(TRIM($E601)),6),BankTbl,2,0)="","(بدون عنوان)",VLOOKUP(LEFT(UPPER(TRIM($E601)),6),BankTbl,2,0)),"بانک ناشناخته"))</f>
        <v/>
      </c>
      <c r="G601" s="11" t="n"/>
      <c r="H601" s="10">
        <f>IF($G601="","",IFERROR(VLOOKUP($G601,CustTbl,2,0),IFERROR(VLOOKUP($G601,SuppTbl,2,0),IFERROR(VLOOKUP($G601,AcctTbl,2,0),IFERROR(VLOOKUP($G601,StaffTbl,2,0),"کد ناشناخته")))))</f>
        <v/>
      </c>
      <c r="I601" s="12" t="n"/>
      <c r="J601" s="12" t="n"/>
      <c r="K601" s="13" t="n"/>
      <c r="L601" s="13" t="n"/>
      <c r="M601" s="13" t="n"/>
      <c r="N601" s="14">
        <f>IF(OR($C601="",$E601="",Calc!$H601=""),"",IFERROR(VLOOKUP(LEFT(UPPER(TRIM($E601)),6),BankTbl,3,0),0)+SUMIFS(CalcDep,CalcBank,LEFT(UPPER(TRIM($E601)),6),CalcKey,"&lt;="&amp;Calc!$H601)-SUMIFS(CalcWit,CalcBank,LEFT(UPPER(TRIM($E601)),6),CalcKey,"&lt;="&amp;Calc!$H601))</f>
        <v/>
      </c>
      <c r="O601" s="10">
        <f>IF(OR($C601="",$M601=""),"",IF($N601="","؟",IF(ROUND($M601-$N601,0)=0,"√","×")))</f>
        <v/>
      </c>
      <c r="P601" s="12" t="n"/>
    </row>
    <row r="602">
      <c r="A602" s="10">
        <f>IF($C602="","",COUNTA($C$9:$C602))</f>
        <v/>
      </c>
      <c r="B602" s="10">
        <f>IF($C602="","","TXN-"&amp;RIGHT("0000"&amp;594,4))</f>
        <v/>
      </c>
      <c r="C602" s="11" t="n"/>
      <c r="D602" s="11" t="n"/>
      <c r="E602" s="12" t="n"/>
      <c r="F602" s="10">
        <f>IF($E602="","",IFERROR(IF(VLOOKUP(LEFT(UPPER(TRIM($E602)),6),BankTbl,2,0)="","(بدون عنوان)",VLOOKUP(LEFT(UPPER(TRIM($E602)),6),BankTbl,2,0)),"بانک ناشناخته"))</f>
        <v/>
      </c>
      <c r="G602" s="11" t="n"/>
      <c r="H602" s="10">
        <f>IF($G602="","",IFERROR(VLOOKUP($G602,CustTbl,2,0),IFERROR(VLOOKUP($G602,SuppTbl,2,0),IFERROR(VLOOKUP($G602,AcctTbl,2,0),IFERROR(VLOOKUP($G602,StaffTbl,2,0),"کد ناشناخته")))))</f>
        <v/>
      </c>
      <c r="I602" s="12" t="n"/>
      <c r="J602" s="12" t="n"/>
      <c r="K602" s="13" t="n"/>
      <c r="L602" s="13" t="n"/>
      <c r="M602" s="13" t="n"/>
      <c r="N602" s="14">
        <f>IF(OR($C602="",$E602="",Calc!$H602=""),"",IFERROR(VLOOKUP(LEFT(UPPER(TRIM($E602)),6),BankTbl,3,0),0)+SUMIFS(CalcDep,CalcBank,LEFT(UPPER(TRIM($E602)),6),CalcKey,"&lt;="&amp;Calc!$H602)-SUMIFS(CalcWit,CalcBank,LEFT(UPPER(TRIM($E602)),6),CalcKey,"&lt;="&amp;Calc!$H602))</f>
        <v/>
      </c>
      <c r="O602" s="10">
        <f>IF(OR($C602="",$M602=""),"",IF($N602="","؟",IF(ROUND($M602-$N602,0)=0,"√","×")))</f>
        <v/>
      </c>
      <c r="P602" s="12" t="n"/>
    </row>
    <row r="603">
      <c r="A603" s="10">
        <f>IF($C603="","",COUNTA($C$9:$C603))</f>
        <v/>
      </c>
      <c r="B603" s="10">
        <f>IF($C603="","","TXN-"&amp;RIGHT("0000"&amp;595,4))</f>
        <v/>
      </c>
      <c r="C603" s="11" t="n"/>
      <c r="D603" s="11" t="n"/>
      <c r="E603" s="12" t="n"/>
      <c r="F603" s="10">
        <f>IF($E603="","",IFERROR(IF(VLOOKUP(LEFT(UPPER(TRIM($E603)),6),BankTbl,2,0)="","(بدون عنوان)",VLOOKUP(LEFT(UPPER(TRIM($E603)),6),BankTbl,2,0)),"بانک ناشناخته"))</f>
        <v/>
      </c>
      <c r="G603" s="11" t="n"/>
      <c r="H603" s="10">
        <f>IF($G603="","",IFERROR(VLOOKUP($G603,CustTbl,2,0),IFERROR(VLOOKUP($G603,SuppTbl,2,0),IFERROR(VLOOKUP($G603,AcctTbl,2,0),IFERROR(VLOOKUP($G603,StaffTbl,2,0),"کد ناشناخته")))))</f>
        <v/>
      </c>
      <c r="I603" s="12" t="n"/>
      <c r="J603" s="12" t="n"/>
      <c r="K603" s="13" t="n"/>
      <c r="L603" s="13" t="n"/>
      <c r="M603" s="13" t="n"/>
      <c r="N603" s="14">
        <f>IF(OR($C603="",$E603="",Calc!$H603=""),"",IFERROR(VLOOKUP(LEFT(UPPER(TRIM($E603)),6),BankTbl,3,0),0)+SUMIFS(CalcDep,CalcBank,LEFT(UPPER(TRIM($E603)),6),CalcKey,"&lt;="&amp;Calc!$H603)-SUMIFS(CalcWit,CalcBank,LEFT(UPPER(TRIM($E603)),6),CalcKey,"&lt;="&amp;Calc!$H603))</f>
        <v/>
      </c>
      <c r="O603" s="10">
        <f>IF(OR($C603="",$M603=""),"",IF($N603="","؟",IF(ROUND($M603-$N603,0)=0,"√","×")))</f>
        <v/>
      </c>
      <c r="P603" s="12" t="n"/>
    </row>
    <row r="604">
      <c r="A604" s="10">
        <f>IF($C604="","",COUNTA($C$9:$C604))</f>
        <v/>
      </c>
      <c r="B604" s="10">
        <f>IF($C604="","","TXN-"&amp;RIGHT("0000"&amp;596,4))</f>
        <v/>
      </c>
      <c r="C604" s="11" t="n"/>
      <c r="D604" s="11" t="n"/>
      <c r="E604" s="12" t="n"/>
      <c r="F604" s="10">
        <f>IF($E604="","",IFERROR(IF(VLOOKUP(LEFT(UPPER(TRIM($E604)),6),BankTbl,2,0)="","(بدون عنوان)",VLOOKUP(LEFT(UPPER(TRIM($E604)),6),BankTbl,2,0)),"بانک ناشناخته"))</f>
        <v/>
      </c>
      <c r="G604" s="11" t="n"/>
      <c r="H604" s="10">
        <f>IF($G604="","",IFERROR(VLOOKUP($G604,CustTbl,2,0),IFERROR(VLOOKUP($G604,SuppTbl,2,0),IFERROR(VLOOKUP($G604,AcctTbl,2,0),IFERROR(VLOOKUP($G604,StaffTbl,2,0),"کد ناشناخته")))))</f>
        <v/>
      </c>
      <c r="I604" s="12" t="n"/>
      <c r="J604" s="12" t="n"/>
      <c r="K604" s="13" t="n"/>
      <c r="L604" s="13" t="n"/>
      <c r="M604" s="13" t="n"/>
      <c r="N604" s="14">
        <f>IF(OR($C604="",$E604="",Calc!$H604=""),"",IFERROR(VLOOKUP(LEFT(UPPER(TRIM($E604)),6),BankTbl,3,0),0)+SUMIFS(CalcDep,CalcBank,LEFT(UPPER(TRIM($E604)),6),CalcKey,"&lt;="&amp;Calc!$H604)-SUMIFS(CalcWit,CalcBank,LEFT(UPPER(TRIM($E604)),6),CalcKey,"&lt;="&amp;Calc!$H604))</f>
        <v/>
      </c>
      <c r="O604" s="10">
        <f>IF(OR($C604="",$M604=""),"",IF($N604="","؟",IF(ROUND($M604-$N604,0)=0,"√","×")))</f>
        <v/>
      </c>
      <c r="P604" s="12" t="n"/>
    </row>
    <row r="605">
      <c r="A605" s="10">
        <f>IF($C605="","",COUNTA($C$9:$C605))</f>
        <v/>
      </c>
      <c r="B605" s="10">
        <f>IF($C605="","","TXN-"&amp;RIGHT("0000"&amp;597,4))</f>
        <v/>
      </c>
      <c r="C605" s="11" t="n"/>
      <c r="D605" s="11" t="n"/>
      <c r="E605" s="12" t="n"/>
      <c r="F605" s="10">
        <f>IF($E605="","",IFERROR(IF(VLOOKUP(LEFT(UPPER(TRIM($E605)),6),BankTbl,2,0)="","(بدون عنوان)",VLOOKUP(LEFT(UPPER(TRIM($E605)),6),BankTbl,2,0)),"بانک ناشناخته"))</f>
        <v/>
      </c>
      <c r="G605" s="11" t="n"/>
      <c r="H605" s="10">
        <f>IF($G605="","",IFERROR(VLOOKUP($G605,CustTbl,2,0),IFERROR(VLOOKUP($G605,SuppTbl,2,0),IFERROR(VLOOKUP($G605,AcctTbl,2,0),IFERROR(VLOOKUP($G605,StaffTbl,2,0),"کد ناشناخته")))))</f>
        <v/>
      </c>
      <c r="I605" s="12" t="n"/>
      <c r="J605" s="12" t="n"/>
      <c r="K605" s="13" t="n"/>
      <c r="L605" s="13" t="n"/>
      <c r="M605" s="13" t="n"/>
      <c r="N605" s="14">
        <f>IF(OR($C605="",$E605="",Calc!$H605=""),"",IFERROR(VLOOKUP(LEFT(UPPER(TRIM($E605)),6),BankTbl,3,0),0)+SUMIFS(CalcDep,CalcBank,LEFT(UPPER(TRIM($E605)),6),CalcKey,"&lt;="&amp;Calc!$H605)-SUMIFS(CalcWit,CalcBank,LEFT(UPPER(TRIM($E605)),6),CalcKey,"&lt;="&amp;Calc!$H605))</f>
        <v/>
      </c>
      <c r="O605" s="10">
        <f>IF(OR($C605="",$M605=""),"",IF($N605="","؟",IF(ROUND($M605-$N605,0)=0,"√","×")))</f>
        <v/>
      </c>
      <c r="P605" s="12" t="n"/>
    </row>
    <row r="606">
      <c r="A606" s="10">
        <f>IF($C606="","",COUNTA($C$9:$C606))</f>
        <v/>
      </c>
      <c r="B606" s="10">
        <f>IF($C606="","","TXN-"&amp;RIGHT("0000"&amp;598,4))</f>
        <v/>
      </c>
      <c r="C606" s="11" t="n"/>
      <c r="D606" s="11" t="n"/>
      <c r="E606" s="12" t="n"/>
      <c r="F606" s="10">
        <f>IF($E606="","",IFERROR(IF(VLOOKUP(LEFT(UPPER(TRIM($E606)),6),BankTbl,2,0)="","(بدون عنوان)",VLOOKUP(LEFT(UPPER(TRIM($E606)),6),BankTbl,2,0)),"بانک ناشناخته"))</f>
        <v/>
      </c>
      <c r="G606" s="11" t="n"/>
      <c r="H606" s="10">
        <f>IF($G606="","",IFERROR(VLOOKUP($G606,CustTbl,2,0),IFERROR(VLOOKUP($G606,SuppTbl,2,0),IFERROR(VLOOKUP($G606,AcctTbl,2,0),IFERROR(VLOOKUP($G606,StaffTbl,2,0),"کد ناشناخته")))))</f>
        <v/>
      </c>
      <c r="I606" s="12" t="n"/>
      <c r="J606" s="12" t="n"/>
      <c r="K606" s="13" t="n"/>
      <c r="L606" s="13" t="n"/>
      <c r="M606" s="13" t="n"/>
      <c r="N606" s="14">
        <f>IF(OR($C606="",$E606="",Calc!$H606=""),"",IFERROR(VLOOKUP(LEFT(UPPER(TRIM($E606)),6),BankTbl,3,0),0)+SUMIFS(CalcDep,CalcBank,LEFT(UPPER(TRIM($E606)),6),CalcKey,"&lt;="&amp;Calc!$H606)-SUMIFS(CalcWit,CalcBank,LEFT(UPPER(TRIM($E606)),6),CalcKey,"&lt;="&amp;Calc!$H606))</f>
        <v/>
      </c>
      <c r="O606" s="10">
        <f>IF(OR($C606="",$M606=""),"",IF($N606="","؟",IF(ROUND($M606-$N606,0)=0,"√","×")))</f>
        <v/>
      </c>
      <c r="P606" s="12" t="n"/>
    </row>
    <row r="607">
      <c r="A607" s="10">
        <f>IF($C607="","",COUNTA($C$9:$C607))</f>
        <v/>
      </c>
      <c r="B607" s="10">
        <f>IF($C607="","","TXN-"&amp;RIGHT("0000"&amp;599,4))</f>
        <v/>
      </c>
      <c r="C607" s="11" t="n"/>
      <c r="D607" s="11" t="n"/>
      <c r="E607" s="12" t="n"/>
      <c r="F607" s="10">
        <f>IF($E607="","",IFERROR(IF(VLOOKUP(LEFT(UPPER(TRIM($E607)),6),BankTbl,2,0)="","(بدون عنوان)",VLOOKUP(LEFT(UPPER(TRIM($E607)),6),BankTbl,2,0)),"بانک ناشناخته"))</f>
        <v/>
      </c>
      <c r="G607" s="11" t="n"/>
      <c r="H607" s="10">
        <f>IF($G607="","",IFERROR(VLOOKUP($G607,CustTbl,2,0),IFERROR(VLOOKUP($G607,SuppTbl,2,0),IFERROR(VLOOKUP($G607,AcctTbl,2,0),IFERROR(VLOOKUP($G607,StaffTbl,2,0),"کد ناشناخته")))))</f>
        <v/>
      </c>
      <c r="I607" s="12" t="n"/>
      <c r="J607" s="12" t="n"/>
      <c r="K607" s="13" t="n"/>
      <c r="L607" s="13" t="n"/>
      <c r="M607" s="13" t="n"/>
      <c r="N607" s="14">
        <f>IF(OR($C607="",$E607="",Calc!$H607=""),"",IFERROR(VLOOKUP(LEFT(UPPER(TRIM($E607)),6),BankTbl,3,0),0)+SUMIFS(CalcDep,CalcBank,LEFT(UPPER(TRIM($E607)),6),CalcKey,"&lt;="&amp;Calc!$H607)-SUMIFS(CalcWit,CalcBank,LEFT(UPPER(TRIM($E607)),6),CalcKey,"&lt;="&amp;Calc!$H607))</f>
        <v/>
      </c>
      <c r="O607" s="10">
        <f>IF(OR($C607="",$M607=""),"",IF($N607="","؟",IF(ROUND($M607-$N607,0)=0,"√","×")))</f>
        <v/>
      </c>
      <c r="P607" s="12" t="n"/>
    </row>
    <row r="608">
      <c r="A608" s="10">
        <f>IF($C608="","",COUNTA($C$9:$C608))</f>
        <v/>
      </c>
      <c r="B608" s="10">
        <f>IF($C608="","","TXN-"&amp;RIGHT("0000"&amp;600,4))</f>
        <v/>
      </c>
      <c r="C608" s="11" t="n"/>
      <c r="D608" s="11" t="n"/>
      <c r="E608" s="12" t="n"/>
      <c r="F608" s="10">
        <f>IF($E608="","",IFERROR(IF(VLOOKUP(LEFT(UPPER(TRIM($E608)),6),BankTbl,2,0)="","(بدون عنوان)",VLOOKUP(LEFT(UPPER(TRIM($E608)),6),BankTbl,2,0)),"بانک ناشناخته"))</f>
        <v/>
      </c>
      <c r="G608" s="11" t="n"/>
      <c r="H608" s="10">
        <f>IF($G608="","",IFERROR(VLOOKUP($G608,CustTbl,2,0),IFERROR(VLOOKUP($G608,SuppTbl,2,0),IFERROR(VLOOKUP($G608,AcctTbl,2,0),IFERROR(VLOOKUP($G608,StaffTbl,2,0),"کد ناشناخته")))))</f>
        <v/>
      </c>
      <c r="I608" s="12" t="n"/>
      <c r="J608" s="12" t="n"/>
      <c r="K608" s="13" t="n"/>
      <c r="L608" s="13" t="n"/>
      <c r="M608" s="13" t="n"/>
      <c r="N608" s="14">
        <f>IF(OR($C608="",$E608="",Calc!$H608=""),"",IFERROR(VLOOKUP(LEFT(UPPER(TRIM($E608)),6),BankTbl,3,0),0)+SUMIFS(CalcDep,CalcBank,LEFT(UPPER(TRIM($E608)),6),CalcKey,"&lt;="&amp;Calc!$H608)-SUMIFS(CalcWit,CalcBank,LEFT(UPPER(TRIM($E608)),6),CalcKey,"&lt;="&amp;Calc!$H608))</f>
        <v/>
      </c>
      <c r="O608" s="10">
        <f>IF(OR($C608="",$M608=""),"",IF($N608="","؟",IF(ROUND($M608-$N608,0)=0,"√","×")))</f>
        <v/>
      </c>
      <c r="P608" s="12" t="n"/>
    </row>
    <row r="609">
      <c r="A609" s="10">
        <f>IF($C609="","",COUNTA($C$9:$C609))</f>
        <v/>
      </c>
      <c r="B609" s="10">
        <f>IF($C609="","","TXN-"&amp;RIGHT("0000"&amp;601,4))</f>
        <v/>
      </c>
      <c r="C609" s="11" t="n"/>
      <c r="D609" s="11" t="n"/>
      <c r="E609" s="12" t="n"/>
      <c r="F609" s="10">
        <f>IF($E609="","",IFERROR(IF(VLOOKUP(LEFT(UPPER(TRIM($E609)),6),BankTbl,2,0)="","(بدون عنوان)",VLOOKUP(LEFT(UPPER(TRIM($E609)),6),BankTbl,2,0)),"بانک ناشناخته"))</f>
        <v/>
      </c>
      <c r="G609" s="11" t="n"/>
      <c r="H609" s="10">
        <f>IF($G609="","",IFERROR(VLOOKUP($G609,CustTbl,2,0),IFERROR(VLOOKUP($G609,SuppTbl,2,0),IFERROR(VLOOKUP($G609,AcctTbl,2,0),IFERROR(VLOOKUP($G609,StaffTbl,2,0),"کد ناشناخته")))))</f>
        <v/>
      </c>
      <c r="I609" s="12" t="n"/>
      <c r="J609" s="12" t="n"/>
      <c r="K609" s="13" t="n"/>
      <c r="L609" s="13" t="n"/>
      <c r="M609" s="13" t="n"/>
      <c r="N609" s="14">
        <f>IF(OR($C609="",$E609="",Calc!$H609=""),"",IFERROR(VLOOKUP(LEFT(UPPER(TRIM($E609)),6),BankTbl,3,0),0)+SUMIFS(CalcDep,CalcBank,LEFT(UPPER(TRIM($E609)),6),CalcKey,"&lt;="&amp;Calc!$H609)-SUMIFS(CalcWit,CalcBank,LEFT(UPPER(TRIM($E609)),6),CalcKey,"&lt;="&amp;Calc!$H609))</f>
        <v/>
      </c>
      <c r="O609" s="10">
        <f>IF(OR($C609="",$M609=""),"",IF($N609="","؟",IF(ROUND($M609-$N609,0)=0,"√","×")))</f>
        <v/>
      </c>
      <c r="P609" s="12" t="n"/>
    </row>
    <row r="610">
      <c r="A610" s="10">
        <f>IF($C610="","",COUNTA($C$9:$C610))</f>
        <v/>
      </c>
      <c r="B610" s="10">
        <f>IF($C610="","","TXN-"&amp;RIGHT("0000"&amp;602,4))</f>
        <v/>
      </c>
      <c r="C610" s="11" t="n"/>
      <c r="D610" s="11" t="n"/>
      <c r="E610" s="12" t="n"/>
      <c r="F610" s="10">
        <f>IF($E610="","",IFERROR(IF(VLOOKUP(LEFT(UPPER(TRIM($E610)),6),BankTbl,2,0)="","(بدون عنوان)",VLOOKUP(LEFT(UPPER(TRIM($E610)),6),BankTbl,2,0)),"بانک ناشناخته"))</f>
        <v/>
      </c>
      <c r="G610" s="11" t="n"/>
      <c r="H610" s="10">
        <f>IF($G610="","",IFERROR(VLOOKUP($G610,CustTbl,2,0),IFERROR(VLOOKUP($G610,SuppTbl,2,0),IFERROR(VLOOKUP($G610,AcctTbl,2,0),IFERROR(VLOOKUP($G610,StaffTbl,2,0),"کد ناشناخته")))))</f>
        <v/>
      </c>
      <c r="I610" s="12" t="n"/>
      <c r="J610" s="12" t="n"/>
      <c r="K610" s="13" t="n"/>
      <c r="L610" s="13" t="n"/>
      <c r="M610" s="13" t="n"/>
      <c r="N610" s="14">
        <f>IF(OR($C610="",$E610="",Calc!$H610=""),"",IFERROR(VLOOKUP(LEFT(UPPER(TRIM($E610)),6),BankTbl,3,0),0)+SUMIFS(CalcDep,CalcBank,LEFT(UPPER(TRIM($E610)),6),CalcKey,"&lt;="&amp;Calc!$H610)-SUMIFS(CalcWit,CalcBank,LEFT(UPPER(TRIM($E610)),6),CalcKey,"&lt;="&amp;Calc!$H610))</f>
        <v/>
      </c>
      <c r="O610" s="10">
        <f>IF(OR($C610="",$M610=""),"",IF($N610="","؟",IF(ROUND($M610-$N610,0)=0,"√","×")))</f>
        <v/>
      </c>
      <c r="P610" s="12" t="n"/>
    </row>
    <row r="611">
      <c r="A611" s="10">
        <f>IF($C611="","",COUNTA($C$9:$C611))</f>
        <v/>
      </c>
      <c r="B611" s="10">
        <f>IF($C611="","","TXN-"&amp;RIGHT("0000"&amp;603,4))</f>
        <v/>
      </c>
      <c r="C611" s="11" t="n"/>
      <c r="D611" s="11" t="n"/>
      <c r="E611" s="12" t="n"/>
      <c r="F611" s="10">
        <f>IF($E611="","",IFERROR(IF(VLOOKUP(LEFT(UPPER(TRIM($E611)),6),BankTbl,2,0)="","(بدون عنوان)",VLOOKUP(LEFT(UPPER(TRIM($E611)),6),BankTbl,2,0)),"بانک ناشناخته"))</f>
        <v/>
      </c>
      <c r="G611" s="11" t="n"/>
      <c r="H611" s="10">
        <f>IF($G611="","",IFERROR(VLOOKUP($G611,CustTbl,2,0),IFERROR(VLOOKUP($G611,SuppTbl,2,0),IFERROR(VLOOKUP($G611,AcctTbl,2,0),IFERROR(VLOOKUP($G611,StaffTbl,2,0),"کد ناشناخته")))))</f>
        <v/>
      </c>
      <c r="I611" s="12" t="n"/>
      <c r="J611" s="12" t="n"/>
      <c r="K611" s="13" t="n"/>
      <c r="L611" s="13" t="n"/>
      <c r="M611" s="13" t="n"/>
      <c r="N611" s="14">
        <f>IF(OR($C611="",$E611="",Calc!$H611=""),"",IFERROR(VLOOKUP(LEFT(UPPER(TRIM($E611)),6),BankTbl,3,0),0)+SUMIFS(CalcDep,CalcBank,LEFT(UPPER(TRIM($E611)),6),CalcKey,"&lt;="&amp;Calc!$H611)-SUMIFS(CalcWit,CalcBank,LEFT(UPPER(TRIM($E611)),6),CalcKey,"&lt;="&amp;Calc!$H611))</f>
        <v/>
      </c>
      <c r="O611" s="10">
        <f>IF(OR($C611="",$M611=""),"",IF($N611="","؟",IF(ROUND($M611-$N611,0)=0,"√","×")))</f>
        <v/>
      </c>
      <c r="P611" s="12" t="n"/>
    </row>
    <row r="612">
      <c r="A612" s="10">
        <f>IF($C612="","",COUNTA($C$9:$C612))</f>
        <v/>
      </c>
      <c r="B612" s="10">
        <f>IF($C612="","","TXN-"&amp;RIGHT("0000"&amp;604,4))</f>
        <v/>
      </c>
      <c r="C612" s="11" t="n"/>
      <c r="D612" s="11" t="n"/>
      <c r="E612" s="12" t="n"/>
      <c r="F612" s="10">
        <f>IF($E612="","",IFERROR(IF(VLOOKUP(LEFT(UPPER(TRIM($E612)),6),BankTbl,2,0)="","(بدون عنوان)",VLOOKUP(LEFT(UPPER(TRIM($E612)),6),BankTbl,2,0)),"بانک ناشناخته"))</f>
        <v/>
      </c>
      <c r="G612" s="11" t="n"/>
      <c r="H612" s="10">
        <f>IF($G612="","",IFERROR(VLOOKUP($G612,CustTbl,2,0),IFERROR(VLOOKUP($G612,SuppTbl,2,0),IFERROR(VLOOKUP($G612,AcctTbl,2,0),IFERROR(VLOOKUP($G612,StaffTbl,2,0),"کد ناشناخته")))))</f>
        <v/>
      </c>
      <c r="I612" s="12" t="n"/>
      <c r="J612" s="12" t="n"/>
      <c r="K612" s="13" t="n"/>
      <c r="L612" s="13" t="n"/>
      <c r="M612" s="13" t="n"/>
      <c r="N612" s="14">
        <f>IF(OR($C612="",$E612="",Calc!$H612=""),"",IFERROR(VLOOKUP(LEFT(UPPER(TRIM($E612)),6),BankTbl,3,0),0)+SUMIFS(CalcDep,CalcBank,LEFT(UPPER(TRIM($E612)),6),CalcKey,"&lt;="&amp;Calc!$H612)-SUMIFS(CalcWit,CalcBank,LEFT(UPPER(TRIM($E612)),6),CalcKey,"&lt;="&amp;Calc!$H612))</f>
        <v/>
      </c>
      <c r="O612" s="10">
        <f>IF(OR($C612="",$M612=""),"",IF($N612="","؟",IF(ROUND($M612-$N612,0)=0,"√","×")))</f>
        <v/>
      </c>
      <c r="P612" s="12" t="n"/>
    </row>
    <row r="613">
      <c r="A613" s="10">
        <f>IF($C613="","",COUNTA($C$9:$C613))</f>
        <v/>
      </c>
      <c r="B613" s="10">
        <f>IF($C613="","","TXN-"&amp;RIGHT("0000"&amp;605,4))</f>
        <v/>
      </c>
      <c r="C613" s="11" t="n"/>
      <c r="D613" s="11" t="n"/>
      <c r="E613" s="12" t="n"/>
      <c r="F613" s="10">
        <f>IF($E613="","",IFERROR(IF(VLOOKUP(LEFT(UPPER(TRIM($E613)),6),BankTbl,2,0)="","(بدون عنوان)",VLOOKUP(LEFT(UPPER(TRIM($E613)),6),BankTbl,2,0)),"بانک ناشناخته"))</f>
        <v/>
      </c>
      <c r="G613" s="11" t="n"/>
      <c r="H613" s="10">
        <f>IF($G613="","",IFERROR(VLOOKUP($G613,CustTbl,2,0),IFERROR(VLOOKUP($G613,SuppTbl,2,0),IFERROR(VLOOKUP($G613,AcctTbl,2,0),IFERROR(VLOOKUP($G613,StaffTbl,2,0),"کد ناشناخته")))))</f>
        <v/>
      </c>
      <c r="I613" s="12" t="n"/>
      <c r="J613" s="12" t="n"/>
      <c r="K613" s="13" t="n"/>
      <c r="L613" s="13" t="n"/>
      <c r="M613" s="13" t="n"/>
      <c r="N613" s="14">
        <f>IF(OR($C613="",$E613="",Calc!$H613=""),"",IFERROR(VLOOKUP(LEFT(UPPER(TRIM($E613)),6),BankTbl,3,0),0)+SUMIFS(CalcDep,CalcBank,LEFT(UPPER(TRIM($E613)),6),CalcKey,"&lt;="&amp;Calc!$H613)-SUMIFS(CalcWit,CalcBank,LEFT(UPPER(TRIM($E613)),6),CalcKey,"&lt;="&amp;Calc!$H613))</f>
        <v/>
      </c>
      <c r="O613" s="10">
        <f>IF(OR($C613="",$M613=""),"",IF($N613="","؟",IF(ROUND($M613-$N613,0)=0,"√","×")))</f>
        <v/>
      </c>
      <c r="P613" s="12" t="n"/>
    </row>
    <row r="614">
      <c r="A614" s="10">
        <f>IF($C614="","",COUNTA($C$9:$C614))</f>
        <v/>
      </c>
      <c r="B614" s="10">
        <f>IF($C614="","","TXN-"&amp;RIGHT("0000"&amp;606,4))</f>
        <v/>
      </c>
      <c r="C614" s="11" t="n"/>
      <c r="D614" s="11" t="n"/>
      <c r="E614" s="12" t="n"/>
      <c r="F614" s="10">
        <f>IF($E614="","",IFERROR(IF(VLOOKUP(LEFT(UPPER(TRIM($E614)),6),BankTbl,2,0)="","(بدون عنوان)",VLOOKUP(LEFT(UPPER(TRIM($E614)),6),BankTbl,2,0)),"بانک ناشناخته"))</f>
        <v/>
      </c>
      <c r="G614" s="11" t="n"/>
      <c r="H614" s="10">
        <f>IF($G614="","",IFERROR(VLOOKUP($G614,CustTbl,2,0),IFERROR(VLOOKUP($G614,SuppTbl,2,0),IFERROR(VLOOKUP($G614,AcctTbl,2,0),IFERROR(VLOOKUP($G614,StaffTbl,2,0),"کد ناشناخته")))))</f>
        <v/>
      </c>
      <c r="I614" s="12" t="n"/>
      <c r="J614" s="12" t="n"/>
      <c r="K614" s="13" t="n"/>
      <c r="L614" s="13" t="n"/>
      <c r="M614" s="13" t="n"/>
      <c r="N614" s="14">
        <f>IF(OR($C614="",$E614="",Calc!$H614=""),"",IFERROR(VLOOKUP(LEFT(UPPER(TRIM($E614)),6),BankTbl,3,0),0)+SUMIFS(CalcDep,CalcBank,LEFT(UPPER(TRIM($E614)),6),CalcKey,"&lt;="&amp;Calc!$H614)-SUMIFS(CalcWit,CalcBank,LEFT(UPPER(TRIM($E614)),6),CalcKey,"&lt;="&amp;Calc!$H614))</f>
        <v/>
      </c>
      <c r="O614" s="10">
        <f>IF(OR($C614="",$M614=""),"",IF($N614="","؟",IF(ROUND($M614-$N614,0)=0,"√","×")))</f>
        <v/>
      </c>
      <c r="P614" s="12" t="n"/>
    </row>
    <row r="615">
      <c r="A615" s="10">
        <f>IF($C615="","",COUNTA($C$9:$C615))</f>
        <v/>
      </c>
      <c r="B615" s="10">
        <f>IF($C615="","","TXN-"&amp;RIGHT("0000"&amp;607,4))</f>
        <v/>
      </c>
      <c r="C615" s="11" t="n"/>
      <c r="D615" s="11" t="n"/>
      <c r="E615" s="12" t="n"/>
      <c r="F615" s="10">
        <f>IF($E615="","",IFERROR(IF(VLOOKUP(LEFT(UPPER(TRIM($E615)),6),BankTbl,2,0)="","(بدون عنوان)",VLOOKUP(LEFT(UPPER(TRIM($E615)),6),BankTbl,2,0)),"بانک ناشناخته"))</f>
        <v/>
      </c>
      <c r="G615" s="11" t="n"/>
      <c r="H615" s="10">
        <f>IF($G615="","",IFERROR(VLOOKUP($G615,CustTbl,2,0),IFERROR(VLOOKUP($G615,SuppTbl,2,0),IFERROR(VLOOKUP($G615,AcctTbl,2,0),IFERROR(VLOOKUP($G615,StaffTbl,2,0),"کد ناشناخته")))))</f>
        <v/>
      </c>
      <c r="I615" s="12" t="n"/>
      <c r="J615" s="12" t="n"/>
      <c r="K615" s="13" t="n"/>
      <c r="L615" s="13" t="n"/>
      <c r="M615" s="13" t="n"/>
      <c r="N615" s="14">
        <f>IF(OR($C615="",$E615="",Calc!$H615=""),"",IFERROR(VLOOKUP(LEFT(UPPER(TRIM($E615)),6),BankTbl,3,0),0)+SUMIFS(CalcDep,CalcBank,LEFT(UPPER(TRIM($E615)),6),CalcKey,"&lt;="&amp;Calc!$H615)-SUMIFS(CalcWit,CalcBank,LEFT(UPPER(TRIM($E615)),6),CalcKey,"&lt;="&amp;Calc!$H615))</f>
        <v/>
      </c>
      <c r="O615" s="10">
        <f>IF(OR($C615="",$M615=""),"",IF($N615="","؟",IF(ROUND($M615-$N615,0)=0,"√","×")))</f>
        <v/>
      </c>
      <c r="P615" s="12" t="n"/>
    </row>
    <row r="616">
      <c r="A616" s="10">
        <f>IF($C616="","",COUNTA($C$9:$C616))</f>
        <v/>
      </c>
      <c r="B616" s="10">
        <f>IF($C616="","","TXN-"&amp;RIGHT("0000"&amp;608,4))</f>
        <v/>
      </c>
      <c r="C616" s="11" t="n"/>
      <c r="D616" s="11" t="n"/>
      <c r="E616" s="12" t="n"/>
      <c r="F616" s="10">
        <f>IF($E616="","",IFERROR(IF(VLOOKUP(LEFT(UPPER(TRIM($E616)),6),BankTbl,2,0)="","(بدون عنوان)",VLOOKUP(LEFT(UPPER(TRIM($E616)),6),BankTbl,2,0)),"بانک ناشناخته"))</f>
        <v/>
      </c>
      <c r="G616" s="11" t="n"/>
      <c r="H616" s="10">
        <f>IF($G616="","",IFERROR(VLOOKUP($G616,CustTbl,2,0),IFERROR(VLOOKUP($G616,SuppTbl,2,0),IFERROR(VLOOKUP($G616,AcctTbl,2,0),IFERROR(VLOOKUP($G616,StaffTbl,2,0),"کد ناشناخته")))))</f>
        <v/>
      </c>
      <c r="I616" s="12" t="n"/>
      <c r="J616" s="12" t="n"/>
      <c r="K616" s="13" t="n"/>
      <c r="L616" s="13" t="n"/>
      <c r="M616" s="13" t="n"/>
      <c r="N616" s="14">
        <f>IF(OR($C616="",$E616="",Calc!$H616=""),"",IFERROR(VLOOKUP(LEFT(UPPER(TRIM($E616)),6),BankTbl,3,0),0)+SUMIFS(CalcDep,CalcBank,LEFT(UPPER(TRIM($E616)),6),CalcKey,"&lt;="&amp;Calc!$H616)-SUMIFS(CalcWit,CalcBank,LEFT(UPPER(TRIM($E616)),6),CalcKey,"&lt;="&amp;Calc!$H616))</f>
        <v/>
      </c>
      <c r="O616" s="10">
        <f>IF(OR($C616="",$M616=""),"",IF($N616="","؟",IF(ROUND($M616-$N616,0)=0,"√","×")))</f>
        <v/>
      </c>
      <c r="P616" s="12" t="n"/>
    </row>
    <row r="617">
      <c r="A617" s="10">
        <f>IF($C617="","",COUNTA($C$9:$C617))</f>
        <v/>
      </c>
      <c r="B617" s="10">
        <f>IF($C617="","","TXN-"&amp;RIGHT("0000"&amp;609,4))</f>
        <v/>
      </c>
      <c r="C617" s="11" t="n"/>
      <c r="D617" s="11" t="n"/>
      <c r="E617" s="12" t="n"/>
      <c r="F617" s="10">
        <f>IF($E617="","",IFERROR(IF(VLOOKUP(LEFT(UPPER(TRIM($E617)),6),BankTbl,2,0)="","(بدون عنوان)",VLOOKUP(LEFT(UPPER(TRIM($E617)),6),BankTbl,2,0)),"بانک ناشناخته"))</f>
        <v/>
      </c>
      <c r="G617" s="11" t="n"/>
      <c r="H617" s="10">
        <f>IF($G617="","",IFERROR(VLOOKUP($G617,CustTbl,2,0),IFERROR(VLOOKUP($G617,SuppTbl,2,0),IFERROR(VLOOKUP($G617,AcctTbl,2,0),IFERROR(VLOOKUP($G617,StaffTbl,2,0),"کد ناشناخته")))))</f>
        <v/>
      </c>
      <c r="I617" s="12" t="n"/>
      <c r="J617" s="12" t="n"/>
      <c r="K617" s="13" t="n"/>
      <c r="L617" s="13" t="n"/>
      <c r="M617" s="13" t="n"/>
      <c r="N617" s="14">
        <f>IF(OR($C617="",$E617="",Calc!$H617=""),"",IFERROR(VLOOKUP(LEFT(UPPER(TRIM($E617)),6),BankTbl,3,0),0)+SUMIFS(CalcDep,CalcBank,LEFT(UPPER(TRIM($E617)),6),CalcKey,"&lt;="&amp;Calc!$H617)-SUMIFS(CalcWit,CalcBank,LEFT(UPPER(TRIM($E617)),6),CalcKey,"&lt;="&amp;Calc!$H617))</f>
        <v/>
      </c>
      <c r="O617" s="10">
        <f>IF(OR($C617="",$M617=""),"",IF($N617="","؟",IF(ROUND($M617-$N617,0)=0,"√","×")))</f>
        <v/>
      </c>
      <c r="P617" s="12" t="n"/>
    </row>
    <row r="618">
      <c r="A618" s="10">
        <f>IF($C618="","",COUNTA($C$9:$C618))</f>
        <v/>
      </c>
      <c r="B618" s="10">
        <f>IF($C618="","","TXN-"&amp;RIGHT("0000"&amp;610,4))</f>
        <v/>
      </c>
      <c r="C618" s="11" t="n"/>
      <c r="D618" s="11" t="n"/>
      <c r="E618" s="12" t="n"/>
      <c r="F618" s="10">
        <f>IF($E618="","",IFERROR(IF(VLOOKUP(LEFT(UPPER(TRIM($E618)),6),BankTbl,2,0)="","(بدون عنوان)",VLOOKUP(LEFT(UPPER(TRIM($E618)),6),BankTbl,2,0)),"بانک ناشناخته"))</f>
        <v/>
      </c>
      <c r="G618" s="11" t="n"/>
      <c r="H618" s="10">
        <f>IF($G618="","",IFERROR(VLOOKUP($G618,CustTbl,2,0),IFERROR(VLOOKUP($G618,SuppTbl,2,0),IFERROR(VLOOKUP($G618,AcctTbl,2,0),IFERROR(VLOOKUP($G618,StaffTbl,2,0),"کد ناشناخته")))))</f>
        <v/>
      </c>
      <c r="I618" s="12" t="n"/>
      <c r="J618" s="12" t="n"/>
      <c r="K618" s="13" t="n"/>
      <c r="L618" s="13" t="n"/>
      <c r="M618" s="13" t="n"/>
      <c r="N618" s="14">
        <f>IF(OR($C618="",$E618="",Calc!$H618=""),"",IFERROR(VLOOKUP(LEFT(UPPER(TRIM($E618)),6),BankTbl,3,0),0)+SUMIFS(CalcDep,CalcBank,LEFT(UPPER(TRIM($E618)),6),CalcKey,"&lt;="&amp;Calc!$H618)-SUMIFS(CalcWit,CalcBank,LEFT(UPPER(TRIM($E618)),6),CalcKey,"&lt;="&amp;Calc!$H618))</f>
        <v/>
      </c>
      <c r="O618" s="10">
        <f>IF(OR($C618="",$M618=""),"",IF($N618="","؟",IF(ROUND($M618-$N618,0)=0,"√","×")))</f>
        <v/>
      </c>
      <c r="P618" s="12" t="n"/>
    </row>
    <row r="619">
      <c r="A619" s="10">
        <f>IF($C619="","",COUNTA($C$9:$C619))</f>
        <v/>
      </c>
      <c r="B619" s="10">
        <f>IF($C619="","","TXN-"&amp;RIGHT("0000"&amp;611,4))</f>
        <v/>
      </c>
      <c r="C619" s="11" t="n"/>
      <c r="D619" s="11" t="n"/>
      <c r="E619" s="12" t="n"/>
      <c r="F619" s="10">
        <f>IF($E619="","",IFERROR(IF(VLOOKUP(LEFT(UPPER(TRIM($E619)),6),BankTbl,2,0)="","(بدون عنوان)",VLOOKUP(LEFT(UPPER(TRIM($E619)),6),BankTbl,2,0)),"بانک ناشناخته"))</f>
        <v/>
      </c>
      <c r="G619" s="11" t="n"/>
      <c r="H619" s="10">
        <f>IF($G619="","",IFERROR(VLOOKUP($G619,CustTbl,2,0),IFERROR(VLOOKUP($G619,SuppTbl,2,0),IFERROR(VLOOKUP($G619,AcctTbl,2,0),IFERROR(VLOOKUP($G619,StaffTbl,2,0),"کد ناشناخته")))))</f>
        <v/>
      </c>
      <c r="I619" s="12" t="n"/>
      <c r="J619" s="12" t="n"/>
      <c r="K619" s="13" t="n"/>
      <c r="L619" s="13" t="n"/>
      <c r="M619" s="13" t="n"/>
      <c r="N619" s="14">
        <f>IF(OR($C619="",$E619="",Calc!$H619=""),"",IFERROR(VLOOKUP(LEFT(UPPER(TRIM($E619)),6),BankTbl,3,0),0)+SUMIFS(CalcDep,CalcBank,LEFT(UPPER(TRIM($E619)),6),CalcKey,"&lt;="&amp;Calc!$H619)-SUMIFS(CalcWit,CalcBank,LEFT(UPPER(TRIM($E619)),6),CalcKey,"&lt;="&amp;Calc!$H619))</f>
        <v/>
      </c>
      <c r="O619" s="10">
        <f>IF(OR($C619="",$M619=""),"",IF($N619="","؟",IF(ROUND($M619-$N619,0)=0,"√","×")))</f>
        <v/>
      </c>
      <c r="P619" s="12" t="n"/>
    </row>
    <row r="620">
      <c r="A620" s="10">
        <f>IF($C620="","",COUNTA($C$9:$C620))</f>
        <v/>
      </c>
      <c r="B620" s="10">
        <f>IF($C620="","","TXN-"&amp;RIGHT("0000"&amp;612,4))</f>
        <v/>
      </c>
      <c r="C620" s="11" t="n"/>
      <c r="D620" s="11" t="n"/>
      <c r="E620" s="12" t="n"/>
      <c r="F620" s="10">
        <f>IF($E620="","",IFERROR(IF(VLOOKUP(LEFT(UPPER(TRIM($E620)),6),BankTbl,2,0)="","(بدون عنوان)",VLOOKUP(LEFT(UPPER(TRIM($E620)),6),BankTbl,2,0)),"بانک ناشناخته"))</f>
        <v/>
      </c>
      <c r="G620" s="11" t="n"/>
      <c r="H620" s="10">
        <f>IF($G620="","",IFERROR(VLOOKUP($G620,CustTbl,2,0),IFERROR(VLOOKUP($G620,SuppTbl,2,0),IFERROR(VLOOKUP($G620,AcctTbl,2,0),IFERROR(VLOOKUP($G620,StaffTbl,2,0),"کد ناشناخته")))))</f>
        <v/>
      </c>
      <c r="I620" s="12" t="n"/>
      <c r="J620" s="12" t="n"/>
      <c r="K620" s="13" t="n"/>
      <c r="L620" s="13" t="n"/>
      <c r="M620" s="13" t="n"/>
      <c r="N620" s="14">
        <f>IF(OR($C620="",$E620="",Calc!$H620=""),"",IFERROR(VLOOKUP(LEFT(UPPER(TRIM($E620)),6),BankTbl,3,0),0)+SUMIFS(CalcDep,CalcBank,LEFT(UPPER(TRIM($E620)),6),CalcKey,"&lt;="&amp;Calc!$H620)-SUMIFS(CalcWit,CalcBank,LEFT(UPPER(TRIM($E620)),6),CalcKey,"&lt;="&amp;Calc!$H620))</f>
        <v/>
      </c>
      <c r="O620" s="10">
        <f>IF(OR($C620="",$M620=""),"",IF($N620="","؟",IF(ROUND($M620-$N620,0)=0,"√","×")))</f>
        <v/>
      </c>
      <c r="P620" s="12" t="n"/>
    </row>
    <row r="621">
      <c r="A621" s="10">
        <f>IF($C621="","",COUNTA($C$9:$C621))</f>
        <v/>
      </c>
      <c r="B621" s="10">
        <f>IF($C621="","","TXN-"&amp;RIGHT("0000"&amp;613,4))</f>
        <v/>
      </c>
      <c r="C621" s="11" t="n"/>
      <c r="D621" s="11" t="n"/>
      <c r="E621" s="12" t="n"/>
      <c r="F621" s="10">
        <f>IF($E621="","",IFERROR(IF(VLOOKUP(LEFT(UPPER(TRIM($E621)),6),BankTbl,2,0)="","(بدون عنوان)",VLOOKUP(LEFT(UPPER(TRIM($E621)),6),BankTbl,2,0)),"بانک ناشناخته"))</f>
        <v/>
      </c>
      <c r="G621" s="11" t="n"/>
      <c r="H621" s="10">
        <f>IF($G621="","",IFERROR(VLOOKUP($G621,CustTbl,2,0),IFERROR(VLOOKUP($G621,SuppTbl,2,0),IFERROR(VLOOKUP($G621,AcctTbl,2,0),IFERROR(VLOOKUP($G621,StaffTbl,2,0),"کد ناشناخته")))))</f>
        <v/>
      </c>
      <c r="I621" s="12" t="n"/>
      <c r="J621" s="12" t="n"/>
      <c r="K621" s="13" t="n"/>
      <c r="L621" s="13" t="n"/>
      <c r="M621" s="13" t="n"/>
      <c r="N621" s="14">
        <f>IF(OR($C621="",$E621="",Calc!$H621=""),"",IFERROR(VLOOKUP(LEFT(UPPER(TRIM($E621)),6),BankTbl,3,0),0)+SUMIFS(CalcDep,CalcBank,LEFT(UPPER(TRIM($E621)),6),CalcKey,"&lt;="&amp;Calc!$H621)-SUMIFS(CalcWit,CalcBank,LEFT(UPPER(TRIM($E621)),6),CalcKey,"&lt;="&amp;Calc!$H621))</f>
        <v/>
      </c>
      <c r="O621" s="10">
        <f>IF(OR($C621="",$M621=""),"",IF($N621="","؟",IF(ROUND($M621-$N621,0)=0,"√","×")))</f>
        <v/>
      </c>
      <c r="P621" s="12" t="n"/>
    </row>
    <row r="622">
      <c r="A622" s="10">
        <f>IF($C622="","",COUNTA($C$9:$C622))</f>
        <v/>
      </c>
      <c r="B622" s="10">
        <f>IF($C622="","","TXN-"&amp;RIGHT("0000"&amp;614,4))</f>
        <v/>
      </c>
      <c r="C622" s="11" t="n"/>
      <c r="D622" s="11" t="n"/>
      <c r="E622" s="12" t="n"/>
      <c r="F622" s="10">
        <f>IF($E622="","",IFERROR(IF(VLOOKUP(LEFT(UPPER(TRIM($E622)),6),BankTbl,2,0)="","(بدون عنوان)",VLOOKUP(LEFT(UPPER(TRIM($E622)),6),BankTbl,2,0)),"بانک ناشناخته"))</f>
        <v/>
      </c>
      <c r="G622" s="11" t="n"/>
      <c r="H622" s="10">
        <f>IF($G622="","",IFERROR(VLOOKUP($G622,CustTbl,2,0),IFERROR(VLOOKUP($G622,SuppTbl,2,0),IFERROR(VLOOKUP($G622,AcctTbl,2,0),IFERROR(VLOOKUP($G622,StaffTbl,2,0),"کد ناشناخته")))))</f>
        <v/>
      </c>
      <c r="I622" s="12" t="n"/>
      <c r="J622" s="12" t="n"/>
      <c r="K622" s="13" t="n"/>
      <c r="L622" s="13" t="n"/>
      <c r="M622" s="13" t="n"/>
      <c r="N622" s="14">
        <f>IF(OR($C622="",$E622="",Calc!$H622=""),"",IFERROR(VLOOKUP(LEFT(UPPER(TRIM($E622)),6),BankTbl,3,0),0)+SUMIFS(CalcDep,CalcBank,LEFT(UPPER(TRIM($E622)),6),CalcKey,"&lt;="&amp;Calc!$H622)-SUMIFS(CalcWit,CalcBank,LEFT(UPPER(TRIM($E622)),6),CalcKey,"&lt;="&amp;Calc!$H622))</f>
        <v/>
      </c>
      <c r="O622" s="10">
        <f>IF(OR($C622="",$M622=""),"",IF($N622="","؟",IF(ROUND($M622-$N622,0)=0,"√","×")))</f>
        <v/>
      </c>
      <c r="P622" s="12" t="n"/>
    </row>
    <row r="623">
      <c r="A623" s="10">
        <f>IF($C623="","",COUNTA($C$9:$C623))</f>
        <v/>
      </c>
      <c r="B623" s="10">
        <f>IF($C623="","","TXN-"&amp;RIGHT("0000"&amp;615,4))</f>
        <v/>
      </c>
      <c r="C623" s="11" t="n"/>
      <c r="D623" s="11" t="n"/>
      <c r="E623" s="12" t="n"/>
      <c r="F623" s="10">
        <f>IF($E623="","",IFERROR(IF(VLOOKUP(LEFT(UPPER(TRIM($E623)),6),BankTbl,2,0)="","(بدون عنوان)",VLOOKUP(LEFT(UPPER(TRIM($E623)),6),BankTbl,2,0)),"بانک ناشناخته"))</f>
        <v/>
      </c>
      <c r="G623" s="11" t="n"/>
      <c r="H623" s="10">
        <f>IF($G623="","",IFERROR(VLOOKUP($G623,CustTbl,2,0),IFERROR(VLOOKUP($G623,SuppTbl,2,0),IFERROR(VLOOKUP($G623,AcctTbl,2,0),IFERROR(VLOOKUP($G623,StaffTbl,2,0),"کد ناشناخته")))))</f>
        <v/>
      </c>
      <c r="I623" s="12" t="n"/>
      <c r="J623" s="12" t="n"/>
      <c r="K623" s="13" t="n"/>
      <c r="L623" s="13" t="n"/>
      <c r="M623" s="13" t="n"/>
      <c r="N623" s="14">
        <f>IF(OR($C623="",$E623="",Calc!$H623=""),"",IFERROR(VLOOKUP(LEFT(UPPER(TRIM($E623)),6),BankTbl,3,0),0)+SUMIFS(CalcDep,CalcBank,LEFT(UPPER(TRIM($E623)),6),CalcKey,"&lt;="&amp;Calc!$H623)-SUMIFS(CalcWit,CalcBank,LEFT(UPPER(TRIM($E623)),6),CalcKey,"&lt;="&amp;Calc!$H623))</f>
        <v/>
      </c>
      <c r="O623" s="10">
        <f>IF(OR($C623="",$M623=""),"",IF($N623="","؟",IF(ROUND($M623-$N623,0)=0,"√","×")))</f>
        <v/>
      </c>
      <c r="P623" s="12" t="n"/>
    </row>
    <row r="624">
      <c r="A624" s="10">
        <f>IF($C624="","",COUNTA($C$9:$C624))</f>
        <v/>
      </c>
      <c r="B624" s="10">
        <f>IF($C624="","","TXN-"&amp;RIGHT("0000"&amp;616,4))</f>
        <v/>
      </c>
      <c r="C624" s="11" t="n"/>
      <c r="D624" s="11" t="n"/>
      <c r="E624" s="12" t="n"/>
      <c r="F624" s="10">
        <f>IF($E624="","",IFERROR(IF(VLOOKUP(LEFT(UPPER(TRIM($E624)),6),BankTbl,2,0)="","(بدون عنوان)",VLOOKUP(LEFT(UPPER(TRIM($E624)),6),BankTbl,2,0)),"بانک ناشناخته"))</f>
        <v/>
      </c>
      <c r="G624" s="11" t="n"/>
      <c r="H624" s="10">
        <f>IF($G624="","",IFERROR(VLOOKUP($G624,CustTbl,2,0),IFERROR(VLOOKUP($G624,SuppTbl,2,0),IFERROR(VLOOKUP($G624,AcctTbl,2,0),IFERROR(VLOOKUP($G624,StaffTbl,2,0),"کد ناشناخته")))))</f>
        <v/>
      </c>
      <c r="I624" s="12" t="n"/>
      <c r="J624" s="12" t="n"/>
      <c r="K624" s="13" t="n"/>
      <c r="L624" s="13" t="n"/>
      <c r="M624" s="13" t="n"/>
      <c r="N624" s="14">
        <f>IF(OR($C624="",$E624="",Calc!$H624=""),"",IFERROR(VLOOKUP(LEFT(UPPER(TRIM($E624)),6),BankTbl,3,0),0)+SUMIFS(CalcDep,CalcBank,LEFT(UPPER(TRIM($E624)),6),CalcKey,"&lt;="&amp;Calc!$H624)-SUMIFS(CalcWit,CalcBank,LEFT(UPPER(TRIM($E624)),6),CalcKey,"&lt;="&amp;Calc!$H624))</f>
        <v/>
      </c>
      <c r="O624" s="10">
        <f>IF(OR($C624="",$M624=""),"",IF($N624="","؟",IF(ROUND($M624-$N624,0)=0,"√","×")))</f>
        <v/>
      </c>
      <c r="P624" s="12" t="n"/>
    </row>
    <row r="625">
      <c r="A625" s="10">
        <f>IF($C625="","",COUNTA($C$9:$C625))</f>
        <v/>
      </c>
      <c r="B625" s="10">
        <f>IF($C625="","","TXN-"&amp;RIGHT("0000"&amp;617,4))</f>
        <v/>
      </c>
      <c r="C625" s="11" t="n"/>
      <c r="D625" s="11" t="n"/>
      <c r="E625" s="12" t="n"/>
      <c r="F625" s="10">
        <f>IF($E625="","",IFERROR(IF(VLOOKUP(LEFT(UPPER(TRIM($E625)),6),BankTbl,2,0)="","(بدون عنوان)",VLOOKUP(LEFT(UPPER(TRIM($E625)),6),BankTbl,2,0)),"بانک ناشناخته"))</f>
        <v/>
      </c>
      <c r="G625" s="11" t="n"/>
      <c r="H625" s="10">
        <f>IF($G625="","",IFERROR(VLOOKUP($G625,CustTbl,2,0),IFERROR(VLOOKUP($G625,SuppTbl,2,0),IFERROR(VLOOKUP($G625,AcctTbl,2,0),IFERROR(VLOOKUP($G625,StaffTbl,2,0),"کد ناشناخته")))))</f>
        <v/>
      </c>
      <c r="I625" s="12" t="n"/>
      <c r="J625" s="12" t="n"/>
      <c r="K625" s="13" t="n"/>
      <c r="L625" s="13" t="n"/>
      <c r="M625" s="13" t="n"/>
      <c r="N625" s="14">
        <f>IF(OR($C625="",$E625="",Calc!$H625=""),"",IFERROR(VLOOKUP(LEFT(UPPER(TRIM($E625)),6),BankTbl,3,0),0)+SUMIFS(CalcDep,CalcBank,LEFT(UPPER(TRIM($E625)),6),CalcKey,"&lt;="&amp;Calc!$H625)-SUMIFS(CalcWit,CalcBank,LEFT(UPPER(TRIM($E625)),6),CalcKey,"&lt;="&amp;Calc!$H625))</f>
        <v/>
      </c>
      <c r="O625" s="10">
        <f>IF(OR($C625="",$M625=""),"",IF($N625="","؟",IF(ROUND($M625-$N625,0)=0,"√","×")))</f>
        <v/>
      </c>
      <c r="P625" s="12" t="n"/>
    </row>
    <row r="626">
      <c r="A626" s="10">
        <f>IF($C626="","",COUNTA($C$9:$C626))</f>
        <v/>
      </c>
      <c r="B626" s="10">
        <f>IF($C626="","","TXN-"&amp;RIGHT("0000"&amp;618,4))</f>
        <v/>
      </c>
      <c r="C626" s="11" t="n"/>
      <c r="D626" s="11" t="n"/>
      <c r="E626" s="12" t="n"/>
      <c r="F626" s="10">
        <f>IF($E626="","",IFERROR(IF(VLOOKUP(LEFT(UPPER(TRIM($E626)),6),BankTbl,2,0)="","(بدون عنوان)",VLOOKUP(LEFT(UPPER(TRIM($E626)),6),BankTbl,2,0)),"بانک ناشناخته"))</f>
        <v/>
      </c>
      <c r="G626" s="11" t="n"/>
      <c r="H626" s="10">
        <f>IF($G626="","",IFERROR(VLOOKUP($G626,CustTbl,2,0),IFERROR(VLOOKUP($G626,SuppTbl,2,0),IFERROR(VLOOKUP($G626,AcctTbl,2,0),IFERROR(VLOOKUP($G626,StaffTbl,2,0),"کد ناشناخته")))))</f>
        <v/>
      </c>
      <c r="I626" s="12" t="n"/>
      <c r="J626" s="12" t="n"/>
      <c r="K626" s="13" t="n"/>
      <c r="L626" s="13" t="n"/>
      <c r="M626" s="13" t="n"/>
      <c r="N626" s="14">
        <f>IF(OR($C626="",$E626="",Calc!$H626=""),"",IFERROR(VLOOKUP(LEFT(UPPER(TRIM($E626)),6),BankTbl,3,0),0)+SUMIFS(CalcDep,CalcBank,LEFT(UPPER(TRIM($E626)),6),CalcKey,"&lt;="&amp;Calc!$H626)-SUMIFS(CalcWit,CalcBank,LEFT(UPPER(TRIM($E626)),6),CalcKey,"&lt;="&amp;Calc!$H626))</f>
        <v/>
      </c>
      <c r="O626" s="10">
        <f>IF(OR($C626="",$M626=""),"",IF($N626="","؟",IF(ROUND($M626-$N626,0)=0,"√","×")))</f>
        <v/>
      </c>
      <c r="P626" s="12" t="n"/>
    </row>
    <row r="627">
      <c r="A627" s="10">
        <f>IF($C627="","",COUNTA($C$9:$C627))</f>
        <v/>
      </c>
      <c r="B627" s="10">
        <f>IF($C627="","","TXN-"&amp;RIGHT("0000"&amp;619,4))</f>
        <v/>
      </c>
      <c r="C627" s="11" t="n"/>
      <c r="D627" s="11" t="n"/>
      <c r="E627" s="12" t="n"/>
      <c r="F627" s="10">
        <f>IF($E627="","",IFERROR(IF(VLOOKUP(LEFT(UPPER(TRIM($E627)),6),BankTbl,2,0)="","(بدون عنوان)",VLOOKUP(LEFT(UPPER(TRIM($E627)),6),BankTbl,2,0)),"بانک ناشناخته"))</f>
        <v/>
      </c>
      <c r="G627" s="11" t="n"/>
      <c r="H627" s="10">
        <f>IF($G627="","",IFERROR(VLOOKUP($G627,CustTbl,2,0),IFERROR(VLOOKUP($G627,SuppTbl,2,0),IFERROR(VLOOKUP($G627,AcctTbl,2,0),IFERROR(VLOOKUP($G627,StaffTbl,2,0),"کد ناشناخته")))))</f>
        <v/>
      </c>
      <c r="I627" s="12" t="n"/>
      <c r="J627" s="12" t="n"/>
      <c r="K627" s="13" t="n"/>
      <c r="L627" s="13" t="n"/>
      <c r="M627" s="13" t="n"/>
      <c r="N627" s="14">
        <f>IF(OR($C627="",$E627="",Calc!$H627=""),"",IFERROR(VLOOKUP(LEFT(UPPER(TRIM($E627)),6),BankTbl,3,0),0)+SUMIFS(CalcDep,CalcBank,LEFT(UPPER(TRIM($E627)),6),CalcKey,"&lt;="&amp;Calc!$H627)-SUMIFS(CalcWit,CalcBank,LEFT(UPPER(TRIM($E627)),6),CalcKey,"&lt;="&amp;Calc!$H627))</f>
        <v/>
      </c>
      <c r="O627" s="10">
        <f>IF(OR($C627="",$M627=""),"",IF($N627="","؟",IF(ROUND($M627-$N627,0)=0,"√","×")))</f>
        <v/>
      </c>
      <c r="P627" s="12" t="n"/>
    </row>
    <row r="628">
      <c r="A628" s="10">
        <f>IF($C628="","",COUNTA($C$9:$C628))</f>
        <v/>
      </c>
      <c r="B628" s="10">
        <f>IF($C628="","","TXN-"&amp;RIGHT("0000"&amp;620,4))</f>
        <v/>
      </c>
      <c r="C628" s="11" t="n"/>
      <c r="D628" s="11" t="n"/>
      <c r="E628" s="12" t="n"/>
      <c r="F628" s="10">
        <f>IF($E628="","",IFERROR(IF(VLOOKUP(LEFT(UPPER(TRIM($E628)),6),BankTbl,2,0)="","(بدون عنوان)",VLOOKUP(LEFT(UPPER(TRIM($E628)),6),BankTbl,2,0)),"بانک ناشناخته"))</f>
        <v/>
      </c>
      <c r="G628" s="11" t="n"/>
      <c r="H628" s="10">
        <f>IF($G628="","",IFERROR(VLOOKUP($G628,CustTbl,2,0),IFERROR(VLOOKUP($G628,SuppTbl,2,0),IFERROR(VLOOKUP($G628,AcctTbl,2,0),IFERROR(VLOOKUP($G628,StaffTbl,2,0),"کد ناشناخته")))))</f>
        <v/>
      </c>
      <c r="I628" s="12" t="n"/>
      <c r="J628" s="12" t="n"/>
      <c r="K628" s="13" t="n"/>
      <c r="L628" s="13" t="n"/>
      <c r="M628" s="13" t="n"/>
      <c r="N628" s="14">
        <f>IF(OR($C628="",$E628="",Calc!$H628=""),"",IFERROR(VLOOKUP(LEFT(UPPER(TRIM($E628)),6),BankTbl,3,0),0)+SUMIFS(CalcDep,CalcBank,LEFT(UPPER(TRIM($E628)),6),CalcKey,"&lt;="&amp;Calc!$H628)-SUMIFS(CalcWit,CalcBank,LEFT(UPPER(TRIM($E628)),6),CalcKey,"&lt;="&amp;Calc!$H628))</f>
        <v/>
      </c>
      <c r="O628" s="10">
        <f>IF(OR($C628="",$M628=""),"",IF($N628="","؟",IF(ROUND($M628-$N628,0)=0,"√","×")))</f>
        <v/>
      </c>
      <c r="P628" s="12" t="n"/>
    </row>
    <row r="629">
      <c r="A629" s="10">
        <f>IF($C629="","",COUNTA($C$9:$C629))</f>
        <v/>
      </c>
      <c r="B629" s="10">
        <f>IF($C629="","","TXN-"&amp;RIGHT("0000"&amp;621,4))</f>
        <v/>
      </c>
      <c r="C629" s="11" t="n"/>
      <c r="D629" s="11" t="n"/>
      <c r="E629" s="12" t="n"/>
      <c r="F629" s="10">
        <f>IF($E629="","",IFERROR(IF(VLOOKUP(LEFT(UPPER(TRIM($E629)),6),BankTbl,2,0)="","(بدون عنوان)",VLOOKUP(LEFT(UPPER(TRIM($E629)),6),BankTbl,2,0)),"بانک ناشناخته"))</f>
        <v/>
      </c>
      <c r="G629" s="11" t="n"/>
      <c r="H629" s="10">
        <f>IF($G629="","",IFERROR(VLOOKUP($G629,CustTbl,2,0),IFERROR(VLOOKUP($G629,SuppTbl,2,0),IFERROR(VLOOKUP($G629,AcctTbl,2,0),IFERROR(VLOOKUP($G629,StaffTbl,2,0),"کد ناشناخته")))))</f>
        <v/>
      </c>
      <c r="I629" s="12" t="n"/>
      <c r="J629" s="12" t="n"/>
      <c r="K629" s="13" t="n"/>
      <c r="L629" s="13" t="n"/>
      <c r="M629" s="13" t="n"/>
      <c r="N629" s="14">
        <f>IF(OR($C629="",$E629="",Calc!$H629=""),"",IFERROR(VLOOKUP(LEFT(UPPER(TRIM($E629)),6),BankTbl,3,0),0)+SUMIFS(CalcDep,CalcBank,LEFT(UPPER(TRIM($E629)),6),CalcKey,"&lt;="&amp;Calc!$H629)-SUMIFS(CalcWit,CalcBank,LEFT(UPPER(TRIM($E629)),6),CalcKey,"&lt;="&amp;Calc!$H629))</f>
        <v/>
      </c>
      <c r="O629" s="10">
        <f>IF(OR($C629="",$M629=""),"",IF($N629="","؟",IF(ROUND($M629-$N629,0)=0,"√","×")))</f>
        <v/>
      </c>
      <c r="P629" s="12" t="n"/>
    </row>
    <row r="630">
      <c r="A630" s="10">
        <f>IF($C630="","",COUNTA($C$9:$C630))</f>
        <v/>
      </c>
      <c r="B630" s="10">
        <f>IF($C630="","","TXN-"&amp;RIGHT("0000"&amp;622,4))</f>
        <v/>
      </c>
      <c r="C630" s="11" t="n"/>
      <c r="D630" s="11" t="n"/>
      <c r="E630" s="12" t="n"/>
      <c r="F630" s="10">
        <f>IF($E630="","",IFERROR(IF(VLOOKUP(LEFT(UPPER(TRIM($E630)),6),BankTbl,2,0)="","(بدون عنوان)",VLOOKUP(LEFT(UPPER(TRIM($E630)),6),BankTbl,2,0)),"بانک ناشناخته"))</f>
        <v/>
      </c>
      <c r="G630" s="11" t="n"/>
      <c r="H630" s="10">
        <f>IF($G630="","",IFERROR(VLOOKUP($G630,CustTbl,2,0),IFERROR(VLOOKUP($G630,SuppTbl,2,0),IFERROR(VLOOKUP($G630,AcctTbl,2,0),IFERROR(VLOOKUP($G630,StaffTbl,2,0),"کد ناشناخته")))))</f>
        <v/>
      </c>
      <c r="I630" s="12" t="n"/>
      <c r="J630" s="12" t="n"/>
      <c r="K630" s="13" t="n"/>
      <c r="L630" s="13" t="n"/>
      <c r="M630" s="13" t="n"/>
      <c r="N630" s="14">
        <f>IF(OR($C630="",$E630="",Calc!$H630=""),"",IFERROR(VLOOKUP(LEFT(UPPER(TRIM($E630)),6),BankTbl,3,0),0)+SUMIFS(CalcDep,CalcBank,LEFT(UPPER(TRIM($E630)),6),CalcKey,"&lt;="&amp;Calc!$H630)-SUMIFS(CalcWit,CalcBank,LEFT(UPPER(TRIM($E630)),6),CalcKey,"&lt;="&amp;Calc!$H630))</f>
        <v/>
      </c>
      <c r="O630" s="10">
        <f>IF(OR($C630="",$M630=""),"",IF($N630="","؟",IF(ROUND($M630-$N630,0)=0,"√","×")))</f>
        <v/>
      </c>
      <c r="P630" s="12" t="n"/>
    </row>
    <row r="631">
      <c r="A631" s="10">
        <f>IF($C631="","",COUNTA($C$9:$C631))</f>
        <v/>
      </c>
      <c r="B631" s="10">
        <f>IF($C631="","","TXN-"&amp;RIGHT("0000"&amp;623,4))</f>
        <v/>
      </c>
      <c r="C631" s="11" t="n"/>
      <c r="D631" s="11" t="n"/>
      <c r="E631" s="12" t="n"/>
      <c r="F631" s="10">
        <f>IF($E631="","",IFERROR(IF(VLOOKUP(LEFT(UPPER(TRIM($E631)),6),BankTbl,2,0)="","(بدون عنوان)",VLOOKUP(LEFT(UPPER(TRIM($E631)),6),BankTbl,2,0)),"بانک ناشناخته"))</f>
        <v/>
      </c>
      <c r="G631" s="11" t="n"/>
      <c r="H631" s="10">
        <f>IF($G631="","",IFERROR(VLOOKUP($G631,CustTbl,2,0),IFERROR(VLOOKUP($G631,SuppTbl,2,0),IFERROR(VLOOKUP($G631,AcctTbl,2,0),IFERROR(VLOOKUP($G631,StaffTbl,2,0),"کد ناشناخته")))))</f>
        <v/>
      </c>
      <c r="I631" s="12" t="n"/>
      <c r="J631" s="12" t="n"/>
      <c r="K631" s="13" t="n"/>
      <c r="L631" s="13" t="n"/>
      <c r="M631" s="13" t="n"/>
      <c r="N631" s="14">
        <f>IF(OR($C631="",$E631="",Calc!$H631=""),"",IFERROR(VLOOKUP(LEFT(UPPER(TRIM($E631)),6),BankTbl,3,0),0)+SUMIFS(CalcDep,CalcBank,LEFT(UPPER(TRIM($E631)),6),CalcKey,"&lt;="&amp;Calc!$H631)-SUMIFS(CalcWit,CalcBank,LEFT(UPPER(TRIM($E631)),6),CalcKey,"&lt;="&amp;Calc!$H631))</f>
        <v/>
      </c>
      <c r="O631" s="10">
        <f>IF(OR($C631="",$M631=""),"",IF($N631="","؟",IF(ROUND($M631-$N631,0)=0,"√","×")))</f>
        <v/>
      </c>
      <c r="P631" s="12" t="n"/>
    </row>
    <row r="632">
      <c r="A632" s="10">
        <f>IF($C632="","",COUNTA($C$9:$C632))</f>
        <v/>
      </c>
      <c r="B632" s="10">
        <f>IF($C632="","","TXN-"&amp;RIGHT("0000"&amp;624,4))</f>
        <v/>
      </c>
      <c r="C632" s="11" t="n"/>
      <c r="D632" s="11" t="n"/>
      <c r="E632" s="12" t="n"/>
      <c r="F632" s="10">
        <f>IF($E632="","",IFERROR(IF(VLOOKUP(LEFT(UPPER(TRIM($E632)),6),BankTbl,2,0)="","(بدون عنوان)",VLOOKUP(LEFT(UPPER(TRIM($E632)),6),BankTbl,2,0)),"بانک ناشناخته"))</f>
        <v/>
      </c>
      <c r="G632" s="11" t="n"/>
      <c r="H632" s="10">
        <f>IF($G632="","",IFERROR(VLOOKUP($G632,CustTbl,2,0),IFERROR(VLOOKUP($G632,SuppTbl,2,0),IFERROR(VLOOKUP($G632,AcctTbl,2,0),IFERROR(VLOOKUP($G632,StaffTbl,2,0),"کد ناشناخته")))))</f>
        <v/>
      </c>
      <c r="I632" s="12" t="n"/>
      <c r="J632" s="12" t="n"/>
      <c r="K632" s="13" t="n"/>
      <c r="L632" s="13" t="n"/>
      <c r="M632" s="13" t="n"/>
      <c r="N632" s="14">
        <f>IF(OR($C632="",$E632="",Calc!$H632=""),"",IFERROR(VLOOKUP(LEFT(UPPER(TRIM($E632)),6),BankTbl,3,0),0)+SUMIFS(CalcDep,CalcBank,LEFT(UPPER(TRIM($E632)),6),CalcKey,"&lt;="&amp;Calc!$H632)-SUMIFS(CalcWit,CalcBank,LEFT(UPPER(TRIM($E632)),6),CalcKey,"&lt;="&amp;Calc!$H632))</f>
        <v/>
      </c>
      <c r="O632" s="10">
        <f>IF(OR($C632="",$M632=""),"",IF($N632="","؟",IF(ROUND($M632-$N632,0)=0,"√","×")))</f>
        <v/>
      </c>
      <c r="P632" s="12" t="n"/>
    </row>
    <row r="633">
      <c r="A633" s="10">
        <f>IF($C633="","",COUNTA($C$9:$C633))</f>
        <v/>
      </c>
      <c r="B633" s="10">
        <f>IF($C633="","","TXN-"&amp;RIGHT("0000"&amp;625,4))</f>
        <v/>
      </c>
      <c r="C633" s="11" t="n"/>
      <c r="D633" s="11" t="n"/>
      <c r="E633" s="12" t="n"/>
      <c r="F633" s="10">
        <f>IF($E633="","",IFERROR(IF(VLOOKUP(LEFT(UPPER(TRIM($E633)),6),BankTbl,2,0)="","(بدون عنوان)",VLOOKUP(LEFT(UPPER(TRIM($E633)),6),BankTbl,2,0)),"بانک ناشناخته"))</f>
        <v/>
      </c>
      <c r="G633" s="11" t="n"/>
      <c r="H633" s="10">
        <f>IF($G633="","",IFERROR(VLOOKUP($G633,CustTbl,2,0),IFERROR(VLOOKUP($G633,SuppTbl,2,0),IFERROR(VLOOKUP($G633,AcctTbl,2,0),IFERROR(VLOOKUP($G633,StaffTbl,2,0),"کد ناشناخته")))))</f>
        <v/>
      </c>
      <c r="I633" s="12" t="n"/>
      <c r="J633" s="12" t="n"/>
      <c r="K633" s="13" t="n"/>
      <c r="L633" s="13" t="n"/>
      <c r="M633" s="13" t="n"/>
      <c r="N633" s="14">
        <f>IF(OR($C633="",$E633="",Calc!$H633=""),"",IFERROR(VLOOKUP(LEFT(UPPER(TRIM($E633)),6),BankTbl,3,0),0)+SUMIFS(CalcDep,CalcBank,LEFT(UPPER(TRIM($E633)),6),CalcKey,"&lt;="&amp;Calc!$H633)-SUMIFS(CalcWit,CalcBank,LEFT(UPPER(TRIM($E633)),6),CalcKey,"&lt;="&amp;Calc!$H633))</f>
        <v/>
      </c>
      <c r="O633" s="10">
        <f>IF(OR($C633="",$M633=""),"",IF($N633="","؟",IF(ROUND($M633-$N633,0)=0,"√","×")))</f>
        <v/>
      </c>
      <c r="P633" s="12" t="n"/>
    </row>
    <row r="634">
      <c r="A634" s="10">
        <f>IF($C634="","",COUNTA($C$9:$C634))</f>
        <v/>
      </c>
      <c r="B634" s="10">
        <f>IF($C634="","","TXN-"&amp;RIGHT("0000"&amp;626,4))</f>
        <v/>
      </c>
      <c r="C634" s="11" t="n"/>
      <c r="D634" s="11" t="n"/>
      <c r="E634" s="12" t="n"/>
      <c r="F634" s="10">
        <f>IF($E634="","",IFERROR(IF(VLOOKUP(LEFT(UPPER(TRIM($E634)),6),BankTbl,2,0)="","(بدون عنوان)",VLOOKUP(LEFT(UPPER(TRIM($E634)),6),BankTbl,2,0)),"بانک ناشناخته"))</f>
        <v/>
      </c>
      <c r="G634" s="11" t="n"/>
      <c r="H634" s="10">
        <f>IF($G634="","",IFERROR(VLOOKUP($G634,CustTbl,2,0),IFERROR(VLOOKUP($G634,SuppTbl,2,0),IFERROR(VLOOKUP($G634,AcctTbl,2,0),IFERROR(VLOOKUP($G634,StaffTbl,2,0),"کد ناشناخته")))))</f>
        <v/>
      </c>
      <c r="I634" s="12" t="n"/>
      <c r="J634" s="12" t="n"/>
      <c r="K634" s="13" t="n"/>
      <c r="L634" s="13" t="n"/>
      <c r="M634" s="13" t="n"/>
      <c r="N634" s="14">
        <f>IF(OR($C634="",$E634="",Calc!$H634=""),"",IFERROR(VLOOKUP(LEFT(UPPER(TRIM($E634)),6),BankTbl,3,0),0)+SUMIFS(CalcDep,CalcBank,LEFT(UPPER(TRIM($E634)),6),CalcKey,"&lt;="&amp;Calc!$H634)-SUMIFS(CalcWit,CalcBank,LEFT(UPPER(TRIM($E634)),6),CalcKey,"&lt;="&amp;Calc!$H634))</f>
        <v/>
      </c>
      <c r="O634" s="10">
        <f>IF(OR($C634="",$M634=""),"",IF($N634="","؟",IF(ROUND($M634-$N634,0)=0,"√","×")))</f>
        <v/>
      </c>
      <c r="P634" s="12" t="n"/>
    </row>
    <row r="635">
      <c r="A635" s="10">
        <f>IF($C635="","",COUNTA($C$9:$C635))</f>
        <v/>
      </c>
      <c r="B635" s="10">
        <f>IF($C635="","","TXN-"&amp;RIGHT("0000"&amp;627,4))</f>
        <v/>
      </c>
      <c r="C635" s="11" t="n"/>
      <c r="D635" s="11" t="n"/>
      <c r="E635" s="12" t="n"/>
      <c r="F635" s="10">
        <f>IF($E635="","",IFERROR(IF(VLOOKUP(LEFT(UPPER(TRIM($E635)),6),BankTbl,2,0)="","(بدون عنوان)",VLOOKUP(LEFT(UPPER(TRIM($E635)),6),BankTbl,2,0)),"بانک ناشناخته"))</f>
        <v/>
      </c>
      <c r="G635" s="11" t="n"/>
      <c r="H635" s="10">
        <f>IF($G635="","",IFERROR(VLOOKUP($G635,CustTbl,2,0),IFERROR(VLOOKUP($G635,SuppTbl,2,0),IFERROR(VLOOKUP($G635,AcctTbl,2,0),IFERROR(VLOOKUP($G635,StaffTbl,2,0),"کد ناشناخته")))))</f>
        <v/>
      </c>
      <c r="I635" s="12" t="n"/>
      <c r="J635" s="12" t="n"/>
      <c r="K635" s="13" t="n"/>
      <c r="L635" s="13" t="n"/>
      <c r="M635" s="13" t="n"/>
      <c r="N635" s="14">
        <f>IF(OR($C635="",$E635="",Calc!$H635=""),"",IFERROR(VLOOKUP(LEFT(UPPER(TRIM($E635)),6),BankTbl,3,0),0)+SUMIFS(CalcDep,CalcBank,LEFT(UPPER(TRIM($E635)),6),CalcKey,"&lt;="&amp;Calc!$H635)-SUMIFS(CalcWit,CalcBank,LEFT(UPPER(TRIM($E635)),6),CalcKey,"&lt;="&amp;Calc!$H635))</f>
        <v/>
      </c>
      <c r="O635" s="10">
        <f>IF(OR($C635="",$M635=""),"",IF($N635="","؟",IF(ROUND($M635-$N635,0)=0,"√","×")))</f>
        <v/>
      </c>
      <c r="P635" s="12" t="n"/>
    </row>
    <row r="636">
      <c r="A636" s="10">
        <f>IF($C636="","",COUNTA($C$9:$C636))</f>
        <v/>
      </c>
      <c r="B636" s="10">
        <f>IF($C636="","","TXN-"&amp;RIGHT("0000"&amp;628,4))</f>
        <v/>
      </c>
      <c r="C636" s="11" t="n"/>
      <c r="D636" s="11" t="n"/>
      <c r="E636" s="12" t="n"/>
      <c r="F636" s="10">
        <f>IF($E636="","",IFERROR(IF(VLOOKUP(LEFT(UPPER(TRIM($E636)),6),BankTbl,2,0)="","(بدون عنوان)",VLOOKUP(LEFT(UPPER(TRIM($E636)),6),BankTbl,2,0)),"بانک ناشناخته"))</f>
        <v/>
      </c>
      <c r="G636" s="11" t="n"/>
      <c r="H636" s="10">
        <f>IF($G636="","",IFERROR(VLOOKUP($G636,CustTbl,2,0),IFERROR(VLOOKUP($G636,SuppTbl,2,0),IFERROR(VLOOKUP($G636,AcctTbl,2,0),IFERROR(VLOOKUP($G636,StaffTbl,2,0),"کد ناشناخته")))))</f>
        <v/>
      </c>
      <c r="I636" s="12" t="n"/>
      <c r="J636" s="12" t="n"/>
      <c r="K636" s="13" t="n"/>
      <c r="L636" s="13" t="n"/>
      <c r="M636" s="13" t="n"/>
      <c r="N636" s="14">
        <f>IF(OR($C636="",$E636="",Calc!$H636=""),"",IFERROR(VLOOKUP(LEFT(UPPER(TRIM($E636)),6),BankTbl,3,0),0)+SUMIFS(CalcDep,CalcBank,LEFT(UPPER(TRIM($E636)),6),CalcKey,"&lt;="&amp;Calc!$H636)-SUMIFS(CalcWit,CalcBank,LEFT(UPPER(TRIM($E636)),6),CalcKey,"&lt;="&amp;Calc!$H636))</f>
        <v/>
      </c>
      <c r="O636" s="10">
        <f>IF(OR($C636="",$M636=""),"",IF($N636="","؟",IF(ROUND($M636-$N636,0)=0,"√","×")))</f>
        <v/>
      </c>
      <c r="P636" s="12" t="n"/>
    </row>
    <row r="637">
      <c r="A637" s="10">
        <f>IF($C637="","",COUNTA($C$9:$C637))</f>
        <v/>
      </c>
      <c r="B637" s="10">
        <f>IF($C637="","","TXN-"&amp;RIGHT("0000"&amp;629,4))</f>
        <v/>
      </c>
      <c r="C637" s="11" t="n"/>
      <c r="D637" s="11" t="n"/>
      <c r="E637" s="12" t="n"/>
      <c r="F637" s="10">
        <f>IF($E637="","",IFERROR(IF(VLOOKUP(LEFT(UPPER(TRIM($E637)),6),BankTbl,2,0)="","(بدون عنوان)",VLOOKUP(LEFT(UPPER(TRIM($E637)),6),BankTbl,2,0)),"بانک ناشناخته"))</f>
        <v/>
      </c>
      <c r="G637" s="11" t="n"/>
      <c r="H637" s="10">
        <f>IF($G637="","",IFERROR(VLOOKUP($G637,CustTbl,2,0),IFERROR(VLOOKUP($G637,SuppTbl,2,0),IFERROR(VLOOKUP($G637,AcctTbl,2,0),IFERROR(VLOOKUP($G637,StaffTbl,2,0),"کد ناشناخته")))))</f>
        <v/>
      </c>
      <c r="I637" s="12" t="n"/>
      <c r="J637" s="12" t="n"/>
      <c r="K637" s="13" t="n"/>
      <c r="L637" s="13" t="n"/>
      <c r="M637" s="13" t="n"/>
      <c r="N637" s="14">
        <f>IF(OR($C637="",$E637="",Calc!$H637=""),"",IFERROR(VLOOKUP(LEFT(UPPER(TRIM($E637)),6),BankTbl,3,0),0)+SUMIFS(CalcDep,CalcBank,LEFT(UPPER(TRIM($E637)),6),CalcKey,"&lt;="&amp;Calc!$H637)-SUMIFS(CalcWit,CalcBank,LEFT(UPPER(TRIM($E637)),6),CalcKey,"&lt;="&amp;Calc!$H637))</f>
        <v/>
      </c>
      <c r="O637" s="10">
        <f>IF(OR($C637="",$M637=""),"",IF($N637="","؟",IF(ROUND($M637-$N637,0)=0,"√","×")))</f>
        <v/>
      </c>
      <c r="P637" s="12" t="n"/>
    </row>
    <row r="638">
      <c r="A638" s="10">
        <f>IF($C638="","",COUNTA($C$9:$C638))</f>
        <v/>
      </c>
      <c r="B638" s="10">
        <f>IF($C638="","","TXN-"&amp;RIGHT("0000"&amp;630,4))</f>
        <v/>
      </c>
      <c r="C638" s="11" t="n"/>
      <c r="D638" s="11" t="n"/>
      <c r="E638" s="12" t="n"/>
      <c r="F638" s="10">
        <f>IF($E638="","",IFERROR(IF(VLOOKUP(LEFT(UPPER(TRIM($E638)),6),BankTbl,2,0)="","(بدون عنوان)",VLOOKUP(LEFT(UPPER(TRIM($E638)),6),BankTbl,2,0)),"بانک ناشناخته"))</f>
        <v/>
      </c>
      <c r="G638" s="11" t="n"/>
      <c r="H638" s="10">
        <f>IF($G638="","",IFERROR(VLOOKUP($G638,CustTbl,2,0),IFERROR(VLOOKUP($G638,SuppTbl,2,0),IFERROR(VLOOKUP($G638,AcctTbl,2,0),IFERROR(VLOOKUP($G638,StaffTbl,2,0),"کد ناشناخته")))))</f>
        <v/>
      </c>
      <c r="I638" s="12" t="n"/>
      <c r="J638" s="12" t="n"/>
      <c r="K638" s="13" t="n"/>
      <c r="L638" s="13" t="n"/>
      <c r="M638" s="13" t="n"/>
      <c r="N638" s="14">
        <f>IF(OR($C638="",$E638="",Calc!$H638=""),"",IFERROR(VLOOKUP(LEFT(UPPER(TRIM($E638)),6),BankTbl,3,0),0)+SUMIFS(CalcDep,CalcBank,LEFT(UPPER(TRIM($E638)),6),CalcKey,"&lt;="&amp;Calc!$H638)-SUMIFS(CalcWit,CalcBank,LEFT(UPPER(TRIM($E638)),6),CalcKey,"&lt;="&amp;Calc!$H638))</f>
        <v/>
      </c>
      <c r="O638" s="10">
        <f>IF(OR($C638="",$M638=""),"",IF($N638="","؟",IF(ROUND($M638-$N638,0)=0,"√","×")))</f>
        <v/>
      </c>
      <c r="P638" s="12" t="n"/>
    </row>
    <row r="639">
      <c r="A639" s="10">
        <f>IF($C639="","",COUNTA($C$9:$C639))</f>
        <v/>
      </c>
      <c r="B639" s="10">
        <f>IF($C639="","","TXN-"&amp;RIGHT("0000"&amp;631,4))</f>
        <v/>
      </c>
      <c r="C639" s="11" t="n"/>
      <c r="D639" s="11" t="n"/>
      <c r="E639" s="12" t="n"/>
      <c r="F639" s="10">
        <f>IF($E639="","",IFERROR(IF(VLOOKUP(LEFT(UPPER(TRIM($E639)),6),BankTbl,2,0)="","(بدون عنوان)",VLOOKUP(LEFT(UPPER(TRIM($E639)),6),BankTbl,2,0)),"بانک ناشناخته"))</f>
        <v/>
      </c>
      <c r="G639" s="11" t="n"/>
      <c r="H639" s="10">
        <f>IF($G639="","",IFERROR(VLOOKUP($G639,CustTbl,2,0),IFERROR(VLOOKUP($G639,SuppTbl,2,0),IFERROR(VLOOKUP($G639,AcctTbl,2,0),IFERROR(VLOOKUP($G639,StaffTbl,2,0),"کد ناشناخته")))))</f>
        <v/>
      </c>
      <c r="I639" s="12" t="n"/>
      <c r="J639" s="12" t="n"/>
      <c r="K639" s="13" t="n"/>
      <c r="L639" s="13" t="n"/>
      <c r="M639" s="13" t="n"/>
      <c r="N639" s="14">
        <f>IF(OR($C639="",$E639="",Calc!$H639=""),"",IFERROR(VLOOKUP(LEFT(UPPER(TRIM($E639)),6),BankTbl,3,0),0)+SUMIFS(CalcDep,CalcBank,LEFT(UPPER(TRIM($E639)),6),CalcKey,"&lt;="&amp;Calc!$H639)-SUMIFS(CalcWit,CalcBank,LEFT(UPPER(TRIM($E639)),6),CalcKey,"&lt;="&amp;Calc!$H639))</f>
        <v/>
      </c>
      <c r="O639" s="10">
        <f>IF(OR($C639="",$M639=""),"",IF($N639="","؟",IF(ROUND($M639-$N639,0)=0,"√","×")))</f>
        <v/>
      </c>
      <c r="P639" s="12" t="n"/>
    </row>
    <row r="640">
      <c r="A640" s="10">
        <f>IF($C640="","",COUNTA($C$9:$C640))</f>
        <v/>
      </c>
      <c r="B640" s="10">
        <f>IF($C640="","","TXN-"&amp;RIGHT("0000"&amp;632,4))</f>
        <v/>
      </c>
      <c r="C640" s="11" t="n"/>
      <c r="D640" s="11" t="n"/>
      <c r="E640" s="12" t="n"/>
      <c r="F640" s="10">
        <f>IF($E640="","",IFERROR(IF(VLOOKUP(LEFT(UPPER(TRIM($E640)),6),BankTbl,2,0)="","(بدون عنوان)",VLOOKUP(LEFT(UPPER(TRIM($E640)),6),BankTbl,2,0)),"بانک ناشناخته"))</f>
        <v/>
      </c>
      <c r="G640" s="11" t="n"/>
      <c r="H640" s="10">
        <f>IF($G640="","",IFERROR(VLOOKUP($G640,CustTbl,2,0),IFERROR(VLOOKUP($G640,SuppTbl,2,0),IFERROR(VLOOKUP($G640,AcctTbl,2,0),IFERROR(VLOOKUP($G640,StaffTbl,2,0),"کد ناشناخته")))))</f>
        <v/>
      </c>
      <c r="I640" s="12" t="n"/>
      <c r="J640" s="12" t="n"/>
      <c r="K640" s="13" t="n"/>
      <c r="L640" s="13" t="n"/>
      <c r="M640" s="13" t="n"/>
      <c r="N640" s="14">
        <f>IF(OR($C640="",$E640="",Calc!$H640=""),"",IFERROR(VLOOKUP(LEFT(UPPER(TRIM($E640)),6),BankTbl,3,0),0)+SUMIFS(CalcDep,CalcBank,LEFT(UPPER(TRIM($E640)),6),CalcKey,"&lt;="&amp;Calc!$H640)-SUMIFS(CalcWit,CalcBank,LEFT(UPPER(TRIM($E640)),6),CalcKey,"&lt;="&amp;Calc!$H640))</f>
        <v/>
      </c>
      <c r="O640" s="10">
        <f>IF(OR($C640="",$M640=""),"",IF($N640="","؟",IF(ROUND($M640-$N640,0)=0,"√","×")))</f>
        <v/>
      </c>
      <c r="P640" s="12" t="n"/>
    </row>
    <row r="641">
      <c r="A641" s="10">
        <f>IF($C641="","",COUNTA($C$9:$C641))</f>
        <v/>
      </c>
      <c r="B641" s="10">
        <f>IF($C641="","","TXN-"&amp;RIGHT("0000"&amp;633,4))</f>
        <v/>
      </c>
      <c r="C641" s="11" t="n"/>
      <c r="D641" s="11" t="n"/>
      <c r="E641" s="12" t="n"/>
      <c r="F641" s="10">
        <f>IF($E641="","",IFERROR(IF(VLOOKUP(LEFT(UPPER(TRIM($E641)),6),BankTbl,2,0)="","(بدون عنوان)",VLOOKUP(LEFT(UPPER(TRIM($E641)),6),BankTbl,2,0)),"بانک ناشناخته"))</f>
        <v/>
      </c>
      <c r="G641" s="11" t="n"/>
      <c r="H641" s="10">
        <f>IF($G641="","",IFERROR(VLOOKUP($G641,CustTbl,2,0),IFERROR(VLOOKUP($G641,SuppTbl,2,0),IFERROR(VLOOKUP($G641,AcctTbl,2,0),IFERROR(VLOOKUP($G641,StaffTbl,2,0),"کد ناشناخته")))))</f>
        <v/>
      </c>
      <c r="I641" s="12" t="n"/>
      <c r="J641" s="12" t="n"/>
      <c r="K641" s="13" t="n"/>
      <c r="L641" s="13" t="n"/>
      <c r="M641" s="13" t="n"/>
      <c r="N641" s="14">
        <f>IF(OR($C641="",$E641="",Calc!$H641=""),"",IFERROR(VLOOKUP(LEFT(UPPER(TRIM($E641)),6),BankTbl,3,0),0)+SUMIFS(CalcDep,CalcBank,LEFT(UPPER(TRIM($E641)),6),CalcKey,"&lt;="&amp;Calc!$H641)-SUMIFS(CalcWit,CalcBank,LEFT(UPPER(TRIM($E641)),6),CalcKey,"&lt;="&amp;Calc!$H641))</f>
        <v/>
      </c>
      <c r="O641" s="10">
        <f>IF(OR($C641="",$M641=""),"",IF($N641="","؟",IF(ROUND($M641-$N641,0)=0,"√","×")))</f>
        <v/>
      </c>
      <c r="P641" s="12" t="n"/>
    </row>
    <row r="642">
      <c r="A642" s="10">
        <f>IF($C642="","",COUNTA($C$9:$C642))</f>
        <v/>
      </c>
      <c r="B642" s="10">
        <f>IF($C642="","","TXN-"&amp;RIGHT("0000"&amp;634,4))</f>
        <v/>
      </c>
      <c r="C642" s="11" t="n"/>
      <c r="D642" s="11" t="n"/>
      <c r="E642" s="12" t="n"/>
      <c r="F642" s="10">
        <f>IF($E642="","",IFERROR(IF(VLOOKUP(LEFT(UPPER(TRIM($E642)),6),BankTbl,2,0)="","(بدون عنوان)",VLOOKUP(LEFT(UPPER(TRIM($E642)),6),BankTbl,2,0)),"بانک ناشناخته"))</f>
        <v/>
      </c>
      <c r="G642" s="11" t="n"/>
      <c r="H642" s="10">
        <f>IF($G642="","",IFERROR(VLOOKUP($G642,CustTbl,2,0),IFERROR(VLOOKUP($G642,SuppTbl,2,0),IFERROR(VLOOKUP($G642,AcctTbl,2,0),IFERROR(VLOOKUP($G642,StaffTbl,2,0),"کد ناشناخته")))))</f>
        <v/>
      </c>
      <c r="I642" s="12" t="n"/>
      <c r="J642" s="12" t="n"/>
      <c r="K642" s="13" t="n"/>
      <c r="L642" s="13" t="n"/>
      <c r="M642" s="13" t="n"/>
      <c r="N642" s="14">
        <f>IF(OR($C642="",$E642="",Calc!$H642=""),"",IFERROR(VLOOKUP(LEFT(UPPER(TRIM($E642)),6),BankTbl,3,0),0)+SUMIFS(CalcDep,CalcBank,LEFT(UPPER(TRIM($E642)),6),CalcKey,"&lt;="&amp;Calc!$H642)-SUMIFS(CalcWit,CalcBank,LEFT(UPPER(TRIM($E642)),6),CalcKey,"&lt;="&amp;Calc!$H642))</f>
        <v/>
      </c>
      <c r="O642" s="10">
        <f>IF(OR($C642="",$M642=""),"",IF($N642="","؟",IF(ROUND($M642-$N642,0)=0,"√","×")))</f>
        <v/>
      </c>
      <c r="P642" s="12" t="n"/>
    </row>
    <row r="643">
      <c r="A643" s="10">
        <f>IF($C643="","",COUNTA($C$9:$C643))</f>
        <v/>
      </c>
      <c r="B643" s="10">
        <f>IF($C643="","","TXN-"&amp;RIGHT("0000"&amp;635,4))</f>
        <v/>
      </c>
      <c r="C643" s="11" t="n"/>
      <c r="D643" s="11" t="n"/>
      <c r="E643" s="12" t="n"/>
      <c r="F643" s="10">
        <f>IF($E643="","",IFERROR(IF(VLOOKUP(LEFT(UPPER(TRIM($E643)),6),BankTbl,2,0)="","(بدون عنوان)",VLOOKUP(LEFT(UPPER(TRIM($E643)),6),BankTbl,2,0)),"بانک ناشناخته"))</f>
        <v/>
      </c>
      <c r="G643" s="11" t="n"/>
      <c r="H643" s="10">
        <f>IF($G643="","",IFERROR(VLOOKUP($G643,CustTbl,2,0),IFERROR(VLOOKUP($G643,SuppTbl,2,0),IFERROR(VLOOKUP($G643,AcctTbl,2,0),IFERROR(VLOOKUP($G643,StaffTbl,2,0),"کد ناشناخته")))))</f>
        <v/>
      </c>
      <c r="I643" s="12" t="n"/>
      <c r="J643" s="12" t="n"/>
      <c r="K643" s="13" t="n"/>
      <c r="L643" s="13" t="n"/>
      <c r="M643" s="13" t="n"/>
      <c r="N643" s="14">
        <f>IF(OR($C643="",$E643="",Calc!$H643=""),"",IFERROR(VLOOKUP(LEFT(UPPER(TRIM($E643)),6),BankTbl,3,0),0)+SUMIFS(CalcDep,CalcBank,LEFT(UPPER(TRIM($E643)),6),CalcKey,"&lt;="&amp;Calc!$H643)-SUMIFS(CalcWit,CalcBank,LEFT(UPPER(TRIM($E643)),6),CalcKey,"&lt;="&amp;Calc!$H643))</f>
        <v/>
      </c>
      <c r="O643" s="10">
        <f>IF(OR($C643="",$M643=""),"",IF($N643="","؟",IF(ROUND($M643-$N643,0)=0,"√","×")))</f>
        <v/>
      </c>
      <c r="P643" s="12" t="n"/>
    </row>
    <row r="644">
      <c r="A644" s="10">
        <f>IF($C644="","",COUNTA($C$9:$C644))</f>
        <v/>
      </c>
      <c r="B644" s="10">
        <f>IF($C644="","","TXN-"&amp;RIGHT("0000"&amp;636,4))</f>
        <v/>
      </c>
      <c r="C644" s="11" t="n"/>
      <c r="D644" s="11" t="n"/>
      <c r="E644" s="12" t="n"/>
      <c r="F644" s="10">
        <f>IF($E644="","",IFERROR(IF(VLOOKUP(LEFT(UPPER(TRIM($E644)),6),BankTbl,2,0)="","(بدون عنوان)",VLOOKUP(LEFT(UPPER(TRIM($E644)),6),BankTbl,2,0)),"بانک ناشناخته"))</f>
        <v/>
      </c>
      <c r="G644" s="11" t="n"/>
      <c r="H644" s="10">
        <f>IF($G644="","",IFERROR(VLOOKUP($G644,CustTbl,2,0),IFERROR(VLOOKUP($G644,SuppTbl,2,0),IFERROR(VLOOKUP($G644,AcctTbl,2,0),IFERROR(VLOOKUP($G644,StaffTbl,2,0),"کد ناشناخته")))))</f>
        <v/>
      </c>
      <c r="I644" s="12" t="n"/>
      <c r="J644" s="12" t="n"/>
      <c r="K644" s="13" t="n"/>
      <c r="L644" s="13" t="n"/>
      <c r="M644" s="13" t="n"/>
      <c r="N644" s="14">
        <f>IF(OR($C644="",$E644="",Calc!$H644=""),"",IFERROR(VLOOKUP(LEFT(UPPER(TRIM($E644)),6),BankTbl,3,0),0)+SUMIFS(CalcDep,CalcBank,LEFT(UPPER(TRIM($E644)),6),CalcKey,"&lt;="&amp;Calc!$H644)-SUMIFS(CalcWit,CalcBank,LEFT(UPPER(TRIM($E644)),6),CalcKey,"&lt;="&amp;Calc!$H644))</f>
        <v/>
      </c>
      <c r="O644" s="10">
        <f>IF(OR($C644="",$M644=""),"",IF($N644="","؟",IF(ROUND($M644-$N644,0)=0,"√","×")))</f>
        <v/>
      </c>
      <c r="P644" s="12" t="n"/>
    </row>
    <row r="645">
      <c r="A645" s="10">
        <f>IF($C645="","",COUNTA($C$9:$C645))</f>
        <v/>
      </c>
      <c r="B645" s="10">
        <f>IF($C645="","","TXN-"&amp;RIGHT("0000"&amp;637,4))</f>
        <v/>
      </c>
      <c r="C645" s="11" t="n"/>
      <c r="D645" s="11" t="n"/>
      <c r="E645" s="12" t="n"/>
      <c r="F645" s="10">
        <f>IF($E645="","",IFERROR(IF(VLOOKUP(LEFT(UPPER(TRIM($E645)),6),BankTbl,2,0)="","(بدون عنوان)",VLOOKUP(LEFT(UPPER(TRIM($E645)),6),BankTbl,2,0)),"بانک ناشناخته"))</f>
        <v/>
      </c>
      <c r="G645" s="11" t="n"/>
      <c r="H645" s="10">
        <f>IF($G645="","",IFERROR(VLOOKUP($G645,CustTbl,2,0),IFERROR(VLOOKUP($G645,SuppTbl,2,0),IFERROR(VLOOKUP($G645,AcctTbl,2,0),IFERROR(VLOOKUP($G645,StaffTbl,2,0),"کد ناشناخته")))))</f>
        <v/>
      </c>
      <c r="I645" s="12" t="n"/>
      <c r="J645" s="12" t="n"/>
      <c r="K645" s="13" t="n"/>
      <c r="L645" s="13" t="n"/>
      <c r="M645" s="13" t="n"/>
      <c r="N645" s="14">
        <f>IF(OR($C645="",$E645="",Calc!$H645=""),"",IFERROR(VLOOKUP(LEFT(UPPER(TRIM($E645)),6),BankTbl,3,0),0)+SUMIFS(CalcDep,CalcBank,LEFT(UPPER(TRIM($E645)),6),CalcKey,"&lt;="&amp;Calc!$H645)-SUMIFS(CalcWit,CalcBank,LEFT(UPPER(TRIM($E645)),6),CalcKey,"&lt;="&amp;Calc!$H645))</f>
        <v/>
      </c>
      <c r="O645" s="10">
        <f>IF(OR($C645="",$M645=""),"",IF($N645="","؟",IF(ROUND($M645-$N645,0)=0,"√","×")))</f>
        <v/>
      </c>
      <c r="P645" s="12" t="n"/>
    </row>
    <row r="646">
      <c r="A646" s="10">
        <f>IF($C646="","",COUNTA($C$9:$C646))</f>
        <v/>
      </c>
      <c r="B646" s="10">
        <f>IF($C646="","","TXN-"&amp;RIGHT("0000"&amp;638,4))</f>
        <v/>
      </c>
      <c r="C646" s="11" t="n"/>
      <c r="D646" s="11" t="n"/>
      <c r="E646" s="12" t="n"/>
      <c r="F646" s="10">
        <f>IF($E646="","",IFERROR(IF(VLOOKUP(LEFT(UPPER(TRIM($E646)),6),BankTbl,2,0)="","(بدون عنوان)",VLOOKUP(LEFT(UPPER(TRIM($E646)),6),BankTbl,2,0)),"بانک ناشناخته"))</f>
        <v/>
      </c>
      <c r="G646" s="11" t="n"/>
      <c r="H646" s="10">
        <f>IF($G646="","",IFERROR(VLOOKUP($G646,CustTbl,2,0),IFERROR(VLOOKUP($G646,SuppTbl,2,0),IFERROR(VLOOKUP($G646,AcctTbl,2,0),IFERROR(VLOOKUP($G646,StaffTbl,2,0),"کد ناشناخته")))))</f>
        <v/>
      </c>
      <c r="I646" s="12" t="n"/>
      <c r="J646" s="12" t="n"/>
      <c r="K646" s="13" t="n"/>
      <c r="L646" s="13" t="n"/>
      <c r="M646" s="13" t="n"/>
      <c r="N646" s="14">
        <f>IF(OR($C646="",$E646="",Calc!$H646=""),"",IFERROR(VLOOKUP(LEFT(UPPER(TRIM($E646)),6),BankTbl,3,0),0)+SUMIFS(CalcDep,CalcBank,LEFT(UPPER(TRIM($E646)),6),CalcKey,"&lt;="&amp;Calc!$H646)-SUMIFS(CalcWit,CalcBank,LEFT(UPPER(TRIM($E646)),6),CalcKey,"&lt;="&amp;Calc!$H646))</f>
        <v/>
      </c>
      <c r="O646" s="10">
        <f>IF(OR($C646="",$M646=""),"",IF($N646="","؟",IF(ROUND($M646-$N646,0)=0,"√","×")))</f>
        <v/>
      </c>
      <c r="P646" s="12" t="n"/>
    </row>
    <row r="647">
      <c r="A647" s="10">
        <f>IF($C647="","",COUNTA($C$9:$C647))</f>
        <v/>
      </c>
      <c r="B647" s="10">
        <f>IF($C647="","","TXN-"&amp;RIGHT("0000"&amp;639,4))</f>
        <v/>
      </c>
      <c r="C647" s="11" t="n"/>
      <c r="D647" s="11" t="n"/>
      <c r="E647" s="12" t="n"/>
      <c r="F647" s="10">
        <f>IF($E647="","",IFERROR(IF(VLOOKUP(LEFT(UPPER(TRIM($E647)),6),BankTbl,2,0)="","(بدون عنوان)",VLOOKUP(LEFT(UPPER(TRIM($E647)),6),BankTbl,2,0)),"بانک ناشناخته"))</f>
        <v/>
      </c>
      <c r="G647" s="11" t="n"/>
      <c r="H647" s="10">
        <f>IF($G647="","",IFERROR(VLOOKUP($G647,CustTbl,2,0),IFERROR(VLOOKUP($G647,SuppTbl,2,0),IFERROR(VLOOKUP($G647,AcctTbl,2,0),IFERROR(VLOOKUP($G647,StaffTbl,2,0),"کد ناشناخته")))))</f>
        <v/>
      </c>
      <c r="I647" s="12" t="n"/>
      <c r="J647" s="12" t="n"/>
      <c r="K647" s="13" t="n"/>
      <c r="L647" s="13" t="n"/>
      <c r="M647" s="13" t="n"/>
      <c r="N647" s="14">
        <f>IF(OR($C647="",$E647="",Calc!$H647=""),"",IFERROR(VLOOKUP(LEFT(UPPER(TRIM($E647)),6),BankTbl,3,0),0)+SUMIFS(CalcDep,CalcBank,LEFT(UPPER(TRIM($E647)),6),CalcKey,"&lt;="&amp;Calc!$H647)-SUMIFS(CalcWit,CalcBank,LEFT(UPPER(TRIM($E647)),6),CalcKey,"&lt;="&amp;Calc!$H647))</f>
        <v/>
      </c>
      <c r="O647" s="10">
        <f>IF(OR($C647="",$M647=""),"",IF($N647="","؟",IF(ROUND($M647-$N647,0)=0,"√","×")))</f>
        <v/>
      </c>
      <c r="P647" s="12" t="n"/>
    </row>
    <row r="648">
      <c r="A648" s="10">
        <f>IF($C648="","",COUNTA($C$9:$C648))</f>
        <v/>
      </c>
      <c r="B648" s="10">
        <f>IF($C648="","","TXN-"&amp;RIGHT("0000"&amp;640,4))</f>
        <v/>
      </c>
      <c r="C648" s="11" t="n"/>
      <c r="D648" s="11" t="n"/>
      <c r="E648" s="12" t="n"/>
      <c r="F648" s="10">
        <f>IF($E648="","",IFERROR(IF(VLOOKUP(LEFT(UPPER(TRIM($E648)),6),BankTbl,2,0)="","(بدون عنوان)",VLOOKUP(LEFT(UPPER(TRIM($E648)),6),BankTbl,2,0)),"بانک ناشناخته"))</f>
        <v/>
      </c>
      <c r="G648" s="11" t="n"/>
      <c r="H648" s="10">
        <f>IF($G648="","",IFERROR(VLOOKUP($G648,CustTbl,2,0),IFERROR(VLOOKUP($G648,SuppTbl,2,0),IFERROR(VLOOKUP($G648,AcctTbl,2,0),IFERROR(VLOOKUP($G648,StaffTbl,2,0),"کد ناشناخته")))))</f>
        <v/>
      </c>
      <c r="I648" s="12" t="n"/>
      <c r="J648" s="12" t="n"/>
      <c r="K648" s="13" t="n"/>
      <c r="L648" s="13" t="n"/>
      <c r="M648" s="13" t="n"/>
      <c r="N648" s="14">
        <f>IF(OR($C648="",$E648="",Calc!$H648=""),"",IFERROR(VLOOKUP(LEFT(UPPER(TRIM($E648)),6),BankTbl,3,0),0)+SUMIFS(CalcDep,CalcBank,LEFT(UPPER(TRIM($E648)),6),CalcKey,"&lt;="&amp;Calc!$H648)-SUMIFS(CalcWit,CalcBank,LEFT(UPPER(TRIM($E648)),6),CalcKey,"&lt;="&amp;Calc!$H648))</f>
        <v/>
      </c>
      <c r="O648" s="10">
        <f>IF(OR($C648="",$M648=""),"",IF($N648="","؟",IF(ROUND($M648-$N648,0)=0,"√","×")))</f>
        <v/>
      </c>
      <c r="P648" s="12" t="n"/>
    </row>
    <row r="649">
      <c r="A649" s="10">
        <f>IF($C649="","",COUNTA($C$9:$C649))</f>
        <v/>
      </c>
      <c r="B649" s="10">
        <f>IF($C649="","","TXN-"&amp;RIGHT("0000"&amp;641,4))</f>
        <v/>
      </c>
      <c r="C649" s="11" t="n"/>
      <c r="D649" s="11" t="n"/>
      <c r="E649" s="12" t="n"/>
      <c r="F649" s="10">
        <f>IF($E649="","",IFERROR(IF(VLOOKUP(LEFT(UPPER(TRIM($E649)),6),BankTbl,2,0)="","(بدون عنوان)",VLOOKUP(LEFT(UPPER(TRIM($E649)),6),BankTbl,2,0)),"بانک ناشناخته"))</f>
        <v/>
      </c>
      <c r="G649" s="11" t="n"/>
      <c r="H649" s="10">
        <f>IF($G649="","",IFERROR(VLOOKUP($G649,CustTbl,2,0),IFERROR(VLOOKUP($G649,SuppTbl,2,0),IFERROR(VLOOKUP($G649,AcctTbl,2,0),IFERROR(VLOOKUP($G649,StaffTbl,2,0),"کد ناشناخته")))))</f>
        <v/>
      </c>
      <c r="I649" s="12" t="n"/>
      <c r="J649" s="12" t="n"/>
      <c r="K649" s="13" t="n"/>
      <c r="L649" s="13" t="n"/>
      <c r="M649" s="13" t="n"/>
      <c r="N649" s="14">
        <f>IF(OR($C649="",$E649="",Calc!$H649=""),"",IFERROR(VLOOKUP(LEFT(UPPER(TRIM($E649)),6),BankTbl,3,0),0)+SUMIFS(CalcDep,CalcBank,LEFT(UPPER(TRIM($E649)),6),CalcKey,"&lt;="&amp;Calc!$H649)-SUMIFS(CalcWit,CalcBank,LEFT(UPPER(TRIM($E649)),6),CalcKey,"&lt;="&amp;Calc!$H649))</f>
        <v/>
      </c>
      <c r="O649" s="10">
        <f>IF(OR($C649="",$M649=""),"",IF($N649="","؟",IF(ROUND($M649-$N649,0)=0,"√","×")))</f>
        <v/>
      </c>
      <c r="P649" s="12" t="n"/>
    </row>
    <row r="650">
      <c r="A650" s="10">
        <f>IF($C650="","",COUNTA($C$9:$C650))</f>
        <v/>
      </c>
      <c r="B650" s="10">
        <f>IF($C650="","","TXN-"&amp;RIGHT("0000"&amp;642,4))</f>
        <v/>
      </c>
      <c r="C650" s="11" t="n"/>
      <c r="D650" s="11" t="n"/>
      <c r="E650" s="12" t="n"/>
      <c r="F650" s="10">
        <f>IF($E650="","",IFERROR(IF(VLOOKUP(LEFT(UPPER(TRIM($E650)),6),BankTbl,2,0)="","(بدون عنوان)",VLOOKUP(LEFT(UPPER(TRIM($E650)),6),BankTbl,2,0)),"بانک ناشناخته"))</f>
        <v/>
      </c>
      <c r="G650" s="11" t="n"/>
      <c r="H650" s="10">
        <f>IF($G650="","",IFERROR(VLOOKUP($G650,CustTbl,2,0),IFERROR(VLOOKUP($G650,SuppTbl,2,0),IFERROR(VLOOKUP($G650,AcctTbl,2,0),IFERROR(VLOOKUP($G650,StaffTbl,2,0),"کد ناشناخته")))))</f>
        <v/>
      </c>
      <c r="I650" s="12" t="n"/>
      <c r="J650" s="12" t="n"/>
      <c r="K650" s="13" t="n"/>
      <c r="L650" s="13" t="n"/>
      <c r="M650" s="13" t="n"/>
      <c r="N650" s="14">
        <f>IF(OR($C650="",$E650="",Calc!$H650=""),"",IFERROR(VLOOKUP(LEFT(UPPER(TRIM($E650)),6),BankTbl,3,0),0)+SUMIFS(CalcDep,CalcBank,LEFT(UPPER(TRIM($E650)),6),CalcKey,"&lt;="&amp;Calc!$H650)-SUMIFS(CalcWit,CalcBank,LEFT(UPPER(TRIM($E650)),6),CalcKey,"&lt;="&amp;Calc!$H650))</f>
        <v/>
      </c>
      <c r="O650" s="10">
        <f>IF(OR($C650="",$M650=""),"",IF($N650="","؟",IF(ROUND($M650-$N650,0)=0,"√","×")))</f>
        <v/>
      </c>
      <c r="P650" s="12" t="n"/>
    </row>
    <row r="651">
      <c r="A651" s="10">
        <f>IF($C651="","",COUNTA($C$9:$C651))</f>
        <v/>
      </c>
      <c r="B651" s="10">
        <f>IF($C651="","","TXN-"&amp;RIGHT("0000"&amp;643,4))</f>
        <v/>
      </c>
      <c r="C651" s="11" t="n"/>
      <c r="D651" s="11" t="n"/>
      <c r="E651" s="12" t="n"/>
      <c r="F651" s="10">
        <f>IF($E651="","",IFERROR(IF(VLOOKUP(LEFT(UPPER(TRIM($E651)),6),BankTbl,2,0)="","(بدون عنوان)",VLOOKUP(LEFT(UPPER(TRIM($E651)),6),BankTbl,2,0)),"بانک ناشناخته"))</f>
        <v/>
      </c>
      <c r="G651" s="11" t="n"/>
      <c r="H651" s="10">
        <f>IF($G651="","",IFERROR(VLOOKUP($G651,CustTbl,2,0),IFERROR(VLOOKUP($G651,SuppTbl,2,0),IFERROR(VLOOKUP($G651,AcctTbl,2,0),IFERROR(VLOOKUP($G651,StaffTbl,2,0),"کد ناشناخته")))))</f>
        <v/>
      </c>
      <c r="I651" s="12" t="n"/>
      <c r="J651" s="12" t="n"/>
      <c r="K651" s="13" t="n"/>
      <c r="L651" s="13" t="n"/>
      <c r="M651" s="13" t="n"/>
      <c r="N651" s="14">
        <f>IF(OR($C651="",$E651="",Calc!$H651=""),"",IFERROR(VLOOKUP(LEFT(UPPER(TRIM($E651)),6),BankTbl,3,0),0)+SUMIFS(CalcDep,CalcBank,LEFT(UPPER(TRIM($E651)),6),CalcKey,"&lt;="&amp;Calc!$H651)-SUMIFS(CalcWit,CalcBank,LEFT(UPPER(TRIM($E651)),6),CalcKey,"&lt;="&amp;Calc!$H651))</f>
        <v/>
      </c>
      <c r="O651" s="10">
        <f>IF(OR($C651="",$M651=""),"",IF($N651="","؟",IF(ROUND($M651-$N651,0)=0,"√","×")))</f>
        <v/>
      </c>
      <c r="P651" s="12" t="n"/>
    </row>
    <row r="652">
      <c r="A652" s="10">
        <f>IF($C652="","",COUNTA($C$9:$C652))</f>
        <v/>
      </c>
      <c r="B652" s="10">
        <f>IF($C652="","","TXN-"&amp;RIGHT("0000"&amp;644,4))</f>
        <v/>
      </c>
      <c r="C652" s="11" t="n"/>
      <c r="D652" s="11" t="n"/>
      <c r="E652" s="12" t="n"/>
      <c r="F652" s="10">
        <f>IF($E652="","",IFERROR(IF(VLOOKUP(LEFT(UPPER(TRIM($E652)),6),BankTbl,2,0)="","(بدون عنوان)",VLOOKUP(LEFT(UPPER(TRIM($E652)),6),BankTbl,2,0)),"بانک ناشناخته"))</f>
        <v/>
      </c>
      <c r="G652" s="11" t="n"/>
      <c r="H652" s="10">
        <f>IF($G652="","",IFERROR(VLOOKUP($G652,CustTbl,2,0),IFERROR(VLOOKUP($G652,SuppTbl,2,0),IFERROR(VLOOKUP($G652,AcctTbl,2,0),IFERROR(VLOOKUP($G652,StaffTbl,2,0),"کد ناشناخته")))))</f>
        <v/>
      </c>
      <c r="I652" s="12" t="n"/>
      <c r="J652" s="12" t="n"/>
      <c r="K652" s="13" t="n"/>
      <c r="L652" s="13" t="n"/>
      <c r="M652" s="13" t="n"/>
      <c r="N652" s="14">
        <f>IF(OR($C652="",$E652="",Calc!$H652=""),"",IFERROR(VLOOKUP(LEFT(UPPER(TRIM($E652)),6),BankTbl,3,0),0)+SUMIFS(CalcDep,CalcBank,LEFT(UPPER(TRIM($E652)),6),CalcKey,"&lt;="&amp;Calc!$H652)-SUMIFS(CalcWit,CalcBank,LEFT(UPPER(TRIM($E652)),6),CalcKey,"&lt;="&amp;Calc!$H652))</f>
        <v/>
      </c>
      <c r="O652" s="10">
        <f>IF(OR($C652="",$M652=""),"",IF($N652="","؟",IF(ROUND($M652-$N652,0)=0,"√","×")))</f>
        <v/>
      </c>
      <c r="P652" s="12" t="n"/>
    </row>
    <row r="653">
      <c r="A653" s="10">
        <f>IF($C653="","",COUNTA($C$9:$C653))</f>
        <v/>
      </c>
      <c r="B653" s="10">
        <f>IF($C653="","","TXN-"&amp;RIGHT("0000"&amp;645,4))</f>
        <v/>
      </c>
      <c r="C653" s="11" t="n"/>
      <c r="D653" s="11" t="n"/>
      <c r="E653" s="12" t="n"/>
      <c r="F653" s="10">
        <f>IF($E653="","",IFERROR(IF(VLOOKUP(LEFT(UPPER(TRIM($E653)),6),BankTbl,2,0)="","(بدون عنوان)",VLOOKUP(LEFT(UPPER(TRIM($E653)),6),BankTbl,2,0)),"بانک ناشناخته"))</f>
        <v/>
      </c>
      <c r="G653" s="11" t="n"/>
      <c r="H653" s="10">
        <f>IF($G653="","",IFERROR(VLOOKUP($G653,CustTbl,2,0),IFERROR(VLOOKUP($G653,SuppTbl,2,0),IFERROR(VLOOKUP($G653,AcctTbl,2,0),IFERROR(VLOOKUP($G653,StaffTbl,2,0),"کد ناشناخته")))))</f>
        <v/>
      </c>
      <c r="I653" s="12" t="n"/>
      <c r="J653" s="12" t="n"/>
      <c r="K653" s="13" t="n"/>
      <c r="L653" s="13" t="n"/>
      <c r="M653" s="13" t="n"/>
      <c r="N653" s="14">
        <f>IF(OR($C653="",$E653="",Calc!$H653=""),"",IFERROR(VLOOKUP(LEFT(UPPER(TRIM($E653)),6),BankTbl,3,0),0)+SUMIFS(CalcDep,CalcBank,LEFT(UPPER(TRIM($E653)),6),CalcKey,"&lt;="&amp;Calc!$H653)-SUMIFS(CalcWit,CalcBank,LEFT(UPPER(TRIM($E653)),6),CalcKey,"&lt;="&amp;Calc!$H653))</f>
        <v/>
      </c>
      <c r="O653" s="10">
        <f>IF(OR($C653="",$M653=""),"",IF($N653="","؟",IF(ROUND($M653-$N653,0)=0,"√","×")))</f>
        <v/>
      </c>
      <c r="P653" s="12" t="n"/>
    </row>
    <row r="654">
      <c r="A654" s="10">
        <f>IF($C654="","",COUNTA($C$9:$C654))</f>
        <v/>
      </c>
      <c r="B654" s="10">
        <f>IF($C654="","","TXN-"&amp;RIGHT("0000"&amp;646,4))</f>
        <v/>
      </c>
      <c r="C654" s="11" t="n"/>
      <c r="D654" s="11" t="n"/>
      <c r="E654" s="12" t="n"/>
      <c r="F654" s="10">
        <f>IF($E654="","",IFERROR(IF(VLOOKUP(LEFT(UPPER(TRIM($E654)),6),BankTbl,2,0)="","(بدون عنوان)",VLOOKUP(LEFT(UPPER(TRIM($E654)),6),BankTbl,2,0)),"بانک ناشناخته"))</f>
        <v/>
      </c>
      <c r="G654" s="11" t="n"/>
      <c r="H654" s="10">
        <f>IF($G654="","",IFERROR(VLOOKUP($G654,CustTbl,2,0),IFERROR(VLOOKUP($G654,SuppTbl,2,0),IFERROR(VLOOKUP($G654,AcctTbl,2,0),IFERROR(VLOOKUP($G654,StaffTbl,2,0),"کد ناشناخته")))))</f>
        <v/>
      </c>
      <c r="I654" s="12" t="n"/>
      <c r="J654" s="12" t="n"/>
      <c r="K654" s="13" t="n"/>
      <c r="L654" s="13" t="n"/>
      <c r="M654" s="13" t="n"/>
      <c r="N654" s="14">
        <f>IF(OR($C654="",$E654="",Calc!$H654=""),"",IFERROR(VLOOKUP(LEFT(UPPER(TRIM($E654)),6),BankTbl,3,0),0)+SUMIFS(CalcDep,CalcBank,LEFT(UPPER(TRIM($E654)),6),CalcKey,"&lt;="&amp;Calc!$H654)-SUMIFS(CalcWit,CalcBank,LEFT(UPPER(TRIM($E654)),6),CalcKey,"&lt;="&amp;Calc!$H654))</f>
        <v/>
      </c>
      <c r="O654" s="10">
        <f>IF(OR($C654="",$M654=""),"",IF($N654="","؟",IF(ROUND($M654-$N654,0)=0,"√","×")))</f>
        <v/>
      </c>
      <c r="P654" s="12" t="n"/>
    </row>
    <row r="655">
      <c r="A655" s="10">
        <f>IF($C655="","",COUNTA($C$9:$C655))</f>
        <v/>
      </c>
      <c r="B655" s="10">
        <f>IF($C655="","","TXN-"&amp;RIGHT("0000"&amp;647,4))</f>
        <v/>
      </c>
      <c r="C655" s="11" t="n"/>
      <c r="D655" s="11" t="n"/>
      <c r="E655" s="12" t="n"/>
      <c r="F655" s="10">
        <f>IF($E655="","",IFERROR(IF(VLOOKUP(LEFT(UPPER(TRIM($E655)),6),BankTbl,2,0)="","(بدون عنوان)",VLOOKUP(LEFT(UPPER(TRIM($E655)),6),BankTbl,2,0)),"بانک ناشناخته"))</f>
        <v/>
      </c>
      <c r="G655" s="11" t="n"/>
      <c r="H655" s="10">
        <f>IF($G655="","",IFERROR(VLOOKUP($G655,CustTbl,2,0),IFERROR(VLOOKUP($G655,SuppTbl,2,0),IFERROR(VLOOKUP($G655,AcctTbl,2,0),IFERROR(VLOOKUP($G655,StaffTbl,2,0),"کد ناشناخته")))))</f>
        <v/>
      </c>
      <c r="I655" s="12" t="n"/>
      <c r="J655" s="12" t="n"/>
      <c r="K655" s="13" t="n"/>
      <c r="L655" s="13" t="n"/>
      <c r="M655" s="13" t="n"/>
      <c r="N655" s="14">
        <f>IF(OR($C655="",$E655="",Calc!$H655=""),"",IFERROR(VLOOKUP(LEFT(UPPER(TRIM($E655)),6),BankTbl,3,0),0)+SUMIFS(CalcDep,CalcBank,LEFT(UPPER(TRIM($E655)),6),CalcKey,"&lt;="&amp;Calc!$H655)-SUMIFS(CalcWit,CalcBank,LEFT(UPPER(TRIM($E655)),6),CalcKey,"&lt;="&amp;Calc!$H655))</f>
        <v/>
      </c>
      <c r="O655" s="10">
        <f>IF(OR($C655="",$M655=""),"",IF($N655="","؟",IF(ROUND($M655-$N655,0)=0,"√","×")))</f>
        <v/>
      </c>
      <c r="P655" s="12" t="n"/>
    </row>
    <row r="656">
      <c r="A656" s="10">
        <f>IF($C656="","",COUNTA($C$9:$C656))</f>
        <v/>
      </c>
      <c r="B656" s="10">
        <f>IF($C656="","","TXN-"&amp;RIGHT("0000"&amp;648,4))</f>
        <v/>
      </c>
      <c r="C656" s="11" t="n"/>
      <c r="D656" s="11" t="n"/>
      <c r="E656" s="12" t="n"/>
      <c r="F656" s="10">
        <f>IF($E656="","",IFERROR(IF(VLOOKUP(LEFT(UPPER(TRIM($E656)),6),BankTbl,2,0)="","(بدون عنوان)",VLOOKUP(LEFT(UPPER(TRIM($E656)),6),BankTbl,2,0)),"بانک ناشناخته"))</f>
        <v/>
      </c>
      <c r="G656" s="11" t="n"/>
      <c r="H656" s="10">
        <f>IF($G656="","",IFERROR(VLOOKUP($G656,CustTbl,2,0),IFERROR(VLOOKUP($G656,SuppTbl,2,0),IFERROR(VLOOKUP($G656,AcctTbl,2,0),IFERROR(VLOOKUP($G656,StaffTbl,2,0),"کد ناشناخته")))))</f>
        <v/>
      </c>
      <c r="I656" s="12" t="n"/>
      <c r="J656" s="12" t="n"/>
      <c r="K656" s="13" t="n"/>
      <c r="L656" s="13" t="n"/>
      <c r="M656" s="13" t="n"/>
      <c r="N656" s="14">
        <f>IF(OR($C656="",$E656="",Calc!$H656=""),"",IFERROR(VLOOKUP(LEFT(UPPER(TRIM($E656)),6),BankTbl,3,0),0)+SUMIFS(CalcDep,CalcBank,LEFT(UPPER(TRIM($E656)),6),CalcKey,"&lt;="&amp;Calc!$H656)-SUMIFS(CalcWit,CalcBank,LEFT(UPPER(TRIM($E656)),6),CalcKey,"&lt;="&amp;Calc!$H656))</f>
        <v/>
      </c>
      <c r="O656" s="10">
        <f>IF(OR($C656="",$M656=""),"",IF($N656="","؟",IF(ROUND($M656-$N656,0)=0,"√","×")))</f>
        <v/>
      </c>
      <c r="P656" s="12" t="n"/>
    </row>
    <row r="657">
      <c r="A657" s="10">
        <f>IF($C657="","",COUNTA($C$9:$C657))</f>
        <v/>
      </c>
      <c r="B657" s="10">
        <f>IF($C657="","","TXN-"&amp;RIGHT("0000"&amp;649,4))</f>
        <v/>
      </c>
      <c r="C657" s="11" t="n"/>
      <c r="D657" s="11" t="n"/>
      <c r="E657" s="12" t="n"/>
      <c r="F657" s="10">
        <f>IF($E657="","",IFERROR(IF(VLOOKUP(LEFT(UPPER(TRIM($E657)),6),BankTbl,2,0)="","(بدون عنوان)",VLOOKUP(LEFT(UPPER(TRIM($E657)),6),BankTbl,2,0)),"بانک ناشناخته"))</f>
        <v/>
      </c>
      <c r="G657" s="11" t="n"/>
      <c r="H657" s="10">
        <f>IF($G657="","",IFERROR(VLOOKUP($G657,CustTbl,2,0),IFERROR(VLOOKUP($G657,SuppTbl,2,0),IFERROR(VLOOKUP($G657,AcctTbl,2,0),IFERROR(VLOOKUP($G657,StaffTbl,2,0),"کد ناشناخته")))))</f>
        <v/>
      </c>
      <c r="I657" s="12" t="n"/>
      <c r="J657" s="12" t="n"/>
      <c r="K657" s="13" t="n"/>
      <c r="L657" s="13" t="n"/>
      <c r="M657" s="13" t="n"/>
      <c r="N657" s="14">
        <f>IF(OR($C657="",$E657="",Calc!$H657=""),"",IFERROR(VLOOKUP(LEFT(UPPER(TRIM($E657)),6),BankTbl,3,0),0)+SUMIFS(CalcDep,CalcBank,LEFT(UPPER(TRIM($E657)),6),CalcKey,"&lt;="&amp;Calc!$H657)-SUMIFS(CalcWit,CalcBank,LEFT(UPPER(TRIM($E657)),6),CalcKey,"&lt;="&amp;Calc!$H657))</f>
        <v/>
      </c>
      <c r="O657" s="10">
        <f>IF(OR($C657="",$M657=""),"",IF($N657="","؟",IF(ROUND($M657-$N657,0)=0,"√","×")))</f>
        <v/>
      </c>
      <c r="P657" s="12" t="n"/>
    </row>
    <row r="658">
      <c r="A658" s="10">
        <f>IF($C658="","",COUNTA($C$9:$C658))</f>
        <v/>
      </c>
      <c r="B658" s="10">
        <f>IF($C658="","","TXN-"&amp;RIGHT("0000"&amp;650,4))</f>
        <v/>
      </c>
      <c r="C658" s="11" t="n"/>
      <c r="D658" s="11" t="n"/>
      <c r="E658" s="12" t="n"/>
      <c r="F658" s="10">
        <f>IF($E658="","",IFERROR(IF(VLOOKUP(LEFT(UPPER(TRIM($E658)),6),BankTbl,2,0)="","(بدون عنوان)",VLOOKUP(LEFT(UPPER(TRIM($E658)),6),BankTbl,2,0)),"بانک ناشناخته"))</f>
        <v/>
      </c>
      <c r="G658" s="11" t="n"/>
      <c r="H658" s="10">
        <f>IF($G658="","",IFERROR(VLOOKUP($G658,CustTbl,2,0),IFERROR(VLOOKUP($G658,SuppTbl,2,0),IFERROR(VLOOKUP($G658,AcctTbl,2,0),IFERROR(VLOOKUP($G658,StaffTbl,2,0),"کد ناشناخته")))))</f>
        <v/>
      </c>
      <c r="I658" s="12" t="n"/>
      <c r="J658" s="12" t="n"/>
      <c r="K658" s="13" t="n"/>
      <c r="L658" s="13" t="n"/>
      <c r="M658" s="13" t="n"/>
      <c r="N658" s="14">
        <f>IF(OR($C658="",$E658="",Calc!$H658=""),"",IFERROR(VLOOKUP(LEFT(UPPER(TRIM($E658)),6),BankTbl,3,0),0)+SUMIFS(CalcDep,CalcBank,LEFT(UPPER(TRIM($E658)),6),CalcKey,"&lt;="&amp;Calc!$H658)-SUMIFS(CalcWit,CalcBank,LEFT(UPPER(TRIM($E658)),6),CalcKey,"&lt;="&amp;Calc!$H658))</f>
        <v/>
      </c>
      <c r="O658" s="10">
        <f>IF(OR($C658="",$M658=""),"",IF($N658="","؟",IF(ROUND($M658-$N658,0)=0,"√","×")))</f>
        <v/>
      </c>
      <c r="P658" s="12" t="n"/>
    </row>
    <row r="659">
      <c r="A659" s="10">
        <f>IF($C659="","",COUNTA($C$9:$C659))</f>
        <v/>
      </c>
      <c r="B659" s="10">
        <f>IF($C659="","","TXN-"&amp;RIGHT("0000"&amp;651,4))</f>
        <v/>
      </c>
      <c r="C659" s="11" t="n"/>
      <c r="D659" s="11" t="n"/>
      <c r="E659" s="12" t="n"/>
      <c r="F659" s="10">
        <f>IF($E659="","",IFERROR(IF(VLOOKUP(LEFT(UPPER(TRIM($E659)),6),BankTbl,2,0)="","(بدون عنوان)",VLOOKUP(LEFT(UPPER(TRIM($E659)),6),BankTbl,2,0)),"بانک ناشناخته"))</f>
        <v/>
      </c>
      <c r="G659" s="11" t="n"/>
      <c r="H659" s="10">
        <f>IF($G659="","",IFERROR(VLOOKUP($G659,CustTbl,2,0),IFERROR(VLOOKUP($G659,SuppTbl,2,0),IFERROR(VLOOKUP($G659,AcctTbl,2,0),IFERROR(VLOOKUP($G659,StaffTbl,2,0),"کد ناشناخته")))))</f>
        <v/>
      </c>
      <c r="I659" s="12" t="n"/>
      <c r="J659" s="12" t="n"/>
      <c r="K659" s="13" t="n"/>
      <c r="L659" s="13" t="n"/>
      <c r="M659" s="13" t="n"/>
      <c r="N659" s="14">
        <f>IF(OR($C659="",$E659="",Calc!$H659=""),"",IFERROR(VLOOKUP(LEFT(UPPER(TRIM($E659)),6),BankTbl,3,0),0)+SUMIFS(CalcDep,CalcBank,LEFT(UPPER(TRIM($E659)),6),CalcKey,"&lt;="&amp;Calc!$H659)-SUMIFS(CalcWit,CalcBank,LEFT(UPPER(TRIM($E659)),6),CalcKey,"&lt;="&amp;Calc!$H659))</f>
        <v/>
      </c>
      <c r="O659" s="10">
        <f>IF(OR($C659="",$M659=""),"",IF($N659="","؟",IF(ROUND($M659-$N659,0)=0,"√","×")))</f>
        <v/>
      </c>
      <c r="P659" s="12" t="n"/>
    </row>
    <row r="660">
      <c r="A660" s="10">
        <f>IF($C660="","",COUNTA($C$9:$C660))</f>
        <v/>
      </c>
      <c r="B660" s="10">
        <f>IF($C660="","","TXN-"&amp;RIGHT("0000"&amp;652,4))</f>
        <v/>
      </c>
      <c r="C660" s="11" t="n"/>
      <c r="D660" s="11" t="n"/>
      <c r="E660" s="12" t="n"/>
      <c r="F660" s="10">
        <f>IF($E660="","",IFERROR(IF(VLOOKUP(LEFT(UPPER(TRIM($E660)),6),BankTbl,2,0)="","(بدون عنوان)",VLOOKUP(LEFT(UPPER(TRIM($E660)),6),BankTbl,2,0)),"بانک ناشناخته"))</f>
        <v/>
      </c>
      <c r="G660" s="11" t="n"/>
      <c r="H660" s="10">
        <f>IF($G660="","",IFERROR(VLOOKUP($G660,CustTbl,2,0),IFERROR(VLOOKUP($G660,SuppTbl,2,0),IFERROR(VLOOKUP($G660,AcctTbl,2,0),IFERROR(VLOOKUP($G660,StaffTbl,2,0),"کد ناشناخته")))))</f>
        <v/>
      </c>
      <c r="I660" s="12" t="n"/>
      <c r="J660" s="12" t="n"/>
      <c r="K660" s="13" t="n"/>
      <c r="L660" s="13" t="n"/>
      <c r="M660" s="13" t="n"/>
      <c r="N660" s="14">
        <f>IF(OR($C660="",$E660="",Calc!$H660=""),"",IFERROR(VLOOKUP(LEFT(UPPER(TRIM($E660)),6),BankTbl,3,0),0)+SUMIFS(CalcDep,CalcBank,LEFT(UPPER(TRIM($E660)),6),CalcKey,"&lt;="&amp;Calc!$H660)-SUMIFS(CalcWit,CalcBank,LEFT(UPPER(TRIM($E660)),6),CalcKey,"&lt;="&amp;Calc!$H660))</f>
        <v/>
      </c>
      <c r="O660" s="10">
        <f>IF(OR($C660="",$M660=""),"",IF($N660="","؟",IF(ROUND($M660-$N660,0)=0,"√","×")))</f>
        <v/>
      </c>
      <c r="P660" s="12" t="n"/>
    </row>
    <row r="661">
      <c r="A661" s="10">
        <f>IF($C661="","",COUNTA($C$9:$C661))</f>
        <v/>
      </c>
      <c r="B661" s="10">
        <f>IF($C661="","","TXN-"&amp;RIGHT("0000"&amp;653,4))</f>
        <v/>
      </c>
      <c r="C661" s="11" t="n"/>
      <c r="D661" s="11" t="n"/>
      <c r="E661" s="12" t="n"/>
      <c r="F661" s="10">
        <f>IF($E661="","",IFERROR(IF(VLOOKUP(LEFT(UPPER(TRIM($E661)),6),BankTbl,2,0)="","(بدون عنوان)",VLOOKUP(LEFT(UPPER(TRIM($E661)),6),BankTbl,2,0)),"بانک ناشناخته"))</f>
        <v/>
      </c>
      <c r="G661" s="11" t="n"/>
      <c r="H661" s="10">
        <f>IF($G661="","",IFERROR(VLOOKUP($G661,CustTbl,2,0),IFERROR(VLOOKUP($G661,SuppTbl,2,0),IFERROR(VLOOKUP($G661,AcctTbl,2,0),IFERROR(VLOOKUP($G661,StaffTbl,2,0),"کد ناشناخته")))))</f>
        <v/>
      </c>
      <c r="I661" s="12" t="n"/>
      <c r="J661" s="12" t="n"/>
      <c r="K661" s="13" t="n"/>
      <c r="L661" s="13" t="n"/>
      <c r="M661" s="13" t="n"/>
      <c r="N661" s="14">
        <f>IF(OR($C661="",$E661="",Calc!$H661=""),"",IFERROR(VLOOKUP(LEFT(UPPER(TRIM($E661)),6),BankTbl,3,0),0)+SUMIFS(CalcDep,CalcBank,LEFT(UPPER(TRIM($E661)),6),CalcKey,"&lt;="&amp;Calc!$H661)-SUMIFS(CalcWit,CalcBank,LEFT(UPPER(TRIM($E661)),6),CalcKey,"&lt;="&amp;Calc!$H661))</f>
        <v/>
      </c>
      <c r="O661" s="10">
        <f>IF(OR($C661="",$M661=""),"",IF($N661="","؟",IF(ROUND($M661-$N661,0)=0,"√","×")))</f>
        <v/>
      </c>
      <c r="P661" s="12" t="n"/>
    </row>
    <row r="662">
      <c r="A662" s="10">
        <f>IF($C662="","",COUNTA($C$9:$C662))</f>
        <v/>
      </c>
      <c r="B662" s="10">
        <f>IF($C662="","","TXN-"&amp;RIGHT("0000"&amp;654,4))</f>
        <v/>
      </c>
      <c r="C662" s="11" t="n"/>
      <c r="D662" s="11" t="n"/>
      <c r="E662" s="12" t="n"/>
      <c r="F662" s="10">
        <f>IF($E662="","",IFERROR(IF(VLOOKUP(LEFT(UPPER(TRIM($E662)),6),BankTbl,2,0)="","(بدون عنوان)",VLOOKUP(LEFT(UPPER(TRIM($E662)),6),BankTbl,2,0)),"بانک ناشناخته"))</f>
        <v/>
      </c>
      <c r="G662" s="11" t="n"/>
      <c r="H662" s="10">
        <f>IF($G662="","",IFERROR(VLOOKUP($G662,CustTbl,2,0),IFERROR(VLOOKUP($G662,SuppTbl,2,0),IFERROR(VLOOKUP($G662,AcctTbl,2,0),IFERROR(VLOOKUP($G662,StaffTbl,2,0),"کد ناشناخته")))))</f>
        <v/>
      </c>
      <c r="I662" s="12" t="n"/>
      <c r="J662" s="12" t="n"/>
      <c r="K662" s="13" t="n"/>
      <c r="L662" s="13" t="n"/>
      <c r="M662" s="13" t="n"/>
      <c r="N662" s="14">
        <f>IF(OR($C662="",$E662="",Calc!$H662=""),"",IFERROR(VLOOKUP(LEFT(UPPER(TRIM($E662)),6),BankTbl,3,0),0)+SUMIFS(CalcDep,CalcBank,LEFT(UPPER(TRIM($E662)),6),CalcKey,"&lt;="&amp;Calc!$H662)-SUMIFS(CalcWit,CalcBank,LEFT(UPPER(TRIM($E662)),6),CalcKey,"&lt;="&amp;Calc!$H662))</f>
        <v/>
      </c>
      <c r="O662" s="10">
        <f>IF(OR($C662="",$M662=""),"",IF($N662="","؟",IF(ROUND($M662-$N662,0)=0,"√","×")))</f>
        <v/>
      </c>
      <c r="P662" s="12" t="n"/>
    </row>
    <row r="663">
      <c r="A663" s="10">
        <f>IF($C663="","",COUNTA($C$9:$C663))</f>
        <v/>
      </c>
      <c r="B663" s="10">
        <f>IF($C663="","","TXN-"&amp;RIGHT("0000"&amp;655,4))</f>
        <v/>
      </c>
      <c r="C663" s="11" t="n"/>
      <c r="D663" s="11" t="n"/>
      <c r="E663" s="12" t="n"/>
      <c r="F663" s="10">
        <f>IF($E663="","",IFERROR(IF(VLOOKUP(LEFT(UPPER(TRIM($E663)),6),BankTbl,2,0)="","(بدون عنوان)",VLOOKUP(LEFT(UPPER(TRIM($E663)),6),BankTbl,2,0)),"بانک ناشناخته"))</f>
        <v/>
      </c>
      <c r="G663" s="11" t="n"/>
      <c r="H663" s="10">
        <f>IF($G663="","",IFERROR(VLOOKUP($G663,CustTbl,2,0),IFERROR(VLOOKUP($G663,SuppTbl,2,0),IFERROR(VLOOKUP($G663,AcctTbl,2,0),IFERROR(VLOOKUP($G663,StaffTbl,2,0),"کد ناشناخته")))))</f>
        <v/>
      </c>
      <c r="I663" s="12" t="n"/>
      <c r="J663" s="12" t="n"/>
      <c r="K663" s="13" t="n"/>
      <c r="L663" s="13" t="n"/>
      <c r="M663" s="13" t="n"/>
      <c r="N663" s="14">
        <f>IF(OR($C663="",$E663="",Calc!$H663=""),"",IFERROR(VLOOKUP(LEFT(UPPER(TRIM($E663)),6),BankTbl,3,0),0)+SUMIFS(CalcDep,CalcBank,LEFT(UPPER(TRIM($E663)),6),CalcKey,"&lt;="&amp;Calc!$H663)-SUMIFS(CalcWit,CalcBank,LEFT(UPPER(TRIM($E663)),6),CalcKey,"&lt;="&amp;Calc!$H663))</f>
        <v/>
      </c>
      <c r="O663" s="10">
        <f>IF(OR($C663="",$M663=""),"",IF($N663="","؟",IF(ROUND($M663-$N663,0)=0,"√","×")))</f>
        <v/>
      </c>
      <c r="P663" s="12" t="n"/>
    </row>
    <row r="664">
      <c r="A664" s="10">
        <f>IF($C664="","",COUNTA($C$9:$C664))</f>
        <v/>
      </c>
      <c r="B664" s="10">
        <f>IF($C664="","","TXN-"&amp;RIGHT("0000"&amp;656,4))</f>
        <v/>
      </c>
      <c r="C664" s="11" t="n"/>
      <c r="D664" s="11" t="n"/>
      <c r="E664" s="12" t="n"/>
      <c r="F664" s="10">
        <f>IF($E664="","",IFERROR(IF(VLOOKUP(LEFT(UPPER(TRIM($E664)),6),BankTbl,2,0)="","(بدون عنوان)",VLOOKUP(LEFT(UPPER(TRIM($E664)),6),BankTbl,2,0)),"بانک ناشناخته"))</f>
        <v/>
      </c>
      <c r="G664" s="11" t="n"/>
      <c r="H664" s="10">
        <f>IF($G664="","",IFERROR(VLOOKUP($G664,CustTbl,2,0),IFERROR(VLOOKUP($G664,SuppTbl,2,0),IFERROR(VLOOKUP($G664,AcctTbl,2,0),IFERROR(VLOOKUP($G664,StaffTbl,2,0),"کد ناشناخته")))))</f>
        <v/>
      </c>
      <c r="I664" s="12" t="n"/>
      <c r="J664" s="12" t="n"/>
      <c r="K664" s="13" t="n"/>
      <c r="L664" s="13" t="n"/>
      <c r="M664" s="13" t="n"/>
      <c r="N664" s="14">
        <f>IF(OR($C664="",$E664="",Calc!$H664=""),"",IFERROR(VLOOKUP(LEFT(UPPER(TRIM($E664)),6),BankTbl,3,0),0)+SUMIFS(CalcDep,CalcBank,LEFT(UPPER(TRIM($E664)),6),CalcKey,"&lt;="&amp;Calc!$H664)-SUMIFS(CalcWit,CalcBank,LEFT(UPPER(TRIM($E664)),6),CalcKey,"&lt;="&amp;Calc!$H664))</f>
        <v/>
      </c>
      <c r="O664" s="10">
        <f>IF(OR($C664="",$M664=""),"",IF($N664="","؟",IF(ROUND($M664-$N664,0)=0,"√","×")))</f>
        <v/>
      </c>
      <c r="P664" s="12" t="n"/>
    </row>
    <row r="665">
      <c r="A665" s="10">
        <f>IF($C665="","",COUNTA($C$9:$C665))</f>
        <v/>
      </c>
      <c r="B665" s="10">
        <f>IF($C665="","","TXN-"&amp;RIGHT("0000"&amp;657,4))</f>
        <v/>
      </c>
      <c r="C665" s="11" t="n"/>
      <c r="D665" s="11" t="n"/>
      <c r="E665" s="12" t="n"/>
      <c r="F665" s="10">
        <f>IF($E665="","",IFERROR(IF(VLOOKUP(LEFT(UPPER(TRIM($E665)),6),BankTbl,2,0)="","(بدون عنوان)",VLOOKUP(LEFT(UPPER(TRIM($E665)),6),BankTbl,2,0)),"بانک ناشناخته"))</f>
        <v/>
      </c>
      <c r="G665" s="11" t="n"/>
      <c r="H665" s="10">
        <f>IF($G665="","",IFERROR(VLOOKUP($G665,CustTbl,2,0),IFERROR(VLOOKUP($G665,SuppTbl,2,0),IFERROR(VLOOKUP($G665,AcctTbl,2,0),IFERROR(VLOOKUP($G665,StaffTbl,2,0),"کد ناشناخته")))))</f>
        <v/>
      </c>
      <c r="I665" s="12" t="n"/>
      <c r="J665" s="12" t="n"/>
      <c r="K665" s="13" t="n"/>
      <c r="L665" s="13" t="n"/>
      <c r="M665" s="13" t="n"/>
      <c r="N665" s="14">
        <f>IF(OR($C665="",$E665="",Calc!$H665=""),"",IFERROR(VLOOKUP(LEFT(UPPER(TRIM($E665)),6),BankTbl,3,0),0)+SUMIFS(CalcDep,CalcBank,LEFT(UPPER(TRIM($E665)),6),CalcKey,"&lt;="&amp;Calc!$H665)-SUMIFS(CalcWit,CalcBank,LEFT(UPPER(TRIM($E665)),6),CalcKey,"&lt;="&amp;Calc!$H665))</f>
        <v/>
      </c>
      <c r="O665" s="10">
        <f>IF(OR($C665="",$M665=""),"",IF($N665="","؟",IF(ROUND($M665-$N665,0)=0,"√","×")))</f>
        <v/>
      </c>
      <c r="P665" s="12" t="n"/>
    </row>
    <row r="666">
      <c r="A666" s="10">
        <f>IF($C666="","",COUNTA($C$9:$C666))</f>
        <v/>
      </c>
      <c r="B666" s="10">
        <f>IF($C666="","","TXN-"&amp;RIGHT("0000"&amp;658,4))</f>
        <v/>
      </c>
      <c r="C666" s="11" t="n"/>
      <c r="D666" s="11" t="n"/>
      <c r="E666" s="12" t="n"/>
      <c r="F666" s="10">
        <f>IF($E666="","",IFERROR(IF(VLOOKUP(LEFT(UPPER(TRIM($E666)),6),BankTbl,2,0)="","(بدون عنوان)",VLOOKUP(LEFT(UPPER(TRIM($E666)),6),BankTbl,2,0)),"بانک ناشناخته"))</f>
        <v/>
      </c>
      <c r="G666" s="11" t="n"/>
      <c r="H666" s="10">
        <f>IF($G666="","",IFERROR(VLOOKUP($G666,CustTbl,2,0),IFERROR(VLOOKUP($G666,SuppTbl,2,0),IFERROR(VLOOKUP($G666,AcctTbl,2,0),IFERROR(VLOOKUP($G666,StaffTbl,2,0),"کد ناشناخته")))))</f>
        <v/>
      </c>
      <c r="I666" s="12" t="n"/>
      <c r="J666" s="12" t="n"/>
      <c r="K666" s="13" t="n"/>
      <c r="L666" s="13" t="n"/>
      <c r="M666" s="13" t="n"/>
      <c r="N666" s="14">
        <f>IF(OR($C666="",$E666="",Calc!$H666=""),"",IFERROR(VLOOKUP(LEFT(UPPER(TRIM($E666)),6),BankTbl,3,0),0)+SUMIFS(CalcDep,CalcBank,LEFT(UPPER(TRIM($E666)),6),CalcKey,"&lt;="&amp;Calc!$H666)-SUMIFS(CalcWit,CalcBank,LEFT(UPPER(TRIM($E666)),6),CalcKey,"&lt;="&amp;Calc!$H666))</f>
        <v/>
      </c>
      <c r="O666" s="10">
        <f>IF(OR($C666="",$M666=""),"",IF($N666="","؟",IF(ROUND($M666-$N666,0)=0,"√","×")))</f>
        <v/>
      </c>
      <c r="P666" s="12" t="n"/>
    </row>
    <row r="667">
      <c r="A667" s="10">
        <f>IF($C667="","",COUNTA($C$9:$C667))</f>
        <v/>
      </c>
      <c r="B667" s="10">
        <f>IF($C667="","","TXN-"&amp;RIGHT("0000"&amp;659,4))</f>
        <v/>
      </c>
      <c r="C667" s="11" t="n"/>
      <c r="D667" s="11" t="n"/>
      <c r="E667" s="12" t="n"/>
      <c r="F667" s="10">
        <f>IF($E667="","",IFERROR(IF(VLOOKUP(LEFT(UPPER(TRIM($E667)),6),BankTbl,2,0)="","(بدون عنوان)",VLOOKUP(LEFT(UPPER(TRIM($E667)),6),BankTbl,2,0)),"بانک ناشناخته"))</f>
        <v/>
      </c>
      <c r="G667" s="11" t="n"/>
      <c r="H667" s="10">
        <f>IF($G667="","",IFERROR(VLOOKUP($G667,CustTbl,2,0),IFERROR(VLOOKUP($G667,SuppTbl,2,0),IFERROR(VLOOKUP($G667,AcctTbl,2,0),IFERROR(VLOOKUP($G667,StaffTbl,2,0),"کد ناشناخته")))))</f>
        <v/>
      </c>
      <c r="I667" s="12" t="n"/>
      <c r="J667" s="12" t="n"/>
      <c r="K667" s="13" t="n"/>
      <c r="L667" s="13" t="n"/>
      <c r="M667" s="13" t="n"/>
      <c r="N667" s="14">
        <f>IF(OR($C667="",$E667="",Calc!$H667=""),"",IFERROR(VLOOKUP(LEFT(UPPER(TRIM($E667)),6),BankTbl,3,0),0)+SUMIFS(CalcDep,CalcBank,LEFT(UPPER(TRIM($E667)),6),CalcKey,"&lt;="&amp;Calc!$H667)-SUMIFS(CalcWit,CalcBank,LEFT(UPPER(TRIM($E667)),6),CalcKey,"&lt;="&amp;Calc!$H667))</f>
        <v/>
      </c>
      <c r="O667" s="10">
        <f>IF(OR($C667="",$M667=""),"",IF($N667="","؟",IF(ROUND($M667-$N667,0)=0,"√","×")))</f>
        <v/>
      </c>
      <c r="P667" s="12" t="n"/>
    </row>
    <row r="668">
      <c r="A668" s="10">
        <f>IF($C668="","",COUNTA($C$9:$C668))</f>
        <v/>
      </c>
      <c r="B668" s="10">
        <f>IF($C668="","","TXN-"&amp;RIGHT("0000"&amp;660,4))</f>
        <v/>
      </c>
      <c r="C668" s="11" t="n"/>
      <c r="D668" s="11" t="n"/>
      <c r="E668" s="12" t="n"/>
      <c r="F668" s="10">
        <f>IF($E668="","",IFERROR(IF(VLOOKUP(LEFT(UPPER(TRIM($E668)),6),BankTbl,2,0)="","(بدون عنوان)",VLOOKUP(LEFT(UPPER(TRIM($E668)),6),BankTbl,2,0)),"بانک ناشناخته"))</f>
        <v/>
      </c>
      <c r="G668" s="11" t="n"/>
      <c r="H668" s="10">
        <f>IF($G668="","",IFERROR(VLOOKUP($G668,CustTbl,2,0),IFERROR(VLOOKUP($G668,SuppTbl,2,0),IFERROR(VLOOKUP($G668,AcctTbl,2,0),IFERROR(VLOOKUP($G668,StaffTbl,2,0),"کد ناشناخته")))))</f>
        <v/>
      </c>
      <c r="I668" s="12" t="n"/>
      <c r="J668" s="12" t="n"/>
      <c r="K668" s="13" t="n"/>
      <c r="L668" s="13" t="n"/>
      <c r="M668" s="13" t="n"/>
      <c r="N668" s="14">
        <f>IF(OR($C668="",$E668="",Calc!$H668=""),"",IFERROR(VLOOKUP(LEFT(UPPER(TRIM($E668)),6),BankTbl,3,0),0)+SUMIFS(CalcDep,CalcBank,LEFT(UPPER(TRIM($E668)),6),CalcKey,"&lt;="&amp;Calc!$H668)-SUMIFS(CalcWit,CalcBank,LEFT(UPPER(TRIM($E668)),6),CalcKey,"&lt;="&amp;Calc!$H668))</f>
        <v/>
      </c>
      <c r="O668" s="10">
        <f>IF(OR($C668="",$M668=""),"",IF($N668="","؟",IF(ROUND($M668-$N668,0)=0,"√","×")))</f>
        <v/>
      </c>
      <c r="P668" s="12" t="n"/>
    </row>
    <row r="669">
      <c r="A669" s="10">
        <f>IF($C669="","",COUNTA($C$9:$C669))</f>
        <v/>
      </c>
      <c r="B669" s="10">
        <f>IF($C669="","","TXN-"&amp;RIGHT("0000"&amp;661,4))</f>
        <v/>
      </c>
      <c r="C669" s="11" t="n"/>
      <c r="D669" s="11" t="n"/>
      <c r="E669" s="12" t="n"/>
      <c r="F669" s="10">
        <f>IF($E669="","",IFERROR(IF(VLOOKUP(LEFT(UPPER(TRIM($E669)),6),BankTbl,2,0)="","(بدون عنوان)",VLOOKUP(LEFT(UPPER(TRIM($E669)),6),BankTbl,2,0)),"بانک ناشناخته"))</f>
        <v/>
      </c>
      <c r="G669" s="11" t="n"/>
      <c r="H669" s="10">
        <f>IF($G669="","",IFERROR(VLOOKUP($G669,CustTbl,2,0),IFERROR(VLOOKUP($G669,SuppTbl,2,0),IFERROR(VLOOKUP($G669,AcctTbl,2,0),IFERROR(VLOOKUP($G669,StaffTbl,2,0),"کد ناشناخته")))))</f>
        <v/>
      </c>
      <c r="I669" s="12" t="n"/>
      <c r="J669" s="12" t="n"/>
      <c r="K669" s="13" t="n"/>
      <c r="L669" s="13" t="n"/>
      <c r="M669" s="13" t="n"/>
      <c r="N669" s="14">
        <f>IF(OR($C669="",$E669="",Calc!$H669=""),"",IFERROR(VLOOKUP(LEFT(UPPER(TRIM($E669)),6),BankTbl,3,0),0)+SUMIFS(CalcDep,CalcBank,LEFT(UPPER(TRIM($E669)),6),CalcKey,"&lt;="&amp;Calc!$H669)-SUMIFS(CalcWit,CalcBank,LEFT(UPPER(TRIM($E669)),6),CalcKey,"&lt;="&amp;Calc!$H669))</f>
        <v/>
      </c>
      <c r="O669" s="10">
        <f>IF(OR($C669="",$M669=""),"",IF($N669="","؟",IF(ROUND($M669-$N669,0)=0,"√","×")))</f>
        <v/>
      </c>
      <c r="P669" s="12" t="n"/>
    </row>
    <row r="670">
      <c r="A670" s="10">
        <f>IF($C670="","",COUNTA($C$9:$C670))</f>
        <v/>
      </c>
      <c r="B670" s="10">
        <f>IF($C670="","","TXN-"&amp;RIGHT("0000"&amp;662,4))</f>
        <v/>
      </c>
      <c r="C670" s="11" t="n"/>
      <c r="D670" s="11" t="n"/>
      <c r="E670" s="12" t="n"/>
      <c r="F670" s="10">
        <f>IF($E670="","",IFERROR(IF(VLOOKUP(LEFT(UPPER(TRIM($E670)),6),BankTbl,2,0)="","(بدون عنوان)",VLOOKUP(LEFT(UPPER(TRIM($E670)),6),BankTbl,2,0)),"بانک ناشناخته"))</f>
        <v/>
      </c>
      <c r="G670" s="11" t="n"/>
      <c r="H670" s="10">
        <f>IF($G670="","",IFERROR(VLOOKUP($G670,CustTbl,2,0),IFERROR(VLOOKUP($G670,SuppTbl,2,0),IFERROR(VLOOKUP($G670,AcctTbl,2,0),IFERROR(VLOOKUP($G670,StaffTbl,2,0),"کد ناشناخته")))))</f>
        <v/>
      </c>
      <c r="I670" s="12" t="n"/>
      <c r="J670" s="12" t="n"/>
      <c r="K670" s="13" t="n"/>
      <c r="L670" s="13" t="n"/>
      <c r="M670" s="13" t="n"/>
      <c r="N670" s="14">
        <f>IF(OR($C670="",$E670="",Calc!$H670=""),"",IFERROR(VLOOKUP(LEFT(UPPER(TRIM($E670)),6),BankTbl,3,0),0)+SUMIFS(CalcDep,CalcBank,LEFT(UPPER(TRIM($E670)),6),CalcKey,"&lt;="&amp;Calc!$H670)-SUMIFS(CalcWit,CalcBank,LEFT(UPPER(TRIM($E670)),6),CalcKey,"&lt;="&amp;Calc!$H670))</f>
        <v/>
      </c>
      <c r="O670" s="10">
        <f>IF(OR($C670="",$M670=""),"",IF($N670="","؟",IF(ROUND($M670-$N670,0)=0,"√","×")))</f>
        <v/>
      </c>
      <c r="P670" s="12" t="n"/>
    </row>
    <row r="671">
      <c r="A671" s="10">
        <f>IF($C671="","",COUNTA($C$9:$C671))</f>
        <v/>
      </c>
      <c r="B671" s="10">
        <f>IF($C671="","","TXN-"&amp;RIGHT("0000"&amp;663,4))</f>
        <v/>
      </c>
      <c r="C671" s="11" t="n"/>
      <c r="D671" s="11" t="n"/>
      <c r="E671" s="12" t="n"/>
      <c r="F671" s="10">
        <f>IF($E671="","",IFERROR(IF(VLOOKUP(LEFT(UPPER(TRIM($E671)),6),BankTbl,2,0)="","(بدون عنوان)",VLOOKUP(LEFT(UPPER(TRIM($E671)),6),BankTbl,2,0)),"بانک ناشناخته"))</f>
        <v/>
      </c>
      <c r="G671" s="11" t="n"/>
      <c r="H671" s="10">
        <f>IF($G671="","",IFERROR(VLOOKUP($G671,CustTbl,2,0),IFERROR(VLOOKUP($G671,SuppTbl,2,0),IFERROR(VLOOKUP($G671,AcctTbl,2,0),IFERROR(VLOOKUP($G671,StaffTbl,2,0),"کد ناشناخته")))))</f>
        <v/>
      </c>
      <c r="I671" s="12" t="n"/>
      <c r="J671" s="12" t="n"/>
      <c r="K671" s="13" t="n"/>
      <c r="L671" s="13" t="n"/>
      <c r="M671" s="13" t="n"/>
      <c r="N671" s="14">
        <f>IF(OR($C671="",$E671="",Calc!$H671=""),"",IFERROR(VLOOKUP(LEFT(UPPER(TRIM($E671)),6),BankTbl,3,0),0)+SUMIFS(CalcDep,CalcBank,LEFT(UPPER(TRIM($E671)),6),CalcKey,"&lt;="&amp;Calc!$H671)-SUMIFS(CalcWit,CalcBank,LEFT(UPPER(TRIM($E671)),6),CalcKey,"&lt;="&amp;Calc!$H671))</f>
        <v/>
      </c>
      <c r="O671" s="10">
        <f>IF(OR($C671="",$M671=""),"",IF($N671="","؟",IF(ROUND($M671-$N671,0)=0,"√","×")))</f>
        <v/>
      </c>
      <c r="P671" s="12" t="n"/>
    </row>
    <row r="672">
      <c r="A672" s="10">
        <f>IF($C672="","",COUNTA($C$9:$C672))</f>
        <v/>
      </c>
      <c r="B672" s="10">
        <f>IF($C672="","","TXN-"&amp;RIGHT("0000"&amp;664,4))</f>
        <v/>
      </c>
      <c r="C672" s="11" t="n"/>
      <c r="D672" s="11" t="n"/>
      <c r="E672" s="12" t="n"/>
      <c r="F672" s="10">
        <f>IF($E672="","",IFERROR(IF(VLOOKUP(LEFT(UPPER(TRIM($E672)),6),BankTbl,2,0)="","(بدون عنوان)",VLOOKUP(LEFT(UPPER(TRIM($E672)),6),BankTbl,2,0)),"بانک ناشناخته"))</f>
        <v/>
      </c>
      <c r="G672" s="11" t="n"/>
      <c r="H672" s="10">
        <f>IF($G672="","",IFERROR(VLOOKUP($G672,CustTbl,2,0),IFERROR(VLOOKUP($G672,SuppTbl,2,0),IFERROR(VLOOKUP($G672,AcctTbl,2,0),IFERROR(VLOOKUP($G672,StaffTbl,2,0),"کد ناشناخته")))))</f>
        <v/>
      </c>
      <c r="I672" s="12" t="n"/>
      <c r="J672" s="12" t="n"/>
      <c r="K672" s="13" t="n"/>
      <c r="L672" s="13" t="n"/>
      <c r="M672" s="13" t="n"/>
      <c r="N672" s="14">
        <f>IF(OR($C672="",$E672="",Calc!$H672=""),"",IFERROR(VLOOKUP(LEFT(UPPER(TRIM($E672)),6),BankTbl,3,0),0)+SUMIFS(CalcDep,CalcBank,LEFT(UPPER(TRIM($E672)),6),CalcKey,"&lt;="&amp;Calc!$H672)-SUMIFS(CalcWit,CalcBank,LEFT(UPPER(TRIM($E672)),6),CalcKey,"&lt;="&amp;Calc!$H672))</f>
        <v/>
      </c>
      <c r="O672" s="10">
        <f>IF(OR($C672="",$M672=""),"",IF($N672="","؟",IF(ROUND($M672-$N672,0)=0,"√","×")))</f>
        <v/>
      </c>
      <c r="P672" s="12" t="n"/>
    </row>
    <row r="673">
      <c r="A673" s="10">
        <f>IF($C673="","",COUNTA($C$9:$C673))</f>
        <v/>
      </c>
      <c r="B673" s="10">
        <f>IF($C673="","","TXN-"&amp;RIGHT("0000"&amp;665,4))</f>
        <v/>
      </c>
      <c r="C673" s="11" t="n"/>
      <c r="D673" s="11" t="n"/>
      <c r="E673" s="12" t="n"/>
      <c r="F673" s="10">
        <f>IF($E673="","",IFERROR(IF(VLOOKUP(LEFT(UPPER(TRIM($E673)),6),BankTbl,2,0)="","(بدون عنوان)",VLOOKUP(LEFT(UPPER(TRIM($E673)),6),BankTbl,2,0)),"بانک ناشناخته"))</f>
        <v/>
      </c>
      <c r="G673" s="11" t="n"/>
      <c r="H673" s="10">
        <f>IF($G673="","",IFERROR(VLOOKUP($G673,CustTbl,2,0),IFERROR(VLOOKUP($G673,SuppTbl,2,0),IFERROR(VLOOKUP($G673,AcctTbl,2,0),IFERROR(VLOOKUP($G673,StaffTbl,2,0),"کد ناشناخته")))))</f>
        <v/>
      </c>
      <c r="I673" s="12" t="n"/>
      <c r="J673" s="12" t="n"/>
      <c r="K673" s="13" t="n"/>
      <c r="L673" s="13" t="n"/>
      <c r="M673" s="13" t="n"/>
      <c r="N673" s="14">
        <f>IF(OR($C673="",$E673="",Calc!$H673=""),"",IFERROR(VLOOKUP(LEFT(UPPER(TRIM($E673)),6),BankTbl,3,0),0)+SUMIFS(CalcDep,CalcBank,LEFT(UPPER(TRIM($E673)),6),CalcKey,"&lt;="&amp;Calc!$H673)-SUMIFS(CalcWit,CalcBank,LEFT(UPPER(TRIM($E673)),6),CalcKey,"&lt;="&amp;Calc!$H673))</f>
        <v/>
      </c>
      <c r="O673" s="10">
        <f>IF(OR($C673="",$M673=""),"",IF($N673="","؟",IF(ROUND($M673-$N673,0)=0,"√","×")))</f>
        <v/>
      </c>
      <c r="P673" s="12" t="n"/>
    </row>
    <row r="674">
      <c r="A674" s="10">
        <f>IF($C674="","",COUNTA($C$9:$C674))</f>
        <v/>
      </c>
      <c r="B674" s="10">
        <f>IF($C674="","","TXN-"&amp;RIGHT("0000"&amp;666,4))</f>
        <v/>
      </c>
      <c r="C674" s="11" t="n"/>
      <c r="D674" s="11" t="n"/>
      <c r="E674" s="12" t="n"/>
      <c r="F674" s="10">
        <f>IF($E674="","",IFERROR(IF(VLOOKUP(LEFT(UPPER(TRIM($E674)),6),BankTbl,2,0)="","(بدون عنوان)",VLOOKUP(LEFT(UPPER(TRIM($E674)),6),BankTbl,2,0)),"بانک ناشناخته"))</f>
        <v/>
      </c>
      <c r="G674" s="11" t="n"/>
      <c r="H674" s="10">
        <f>IF($G674="","",IFERROR(VLOOKUP($G674,CustTbl,2,0),IFERROR(VLOOKUP($G674,SuppTbl,2,0),IFERROR(VLOOKUP($G674,AcctTbl,2,0),IFERROR(VLOOKUP($G674,StaffTbl,2,0),"کد ناشناخته")))))</f>
        <v/>
      </c>
      <c r="I674" s="12" t="n"/>
      <c r="J674" s="12" t="n"/>
      <c r="K674" s="13" t="n"/>
      <c r="L674" s="13" t="n"/>
      <c r="M674" s="13" t="n"/>
      <c r="N674" s="14">
        <f>IF(OR($C674="",$E674="",Calc!$H674=""),"",IFERROR(VLOOKUP(LEFT(UPPER(TRIM($E674)),6),BankTbl,3,0),0)+SUMIFS(CalcDep,CalcBank,LEFT(UPPER(TRIM($E674)),6),CalcKey,"&lt;="&amp;Calc!$H674)-SUMIFS(CalcWit,CalcBank,LEFT(UPPER(TRIM($E674)),6),CalcKey,"&lt;="&amp;Calc!$H674))</f>
        <v/>
      </c>
      <c r="O674" s="10">
        <f>IF(OR($C674="",$M674=""),"",IF($N674="","؟",IF(ROUND($M674-$N674,0)=0,"√","×")))</f>
        <v/>
      </c>
      <c r="P674" s="12" t="n"/>
    </row>
    <row r="675">
      <c r="A675" s="10">
        <f>IF($C675="","",COUNTA($C$9:$C675))</f>
        <v/>
      </c>
      <c r="B675" s="10">
        <f>IF($C675="","","TXN-"&amp;RIGHT("0000"&amp;667,4))</f>
        <v/>
      </c>
      <c r="C675" s="11" t="n"/>
      <c r="D675" s="11" t="n"/>
      <c r="E675" s="12" t="n"/>
      <c r="F675" s="10">
        <f>IF($E675="","",IFERROR(IF(VLOOKUP(LEFT(UPPER(TRIM($E675)),6),BankTbl,2,0)="","(بدون عنوان)",VLOOKUP(LEFT(UPPER(TRIM($E675)),6),BankTbl,2,0)),"بانک ناشناخته"))</f>
        <v/>
      </c>
      <c r="G675" s="11" t="n"/>
      <c r="H675" s="10">
        <f>IF($G675="","",IFERROR(VLOOKUP($G675,CustTbl,2,0),IFERROR(VLOOKUP($G675,SuppTbl,2,0),IFERROR(VLOOKUP($G675,AcctTbl,2,0),IFERROR(VLOOKUP($G675,StaffTbl,2,0),"کد ناشناخته")))))</f>
        <v/>
      </c>
      <c r="I675" s="12" t="n"/>
      <c r="J675" s="12" t="n"/>
      <c r="K675" s="13" t="n"/>
      <c r="L675" s="13" t="n"/>
      <c r="M675" s="13" t="n"/>
      <c r="N675" s="14">
        <f>IF(OR($C675="",$E675="",Calc!$H675=""),"",IFERROR(VLOOKUP(LEFT(UPPER(TRIM($E675)),6),BankTbl,3,0),0)+SUMIFS(CalcDep,CalcBank,LEFT(UPPER(TRIM($E675)),6),CalcKey,"&lt;="&amp;Calc!$H675)-SUMIFS(CalcWit,CalcBank,LEFT(UPPER(TRIM($E675)),6),CalcKey,"&lt;="&amp;Calc!$H675))</f>
        <v/>
      </c>
      <c r="O675" s="10">
        <f>IF(OR($C675="",$M675=""),"",IF($N675="","؟",IF(ROUND($M675-$N675,0)=0,"√","×")))</f>
        <v/>
      </c>
      <c r="P675" s="12" t="n"/>
    </row>
    <row r="676">
      <c r="A676" s="10">
        <f>IF($C676="","",COUNTA($C$9:$C676))</f>
        <v/>
      </c>
      <c r="B676" s="10">
        <f>IF($C676="","","TXN-"&amp;RIGHT("0000"&amp;668,4))</f>
        <v/>
      </c>
      <c r="C676" s="11" t="n"/>
      <c r="D676" s="11" t="n"/>
      <c r="E676" s="12" t="n"/>
      <c r="F676" s="10">
        <f>IF($E676="","",IFERROR(IF(VLOOKUP(LEFT(UPPER(TRIM($E676)),6),BankTbl,2,0)="","(بدون عنوان)",VLOOKUP(LEFT(UPPER(TRIM($E676)),6),BankTbl,2,0)),"بانک ناشناخته"))</f>
        <v/>
      </c>
      <c r="G676" s="11" t="n"/>
      <c r="H676" s="10">
        <f>IF($G676="","",IFERROR(VLOOKUP($G676,CustTbl,2,0),IFERROR(VLOOKUP($G676,SuppTbl,2,0),IFERROR(VLOOKUP($G676,AcctTbl,2,0),IFERROR(VLOOKUP($G676,StaffTbl,2,0),"کد ناشناخته")))))</f>
        <v/>
      </c>
      <c r="I676" s="12" t="n"/>
      <c r="J676" s="12" t="n"/>
      <c r="K676" s="13" t="n"/>
      <c r="L676" s="13" t="n"/>
      <c r="M676" s="13" t="n"/>
      <c r="N676" s="14">
        <f>IF(OR($C676="",$E676="",Calc!$H676=""),"",IFERROR(VLOOKUP(LEFT(UPPER(TRIM($E676)),6),BankTbl,3,0),0)+SUMIFS(CalcDep,CalcBank,LEFT(UPPER(TRIM($E676)),6),CalcKey,"&lt;="&amp;Calc!$H676)-SUMIFS(CalcWit,CalcBank,LEFT(UPPER(TRIM($E676)),6),CalcKey,"&lt;="&amp;Calc!$H676))</f>
        <v/>
      </c>
      <c r="O676" s="10">
        <f>IF(OR($C676="",$M676=""),"",IF($N676="","؟",IF(ROUND($M676-$N676,0)=0,"√","×")))</f>
        <v/>
      </c>
      <c r="P676" s="12" t="n"/>
    </row>
    <row r="677">
      <c r="A677" s="10">
        <f>IF($C677="","",COUNTA($C$9:$C677))</f>
        <v/>
      </c>
      <c r="B677" s="10">
        <f>IF($C677="","","TXN-"&amp;RIGHT("0000"&amp;669,4))</f>
        <v/>
      </c>
      <c r="C677" s="11" t="n"/>
      <c r="D677" s="11" t="n"/>
      <c r="E677" s="12" t="n"/>
      <c r="F677" s="10">
        <f>IF($E677="","",IFERROR(IF(VLOOKUP(LEFT(UPPER(TRIM($E677)),6),BankTbl,2,0)="","(بدون عنوان)",VLOOKUP(LEFT(UPPER(TRIM($E677)),6),BankTbl,2,0)),"بانک ناشناخته"))</f>
        <v/>
      </c>
      <c r="G677" s="11" t="n"/>
      <c r="H677" s="10">
        <f>IF($G677="","",IFERROR(VLOOKUP($G677,CustTbl,2,0),IFERROR(VLOOKUP($G677,SuppTbl,2,0),IFERROR(VLOOKUP($G677,AcctTbl,2,0),IFERROR(VLOOKUP($G677,StaffTbl,2,0),"کد ناشناخته")))))</f>
        <v/>
      </c>
      <c r="I677" s="12" t="n"/>
      <c r="J677" s="12" t="n"/>
      <c r="K677" s="13" t="n"/>
      <c r="L677" s="13" t="n"/>
      <c r="M677" s="13" t="n"/>
      <c r="N677" s="14">
        <f>IF(OR($C677="",$E677="",Calc!$H677=""),"",IFERROR(VLOOKUP(LEFT(UPPER(TRIM($E677)),6),BankTbl,3,0),0)+SUMIFS(CalcDep,CalcBank,LEFT(UPPER(TRIM($E677)),6),CalcKey,"&lt;="&amp;Calc!$H677)-SUMIFS(CalcWit,CalcBank,LEFT(UPPER(TRIM($E677)),6),CalcKey,"&lt;="&amp;Calc!$H677))</f>
        <v/>
      </c>
      <c r="O677" s="10">
        <f>IF(OR($C677="",$M677=""),"",IF($N677="","؟",IF(ROUND($M677-$N677,0)=0,"√","×")))</f>
        <v/>
      </c>
      <c r="P677" s="12" t="n"/>
    </row>
    <row r="678">
      <c r="A678" s="10">
        <f>IF($C678="","",COUNTA($C$9:$C678))</f>
        <v/>
      </c>
      <c r="B678" s="10">
        <f>IF($C678="","","TXN-"&amp;RIGHT("0000"&amp;670,4))</f>
        <v/>
      </c>
      <c r="C678" s="11" t="n"/>
      <c r="D678" s="11" t="n"/>
      <c r="E678" s="12" t="n"/>
      <c r="F678" s="10">
        <f>IF($E678="","",IFERROR(IF(VLOOKUP(LEFT(UPPER(TRIM($E678)),6),BankTbl,2,0)="","(بدون عنوان)",VLOOKUP(LEFT(UPPER(TRIM($E678)),6),BankTbl,2,0)),"بانک ناشناخته"))</f>
        <v/>
      </c>
      <c r="G678" s="11" t="n"/>
      <c r="H678" s="10">
        <f>IF($G678="","",IFERROR(VLOOKUP($G678,CustTbl,2,0),IFERROR(VLOOKUP($G678,SuppTbl,2,0),IFERROR(VLOOKUP($G678,AcctTbl,2,0),IFERROR(VLOOKUP($G678,StaffTbl,2,0),"کد ناشناخته")))))</f>
        <v/>
      </c>
      <c r="I678" s="12" t="n"/>
      <c r="J678" s="12" t="n"/>
      <c r="K678" s="13" t="n"/>
      <c r="L678" s="13" t="n"/>
      <c r="M678" s="13" t="n"/>
      <c r="N678" s="14">
        <f>IF(OR($C678="",$E678="",Calc!$H678=""),"",IFERROR(VLOOKUP(LEFT(UPPER(TRIM($E678)),6),BankTbl,3,0),0)+SUMIFS(CalcDep,CalcBank,LEFT(UPPER(TRIM($E678)),6),CalcKey,"&lt;="&amp;Calc!$H678)-SUMIFS(CalcWit,CalcBank,LEFT(UPPER(TRIM($E678)),6),CalcKey,"&lt;="&amp;Calc!$H678))</f>
        <v/>
      </c>
      <c r="O678" s="10">
        <f>IF(OR($C678="",$M678=""),"",IF($N678="","؟",IF(ROUND($M678-$N678,0)=0,"√","×")))</f>
        <v/>
      </c>
      <c r="P678" s="12" t="n"/>
    </row>
    <row r="679">
      <c r="A679" s="10">
        <f>IF($C679="","",COUNTA($C$9:$C679))</f>
        <v/>
      </c>
      <c r="B679" s="10">
        <f>IF($C679="","","TXN-"&amp;RIGHT("0000"&amp;671,4))</f>
        <v/>
      </c>
      <c r="C679" s="11" t="n"/>
      <c r="D679" s="11" t="n"/>
      <c r="E679" s="12" t="n"/>
      <c r="F679" s="10">
        <f>IF($E679="","",IFERROR(IF(VLOOKUP(LEFT(UPPER(TRIM($E679)),6),BankTbl,2,0)="","(بدون عنوان)",VLOOKUP(LEFT(UPPER(TRIM($E679)),6),BankTbl,2,0)),"بانک ناشناخته"))</f>
        <v/>
      </c>
      <c r="G679" s="11" t="n"/>
      <c r="H679" s="10">
        <f>IF($G679="","",IFERROR(VLOOKUP($G679,CustTbl,2,0),IFERROR(VLOOKUP($G679,SuppTbl,2,0),IFERROR(VLOOKUP($G679,AcctTbl,2,0),IFERROR(VLOOKUP($G679,StaffTbl,2,0),"کد ناشناخته")))))</f>
        <v/>
      </c>
      <c r="I679" s="12" t="n"/>
      <c r="J679" s="12" t="n"/>
      <c r="K679" s="13" t="n"/>
      <c r="L679" s="13" t="n"/>
      <c r="M679" s="13" t="n"/>
      <c r="N679" s="14">
        <f>IF(OR($C679="",$E679="",Calc!$H679=""),"",IFERROR(VLOOKUP(LEFT(UPPER(TRIM($E679)),6),BankTbl,3,0),0)+SUMIFS(CalcDep,CalcBank,LEFT(UPPER(TRIM($E679)),6),CalcKey,"&lt;="&amp;Calc!$H679)-SUMIFS(CalcWit,CalcBank,LEFT(UPPER(TRIM($E679)),6),CalcKey,"&lt;="&amp;Calc!$H679))</f>
        <v/>
      </c>
      <c r="O679" s="10">
        <f>IF(OR($C679="",$M679=""),"",IF($N679="","؟",IF(ROUND($M679-$N679,0)=0,"√","×")))</f>
        <v/>
      </c>
      <c r="P679" s="12" t="n"/>
    </row>
    <row r="680">
      <c r="A680" s="10">
        <f>IF($C680="","",COUNTA($C$9:$C680))</f>
        <v/>
      </c>
      <c r="B680" s="10">
        <f>IF($C680="","","TXN-"&amp;RIGHT("0000"&amp;672,4))</f>
        <v/>
      </c>
      <c r="C680" s="11" t="n"/>
      <c r="D680" s="11" t="n"/>
      <c r="E680" s="12" t="n"/>
      <c r="F680" s="10">
        <f>IF($E680="","",IFERROR(IF(VLOOKUP(LEFT(UPPER(TRIM($E680)),6),BankTbl,2,0)="","(بدون عنوان)",VLOOKUP(LEFT(UPPER(TRIM($E680)),6),BankTbl,2,0)),"بانک ناشناخته"))</f>
        <v/>
      </c>
      <c r="G680" s="11" t="n"/>
      <c r="H680" s="10">
        <f>IF($G680="","",IFERROR(VLOOKUP($G680,CustTbl,2,0),IFERROR(VLOOKUP($G680,SuppTbl,2,0),IFERROR(VLOOKUP($G680,AcctTbl,2,0),IFERROR(VLOOKUP($G680,StaffTbl,2,0),"کد ناشناخته")))))</f>
        <v/>
      </c>
      <c r="I680" s="12" t="n"/>
      <c r="J680" s="12" t="n"/>
      <c r="K680" s="13" t="n"/>
      <c r="L680" s="13" t="n"/>
      <c r="M680" s="13" t="n"/>
      <c r="N680" s="14">
        <f>IF(OR($C680="",$E680="",Calc!$H680=""),"",IFERROR(VLOOKUP(LEFT(UPPER(TRIM($E680)),6),BankTbl,3,0),0)+SUMIFS(CalcDep,CalcBank,LEFT(UPPER(TRIM($E680)),6),CalcKey,"&lt;="&amp;Calc!$H680)-SUMIFS(CalcWit,CalcBank,LEFT(UPPER(TRIM($E680)),6),CalcKey,"&lt;="&amp;Calc!$H680))</f>
        <v/>
      </c>
      <c r="O680" s="10">
        <f>IF(OR($C680="",$M680=""),"",IF($N680="","؟",IF(ROUND($M680-$N680,0)=0,"√","×")))</f>
        <v/>
      </c>
      <c r="P680" s="12" t="n"/>
    </row>
    <row r="681">
      <c r="A681" s="10">
        <f>IF($C681="","",COUNTA($C$9:$C681))</f>
        <v/>
      </c>
      <c r="B681" s="10">
        <f>IF($C681="","","TXN-"&amp;RIGHT("0000"&amp;673,4))</f>
        <v/>
      </c>
      <c r="C681" s="11" t="n"/>
      <c r="D681" s="11" t="n"/>
      <c r="E681" s="12" t="n"/>
      <c r="F681" s="10">
        <f>IF($E681="","",IFERROR(IF(VLOOKUP(LEFT(UPPER(TRIM($E681)),6),BankTbl,2,0)="","(بدون عنوان)",VLOOKUP(LEFT(UPPER(TRIM($E681)),6),BankTbl,2,0)),"بانک ناشناخته"))</f>
        <v/>
      </c>
      <c r="G681" s="11" t="n"/>
      <c r="H681" s="10">
        <f>IF($G681="","",IFERROR(VLOOKUP($G681,CustTbl,2,0),IFERROR(VLOOKUP($G681,SuppTbl,2,0),IFERROR(VLOOKUP($G681,AcctTbl,2,0),IFERROR(VLOOKUP($G681,StaffTbl,2,0),"کد ناشناخته")))))</f>
        <v/>
      </c>
      <c r="I681" s="12" t="n"/>
      <c r="J681" s="12" t="n"/>
      <c r="K681" s="13" t="n"/>
      <c r="L681" s="13" t="n"/>
      <c r="M681" s="13" t="n"/>
      <c r="N681" s="14">
        <f>IF(OR($C681="",$E681="",Calc!$H681=""),"",IFERROR(VLOOKUP(LEFT(UPPER(TRIM($E681)),6),BankTbl,3,0),0)+SUMIFS(CalcDep,CalcBank,LEFT(UPPER(TRIM($E681)),6),CalcKey,"&lt;="&amp;Calc!$H681)-SUMIFS(CalcWit,CalcBank,LEFT(UPPER(TRIM($E681)),6),CalcKey,"&lt;="&amp;Calc!$H681))</f>
        <v/>
      </c>
      <c r="O681" s="10">
        <f>IF(OR($C681="",$M681=""),"",IF($N681="","؟",IF(ROUND($M681-$N681,0)=0,"√","×")))</f>
        <v/>
      </c>
      <c r="P681" s="12" t="n"/>
    </row>
    <row r="682">
      <c r="A682" s="10">
        <f>IF($C682="","",COUNTA($C$9:$C682))</f>
        <v/>
      </c>
      <c r="B682" s="10">
        <f>IF($C682="","","TXN-"&amp;RIGHT("0000"&amp;674,4))</f>
        <v/>
      </c>
      <c r="C682" s="11" t="n"/>
      <c r="D682" s="11" t="n"/>
      <c r="E682" s="12" t="n"/>
      <c r="F682" s="10">
        <f>IF($E682="","",IFERROR(IF(VLOOKUP(LEFT(UPPER(TRIM($E682)),6),BankTbl,2,0)="","(بدون عنوان)",VLOOKUP(LEFT(UPPER(TRIM($E682)),6),BankTbl,2,0)),"بانک ناشناخته"))</f>
        <v/>
      </c>
      <c r="G682" s="11" t="n"/>
      <c r="H682" s="10">
        <f>IF($G682="","",IFERROR(VLOOKUP($G682,CustTbl,2,0),IFERROR(VLOOKUP($G682,SuppTbl,2,0),IFERROR(VLOOKUP($G682,AcctTbl,2,0),IFERROR(VLOOKUP($G682,StaffTbl,2,0),"کد ناشناخته")))))</f>
        <v/>
      </c>
      <c r="I682" s="12" t="n"/>
      <c r="J682" s="12" t="n"/>
      <c r="K682" s="13" t="n"/>
      <c r="L682" s="13" t="n"/>
      <c r="M682" s="13" t="n"/>
      <c r="N682" s="14">
        <f>IF(OR($C682="",$E682="",Calc!$H682=""),"",IFERROR(VLOOKUP(LEFT(UPPER(TRIM($E682)),6),BankTbl,3,0),0)+SUMIFS(CalcDep,CalcBank,LEFT(UPPER(TRIM($E682)),6),CalcKey,"&lt;="&amp;Calc!$H682)-SUMIFS(CalcWit,CalcBank,LEFT(UPPER(TRIM($E682)),6),CalcKey,"&lt;="&amp;Calc!$H682))</f>
        <v/>
      </c>
      <c r="O682" s="10">
        <f>IF(OR($C682="",$M682=""),"",IF($N682="","؟",IF(ROUND($M682-$N682,0)=0,"√","×")))</f>
        <v/>
      </c>
      <c r="P682" s="12" t="n"/>
    </row>
    <row r="683">
      <c r="A683" s="10">
        <f>IF($C683="","",COUNTA($C$9:$C683))</f>
        <v/>
      </c>
      <c r="B683" s="10">
        <f>IF($C683="","","TXN-"&amp;RIGHT("0000"&amp;675,4))</f>
        <v/>
      </c>
      <c r="C683" s="11" t="n"/>
      <c r="D683" s="11" t="n"/>
      <c r="E683" s="12" t="n"/>
      <c r="F683" s="10">
        <f>IF($E683="","",IFERROR(IF(VLOOKUP(LEFT(UPPER(TRIM($E683)),6),BankTbl,2,0)="","(بدون عنوان)",VLOOKUP(LEFT(UPPER(TRIM($E683)),6),BankTbl,2,0)),"بانک ناشناخته"))</f>
        <v/>
      </c>
      <c r="G683" s="11" t="n"/>
      <c r="H683" s="10">
        <f>IF($G683="","",IFERROR(VLOOKUP($G683,CustTbl,2,0),IFERROR(VLOOKUP($G683,SuppTbl,2,0),IFERROR(VLOOKUP($G683,AcctTbl,2,0),IFERROR(VLOOKUP($G683,StaffTbl,2,0),"کد ناشناخته")))))</f>
        <v/>
      </c>
      <c r="I683" s="12" t="n"/>
      <c r="J683" s="12" t="n"/>
      <c r="K683" s="13" t="n"/>
      <c r="L683" s="13" t="n"/>
      <c r="M683" s="13" t="n"/>
      <c r="N683" s="14">
        <f>IF(OR($C683="",$E683="",Calc!$H683=""),"",IFERROR(VLOOKUP(LEFT(UPPER(TRIM($E683)),6),BankTbl,3,0),0)+SUMIFS(CalcDep,CalcBank,LEFT(UPPER(TRIM($E683)),6),CalcKey,"&lt;="&amp;Calc!$H683)-SUMIFS(CalcWit,CalcBank,LEFT(UPPER(TRIM($E683)),6),CalcKey,"&lt;="&amp;Calc!$H683))</f>
        <v/>
      </c>
      <c r="O683" s="10">
        <f>IF(OR($C683="",$M683=""),"",IF($N683="","؟",IF(ROUND($M683-$N683,0)=0,"√","×")))</f>
        <v/>
      </c>
      <c r="P683" s="12" t="n"/>
    </row>
    <row r="684">
      <c r="A684" s="10">
        <f>IF($C684="","",COUNTA($C$9:$C684))</f>
        <v/>
      </c>
      <c r="B684" s="10">
        <f>IF($C684="","","TXN-"&amp;RIGHT("0000"&amp;676,4))</f>
        <v/>
      </c>
      <c r="C684" s="11" t="n"/>
      <c r="D684" s="11" t="n"/>
      <c r="E684" s="12" t="n"/>
      <c r="F684" s="10">
        <f>IF($E684="","",IFERROR(IF(VLOOKUP(LEFT(UPPER(TRIM($E684)),6),BankTbl,2,0)="","(بدون عنوان)",VLOOKUP(LEFT(UPPER(TRIM($E684)),6),BankTbl,2,0)),"بانک ناشناخته"))</f>
        <v/>
      </c>
      <c r="G684" s="11" t="n"/>
      <c r="H684" s="10">
        <f>IF($G684="","",IFERROR(VLOOKUP($G684,CustTbl,2,0),IFERROR(VLOOKUP($G684,SuppTbl,2,0),IFERROR(VLOOKUP($G684,AcctTbl,2,0),IFERROR(VLOOKUP($G684,StaffTbl,2,0),"کد ناشناخته")))))</f>
        <v/>
      </c>
      <c r="I684" s="12" t="n"/>
      <c r="J684" s="12" t="n"/>
      <c r="K684" s="13" t="n"/>
      <c r="L684" s="13" t="n"/>
      <c r="M684" s="13" t="n"/>
      <c r="N684" s="14">
        <f>IF(OR($C684="",$E684="",Calc!$H684=""),"",IFERROR(VLOOKUP(LEFT(UPPER(TRIM($E684)),6),BankTbl,3,0),0)+SUMIFS(CalcDep,CalcBank,LEFT(UPPER(TRIM($E684)),6),CalcKey,"&lt;="&amp;Calc!$H684)-SUMIFS(CalcWit,CalcBank,LEFT(UPPER(TRIM($E684)),6),CalcKey,"&lt;="&amp;Calc!$H684))</f>
        <v/>
      </c>
      <c r="O684" s="10">
        <f>IF(OR($C684="",$M684=""),"",IF($N684="","؟",IF(ROUND($M684-$N684,0)=0,"√","×")))</f>
        <v/>
      </c>
      <c r="P684" s="12" t="n"/>
    </row>
    <row r="685">
      <c r="A685" s="10">
        <f>IF($C685="","",COUNTA($C$9:$C685))</f>
        <v/>
      </c>
      <c r="B685" s="10">
        <f>IF($C685="","","TXN-"&amp;RIGHT("0000"&amp;677,4))</f>
        <v/>
      </c>
      <c r="C685" s="11" t="n"/>
      <c r="D685" s="11" t="n"/>
      <c r="E685" s="12" t="n"/>
      <c r="F685" s="10">
        <f>IF($E685="","",IFERROR(IF(VLOOKUP(LEFT(UPPER(TRIM($E685)),6),BankTbl,2,0)="","(بدون عنوان)",VLOOKUP(LEFT(UPPER(TRIM($E685)),6),BankTbl,2,0)),"بانک ناشناخته"))</f>
        <v/>
      </c>
      <c r="G685" s="11" t="n"/>
      <c r="H685" s="10">
        <f>IF($G685="","",IFERROR(VLOOKUP($G685,CustTbl,2,0),IFERROR(VLOOKUP($G685,SuppTbl,2,0),IFERROR(VLOOKUP($G685,AcctTbl,2,0),IFERROR(VLOOKUP($G685,StaffTbl,2,0),"کد ناشناخته")))))</f>
        <v/>
      </c>
      <c r="I685" s="12" t="n"/>
      <c r="J685" s="12" t="n"/>
      <c r="K685" s="13" t="n"/>
      <c r="L685" s="13" t="n"/>
      <c r="M685" s="13" t="n"/>
      <c r="N685" s="14">
        <f>IF(OR($C685="",$E685="",Calc!$H685=""),"",IFERROR(VLOOKUP(LEFT(UPPER(TRIM($E685)),6),BankTbl,3,0),0)+SUMIFS(CalcDep,CalcBank,LEFT(UPPER(TRIM($E685)),6),CalcKey,"&lt;="&amp;Calc!$H685)-SUMIFS(CalcWit,CalcBank,LEFT(UPPER(TRIM($E685)),6),CalcKey,"&lt;="&amp;Calc!$H685))</f>
        <v/>
      </c>
      <c r="O685" s="10">
        <f>IF(OR($C685="",$M685=""),"",IF($N685="","؟",IF(ROUND($M685-$N685,0)=0,"√","×")))</f>
        <v/>
      </c>
      <c r="P685" s="12" t="n"/>
    </row>
    <row r="686">
      <c r="A686" s="10">
        <f>IF($C686="","",COUNTA($C$9:$C686))</f>
        <v/>
      </c>
      <c r="B686" s="10">
        <f>IF($C686="","","TXN-"&amp;RIGHT("0000"&amp;678,4))</f>
        <v/>
      </c>
      <c r="C686" s="11" t="n"/>
      <c r="D686" s="11" t="n"/>
      <c r="E686" s="12" t="n"/>
      <c r="F686" s="10">
        <f>IF($E686="","",IFERROR(IF(VLOOKUP(LEFT(UPPER(TRIM($E686)),6),BankTbl,2,0)="","(بدون عنوان)",VLOOKUP(LEFT(UPPER(TRIM($E686)),6),BankTbl,2,0)),"بانک ناشناخته"))</f>
        <v/>
      </c>
      <c r="G686" s="11" t="n"/>
      <c r="H686" s="10">
        <f>IF($G686="","",IFERROR(VLOOKUP($G686,CustTbl,2,0),IFERROR(VLOOKUP($G686,SuppTbl,2,0),IFERROR(VLOOKUP($G686,AcctTbl,2,0),IFERROR(VLOOKUP($G686,StaffTbl,2,0),"کد ناشناخته")))))</f>
        <v/>
      </c>
      <c r="I686" s="12" t="n"/>
      <c r="J686" s="12" t="n"/>
      <c r="K686" s="13" t="n"/>
      <c r="L686" s="13" t="n"/>
      <c r="M686" s="13" t="n"/>
      <c r="N686" s="14">
        <f>IF(OR($C686="",$E686="",Calc!$H686=""),"",IFERROR(VLOOKUP(LEFT(UPPER(TRIM($E686)),6),BankTbl,3,0),0)+SUMIFS(CalcDep,CalcBank,LEFT(UPPER(TRIM($E686)),6),CalcKey,"&lt;="&amp;Calc!$H686)-SUMIFS(CalcWit,CalcBank,LEFT(UPPER(TRIM($E686)),6),CalcKey,"&lt;="&amp;Calc!$H686))</f>
        <v/>
      </c>
      <c r="O686" s="10">
        <f>IF(OR($C686="",$M686=""),"",IF($N686="","؟",IF(ROUND($M686-$N686,0)=0,"√","×")))</f>
        <v/>
      </c>
      <c r="P686" s="12" t="n"/>
    </row>
    <row r="687">
      <c r="A687" s="10">
        <f>IF($C687="","",COUNTA($C$9:$C687))</f>
        <v/>
      </c>
      <c r="B687" s="10">
        <f>IF($C687="","","TXN-"&amp;RIGHT("0000"&amp;679,4))</f>
        <v/>
      </c>
      <c r="C687" s="11" t="n"/>
      <c r="D687" s="11" t="n"/>
      <c r="E687" s="12" t="n"/>
      <c r="F687" s="10">
        <f>IF($E687="","",IFERROR(IF(VLOOKUP(LEFT(UPPER(TRIM($E687)),6),BankTbl,2,0)="","(بدون عنوان)",VLOOKUP(LEFT(UPPER(TRIM($E687)),6),BankTbl,2,0)),"بانک ناشناخته"))</f>
        <v/>
      </c>
      <c r="G687" s="11" t="n"/>
      <c r="H687" s="10">
        <f>IF($G687="","",IFERROR(VLOOKUP($G687,CustTbl,2,0),IFERROR(VLOOKUP($G687,SuppTbl,2,0),IFERROR(VLOOKUP($G687,AcctTbl,2,0),IFERROR(VLOOKUP($G687,StaffTbl,2,0),"کد ناشناخته")))))</f>
        <v/>
      </c>
      <c r="I687" s="12" t="n"/>
      <c r="J687" s="12" t="n"/>
      <c r="K687" s="13" t="n"/>
      <c r="L687" s="13" t="n"/>
      <c r="M687" s="13" t="n"/>
      <c r="N687" s="14">
        <f>IF(OR($C687="",$E687="",Calc!$H687=""),"",IFERROR(VLOOKUP(LEFT(UPPER(TRIM($E687)),6),BankTbl,3,0),0)+SUMIFS(CalcDep,CalcBank,LEFT(UPPER(TRIM($E687)),6),CalcKey,"&lt;="&amp;Calc!$H687)-SUMIFS(CalcWit,CalcBank,LEFT(UPPER(TRIM($E687)),6),CalcKey,"&lt;="&amp;Calc!$H687))</f>
        <v/>
      </c>
      <c r="O687" s="10">
        <f>IF(OR($C687="",$M687=""),"",IF($N687="","؟",IF(ROUND($M687-$N687,0)=0,"√","×")))</f>
        <v/>
      </c>
      <c r="P687" s="12" t="n"/>
    </row>
    <row r="688">
      <c r="A688" s="10">
        <f>IF($C688="","",COUNTA($C$9:$C688))</f>
        <v/>
      </c>
      <c r="B688" s="10">
        <f>IF($C688="","","TXN-"&amp;RIGHT("0000"&amp;680,4))</f>
        <v/>
      </c>
      <c r="C688" s="11" t="n"/>
      <c r="D688" s="11" t="n"/>
      <c r="E688" s="12" t="n"/>
      <c r="F688" s="10">
        <f>IF($E688="","",IFERROR(IF(VLOOKUP(LEFT(UPPER(TRIM($E688)),6),BankTbl,2,0)="","(بدون عنوان)",VLOOKUP(LEFT(UPPER(TRIM($E688)),6),BankTbl,2,0)),"بانک ناشناخته"))</f>
        <v/>
      </c>
      <c r="G688" s="11" t="n"/>
      <c r="H688" s="10">
        <f>IF($G688="","",IFERROR(VLOOKUP($G688,CustTbl,2,0),IFERROR(VLOOKUP($G688,SuppTbl,2,0),IFERROR(VLOOKUP($G688,AcctTbl,2,0),IFERROR(VLOOKUP($G688,StaffTbl,2,0),"کد ناشناخته")))))</f>
        <v/>
      </c>
      <c r="I688" s="12" t="n"/>
      <c r="J688" s="12" t="n"/>
      <c r="K688" s="13" t="n"/>
      <c r="L688" s="13" t="n"/>
      <c r="M688" s="13" t="n"/>
      <c r="N688" s="14">
        <f>IF(OR($C688="",$E688="",Calc!$H688=""),"",IFERROR(VLOOKUP(LEFT(UPPER(TRIM($E688)),6),BankTbl,3,0),0)+SUMIFS(CalcDep,CalcBank,LEFT(UPPER(TRIM($E688)),6),CalcKey,"&lt;="&amp;Calc!$H688)-SUMIFS(CalcWit,CalcBank,LEFT(UPPER(TRIM($E688)),6),CalcKey,"&lt;="&amp;Calc!$H688))</f>
        <v/>
      </c>
      <c r="O688" s="10">
        <f>IF(OR($C688="",$M688=""),"",IF($N688="","؟",IF(ROUND($M688-$N688,0)=0,"√","×")))</f>
        <v/>
      </c>
      <c r="P688" s="12" t="n"/>
    </row>
    <row r="689">
      <c r="A689" s="10">
        <f>IF($C689="","",COUNTA($C$9:$C689))</f>
        <v/>
      </c>
      <c r="B689" s="10">
        <f>IF($C689="","","TXN-"&amp;RIGHT("0000"&amp;681,4))</f>
        <v/>
      </c>
      <c r="C689" s="11" t="n"/>
      <c r="D689" s="11" t="n"/>
      <c r="E689" s="12" t="n"/>
      <c r="F689" s="10">
        <f>IF($E689="","",IFERROR(IF(VLOOKUP(LEFT(UPPER(TRIM($E689)),6),BankTbl,2,0)="","(بدون عنوان)",VLOOKUP(LEFT(UPPER(TRIM($E689)),6),BankTbl,2,0)),"بانک ناشناخته"))</f>
        <v/>
      </c>
      <c r="G689" s="11" t="n"/>
      <c r="H689" s="10">
        <f>IF($G689="","",IFERROR(VLOOKUP($G689,CustTbl,2,0),IFERROR(VLOOKUP($G689,SuppTbl,2,0),IFERROR(VLOOKUP($G689,AcctTbl,2,0),IFERROR(VLOOKUP($G689,StaffTbl,2,0),"کد ناشناخته")))))</f>
        <v/>
      </c>
      <c r="I689" s="12" t="n"/>
      <c r="J689" s="12" t="n"/>
      <c r="K689" s="13" t="n"/>
      <c r="L689" s="13" t="n"/>
      <c r="M689" s="13" t="n"/>
      <c r="N689" s="14">
        <f>IF(OR($C689="",$E689="",Calc!$H689=""),"",IFERROR(VLOOKUP(LEFT(UPPER(TRIM($E689)),6),BankTbl,3,0),0)+SUMIFS(CalcDep,CalcBank,LEFT(UPPER(TRIM($E689)),6),CalcKey,"&lt;="&amp;Calc!$H689)-SUMIFS(CalcWit,CalcBank,LEFT(UPPER(TRIM($E689)),6),CalcKey,"&lt;="&amp;Calc!$H689))</f>
        <v/>
      </c>
      <c r="O689" s="10">
        <f>IF(OR($C689="",$M689=""),"",IF($N689="","؟",IF(ROUND($M689-$N689,0)=0,"√","×")))</f>
        <v/>
      </c>
      <c r="P689" s="12" t="n"/>
    </row>
    <row r="690">
      <c r="A690" s="10">
        <f>IF($C690="","",COUNTA($C$9:$C690))</f>
        <v/>
      </c>
      <c r="B690" s="10">
        <f>IF($C690="","","TXN-"&amp;RIGHT("0000"&amp;682,4))</f>
        <v/>
      </c>
      <c r="C690" s="11" t="n"/>
      <c r="D690" s="11" t="n"/>
      <c r="E690" s="12" t="n"/>
      <c r="F690" s="10">
        <f>IF($E690="","",IFERROR(IF(VLOOKUP(LEFT(UPPER(TRIM($E690)),6),BankTbl,2,0)="","(بدون عنوان)",VLOOKUP(LEFT(UPPER(TRIM($E690)),6),BankTbl,2,0)),"بانک ناشناخته"))</f>
        <v/>
      </c>
      <c r="G690" s="11" t="n"/>
      <c r="H690" s="10">
        <f>IF($G690="","",IFERROR(VLOOKUP($G690,CustTbl,2,0),IFERROR(VLOOKUP($G690,SuppTbl,2,0),IFERROR(VLOOKUP($G690,AcctTbl,2,0),IFERROR(VLOOKUP($G690,StaffTbl,2,0),"کد ناشناخته")))))</f>
        <v/>
      </c>
      <c r="I690" s="12" t="n"/>
      <c r="J690" s="12" t="n"/>
      <c r="K690" s="13" t="n"/>
      <c r="L690" s="13" t="n"/>
      <c r="M690" s="13" t="n"/>
      <c r="N690" s="14">
        <f>IF(OR($C690="",$E690="",Calc!$H690=""),"",IFERROR(VLOOKUP(LEFT(UPPER(TRIM($E690)),6),BankTbl,3,0),0)+SUMIFS(CalcDep,CalcBank,LEFT(UPPER(TRIM($E690)),6),CalcKey,"&lt;="&amp;Calc!$H690)-SUMIFS(CalcWit,CalcBank,LEFT(UPPER(TRIM($E690)),6),CalcKey,"&lt;="&amp;Calc!$H690))</f>
        <v/>
      </c>
      <c r="O690" s="10">
        <f>IF(OR($C690="",$M690=""),"",IF($N690="","؟",IF(ROUND($M690-$N690,0)=0,"√","×")))</f>
        <v/>
      </c>
      <c r="P690" s="12" t="n"/>
    </row>
    <row r="691">
      <c r="A691" s="10">
        <f>IF($C691="","",COUNTA($C$9:$C691))</f>
        <v/>
      </c>
      <c r="B691" s="10">
        <f>IF($C691="","","TXN-"&amp;RIGHT("0000"&amp;683,4))</f>
        <v/>
      </c>
      <c r="C691" s="11" t="n"/>
      <c r="D691" s="11" t="n"/>
      <c r="E691" s="12" t="n"/>
      <c r="F691" s="10">
        <f>IF($E691="","",IFERROR(IF(VLOOKUP(LEFT(UPPER(TRIM($E691)),6),BankTbl,2,0)="","(بدون عنوان)",VLOOKUP(LEFT(UPPER(TRIM($E691)),6),BankTbl,2,0)),"بانک ناشناخته"))</f>
        <v/>
      </c>
      <c r="G691" s="11" t="n"/>
      <c r="H691" s="10">
        <f>IF($G691="","",IFERROR(VLOOKUP($G691,CustTbl,2,0),IFERROR(VLOOKUP($G691,SuppTbl,2,0),IFERROR(VLOOKUP($G691,AcctTbl,2,0),IFERROR(VLOOKUP($G691,StaffTbl,2,0),"کد ناشناخته")))))</f>
        <v/>
      </c>
      <c r="I691" s="12" t="n"/>
      <c r="J691" s="12" t="n"/>
      <c r="K691" s="13" t="n"/>
      <c r="L691" s="13" t="n"/>
      <c r="M691" s="13" t="n"/>
      <c r="N691" s="14">
        <f>IF(OR($C691="",$E691="",Calc!$H691=""),"",IFERROR(VLOOKUP(LEFT(UPPER(TRIM($E691)),6),BankTbl,3,0),0)+SUMIFS(CalcDep,CalcBank,LEFT(UPPER(TRIM($E691)),6),CalcKey,"&lt;="&amp;Calc!$H691)-SUMIFS(CalcWit,CalcBank,LEFT(UPPER(TRIM($E691)),6),CalcKey,"&lt;="&amp;Calc!$H691))</f>
        <v/>
      </c>
      <c r="O691" s="10">
        <f>IF(OR($C691="",$M691=""),"",IF($N691="","؟",IF(ROUND($M691-$N691,0)=0,"√","×")))</f>
        <v/>
      </c>
      <c r="P691" s="12" t="n"/>
    </row>
    <row r="692">
      <c r="A692" s="10">
        <f>IF($C692="","",COUNTA($C$9:$C692))</f>
        <v/>
      </c>
      <c r="B692" s="10">
        <f>IF($C692="","","TXN-"&amp;RIGHT("0000"&amp;684,4))</f>
        <v/>
      </c>
      <c r="C692" s="11" t="n"/>
      <c r="D692" s="11" t="n"/>
      <c r="E692" s="12" t="n"/>
      <c r="F692" s="10">
        <f>IF($E692="","",IFERROR(IF(VLOOKUP(LEFT(UPPER(TRIM($E692)),6),BankTbl,2,0)="","(بدون عنوان)",VLOOKUP(LEFT(UPPER(TRIM($E692)),6),BankTbl,2,0)),"بانک ناشناخته"))</f>
        <v/>
      </c>
      <c r="G692" s="11" t="n"/>
      <c r="H692" s="10">
        <f>IF($G692="","",IFERROR(VLOOKUP($G692,CustTbl,2,0),IFERROR(VLOOKUP($G692,SuppTbl,2,0),IFERROR(VLOOKUP($G692,AcctTbl,2,0),IFERROR(VLOOKUP($G692,StaffTbl,2,0),"کد ناشناخته")))))</f>
        <v/>
      </c>
      <c r="I692" s="12" t="n"/>
      <c r="J692" s="12" t="n"/>
      <c r="K692" s="13" t="n"/>
      <c r="L692" s="13" t="n"/>
      <c r="M692" s="13" t="n"/>
      <c r="N692" s="14">
        <f>IF(OR($C692="",$E692="",Calc!$H692=""),"",IFERROR(VLOOKUP(LEFT(UPPER(TRIM($E692)),6),BankTbl,3,0),0)+SUMIFS(CalcDep,CalcBank,LEFT(UPPER(TRIM($E692)),6),CalcKey,"&lt;="&amp;Calc!$H692)-SUMIFS(CalcWit,CalcBank,LEFT(UPPER(TRIM($E692)),6),CalcKey,"&lt;="&amp;Calc!$H692))</f>
        <v/>
      </c>
      <c r="O692" s="10">
        <f>IF(OR($C692="",$M692=""),"",IF($N692="","؟",IF(ROUND($M692-$N692,0)=0,"√","×")))</f>
        <v/>
      </c>
      <c r="P692" s="12" t="n"/>
    </row>
    <row r="693">
      <c r="A693" s="10">
        <f>IF($C693="","",COUNTA($C$9:$C693))</f>
        <v/>
      </c>
      <c r="B693" s="10">
        <f>IF($C693="","","TXN-"&amp;RIGHT("0000"&amp;685,4))</f>
        <v/>
      </c>
      <c r="C693" s="11" t="n"/>
      <c r="D693" s="11" t="n"/>
      <c r="E693" s="12" t="n"/>
      <c r="F693" s="10">
        <f>IF($E693="","",IFERROR(IF(VLOOKUP(LEFT(UPPER(TRIM($E693)),6),BankTbl,2,0)="","(بدون عنوان)",VLOOKUP(LEFT(UPPER(TRIM($E693)),6),BankTbl,2,0)),"بانک ناشناخته"))</f>
        <v/>
      </c>
      <c r="G693" s="11" t="n"/>
      <c r="H693" s="10">
        <f>IF($G693="","",IFERROR(VLOOKUP($G693,CustTbl,2,0),IFERROR(VLOOKUP($G693,SuppTbl,2,0),IFERROR(VLOOKUP($G693,AcctTbl,2,0),IFERROR(VLOOKUP($G693,StaffTbl,2,0),"کد ناشناخته")))))</f>
        <v/>
      </c>
      <c r="I693" s="12" t="n"/>
      <c r="J693" s="12" t="n"/>
      <c r="K693" s="13" t="n"/>
      <c r="L693" s="13" t="n"/>
      <c r="M693" s="13" t="n"/>
      <c r="N693" s="14">
        <f>IF(OR($C693="",$E693="",Calc!$H693=""),"",IFERROR(VLOOKUP(LEFT(UPPER(TRIM($E693)),6),BankTbl,3,0),0)+SUMIFS(CalcDep,CalcBank,LEFT(UPPER(TRIM($E693)),6),CalcKey,"&lt;="&amp;Calc!$H693)-SUMIFS(CalcWit,CalcBank,LEFT(UPPER(TRIM($E693)),6),CalcKey,"&lt;="&amp;Calc!$H693))</f>
        <v/>
      </c>
      <c r="O693" s="10">
        <f>IF(OR($C693="",$M693=""),"",IF($N693="","؟",IF(ROUND($M693-$N693,0)=0,"√","×")))</f>
        <v/>
      </c>
      <c r="P693" s="12" t="n"/>
    </row>
    <row r="694">
      <c r="A694" s="10">
        <f>IF($C694="","",COUNTA($C$9:$C694))</f>
        <v/>
      </c>
      <c r="B694" s="10">
        <f>IF($C694="","","TXN-"&amp;RIGHT("0000"&amp;686,4))</f>
        <v/>
      </c>
      <c r="C694" s="11" t="n"/>
      <c r="D694" s="11" t="n"/>
      <c r="E694" s="12" t="n"/>
      <c r="F694" s="10">
        <f>IF($E694="","",IFERROR(IF(VLOOKUP(LEFT(UPPER(TRIM($E694)),6),BankTbl,2,0)="","(بدون عنوان)",VLOOKUP(LEFT(UPPER(TRIM($E694)),6),BankTbl,2,0)),"بانک ناشناخته"))</f>
        <v/>
      </c>
      <c r="G694" s="11" t="n"/>
      <c r="H694" s="10">
        <f>IF($G694="","",IFERROR(VLOOKUP($G694,CustTbl,2,0),IFERROR(VLOOKUP($G694,SuppTbl,2,0),IFERROR(VLOOKUP($G694,AcctTbl,2,0),IFERROR(VLOOKUP($G694,StaffTbl,2,0),"کد ناشناخته")))))</f>
        <v/>
      </c>
      <c r="I694" s="12" t="n"/>
      <c r="J694" s="12" t="n"/>
      <c r="K694" s="13" t="n"/>
      <c r="L694" s="13" t="n"/>
      <c r="M694" s="13" t="n"/>
      <c r="N694" s="14">
        <f>IF(OR($C694="",$E694="",Calc!$H694=""),"",IFERROR(VLOOKUP(LEFT(UPPER(TRIM($E694)),6),BankTbl,3,0),0)+SUMIFS(CalcDep,CalcBank,LEFT(UPPER(TRIM($E694)),6),CalcKey,"&lt;="&amp;Calc!$H694)-SUMIFS(CalcWit,CalcBank,LEFT(UPPER(TRIM($E694)),6),CalcKey,"&lt;="&amp;Calc!$H694))</f>
        <v/>
      </c>
      <c r="O694" s="10">
        <f>IF(OR($C694="",$M694=""),"",IF($N694="","؟",IF(ROUND($M694-$N694,0)=0,"√","×")))</f>
        <v/>
      </c>
      <c r="P694" s="12" t="n"/>
    </row>
    <row r="695">
      <c r="A695" s="10">
        <f>IF($C695="","",COUNTA($C$9:$C695))</f>
        <v/>
      </c>
      <c r="B695" s="10">
        <f>IF($C695="","","TXN-"&amp;RIGHT("0000"&amp;687,4))</f>
        <v/>
      </c>
      <c r="C695" s="11" t="n"/>
      <c r="D695" s="11" t="n"/>
      <c r="E695" s="12" t="n"/>
      <c r="F695" s="10">
        <f>IF($E695="","",IFERROR(IF(VLOOKUP(LEFT(UPPER(TRIM($E695)),6),BankTbl,2,0)="","(بدون عنوان)",VLOOKUP(LEFT(UPPER(TRIM($E695)),6),BankTbl,2,0)),"بانک ناشناخته"))</f>
        <v/>
      </c>
      <c r="G695" s="11" t="n"/>
      <c r="H695" s="10">
        <f>IF($G695="","",IFERROR(VLOOKUP($G695,CustTbl,2,0),IFERROR(VLOOKUP($G695,SuppTbl,2,0),IFERROR(VLOOKUP($G695,AcctTbl,2,0),IFERROR(VLOOKUP($G695,StaffTbl,2,0),"کد ناشناخته")))))</f>
        <v/>
      </c>
      <c r="I695" s="12" t="n"/>
      <c r="J695" s="12" t="n"/>
      <c r="K695" s="13" t="n"/>
      <c r="L695" s="13" t="n"/>
      <c r="M695" s="13" t="n"/>
      <c r="N695" s="14">
        <f>IF(OR($C695="",$E695="",Calc!$H695=""),"",IFERROR(VLOOKUP(LEFT(UPPER(TRIM($E695)),6),BankTbl,3,0),0)+SUMIFS(CalcDep,CalcBank,LEFT(UPPER(TRIM($E695)),6),CalcKey,"&lt;="&amp;Calc!$H695)-SUMIFS(CalcWit,CalcBank,LEFT(UPPER(TRIM($E695)),6),CalcKey,"&lt;="&amp;Calc!$H695))</f>
        <v/>
      </c>
      <c r="O695" s="10">
        <f>IF(OR($C695="",$M695=""),"",IF($N695="","؟",IF(ROUND($M695-$N695,0)=0,"√","×")))</f>
        <v/>
      </c>
      <c r="P695" s="12" t="n"/>
    </row>
    <row r="696">
      <c r="A696" s="10">
        <f>IF($C696="","",COUNTA($C$9:$C696))</f>
        <v/>
      </c>
      <c r="B696" s="10">
        <f>IF($C696="","","TXN-"&amp;RIGHT("0000"&amp;688,4))</f>
        <v/>
      </c>
      <c r="C696" s="11" t="n"/>
      <c r="D696" s="11" t="n"/>
      <c r="E696" s="12" t="n"/>
      <c r="F696" s="10">
        <f>IF($E696="","",IFERROR(IF(VLOOKUP(LEFT(UPPER(TRIM($E696)),6),BankTbl,2,0)="","(بدون عنوان)",VLOOKUP(LEFT(UPPER(TRIM($E696)),6),BankTbl,2,0)),"بانک ناشناخته"))</f>
        <v/>
      </c>
      <c r="G696" s="11" t="n"/>
      <c r="H696" s="10">
        <f>IF($G696="","",IFERROR(VLOOKUP($G696,CustTbl,2,0),IFERROR(VLOOKUP($G696,SuppTbl,2,0),IFERROR(VLOOKUP($G696,AcctTbl,2,0),IFERROR(VLOOKUP($G696,StaffTbl,2,0),"کد ناشناخته")))))</f>
        <v/>
      </c>
      <c r="I696" s="12" t="n"/>
      <c r="J696" s="12" t="n"/>
      <c r="K696" s="13" t="n"/>
      <c r="L696" s="13" t="n"/>
      <c r="M696" s="13" t="n"/>
      <c r="N696" s="14">
        <f>IF(OR($C696="",$E696="",Calc!$H696=""),"",IFERROR(VLOOKUP(LEFT(UPPER(TRIM($E696)),6),BankTbl,3,0),0)+SUMIFS(CalcDep,CalcBank,LEFT(UPPER(TRIM($E696)),6),CalcKey,"&lt;="&amp;Calc!$H696)-SUMIFS(CalcWit,CalcBank,LEFT(UPPER(TRIM($E696)),6),CalcKey,"&lt;="&amp;Calc!$H696))</f>
        <v/>
      </c>
      <c r="O696" s="10">
        <f>IF(OR($C696="",$M696=""),"",IF($N696="","؟",IF(ROUND($M696-$N696,0)=0,"√","×")))</f>
        <v/>
      </c>
      <c r="P696" s="12" t="n"/>
    </row>
    <row r="697">
      <c r="A697" s="10">
        <f>IF($C697="","",COUNTA($C$9:$C697))</f>
        <v/>
      </c>
      <c r="B697" s="10">
        <f>IF($C697="","","TXN-"&amp;RIGHT("0000"&amp;689,4))</f>
        <v/>
      </c>
      <c r="C697" s="11" t="n"/>
      <c r="D697" s="11" t="n"/>
      <c r="E697" s="12" t="n"/>
      <c r="F697" s="10">
        <f>IF($E697="","",IFERROR(IF(VLOOKUP(LEFT(UPPER(TRIM($E697)),6),BankTbl,2,0)="","(بدون عنوان)",VLOOKUP(LEFT(UPPER(TRIM($E697)),6),BankTbl,2,0)),"بانک ناشناخته"))</f>
        <v/>
      </c>
      <c r="G697" s="11" t="n"/>
      <c r="H697" s="10">
        <f>IF($G697="","",IFERROR(VLOOKUP($G697,CustTbl,2,0),IFERROR(VLOOKUP($G697,SuppTbl,2,0),IFERROR(VLOOKUP($G697,AcctTbl,2,0),IFERROR(VLOOKUP($G697,StaffTbl,2,0),"کد ناشناخته")))))</f>
        <v/>
      </c>
      <c r="I697" s="12" t="n"/>
      <c r="J697" s="12" t="n"/>
      <c r="K697" s="13" t="n"/>
      <c r="L697" s="13" t="n"/>
      <c r="M697" s="13" t="n"/>
      <c r="N697" s="14">
        <f>IF(OR($C697="",$E697="",Calc!$H697=""),"",IFERROR(VLOOKUP(LEFT(UPPER(TRIM($E697)),6),BankTbl,3,0),0)+SUMIFS(CalcDep,CalcBank,LEFT(UPPER(TRIM($E697)),6),CalcKey,"&lt;="&amp;Calc!$H697)-SUMIFS(CalcWit,CalcBank,LEFT(UPPER(TRIM($E697)),6),CalcKey,"&lt;="&amp;Calc!$H697))</f>
        <v/>
      </c>
      <c r="O697" s="10">
        <f>IF(OR($C697="",$M697=""),"",IF($N697="","؟",IF(ROUND($M697-$N697,0)=0,"√","×")))</f>
        <v/>
      </c>
      <c r="P697" s="12" t="n"/>
    </row>
    <row r="698">
      <c r="A698" s="10">
        <f>IF($C698="","",COUNTA($C$9:$C698))</f>
        <v/>
      </c>
      <c r="B698" s="10">
        <f>IF($C698="","","TXN-"&amp;RIGHT("0000"&amp;690,4))</f>
        <v/>
      </c>
      <c r="C698" s="11" t="n"/>
      <c r="D698" s="11" t="n"/>
      <c r="E698" s="12" t="n"/>
      <c r="F698" s="10">
        <f>IF($E698="","",IFERROR(IF(VLOOKUP(LEFT(UPPER(TRIM($E698)),6),BankTbl,2,0)="","(بدون عنوان)",VLOOKUP(LEFT(UPPER(TRIM($E698)),6),BankTbl,2,0)),"بانک ناشناخته"))</f>
        <v/>
      </c>
      <c r="G698" s="11" t="n"/>
      <c r="H698" s="10">
        <f>IF($G698="","",IFERROR(VLOOKUP($G698,CustTbl,2,0),IFERROR(VLOOKUP($G698,SuppTbl,2,0),IFERROR(VLOOKUP($G698,AcctTbl,2,0),IFERROR(VLOOKUP($G698,StaffTbl,2,0),"کد ناشناخته")))))</f>
        <v/>
      </c>
      <c r="I698" s="12" t="n"/>
      <c r="J698" s="12" t="n"/>
      <c r="K698" s="13" t="n"/>
      <c r="L698" s="13" t="n"/>
      <c r="M698" s="13" t="n"/>
      <c r="N698" s="14">
        <f>IF(OR($C698="",$E698="",Calc!$H698=""),"",IFERROR(VLOOKUP(LEFT(UPPER(TRIM($E698)),6),BankTbl,3,0),0)+SUMIFS(CalcDep,CalcBank,LEFT(UPPER(TRIM($E698)),6),CalcKey,"&lt;="&amp;Calc!$H698)-SUMIFS(CalcWit,CalcBank,LEFT(UPPER(TRIM($E698)),6),CalcKey,"&lt;="&amp;Calc!$H698))</f>
        <v/>
      </c>
      <c r="O698" s="10">
        <f>IF(OR($C698="",$M698=""),"",IF($N698="","؟",IF(ROUND($M698-$N698,0)=0,"√","×")))</f>
        <v/>
      </c>
      <c r="P698" s="12" t="n"/>
    </row>
    <row r="699">
      <c r="A699" s="10">
        <f>IF($C699="","",COUNTA($C$9:$C699))</f>
        <v/>
      </c>
      <c r="B699" s="10">
        <f>IF($C699="","","TXN-"&amp;RIGHT("0000"&amp;691,4))</f>
        <v/>
      </c>
      <c r="C699" s="11" t="n"/>
      <c r="D699" s="11" t="n"/>
      <c r="E699" s="12" t="n"/>
      <c r="F699" s="10">
        <f>IF($E699="","",IFERROR(IF(VLOOKUP(LEFT(UPPER(TRIM($E699)),6),BankTbl,2,0)="","(بدون عنوان)",VLOOKUP(LEFT(UPPER(TRIM($E699)),6),BankTbl,2,0)),"بانک ناشناخته"))</f>
        <v/>
      </c>
      <c r="G699" s="11" t="n"/>
      <c r="H699" s="10">
        <f>IF($G699="","",IFERROR(VLOOKUP($G699,CustTbl,2,0),IFERROR(VLOOKUP($G699,SuppTbl,2,0),IFERROR(VLOOKUP($G699,AcctTbl,2,0),IFERROR(VLOOKUP($G699,StaffTbl,2,0),"کد ناشناخته")))))</f>
        <v/>
      </c>
      <c r="I699" s="12" t="n"/>
      <c r="J699" s="12" t="n"/>
      <c r="K699" s="13" t="n"/>
      <c r="L699" s="13" t="n"/>
      <c r="M699" s="13" t="n"/>
      <c r="N699" s="14">
        <f>IF(OR($C699="",$E699="",Calc!$H699=""),"",IFERROR(VLOOKUP(LEFT(UPPER(TRIM($E699)),6),BankTbl,3,0),0)+SUMIFS(CalcDep,CalcBank,LEFT(UPPER(TRIM($E699)),6),CalcKey,"&lt;="&amp;Calc!$H699)-SUMIFS(CalcWit,CalcBank,LEFT(UPPER(TRIM($E699)),6),CalcKey,"&lt;="&amp;Calc!$H699))</f>
        <v/>
      </c>
      <c r="O699" s="10">
        <f>IF(OR($C699="",$M699=""),"",IF($N699="","؟",IF(ROUND($M699-$N699,0)=0,"√","×")))</f>
        <v/>
      </c>
      <c r="P699" s="12" t="n"/>
    </row>
    <row r="700">
      <c r="A700" s="10">
        <f>IF($C700="","",COUNTA($C$9:$C700))</f>
        <v/>
      </c>
      <c r="B700" s="10">
        <f>IF($C700="","","TXN-"&amp;RIGHT("0000"&amp;692,4))</f>
        <v/>
      </c>
      <c r="C700" s="11" t="n"/>
      <c r="D700" s="11" t="n"/>
      <c r="E700" s="12" t="n"/>
      <c r="F700" s="10">
        <f>IF($E700="","",IFERROR(IF(VLOOKUP(LEFT(UPPER(TRIM($E700)),6),BankTbl,2,0)="","(بدون عنوان)",VLOOKUP(LEFT(UPPER(TRIM($E700)),6),BankTbl,2,0)),"بانک ناشناخته"))</f>
        <v/>
      </c>
      <c r="G700" s="11" t="n"/>
      <c r="H700" s="10">
        <f>IF($G700="","",IFERROR(VLOOKUP($G700,CustTbl,2,0),IFERROR(VLOOKUP($G700,SuppTbl,2,0),IFERROR(VLOOKUP($G700,AcctTbl,2,0),IFERROR(VLOOKUP($G700,StaffTbl,2,0),"کد ناشناخته")))))</f>
        <v/>
      </c>
      <c r="I700" s="12" t="n"/>
      <c r="J700" s="12" t="n"/>
      <c r="K700" s="13" t="n"/>
      <c r="L700" s="13" t="n"/>
      <c r="M700" s="13" t="n"/>
      <c r="N700" s="14">
        <f>IF(OR($C700="",$E700="",Calc!$H700=""),"",IFERROR(VLOOKUP(LEFT(UPPER(TRIM($E700)),6),BankTbl,3,0),0)+SUMIFS(CalcDep,CalcBank,LEFT(UPPER(TRIM($E700)),6),CalcKey,"&lt;="&amp;Calc!$H700)-SUMIFS(CalcWit,CalcBank,LEFT(UPPER(TRIM($E700)),6),CalcKey,"&lt;="&amp;Calc!$H700))</f>
        <v/>
      </c>
      <c r="O700" s="10">
        <f>IF(OR($C700="",$M700=""),"",IF($N700="","؟",IF(ROUND($M700-$N700,0)=0,"√","×")))</f>
        <v/>
      </c>
      <c r="P700" s="12" t="n"/>
    </row>
    <row r="701">
      <c r="A701" s="10">
        <f>IF($C701="","",COUNTA($C$9:$C701))</f>
        <v/>
      </c>
      <c r="B701" s="10">
        <f>IF($C701="","","TXN-"&amp;RIGHT("0000"&amp;693,4))</f>
        <v/>
      </c>
      <c r="C701" s="11" t="n"/>
      <c r="D701" s="11" t="n"/>
      <c r="E701" s="12" t="n"/>
      <c r="F701" s="10">
        <f>IF($E701="","",IFERROR(IF(VLOOKUP(LEFT(UPPER(TRIM($E701)),6),BankTbl,2,0)="","(بدون عنوان)",VLOOKUP(LEFT(UPPER(TRIM($E701)),6),BankTbl,2,0)),"بانک ناشناخته"))</f>
        <v/>
      </c>
      <c r="G701" s="11" t="n"/>
      <c r="H701" s="10">
        <f>IF($G701="","",IFERROR(VLOOKUP($G701,CustTbl,2,0),IFERROR(VLOOKUP($G701,SuppTbl,2,0),IFERROR(VLOOKUP($G701,AcctTbl,2,0),IFERROR(VLOOKUP($G701,StaffTbl,2,0),"کد ناشناخته")))))</f>
        <v/>
      </c>
      <c r="I701" s="12" t="n"/>
      <c r="J701" s="12" t="n"/>
      <c r="K701" s="13" t="n"/>
      <c r="L701" s="13" t="n"/>
      <c r="M701" s="13" t="n"/>
      <c r="N701" s="14">
        <f>IF(OR($C701="",$E701="",Calc!$H701=""),"",IFERROR(VLOOKUP(LEFT(UPPER(TRIM($E701)),6),BankTbl,3,0),0)+SUMIFS(CalcDep,CalcBank,LEFT(UPPER(TRIM($E701)),6),CalcKey,"&lt;="&amp;Calc!$H701)-SUMIFS(CalcWit,CalcBank,LEFT(UPPER(TRIM($E701)),6),CalcKey,"&lt;="&amp;Calc!$H701))</f>
        <v/>
      </c>
      <c r="O701" s="10">
        <f>IF(OR($C701="",$M701=""),"",IF($N701="","؟",IF(ROUND($M701-$N701,0)=0,"√","×")))</f>
        <v/>
      </c>
      <c r="P701" s="12" t="n"/>
    </row>
    <row r="702">
      <c r="A702" s="10">
        <f>IF($C702="","",COUNTA($C$9:$C702))</f>
        <v/>
      </c>
      <c r="B702" s="10">
        <f>IF($C702="","","TXN-"&amp;RIGHT("0000"&amp;694,4))</f>
        <v/>
      </c>
      <c r="C702" s="11" t="n"/>
      <c r="D702" s="11" t="n"/>
      <c r="E702" s="12" t="n"/>
      <c r="F702" s="10">
        <f>IF($E702="","",IFERROR(IF(VLOOKUP(LEFT(UPPER(TRIM($E702)),6),BankTbl,2,0)="","(بدون عنوان)",VLOOKUP(LEFT(UPPER(TRIM($E702)),6),BankTbl,2,0)),"بانک ناشناخته"))</f>
        <v/>
      </c>
      <c r="G702" s="11" t="n"/>
      <c r="H702" s="10">
        <f>IF($G702="","",IFERROR(VLOOKUP($G702,CustTbl,2,0),IFERROR(VLOOKUP($G702,SuppTbl,2,0),IFERROR(VLOOKUP($G702,AcctTbl,2,0),IFERROR(VLOOKUP($G702,StaffTbl,2,0),"کد ناشناخته")))))</f>
        <v/>
      </c>
      <c r="I702" s="12" t="n"/>
      <c r="J702" s="12" t="n"/>
      <c r="K702" s="13" t="n"/>
      <c r="L702" s="13" t="n"/>
      <c r="M702" s="13" t="n"/>
      <c r="N702" s="14">
        <f>IF(OR($C702="",$E702="",Calc!$H702=""),"",IFERROR(VLOOKUP(LEFT(UPPER(TRIM($E702)),6),BankTbl,3,0),0)+SUMIFS(CalcDep,CalcBank,LEFT(UPPER(TRIM($E702)),6),CalcKey,"&lt;="&amp;Calc!$H702)-SUMIFS(CalcWit,CalcBank,LEFT(UPPER(TRIM($E702)),6),CalcKey,"&lt;="&amp;Calc!$H702))</f>
        <v/>
      </c>
      <c r="O702" s="10">
        <f>IF(OR($C702="",$M702=""),"",IF($N702="","؟",IF(ROUND($M702-$N702,0)=0,"√","×")))</f>
        <v/>
      </c>
      <c r="P702" s="12" t="n"/>
    </row>
    <row r="703">
      <c r="A703" s="10">
        <f>IF($C703="","",COUNTA($C$9:$C703))</f>
        <v/>
      </c>
      <c r="B703" s="10">
        <f>IF($C703="","","TXN-"&amp;RIGHT("0000"&amp;695,4))</f>
        <v/>
      </c>
      <c r="C703" s="11" t="n"/>
      <c r="D703" s="11" t="n"/>
      <c r="E703" s="12" t="n"/>
      <c r="F703" s="10">
        <f>IF($E703="","",IFERROR(IF(VLOOKUP(LEFT(UPPER(TRIM($E703)),6),BankTbl,2,0)="","(بدون عنوان)",VLOOKUP(LEFT(UPPER(TRIM($E703)),6),BankTbl,2,0)),"بانک ناشناخته"))</f>
        <v/>
      </c>
      <c r="G703" s="11" t="n"/>
      <c r="H703" s="10">
        <f>IF($G703="","",IFERROR(VLOOKUP($G703,CustTbl,2,0),IFERROR(VLOOKUP($G703,SuppTbl,2,0),IFERROR(VLOOKUP($G703,AcctTbl,2,0),IFERROR(VLOOKUP($G703,StaffTbl,2,0),"کد ناشناخته")))))</f>
        <v/>
      </c>
      <c r="I703" s="12" t="n"/>
      <c r="J703" s="12" t="n"/>
      <c r="K703" s="13" t="n"/>
      <c r="L703" s="13" t="n"/>
      <c r="M703" s="13" t="n"/>
      <c r="N703" s="14">
        <f>IF(OR($C703="",$E703="",Calc!$H703=""),"",IFERROR(VLOOKUP(LEFT(UPPER(TRIM($E703)),6),BankTbl,3,0),0)+SUMIFS(CalcDep,CalcBank,LEFT(UPPER(TRIM($E703)),6),CalcKey,"&lt;="&amp;Calc!$H703)-SUMIFS(CalcWit,CalcBank,LEFT(UPPER(TRIM($E703)),6),CalcKey,"&lt;="&amp;Calc!$H703))</f>
        <v/>
      </c>
      <c r="O703" s="10">
        <f>IF(OR($C703="",$M703=""),"",IF($N703="","؟",IF(ROUND($M703-$N703,0)=0,"√","×")))</f>
        <v/>
      </c>
      <c r="P703" s="12" t="n"/>
    </row>
    <row r="704">
      <c r="A704" s="10">
        <f>IF($C704="","",COUNTA($C$9:$C704))</f>
        <v/>
      </c>
      <c r="B704" s="10">
        <f>IF($C704="","","TXN-"&amp;RIGHT("0000"&amp;696,4))</f>
        <v/>
      </c>
      <c r="C704" s="11" t="n"/>
      <c r="D704" s="11" t="n"/>
      <c r="E704" s="12" t="n"/>
      <c r="F704" s="10">
        <f>IF($E704="","",IFERROR(IF(VLOOKUP(LEFT(UPPER(TRIM($E704)),6),BankTbl,2,0)="","(بدون عنوان)",VLOOKUP(LEFT(UPPER(TRIM($E704)),6),BankTbl,2,0)),"بانک ناشناخته"))</f>
        <v/>
      </c>
      <c r="G704" s="11" t="n"/>
      <c r="H704" s="10">
        <f>IF($G704="","",IFERROR(VLOOKUP($G704,CustTbl,2,0),IFERROR(VLOOKUP($G704,SuppTbl,2,0),IFERROR(VLOOKUP($G704,AcctTbl,2,0),IFERROR(VLOOKUP($G704,StaffTbl,2,0),"کد ناشناخته")))))</f>
        <v/>
      </c>
      <c r="I704" s="12" t="n"/>
      <c r="J704" s="12" t="n"/>
      <c r="K704" s="13" t="n"/>
      <c r="L704" s="13" t="n"/>
      <c r="M704" s="13" t="n"/>
      <c r="N704" s="14">
        <f>IF(OR($C704="",$E704="",Calc!$H704=""),"",IFERROR(VLOOKUP(LEFT(UPPER(TRIM($E704)),6),BankTbl,3,0),0)+SUMIFS(CalcDep,CalcBank,LEFT(UPPER(TRIM($E704)),6),CalcKey,"&lt;="&amp;Calc!$H704)-SUMIFS(CalcWit,CalcBank,LEFT(UPPER(TRIM($E704)),6),CalcKey,"&lt;="&amp;Calc!$H704))</f>
        <v/>
      </c>
      <c r="O704" s="10">
        <f>IF(OR($C704="",$M704=""),"",IF($N704="","؟",IF(ROUND($M704-$N704,0)=0,"√","×")))</f>
        <v/>
      </c>
      <c r="P704" s="12" t="n"/>
    </row>
    <row r="705">
      <c r="A705" s="10">
        <f>IF($C705="","",COUNTA($C$9:$C705))</f>
        <v/>
      </c>
      <c r="B705" s="10">
        <f>IF($C705="","","TXN-"&amp;RIGHT("0000"&amp;697,4))</f>
        <v/>
      </c>
      <c r="C705" s="11" t="n"/>
      <c r="D705" s="11" t="n"/>
      <c r="E705" s="12" t="n"/>
      <c r="F705" s="10">
        <f>IF($E705="","",IFERROR(IF(VLOOKUP(LEFT(UPPER(TRIM($E705)),6),BankTbl,2,0)="","(بدون عنوان)",VLOOKUP(LEFT(UPPER(TRIM($E705)),6),BankTbl,2,0)),"بانک ناشناخته"))</f>
        <v/>
      </c>
      <c r="G705" s="11" t="n"/>
      <c r="H705" s="10">
        <f>IF($G705="","",IFERROR(VLOOKUP($G705,CustTbl,2,0),IFERROR(VLOOKUP($G705,SuppTbl,2,0),IFERROR(VLOOKUP($G705,AcctTbl,2,0),IFERROR(VLOOKUP($G705,StaffTbl,2,0),"کد ناشناخته")))))</f>
        <v/>
      </c>
      <c r="I705" s="12" t="n"/>
      <c r="J705" s="12" t="n"/>
      <c r="K705" s="13" t="n"/>
      <c r="L705" s="13" t="n"/>
      <c r="M705" s="13" t="n"/>
      <c r="N705" s="14">
        <f>IF(OR($C705="",$E705="",Calc!$H705=""),"",IFERROR(VLOOKUP(LEFT(UPPER(TRIM($E705)),6),BankTbl,3,0),0)+SUMIFS(CalcDep,CalcBank,LEFT(UPPER(TRIM($E705)),6),CalcKey,"&lt;="&amp;Calc!$H705)-SUMIFS(CalcWit,CalcBank,LEFT(UPPER(TRIM($E705)),6),CalcKey,"&lt;="&amp;Calc!$H705))</f>
        <v/>
      </c>
      <c r="O705" s="10">
        <f>IF(OR($C705="",$M705=""),"",IF($N705="","؟",IF(ROUND($M705-$N705,0)=0,"√","×")))</f>
        <v/>
      </c>
      <c r="P705" s="12" t="n"/>
    </row>
    <row r="706">
      <c r="A706" s="10">
        <f>IF($C706="","",COUNTA($C$9:$C706))</f>
        <v/>
      </c>
      <c r="B706" s="10">
        <f>IF($C706="","","TXN-"&amp;RIGHT("0000"&amp;698,4))</f>
        <v/>
      </c>
      <c r="C706" s="11" t="n"/>
      <c r="D706" s="11" t="n"/>
      <c r="E706" s="12" t="n"/>
      <c r="F706" s="10">
        <f>IF($E706="","",IFERROR(IF(VLOOKUP(LEFT(UPPER(TRIM($E706)),6),BankTbl,2,0)="","(بدون عنوان)",VLOOKUP(LEFT(UPPER(TRIM($E706)),6),BankTbl,2,0)),"بانک ناشناخته"))</f>
        <v/>
      </c>
      <c r="G706" s="11" t="n"/>
      <c r="H706" s="10">
        <f>IF($G706="","",IFERROR(VLOOKUP($G706,CustTbl,2,0),IFERROR(VLOOKUP($G706,SuppTbl,2,0),IFERROR(VLOOKUP($G706,AcctTbl,2,0),IFERROR(VLOOKUP($G706,StaffTbl,2,0),"کد ناشناخته")))))</f>
        <v/>
      </c>
      <c r="I706" s="12" t="n"/>
      <c r="J706" s="12" t="n"/>
      <c r="K706" s="13" t="n"/>
      <c r="L706" s="13" t="n"/>
      <c r="M706" s="13" t="n"/>
      <c r="N706" s="14">
        <f>IF(OR($C706="",$E706="",Calc!$H706=""),"",IFERROR(VLOOKUP(LEFT(UPPER(TRIM($E706)),6),BankTbl,3,0),0)+SUMIFS(CalcDep,CalcBank,LEFT(UPPER(TRIM($E706)),6),CalcKey,"&lt;="&amp;Calc!$H706)-SUMIFS(CalcWit,CalcBank,LEFT(UPPER(TRIM($E706)),6),CalcKey,"&lt;="&amp;Calc!$H706))</f>
        <v/>
      </c>
      <c r="O706" s="10">
        <f>IF(OR($C706="",$M706=""),"",IF($N706="","؟",IF(ROUND($M706-$N706,0)=0,"√","×")))</f>
        <v/>
      </c>
      <c r="P706" s="12" t="n"/>
    </row>
    <row r="707">
      <c r="A707" s="10">
        <f>IF($C707="","",COUNTA($C$9:$C707))</f>
        <v/>
      </c>
      <c r="B707" s="10">
        <f>IF($C707="","","TXN-"&amp;RIGHT("0000"&amp;699,4))</f>
        <v/>
      </c>
      <c r="C707" s="11" t="n"/>
      <c r="D707" s="11" t="n"/>
      <c r="E707" s="12" t="n"/>
      <c r="F707" s="10">
        <f>IF($E707="","",IFERROR(IF(VLOOKUP(LEFT(UPPER(TRIM($E707)),6),BankTbl,2,0)="","(بدون عنوان)",VLOOKUP(LEFT(UPPER(TRIM($E707)),6),BankTbl,2,0)),"بانک ناشناخته"))</f>
        <v/>
      </c>
      <c r="G707" s="11" t="n"/>
      <c r="H707" s="10">
        <f>IF($G707="","",IFERROR(VLOOKUP($G707,CustTbl,2,0),IFERROR(VLOOKUP($G707,SuppTbl,2,0),IFERROR(VLOOKUP($G707,AcctTbl,2,0),IFERROR(VLOOKUP($G707,StaffTbl,2,0),"کد ناشناخته")))))</f>
        <v/>
      </c>
      <c r="I707" s="12" t="n"/>
      <c r="J707" s="12" t="n"/>
      <c r="K707" s="13" t="n"/>
      <c r="L707" s="13" t="n"/>
      <c r="M707" s="13" t="n"/>
      <c r="N707" s="14">
        <f>IF(OR($C707="",$E707="",Calc!$H707=""),"",IFERROR(VLOOKUP(LEFT(UPPER(TRIM($E707)),6),BankTbl,3,0),0)+SUMIFS(CalcDep,CalcBank,LEFT(UPPER(TRIM($E707)),6),CalcKey,"&lt;="&amp;Calc!$H707)-SUMIFS(CalcWit,CalcBank,LEFT(UPPER(TRIM($E707)),6),CalcKey,"&lt;="&amp;Calc!$H707))</f>
        <v/>
      </c>
      <c r="O707" s="10">
        <f>IF(OR($C707="",$M707=""),"",IF($N707="","؟",IF(ROUND($M707-$N707,0)=0,"√","×")))</f>
        <v/>
      </c>
      <c r="P707" s="12" t="n"/>
    </row>
    <row r="708">
      <c r="A708" s="10">
        <f>IF($C708="","",COUNTA($C$9:$C708))</f>
        <v/>
      </c>
      <c r="B708" s="10">
        <f>IF($C708="","","TXN-"&amp;RIGHT("0000"&amp;700,4))</f>
        <v/>
      </c>
      <c r="C708" s="11" t="n"/>
      <c r="D708" s="11" t="n"/>
      <c r="E708" s="12" t="n"/>
      <c r="F708" s="10">
        <f>IF($E708="","",IFERROR(IF(VLOOKUP(LEFT(UPPER(TRIM($E708)),6),BankTbl,2,0)="","(بدون عنوان)",VLOOKUP(LEFT(UPPER(TRIM($E708)),6),BankTbl,2,0)),"بانک ناشناخته"))</f>
        <v/>
      </c>
      <c r="G708" s="11" t="n"/>
      <c r="H708" s="10">
        <f>IF($G708="","",IFERROR(VLOOKUP($G708,CustTbl,2,0),IFERROR(VLOOKUP($G708,SuppTbl,2,0),IFERROR(VLOOKUP($G708,AcctTbl,2,0),IFERROR(VLOOKUP($G708,StaffTbl,2,0),"کد ناشناخته")))))</f>
        <v/>
      </c>
      <c r="I708" s="12" t="n"/>
      <c r="J708" s="12" t="n"/>
      <c r="K708" s="13" t="n"/>
      <c r="L708" s="13" t="n"/>
      <c r="M708" s="13" t="n"/>
      <c r="N708" s="14">
        <f>IF(OR($C708="",$E708="",Calc!$H708=""),"",IFERROR(VLOOKUP(LEFT(UPPER(TRIM($E708)),6),BankTbl,3,0),0)+SUMIFS(CalcDep,CalcBank,LEFT(UPPER(TRIM($E708)),6),CalcKey,"&lt;="&amp;Calc!$H708)-SUMIFS(CalcWit,CalcBank,LEFT(UPPER(TRIM($E708)),6),CalcKey,"&lt;="&amp;Calc!$H708))</f>
        <v/>
      </c>
      <c r="O708" s="10">
        <f>IF(OR($C708="",$M708=""),"",IF($N708="","؟",IF(ROUND($M708-$N708,0)=0,"√","×")))</f>
        <v/>
      </c>
      <c r="P708" s="12" t="n"/>
    </row>
    <row r="709">
      <c r="A709" s="10">
        <f>IF($C709="","",COUNTA($C$9:$C709))</f>
        <v/>
      </c>
      <c r="B709" s="10">
        <f>IF($C709="","","TXN-"&amp;RIGHT("0000"&amp;701,4))</f>
        <v/>
      </c>
      <c r="C709" s="11" t="n"/>
      <c r="D709" s="11" t="n"/>
      <c r="E709" s="12" t="n"/>
      <c r="F709" s="10">
        <f>IF($E709="","",IFERROR(IF(VLOOKUP(LEFT(UPPER(TRIM($E709)),6),BankTbl,2,0)="","(بدون عنوان)",VLOOKUP(LEFT(UPPER(TRIM($E709)),6),BankTbl,2,0)),"بانک ناشناخته"))</f>
        <v/>
      </c>
      <c r="G709" s="11" t="n"/>
      <c r="H709" s="10">
        <f>IF($G709="","",IFERROR(VLOOKUP($G709,CustTbl,2,0),IFERROR(VLOOKUP($G709,SuppTbl,2,0),IFERROR(VLOOKUP($G709,AcctTbl,2,0),IFERROR(VLOOKUP($G709,StaffTbl,2,0),"کد ناشناخته")))))</f>
        <v/>
      </c>
      <c r="I709" s="12" t="n"/>
      <c r="J709" s="12" t="n"/>
      <c r="K709" s="13" t="n"/>
      <c r="L709" s="13" t="n"/>
      <c r="M709" s="13" t="n"/>
      <c r="N709" s="14">
        <f>IF(OR($C709="",$E709="",Calc!$H709=""),"",IFERROR(VLOOKUP(LEFT(UPPER(TRIM($E709)),6),BankTbl,3,0),0)+SUMIFS(CalcDep,CalcBank,LEFT(UPPER(TRIM($E709)),6),CalcKey,"&lt;="&amp;Calc!$H709)-SUMIFS(CalcWit,CalcBank,LEFT(UPPER(TRIM($E709)),6),CalcKey,"&lt;="&amp;Calc!$H709))</f>
        <v/>
      </c>
      <c r="O709" s="10">
        <f>IF(OR($C709="",$M709=""),"",IF($N709="","؟",IF(ROUND($M709-$N709,0)=0,"√","×")))</f>
        <v/>
      </c>
      <c r="P709" s="12" t="n"/>
    </row>
    <row r="710">
      <c r="A710" s="10">
        <f>IF($C710="","",COUNTA($C$9:$C710))</f>
        <v/>
      </c>
      <c r="B710" s="10">
        <f>IF($C710="","","TXN-"&amp;RIGHT("0000"&amp;702,4))</f>
        <v/>
      </c>
      <c r="C710" s="11" t="n"/>
      <c r="D710" s="11" t="n"/>
      <c r="E710" s="12" t="n"/>
      <c r="F710" s="10">
        <f>IF($E710="","",IFERROR(IF(VLOOKUP(LEFT(UPPER(TRIM($E710)),6),BankTbl,2,0)="","(بدون عنوان)",VLOOKUP(LEFT(UPPER(TRIM($E710)),6),BankTbl,2,0)),"بانک ناشناخته"))</f>
        <v/>
      </c>
      <c r="G710" s="11" t="n"/>
      <c r="H710" s="10">
        <f>IF($G710="","",IFERROR(VLOOKUP($G710,CustTbl,2,0),IFERROR(VLOOKUP($G710,SuppTbl,2,0),IFERROR(VLOOKUP($G710,AcctTbl,2,0),IFERROR(VLOOKUP($G710,StaffTbl,2,0),"کد ناشناخته")))))</f>
        <v/>
      </c>
      <c r="I710" s="12" t="n"/>
      <c r="J710" s="12" t="n"/>
      <c r="K710" s="13" t="n"/>
      <c r="L710" s="13" t="n"/>
      <c r="M710" s="13" t="n"/>
      <c r="N710" s="14">
        <f>IF(OR($C710="",$E710="",Calc!$H710=""),"",IFERROR(VLOOKUP(LEFT(UPPER(TRIM($E710)),6),BankTbl,3,0),0)+SUMIFS(CalcDep,CalcBank,LEFT(UPPER(TRIM($E710)),6),CalcKey,"&lt;="&amp;Calc!$H710)-SUMIFS(CalcWit,CalcBank,LEFT(UPPER(TRIM($E710)),6),CalcKey,"&lt;="&amp;Calc!$H710))</f>
        <v/>
      </c>
      <c r="O710" s="10">
        <f>IF(OR($C710="",$M710=""),"",IF($N710="","؟",IF(ROUND($M710-$N710,0)=0,"√","×")))</f>
        <v/>
      </c>
      <c r="P710" s="12" t="n"/>
    </row>
    <row r="711">
      <c r="A711" s="10">
        <f>IF($C711="","",COUNTA($C$9:$C711))</f>
        <v/>
      </c>
      <c r="B711" s="10">
        <f>IF($C711="","","TXN-"&amp;RIGHT("0000"&amp;703,4))</f>
        <v/>
      </c>
      <c r="C711" s="11" t="n"/>
      <c r="D711" s="11" t="n"/>
      <c r="E711" s="12" t="n"/>
      <c r="F711" s="10">
        <f>IF($E711="","",IFERROR(IF(VLOOKUP(LEFT(UPPER(TRIM($E711)),6),BankTbl,2,0)="","(بدون عنوان)",VLOOKUP(LEFT(UPPER(TRIM($E711)),6),BankTbl,2,0)),"بانک ناشناخته"))</f>
        <v/>
      </c>
      <c r="G711" s="11" t="n"/>
      <c r="H711" s="10">
        <f>IF($G711="","",IFERROR(VLOOKUP($G711,CustTbl,2,0),IFERROR(VLOOKUP($G711,SuppTbl,2,0),IFERROR(VLOOKUP($G711,AcctTbl,2,0),IFERROR(VLOOKUP($G711,StaffTbl,2,0),"کد ناشناخته")))))</f>
        <v/>
      </c>
      <c r="I711" s="12" t="n"/>
      <c r="J711" s="12" t="n"/>
      <c r="K711" s="13" t="n"/>
      <c r="L711" s="13" t="n"/>
      <c r="M711" s="13" t="n"/>
      <c r="N711" s="14">
        <f>IF(OR($C711="",$E711="",Calc!$H711=""),"",IFERROR(VLOOKUP(LEFT(UPPER(TRIM($E711)),6),BankTbl,3,0),0)+SUMIFS(CalcDep,CalcBank,LEFT(UPPER(TRIM($E711)),6),CalcKey,"&lt;="&amp;Calc!$H711)-SUMIFS(CalcWit,CalcBank,LEFT(UPPER(TRIM($E711)),6),CalcKey,"&lt;="&amp;Calc!$H711))</f>
        <v/>
      </c>
      <c r="O711" s="10">
        <f>IF(OR($C711="",$M711=""),"",IF($N711="","؟",IF(ROUND($M711-$N711,0)=0,"√","×")))</f>
        <v/>
      </c>
      <c r="P711" s="12" t="n"/>
    </row>
    <row r="712">
      <c r="A712" s="10">
        <f>IF($C712="","",COUNTA($C$9:$C712))</f>
        <v/>
      </c>
      <c r="B712" s="10">
        <f>IF($C712="","","TXN-"&amp;RIGHT("0000"&amp;704,4))</f>
        <v/>
      </c>
      <c r="C712" s="11" t="n"/>
      <c r="D712" s="11" t="n"/>
      <c r="E712" s="12" t="n"/>
      <c r="F712" s="10">
        <f>IF($E712="","",IFERROR(IF(VLOOKUP(LEFT(UPPER(TRIM($E712)),6),BankTbl,2,0)="","(بدون عنوان)",VLOOKUP(LEFT(UPPER(TRIM($E712)),6),BankTbl,2,0)),"بانک ناشناخته"))</f>
        <v/>
      </c>
      <c r="G712" s="11" t="n"/>
      <c r="H712" s="10">
        <f>IF($G712="","",IFERROR(VLOOKUP($G712,CustTbl,2,0),IFERROR(VLOOKUP($G712,SuppTbl,2,0),IFERROR(VLOOKUP($G712,AcctTbl,2,0),IFERROR(VLOOKUP($G712,StaffTbl,2,0),"کد ناشناخته")))))</f>
        <v/>
      </c>
      <c r="I712" s="12" t="n"/>
      <c r="J712" s="12" t="n"/>
      <c r="K712" s="13" t="n"/>
      <c r="L712" s="13" t="n"/>
      <c r="M712" s="13" t="n"/>
      <c r="N712" s="14">
        <f>IF(OR($C712="",$E712="",Calc!$H712=""),"",IFERROR(VLOOKUP(LEFT(UPPER(TRIM($E712)),6),BankTbl,3,0),0)+SUMIFS(CalcDep,CalcBank,LEFT(UPPER(TRIM($E712)),6),CalcKey,"&lt;="&amp;Calc!$H712)-SUMIFS(CalcWit,CalcBank,LEFT(UPPER(TRIM($E712)),6),CalcKey,"&lt;="&amp;Calc!$H712))</f>
        <v/>
      </c>
      <c r="O712" s="10">
        <f>IF(OR($C712="",$M712=""),"",IF($N712="","؟",IF(ROUND($M712-$N712,0)=0,"√","×")))</f>
        <v/>
      </c>
      <c r="P712" s="12" t="n"/>
    </row>
    <row r="713">
      <c r="A713" s="10">
        <f>IF($C713="","",COUNTA($C$9:$C713))</f>
        <v/>
      </c>
      <c r="B713" s="10">
        <f>IF($C713="","","TXN-"&amp;RIGHT("0000"&amp;705,4))</f>
        <v/>
      </c>
      <c r="C713" s="11" t="n"/>
      <c r="D713" s="11" t="n"/>
      <c r="E713" s="12" t="n"/>
      <c r="F713" s="10">
        <f>IF($E713="","",IFERROR(IF(VLOOKUP(LEFT(UPPER(TRIM($E713)),6),BankTbl,2,0)="","(بدون عنوان)",VLOOKUP(LEFT(UPPER(TRIM($E713)),6),BankTbl,2,0)),"بانک ناشناخته"))</f>
        <v/>
      </c>
      <c r="G713" s="11" t="n"/>
      <c r="H713" s="10">
        <f>IF($G713="","",IFERROR(VLOOKUP($G713,CustTbl,2,0),IFERROR(VLOOKUP($G713,SuppTbl,2,0),IFERROR(VLOOKUP($G713,AcctTbl,2,0),IFERROR(VLOOKUP($G713,StaffTbl,2,0),"کد ناشناخته")))))</f>
        <v/>
      </c>
      <c r="I713" s="12" t="n"/>
      <c r="J713" s="12" t="n"/>
      <c r="K713" s="13" t="n"/>
      <c r="L713" s="13" t="n"/>
      <c r="M713" s="13" t="n"/>
      <c r="N713" s="14">
        <f>IF(OR($C713="",$E713="",Calc!$H713=""),"",IFERROR(VLOOKUP(LEFT(UPPER(TRIM($E713)),6),BankTbl,3,0),0)+SUMIFS(CalcDep,CalcBank,LEFT(UPPER(TRIM($E713)),6),CalcKey,"&lt;="&amp;Calc!$H713)-SUMIFS(CalcWit,CalcBank,LEFT(UPPER(TRIM($E713)),6),CalcKey,"&lt;="&amp;Calc!$H713))</f>
        <v/>
      </c>
      <c r="O713" s="10">
        <f>IF(OR($C713="",$M713=""),"",IF($N713="","؟",IF(ROUND($M713-$N713,0)=0,"√","×")))</f>
        <v/>
      </c>
      <c r="P713" s="12" t="n"/>
    </row>
    <row r="714">
      <c r="A714" s="10">
        <f>IF($C714="","",COUNTA($C$9:$C714))</f>
        <v/>
      </c>
      <c r="B714" s="10">
        <f>IF($C714="","","TXN-"&amp;RIGHT("0000"&amp;706,4))</f>
        <v/>
      </c>
      <c r="C714" s="11" t="n"/>
      <c r="D714" s="11" t="n"/>
      <c r="E714" s="12" t="n"/>
      <c r="F714" s="10">
        <f>IF($E714="","",IFERROR(IF(VLOOKUP(LEFT(UPPER(TRIM($E714)),6),BankTbl,2,0)="","(بدون عنوان)",VLOOKUP(LEFT(UPPER(TRIM($E714)),6),BankTbl,2,0)),"بانک ناشناخته"))</f>
        <v/>
      </c>
      <c r="G714" s="11" t="n"/>
      <c r="H714" s="10">
        <f>IF($G714="","",IFERROR(VLOOKUP($G714,CustTbl,2,0),IFERROR(VLOOKUP($G714,SuppTbl,2,0),IFERROR(VLOOKUP($G714,AcctTbl,2,0),IFERROR(VLOOKUP($G714,StaffTbl,2,0),"کد ناشناخته")))))</f>
        <v/>
      </c>
      <c r="I714" s="12" t="n"/>
      <c r="J714" s="12" t="n"/>
      <c r="K714" s="13" t="n"/>
      <c r="L714" s="13" t="n"/>
      <c r="M714" s="13" t="n"/>
      <c r="N714" s="14">
        <f>IF(OR($C714="",$E714="",Calc!$H714=""),"",IFERROR(VLOOKUP(LEFT(UPPER(TRIM($E714)),6),BankTbl,3,0),0)+SUMIFS(CalcDep,CalcBank,LEFT(UPPER(TRIM($E714)),6),CalcKey,"&lt;="&amp;Calc!$H714)-SUMIFS(CalcWit,CalcBank,LEFT(UPPER(TRIM($E714)),6),CalcKey,"&lt;="&amp;Calc!$H714))</f>
        <v/>
      </c>
      <c r="O714" s="10">
        <f>IF(OR($C714="",$M714=""),"",IF($N714="","؟",IF(ROUND($M714-$N714,0)=0,"√","×")))</f>
        <v/>
      </c>
      <c r="P714" s="12" t="n"/>
    </row>
    <row r="715">
      <c r="A715" s="10">
        <f>IF($C715="","",COUNTA($C$9:$C715))</f>
        <v/>
      </c>
      <c r="B715" s="10">
        <f>IF($C715="","","TXN-"&amp;RIGHT("0000"&amp;707,4))</f>
        <v/>
      </c>
      <c r="C715" s="11" t="n"/>
      <c r="D715" s="11" t="n"/>
      <c r="E715" s="12" t="n"/>
      <c r="F715" s="10">
        <f>IF($E715="","",IFERROR(IF(VLOOKUP(LEFT(UPPER(TRIM($E715)),6),BankTbl,2,0)="","(بدون عنوان)",VLOOKUP(LEFT(UPPER(TRIM($E715)),6),BankTbl,2,0)),"بانک ناشناخته"))</f>
        <v/>
      </c>
      <c r="G715" s="11" t="n"/>
      <c r="H715" s="10">
        <f>IF($G715="","",IFERROR(VLOOKUP($G715,CustTbl,2,0),IFERROR(VLOOKUP($G715,SuppTbl,2,0),IFERROR(VLOOKUP($G715,AcctTbl,2,0),IFERROR(VLOOKUP($G715,StaffTbl,2,0),"کد ناشناخته")))))</f>
        <v/>
      </c>
      <c r="I715" s="12" t="n"/>
      <c r="J715" s="12" t="n"/>
      <c r="K715" s="13" t="n"/>
      <c r="L715" s="13" t="n"/>
      <c r="M715" s="13" t="n"/>
      <c r="N715" s="14">
        <f>IF(OR($C715="",$E715="",Calc!$H715=""),"",IFERROR(VLOOKUP(LEFT(UPPER(TRIM($E715)),6),BankTbl,3,0),0)+SUMIFS(CalcDep,CalcBank,LEFT(UPPER(TRIM($E715)),6),CalcKey,"&lt;="&amp;Calc!$H715)-SUMIFS(CalcWit,CalcBank,LEFT(UPPER(TRIM($E715)),6),CalcKey,"&lt;="&amp;Calc!$H715))</f>
        <v/>
      </c>
      <c r="O715" s="10">
        <f>IF(OR($C715="",$M715=""),"",IF($N715="","؟",IF(ROUND($M715-$N715,0)=0,"√","×")))</f>
        <v/>
      </c>
      <c r="P715" s="12" t="n"/>
    </row>
    <row r="716">
      <c r="A716" s="10">
        <f>IF($C716="","",COUNTA($C$9:$C716))</f>
        <v/>
      </c>
      <c r="B716" s="10">
        <f>IF($C716="","","TXN-"&amp;RIGHT("0000"&amp;708,4))</f>
        <v/>
      </c>
      <c r="C716" s="11" t="n"/>
      <c r="D716" s="11" t="n"/>
      <c r="E716" s="12" t="n"/>
      <c r="F716" s="10">
        <f>IF($E716="","",IFERROR(IF(VLOOKUP(LEFT(UPPER(TRIM($E716)),6),BankTbl,2,0)="","(بدون عنوان)",VLOOKUP(LEFT(UPPER(TRIM($E716)),6),BankTbl,2,0)),"بانک ناشناخته"))</f>
        <v/>
      </c>
      <c r="G716" s="11" t="n"/>
      <c r="H716" s="10">
        <f>IF($G716="","",IFERROR(VLOOKUP($G716,CustTbl,2,0),IFERROR(VLOOKUP($G716,SuppTbl,2,0),IFERROR(VLOOKUP($G716,AcctTbl,2,0),IFERROR(VLOOKUP($G716,StaffTbl,2,0),"کد ناشناخته")))))</f>
        <v/>
      </c>
      <c r="I716" s="12" t="n"/>
      <c r="J716" s="12" t="n"/>
      <c r="K716" s="13" t="n"/>
      <c r="L716" s="13" t="n"/>
      <c r="M716" s="13" t="n"/>
      <c r="N716" s="14">
        <f>IF(OR($C716="",$E716="",Calc!$H716=""),"",IFERROR(VLOOKUP(LEFT(UPPER(TRIM($E716)),6),BankTbl,3,0),0)+SUMIFS(CalcDep,CalcBank,LEFT(UPPER(TRIM($E716)),6),CalcKey,"&lt;="&amp;Calc!$H716)-SUMIFS(CalcWit,CalcBank,LEFT(UPPER(TRIM($E716)),6),CalcKey,"&lt;="&amp;Calc!$H716))</f>
        <v/>
      </c>
      <c r="O716" s="10">
        <f>IF(OR($C716="",$M716=""),"",IF($N716="","؟",IF(ROUND($M716-$N716,0)=0,"√","×")))</f>
        <v/>
      </c>
      <c r="P716" s="12" t="n"/>
    </row>
    <row r="717">
      <c r="A717" s="10">
        <f>IF($C717="","",COUNTA($C$9:$C717))</f>
        <v/>
      </c>
      <c r="B717" s="10">
        <f>IF($C717="","","TXN-"&amp;RIGHT("0000"&amp;709,4))</f>
        <v/>
      </c>
      <c r="C717" s="11" t="n"/>
      <c r="D717" s="11" t="n"/>
      <c r="E717" s="12" t="n"/>
      <c r="F717" s="10">
        <f>IF($E717="","",IFERROR(IF(VLOOKUP(LEFT(UPPER(TRIM($E717)),6),BankTbl,2,0)="","(بدون عنوان)",VLOOKUP(LEFT(UPPER(TRIM($E717)),6),BankTbl,2,0)),"بانک ناشناخته"))</f>
        <v/>
      </c>
      <c r="G717" s="11" t="n"/>
      <c r="H717" s="10">
        <f>IF($G717="","",IFERROR(VLOOKUP($G717,CustTbl,2,0),IFERROR(VLOOKUP($G717,SuppTbl,2,0),IFERROR(VLOOKUP($G717,AcctTbl,2,0),IFERROR(VLOOKUP($G717,StaffTbl,2,0),"کد ناشناخته")))))</f>
        <v/>
      </c>
      <c r="I717" s="12" t="n"/>
      <c r="J717" s="12" t="n"/>
      <c r="K717" s="13" t="n"/>
      <c r="L717" s="13" t="n"/>
      <c r="M717" s="13" t="n"/>
      <c r="N717" s="14">
        <f>IF(OR($C717="",$E717="",Calc!$H717=""),"",IFERROR(VLOOKUP(LEFT(UPPER(TRIM($E717)),6),BankTbl,3,0),0)+SUMIFS(CalcDep,CalcBank,LEFT(UPPER(TRIM($E717)),6),CalcKey,"&lt;="&amp;Calc!$H717)-SUMIFS(CalcWit,CalcBank,LEFT(UPPER(TRIM($E717)),6),CalcKey,"&lt;="&amp;Calc!$H717))</f>
        <v/>
      </c>
      <c r="O717" s="10">
        <f>IF(OR($C717="",$M717=""),"",IF($N717="","؟",IF(ROUND($M717-$N717,0)=0,"√","×")))</f>
        <v/>
      </c>
      <c r="P717" s="12" t="n"/>
    </row>
    <row r="718">
      <c r="A718" s="10">
        <f>IF($C718="","",COUNTA($C$9:$C718))</f>
        <v/>
      </c>
      <c r="B718" s="10">
        <f>IF($C718="","","TXN-"&amp;RIGHT("0000"&amp;710,4))</f>
        <v/>
      </c>
      <c r="C718" s="11" t="n"/>
      <c r="D718" s="11" t="n"/>
      <c r="E718" s="12" t="n"/>
      <c r="F718" s="10">
        <f>IF($E718="","",IFERROR(IF(VLOOKUP(LEFT(UPPER(TRIM($E718)),6),BankTbl,2,0)="","(بدون عنوان)",VLOOKUP(LEFT(UPPER(TRIM($E718)),6),BankTbl,2,0)),"بانک ناشناخته"))</f>
        <v/>
      </c>
      <c r="G718" s="11" t="n"/>
      <c r="H718" s="10">
        <f>IF($G718="","",IFERROR(VLOOKUP($G718,CustTbl,2,0),IFERROR(VLOOKUP($G718,SuppTbl,2,0),IFERROR(VLOOKUP($G718,AcctTbl,2,0),IFERROR(VLOOKUP($G718,StaffTbl,2,0),"کد ناشناخته")))))</f>
        <v/>
      </c>
      <c r="I718" s="12" t="n"/>
      <c r="J718" s="12" t="n"/>
      <c r="K718" s="13" t="n"/>
      <c r="L718" s="13" t="n"/>
      <c r="M718" s="13" t="n"/>
      <c r="N718" s="14">
        <f>IF(OR($C718="",$E718="",Calc!$H718=""),"",IFERROR(VLOOKUP(LEFT(UPPER(TRIM($E718)),6),BankTbl,3,0),0)+SUMIFS(CalcDep,CalcBank,LEFT(UPPER(TRIM($E718)),6),CalcKey,"&lt;="&amp;Calc!$H718)-SUMIFS(CalcWit,CalcBank,LEFT(UPPER(TRIM($E718)),6),CalcKey,"&lt;="&amp;Calc!$H718))</f>
        <v/>
      </c>
      <c r="O718" s="10">
        <f>IF(OR($C718="",$M718=""),"",IF($N718="","؟",IF(ROUND($M718-$N718,0)=0,"√","×")))</f>
        <v/>
      </c>
      <c r="P718" s="12" t="n"/>
    </row>
    <row r="719">
      <c r="A719" s="10">
        <f>IF($C719="","",COUNTA($C$9:$C719))</f>
        <v/>
      </c>
      <c r="B719" s="10">
        <f>IF($C719="","","TXN-"&amp;RIGHT("0000"&amp;711,4))</f>
        <v/>
      </c>
      <c r="C719" s="11" t="n"/>
      <c r="D719" s="11" t="n"/>
      <c r="E719" s="12" t="n"/>
      <c r="F719" s="10">
        <f>IF($E719="","",IFERROR(IF(VLOOKUP(LEFT(UPPER(TRIM($E719)),6),BankTbl,2,0)="","(بدون عنوان)",VLOOKUP(LEFT(UPPER(TRIM($E719)),6),BankTbl,2,0)),"بانک ناشناخته"))</f>
        <v/>
      </c>
      <c r="G719" s="11" t="n"/>
      <c r="H719" s="10">
        <f>IF($G719="","",IFERROR(VLOOKUP($G719,CustTbl,2,0),IFERROR(VLOOKUP($G719,SuppTbl,2,0),IFERROR(VLOOKUP($G719,AcctTbl,2,0),IFERROR(VLOOKUP($G719,StaffTbl,2,0),"کد ناشناخته")))))</f>
        <v/>
      </c>
      <c r="I719" s="12" t="n"/>
      <c r="J719" s="12" t="n"/>
      <c r="K719" s="13" t="n"/>
      <c r="L719" s="13" t="n"/>
      <c r="M719" s="13" t="n"/>
      <c r="N719" s="14">
        <f>IF(OR($C719="",$E719="",Calc!$H719=""),"",IFERROR(VLOOKUP(LEFT(UPPER(TRIM($E719)),6),BankTbl,3,0),0)+SUMIFS(CalcDep,CalcBank,LEFT(UPPER(TRIM($E719)),6),CalcKey,"&lt;="&amp;Calc!$H719)-SUMIFS(CalcWit,CalcBank,LEFT(UPPER(TRIM($E719)),6),CalcKey,"&lt;="&amp;Calc!$H719))</f>
        <v/>
      </c>
      <c r="O719" s="10">
        <f>IF(OR($C719="",$M719=""),"",IF($N719="","؟",IF(ROUND($M719-$N719,0)=0,"√","×")))</f>
        <v/>
      </c>
      <c r="P719" s="12" t="n"/>
    </row>
    <row r="720">
      <c r="A720" s="10">
        <f>IF($C720="","",COUNTA($C$9:$C720))</f>
        <v/>
      </c>
      <c r="B720" s="10">
        <f>IF($C720="","","TXN-"&amp;RIGHT("0000"&amp;712,4))</f>
        <v/>
      </c>
      <c r="C720" s="11" t="n"/>
      <c r="D720" s="11" t="n"/>
      <c r="E720" s="12" t="n"/>
      <c r="F720" s="10">
        <f>IF($E720="","",IFERROR(IF(VLOOKUP(LEFT(UPPER(TRIM($E720)),6),BankTbl,2,0)="","(بدون عنوان)",VLOOKUP(LEFT(UPPER(TRIM($E720)),6),BankTbl,2,0)),"بانک ناشناخته"))</f>
        <v/>
      </c>
      <c r="G720" s="11" t="n"/>
      <c r="H720" s="10">
        <f>IF($G720="","",IFERROR(VLOOKUP($G720,CustTbl,2,0),IFERROR(VLOOKUP($G720,SuppTbl,2,0),IFERROR(VLOOKUP($G720,AcctTbl,2,0),IFERROR(VLOOKUP($G720,StaffTbl,2,0),"کد ناشناخته")))))</f>
        <v/>
      </c>
      <c r="I720" s="12" t="n"/>
      <c r="J720" s="12" t="n"/>
      <c r="K720" s="13" t="n"/>
      <c r="L720" s="13" t="n"/>
      <c r="M720" s="13" t="n"/>
      <c r="N720" s="14">
        <f>IF(OR($C720="",$E720="",Calc!$H720=""),"",IFERROR(VLOOKUP(LEFT(UPPER(TRIM($E720)),6),BankTbl,3,0),0)+SUMIFS(CalcDep,CalcBank,LEFT(UPPER(TRIM($E720)),6),CalcKey,"&lt;="&amp;Calc!$H720)-SUMIFS(CalcWit,CalcBank,LEFT(UPPER(TRIM($E720)),6),CalcKey,"&lt;="&amp;Calc!$H720))</f>
        <v/>
      </c>
      <c r="O720" s="10">
        <f>IF(OR($C720="",$M720=""),"",IF($N720="","؟",IF(ROUND($M720-$N720,0)=0,"√","×")))</f>
        <v/>
      </c>
      <c r="P720" s="12" t="n"/>
    </row>
    <row r="721">
      <c r="A721" s="10">
        <f>IF($C721="","",COUNTA($C$9:$C721))</f>
        <v/>
      </c>
      <c r="B721" s="10">
        <f>IF($C721="","","TXN-"&amp;RIGHT("0000"&amp;713,4))</f>
        <v/>
      </c>
      <c r="C721" s="11" t="n"/>
      <c r="D721" s="11" t="n"/>
      <c r="E721" s="12" t="n"/>
      <c r="F721" s="10">
        <f>IF($E721="","",IFERROR(IF(VLOOKUP(LEFT(UPPER(TRIM($E721)),6),BankTbl,2,0)="","(بدون عنوان)",VLOOKUP(LEFT(UPPER(TRIM($E721)),6),BankTbl,2,0)),"بانک ناشناخته"))</f>
        <v/>
      </c>
      <c r="G721" s="11" t="n"/>
      <c r="H721" s="10">
        <f>IF($G721="","",IFERROR(VLOOKUP($G721,CustTbl,2,0),IFERROR(VLOOKUP($G721,SuppTbl,2,0),IFERROR(VLOOKUP($G721,AcctTbl,2,0),IFERROR(VLOOKUP($G721,StaffTbl,2,0),"کد ناشناخته")))))</f>
        <v/>
      </c>
      <c r="I721" s="12" t="n"/>
      <c r="J721" s="12" t="n"/>
      <c r="K721" s="13" t="n"/>
      <c r="L721" s="13" t="n"/>
      <c r="M721" s="13" t="n"/>
      <c r="N721" s="14">
        <f>IF(OR($C721="",$E721="",Calc!$H721=""),"",IFERROR(VLOOKUP(LEFT(UPPER(TRIM($E721)),6),BankTbl,3,0),0)+SUMIFS(CalcDep,CalcBank,LEFT(UPPER(TRIM($E721)),6),CalcKey,"&lt;="&amp;Calc!$H721)-SUMIFS(CalcWit,CalcBank,LEFT(UPPER(TRIM($E721)),6),CalcKey,"&lt;="&amp;Calc!$H721))</f>
        <v/>
      </c>
      <c r="O721" s="10">
        <f>IF(OR($C721="",$M721=""),"",IF($N721="","؟",IF(ROUND($M721-$N721,0)=0,"√","×")))</f>
        <v/>
      </c>
      <c r="P721" s="12" t="n"/>
    </row>
    <row r="722">
      <c r="A722" s="10">
        <f>IF($C722="","",COUNTA($C$9:$C722))</f>
        <v/>
      </c>
      <c r="B722" s="10">
        <f>IF($C722="","","TXN-"&amp;RIGHT("0000"&amp;714,4))</f>
        <v/>
      </c>
      <c r="C722" s="11" t="n"/>
      <c r="D722" s="11" t="n"/>
      <c r="E722" s="12" t="n"/>
      <c r="F722" s="10">
        <f>IF($E722="","",IFERROR(IF(VLOOKUP(LEFT(UPPER(TRIM($E722)),6),BankTbl,2,0)="","(بدون عنوان)",VLOOKUP(LEFT(UPPER(TRIM($E722)),6),BankTbl,2,0)),"بانک ناشناخته"))</f>
        <v/>
      </c>
      <c r="G722" s="11" t="n"/>
      <c r="H722" s="10">
        <f>IF($G722="","",IFERROR(VLOOKUP($G722,CustTbl,2,0),IFERROR(VLOOKUP($G722,SuppTbl,2,0),IFERROR(VLOOKUP($G722,AcctTbl,2,0),IFERROR(VLOOKUP($G722,StaffTbl,2,0),"کد ناشناخته")))))</f>
        <v/>
      </c>
      <c r="I722" s="12" t="n"/>
      <c r="J722" s="12" t="n"/>
      <c r="K722" s="13" t="n"/>
      <c r="L722" s="13" t="n"/>
      <c r="M722" s="13" t="n"/>
      <c r="N722" s="14">
        <f>IF(OR($C722="",$E722="",Calc!$H722=""),"",IFERROR(VLOOKUP(LEFT(UPPER(TRIM($E722)),6),BankTbl,3,0),0)+SUMIFS(CalcDep,CalcBank,LEFT(UPPER(TRIM($E722)),6),CalcKey,"&lt;="&amp;Calc!$H722)-SUMIFS(CalcWit,CalcBank,LEFT(UPPER(TRIM($E722)),6),CalcKey,"&lt;="&amp;Calc!$H722))</f>
        <v/>
      </c>
      <c r="O722" s="10">
        <f>IF(OR($C722="",$M722=""),"",IF($N722="","؟",IF(ROUND($M722-$N722,0)=0,"√","×")))</f>
        <v/>
      </c>
      <c r="P722" s="12" t="n"/>
    </row>
    <row r="723">
      <c r="A723" s="10">
        <f>IF($C723="","",COUNTA($C$9:$C723))</f>
        <v/>
      </c>
      <c r="B723" s="10">
        <f>IF($C723="","","TXN-"&amp;RIGHT("0000"&amp;715,4))</f>
        <v/>
      </c>
      <c r="C723" s="11" t="n"/>
      <c r="D723" s="11" t="n"/>
      <c r="E723" s="12" t="n"/>
      <c r="F723" s="10">
        <f>IF($E723="","",IFERROR(IF(VLOOKUP(LEFT(UPPER(TRIM($E723)),6),BankTbl,2,0)="","(بدون عنوان)",VLOOKUP(LEFT(UPPER(TRIM($E723)),6),BankTbl,2,0)),"بانک ناشناخته"))</f>
        <v/>
      </c>
      <c r="G723" s="11" t="n"/>
      <c r="H723" s="10">
        <f>IF($G723="","",IFERROR(VLOOKUP($G723,CustTbl,2,0),IFERROR(VLOOKUP($G723,SuppTbl,2,0),IFERROR(VLOOKUP($G723,AcctTbl,2,0),IFERROR(VLOOKUP($G723,StaffTbl,2,0),"کد ناشناخته")))))</f>
        <v/>
      </c>
      <c r="I723" s="12" t="n"/>
      <c r="J723" s="12" t="n"/>
      <c r="K723" s="13" t="n"/>
      <c r="L723" s="13" t="n"/>
      <c r="M723" s="13" t="n"/>
      <c r="N723" s="14">
        <f>IF(OR($C723="",$E723="",Calc!$H723=""),"",IFERROR(VLOOKUP(LEFT(UPPER(TRIM($E723)),6),BankTbl,3,0),0)+SUMIFS(CalcDep,CalcBank,LEFT(UPPER(TRIM($E723)),6),CalcKey,"&lt;="&amp;Calc!$H723)-SUMIFS(CalcWit,CalcBank,LEFT(UPPER(TRIM($E723)),6),CalcKey,"&lt;="&amp;Calc!$H723))</f>
        <v/>
      </c>
      <c r="O723" s="10">
        <f>IF(OR($C723="",$M723=""),"",IF($N723="","؟",IF(ROUND($M723-$N723,0)=0,"√","×")))</f>
        <v/>
      </c>
      <c r="P723" s="12" t="n"/>
    </row>
    <row r="724">
      <c r="A724" s="10">
        <f>IF($C724="","",COUNTA($C$9:$C724))</f>
        <v/>
      </c>
      <c r="B724" s="10">
        <f>IF($C724="","","TXN-"&amp;RIGHT("0000"&amp;716,4))</f>
        <v/>
      </c>
      <c r="C724" s="11" t="n"/>
      <c r="D724" s="11" t="n"/>
      <c r="E724" s="12" t="n"/>
      <c r="F724" s="10">
        <f>IF($E724="","",IFERROR(IF(VLOOKUP(LEFT(UPPER(TRIM($E724)),6),BankTbl,2,0)="","(بدون عنوان)",VLOOKUP(LEFT(UPPER(TRIM($E724)),6),BankTbl,2,0)),"بانک ناشناخته"))</f>
        <v/>
      </c>
      <c r="G724" s="11" t="n"/>
      <c r="H724" s="10">
        <f>IF($G724="","",IFERROR(VLOOKUP($G724,CustTbl,2,0),IFERROR(VLOOKUP($G724,SuppTbl,2,0),IFERROR(VLOOKUP($G724,AcctTbl,2,0),IFERROR(VLOOKUP($G724,StaffTbl,2,0),"کد ناشناخته")))))</f>
        <v/>
      </c>
      <c r="I724" s="12" t="n"/>
      <c r="J724" s="12" t="n"/>
      <c r="K724" s="13" t="n"/>
      <c r="L724" s="13" t="n"/>
      <c r="M724" s="13" t="n"/>
      <c r="N724" s="14">
        <f>IF(OR($C724="",$E724="",Calc!$H724=""),"",IFERROR(VLOOKUP(LEFT(UPPER(TRIM($E724)),6),BankTbl,3,0),0)+SUMIFS(CalcDep,CalcBank,LEFT(UPPER(TRIM($E724)),6),CalcKey,"&lt;="&amp;Calc!$H724)-SUMIFS(CalcWit,CalcBank,LEFT(UPPER(TRIM($E724)),6),CalcKey,"&lt;="&amp;Calc!$H724))</f>
        <v/>
      </c>
      <c r="O724" s="10">
        <f>IF(OR($C724="",$M724=""),"",IF($N724="","؟",IF(ROUND($M724-$N724,0)=0,"√","×")))</f>
        <v/>
      </c>
      <c r="P724" s="12" t="n"/>
    </row>
    <row r="725">
      <c r="A725" s="10">
        <f>IF($C725="","",COUNTA($C$9:$C725))</f>
        <v/>
      </c>
      <c r="B725" s="10">
        <f>IF($C725="","","TXN-"&amp;RIGHT("0000"&amp;717,4))</f>
        <v/>
      </c>
      <c r="C725" s="11" t="n"/>
      <c r="D725" s="11" t="n"/>
      <c r="E725" s="12" t="n"/>
      <c r="F725" s="10">
        <f>IF($E725="","",IFERROR(IF(VLOOKUP(LEFT(UPPER(TRIM($E725)),6),BankTbl,2,0)="","(بدون عنوان)",VLOOKUP(LEFT(UPPER(TRIM($E725)),6),BankTbl,2,0)),"بانک ناشناخته"))</f>
        <v/>
      </c>
      <c r="G725" s="11" t="n"/>
      <c r="H725" s="10">
        <f>IF($G725="","",IFERROR(VLOOKUP($G725,CustTbl,2,0),IFERROR(VLOOKUP($G725,SuppTbl,2,0),IFERROR(VLOOKUP($G725,AcctTbl,2,0),IFERROR(VLOOKUP($G725,StaffTbl,2,0),"کد ناشناخته")))))</f>
        <v/>
      </c>
      <c r="I725" s="12" t="n"/>
      <c r="J725" s="12" t="n"/>
      <c r="K725" s="13" t="n"/>
      <c r="L725" s="13" t="n"/>
      <c r="M725" s="13" t="n"/>
      <c r="N725" s="14">
        <f>IF(OR($C725="",$E725="",Calc!$H725=""),"",IFERROR(VLOOKUP(LEFT(UPPER(TRIM($E725)),6),BankTbl,3,0),0)+SUMIFS(CalcDep,CalcBank,LEFT(UPPER(TRIM($E725)),6),CalcKey,"&lt;="&amp;Calc!$H725)-SUMIFS(CalcWit,CalcBank,LEFT(UPPER(TRIM($E725)),6),CalcKey,"&lt;="&amp;Calc!$H725))</f>
        <v/>
      </c>
      <c r="O725" s="10">
        <f>IF(OR($C725="",$M725=""),"",IF($N725="","؟",IF(ROUND($M725-$N725,0)=0,"√","×")))</f>
        <v/>
      </c>
      <c r="P725" s="12" t="n"/>
    </row>
    <row r="726">
      <c r="A726" s="10">
        <f>IF($C726="","",COUNTA($C$9:$C726))</f>
        <v/>
      </c>
      <c r="B726" s="10">
        <f>IF($C726="","","TXN-"&amp;RIGHT("0000"&amp;718,4))</f>
        <v/>
      </c>
      <c r="C726" s="11" t="n"/>
      <c r="D726" s="11" t="n"/>
      <c r="E726" s="12" t="n"/>
      <c r="F726" s="10">
        <f>IF($E726="","",IFERROR(IF(VLOOKUP(LEFT(UPPER(TRIM($E726)),6),BankTbl,2,0)="","(بدون عنوان)",VLOOKUP(LEFT(UPPER(TRIM($E726)),6),BankTbl,2,0)),"بانک ناشناخته"))</f>
        <v/>
      </c>
      <c r="G726" s="11" t="n"/>
      <c r="H726" s="10">
        <f>IF($G726="","",IFERROR(VLOOKUP($G726,CustTbl,2,0),IFERROR(VLOOKUP($G726,SuppTbl,2,0),IFERROR(VLOOKUP($G726,AcctTbl,2,0),IFERROR(VLOOKUP($G726,StaffTbl,2,0),"کد ناشناخته")))))</f>
        <v/>
      </c>
      <c r="I726" s="12" t="n"/>
      <c r="J726" s="12" t="n"/>
      <c r="K726" s="13" t="n"/>
      <c r="L726" s="13" t="n"/>
      <c r="M726" s="13" t="n"/>
      <c r="N726" s="14">
        <f>IF(OR($C726="",$E726="",Calc!$H726=""),"",IFERROR(VLOOKUP(LEFT(UPPER(TRIM($E726)),6),BankTbl,3,0),0)+SUMIFS(CalcDep,CalcBank,LEFT(UPPER(TRIM($E726)),6),CalcKey,"&lt;="&amp;Calc!$H726)-SUMIFS(CalcWit,CalcBank,LEFT(UPPER(TRIM($E726)),6),CalcKey,"&lt;="&amp;Calc!$H726))</f>
        <v/>
      </c>
      <c r="O726" s="10">
        <f>IF(OR($C726="",$M726=""),"",IF($N726="","؟",IF(ROUND($M726-$N726,0)=0,"√","×")))</f>
        <v/>
      </c>
      <c r="P726" s="12" t="n"/>
    </row>
    <row r="727">
      <c r="A727" s="10">
        <f>IF($C727="","",COUNTA($C$9:$C727))</f>
        <v/>
      </c>
      <c r="B727" s="10">
        <f>IF($C727="","","TXN-"&amp;RIGHT("0000"&amp;719,4))</f>
        <v/>
      </c>
      <c r="C727" s="11" t="n"/>
      <c r="D727" s="11" t="n"/>
      <c r="E727" s="12" t="n"/>
      <c r="F727" s="10">
        <f>IF($E727="","",IFERROR(IF(VLOOKUP(LEFT(UPPER(TRIM($E727)),6),BankTbl,2,0)="","(بدون عنوان)",VLOOKUP(LEFT(UPPER(TRIM($E727)),6),BankTbl,2,0)),"بانک ناشناخته"))</f>
        <v/>
      </c>
      <c r="G727" s="11" t="n"/>
      <c r="H727" s="10">
        <f>IF($G727="","",IFERROR(VLOOKUP($G727,CustTbl,2,0),IFERROR(VLOOKUP($G727,SuppTbl,2,0),IFERROR(VLOOKUP($G727,AcctTbl,2,0),IFERROR(VLOOKUP($G727,StaffTbl,2,0),"کد ناشناخته")))))</f>
        <v/>
      </c>
      <c r="I727" s="12" t="n"/>
      <c r="J727" s="12" t="n"/>
      <c r="K727" s="13" t="n"/>
      <c r="L727" s="13" t="n"/>
      <c r="M727" s="13" t="n"/>
      <c r="N727" s="14">
        <f>IF(OR($C727="",$E727="",Calc!$H727=""),"",IFERROR(VLOOKUP(LEFT(UPPER(TRIM($E727)),6),BankTbl,3,0),0)+SUMIFS(CalcDep,CalcBank,LEFT(UPPER(TRIM($E727)),6),CalcKey,"&lt;="&amp;Calc!$H727)-SUMIFS(CalcWit,CalcBank,LEFT(UPPER(TRIM($E727)),6),CalcKey,"&lt;="&amp;Calc!$H727))</f>
        <v/>
      </c>
      <c r="O727" s="10">
        <f>IF(OR($C727="",$M727=""),"",IF($N727="","؟",IF(ROUND($M727-$N727,0)=0,"√","×")))</f>
        <v/>
      </c>
      <c r="P727" s="12" t="n"/>
    </row>
    <row r="728">
      <c r="A728" s="10">
        <f>IF($C728="","",COUNTA($C$9:$C728))</f>
        <v/>
      </c>
      <c r="B728" s="10">
        <f>IF($C728="","","TXN-"&amp;RIGHT("0000"&amp;720,4))</f>
        <v/>
      </c>
      <c r="C728" s="11" t="n"/>
      <c r="D728" s="11" t="n"/>
      <c r="E728" s="12" t="n"/>
      <c r="F728" s="10">
        <f>IF($E728="","",IFERROR(IF(VLOOKUP(LEFT(UPPER(TRIM($E728)),6),BankTbl,2,0)="","(بدون عنوان)",VLOOKUP(LEFT(UPPER(TRIM($E728)),6),BankTbl,2,0)),"بانک ناشناخته"))</f>
        <v/>
      </c>
      <c r="G728" s="11" t="n"/>
      <c r="H728" s="10">
        <f>IF($G728="","",IFERROR(VLOOKUP($G728,CustTbl,2,0),IFERROR(VLOOKUP($G728,SuppTbl,2,0),IFERROR(VLOOKUP($G728,AcctTbl,2,0),IFERROR(VLOOKUP($G728,StaffTbl,2,0),"کد ناشناخته")))))</f>
        <v/>
      </c>
      <c r="I728" s="12" t="n"/>
      <c r="J728" s="12" t="n"/>
      <c r="K728" s="13" t="n"/>
      <c r="L728" s="13" t="n"/>
      <c r="M728" s="13" t="n"/>
      <c r="N728" s="14">
        <f>IF(OR($C728="",$E728="",Calc!$H728=""),"",IFERROR(VLOOKUP(LEFT(UPPER(TRIM($E728)),6),BankTbl,3,0),0)+SUMIFS(CalcDep,CalcBank,LEFT(UPPER(TRIM($E728)),6),CalcKey,"&lt;="&amp;Calc!$H728)-SUMIFS(CalcWit,CalcBank,LEFT(UPPER(TRIM($E728)),6),CalcKey,"&lt;="&amp;Calc!$H728))</f>
        <v/>
      </c>
      <c r="O728" s="10">
        <f>IF(OR($C728="",$M728=""),"",IF($N728="","؟",IF(ROUND($M728-$N728,0)=0,"√","×")))</f>
        <v/>
      </c>
      <c r="P728" s="12" t="n"/>
    </row>
    <row r="729">
      <c r="A729" s="10">
        <f>IF($C729="","",COUNTA($C$9:$C729))</f>
        <v/>
      </c>
      <c r="B729" s="10">
        <f>IF($C729="","","TXN-"&amp;RIGHT("0000"&amp;721,4))</f>
        <v/>
      </c>
      <c r="C729" s="11" t="n"/>
      <c r="D729" s="11" t="n"/>
      <c r="E729" s="12" t="n"/>
      <c r="F729" s="10">
        <f>IF($E729="","",IFERROR(IF(VLOOKUP(LEFT(UPPER(TRIM($E729)),6),BankTbl,2,0)="","(بدون عنوان)",VLOOKUP(LEFT(UPPER(TRIM($E729)),6),BankTbl,2,0)),"بانک ناشناخته"))</f>
        <v/>
      </c>
      <c r="G729" s="11" t="n"/>
      <c r="H729" s="10">
        <f>IF($G729="","",IFERROR(VLOOKUP($G729,CustTbl,2,0),IFERROR(VLOOKUP($G729,SuppTbl,2,0),IFERROR(VLOOKUP($G729,AcctTbl,2,0),IFERROR(VLOOKUP($G729,StaffTbl,2,0),"کد ناشناخته")))))</f>
        <v/>
      </c>
      <c r="I729" s="12" t="n"/>
      <c r="J729" s="12" t="n"/>
      <c r="K729" s="13" t="n"/>
      <c r="L729" s="13" t="n"/>
      <c r="M729" s="13" t="n"/>
      <c r="N729" s="14">
        <f>IF(OR($C729="",$E729="",Calc!$H729=""),"",IFERROR(VLOOKUP(LEFT(UPPER(TRIM($E729)),6),BankTbl,3,0),0)+SUMIFS(CalcDep,CalcBank,LEFT(UPPER(TRIM($E729)),6),CalcKey,"&lt;="&amp;Calc!$H729)-SUMIFS(CalcWit,CalcBank,LEFT(UPPER(TRIM($E729)),6),CalcKey,"&lt;="&amp;Calc!$H729))</f>
        <v/>
      </c>
      <c r="O729" s="10">
        <f>IF(OR($C729="",$M729=""),"",IF($N729="","؟",IF(ROUND($M729-$N729,0)=0,"√","×")))</f>
        <v/>
      </c>
      <c r="P729" s="12" t="n"/>
    </row>
    <row r="730">
      <c r="A730" s="10">
        <f>IF($C730="","",COUNTA($C$9:$C730))</f>
        <v/>
      </c>
      <c r="B730" s="10">
        <f>IF($C730="","","TXN-"&amp;RIGHT("0000"&amp;722,4))</f>
        <v/>
      </c>
      <c r="C730" s="11" t="n"/>
      <c r="D730" s="11" t="n"/>
      <c r="E730" s="12" t="n"/>
      <c r="F730" s="10">
        <f>IF($E730="","",IFERROR(IF(VLOOKUP(LEFT(UPPER(TRIM($E730)),6),BankTbl,2,0)="","(بدون عنوان)",VLOOKUP(LEFT(UPPER(TRIM($E730)),6),BankTbl,2,0)),"بانک ناشناخته"))</f>
        <v/>
      </c>
      <c r="G730" s="11" t="n"/>
      <c r="H730" s="10">
        <f>IF($G730="","",IFERROR(VLOOKUP($G730,CustTbl,2,0),IFERROR(VLOOKUP($G730,SuppTbl,2,0),IFERROR(VLOOKUP($G730,AcctTbl,2,0),IFERROR(VLOOKUP($G730,StaffTbl,2,0),"کد ناشناخته")))))</f>
        <v/>
      </c>
      <c r="I730" s="12" t="n"/>
      <c r="J730" s="12" t="n"/>
      <c r="K730" s="13" t="n"/>
      <c r="L730" s="13" t="n"/>
      <c r="M730" s="13" t="n"/>
      <c r="N730" s="14">
        <f>IF(OR($C730="",$E730="",Calc!$H730=""),"",IFERROR(VLOOKUP(LEFT(UPPER(TRIM($E730)),6),BankTbl,3,0),0)+SUMIFS(CalcDep,CalcBank,LEFT(UPPER(TRIM($E730)),6),CalcKey,"&lt;="&amp;Calc!$H730)-SUMIFS(CalcWit,CalcBank,LEFT(UPPER(TRIM($E730)),6),CalcKey,"&lt;="&amp;Calc!$H730))</f>
        <v/>
      </c>
      <c r="O730" s="10">
        <f>IF(OR($C730="",$M730=""),"",IF($N730="","؟",IF(ROUND($M730-$N730,0)=0,"√","×")))</f>
        <v/>
      </c>
      <c r="P730" s="12" t="n"/>
    </row>
    <row r="731">
      <c r="A731" s="10">
        <f>IF($C731="","",COUNTA($C$9:$C731))</f>
        <v/>
      </c>
      <c r="B731" s="10">
        <f>IF($C731="","","TXN-"&amp;RIGHT("0000"&amp;723,4))</f>
        <v/>
      </c>
      <c r="C731" s="11" t="n"/>
      <c r="D731" s="11" t="n"/>
      <c r="E731" s="12" t="n"/>
      <c r="F731" s="10">
        <f>IF($E731="","",IFERROR(IF(VLOOKUP(LEFT(UPPER(TRIM($E731)),6),BankTbl,2,0)="","(بدون عنوان)",VLOOKUP(LEFT(UPPER(TRIM($E731)),6),BankTbl,2,0)),"بانک ناشناخته"))</f>
        <v/>
      </c>
      <c r="G731" s="11" t="n"/>
      <c r="H731" s="10">
        <f>IF($G731="","",IFERROR(VLOOKUP($G731,CustTbl,2,0),IFERROR(VLOOKUP($G731,SuppTbl,2,0),IFERROR(VLOOKUP($G731,AcctTbl,2,0),IFERROR(VLOOKUP($G731,StaffTbl,2,0),"کد ناشناخته")))))</f>
        <v/>
      </c>
      <c r="I731" s="12" t="n"/>
      <c r="J731" s="12" t="n"/>
      <c r="K731" s="13" t="n"/>
      <c r="L731" s="13" t="n"/>
      <c r="M731" s="13" t="n"/>
      <c r="N731" s="14">
        <f>IF(OR($C731="",$E731="",Calc!$H731=""),"",IFERROR(VLOOKUP(LEFT(UPPER(TRIM($E731)),6),BankTbl,3,0),0)+SUMIFS(CalcDep,CalcBank,LEFT(UPPER(TRIM($E731)),6),CalcKey,"&lt;="&amp;Calc!$H731)-SUMIFS(CalcWit,CalcBank,LEFT(UPPER(TRIM($E731)),6),CalcKey,"&lt;="&amp;Calc!$H731))</f>
        <v/>
      </c>
      <c r="O731" s="10">
        <f>IF(OR($C731="",$M731=""),"",IF($N731="","؟",IF(ROUND($M731-$N731,0)=0,"√","×")))</f>
        <v/>
      </c>
      <c r="P731" s="12" t="n"/>
    </row>
    <row r="732">
      <c r="A732" s="10">
        <f>IF($C732="","",COUNTA($C$9:$C732))</f>
        <v/>
      </c>
      <c r="B732" s="10">
        <f>IF($C732="","","TXN-"&amp;RIGHT("0000"&amp;724,4))</f>
        <v/>
      </c>
      <c r="C732" s="11" t="n"/>
      <c r="D732" s="11" t="n"/>
      <c r="E732" s="12" t="n"/>
      <c r="F732" s="10">
        <f>IF($E732="","",IFERROR(IF(VLOOKUP(LEFT(UPPER(TRIM($E732)),6),BankTbl,2,0)="","(بدون عنوان)",VLOOKUP(LEFT(UPPER(TRIM($E732)),6),BankTbl,2,0)),"بانک ناشناخته"))</f>
        <v/>
      </c>
      <c r="G732" s="11" t="n"/>
      <c r="H732" s="10">
        <f>IF($G732="","",IFERROR(VLOOKUP($G732,CustTbl,2,0),IFERROR(VLOOKUP($G732,SuppTbl,2,0),IFERROR(VLOOKUP($G732,AcctTbl,2,0),IFERROR(VLOOKUP($G732,StaffTbl,2,0),"کد ناشناخته")))))</f>
        <v/>
      </c>
      <c r="I732" s="12" t="n"/>
      <c r="J732" s="12" t="n"/>
      <c r="K732" s="13" t="n"/>
      <c r="L732" s="13" t="n"/>
      <c r="M732" s="13" t="n"/>
      <c r="N732" s="14">
        <f>IF(OR($C732="",$E732="",Calc!$H732=""),"",IFERROR(VLOOKUP(LEFT(UPPER(TRIM($E732)),6),BankTbl,3,0),0)+SUMIFS(CalcDep,CalcBank,LEFT(UPPER(TRIM($E732)),6),CalcKey,"&lt;="&amp;Calc!$H732)-SUMIFS(CalcWit,CalcBank,LEFT(UPPER(TRIM($E732)),6),CalcKey,"&lt;="&amp;Calc!$H732))</f>
        <v/>
      </c>
      <c r="O732" s="10">
        <f>IF(OR($C732="",$M732=""),"",IF($N732="","؟",IF(ROUND($M732-$N732,0)=0,"√","×")))</f>
        <v/>
      </c>
      <c r="P732" s="12" t="n"/>
    </row>
    <row r="733">
      <c r="A733" s="10">
        <f>IF($C733="","",COUNTA($C$9:$C733))</f>
        <v/>
      </c>
      <c r="B733" s="10">
        <f>IF($C733="","","TXN-"&amp;RIGHT("0000"&amp;725,4))</f>
        <v/>
      </c>
      <c r="C733" s="11" t="n"/>
      <c r="D733" s="11" t="n"/>
      <c r="E733" s="12" t="n"/>
      <c r="F733" s="10">
        <f>IF($E733="","",IFERROR(IF(VLOOKUP(LEFT(UPPER(TRIM($E733)),6),BankTbl,2,0)="","(بدون عنوان)",VLOOKUP(LEFT(UPPER(TRIM($E733)),6),BankTbl,2,0)),"بانک ناشناخته"))</f>
        <v/>
      </c>
      <c r="G733" s="11" t="n"/>
      <c r="H733" s="10">
        <f>IF($G733="","",IFERROR(VLOOKUP($G733,CustTbl,2,0),IFERROR(VLOOKUP($G733,SuppTbl,2,0),IFERROR(VLOOKUP($G733,AcctTbl,2,0),IFERROR(VLOOKUP($G733,StaffTbl,2,0),"کد ناشناخته")))))</f>
        <v/>
      </c>
      <c r="I733" s="12" t="n"/>
      <c r="J733" s="12" t="n"/>
      <c r="K733" s="13" t="n"/>
      <c r="L733" s="13" t="n"/>
      <c r="M733" s="13" t="n"/>
      <c r="N733" s="14">
        <f>IF(OR($C733="",$E733="",Calc!$H733=""),"",IFERROR(VLOOKUP(LEFT(UPPER(TRIM($E733)),6),BankTbl,3,0),0)+SUMIFS(CalcDep,CalcBank,LEFT(UPPER(TRIM($E733)),6),CalcKey,"&lt;="&amp;Calc!$H733)-SUMIFS(CalcWit,CalcBank,LEFT(UPPER(TRIM($E733)),6),CalcKey,"&lt;="&amp;Calc!$H733))</f>
        <v/>
      </c>
      <c r="O733" s="10">
        <f>IF(OR($C733="",$M733=""),"",IF($N733="","؟",IF(ROUND($M733-$N733,0)=0,"√","×")))</f>
        <v/>
      </c>
      <c r="P733" s="12" t="n"/>
    </row>
    <row r="734">
      <c r="A734" s="10">
        <f>IF($C734="","",COUNTA($C$9:$C734))</f>
        <v/>
      </c>
      <c r="B734" s="10">
        <f>IF($C734="","","TXN-"&amp;RIGHT("0000"&amp;726,4))</f>
        <v/>
      </c>
      <c r="C734" s="11" t="n"/>
      <c r="D734" s="11" t="n"/>
      <c r="E734" s="12" t="n"/>
      <c r="F734" s="10">
        <f>IF($E734="","",IFERROR(IF(VLOOKUP(LEFT(UPPER(TRIM($E734)),6),BankTbl,2,0)="","(بدون عنوان)",VLOOKUP(LEFT(UPPER(TRIM($E734)),6),BankTbl,2,0)),"بانک ناشناخته"))</f>
        <v/>
      </c>
      <c r="G734" s="11" t="n"/>
      <c r="H734" s="10">
        <f>IF($G734="","",IFERROR(VLOOKUP($G734,CustTbl,2,0),IFERROR(VLOOKUP($G734,SuppTbl,2,0),IFERROR(VLOOKUP($G734,AcctTbl,2,0),IFERROR(VLOOKUP($G734,StaffTbl,2,0),"کد ناشناخته")))))</f>
        <v/>
      </c>
      <c r="I734" s="12" t="n"/>
      <c r="J734" s="12" t="n"/>
      <c r="K734" s="13" t="n"/>
      <c r="L734" s="13" t="n"/>
      <c r="M734" s="13" t="n"/>
      <c r="N734" s="14">
        <f>IF(OR($C734="",$E734="",Calc!$H734=""),"",IFERROR(VLOOKUP(LEFT(UPPER(TRIM($E734)),6),BankTbl,3,0),0)+SUMIFS(CalcDep,CalcBank,LEFT(UPPER(TRIM($E734)),6),CalcKey,"&lt;="&amp;Calc!$H734)-SUMIFS(CalcWit,CalcBank,LEFT(UPPER(TRIM($E734)),6),CalcKey,"&lt;="&amp;Calc!$H734))</f>
        <v/>
      </c>
      <c r="O734" s="10">
        <f>IF(OR($C734="",$M734=""),"",IF($N734="","؟",IF(ROUND($M734-$N734,0)=0,"√","×")))</f>
        <v/>
      </c>
      <c r="P734" s="12" t="n"/>
    </row>
    <row r="735">
      <c r="A735" s="10">
        <f>IF($C735="","",COUNTA($C$9:$C735))</f>
        <v/>
      </c>
      <c r="B735" s="10">
        <f>IF($C735="","","TXN-"&amp;RIGHT("0000"&amp;727,4))</f>
        <v/>
      </c>
      <c r="C735" s="11" t="n"/>
      <c r="D735" s="11" t="n"/>
      <c r="E735" s="12" t="n"/>
      <c r="F735" s="10">
        <f>IF($E735="","",IFERROR(IF(VLOOKUP(LEFT(UPPER(TRIM($E735)),6),BankTbl,2,0)="","(بدون عنوان)",VLOOKUP(LEFT(UPPER(TRIM($E735)),6),BankTbl,2,0)),"بانک ناشناخته"))</f>
        <v/>
      </c>
      <c r="G735" s="11" t="n"/>
      <c r="H735" s="10">
        <f>IF($G735="","",IFERROR(VLOOKUP($G735,CustTbl,2,0),IFERROR(VLOOKUP($G735,SuppTbl,2,0),IFERROR(VLOOKUP($G735,AcctTbl,2,0),IFERROR(VLOOKUP($G735,StaffTbl,2,0),"کد ناشناخته")))))</f>
        <v/>
      </c>
      <c r="I735" s="12" t="n"/>
      <c r="J735" s="12" t="n"/>
      <c r="K735" s="13" t="n"/>
      <c r="L735" s="13" t="n"/>
      <c r="M735" s="13" t="n"/>
      <c r="N735" s="14">
        <f>IF(OR($C735="",$E735="",Calc!$H735=""),"",IFERROR(VLOOKUP(LEFT(UPPER(TRIM($E735)),6),BankTbl,3,0),0)+SUMIFS(CalcDep,CalcBank,LEFT(UPPER(TRIM($E735)),6),CalcKey,"&lt;="&amp;Calc!$H735)-SUMIFS(CalcWit,CalcBank,LEFT(UPPER(TRIM($E735)),6),CalcKey,"&lt;="&amp;Calc!$H735))</f>
        <v/>
      </c>
      <c r="O735" s="10">
        <f>IF(OR($C735="",$M735=""),"",IF($N735="","؟",IF(ROUND($M735-$N735,0)=0,"√","×")))</f>
        <v/>
      </c>
      <c r="P735" s="12" t="n"/>
    </row>
    <row r="736">
      <c r="A736" s="10">
        <f>IF($C736="","",COUNTA($C$9:$C736))</f>
        <v/>
      </c>
      <c r="B736" s="10">
        <f>IF($C736="","","TXN-"&amp;RIGHT("0000"&amp;728,4))</f>
        <v/>
      </c>
      <c r="C736" s="11" t="n"/>
      <c r="D736" s="11" t="n"/>
      <c r="E736" s="12" t="n"/>
      <c r="F736" s="10">
        <f>IF($E736="","",IFERROR(IF(VLOOKUP(LEFT(UPPER(TRIM($E736)),6),BankTbl,2,0)="","(بدون عنوان)",VLOOKUP(LEFT(UPPER(TRIM($E736)),6),BankTbl,2,0)),"بانک ناشناخته"))</f>
        <v/>
      </c>
      <c r="G736" s="11" t="n"/>
      <c r="H736" s="10">
        <f>IF($G736="","",IFERROR(VLOOKUP($G736,CustTbl,2,0),IFERROR(VLOOKUP($G736,SuppTbl,2,0),IFERROR(VLOOKUP($G736,AcctTbl,2,0),IFERROR(VLOOKUP($G736,StaffTbl,2,0),"کد ناشناخته")))))</f>
        <v/>
      </c>
      <c r="I736" s="12" t="n"/>
      <c r="J736" s="12" t="n"/>
      <c r="K736" s="13" t="n"/>
      <c r="L736" s="13" t="n"/>
      <c r="M736" s="13" t="n"/>
      <c r="N736" s="14">
        <f>IF(OR($C736="",$E736="",Calc!$H736=""),"",IFERROR(VLOOKUP(LEFT(UPPER(TRIM($E736)),6),BankTbl,3,0),0)+SUMIFS(CalcDep,CalcBank,LEFT(UPPER(TRIM($E736)),6),CalcKey,"&lt;="&amp;Calc!$H736)-SUMIFS(CalcWit,CalcBank,LEFT(UPPER(TRIM($E736)),6),CalcKey,"&lt;="&amp;Calc!$H736))</f>
        <v/>
      </c>
      <c r="O736" s="10">
        <f>IF(OR($C736="",$M736=""),"",IF($N736="","؟",IF(ROUND($M736-$N736,0)=0,"√","×")))</f>
        <v/>
      </c>
      <c r="P736" s="12" t="n"/>
    </row>
    <row r="737">
      <c r="A737" s="10">
        <f>IF($C737="","",COUNTA($C$9:$C737))</f>
        <v/>
      </c>
      <c r="B737" s="10">
        <f>IF($C737="","","TXN-"&amp;RIGHT("0000"&amp;729,4))</f>
        <v/>
      </c>
      <c r="C737" s="11" t="n"/>
      <c r="D737" s="11" t="n"/>
      <c r="E737" s="12" t="n"/>
      <c r="F737" s="10">
        <f>IF($E737="","",IFERROR(IF(VLOOKUP(LEFT(UPPER(TRIM($E737)),6),BankTbl,2,0)="","(بدون عنوان)",VLOOKUP(LEFT(UPPER(TRIM($E737)),6),BankTbl,2,0)),"بانک ناشناخته"))</f>
        <v/>
      </c>
      <c r="G737" s="11" t="n"/>
      <c r="H737" s="10">
        <f>IF($G737="","",IFERROR(VLOOKUP($G737,CustTbl,2,0),IFERROR(VLOOKUP($G737,SuppTbl,2,0),IFERROR(VLOOKUP($G737,AcctTbl,2,0),IFERROR(VLOOKUP($G737,StaffTbl,2,0),"کد ناشناخته")))))</f>
        <v/>
      </c>
      <c r="I737" s="12" t="n"/>
      <c r="J737" s="12" t="n"/>
      <c r="K737" s="13" t="n"/>
      <c r="L737" s="13" t="n"/>
      <c r="M737" s="13" t="n"/>
      <c r="N737" s="14">
        <f>IF(OR($C737="",$E737="",Calc!$H737=""),"",IFERROR(VLOOKUP(LEFT(UPPER(TRIM($E737)),6),BankTbl,3,0),0)+SUMIFS(CalcDep,CalcBank,LEFT(UPPER(TRIM($E737)),6),CalcKey,"&lt;="&amp;Calc!$H737)-SUMIFS(CalcWit,CalcBank,LEFT(UPPER(TRIM($E737)),6),CalcKey,"&lt;="&amp;Calc!$H737))</f>
        <v/>
      </c>
      <c r="O737" s="10">
        <f>IF(OR($C737="",$M737=""),"",IF($N737="","؟",IF(ROUND($M737-$N737,0)=0,"√","×")))</f>
        <v/>
      </c>
      <c r="P737" s="12" t="n"/>
    </row>
    <row r="738">
      <c r="A738" s="10">
        <f>IF($C738="","",COUNTA($C$9:$C738))</f>
        <v/>
      </c>
      <c r="B738" s="10">
        <f>IF($C738="","","TXN-"&amp;RIGHT("0000"&amp;730,4))</f>
        <v/>
      </c>
      <c r="C738" s="11" t="n"/>
      <c r="D738" s="11" t="n"/>
      <c r="E738" s="12" t="n"/>
      <c r="F738" s="10">
        <f>IF($E738="","",IFERROR(IF(VLOOKUP(LEFT(UPPER(TRIM($E738)),6),BankTbl,2,0)="","(بدون عنوان)",VLOOKUP(LEFT(UPPER(TRIM($E738)),6),BankTbl,2,0)),"بانک ناشناخته"))</f>
        <v/>
      </c>
      <c r="G738" s="11" t="n"/>
      <c r="H738" s="10">
        <f>IF($G738="","",IFERROR(VLOOKUP($G738,CustTbl,2,0),IFERROR(VLOOKUP($G738,SuppTbl,2,0),IFERROR(VLOOKUP($G738,AcctTbl,2,0),IFERROR(VLOOKUP($G738,StaffTbl,2,0),"کد ناشناخته")))))</f>
        <v/>
      </c>
      <c r="I738" s="12" t="n"/>
      <c r="J738" s="12" t="n"/>
      <c r="K738" s="13" t="n"/>
      <c r="L738" s="13" t="n"/>
      <c r="M738" s="13" t="n"/>
      <c r="N738" s="14">
        <f>IF(OR($C738="",$E738="",Calc!$H738=""),"",IFERROR(VLOOKUP(LEFT(UPPER(TRIM($E738)),6),BankTbl,3,0),0)+SUMIFS(CalcDep,CalcBank,LEFT(UPPER(TRIM($E738)),6),CalcKey,"&lt;="&amp;Calc!$H738)-SUMIFS(CalcWit,CalcBank,LEFT(UPPER(TRIM($E738)),6),CalcKey,"&lt;="&amp;Calc!$H738))</f>
        <v/>
      </c>
      <c r="O738" s="10">
        <f>IF(OR($C738="",$M738=""),"",IF($N738="","؟",IF(ROUND($M738-$N738,0)=0,"√","×")))</f>
        <v/>
      </c>
      <c r="P738" s="12" t="n"/>
    </row>
    <row r="739">
      <c r="A739" s="10">
        <f>IF($C739="","",COUNTA($C$9:$C739))</f>
        <v/>
      </c>
      <c r="B739" s="10">
        <f>IF($C739="","","TXN-"&amp;RIGHT("0000"&amp;731,4))</f>
        <v/>
      </c>
      <c r="C739" s="11" t="n"/>
      <c r="D739" s="11" t="n"/>
      <c r="E739" s="12" t="n"/>
      <c r="F739" s="10">
        <f>IF($E739="","",IFERROR(IF(VLOOKUP(LEFT(UPPER(TRIM($E739)),6),BankTbl,2,0)="","(بدون عنوان)",VLOOKUP(LEFT(UPPER(TRIM($E739)),6),BankTbl,2,0)),"بانک ناشناخته"))</f>
        <v/>
      </c>
      <c r="G739" s="11" t="n"/>
      <c r="H739" s="10">
        <f>IF($G739="","",IFERROR(VLOOKUP($G739,CustTbl,2,0),IFERROR(VLOOKUP($G739,SuppTbl,2,0),IFERROR(VLOOKUP($G739,AcctTbl,2,0),IFERROR(VLOOKUP($G739,StaffTbl,2,0),"کد ناشناخته")))))</f>
        <v/>
      </c>
      <c r="I739" s="12" t="n"/>
      <c r="J739" s="12" t="n"/>
      <c r="K739" s="13" t="n"/>
      <c r="L739" s="13" t="n"/>
      <c r="M739" s="13" t="n"/>
      <c r="N739" s="14">
        <f>IF(OR($C739="",$E739="",Calc!$H739=""),"",IFERROR(VLOOKUP(LEFT(UPPER(TRIM($E739)),6),BankTbl,3,0),0)+SUMIFS(CalcDep,CalcBank,LEFT(UPPER(TRIM($E739)),6),CalcKey,"&lt;="&amp;Calc!$H739)-SUMIFS(CalcWit,CalcBank,LEFT(UPPER(TRIM($E739)),6),CalcKey,"&lt;="&amp;Calc!$H739))</f>
        <v/>
      </c>
      <c r="O739" s="10">
        <f>IF(OR($C739="",$M739=""),"",IF($N739="","؟",IF(ROUND($M739-$N739,0)=0,"√","×")))</f>
        <v/>
      </c>
      <c r="P739" s="12" t="n"/>
    </row>
    <row r="740">
      <c r="A740" s="10">
        <f>IF($C740="","",COUNTA($C$9:$C740))</f>
        <v/>
      </c>
      <c r="B740" s="10">
        <f>IF($C740="","","TXN-"&amp;RIGHT("0000"&amp;732,4))</f>
        <v/>
      </c>
      <c r="C740" s="11" t="n"/>
      <c r="D740" s="11" t="n"/>
      <c r="E740" s="12" t="n"/>
      <c r="F740" s="10">
        <f>IF($E740="","",IFERROR(IF(VLOOKUP(LEFT(UPPER(TRIM($E740)),6),BankTbl,2,0)="","(بدون عنوان)",VLOOKUP(LEFT(UPPER(TRIM($E740)),6),BankTbl,2,0)),"بانک ناشناخته"))</f>
        <v/>
      </c>
      <c r="G740" s="11" t="n"/>
      <c r="H740" s="10">
        <f>IF($G740="","",IFERROR(VLOOKUP($G740,CustTbl,2,0),IFERROR(VLOOKUP($G740,SuppTbl,2,0),IFERROR(VLOOKUP($G740,AcctTbl,2,0),IFERROR(VLOOKUP($G740,StaffTbl,2,0),"کد ناشناخته")))))</f>
        <v/>
      </c>
      <c r="I740" s="12" t="n"/>
      <c r="J740" s="12" t="n"/>
      <c r="K740" s="13" t="n"/>
      <c r="L740" s="13" t="n"/>
      <c r="M740" s="13" t="n"/>
      <c r="N740" s="14">
        <f>IF(OR($C740="",$E740="",Calc!$H740=""),"",IFERROR(VLOOKUP(LEFT(UPPER(TRIM($E740)),6),BankTbl,3,0),0)+SUMIFS(CalcDep,CalcBank,LEFT(UPPER(TRIM($E740)),6),CalcKey,"&lt;="&amp;Calc!$H740)-SUMIFS(CalcWit,CalcBank,LEFT(UPPER(TRIM($E740)),6),CalcKey,"&lt;="&amp;Calc!$H740))</f>
        <v/>
      </c>
      <c r="O740" s="10">
        <f>IF(OR($C740="",$M740=""),"",IF($N740="","؟",IF(ROUND($M740-$N740,0)=0,"√","×")))</f>
        <v/>
      </c>
      <c r="P740" s="12" t="n"/>
    </row>
    <row r="741">
      <c r="A741" s="10">
        <f>IF($C741="","",COUNTA($C$9:$C741))</f>
        <v/>
      </c>
      <c r="B741" s="10">
        <f>IF($C741="","","TXN-"&amp;RIGHT("0000"&amp;733,4))</f>
        <v/>
      </c>
      <c r="C741" s="11" t="n"/>
      <c r="D741" s="11" t="n"/>
      <c r="E741" s="12" t="n"/>
      <c r="F741" s="10">
        <f>IF($E741="","",IFERROR(IF(VLOOKUP(LEFT(UPPER(TRIM($E741)),6),BankTbl,2,0)="","(بدون عنوان)",VLOOKUP(LEFT(UPPER(TRIM($E741)),6),BankTbl,2,0)),"بانک ناشناخته"))</f>
        <v/>
      </c>
      <c r="G741" s="11" t="n"/>
      <c r="H741" s="10">
        <f>IF($G741="","",IFERROR(VLOOKUP($G741,CustTbl,2,0),IFERROR(VLOOKUP($G741,SuppTbl,2,0),IFERROR(VLOOKUP($G741,AcctTbl,2,0),IFERROR(VLOOKUP($G741,StaffTbl,2,0),"کد ناشناخته")))))</f>
        <v/>
      </c>
      <c r="I741" s="12" t="n"/>
      <c r="J741" s="12" t="n"/>
      <c r="K741" s="13" t="n"/>
      <c r="L741" s="13" t="n"/>
      <c r="M741" s="13" t="n"/>
      <c r="N741" s="14">
        <f>IF(OR($C741="",$E741="",Calc!$H741=""),"",IFERROR(VLOOKUP(LEFT(UPPER(TRIM($E741)),6),BankTbl,3,0),0)+SUMIFS(CalcDep,CalcBank,LEFT(UPPER(TRIM($E741)),6),CalcKey,"&lt;="&amp;Calc!$H741)-SUMIFS(CalcWit,CalcBank,LEFT(UPPER(TRIM($E741)),6),CalcKey,"&lt;="&amp;Calc!$H741))</f>
        <v/>
      </c>
      <c r="O741" s="10">
        <f>IF(OR($C741="",$M741=""),"",IF($N741="","؟",IF(ROUND($M741-$N741,0)=0,"√","×")))</f>
        <v/>
      </c>
      <c r="P741" s="12" t="n"/>
    </row>
    <row r="742">
      <c r="A742" s="10">
        <f>IF($C742="","",COUNTA($C$9:$C742))</f>
        <v/>
      </c>
      <c r="B742" s="10">
        <f>IF($C742="","","TXN-"&amp;RIGHT("0000"&amp;734,4))</f>
        <v/>
      </c>
      <c r="C742" s="11" t="n"/>
      <c r="D742" s="11" t="n"/>
      <c r="E742" s="12" t="n"/>
      <c r="F742" s="10">
        <f>IF($E742="","",IFERROR(IF(VLOOKUP(LEFT(UPPER(TRIM($E742)),6),BankTbl,2,0)="","(بدون عنوان)",VLOOKUP(LEFT(UPPER(TRIM($E742)),6),BankTbl,2,0)),"بانک ناشناخته"))</f>
        <v/>
      </c>
      <c r="G742" s="11" t="n"/>
      <c r="H742" s="10">
        <f>IF($G742="","",IFERROR(VLOOKUP($G742,CustTbl,2,0),IFERROR(VLOOKUP($G742,SuppTbl,2,0),IFERROR(VLOOKUP($G742,AcctTbl,2,0),IFERROR(VLOOKUP($G742,StaffTbl,2,0),"کد ناشناخته")))))</f>
        <v/>
      </c>
      <c r="I742" s="12" t="n"/>
      <c r="J742" s="12" t="n"/>
      <c r="K742" s="13" t="n"/>
      <c r="L742" s="13" t="n"/>
      <c r="M742" s="13" t="n"/>
      <c r="N742" s="14">
        <f>IF(OR($C742="",$E742="",Calc!$H742=""),"",IFERROR(VLOOKUP(LEFT(UPPER(TRIM($E742)),6),BankTbl,3,0),0)+SUMIFS(CalcDep,CalcBank,LEFT(UPPER(TRIM($E742)),6),CalcKey,"&lt;="&amp;Calc!$H742)-SUMIFS(CalcWit,CalcBank,LEFT(UPPER(TRIM($E742)),6),CalcKey,"&lt;="&amp;Calc!$H742))</f>
        <v/>
      </c>
      <c r="O742" s="10">
        <f>IF(OR($C742="",$M742=""),"",IF($N742="","؟",IF(ROUND($M742-$N742,0)=0,"√","×")))</f>
        <v/>
      </c>
      <c r="P742" s="12" t="n"/>
    </row>
    <row r="743">
      <c r="A743" s="10">
        <f>IF($C743="","",COUNTA($C$9:$C743))</f>
        <v/>
      </c>
      <c r="B743" s="10">
        <f>IF($C743="","","TXN-"&amp;RIGHT("0000"&amp;735,4))</f>
        <v/>
      </c>
      <c r="C743" s="11" t="n"/>
      <c r="D743" s="11" t="n"/>
      <c r="E743" s="12" t="n"/>
      <c r="F743" s="10">
        <f>IF($E743="","",IFERROR(IF(VLOOKUP(LEFT(UPPER(TRIM($E743)),6),BankTbl,2,0)="","(بدون عنوان)",VLOOKUP(LEFT(UPPER(TRIM($E743)),6),BankTbl,2,0)),"بانک ناشناخته"))</f>
        <v/>
      </c>
      <c r="G743" s="11" t="n"/>
      <c r="H743" s="10">
        <f>IF($G743="","",IFERROR(VLOOKUP($G743,CustTbl,2,0),IFERROR(VLOOKUP($G743,SuppTbl,2,0),IFERROR(VLOOKUP($G743,AcctTbl,2,0),IFERROR(VLOOKUP($G743,StaffTbl,2,0),"کد ناشناخته")))))</f>
        <v/>
      </c>
      <c r="I743" s="12" t="n"/>
      <c r="J743" s="12" t="n"/>
      <c r="K743" s="13" t="n"/>
      <c r="L743" s="13" t="n"/>
      <c r="M743" s="13" t="n"/>
      <c r="N743" s="14">
        <f>IF(OR($C743="",$E743="",Calc!$H743=""),"",IFERROR(VLOOKUP(LEFT(UPPER(TRIM($E743)),6),BankTbl,3,0),0)+SUMIFS(CalcDep,CalcBank,LEFT(UPPER(TRIM($E743)),6),CalcKey,"&lt;="&amp;Calc!$H743)-SUMIFS(CalcWit,CalcBank,LEFT(UPPER(TRIM($E743)),6),CalcKey,"&lt;="&amp;Calc!$H743))</f>
        <v/>
      </c>
      <c r="O743" s="10">
        <f>IF(OR($C743="",$M743=""),"",IF($N743="","؟",IF(ROUND($M743-$N743,0)=0,"√","×")))</f>
        <v/>
      </c>
      <c r="P743" s="12" t="n"/>
    </row>
    <row r="744">
      <c r="A744" s="10">
        <f>IF($C744="","",COUNTA($C$9:$C744))</f>
        <v/>
      </c>
      <c r="B744" s="10">
        <f>IF($C744="","","TXN-"&amp;RIGHT("0000"&amp;736,4))</f>
        <v/>
      </c>
      <c r="C744" s="11" t="n"/>
      <c r="D744" s="11" t="n"/>
      <c r="E744" s="12" t="n"/>
      <c r="F744" s="10">
        <f>IF($E744="","",IFERROR(IF(VLOOKUP(LEFT(UPPER(TRIM($E744)),6),BankTbl,2,0)="","(بدون عنوان)",VLOOKUP(LEFT(UPPER(TRIM($E744)),6),BankTbl,2,0)),"بانک ناشناخته"))</f>
        <v/>
      </c>
      <c r="G744" s="11" t="n"/>
      <c r="H744" s="10">
        <f>IF($G744="","",IFERROR(VLOOKUP($G744,CustTbl,2,0),IFERROR(VLOOKUP($G744,SuppTbl,2,0),IFERROR(VLOOKUP($G744,AcctTbl,2,0),IFERROR(VLOOKUP($G744,StaffTbl,2,0),"کد ناشناخته")))))</f>
        <v/>
      </c>
      <c r="I744" s="12" t="n"/>
      <c r="J744" s="12" t="n"/>
      <c r="K744" s="13" t="n"/>
      <c r="L744" s="13" t="n"/>
      <c r="M744" s="13" t="n"/>
      <c r="N744" s="14">
        <f>IF(OR($C744="",$E744="",Calc!$H744=""),"",IFERROR(VLOOKUP(LEFT(UPPER(TRIM($E744)),6),BankTbl,3,0),0)+SUMIFS(CalcDep,CalcBank,LEFT(UPPER(TRIM($E744)),6),CalcKey,"&lt;="&amp;Calc!$H744)-SUMIFS(CalcWit,CalcBank,LEFT(UPPER(TRIM($E744)),6),CalcKey,"&lt;="&amp;Calc!$H744))</f>
        <v/>
      </c>
      <c r="O744" s="10">
        <f>IF(OR($C744="",$M744=""),"",IF($N744="","؟",IF(ROUND($M744-$N744,0)=0,"√","×")))</f>
        <v/>
      </c>
      <c r="P744" s="12" t="n"/>
    </row>
    <row r="745">
      <c r="A745" s="10">
        <f>IF($C745="","",COUNTA($C$9:$C745))</f>
        <v/>
      </c>
      <c r="B745" s="10">
        <f>IF($C745="","","TXN-"&amp;RIGHT("0000"&amp;737,4))</f>
        <v/>
      </c>
      <c r="C745" s="11" t="n"/>
      <c r="D745" s="11" t="n"/>
      <c r="E745" s="12" t="n"/>
      <c r="F745" s="10">
        <f>IF($E745="","",IFERROR(IF(VLOOKUP(LEFT(UPPER(TRIM($E745)),6),BankTbl,2,0)="","(بدون عنوان)",VLOOKUP(LEFT(UPPER(TRIM($E745)),6),BankTbl,2,0)),"بانک ناشناخته"))</f>
        <v/>
      </c>
      <c r="G745" s="11" t="n"/>
      <c r="H745" s="10">
        <f>IF($G745="","",IFERROR(VLOOKUP($G745,CustTbl,2,0),IFERROR(VLOOKUP($G745,SuppTbl,2,0),IFERROR(VLOOKUP($G745,AcctTbl,2,0),IFERROR(VLOOKUP($G745,StaffTbl,2,0),"کد ناشناخته")))))</f>
        <v/>
      </c>
      <c r="I745" s="12" t="n"/>
      <c r="J745" s="12" t="n"/>
      <c r="K745" s="13" t="n"/>
      <c r="L745" s="13" t="n"/>
      <c r="M745" s="13" t="n"/>
      <c r="N745" s="14">
        <f>IF(OR($C745="",$E745="",Calc!$H745=""),"",IFERROR(VLOOKUP(LEFT(UPPER(TRIM($E745)),6),BankTbl,3,0),0)+SUMIFS(CalcDep,CalcBank,LEFT(UPPER(TRIM($E745)),6),CalcKey,"&lt;="&amp;Calc!$H745)-SUMIFS(CalcWit,CalcBank,LEFT(UPPER(TRIM($E745)),6),CalcKey,"&lt;="&amp;Calc!$H745))</f>
        <v/>
      </c>
      <c r="O745" s="10">
        <f>IF(OR($C745="",$M745=""),"",IF($N745="","؟",IF(ROUND($M745-$N745,0)=0,"√","×")))</f>
        <v/>
      </c>
      <c r="P745" s="12" t="n"/>
    </row>
    <row r="746">
      <c r="A746" s="10">
        <f>IF($C746="","",COUNTA($C$9:$C746))</f>
        <v/>
      </c>
      <c r="B746" s="10">
        <f>IF($C746="","","TXN-"&amp;RIGHT("0000"&amp;738,4))</f>
        <v/>
      </c>
      <c r="C746" s="11" t="n"/>
      <c r="D746" s="11" t="n"/>
      <c r="E746" s="12" t="n"/>
      <c r="F746" s="10">
        <f>IF($E746="","",IFERROR(IF(VLOOKUP(LEFT(UPPER(TRIM($E746)),6),BankTbl,2,0)="","(بدون عنوان)",VLOOKUP(LEFT(UPPER(TRIM($E746)),6),BankTbl,2,0)),"بانک ناشناخته"))</f>
        <v/>
      </c>
      <c r="G746" s="11" t="n"/>
      <c r="H746" s="10">
        <f>IF($G746="","",IFERROR(VLOOKUP($G746,CustTbl,2,0),IFERROR(VLOOKUP($G746,SuppTbl,2,0),IFERROR(VLOOKUP($G746,AcctTbl,2,0),IFERROR(VLOOKUP($G746,StaffTbl,2,0),"کد ناشناخته")))))</f>
        <v/>
      </c>
      <c r="I746" s="12" t="n"/>
      <c r="J746" s="12" t="n"/>
      <c r="K746" s="13" t="n"/>
      <c r="L746" s="13" t="n"/>
      <c r="M746" s="13" t="n"/>
      <c r="N746" s="14">
        <f>IF(OR($C746="",$E746="",Calc!$H746=""),"",IFERROR(VLOOKUP(LEFT(UPPER(TRIM($E746)),6),BankTbl,3,0),0)+SUMIFS(CalcDep,CalcBank,LEFT(UPPER(TRIM($E746)),6),CalcKey,"&lt;="&amp;Calc!$H746)-SUMIFS(CalcWit,CalcBank,LEFT(UPPER(TRIM($E746)),6),CalcKey,"&lt;="&amp;Calc!$H746))</f>
        <v/>
      </c>
      <c r="O746" s="10">
        <f>IF(OR($C746="",$M746=""),"",IF($N746="","؟",IF(ROUND($M746-$N746,0)=0,"√","×")))</f>
        <v/>
      </c>
      <c r="P746" s="12" t="n"/>
    </row>
    <row r="747">
      <c r="A747" s="10">
        <f>IF($C747="","",COUNTA($C$9:$C747))</f>
        <v/>
      </c>
      <c r="B747" s="10">
        <f>IF($C747="","","TXN-"&amp;RIGHT("0000"&amp;739,4))</f>
        <v/>
      </c>
      <c r="C747" s="11" t="n"/>
      <c r="D747" s="11" t="n"/>
      <c r="E747" s="12" t="n"/>
      <c r="F747" s="10">
        <f>IF($E747="","",IFERROR(IF(VLOOKUP(LEFT(UPPER(TRIM($E747)),6),BankTbl,2,0)="","(بدون عنوان)",VLOOKUP(LEFT(UPPER(TRIM($E747)),6),BankTbl,2,0)),"بانک ناشناخته"))</f>
        <v/>
      </c>
      <c r="G747" s="11" t="n"/>
      <c r="H747" s="10">
        <f>IF($G747="","",IFERROR(VLOOKUP($G747,CustTbl,2,0),IFERROR(VLOOKUP($G747,SuppTbl,2,0),IFERROR(VLOOKUP($G747,AcctTbl,2,0),IFERROR(VLOOKUP($G747,StaffTbl,2,0),"کد ناشناخته")))))</f>
        <v/>
      </c>
      <c r="I747" s="12" t="n"/>
      <c r="J747" s="12" t="n"/>
      <c r="K747" s="13" t="n"/>
      <c r="L747" s="13" t="n"/>
      <c r="M747" s="13" t="n"/>
      <c r="N747" s="14">
        <f>IF(OR($C747="",$E747="",Calc!$H747=""),"",IFERROR(VLOOKUP(LEFT(UPPER(TRIM($E747)),6),BankTbl,3,0),0)+SUMIFS(CalcDep,CalcBank,LEFT(UPPER(TRIM($E747)),6),CalcKey,"&lt;="&amp;Calc!$H747)-SUMIFS(CalcWit,CalcBank,LEFT(UPPER(TRIM($E747)),6),CalcKey,"&lt;="&amp;Calc!$H747))</f>
        <v/>
      </c>
      <c r="O747" s="10">
        <f>IF(OR($C747="",$M747=""),"",IF($N747="","؟",IF(ROUND($M747-$N747,0)=0,"√","×")))</f>
        <v/>
      </c>
      <c r="P747" s="12" t="n"/>
    </row>
    <row r="748">
      <c r="A748" s="10">
        <f>IF($C748="","",COUNTA($C$9:$C748))</f>
        <v/>
      </c>
      <c r="B748" s="10">
        <f>IF($C748="","","TXN-"&amp;RIGHT("0000"&amp;740,4))</f>
        <v/>
      </c>
      <c r="C748" s="11" t="n"/>
      <c r="D748" s="11" t="n"/>
      <c r="E748" s="12" t="n"/>
      <c r="F748" s="10">
        <f>IF($E748="","",IFERROR(IF(VLOOKUP(LEFT(UPPER(TRIM($E748)),6),BankTbl,2,0)="","(بدون عنوان)",VLOOKUP(LEFT(UPPER(TRIM($E748)),6),BankTbl,2,0)),"بانک ناشناخته"))</f>
        <v/>
      </c>
      <c r="G748" s="11" t="n"/>
      <c r="H748" s="10">
        <f>IF($G748="","",IFERROR(VLOOKUP($G748,CustTbl,2,0),IFERROR(VLOOKUP($G748,SuppTbl,2,0),IFERROR(VLOOKUP($G748,AcctTbl,2,0),IFERROR(VLOOKUP($G748,StaffTbl,2,0),"کد ناشناخته")))))</f>
        <v/>
      </c>
      <c r="I748" s="12" t="n"/>
      <c r="J748" s="12" t="n"/>
      <c r="K748" s="13" t="n"/>
      <c r="L748" s="13" t="n"/>
      <c r="M748" s="13" t="n"/>
      <c r="N748" s="14">
        <f>IF(OR($C748="",$E748="",Calc!$H748=""),"",IFERROR(VLOOKUP(LEFT(UPPER(TRIM($E748)),6),BankTbl,3,0),0)+SUMIFS(CalcDep,CalcBank,LEFT(UPPER(TRIM($E748)),6),CalcKey,"&lt;="&amp;Calc!$H748)-SUMIFS(CalcWit,CalcBank,LEFT(UPPER(TRIM($E748)),6),CalcKey,"&lt;="&amp;Calc!$H748))</f>
        <v/>
      </c>
      <c r="O748" s="10">
        <f>IF(OR($C748="",$M748=""),"",IF($N748="","؟",IF(ROUND($M748-$N748,0)=0,"√","×")))</f>
        <v/>
      </c>
      <c r="P748" s="12" t="n"/>
    </row>
    <row r="749">
      <c r="A749" s="10">
        <f>IF($C749="","",COUNTA($C$9:$C749))</f>
        <v/>
      </c>
      <c r="B749" s="10">
        <f>IF($C749="","","TXN-"&amp;RIGHT("0000"&amp;741,4))</f>
        <v/>
      </c>
      <c r="C749" s="11" t="n"/>
      <c r="D749" s="11" t="n"/>
      <c r="E749" s="12" t="n"/>
      <c r="F749" s="10">
        <f>IF($E749="","",IFERROR(IF(VLOOKUP(LEFT(UPPER(TRIM($E749)),6),BankTbl,2,0)="","(بدون عنوان)",VLOOKUP(LEFT(UPPER(TRIM($E749)),6),BankTbl,2,0)),"بانک ناشناخته"))</f>
        <v/>
      </c>
      <c r="G749" s="11" t="n"/>
      <c r="H749" s="10">
        <f>IF($G749="","",IFERROR(VLOOKUP($G749,CustTbl,2,0),IFERROR(VLOOKUP($G749,SuppTbl,2,0),IFERROR(VLOOKUP($G749,AcctTbl,2,0),IFERROR(VLOOKUP($G749,StaffTbl,2,0),"کد ناشناخته")))))</f>
        <v/>
      </c>
      <c r="I749" s="12" t="n"/>
      <c r="J749" s="12" t="n"/>
      <c r="K749" s="13" t="n"/>
      <c r="L749" s="13" t="n"/>
      <c r="M749" s="13" t="n"/>
      <c r="N749" s="14">
        <f>IF(OR($C749="",$E749="",Calc!$H749=""),"",IFERROR(VLOOKUP(LEFT(UPPER(TRIM($E749)),6),BankTbl,3,0),0)+SUMIFS(CalcDep,CalcBank,LEFT(UPPER(TRIM($E749)),6),CalcKey,"&lt;="&amp;Calc!$H749)-SUMIFS(CalcWit,CalcBank,LEFT(UPPER(TRIM($E749)),6),CalcKey,"&lt;="&amp;Calc!$H749))</f>
        <v/>
      </c>
      <c r="O749" s="10">
        <f>IF(OR($C749="",$M749=""),"",IF($N749="","؟",IF(ROUND($M749-$N749,0)=0,"√","×")))</f>
        <v/>
      </c>
      <c r="P749" s="12" t="n"/>
    </row>
    <row r="750">
      <c r="A750" s="10">
        <f>IF($C750="","",COUNTA($C$9:$C750))</f>
        <v/>
      </c>
      <c r="B750" s="10">
        <f>IF($C750="","","TXN-"&amp;RIGHT("0000"&amp;742,4))</f>
        <v/>
      </c>
      <c r="C750" s="11" t="n"/>
      <c r="D750" s="11" t="n"/>
      <c r="E750" s="12" t="n"/>
      <c r="F750" s="10">
        <f>IF($E750="","",IFERROR(IF(VLOOKUP(LEFT(UPPER(TRIM($E750)),6),BankTbl,2,0)="","(بدون عنوان)",VLOOKUP(LEFT(UPPER(TRIM($E750)),6),BankTbl,2,0)),"بانک ناشناخته"))</f>
        <v/>
      </c>
      <c r="G750" s="11" t="n"/>
      <c r="H750" s="10">
        <f>IF($G750="","",IFERROR(VLOOKUP($G750,CustTbl,2,0),IFERROR(VLOOKUP($G750,SuppTbl,2,0),IFERROR(VLOOKUP($G750,AcctTbl,2,0),IFERROR(VLOOKUP($G750,StaffTbl,2,0),"کد ناشناخته")))))</f>
        <v/>
      </c>
      <c r="I750" s="12" t="n"/>
      <c r="J750" s="12" t="n"/>
      <c r="K750" s="13" t="n"/>
      <c r="L750" s="13" t="n"/>
      <c r="M750" s="13" t="n"/>
      <c r="N750" s="14">
        <f>IF(OR($C750="",$E750="",Calc!$H750=""),"",IFERROR(VLOOKUP(LEFT(UPPER(TRIM($E750)),6),BankTbl,3,0),0)+SUMIFS(CalcDep,CalcBank,LEFT(UPPER(TRIM($E750)),6),CalcKey,"&lt;="&amp;Calc!$H750)-SUMIFS(CalcWit,CalcBank,LEFT(UPPER(TRIM($E750)),6),CalcKey,"&lt;="&amp;Calc!$H750))</f>
        <v/>
      </c>
      <c r="O750" s="10">
        <f>IF(OR($C750="",$M750=""),"",IF($N750="","؟",IF(ROUND($M750-$N750,0)=0,"√","×")))</f>
        <v/>
      </c>
      <c r="P750" s="12" t="n"/>
    </row>
    <row r="751">
      <c r="A751" s="10">
        <f>IF($C751="","",COUNTA($C$9:$C751))</f>
        <v/>
      </c>
      <c r="B751" s="10">
        <f>IF($C751="","","TXN-"&amp;RIGHT("0000"&amp;743,4))</f>
        <v/>
      </c>
      <c r="C751" s="11" t="n"/>
      <c r="D751" s="11" t="n"/>
      <c r="E751" s="12" t="n"/>
      <c r="F751" s="10">
        <f>IF($E751="","",IFERROR(IF(VLOOKUP(LEFT(UPPER(TRIM($E751)),6),BankTbl,2,0)="","(بدون عنوان)",VLOOKUP(LEFT(UPPER(TRIM($E751)),6),BankTbl,2,0)),"بانک ناشناخته"))</f>
        <v/>
      </c>
      <c r="G751" s="11" t="n"/>
      <c r="H751" s="10">
        <f>IF($G751="","",IFERROR(VLOOKUP($G751,CustTbl,2,0),IFERROR(VLOOKUP($G751,SuppTbl,2,0),IFERROR(VLOOKUP($G751,AcctTbl,2,0),IFERROR(VLOOKUP($G751,StaffTbl,2,0),"کد ناشناخته")))))</f>
        <v/>
      </c>
      <c r="I751" s="12" t="n"/>
      <c r="J751" s="12" t="n"/>
      <c r="K751" s="13" t="n"/>
      <c r="L751" s="13" t="n"/>
      <c r="M751" s="13" t="n"/>
      <c r="N751" s="14">
        <f>IF(OR($C751="",$E751="",Calc!$H751=""),"",IFERROR(VLOOKUP(LEFT(UPPER(TRIM($E751)),6),BankTbl,3,0),0)+SUMIFS(CalcDep,CalcBank,LEFT(UPPER(TRIM($E751)),6),CalcKey,"&lt;="&amp;Calc!$H751)-SUMIFS(CalcWit,CalcBank,LEFT(UPPER(TRIM($E751)),6),CalcKey,"&lt;="&amp;Calc!$H751))</f>
        <v/>
      </c>
      <c r="O751" s="10">
        <f>IF(OR($C751="",$M751=""),"",IF($N751="","؟",IF(ROUND($M751-$N751,0)=0,"√","×")))</f>
        <v/>
      </c>
      <c r="P751" s="12" t="n"/>
    </row>
    <row r="752">
      <c r="A752" s="10">
        <f>IF($C752="","",COUNTA($C$9:$C752))</f>
        <v/>
      </c>
      <c r="B752" s="10">
        <f>IF($C752="","","TXN-"&amp;RIGHT("0000"&amp;744,4))</f>
        <v/>
      </c>
      <c r="C752" s="11" t="n"/>
      <c r="D752" s="11" t="n"/>
      <c r="E752" s="12" t="n"/>
      <c r="F752" s="10">
        <f>IF($E752="","",IFERROR(IF(VLOOKUP(LEFT(UPPER(TRIM($E752)),6),BankTbl,2,0)="","(بدون عنوان)",VLOOKUP(LEFT(UPPER(TRIM($E752)),6),BankTbl,2,0)),"بانک ناشناخته"))</f>
        <v/>
      </c>
      <c r="G752" s="11" t="n"/>
      <c r="H752" s="10">
        <f>IF($G752="","",IFERROR(VLOOKUP($G752,CustTbl,2,0),IFERROR(VLOOKUP($G752,SuppTbl,2,0),IFERROR(VLOOKUP($G752,AcctTbl,2,0),IFERROR(VLOOKUP($G752,StaffTbl,2,0),"کد ناشناخته")))))</f>
        <v/>
      </c>
      <c r="I752" s="12" t="n"/>
      <c r="J752" s="12" t="n"/>
      <c r="K752" s="13" t="n"/>
      <c r="L752" s="13" t="n"/>
      <c r="M752" s="13" t="n"/>
      <c r="N752" s="14">
        <f>IF(OR($C752="",$E752="",Calc!$H752=""),"",IFERROR(VLOOKUP(LEFT(UPPER(TRIM($E752)),6),BankTbl,3,0),0)+SUMIFS(CalcDep,CalcBank,LEFT(UPPER(TRIM($E752)),6),CalcKey,"&lt;="&amp;Calc!$H752)-SUMIFS(CalcWit,CalcBank,LEFT(UPPER(TRIM($E752)),6),CalcKey,"&lt;="&amp;Calc!$H752))</f>
        <v/>
      </c>
      <c r="O752" s="10">
        <f>IF(OR($C752="",$M752=""),"",IF($N752="","؟",IF(ROUND($M752-$N752,0)=0,"√","×")))</f>
        <v/>
      </c>
      <c r="P752" s="12" t="n"/>
    </row>
    <row r="753">
      <c r="A753" s="10">
        <f>IF($C753="","",COUNTA($C$9:$C753))</f>
        <v/>
      </c>
      <c r="B753" s="10">
        <f>IF($C753="","","TXN-"&amp;RIGHT("0000"&amp;745,4))</f>
        <v/>
      </c>
      <c r="C753" s="11" t="n"/>
      <c r="D753" s="11" t="n"/>
      <c r="E753" s="12" t="n"/>
      <c r="F753" s="10">
        <f>IF($E753="","",IFERROR(IF(VLOOKUP(LEFT(UPPER(TRIM($E753)),6),BankTbl,2,0)="","(بدون عنوان)",VLOOKUP(LEFT(UPPER(TRIM($E753)),6),BankTbl,2,0)),"بانک ناشناخته"))</f>
        <v/>
      </c>
      <c r="G753" s="11" t="n"/>
      <c r="H753" s="10">
        <f>IF($G753="","",IFERROR(VLOOKUP($G753,CustTbl,2,0),IFERROR(VLOOKUP($G753,SuppTbl,2,0),IFERROR(VLOOKUP($G753,AcctTbl,2,0),IFERROR(VLOOKUP($G753,StaffTbl,2,0),"کد ناشناخته")))))</f>
        <v/>
      </c>
      <c r="I753" s="12" t="n"/>
      <c r="J753" s="12" t="n"/>
      <c r="K753" s="13" t="n"/>
      <c r="L753" s="13" t="n"/>
      <c r="M753" s="13" t="n"/>
      <c r="N753" s="14">
        <f>IF(OR($C753="",$E753="",Calc!$H753=""),"",IFERROR(VLOOKUP(LEFT(UPPER(TRIM($E753)),6),BankTbl,3,0),0)+SUMIFS(CalcDep,CalcBank,LEFT(UPPER(TRIM($E753)),6),CalcKey,"&lt;="&amp;Calc!$H753)-SUMIFS(CalcWit,CalcBank,LEFT(UPPER(TRIM($E753)),6),CalcKey,"&lt;="&amp;Calc!$H753))</f>
        <v/>
      </c>
      <c r="O753" s="10">
        <f>IF(OR($C753="",$M753=""),"",IF($N753="","؟",IF(ROUND($M753-$N753,0)=0,"√","×")))</f>
        <v/>
      </c>
      <c r="P753" s="12" t="n"/>
    </row>
    <row r="754">
      <c r="A754" s="10">
        <f>IF($C754="","",COUNTA($C$9:$C754))</f>
        <v/>
      </c>
      <c r="B754" s="10">
        <f>IF($C754="","","TXN-"&amp;RIGHT("0000"&amp;746,4))</f>
        <v/>
      </c>
      <c r="C754" s="11" t="n"/>
      <c r="D754" s="11" t="n"/>
      <c r="E754" s="12" t="n"/>
      <c r="F754" s="10">
        <f>IF($E754="","",IFERROR(IF(VLOOKUP(LEFT(UPPER(TRIM($E754)),6),BankTbl,2,0)="","(بدون عنوان)",VLOOKUP(LEFT(UPPER(TRIM($E754)),6),BankTbl,2,0)),"بانک ناشناخته"))</f>
        <v/>
      </c>
      <c r="G754" s="11" t="n"/>
      <c r="H754" s="10">
        <f>IF($G754="","",IFERROR(VLOOKUP($G754,CustTbl,2,0),IFERROR(VLOOKUP($G754,SuppTbl,2,0),IFERROR(VLOOKUP($G754,AcctTbl,2,0),IFERROR(VLOOKUP($G754,StaffTbl,2,0),"کد ناشناخته")))))</f>
        <v/>
      </c>
      <c r="I754" s="12" t="n"/>
      <c r="J754" s="12" t="n"/>
      <c r="K754" s="13" t="n"/>
      <c r="L754" s="13" t="n"/>
      <c r="M754" s="13" t="n"/>
      <c r="N754" s="14">
        <f>IF(OR($C754="",$E754="",Calc!$H754=""),"",IFERROR(VLOOKUP(LEFT(UPPER(TRIM($E754)),6),BankTbl,3,0),0)+SUMIFS(CalcDep,CalcBank,LEFT(UPPER(TRIM($E754)),6),CalcKey,"&lt;="&amp;Calc!$H754)-SUMIFS(CalcWit,CalcBank,LEFT(UPPER(TRIM($E754)),6),CalcKey,"&lt;="&amp;Calc!$H754))</f>
        <v/>
      </c>
      <c r="O754" s="10">
        <f>IF(OR($C754="",$M754=""),"",IF($N754="","؟",IF(ROUND($M754-$N754,0)=0,"√","×")))</f>
        <v/>
      </c>
      <c r="P754" s="12" t="n"/>
    </row>
    <row r="755">
      <c r="A755" s="10">
        <f>IF($C755="","",COUNTA($C$9:$C755))</f>
        <v/>
      </c>
      <c r="B755" s="10">
        <f>IF($C755="","","TXN-"&amp;RIGHT("0000"&amp;747,4))</f>
        <v/>
      </c>
      <c r="C755" s="11" t="n"/>
      <c r="D755" s="11" t="n"/>
      <c r="E755" s="12" t="n"/>
      <c r="F755" s="10">
        <f>IF($E755="","",IFERROR(IF(VLOOKUP(LEFT(UPPER(TRIM($E755)),6),BankTbl,2,0)="","(بدون عنوان)",VLOOKUP(LEFT(UPPER(TRIM($E755)),6),BankTbl,2,0)),"بانک ناشناخته"))</f>
        <v/>
      </c>
      <c r="G755" s="11" t="n"/>
      <c r="H755" s="10">
        <f>IF($G755="","",IFERROR(VLOOKUP($G755,CustTbl,2,0),IFERROR(VLOOKUP($G755,SuppTbl,2,0),IFERROR(VLOOKUP($G755,AcctTbl,2,0),IFERROR(VLOOKUP($G755,StaffTbl,2,0),"کد ناشناخته")))))</f>
        <v/>
      </c>
      <c r="I755" s="12" t="n"/>
      <c r="J755" s="12" t="n"/>
      <c r="K755" s="13" t="n"/>
      <c r="L755" s="13" t="n"/>
      <c r="M755" s="13" t="n"/>
      <c r="N755" s="14">
        <f>IF(OR($C755="",$E755="",Calc!$H755=""),"",IFERROR(VLOOKUP(LEFT(UPPER(TRIM($E755)),6),BankTbl,3,0),0)+SUMIFS(CalcDep,CalcBank,LEFT(UPPER(TRIM($E755)),6),CalcKey,"&lt;="&amp;Calc!$H755)-SUMIFS(CalcWit,CalcBank,LEFT(UPPER(TRIM($E755)),6),CalcKey,"&lt;="&amp;Calc!$H755))</f>
        <v/>
      </c>
      <c r="O755" s="10">
        <f>IF(OR($C755="",$M755=""),"",IF($N755="","؟",IF(ROUND($M755-$N755,0)=0,"√","×")))</f>
        <v/>
      </c>
      <c r="P755" s="12" t="n"/>
    </row>
    <row r="756">
      <c r="A756" s="10">
        <f>IF($C756="","",COUNTA($C$9:$C756))</f>
        <v/>
      </c>
      <c r="B756" s="10">
        <f>IF($C756="","","TXN-"&amp;RIGHT("0000"&amp;748,4))</f>
        <v/>
      </c>
      <c r="C756" s="11" t="n"/>
      <c r="D756" s="11" t="n"/>
      <c r="E756" s="12" t="n"/>
      <c r="F756" s="10">
        <f>IF($E756="","",IFERROR(IF(VLOOKUP(LEFT(UPPER(TRIM($E756)),6),BankTbl,2,0)="","(بدون عنوان)",VLOOKUP(LEFT(UPPER(TRIM($E756)),6),BankTbl,2,0)),"بانک ناشناخته"))</f>
        <v/>
      </c>
      <c r="G756" s="11" t="n"/>
      <c r="H756" s="10">
        <f>IF($G756="","",IFERROR(VLOOKUP($G756,CustTbl,2,0),IFERROR(VLOOKUP($G756,SuppTbl,2,0),IFERROR(VLOOKUP($G756,AcctTbl,2,0),IFERROR(VLOOKUP($G756,StaffTbl,2,0),"کد ناشناخته")))))</f>
        <v/>
      </c>
      <c r="I756" s="12" t="n"/>
      <c r="J756" s="12" t="n"/>
      <c r="K756" s="13" t="n"/>
      <c r="L756" s="13" t="n"/>
      <c r="M756" s="13" t="n"/>
      <c r="N756" s="14">
        <f>IF(OR($C756="",$E756="",Calc!$H756=""),"",IFERROR(VLOOKUP(LEFT(UPPER(TRIM($E756)),6),BankTbl,3,0),0)+SUMIFS(CalcDep,CalcBank,LEFT(UPPER(TRIM($E756)),6),CalcKey,"&lt;="&amp;Calc!$H756)-SUMIFS(CalcWit,CalcBank,LEFT(UPPER(TRIM($E756)),6),CalcKey,"&lt;="&amp;Calc!$H756))</f>
        <v/>
      </c>
      <c r="O756" s="10">
        <f>IF(OR($C756="",$M756=""),"",IF($N756="","؟",IF(ROUND($M756-$N756,0)=0,"√","×")))</f>
        <v/>
      </c>
      <c r="P756" s="12" t="n"/>
    </row>
    <row r="757">
      <c r="A757" s="10">
        <f>IF($C757="","",COUNTA($C$9:$C757))</f>
        <v/>
      </c>
      <c r="B757" s="10">
        <f>IF($C757="","","TXN-"&amp;RIGHT("0000"&amp;749,4))</f>
        <v/>
      </c>
      <c r="C757" s="11" t="n"/>
      <c r="D757" s="11" t="n"/>
      <c r="E757" s="12" t="n"/>
      <c r="F757" s="10">
        <f>IF($E757="","",IFERROR(IF(VLOOKUP(LEFT(UPPER(TRIM($E757)),6),BankTbl,2,0)="","(بدون عنوان)",VLOOKUP(LEFT(UPPER(TRIM($E757)),6),BankTbl,2,0)),"بانک ناشناخته"))</f>
        <v/>
      </c>
      <c r="G757" s="11" t="n"/>
      <c r="H757" s="10">
        <f>IF($G757="","",IFERROR(VLOOKUP($G757,CustTbl,2,0),IFERROR(VLOOKUP($G757,SuppTbl,2,0),IFERROR(VLOOKUP($G757,AcctTbl,2,0),IFERROR(VLOOKUP($G757,StaffTbl,2,0),"کد ناشناخته")))))</f>
        <v/>
      </c>
      <c r="I757" s="12" t="n"/>
      <c r="J757" s="12" t="n"/>
      <c r="K757" s="13" t="n"/>
      <c r="L757" s="13" t="n"/>
      <c r="M757" s="13" t="n"/>
      <c r="N757" s="14">
        <f>IF(OR($C757="",$E757="",Calc!$H757=""),"",IFERROR(VLOOKUP(LEFT(UPPER(TRIM($E757)),6),BankTbl,3,0),0)+SUMIFS(CalcDep,CalcBank,LEFT(UPPER(TRIM($E757)),6),CalcKey,"&lt;="&amp;Calc!$H757)-SUMIFS(CalcWit,CalcBank,LEFT(UPPER(TRIM($E757)),6),CalcKey,"&lt;="&amp;Calc!$H757))</f>
        <v/>
      </c>
      <c r="O757" s="10">
        <f>IF(OR($C757="",$M757=""),"",IF($N757="","؟",IF(ROUND($M757-$N757,0)=0,"√","×")))</f>
        <v/>
      </c>
      <c r="P757" s="12" t="n"/>
    </row>
    <row r="758">
      <c r="A758" s="10">
        <f>IF($C758="","",COUNTA($C$9:$C758))</f>
        <v/>
      </c>
      <c r="B758" s="10">
        <f>IF($C758="","","TXN-"&amp;RIGHT("0000"&amp;750,4))</f>
        <v/>
      </c>
      <c r="C758" s="11" t="n"/>
      <c r="D758" s="11" t="n"/>
      <c r="E758" s="12" t="n"/>
      <c r="F758" s="10">
        <f>IF($E758="","",IFERROR(IF(VLOOKUP(LEFT(UPPER(TRIM($E758)),6),BankTbl,2,0)="","(بدون عنوان)",VLOOKUP(LEFT(UPPER(TRIM($E758)),6),BankTbl,2,0)),"بانک ناشناخته"))</f>
        <v/>
      </c>
      <c r="G758" s="11" t="n"/>
      <c r="H758" s="10">
        <f>IF($G758="","",IFERROR(VLOOKUP($G758,CustTbl,2,0),IFERROR(VLOOKUP($G758,SuppTbl,2,0),IFERROR(VLOOKUP($G758,AcctTbl,2,0),IFERROR(VLOOKUP($G758,StaffTbl,2,0),"کد ناشناخته")))))</f>
        <v/>
      </c>
      <c r="I758" s="12" t="n"/>
      <c r="J758" s="12" t="n"/>
      <c r="K758" s="13" t="n"/>
      <c r="L758" s="13" t="n"/>
      <c r="M758" s="13" t="n"/>
      <c r="N758" s="14">
        <f>IF(OR($C758="",$E758="",Calc!$H758=""),"",IFERROR(VLOOKUP(LEFT(UPPER(TRIM($E758)),6),BankTbl,3,0),0)+SUMIFS(CalcDep,CalcBank,LEFT(UPPER(TRIM($E758)),6),CalcKey,"&lt;="&amp;Calc!$H758)-SUMIFS(CalcWit,CalcBank,LEFT(UPPER(TRIM($E758)),6),CalcKey,"&lt;="&amp;Calc!$H758))</f>
        <v/>
      </c>
      <c r="O758" s="10">
        <f>IF(OR($C758="",$M758=""),"",IF($N758="","؟",IF(ROUND($M758-$N758,0)=0,"√","×")))</f>
        <v/>
      </c>
      <c r="P758" s="12" t="n"/>
    </row>
    <row r="759">
      <c r="A759" s="10">
        <f>IF($C759="","",COUNTA($C$9:$C759))</f>
        <v/>
      </c>
      <c r="B759" s="10">
        <f>IF($C759="","","TXN-"&amp;RIGHT("0000"&amp;751,4))</f>
        <v/>
      </c>
      <c r="C759" s="11" t="n"/>
      <c r="D759" s="11" t="n"/>
      <c r="E759" s="12" t="n"/>
      <c r="F759" s="10">
        <f>IF($E759="","",IFERROR(IF(VLOOKUP(LEFT(UPPER(TRIM($E759)),6),BankTbl,2,0)="","(بدون عنوان)",VLOOKUP(LEFT(UPPER(TRIM($E759)),6),BankTbl,2,0)),"بانک ناشناخته"))</f>
        <v/>
      </c>
      <c r="G759" s="11" t="n"/>
      <c r="H759" s="10">
        <f>IF($G759="","",IFERROR(VLOOKUP($G759,CustTbl,2,0),IFERROR(VLOOKUP($G759,SuppTbl,2,0),IFERROR(VLOOKUP($G759,AcctTbl,2,0),IFERROR(VLOOKUP($G759,StaffTbl,2,0),"کد ناشناخته")))))</f>
        <v/>
      </c>
      <c r="I759" s="12" t="n"/>
      <c r="J759" s="12" t="n"/>
      <c r="K759" s="13" t="n"/>
      <c r="L759" s="13" t="n"/>
      <c r="M759" s="13" t="n"/>
      <c r="N759" s="14">
        <f>IF(OR($C759="",$E759="",Calc!$H759=""),"",IFERROR(VLOOKUP(LEFT(UPPER(TRIM($E759)),6),BankTbl,3,0),0)+SUMIFS(CalcDep,CalcBank,LEFT(UPPER(TRIM($E759)),6),CalcKey,"&lt;="&amp;Calc!$H759)-SUMIFS(CalcWit,CalcBank,LEFT(UPPER(TRIM($E759)),6),CalcKey,"&lt;="&amp;Calc!$H759))</f>
        <v/>
      </c>
      <c r="O759" s="10">
        <f>IF(OR($C759="",$M759=""),"",IF($N759="","؟",IF(ROUND($M759-$N759,0)=0,"√","×")))</f>
        <v/>
      </c>
      <c r="P759" s="12" t="n"/>
    </row>
    <row r="760">
      <c r="A760" s="10">
        <f>IF($C760="","",COUNTA($C$9:$C760))</f>
        <v/>
      </c>
      <c r="B760" s="10">
        <f>IF($C760="","","TXN-"&amp;RIGHT("0000"&amp;752,4))</f>
        <v/>
      </c>
      <c r="C760" s="11" t="n"/>
      <c r="D760" s="11" t="n"/>
      <c r="E760" s="12" t="n"/>
      <c r="F760" s="10">
        <f>IF($E760="","",IFERROR(IF(VLOOKUP(LEFT(UPPER(TRIM($E760)),6),BankTbl,2,0)="","(بدون عنوان)",VLOOKUP(LEFT(UPPER(TRIM($E760)),6),BankTbl,2,0)),"بانک ناشناخته"))</f>
        <v/>
      </c>
      <c r="G760" s="11" t="n"/>
      <c r="H760" s="10">
        <f>IF($G760="","",IFERROR(VLOOKUP($G760,CustTbl,2,0),IFERROR(VLOOKUP($G760,SuppTbl,2,0),IFERROR(VLOOKUP($G760,AcctTbl,2,0),IFERROR(VLOOKUP($G760,StaffTbl,2,0),"کد ناشناخته")))))</f>
        <v/>
      </c>
      <c r="I760" s="12" t="n"/>
      <c r="J760" s="12" t="n"/>
      <c r="K760" s="13" t="n"/>
      <c r="L760" s="13" t="n"/>
      <c r="M760" s="13" t="n"/>
      <c r="N760" s="14">
        <f>IF(OR($C760="",$E760="",Calc!$H760=""),"",IFERROR(VLOOKUP(LEFT(UPPER(TRIM($E760)),6),BankTbl,3,0),0)+SUMIFS(CalcDep,CalcBank,LEFT(UPPER(TRIM($E760)),6),CalcKey,"&lt;="&amp;Calc!$H760)-SUMIFS(CalcWit,CalcBank,LEFT(UPPER(TRIM($E760)),6),CalcKey,"&lt;="&amp;Calc!$H760))</f>
        <v/>
      </c>
      <c r="O760" s="10">
        <f>IF(OR($C760="",$M760=""),"",IF($N760="","؟",IF(ROUND($M760-$N760,0)=0,"√","×")))</f>
        <v/>
      </c>
      <c r="P760" s="12" t="n"/>
    </row>
    <row r="761">
      <c r="A761" s="10">
        <f>IF($C761="","",COUNTA($C$9:$C761))</f>
        <v/>
      </c>
      <c r="B761" s="10">
        <f>IF($C761="","","TXN-"&amp;RIGHT("0000"&amp;753,4))</f>
        <v/>
      </c>
      <c r="C761" s="11" t="n"/>
      <c r="D761" s="11" t="n"/>
      <c r="E761" s="12" t="n"/>
      <c r="F761" s="10">
        <f>IF($E761="","",IFERROR(IF(VLOOKUP(LEFT(UPPER(TRIM($E761)),6),BankTbl,2,0)="","(بدون عنوان)",VLOOKUP(LEFT(UPPER(TRIM($E761)),6),BankTbl,2,0)),"بانک ناشناخته"))</f>
        <v/>
      </c>
      <c r="G761" s="11" t="n"/>
      <c r="H761" s="10">
        <f>IF($G761="","",IFERROR(VLOOKUP($G761,CustTbl,2,0),IFERROR(VLOOKUP($G761,SuppTbl,2,0),IFERROR(VLOOKUP($G761,AcctTbl,2,0),IFERROR(VLOOKUP($G761,StaffTbl,2,0),"کد ناشناخته")))))</f>
        <v/>
      </c>
      <c r="I761" s="12" t="n"/>
      <c r="J761" s="12" t="n"/>
      <c r="K761" s="13" t="n"/>
      <c r="L761" s="13" t="n"/>
      <c r="M761" s="13" t="n"/>
      <c r="N761" s="14">
        <f>IF(OR($C761="",$E761="",Calc!$H761=""),"",IFERROR(VLOOKUP(LEFT(UPPER(TRIM($E761)),6),BankTbl,3,0),0)+SUMIFS(CalcDep,CalcBank,LEFT(UPPER(TRIM($E761)),6),CalcKey,"&lt;="&amp;Calc!$H761)-SUMIFS(CalcWit,CalcBank,LEFT(UPPER(TRIM($E761)),6),CalcKey,"&lt;="&amp;Calc!$H761))</f>
        <v/>
      </c>
      <c r="O761" s="10">
        <f>IF(OR($C761="",$M761=""),"",IF($N761="","؟",IF(ROUND($M761-$N761,0)=0,"√","×")))</f>
        <v/>
      </c>
      <c r="P761" s="12" t="n"/>
    </row>
    <row r="762">
      <c r="A762" s="10">
        <f>IF($C762="","",COUNTA($C$9:$C762))</f>
        <v/>
      </c>
      <c r="B762" s="10">
        <f>IF($C762="","","TXN-"&amp;RIGHT("0000"&amp;754,4))</f>
        <v/>
      </c>
      <c r="C762" s="11" t="n"/>
      <c r="D762" s="11" t="n"/>
      <c r="E762" s="12" t="n"/>
      <c r="F762" s="10">
        <f>IF($E762="","",IFERROR(IF(VLOOKUP(LEFT(UPPER(TRIM($E762)),6),BankTbl,2,0)="","(بدون عنوان)",VLOOKUP(LEFT(UPPER(TRIM($E762)),6),BankTbl,2,0)),"بانک ناشناخته"))</f>
        <v/>
      </c>
      <c r="G762" s="11" t="n"/>
      <c r="H762" s="10">
        <f>IF($G762="","",IFERROR(VLOOKUP($G762,CustTbl,2,0),IFERROR(VLOOKUP($G762,SuppTbl,2,0),IFERROR(VLOOKUP($G762,AcctTbl,2,0),IFERROR(VLOOKUP($G762,StaffTbl,2,0),"کد ناشناخته")))))</f>
        <v/>
      </c>
      <c r="I762" s="12" t="n"/>
      <c r="J762" s="12" t="n"/>
      <c r="K762" s="13" t="n"/>
      <c r="L762" s="13" t="n"/>
      <c r="M762" s="13" t="n"/>
      <c r="N762" s="14">
        <f>IF(OR($C762="",$E762="",Calc!$H762=""),"",IFERROR(VLOOKUP(LEFT(UPPER(TRIM($E762)),6),BankTbl,3,0),0)+SUMIFS(CalcDep,CalcBank,LEFT(UPPER(TRIM($E762)),6),CalcKey,"&lt;="&amp;Calc!$H762)-SUMIFS(CalcWit,CalcBank,LEFT(UPPER(TRIM($E762)),6),CalcKey,"&lt;="&amp;Calc!$H762))</f>
        <v/>
      </c>
      <c r="O762" s="10">
        <f>IF(OR($C762="",$M762=""),"",IF($N762="","؟",IF(ROUND($M762-$N762,0)=0,"√","×")))</f>
        <v/>
      </c>
      <c r="P762" s="12" t="n"/>
    </row>
    <row r="763">
      <c r="A763" s="10">
        <f>IF($C763="","",COUNTA($C$9:$C763))</f>
        <v/>
      </c>
      <c r="B763" s="10">
        <f>IF($C763="","","TXN-"&amp;RIGHT("0000"&amp;755,4))</f>
        <v/>
      </c>
      <c r="C763" s="11" t="n"/>
      <c r="D763" s="11" t="n"/>
      <c r="E763" s="12" t="n"/>
      <c r="F763" s="10">
        <f>IF($E763="","",IFERROR(IF(VLOOKUP(LEFT(UPPER(TRIM($E763)),6),BankTbl,2,0)="","(بدون عنوان)",VLOOKUP(LEFT(UPPER(TRIM($E763)),6),BankTbl,2,0)),"بانک ناشناخته"))</f>
        <v/>
      </c>
      <c r="G763" s="11" t="n"/>
      <c r="H763" s="10">
        <f>IF($G763="","",IFERROR(VLOOKUP($G763,CustTbl,2,0),IFERROR(VLOOKUP($G763,SuppTbl,2,0),IFERROR(VLOOKUP($G763,AcctTbl,2,0),IFERROR(VLOOKUP($G763,StaffTbl,2,0),"کد ناشناخته")))))</f>
        <v/>
      </c>
      <c r="I763" s="12" t="n"/>
      <c r="J763" s="12" t="n"/>
      <c r="K763" s="13" t="n"/>
      <c r="L763" s="13" t="n"/>
      <c r="M763" s="13" t="n"/>
      <c r="N763" s="14">
        <f>IF(OR($C763="",$E763="",Calc!$H763=""),"",IFERROR(VLOOKUP(LEFT(UPPER(TRIM($E763)),6),BankTbl,3,0),0)+SUMIFS(CalcDep,CalcBank,LEFT(UPPER(TRIM($E763)),6),CalcKey,"&lt;="&amp;Calc!$H763)-SUMIFS(CalcWit,CalcBank,LEFT(UPPER(TRIM($E763)),6),CalcKey,"&lt;="&amp;Calc!$H763))</f>
        <v/>
      </c>
      <c r="O763" s="10">
        <f>IF(OR($C763="",$M763=""),"",IF($N763="","؟",IF(ROUND($M763-$N763,0)=0,"√","×")))</f>
        <v/>
      </c>
      <c r="P763" s="12" t="n"/>
    </row>
    <row r="764">
      <c r="A764" s="10">
        <f>IF($C764="","",COUNTA($C$9:$C764))</f>
        <v/>
      </c>
      <c r="B764" s="10">
        <f>IF($C764="","","TXN-"&amp;RIGHT("0000"&amp;756,4))</f>
        <v/>
      </c>
      <c r="C764" s="11" t="n"/>
      <c r="D764" s="11" t="n"/>
      <c r="E764" s="12" t="n"/>
      <c r="F764" s="10">
        <f>IF($E764="","",IFERROR(IF(VLOOKUP(LEFT(UPPER(TRIM($E764)),6),BankTbl,2,0)="","(بدون عنوان)",VLOOKUP(LEFT(UPPER(TRIM($E764)),6),BankTbl,2,0)),"بانک ناشناخته"))</f>
        <v/>
      </c>
      <c r="G764" s="11" t="n"/>
      <c r="H764" s="10">
        <f>IF($G764="","",IFERROR(VLOOKUP($G764,CustTbl,2,0),IFERROR(VLOOKUP($G764,SuppTbl,2,0),IFERROR(VLOOKUP($G764,AcctTbl,2,0),IFERROR(VLOOKUP($G764,StaffTbl,2,0),"کد ناشناخته")))))</f>
        <v/>
      </c>
      <c r="I764" s="12" t="n"/>
      <c r="J764" s="12" t="n"/>
      <c r="K764" s="13" t="n"/>
      <c r="L764" s="13" t="n"/>
      <c r="M764" s="13" t="n"/>
      <c r="N764" s="14">
        <f>IF(OR($C764="",$E764="",Calc!$H764=""),"",IFERROR(VLOOKUP(LEFT(UPPER(TRIM($E764)),6),BankTbl,3,0),0)+SUMIFS(CalcDep,CalcBank,LEFT(UPPER(TRIM($E764)),6),CalcKey,"&lt;="&amp;Calc!$H764)-SUMIFS(CalcWit,CalcBank,LEFT(UPPER(TRIM($E764)),6),CalcKey,"&lt;="&amp;Calc!$H764))</f>
        <v/>
      </c>
      <c r="O764" s="10">
        <f>IF(OR($C764="",$M764=""),"",IF($N764="","؟",IF(ROUND($M764-$N764,0)=0,"√","×")))</f>
        <v/>
      </c>
      <c r="P764" s="12" t="n"/>
    </row>
    <row r="765">
      <c r="A765" s="10">
        <f>IF($C765="","",COUNTA($C$9:$C765))</f>
        <v/>
      </c>
      <c r="B765" s="10">
        <f>IF($C765="","","TXN-"&amp;RIGHT("0000"&amp;757,4))</f>
        <v/>
      </c>
      <c r="C765" s="11" t="n"/>
      <c r="D765" s="11" t="n"/>
      <c r="E765" s="12" t="n"/>
      <c r="F765" s="10">
        <f>IF($E765="","",IFERROR(IF(VLOOKUP(LEFT(UPPER(TRIM($E765)),6),BankTbl,2,0)="","(بدون عنوان)",VLOOKUP(LEFT(UPPER(TRIM($E765)),6),BankTbl,2,0)),"بانک ناشناخته"))</f>
        <v/>
      </c>
      <c r="G765" s="11" t="n"/>
      <c r="H765" s="10">
        <f>IF($G765="","",IFERROR(VLOOKUP($G765,CustTbl,2,0),IFERROR(VLOOKUP($G765,SuppTbl,2,0),IFERROR(VLOOKUP($G765,AcctTbl,2,0),IFERROR(VLOOKUP($G765,StaffTbl,2,0),"کد ناشناخته")))))</f>
        <v/>
      </c>
      <c r="I765" s="12" t="n"/>
      <c r="J765" s="12" t="n"/>
      <c r="K765" s="13" t="n"/>
      <c r="L765" s="13" t="n"/>
      <c r="M765" s="13" t="n"/>
      <c r="N765" s="14">
        <f>IF(OR($C765="",$E765="",Calc!$H765=""),"",IFERROR(VLOOKUP(LEFT(UPPER(TRIM($E765)),6),BankTbl,3,0),0)+SUMIFS(CalcDep,CalcBank,LEFT(UPPER(TRIM($E765)),6),CalcKey,"&lt;="&amp;Calc!$H765)-SUMIFS(CalcWit,CalcBank,LEFT(UPPER(TRIM($E765)),6),CalcKey,"&lt;="&amp;Calc!$H765))</f>
        <v/>
      </c>
      <c r="O765" s="10">
        <f>IF(OR($C765="",$M765=""),"",IF($N765="","؟",IF(ROUND($M765-$N765,0)=0,"√","×")))</f>
        <v/>
      </c>
      <c r="P765" s="12" t="n"/>
    </row>
    <row r="766">
      <c r="A766" s="10">
        <f>IF($C766="","",COUNTA($C$9:$C766))</f>
        <v/>
      </c>
      <c r="B766" s="10">
        <f>IF($C766="","","TXN-"&amp;RIGHT("0000"&amp;758,4))</f>
        <v/>
      </c>
      <c r="C766" s="11" t="n"/>
      <c r="D766" s="11" t="n"/>
      <c r="E766" s="12" t="n"/>
      <c r="F766" s="10">
        <f>IF($E766="","",IFERROR(IF(VLOOKUP(LEFT(UPPER(TRIM($E766)),6),BankTbl,2,0)="","(بدون عنوان)",VLOOKUP(LEFT(UPPER(TRIM($E766)),6),BankTbl,2,0)),"بانک ناشناخته"))</f>
        <v/>
      </c>
      <c r="G766" s="11" t="n"/>
      <c r="H766" s="10">
        <f>IF($G766="","",IFERROR(VLOOKUP($G766,CustTbl,2,0),IFERROR(VLOOKUP($G766,SuppTbl,2,0),IFERROR(VLOOKUP($G766,AcctTbl,2,0),IFERROR(VLOOKUP($G766,StaffTbl,2,0),"کد ناشناخته")))))</f>
        <v/>
      </c>
      <c r="I766" s="12" t="n"/>
      <c r="J766" s="12" t="n"/>
      <c r="K766" s="13" t="n"/>
      <c r="L766" s="13" t="n"/>
      <c r="M766" s="13" t="n"/>
      <c r="N766" s="14">
        <f>IF(OR($C766="",$E766="",Calc!$H766=""),"",IFERROR(VLOOKUP(LEFT(UPPER(TRIM($E766)),6),BankTbl,3,0),0)+SUMIFS(CalcDep,CalcBank,LEFT(UPPER(TRIM($E766)),6),CalcKey,"&lt;="&amp;Calc!$H766)-SUMIFS(CalcWit,CalcBank,LEFT(UPPER(TRIM($E766)),6),CalcKey,"&lt;="&amp;Calc!$H766))</f>
        <v/>
      </c>
      <c r="O766" s="10">
        <f>IF(OR($C766="",$M766=""),"",IF($N766="","؟",IF(ROUND($M766-$N766,0)=0,"√","×")))</f>
        <v/>
      </c>
      <c r="P766" s="12" t="n"/>
    </row>
    <row r="767">
      <c r="A767" s="10">
        <f>IF($C767="","",COUNTA($C$9:$C767))</f>
        <v/>
      </c>
      <c r="B767" s="10">
        <f>IF($C767="","","TXN-"&amp;RIGHT("0000"&amp;759,4))</f>
        <v/>
      </c>
      <c r="C767" s="11" t="n"/>
      <c r="D767" s="11" t="n"/>
      <c r="E767" s="12" t="n"/>
      <c r="F767" s="10">
        <f>IF($E767="","",IFERROR(IF(VLOOKUP(LEFT(UPPER(TRIM($E767)),6),BankTbl,2,0)="","(بدون عنوان)",VLOOKUP(LEFT(UPPER(TRIM($E767)),6),BankTbl,2,0)),"بانک ناشناخته"))</f>
        <v/>
      </c>
      <c r="G767" s="11" t="n"/>
      <c r="H767" s="10">
        <f>IF($G767="","",IFERROR(VLOOKUP($G767,CustTbl,2,0),IFERROR(VLOOKUP($G767,SuppTbl,2,0),IFERROR(VLOOKUP($G767,AcctTbl,2,0),IFERROR(VLOOKUP($G767,StaffTbl,2,0),"کد ناشناخته")))))</f>
        <v/>
      </c>
      <c r="I767" s="12" t="n"/>
      <c r="J767" s="12" t="n"/>
      <c r="K767" s="13" t="n"/>
      <c r="L767" s="13" t="n"/>
      <c r="M767" s="13" t="n"/>
      <c r="N767" s="14">
        <f>IF(OR($C767="",$E767="",Calc!$H767=""),"",IFERROR(VLOOKUP(LEFT(UPPER(TRIM($E767)),6),BankTbl,3,0),0)+SUMIFS(CalcDep,CalcBank,LEFT(UPPER(TRIM($E767)),6),CalcKey,"&lt;="&amp;Calc!$H767)-SUMIFS(CalcWit,CalcBank,LEFT(UPPER(TRIM($E767)),6),CalcKey,"&lt;="&amp;Calc!$H767))</f>
        <v/>
      </c>
      <c r="O767" s="10">
        <f>IF(OR($C767="",$M767=""),"",IF($N767="","؟",IF(ROUND($M767-$N767,0)=0,"√","×")))</f>
        <v/>
      </c>
      <c r="P767" s="12" t="n"/>
    </row>
    <row r="768">
      <c r="A768" s="10">
        <f>IF($C768="","",COUNTA($C$9:$C768))</f>
        <v/>
      </c>
      <c r="B768" s="10">
        <f>IF($C768="","","TXN-"&amp;RIGHT("0000"&amp;760,4))</f>
        <v/>
      </c>
      <c r="C768" s="11" t="n"/>
      <c r="D768" s="11" t="n"/>
      <c r="E768" s="12" t="n"/>
      <c r="F768" s="10">
        <f>IF($E768="","",IFERROR(IF(VLOOKUP(LEFT(UPPER(TRIM($E768)),6),BankTbl,2,0)="","(بدون عنوان)",VLOOKUP(LEFT(UPPER(TRIM($E768)),6),BankTbl,2,0)),"بانک ناشناخته"))</f>
        <v/>
      </c>
      <c r="G768" s="11" t="n"/>
      <c r="H768" s="10">
        <f>IF($G768="","",IFERROR(VLOOKUP($G768,CustTbl,2,0),IFERROR(VLOOKUP($G768,SuppTbl,2,0),IFERROR(VLOOKUP($G768,AcctTbl,2,0),IFERROR(VLOOKUP($G768,StaffTbl,2,0),"کد ناشناخته")))))</f>
        <v/>
      </c>
      <c r="I768" s="12" t="n"/>
      <c r="J768" s="12" t="n"/>
      <c r="K768" s="13" t="n"/>
      <c r="L768" s="13" t="n"/>
      <c r="M768" s="13" t="n"/>
      <c r="N768" s="14">
        <f>IF(OR($C768="",$E768="",Calc!$H768=""),"",IFERROR(VLOOKUP(LEFT(UPPER(TRIM($E768)),6),BankTbl,3,0),0)+SUMIFS(CalcDep,CalcBank,LEFT(UPPER(TRIM($E768)),6),CalcKey,"&lt;="&amp;Calc!$H768)-SUMIFS(CalcWit,CalcBank,LEFT(UPPER(TRIM($E768)),6),CalcKey,"&lt;="&amp;Calc!$H768))</f>
        <v/>
      </c>
      <c r="O768" s="10">
        <f>IF(OR($C768="",$M768=""),"",IF($N768="","؟",IF(ROUND($M768-$N768,0)=0,"√","×")))</f>
        <v/>
      </c>
      <c r="P768" s="12" t="n"/>
    </row>
    <row r="769">
      <c r="A769" s="10">
        <f>IF($C769="","",COUNTA($C$9:$C769))</f>
        <v/>
      </c>
      <c r="B769" s="10">
        <f>IF($C769="","","TXN-"&amp;RIGHT("0000"&amp;761,4))</f>
        <v/>
      </c>
      <c r="C769" s="11" t="n"/>
      <c r="D769" s="11" t="n"/>
      <c r="E769" s="12" t="n"/>
      <c r="F769" s="10">
        <f>IF($E769="","",IFERROR(IF(VLOOKUP(LEFT(UPPER(TRIM($E769)),6),BankTbl,2,0)="","(بدون عنوان)",VLOOKUP(LEFT(UPPER(TRIM($E769)),6),BankTbl,2,0)),"بانک ناشناخته"))</f>
        <v/>
      </c>
      <c r="G769" s="11" t="n"/>
      <c r="H769" s="10">
        <f>IF($G769="","",IFERROR(VLOOKUP($G769,CustTbl,2,0),IFERROR(VLOOKUP($G769,SuppTbl,2,0),IFERROR(VLOOKUP($G769,AcctTbl,2,0),IFERROR(VLOOKUP($G769,StaffTbl,2,0),"کد ناشناخته")))))</f>
        <v/>
      </c>
      <c r="I769" s="12" t="n"/>
      <c r="J769" s="12" t="n"/>
      <c r="K769" s="13" t="n"/>
      <c r="L769" s="13" t="n"/>
      <c r="M769" s="13" t="n"/>
      <c r="N769" s="14">
        <f>IF(OR($C769="",$E769="",Calc!$H769=""),"",IFERROR(VLOOKUP(LEFT(UPPER(TRIM($E769)),6),BankTbl,3,0),0)+SUMIFS(CalcDep,CalcBank,LEFT(UPPER(TRIM($E769)),6),CalcKey,"&lt;="&amp;Calc!$H769)-SUMIFS(CalcWit,CalcBank,LEFT(UPPER(TRIM($E769)),6),CalcKey,"&lt;="&amp;Calc!$H769))</f>
        <v/>
      </c>
      <c r="O769" s="10">
        <f>IF(OR($C769="",$M769=""),"",IF($N769="","؟",IF(ROUND($M769-$N769,0)=0,"√","×")))</f>
        <v/>
      </c>
      <c r="P769" s="12" t="n"/>
    </row>
    <row r="770">
      <c r="A770" s="10">
        <f>IF($C770="","",COUNTA($C$9:$C770))</f>
        <v/>
      </c>
      <c r="B770" s="10">
        <f>IF($C770="","","TXN-"&amp;RIGHT("0000"&amp;762,4))</f>
        <v/>
      </c>
      <c r="C770" s="11" t="n"/>
      <c r="D770" s="11" t="n"/>
      <c r="E770" s="12" t="n"/>
      <c r="F770" s="10">
        <f>IF($E770="","",IFERROR(IF(VLOOKUP(LEFT(UPPER(TRIM($E770)),6),BankTbl,2,0)="","(بدون عنوان)",VLOOKUP(LEFT(UPPER(TRIM($E770)),6),BankTbl,2,0)),"بانک ناشناخته"))</f>
        <v/>
      </c>
      <c r="G770" s="11" t="n"/>
      <c r="H770" s="10">
        <f>IF($G770="","",IFERROR(VLOOKUP($G770,CustTbl,2,0),IFERROR(VLOOKUP($G770,SuppTbl,2,0),IFERROR(VLOOKUP($G770,AcctTbl,2,0),IFERROR(VLOOKUP($G770,StaffTbl,2,0),"کد ناشناخته")))))</f>
        <v/>
      </c>
      <c r="I770" s="12" t="n"/>
      <c r="J770" s="12" t="n"/>
      <c r="K770" s="13" t="n"/>
      <c r="L770" s="13" t="n"/>
      <c r="M770" s="13" t="n"/>
      <c r="N770" s="14">
        <f>IF(OR($C770="",$E770="",Calc!$H770=""),"",IFERROR(VLOOKUP(LEFT(UPPER(TRIM($E770)),6),BankTbl,3,0),0)+SUMIFS(CalcDep,CalcBank,LEFT(UPPER(TRIM($E770)),6),CalcKey,"&lt;="&amp;Calc!$H770)-SUMIFS(CalcWit,CalcBank,LEFT(UPPER(TRIM($E770)),6),CalcKey,"&lt;="&amp;Calc!$H770))</f>
        <v/>
      </c>
      <c r="O770" s="10">
        <f>IF(OR($C770="",$M770=""),"",IF($N770="","؟",IF(ROUND($M770-$N770,0)=0,"√","×")))</f>
        <v/>
      </c>
      <c r="P770" s="12" t="n"/>
    </row>
    <row r="771">
      <c r="A771" s="10">
        <f>IF($C771="","",COUNTA($C$9:$C771))</f>
        <v/>
      </c>
      <c r="B771" s="10">
        <f>IF($C771="","","TXN-"&amp;RIGHT("0000"&amp;763,4))</f>
        <v/>
      </c>
      <c r="C771" s="11" t="n"/>
      <c r="D771" s="11" t="n"/>
      <c r="E771" s="12" t="n"/>
      <c r="F771" s="10">
        <f>IF($E771="","",IFERROR(IF(VLOOKUP(LEFT(UPPER(TRIM($E771)),6),BankTbl,2,0)="","(بدون عنوان)",VLOOKUP(LEFT(UPPER(TRIM($E771)),6),BankTbl,2,0)),"بانک ناشناخته"))</f>
        <v/>
      </c>
      <c r="G771" s="11" t="n"/>
      <c r="H771" s="10">
        <f>IF($G771="","",IFERROR(VLOOKUP($G771,CustTbl,2,0),IFERROR(VLOOKUP($G771,SuppTbl,2,0),IFERROR(VLOOKUP($G771,AcctTbl,2,0),IFERROR(VLOOKUP($G771,StaffTbl,2,0),"کد ناشناخته")))))</f>
        <v/>
      </c>
      <c r="I771" s="12" t="n"/>
      <c r="J771" s="12" t="n"/>
      <c r="K771" s="13" t="n"/>
      <c r="L771" s="13" t="n"/>
      <c r="M771" s="13" t="n"/>
      <c r="N771" s="14">
        <f>IF(OR($C771="",$E771="",Calc!$H771=""),"",IFERROR(VLOOKUP(LEFT(UPPER(TRIM($E771)),6),BankTbl,3,0),0)+SUMIFS(CalcDep,CalcBank,LEFT(UPPER(TRIM($E771)),6),CalcKey,"&lt;="&amp;Calc!$H771)-SUMIFS(CalcWit,CalcBank,LEFT(UPPER(TRIM($E771)),6),CalcKey,"&lt;="&amp;Calc!$H771))</f>
        <v/>
      </c>
      <c r="O771" s="10">
        <f>IF(OR($C771="",$M771=""),"",IF($N771="","؟",IF(ROUND($M771-$N771,0)=0,"√","×")))</f>
        <v/>
      </c>
      <c r="P771" s="12" t="n"/>
    </row>
    <row r="772">
      <c r="A772" s="10">
        <f>IF($C772="","",COUNTA($C$9:$C772))</f>
        <v/>
      </c>
      <c r="B772" s="10">
        <f>IF($C772="","","TXN-"&amp;RIGHT("0000"&amp;764,4))</f>
        <v/>
      </c>
      <c r="C772" s="11" t="n"/>
      <c r="D772" s="11" t="n"/>
      <c r="E772" s="12" t="n"/>
      <c r="F772" s="10">
        <f>IF($E772="","",IFERROR(IF(VLOOKUP(LEFT(UPPER(TRIM($E772)),6),BankTbl,2,0)="","(بدون عنوان)",VLOOKUP(LEFT(UPPER(TRIM($E772)),6),BankTbl,2,0)),"بانک ناشناخته"))</f>
        <v/>
      </c>
      <c r="G772" s="11" t="n"/>
      <c r="H772" s="10">
        <f>IF($G772="","",IFERROR(VLOOKUP($G772,CustTbl,2,0),IFERROR(VLOOKUP($G772,SuppTbl,2,0),IFERROR(VLOOKUP($G772,AcctTbl,2,0),IFERROR(VLOOKUP($G772,StaffTbl,2,0),"کد ناشناخته")))))</f>
        <v/>
      </c>
      <c r="I772" s="12" t="n"/>
      <c r="J772" s="12" t="n"/>
      <c r="K772" s="13" t="n"/>
      <c r="L772" s="13" t="n"/>
      <c r="M772" s="13" t="n"/>
      <c r="N772" s="14">
        <f>IF(OR($C772="",$E772="",Calc!$H772=""),"",IFERROR(VLOOKUP(LEFT(UPPER(TRIM($E772)),6),BankTbl,3,0),0)+SUMIFS(CalcDep,CalcBank,LEFT(UPPER(TRIM($E772)),6),CalcKey,"&lt;="&amp;Calc!$H772)-SUMIFS(CalcWit,CalcBank,LEFT(UPPER(TRIM($E772)),6),CalcKey,"&lt;="&amp;Calc!$H772))</f>
        <v/>
      </c>
      <c r="O772" s="10">
        <f>IF(OR($C772="",$M772=""),"",IF($N772="","؟",IF(ROUND($M772-$N772,0)=0,"√","×")))</f>
        <v/>
      </c>
      <c r="P772" s="12" t="n"/>
    </row>
    <row r="773">
      <c r="A773" s="10">
        <f>IF($C773="","",COUNTA($C$9:$C773))</f>
        <v/>
      </c>
      <c r="B773" s="10">
        <f>IF($C773="","","TXN-"&amp;RIGHT("0000"&amp;765,4))</f>
        <v/>
      </c>
      <c r="C773" s="11" t="n"/>
      <c r="D773" s="11" t="n"/>
      <c r="E773" s="12" t="n"/>
      <c r="F773" s="10">
        <f>IF($E773="","",IFERROR(IF(VLOOKUP(LEFT(UPPER(TRIM($E773)),6),BankTbl,2,0)="","(بدون عنوان)",VLOOKUP(LEFT(UPPER(TRIM($E773)),6),BankTbl,2,0)),"بانک ناشناخته"))</f>
        <v/>
      </c>
      <c r="G773" s="11" t="n"/>
      <c r="H773" s="10">
        <f>IF($G773="","",IFERROR(VLOOKUP($G773,CustTbl,2,0),IFERROR(VLOOKUP($G773,SuppTbl,2,0),IFERROR(VLOOKUP($G773,AcctTbl,2,0),IFERROR(VLOOKUP($G773,StaffTbl,2,0),"کد ناشناخته")))))</f>
        <v/>
      </c>
      <c r="I773" s="12" t="n"/>
      <c r="J773" s="12" t="n"/>
      <c r="K773" s="13" t="n"/>
      <c r="L773" s="13" t="n"/>
      <c r="M773" s="13" t="n"/>
      <c r="N773" s="14">
        <f>IF(OR($C773="",$E773="",Calc!$H773=""),"",IFERROR(VLOOKUP(LEFT(UPPER(TRIM($E773)),6),BankTbl,3,0),0)+SUMIFS(CalcDep,CalcBank,LEFT(UPPER(TRIM($E773)),6),CalcKey,"&lt;="&amp;Calc!$H773)-SUMIFS(CalcWit,CalcBank,LEFT(UPPER(TRIM($E773)),6),CalcKey,"&lt;="&amp;Calc!$H773))</f>
        <v/>
      </c>
      <c r="O773" s="10">
        <f>IF(OR($C773="",$M773=""),"",IF($N773="","؟",IF(ROUND($M773-$N773,0)=0,"√","×")))</f>
        <v/>
      </c>
      <c r="P773" s="12" t="n"/>
    </row>
    <row r="774">
      <c r="A774" s="10">
        <f>IF($C774="","",COUNTA($C$9:$C774))</f>
        <v/>
      </c>
      <c r="B774" s="10">
        <f>IF($C774="","","TXN-"&amp;RIGHT("0000"&amp;766,4))</f>
        <v/>
      </c>
      <c r="C774" s="11" t="n"/>
      <c r="D774" s="11" t="n"/>
      <c r="E774" s="12" t="n"/>
      <c r="F774" s="10">
        <f>IF($E774="","",IFERROR(IF(VLOOKUP(LEFT(UPPER(TRIM($E774)),6),BankTbl,2,0)="","(بدون عنوان)",VLOOKUP(LEFT(UPPER(TRIM($E774)),6),BankTbl,2,0)),"بانک ناشناخته"))</f>
        <v/>
      </c>
      <c r="G774" s="11" t="n"/>
      <c r="H774" s="10">
        <f>IF($G774="","",IFERROR(VLOOKUP($G774,CustTbl,2,0),IFERROR(VLOOKUP($G774,SuppTbl,2,0),IFERROR(VLOOKUP($G774,AcctTbl,2,0),IFERROR(VLOOKUP($G774,StaffTbl,2,0),"کد ناشناخته")))))</f>
        <v/>
      </c>
      <c r="I774" s="12" t="n"/>
      <c r="J774" s="12" t="n"/>
      <c r="K774" s="13" t="n"/>
      <c r="L774" s="13" t="n"/>
      <c r="M774" s="13" t="n"/>
      <c r="N774" s="14">
        <f>IF(OR($C774="",$E774="",Calc!$H774=""),"",IFERROR(VLOOKUP(LEFT(UPPER(TRIM($E774)),6),BankTbl,3,0),0)+SUMIFS(CalcDep,CalcBank,LEFT(UPPER(TRIM($E774)),6),CalcKey,"&lt;="&amp;Calc!$H774)-SUMIFS(CalcWit,CalcBank,LEFT(UPPER(TRIM($E774)),6),CalcKey,"&lt;="&amp;Calc!$H774))</f>
        <v/>
      </c>
      <c r="O774" s="10">
        <f>IF(OR($C774="",$M774=""),"",IF($N774="","؟",IF(ROUND($M774-$N774,0)=0,"√","×")))</f>
        <v/>
      </c>
      <c r="P774" s="12" t="n"/>
    </row>
    <row r="775">
      <c r="A775" s="10">
        <f>IF($C775="","",COUNTA($C$9:$C775))</f>
        <v/>
      </c>
      <c r="B775" s="10">
        <f>IF($C775="","","TXN-"&amp;RIGHT("0000"&amp;767,4))</f>
        <v/>
      </c>
      <c r="C775" s="11" t="n"/>
      <c r="D775" s="11" t="n"/>
      <c r="E775" s="12" t="n"/>
      <c r="F775" s="10">
        <f>IF($E775="","",IFERROR(IF(VLOOKUP(LEFT(UPPER(TRIM($E775)),6),BankTbl,2,0)="","(بدون عنوان)",VLOOKUP(LEFT(UPPER(TRIM($E775)),6),BankTbl,2,0)),"بانک ناشناخته"))</f>
        <v/>
      </c>
      <c r="G775" s="11" t="n"/>
      <c r="H775" s="10">
        <f>IF($G775="","",IFERROR(VLOOKUP($G775,CustTbl,2,0),IFERROR(VLOOKUP($G775,SuppTbl,2,0),IFERROR(VLOOKUP($G775,AcctTbl,2,0),IFERROR(VLOOKUP($G775,StaffTbl,2,0),"کد ناشناخته")))))</f>
        <v/>
      </c>
      <c r="I775" s="12" t="n"/>
      <c r="J775" s="12" t="n"/>
      <c r="K775" s="13" t="n"/>
      <c r="L775" s="13" t="n"/>
      <c r="M775" s="13" t="n"/>
      <c r="N775" s="14">
        <f>IF(OR($C775="",$E775="",Calc!$H775=""),"",IFERROR(VLOOKUP(LEFT(UPPER(TRIM($E775)),6),BankTbl,3,0),0)+SUMIFS(CalcDep,CalcBank,LEFT(UPPER(TRIM($E775)),6),CalcKey,"&lt;="&amp;Calc!$H775)-SUMIFS(CalcWit,CalcBank,LEFT(UPPER(TRIM($E775)),6),CalcKey,"&lt;="&amp;Calc!$H775))</f>
        <v/>
      </c>
      <c r="O775" s="10">
        <f>IF(OR($C775="",$M775=""),"",IF($N775="","؟",IF(ROUND($M775-$N775,0)=0,"√","×")))</f>
        <v/>
      </c>
      <c r="P775" s="12" t="n"/>
    </row>
    <row r="776">
      <c r="A776" s="10">
        <f>IF($C776="","",COUNTA($C$9:$C776))</f>
        <v/>
      </c>
      <c r="B776" s="10">
        <f>IF($C776="","","TXN-"&amp;RIGHT("0000"&amp;768,4))</f>
        <v/>
      </c>
      <c r="C776" s="11" t="n"/>
      <c r="D776" s="11" t="n"/>
      <c r="E776" s="12" t="n"/>
      <c r="F776" s="10">
        <f>IF($E776="","",IFERROR(IF(VLOOKUP(LEFT(UPPER(TRIM($E776)),6),BankTbl,2,0)="","(بدون عنوان)",VLOOKUP(LEFT(UPPER(TRIM($E776)),6),BankTbl,2,0)),"بانک ناشناخته"))</f>
        <v/>
      </c>
      <c r="G776" s="11" t="n"/>
      <c r="H776" s="10">
        <f>IF($G776="","",IFERROR(VLOOKUP($G776,CustTbl,2,0),IFERROR(VLOOKUP($G776,SuppTbl,2,0),IFERROR(VLOOKUP($G776,AcctTbl,2,0),IFERROR(VLOOKUP($G776,StaffTbl,2,0),"کد ناشناخته")))))</f>
        <v/>
      </c>
      <c r="I776" s="12" t="n"/>
      <c r="J776" s="12" t="n"/>
      <c r="K776" s="13" t="n"/>
      <c r="L776" s="13" t="n"/>
      <c r="M776" s="13" t="n"/>
      <c r="N776" s="14">
        <f>IF(OR($C776="",$E776="",Calc!$H776=""),"",IFERROR(VLOOKUP(LEFT(UPPER(TRIM($E776)),6),BankTbl,3,0),0)+SUMIFS(CalcDep,CalcBank,LEFT(UPPER(TRIM($E776)),6),CalcKey,"&lt;="&amp;Calc!$H776)-SUMIFS(CalcWit,CalcBank,LEFT(UPPER(TRIM($E776)),6),CalcKey,"&lt;="&amp;Calc!$H776))</f>
        <v/>
      </c>
      <c r="O776" s="10">
        <f>IF(OR($C776="",$M776=""),"",IF($N776="","؟",IF(ROUND($M776-$N776,0)=0,"√","×")))</f>
        <v/>
      </c>
      <c r="P776" s="12" t="n"/>
    </row>
    <row r="777">
      <c r="A777" s="10">
        <f>IF($C777="","",COUNTA($C$9:$C777))</f>
        <v/>
      </c>
      <c r="B777" s="10">
        <f>IF($C777="","","TXN-"&amp;RIGHT("0000"&amp;769,4))</f>
        <v/>
      </c>
      <c r="C777" s="11" t="n"/>
      <c r="D777" s="11" t="n"/>
      <c r="E777" s="12" t="n"/>
      <c r="F777" s="10">
        <f>IF($E777="","",IFERROR(IF(VLOOKUP(LEFT(UPPER(TRIM($E777)),6),BankTbl,2,0)="","(بدون عنوان)",VLOOKUP(LEFT(UPPER(TRIM($E777)),6),BankTbl,2,0)),"بانک ناشناخته"))</f>
        <v/>
      </c>
      <c r="G777" s="11" t="n"/>
      <c r="H777" s="10">
        <f>IF($G777="","",IFERROR(VLOOKUP($G777,CustTbl,2,0),IFERROR(VLOOKUP($G777,SuppTbl,2,0),IFERROR(VLOOKUP($G777,AcctTbl,2,0),IFERROR(VLOOKUP($G777,StaffTbl,2,0),"کد ناشناخته")))))</f>
        <v/>
      </c>
      <c r="I777" s="12" t="n"/>
      <c r="J777" s="12" t="n"/>
      <c r="K777" s="13" t="n"/>
      <c r="L777" s="13" t="n"/>
      <c r="M777" s="13" t="n"/>
      <c r="N777" s="14">
        <f>IF(OR($C777="",$E777="",Calc!$H777=""),"",IFERROR(VLOOKUP(LEFT(UPPER(TRIM($E777)),6),BankTbl,3,0),0)+SUMIFS(CalcDep,CalcBank,LEFT(UPPER(TRIM($E777)),6),CalcKey,"&lt;="&amp;Calc!$H777)-SUMIFS(CalcWit,CalcBank,LEFT(UPPER(TRIM($E777)),6),CalcKey,"&lt;="&amp;Calc!$H777))</f>
        <v/>
      </c>
      <c r="O777" s="10">
        <f>IF(OR($C777="",$M777=""),"",IF($N777="","؟",IF(ROUND($M777-$N777,0)=0,"√","×")))</f>
        <v/>
      </c>
      <c r="P777" s="12" t="n"/>
    </row>
    <row r="778">
      <c r="A778" s="10">
        <f>IF($C778="","",COUNTA($C$9:$C778))</f>
        <v/>
      </c>
      <c r="B778" s="10">
        <f>IF($C778="","","TXN-"&amp;RIGHT("0000"&amp;770,4))</f>
        <v/>
      </c>
      <c r="C778" s="11" t="n"/>
      <c r="D778" s="11" t="n"/>
      <c r="E778" s="12" t="n"/>
      <c r="F778" s="10">
        <f>IF($E778="","",IFERROR(IF(VLOOKUP(LEFT(UPPER(TRIM($E778)),6),BankTbl,2,0)="","(بدون عنوان)",VLOOKUP(LEFT(UPPER(TRIM($E778)),6),BankTbl,2,0)),"بانک ناشناخته"))</f>
        <v/>
      </c>
      <c r="G778" s="11" t="n"/>
      <c r="H778" s="10">
        <f>IF($G778="","",IFERROR(VLOOKUP($G778,CustTbl,2,0),IFERROR(VLOOKUP($G778,SuppTbl,2,0),IFERROR(VLOOKUP($G778,AcctTbl,2,0),IFERROR(VLOOKUP($G778,StaffTbl,2,0),"کد ناشناخته")))))</f>
        <v/>
      </c>
      <c r="I778" s="12" t="n"/>
      <c r="J778" s="12" t="n"/>
      <c r="K778" s="13" t="n"/>
      <c r="L778" s="13" t="n"/>
      <c r="M778" s="13" t="n"/>
      <c r="N778" s="14">
        <f>IF(OR($C778="",$E778="",Calc!$H778=""),"",IFERROR(VLOOKUP(LEFT(UPPER(TRIM($E778)),6),BankTbl,3,0),0)+SUMIFS(CalcDep,CalcBank,LEFT(UPPER(TRIM($E778)),6),CalcKey,"&lt;="&amp;Calc!$H778)-SUMIFS(CalcWit,CalcBank,LEFT(UPPER(TRIM($E778)),6),CalcKey,"&lt;="&amp;Calc!$H778))</f>
        <v/>
      </c>
      <c r="O778" s="10">
        <f>IF(OR($C778="",$M778=""),"",IF($N778="","؟",IF(ROUND($M778-$N778,0)=0,"√","×")))</f>
        <v/>
      </c>
      <c r="P778" s="12" t="n"/>
    </row>
    <row r="779">
      <c r="A779" s="10">
        <f>IF($C779="","",COUNTA($C$9:$C779))</f>
        <v/>
      </c>
      <c r="B779" s="10">
        <f>IF($C779="","","TXN-"&amp;RIGHT("0000"&amp;771,4))</f>
        <v/>
      </c>
      <c r="C779" s="11" t="n"/>
      <c r="D779" s="11" t="n"/>
      <c r="E779" s="12" t="n"/>
      <c r="F779" s="10">
        <f>IF($E779="","",IFERROR(IF(VLOOKUP(LEFT(UPPER(TRIM($E779)),6),BankTbl,2,0)="","(بدون عنوان)",VLOOKUP(LEFT(UPPER(TRIM($E779)),6),BankTbl,2,0)),"بانک ناشناخته"))</f>
        <v/>
      </c>
      <c r="G779" s="11" t="n"/>
      <c r="H779" s="10">
        <f>IF($G779="","",IFERROR(VLOOKUP($G779,CustTbl,2,0),IFERROR(VLOOKUP($G779,SuppTbl,2,0),IFERROR(VLOOKUP($G779,AcctTbl,2,0),IFERROR(VLOOKUP($G779,StaffTbl,2,0),"کد ناشناخته")))))</f>
        <v/>
      </c>
      <c r="I779" s="12" t="n"/>
      <c r="J779" s="12" t="n"/>
      <c r="K779" s="13" t="n"/>
      <c r="L779" s="13" t="n"/>
      <c r="M779" s="13" t="n"/>
      <c r="N779" s="14">
        <f>IF(OR($C779="",$E779="",Calc!$H779=""),"",IFERROR(VLOOKUP(LEFT(UPPER(TRIM($E779)),6),BankTbl,3,0),0)+SUMIFS(CalcDep,CalcBank,LEFT(UPPER(TRIM($E779)),6),CalcKey,"&lt;="&amp;Calc!$H779)-SUMIFS(CalcWit,CalcBank,LEFT(UPPER(TRIM($E779)),6),CalcKey,"&lt;="&amp;Calc!$H779))</f>
        <v/>
      </c>
      <c r="O779" s="10">
        <f>IF(OR($C779="",$M779=""),"",IF($N779="","؟",IF(ROUND($M779-$N779,0)=0,"√","×")))</f>
        <v/>
      </c>
      <c r="P779" s="12" t="n"/>
    </row>
    <row r="780">
      <c r="A780" s="10">
        <f>IF($C780="","",COUNTA($C$9:$C780))</f>
        <v/>
      </c>
      <c r="B780" s="10">
        <f>IF($C780="","","TXN-"&amp;RIGHT("0000"&amp;772,4))</f>
        <v/>
      </c>
      <c r="C780" s="11" t="n"/>
      <c r="D780" s="11" t="n"/>
      <c r="E780" s="12" t="n"/>
      <c r="F780" s="10">
        <f>IF($E780="","",IFERROR(IF(VLOOKUP(LEFT(UPPER(TRIM($E780)),6),BankTbl,2,0)="","(بدون عنوان)",VLOOKUP(LEFT(UPPER(TRIM($E780)),6),BankTbl,2,0)),"بانک ناشناخته"))</f>
        <v/>
      </c>
      <c r="G780" s="11" t="n"/>
      <c r="H780" s="10">
        <f>IF($G780="","",IFERROR(VLOOKUP($G780,CustTbl,2,0),IFERROR(VLOOKUP($G780,SuppTbl,2,0),IFERROR(VLOOKUP($G780,AcctTbl,2,0),IFERROR(VLOOKUP($G780,StaffTbl,2,0),"کد ناشناخته")))))</f>
        <v/>
      </c>
      <c r="I780" s="12" t="n"/>
      <c r="J780" s="12" t="n"/>
      <c r="K780" s="13" t="n"/>
      <c r="L780" s="13" t="n"/>
      <c r="M780" s="13" t="n"/>
      <c r="N780" s="14">
        <f>IF(OR($C780="",$E780="",Calc!$H780=""),"",IFERROR(VLOOKUP(LEFT(UPPER(TRIM($E780)),6),BankTbl,3,0),0)+SUMIFS(CalcDep,CalcBank,LEFT(UPPER(TRIM($E780)),6),CalcKey,"&lt;="&amp;Calc!$H780)-SUMIFS(CalcWit,CalcBank,LEFT(UPPER(TRIM($E780)),6),CalcKey,"&lt;="&amp;Calc!$H780))</f>
        <v/>
      </c>
      <c r="O780" s="10">
        <f>IF(OR($C780="",$M780=""),"",IF($N780="","؟",IF(ROUND($M780-$N780,0)=0,"√","×")))</f>
        <v/>
      </c>
      <c r="P780" s="12" t="n"/>
    </row>
    <row r="781">
      <c r="A781" s="10">
        <f>IF($C781="","",COUNTA($C$9:$C781))</f>
        <v/>
      </c>
      <c r="B781" s="10">
        <f>IF($C781="","","TXN-"&amp;RIGHT("0000"&amp;773,4))</f>
        <v/>
      </c>
      <c r="C781" s="11" t="n"/>
      <c r="D781" s="11" t="n"/>
      <c r="E781" s="12" t="n"/>
      <c r="F781" s="10">
        <f>IF($E781="","",IFERROR(IF(VLOOKUP(LEFT(UPPER(TRIM($E781)),6),BankTbl,2,0)="","(بدون عنوان)",VLOOKUP(LEFT(UPPER(TRIM($E781)),6),BankTbl,2,0)),"بانک ناشناخته"))</f>
        <v/>
      </c>
      <c r="G781" s="11" t="n"/>
      <c r="H781" s="10">
        <f>IF($G781="","",IFERROR(VLOOKUP($G781,CustTbl,2,0),IFERROR(VLOOKUP($G781,SuppTbl,2,0),IFERROR(VLOOKUP($G781,AcctTbl,2,0),IFERROR(VLOOKUP($G781,StaffTbl,2,0),"کد ناشناخته")))))</f>
        <v/>
      </c>
      <c r="I781" s="12" t="n"/>
      <c r="J781" s="12" t="n"/>
      <c r="K781" s="13" t="n"/>
      <c r="L781" s="13" t="n"/>
      <c r="M781" s="13" t="n"/>
      <c r="N781" s="14">
        <f>IF(OR($C781="",$E781="",Calc!$H781=""),"",IFERROR(VLOOKUP(LEFT(UPPER(TRIM($E781)),6),BankTbl,3,0),0)+SUMIFS(CalcDep,CalcBank,LEFT(UPPER(TRIM($E781)),6),CalcKey,"&lt;="&amp;Calc!$H781)-SUMIFS(CalcWit,CalcBank,LEFT(UPPER(TRIM($E781)),6),CalcKey,"&lt;="&amp;Calc!$H781))</f>
        <v/>
      </c>
      <c r="O781" s="10">
        <f>IF(OR($C781="",$M781=""),"",IF($N781="","؟",IF(ROUND($M781-$N781,0)=0,"√","×")))</f>
        <v/>
      </c>
      <c r="P781" s="12" t="n"/>
    </row>
    <row r="782">
      <c r="A782" s="10">
        <f>IF($C782="","",COUNTA($C$9:$C782))</f>
        <v/>
      </c>
      <c r="B782" s="10">
        <f>IF($C782="","","TXN-"&amp;RIGHT("0000"&amp;774,4))</f>
        <v/>
      </c>
      <c r="C782" s="11" t="n"/>
      <c r="D782" s="11" t="n"/>
      <c r="E782" s="12" t="n"/>
      <c r="F782" s="10">
        <f>IF($E782="","",IFERROR(IF(VLOOKUP(LEFT(UPPER(TRIM($E782)),6),BankTbl,2,0)="","(بدون عنوان)",VLOOKUP(LEFT(UPPER(TRIM($E782)),6),BankTbl,2,0)),"بانک ناشناخته"))</f>
        <v/>
      </c>
      <c r="G782" s="11" t="n"/>
      <c r="H782" s="10">
        <f>IF($G782="","",IFERROR(VLOOKUP($G782,CustTbl,2,0),IFERROR(VLOOKUP($G782,SuppTbl,2,0),IFERROR(VLOOKUP($G782,AcctTbl,2,0),IFERROR(VLOOKUP($G782,StaffTbl,2,0),"کد ناشناخته")))))</f>
        <v/>
      </c>
      <c r="I782" s="12" t="n"/>
      <c r="J782" s="12" t="n"/>
      <c r="K782" s="13" t="n"/>
      <c r="L782" s="13" t="n"/>
      <c r="M782" s="13" t="n"/>
      <c r="N782" s="14">
        <f>IF(OR($C782="",$E782="",Calc!$H782=""),"",IFERROR(VLOOKUP(LEFT(UPPER(TRIM($E782)),6),BankTbl,3,0),0)+SUMIFS(CalcDep,CalcBank,LEFT(UPPER(TRIM($E782)),6),CalcKey,"&lt;="&amp;Calc!$H782)-SUMIFS(CalcWit,CalcBank,LEFT(UPPER(TRIM($E782)),6),CalcKey,"&lt;="&amp;Calc!$H782))</f>
        <v/>
      </c>
      <c r="O782" s="10">
        <f>IF(OR($C782="",$M782=""),"",IF($N782="","؟",IF(ROUND($M782-$N782,0)=0,"√","×")))</f>
        <v/>
      </c>
      <c r="P782" s="12" t="n"/>
    </row>
    <row r="783">
      <c r="A783" s="10">
        <f>IF($C783="","",COUNTA($C$9:$C783))</f>
        <v/>
      </c>
      <c r="B783" s="10">
        <f>IF($C783="","","TXN-"&amp;RIGHT("0000"&amp;775,4))</f>
        <v/>
      </c>
      <c r="C783" s="11" t="n"/>
      <c r="D783" s="11" t="n"/>
      <c r="E783" s="12" t="n"/>
      <c r="F783" s="10">
        <f>IF($E783="","",IFERROR(IF(VLOOKUP(LEFT(UPPER(TRIM($E783)),6),BankTbl,2,0)="","(بدون عنوان)",VLOOKUP(LEFT(UPPER(TRIM($E783)),6),BankTbl,2,0)),"بانک ناشناخته"))</f>
        <v/>
      </c>
      <c r="G783" s="11" t="n"/>
      <c r="H783" s="10">
        <f>IF($G783="","",IFERROR(VLOOKUP($G783,CustTbl,2,0),IFERROR(VLOOKUP($G783,SuppTbl,2,0),IFERROR(VLOOKUP($G783,AcctTbl,2,0),IFERROR(VLOOKUP($G783,StaffTbl,2,0),"کد ناشناخته")))))</f>
        <v/>
      </c>
      <c r="I783" s="12" t="n"/>
      <c r="J783" s="12" t="n"/>
      <c r="K783" s="13" t="n"/>
      <c r="L783" s="13" t="n"/>
      <c r="M783" s="13" t="n"/>
      <c r="N783" s="14">
        <f>IF(OR($C783="",$E783="",Calc!$H783=""),"",IFERROR(VLOOKUP(LEFT(UPPER(TRIM($E783)),6),BankTbl,3,0),0)+SUMIFS(CalcDep,CalcBank,LEFT(UPPER(TRIM($E783)),6),CalcKey,"&lt;="&amp;Calc!$H783)-SUMIFS(CalcWit,CalcBank,LEFT(UPPER(TRIM($E783)),6),CalcKey,"&lt;="&amp;Calc!$H783))</f>
        <v/>
      </c>
      <c r="O783" s="10">
        <f>IF(OR($C783="",$M783=""),"",IF($N783="","؟",IF(ROUND($M783-$N783,0)=0,"√","×")))</f>
        <v/>
      </c>
      <c r="P783" s="12" t="n"/>
    </row>
    <row r="784">
      <c r="A784" s="10">
        <f>IF($C784="","",COUNTA($C$9:$C784))</f>
        <v/>
      </c>
      <c r="B784" s="10">
        <f>IF($C784="","","TXN-"&amp;RIGHT("0000"&amp;776,4))</f>
        <v/>
      </c>
      <c r="C784" s="11" t="n"/>
      <c r="D784" s="11" t="n"/>
      <c r="E784" s="12" t="n"/>
      <c r="F784" s="10">
        <f>IF($E784="","",IFERROR(IF(VLOOKUP(LEFT(UPPER(TRIM($E784)),6),BankTbl,2,0)="","(بدون عنوان)",VLOOKUP(LEFT(UPPER(TRIM($E784)),6),BankTbl,2,0)),"بانک ناشناخته"))</f>
        <v/>
      </c>
      <c r="G784" s="11" t="n"/>
      <c r="H784" s="10">
        <f>IF($G784="","",IFERROR(VLOOKUP($G784,CustTbl,2,0),IFERROR(VLOOKUP($G784,SuppTbl,2,0),IFERROR(VLOOKUP($G784,AcctTbl,2,0),IFERROR(VLOOKUP($G784,StaffTbl,2,0),"کد ناشناخته")))))</f>
        <v/>
      </c>
      <c r="I784" s="12" t="n"/>
      <c r="J784" s="12" t="n"/>
      <c r="K784" s="13" t="n"/>
      <c r="L784" s="13" t="n"/>
      <c r="M784" s="13" t="n"/>
      <c r="N784" s="14">
        <f>IF(OR($C784="",$E784="",Calc!$H784=""),"",IFERROR(VLOOKUP(LEFT(UPPER(TRIM($E784)),6),BankTbl,3,0),0)+SUMIFS(CalcDep,CalcBank,LEFT(UPPER(TRIM($E784)),6),CalcKey,"&lt;="&amp;Calc!$H784)-SUMIFS(CalcWit,CalcBank,LEFT(UPPER(TRIM($E784)),6),CalcKey,"&lt;="&amp;Calc!$H784))</f>
        <v/>
      </c>
      <c r="O784" s="10">
        <f>IF(OR($C784="",$M784=""),"",IF($N784="","؟",IF(ROUND($M784-$N784,0)=0,"√","×")))</f>
        <v/>
      </c>
      <c r="P784" s="12" t="n"/>
    </row>
    <row r="785">
      <c r="A785" s="10">
        <f>IF($C785="","",COUNTA($C$9:$C785))</f>
        <v/>
      </c>
      <c r="B785" s="10">
        <f>IF($C785="","","TXN-"&amp;RIGHT("0000"&amp;777,4))</f>
        <v/>
      </c>
      <c r="C785" s="11" t="n"/>
      <c r="D785" s="11" t="n"/>
      <c r="E785" s="12" t="n"/>
      <c r="F785" s="10">
        <f>IF($E785="","",IFERROR(IF(VLOOKUP(LEFT(UPPER(TRIM($E785)),6),BankTbl,2,0)="","(بدون عنوان)",VLOOKUP(LEFT(UPPER(TRIM($E785)),6),BankTbl,2,0)),"بانک ناشناخته"))</f>
        <v/>
      </c>
      <c r="G785" s="11" t="n"/>
      <c r="H785" s="10">
        <f>IF($G785="","",IFERROR(VLOOKUP($G785,CustTbl,2,0),IFERROR(VLOOKUP($G785,SuppTbl,2,0),IFERROR(VLOOKUP($G785,AcctTbl,2,0),IFERROR(VLOOKUP($G785,StaffTbl,2,0),"کد ناشناخته")))))</f>
        <v/>
      </c>
      <c r="I785" s="12" t="n"/>
      <c r="J785" s="12" t="n"/>
      <c r="K785" s="13" t="n"/>
      <c r="L785" s="13" t="n"/>
      <c r="M785" s="13" t="n"/>
      <c r="N785" s="14">
        <f>IF(OR($C785="",$E785="",Calc!$H785=""),"",IFERROR(VLOOKUP(LEFT(UPPER(TRIM($E785)),6),BankTbl,3,0),0)+SUMIFS(CalcDep,CalcBank,LEFT(UPPER(TRIM($E785)),6),CalcKey,"&lt;="&amp;Calc!$H785)-SUMIFS(CalcWit,CalcBank,LEFT(UPPER(TRIM($E785)),6),CalcKey,"&lt;="&amp;Calc!$H785))</f>
        <v/>
      </c>
      <c r="O785" s="10">
        <f>IF(OR($C785="",$M785=""),"",IF($N785="","؟",IF(ROUND($M785-$N785,0)=0,"√","×")))</f>
        <v/>
      </c>
      <c r="P785" s="12" t="n"/>
    </row>
    <row r="786">
      <c r="A786" s="10">
        <f>IF($C786="","",COUNTA($C$9:$C786))</f>
        <v/>
      </c>
      <c r="B786" s="10">
        <f>IF($C786="","","TXN-"&amp;RIGHT("0000"&amp;778,4))</f>
        <v/>
      </c>
      <c r="C786" s="11" t="n"/>
      <c r="D786" s="11" t="n"/>
      <c r="E786" s="12" t="n"/>
      <c r="F786" s="10">
        <f>IF($E786="","",IFERROR(IF(VLOOKUP(LEFT(UPPER(TRIM($E786)),6),BankTbl,2,0)="","(بدون عنوان)",VLOOKUP(LEFT(UPPER(TRIM($E786)),6),BankTbl,2,0)),"بانک ناشناخته"))</f>
        <v/>
      </c>
      <c r="G786" s="11" t="n"/>
      <c r="H786" s="10">
        <f>IF($G786="","",IFERROR(VLOOKUP($G786,CustTbl,2,0),IFERROR(VLOOKUP($G786,SuppTbl,2,0),IFERROR(VLOOKUP($G786,AcctTbl,2,0),IFERROR(VLOOKUP($G786,StaffTbl,2,0),"کد ناشناخته")))))</f>
        <v/>
      </c>
      <c r="I786" s="12" t="n"/>
      <c r="J786" s="12" t="n"/>
      <c r="K786" s="13" t="n"/>
      <c r="L786" s="13" t="n"/>
      <c r="M786" s="13" t="n"/>
      <c r="N786" s="14">
        <f>IF(OR($C786="",$E786="",Calc!$H786=""),"",IFERROR(VLOOKUP(LEFT(UPPER(TRIM($E786)),6),BankTbl,3,0),0)+SUMIFS(CalcDep,CalcBank,LEFT(UPPER(TRIM($E786)),6),CalcKey,"&lt;="&amp;Calc!$H786)-SUMIFS(CalcWit,CalcBank,LEFT(UPPER(TRIM($E786)),6),CalcKey,"&lt;="&amp;Calc!$H786))</f>
        <v/>
      </c>
      <c r="O786" s="10">
        <f>IF(OR($C786="",$M786=""),"",IF($N786="","؟",IF(ROUND($M786-$N786,0)=0,"√","×")))</f>
        <v/>
      </c>
      <c r="P786" s="12" t="n"/>
    </row>
    <row r="787">
      <c r="A787" s="10">
        <f>IF($C787="","",COUNTA($C$9:$C787))</f>
        <v/>
      </c>
      <c r="B787" s="10">
        <f>IF($C787="","","TXN-"&amp;RIGHT("0000"&amp;779,4))</f>
        <v/>
      </c>
      <c r="C787" s="11" t="n"/>
      <c r="D787" s="11" t="n"/>
      <c r="E787" s="12" t="n"/>
      <c r="F787" s="10">
        <f>IF($E787="","",IFERROR(IF(VLOOKUP(LEFT(UPPER(TRIM($E787)),6),BankTbl,2,0)="","(بدون عنوان)",VLOOKUP(LEFT(UPPER(TRIM($E787)),6),BankTbl,2,0)),"بانک ناشناخته"))</f>
        <v/>
      </c>
      <c r="G787" s="11" t="n"/>
      <c r="H787" s="10">
        <f>IF($G787="","",IFERROR(VLOOKUP($G787,CustTbl,2,0),IFERROR(VLOOKUP($G787,SuppTbl,2,0),IFERROR(VLOOKUP($G787,AcctTbl,2,0),IFERROR(VLOOKUP($G787,StaffTbl,2,0),"کد ناشناخته")))))</f>
        <v/>
      </c>
      <c r="I787" s="12" t="n"/>
      <c r="J787" s="12" t="n"/>
      <c r="K787" s="13" t="n"/>
      <c r="L787" s="13" t="n"/>
      <c r="M787" s="13" t="n"/>
      <c r="N787" s="14">
        <f>IF(OR($C787="",$E787="",Calc!$H787=""),"",IFERROR(VLOOKUP(LEFT(UPPER(TRIM($E787)),6),BankTbl,3,0),0)+SUMIFS(CalcDep,CalcBank,LEFT(UPPER(TRIM($E787)),6),CalcKey,"&lt;="&amp;Calc!$H787)-SUMIFS(CalcWit,CalcBank,LEFT(UPPER(TRIM($E787)),6),CalcKey,"&lt;="&amp;Calc!$H787))</f>
        <v/>
      </c>
      <c r="O787" s="10">
        <f>IF(OR($C787="",$M787=""),"",IF($N787="","؟",IF(ROUND($M787-$N787,0)=0,"√","×")))</f>
        <v/>
      </c>
      <c r="P787" s="12" t="n"/>
    </row>
    <row r="788">
      <c r="A788" s="10">
        <f>IF($C788="","",COUNTA($C$9:$C788))</f>
        <v/>
      </c>
      <c r="B788" s="10">
        <f>IF($C788="","","TXN-"&amp;RIGHT("0000"&amp;780,4))</f>
        <v/>
      </c>
      <c r="C788" s="11" t="n"/>
      <c r="D788" s="11" t="n"/>
      <c r="E788" s="12" t="n"/>
      <c r="F788" s="10">
        <f>IF($E788="","",IFERROR(IF(VLOOKUP(LEFT(UPPER(TRIM($E788)),6),BankTbl,2,0)="","(بدون عنوان)",VLOOKUP(LEFT(UPPER(TRIM($E788)),6),BankTbl,2,0)),"بانک ناشناخته"))</f>
        <v/>
      </c>
      <c r="G788" s="11" t="n"/>
      <c r="H788" s="10">
        <f>IF($G788="","",IFERROR(VLOOKUP($G788,CustTbl,2,0),IFERROR(VLOOKUP($G788,SuppTbl,2,0),IFERROR(VLOOKUP($G788,AcctTbl,2,0),IFERROR(VLOOKUP($G788,StaffTbl,2,0),"کد ناشناخته")))))</f>
        <v/>
      </c>
      <c r="I788" s="12" t="n"/>
      <c r="J788" s="12" t="n"/>
      <c r="K788" s="13" t="n"/>
      <c r="L788" s="13" t="n"/>
      <c r="M788" s="13" t="n"/>
      <c r="N788" s="14">
        <f>IF(OR($C788="",$E788="",Calc!$H788=""),"",IFERROR(VLOOKUP(LEFT(UPPER(TRIM($E788)),6),BankTbl,3,0),0)+SUMIFS(CalcDep,CalcBank,LEFT(UPPER(TRIM($E788)),6),CalcKey,"&lt;="&amp;Calc!$H788)-SUMIFS(CalcWit,CalcBank,LEFT(UPPER(TRIM($E788)),6),CalcKey,"&lt;="&amp;Calc!$H788))</f>
        <v/>
      </c>
      <c r="O788" s="10">
        <f>IF(OR($C788="",$M788=""),"",IF($N788="","؟",IF(ROUND($M788-$N788,0)=0,"√","×")))</f>
        <v/>
      </c>
      <c r="P788" s="12" t="n"/>
    </row>
    <row r="789">
      <c r="A789" s="10">
        <f>IF($C789="","",COUNTA($C$9:$C789))</f>
        <v/>
      </c>
      <c r="B789" s="10">
        <f>IF($C789="","","TXN-"&amp;RIGHT("0000"&amp;781,4))</f>
        <v/>
      </c>
      <c r="C789" s="11" t="n"/>
      <c r="D789" s="11" t="n"/>
      <c r="E789" s="12" t="n"/>
      <c r="F789" s="10">
        <f>IF($E789="","",IFERROR(IF(VLOOKUP(LEFT(UPPER(TRIM($E789)),6),BankTbl,2,0)="","(بدون عنوان)",VLOOKUP(LEFT(UPPER(TRIM($E789)),6),BankTbl,2,0)),"بانک ناشناخته"))</f>
        <v/>
      </c>
      <c r="G789" s="11" t="n"/>
      <c r="H789" s="10">
        <f>IF($G789="","",IFERROR(VLOOKUP($G789,CustTbl,2,0),IFERROR(VLOOKUP($G789,SuppTbl,2,0),IFERROR(VLOOKUP($G789,AcctTbl,2,0),IFERROR(VLOOKUP($G789,StaffTbl,2,0),"کد ناشناخته")))))</f>
        <v/>
      </c>
      <c r="I789" s="12" t="n"/>
      <c r="J789" s="12" t="n"/>
      <c r="K789" s="13" t="n"/>
      <c r="L789" s="13" t="n"/>
      <c r="M789" s="13" t="n"/>
      <c r="N789" s="14">
        <f>IF(OR($C789="",$E789="",Calc!$H789=""),"",IFERROR(VLOOKUP(LEFT(UPPER(TRIM($E789)),6),BankTbl,3,0),0)+SUMIFS(CalcDep,CalcBank,LEFT(UPPER(TRIM($E789)),6),CalcKey,"&lt;="&amp;Calc!$H789)-SUMIFS(CalcWit,CalcBank,LEFT(UPPER(TRIM($E789)),6),CalcKey,"&lt;="&amp;Calc!$H789))</f>
        <v/>
      </c>
      <c r="O789" s="10">
        <f>IF(OR($C789="",$M789=""),"",IF($N789="","؟",IF(ROUND($M789-$N789,0)=0,"√","×")))</f>
        <v/>
      </c>
      <c r="P789" s="12" t="n"/>
    </row>
    <row r="790">
      <c r="A790" s="10">
        <f>IF($C790="","",COUNTA($C$9:$C790))</f>
        <v/>
      </c>
      <c r="B790" s="10">
        <f>IF($C790="","","TXN-"&amp;RIGHT("0000"&amp;782,4))</f>
        <v/>
      </c>
      <c r="C790" s="11" t="n"/>
      <c r="D790" s="11" t="n"/>
      <c r="E790" s="12" t="n"/>
      <c r="F790" s="10">
        <f>IF($E790="","",IFERROR(IF(VLOOKUP(LEFT(UPPER(TRIM($E790)),6),BankTbl,2,0)="","(بدون عنوان)",VLOOKUP(LEFT(UPPER(TRIM($E790)),6),BankTbl,2,0)),"بانک ناشناخته"))</f>
        <v/>
      </c>
      <c r="G790" s="11" t="n"/>
      <c r="H790" s="10">
        <f>IF($G790="","",IFERROR(VLOOKUP($G790,CustTbl,2,0),IFERROR(VLOOKUP($G790,SuppTbl,2,0),IFERROR(VLOOKUP($G790,AcctTbl,2,0),IFERROR(VLOOKUP($G790,StaffTbl,2,0),"کد ناشناخته")))))</f>
        <v/>
      </c>
      <c r="I790" s="12" t="n"/>
      <c r="J790" s="12" t="n"/>
      <c r="K790" s="13" t="n"/>
      <c r="L790" s="13" t="n"/>
      <c r="M790" s="13" t="n"/>
      <c r="N790" s="14">
        <f>IF(OR($C790="",$E790="",Calc!$H790=""),"",IFERROR(VLOOKUP(LEFT(UPPER(TRIM($E790)),6),BankTbl,3,0),0)+SUMIFS(CalcDep,CalcBank,LEFT(UPPER(TRIM($E790)),6),CalcKey,"&lt;="&amp;Calc!$H790)-SUMIFS(CalcWit,CalcBank,LEFT(UPPER(TRIM($E790)),6),CalcKey,"&lt;="&amp;Calc!$H790))</f>
        <v/>
      </c>
      <c r="O790" s="10">
        <f>IF(OR($C790="",$M790=""),"",IF($N790="","؟",IF(ROUND($M790-$N790,0)=0,"√","×")))</f>
        <v/>
      </c>
      <c r="P790" s="12" t="n"/>
    </row>
    <row r="791">
      <c r="A791" s="10">
        <f>IF($C791="","",COUNTA($C$9:$C791))</f>
        <v/>
      </c>
      <c r="B791" s="10">
        <f>IF($C791="","","TXN-"&amp;RIGHT("0000"&amp;783,4))</f>
        <v/>
      </c>
      <c r="C791" s="11" t="n"/>
      <c r="D791" s="11" t="n"/>
      <c r="E791" s="12" t="n"/>
      <c r="F791" s="10">
        <f>IF($E791="","",IFERROR(IF(VLOOKUP(LEFT(UPPER(TRIM($E791)),6),BankTbl,2,0)="","(بدون عنوان)",VLOOKUP(LEFT(UPPER(TRIM($E791)),6),BankTbl,2,0)),"بانک ناشناخته"))</f>
        <v/>
      </c>
      <c r="G791" s="11" t="n"/>
      <c r="H791" s="10">
        <f>IF($G791="","",IFERROR(VLOOKUP($G791,CustTbl,2,0),IFERROR(VLOOKUP($G791,SuppTbl,2,0),IFERROR(VLOOKUP($G791,AcctTbl,2,0),IFERROR(VLOOKUP($G791,StaffTbl,2,0),"کد ناشناخته")))))</f>
        <v/>
      </c>
      <c r="I791" s="12" t="n"/>
      <c r="J791" s="12" t="n"/>
      <c r="K791" s="13" t="n"/>
      <c r="L791" s="13" t="n"/>
      <c r="M791" s="13" t="n"/>
      <c r="N791" s="14">
        <f>IF(OR($C791="",$E791="",Calc!$H791=""),"",IFERROR(VLOOKUP(LEFT(UPPER(TRIM($E791)),6),BankTbl,3,0),0)+SUMIFS(CalcDep,CalcBank,LEFT(UPPER(TRIM($E791)),6),CalcKey,"&lt;="&amp;Calc!$H791)-SUMIFS(CalcWit,CalcBank,LEFT(UPPER(TRIM($E791)),6),CalcKey,"&lt;="&amp;Calc!$H791))</f>
        <v/>
      </c>
      <c r="O791" s="10">
        <f>IF(OR($C791="",$M791=""),"",IF($N791="","؟",IF(ROUND($M791-$N791,0)=0,"√","×")))</f>
        <v/>
      </c>
      <c r="P791" s="12" t="n"/>
    </row>
    <row r="792">
      <c r="A792" s="10">
        <f>IF($C792="","",COUNTA($C$9:$C792))</f>
        <v/>
      </c>
      <c r="B792" s="10">
        <f>IF($C792="","","TXN-"&amp;RIGHT("0000"&amp;784,4))</f>
        <v/>
      </c>
      <c r="C792" s="11" t="n"/>
      <c r="D792" s="11" t="n"/>
      <c r="E792" s="12" t="n"/>
      <c r="F792" s="10">
        <f>IF($E792="","",IFERROR(IF(VLOOKUP(LEFT(UPPER(TRIM($E792)),6),BankTbl,2,0)="","(بدون عنوان)",VLOOKUP(LEFT(UPPER(TRIM($E792)),6),BankTbl,2,0)),"بانک ناشناخته"))</f>
        <v/>
      </c>
      <c r="G792" s="11" t="n"/>
      <c r="H792" s="10">
        <f>IF($G792="","",IFERROR(VLOOKUP($G792,CustTbl,2,0),IFERROR(VLOOKUP($G792,SuppTbl,2,0),IFERROR(VLOOKUP($G792,AcctTbl,2,0),IFERROR(VLOOKUP($G792,StaffTbl,2,0),"کد ناشناخته")))))</f>
        <v/>
      </c>
      <c r="I792" s="12" t="n"/>
      <c r="J792" s="12" t="n"/>
      <c r="K792" s="13" t="n"/>
      <c r="L792" s="13" t="n"/>
      <c r="M792" s="13" t="n"/>
      <c r="N792" s="14">
        <f>IF(OR($C792="",$E792="",Calc!$H792=""),"",IFERROR(VLOOKUP(LEFT(UPPER(TRIM($E792)),6),BankTbl,3,0),0)+SUMIFS(CalcDep,CalcBank,LEFT(UPPER(TRIM($E792)),6),CalcKey,"&lt;="&amp;Calc!$H792)-SUMIFS(CalcWit,CalcBank,LEFT(UPPER(TRIM($E792)),6),CalcKey,"&lt;="&amp;Calc!$H792))</f>
        <v/>
      </c>
      <c r="O792" s="10">
        <f>IF(OR($C792="",$M792=""),"",IF($N792="","؟",IF(ROUND($M792-$N792,0)=0,"√","×")))</f>
        <v/>
      </c>
      <c r="P792" s="12" t="n"/>
    </row>
    <row r="793">
      <c r="A793" s="10">
        <f>IF($C793="","",COUNTA($C$9:$C793))</f>
        <v/>
      </c>
      <c r="B793" s="10">
        <f>IF($C793="","","TXN-"&amp;RIGHT("0000"&amp;785,4))</f>
        <v/>
      </c>
      <c r="C793" s="11" t="n"/>
      <c r="D793" s="11" t="n"/>
      <c r="E793" s="12" t="n"/>
      <c r="F793" s="10">
        <f>IF($E793="","",IFERROR(IF(VLOOKUP(LEFT(UPPER(TRIM($E793)),6),BankTbl,2,0)="","(بدون عنوان)",VLOOKUP(LEFT(UPPER(TRIM($E793)),6),BankTbl,2,0)),"بانک ناشناخته"))</f>
        <v/>
      </c>
      <c r="G793" s="11" t="n"/>
      <c r="H793" s="10">
        <f>IF($G793="","",IFERROR(VLOOKUP($G793,CustTbl,2,0),IFERROR(VLOOKUP($G793,SuppTbl,2,0),IFERROR(VLOOKUP($G793,AcctTbl,2,0),IFERROR(VLOOKUP($G793,StaffTbl,2,0),"کد ناشناخته")))))</f>
        <v/>
      </c>
      <c r="I793" s="12" t="n"/>
      <c r="J793" s="12" t="n"/>
      <c r="K793" s="13" t="n"/>
      <c r="L793" s="13" t="n"/>
      <c r="M793" s="13" t="n"/>
      <c r="N793" s="14">
        <f>IF(OR($C793="",$E793="",Calc!$H793=""),"",IFERROR(VLOOKUP(LEFT(UPPER(TRIM($E793)),6),BankTbl,3,0),0)+SUMIFS(CalcDep,CalcBank,LEFT(UPPER(TRIM($E793)),6),CalcKey,"&lt;="&amp;Calc!$H793)-SUMIFS(CalcWit,CalcBank,LEFT(UPPER(TRIM($E793)),6),CalcKey,"&lt;="&amp;Calc!$H793))</f>
        <v/>
      </c>
      <c r="O793" s="10">
        <f>IF(OR($C793="",$M793=""),"",IF($N793="","؟",IF(ROUND($M793-$N793,0)=0,"√","×")))</f>
        <v/>
      </c>
      <c r="P793" s="12" t="n"/>
    </row>
    <row r="794">
      <c r="A794" s="10">
        <f>IF($C794="","",COUNTA($C$9:$C794))</f>
        <v/>
      </c>
      <c r="B794" s="10">
        <f>IF($C794="","","TXN-"&amp;RIGHT("0000"&amp;786,4))</f>
        <v/>
      </c>
      <c r="C794" s="11" t="n"/>
      <c r="D794" s="11" t="n"/>
      <c r="E794" s="12" t="n"/>
      <c r="F794" s="10">
        <f>IF($E794="","",IFERROR(IF(VLOOKUP(LEFT(UPPER(TRIM($E794)),6),BankTbl,2,0)="","(بدون عنوان)",VLOOKUP(LEFT(UPPER(TRIM($E794)),6),BankTbl,2,0)),"بانک ناشناخته"))</f>
        <v/>
      </c>
      <c r="G794" s="11" t="n"/>
      <c r="H794" s="10">
        <f>IF($G794="","",IFERROR(VLOOKUP($G794,CustTbl,2,0),IFERROR(VLOOKUP($G794,SuppTbl,2,0),IFERROR(VLOOKUP($G794,AcctTbl,2,0),IFERROR(VLOOKUP($G794,StaffTbl,2,0),"کد ناشناخته")))))</f>
        <v/>
      </c>
      <c r="I794" s="12" t="n"/>
      <c r="J794" s="12" t="n"/>
      <c r="K794" s="13" t="n"/>
      <c r="L794" s="13" t="n"/>
      <c r="M794" s="13" t="n"/>
      <c r="N794" s="14">
        <f>IF(OR($C794="",$E794="",Calc!$H794=""),"",IFERROR(VLOOKUP(LEFT(UPPER(TRIM($E794)),6),BankTbl,3,0),0)+SUMIFS(CalcDep,CalcBank,LEFT(UPPER(TRIM($E794)),6),CalcKey,"&lt;="&amp;Calc!$H794)-SUMIFS(CalcWit,CalcBank,LEFT(UPPER(TRIM($E794)),6),CalcKey,"&lt;="&amp;Calc!$H794))</f>
        <v/>
      </c>
      <c r="O794" s="10">
        <f>IF(OR($C794="",$M794=""),"",IF($N794="","؟",IF(ROUND($M794-$N794,0)=0,"√","×")))</f>
        <v/>
      </c>
      <c r="P794" s="12" t="n"/>
    </row>
    <row r="795">
      <c r="A795" s="10">
        <f>IF($C795="","",COUNTA($C$9:$C795))</f>
        <v/>
      </c>
      <c r="B795" s="10">
        <f>IF($C795="","","TXN-"&amp;RIGHT("0000"&amp;787,4))</f>
        <v/>
      </c>
      <c r="C795" s="11" t="n"/>
      <c r="D795" s="11" t="n"/>
      <c r="E795" s="12" t="n"/>
      <c r="F795" s="10">
        <f>IF($E795="","",IFERROR(IF(VLOOKUP(LEFT(UPPER(TRIM($E795)),6),BankTbl,2,0)="","(بدون عنوان)",VLOOKUP(LEFT(UPPER(TRIM($E795)),6),BankTbl,2,0)),"بانک ناشناخته"))</f>
        <v/>
      </c>
      <c r="G795" s="11" t="n"/>
      <c r="H795" s="10">
        <f>IF($G795="","",IFERROR(VLOOKUP($G795,CustTbl,2,0),IFERROR(VLOOKUP($G795,SuppTbl,2,0),IFERROR(VLOOKUP($G795,AcctTbl,2,0),IFERROR(VLOOKUP($G795,StaffTbl,2,0),"کد ناشناخته")))))</f>
        <v/>
      </c>
      <c r="I795" s="12" t="n"/>
      <c r="J795" s="12" t="n"/>
      <c r="K795" s="13" t="n"/>
      <c r="L795" s="13" t="n"/>
      <c r="M795" s="13" t="n"/>
      <c r="N795" s="14">
        <f>IF(OR($C795="",$E795="",Calc!$H795=""),"",IFERROR(VLOOKUP(LEFT(UPPER(TRIM($E795)),6),BankTbl,3,0),0)+SUMIFS(CalcDep,CalcBank,LEFT(UPPER(TRIM($E795)),6),CalcKey,"&lt;="&amp;Calc!$H795)-SUMIFS(CalcWit,CalcBank,LEFT(UPPER(TRIM($E795)),6),CalcKey,"&lt;="&amp;Calc!$H795))</f>
        <v/>
      </c>
      <c r="O795" s="10">
        <f>IF(OR($C795="",$M795=""),"",IF($N795="","؟",IF(ROUND($M795-$N795,0)=0,"√","×")))</f>
        <v/>
      </c>
      <c r="P795" s="12" t="n"/>
    </row>
    <row r="796">
      <c r="A796" s="10">
        <f>IF($C796="","",COUNTA($C$9:$C796))</f>
        <v/>
      </c>
      <c r="B796" s="10">
        <f>IF($C796="","","TXN-"&amp;RIGHT("0000"&amp;788,4))</f>
        <v/>
      </c>
      <c r="C796" s="11" t="n"/>
      <c r="D796" s="11" t="n"/>
      <c r="E796" s="12" t="n"/>
      <c r="F796" s="10">
        <f>IF($E796="","",IFERROR(IF(VLOOKUP(LEFT(UPPER(TRIM($E796)),6),BankTbl,2,0)="","(بدون عنوان)",VLOOKUP(LEFT(UPPER(TRIM($E796)),6),BankTbl,2,0)),"بانک ناشناخته"))</f>
        <v/>
      </c>
      <c r="G796" s="11" t="n"/>
      <c r="H796" s="10">
        <f>IF($G796="","",IFERROR(VLOOKUP($G796,CustTbl,2,0),IFERROR(VLOOKUP($G796,SuppTbl,2,0),IFERROR(VLOOKUP($G796,AcctTbl,2,0),IFERROR(VLOOKUP($G796,StaffTbl,2,0),"کد ناشناخته")))))</f>
        <v/>
      </c>
      <c r="I796" s="12" t="n"/>
      <c r="J796" s="12" t="n"/>
      <c r="K796" s="13" t="n"/>
      <c r="L796" s="13" t="n"/>
      <c r="M796" s="13" t="n"/>
      <c r="N796" s="14">
        <f>IF(OR($C796="",$E796="",Calc!$H796=""),"",IFERROR(VLOOKUP(LEFT(UPPER(TRIM($E796)),6),BankTbl,3,0),0)+SUMIFS(CalcDep,CalcBank,LEFT(UPPER(TRIM($E796)),6),CalcKey,"&lt;="&amp;Calc!$H796)-SUMIFS(CalcWit,CalcBank,LEFT(UPPER(TRIM($E796)),6),CalcKey,"&lt;="&amp;Calc!$H796))</f>
        <v/>
      </c>
      <c r="O796" s="10">
        <f>IF(OR($C796="",$M796=""),"",IF($N796="","؟",IF(ROUND($M796-$N796,0)=0,"√","×")))</f>
        <v/>
      </c>
      <c r="P796" s="12" t="n"/>
    </row>
    <row r="797">
      <c r="A797" s="10">
        <f>IF($C797="","",COUNTA($C$9:$C797))</f>
        <v/>
      </c>
      <c r="B797" s="10">
        <f>IF($C797="","","TXN-"&amp;RIGHT("0000"&amp;789,4))</f>
        <v/>
      </c>
      <c r="C797" s="11" t="n"/>
      <c r="D797" s="11" t="n"/>
      <c r="E797" s="12" t="n"/>
      <c r="F797" s="10">
        <f>IF($E797="","",IFERROR(IF(VLOOKUP(LEFT(UPPER(TRIM($E797)),6),BankTbl,2,0)="","(بدون عنوان)",VLOOKUP(LEFT(UPPER(TRIM($E797)),6),BankTbl,2,0)),"بانک ناشناخته"))</f>
        <v/>
      </c>
      <c r="G797" s="11" t="n"/>
      <c r="H797" s="10">
        <f>IF($G797="","",IFERROR(VLOOKUP($G797,CustTbl,2,0),IFERROR(VLOOKUP($G797,SuppTbl,2,0),IFERROR(VLOOKUP($G797,AcctTbl,2,0),IFERROR(VLOOKUP($G797,StaffTbl,2,0),"کد ناشناخته")))))</f>
        <v/>
      </c>
      <c r="I797" s="12" t="n"/>
      <c r="J797" s="12" t="n"/>
      <c r="K797" s="13" t="n"/>
      <c r="L797" s="13" t="n"/>
      <c r="M797" s="13" t="n"/>
      <c r="N797" s="14">
        <f>IF(OR($C797="",$E797="",Calc!$H797=""),"",IFERROR(VLOOKUP(LEFT(UPPER(TRIM($E797)),6),BankTbl,3,0),0)+SUMIFS(CalcDep,CalcBank,LEFT(UPPER(TRIM($E797)),6),CalcKey,"&lt;="&amp;Calc!$H797)-SUMIFS(CalcWit,CalcBank,LEFT(UPPER(TRIM($E797)),6),CalcKey,"&lt;="&amp;Calc!$H797))</f>
        <v/>
      </c>
      <c r="O797" s="10">
        <f>IF(OR($C797="",$M797=""),"",IF($N797="","؟",IF(ROUND($M797-$N797,0)=0,"√","×")))</f>
        <v/>
      </c>
      <c r="P797" s="12" t="n"/>
    </row>
    <row r="798">
      <c r="A798" s="10">
        <f>IF($C798="","",COUNTA($C$9:$C798))</f>
        <v/>
      </c>
      <c r="B798" s="10">
        <f>IF($C798="","","TXN-"&amp;RIGHT("0000"&amp;790,4))</f>
        <v/>
      </c>
      <c r="C798" s="11" t="n"/>
      <c r="D798" s="11" t="n"/>
      <c r="E798" s="12" t="n"/>
      <c r="F798" s="10">
        <f>IF($E798="","",IFERROR(IF(VLOOKUP(LEFT(UPPER(TRIM($E798)),6),BankTbl,2,0)="","(بدون عنوان)",VLOOKUP(LEFT(UPPER(TRIM($E798)),6),BankTbl,2,0)),"بانک ناشناخته"))</f>
        <v/>
      </c>
      <c r="G798" s="11" t="n"/>
      <c r="H798" s="10">
        <f>IF($G798="","",IFERROR(VLOOKUP($G798,CustTbl,2,0),IFERROR(VLOOKUP($G798,SuppTbl,2,0),IFERROR(VLOOKUP($G798,AcctTbl,2,0),IFERROR(VLOOKUP($G798,StaffTbl,2,0),"کد ناشناخته")))))</f>
        <v/>
      </c>
      <c r="I798" s="12" t="n"/>
      <c r="J798" s="12" t="n"/>
      <c r="K798" s="13" t="n"/>
      <c r="L798" s="13" t="n"/>
      <c r="M798" s="13" t="n"/>
      <c r="N798" s="14">
        <f>IF(OR($C798="",$E798="",Calc!$H798=""),"",IFERROR(VLOOKUP(LEFT(UPPER(TRIM($E798)),6),BankTbl,3,0),0)+SUMIFS(CalcDep,CalcBank,LEFT(UPPER(TRIM($E798)),6),CalcKey,"&lt;="&amp;Calc!$H798)-SUMIFS(CalcWit,CalcBank,LEFT(UPPER(TRIM($E798)),6),CalcKey,"&lt;="&amp;Calc!$H798))</f>
        <v/>
      </c>
      <c r="O798" s="10">
        <f>IF(OR($C798="",$M798=""),"",IF($N798="","؟",IF(ROUND($M798-$N798,0)=0,"√","×")))</f>
        <v/>
      </c>
      <c r="P798" s="12" t="n"/>
    </row>
    <row r="799">
      <c r="A799" s="10">
        <f>IF($C799="","",COUNTA($C$9:$C799))</f>
        <v/>
      </c>
      <c r="B799" s="10">
        <f>IF($C799="","","TXN-"&amp;RIGHT("0000"&amp;791,4))</f>
        <v/>
      </c>
      <c r="C799" s="11" t="n"/>
      <c r="D799" s="11" t="n"/>
      <c r="E799" s="12" t="n"/>
      <c r="F799" s="10">
        <f>IF($E799="","",IFERROR(IF(VLOOKUP(LEFT(UPPER(TRIM($E799)),6),BankTbl,2,0)="","(بدون عنوان)",VLOOKUP(LEFT(UPPER(TRIM($E799)),6),BankTbl,2,0)),"بانک ناشناخته"))</f>
        <v/>
      </c>
      <c r="G799" s="11" t="n"/>
      <c r="H799" s="10">
        <f>IF($G799="","",IFERROR(VLOOKUP($G799,CustTbl,2,0),IFERROR(VLOOKUP($G799,SuppTbl,2,0),IFERROR(VLOOKUP($G799,AcctTbl,2,0),IFERROR(VLOOKUP($G799,StaffTbl,2,0),"کد ناشناخته")))))</f>
        <v/>
      </c>
      <c r="I799" s="12" t="n"/>
      <c r="J799" s="12" t="n"/>
      <c r="K799" s="13" t="n"/>
      <c r="L799" s="13" t="n"/>
      <c r="M799" s="13" t="n"/>
      <c r="N799" s="14">
        <f>IF(OR($C799="",$E799="",Calc!$H799=""),"",IFERROR(VLOOKUP(LEFT(UPPER(TRIM($E799)),6),BankTbl,3,0),0)+SUMIFS(CalcDep,CalcBank,LEFT(UPPER(TRIM($E799)),6),CalcKey,"&lt;="&amp;Calc!$H799)-SUMIFS(CalcWit,CalcBank,LEFT(UPPER(TRIM($E799)),6),CalcKey,"&lt;="&amp;Calc!$H799))</f>
        <v/>
      </c>
      <c r="O799" s="10">
        <f>IF(OR($C799="",$M799=""),"",IF($N799="","؟",IF(ROUND($M799-$N799,0)=0,"√","×")))</f>
        <v/>
      </c>
      <c r="P799" s="12" t="n"/>
    </row>
    <row r="800">
      <c r="A800" s="10">
        <f>IF($C800="","",COUNTA($C$9:$C800))</f>
        <v/>
      </c>
      <c r="B800" s="10">
        <f>IF($C800="","","TXN-"&amp;RIGHT("0000"&amp;792,4))</f>
        <v/>
      </c>
      <c r="C800" s="11" t="n"/>
      <c r="D800" s="11" t="n"/>
      <c r="E800" s="12" t="n"/>
      <c r="F800" s="10">
        <f>IF($E800="","",IFERROR(IF(VLOOKUP(LEFT(UPPER(TRIM($E800)),6),BankTbl,2,0)="","(بدون عنوان)",VLOOKUP(LEFT(UPPER(TRIM($E800)),6),BankTbl,2,0)),"بانک ناشناخته"))</f>
        <v/>
      </c>
      <c r="G800" s="11" t="n"/>
      <c r="H800" s="10">
        <f>IF($G800="","",IFERROR(VLOOKUP($G800,CustTbl,2,0),IFERROR(VLOOKUP($G800,SuppTbl,2,0),IFERROR(VLOOKUP($G800,AcctTbl,2,0),IFERROR(VLOOKUP($G800,StaffTbl,2,0),"کد ناشناخته")))))</f>
        <v/>
      </c>
      <c r="I800" s="12" t="n"/>
      <c r="J800" s="12" t="n"/>
      <c r="K800" s="13" t="n"/>
      <c r="L800" s="13" t="n"/>
      <c r="M800" s="13" t="n"/>
      <c r="N800" s="14">
        <f>IF(OR($C800="",$E800="",Calc!$H800=""),"",IFERROR(VLOOKUP(LEFT(UPPER(TRIM($E800)),6),BankTbl,3,0),0)+SUMIFS(CalcDep,CalcBank,LEFT(UPPER(TRIM($E800)),6),CalcKey,"&lt;="&amp;Calc!$H800)-SUMIFS(CalcWit,CalcBank,LEFT(UPPER(TRIM($E800)),6),CalcKey,"&lt;="&amp;Calc!$H800))</f>
        <v/>
      </c>
      <c r="O800" s="10">
        <f>IF(OR($C800="",$M800=""),"",IF($N800="","؟",IF(ROUND($M800-$N800,0)=0,"√","×")))</f>
        <v/>
      </c>
      <c r="P800" s="12" t="n"/>
    </row>
    <row r="801">
      <c r="A801" s="10">
        <f>IF($C801="","",COUNTA($C$9:$C801))</f>
        <v/>
      </c>
      <c r="B801" s="10">
        <f>IF($C801="","","TXN-"&amp;RIGHT("0000"&amp;793,4))</f>
        <v/>
      </c>
      <c r="C801" s="11" t="n"/>
      <c r="D801" s="11" t="n"/>
      <c r="E801" s="12" t="n"/>
      <c r="F801" s="10">
        <f>IF($E801="","",IFERROR(IF(VLOOKUP(LEFT(UPPER(TRIM($E801)),6),BankTbl,2,0)="","(بدون عنوان)",VLOOKUP(LEFT(UPPER(TRIM($E801)),6),BankTbl,2,0)),"بانک ناشناخته"))</f>
        <v/>
      </c>
      <c r="G801" s="11" t="n"/>
      <c r="H801" s="10">
        <f>IF($G801="","",IFERROR(VLOOKUP($G801,CustTbl,2,0),IFERROR(VLOOKUP($G801,SuppTbl,2,0),IFERROR(VLOOKUP($G801,AcctTbl,2,0),IFERROR(VLOOKUP($G801,StaffTbl,2,0),"کد ناشناخته")))))</f>
        <v/>
      </c>
      <c r="I801" s="12" t="n"/>
      <c r="J801" s="12" t="n"/>
      <c r="K801" s="13" t="n"/>
      <c r="L801" s="13" t="n"/>
      <c r="M801" s="13" t="n"/>
      <c r="N801" s="14">
        <f>IF(OR($C801="",$E801="",Calc!$H801=""),"",IFERROR(VLOOKUP(LEFT(UPPER(TRIM($E801)),6),BankTbl,3,0),0)+SUMIFS(CalcDep,CalcBank,LEFT(UPPER(TRIM($E801)),6),CalcKey,"&lt;="&amp;Calc!$H801)-SUMIFS(CalcWit,CalcBank,LEFT(UPPER(TRIM($E801)),6),CalcKey,"&lt;="&amp;Calc!$H801))</f>
        <v/>
      </c>
      <c r="O801" s="10">
        <f>IF(OR($C801="",$M801=""),"",IF($N801="","؟",IF(ROUND($M801-$N801,0)=0,"√","×")))</f>
        <v/>
      </c>
      <c r="P801" s="12" t="n"/>
    </row>
    <row r="802">
      <c r="A802" s="10">
        <f>IF($C802="","",COUNTA($C$9:$C802))</f>
        <v/>
      </c>
      <c r="B802" s="10">
        <f>IF($C802="","","TXN-"&amp;RIGHT("0000"&amp;794,4))</f>
        <v/>
      </c>
      <c r="C802" s="11" t="n"/>
      <c r="D802" s="11" t="n"/>
      <c r="E802" s="12" t="n"/>
      <c r="F802" s="10">
        <f>IF($E802="","",IFERROR(IF(VLOOKUP(LEFT(UPPER(TRIM($E802)),6),BankTbl,2,0)="","(بدون عنوان)",VLOOKUP(LEFT(UPPER(TRIM($E802)),6),BankTbl,2,0)),"بانک ناشناخته"))</f>
        <v/>
      </c>
      <c r="G802" s="11" t="n"/>
      <c r="H802" s="10">
        <f>IF($G802="","",IFERROR(VLOOKUP($G802,CustTbl,2,0),IFERROR(VLOOKUP($G802,SuppTbl,2,0),IFERROR(VLOOKUP($G802,AcctTbl,2,0),IFERROR(VLOOKUP($G802,StaffTbl,2,0),"کد ناشناخته")))))</f>
        <v/>
      </c>
      <c r="I802" s="12" t="n"/>
      <c r="J802" s="12" t="n"/>
      <c r="K802" s="13" t="n"/>
      <c r="L802" s="13" t="n"/>
      <c r="M802" s="13" t="n"/>
      <c r="N802" s="14">
        <f>IF(OR($C802="",$E802="",Calc!$H802=""),"",IFERROR(VLOOKUP(LEFT(UPPER(TRIM($E802)),6),BankTbl,3,0),0)+SUMIFS(CalcDep,CalcBank,LEFT(UPPER(TRIM($E802)),6),CalcKey,"&lt;="&amp;Calc!$H802)-SUMIFS(CalcWit,CalcBank,LEFT(UPPER(TRIM($E802)),6),CalcKey,"&lt;="&amp;Calc!$H802))</f>
        <v/>
      </c>
      <c r="O802" s="10">
        <f>IF(OR($C802="",$M802=""),"",IF($N802="","؟",IF(ROUND($M802-$N802,0)=0,"√","×")))</f>
        <v/>
      </c>
      <c r="P802" s="12" t="n"/>
    </row>
    <row r="803">
      <c r="A803" s="10">
        <f>IF($C803="","",COUNTA($C$9:$C803))</f>
        <v/>
      </c>
      <c r="B803" s="10">
        <f>IF($C803="","","TXN-"&amp;RIGHT("0000"&amp;795,4))</f>
        <v/>
      </c>
      <c r="C803" s="11" t="n"/>
      <c r="D803" s="11" t="n"/>
      <c r="E803" s="12" t="n"/>
      <c r="F803" s="10">
        <f>IF($E803="","",IFERROR(IF(VLOOKUP(LEFT(UPPER(TRIM($E803)),6),BankTbl,2,0)="","(بدون عنوان)",VLOOKUP(LEFT(UPPER(TRIM($E803)),6),BankTbl,2,0)),"بانک ناشناخته"))</f>
        <v/>
      </c>
      <c r="G803" s="11" t="n"/>
      <c r="H803" s="10">
        <f>IF($G803="","",IFERROR(VLOOKUP($G803,CustTbl,2,0),IFERROR(VLOOKUP($G803,SuppTbl,2,0),IFERROR(VLOOKUP($G803,AcctTbl,2,0),IFERROR(VLOOKUP($G803,StaffTbl,2,0),"کد ناشناخته")))))</f>
        <v/>
      </c>
      <c r="I803" s="12" t="n"/>
      <c r="J803" s="12" t="n"/>
      <c r="K803" s="13" t="n"/>
      <c r="L803" s="13" t="n"/>
      <c r="M803" s="13" t="n"/>
      <c r="N803" s="14">
        <f>IF(OR($C803="",$E803="",Calc!$H803=""),"",IFERROR(VLOOKUP(LEFT(UPPER(TRIM($E803)),6),BankTbl,3,0),0)+SUMIFS(CalcDep,CalcBank,LEFT(UPPER(TRIM($E803)),6),CalcKey,"&lt;="&amp;Calc!$H803)-SUMIFS(CalcWit,CalcBank,LEFT(UPPER(TRIM($E803)),6),CalcKey,"&lt;="&amp;Calc!$H803))</f>
        <v/>
      </c>
      <c r="O803" s="10">
        <f>IF(OR($C803="",$M803=""),"",IF($N803="","؟",IF(ROUND($M803-$N803,0)=0,"√","×")))</f>
        <v/>
      </c>
      <c r="P803" s="12" t="n"/>
    </row>
    <row r="804">
      <c r="A804" s="10">
        <f>IF($C804="","",COUNTA($C$9:$C804))</f>
        <v/>
      </c>
      <c r="B804" s="10">
        <f>IF($C804="","","TXN-"&amp;RIGHT("0000"&amp;796,4))</f>
        <v/>
      </c>
      <c r="C804" s="11" t="n"/>
      <c r="D804" s="11" t="n"/>
      <c r="E804" s="12" t="n"/>
      <c r="F804" s="10">
        <f>IF($E804="","",IFERROR(IF(VLOOKUP(LEFT(UPPER(TRIM($E804)),6),BankTbl,2,0)="","(بدون عنوان)",VLOOKUP(LEFT(UPPER(TRIM($E804)),6),BankTbl,2,0)),"بانک ناشناخته"))</f>
        <v/>
      </c>
      <c r="G804" s="11" t="n"/>
      <c r="H804" s="10">
        <f>IF($G804="","",IFERROR(VLOOKUP($G804,CustTbl,2,0),IFERROR(VLOOKUP($G804,SuppTbl,2,0),IFERROR(VLOOKUP($G804,AcctTbl,2,0),IFERROR(VLOOKUP($G804,StaffTbl,2,0),"کد ناشناخته")))))</f>
        <v/>
      </c>
      <c r="I804" s="12" t="n"/>
      <c r="J804" s="12" t="n"/>
      <c r="K804" s="13" t="n"/>
      <c r="L804" s="13" t="n"/>
      <c r="M804" s="13" t="n"/>
      <c r="N804" s="14">
        <f>IF(OR($C804="",$E804="",Calc!$H804=""),"",IFERROR(VLOOKUP(LEFT(UPPER(TRIM($E804)),6),BankTbl,3,0),0)+SUMIFS(CalcDep,CalcBank,LEFT(UPPER(TRIM($E804)),6),CalcKey,"&lt;="&amp;Calc!$H804)-SUMIFS(CalcWit,CalcBank,LEFT(UPPER(TRIM($E804)),6),CalcKey,"&lt;="&amp;Calc!$H804))</f>
        <v/>
      </c>
      <c r="O804" s="10">
        <f>IF(OR($C804="",$M804=""),"",IF($N804="","؟",IF(ROUND($M804-$N804,0)=0,"√","×")))</f>
        <v/>
      </c>
      <c r="P804" s="12" t="n"/>
    </row>
    <row r="805">
      <c r="A805" s="10">
        <f>IF($C805="","",COUNTA($C$9:$C805))</f>
        <v/>
      </c>
      <c r="B805" s="10">
        <f>IF($C805="","","TXN-"&amp;RIGHT("0000"&amp;797,4))</f>
        <v/>
      </c>
      <c r="C805" s="11" t="n"/>
      <c r="D805" s="11" t="n"/>
      <c r="E805" s="12" t="n"/>
      <c r="F805" s="10">
        <f>IF($E805="","",IFERROR(IF(VLOOKUP(LEFT(UPPER(TRIM($E805)),6),BankTbl,2,0)="","(بدون عنوان)",VLOOKUP(LEFT(UPPER(TRIM($E805)),6),BankTbl,2,0)),"بانک ناشناخته"))</f>
        <v/>
      </c>
      <c r="G805" s="11" t="n"/>
      <c r="H805" s="10">
        <f>IF($G805="","",IFERROR(VLOOKUP($G805,CustTbl,2,0),IFERROR(VLOOKUP($G805,SuppTbl,2,0),IFERROR(VLOOKUP($G805,AcctTbl,2,0),IFERROR(VLOOKUP($G805,StaffTbl,2,0),"کد ناشناخته")))))</f>
        <v/>
      </c>
      <c r="I805" s="12" t="n"/>
      <c r="J805" s="12" t="n"/>
      <c r="K805" s="13" t="n"/>
      <c r="L805" s="13" t="n"/>
      <c r="M805" s="13" t="n"/>
      <c r="N805" s="14">
        <f>IF(OR($C805="",$E805="",Calc!$H805=""),"",IFERROR(VLOOKUP(LEFT(UPPER(TRIM($E805)),6),BankTbl,3,0),0)+SUMIFS(CalcDep,CalcBank,LEFT(UPPER(TRIM($E805)),6),CalcKey,"&lt;="&amp;Calc!$H805)-SUMIFS(CalcWit,CalcBank,LEFT(UPPER(TRIM($E805)),6),CalcKey,"&lt;="&amp;Calc!$H805))</f>
        <v/>
      </c>
      <c r="O805" s="10">
        <f>IF(OR($C805="",$M805=""),"",IF($N805="","؟",IF(ROUND($M805-$N805,0)=0,"√","×")))</f>
        <v/>
      </c>
      <c r="P805" s="12" t="n"/>
    </row>
    <row r="806">
      <c r="A806" s="10">
        <f>IF($C806="","",COUNTA($C$9:$C806))</f>
        <v/>
      </c>
      <c r="B806" s="10">
        <f>IF($C806="","","TXN-"&amp;RIGHT("0000"&amp;798,4))</f>
        <v/>
      </c>
      <c r="C806" s="11" t="n"/>
      <c r="D806" s="11" t="n"/>
      <c r="E806" s="12" t="n"/>
      <c r="F806" s="10">
        <f>IF($E806="","",IFERROR(IF(VLOOKUP(LEFT(UPPER(TRIM($E806)),6),BankTbl,2,0)="","(بدون عنوان)",VLOOKUP(LEFT(UPPER(TRIM($E806)),6),BankTbl,2,0)),"بانک ناشناخته"))</f>
        <v/>
      </c>
      <c r="G806" s="11" t="n"/>
      <c r="H806" s="10">
        <f>IF($G806="","",IFERROR(VLOOKUP($G806,CustTbl,2,0),IFERROR(VLOOKUP($G806,SuppTbl,2,0),IFERROR(VLOOKUP($G806,AcctTbl,2,0),IFERROR(VLOOKUP($G806,StaffTbl,2,0),"کد ناشناخته")))))</f>
        <v/>
      </c>
      <c r="I806" s="12" t="n"/>
      <c r="J806" s="12" t="n"/>
      <c r="K806" s="13" t="n"/>
      <c r="L806" s="13" t="n"/>
      <c r="M806" s="13" t="n"/>
      <c r="N806" s="14">
        <f>IF(OR($C806="",$E806="",Calc!$H806=""),"",IFERROR(VLOOKUP(LEFT(UPPER(TRIM($E806)),6),BankTbl,3,0),0)+SUMIFS(CalcDep,CalcBank,LEFT(UPPER(TRIM($E806)),6),CalcKey,"&lt;="&amp;Calc!$H806)-SUMIFS(CalcWit,CalcBank,LEFT(UPPER(TRIM($E806)),6),CalcKey,"&lt;="&amp;Calc!$H806))</f>
        <v/>
      </c>
      <c r="O806" s="10">
        <f>IF(OR($C806="",$M806=""),"",IF($N806="","؟",IF(ROUND($M806-$N806,0)=0,"√","×")))</f>
        <v/>
      </c>
      <c r="P806" s="12" t="n"/>
    </row>
    <row r="807">
      <c r="A807" s="10">
        <f>IF($C807="","",COUNTA($C$9:$C807))</f>
        <v/>
      </c>
      <c r="B807" s="10">
        <f>IF($C807="","","TXN-"&amp;RIGHT("0000"&amp;799,4))</f>
        <v/>
      </c>
      <c r="C807" s="11" t="n"/>
      <c r="D807" s="11" t="n"/>
      <c r="E807" s="12" t="n"/>
      <c r="F807" s="10">
        <f>IF($E807="","",IFERROR(IF(VLOOKUP(LEFT(UPPER(TRIM($E807)),6),BankTbl,2,0)="","(بدون عنوان)",VLOOKUP(LEFT(UPPER(TRIM($E807)),6),BankTbl,2,0)),"بانک ناشناخته"))</f>
        <v/>
      </c>
      <c r="G807" s="11" t="n"/>
      <c r="H807" s="10">
        <f>IF($G807="","",IFERROR(VLOOKUP($G807,CustTbl,2,0),IFERROR(VLOOKUP($G807,SuppTbl,2,0),IFERROR(VLOOKUP($G807,AcctTbl,2,0),IFERROR(VLOOKUP($G807,StaffTbl,2,0),"کد ناشناخته")))))</f>
        <v/>
      </c>
      <c r="I807" s="12" t="n"/>
      <c r="J807" s="12" t="n"/>
      <c r="K807" s="13" t="n"/>
      <c r="L807" s="13" t="n"/>
      <c r="M807" s="13" t="n"/>
      <c r="N807" s="14">
        <f>IF(OR($C807="",$E807="",Calc!$H807=""),"",IFERROR(VLOOKUP(LEFT(UPPER(TRIM($E807)),6),BankTbl,3,0),0)+SUMIFS(CalcDep,CalcBank,LEFT(UPPER(TRIM($E807)),6),CalcKey,"&lt;="&amp;Calc!$H807)-SUMIFS(CalcWit,CalcBank,LEFT(UPPER(TRIM($E807)),6),CalcKey,"&lt;="&amp;Calc!$H807))</f>
        <v/>
      </c>
      <c r="O807" s="10">
        <f>IF(OR($C807="",$M807=""),"",IF($N807="","؟",IF(ROUND($M807-$N807,0)=0,"√","×")))</f>
        <v/>
      </c>
      <c r="P807" s="12" t="n"/>
    </row>
    <row r="808">
      <c r="A808" s="10">
        <f>IF($C808="","",COUNTA($C$9:$C808))</f>
        <v/>
      </c>
      <c r="B808" s="10">
        <f>IF($C808="","","TXN-"&amp;RIGHT("0000"&amp;800,4))</f>
        <v/>
      </c>
      <c r="C808" s="11" t="n"/>
      <c r="D808" s="11" t="n"/>
      <c r="E808" s="12" t="n"/>
      <c r="F808" s="10">
        <f>IF($E808="","",IFERROR(IF(VLOOKUP(LEFT(UPPER(TRIM($E808)),6),BankTbl,2,0)="","(بدون عنوان)",VLOOKUP(LEFT(UPPER(TRIM($E808)),6),BankTbl,2,0)),"بانک ناشناخته"))</f>
        <v/>
      </c>
      <c r="G808" s="11" t="n"/>
      <c r="H808" s="10">
        <f>IF($G808="","",IFERROR(VLOOKUP($G808,CustTbl,2,0),IFERROR(VLOOKUP($G808,SuppTbl,2,0),IFERROR(VLOOKUP($G808,AcctTbl,2,0),IFERROR(VLOOKUP($G808,StaffTbl,2,0),"کد ناشناخته")))))</f>
        <v/>
      </c>
      <c r="I808" s="12" t="n"/>
      <c r="J808" s="12" t="n"/>
      <c r="K808" s="13" t="n"/>
      <c r="L808" s="13" t="n"/>
      <c r="M808" s="13" t="n"/>
      <c r="N808" s="14">
        <f>IF(OR($C808="",$E808="",Calc!$H808=""),"",IFERROR(VLOOKUP(LEFT(UPPER(TRIM($E808)),6),BankTbl,3,0),0)+SUMIFS(CalcDep,CalcBank,LEFT(UPPER(TRIM($E808)),6),CalcKey,"&lt;="&amp;Calc!$H808)-SUMIFS(CalcWit,CalcBank,LEFT(UPPER(TRIM($E808)),6),CalcKey,"&lt;="&amp;Calc!$H808))</f>
        <v/>
      </c>
      <c r="O808" s="10">
        <f>IF(OR($C808="",$M808=""),"",IF($N808="","؟",IF(ROUND($M808-$N808,0)=0,"√","×")))</f>
        <v/>
      </c>
      <c r="P808" s="12" t="n"/>
    </row>
    <row r="809">
      <c r="A809" s="10">
        <f>IF($C809="","",COUNTA($C$9:$C809))</f>
        <v/>
      </c>
      <c r="B809" s="10">
        <f>IF($C809="","","TXN-"&amp;RIGHT("0000"&amp;801,4))</f>
        <v/>
      </c>
      <c r="C809" s="11" t="n"/>
      <c r="D809" s="11" t="n"/>
      <c r="E809" s="12" t="n"/>
      <c r="F809" s="10">
        <f>IF($E809="","",IFERROR(IF(VLOOKUP(LEFT(UPPER(TRIM($E809)),6),BankTbl,2,0)="","(بدون عنوان)",VLOOKUP(LEFT(UPPER(TRIM($E809)),6),BankTbl,2,0)),"بانک ناشناخته"))</f>
        <v/>
      </c>
      <c r="G809" s="11" t="n"/>
      <c r="H809" s="10">
        <f>IF($G809="","",IFERROR(VLOOKUP($G809,CustTbl,2,0),IFERROR(VLOOKUP($G809,SuppTbl,2,0),IFERROR(VLOOKUP($G809,AcctTbl,2,0),IFERROR(VLOOKUP($G809,StaffTbl,2,0),"کد ناشناخته")))))</f>
        <v/>
      </c>
      <c r="I809" s="12" t="n"/>
      <c r="J809" s="12" t="n"/>
      <c r="K809" s="13" t="n"/>
      <c r="L809" s="13" t="n"/>
      <c r="M809" s="13" t="n"/>
      <c r="N809" s="14">
        <f>IF(OR($C809="",$E809="",Calc!$H809=""),"",IFERROR(VLOOKUP(LEFT(UPPER(TRIM($E809)),6),BankTbl,3,0),0)+SUMIFS(CalcDep,CalcBank,LEFT(UPPER(TRIM($E809)),6),CalcKey,"&lt;="&amp;Calc!$H809)-SUMIFS(CalcWit,CalcBank,LEFT(UPPER(TRIM($E809)),6),CalcKey,"&lt;="&amp;Calc!$H809))</f>
        <v/>
      </c>
      <c r="O809" s="10">
        <f>IF(OR($C809="",$M809=""),"",IF($N809="","؟",IF(ROUND($M809-$N809,0)=0,"√","×")))</f>
        <v/>
      </c>
      <c r="P809" s="12" t="n"/>
    </row>
    <row r="810">
      <c r="A810" s="10">
        <f>IF($C810="","",COUNTA($C$9:$C810))</f>
        <v/>
      </c>
      <c r="B810" s="10">
        <f>IF($C810="","","TXN-"&amp;RIGHT("0000"&amp;802,4))</f>
        <v/>
      </c>
      <c r="C810" s="11" t="n"/>
      <c r="D810" s="11" t="n"/>
      <c r="E810" s="12" t="n"/>
      <c r="F810" s="10">
        <f>IF($E810="","",IFERROR(IF(VLOOKUP(LEFT(UPPER(TRIM($E810)),6),BankTbl,2,0)="","(بدون عنوان)",VLOOKUP(LEFT(UPPER(TRIM($E810)),6),BankTbl,2,0)),"بانک ناشناخته"))</f>
        <v/>
      </c>
      <c r="G810" s="11" t="n"/>
      <c r="H810" s="10">
        <f>IF($G810="","",IFERROR(VLOOKUP($G810,CustTbl,2,0),IFERROR(VLOOKUP($G810,SuppTbl,2,0),IFERROR(VLOOKUP($G810,AcctTbl,2,0),IFERROR(VLOOKUP($G810,StaffTbl,2,0),"کد ناشناخته")))))</f>
        <v/>
      </c>
      <c r="I810" s="12" t="n"/>
      <c r="J810" s="12" t="n"/>
      <c r="K810" s="13" t="n"/>
      <c r="L810" s="13" t="n"/>
      <c r="M810" s="13" t="n"/>
      <c r="N810" s="14">
        <f>IF(OR($C810="",$E810="",Calc!$H810=""),"",IFERROR(VLOOKUP(LEFT(UPPER(TRIM($E810)),6),BankTbl,3,0),0)+SUMIFS(CalcDep,CalcBank,LEFT(UPPER(TRIM($E810)),6),CalcKey,"&lt;="&amp;Calc!$H810)-SUMIFS(CalcWit,CalcBank,LEFT(UPPER(TRIM($E810)),6),CalcKey,"&lt;="&amp;Calc!$H810))</f>
        <v/>
      </c>
      <c r="O810" s="10">
        <f>IF(OR($C810="",$M810=""),"",IF($N810="","؟",IF(ROUND($M810-$N810,0)=0,"√","×")))</f>
        <v/>
      </c>
      <c r="P810" s="12" t="n"/>
    </row>
    <row r="811">
      <c r="A811" s="10">
        <f>IF($C811="","",COUNTA($C$9:$C811))</f>
        <v/>
      </c>
      <c r="B811" s="10">
        <f>IF($C811="","","TXN-"&amp;RIGHT("0000"&amp;803,4))</f>
        <v/>
      </c>
      <c r="C811" s="11" t="n"/>
      <c r="D811" s="11" t="n"/>
      <c r="E811" s="12" t="n"/>
      <c r="F811" s="10">
        <f>IF($E811="","",IFERROR(IF(VLOOKUP(LEFT(UPPER(TRIM($E811)),6),BankTbl,2,0)="","(بدون عنوان)",VLOOKUP(LEFT(UPPER(TRIM($E811)),6),BankTbl,2,0)),"بانک ناشناخته"))</f>
        <v/>
      </c>
      <c r="G811" s="11" t="n"/>
      <c r="H811" s="10">
        <f>IF($G811="","",IFERROR(VLOOKUP($G811,CustTbl,2,0),IFERROR(VLOOKUP($G811,SuppTbl,2,0),IFERROR(VLOOKUP($G811,AcctTbl,2,0),IFERROR(VLOOKUP($G811,StaffTbl,2,0),"کد ناشناخته")))))</f>
        <v/>
      </c>
      <c r="I811" s="12" t="n"/>
      <c r="J811" s="12" t="n"/>
      <c r="K811" s="13" t="n"/>
      <c r="L811" s="13" t="n"/>
      <c r="M811" s="13" t="n"/>
      <c r="N811" s="14">
        <f>IF(OR($C811="",$E811="",Calc!$H811=""),"",IFERROR(VLOOKUP(LEFT(UPPER(TRIM($E811)),6),BankTbl,3,0),0)+SUMIFS(CalcDep,CalcBank,LEFT(UPPER(TRIM($E811)),6),CalcKey,"&lt;="&amp;Calc!$H811)-SUMIFS(CalcWit,CalcBank,LEFT(UPPER(TRIM($E811)),6),CalcKey,"&lt;="&amp;Calc!$H811))</f>
        <v/>
      </c>
      <c r="O811" s="10">
        <f>IF(OR($C811="",$M811=""),"",IF($N811="","؟",IF(ROUND($M811-$N811,0)=0,"√","×")))</f>
        <v/>
      </c>
      <c r="P811" s="12" t="n"/>
    </row>
    <row r="812">
      <c r="A812" s="10">
        <f>IF($C812="","",COUNTA($C$9:$C812))</f>
        <v/>
      </c>
      <c r="B812" s="10">
        <f>IF($C812="","","TXN-"&amp;RIGHT("0000"&amp;804,4))</f>
        <v/>
      </c>
      <c r="C812" s="11" t="n"/>
      <c r="D812" s="11" t="n"/>
      <c r="E812" s="12" t="n"/>
      <c r="F812" s="10">
        <f>IF($E812="","",IFERROR(IF(VLOOKUP(LEFT(UPPER(TRIM($E812)),6),BankTbl,2,0)="","(بدون عنوان)",VLOOKUP(LEFT(UPPER(TRIM($E812)),6),BankTbl,2,0)),"بانک ناشناخته"))</f>
        <v/>
      </c>
      <c r="G812" s="11" t="n"/>
      <c r="H812" s="10">
        <f>IF($G812="","",IFERROR(VLOOKUP($G812,CustTbl,2,0),IFERROR(VLOOKUP($G812,SuppTbl,2,0),IFERROR(VLOOKUP($G812,AcctTbl,2,0),IFERROR(VLOOKUP($G812,StaffTbl,2,0),"کد ناشناخته")))))</f>
        <v/>
      </c>
      <c r="I812" s="12" t="n"/>
      <c r="J812" s="12" t="n"/>
      <c r="K812" s="13" t="n"/>
      <c r="L812" s="13" t="n"/>
      <c r="M812" s="13" t="n"/>
      <c r="N812" s="14">
        <f>IF(OR($C812="",$E812="",Calc!$H812=""),"",IFERROR(VLOOKUP(LEFT(UPPER(TRIM($E812)),6),BankTbl,3,0),0)+SUMIFS(CalcDep,CalcBank,LEFT(UPPER(TRIM($E812)),6),CalcKey,"&lt;="&amp;Calc!$H812)-SUMIFS(CalcWit,CalcBank,LEFT(UPPER(TRIM($E812)),6),CalcKey,"&lt;="&amp;Calc!$H812))</f>
        <v/>
      </c>
      <c r="O812" s="10">
        <f>IF(OR($C812="",$M812=""),"",IF($N812="","؟",IF(ROUND($M812-$N812,0)=0,"√","×")))</f>
        <v/>
      </c>
      <c r="P812" s="12" t="n"/>
    </row>
    <row r="813">
      <c r="A813" s="10">
        <f>IF($C813="","",COUNTA($C$9:$C813))</f>
        <v/>
      </c>
      <c r="B813" s="10">
        <f>IF($C813="","","TXN-"&amp;RIGHT("0000"&amp;805,4))</f>
        <v/>
      </c>
      <c r="C813" s="11" t="n"/>
      <c r="D813" s="11" t="n"/>
      <c r="E813" s="12" t="n"/>
      <c r="F813" s="10">
        <f>IF($E813="","",IFERROR(IF(VLOOKUP(LEFT(UPPER(TRIM($E813)),6),BankTbl,2,0)="","(بدون عنوان)",VLOOKUP(LEFT(UPPER(TRIM($E813)),6),BankTbl,2,0)),"بانک ناشناخته"))</f>
        <v/>
      </c>
      <c r="G813" s="11" t="n"/>
      <c r="H813" s="10">
        <f>IF($G813="","",IFERROR(VLOOKUP($G813,CustTbl,2,0),IFERROR(VLOOKUP($G813,SuppTbl,2,0),IFERROR(VLOOKUP($G813,AcctTbl,2,0),IFERROR(VLOOKUP($G813,StaffTbl,2,0),"کد ناشناخته")))))</f>
        <v/>
      </c>
      <c r="I813" s="12" t="n"/>
      <c r="J813" s="12" t="n"/>
      <c r="K813" s="13" t="n"/>
      <c r="L813" s="13" t="n"/>
      <c r="M813" s="13" t="n"/>
      <c r="N813" s="14">
        <f>IF(OR($C813="",$E813="",Calc!$H813=""),"",IFERROR(VLOOKUP(LEFT(UPPER(TRIM($E813)),6),BankTbl,3,0),0)+SUMIFS(CalcDep,CalcBank,LEFT(UPPER(TRIM($E813)),6),CalcKey,"&lt;="&amp;Calc!$H813)-SUMIFS(CalcWit,CalcBank,LEFT(UPPER(TRIM($E813)),6),CalcKey,"&lt;="&amp;Calc!$H813))</f>
        <v/>
      </c>
      <c r="O813" s="10">
        <f>IF(OR($C813="",$M813=""),"",IF($N813="","؟",IF(ROUND($M813-$N813,0)=0,"√","×")))</f>
        <v/>
      </c>
      <c r="P813" s="12" t="n"/>
    </row>
    <row r="814">
      <c r="A814" s="10">
        <f>IF($C814="","",COUNTA($C$9:$C814))</f>
        <v/>
      </c>
      <c r="B814" s="10">
        <f>IF($C814="","","TXN-"&amp;RIGHT("0000"&amp;806,4))</f>
        <v/>
      </c>
      <c r="C814" s="11" t="n"/>
      <c r="D814" s="11" t="n"/>
      <c r="E814" s="12" t="n"/>
      <c r="F814" s="10">
        <f>IF($E814="","",IFERROR(IF(VLOOKUP(LEFT(UPPER(TRIM($E814)),6),BankTbl,2,0)="","(بدون عنوان)",VLOOKUP(LEFT(UPPER(TRIM($E814)),6),BankTbl,2,0)),"بانک ناشناخته"))</f>
        <v/>
      </c>
      <c r="G814" s="11" t="n"/>
      <c r="H814" s="10">
        <f>IF($G814="","",IFERROR(VLOOKUP($G814,CustTbl,2,0),IFERROR(VLOOKUP($G814,SuppTbl,2,0),IFERROR(VLOOKUP($G814,AcctTbl,2,0),IFERROR(VLOOKUP($G814,StaffTbl,2,0),"کد ناشناخته")))))</f>
        <v/>
      </c>
      <c r="I814" s="12" t="n"/>
      <c r="J814" s="12" t="n"/>
      <c r="K814" s="13" t="n"/>
      <c r="L814" s="13" t="n"/>
      <c r="M814" s="13" t="n"/>
      <c r="N814" s="14">
        <f>IF(OR($C814="",$E814="",Calc!$H814=""),"",IFERROR(VLOOKUP(LEFT(UPPER(TRIM($E814)),6),BankTbl,3,0),0)+SUMIFS(CalcDep,CalcBank,LEFT(UPPER(TRIM($E814)),6),CalcKey,"&lt;="&amp;Calc!$H814)-SUMIFS(CalcWit,CalcBank,LEFT(UPPER(TRIM($E814)),6),CalcKey,"&lt;="&amp;Calc!$H814))</f>
        <v/>
      </c>
      <c r="O814" s="10">
        <f>IF(OR($C814="",$M814=""),"",IF($N814="","؟",IF(ROUND($M814-$N814,0)=0,"√","×")))</f>
        <v/>
      </c>
      <c r="P814" s="12" t="n"/>
    </row>
    <row r="815">
      <c r="A815" s="10">
        <f>IF($C815="","",COUNTA($C$9:$C815))</f>
        <v/>
      </c>
      <c r="B815" s="10">
        <f>IF($C815="","","TXN-"&amp;RIGHT("0000"&amp;807,4))</f>
        <v/>
      </c>
      <c r="C815" s="11" t="n"/>
      <c r="D815" s="11" t="n"/>
      <c r="E815" s="12" t="n"/>
      <c r="F815" s="10">
        <f>IF($E815="","",IFERROR(IF(VLOOKUP(LEFT(UPPER(TRIM($E815)),6),BankTbl,2,0)="","(بدون عنوان)",VLOOKUP(LEFT(UPPER(TRIM($E815)),6),BankTbl,2,0)),"بانک ناشناخته"))</f>
        <v/>
      </c>
      <c r="G815" s="11" t="n"/>
      <c r="H815" s="10">
        <f>IF($G815="","",IFERROR(VLOOKUP($G815,CustTbl,2,0),IFERROR(VLOOKUP($G815,SuppTbl,2,0),IFERROR(VLOOKUP($G815,AcctTbl,2,0),IFERROR(VLOOKUP($G815,StaffTbl,2,0),"کد ناشناخته")))))</f>
        <v/>
      </c>
      <c r="I815" s="12" t="n"/>
      <c r="J815" s="12" t="n"/>
      <c r="K815" s="13" t="n"/>
      <c r="L815" s="13" t="n"/>
      <c r="M815" s="13" t="n"/>
      <c r="N815" s="14">
        <f>IF(OR($C815="",$E815="",Calc!$H815=""),"",IFERROR(VLOOKUP(LEFT(UPPER(TRIM($E815)),6),BankTbl,3,0),0)+SUMIFS(CalcDep,CalcBank,LEFT(UPPER(TRIM($E815)),6),CalcKey,"&lt;="&amp;Calc!$H815)-SUMIFS(CalcWit,CalcBank,LEFT(UPPER(TRIM($E815)),6),CalcKey,"&lt;="&amp;Calc!$H815))</f>
        <v/>
      </c>
      <c r="O815" s="10">
        <f>IF(OR($C815="",$M815=""),"",IF($N815="","؟",IF(ROUND($M815-$N815,0)=0,"√","×")))</f>
        <v/>
      </c>
      <c r="P815" s="12" t="n"/>
    </row>
    <row r="816">
      <c r="A816" s="10">
        <f>IF($C816="","",COUNTA($C$9:$C816))</f>
        <v/>
      </c>
      <c r="B816" s="10">
        <f>IF($C816="","","TXN-"&amp;RIGHT("0000"&amp;808,4))</f>
        <v/>
      </c>
      <c r="C816" s="11" t="n"/>
      <c r="D816" s="11" t="n"/>
      <c r="E816" s="12" t="n"/>
      <c r="F816" s="10">
        <f>IF($E816="","",IFERROR(IF(VLOOKUP(LEFT(UPPER(TRIM($E816)),6),BankTbl,2,0)="","(بدون عنوان)",VLOOKUP(LEFT(UPPER(TRIM($E816)),6),BankTbl,2,0)),"بانک ناشناخته"))</f>
        <v/>
      </c>
      <c r="G816" s="11" t="n"/>
      <c r="H816" s="10">
        <f>IF($G816="","",IFERROR(VLOOKUP($G816,CustTbl,2,0),IFERROR(VLOOKUP($G816,SuppTbl,2,0),IFERROR(VLOOKUP($G816,AcctTbl,2,0),IFERROR(VLOOKUP($G816,StaffTbl,2,0),"کد ناشناخته")))))</f>
        <v/>
      </c>
      <c r="I816" s="12" t="n"/>
      <c r="J816" s="12" t="n"/>
      <c r="K816" s="13" t="n"/>
      <c r="L816" s="13" t="n"/>
      <c r="M816" s="13" t="n"/>
      <c r="N816" s="14">
        <f>IF(OR($C816="",$E816="",Calc!$H816=""),"",IFERROR(VLOOKUP(LEFT(UPPER(TRIM($E816)),6),BankTbl,3,0),0)+SUMIFS(CalcDep,CalcBank,LEFT(UPPER(TRIM($E816)),6),CalcKey,"&lt;="&amp;Calc!$H816)-SUMIFS(CalcWit,CalcBank,LEFT(UPPER(TRIM($E816)),6),CalcKey,"&lt;="&amp;Calc!$H816))</f>
        <v/>
      </c>
      <c r="O816" s="10">
        <f>IF(OR($C816="",$M816=""),"",IF($N816="","؟",IF(ROUND($M816-$N816,0)=0,"√","×")))</f>
        <v/>
      </c>
      <c r="P816" s="12" t="n"/>
    </row>
    <row r="817">
      <c r="A817" s="10">
        <f>IF($C817="","",COUNTA($C$9:$C817))</f>
        <v/>
      </c>
      <c r="B817" s="10">
        <f>IF($C817="","","TXN-"&amp;RIGHT("0000"&amp;809,4))</f>
        <v/>
      </c>
      <c r="C817" s="11" t="n"/>
      <c r="D817" s="11" t="n"/>
      <c r="E817" s="12" t="n"/>
      <c r="F817" s="10">
        <f>IF($E817="","",IFERROR(IF(VLOOKUP(LEFT(UPPER(TRIM($E817)),6),BankTbl,2,0)="","(بدون عنوان)",VLOOKUP(LEFT(UPPER(TRIM($E817)),6),BankTbl,2,0)),"بانک ناشناخته"))</f>
        <v/>
      </c>
      <c r="G817" s="11" t="n"/>
      <c r="H817" s="10">
        <f>IF($G817="","",IFERROR(VLOOKUP($G817,CustTbl,2,0),IFERROR(VLOOKUP($G817,SuppTbl,2,0),IFERROR(VLOOKUP($G817,AcctTbl,2,0),IFERROR(VLOOKUP($G817,StaffTbl,2,0),"کد ناشناخته")))))</f>
        <v/>
      </c>
      <c r="I817" s="12" t="n"/>
      <c r="J817" s="12" t="n"/>
      <c r="K817" s="13" t="n"/>
      <c r="L817" s="13" t="n"/>
      <c r="M817" s="13" t="n"/>
      <c r="N817" s="14">
        <f>IF(OR($C817="",$E817="",Calc!$H817=""),"",IFERROR(VLOOKUP(LEFT(UPPER(TRIM($E817)),6),BankTbl,3,0),0)+SUMIFS(CalcDep,CalcBank,LEFT(UPPER(TRIM($E817)),6),CalcKey,"&lt;="&amp;Calc!$H817)-SUMIFS(CalcWit,CalcBank,LEFT(UPPER(TRIM($E817)),6),CalcKey,"&lt;="&amp;Calc!$H817))</f>
        <v/>
      </c>
      <c r="O817" s="10">
        <f>IF(OR($C817="",$M817=""),"",IF($N817="","؟",IF(ROUND($M817-$N817,0)=0,"√","×")))</f>
        <v/>
      </c>
      <c r="P817" s="12" t="n"/>
    </row>
    <row r="818">
      <c r="A818" s="10">
        <f>IF($C818="","",COUNTA($C$9:$C818))</f>
        <v/>
      </c>
      <c r="B818" s="10">
        <f>IF($C818="","","TXN-"&amp;RIGHT("0000"&amp;810,4))</f>
        <v/>
      </c>
      <c r="C818" s="11" t="n"/>
      <c r="D818" s="11" t="n"/>
      <c r="E818" s="12" t="n"/>
      <c r="F818" s="10">
        <f>IF($E818="","",IFERROR(IF(VLOOKUP(LEFT(UPPER(TRIM($E818)),6),BankTbl,2,0)="","(بدون عنوان)",VLOOKUP(LEFT(UPPER(TRIM($E818)),6),BankTbl,2,0)),"بانک ناشناخته"))</f>
        <v/>
      </c>
      <c r="G818" s="11" t="n"/>
      <c r="H818" s="10">
        <f>IF($G818="","",IFERROR(VLOOKUP($G818,CustTbl,2,0),IFERROR(VLOOKUP($G818,SuppTbl,2,0),IFERROR(VLOOKUP($G818,AcctTbl,2,0),IFERROR(VLOOKUP($G818,StaffTbl,2,0),"کد ناشناخته")))))</f>
        <v/>
      </c>
      <c r="I818" s="12" t="n"/>
      <c r="J818" s="12" t="n"/>
      <c r="K818" s="13" t="n"/>
      <c r="L818" s="13" t="n"/>
      <c r="M818" s="13" t="n"/>
      <c r="N818" s="14">
        <f>IF(OR($C818="",$E818="",Calc!$H818=""),"",IFERROR(VLOOKUP(LEFT(UPPER(TRIM($E818)),6),BankTbl,3,0),0)+SUMIFS(CalcDep,CalcBank,LEFT(UPPER(TRIM($E818)),6),CalcKey,"&lt;="&amp;Calc!$H818)-SUMIFS(CalcWit,CalcBank,LEFT(UPPER(TRIM($E818)),6),CalcKey,"&lt;="&amp;Calc!$H818))</f>
        <v/>
      </c>
      <c r="O818" s="10">
        <f>IF(OR($C818="",$M818=""),"",IF($N818="","؟",IF(ROUND($M818-$N818,0)=0,"√","×")))</f>
        <v/>
      </c>
      <c r="P818" s="12" t="n"/>
    </row>
    <row r="819">
      <c r="A819" s="10">
        <f>IF($C819="","",COUNTA($C$9:$C819))</f>
        <v/>
      </c>
      <c r="B819" s="10">
        <f>IF($C819="","","TXN-"&amp;RIGHT("0000"&amp;811,4))</f>
        <v/>
      </c>
      <c r="C819" s="11" t="n"/>
      <c r="D819" s="11" t="n"/>
      <c r="E819" s="12" t="n"/>
      <c r="F819" s="10">
        <f>IF($E819="","",IFERROR(IF(VLOOKUP(LEFT(UPPER(TRIM($E819)),6),BankTbl,2,0)="","(بدون عنوان)",VLOOKUP(LEFT(UPPER(TRIM($E819)),6),BankTbl,2,0)),"بانک ناشناخته"))</f>
        <v/>
      </c>
      <c r="G819" s="11" t="n"/>
      <c r="H819" s="10">
        <f>IF($G819="","",IFERROR(VLOOKUP($G819,CustTbl,2,0),IFERROR(VLOOKUP($G819,SuppTbl,2,0),IFERROR(VLOOKUP($G819,AcctTbl,2,0),IFERROR(VLOOKUP($G819,StaffTbl,2,0),"کد ناشناخته")))))</f>
        <v/>
      </c>
      <c r="I819" s="12" t="n"/>
      <c r="J819" s="12" t="n"/>
      <c r="K819" s="13" t="n"/>
      <c r="L819" s="13" t="n"/>
      <c r="M819" s="13" t="n"/>
      <c r="N819" s="14">
        <f>IF(OR($C819="",$E819="",Calc!$H819=""),"",IFERROR(VLOOKUP(LEFT(UPPER(TRIM($E819)),6),BankTbl,3,0),0)+SUMIFS(CalcDep,CalcBank,LEFT(UPPER(TRIM($E819)),6),CalcKey,"&lt;="&amp;Calc!$H819)-SUMIFS(CalcWit,CalcBank,LEFT(UPPER(TRIM($E819)),6),CalcKey,"&lt;="&amp;Calc!$H819))</f>
        <v/>
      </c>
      <c r="O819" s="10">
        <f>IF(OR($C819="",$M819=""),"",IF($N819="","؟",IF(ROUND($M819-$N819,0)=0,"√","×")))</f>
        <v/>
      </c>
      <c r="P819" s="12" t="n"/>
    </row>
    <row r="820">
      <c r="A820" s="10">
        <f>IF($C820="","",COUNTA($C$9:$C820))</f>
        <v/>
      </c>
      <c r="B820" s="10">
        <f>IF($C820="","","TXN-"&amp;RIGHT("0000"&amp;812,4))</f>
        <v/>
      </c>
      <c r="C820" s="11" t="n"/>
      <c r="D820" s="11" t="n"/>
      <c r="E820" s="12" t="n"/>
      <c r="F820" s="10">
        <f>IF($E820="","",IFERROR(IF(VLOOKUP(LEFT(UPPER(TRIM($E820)),6),BankTbl,2,0)="","(بدون عنوان)",VLOOKUP(LEFT(UPPER(TRIM($E820)),6),BankTbl,2,0)),"بانک ناشناخته"))</f>
        <v/>
      </c>
      <c r="G820" s="11" t="n"/>
      <c r="H820" s="10">
        <f>IF($G820="","",IFERROR(VLOOKUP($G820,CustTbl,2,0),IFERROR(VLOOKUP($G820,SuppTbl,2,0),IFERROR(VLOOKUP($G820,AcctTbl,2,0),IFERROR(VLOOKUP($G820,StaffTbl,2,0),"کد ناشناخته")))))</f>
        <v/>
      </c>
      <c r="I820" s="12" t="n"/>
      <c r="J820" s="12" t="n"/>
      <c r="K820" s="13" t="n"/>
      <c r="L820" s="13" t="n"/>
      <c r="M820" s="13" t="n"/>
      <c r="N820" s="14">
        <f>IF(OR($C820="",$E820="",Calc!$H820=""),"",IFERROR(VLOOKUP(LEFT(UPPER(TRIM($E820)),6),BankTbl,3,0),0)+SUMIFS(CalcDep,CalcBank,LEFT(UPPER(TRIM($E820)),6),CalcKey,"&lt;="&amp;Calc!$H820)-SUMIFS(CalcWit,CalcBank,LEFT(UPPER(TRIM($E820)),6),CalcKey,"&lt;="&amp;Calc!$H820))</f>
        <v/>
      </c>
      <c r="O820" s="10">
        <f>IF(OR($C820="",$M820=""),"",IF($N820="","؟",IF(ROUND($M820-$N820,0)=0,"√","×")))</f>
        <v/>
      </c>
      <c r="P820" s="12" t="n"/>
    </row>
    <row r="821">
      <c r="A821" s="10">
        <f>IF($C821="","",COUNTA($C$9:$C821))</f>
        <v/>
      </c>
      <c r="B821" s="10">
        <f>IF($C821="","","TXN-"&amp;RIGHT("0000"&amp;813,4))</f>
        <v/>
      </c>
      <c r="C821" s="11" t="n"/>
      <c r="D821" s="11" t="n"/>
      <c r="E821" s="12" t="n"/>
      <c r="F821" s="10">
        <f>IF($E821="","",IFERROR(IF(VLOOKUP(LEFT(UPPER(TRIM($E821)),6),BankTbl,2,0)="","(بدون عنوان)",VLOOKUP(LEFT(UPPER(TRIM($E821)),6),BankTbl,2,0)),"بانک ناشناخته"))</f>
        <v/>
      </c>
      <c r="G821" s="11" t="n"/>
      <c r="H821" s="10">
        <f>IF($G821="","",IFERROR(VLOOKUP($G821,CustTbl,2,0),IFERROR(VLOOKUP($G821,SuppTbl,2,0),IFERROR(VLOOKUP($G821,AcctTbl,2,0),IFERROR(VLOOKUP($G821,StaffTbl,2,0),"کد ناشناخته")))))</f>
        <v/>
      </c>
      <c r="I821" s="12" t="n"/>
      <c r="J821" s="12" t="n"/>
      <c r="K821" s="13" t="n"/>
      <c r="L821" s="13" t="n"/>
      <c r="M821" s="13" t="n"/>
      <c r="N821" s="14">
        <f>IF(OR($C821="",$E821="",Calc!$H821=""),"",IFERROR(VLOOKUP(LEFT(UPPER(TRIM($E821)),6),BankTbl,3,0),0)+SUMIFS(CalcDep,CalcBank,LEFT(UPPER(TRIM($E821)),6),CalcKey,"&lt;="&amp;Calc!$H821)-SUMIFS(CalcWit,CalcBank,LEFT(UPPER(TRIM($E821)),6),CalcKey,"&lt;="&amp;Calc!$H821))</f>
        <v/>
      </c>
      <c r="O821" s="10">
        <f>IF(OR($C821="",$M821=""),"",IF($N821="","؟",IF(ROUND($M821-$N821,0)=0,"√","×")))</f>
        <v/>
      </c>
      <c r="P821" s="12" t="n"/>
    </row>
    <row r="822">
      <c r="A822" s="10">
        <f>IF($C822="","",COUNTA($C$9:$C822))</f>
        <v/>
      </c>
      <c r="B822" s="10">
        <f>IF($C822="","","TXN-"&amp;RIGHT("0000"&amp;814,4))</f>
        <v/>
      </c>
      <c r="C822" s="11" t="n"/>
      <c r="D822" s="11" t="n"/>
      <c r="E822" s="12" t="n"/>
      <c r="F822" s="10">
        <f>IF($E822="","",IFERROR(IF(VLOOKUP(LEFT(UPPER(TRIM($E822)),6),BankTbl,2,0)="","(بدون عنوان)",VLOOKUP(LEFT(UPPER(TRIM($E822)),6),BankTbl,2,0)),"بانک ناشناخته"))</f>
        <v/>
      </c>
      <c r="G822" s="11" t="n"/>
      <c r="H822" s="10">
        <f>IF($G822="","",IFERROR(VLOOKUP($G822,CustTbl,2,0),IFERROR(VLOOKUP($G822,SuppTbl,2,0),IFERROR(VLOOKUP($G822,AcctTbl,2,0),IFERROR(VLOOKUP($G822,StaffTbl,2,0),"کد ناشناخته")))))</f>
        <v/>
      </c>
      <c r="I822" s="12" t="n"/>
      <c r="J822" s="12" t="n"/>
      <c r="K822" s="13" t="n"/>
      <c r="L822" s="13" t="n"/>
      <c r="M822" s="13" t="n"/>
      <c r="N822" s="14">
        <f>IF(OR($C822="",$E822="",Calc!$H822=""),"",IFERROR(VLOOKUP(LEFT(UPPER(TRIM($E822)),6),BankTbl,3,0),0)+SUMIFS(CalcDep,CalcBank,LEFT(UPPER(TRIM($E822)),6),CalcKey,"&lt;="&amp;Calc!$H822)-SUMIFS(CalcWit,CalcBank,LEFT(UPPER(TRIM($E822)),6),CalcKey,"&lt;="&amp;Calc!$H822))</f>
        <v/>
      </c>
      <c r="O822" s="10">
        <f>IF(OR($C822="",$M822=""),"",IF($N822="","؟",IF(ROUND($M822-$N822,0)=0,"√","×")))</f>
        <v/>
      </c>
      <c r="P822" s="12" t="n"/>
    </row>
    <row r="823">
      <c r="A823" s="10">
        <f>IF($C823="","",COUNTA($C$9:$C823))</f>
        <v/>
      </c>
      <c r="B823" s="10">
        <f>IF($C823="","","TXN-"&amp;RIGHT("0000"&amp;815,4))</f>
        <v/>
      </c>
      <c r="C823" s="11" t="n"/>
      <c r="D823" s="11" t="n"/>
      <c r="E823" s="12" t="n"/>
      <c r="F823" s="10">
        <f>IF($E823="","",IFERROR(IF(VLOOKUP(LEFT(UPPER(TRIM($E823)),6),BankTbl,2,0)="","(بدون عنوان)",VLOOKUP(LEFT(UPPER(TRIM($E823)),6),BankTbl,2,0)),"بانک ناشناخته"))</f>
        <v/>
      </c>
      <c r="G823" s="11" t="n"/>
      <c r="H823" s="10">
        <f>IF($G823="","",IFERROR(VLOOKUP($G823,CustTbl,2,0),IFERROR(VLOOKUP($G823,SuppTbl,2,0),IFERROR(VLOOKUP($G823,AcctTbl,2,0),IFERROR(VLOOKUP($G823,StaffTbl,2,0),"کد ناشناخته")))))</f>
        <v/>
      </c>
      <c r="I823" s="12" t="n"/>
      <c r="J823" s="12" t="n"/>
      <c r="K823" s="13" t="n"/>
      <c r="L823" s="13" t="n"/>
      <c r="M823" s="13" t="n"/>
      <c r="N823" s="14">
        <f>IF(OR($C823="",$E823="",Calc!$H823=""),"",IFERROR(VLOOKUP(LEFT(UPPER(TRIM($E823)),6),BankTbl,3,0),0)+SUMIFS(CalcDep,CalcBank,LEFT(UPPER(TRIM($E823)),6),CalcKey,"&lt;="&amp;Calc!$H823)-SUMIFS(CalcWit,CalcBank,LEFT(UPPER(TRIM($E823)),6),CalcKey,"&lt;="&amp;Calc!$H823))</f>
        <v/>
      </c>
      <c r="O823" s="10">
        <f>IF(OR($C823="",$M823=""),"",IF($N823="","؟",IF(ROUND($M823-$N823,0)=0,"√","×")))</f>
        <v/>
      </c>
      <c r="P823" s="12" t="n"/>
    </row>
    <row r="824">
      <c r="A824" s="10">
        <f>IF($C824="","",COUNTA($C$9:$C824))</f>
        <v/>
      </c>
      <c r="B824" s="10">
        <f>IF($C824="","","TXN-"&amp;RIGHT("0000"&amp;816,4))</f>
        <v/>
      </c>
      <c r="C824" s="11" t="n"/>
      <c r="D824" s="11" t="n"/>
      <c r="E824" s="12" t="n"/>
      <c r="F824" s="10">
        <f>IF($E824="","",IFERROR(IF(VLOOKUP(LEFT(UPPER(TRIM($E824)),6),BankTbl,2,0)="","(بدون عنوان)",VLOOKUP(LEFT(UPPER(TRIM($E824)),6),BankTbl,2,0)),"بانک ناشناخته"))</f>
        <v/>
      </c>
      <c r="G824" s="11" t="n"/>
      <c r="H824" s="10">
        <f>IF($G824="","",IFERROR(VLOOKUP($G824,CustTbl,2,0),IFERROR(VLOOKUP($G824,SuppTbl,2,0),IFERROR(VLOOKUP($G824,AcctTbl,2,0),IFERROR(VLOOKUP($G824,StaffTbl,2,0),"کد ناشناخته")))))</f>
        <v/>
      </c>
      <c r="I824" s="12" t="n"/>
      <c r="J824" s="12" t="n"/>
      <c r="K824" s="13" t="n"/>
      <c r="L824" s="13" t="n"/>
      <c r="M824" s="13" t="n"/>
      <c r="N824" s="14">
        <f>IF(OR($C824="",$E824="",Calc!$H824=""),"",IFERROR(VLOOKUP(LEFT(UPPER(TRIM($E824)),6),BankTbl,3,0),0)+SUMIFS(CalcDep,CalcBank,LEFT(UPPER(TRIM($E824)),6),CalcKey,"&lt;="&amp;Calc!$H824)-SUMIFS(CalcWit,CalcBank,LEFT(UPPER(TRIM($E824)),6),CalcKey,"&lt;="&amp;Calc!$H824))</f>
        <v/>
      </c>
      <c r="O824" s="10">
        <f>IF(OR($C824="",$M824=""),"",IF($N824="","؟",IF(ROUND($M824-$N824,0)=0,"√","×")))</f>
        <v/>
      </c>
      <c r="P824" s="12" t="n"/>
    </row>
    <row r="825">
      <c r="A825" s="10">
        <f>IF($C825="","",COUNTA($C$9:$C825))</f>
        <v/>
      </c>
      <c r="B825" s="10">
        <f>IF($C825="","","TXN-"&amp;RIGHT("0000"&amp;817,4))</f>
        <v/>
      </c>
      <c r="C825" s="11" t="n"/>
      <c r="D825" s="11" t="n"/>
      <c r="E825" s="12" t="n"/>
      <c r="F825" s="10">
        <f>IF($E825="","",IFERROR(IF(VLOOKUP(LEFT(UPPER(TRIM($E825)),6),BankTbl,2,0)="","(بدون عنوان)",VLOOKUP(LEFT(UPPER(TRIM($E825)),6),BankTbl,2,0)),"بانک ناشناخته"))</f>
        <v/>
      </c>
      <c r="G825" s="11" t="n"/>
      <c r="H825" s="10">
        <f>IF($G825="","",IFERROR(VLOOKUP($G825,CustTbl,2,0),IFERROR(VLOOKUP($G825,SuppTbl,2,0),IFERROR(VLOOKUP($G825,AcctTbl,2,0),IFERROR(VLOOKUP($G825,StaffTbl,2,0),"کد ناشناخته")))))</f>
        <v/>
      </c>
      <c r="I825" s="12" t="n"/>
      <c r="J825" s="12" t="n"/>
      <c r="K825" s="13" t="n"/>
      <c r="L825" s="13" t="n"/>
      <c r="M825" s="13" t="n"/>
      <c r="N825" s="14">
        <f>IF(OR($C825="",$E825="",Calc!$H825=""),"",IFERROR(VLOOKUP(LEFT(UPPER(TRIM($E825)),6),BankTbl,3,0),0)+SUMIFS(CalcDep,CalcBank,LEFT(UPPER(TRIM($E825)),6),CalcKey,"&lt;="&amp;Calc!$H825)-SUMIFS(CalcWit,CalcBank,LEFT(UPPER(TRIM($E825)),6),CalcKey,"&lt;="&amp;Calc!$H825))</f>
        <v/>
      </c>
      <c r="O825" s="10">
        <f>IF(OR($C825="",$M825=""),"",IF($N825="","؟",IF(ROUND($M825-$N825,0)=0,"√","×")))</f>
        <v/>
      </c>
      <c r="P825" s="12" t="n"/>
    </row>
    <row r="826">
      <c r="A826" s="10">
        <f>IF($C826="","",COUNTA($C$9:$C826))</f>
        <v/>
      </c>
      <c r="B826" s="10">
        <f>IF($C826="","","TXN-"&amp;RIGHT("0000"&amp;818,4))</f>
        <v/>
      </c>
      <c r="C826" s="11" t="n"/>
      <c r="D826" s="11" t="n"/>
      <c r="E826" s="12" t="n"/>
      <c r="F826" s="10">
        <f>IF($E826="","",IFERROR(IF(VLOOKUP(LEFT(UPPER(TRIM($E826)),6),BankTbl,2,0)="","(بدون عنوان)",VLOOKUP(LEFT(UPPER(TRIM($E826)),6),BankTbl,2,0)),"بانک ناشناخته"))</f>
        <v/>
      </c>
      <c r="G826" s="11" t="n"/>
      <c r="H826" s="10">
        <f>IF($G826="","",IFERROR(VLOOKUP($G826,CustTbl,2,0),IFERROR(VLOOKUP($G826,SuppTbl,2,0),IFERROR(VLOOKUP($G826,AcctTbl,2,0),IFERROR(VLOOKUP($G826,StaffTbl,2,0),"کد ناشناخته")))))</f>
        <v/>
      </c>
      <c r="I826" s="12" t="n"/>
      <c r="J826" s="12" t="n"/>
      <c r="K826" s="13" t="n"/>
      <c r="L826" s="13" t="n"/>
      <c r="M826" s="13" t="n"/>
      <c r="N826" s="14">
        <f>IF(OR($C826="",$E826="",Calc!$H826=""),"",IFERROR(VLOOKUP(LEFT(UPPER(TRIM($E826)),6),BankTbl,3,0),0)+SUMIFS(CalcDep,CalcBank,LEFT(UPPER(TRIM($E826)),6),CalcKey,"&lt;="&amp;Calc!$H826)-SUMIFS(CalcWit,CalcBank,LEFT(UPPER(TRIM($E826)),6),CalcKey,"&lt;="&amp;Calc!$H826))</f>
        <v/>
      </c>
      <c r="O826" s="10">
        <f>IF(OR($C826="",$M826=""),"",IF($N826="","؟",IF(ROUND($M826-$N826,0)=0,"√","×")))</f>
        <v/>
      </c>
      <c r="P826" s="12" t="n"/>
    </row>
    <row r="827">
      <c r="A827" s="10">
        <f>IF($C827="","",COUNTA($C$9:$C827))</f>
        <v/>
      </c>
      <c r="B827" s="10">
        <f>IF($C827="","","TXN-"&amp;RIGHT("0000"&amp;819,4))</f>
        <v/>
      </c>
      <c r="C827" s="11" t="n"/>
      <c r="D827" s="11" t="n"/>
      <c r="E827" s="12" t="n"/>
      <c r="F827" s="10">
        <f>IF($E827="","",IFERROR(IF(VLOOKUP(LEFT(UPPER(TRIM($E827)),6),BankTbl,2,0)="","(بدون عنوان)",VLOOKUP(LEFT(UPPER(TRIM($E827)),6),BankTbl,2,0)),"بانک ناشناخته"))</f>
        <v/>
      </c>
      <c r="G827" s="11" t="n"/>
      <c r="H827" s="10">
        <f>IF($G827="","",IFERROR(VLOOKUP($G827,CustTbl,2,0),IFERROR(VLOOKUP($G827,SuppTbl,2,0),IFERROR(VLOOKUP($G827,AcctTbl,2,0),IFERROR(VLOOKUP($G827,StaffTbl,2,0),"کد ناشناخته")))))</f>
        <v/>
      </c>
      <c r="I827" s="12" t="n"/>
      <c r="J827" s="12" t="n"/>
      <c r="K827" s="13" t="n"/>
      <c r="L827" s="13" t="n"/>
      <c r="M827" s="13" t="n"/>
      <c r="N827" s="14">
        <f>IF(OR($C827="",$E827="",Calc!$H827=""),"",IFERROR(VLOOKUP(LEFT(UPPER(TRIM($E827)),6),BankTbl,3,0),0)+SUMIFS(CalcDep,CalcBank,LEFT(UPPER(TRIM($E827)),6),CalcKey,"&lt;="&amp;Calc!$H827)-SUMIFS(CalcWit,CalcBank,LEFT(UPPER(TRIM($E827)),6),CalcKey,"&lt;="&amp;Calc!$H827))</f>
        <v/>
      </c>
      <c r="O827" s="10">
        <f>IF(OR($C827="",$M827=""),"",IF($N827="","؟",IF(ROUND($M827-$N827,0)=0,"√","×")))</f>
        <v/>
      </c>
      <c r="P827" s="12" t="n"/>
    </row>
    <row r="828">
      <c r="A828" s="10">
        <f>IF($C828="","",COUNTA($C$9:$C828))</f>
        <v/>
      </c>
      <c r="B828" s="10">
        <f>IF($C828="","","TXN-"&amp;RIGHT("0000"&amp;820,4))</f>
        <v/>
      </c>
      <c r="C828" s="11" t="n"/>
      <c r="D828" s="11" t="n"/>
      <c r="E828" s="12" t="n"/>
      <c r="F828" s="10">
        <f>IF($E828="","",IFERROR(IF(VLOOKUP(LEFT(UPPER(TRIM($E828)),6),BankTbl,2,0)="","(بدون عنوان)",VLOOKUP(LEFT(UPPER(TRIM($E828)),6),BankTbl,2,0)),"بانک ناشناخته"))</f>
        <v/>
      </c>
      <c r="G828" s="11" t="n"/>
      <c r="H828" s="10">
        <f>IF($G828="","",IFERROR(VLOOKUP($G828,CustTbl,2,0),IFERROR(VLOOKUP($G828,SuppTbl,2,0),IFERROR(VLOOKUP($G828,AcctTbl,2,0),IFERROR(VLOOKUP($G828,StaffTbl,2,0),"کد ناشناخته")))))</f>
        <v/>
      </c>
      <c r="I828" s="12" t="n"/>
      <c r="J828" s="12" t="n"/>
      <c r="K828" s="13" t="n"/>
      <c r="L828" s="13" t="n"/>
      <c r="M828" s="13" t="n"/>
      <c r="N828" s="14">
        <f>IF(OR($C828="",$E828="",Calc!$H828=""),"",IFERROR(VLOOKUP(LEFT(UPPER(TRIM($E828)),6),BankTbl,3,0),0)+SUMIFS(CalcDep,CalcBank,LEFT(UPPER(TRIM($E828)),6),CalcKey,"&lt;="&amp;Calc!$H828)-SUMIFS(CalcWit,CalcBank,LEFT(UPPER(TRIM($E828)),6),CalcKey,"&lt;="&amp;Calc!$H828))</f>
        <v/>
      </c>
      <c r="O828" s="10">
        <f>IF(OR($C828="",$M828=""),"",IF($N828="","؟",IF(ROUND($M828-$N828,0)=0,"√","×")))</f>
        <v/>
      </c>
      <c r="P828" s="12" t="n"/>
    </row>
    <row r="829">
      <c r="A829" s="10">
        <f>IF($C829="","",COUNTA($C$9:$C829))</f>
        <v/>
      </c>
      <c r="B829" s="10">
        <f>IF($C829="","","TXN-"&amp;RIGHT("0000"&amp;821,4))</f>
        <v/>
      </c>
      <c r="C829" s="11" t="n"/>
      <c r="D829" s="11" t="n"/>
      <c r="E829" s="12" t="n"/>
      <c r="F829" s="10">
        <f>IF($E829="","",IFERROR(IF(VLOOKUP(LEFT(UPPER(TRIM($E829)),6),BankTbl,2,0)="","(بدون عنوان)",VLOOKUP(LEFT(UPPER(TRIM($E829)),6),BankTbl,2,0)),"بانک ناشناخته"))</f>
        <v/>
      </c>
      <c r="G829" s="11" t="n"/>
      <c r="H829" s="10">
        <f>IF($G829="","",IFERROR(VLOOKUP($G829,CustTbl,2,0),IFERROR(VLOOKUP($G829,SuppTbl,2,0),IFERROR(VLOOKUP($G829,AcctTbl,2,0),IFERROR(VLOOKUP($G829,StaffTbl,2,0),"کد ناشناخته")))))</f>
        <v/>
      </c>
      <c r="I829" s="12" t="n"/>
      <c r="J829" s="12" t="n"/>
      <c r="K829" s="13" t="n"/>
      <c r="L829" s="13" t="n"/>
      <c r="M829" s="13" t="n"/>
      <c r="N829" s="14">
        <f>IF(OR($C829="",$E829="",Calc!$H829=""),"",IFERROR(VLOOKUP(LEFT(UPPER(TRIM($E829)),6),BankTbl,3,0),0)+SUMIFS(CalcDep,CalcBank,LEFT(UPPER(TRIM($E829)),6),CalcKey,"&lt;="&amp;Calc!$H829)-SUMIFS(CalcWit,CalcBank,LEFT(UPPER(TRIM($E829)),6),CalcKey,"&lt;="&amp;Calc!$H829))</f>
        <v/>
      </c>
      <c r="O829" s="10">
        <f>IF(OR($C829="",$M829=""),"",IF($N829="","؟",IF(ROUND($M829-$N829,0)=0,"√","×")))</f>
        <v/>
      </c>
      <c r="P829" s="12" t="n"/>
    </row>
    <row r="830">
      <c r="A830" s="10">
        <f>IF($C830="","",COUNTA($C$9:$C830))</f>
        <v/>
      </c>
      <c r="B830" s="10">
        <f>IF($C830="","","TXN-"&amp;RIGHT("0000"&amp;822,4))</f>
        <v/>
      </c>
      <c r="C830" s="11" t="n"/>
      <c r="D830" s="11" t="n"/>
      <c r="E830" s="12" t="n"/>
      <c r="F830" s="10">
        <f>IF($E830="","",IFERROR(IF(VLOOKUP(LEFT(UPPER(TRIM($E830)),6),BankTbl,2,0)="","(بدون عنوان)",VLOOKUP(LEFT(UPPER(TRIM($E830)),6),BankTbl,2,0)),"بانک ناشناخته"))</f>
        <v/>
      </c>
      <c r="G830" s="11" t="n"/>
      <c r="H830" s="10">
        <f>IF($G830="","",IFERROR(VLOOKUP($G830,CustTbl,2,0),IFERROR(VLOOKUP($G830,SuppTbl,2,0),IFERROR(VLOOKUP($G830,AcctTbl,2,0),IFERROR(VLOOKUP($G830,StaffTbl,2,0),"کد ناشناخته")))))</f>
        <v/>
      </c>
      <c r="I830" s="12" t="n"/>
      <c r="J830" s="12" t="n"/>
      <c r="K830" s="13" t="n"/>
      <c r="L830" s="13" t="n"/>
      <c r="M830" s="13" t="n"/>
      <c r="N830" s="14">
        <f>IF(OR($C830="",$E830="",Calc!$H830=""),"",IFERROR(VLOOKUP(LEFT(UPPER(TRIM($E830)),6),BankTbl,3,0),0)+SUMIFS(CalcDep,CalcBank,LEFT(UPPER(TRIM($E830)),6),CalcKey,"&lt;="&amp;Calc!$H830)-SUMIFS(CalcWit,CalcBank,LEFT(UPPER(TRIM($E830)),6),CalcKey,"&lt;="&amp;Calc!$H830))</f>
        <v/>
      </c>
      <c r="O830" s="10">
        <f>IF(OR($C830="",$M830=""),"",IF($N830="","؟",IF(ROUND($M830-$N830,0)=0,"√","×")))</f>
        <v/>
      </c>
      <c r="P830" s="12" t="n"/>
    </row>
    <row r="831">
      <c r="A831" s="10">
        <f>IF($C831="","",COUNTA($C$9:$C831))</f>
        <v/>
      </c>
      <c r="B831" s="10">
        <f>IF($C831="","","TXN-"&amp;RIGHT("0000"&amp;823,4))</f>
        <v/>
      </c>
      <c r="C831" s="11" t="n"/>
      <c r="D831" s="11" t="n"/>
      <c r="E831" s="12" t="n"/>
      <c r="F831" s="10">
        <f>IF($E831="","",IFERROR(IF(VLOOKUP(LEFT(UPPER(TRIM($E831)),6),BankTbl,2,0)="","(بدون عنوان)",VLOOKUP(LEFT(UPPER(TRIM($E831)),6),BankTbl,2,0)),"بانک ناشناخته"))</f>
        <v/>
      </c>
      <c r="G831" s="11" t="n"/>
      <c r="H831" s="10">
        <f>IF($G831="","",IFERROR(VLOOKUP($G831,CustTbl,2,0),IFERROR(VLOOKUP($G831,SuppTbl,2,0),IFERROR(VLOOKUP($G831,AcctTbl,2,0),IFERROR(VLOOKUP($G831,StaffTbl,2,0),"کد ناشناخته")))))</f>
        <v/>
      </c>
      <c r="I831" s="12" t="n"/>
      <c r="J831" s="12" t="n"/>
      <c r="K831" s="13" t="n"/>
      <c r="L831" s="13" t="n"/>
      <c r="M831" s="13" t="n"/>
      <c r="N831" s="14">
        <f>IF(OR($C831="",$E831="",Calc!$H831=""),"",IFERROR(VLOOKUP(LEFT(UPPER(TRIM($E831)),6),BankTbl,3,0),0)+SUMIFS(CalcDep,CalcBank,LEFT(UPPER(TRIM($E831)),6),CalcKey,"&lt;="&amp;Calc!$H831)-SUMIFS(CalcWit,CalcBank,LEFT(UPPER(TRIM($E831)),6),CalcKey,"&lt;="&amp;Calc!$H831))</f>
        <v/>
      </c>
      <c r="O831" s="10">
        <f>IF(OR($C831="",$M831=""),"",IF($N831="","؟",IF(ROUND($M831-$N831,0)=0,"√","×")))</f>
        <v/>
      </c>
      <c r="P831" s="12" t="n"/>
    </row>
    <row r="832">
      <c r="A832" s="10">
        <f>IF($C832="","",COUNTA($C$9:$C832))</f>
        <v/>
      </c>
      <c r="B832" s="10">
        <f>IF($C832="","","TXN-"&amp;RIGHT("0000"&amp;824,4))</f>
        <v/>
      </c>
      <c r="C832" s="11" t="n"/>
      <c r="D832" s="11" t="n"/>
      <c r="E832" s="12" t="n"/>
      <c r="F832" s="10">
        <f>IF($E832="","",IFERROR(IF(VLOOKUP(LEFT(UPPER(TRIM($E832)),6),BankTbl,2,0)="","(بدون عنوان)",VLOOKUP(LEFT(UPPER(TRIM($E832)),6),BankTbl,2,0)),"بانک ناشناخته"))</f>
        <v/>
      </c>
      <c r="G832" s="11" t="n"/>
      <c r="H832" s="10">
        <f>IF($G832="","",IFERROR(VLOOKUP($G832,CustTbl,2,0),IFERROR(VLOOKUP($G832,SuppTbl,2,0),IFERROR(VLOOKUP($G832,AcctTbl,2,0),IFERROR(VLOOKUP($G832,StaffTbl,2,0),"کد ناشناخته")))))</f>
        <v/>
      </c>
      <c r="I832" s="12" t="n"/>
      <c r="J832" s="12" t="n"/>
      <c r="K832" s="13" t="n"/>
      <c r="L832" s="13" t="n"/>
      <c r="M832" s="13" t="n"/>
      <c r="N832" s="14">
        <f>IF(OR($C832="",$E832="",Calc!$H832=""),"",IFERROR(VLOOKUP(LEFT(UPPER(TRIM($E832)),6),BankTbl,3,0),0)+SUMIFS(CalcDep,CalcBank,LEFT(UPPER(TRIM($E832)),6),CalcKey,"&lt;="&amp;Calc!$H832)-SUMIFS(CalcWit,CalcBank,LEFT(UPPER(TRIM($E832)),6),CalcKey,"&lt;="&amp;Calc!$H832))</f>
        <v/>
      </c>
      <c r="O832" s="10">
        <f>IF(OR($C832="",$M832=""),"",IF($N832="","؟",IF(ROUND($M832-$N832,0)=0,"√","×")))</f>
        <v/>
      </c>
      <c r="P832" s="12" t="n"/>
    </row>
    <row r="833">
      <c r="A833" s="10">
        <f>IF($C833="","",COUNTA($C$9:$C833))</f>
        <v/>
      </c>
      <c r="B833" s="10">
        <f>IF($C833="","","TXN-"&amp;RIGHT("0000"&amp;825,4))</f>
        <v/>
      </c>
      <c r="C833" s="11" t="n"/>
      <c r="D833" s="11" t="n"/>
      <c r="E833" s="12" t="n"/>
      <c r="F833" s="10">
        <f>IF($E833="","",IFERROR(IF(VLOOKUP(LEFT(UPPER(TRIM($E833)),6),BankTbl,2,0)="","(بدون عنوان)",VLOOKUP(LEFT(UPPER(TRIM($E833)),6),BankTbl,2,0)),"بانک ناشناخته"))</f>
        <v/>
      </c>
      <c r="G833" s="11" t="n"/>
      <c r="H833" s="10">
        <f>IF($G833="","",IFERROR(VLOOKUP($G833,CustTbl,2,0),IFERROR(VLOOKUP($G833,SuppTbl,2,0),IFERROR(VLOOKUP($G833,AcctTbl,2,0),IFERROR(VLOOKUP($G833,StaffTbl,2,0),"کد ناشناخته")))))</f>
        <v/>
      </c>
      <c r="I833" s="12" t="n"/>
      <c r="J833" s="12" t="n"/>
      <c r="K833" s="13" t="n"/>
      <c r="L833" s="13" t="n"/>
      <c r="M833" s="13" t="n"/>
      <c r="N833" s="14">
        <f>IF(OR($C833="",$E833="",Calc!$H833=""),"",IFERROR(VLOOKUP(LEFT(UPPER(TRIM($E833)),6),BankTbl,3,0),0)+SUMIFS(CalcDep,CalcBank,LEFT(UPPER(TRIM($E833)),6),CalcKey,"&lt;="&amp;Calc!$H833)-SUMIFS(CalcWit,CalcBank,LEFT(UPPER(TRIM($E833)),6),CalcKey,"&lt;="&amp;Calc!$H833))</f>
        <v/>
      </c>
      <c r="O833" s="10">
        <f>IF(OR($C833="",$M833=""),"",IF($N833="","؟",IF(ROUND($M833-$N833,0)=0,"√","×")))</f>
        <v/>
      </c>
      <c r="P833" s="12" t="n"/>
    </row>
    <row r="834">
      <c r="A834" s="10">
        <f>IF($C834="","",COUNTA($C$9:$C834))</f>
        <v/>
      </c>
      <c r="B834" s="10">
        <f>IF($C834="","","TXN-"&amp;RIGHT("0000"&amp;826,4))</f>
        <v/>
      </c>
      <c r="C834" s="11" t="n"/>
      <c r="D834" s="11" t="n"/>
      <c r="E834" s="12" t="n"/>
      <c r="F834" s="10">
        <f>IF($E834="","",IFERROR(IF(VLOOKUP(LEFT(UPPER(TRIM($E834)),6),BankTbl,2,0)="","(بدون عنوان)",VLOOKUP(LEFT(UPPER(TRIM($E834)),6),BankTbl,2,0)),"بانک ناشناخته"))</f>
        <v/>
      </c>
      <c r="G834" s="11" t="n"/>
      <c r="H834" s="10">
        <f>IF($G834="","",IFERROR(VLOOKUP($G834,CustTbl,2,0),IFERROR(VLOOKUP($G834,SuppTbl,2,0),IFERROR(VLOOKUP($G834,AcctTbl,2,0),IFERROR(VLOOKUP($G834,StaffTbl,2,0),"کد ناشناخته")))))</f>
        <v/>
      </c>
      <c r="I834" s="12" t="n"/>
      <c r="J834" s="12" t="n"/>
      <c r="K834" s="13" t="n"/>
      <c r="L834" s="13" t="n"/>
      <c r="M834" s="13" t="n"/>
      <c r="N834" s="14">
        <f>IF(OR($C834="",$E834="",Calc!$H834=""),"",IFERROR(VLOOKUP(LEFT(UPPER(TRIM($E834)),6),BankTbl,3,0),0)+SUMIFS(CalcDep,CalcBank,LEFT(UPPER(TRIM($E834)),6),CalcKey,"&lt;="&amp;Calc!$H834)-SUMIFS(CalcWit,CalcBank,LEFT(UPPER(TRIM($E834)),6),CalcKey,"&lt;="&amp;Calc!$H834))</f>
        <v/>
      </c>
      <c r="O834" s="10">
        <f>IF(OR($C834="",$M834=""),"",IF($N834="","؟",IF(ROUND($M834-$N834,0)=0,"√","×")))</f>
        <v/>
      </c>
      <c r="P834" s="12" t="n"/>
    </row>
    <row r="835">
      <c r="A835" s="10">
        <f>IF($C835="","",COUNTA($C$9:$C835))</f>
        <v/>
      </c>
      <c r="B835" s="10">
        <f>IF($C835="","","TXN-"&amp;RIGHT("0000"&amp;827,4))</f>
        <v/>
      </c>
      <c r="C835" s="11" t="n"/>
      <c r="D835" s="11" t="n"/>
      <c r="E835" s="12" t="n"/>
      <c r="F835" s="10">
        <f>IF($E835="","",IFERROR(IF(VLOOKUP(LEFT(UPPER(TRIM($E835)),6),BankTbl,2,0)="","(بدون عنوان)",VLOOKUP(LEFT(UPPER(TRIM($E835)),6),BankTbl,2,0)),"بانک ناشناخته"))</f>
        <v/>
      </c>
      <c r="G835" s="11" t="n"/>
      <c r="H835" s="10">
        <f>IF($G835="","",IFERROR(VLOOKUP($G835,CustTbl,2,0),IFERROR(VLOOKUP($G835,SuppTbl,2,0),IFERROR(VLOOKUP($G835,AcctTbl,2,0),IFERROR(VLOOKUP($G835,StaffTbl,2,0),"کد ناشناخته")))))</f>
        <v/>
      </c>
      <c r="I835" s="12" t="n"/>
      <c r="J835" s="12" t="n"/>
      <c r="K835" s="13" t="n"/>
      <c r="L835" s="13" t="n"/>
      <c r="M835" s="13" t="n"/>
      <c r="N835" s="14">
        <f>IF(OR($C835="",$E835="",Calc!$H835=""),"",IFERROR(VLOOKUP(LEFT(UPPER(TRIM($E835)),6),BankTbl,3,0),0)+SUMIFS(CalcDep,CalcBank,LEFT(UPPER(TRIM($E835)),6),CalcKey,"&lt;="&amp;Calc!$H835)-SUMIFS(CalcWit,CalcBank,LEFT(UPPER(TRIM($E835)),6),CalcKey,"&lt;="&amp;Calc!$H835))</f>
        <v/>
      </c>
      <c r="O835" s="10">
        <f>IF(OR($C835="",$M835=""),"",IF($N835="","؟",IF(ROUND($M835-$N835,0)=0,"√","×")))</f>
        <v/>
      </c>
      <c r="P835" s="12" t="n"/>
    </row>
    <row r="836">
      <c r="A836" s="10">
        <f>IF($C836="","",COUNTA($C$9:$C836))</f>
        <v/>
      </c>
      <c r="B836" s="10">
        <f>IF($C836="","","TXN-"&amp;RIGHT("0000"&amp;828,4))</f>
        <v/>
      </c>
      <c r="C836" s="11" t="n"/>
      <c r="D836" s="11" t="n"/>
      <c r="E836" s="12" t="n"/>
      <c r="F836" s="10">
        <f>IF($E836="","",IFERROR(IF(VLOOKUP(LEFT(UPPER(TRIM($E836)),6),BankTbl,2,0)="","(بدون عنوان)",VLOOKUP(LEFT(UPPER(TRIM($E836)),6),BankTbl,2,0)),"بانک ناشناخته"))</f>
        <v/>
      </c>
      <c r="G836" s="11" t="n"/>
      <c r="H836" s="10">
        <f>IF($G836="","",IFERROR(VLOOKUP($G836,CustTbl,2,0),IFERROR(VLOOKUP($G836,SuppTbl,2,0),IFERROR(VLOOKUP($G836,AcctTbl,2,0),IFERROR(VLOOKUP($G836,StaffTbl,2,0),"کد ناشناخته")))))</f>
        <v/>
      </c>
      <c r="I836" s="12" t="n"/>
      <c r="J836" s="12" t="n"/>
      <c r="K836" s="13" t="n"/>
      <c r="L836" s="13" t="n"/>
      <c r="M836" s="13" t="n"/>
      <c r="N836" s="14">
        <f>IF(OR($C836="",$E836="",Calc!$H836=""),"",IFERROR(VLOOKUP(LEFT(UPPER(TRIM($E836)),6),BankTbl,3,0),0)+SUMIFS(CalcDep,CalcBank,LEFT(UPPER(TRIM($E836)),6),CalcKey,"&lt;="&amp;Calc!$H836)-SUMIFS(CalcWit,CalcBank,LEFT(UPPER(TRIM($E836)),6),CalcKey,"&lt;="&amp;Calc!$H836))</f>
        <v/>
      </c>
      <c r="O836" s="10">
        <f>IF(OR($C836="",$M836=""),"",IF($N836="","؟",IF(ROUND($M836-$N836,0)=0,"√","×")))</f>
        <v/>
      </c>
      <c r="P836" s="12" t="n"/>
    </row>
    <row r="837">
      <c r="A837" s="10">
        <f>IF($C837="","",COUNTA($C$9:$C837))</f>
        <v/>
      </c>
      <c r="B837" s="10">
        <f>IF($C837="","","TXN-"&amp;RIGHT("0000"&amp;829,4))</f>
        <v/>
      </c>
      <c r="C837" s="11" t="n"/>
      <c r="D837" s="11" t="n"/>
      <c r="E837" s="12" t="n"/>
      <c r="F837" s="10">
        <f>IF($E837="","",IFERROR(IF(VLOOKUP(LEFT(UPPER(TRIM($E837)),6),BankTbl,2,0)="","(بدون عنوان)",VLOOKUP(LEFT(UPPER(TRIM($E837)),6),BankTbl,2,0)),"بانک ناشناخته"))</f>
        <v/>
      </c>
      <c r="G837" s="11" t="n"/>
      <c r="H837" s="10">
        <f>IF($G837="","",IFERROR(VLOOKUP($G837,CustTbl,2,0),IFERROR(VLOOKUP($G837,SuppTbl,2,0),IFERROR(VLOOKUP($G837,AcctTbl,2,0),IFERROR(VLOOKUP($G837,StaffTbl,2,0),"کد ناشناخته")))))</f>
        <v/>
      </c>
      <c r="I837" s="12" t="n"/>
      <c r="J837" s="12" t="n"/>
      <c r="K837" s="13" t="n"/>
      <c r="L837" s="13" t="n"/>
      <c r="M837" s="13" t="n"/>
      <c r="N837" s="14">
        <f>IF(OR($C837="",$E837="",Calc!$H837=""),"",IFERROR(VLOOKUP(LEFT(UPPER(TRIM($E837)),6),BankTbl,3,0),0)+SUMIFS(CalcDep,CalcBank,LEFT(UPPER(TRIM($E837)),6),CalcKey,"&lt;="&amp;Calc!$H837)-SUMIFS(CalcWit,CalcBank,LEFT(UPPER(TRIM($E837)),6),CalcKey,"&lt;="&amp;Calc!$H837))</f>
        <v/>
      </c>
      <c r="O837" s="10">
        <f>IF(OR($C837="",$M837=""),"",IF($N837="","؟",IF(ROUND($M837-$N837,0)=0,"√","×")))</f>
        <v/>
      </c>
      <c r="P837" s="12" t="n"/>
    </row>
    <row r="838">
      <c r="A838" s="10">
        <f>IF($C838="","",COUNTA($C$9:$C838))</f>
        <v/>
      </c>
      <c r="B838" s="10">
        <f>IF($C838="","","TXN-"&amp;RIGHT("0000"&amp;830,4))</f>
        <v/>
      </c>
      <c r="C838" s="11" t="n"/>
      <c r="D838" s="11" t="n"/>
      <c r="E838" s="12" t="n"/>
      <c r="F838" s="10">
        <f>IF($E838="","",IFERROR(IF(VLOOKUP(LEFT(UPPER(TRIM($E838)),6),BankTbl,2,0)="","(بدون عنوان)",VLOOKUP(LEFT(UPPER(TRIM($E838)),6),BankTbl,2,0)),"بانک ناشناخته"))</f>
        <v/>
      </c>
      <c r="G838" s="11" t="n"/>
      <c r="H838" s="10">
        <f>IF($G838="","",IFERROR(VLOOKUP($G838,CustTbl,2,0),IFERROR(VLOOKUP($G838,SuppTbl,2,0),IFERROR(VLOOKUP($G838,AcctTbl,2,0),IFERROR(VLOOKUP($G838,StaffTbl,2,0),"کد ناشناخته")))))</f>
        <v/>
      </c>
      <c r="I838" s="12" t="n"/>
      <c r="J838" s="12" t="n"/>
      <c r="K838" s="13" t="n"/>
      <c r="L838" s="13" t="n"/>
      <c r="M838" s="13" t="n"/>
      <c r="N838" s="14">
        <f>IF(OR($C838="",$E838="",Calc!$H838=""),"",IFERROR(VLOOKUP(LEFT(UPPER(TRIM($E838)),6),BankTbl,3,0),0)+SUMIFS(CalcDep,CalcBank,LEFT(UPPER(TRIM($E838)),6),CalcKey,"&lt;="&amp;Calc!$H838)-SUMIFS(CalcWit,CalcBank,LEFT(UPPER(TRIM($E838)),6),CalcKey,"&lt;="&amp;Calc!$H838))</f>
        <v/>
      </c>
      <c r="O838" s="10">
        <f>IF(OR($C838="",$M838=""),"",IF($N838="","؟",IF(ROUND($M838-$N838,0)=0,"√","×")))</f>
        <v/>
      </c>
      <c r="P838" s="12" t="n"/>
    </row>
    <row r="839">
      <c r="A839" s="10">
        <f>IF($C839="","",COUNTA($C$9:$C839))</f>
        <v/>
      </c>
      <c r="B839" s="10">
        <f>IF($C839="","","TXN-"&amp;RIGHT("0000"&amp;831,4))</f>
        <v/>
      </c>
      <c r="C839" s="11" t="n"/>
      <c r="D839" s="11" t="n"/>
      <c r="E839" s="12" t="n"/>
      <c r="F839" s="10">
        <f>IF($E839="","",IFERROR(IF(VLOOKUP(LEFT(UPPER(TRIM($E839)),6),BankTbl,2,0)="","(بدون عنوان)",VLOOKUP(LEFT(UPPER(TRIM($E839)),6),BankTbl,2,0)),"بانک ناشناخته"))</f>
        <v/>
      </c>
      <c r="G839" s="11" t="n"/>
      <c r="H839" s="10">
        <f>IF($G839="","",IFERROR(VLOOKUP($G839,CustTbl,2,0),IFERROR(VLOOKUP($G839,SuppTbl,2,0),IFERROR(VLOOKUP($G839,AcctTbl,2,0),IFERROR(VLOOKUP($G839,StaffTbl,2,0),"کد ناشناخته")))))</f>
        <v/>
      </c>
      <c r="I839" s="12" t="n"/>
      <c r="J839" s="12" t="n"/>
      <c r="K839" s="13" t="n"/>
      <c r="L839" s="13" t="n"/>
      <c r="M839" s="13" t="n"/>
      <c r="N839" s="14">
        <f>IF(OR($C839="",$E839="",Calc!$H839=""),"",IFERROR(VLOOKUP(LEFT(UPPER(TRIM($E839)),6),BankTbl,3,0),0)+SUMIFS(CalcDep,CalcBank,LEFT(UPPER(TRIM($E839)),6),CalcKey,"&lt;="&amp;Calc!$H839)-SUMIFS(CalcWit,CalcBank,LEFT(UPPER(TRIM($E839)),6),CalcKey,"&lt;="&amp;Calc!$H839))</f>
        <v/>
      </c>
      <c r="O839" s="10">
        <f>IF(OR($C839="",$M839=""),"",IF($N839="","؟",IF(ROUND($M839-$N839,0)=0,"√","×")))</f>
        <v/>
      </c>
      <c r="P839" s="12" t="n"/>
    </row>
    <row r="840">
      <c r="A840" s="10">
        <f>IF($C840="","",COUNTA($C$9:$C840))</f>
        <v/>
      </c>
      <c r="B840" s="10">
        <f>IF($C840="","","TXN-"&amp;RIGHT("0000"&amp;832,4))</f>
        <v/>
      </c>
      <c r="C840" s="11" t="n"/>
      <c r="D840" s="11" t="n"/>
      <c r="E840" s="12" t="n"/>
      <c r="F840" s="10">
        <f>IF($E840="","",IFERROR(IF(VLOOKUP(LEFT(UPPER(TRIM($E840)),6),BankTbl,2,0)="","(بدون عنوان)",VLOOKUP(LEFT(UPPER(TRIM($E840)),6),BankTbl,2,0)),"بانک ناشناخته"))</f>
        <v/>
      </c>
      <c r="G840" s="11" t="n"/>
      <c r="H840" s="10">
        <f>IF($G840="","",IFERROR(VLOOKUP($G840,CustTbl,2,0),IFERROR(VLOOKUP($G840,SuppTbl,2,0),IFERROR(VLOOKUP($G840,AcctTbl,2,0),IFERROR(VLOOKUP($G840,StaffTbl,2,0),"کد ناشناخته")))))</f>
        <v/>
      </c>
      <c r="I840" s="12" t="n"/>
      <c r="J840" s="12" t="n"/>
      <c r="K840" s="13" t="n"/>
      <c r="L840" s="13" t="n"/>
      <c r="M840" s="13" t="n"/>
      <c r="N840" s="14">
        <f>IF(OR($C840="",$E840="",Calc!$H840=""),"",IFERROR(VLOOKUP(LEFT(UPPER(TRIM($E840)),6),BankTbl,3,0),0)+SUMIFS(CalcDep,CalcBank,LEFT(UPPER(TRIM($E840)),6),CalcKey,"&lt;="&amp;Calc!$H840)-SUMIFS(CalcWit,CalcBank,LEFT(UPPER(TRIM($E840)),6),CalcKey,"&lt;="&amp;Calc!$H840))</f>
        <v/>
      </c>
      <c r="O840" s="10">
        <f>IF(OR($C840="",$M840=""),"",IF($N840="","؟",IF(ROUND($M840-$N840,0)=0,"√","×")))</f>
        <v/>
      </c>
      <c r="P840" s="12" t="n"/>
    </row>
    <row r="841">
      <c r="A841" s="10">
        <f>IF($C841="","",COUNTA($C$9:$C841))</f>
        <v/>
      </c>
      <c r="B841" s="10">
        <f>IF($C841="","","TXN-"&amp;RIGHT("0000"&amp;833,4))</f>
        <v/>
      </c>
      <c r="C841" s="11" t="n"/>
      <c r="D841" s="11" t="n"/>
      <c r="E841" s="12" t="n"/>
      <c r="F841" s="10">
        <f>IF($E841="","",IFERROR(IF(VLOOKUP(LEFT(UPPER(TRIM($E841)),6),BankTbl,2,0)="","(بدون عنوان)",VLOOKUP(LEFT(UPPER(TRIM($E841)),6),BankTbl,2,0)),"بانک ناشناخته"))</f>
        <v/>
      </c>
      <c r="G841" s="11" t="n"/>
      <c r="H841" s="10">
        <f>IF($G841="","",IFERROR(VLOOKUP($G841,CustTbl,2,0),IFERROR(VLOOKUP($G841,SuppTbl,2,0),IFERROR(VLOOKUP($G841,AcctTbl,2,0),IFERROR(VLOOKUP($G841,StaffTbl,2,0),"کد ناشناخته")))))</f>
        <v/>
      </c>
      <c r="I841" s="12" t="n"/>
      <c r="J841" s="12" t="n"/>
      <c r="K841" s="13" t="n"/>
      <c r="L841" s="13" t="n"/>
      <c r="M841" s="13" t="n"/>
      <c r="N841" s="14">
        <f>IF(OR($C841="",$E841="",Calc!$H841=""),"",IFERROR(VLOOKUP(LEFT(UPPER(TRIM($E841)),6),BankTbl,3,0),0)+SUMIFS(CalcDep,CalcBank,LEFT(UPPER(TRIM($E841)),6),CalcKey,"&lt;="&amp;Calc!$H841)-SUMIFS(CalcWit,CalcBank,LEFT(UPPER(TRIM($E841)),6),CalcKey,"&lt;="&amp;Calc!$H841))</f>
        <v/>
      </c>
      <c r="O841" s="10">
        <f>IF(OR($C841="",$M841=""),"",IF($N841="","؟",IF(ROUND($M841-$N841,0)=0,"√","×")))</f>
        <v/>
      </c>
      <c r="P841" s="12" t="n"/>
    </row>
    <row r="842">
      <c r="A842" s="10">
        <f>IF($C842="","",COUNTA($C$9:$C842))</f>
        <v/>
      </c>
      <c r="B842" s="10">
        <f>IF($C842="","","TXN-"&amp;RIGHT("0000"&amp;834,4))</f>
        <v/>
      </c>
      <c r="C842" s="11" t="n"/>
      <c r="D842" s="11" t="n"/>
      <c r="E842" s="12" t="n"/>
      <c r="F842" s="10">
        <f>IF($E842="","",IFERROR(IF(VLOOKUP(LEFT(UPPER(TRIM($E842)),6),BankTbl,2,0)="","(بدون عنوان)",VLOOKUP(LEFT(UPPER(TRIM($E842)),6),BankTbl,2,0)),"بانک ناشناخته"))</f>
        <v/>
      </c>
      <c r="G842" s="11" t="n"/>
      <c r="H842" s="10">
        <f>IF($G842="","",IFERROR(VLOOKUP($G842,CustTbl,2,0),IFERROR(VLOOKUP($G842,SuppTbl,2,0),IFERROR(VLOOKUP($G842,AcctTbl,2,0),IFERROR(VLOOKUP($G842,StaffTbl,2,0),"کد ناشناخته")))))</f>
        <v/>
      </c>
      <c r="I842" s="12" t="n"/>
      <c r="J842" s="12" t="n"/>
      <c r="K842" s="13" t="n"/>
      <c r="L842" s="13" t="n"/>
      <c r="M842" s="13" t="n"/>
      <c r="N842" s="14">
        <f>IF(OR($C842="",$E842="",Calc!$H842=""),"",IFERROR(VLOOKUP(LEFT(UPPER(TRIM($E842)),6),BankTbl,3,0),0)+SUMIFS(CalcDep,CalcBank,LEFT(UPPER(TRIM($E842)),6),CalcKey,"&lt;="&amp;Calc!$H842)-SUMIFS(CalcWit,CalcBank,LEFT(UPPER(TRIM($E842)),6),CalcKey,"&lt;="&amp;Calc!$H842))</f>
        <v/>
      </c>
      <c r="O842" s="10">
        <f>IF(OR($C842="",$M842=""),"",IF($N842="","؟",IF(ROUND($M842-$N842,0)=0,"√","×")))</f>
        <v/>
      </c>
      <c r="P842" s="12" t="n"/>
    </row>
    <row r="843">
      <c r="A843" s="10">
        <f>IF($C843="","",COUNTA($C$9:$C843))</f>
        <v/>
      </c>
      <c r="B843" s="10">
        <f>IF($C843="","","TXN-"&amp;RIGHT("0000"&amp;835,4))</f>
        <v/>
      </c>
      <c r="C843" s="11" t="n"/>
      <c r="D843" s="11" t="n"/>
      <c r="E843" s="12" t="n"/>
      <c r="F843" s="10">
        <f>IF($E843="","",IFERROR(IF(VLOOKUP(LEFT(UPPER(TRIM($E843)),6),BankTbl,2,0)="","(بدون عنوان)",VLOOKUP(LEFT(UPPER(TRIM($E843)),6),BankTbl,2,0)),"بانک ناشناخته"))</f>
        <v/>
      </c>
      <c r="G843" s="11" t="n"/>
      <c r="H843" s="10">
        <f>IF($G843="","",IFERROR(VLOOKUP($G843,CustTbl,2,0),IFERROR(VLOOKUP($G843,SuppTbl,2,0),IFERROR(VLOOKUP($G843,AcctTbl,2,0),IFERROR(VLOOKUP($G843,StaffTbl,2,0),"کد ناشناخته")))))</f>
        <v/>
      </c>
      <c r="I843" s="12" t="n"/>
      <c r="J843" s="12" t="n"/>
      <c r="K843" s="13" t="n"/>
      <c r="L843" s="13" t="n"/>
      <c r="M843" s="13" t="n"/>
      <c r="N843" s="14">
        <f>IF(OR($C843="",$E843="",Calc!$H843=""),"",IFERROR(VLOOKUP(LEFT(UPPER(TRIM($E843)),6),BankTbl,3,0),0)+SUMIFS(CalcDep,CalcBank,LEFT(UPPER(TRIM($E843)),6),CalcKey,"&lt;="&amp;Calc!$H843)-SUMIFS(CalcWit,CalcBank,LEFT(UPPER(TRIM($E843)),6),CalcKey,"&lt;="&amp;Calc!$H843))</f>
        <v/>
      </c>
      <c r="O843" s="10">
        <f>IF(OR($C843="",$M843=""),"",IF($N843="","؟",IF(ROUND($M843-$N843,0)=0,"√","×")))</f>
        <v/>
      </c>
      <c r="P843" s="12" t="n"/>
    </row>
    <row r="844">
      <c r="A844" s="10">
        <f>IF($C844="","",COUNTA($C$9:$C844))</f>
        <v/>
      </c>
      <c r="B844" s="10">
        <f>IF($C844="","","TXN-"&amp;RIGHT("0000"&amp;836,4))</f>
        <v/>
      </c>
      <c r="C844" s="11" t="n"/>
      <c r="D844" s="11" t="n"/>
      <c r="E844" s="12" t="n"/>
      <c r="F844" s="10">
        <f>IF($E844="","",IFERROR(IF(VLOOKUP(LEFT(UPPER(TRIM($E844)),6),BankTbl,2,0)="","(بدون عنوان)",VLOOKUP(LEFT(UPPER(TRIM($E844)),6),BankTbl,2,0)),"بانک ناشناخته"))</f>
        <v/>
      </c>
      <c r="G844" s="11" t="n"/>
      <c r="H844" s="10">
        <f>IF($G844="","",IFERROR(VLOOKUP($G844,CustTbl,2,0),IFERROR(VLOOKUP($G844,SuppTbl,2,0),IFERROR(VLOOKUP($G844,AcctTbl,2,0),IFERROR(VLOOKUP($G844,StaffTbl,2,0),"کد ناشناخته")))))</f>
        <v/>
      </c>
      <c r="I844" s="12" t="n"/>
      <c r="J844" s="12" t="n"/>
      <c r="K844" s="13" t="n"/>
      <c r="L844" s="13" t="n"/>
      <c r="M844" s="13" t="n"/>
      <c r="N844" s="14">
        <f>IF(OR($C844="",$E844="",Calc!$H844=""),"",IFERROR(VLOOKUP(LEFT(UPPER(TRIM($E844)),6),BankTbl,3,0),0)+SUMIFS(CalcDep,CalcBank,LEFT(UPPER(TRIM($E844)),6),CalcKey,"&lt;="&amp;Calc!$H844)-SUMIFS(CalcWit,CalcBank,LEFT(UPPER(TRIM($E844)),6),CalcKey,"&lt;="&amp;Calc!$H844))</f>
        <v/>
      </c>
      <c r="O844" s="10">
        <f>IF(OR($C844="",$M844=""),"",IF($N844="","؟",IF(ROUND($M844-$N844,0)=0,"√","×")))</f>
        <v/>
      </c>
      <c r="P844" s="12" t="n"/>
    </row>
    <row r="845">
      <c r="A845" s="10">
        <f>IF($C845="","",COUNTA($C$9:$C845))</f>
        <v/>
      </c>
      <c r="B845" s="10">
        <f>IF($C845="","","TXN-"&amp;RIGHT("0000"&amp;837,4))</f>
        <v/>
      </c>
      <c r="C845" s="11" t="n"/>
      <c r="D845" s="11" t="n"/>
      <c r="E845" s="12" t="n"/>
      <c r="F845" s="10">
        <f>IF($E845="","",IFERROR(IF(VLOOKUP(LEFT(UPPER(TRIM($E845)),6),BankTbl,2,0)="","(بدون عنوان)",VLOOKUP(LEFT(UPPER(TRIM($E845)),6),BankTbl,2,0)),"بانک ناشناخته"))</f>
        <v/>
      </c>
      <c r="G845" s="11" t="n"/>
      <c r="H845" s="10">
        <f>IF($G845="","",IFERROR(VLOOKUP($G845,CustTbl,2,0),IFERROR(VLOOKUP($G845,SuppTbl,2,0),IFERROR(VLOOKUP($G845,AcctTbl,2,0),IFERROR(VLOOKUP($G845,StaffTbl,2,0),"کد ناشناخته")))))</f>
        <v/>
      </c>
      <c r="I845" s="12" t="n"/>
      <c r="J845" s="12" t="n"/>
      <c r="K845" s="13" t="n"/>
      <c r="L845" s="13" t="n"/>
      <c r="M845" s="13" t="n"/>
      <c r="N845" s="14">
        <f>IF(OR($C845="",$E845="",Calc!$H845=""),"",IFERROR(VLOOKUP(LEFT(UPPER(TRIM($E845)),6),BankTbl,3,0),0)+SUMIFS(CalcDep,CalcBank,LEFT(UPPER(TRIM($E845)),6),CalcKey,"&lt;="&amp;Calc!$H845)-SUMIFS(CalcWit,CalcBank,LEFT(UPPER(TRIM($E845)),6),CalcKey,"&lt;="&amp;Calc!$H845))</f>
        <v/>
      </c>
      <c r="O845" s="10">
        <f>IF(OR($C845="",$M845=""),"",IF($N845="","؟",IF(ROUND($M845-$N845,0)=0,"√","×")))</f>
        <v/>
      </c>
      <c r="P845" s="12" t="n"/>
    </row>
    <row r="846">
      <c r="A846" s="10">
        <f>IF($C846="","",COUNTA($C$9:$C846))</f>
        <v/>
      </c>
      <c r="B846" s="10">
        <f>IF($C846="","","TXN-"&amp;RIGHT("0000"&amp;838,4))</f>
        <v/>
      </c>
      <c r="C846" s="11" t="n"/>
      <c r="D846" s="11" t="n"/>
      <c r="E846" s="12" t="n"/>
      <c r="F846" s="10">
        <f>IF($E846="","",IFERROR(IF(VLOOKUP(LEFT(UPPER(TRIM($E846)),6),BankTbl,2,0)="","(بدون عنوان)",VLOOKUP(LEFT(UPPER(TRIM($E846)),6),BankTbl,2,0)),"بانک ناشناخته"))</f>
        <v/>
      </c>
      <c r="G846" s="11" t="n"/>
      <c r="H846" s="10">
        <f>IF($G846="","",IFERROR(VLOOKUP($G846,CustTbl,2,0),IFERROR(VLOOKUP($G846,SuppTbl,2,0),IFERROR(VLOOKUP($G846,AcctTbl,2,0),IFERROR(VLOOKUP($G846,StaffTbl,2,0),"کد ناشناخته")))))</f>
        <v/>
      </c>
      <c r="I846" s="12" t="n"/>
      <c r="J846" s="12" t="n"/>
      <c r="K846" s="13" t="n"/>
      <c r="L846" s="13" t="n"/>
      <c r="M846" s="13" t="n"/>
      <c r="N846" s="14">
        <f>IF(OR($C846="",$E846="",Calc!$H846=""),"",IFERROR(VLOOKUP(LEFT(UPPER(TRIM($E846)),6),BankTbl,3,0),0)+SUMIFS(CalcDep,CalcBank,LEFT(UPPER(TRIM($E846)),6),CalcKey,"&lt;="&amp;Calc!$H846)-SUMIFS(CalcWit,CalcBank,LEFT(UPPER(TRIM($E846)),6),CalcKey,"&lt;="&amp;Calc!$H846))</f>
        <v/>
      </c>
      <c r="O846" s="10">
        <f>IF(OR($C846="",$M846=""),"",IF($N846="","؟",IF(ROUND($M846-$N846,0)=0,"√","×")))</f>
        <v/>
      </c>
      <c r="P846" s="12" t="n"/>
    </row>
    <row r="847">
      <c r="A847" s="10">
        <f>IF($C847="","",COUNTA($C$9:$C847))</f>
        <v/>
      </c>
      <c r="B847" s="10">
        <f>IF($C847="","","TXN-"&amp;RIGHT("0000"&amp;839,4))</f>
        <v/>
      </c>
      <c r="C847" s="11" t="n"/>
      <c r="D847" s="11" t="n"/>
      <c r="E847" s="12" t="n"/>
      <c r="F847" s="10">
        <f>IF($E847="","",IFERROR(IF(VLOOKUP(LEFT(UPPER(TRIM($E847)),6),BankTbl,2,0)="","(بدون عنوان)",VLOOKUP(LEFT(UPPER(TRIM($E847)),6),BankTbl,2,0)),"بانک ناشناخته"))</f>
        <v/>
      </c>
      <c r="G847" s="11" t="n"/>
      <c r="H847" s="10">
        <f>IF($G847="","",IFERROR(VLOOKUP($G847,CustTbl,2,0),IFERROR(VLOOKUP($G847,SuppTbl,2,0),IFERROR(VLOOKUP($G847,AcctTbl,2,0),IFERROR(VLOOKUP($G847,StaffTbl,2,0),"کد ناشناخته")))))</f>
        <v/>
      </c>
      <c r="I847" s="12" t="n"/>
      <c r="J847" s="12" t="n"/>
      <c r="K847" s="13" t="n"/>
      <c r="L847" s="13" t="n"/>
      <c r="M847" s="13" t="n"/>
      <c r="N847" s="14">
        <f>IF(OR($C847="",$E847="",Calc!$H847=""),"",IFERROR(VLOOKUP(LEFT(UPPER(TRIM($E847)),6),BankTbl,3,0),0)+SUMIFS(CalcDep,CalcBank,LEFT(UPPER(TRIM($E847)),6),CalcKey,"&lt;="&amp;Calc!$H847)-SUMIFS(CalcWit,CalcBank,LEFT(UPPER(TRIM($E847)),6),CalcKey,"&lt;="&amp;Calc!$H847))</f>
        <v/>
      </c>
      <c r="O847" s="10">
        <f>IF(OR($C847="",$M847=""),"",IF($N847="","؟",IF(ROUND($M847-$N847,0)=0,"√","×")))</f>
        <v/>
      </c>
      <c r="P847" s="12" t="n"/>
    </row>
    <row r="848">
      <c r="A848" s="10">
        <f>IF($C848="","",COUNTA($C$9:$C848))</f>
        <v/>
      </c>
      <c r="B848" s="10">
        <f>IF($C848="","","TXN-"&amp;RIGHT("0000"&amp;840,4))</f>
        <v/>
      </c>
      <c r="C848" s="11" t="n"/>
      <c r="D848" s="11" t="n"/>
      <c r="E848" s="12" t="n"/>
      <c r="F848" s="10">
        <f>IF($E848="","",IFERROR(IF(VLOOKUP(LEFT(UPPER(TRIM($E848)),6),BankTbl,2,0)="","(بدون عنوان)",VLOOKUP(LEFT(UPPER(TRIM($E848)),6),BankTbl,2,0)),"بانک ناشناخته"))</f>
        <v/>
      </c>
      <c r="G848" s="11" t="n"/>
      <c r="H848" s="10">
        <f>IF($G848="","",IFERROR(VLOOKUP($G848,CustTbl,2,0),IFERROR(VLOOKUP($G848,SuppTbl,2,0),IFERROR(VLOOKUP($G848,AcctTbl,2,0),IFERROR(VLOOKUP($G848,StaffTbl,2,0),"کد ناشناخته")))))</f>
        <v/>
      </c>
      <c r="I848" s="12" t="n"/>
      <c r="J848" s="12" t="n"/>
      <c r="K848" s="13" t="n"/>
      <c r="L848" s="13" t="n"/>
      <c r="M848" s="13" t="n"/>
      <c r="N848" s="14">
        <f>IF(OR($C848="",$E848="",Calc!$H848=""),"",IFERROR(VLOOKUP(LEFT(UPPER(TRIM($E848)),6),BankTbl,3,0),0)+SUMIFS(CalcDep,CalcBank,LEFT(UPPER(TRIM($E848)),6),CalcKey,"&lt;="&amp;Calc!$H848)-SUMIFS(CalcWit,CalcBank,LEFT(UPPER(TRIM($E848)),6),CalcKey,"&lt;="&amp;Calc!$H848))</f>
        <v/>
      </c>
      <c r="O848" s="10">
        <f>IF(OR($C848="",$M848=""),"",IF($N848="","؟",IF(ROUND($M848-$N848,0)=0,"√","×")))</f>
        <v/>
      </c>
      <c r="P848" s="12" t="n"/>
    </row>
    <row r="849">
      <c r="A849" s="10">
        <f>IF($C849="","",COUNTA($C$9:$C849))</f>
        <v/>
      </c>
      <c r="B849" s="10">
        <f>IF($C849="","","TXN-"&amp;RIGHT("0000"&amp;841,4))</f>
        <v/>
      </c>
      <c r="C849" s="11" t="n"/>
      <c r="D849" s="11" t="n"/>
      <c r="E849" s="12" t="n"/>
      <c r="F849" s="10">
        <f>IF($E849="","",IFERROR(IF(VLOOKUP(LEFT(UPPER(TRIM($E849)),6),BankTbl,2,0)="","(بدون عنوان)",VLOOKUP(LEFT(UPPER(TRIM($E849)),6),BankTbl,2,0)),"بانک ناشناخته"))</f>
        <v/>
      </c>
      <c r="G849" s="11" t="n"/>
      <c r="H849" s="10">
        <f>IF($G849="","",IFERROR(VLOOKUP($G849,CustTbl,2,0),IFERROR(VLOOKUP($G849,SuppTbl,2,0),IFERROR(VLOOKUP($G849,AcctTbl,2,0),IFERROR(VLOOKUP($G849,StaffTbl,2,0),"کد ناشناخته")))))</f>
        <v/>
      </c>
      <c r="I849" s="12" t="n"/>
      <c r="J849" s="12" t="n"/>
      <c r="K849" s="13" t="n"/>
      <c r="L849" s="13" t="n"/>
      <c r="M849" s="13" t="n"/>
      <c r="N849" s="14">
        <f>IF(OR($C849="",$E849="",Calc!$H849=""),"",IFERROR(VLOOKUP(LEFT(UPPER(TRIM($E849)),6),BankTbl,3,0),0)+SUMIFS(CalcDep,CalcBank,LEFT(UPPER(TRIM($E849)),6),CalcKey,"&lt;="&amp;Calc!$H849)-SUMIFS(CalcWit,CalcBank,LEFT(UPPER(TRIM($E849)),6),CalcKey,"&lt;="&amp;Calc!$H849))</f>
        <v/>
      </c>
      <c r="O849" s="10">
        <f>IF(OR($C849="",$M849=""),"",IF($N849="","؟",IF(ROUND($M849-$N849,0)=0,"√","×")))</f>
        <v/>
      </c>
      <c r="P849" s="12" t="n"/>
    </row>
    <row r="850">
      <c r="A850" s="10">
        <f>IF($C850="","",COUNTA($C$9:$C850))</f>
        <v/>
      </c>
      <c r="B850" s="10">
        <f>IF($C850="","","TXN-"&amp;RIGHT("0000"&amp;842,4))</f>
        <v/>
      </c>
      <c r="C850" s="11" t="n"/>
      <c r="D850" s="11" t="n"/>
      <c r="E850" s="12" t="n"/>
      <c r="F850" s="10">
        <f>IF($E850="","",IFERROR(IF(VLOOKUP(LEFT(UPPER(TRIM($E850)),6),BankTbl,2,0)="","(بدون عنوان)",VLOOKUP(LEFT(UPPER(TRIM($E850)),6),BankTbl,2,0)),"بانک ناشناخته"))</f>
        <v/>
      </c>
      <c r="G850" s="11" t="n"/>
      <c r="H850" s="10">
        <f>IF($G850="","",IFERROR(VLOOKUP($G850,CustTbl,2,0),IFERROR(VLOOKUP($G850,SuppTbl,2,0),IFERROR(VLOOKUP($G850,AcctTbl,2,0),IFERROR(VLOOKUP($G850,StaffTbl,2,0),"کد ناشناخته")))))</f>
        <v/>
      </c>
      <c r="I850" s="12" t="n"/>
      <c r="J850" s="12" t="n"/>
      <c r="K850" s="13" t="n"/>
      <c r="L850" s="13" t="n"/>
      <c r="M850" s="13" t="n"/>
      <c r="N850" s="14">
        <f>IF(OR($C850="",$E850="",Calc!$H850=""),"",IFERROR(VLOOKUP(LEFT(UPPER(TRIM($E850)),6),BankTbl,3,0),0)+SUMIFS(CalcDep,CalcBank,LEFT(UPPER(TRIM($E850)),6),CalcKey,"&lt;="&amp;Calc!$H850)-SUMIFS(CalcWit,CalcBank,LEFT(UPPER(TRIM($E850)),6),CalcKey,"&lt;="&amp;Calc!$H850))</f>
        <v/>
      </c>
      <c r="O850" s="10">
        <f>IF(OR($C850="",$M850=""),"",IF($N850="","؟",IF(ROUND($M850-$N850,0)=0,"√","×")))</f>
        <v/>
      </c>
      <c r="P850" s="12" t="n"/>
    </row>
    <row r="851">
      <c r="A851" s="10">
        <f>IF($C851="","",COUNTA($C$9:$C851))</f>
        <v/>
      </c>
      <c r="B851" s="10">
        <f>IF($C851="","","TXN-"&amp;RIGHT("0000"&amp;843,4))</f>
        <v/>
      </c>
      <c r="C851" s="11" t="n"/>
      <c r="D851" s="11" t="n"/>
      <c r="E851" s="12" t="n"/>
      <c r="F851" s="10">
        <f>IF($E851="","",IFERROR(IF(VLOOKUP(LEFT(UPPER(TRIM($E851)),6),BankTbl,2,0)="","(بدون عنوان)",VLOOKUP(LEFT(UPPER(TRIM($E851)),6),BankTbl,2,0)),"بانک ناشناخته"))</f>
        <v/>
      </c>
      <c r="G851" s="11" t="n"/>
      <c r="H851" s="10">
        <f>IF($G851="","",IFERROR(VLOOKUP($G851,CustTbl,2,0),IFERROR(VLOOKUP($G851,SuppTbl,2,0),IFERROR(VLOOKUP($G851,AcctTbl,2,0),IFERROR(VLOOKUP($G851,StaffTbl,2,0),"کد ناشناخته")))))</f>
        <v/>
      </c>
      <c r="I851" s="12" t="n"/>
      <c r="J851" s="12" t="n"/>
      <c r="K851" s="13" t="n"/>
      <c r="L851" s="13" t="n"/>
      <c r="M851" s="13" t="n"/>
      <c r="N851" s="14">
        <f>IF(OR($C851="",$E851="",Calc!$H851=""),"",IFERROR(VLOOKUP(LEFT(UPPER(TRIM($E851)),6),BankTbl,3,0),0)+SUMIFS(CalcDep,CalcBank,LEFT(UPPER(TRIM($E851)),6),CalcKey,"&lt;="&amp;Calc!$H851)-SUMIFS(CalcWit,CalcBank,LEFT(UPPER(TRIM($E851)),6),CalcKey,"&lt;="&amp;Calc!$H851))</f>
        <v/>
      </c>
      <c r="O851" s="10">
        <f>IF(OR($C851="",$M851=""),"",IF($N851="","؟",IF(ROUND($M851-$N851,0)=0,"√","×")))</f>
        <v/>
      </c>
      <c r="P851" s="12" t="n"/>
    </row>
    <row r="852">
      <c r="A852" s="10">
        <f>IF($C852="","",COUNTA($C$9:$C852))</f>
        <v/>
      </c>
      <c r="B852" s="10">
        <f>IF($C852="","","TXN-"&amp;RIGHT("0000"&amp;844,4))</f>
        <v/>
      </c>
      <c r="C852" s="11" t="n"/>
      <c r="D852" s="11" t="n"/>
      <c r="E852" s="12" t="n"/>
      <c r="F852" s="10">
        <f>IF($E852="","",IFERROR(IF(VLOOKUP(LEFT(UPPER(TRIM($E852)),6),BankTbl,2,0)="","(بدون عنوان)",VLOOKUP(LEFT(UPPER(TRIM($E852)),6),BankTbl,2,0)),"بانک ناشناخته"))</f>
        <v/>
      </c>
      <c r="G852" s="11" t="n"/>
      <c r="H852" s="10">
        <f>IF($G852="","",IFERROR(VLOOKUP($G852,CustTbl,2,0),IFERROR(VLOOKUP($G852,SuppTbl,2,0),IFERROR(VLOOKUP($G852,AcctTbl,2,0),IFERROR(VLOOKUP($G852,StaffTbl,2,0),"کد ناشناخته")))))</f>
        <v/>
      </c>
      <c r="I852" s="12" t="n"/>
      <c r="J852" s="12" t="n"/>
      <c r="K852" s="13" t="n"/>
      <c r="L852" s="13" t="n"/>
      <c r="M852" s="13" t="n"/>
      <c r="N852" s="14">
        <f>IF(OR($C852="",$E852="",Calc!$H852=""),"",IFERROR(VLOOKUP(LEFT(UPPER(TRIM($E852)),6),BankTbl,3,0),0)+SUMIFS(CalcDep,CalcBank,LEFT(UPPER(TRIM($E852)),6),CalcKey,"&lt;="&amp;Calc!$H852)-SUMIFS(CalcWit,CalcBank,LEFT(UPPER(TRIM($E852)),6),CalcKey,"&lt;="&amp;Calc!$H852))</f>
        <v/>
      </c>
      <c r="O852" s="10">
        <f>IF(OR($C852="",$M852=""),"",IF($N852="","؟",IF(ROUND($M852-$N852,0)=0,"√","×")))</f>
        <v/>
      </c>
      <c r="P852" s="12" t="n"/>
    </row>
    <row r="853">
      <c r="A853" s="10">
        <f>IF($C853="","",COUNTA($C$9:$C853))</f>
        <v/>
      </c>
      <c r="B853" s="10">
        <f>IF($C853="","","TXN-"&amp;RIGHT("0000"&amp;845,4))</f>
        <v/>
      </c>
      <c r="C853" s="11" t="n"/>
      <c r="D853" s="11" t="n"/>
      <c r="E853" s="12" t="n"/>
      <c r="F853" s="10">
        <f>IF($E853="","",IFERROR(IF(VLOOKUP(LEFT(UPPER(TRIM($E853)),6),BankTbl,2,0)="","(بدون عنوان)",VLOOKUP(LEFT(UPPER(TRIM($E853)),6),BankTbl,2,0)),"بانک ناشناخته"))</f>
        <v/>
      </c>
      <c r="G853" s="11" t="n"/>
      <c r="H853" s="10">
        <f>IF($G853="","",IFERROR(VLOOKUP($G853,CustTbl,2,0),IFERROR(VLOOKUP($G853,SuppTbl,2,0),IFERROR(VLOOKUP($G853,AcctTbl,2,0),IFERROR(VLOOKUP($G853,StaffTbl,2,0),"کد ناشناخته")))))</f>
        <v/>
      </c>
      <c r="I853" s="12" t="n"/>
      <c r="J853" s="12" t="n"/>
      <c r="K853" s="13" t="n"/>
      <c r="L853" s="13" t="n"/>
      <c r="M853" s="13" t="n"/>
      <c r="N853" s="14">
        <f>IF(OR($C853="",$E853="",Calc!$H853=""),"",IFERROR(VLOOKUP(LEFT(UPPER(TRIM($E853)),6),BankTbl,3,0),0)+SUMIFS(CalcDep,CalcBank,LEFT(UPPER(TRIM($E853)),6),CalcKey,"&lt;="&amp;Calc!$H853)-SUMIFS(CalcWit,CalcBank,LEFT(UPPER(TRIM($E853)),6),CalcKey,"&lt;="&amp;Calc!$H853))</f>
        <v/>
      </c>
      <c r="O853" s="10">
        <f>IF(OR($C853="",$M853=""),"",IF($N853="","؟",IF(ROUND($M853-$N853,0)=0,"√","×")))</f>
        <v/>
      </c>
      <c r="P853" s="12" t="n"/>
    </row>
    <row r="854">
      <c r="A854" s="10">
        <f>IF($C854="","",COUNTA($C$9:$C854))</f>
        <v/>
      </c>
      <c r="B854" s="10">
        <f>IF($C854="","","TXN-"&amp;RIGHT("0000"&amp;846,4))</f>
        <v/>
      </c>
      <c r="C854" s="11" t="n"/>
      <c r="D854" s="11" t="n"/>
      <c r="E854" s="12" t="n"/>
      <c r="F854" s="10">
        <f>IF($E854="","",IFERROR(IF(VLOOKUP(LEFT(UPPER(TRIM($E854)),6),BankTbl,2,0)="","(بدون عنوان)",VLOOKUP(LEFT(UPPER(TRIM($E854)),6),BankTbl,2,0)),"بانک ناشناخته"))</f>
        <v/>
      </c>
      <c r="G854" s="11" t="n"/>
      <c r="H854" s="10">
        <f>IF($G854="","",IFERROR(VLOOKUP($G854,CustTbl,2,0),IFERROR(VLOOKUP($G854,SuppTbl,2,0),IFERROR(VLOOKUP($G854,AcctTbl,2,0),IFERROR(VLOOKUP($G854,StaffTbl,2,0),"کد ناشناخته")))))</f>
        <v/>
      </c>
      <c r="I854" s="12" t="n"/>
      <c r="J854" s="12" t="n"/>
      <c r="K854" s="13" t="n"/>
      <c r="L854" s="13" t="n"/>
      <c r="M854" s="13" t="n"/>
      <c r="N854" s="14">
        <f>IF(OR($C854="",$E854="",Calc!$H854=""),"",IFERROR(VLOOKUP(LEFT(UPPER(TRIM($E854)),6),BankTbl,3,0),0)+SUMIFS(CalcDep,CalcBank,LEFT(UPPER(TRIM($E854)),6),CalcKey,"&lt;="&amp;Calc!$H854)-SUMIFS(CalcWit,CalcBank,LEFT(UPPER(TRIM($E854)),6),CalcKey,"&lt;="&amp;Calc!$H854))</f>
        <v/>
      </c>
      <c r="O854" s="10">
        <f>IF(OR($C854="",$M854=""),"",IF($N854="","؟",IF(ROUND($M854-$N854,0)=0,"√","×")))</f>
        <v/>
      </c>
      <c r="P854" s="12" t="n"/>
    </row>
    <row r="855">
      <c r="A855" s="10">
        <f>IF($C855="","",COUNTA($C$9:$C855))</f>
        <v/>
      </c>
      <c r="B855" s="10">
        <f>IF($C855="","","TXN-"&amp;RIGHT("0000"&amp;847,4))</f>
        <v/>
      </c>
      <c r="C855" s="11" t="n"/>
      <c r="D855" s="11" t="n"/>
      <c r="E855" s="12" t="n"/>
      <c r="F855" s="10">
        <f>IF($E855="","",IFERROR(IF(VLOOKUP(LEFT(UPPER(TRIM($E855)),6),BankTbl,2,0)="","(بدون عنوان)",VLOOKUP(LEFT(UPPER(TRIM($E855)),6),BankTbl,2,0)),"بانک ناشناخته"))</f>
        <v/>
      </c>
      <c r="G855" s="11" t="n"/>
      <c r="H855" s="10">
        <f>IF($G855="","",IFERROR(VLOOKUP($G855,CustTbl,2,0),IFERROR(VLOOKUP($G855,SuppTbl,2,0),IFERROR(VLOOKUP($G855,AcctTbl,2,0),IFERROR(VLOOKUP($G855,StaffTbl,2,0),"کد ناشناخته")))))</f>
        <v/>
      </c>
      <c r="I855" s="12" t="n"/>
      <c r="J855" s="12" t="n"/>
      <c r="K855" s="13" t="n"/>
      <c r="L855" s="13" t="n"/>
      <c r="M855" s="13" t="n"/>
      <c r="N855" s="14">
        <f>IF(OR($C855="",$E855="",Calc!$H855=""),"",IFERROR(VLOOKUP(LEFT(UPPER(TRIM($E855)),6),BankTbl,3,0),0)+SUMIFS(CalcDep,CalcBank,LEFT(UPPER(TRIM($E855)),6),CalcKey,"&lt;="&amp;Calc!$H855)-SUMIFS(CalcWit,CalcBank,LEFT(UPPER(TRIM($E855)),6),CalcKey,"&lt;="&amp;Calc!$H855))</f>
        <v/>
      </c>
      <c r="O855" s="10">
        <f>IF(OR($C855="",$M855=""),"",IF($N855="","؟",IF(ROUND($M855-$N855,0)=0,"√","×")))</f>
        <v/>
      </c>
      <c r="P855" s="12" t="n"/>
    </row>
    <row r="856">
      <c r="A856" s="10">
        <f>IF($C856="","",COUNTA($C$9:$C856))</f>
        <v/>
      </c>
      <c r="B856" s="10">
        <f>IF($C856="","","TXN-"&amp;RIGHT("0000"&amp;848,4))</f>
        <v/>
      </c>
      <c r="C856" s="11" t="n"/>
      <c r="D856" s="11" t="n"/>
      <c r="E856" s="12" t="n"/>
      <c r="F856" s="10">
        <f>IF($E856="","",IFERROR(IF(VLOOKUP(LEFT(UPPER(TRIM($E856)),6),BankTbl,2,0)="","(بدون عنوان)",VLOOKUP(LEFT(UPPER(TRIM($E856)),6),BankTbl,2,0)),"بانک ناشناخته"))</f>
        <v/>
      </c>
      <c r="G856" s="11" t="n"/>
      <c r="H856" s="10">
        <f>IF($G856="","",IFERROR(VLOOKUP($G856,CustTbl,2,0),IFERROR(VLOOKUP($G856,SuppTbl,2,0),IFERROR(VLOOKUP($G856,AcctTbl,2,0),IFERROR(VLOOKUP($G856,StaffTbl,2,0),"کد ناشناخته")))))</f>
        <v/>
      </c>
      <c r="I856" s="12" t="n"/>
      <c r="J856" s="12" t="n"/>
      <c r="K856" s="13" t="n"/>
      <c r="L856" s="13" t="n"/>
      <c r="M856" s="13" t="n"/>
      <c r="N856" s="14">
        <f>IF(OR($C856="",$E856="",Calc!$H856=""),"",IFERROR(VLOOKUP(LEFT(UPPER(TRIM($E856)),6),BankTbl,3,0),0)+SUMIFS(CalcDep,CalcBank,LEFT(UPPER(TRIM($E856)),6),CalcKey,"&lt;="&amp;Calc!$H856)-SUMIFS(CalcWit,CalcBank,LEFT(UPPER(TRIM($E856)),6),CalcKey,"&lt;="&amp;Calc!$H856))</f>
        <v/>
      </c>
      <c r="O856" s="10">
        <f>IF(OR($C856="",$M856=""),"",IF($N856="","؟",IF(ROUND($M856-$N856,0)=0,"√","×")))</f>
        <v/>
      </c>
      <c r="P856" s="12" t="n"/>
    </row>
    <row r="857">
      <c r="A857" s="10">
        <f>IF($C857="","",COUNTA($C$9:$C857))</f>
        <v/>
      </c>
      <c r="B857" s="10">
        <f>IF($C857="","","TXN-"&amp;RIGHT("0000"&amp;849,4))</f>
        <v/>
      </c>
      <c r="C857" s="11" t="n"/>
      <c r="D857" s="11" t="n"/>
      <c r="E857" s="12" t="n"/>
      <c r="F857" s="10">
        <f>IF($E857="","",IFERROR(IF(VLOOKUP(LEFT(UPPER(TRIM($E857)),6),BankTbl,2,0)="","(بدون عنوان)",VLOOKUP(LEFT(UPPER(TRIM($E857)),6),BankTbl,2,0)),"بانک ناشناخته"))</f>
        <v/>
      </c>
      <c r="G857" s="11" t="n"/>
      <c r="H857" s="10">
        <f>IF($G857="","",IFERROR(VLOOKUP($G857,CustTbl,2,0),IFERROR(VLOOKUP($G857,SuppTbl,2,0),IFERROR(VLOOKUP($G857,AcctTbl,2,0),IFERROR(VLOOKUP($G857,StaffTbl,2,0),"کد ناشناخته")))))</f>
        <v/>
      </c>
      <c r="I857" s="12" t="n"/>
      <c r="J857" s="12" t="n"/>
      <c r="K857" s="13" t="n"/>
      <c r="L857" s="13" t="n"/>
      <c r="M857" s="13" t="n"/>
      <c r="N857" s="14">
        <f>IF(OR($C857="",$E857="",Calc!$H857=""),"",IFERROR(VLOOKUP(LEFT(UPPER(TRIM($E857)),6),BankTbl,3,0),0)+SUMIFS(CalcDep,CalcBank,LEFT(UPPER(TRIM($E857)),6),CalcKey,"&lt;="&amp;Calc!$H857)-SUMIFS(CalcWit,CalcBank,LEFT(UPPER(TRIM($E857)),6),CalcKey,"&lt;="&amp;Calc!$H857))</f>
        <v/>
      </c>
      <c r="O857" s="10">
        <f>IF(OR($C857="",$M857=""),"",IF($N857="","؟",IF(ROUND($M857-$N857,0)=0,"√","×")))</f>
        <v/>
      </c>
      <c r="P857" s="12" t="n"/>
    </row>
    <row r="858">
      <c r="A858" s="10">
        <f>IF($C858="","",COUNTA($C$9:$C858))</f>
        <v/>
      </c>
      <c r="B858" s="10">
        <f>IF($C858="","","TXN-"&amp;RIGHT("0000"&amp;850,4))</f>
        <v/>
      </c>
      <c r="C858" s="11" t="n"/>
      <c r="D858" s="11" t="n"/>
      <c r="E858" s="12" t="n"/>
      <c r="F858" s="10">
        <f>IF($E858="","",IFERROR(IF(VLOOKUP(LEFT(UPPER(TRIM($E858)),6),BankTbl,2,0)="","(بدون عنوان)",VLOOKUP(LEFT(UPPER(TRIM($E858)),6),BankTbl,2,0)),"بانک ناشناخته"))</f>
        <v/>
      </c>
      <c r="G858" s="11" t="n"/>
      <c r="H858" s="10">
        <f>IF($G858="","",IFERROR(VLOOKUP($G858,CustTbl,2,0),IFERROR(VLOOKUP($G858,SuppTbl,2,0),IFERROR(VLOOKUP($G858,AcctTbl,2,0),IFERROR(VLOOKUP($G858,StaffTbl,2,0),"کد ناشناخته")))))</f>
        <v/>
      </c>
      <c r="I858" s="12" t="n"/>
      <c r="J858" s="12" t="n"/>
      <c r="K858" s="13" t="n"/>
      <c r="L858" s="13" t="n"/>
      <c r="M858" s="13" t="n"/>
      <c r="N858" s="14">
        <f>IF(OR($C858="",$E858="",Calc!$H858=""),"",IFERROR(VLOOKUP(LEFT(UPPER(TRIM($E858)),6),BankTbl,3,0),0)+SUMIFS(CalcDep,CalcBank,LEFT(UPPER(TRIM($E858)),6),CalcKey,"&lt;="&amp;Calc!$H858)-SUMIFS(CalcWit,CalcBank,LEFT(UPPER(TRIM($E858)),6),CalcKey,"&lt;="&amp;Calc!$H858))</f>
        <v/>
      </c>
      <c r="O858" s="10">
        <f>IF(OR($C858="",$M858=""),"",IF($N858="","؟",IF(ROUND($M858-$N858,0)=0,"√","×")))</f>
        <v/>
      </c>
      <c r="P858" s="12" t="n"/>
    </row>
    <row r="859">
      <c r="A859" s="10">
        <f>IF($C859="","",COUNTA($C$9:$C859))</f>
        <v/>
      </c>
      <c r="B859" s="10">
        <f>IF($C859="","","TXN-"&amp;RIGHT("0000"&amp;851,4))</f>
        <v/>
      </c>
      <c r="C859" s="11" t="n"/>
      <c r="D859" s="11" t="n"/>
      <c r="E859" s="12" t="n"/>
      <c r="F859" s="10">
        <f>IF($E859="","",IFERROR(IF(VLOOKUP(LEFT(UPPER(TRIM($E859)),6),BankTbl,2,0)="","(بدون عنوان)",VLOOKUP(LEFT(UPPER(TRIM($E859)),6),BankTbl,2,0)),"بانک ناشناخته"))</f>
        <v/>
      </c>
      <c r="G859" s="11" t="n"/>
      <c r="H859" s="10">
        <f>IF($G859="","",IFERROR(VLOOKUP($G859,CustTbl,2,0),IFERROR(VLOOKUP($G859,SuppTbl,2,0),IFERROR(VLOOKUP($G859,AcctTbl,2,0),IFERROR(VLOOKUP($G859,StaffTbl,2,0),"کد ناشناخته")))))</f>
        <v/>
      </c>
      <c r="I859" s="12" t="n"/>
      <c r="J859" s="12" t="n"/>
      <c r="K859" s="13" t="n"/>
      <c r="L859" s="13" t="n"/>
      <c r="M859" s="13" t="n"/>
      <c r="N859" s="14">
        <f>IF(OR($C859="",$E859="",Calc!$H859=""),"",IFERROR(VLOOKUP(LEFT(UPPER(TRIM($E859)),6),BankTbl,3,0),0)+SUMIFS(CalcDep,CalcBank,LEFT(UPPER(TRIM($E859)),6),CalcKey,"&lt;="&amp;Calc!$H859)-SUMIFS(CalcWit,CalcBank,LEFT(UPPER(TRIM($E859)),6),CalcKey,"&lt;="&amp;Calc!$H859))</f>
        <v/>
      </c>
      <c r="O859" s="10">
        <f>IF(OR($C859="",$M859=""),"",IF($N859="","؟",IF(ROUND($M859-$N859,0)=0,"√","×")))</f>
        <v/>
      </c>
      <c r="P859" s="12" t="n"/>
    </row>
    <row r="860">
      <c r="A860" s="10">
        <f>IF($C860="","",COUNTA($C$9:$C860))</f>
        <v/>
      </c>
      <c r="B860" s="10">
        <f>IF($C860="","","TXN-"&amp;RIGHT("0000"&amp;852,4))</f>
        <v/>
      </c>
      <c r="C860" s="11" t="n"/>
      <c r="D860" s="11" t="n"/>
      <c r="E860" s="12" t="n"/>
      <c r="F860" s="10">
        <f>IF($E860="","",IFERROR(IF(VLOOKUP(LEFT(UPPER(TRIM($E860)),6),BankTbl,2,0)="","(بدون عنوان)",VLOOKUP(LEFT(UPPER(TRIM($E860)),6),BankTbl,2,0)),"بانک ناشناخته"))</f>
        <v/>
      </c>
      <c r="G860" s="11" t="n"/>
      <c r="H860" s="10">
        <f>IF($G860="","",IFERROR(VLOOKUP($G860,CustTbl,2,0),IFERROR(VLOOKUP($G860,SuppTbl,2,0),IFERROR(VLOOKUP($G860,AcctTbl,2,0),IFERROR(VLOOKUP($G860,StaffTbl,2,0),"کد ناشناخته")))))</f>
        <v/>
      </c>
      <c r="I860" s="12" t="n"/>
      <c r="J860" s="12" t="n"/>
      <c r="K860" s="13" t="n"/>
      <c r="L860" s="13" t="n"/>
      <c r="M860" s="13" t="n"/>
      <c r="N860" s="14">
        <f>IF(OR($C860="",$E860="",Calc!$H860=""),"",IFERROR(VLOOKUP(LEFT(UPPER(TRIM($E860)),6),BankTbl,3,0),0)+SUMIFS(CalcDep,CalcBank,LEFT(UPPER(TRIM($E860)),6),CalcKey,"&lt;="&amp;Calc!$H860)-SUMIFS(CalcWit,CalcBank,LEFT(UPPER(TRIM($E860)),6),CalcKey,"&lt;="&amp;Calc!$H860))</f>
        <v/>
      </c>
      <c r="O860" s="10">
        <f>IF(OR($C860="",$M860=""),"",IF($N860="","؟",IF(ROUND($M860-$N860,0)=0,"√","×")))</f>
        <v/>
      </c>
      <c r="P860" s="12" t="n"/>
    </row>
    <row r="861">
      <c r="A861" s="10">
        <f>IF($C861="","",COUNTA($C$9:$C861))</f>
        <v/>
      </c>
      <c r="B861" s="10">
        <f>IF($C861="","","TXN-"&amp;RIGHT("0000"&amp;853,4))</f>
        <v/>
      </c>
      <c r="C861" s="11" t="n"/>
      <c r="D861" s="11" t="n"/>
      <c r="E861" s="12" t="n"/>
      <c r="F861" s="10">
        <f>IF($E861="","",IFERROR(IF(VLOOKUP(LEFT(UPPER(TRIM($E861)),6),BankTbl,2,0)="","(بدون عنوان)",VLOOKUP(LEFT(UPPER(TRIM($E861)),6),BankTbl,2,0)),"بانک ناشناخته"))</f>
        <v/>
      </c>
      <c r="G861" s="11" t="n"/>
      <c r="H861" s="10">
        <f>IF($G861="","",IFERROR(VLOOKUP($G861,CustTbl,2,0),IFERROR(VLOOKUP($G861,SuppTbl,2,0),IFERROR(VLOOKUP($G861,AcctTbl,2,0),IFERROR(VLOOKUP($G861,StaffTbl,2,0),"کد ناشناخته")))))</f>
        <v/>
      </c>
      <c r="I861" s="12" t="n"/>
      <c r="J861" s="12" t="n"/>
      <c r="K861" s="13" t="n"/>
      <c r="L861" s="13" t="n"/>
      <c r="M861" s="13" t="n"/>
      <c r="N861" s="14">
        <f>IF(OR($C861="",$E861="",Calc!$H861=""),"",IFERROR(VLOOKUP(LEFT(UPPER(TRIM($E861)),6),BankTbl,3,0),0)+SUMIFS(CalcDep,CalcBank,LEFT(UPPER(TRIM($E861)),6),CalcKey,"&lt;="&amp;Calc!$H861)-SUMIFS(CalcWit,CalcBank,LEFT(UPPER(TRIM($E861)),6),CalcKey,"&lt;="&amp;Calc!$H861))</f>
        <v/>
      </c>
      <c r="O861" s="10">
        <f>IF(OR($C861="",$M861=""),"",IF($N861="","؟",IF(ROUND($M861-$N861,0)=0,"√","×")))</f>
        <v/>
      </c>
      <c r="P861" s="12" t="n"/>
    </row>
    <row r="862">
      <c r="A862" s="10">
        <f>IF($C862="","",COUNTA($C$9:$C862))</f>
        <v/>
      </c>
      <c r="B862" s="10">
        <f>IF($C862="","","TXN-"&amp;RIGHT("0000"&amp;854,4))</f>
        <v/>
      </c>
      <c r="C862" s="11" t="n"/>
      <c r="D862" s="11" t="n"/>
      <c r="E862" s="12" t="n"/>
      <c r="F862" s="10">
        <f>IF($E862="","",IFERROR(IF(VLOOKUP(LEFT(UPPER(TRIM($E862)),6),BankTbl,2,0)="","(بدون عنوان)",VLOOKUP(LEFT(UPPER(TRIM($E862)),6),BankTbl,2,0)),"بانک ناشناخته"))</f>
        <v/>
      </c>
      <c r="G862" s="11" t="n"/>
      <c r="H862" s="10">
        <f>IF($G862="","",IFERROR(VLOOKUP($G862,CustTbl,2,0),IFERROR(VLOOKUP($G862,SuppTbl,2,0),IFERROR(VLOOKUP($G862,AcctTbl,2,0),IFERROR(VLOOKUP($G862,StaffTbl,2,0),"کد ناشناخته")))))</f>
        <v/>
      </c>
      <c r="I862" s="12" t="n"/>
      <c r="J862" s="12" t="n"/>
      <c r="K862" s="13" t="n"/>
      <c r="L862" s="13" t="n"/>
      <c r="M862" s="13" t="n"/>
      <c r="N862" s="14">
        <f>IF(OR($C862="",$E862="",Calc!$H862=""),"",IFERROR(VLOOKUP(LEFT(UPPER(TRIM($E862)),6),BankTbl,3,0),0)+SUMIFS(CalcDep,CalcBank,LEFT(UPPER(TRIM($E862)),6),CalcKey,"&lt;="&amp;Calc!$H862)-SUMIFS(CalcWit,CalcBank,LEFT(UPPER(TRIM($E862)),6),CalcKey,"&lt;="&amp;Calc!$H862))</f>
        <v/>
      </c>
      <c r="O862" s="10">
        <f>IF(OR($C862="",$M862=""),"",IF($N862="","؟",IF(ROUND($M862-$N862,0)=0,"√","×")))</f>
        <v/>
      </c>
      <c r="P862" s="12" t="n"/>
    </row>
    <row r="863">
      <c r="A863" s="10">
        <f>IF($C863="","",COUNTA($C$9:$C863))</f>
        <v/>
      </c>
      <c r="B863" s="10">
        <f>IF($C863="","","TXN-"&amp;RIGHT("0000"&amp;855,4))</f>
        <v/>
      </c>
      <c r="C863" s="11" t="n"/>
      <c r="D863" s="11" t="n"/>
      <c r="E863" s="12" t="n"/>
      <c r="F863" s="10">
        <f>IF($E863="","",IFERROR(IF(VLOOKUP(LEFT(UPPER(TRIM($E863)),6),BankTbl,2,0)="","(بدون عنوان)",VLOOKUP(LEFT(UPPER(TRIM($E863)),6),BankTbl,2,0)),"بانک ناشناخته"))</f>
        <v/>
      </c>
      <c r="G863" s="11" t="n"/>
      <c r="H863" s="10">
        <f>IF($G863="","",IFERROR(VLOOKUP($G863,CustTbl,2,0),IFERROR(VLOOKUP($G863,SuppTbl,2,0),IFERROR(VLOOKUP($G863,AcctTbl,2,0),IFERROR(VLOOKUP($G863,StaffTbl,2,0),"کد ناشناخته")))))</f>
        <v/>
      </c>
      <c r="I863" s="12" t="n"/>
      <c r="J863" s="12" t="n"/>
      <c r="K863" s="13" t="n"/>
      <c r="L863" s="13" t="n"/>
      <c r="M863" s="13" t="n"/>
      <c r="N863" s="14">
        <f>IF(OR($C863="",$E863="",Calc!$H863=""),"",IFERROR(VLOOKUP(LEFT(UPPER(TRIM($E863)),6),BankTbl,3,0),0)+SUMIFS(CalcDep,CalcBank,LEFT(UPPER(TRIM($E863)),6),CalcKey,"&lt;="&amp;Calc!$H863)-SUMIFS(CalcWit,CalcBank,LEFT(UPPER(TRIM($E863)),6),CalcKey,"&lt;="&amp;Calc!$H863))</f>
        <v/>
      </c>
      <c r="O863" s="10">
        <f>IF(OR($C863="",$M863=""),"",IF($N863="","؟",IF(ROUND($M863-$N863,0)=0,"√","×")))</f>
        <v/>
      </c>
      <c r="P863" s="12" t="n"/>
    </row>
    <row r="864">
      <c r="A864" s="10">
        <f>IF($C864="","",COUNTA($C$9:$C864))</f>
        <v/>
      </c>
      <c r="B864" s="10">
        <f>IF($C864="","","TXN-"&amp;RIGHT("0000"&amp;856,4))</f>
        <v/>
      </c>
      <c r="C864" s="11" t="n"/>
      <c r="D864" s="11" t="n"/>
      <c r="E864" s="12" t="n"/>
      <c r="F864" s="10">
        <f>IF($E864="","",IFERROR(IF(VLOOKUP(LEFT(UPPER(TRIM($E864)),6),BankTbl,2,0)="","(بدون عنوان)",VLOOKUP(LEFT(UPPER(TRIM($E864)),6),BankTbl,2,0)),"بانک ناشناخته"))</f>
        <v/>
      </c>
      <c r="G864" s="11" t="n"/>
      <c r="H864" s="10">
        <f>IF($G864="","",IFERROR(VLOOKUP($G864,CustTbl,2,0),IFERROR(VLOOKUP($G864,SuppTbl,2,0),IFERROR(VLOOKUP($G864,AcctTbl,2,0),IFERROR(VLOOKUP($G864,StaffTbl,2,0),"کد ناشناخته")))))</f>
        <v/>
      </c>
      <c r="I864" s="12" t="n"/>
      <c r="J864" s="12" t="n"/>
      <c r="K864" s="13" t="n"/>
      <c r="L864" s="13" t="n"/>
      <c r="M864" s="13" t="n"/>
      <c r="N864" s="14">
        <f>IF(OR($C864="",$E864="",Calc!$H864=""),"",IFERROR(VLOOKUP(LEFT(UPPER(TRIM($E864)),6),BankTbl,3,0),0)+SUMIFS(CalcDep,CalcBank,LEFT(UPPER(TRIM($E864)),6),CalcKey,"&lt;="&amp;Calc!$H864)-SUMIFS(CalcWit,CalcBank,LEFT(UPPER(TRIM($E864)),6),CalcKey,"&lt;="&amp;Calc!$H864))</f>
        <v/>
      </c>
      <c r="O864" s="10">
        <f>IF(OR($C864="",$M864=""),"",IF($N864="","؟",IF(ROUND($M864-$N864,0)=0,"√","×")))</f>
        <v/>
      </c>
      <c r="P864" s="12" t="n"/>
    </row>
    <row r="865">
      <c r="A865" s="10">
        <f>IF($C865="","",COUNTA($C$9:$C865))</f>
        <v/>
      </c>
      <c r="B865" s="10">
        <f>IF($C865="","","TXN-"&amp;RIGHT("0000"&amp;857,4))</f>
        <v/>
      </c>
      <c r="C865" s="11" t="n"/>
      <c r="D865" s="11" t="n"/>
      <c r="E865" s="12" t="n"/>
      <c r="F865" s="10">
        <f>IF($E865="","",IFERROR(IF(VLOOKUP(LEFT(UPPER(TRIM($E865)),6),BankTbl,2,0)="","(بدون عنوان)",VLOOKUP(LEFT(UPPER(TRIM($E865)),6),BankTbl,2,0)),"بانک ناشناخته"))</f>
        <v/>
      </c>
      <c r="G865" s="11" t="n"/>
      <c r="H865" s="10">
        <f>IF($G865="","",IFERROR(VLOOKUP($G865,CustTbl,2,0),IFERROR(VLOOKUP($G865,SuppTbl,2,0),IFERROR(VLOOKUP($G865,AcctTbl,2,0),IFERROR(VLOOKUP($G865,StaffTbl,2,0),"کد ناشناخته")))))</f>
        <v/>
      </c>
      <c r="I865" s="12" t="n"/>
      <c r="J865" s="12" t="n"/>
      <c r="K865" s="13" t="n"/>
      <c r="L865" s="13" t="n"/>
      <c r="M865" s="13" t="n"/>
      <c r="N865" s="14">
        <f>IF(OR($C865="",$E865="",Calc!$H865=""),"",IFERROR(VLOOKUP(LEFT(UPPER(TRIM($E865)),6),BankTbl,3,0),0)+SUMIFS(CalcDep,CalcBank,LEFT(UPPER(TRIM($E865)),6),CalcKey,"&lt;="&amp;Calc!$H865)-SUMIFS(CalcWit,CalcBank,LEFT(UPPER(TRIM($E865)),6),CalcKey,"&lt;="&amp;Calc!$H865))</f>
        <v/>
      </c>
      <c r="O865" s="10">
        <f>IF(OR($C865="",$M865=""),"",IF($N865="","؟",IF(ROUND($M865-$N865,0)=0,"√","×")))</f>
        <v/>
      </c>
      <c r="P865" s="12" t="n"/>
    </row>
    <row r="866">
      <c r="A866" s="10">
        <f>IF($C866="","",COUNTA($C$9:$C866))</f>
        <v/>
      </c>
      <c r="B866" s="10">
        <f>IF($C866="","","TXN-"&amp;RIGHT("0000"&amp;858,4))</f>
        <v/>
      </c>
      <c r="C866" s="11" t="n"/>
      <c r="D866" s="11" t="n"/>
      <c r="E866" s="12" t="n"/>
      <c r="F866" s="10">
        <f>IF($E866="","",IFERROR(IF(VLOOKUP(LEFT(UPPER(TRIM($E866)),6),BankTbl,2,0)="","(بدون عنوان)",VLOOKUP(LEFT(UPPER(TRIM($E866)),6),BankTbl,2,0)),"بانک ناشناخته"))</f>
        <v/>
      </c>
      <c r="G866" s="11" t="n"/>
      <c r="H866" s="10">
        <f>IF($G866="","",IFERROR(VLOOKUP($G866,CustTbl,2,0),IFERROR(VLOOKUP($G866,SuppTbl,2,0),IFERROR(VLOOKUP($G866,AcctTbl,2,0),IFERROR(VLOOKUP($G866,StaffTbl,2,0),"کد ناشناخته")))))</f>
        <v/>
      </c>
      <c r="I866" s="12" t="n"/>
      <c r="J866" s="12" t="n"/>
      <c r="K866" s="13" t="n"/>
      <c r="L866" s="13" t="n"/>
      <c r="M866" s="13" t="n"/>
      <c r="N866" s="14">
        <f>IF(OR($C866="",$E866="",Calc!$H866=""),"",IFERROR(VLOOKUP(LEFT(UPPER(TRIM($E866)),6),BankTbl,3,0),0)+SUMIFS(CalcDep,CalcBank,LEFT(UPPER(TRIM($E866)),6),CalcKey,"&lt;="&amp;Calc!$H866)-SUMIFS(CalcWit,CalcBank,LEFT(UPPER(TRIM($E866)),6),CalcKey,"&lt;="&amp;Calc!$H866))</f>
        <v/>
      </c>
      <c r="O866" s="10">
        <f>IF(OR($C866="",$M866=""),"",IF($N866="","؟",IF(ROUND($M866-$N866,0)=0,"√","×")))</f>
        <v/>
      </c>
      <c r="P866" s="12" t="n"/>
    </row>
    <row r="867">
      <c r="A867" s="10">
        <f>IF($C867="","",COUNTA($C$9:$C867))</f>
        <v/>
      </c>
      <c r="B867" s="10">
        <f>IF($C867="","","TXN-"&amp;RIGHT("0000"&amp;859,4))</f>
        <v/>
      </c>
      <c r="C867" s="11" t="n"/>
      <c r="D867" s="11" t="n"/>
      <c r="E867" s="12" t="n"/>
      <c r="F867" s="10">
        <f>IF($E867="","",IFERROR(IF(VLOOKUP(LEFT(UPPER(TRIM($E867)),6),BankTbl,2,0)="","(بدون عنوان)",VLOOKUP(LEFT(UPPER(TRIM($E867)),6),BankTbl,2,0)),"بانک ناشناخته"))</f>
        <v/>
      </c>
      <c r="G867" s="11" t="n"/>
      <c r="H867" s="10">
        <f>IF($G867="","",IFERROR(VLOOKUP($G867,CustTbl,2,0),IFERROR(VLOOKUP($G867,SuppTbl,2,0),IFERROR(VLOOKUP($G867,AcctTbl,2,0),IFERROR(VLOOKUP($G867,StaffTbl,2,0),"کد ناشناخته")))))</f>
        <v/>
      </c>
      <c r="I867" s="12" t="n"/>
      <c r="J867" s="12" t="n"/>
      <c r="K867" s="13" t="n"/>
      <c r="L867" s="13" t="n"/>
      <c r="M867" s="13" t="n"/>
      <c r="N867" s="14">
        <f>IF(OR($C867="",$E867="",Calc!$H867=""),"",IFERROR(VLOOKUP(LEFT(UPPER(TRIM($E867)),6),BankTbl,3,0),0)+SUMIFS(CalcDep,CalcBank,LEFT(UPPER(TRIM($E867)),6),CalcKey,"&lt;="&amp;Calc!$H867)-SUMIFS(CalcWit,CalcBank,LEFT(UPPER(TRIM($E867)),6),CalcKey,"&lt;="&amp;Calc!$H867))</f>
        <v/>
      </c>
      <c r="O867" s="10">
        <f>IF(OR($C867="",$M867=""),"",IF($N867="","؟",IF(ROUND($M867-$N867,0)=0,"√","×")))</f>
        <v/>
      </c>
      <c r="P867" s="12" t="n"/>
    </row>
    <row r="868">
      <c r="A868" s="10">
        <f>IF($C868="","",COUNTA($C$9:$C868))</f>
        <v/>
      </c>
      <c r="B868" s="10">
        <f>IF($C868="","","TXN-"&amp;RIGHT("0000"&amp;860,4))</f>
        <v/>
      </c>
      <c r="C868" s="11" t="n"/>
      <c r="D868" s="11" t="n"/>
      <c r="E868" s="12" t="n"/>
      <c r="F868" s="10">
        <f>IF($E868="","",IFERROR(IF(VLOOKUP(LEFT(UPPER(TRIM($E868)),6),BankTbl,2,0)="","(بدون عنوان)",VLOOKUP(LEFT(UPPER(TRIM($E868)),6),BankTbl,2,0)),"بانک ناشناخته"))</f>
        <v/>
      </c>
      <c r="G868" s="11" t="n"/>
      <c r="H868" s="10">
        <f>IF($G868="","",IFERROR(VLOOKUP($G868,CustTbl,2,0),IFERROR(VLOOKUP($G868,SuppTbl,2,0),IFERROR(VLOOKUP($G868,AcctTbl,2,0),IFERROR(VLOOKUP($G868,StaffTbl,2,0),"کد ناشناخته")))))</f>
        <v/>
      </c>
      <c r="I868" s="12" t="n"/>
      <c r="J868" s="12" t="n"/>
      <c r="K868" s="13" t="n"/>
      <c r="L868" s="13" t="n"/>
      <c r="M868" s="13" t="n"/>
      <c r="N868" s="14">
        <f>IF(OR($C868="",$E868="",Calc!$H868=""),"",IFERROR(VLOOKUP(LEFT(UPPER(TRIM($E868)),6),BankTbl,3,0),0)+SUMIFS(CalcDep,CalcBank,LEFT(UPPER(TRIM($E868)),6),CalcKey,"&lt;="&amp;Calc!$H868)-SUMIFS(CalcWit,CalcBank,LEFT(UPPER(TRIM($E868)),6),CalcKey,"&lt;="&amp;Calc!$H868))</f>
        <v/>
      </c>
      <c r="O868" s="10">
        <f>IF(OR($C868="",$M868=""),"",IF($N868="","؟",IF(ROUND($M868-$N868,0)=0,"√","×")))</f>
        <v/>
      </c>
      <c r="P868" s="12" t="n"/>
    </row>
    <row r="869">
      <c r="A869" s="10">
        <f>IF($C869="","",COUNTA($C$9:$C869))</f>
        <v/>
      </c>
      <c r="B869" s="10">
        <f>IF($C869="","","TXN-"&amp;RIGHT("0000"&amp;861,4))</f>
        <v/>
      </c>
      <c r="C869" s="11" t="n"/>
      <c r="D869" s="11" t="n"/>
      <c r="E869" s="12" t="n"/>
      <c r="F869" s="10">
        <f>IF($E869="","",IFERROR(IF(VLOOKUP(LEFT(UPPER(TRIM($E869)),6),BankTbl,2,0)="","(بدون عنوان)",VLOOKUP(LEFT(UPPER(TRIM($E869)),6),BankTbl,2,0)),"بانک ناشناخته"))</f>
        <v/>
      </c>
      <c r="G869" s="11" t="n"/>
      <c r="H869" s="10">
        <f>IF($G869="","",IFERROR(VLOOKUP($G869,CustTbl,2,0),IFERROR(VLOOKUP($G869,SuppTbl,2,0),IFERROR(VLOOKUP($G869,AcctTbl,2,0),IFERROR(VLOOKUP($G869,StaffTbl,2,0),"کد ناشناخته")))))</f>
        <v/>
      </c>
      <c r="I869" s="12" t="n"/>
      <c r="J869" s="12" t="n"/>
      <c r="K869" s="13" t="n"/>
      <c r="L869" s="13" t="n"/>
      <c r="M869" s="13" t="n"/>
      <c r="N869" s="14">
        <f>IF(OR($C869="",$E869="",Calc!$H869=""),"",IFERROR(VLOOKUP(LEFT(UPPER(TRIM($E869)),6),BankTbl,3,0),0)+SUMIFS(CalcDep,CalcBank,LEFT(UPPER(TRIM($E869)),6),CalcKey,"&lt;="&amp;Calc!$H869)-SUMIFS(CalcWit,CalcBank,LEFT(UPPER(TRIM($E869)),6),CalcKey,"&lt;="&amp;Calc!$H869))</f>
        <v/>
      </c>
      <c r="O869" s="10">
        <f>IF(OR($C869="",$M869=""),"",IF($N869="","؟",IF(ROUND($M869-$N869,0)=0,"√","×")))</f>
        <v/>
      </c>
      <c r="P869" s="12" t="n"/>
    </row>
    <row r="870">
      <c r="A870" s="10">
        <f>IF($C870="","",COUNTA($C$9:$C870))</f>
        <v/>
      </c>
      <c r="B870" s="10">
        <f>IF($C870="","","TXN-"&amp;RIGHT("0000"&amp;862,4))</f>
        <v/>
      </c>
      <c r="C870" s="11" t="n"/>
      <c r="D870" s="11" t="n"/>
      <c r="E870" s="12" t="n"/>
      <c r="F870" s="10">
        <f>IF($E870="","",IFERROR(IF(VLOOKUP(LEFT(UPPER(TRIM($E870)),6),BankTbl,2,0)="","(بدون عنوان)",VLOOKUP(LEFT(UPPER(TRIM($E870)),6),BankTbl,2,0)),"بانک ناشناخته"))</f>
        <v/>
      </c>
      <c r="G870" s="11" t="n"/>
      <c r="H870" s="10">
        <f>IF($G870="","",IFERROR(VLOOKUP($G870,CustTbl,2,0),IFERROR(VLOOKUP($G870,SuppTbl,2,0),IFERROR(VLOOKUP($G870,AcctTbl,2,0),IFERROR(VLOOKUP($G870,StaffTbl,2,0),"کد ناشناخته")))))</f>
        <v/>
      </c>
      <c r="I870" s="12" t="n"/>
      <c r="J870" s="12" t="n"/>
      <c r="K870" s="13" t="n"/>
      <c r="L870" s="13" t="n"/>
      <c r="M870" s="13" t="n"/>
      <c r="N870" s="14">
        <f>IF(OR($C870="",$E870="",Calc!$H870=""),"",IFERROR(VLOOKUP(LEFT(UPPER(TRIM($E870)),6),BankTbl,3,0),0)+SUMIFS(CalcDep,CalcBank,LEFT(UPPER(TRIM($E870)),6),CalcKey,"&lt;="&amp;Calc!$H870)-SUMIFS(CalcWit,CalcBank,LEFT(UPPER(TRIM($E870)),6),CalcKey,"&lt;="&amp;Calc!$H870))</f>
        <v/>
      </c>
      <c r="O870" s="10">
        <f>IF(OR($C870="",$M870=""),"",IF($N870="","؟",IF(ROUND($M870-$N870,0)=0,"√","×")))</f>
        <v/>
      </c>
      <c r="P870" s="12" t="n"/>
    </row>
    <row r="871">
      <c r="A871" s="10">
        <f>IF($C871="","",COUNTA($C$9:$C871))</f>
        <v/>
      </c>
      <c r="B871" s="10">
        <f>IF($C871="","","TXN-"&amp;RIGHT("0000"&amp;863,4))</f>
        <v/>
      </c>
      <c r="C871" s="11" t="n"/>
      <c r="D871" s="11" t="n"/>
      <c r="E871" s="12" t="n"/>
      <c r="F871" s="10">
        <f>IF($E871="","",IFERROR(IF(VLOOKUP(LEFT(UPPER(TRIM($E871)),6),BankTbl,2,0)="","(بدون عنوان)",VLOOKUP(LEFT(UPPER(TRIM($E871)),6),BankTbl,2,0)),"بانک ناشناخته"))</f>
        <v/>
      </c>
      <c r="G871" s="11" t="n"/>
      <c r="H871" s="10">
        <f>IF($G871="","",IFERROR(VLOOKUP($G871,CustTbl,2,0),IFERROR(VLOOKUP($G871,SuppTbl,2,0),IFERROR(VLOOKUP($G871,AcctTbl,2,0),IFERROR(VLOOKUP($G871,StaffTbl,2,0),"کد ناشناخته")))))</f>
        <v/>
      </c>
      <c r="I871" s="12" t="n"/>
      <c r="J871" s="12" t="n"/>
      <c r="K871" s="13" t="n"/>
      <c r="L871" s="13" t="n"/>
      <c r="M871" s="13" t="n"/>
      <c r="N871" s="14">
        <f>IF(OR($C871="",$E871="",Calc!$H871=""),"",IFERROR(VLOOKUP(LEFT(UPPER(TRIM($E871)),6),BankTbl,3,0),0)+SUMIFS(CalcDep,CalcBank,LEFT(UPPER(TRIM($E871)),6),CalcKey,"&lt;="&amp;Calc!$H871)-SUMIFS(CalcWit,CalcBank,LEFT(UPPER(TRIM($E871)),6),CalcKey,"&lt;="&amp;Calc!$H871))</f>
        <v/>
      </c>
      <c r="O871" s="10">
        <f>IF(OR($C871="",$M871=""),"",IF($N871="","؟",IF(ROUND($M871-$N871,0)=0,"√","×")))</f>
        <v/>
      </c>
      <c r="P871" s="12" t="n"/>
    </row>
    <row r="872">
      <c r="A872" s="10">
        <f>IF($C872="","",COUNTA($C$9:$C872))</f>
        <v/>
      </c>
      <c r="B872" s="10">
        <f>IF($C872="","","TXN-"&amp;RIGHT("0000"&amp;864,4))</f>
        <v/>
      </c>
      <c r="C872" s="11" t="n"/>
      <c r="D872" s="11" t="n"/>
      <c r="E872" s="12" t="n"/>
      <c r="F872" s="10">
        <f>IF($E872="","",IFERROR(IF(VLOOKUP(LEFT(UPPER(TRIM($E872)),6),BankTbl,2,0)="","(بدون عنوان)",VLOOKUP(LEFT(UPPER(TRIM($E872)),6),BankTbl,2,0)),"بانک ناشناخته"))</f>
        <v/>
      </c>
      <c r="G872" s="11" t="n"/>
      <c r="H872" s="10">
        <f>IF($G872="","",IFERROR(VLOOKUP($G872,CustTbl,2,0),IFERROR(VLOOKUP($G872,SuppTbl,2,0),IFERROR(VLOOKUP($G872,AcctTbl,2,0),IFERROR(VLOOKUP($G872,StaffTbl,2,0),"کد ناشناخته")))))</f>
        <v/>
      </c>
      <c r="I872" s="12" t="n"/>
      <c r="J872" s="12" t="n"/>
      <c r="K872" s="13" t="n"/>
      <c r="L872" s="13" t="n"/>
      <c r="M872" s="13" t="n"/>
      <c r="N872" s="14">
        <f>IF(OR($C872="",$E872="",Calc!$H872=""),"",IFERROR(VLOOKUP(LEFT(UPPER(TRIM($E872)),6),BankTbl,3,0),0)+SUMIFS(CalcDep,CalcBank,LEFT(UPPER(TRIM($E872)),6),CalcKey,"&lt;="&amp;Calc!$H872)-SUMIFS(CalcWit,CalcBank,LEFT(UPPER(TRIM($E872)),6),CalcKey,"&lt;="&amp;Calc!$H872))</f>
        <v/>
      </c>
      <c r="O872" s="10">
        <f>IF(OR($C872="",$M872=""),"",IF($N872="","؟",IF(ROUND($M872-$N872,0)=0,"√","×")))</f>
        <v/>
      </c>
      <c r="P872" s="12" t="n"/>
    </row>
    <row r="873">
      <c r="A873" s="10">
        <f>IF($C873="","",COUNTA($C$9:$C873))</f>
        <v/>
      </c>
      <c r="B873" s="10">
        <f>IF($C873="","","TXN-"&amp;RIGHT("0000"&amp;865,4))</f>
        <v/>
      </c>
      <c r="C873" s="11" t="n"/>
      <c r="D873" s="11" t="n"/>
      <c r="E873" s="12" t="n"/>
      <c r="F873" s="10">
        <f>IF($E873="","",IFERROR(IF(VLOOKUP(LEFT(UPPER(TRIM($E873)),6),BankTbl,2,0)="","(بدون عنوان)",VLOOKUP(LEFT(UPPER(TRIM($E873)),6),BankTbl,2,0)),"بانک ناشناخته"))</f>
        <v/>
      </c>
      <c r="G873" s="11" t="n"/>
      <c r="H873" s="10">
        <f>IF($G873="","",IFERROR(VLOOKUP($G873,CustTbl,2,0),IFERROR(VLOOKUP($G873,SuppTbl,2,0),IFERROR(VLOOKUP($G873,AcctTbl,2,0),IFERROR(VLOOKUP($G873,StaffTbl,2,0),"کد ناشناخته")))))</f>
        <v/>
      </c>
      <c r="I873" s="12" t="n"/>
      <c r="J873" s="12" t="n"/>
      <c r="K873" s="13" t="n"/>
      <c r="L873" s="13" t="n"/>
      <c r="M873" s="13" t="n"/>
      <c r="N873" s="14">
        <f>IF(OR($C873="",$E873="",Calc!$H873=""),"",IFERROR(VLOOKUP(LEFT(UPPER(TRIM($E873)),6),BankTbl,3,0),0)+SUMIFS(CalcDep,CalcBank,LEFT(UPPER(TRIM($E873)),6),CalcKey,"&lt;="&amp;Calc!$H873)-SUMIFS(CalcWit,CalcBank,LEFT(UPPER(TRIM($E873)),6),CalcKey,"&lt;="&amp;Calc!$H873))</f>
        <v/>
      </c>
      <c r="O873" s="10">
        <f>IF(OR($C873="",$M873=""),"",IF($N873="","؟",IF(ROUND($M873-$N873,0)=0,"√","×")))</f>
        <v/>
      </c>
      <c r="P873" s="12" t="n"/>
    </row>
    <row r="874">
      <c r="A874" s="10">
        <f>IF($C874="","",COUNTA($C$9:$C874))</f>
        <v/>
      </c>
      <c r="B874" s="10">
        <f>IF($C874="","","TXN-"&amp;RIGHT("0000"&amp;866,4))</f>
        <v/>
      </c>
      <c r="C874" s="11" t="n"/>
      <c r="D874" s="11" t="n"/>
      <c r="E874" s="12" t="n"/>
      <c r="F874" s="10">
        <f>IF($E874="","",IFERROR(IF(VLOOKUP(LEFT(UPPER(TRIM($E874)),6),BankTbl,2,0)="","(بدون عنوان)",VLOOKUP(LEFT(UPPER(TRIM($E874)),6),BankTbl,2,0)),"بانک ناشناخته"))</f>
        <v/>
      </c>
      <c r="G874" s="11" t="n"/>
      <c r="H874" s="10">
        <f>IF($G874="","",IFERROR(VLOOKUP($G874,CustTbl,2,0),IFERROR(VLOOKUP($G874,SuppTbl,2,0),IFERROR(VLOOKUP($G874,AcctTbl,2,0),IFERROR(VLOOKUP($G874,StaffTbl,2,0),"کد ناشناخته")))))</f>
        <v/>
      </c>
      <c r="I874" s="12" t="n"/>
      <c r="J874" s="12" t="n"/>
      <c r="K874" s="13" t="n"/>
      <c r="L874" s="13" t="n"/>
      <c r="M874" s="13" t="n"/>
      <c r="N874" s="14">
        <f>IF(OR($C874="",$E874="",Calc!$H874=""),"",IFERROR(VLOOKUP(LEFT(UPPER(TRIM($E874)),6),BankTbl,3,0),0)+SUMIFS(CalcDep,CalcBank,LEFT(UPPER(TRIM($E874)),6),CalcKey,"&lt;="&amp;Calc!$H874)-SUMIFS(CalcWit,CalcBank,LEFT(UPPER(TRIM($E874)),6),CalcKey,"&lt;="&amp;Calc!$H874))</f>
        <v/>
      </c>
      <c r="O874" s="10">
        <f>IF(OR($C874="",$M874=""),"",IF($N874="","؟",IF(ROUND($M874-$N874,0)=0,"√","×")))</f>
        <v/>
      </c>
      <c r="P874" s="12" t="n"/>
    </row>
    <row r="875">
      <c r="A875" s="10">
        <f>IF($C875="","",COUNTA($C$9:$C875))</f>
        <v/>
      </c>
      <c r="B875" s="10">
        <f>IF($C875="","","TXN-"&amp;RIGHT("0000"&amp;867,4))</f>
        <v/>
      </c>
      <c r="C875" s="11" t="n"/>
      <c r="D875" s="11" t="n"/>
      <c r="E875" s="12" t="n"/>
      <c r="F875" s="10">
        <f>IF($E875="","",IFERROR(IF(VLOOKUP(LEFT(UPPER(TRIM($E875)),6),BankTbl,2,0)="","(بدون عنوان)",VLOOKUP(LEFT(UPPER(TRIM($E875)),6),BankTbl,2,0)),"بانک ناشناخته"))</f>
        <v/>
      </c>
      <c r="G875" s="11" t="n"/>
      <c r="H875" s="10">
        <f>IF($G875="","",IFERROR(VLOOKUP($G875,CustTbl,2,0),IFERROR(VLOOKUP($G875,SuppTbl,2,0),IFERROR(VLOOKUP($G875,AcctTbl,2,0),IFERROR(VLOOKUP($G875,StaffTbl,2,0),"کد ناشناخته")))))</f>
        <v/>
      </c>
      <c r="I875" s="12" t="n"/>
      <c r="J875" s="12" t="n"/>
      <c r="K875" s="13" t="n"/>
      <c r="L875" s="13" t="n"/>
      <c r="M875" s="13" t="n"/>
      <c r="N875" s="14">
        <f>IF(OR($C875="",$E875="",Calc!$H875=""),"",IFERROR(VLOOKUP(LEFT(UPPER(TRIM($E875)),6),BankTbl,3,0),0)+SUMIFS(CalcDep,CalcBank,LEFT(UPPER(TRIM($E875)),6),CalcKey,"&lt;="&amp;Calc!$H875)-SUMIFS(CalcWit,CalcBank,LEFT(UPPER(TRIM($E875)),6),CalcKey,"&lt;="&amp;Calc!$H875))</f>
        <v/>
      </c>
      <c r="O875" s="10">
        <f>IF(OR($C875="",$M875=""),"",IF($N875="","؟",IF(ROUND($M875-$N875,0)=0,"√","×")))</f>
        <v/>
      </c>
      <c r="P875" s="12" t="n"/>
    </row>
    <row r="876">
      <c r="A876" s="10">
        <f>IF($C876="","",COUNTA($C$9:$C876))</f>
        <v/>
      </c>
      <c r="B876" s="10">
        <f>IF($C876="","","TXN-"&amp;RIGHT("0000"&amp;868,4))</f>
        <v/>
      </c>
      <c r="C876" s="11" t="n"/>
      <c r="D876" s="11" t="n"/>
      <c r="E876" s="12" t="n"/>
      <c r="F876" s="10">
        <f>IF($E876="","",IFERROR(IF(VLOOKUP(LEFT(UPPER(TRIM($E876)),6),BankTbl,2,0)="","(بدون عنوان)",VLOOKUP(LEFT(UPPER(TRIM($E876)),6),BankTbl,2,0)),"بانک ناشناخته"))</f>
        <v/>
      </c>
      <c r="G876" s="11" t="n"/>
      <c r="H876" s="10">
        <f>IF($G876="","",IFERROR(VLOOKUP($G876,CustTbl,2,0),IFERROR(VLOOKUP($G876,SuppTbl,2,0),IFERROR(VLOOKUP($G876,AcctTbl,2,0),IFERROR(VLOOKUP($G876,StaffTbl,2,0),"کد ناشناخته")))))</f>
        <v/>
      </c>
      <c r="I876" s="12" t="n"/>
      <c r="J876" s="12" t="n"/>
      <c r="K876" s="13" t="n"/>
      <c r="L876" s="13" t="n"/>
      <c r="M876" s="13" t="n"/>
      <c r="N876" s="14">
        <f>IF(OR($C876="",$E876="",Calc!$H876=""),"",IFERROR(VLOOKUP(LEFT(UPPER(TRIM($E876)),6),BankTbl,3,0),0)+SUMIFS(CalcDep,CalcBank,LEFT(UPPER(TRIM($E876)),6),CalcKey,"&lt;="&amp;Calc!$H876)-SUMIFS(CalcWit,CalcBank,LEFT(UPPER(TRIM($E876)),6),CalcKey,"&lt;="&amp;Calc!$H876))</f>
        <v/>
      </c>
      <c r="O876" s="10">
        <f>IF(OR($C876="",$M876=""),"",IF($N876="","؟",IF(ROUND($M876-$N876,0)=0,"√","×")))</f>
        <v/>
      </c>
      <c r="P876" s="12" t="n"/>
    </row>
    <row r="877">
      <c r="A877" s="10">
        <f>IF($C877="","",COUNTA($C$9:$C877))</f>
        <v/>
      </c>
      <c r="B877" s="10">
        <f>IF($C877="","","TXN-"&amp;RIGHT("0000"&amp;869,4))</f>
        <v/>
      </c>
      <c r="C877" s="11" t="n"/>
      <c r="D877" s="11" t="n"/>
      <c r="E877" s="12" t="n"/>
      <c r="F877" s="10">
        <f>IF($E877="","",IFERROR(IF(VLOOKUP(LEFT(UPPER(TRIM($E877)),6),BankTbl,2,0)="","(بدون عنوان)",VLOOKUP(LEFT(UPPER(TRIM($E877)),6),BankTbl,2,0)),"بانک ناشناخته"))</f>
        <v/>
      </c>
      <c r="G877" s="11" t="n"/>
      <c r="H877" s="10">
        <f>IF($G877="","",IFERROR(VLOOKUP($G877,CustTbl,2,0),IFERROR(VLOOKUP($G877,SuppTbl,2,0),IFERROR(VLOOKUP($G877,AcctTbl,2,0),IFERROR(VLOOKUP($G877,StaffTbl,2,0),"کد ناشناخته")))))</f>
        <v/>
      </c>
      <c r="I877" s="12" t="n"/>
      <c r="J877" s="12" t="n"/>
      <c r="K877" s="13" t="n"/>
      <c r="L877" s="13" t="n"/>
      <c r="M877" s="13" t="n"/>
      <c r="N877" s="14">
        <f>IF(OR($C877="",$E877="",Calc!$H877=""),"",IFERROR(VLOOKUP(LEFT(UPPER(TRIM($E877)),6),BankTbl,3,0),0)+SUMIFS(CalcDep,CalcBank,LEFT(UPPER(TRIM($E877)),6),CalcKey,"&lt;="&amp;Calc!$H877)-SUMIFS(CalcWit,CalcBank,LEFT(UPPER(TRIM($E877)),6),CalcKey,"&lt;="&amp;Calc!$H877))</f>
        <v/>
      </c>
      <c r="O877" s="10">
        <f>IF(OR($C877="",$M877=""),"",IF($N877="","؟",IF(ROUND($M877-$N877,0)=0,"√","×")))</f>
        <v/>
      </c>
      <c r="P877" s="12" t="n"/>
    </row>
    <row r="878">
      <c r="A878" s="10">
        <f>IF($C878="","",COUNTA($C$9:$C878))</f>
        <v/>
      </c>
      <c r="B878" s="10">
        <f>IF($C878="","","TXN-"&amp;RIGHT("0000"&amp;870,4))</f>
        <v/>
      </c>
      <c r="C878" s="11" t="n"/>
      <c r="D878" s="11" t="n"/>
      <c r="E878" s="12" t="n"/>
      <c r="F878" s="10">
        <f>IF($E878="","",IFERROR(IF(VLOOKUP(LEFT(UPPER(TRIM($E878)),6),BankTbl,2,0)="","(بدون عنوان)",VLOOKUP(LEFT(UPPER(TRIM($E878)),6),BankTbl,2,0)),"بانک ناشناخته"))</f>
        <v/>
      </c>
      <c r="G878" s="11" t="n"/>
      <c r="H878" s="10">
        <f>IF($G878="","",IFERROR(VLOOKUP($G878,CustTbl,2,0),IFERROR(VLOOKUP($G878,SuppTbl,2,0),IFERROR(VLOOKUP($G878,AcctTbl,2,0),IFERROR(VLOOKUP($G878,StaffTbl,2,0),"کد ناشناخته")))))</f>
        <v/>
      </c>
      <c r="I878" s="12" t="n"/>
      <c r="J878" s="12" t="n"/>
      <c r="K878" s="13" t="n"/>
      <c r="L878" s="13" t="n"/>
      <c r="M878" s="13" t="n"/>
      <c r="N878" s="14">
        <f>IF(OR($C878="",$E878="",Calc!$H878=""),"",IFERROR(VLOOKUP(LEFT(UPPER(TRIM($E878)),6),BankTbl,3,0),0)+SUMIFS(CalcDep,CalcBank,LEFT(UPPER(TRIM($E878)),6),CalcKey,"&lt;="&amp;Calc!$H878)-SUMIFS(CalcWit,CalcBank,LEFT(UPPER(TRIM($E878)),6),CalcKey,"&lt;="&amp;Calc!$H878))</f>
        <v/>
      </c>
      <c r="O878" s="10">
        <f>IF(OR($C878="",$M878=""),"",IF($N878="","؟",IF(ROUND($M878-$N878,0)=0,"√","×")))</f>
        <v/>
      </c>
      <c r="P878" s="12" t="n"/>
    </row>
    <row r="879">
      <c r="A879" s="10">
        <f>IF($C879="","",COUNTA($C$9:$C879))</f>
        <v/>
      </c>
      <c r="B879" s="10">
        <f>IF($C879="","","TXN-"&amp;RIGHT("0000"&amp;871,4))</f>
        <v/>
      </c>
      <c r="C879" s="11" t="n"/>
      <c r="D879" s="11" t="n"/>
      <c r="E879" s="12" t="n"/>
      <c r="F879" s="10">
        <f>IF($E879="","",IFERROR(IF(VLOOKUP(LEFT(UPPER(TRIM($E879)),6),BankTbl,2,0)="","(بدون عنوان)",VLOOKUP(LEFT(UPPER(TRIM($E879)),6),BankTbl,2,0)),"بانک ناشناخته"))</f>
        <v/>
      </c>
      <c r="G879" s="11" t="n"/>
      <c r="H879" s="10">
        <f>IF($G879="","",IFERROR(VLOOKUP($G879,CustTbl,2,0),IFERROR(VLOOKUP($G879,SuppTbl,2,0),IFERROR(VLOOKUP($G879,AcctTbl,2,0),IFERROR(VLOOKUP($G879,StaffTbl,2,0),"کد ناشناخته")))))</f>
        <v/>
      </c>
      <c r="I879" s="12" t="n"/>
      <c r="J879" s="12" t="n"/>
      <c r="K879" s="13" t="n"/>
      <c r="L879" s="13" t="n"/>
      <c r="M879" s="13" t="n"/>
      <c r="N879" s="14">
        <f>IF(OR($C879="",$E879="",Calc!$H879=""),"",IFERROR(VLOOKUP(LEFT(UPPER(TRIM($E879)),6),BankTbl,3,0),0)+SUMIFS(CalcDep,CalcBank,LEFT(UPPER(TRIM($E879)),6),CalcKey,"&lt;="&amp;Calc!$H879)-SUMIFS(CalcWit,CalcBank,LEFT(UPPER(TRIM($E879)),6),CalcKey,"&lt;="&amp;Calc!$H879))</f>
        <v/>
      </c>
      <c r="O879" s="10">
        <f>IF(OR($C879="",$M879=""),"",IF($N879="","؟",IF(ROUND($M879-$N879,0)=0,"√","×")))</f>
        <v/>
      </c>
      <c r="P879" s="12" t="n"/>
    </row>
    <row r="880">
      <c r="A880" s="10">
        <f>IF($C880="","",COUNTA($C$9:$C880))</f>
        <v/>
      </c>
      <c r="B880" s="10">
        <f>IF($C880="","","TXN-"&amp;RIGHT("0000"&amp;872,4))</f>
        <v/>
      </c>
      <c r="C880" s="11" t="n"/>
      <c r="D880" s="11" t="n"/>
      <c r="E880" s="12" t="n"/>
      <c r="F880" s="10">
        <f>IF($E880="","",IFERROR(IF(VLOOKUP(LEFT(UPPER(TRIM($E880)),6),BankTbl,2,0)="","(بدون عنوان)",VLOOKUP(LEFT(UPPER(TRIM($E880)),6),BankTbl,2,0)),"بانک ناشناخته"))</f>
        <v/>
      </c>
      <c r="G880" s="11" t="n"/>
      <c r="H880" s="10">
        <f>IF($G880="","",IFERROR(VLOOKUP($G880,CustTbl,2,0),IFERROR(VLOOKUP($G880,SuppTbl,2,0),IFERROR(VLOOKUP($G880,AcctTbl,2,0),IFERROR(VLOOKUP($G880,StaffTbl,2,0),"کد ناشناخته")))))</f>
        <v/>
      </c>
      <c r="I880" s="12" t="n"/>
      <c r="J880" s="12" t="n"/>
      <c r="K880" s="13" t="n"/>
      <c r="L880" s="13" t="n"/>
      <c r="M880" s="13" t="n"/>
      <c r="N880" s="14">
        <f>IF(OR($C880="",$E880="",Calc!$H880=""),"",IFERROR(VLOOKUP(LEFT(UPPER(TRIM($E880)),6),BankTbl,3,0),0)+SUMIFS(CalcDep,CalcBank,LEFT(UPPER(TRIM($E880)),6),CalcKey,"&lt;="&amp;Calc!$H880)-SUMIFS(CalcWit,CalcBank,LEFT(UPPER(TRIM($E880)),6),CalcKey,"&lt;="&amp;Calc!$H880))</f>
        <v/>
      </c>
      <c r="O880" s="10">
        <f>IF(OR($C880="",$M880=""),"",IF($N880="","؟",IF(ROUND($M880-$N880,0)=0,"√","×")))</f>
        <v/>
      </c>
      <c r="P880" s="12" t="n"/>
    </row>
    <row r="881">
      <c r="A881" s="10">
        <f>IF($C881="","",COUNTA($C$9:$C881))</f>
        <v/>
      </c>
      <c r="B881" s="10">
        <f>IF($C881="","","TXN-"&amp;RIGHT("0000"&amp;873,4))</f>
        <v/>
      </c>
      <c r="C881" s="11" t="n"/>
      <c r="D881" s="11" t="n"/>
      <c r="E881" s="12" t="n"/>
      <c r="F881" s="10">
        <f>IF($E881="","",IFERROR(IF(VLOOKUP(LEFT(UPPER(TRIM($E881)),6),BankTbl,2,0)="","(بدون عنوان)",VLOOKUP(LEFT(UPPER(TRIM($E881)),6),BankTbl,2,0)),"بانک ناشناخته"))</f>
        <v/>
      </c>
      <c r="G881" s="11" t="n"/>
      <c r="H881" s="10">
        <f>IF($G881="","",IFERROR(VLOOKUP($G881,CustTbl,2,0),IFERROR(VLOOKUP($G881,SuppTbl,2,0),IFERROR(VLOOKUP($G881,AcctTbl,2,0),IFERROR(VLOOKUP($G881,StaffTbl,2,0),"کد ناشناخته")))))</f>
        <v/>
      </c>
      <c r="I881" s="12" t="n"/>
      <c r="J881" s="12" t="n"/>
      <c r="K881" s="13" t="n"/>
      <c r="L881" s="13" t="n"/>
      <c r="M881" s="13" t="n"/>
      <c r="N881" s="14">
        <f>IF(OR($C881="",$E881="",Calc!$H881=""),"",IFERROR(VLOOKUP(LEFT(UPPER(TRIM($E881)),6),BankTbl,3,0),0)+SUMIFS(CalcDep,CalcBank,LEFT(UPPER(TRIM($E881)),6),CalcKey,"&lt;="&amp;Calc!$H881)-SUMIFS(CalcWit,CalcBank,LEFT(UPPER(TRIM($E881)),6),CalcKey,"&lt;="&amp;Calc!$H881))</f>
        <v/>
      </c>
      <c r="O881" s="10">
        <f>IF(OR($C881="",$M881=""),"",IF($N881="","؟",IF(ROUND($M881-$N881,0)=0,"√","×")))</f>
        <v/>
      </c>
      <c r="P881" s="12" t="n"/>
    </row>
    <row r="882">
      <c r="A882" s="10">
        <f>IF($C882="","",COUNTA($C$9:$C882))</f>
        <v/>
      </c>
      <c r="B882" s="10">
        <f>IF($C882="","","TXN-"&amp;RIGHT("0000"&amp;874,4))</f>
        <v/>
      </c>
      <c r="C882" s="11" t="n"/>
      <c r="D882" s="11" t="n"/>
      <c r="E882" s="12" t="n"/>
      <c r="F882" s="10">
        <f>IF($E882="","",IFERROR(IF(VLOOKUP(LEFT(UPPER(TRIM($E882)),6),BankTbl,2,0)="","(بدون عنوان)",VLOOKUP(LEFT(UPPER(TRIM($E882)),6),BankTbl,2,0)),"بانک ناشناخته"))</f>
        <v/>
      </c>
      <c r="G882" s="11" t="n"/>
      <c r="H882" s="10">
        <f>IF($G882="","",IFERROR(VLOOKUP($G882,CustTbl,2,0),IFERROR(VLOOKUP($G882,SuppTbl,2,0),IFERROR(VLOOKUP($G882,AcctTbl,2,0),IFERROR(VLOOKUP($G882,StaffTbl,2,0),"کد ناشناخته")))))</f>
        <v/>
      </c>
      <c r="I882" s="12" t="n"/>
      <c r="J882" s="12" t="n"/>
      <c r="K882" s="13" t="n"/>
      <c r="L882" s="13" t="n"/>
      <c r="M882" s="13" t="n"/>
      <c r="N882" s="14">
        <f>IF(OR($C882="",$E882="",Calc!$H882=""),"",IFERROR(VLOOKUP(LEFT(UPPER(TRIM($E882)),6),BankTbl,3,0),0)+SUMIFS(CalcDep,CalcBank,LEFT(UPPER(TRIM($E882)),6),CalcKey,"&lt;="&amp;Calc!$H882)-SUMIFS(CalcWit,CalcBank,LEFT(UPPER(TRIM($E882)),6),CalcKey,"&lt;="&amp;Calc!$H882))</f>
        <v/>
      </c>
      <c r="O882" s="10">
        <f>IF(OR($C882="",$M882=""),"",IF($N882="","؟",IF(ROUND($M882-$N882,0)=0,"√","×")))</f>
        <v/>
      </c>
      <c r="P882" s="12" t="n"/>
    </row>
    <row r="883">
      <c r="A883" s="10">
        <f>IF($C883="","",COUNTA($C$9:$C883))</f>
        <v/>
      </c>
      <c r="B883" s="10">
        <f>IF($C883="","","TXN-"&amp;RIGHT("0000"&amp;875,4))</f>
        <v/>
      </c>
      <c r="C883" s="11" t="n"/>
      <c r="D883" s="11" t="n"/>
      <c r="E883" s="12" t="n"/>
      <c r="F883" s="10">
        <f>IF($E883="","",IFERROR(IF(VLOOKUP(LEFT(UPPER(TRIM($E883)),6),BankTbl,2,0)="","(بدون عنوان)",VLOOKUP(LEFT(UPPER(TRIM($E883)),6),BankTbl,2,0)),"بانک ناشناخته"))</f>
        <v/>
      </c>
      <c r="G883" s="11" t="n"/>
      <c r="H883" s="10">
        <f>IF($G883="","",IFERROR(VLOOKUP($G883,CustTbl,2,0),IFERROR(VLOOKUP($G883,SuppTbl,2,0),IFERROR(VLOOKUP($G883,AcctTbl,2,0),IFERROR(VLOOKUP($G883,StaffTbl,2,0),"کد ناشناخته")))))</f>
        <v/>
      </c>
      <c r="I883" s="12" t="n"/>
      <c r="J883" s="12" t="n"/>
      <c r="K883" s="13" t="n"/>
      <c r="L883" s="13" t="n"/>
      <c r="M883" s="13" t="n"/>
      <c r="N883" s="14">
        <f>IF(OR($C883="",$E883="",Calc!$H883=""),"",IFERROR(VLOOKUP(LEFT(UPPER(TRIM($E883)),6),BankTbl,3,0),0)+SUMIFS(CalcDep,CalcBank,LEFT(UPPER(TRIM($E883)),6),CalcKey,"&lt;="&amp;Calc!$H883)-SUMIFS(CalcWit,CalcBank,LEFT(UPPER(TRIM($E883)),6),CalcKey,"&lt;="&amp;Calc!$H883))</f>
        <v/>
      </c>
      <c r="O883" s="10">
        <f>IF(OR($C883="",$M883=""),"",IF($N883="","؟",IF(ROUND($M883-$N883,0)=0,"√","×")))</f>
        <v/>
      </c>
      <c r="P883" s="12" t="n"/>
    </row>
    <row r="884">
      <c r="A884" s="10">
        <f>IF($C884="","",COUNTA($C$9:$C884))</f>
        <v/>
      </c>
      <c r="B884" s="10">
        <f>IF($C884="","","TXN-"&amp;RIGHT("0000"&amp;876,4))</f>
        <v/>
      </c>
      <c r="C884" s="11" t="n"/>
      <c r="D884" s="11" t="n"/>
      <c r="E884" s="12" t="n"/>
      <c r="F884" s="10">
        <f>IF($E884="","",IFERROR(IF(VLOOKUP(LEFT(UPPER(TRIM($E884)),6),BankTbl,2,0)="","(بدون عنوان)",VLOOKUP(LEFT(UPPER(TRIM($E884)),6),BankTbl,2,0)),"بانک ناشناخته"))</f>
        <v/>
      </c>
      <c r="G884" s="11" t="n"/>
      <c r="H884" s="10">
        <f>IF($G884="","",IFERROR(VLOOKUP($G884,CustTbl,2,0),IFERROR(VLOOKUP($G884,SuppTbl,2,0),IFERROR(VLOOKUP($G884,AcctTbl,2,0),IFERROR(VLOOKUP($G884,StaffTbl,2,0),"کد ناشناخته")))))</f>
        <v/>
      </c>
      <c r="I884" s="12" t="n"/>
      <c r="J884" s="12" t="n"/>
      <c r="K884" s="13" t="n"/>
      <c r="L884" s="13" t="n"/>
      <c r="M884" s="13" t="n"/>
      <c r="N884" s="14">
        <f>IF(OR($C884="",$E884="",Calc!$H884=""),"",IFERROR(VLOOKUP(LEFT(UPPER(TRIM($E884)),6),BankTbl,3,0),0)+SUMIFS(CalcDep,CalcBank,LEFT(UPPER(TRIM($E884)),6),CalcKey,"&lt;="&amp;Calc!$H884)-SUMIFS(CalcWit,CalcBank,LEFT(UPPER(TRIM($E884)),6),CalcKey,"&lt;="&amp;Calc!$H884))</f>
        <v/>
      </c>
      <c r="O884" s="10">
        <f>IF(OR($C884="",$M884=""),"",IF($N884="","؟",IF(ROUND($M884-$N884,0)=0,"√","×")))</f>
        <v/>
      </c>
      <c r="P884" s="12" t="n"/>
    </row>
    <row r="885">
      <c r="A885" s="10">
        <f>IF($C885="","",COUNTA($C$9:$C885))</f>
        <v/>
      </c>
      <c r="B885" s="10">
        <f>IF($C885="","","TXN-"&amp;RIGHT("0000"&amp;877,4))</f>
        <v/>
      </c>
      <c r="C885" s="11" t="n"/>
      <c r="D885" s="11" t="n"/>
      <c r="E885" s="12" t="n"/>
      <c r="F885" s="10">
        <f>IF($E885="","",IFERROR(IF(VLOOKUP(LEFT(UPPER(TRIM($E885)),6),BankTbl,2,0)="","(بدون عنوان)",VLOOKUP(LEFT(UPPER(TRIM($E885)),6),BankTbl,2,0)),"بانک ناشناخته"))</f>
        <v/>
      </c>
      <c r="G885" s="11" t="n"/>
      <c r="H885" s="10">
        <f>IF($G885="","",IFERROR(VLOOKUP($G885,CustTbl,2,0),IFERROR(VLOOKUP($G885,SuppTbl,2,0),IFERROR(VLOOKUP($G885,AcctTbl,2,0),IFERROR(VLOOKUP($G885,StaffTbl,2,0),"کد ناشناخته")))))</f>
        <v/>
      </c>
      <c r="I885" s="12" t="n"/>
      <c r="J885" s="12" t="n"/>
      <c r="K885" s="13" t="n"/>
      <c r="L885" s="13" t="n"/>
      <c r="M885" s="13" t="n"/>
      <c r="N885" s="14">
        <f>IF(OR($C885="",$E885="",Calc!$H885=""),"",IFERROR(VLOOKUP(LEFT(UPPER(TRIM($E885)),6),BankTbl,3,0),0)+SUMIFS(CalcDep,CalcBank,LEFT(UPPER(TRIM($E885)),6),CalcKey,"&lt;="&amp;Calc!$H885)-SUMIFS(CalcWit,CalcBank,LEFT(UPPER(TRIM($E885)),6),CalcKey,"&lt;="&amp;Calc!$H885))</f>
        <v/>
      </c>
      <c r="O885" s="10">
        <f>IF(OR($C885="",$M885=""),"",IF($N885="","؟",IF(ROUND($M885-$N885,0)=0,"√","×")))</f>
        <v/>
      </c>
      <c r="P885" s="12" t="n"/>
    </row>
    <row r="886">
      <c r="A886" s="10">
        <f>IF($C886="","",COUNTA($C$9:$C886))</f>
        <v/>
      </c>
      <c r="B886" s="10">
        <f>IF($C886="","","TXN-"&amp;RIGHT("0000"&amp;878,4))</f>
        <v/>
      </c>
      <c r="C886" s="11" t="n"/>
      <c r="D886" s="11" t="n"/>
      <c r="E886" s="12" t="n"/>
      <c r="F886" s="10">
        <f>IF($E886="","",IFERROR(IF(VLOOKUP(LEFT(UPPER(TRIM($E886)),6),BankTbl,2,0)="","(بدون عنوان)",VLOOKUP(LEFT(UPPER(TRIM($E886)),6),BankTbl,2,0)),"بانک ناشناخته"))</f>
        <v/>
      </c>
      <c r="G886" s="11" t="n"/>
      <c r="H886" s="10">
        <f>IF($G886="","",IFERROR(VLOOKUP($G886,CustTbl,2,0),IFERROR(VLOOKUP($G886,SuppTbl,2,0),IFERROR(VLOOKUP($G886,AcctTbl,2,0),IFERROR(VLOOKUP($G886,StaffTbl,2,0),"کد ناشناخته")))))</f>
        <v/>
      </c>
      <c r="I886" s="12" t="n"/>
      <c r="J886" s="12" t="n"/>
      <c r="K886" s="13" t="n"/>
      <c r="L886" s="13" t="n"/>
      <c r="M886" s="13" t="n"/>
      <c r="N886" s="14">
        <f>IF(OR($C886="",$E886="",Calc!$H886=""),"",IFERROR(VLOOKUP(LEFT(UPPER(TRIM($E886)),6),BankTbl,3,0),0)+SUMIFS(CalcDep,CalcBank,LEFT(UPPER(TRIM($E886)),6),CalcKey,"&lt;="&amp;Calc!$H886)-SUMIFS(CalcWit,CalcBank,LEFT(UPPER(TRIM($E886)),6),CalcKey,"&lt;="&amp;Calc!$H886))</f>
        <v/>
      </c>
      <c r="O886" s="10">
        <f>IF(OR($C886="",$M886=""),"",IF($N886="","؟",IF(ROUND($M886-$N886,0)=0,"√","×")))</f>
        <v/>
      </c>
      <c r="P886" s="12" t="n"/>
    </row>
    <row r="887">
      <c r="A887" s="10">
        <f>IF($C887="","",COUNTA($C$9:$C887))</f>
        <v/>
      </c>
      <c r="B887" s="10">
        <f>IF($C887="","","TXN-"&amp;RIGHT("0000"&amp;879,4))</f>
        <v/>
      </c>
      <c r="C887" s="11" t="n"/>
      <c r="D887" s="11" t="n"/>
      <c r="E887" s="12" t="n"/>
      <c r="F887" s="10">
        <f>IF($E887="","",IFERROR(IF(VLOOKUP(LEFT(UPPER(TRIM($E887)),6),BankTbl,2,0)="","(بدون عنوان)",VLOOKUP(LEFT(UPPER(TRIM($E887)),6),BankTbl,2,0)),"بانک ناشناخته"))</f>
        <v/>
      </c>
      <c r="G887" s="11" t="n"/>
      <c r="H887" s="10">
        <f>IF($G887="","",IFERROR(VLOOKUP($G887,CustTbl,2,0),IFERROR(VLOOKUP($G887,SuppTbl,2,0),IFERROR(VLOOKUP($G887,AcctTbl,2,0),IFERROR(VLOOKUP($G887,StaffTbl,2,0),"کد ناشناخته")))))</f>
        <v/>
      </c>
      <c r="I887" s="12" t="n"/>
      <c r="J887" s="12" t="n"/>
      <c r="K887" s="13" t="n"/>
      <c r="L887" s="13" t="n"/>
      <c r="M887" s="13" t="n"/>
      <c r="N887" s="14">
        <f>IF(OR($C887="",$E887="",Calc!$H887=""),"",IFERROR(VLOOKUP(LEFT(UPPER(TRIM($E887)),6),BankTbl,3,0),0)+SUMIFS(CalcDep,CalcBank,LEFT(UPPER(TRIM($E887)),6),CalcKey,"&lt;="&amp;Calc!$H887)-SUMIFS(CalcWit,CalcBank,LEFT(UPPER(TRIM($E887)),6),CalcKey,"&lt;="&amp;Calc!$H887))</f>
        <v/>
      </c>
      <c r="O887" s="10">
        <f>IF(OR($C887="",$M887=""),"",IF($N887="","؟",IF(ROUND($M887-$N887,0)=0,"√","×")))</f>
        <v/>
      </c>
      <c r="P887" s="12" t="n"/>
    </row>
    <row r="888">
      <c r="A888" s="10">
        <f>IF($C888="","",COUNTA($C$9:$C888))</f>
        <v/>
      </c>
      <c r="B888" s="10">
        <f>IF($C888="","","TXN-"&amp;RIGHT("0000"&amp;880,4))</f>
        <v/>
      </c>
      <c r="C888" s="11" t="n"/>
      <c r="D888" s="11" t="n"/>
      <c r="E888" s="12" t="n"/>
      <c r="F888" s="10">
        <f>IF($E888="","",IFERROR(IF(VLOOKUP(LEFT(UPPER(TRIM($E888)),6),BankTbl,2,0)="","(بدون عنوان)",VLOOKUP(LEFT(UPPER(TRIM($E888)),6),BankTbl,2,0)),"بانک ناشناخته"))</f>
        <v/>
      </c>
      <c r="G888" s="11" t="n"/>
      <c r="H888" s="10">
        <f>IF($G888="","",IFERROR(VLOOKUP($G888,CustTbl,2,0),IFERROR(VLOOKUP($G888,SuppTbl,2,0),IFERROR(VLOOKUP($G888,AcctTbl,2,0),IFERROR(VLOOKUP($G888,StaffTbl,2,0),"کد ناشناخته")))))</f>
        <v/>
      </c>
      <c r="I888" s="12" t="n"/>
      <c r="J888" s="12" t="n"/>
      <c r="K888" s="13" t="n"/>
      <c r="L888" s="13" t="n"/>
      <c r="M888" s="13" t="n"/>
      <c r="N888" s="14">
        <f>IF(OR($C888="",$E888="",Calc!$H888=""),"",IFERROR(VLOOKUP(LEFT(UPPER(TRIM($E888)),6),BankTbl,3,0),0)+SUMIFS(CalcDep,CalcBank,LEFT(UPPER(TRIM($E888)),6),CalcKey,"&lt;="&amp;Calc!$H888)-SUMIFS(CalcWit,CalcBank,LEFT(UPPER(TRIM($E888)),6),CalcKey,"&lt;="&amp;Calc!$H888))</f>
        <v/>
      </c>
      <c r="O888" s="10">
        <f>IF(OR($C888="",$M888=""),"",IF($N888="","؟",IF(ROUND($M888-$N888,0)=0,"√","×")))</f>
        <v/>
      </c>
      <c r="P888" s="12" t="n"/>
    </row>
    <row r="889">
      <c r="A889" s="10">
        <f>IF($C889="","",COUNTA($C$9:$C889))</f>
        <v/>
      </c>
      <c r="B889" s="10">
        <f>IF($C889="","","TXN-"&amp;RIGHT("0000"&amp;881,4))</f>
        <v/>
      </c>
      <c r="C889" s="11" t="n"/>
      <c r="D889" s="11" t="n"/>
      <c r="E889" s="12" t="n"/>
      <c r="F889" s="10">
        <f>IF($E889="","",IFERROR(IF(VLOOKUP(LEFT(UPPER(TRIM($E889)),6),BankTbl,2,0)="","(بدون عنوان)",VLOOKUP(LEFT(UPPER(TRIM($E889)),6),BankTbl,2,0)),"بانک ناشناخته"))</f>
        <v/>
      </c>
      <c r="G889" s="11" t="n"/>
      <c r="H889" s="10">
        <f>IF($G889="","",IFERROR(VLOOKUP($G889,CustTbl,2,0),IFERROR(VLOOKUP($G889,SuppTbl,2,0),IFERROR(VLOOKUP($G889,AcctTbl,2,0),IFERROR(VLOOKUP($G889,StaffTbl,2,0),"کد ناشناخته")))))</f>
        <v/>
      </c>
      <c r="I889" s="12" t="n"/>
      <c r="J889" s="12" t="n"/>
      <c r="K889" s="13" t="n"/>
      <c r="L889" s="13" t="n"/>
      <c r="M889" s="13" t="n"/>
      <c r="N889" s="14">
        <f>IF(OR($C889="",$E889="",Calc!$H889=""),"",IFERROR(VLOOKUP(LEFT(UPPER(TRIM($E889)),6),BankTbl,3,0),0)+SUMIFS(CalcDep,CalcBank,LEFT(UPPER(TRIM($E889)),6),CalcKey,"&lt;="&amp;Calc!$H889)-SUMIFS(CalcWit,CalcBank,LEFT(UPPER(TRIM($E889)),6),CalcKey,"&lt;="&amp;Calc!$H889))</f>
        <v/>
      </c>
      <c r="O889" s="10">
        <f>IF(OR($C889="",$M889=""),"",IF($N889="","؟",IF(ROUND($M889-$N889,0)=0,"√","×")))</f>
        <v/>
      </c>
      <c r="P889" s="12" t="n"/>
    </row>
    <row r="890">
      <c r="A890" s="10">
        <f>IF($C890="","",COUNTA($C$9:$C890))</f>
        <v/>
      </c>
      <c r="B890" s="10">
        <f>IF($C890="","","TXN-"&amp;RIGHT("0000"&amp;882,4))</f>
        <v/>
      </c>
      <c r="C890" s="11" t="n"/>
      <c r="D890" s="11" t="n"/>
      <c r="E890" s="12" t="n"/>
      <c r="F890" s="10">
        <f>IF($E890="","",IFERROR(IF(VLOOKUP(LEFT(UPPER(TRIM($E890)),6),BankTbl,2,0)="","(بدون عنوان)",VLOOKUP(LEFT(UPPER(TRIM($E890)),6),BankTbl,2,0)),"بانک ناشناخته"))</f>
        <v/>
      </c>
      <c r="G890" s="11" t="n"/>
      <c r="H890" s="10">
        <f>IF($G890="","",IFERROR(VLOOKUP($G890,CustTbl,2,0),IFERROR(VLOOKUP($G890,SuppTbl,2,0),IFERROR(VLOOKUP($G890,AcctTbl,2,0),IFERROR(VLOOKUP($G890,StaffTbl,2,0),"کد ناشناخته")))))</f>
        <v/>
      </c>
      <c r="I890" s="12" t="n"/>
      <c r="J890" s="12" t="n"/>
      <c r="K890" s="13" t="n"/>
      <c r="L890" s="13" t="n"/>
      <c r="M890" s="13" t="n"/>
      <c r="N890" s="14">
        <f>IF(OR($C890="",$E890="",Calc!$H890=""),"",IFERROR(VLOOKUP(LEFT(UPPER(TRIM($E890)),6),BankTbl,3,0),0)+SUMIFS(CalcDep,CalcBank,LEFT(UPPER(TRIM($E890)),6),CalcKey,"&lt;="&amp;Calc!$H890)-SUMIFS(CalcWit,CalcBank,LEFT(UPPER(TRIM($E890)),6),CalcKey,"&lt;="&amp;Calc!$H890))</f>
        <v/>
      </c>
      <c r="O890" s="10">
        <f>IF(OR($C890="",$M890=""),"",IF($N890="","؟",IF(ROUND($M890-$N890,0)=0,"√","×")))</f>
        <v/>
      </c>
      <c r="P890" s="12" t="n"/>
    </row>
    <row r="891">
      <c r="A891" s="10">
        <f>IF($C891="","",COUNTA($C$9:$C891))</f>
        <v/>
      </c>
      <c r="B891" s="10">
        <f>IF($C891="","","TXN-"&amp;RIGHT("0000"&amp;883,4))</f>
        <v/>
      </c>
      <c r="C891" s="11" t="n"/>
      <c r="D891" s="11" t="n"/>
      <c r="E891" s="12" t="n"/>
      <c r="F891" s="10">
        <f>IF($E891="","",IFERROR(IF(VLOOKUP(LEFT(UPPER(TRIM($E891)),6),BankTbl,2,0)="","(بدون عنوان)",VLOOKUP(LEFT(UPPER(TRIM($E891)),6),BankTbl,2,0)),"بانک ناشناخته"))</f>
        <v/>
      </c>
      <c r="G891" s="11" t="n"/>
      <c r="H891" s="10">
        <f>IF($G891="","",IFERROR(VLOOKUP($G891,CustTbl,2,0),IFERROR(VLOOKUP($G891,SuppTbl,2,0),IFERROR(VLOOKUP($G891,AcctTbl,2,0),IFERROR(VLOOKUP($G891,StaffTbl,2,0),"کد ناشناخته")))))</f>
        <v/>
      </c>
      <c r="I891" s="12" t="n"/>
      <c r="J891" s="12" t="n"/>
      <c r="K891" s="13" t="n"/>
      <c r="L891" s="13" t="n"/>
      <c r="M891" s="13" t="n"/>
      <c r="N891" s="14">
        <f>IF(OR($C891="",$E891="",Calc!$H891=""),"",IFERROR(VLOOKUP(LEFT(UPPER(TRIM($E891)),6),BankTbl,3,0),0)+SUMIFS(CalcDep,CalcBank,LEFT(UPPER(TRIM($E891)),6),CalcKey,"&lt;="&amp;Calc!$H891)-SUMIFS(CalcWit,CalcBank,LEFT(UPPER(TRIM($E891)),6),CalcKey,"&lt;="&amp;Calc!$H891))</f>
        <v/>
      </c>
      <c r="O891" s="10">
        <f>IF(OR($C891="",$M891=""),"",IF($N891="","؟",IF(ROUND($M891-$N891,0)=0,"√","×")))</f>
        <v/>
      </c>
      <c r="P891" s="12" t="n"/>
    </row>
    <row r="892">
      <c r="A892" s="10">
        <f>IF($C892="","",COUNTA($C$9:$C892))</f>
        <v/>
      </c>
      <c r="B892" s="10">
        <f>IF($C892="","","TXN-"&amp;RIGHT("0000"&amp;884,4))</f>
        <v/>
      </c>
      <c r="C892" s="11" t="n"/>
      <c r="D892" s="11" t="n"/>
      <c r="E892" s="12" t="n"/>
      <c r="F892" s="10">
        <f>IF($E892="","",IFERROR(IF(VLOOKUP(LEFT(UPPER(TRIM($E892)),6),BankTbl,2,0)="","(بدون عنوان)",VLOOKUP(LEFT(UPPER(TRIM($E892)),6),BankTbl,2,0)),"بانک ناشناخته"))</f>
        <v/>
      </c>
      <c r="G892" s="11" t="n"/>
      <c r="H892" s="10">
        <f>IF($G892="","",IFERROR(VLOOKUP($G892,CustTbl,2,0),IFERROR(VLOOKUP($G892,SuppTbl,2,0),IFERROR(VLOOKUP($G892,AcctTbl,2,0),IFERROR(VLOOKUP($G892,StaffTbl,2,0),"کد ناشناخته")))))</f>
        <v/>
      </c>
      <c r="I892" s="12" t="n"/>
      <c r="J892" s="12" t="n"/>
      <c r="K892" s="13" t="n"/>
      <c r="L892" s="13" t="n"/>
      <c r="M892" s="13" t="n"/>
      <c r="N892" s="14">
        <f>IF(OR($C892="",$E892="",Calc!$H892=""),"",IFERROR(VLOOKUP(LEFT(UPPER(TRIM($E892)),6),BankTbl,3,0),0)+SUMIFS(CalcDep,CalcBank,LEFT(UPPER(TRIM($E892)),6),CalcKey,"&lt;="&amp;Calc!$H892)-SUMIFS(CalcWit,CalcBank,LEFT(UPPER(TRIM($E892)),6),CalcKey,"&lt;="&amp;Calc!$H892))</f>
        <v/>
      </c>
      <c r="O892" s="10">
        <f>IF(OR($C892="",$M892=""),"",IF($N892="","؟",IF(ROUND($M892-$N892,0)=0,"√","×")))</f>
        <v/>
      </c>
      <c r="P892" s="12" t="n"/>
    </row>
    <row r="893">
      <c r="A893" s="10">
        <f>IF($C893="","",COUNTA($C$9:$C893))</f>
        <v/>
      </c>
      <c r="B893" s="10">
        <f>IF($C893="","","TXN-"&amp;RIGHT("0000"&amp;885,4))</f>
        <v/>
      </c>
      <c r="C893" s="11" t="n"/>
      <c r="D893" s="11" t="n"/>
      <c r="E893" s="12" t="n"/>
      <c r="F893" s="10">
        <f>IF($E893="","",IFERROR(IF(VLOOKUP(LEFT(UPPER(TRIM($E893)),6),BankTbl,2,0)="","(بدون عنوان)",VLOOKUP(LEFT(UPPER(TRIM($E893)),6),BankTbl,2,0)),"بانک ناشناخته"))</f>
        <v/>
      </c>
      <c r="G893" s="11" t="n"/>
      <c r="H893" s="10">
        <f>IF($G893="","",IFERROR(VLOOKUP($G893,CustTbl,2,0),IFERROR(VLOOKUP($G893,SuppTbl,2,0),IFERROR(VLOOKUP($G893,AcctTbl,2,0),IFERROR(VLOOKUP($G893,StaffTbl,2,0),"کد ناشناخته")))))</f>
        <v/>
      </c>
      <c r="I893" s="12" t="n"/>
      <c r="J893" s="12" t="n"/>
      <c r="K893" s="13" t="n"/>
      <c r="L893" s="13" t="n"/>
      <c r="M893" s="13" t="n"/>
      <c r="N893" s="14">
        <f>IF(OR($C893="",$E893="",Calc!$H893=""),"",IFERROR(VLOOKUP(LEFT(UPPER(TRIM($E893)),6),BankTbl,3,0),0)+SUMIFS(CalcDep,CalcBank,LEFT(UPPER(TRIM($E893)),6),CalcKey,"&lt;="&amp;Calc!$H893)-SUMIFS(CalcWit,CalcBank,LEFT(UPPER(TRIM($E893)),6),CalcKey,"&lt;="&amp;Calc!$H893))</f>
        <v/>
      </c>
      <c r="O893" s="10">
        <f>IF(OR($C893="",$M893=""),"",IF($N893="","؟",IF(ROUND($M893-$N893,0)=0,"√","×")))</f>
        <v/>
      </c>
      <c r="P893" s="12" t="n"/>
    </row>
    <row r="894">
      <c r="A894" s="10">
        <f>IF($C894="","",COUNTA($C$9:$C894))</f>
        <v/>
      </c>
      <c r="B894" s="10">
        <f>IF($C894="","","TXN-"&amp;RIGHT("0000"&amp;886,4))</f>
        <v/>
      </c>
      <c r="C894" s="11" t="n"/>
      <c r="D894" s="11" t="n"/>
      <c r="E894" s="12" t="n"/>
      <c r="F894" s="10">
        <f>IF($E894="","",IFERROR(IF(VLOOKUP(LEFT(UPPER(TRIM($E894)),6),BankTbl,2,0)="","(بدون عنوان)",VLOOKUP(LEFT(UPPER(TRIM($E894)),6),BankTbl,2,0)),"بانک ناشناخته"))</f>
        <v/>
      </c>
      <c r="G894" s="11" t="n"/>
      <c r="H894" s="10">
        <f>IF($G894="","",IFERROR(VLOOKUP($G894,CustTbl,2,0),IFERROR(VLOOKUP($G894,SuppTbl,2,0),IFERROR(VLOOKUP($G894,AcctTbl,2,0),IFERROR(VLOOKUP($G894,StaffTbl,2,0),"کد ناشناخته")))))</f>
        <v/>
      </c>
      <c r="I894" s="12" t="n"/>
      <c r="J894" s="12" t="n"/>
      <c r="K894" s="13" t="n"/>
      <c r="L894" s="13" t="n"/>
      <c r="M894" s="13" t="n"/>
      <c r="N894" s="14">
        <f>IF(OR($C894="",$E894="",Calc!$H894=""),"",IFERROR(VLOOKUP(LEFT(UPPER(TRIM($E894)),6),BankTbl,3,0),0)+SUMIFS(CalcDep,CalcBank,LEFT(UPPER(TRIM($E894)),6),CalcKey,"&lt;="&amp;Calc!$H894)-SUMIFS(CalcWit,CalcBank,LEFT(UPPER(TRIM($E894)),6),CalcKey,"&lt;="&amp;Calc!$H894))</f>
        <v/>
      </c>
      <c r="O894" s="10">
        <f>IF(OR($C894="",$M894=""),"",IF($N894="","؟",IF(ROUND($M894-$N894,0)=0,"√","×")))</f>
        <v/>
      </c>
      <c r="P894" s="12" t="n"/>
    </row>
    <row r="895">
      <c r="A895" s="10">
        <f>IF($C895="","",COUNTA($C$9:$C895))</f>
        <v/>
      </c>
      <c r="B895" s="10">
        <f>IF($C895="","","TXN-"&amp;RIGHT("0000"&amp;887,4))</f>
        <v/>
      </c>
      <c r="C895" s="11" t="n"/>
      <c r="D895" s="11" t="n"/>
      <c r="E895" s="12" t="n"/>
      <c r="F895" s="10">
        <f>IF($E895="","",IFERROR(IF(VLOOKUP(LEFT(UPPER(TRIM($E895)),6),BankTbl,2,0)="","(بدون عنوان)",VLOOKUP(LEFT(UPPER(TRIM($E895)),6),BankTbl,2,0)),"بانک ناشناخته"))</f>
        <v/>
      </c>
      <c r="G895" s="11" t="n"/>
      <c r="H895" s="10">
        <f>IF($G895="","",IFERROR(VLOOKUP($G895,CustTbl,2,0),IFERROR(VLOOKUP($G895,SuppTbl,2,0),IFERROR(VLOOKUP($G895,AcctTbl,2,0),IFERROR(VLOOKUP($G895,StaffTbl,2,0),"کد ناشناخته")))))</f>
        <v/>
      </c>
      <c r="I895" s="12" t="n"/>
      <c r="J895" s="12" t="n"/>
      <c r="K895" s="13" t="n"/>
      <c r="L895" s="13" t="n"/>
      <c r="M895" s="13" t="n"/>
      <c r="N895" s="14">
        <f>IF(OR($C895="",$E895="",Calc!$H895=""),"",IFERROR(VLOOKUP(LEFT(UPPER(TRIM($E895)),6),BankTbl,3,0),0)+SUMIFS(CalcDep,CalcBank,LEFT(UPPER(TRIM($E895)),6),CalcKey,"&lt;="&amp;Calc!$H895)-SUMIFS(CalcWit,CalcBank,LEFT(UPPER(TRIM($E895)),6),CalcKey,"&lt;="&amp;Calc!$H895))</f>
        <v/>
      </c>
      <c r="O895" s="10">
        <f>IF(OR($C895="",$M895=""),"",IF($N895="","؟",IF(ROUND($M895-$N895,0)=0,"√","×")))</f>
        <v/>
      </c>
      <c r="P895" s="12" t="n"/>
    </row>
    <row r="896">
      <c r="A896" s="10">
        <f>IF($C896="","",COUNTA($C$9:$C896))</f>
        <v/>
      </c>
      <c r="B896" s="10">
        <f>IF($C896="","","TXN-"&amp;RIGHT("0000"&amp;888,4))</f>
        <v/>
      </c>
      <c r="C896" s="11" t="n"/>
      <c r="D896" s="11" t="n"/>
      <c r="E896" s="12" t="n"/>
      <c r="F896" s="10">
        <f>IF($E896="","",IFERROR(IF(VLOOKUP(LEFT(UPPER(TRIM($E896)),6),BankTbl,2,0)="","(بدون عنوان)",VLOOKUP(LEFT(UPPER(TRIM($E896)),6),BankTbl,2,0)),"بانک ناشناخته"))</f>
        <v/>
      </c>
      <c r="G896" s="11" t="n"/>
      <c r="H896" s="10">
        <f>IF($G896="","",IFERROR(VLOOKUP($G896,CustTbl,2,0),IFERROR(VLOOKUP($G896,SuppTbl,2,0),IFERROR(VLOOKUP($G896,AcctTbl,2,0),IFERROR(VLOOKUP($G896,StaffTbl,2,0),"کد ناشناخته")))))</f>
        <v/>
      </c>
      <c r="I896" s="12" t="n"/>
      <c r="J896" s="12" t="n"/>
      <c r="K896" s="13" t="n"/>
      <c r="L896" s="13" t="n"/>
      <c r="M896" s="13" t="n"/>
      <c r="N896" s="14">
        <f>IF(OR($C896="",$E896="",Calc!$H896=""),"",IFERROR(VLOOKUP(LEFT(UPPER(TRIM($E896)),6),BankTbl,3,0),0)+SUMIFS(CalcDep,CalcBank,LEFT(UPPER(TRIM($E896)),6),CalcKey,"&lt;="&amp;Calc!$H896)-SUMIFS(CalcWit,CalcBank,LEFT(UPPER(TRIM($E896)),6),CalcKey,"&lt;="&amp;Calc!$H896))</f>
        <v/>
      </c>
      <c r="O896" s="10">
        <f>IF(OR($C896="",$M896=""),"",IF($N896="","؟",IF(ROUND($M896-$N896,0)=0,"√","×")))</f>
        <v/>
      </c>
      <c r="P896" s="12" t="n"/>
    </row>
    <row r="897">
      <c r="A897" s="10">
        <f>IF($C897="","",COUNTA($C$9:$C897))</f>
        <v/>
      </c>
      <c r="B897" s="10">
        <f>IF($C897="","","TXN-"&amp;RIGHT("0000"&amp;889,4))</f>
        <v/>
      </c>
      <c r="C897" s="11" t="n"/>
      <c r="D897" s="11" t="n"/>
      <c r="E897" s="12" t="n"/>
      <c r="F897" s="10">
        <f>IF($E897="","",IFERROR(IF(VLOOKUP(LEFT(UPPER(TRIM($E897)),6),BankTbl,2,0)="","(بدون عنوان)",VLOOKUP(LEFT(UPPER(TRIM($E897)),6),BankTbl,2,0)),"بانک ناشناخته"))</f>
        <v/>
      </c>
      <c r="G897" s="11" t="n"/>
      <c r="H897" s="10">
        <f>IF($G897="","",IFERROR(VLOOKUP($G897,CustTbl,2,0),IFERROR(VLOOKUP($G897,SuppTbl,2,0),IFERROR(VLOOKUP($G897,AcctTbl,2,0),IFERROR(VLOOKUP($G897,StaffTbl,2,0),"کد ناشناخته")))))</f>
        <v/>
      </c>
      <c r="I897" s="12" t="n"/>
      <c r="J897" s="12" t="n"/>
      <c r="K897" s="13" t="n"/>
      <c r="L897" s="13" t="n"/>
      <c r="M897" s="13" t="n"/>
      <c r="N897" s="14">
        <f>IF(OR($C897="",$E897="",Calc!$H897=""),"",IFERROR(VLOOKUP(LEFT(UPPER(TRIM($E897)),6),BankTbl,3,0),0)+SUMIFS(CalcDep,CalcBank,LEFT(UPPER(TRIM($E897)),6),CalcKey,"&lt;="&amp;Calc!$H897)-SUMIFS(CalcWit,CalcBank,LEFT(UPPER(TRIM($E897)),6),CalcKey,"&lt;="&amp;Calc!$H897))</f>
        <v/>
      </c>
      <c r="O897" s="10">
        <f>IF(OR($C897="",$M897=""),"",IF($N897="","؟",IF(ROUND($M897-$N897,0)=0,"√","×")))</f>
        <v/>
      </c>
      <c r="P897" s="12" t="n"/>
    </row>
    <row r="898">
      <c r="A898" s="10">
        <f>IF($C898="","",COUNTA($C$9:$C898))</f>
        <v/>
      </c>
      <c r="B898" s="10">
        <f>IF($C898="","","TXN-"&amp;RIGHT("0000"&amp;890,4))</f>
        <v/>
      </c>
      <c r="C898" s="11" t="n"/>
      <c r="D898" s="11" t="n"/>
      <c r="E898" s="12" t="n"/>
      <c r="F898" s="10">
        <f>IF($E898="","",IFERROR(IF(VLOOKUP(LEFT(UPPER(TRIM($E898)),6),BankTbl,2,0)="","(بدون عنوان)",VLOOKUP(LEFT(UPPER(TRIM($E898)),6),BankTbl,2,0)),"بانک ناشناخته"))</f>
        <v/>
      </c>
      <c r="G898" s="11" t="n"/>
      <c r="H898" s="10">
        <f>IF($G898="","",IFERROR(VLOOKUP($G898,CustTbl,2,0),IFERROR(VLOOKUP($G898,SuppTbl,2,0),IFERROR(VLOOKUP($G898,AcctTbl,2,0),IFERROR(VLOOKUP($G898,StaffTbl,2,0),"کد ناشناخته")))))</f>
        <v/>
      </c>
      <c r="I898" s="12" t="n"/>
      <c r="J898" s="12" t="n"/>
      <c r="K898" s="13" t="n"/>
      <c r="L898" s="13" t="n"/>
      <c r="M898" s="13" t="n"/>
      <c r="N898" s="14">
        <f>IF(OR($C898="",$E898="",Calc!$H898=""),"",IFERROR(VLOOKUP(LEFT(UPPER(TRIM($E898)),6),BankTbl,3,0),0)+SUMIFS(CalcDep,CalcBank,LEFT(UPPER(TRIM($E898)),6),CalcKey,"&lt;="&amp;Calc!$H898)-SUMIFS(CalcWit,CalcBank,LEFT(UPPER(TRIM($E898)),6),CalcKey,"&lt;="&amp;Calc!$H898))</f>
        <v/>
      </c>
      <c r="O898" s="10">
        <f>IF(OR($C898="",$M898=""),"",IF($N898="","؟",IF(ROUND($M898-$N898,0)=0,"√","×")))</f>
        <v/>
      </c>
      <c r="P898" s="12" t="n"/>
    </row>
    <row r="899">
      <c r="A899" s="10">
        <f>IF($C899="","",COUNTA($C$9:$C899))</f>
        <v/>
      </c>
      <c r="B899" s="10">
        <f>IF($C899="","","TXN-"&amp;RIGHT("0000"&amp;891,4))</f>
        <v/>
      </c>
      <c r="C899" s="11" t="n"/>
      <c r="D899" s="11" t="n"/>
      <c r="E899" s="12" t="n"/>
      <c r="F899" s="10">
        <f>IF($E899="","",IFERROR(IF(VLOOKUP(LEFT(UPPER(TRIM($E899)),6),BankTbl,2,0)="","(بدون عنوان)",VLOOKUP(LEFT(UPPER(TRIM($E899)),6),BankTbl,2,0)),"بانک ناشناخته"))</f>
        <v/>
      </c>
      <c r="G899" s="11" t="n"/>
      <c r="H899" s="10">
        <f>IF($G899="","",IFERROR(VLOOKUP($G899,CustTbl,2,0),IFERROR(VLOOKUP($G899,SuppTbl,2,0),IFERROR(VLOOKUP($G899,AcctTbl,2,0),IFERROR(VLOOKUP($G899,StaffTbl,2,0),"کد ناشناخته")))))</f>
        <v/>
      </c>
      <c r="I899" s="12" t="n"/>
      <c r="J899" s="12" t="n"/>
      <c r="K899" s="13" t="n"/>
      <c r="L899" s="13" t="n"/>
      <c r="M899" s="13" t="n"/>
      <c r="N899" s="14">
        <f>IF(OR($C899="",$E899="",Calc!$H899=""),"",IFERROR(VLOOKUP(LEFT(UPPER(TRIM($E899)),6),BankTbl,3,0),0)+SUMIFS(CalcDep,CalcBank,LEFT(UPPER(TRIM($E899)),6),CalcKey,"&lt;="&amp;Calc!$H899)-SUMIFS(CalcWit,CalcBank,LEFT(UPPER(TRIM($E899)),6),CalcKey,"&lt;="&amp;Calc!$H899))</f>
        <v/>
      </c>
      <c r="O899" s="10">
        <f>IF(OR($C899="",$M899=""),"",IF($N899="","؟",IF(ROUND($M899-$N899,0)=0,"√","×")))</f>
        <v/>
      </c>
      <c r="P899" s="12" t="n"/>
    </row>
    <row r="900">
      <c r="A900" s="10">
        <f>IF($C900="","",COUNTA($C$9:$C900))</f>
        <v/>
      </c>
      <c r="B900" s="10">
        <f>IF($C900="","","TXN-"&amp;RIGHT("0000"&amp;892,4))</f>
        <v/>
      </c>
      <c r="C900" s="11" t="n"/>
      <c r="D900" s="11" t="n"/>
      <c r="E900" s="12" t="n"/>
      <c r="F900" s="10">
        <f>IF($E900="","",IFERROR(IF(VLOOKUP(LEFT(UPPER(TRIM($E900)),6),BankTbl,2,0)="","(بدون عنوان)",VLOOKUP(LEFT(UPPER(TRIM($E900)),6),BankTbl,2,0)),"بانک ناشناخته"))</f>
        <v/>
      </c>
      <c r="G900" s="11" t="n"/>
      <c r="H900" s="10">
        <f>IF($G900="","",IFERROR(VLOOKUP($G900,CustTbl,2,0),IFERROR(VLOOKUP($G900,SuppTbl,2,0),IFERROR(VLOOKUP($G900,AcctTbl,2,0),IFERROR(VLOOKUP($G900,StaffTbl,2,0),"کد ناشناخته")))))</f>
        <v/>
      </c>
      <c r="I900" s="12" t="n"/>
      <c r="J900" s="12" t="n"/>
      <c r="K900" s="13" t="n"/>
      <c r="L900" s="13" t="n"/>
      <c r="M900" s="13" t="n"/>
      <c r="N900" s="14">
        <f>IF(OR($C900="",$E900="",Calc!$H900=""),"",IFERROR(VLOOKUP(LEFT(UPPER(TRIM($E900)),6),BankTbl,3,0),0)+SUMIFS(CalcDep,CalcBank,LEFT(UPPER(TRIM($E900)),6),CalcKey,"&lt;="&amp;Calc!$H900)-SUMIFS(CalcWit,CalcBank,LEFT(UPPER(TRIM($E900)),6),CalcKey,"&lt;="&amp;Calc!$H900))</f>
        <v/>
      </c>
      <c r="O900" s="10">
        <f>IF(OR($C900="",$M900=""),"",IF($N900="","؟",IF(ROUND($M900-$N900,0)=0,"√","×")))</f>
        <v/>
      </c>
      <c r="P900" s="12" t="n"/>
    </row>
    <row r="901">
      <c r="A901" s="10">
        <f>IF($C901="","",COUNTA($C$9:$C901))</f>
        <v/>
      </c>
      <c r="B901" s="10">
        <f>IF($C901="","","TXN-"&amp;RIGHT("0000"&amp;893,4))</f>
        <v/>
      </c>
      <c r="C901" s="11" t="n"/>
      <c r="D901" s="11" t="n"/>
      <c r="E901" s="12" t="n"/>
      <c r="F901" s="10">
        <f>IF($E901="","",IFERROR(IF(VLOOKUP(LEFT(UPPER(TRIM($E901)),6),BankTbl,2,0)="","(بدون عنوان)",VLOOKUP(LEFT(UPPER(TRIM($E901)),6),BankTbl,2,0)),"بانک ناشناخته"))</f>
        <v/>
      </c>
      <c r="G901" s="11" t="n"/>
      <c r="H901" s="10">
        <f>IF($G901="","",IFERROR(VLOOKUP($G901,CustTbl,2,0),IFERROR(VLOOKUP($G901,SuppTbl,2,0),IFERROR(VLOOKUP($G901,AcctTbl,2,0),IFERROR(VLOOKUP($G901,StaffTbl,2,0),"کد ناشناخته")))))</f>
        <v/>
      </c>
      <c r="I901" s="12" t="n"/>
      <c r="J901" s="12" t="n"/>
      <c r="K901" s="13" t="n"/>
      <c r="L901" s="13" t="n"/>
      <c r="M901" s="13" t="n"/>
      <c r="N901" s="14">
        <f>IF(OR($C901="",$E901="",Calc!$H901=""),"",IFERROR(VLOOKUP(LEFT(UPPER(TRIM($E901)),6),BankTbl,3,0),0)+SUMIFS(CalcDep,CalcBank,LEFT(UPPER(TRIM($E901)),6),CalcKey,"&lt;="&amp;Calc!$H901)-SUMIFS(CalcWit,CalcBank,LEFT(UPPER(TRIM($E901)),6),CalcKey,"&lt;="&amp;Calc!$H901))</f>
        <v/>
      </c>
      <c r="O901" s="10">
        <f>IF(OR($C901="",$M901=""),"",IF($N901="","؟",IF(ROUND($M901-$N901,0)=0,"√","×")))</f>
        <v/>
      </c>
      <c r="P901" s="12" t="n"/>
    </row>
    <row r="902">
      <c r="A902" s="10">
        <f>IF($C902="","",COUNTA($C$9:$C902))</f>
        <v/>
      </c>
      <c r="B902" s="10">
        <f>IF($C902="","","TXN-"&amp;RIGHT("0000"&amp;894,4))</f>
        <v/>
      </c>
      <c r="C902" s="11" t="n"/>
      <c r="D902" s="11" t="n"/>
      <c r="E902" s="12" t="n"/>
      <c r="F902" s="10">
        <f>IF($E902="","",IFERROR(IF(VLOOKUP(LEFT(UPPER(TRIM($E902)),6),BankTbl,2,0)="","(بدون عنوان)",VLOOKUP(LEFT(UPPER(TRIM($E902)),6),BankTbl,2,0)),"بانک ناشناخته"))</f>
        <v/>
      </c>
      <c r="G902" s="11" t="n"/>
      <c r="H902" s="10">
        <f>IF($G902="","",IFERROR(VLOOKUP($G902,CustTbl,2,0),IFERROR(VLOOKUP($G902,SuppTbl,2,0),IFERROR(VLOOKUP($G902,AcctTbl,2,0),IFERROR(VLOOKUP($G902,StaffTbl,2,0),"کد ناشناخته")))))</f>
        <v/>
      </c>
      <c r="I902" s="12" t="n"/>
      <c r="J902" s="12" t="n"/>
      <c r="K902" s="13" t="n"/>
      <c r="L902" s="13" t="n"/>
      <c r="M902" s="13" t="n"/>
      <c r="N902" s="14">
        <f>IF(OR($C902="",$E902="",Calc!$H902=""),"",IFERROR(VLOOKUP(LEFT(UPPER(TRIM($E902)),6),BankTbl,3,0),0)+SUMIFS(CalcDep,CalcBank,LEFT(UPPER(TRIM($E902)),6),CalcKey,"&lt;="&amp;Calc!$H902)-SUMIFS(CalcWit,CalcBank,LEFT(UPPER(TRIM($E902)),6),CalcKey,"&lt;="&amp;Calc!$H902))</f>
        <v/>
      </c>
      <c r="O902" s="10">
        <f>IF(OR($C902="",$M902=""),"",IF($N902="","؟",IF(ROUND($M902-$N902,0)=0,"√","×")))</f>
        <v/>
      </c>
      <c r="P902" s="12" t="n"/>
    </row>
    <row r="903">
      <c r="A903" s="10">
        <f>IF($C903="","",COUNTA($C$9:$C903))</f>
        <v/>
      </c>
      <c r="B903" s="10">
        <f>IF($C903="","","TXN-"&amp;RIGHT("0000"&amp;895,4))</f>
        <v/>
      </c>
      <c r="C903" s="11" t="n"/>
      <c r="D903" s="11" t="n"/>
      <c r="E903" s="12" t="n"/>
      <c r="F903" s="10">
        <f>IF($E903="","",IFERROR(IF(VLOOKUP(LEFT(UPPER(TRIM($E903)),6),BankTbl,2,0)="","(بدون عنوان)",VLOOKUP(LEFT(UPPER(TRIM($E903)),6),BankTbl,2,0)),"بانک ناشناخته"))</f>
        <v/>
      </c>
      <c r="G903" s="11" t="n"/>
      <c r="H903" s="10">
        <f>IF($G903="","",IFERROR(VLOOKUP($G903,CustTbl,2,0),IFERROR(VLOOKUP($G903,SuppTbl,2,0),IFERROR(VLOOKUP($G903,AcctTbl,2,0),IFERROR(VLOOKUP($G903,StaffTbl,2,0),"کد ناشناخته")))))</f>
        <v/>
      </c>
      <c r="I903" s="12" t="n"/>
      <c r="J903" s="12" t="n"/>
      <c r="K903" s="13" t="n"/>
      <c r="L903" s="13" t="n"/>
      <c r="M903" s="13" t="n"/>
      <c r="N903" s="14">
        <f>IF(OR($C903="",$E903="",Calc!$H903=""),"",IFERROR(VLOOKUP(LEFT(UPPER(TRIM($E903)),6),BankTbl,3,0),0)+SUMIFS(CalcDep,CalcBank,LEFT(UPPER(TRIM($E903)),6),CalcKey,"&lt;="&amp;Calc!$H903)-SUMIFS(CalcWit,CalcBank,LEFT(UPPER(TRIM($E903)),6),CalcKey,"&lt;="&amp;Calc!$H903))</f>
        <v/>
      </c>
      <c r="O903" s="10">
        <f>IF(OR($C903="",$M903=""),"",IF($N903="","؟",IF(ROUND($M903-$N903,0)=0,"√","×")))</f>
        <v/>
      </c>
      <c r="P903" s="12" t="n"/>
    </row>
    <row r="904">
      <c r="A904" s="10">
        <f>IF($C904="","",COUNTA($C$9:$C904))</f>
        <v/>
      </c>
      <c r="B904" s="10">
        <f>IF($C904="","","TXN-"&amp;RIGHT("0000"&amp;896,4))</f>
        <v/>
      </c>
      <c r="C904" s="11" t="n"/>
      <c r="D904" s="11" t="n"/>
      <c r="E904" s="12" t="n"/>
      <c r="F904" s="10">
        <f>IF($E904="","",IFERROR(IF(VLOOKUP(LEFT(UPPER(TRIM($E904)),6),BankTbl,2,0)="","(بدون عنوان)",VLOOKUP(LEFT(UPPER(TRIM($E904)),6),BankTbl,2,0)),"بانک ناشناخته"))</f>
        <v/>
      </c>
      <c r="G904" s="11" t="n"/>
      <c r="H904" s="10">
        <f>IF($G904="","",IFERROR(VLOOKUP($G904,CustTbl,2,0),IFERROR(VLOOKUP($G904,SuppTbl,2,0),IFERROR(VLOOKUP($G904,AcctTbl,2,0),IFERROR(VLOOKUP($G904,StaffTbl,2,0),"کد ناشناخته")))))</f>
        <v/>
      </c>
      <c r="I904" s="12" t="n"/>
      <c r="J904" s="12" t="n"/>
      <c r="K904" s="13" t="n"/>
      <c r="L904" s="13" t="n"/>
      <c r="M904" s="13" t="n"/>
      <c r="N904" s="14">
        <f>IF(OR($C904="",$E904="",Calc!$H904=""),"",IFERROR(VLOOKUP(LEFT(UPPER(TRIM($E904)),6),BankTbl,3,0),0)+SUMIFS(CalcDep,CalcBank,LEFT(UPPER(TRIM($E904)),6),CalcKey,"&lt;="&amp;Calc!$H904)-SUMIFS(CalcWit,CalcBank,LEFT(UPPER(TRIM($E904)),6),CalcKey,"&lt;="&amp;Calc!$H904))</f>
        <v/>
      </c>
      <c r="O904" s="10">
        <f>IF(OR($C904="",$M904=""),"",IF($N904="","؟",IF(ROUND($M904-$N904,0)=0,"√","×")))</f>
        <v/>
      </c>
      <c r="P904" s="12" t="n"/>
    </row>
    <row r="905">
      <c r="A905" s="10">
        <f>IF($C905="","",COUNTA($C$9:$C905))</f>
        <v/>
      </c>
      <c r="B905" s="10">
        <f>IF($C905="","","TXN-"&amp;RIGHT("0000"&amp;897,4))</f>
        <v/>
      </c>
      <c r="C905" s="11" t="n"/>
      <c r="D905" s="11" t="n"/>
      <c r="E905" s="12" t="n"/>
      <c r="F905" s="10">
        <f>IF($E905="","",IFERROR(IF(VLOOKUP(LEFT(UPPER(TRIM($E905)),6),BankTbl,2,0)="","(بدون عنوان)",VLOOKUP(LEFT(UPPER(TRIM($E905)),6),BankTbl,2,0)),"بانک ناشناخته"))</f>
        <v/>
      </c>
      <c r="G905" s="11" t="n"/>
      <c r="H905" s="10">
        <f>IF($G905="","",IFERROR(VLOOKUP($G905,CustTbl,2,0),IFERROR(VLOOKUP($G905,SuppTbl,2,0),IFERROR(VLOOKUP($G905,AcctTbl,2,0),IFERROR(VLOOKUP($G905,StaffTbl,2,0),"کد ناشناخته")))))</f>
        <v/>
      </c>
      <c r="I905" s="12" t="n"/>
      <c r="J905" s="12" t="n"/>
      <c r="K905" s="13" t="n"/>
      <c r="L905" s="13" t="n"/>
      <c r="M905" s="13" t="n"/>
      <c r="N905" s="14">
        <f>IF(OR($C905="",$E905="",Calc!$H905=""),"",IFERROR(VLOOKUP(LEFT(UPPER(TRIM($E905)),6),BankTbl,3,0),0)+SUMIFS(CalcDep,CalcBank,LEFT(UPPER(TRIM($E905)),6),CalcKey,"&lt;="&amp;Calc!$H905)-SUMIFS(CalcWit,CalcBank,LEFT(UPPER(TRIM($E905)),6),CalcKey,"&lt;="&amp;Calc!$H905))</f>
        <v/>
      </c>
      <c r="O905" s="10">
        <f>IF(OR($C905="",$M905=""),"",IF($N905="","؟",IF(ROUND($M905-$N905,0)=0,"√","×")))</f>
        <v/>
      </c>
      <c r="P905" s="12" t="n"/>
    </row>
    <row r="906">
      <c r="A906" s="10">
        <f>IF($C906="","",COUNTA($C$9:$C906))</f>
        <v/>
      </c>
      <c r="B906" s="10">
        <f>IF($C906="","","TXN-"&amp;RIGHT("0000"&amp;898,4))</f>
        <v/>
      </c>
      <c r="C906" s="11" t="n"/>
      <c r="D906" s="11" t="n"/>
      <c r="E906" s="12" t="n"/>
      <c r="F906" s="10">
        <f>IF($E906="","",IFERROR(IF(VLOOKUP(LEFT(UPPER(TRIM($E906)),6),BankTbl,2,0)="","(بدون عنوان)",VLOOKUP(LEFT(UPPER(TRIM($E906)),6),BankTbl,2,0)),"بانک ناشناخته"))</f>
        <v/>
      </c>
      <c r="G906" s="11" t="n"/>
      <c r="H906" s="10">
        <f>IF($G906="","",IFERROR(VLOOKUP($G906,CustTbl,2,0),IFERROR(VLOOKUP($G906,SuppTbl,2,0),IFERROR(VLOOKUP($G906,AcctTbl,2,0),IFERROR(VLOOKUP($G906,StaffTbl,2,0),"کد ناشناخته")))))</f>
        <v/>
      </c>
      <c r="I906" s="12" t="n"/>
      <c r="J906" s="12" t="n"/>
      <c r="K906" s="13" t="n"/>
      <c r="L906" s="13" t="n"/>
      <c r="M906" s="13" t="n"/>
      <c r="N906" s="14">
        <f>IF(OR($C906="",$E906="",Calc!$H906=""),"",IFERROR(VLOOKUP(LEFT(UPPER(TRIM($E906)),6),BankTbl,3,0),0)+SUMIFS(CalcDep,CalcBank,LEFT(UPPER(TRIM($E906)),6),CalcKey,"&lt;="&amp;Calc!$H906)-SUMIFS(CalcWit,CalcBank,LEFT(UPPER(TRIM($E906)),6),CalcKey,"&lt;="&amp;Calc!$H906))</f>
        <v/>
      </c>
      <c r="O906" s="10">
        <f>IF(OR($C906="",$M906=""),"",IF($N906="","؟",IF(ROUND($M906-$N906,0)=0,"√","×")))</f>
        <v/>
      </c>
      <c r="P906" s="12" t="n"/>
    </row>
    <row r="907">
      <c r="A907" s="10">
        <f>IF($C907="","",COUNTA($C$9:$C907))</f>
        <v/>
      </c>
      <c r="B907" s="10">
        <f>IF($C907="","","TXN-"&amp;RIGHT("0000"&amp;899,4))</f>
        <v/>
      </c>
      <c r="C907" s="11" t="n"/>
      <c r="D907" s="11" t="n"/>
      <c r="E907" s="12" t="n"/>
      <c r="F907" s="10">
        <f>IF($E907="","",IFERROR(IF(VLOOKUP(LEFT(UPPER(TRIM($E907)),6),BankTbl,2,0)="","(بدون عنوان)",VLOOKUP(LEFT(UPPER(TRIM($E907)),6),BankTbl,2,0)),"بانک ناشناخته"))</f>
        <v/>
      </c>
      <c r="G907" s="11" t="n"/>
      <c r="H907" s="10">
        <f>IF($G907="","",IFERROR(VLOOKUP($G907,CustTbl,2,0),IFERROR(VLOOKUP($G907,SuppTbl,2,0),IFERROR(VLOOKUP($G907,AcctTbl,2,0),IFERROR(VLOOKUP($G907,StaffTbl,2,0),"کد ناشناخته")))))</f>
        <v/>
      </c>
      <c r="I907" s="12" t="n"/>
      <c r="J907" s="12" t="n"/>
      <c r="K907" s="13" t="n"/>
      <c r="L907" s="13" t="n"/>
      <c r="M907" s="13" t="n"/>
      <c r="N907" s="14">
        <f>IF(OR($C907="",$E907="",Calc!$H907=""),"",IFERROR(VLOOKUP(LEFT(UPPER(TRIM($E907)),6),BankTbl,3,0),0)+SUMIFS(CalcDep,CalcBank,LEFT(UPPER(TRIM($E907)),6),CalcKey,"&lt;="&amp;Calc!$H907)-SUMIFS(CalcWit,CalcBank,LEFT(UPPER(TRIM($E907)),6),CalcKey,"&lt;="&amp;Calc!$H907))</f>
        <v/>
      </c>
      <c r="O907" s="10">
        <f>IF(OR($C907="",$M907=""),"",IF($N907="","؟",IF(ROUND($M907-$N907,0)=0,"√","×")))</f>
        <v/>
      </c>
      <c r="P907" s="12" t="n"/>
    </row>
    <row r="908">
      <c r="A908" s="10">
        <f>IF($C908="","",COUNTA($C$9:$C908))</f>
        <v/>
      </c>
      <c r="B908" s="10">
        <f>IF($C908="","","TXN-"&amp;RIGHT("0000"&amp;900,4))</f>
        <v/>
      </c>
      <c r="C908" s="11" t="n"/>
      <c r="D908" s="11" t="n"/>
      <c r="E908" s="12" t="n"/>
      <c r="F908" s="10">
        <f>IF($E908="","",IFERROR(IF(VLOOKUP(LEFT(UPPER(TRIM($E908)),6),BankTbl,2,0)="","(بدون عنوان)",VLOOKUP(LEFT(UPPER(TRIM($E908)),6),BankTbl,2,0)),"بانک ناشناخته"))</f>
        <v/>
      </c>
      <c r="G908" s="11" t="n"/>
      <c r="H908" s="10">
        <f>IF($G908="","",IFERROR(VLOOKUP($G908,CustTbl,2,0),IFERROR(VLOOKUP($G908,SuppTbl,2,0),IFERROR(VLOOKUP($G908,AcctTbl,2,0),IFERROR(VLOOKUP($G908,StaffTbl,2,0),"کد ناشناخته")))))</f>
        <v/>
      </c>
      <c r="I908" s="12" t="n"/>
      <c r="J908" s="12" t="n"/>
      <c r="K908" s="13" t="n"/>
      <c r="L908" s="13" t="n"/>
      <c r="M908" s="13" t="n"/>
      <c r="N908" s="14">
        <f>IF(OR($C908="",$E908="",Calc!$H908=""),"",IFERROR(VLOOKUP(LEFT(UPPER(TRIM($E908)),6),BankTbl,3,0),0)+SUMIFS(CalcDep,CalcBank,LEFT(UPPER(TRIM($E908)),6),CalcKey,"&lt;="&amp;Calc!$H908)-SUMIFS(CalcWit,CalcBank,LEFT(UPPER(TRIM($E908)),6),CalcKey,"&lt;="&amp;Calc!$H908))</f>
        <v/>
      </c>
      <c r="O908" s="10">
        <f>IF(OR($C908="",$M908=""),"",IF($N908="","؟",IF(ROUND($M908-$N908,0)=0,"√","×")))</f>
        <v/>
      </c>
      <c r="P908" s="12" t="n"/>
    </row>
    <row r="909">
      <c r="A909" s="10">
        <f>IF($C909="","",COUNTA($C$9:$C909))</f>
        <v/>
      </c>
      <c r="B909" s="10">
        <f>IF($C909="","","TXN-"&amp;RIGHT("0000"&amp;901,4))</f>
        <v/>
      </c>
      <c r="C909" s="11" t="n"/>
      <c r="D909" s="11" t="n"/>
      <c r="E909" s="12" t="n"/>
      <c r="F909" s="10">
        <f>IF($E909="","",IFERROR(IF(VLOOKUP(LEFT(UPPER(TRIM($E909)),6),BankTbl,2,0)="","(بدون عنوان)",VLOOKUP(LEFT(UPPER(TRIM($E909)),6),BankTbl,2,0)),"بانک ناشناخته"))</f>
        <v/>
      </c>
      <c r="G909" s="11" t="n"/>
      <c r="H909" s="10">
        <f>IF($G909="","",IFERROR(VLOOKUP($G909,CustTbl,2,0),IFERROR(VLOOKUP($G909,SuppTbl,2,0),IFERROR(VLOOKUP($G909,AcctTbl,2,0),IFERROR(VLOOKUP($G909,StaffTbl,2,0),"کد ناشناخته")))))</f>
        <v/>
      </c>
      <c r="I909" s="12" t="n"/>
      <c r="J909" s="12" t="n"/>
      <c r="K909" s="13" t="n"/>
      <c r="L909" s="13" t="n"/>
      <c r="M909" s="13" t="n"/>
      <c r="N909" s="14">
        <f>IF(OR($C909="",$E909="",Calc!$H909=""),"",IFERROR(VLOOKUP(LEFT(UPPER(TRIM($E909)),6),BankTbl,3,0),0)+SUMIFS(CalcDep,CalcBank,LEFT(UPPER(TRIM($E909)),6),CalcKey,"&lt;="&amp;Calc!$H909)-SUMIFS(CalcWit,CalcBank,LEFT(UPPER(TRIM($E909)),6),CalcKey,"&lt;="&amp;Calc!$H909))</f>
        <v/>
      </c>
      <c r="O909" s="10">
        <f>IF(OR($C909="",$M909=""),"",IF($N909="","؟",IF(ROUND($M909-$N909,0)=0,"√","×")))</f>
        <v/>
      </c>
      <c r="P909" s="12" t="n"/>
    </row>
    <row r="910">
      <c r="A910" s="10">
        <f>IF($C910="","",COUNTA($C$9:$C910))</f>
        <v/>
      </c>
      <c r="B910" s="10">
        <f>IF($C910="","","TXN-"&amp;RIGHT("0000"&amp;902,4))</f>
        <v/>
      </c>
      <c r="C910" s="11" t="n"/>
      <c r="D910" s="11" t="n"/>
      <c r="E910" s="12" t="n"/>
      <c r="F910" s="10">
        <f>IF($E910="","",IFERROR(IF(VLOOKUP(LEFT(UPPER(TRIM($E910)),6),BankTbl,2,0)="","(بدون عنوان)",VLOOKUP(LEFT(UPPER(TRIM($E910)),6),BankTbl,2,0)),"بانک ناشناخته"))</f>
        <v/>
      </c>
      <c r="G910" s="11" t="n"/>
      <c r="H910" s="10">
        <f>IF($G910="","",IFERROR(VLOOKUP($G910,CustTbl,2,0),IFERROR(VLOOKUP($G910,SuppTbl,2,0),IFERROR(VLOOKUP($G910,AcctTbl,2,0),IFERROR(VLOOKUP($G910,StaffTbl,2,0),"کد ناشناخته")))))</f>
        <v/>
      </c>
      <c r="I910" s="12" t="n"/>
      <c r="J910" s="12" t="n"/>
      <c r="K910" s="13" t="n"/>
      <c r="L910" s="13" t="n"/>
      <c r="M910" s="13" t="n"/>
      <c r="N910" s="14">
        <f>IF(OR($C910="",$E910="",Calc!$H910=""),"",IFERROR(VLOOKUP(LEFT(UPPER(TRIM($E910)),6),BankTbl,3,0),0)+SUMIFS(CalcDep,CalcBank,LEFT(UPPER(TRIM($E910)),6),CalcKey,"&lt;="&amp;Calc!$H910)-SUMIFS(CalcWit,CalcBank,LEFT(UPPER(TRIM($E910)),6),CalcKey,"&lt;="&amp;Calc!$H910))</f>
        <v/>
      </c>
      <c r="O910" s="10">
        <f>IF(OR($C910="",$M910=""),"",IF($N910="","؟",IF(ROUND($M910-$N910,0)=0,"√","×")))</f>
        <v/>
      </c>
      <c r="P910" s="12" t="n"/>
    </row>
    <row r="911">
      <c r="A911" s="10">
        <f>IF($C911="","",COUNTA($C$9:$C911))</f>
        <v/>
      </c>
      <c r="B911" s="10">
        <f>IF($C911="","","TXN-"&amp;RIGHT("0000"&amp;903,4))</f>
        <v/>
      </c>
      <c r="C911" s="11" t="n"/>
      <c r="D911" s="11" t="n"/>
      <c r="E911" s="12" t="n"/>
      <c r="F911" s="10">
        <f>IF($E911="","",IFERROR(IF(VLOOKUP(LEFT(UPPER(TRIM($E911)),6),BankTbl,2,0)="","(بدون عنوان)",VLOOKUP(LEFT(UPPER(TRIM($E911)),6),BankTbl,2,0)),"بانک ناشناخته"))</f>
        <v/>
      </c>
      <c r="G911" s="11" t="n"/>
      <c r="H911" s="10">
        <f>IF($G911="","",IFERROR(VLOOKUP($G911,CustTbl,2,0),IFERROR(VLOOKUP($G911,SuppTbl,2,0),IFERROR(VLOOKUP($G911,AcctTbl,2,0),IFERROR(VLOOKUP($G911,StaffTbl,2,0),"کد ناشناخته")))))</f>
        <v/>
      </c>
      <c r="I911" s="12" t="n"/>
      <c r="J911" s="12" t="n"/>
      <c r="K911" s="13" t="n"/>
      <c r="L911" s="13" t="n"/>
      <c r="M911" s="13" t="n"/>
      <c r="N911" s="14">
        <f>IF(OR($C911="",$E911="",Calc!$H911=""),"",IFERROR(VLOOKUP(LEFT(UPPER(TRIM($E911)),6),BankTbl,3,0),0)+SUMIFS(CalcDep,CalcBank,LEFT(UPPER(TRIM($E911)),6),CalcKey,"&lt;="&amp;Calc!$H911)-SUMIFS(CalcWit,CalcBank,LEFT(UPPER(TRIM($E911)),6),CalcKey,"&lt;="&amp;Calc!$H911))</f>
        <v/>
      </c>
      <c r="O911" s="10">
        <f>IF(OR($C911="",$M911=""),"",IF($N911="","؟",IF(ROUND($M911-$N911,0)=0,"√","×")))</f>
        <v/>
      </c>
      <c r="P911" s="12" t="n"/>
    </row>
    <row r="912">
      <c r="A912" s="10">
        <f>IF($C912="","",COUNTA($C$9:$C912))</f>
        <v/>
      </c>
      <c r="B912" s="10">
        <f>IF($C912="","","TXN-"&amp;RIGHT("0000"&amp;904,4))</f>
        <v/>
      </c>
      <c r="C912" s="11" t="n"/>
      <c r="D912" s="11" t="n"/>
      <c r="E912" s="12" t="n"/>
      <c r="F912" s="10">
        <f>IF($E912="","",IFERROR(IF(VLOOKUP(LEFT(UPPER(TRIM($E912)),6),BankTbl,2,0)="","(بدون عنوان)",VLOOKUP(LEFT(UPPER(TRIM($E912)),6),BankTbl,2,0)),"بانک ناشناخته"))</f>
        <v/>
      </c>
      <c r="G912" s="11" t="n"/>
      <c r="H912" s="10">
        <f>IF($G912="","",IFERROR(VLOOKUP($G912,CustTbl,2,0),IFERROR(VLOOKUP($G912,SuppTbl,2,0),IFERROR(VLOOKUP($G912,AcctTbl,2,0),IFERROR(VLOOKUP($G912,StaffTbl,2,0),"کد ناشناخته")))))</f>
        <v/>
      </c>
      <c r="I912" s="12" t="n"/>
      <c r="J912" s="12" t="n"/>
      <c r="K912" s="13" t="n"/>
      <c r="L912" s="13" t="n"/>
      <c r="M912" s="13" t="n"/>
      <c r="N912" s="14">
        <f>IF(OR($C912="",$E912="",Calc!$H912=""),"",IFERROR(VLOOKUP(LEFT(UPPER(TRIM($E912)),6),BankTbl,3,0),0)+SUMIFS(CalcDep,CalcBank,LEFT(UPPER(TRIM($E912)),6),CalcKey,"&lt;="&amp;Calc!$H912)-SUMIFS(CalcWit,CalcBank,LEFT(UPPER(TRIM($E912)),6),CalcKey,"&lt;="&amp;Calc!$H912))</f>
        <v/>
      </c>
      <c r="O912" s="10">
        <f>IF(OR($C912="",$M912=""),"",IF($N912="","؟",IF(ROUND($M912-$N912,0)=0,"√","×")))</f>
        <v/>
      </c>
      <c r="P912" s="12" t="n"/>
    </row>
    <row r="913">
      <c r="A913" s="10">
        <f>IF($C913="","",COUNTA($C$9:$C913))</f>
        <v/>
      </c>
      <c r="B913" s="10">
        <f>IF($C913="","","TXN-"&amp;RIGHT("0000"&amp;905,4))</f>
        <v/>
      </c>
      <c r="C913" s="11" t="n"/>
      <c r="D913" s="11" t="n"/>
      <c r="E913" s="12" t="n"/>
      <c r="F913" s="10">
        <f>IF($E913="","",IFERROR(IF(VLOOKUP(LEFT(UPPER(TRIM($E913)),6),BankTbl,2,0)="","(بدون عنوان)",VLOOKUP(LEFT(UPPER(TRIM($E913)),6),BankTbl,2,0)),"بانک ناشناخته"))</f>
        <v/>
      </c>
      <c r="G913" s="11" t="n"/>
      <c r="H913" s="10">
        <f>IF($G913="","",IFERROR(VLOOKUP($G913,CustTbl,2,0),IFERROR(VLOOKUP($G913,SuppTbl,2,0),IFERROR(VLOOKUP($G913,AcctTbl,2,0),IFERROR(VLOOKUP($G913,StaffTbl,2,0),"کد ناشناخته")))))</f>
        <v/>
      </c>
      <c r="I913" s="12" t="n"/>
      <c r="J913" s="12" t="n"/>
      <c r="K913" s="13" t="n"/>
      <c r="L913" s="13" t="n"/>
      <c r="M913" s="13" t="n"/>
      <c r="N913" s="14">
        <f>IF(OR($C913="",$E913="",Calc!$H913=""),"",IFERROR(VLOOKUP(LEFT(UPPER(TRIM($E913)),6),BankTbl,3,0),0)+SUMIFS(CalcDep,CalcBank,LEFT(UPPER(TRIM($E913)),6),CalcKey,"&lt;="&amp;Calc!$H913)-SUMIFS(CalcWit,CalcBank,LEFT(UPPER(TRIM($E913)),6),CalcKey,"&lt;="&amp;Calc!$H913))</f>
        <v/>
      </c>
      <c r="O913" s="10">
        <f>IF(OR($C913="",$M913=""),"",IF($N913="","؟",IF(ROUND($M913-$N913,0)=0,"√","×")))</f>
        <v/>
      </c>
      <c r="P913" s="12" t="n"/>
    </row>
    <row r="914">
      <c r="A914" s="10">
        <f>IF($C914="","",COUNTA($C$9:$C914))</f>
        <v/>
      </c>
      <c r="B914" s="10">
        <f>IF($C914="","","TXN-"&amp;RIGHT("0000"&amp;906,4))</f>
        <v/>
      </c>
      <c r="C914" s="11" t="n"/>
      <c r="D914" s="11" t="n"/>
      <c r="E914" s="12" t="n"/>
      <c r="F914" s="10">
        <f>IF($E914="","",IFERROR(IF(VLOOKUP(LEFT(UPPER(TRIM($E914)),6),BankTbl,2,0)="","(بدون عنوان)",VLOOKUP(LEFT(UPPER(TRIM($E914)),6),BankTbl,2,0)),"بانک ناشناخته"))</f>
        <v/>
      </c>
      <c r="G914" s="11" t="n"/>
      <c r="H914" s="10">
        <f>IF($G914="","",IFERROR(VLOOKUP($G914,CustTbl,2,0),IFERROR(VLOOKUP($G914,SuppTbl,2,0),IFERROR(VLOOKUP($G914,AcctTbl,2,0),IFERROR(VLOOKUP($G914,StaffTbl,2,0),"کد ناشناخته")))))</f>
        <v/>
      </c>
      <c r="I914" s="12" t="n"/>
      <c r="J914" s="12" t="n"/>
      <c r="K914" s="13" t="n"/>
      <c r="L914" s="13" t="n"/>
      <c r="M914" s="13" t="n"/>
      <c r="N914" s="14">
        <f>IF(OR($C914="",$E914="",Calc!$H914=""),"",IFERROR(VLOOKUP(LEFT(UPPER(TRIM($E914)),6),BankTbl,3,0),0)+SUMIFS(CalcDep,CalcBank,LEFT(UPPER(TRIM($E914)),6),CalcKey,"&lt;="&amp;Calc!$H914)-SUMIFS(CalcWit,CalcBank,LEFT(UPPER(TRIM($E914)),6),CalcKey,"&lt;="&amp;Calc!$H914))</f>
        <v/>
      </c>
      <c r="O914" s="10">
        <f>IF(OR($C914="",$M914=""),"",IF($N914="","؟",IF(ROUND($M914-$N914,0)=0,"√","×")))</f>
        <v/>
      </c>
      <c r="P914" s="12" t="n"/>
    </row>
    <row r="915">
      <c r="A915" s="10">
        <f>IF($C915="","",COUNTA($C$9:$C915))</f>
        <v/>
      </c>
      <c r="B915" s="10">
        <f>IF($C915="","","TXN-"&amp;RIGHT("0000"&amp;907,4))</f>
        <v/>
      </c>
      <c r="C915" s="11" t="n"/>
      <c r="D915" s="11" t="n"/>
      <c r="E915" s="12" t="n"/>
      <c r="F915" s="10">
        <f>IF($E915="","",IFERROR(IF(VLOOKUP(LEFT(UPPER(TRIM($E915)),6),BankTbl,2,0)="","(بدون عنوان)",VLOOKUP(LEFT(UPPER(TRIM($E915)),6),BankTbl,2,0)),"بانک ناشناخته"))</f>
        <v/>
      </c>
      <c r="G915" s="11" t="n"/>
      <c r="H915" s="10">
        <f>IF($G915="","",IFERROR(VLOOKUP($G915,CustTbl,2,0),IFERROR(VLOOKUP($G915,SuppTbl,2,0),IFERROR(VLOOKUP($G915,AcctTbl,2,0),IFERROR(VLOOKUP($G915,StaffTbl,2,0),"کد ناشناخته")))))</f>
        <v/>
      </c>
      <c r="I915" s="12" t="n"/>
      <c r="J915" s="12" t="n"/>
      <c r="K915" s="13" t="n"/>
      <c r="L915" s="13" t="n"/>
      <c r="M915" s="13" t="n"/>
      <c r="N915" s="14">
        <f>IF(OR($C915="",$E915="",Calc!$H915=""),"",IFERROR(VLOOKUP(LEFT(UPPER(TRIM($E915)),6),BankTbl,3,0),0)+SUMIFS(CalcDep,CalcBank,LEFT(UPPER(TRIM($E915)),6),CalcKey,"&lt;="&amp;Calc!$H915)-SUMIFS(CalcWit,CalcBank,LEFT(UPPER(TRIM($E915)),6),CalcKey,"&lt;="&amp;Calc!$H915))</f>
        <v/>
      </c>
      <c r="O915" s="10">
        <f>IF(OR($C915="",$M915=""),"",IF($N915="","؟",IF(ROUND($M915-$N915,0)=0,"√","×")))</f>
        <v/>
      </c>
      <c r="P915" s="12" t="n"/>
    </row>
    <row r="916">
      <c r="A916" s="10">
        <f>IF($C916="","",COUNTA($C$9:$C916))</f>
        <v/>
      </c>
      <c r="B916" s="10">
        <f>IF($C916="","","TXN-"&amp;RIGHT("0000"&amp;908,4))</f>
        <v/>
      </c>
      <c r="C916" s="11" t="n"/>
      <c r="D916" s="11" t="n"/>
      <c r="E916" s="12" t="n"/>
      <c r="F916" s="10">
        <f>IF($E916="","",IFERROR(IF(VLOOKUP(LEFT(UPPER(TRIM($E916)),6),BankTbl,2,0)="","(بدون عنوان)",VLOOKUP(LEFT(UPPER(TRIM($E916)),6),BankTbl,2,0)),"بانک ناشناخته"))</f>
        <v/>
      </c>
      <c r="G916" s="11" t="n"/>
      <c r="H916" s="10">
        <f>IF($G916="","",IFERROR(VLOOKUP($G916,CustTbl,2,0),IFERROR(VLOOKUP($G916,SuppTbl,2,0),IFERROR(VLOOKUP($G916,AcctTbl,2,0),IFERROR(VLOOKUP($G916,StaffTbl,2,0),"کد ناشناخته")))))</f>
        <v/>
      </c>
      <c r="I916" s="12" t="n"/>
      <c r="J916" s="12" t="n"/>
      <c r="K916" s="13" t="n"/>
      <c r="L916" s="13" t="n"/>
      <c r="M916" s="13" t="n"/>
      <c r="N916" s="14">
        <f>IF(OR($C916="",$E916="",Calc!$H916=""),"",IFERROR(VLOOKUP(LEFT(UPPER(TRIM($E916)),6),BankTbl,3,0),0)+SUMIFS(CalcDep,CalcBank,LEFT(UPPER(TRIM($E916)),6),CalcKey,"&lt;="&amp;Calc!$H916)-SUMIFS(CalcWit,CalcBank,LEFT(UPPER(TRIM($E916)),6),CalcKey,"&lt;="&amp;Calc!$H916))</f>
        <v/>
      </c>
      <c r="O916" s="10">
        <f>IF(OR($C916="",$M916=""),"",IF($N916="","؟",IF(ROUND($M916-$N916,0)=0,"√","×")))</f>
        <v/>
      </c>
      <c r="P916" s="12" t="n"/>
    </row>
    <row r="917">
      <c r="A917" s="10">
        <f>IF($C917="","",COUNTA($C$9:$C917))</f>
        <v/>
      </c>
      <c r="B917" s="10">
        <f>IF($C917="","","TXN-"&amp;RIGHT("0000"&amp;909,4))</f>
        <v/>
      </c>
      <c r="C917" s="11" t="n"/>
      <c r="D917" s="11" t="n"/>
      <c r="E917" s="12" t="n"/>
      <c r="F917" s="10">
        <f>IF($E917="","",IFERROR(IF(VLOOKUP(LEFT(UPPER(TRIM($E917)),6),BankTbl,2,0)="","(بدون عنوان)",VLOOKUP(LEFT(UPPER(TRIM($E917)),6),BankTbl,2,0)),"بانک ناشناخته"))</f>
        <v/>
      </c>
      <c r="G917" s="11" t="n"/>
      <c r="H917" s="10">
        <f>IF($G917="","",IFERROR(VLOOKUP($G917,CustTbl,2,0),IFERROR(VLOOKUP($G917,SuppTbl,2,0),IFERROR(VLOOKUP($G917,AcctTbl,2,0),IFERROR(VLOOKUP($G917,StaffTbl,2,0),"کد ناشناخته")))))</f>
        <v/>
      </c>
      <c r="I917" s="12" t="n"/>
      <c r="J917" s="12" t="n"/>
      <c r="K917" s="13" t="n"/>
      <c r="L917" s="13" t="n"/>
      <c r="M917" s="13" t="n"/>
      <c r="N917" s="14">
        <f>IF(OR($C917="",$E917="",Calc!$H917=""),"",IFERROR(VLOOKUP(LEFT(UPPER(TRIM($E917)),6),BankTbl,3,0),0)+SUMIFS(CalcDep,CalcBank,LEFT(UPPER(TRIM($E917)),6),CalcKey,"&lt;="&amp;Calc!$H917)-SUMIFS(CalcWit,CalcBank,LEFT(UPPER(TRIM($E917)),6),CalcKey,"&lt;="&amp;Calc!$H917))</f>
        <v/>
      </c>
      <c r="O917" s="10">
        <f>IF(OR($C917="",$M917=""),"",IF($N917="","؟",IF(ROUND($M917-$N917,0)=0,"√","×")))</f>
        <v/>
      </c>
      <c r="P917" s="12" t="n"/>
    </row>
    <row r="918">
      <c r="A918" s="10">
        <f>IF($C918="","",COUNTA($C$9:$C918))</f>
        <v/>
      </c>
      <c r="B918" s="10">
        <f>IF($C918="","","TXN-"&amp;RIGHT("0000"&amp;910,4))</f>
        <v/>
      </c>
      <c r="C918" s="11" t="n"/>
      <c r="D918" s="11" t="n"/>
      <c r="E918" s="12" t="n"/>
      <c r="F918" s="10">
        <f>IF($E918="","",IFERROR(IF(VLOOKUP(LEFT(UPPER(TRIM($E918)),6),BankTbl,2,0)="","(بدون عنوان)",VLOOKUP(LEFT(UPPER(TRIM($E918)),6),BankTbl,2,0)),"بانک ناشناخته"))</f>
        <v/>
      </c>
      <c r="G918" s="11" t="n"/>
      <c r="H918" s="10">
        <f>IF($G918="","",IFERROR(VLOOKUP($G918,CustTbl,2,0),IFERROR(VLOOKUP($G918,SuppTbl,2,0),IFERROR(VLOOKUP($G918,AcctTbl,2,0),IFERROR(VLOOKUP($G918,StaffTbl,2,0),"کد ناشناخته")))))</f>
        <v/>
      </c>
      <c r="I918" s="12" t="n"/>
      <c r="J918" s="12" t="n"/>
      <c r="K918" s="13" t="n"/>
      <c r="L918" s="13" t="n"/>
      <c r="M918" s="13" t="n"/>
      <c r="N918" s="14">
        <f>IF(OR($C918="",$E918="",Calc!$H918=""),"",IFERROR(VLOOKUP(LEFT(UPPER(TRIM($E918)),6),BankTbl,3,0),0)+SUMIFS(CalcDep,CalcBank,LEFT(UPPER(TRIM($E918)),6),CalcKey,"&lt;="&amp;Calc!$H918)-SUMIFS(CalcWit,CalcBank,LEFT(UPPER(TRIM($E918)),6),CalcKey,"&lt;="&amp;Calc!$H918))</f>
        <v/>
      </c>
      <c r="O918" s="10">
        <f>IF(OR($C918="",$M918=""),"",IF($N918="","؟",IF(ROUND($M918-$N918,0)=0,"√","×")))</f>
        <v/>
      </c>
      <c r="P918" s="12" t="n"/>
    </row>
    <row r="919">
      <c r="A919" s="10">
        <f>IF($C919="","",COUNTA($C$9:$C919))</f>
        <v/>
      </c>
      <c r="B919" s="10">
        <f>IF($C919="","","TXN-"&amp;RIGHT("0000"&amp;911,4))</f>
        <v/>
      </c>
      <c r="C919" s="11" t="n"/>
      <c r="D919" s="11" t="n"/>
      <c r="E919" s="12" t="n"/>
      <c r="F919" s="10">
        <f>IF($E919="","",IFERROR(IF(VLOOKUP(LEFT(UPPER(TRIM($E919)),6),BankTbl,2,0)="","(بدون عنوان)",VLOOKUP(LEFT(UPPER(TRIM($E919)),6),BankTbl,2,0)),"بانک ناشناخته"))</f>
        <v/>
      </c>
      <c r="G919" s="11" t="n"/>
      <c r="H919" s="10">
        <f>IF($G919="","",IFERROR(VLOOKUP($G919,CustTbl,2,0),IFERROR(VLOOKUP($G919,SuppTbl,2,0),IFERROR(VLOOKUP($G919,AcctTbl,2,0),IFERROR(VLOOKUP($G919,StaffTbl,2,0),"کد ناشناخته")))))</f>
        <v/>
      </c>
      <c r="I919" s="12" t="n"/>
      <c r="J919" s="12" t="n"/>
      <c r="K919" s="13" t="n"/>
      <c r="L919" s="13" t="n"/>
      <c r="M919" s="13" t="n"/>
      <c r="N919" s="14">
        <f>IF(OR($C919="",$E919="",Calc!$H919=""),"",IFERROR(VLOOKUP(LEFT(UPPER(TRIM($E919)),6),BankTbl,3,0),0)+SUMIFS(CalcDep,CalcBank,LEFT(UPPER(TRIM($E919)),6),CalcKey,"&lt;="&amp;Calc!$H919)-SUMIFS(CalcWit,CalcBank,LEFT(UPPER(TRIM($E919)),6),CalcKey,"&lt;="&amp;Calc!$H919))</f>
        <v/>
      </c>
      <c r="O919" s="10">
        <f>IF(OR($C919="",$M919=""),"",IF($N919="","؟",IF(ROUND($M919-$N919,0)=0,"√","×")))</f>
        <v/>
      </c>
      <c r="P919" s="12" t="n"/>
    </row>
    <row r="920">
      <c r="A920" s="10">
        <f>IF($C920="","",COUNTA($C$9:$C920))</f>
        <v/>
      </c>
      <c r="B920" s="10">
        <f>IF($C920="","","TXN-"&amp;RIGHT("0000"&amp;912,4))</f>
        <v/>
      </c>
      <c r="C920" s="11" t="n"/>
      <c r="D920" s="11" t="n"/>
      <c r="E920" s="12" t="n"/>
      <c r="F920" s="10">
        <f>IF($E920="","",IFERROR(IF(VLOOKUP(LEFT(UPPER(TRIM($E920)),6),BankTbl,2,0)="","(بدون عنوان)",VLOOKUP(LEFT(UPPER(TRIM($E920)),6),BankTbl,2,0)),"بانک ناشناخته"))</f>
        <v/>
      </c>
      <c r="G920" s="11" t="n"/>
      <c r="H920" s="10">
        <f>IF($G920="","",IFERROR(VLOOKUP($G920,CustTbl,2,0),IFERROR(VLOOKUP($G920,SuppTbl,2,0),IFERROR(VLOOKUP($G920,AcctTbl,2,0),IFERROR(VLOOKUP($G920,StaffTbl,2,0),"کد ناشناخته")))))</f>
        <v/>
      </c>
      <c r="I920" s="12" t="n"/>
      <c r="J920" s="12" t="n"/>
      <c r="K920" s="13" t="n"/>
      <c r="L920" s="13" t="n"/>
      <c r="M920" s="13" t="n"/>
      <c r="N920" s="14">
        <f>IF(OR($C920="",$E920="",Calc!$H920=""),"",IFERROR(VLOOKUP(LEFT(UPPER(TRIM($E920)),6),BankTbl,3,0),0)+SUMIFS(CalcDep,CalcBank,LEFT(UPPER(TRIM($E920)),6),CalcKey,"&lt;="&amp;Calc!$H920)-SUMIFS(CalcWit,CalcBank,LEFT(UPPER(TRIM($E920)),6),CalcKey,"&lt;="&amp;Calc!$H920))</f>
        <v/>
      </c>
      <c r="O920" s="10">
        <f>IF(OR($C920="",$M920=""),"",IF($N920="","؟",IF(ROUND($M920-$N920,0)=0,"√","×")))</f>
        <v/>
      </c>
      <c r="P920" s="12" t="n"/>
    </row>
    <row r="921">
      <c r="A921" s="10">
        <f>IF($C921="","",COUNTA($C$9:$C921))</f>
        <v/>
      </c>
      <c r="B921" s="10">
        <f>IF($C921="","","TXN-"&amp;RIGHT("0000"&amp;913,4))</f>
        <v/>
      </c>
      <c r="C921" s="11" t="n"/>
      <c r="D921" s="11" t="n"/>
      <c r="E921" s="12" t="n"/>
      <c r="F921" s="10">
        <f>IF($E921="","",IFERROR(IF(VLOOKUP(LEFT(UPPER(TRIM($E921)),6),BankTbl,2,0)="","(بدون عنوان)",VLOOKUP(LEFT(UPPER(TRIM($E921)),6),BankTbl,2,0)),"بانک ناشناخته"))</f>
        <v/>
      </c>
      <c r="G921" s="11" t="n"/>
      <c r="H921" s="10">
        <f>IF($G921="","",IFERROR(VLOOKUP($G921,CustTbl,2,0),IFERROR(VLOOKUP($G921,SuppTbl,2,0),IFERROR(VLOOKUP($G921,AcctTbl,2,0),IFERROR(VLOOKUP($G921,StaffTbl,2,0),"کد ناشناخته")))))</f>
        <v/>
      </c>
      <c r="I921" s="12" t="n"/>
      <c r="J921" s="12" t="n"/>
      <c r="K921" s="13" t="n"/>
      <c r="L921" s="13" t="n"/>
      <c r="M921" s="13" t="n"/>
      <c r="N921" s="14">
        <f>IF(OR($C921="",$E921="",Calc!$H921=""),"",IFERROR(VLOOKUP(LEFT(UPPER(TRIM($E921)),6),BankTbl,3,0),0)+SUMIFS(CalcDep,CalcBank,LEFT(UPPER(TRIM($E921)),6),CalcKey,"&lt;="&amp;Calc!$H921)-SUMIFS(CalcWit,CalcBank,LEFT(UPPER(TRIM($E921)),6),CalcKey,"&lt;="&amp;Calc!$H921))</f>
        <v/>
      </c>
      <c r="O921" s="10">
        <f>IF(OR($C921="",$M921=""),"",IF($N921="","؟",IF(ROUND($M921-$N921,0)=0,"√","×")))</f>
        <v/>
      </c>
      <c r="P921" s="12" t="n"/>
    </row>
    <row r="922">
      <c r="A922" s="10">
        <f>IF($C922="","",COUNTA($C$9:$C922))</f>
        <v/>
      </c>
      <c r="B922" s="10">
        <f>IF($C922="","","TXN-"&amp;RIGHT("0000"&amp;914,4))</f>
        <v/>
      </c>
      <c r="C922" s="11" t="n"/>
      <c r="D922" s="11" t="n"/>
      <c r="E922" s="12" t="n"/>
      <c r="F922" s="10">
        <f>IF($E922="","",IFERROR(IF(VLOOKUP(LEFT(UPPER(TRIM($E922)),6),BankTbl,2,0)="","(بدون عنوان)",VLOOKUP(LEFT(UPPER(TRIM($E922)),6),BankTbl,2,0)),"بانک ناشناخته"))</f>
        <v/>
      </c>
      <c r="G922" s="11" t="n"/>
      <c r="H922" s="10">
        <f>IF($G922="","",IFERROR(VLOOKUP($G922,CustTbl,2,0),IFERROR(VLOOKUP($G922,SuppTbl,2,0),IFERROR(VLOOKUP($G922,AcctTbl,2,0),IFERROR(VLOOKUP($G922,StaffTbl,2,0),"کد ناشناخته")))))</f>
        <v/>
      </c>
      <c r="I922" s="12" t="n"/>
      <c r="J922" s="12" t="n"/>
      <c r="K922" s="13" t="n"/>
      <c r="L922" s="13" t="n"/>
      <c r="M922" s="13" t="n"/>
      <c r="N922" s="14">
        <f>IF(OR($C922="",$E922="",Calc!$H922=""),"",IFERROR(VLOOKUP(LEFT(UPPER(TRIM($E922)),6),BankTbl,3,0),0)+SUMIFS(CalcDep,CalcBank,LEFT(UPPER(TRIM($E922)),6),CalcKey,"&lt;="&amp;Calc!$H922)-SUMIFS(CalcWit,CalcBank,LEFT(UPPER(TRIM($E922)),6),CalcKey,"&lt;="&amp;Calc!$H922))</f>
        <v/>
      </c>
      <c r="O922" s="10">
        <f>IF(OR($C922="",$M922=""),"",IF($N922="","؟",IF(ROUND($M922-$N922,0)=0,"√","×")))</f>
        <v/>
      </c>
      <c r="P922" s="12" t="n"/>
    </row>
    <row r="923">
      <c r="A923" s="10">
        <f>IF($C923="","",COUNTA($C$9:$C923))</f>
        <v/>
      </c>
      <c r="B923" s="10">
        <f>IF($C923="","","TXN-"&amp;RIGHT("0000"&amp;915,4))</f>
        <v/>
      </c>
      <c r="C923" s="11" t="n"/>
      <c r="D923" s="11" t="n"/>
      <c r="E923" s="12" t="n"/>
      <c r="F923" s="10">
        <f>IF($E923="","",IFERROR(IF(VLOOKUP(LEFT(UPPER(TRIM($E923)),6),BankTbl,2,0)="","(بدون عنوان)",VLOOKUP(LEFT(UPPER(TRIM($E923)),6),BankTbl,2,0)),"بانک ناشناخته"))</f>
        <v/>
      </c>
      <c r="G923" s="11" t="n"/>
      <c r="H923" s="10">
        <f>IF($G923="","",IFERROR(VLOOKUP($G923,CustTbl,2,0),IFERROR(VLOOKUP($G923,SuppTbl,2,0),IFERROR(VLOOKUP($G923,AcctTbl,2,0),IFERROR(VLOOKUP($G923,StaffTbl,2,0),"کد ناشناخته")))))</f>
        <v/>
      </c>
      <c r="I923" s="12" t="n"/>
      <c r="J923" s="12" t="n"/>
      <c r="K923" s="13" t="n"/>
      <c r="L923" s="13" t="n"/>
      <c r="M923" s="13" t="n"/>
      <c r="N923" s="14">
        <f>IF(OR($C923="",$E923="",Calc!$H923=""),"",IFERROR(VLOOKUP(LEFT(UPPER(TRIM($E923)),6),BankTbl,3,0),0)+SUMIFS(CalcDep,CalcBank,LEFT(UPPER(TRIM($E923)),6),CalcKey,"&lt;="&amp;Calc!$H923)-SUMIFS(CalcWit,CalcBank,LEFT(UPPER(TRIM($E923)),6),CalcKey,"&lt;="&amp;Calc!$H923))</f>
        <v/>
      </c>
      <c r="O923" s="10">
        <f>IF(OR($C923="",$M923=""),"",IF($N923="","؟",IF(ROUND($M923-$N923,0)=0,"√","×")))</f>
        <v/>
      </c>
      <c r="P923" s="12" t="n"/>
    </row>
    <row r="924">
      <c r="A924" s="10">
        <f>IF($C924="","",COUNTA($C$9:$C924))</f>
        <v/>
      </c>
      <c r="B924" s="10">
        <f>IF($C924="","","TXN-"&amp;RIGHT("0000"&amp;916,4))</f>
        <v/>
      </c>
      <c r="C924" s="11" t="n"/>
      <c r="D924" s="11" t="n"/>
      <c r="E924" s="12" t="n"/>
      <c r="F924" s="10">
        <f>IF($E924="","",IFERROR(IF(VLOOKUP(LEFT(UPPER(TRIM($E924)),6),BankTbl,2,0)="","(بدون عنوان)",VLOOKUP(LEFT(UPPER(TRIM($E924)),6),BankTbl,2,0)),"بانک ناشناخته"))</f>
        <v/>
      </c>
      <c r="G924" s="11" t="n"/>
      <c r="H924" s="10">
        <f>IF($G924="","",IFERROR(VLOOKUP($G924,CustTbl,2,0),IFERROR(VLOOKUP($G924,SuppTbl,2,0),IFERROR(VLOOKUP($G924,AcctTbl,2,0),IFERROR(VLOOKUP($G924,StaffTbl,2,0),"کد ناشناخته")))))</f>
        <v/>
      </c>
      <c r="I924" s="12" t="n"/>
      <c r="J924" s="12" t="n"/>
      <c r="K924" s="13" t="n"/>
      <c r="L924" s="13" t="n"/>
      <c r="M924" s="13" t="n"/>
      <c r="N924" s="14">
        <f>IF(OR($C924="",$E924="",Calc!$H924=""),"",IFERROR(VLOOKUP(LEFT(UPPER(TRIM($E924)),6),BankTbl,3,0),0)+SUMIFS(CalcDep,CalcBank,LEFT(UPPER(TRIM($E924)),6),CalcKey,"&lt;="&amp;Calc!$H924)-SUMIFS(CalcWit,CalcBank,LEFT(UPPER(TRIM($E924)),6),CalcKey,"&lt;="&amp;Calc!$H924))</f>
        <v/>
      </c>
      <c r="O924" s="10">
        <f>IF(OR($C924="",$M924=""),"",IF($N924="","؟",IF(ROUND($M924-$N924,0)=0,"√","×")))</f>
        <v/>
      </c>
      <c r="P924" s="12" t="n"/>
    </row>
    <row r="925">
      <c r="A925" s="10">
        <f>IF($C925="","",COUNTA($C$9:$C925))</f>
        <v/>
      </c>
      <c r="B925" s="10">
        <f>IF($C925="","","TXN-"&amp;RIGHT("0000"&amp;917,4))</f>
        <v/>
      </c>
      <c r="C925" s="11" t="n"/>
      <c r="D925" s="11" t="n"/>
      <c r="E925" s="12" t="n"/>
      <c r="F925" s="10">
        <f>IF($E925="","",IFERROR(IF(VLOOKUP(LEFT(UPPER(TRIM($E925)),6),BankTbl,2,0)="","(بدون عنوان)",VLOOKUP(LEFT(UPPER(TRIM($E925)),6),BankTbl,2,0)),"بانک ناشناخته"))</f>
        <v/>
      </c>
      <c r="G925" s="11" t="n"/>
      <c r="H925" s="10">
        <f>IF($G925="","",IFERROR(VLOOKUP($G925,CustTbl,2,0),IFERROR(VLOOKUP($G925,SuppTbl,2,0),IFERROR(VLOOKUP($G925,AcctTbl,2,0),IFERROR(VLOOKUP($G925,StaffTbl,2,0),"کد ناشناخته")))))</f>
        <v/>
      </c>
      <c r="I925" s="12" t="n"/>
      <c r="J925" s="12" t="n"/>
      <c r="K925" s="13" t="n"/>
      <c r="L925" s="13" t="n"/>
      <c r="M925" s="13" t="n"/>
      <c r="N925" s="14">
        <f>IF(OR($C925="",$E925="",Calc!$H925=""),"",IFERROR(VLOOKUP(LEFT(UPPER(TRIM($E925)),6),BankTbl,3,0),0)+SUMIFS(CalcDep,CalcBank,LEFT(UPPER(TRIM($E925)),6),CalcKey,"&lt;="&amp;Calc!$H925)-SUMIFS(CalcWit,CalcBank,LEFT(UPPER(TRIM($E925)),6),CalcKey,"&lt;="&amp;Calc!$H925))</f>
        <v/>
      </c>
      <c r="O925" s="10">
        <f>IF(OR($C925="",$M925=""),"",IF($N925="","؟",IF(ROUND($M925-$N925,0)=0,"√","×")))</f>
        <v/>
      </c>
      <c r="P925" s="12" t="n"/>
    </row>
    <row r="926">
      <c r="A926" s="10">
        <f>IF($C926="","",COUNTA($C$9:$C926))</f>
        <v/>
      </c>
      <c r="B926" s="10">
        <f>IF($C926="","","TXN-"&amp;RIGHT("0000"&amp;918,4))</f>
        <v/>
      </c>
      <c r="C926" s="11" t="n"/>
      <c r="D926" s="11" t="n"/>
      <c r="E926" s="12" t="n"/>
      <c r="F926" s="10">
        <f>IF($E926="","",IFERROR(IF(VLOOKUP(LEFT(UPPER(TRIM($E926)),6),BankTbl,2,0)="","(بدون عنوان)",VLOOKUP(LEFT(UPPER(TRIM($E926)),6),BankTbl,2,0)),"بانک ناشناخته"))</f>
        <v/>
      </c>
      <c r="G926" s="11" t="n"/>
      <c r="H926" s="10">
        <f>IF($G926="","",IFERROR(VLOOKUP($G926,CustTbl,2,0),IFERROR(VLOOKUP($G926,SuppTbl,2,0),IFERROR(VLOOKUP($G926,AcctTbl,2,0),IFERROR(VLOOKUP($G926,StaffTbl,2,0),"کد ناشناخته")))))</f>
        <v/>
      </c>
      <c r="I926" s="12" t="n"/>
      <c r="J926" s="12" t="n"/>
      <c r="K926" s="13" t="n"/>
      <c r="L926" s="13" t="n"/>
      <c r="M926" s="13" t="n"/>
      <c r="N926" s="14">
        <f>IF(OR($C926="",$E926="",Calc!$H926=""),"",IFERROR(VLOOKUP(LEFT(UPPER(TRIM($E926)),6),BankTbl,3,0),0)+SUMIFS(CalcDep,CalcBank,LEFT(UPPER(TRIM($E926)),6),CalcKey,"&lt;="&amp;Calc!$H926)-SUMIFS(CalcWit,CalcBank,LEFT(UPPER(TRIM($E926)),6),CalcKey,"&lt;="&amp;Calc!$H926))</f>
        <v/>
      </c>
      <c r="O926" s="10">
        <f>IF(OR($C926="",$M926=""),"",IF($N926="","؟",IF(ROUND($M926-$N926,0)=0,"√","×")))</f>
        <v/>
      </c>
      <c r="P926" s="12" t="n"/>
    </row>
    <row r="927">
      <c r="A927" s="10">
        <f>IF($C927="","",COUNTA($C$9:$C927))</f>
        <v/>
      </c>
      <c r="B927" s="10">
        <f>IF($C927="","","TXN-"&amp;RIGHT("0000"&amp;919,4))</f>
        <v/>
      </c>
      <c r="C927" s="11" t="n"/>
      <c r="D927" s="11" t="n"/>
      <c r="E927" s="12" t="n"/>
      <c r="F927" s="10">
        <f>IF($E927="","",IFERROR(IF(VLOOKUP(LEFT(UPPER(TRIM($E927)),6),BankTbl,2,0)="","(بدون عنوان)",VLOOKUP(LEFT(UPPER(TRIM($E927)),6),BankTbl,2,0)),"بانک ناشناخته"))</f>
        <v/>
      </c>
      <c r="G927" s="11" t="n"/>
      <c r="H927" s="10">
        <f>IF($G927="","",IFERROR(VLOOKUP($G927,CustTbl,2,0),IFERROR(VLOOKUP($G927,SuppTbl,2,0),IFERROR(VLOOKUP($G927,AcctTbl,2,0),IFERROR(VLOOKUP($G927,StaffTbl,2,0),"کد ناشناخته")))))</f>
        <v/>
      </c>
      <c r="I927" s="12" t="n"/>
      <c r="J927" s="12" t="n"/>
      <c r="K927" s="13" t="n"/>
      <c r="L927" s="13" t="n"/>
      <c r="M927" s="13" t="n"/>
      <c r="N927" s="14">
        <f>IF(OR($C927="",$E927="",Calc!$H927=""),"",IFERROR(VLOOKUP(LEFT(UPPER(TRIM($E927)),6),BankTbl,3,0),0)+SUMIFS(CalcDep,CalcBank,LEFT(UPPER(TRIM($E927)),6),CalcKey,"&lt;="&amp;Calc!$H927)-SUMIFS(CalcWit,CalcBank,LEFT(UPPER(TRIM($E927)),6),CalcKey,"&lt;="&amp;Calc!$H927))</f>
        <v/>
      </c>
      <c r="O927" s="10">
        <f>IF(OR($C927="",$M927=""),"",IF($N927="","؟",IF(ROUND($M927-$N927,0)=0,"√","×")))</f>
        <v/>
      </c>
      <c r="P927" s="12" t="n"/>
    </row>
    <row r="928">
      <c r="A928" s="10">
        <f>IF($C928="","",COUNTA($C$9:$C928))</f>
        <v/>
      </c>
      <c r="B928" s="10">
        <f>IF($C928="","","TXN-"&amp;RIGHT("0000"&amp;920,4))</f>
        <v/>
      </c>
      <c r="C928" s="11" t="n"/>
      <c r="D928" s="11" t="n"/>
      <c r="E928" s="12" t="n"/>
      <c r="F928" s="10">
        <f>IF($E928="","",IFERROR(IF(VLOOKUP(LEFT(UPPER(TRIM($E928)),6),BankTbl,2,0)="","(بدون عنوان)",VLOOKUP(LEFT(UPPER(TRIM($E928)),6),BankTbl,2,0)),"بانک ناشناخته"))</f>
        <v/>
      </c>
      <c r="G928" s="11" t="n"/>
      <c r="H928" s="10">
        <f>IF($G928="","",IFERROR(VLOOKUP($G928,CustTbl,2,0),IFERROR(VLOOKUP($G928,SuppTbl,2,0),IFERROR(VLOOKUP($G928,AcctTbl,2,0),IFERROR(VLOOKUP($G928,StaffTbl,2,0),"کد ناشناخته")))))</f>
        <v/>
      </c>
      <c r="I928" s="12" t="n"/>
      <c r="J928" s="12" t="n"/>
      <c r="K928" s="13" t="n"/>
      <c r="L928" s="13" t="n"/>
      <c r="M928" s="13" t="n"/>
      <c r="N928" s="14">
        <f>IF(OR($C928="",$E928="",Calc!$H928=""),"",IFERROR(VLOOKUP(LEFT(UPPER(TRIM($E928)),6),BankTbl,3,0),0)+SUMIFS(CalcDep,CalcBank,LEFT(UPPER(TRIM($E928)),6),CalcKey,"&lt;="&amp;Calc!$H928)-SUMIFS(CalcWit,CalcBank,LEFT(UPPER(TRIM($E928)),6),CalcKey,"&lt;="&amp;Calc!$H928))</f>
        <v/>
      </c>
      <c r="O928" s="10">
        <f>IF(OR($C928="",$M928=""),"",IF($N928="","؟",IF(ROUND($M928-$N928,0)=0,"√","×")))</f>
        <v/>
      </c>
      <c r="P928" s="12" t="n"/>
    </row>
    <row r="929">
      <c r="A929" s="10">
        <f>IF($C929="","",COUNTA($C$9:$C929))</f>
        <v/>
      </c>
      <c r="B929" s="10">
        <f>IF($C929="","","TXN-"&amp;RIGHT("0000"&amp;921,4))</f>
        <v/>
      </c>
      <c r="C929" s="11" t="n"/>
      <c r="D929" s="11" t="n"/>
      <c r="E929" s="12" t="n"/>
      <c r="F929" s="10">
        <f>IF($E929="","",IFERROR(IF(VLOOKUP(LEFT(UPPER(TRIM($E929)),6),BankTbl,2,0)="","(بدون عنوان)",VLOOKUP(LEFT(UPPER(TRIM($E929)),6),BankTbl,2,0)),"بانک ناشناخته"))</f>
        <v/>
      </c>
      <c r="G929" s="11" t="n"/>
      <c r="H929" s="10">
        <f>IF($G929="","",IFERROR(VLOOKUP($G929,CustTbl,2,0),IFERROR(VLOOKUP($G929,SuppTbl,2,0),IFERROR(VLOOKUP($G929,AcctTbl,2,0),IFERROR(VLOOKUP($G929,StaffTbl,2,0),"کد ناشناخته")))))</f>
        <v/>
      </c>
      <c r="I929" s="12" t="n"/>
      <c r="J929" s="12" t="n"/>
      <c r="K929" s="13" t="n"/>
      <c r="L929" s="13" t="n"/>
      <c r="M929" s="13" t="n"/>
      <c r="N929" s="14">
        <f>IF(OR($C929="",$E929="",Calc!$H929=""),"",IFERROR(VLOOKUP(LEFT(UPPER(TRIM($E929)),6),BankTbl,3,0),0)+SUMIFS(CalcDep,CalcBank,LEFT(UPPER(TRIM($E929)),6),CalcKey,"&lt;="&amp;Calc!$H929)-SUMIFS(CalcWit,CalcBank,LEFT(UPPER(TRIM($E929)),6),CalcKey,"&lt;="&amp;Calc!$H929))</f>
        <v/>
      </c>
      <c r="O929" s="10">
        <f>IF(OR($C929="",$M929=""),"",IF($N929="","؟",IF(ROUND($M929-$N929,0)=0,"√","×")))</f>
        <v/>
      </c>
      <c r="P929" s="12" t="n"/>
    </row>
    <row r="930">
      <c r="A930" s="10">
        <f>IF($C930="","",COUNTA($C$9:$C930))</f>
        <v/>
      </c>
      <c r="B930" s="10">
        <f>IF($C930="","","TXN-"&amp;RIGHT("0000"&amp;922,4))</f>
        <v/>
      </c>
      <c r="C930" s="11" t="n"/>
      <c r="D930" s="11" t="n"/>
      <c r="E930" s="12" t="n"/>
      <c r="F930" s="10">
        <f>IF($E930="","",IFERROR(IF(VLOOKUP(LEFT(UPPER(TRIM($E930)),6),BankTbl,2,0)="","(بدون عنوان)",VLOOKUP(LEFT(UPPER(TRIM($E930)),6),BankTbl,2,0)),"بانک ناشناخته"))</f>
        <v/>
      </c>
      <c r="G930" s="11" t="n"/>
      <c r="H930" s="10">
        <f>IF($G930="","",IFERROR(VLOOKUP($G930,CustTbl,2,0),IFERROR(VLOOKUP($G930,SuppTbl,2,0),IFERROR(VLOOKUP($G930,AcctTbl,2,0),IFERROR(VLOOKUP($G930,StaffTbl,2,0),"کد ناشناخته")))))</f>
        <v/>
      </c>
      <c r="I930" s="12" t="n"/>
      <c r="J930" s="12" t="n"/>
      <c r="K930" s="13" t="n"/>
      <c r="L930" s="13" t="n"/>
      <c r="M930" s="13" t="n"/>
      <c r="N930" s="14">
        <f>IF(OR($C930="",$E930="",Calc!$H930=""),"",IFERROR(VLOOKUP(LEFT(UPPER(TRIM($E930)),6),BankTbl,3,0),0)+SUMIFS(CalcDep,CalcBank,LEFT(UPPER(TRIM($E930)),6),CalcKey,"&lt;="&amp;Calc!$H930)-SUMIFS(CalcWit,CalcBank,LEFT(UPPER(TRIM($E930)),6),CalcKey,"&lt;="&amp;Calc!$H930))</f>
        <v/>
      </c>
      <c r="O930" s="10">
        <f>IF(OR($C930="",$M930=""),"",IF($N930="","؟",IF(ROUND($M930-$N930,0)=0,"√","×")))</f>
        <v/>
      </c>
      <c r="P930" s="12" t="n"/>
    </row>
    <row r="931">
      <c r="A931" s="10">
        <f>IF($C931="","",COUNTA($C$9:$C931))</f>
        <v/>
      </c>
      <c r="B931" s="10">
        <f>IF($C931="","","TXN-"&amp;RIGHT("0000"&amp;923,4))</f>
        <v/>
      </c>
      <c r="C931" s="11" t="n"/>
      <c r="D931" s="11" t="n"/>
      <c r="E931" s="12" t="n"/>
      <c r="F931" s="10">
        <f>IF($E931="","",IFERROR(IF(VLOOKUP(LEFT(UPPER(TRIM($E931)),6),BankTbl,2,0)="","(بدون عنوان)",VLOOKUP(LEFT(UPPER(TRIM($E931)),6),BankTbl,2,0)),"بانک ناشناخته"))</f>
        <v/>
      </c>
      <c r="G931" s="11" t="n"/>
      <c r="H931" s="10">
        <f>IF($G931="","",IFERROR(VLOOKUP($G931,CustTbl,2,0),IFERROR(VLOOKUP($G931,SuppTbl,2,0),IFERROR(VLOOKUP($G931,AcctTbl,2,0),IFERROR(VLOOKUP($G931,StaffTbl,2,0),"کد ناشناخته")))))</f>
        <v/>
      </c>
      <c r="I931" s="12" t="n"/>
      <c r="J931" s="12" t="n"/>
      <c r="K931" s="13" t="n"/>
      <c r="L931" s="13" t="n"/>
      <c r="M931" s="13" t="n"/>
      <c r="N931" s="14">
        <f>IF(OR($C931="",$E931="",Calc!$H931=""),"",IFERROR(VLOOKUP(LEFT(UPPER(TRIM($E931)),6),BankTbl,3,0),0)+SUMIFS(CalcDep,CalcBank,LEFT(UPPER(TRIM($E931)),6),CalcKey,"&lt;="&amp;Calc!$H931)-SUMIFS(CalcWit,CalcBank,LEFT(UPPER(TRIM($E931)),6),CalcKey,"&lt;="&amp;Calc!$H931))</f>
        <v/>
      </c>
      <c r="O931" s="10">
        <f>IF(OR($C931="",$M931=""),"",IF($N931="","؟",IF(ROUND($M931-$N931,0)=0,"√","×")))</f>
        <v/>
      </c>
      <c r="P931" s="12" t="n"/>
    </row>
    <row r="932">
      <c r="A932" s="10">
        <f>IF($C932="","",COUNTA($C$9:$C932))</f>
        <v/>
      </c>
      <c r="B932" s="10">
        <f>IF($C932="","","TXN-"&amp;RIGHT("0000"&amp;924,4))</f>
        <v/>
      </c>
      <c r="C932" s="11" t="n"/>
      <c r="D932" s="11" t="n"/>
      <c r="E932" s="12" t="n"/>
      <c r="F932" s="10">
        <f>IF($E932="","",IFERROR(IF(VLOOKUP(LEFT(UPPER(TRIM($E932)),6),BankTbl,2,0)="","(بدون عنوان)",VLOOKUP(LEFT(UPPER(TRIM($E932)),6),BankTbl,2,0)),"بانک ناشناخته"))</f>
        <v/>
      </c>
      <c r="G932" s="11" t="n"/>
      <c r="H932" s="10">
        <f>IF($G932="","",IFERROR(VLOOKUP($G932,CustTbl,2,0),IFERROR(VLOOKUP($G932,SuppTbl,2,0),IFERROR(VLOOKUP($G932,AcctTbl,2,0),IFERROR(VLOOKUP($G932,StaffTbl,2,0),"کد ناشناخته")))))</f>
        <v/>
      </c>
      <c r="I932" s="12" t="n"/>
      <c r="J932" s="12" t="n"/>
      <c r="K932" s="13" t="n"/>
      <c r="L932" s="13" t="n"/>
      <c r="M932" s="13" t="n"/>
      <c r="N932" s="14">
        <f>IF(OR($C932="",$E932="",Calc!$H932=""),"",IFERROR(VLOOKUP(LEFT(UPPER(TRIM($E932)),6),BankTbl,3,0),0)+SUMIFS(CalcDep,CalcBank,LEFT(UPPER(TRIM($E932)),6),CalcKey,"&lt;="&amp;Calc!$H932)-SUMIFS(CalcWit,CalcBank,LEFT(UPPER(TRIM($E932)),6),CalcKey,"&lt;="&amp;Calc!$H932))</f>
        <v/>
      </c>
      <c r="O932" s="10">
        <f>IF(OR($C932="",$M932=""),"",IF($N932="","؟",IF(ROUND($M932-$N932,0)=0,"√","×")))</f>
        <v/>
      </c>
      <c r="P932" s="12" t="n"/>
    </row>
    <row r="933">
      <c r="A933" s="10">
        <f>IF($C933="","",COUNTA($C$9:$C933))</f>
        <v/>
      </c>
      <c r="B933" s="10">
        <f>IF($C933="","","TXN-"&amp;RIGHT("0000"&amp;925,4))</f>
        <v/>
      </c>
      <c r="C933" s="11" t="n"/>
      <c r="D933" s="11" t="n"/>
      <c r="E933" s="12" t="n"/>
      <c r="F933" s="10">
        <f>IF($E933="","",IFERROR(IF(VLOOKUP(LEFT(UPPER(TRIM($E933)),6),BankTbl,2,0)="","(بدون عنوان)",VLOOKUP(LEFT(UPPER(TRIM($E933)),6),BankTbl,2,0)),"بانک ناشناخته"))</f>
        <v/>
      </c>
      <c r="G933" s="11" t="n"/>
      <c r="H933" s="10">
        <f>IF($G933="","",IFERROR(VLOOKUP($G933,CustTbl,2,0),IFERROR(VLOOKUP($G933,SuppTbl,2,0),IFERROR(VLOOKUP($G933,AcctTbl,2,0),IFERROR(VLOOKUP($G933,StaffTbl,2,0),"کد ناشناخته")))))</f>
        <v/>
      </c>
      <c r="I933" s="12" t="n"/>
      <c r="J933" s="12" t="n"/>
      <c r="K933" s="13" t="n"/>
      <c r="L933" s="13" t="n"/>
      <c r="M933" s="13" t="n"/>
      <c r="N933" s="14">
        <f>IF(OR($C933="",$E933="",Calc!$H933=""),"",IFERROR(VLOOKUP(LEFT(UPPER(TRIM($E933)),6),BankTbl,3,0),0)+SUMIFS(CalcDep,CalcBank,LEFT(UPPER(TRIM($E933)),6),CalcKey,"&lt;="&amp;Calc!$H933)-SUMIFS(CalcWit,CalcBank,LEFT(UPPER(TRIM($E933)),6),CalcKey,"&lt;="&amp;Calc!$H933))</f>
        <v/>
      </c>
      <c r="O933" s="10">
        <f>IF(OR($C933="",$M933=""),"",IF($N933="","؟",IF(ROUND($M933-$N933,0)=0,"√","×")))</f>
        <v/>
      </c>
      <c r="P933" s="12" t="n"/>
    </row>
    <row r="934">
      <c r="A934" s="10">
        <f>IF($C934="","",COUNTA($C$9:$C934))</f>
        <v/>
      </c>
      <c r="B934" s="10">
        <f>IF($C934="","","TXN-"&amp;RIGHT("0000"&amp;926,4))</f>
        <v/>
      </c>
      <c r="C934" s="11" t="n"/>
      <c r="D934" s="11" t="n"/>
      <c r="E934" s="12" t="n"/>
      <c r="F934" s="10">
        <f>IF($E934="","",IFERROR(IF(VLOOKUP(LEFT(UPPER(TRIM($E934)),6),BankTbl,2,0)="","(بدون عنوان)",VLOOKUP(LEFT(UPPER(TRIM($E934)),6),BankTbl,2,0)),"بانک ناشناخته"))</f>
        <v/>
      </c>
      <c r="G934" s="11" t="n"/>
      <c r="H934" s="10">
        <f>IF($G934="","",IFERROR(VLOOKUP($G934,CustTbl,2,0),IFERROR(VLOOKUP($G934,SuppTbl,2,0),IFERROR(VLOOKUP($G934,AcctTbl,2,0),IFERROR(VLOOKUP($G934,StaffTbl,2,0),"کد ناشناخته")))))</f>
        <v/>
      </c>
      <c r="I934" s="12" t="n"/>
      <c r="J934" s="12" t="n"/>
      <c r="K934" s="13" t="n"/>
      <c r="L934" s="13" t="n"/>
      <c r="M934" s="13" t="n"/>
      <c r="N934" s="14">
        <f>IF(OR($C934="",$E934="",Calc!$H934=""),"",IFERROR(VLOOKUP(LEFT(UPPER(TRIM($E934)),6),BankTbl,3,0),0)+SUMIFS(CalcDep,CalcBank,LEFT(UPPER(TRIM($E934)),6),CalcKey,"&lt;="&amp;Calc!$H934)-SUMIFS(CalcWit,CalcBank,LEFT(UPPER(TRIM($E934)),6),CalcKey,"&lt;="&amp;Calc!$H934))</f>
        <v/>
      </c>
      <c r="O934" s="10">
        <f>IF(OR($C934="",$M934=""),"",IF($N934="","؟",IF(ROUND($M934-$N934,0)=0,"√","×")))</f>
        <v/>
      </c>
      <c r="P934" s="12" t="n"/>
    </row>
    <row r="935">
      <c r="A935" s="10">
        <f>IF($C935="","",COUNTA($C$9:$C935))</f>
        <v/>
      </c>
      <c r="B935" s="10">
        <f>IF($C935="","","TXN-"&amp;RIGHT("0000"&amp;927,4))</f>
        <v/>
      </c>
      <c r="C935" s="11" t="n"/>
      <c r="D935" s="11" t="n"/>
      <c r="E935" s="12" t="n"/>
      <c r="F935" s="10">
        <f>IF($E935="","",IFERROR(IF(VLOOKUP(LEFT(UPPER(TRIM($E935)),6),BankTbl,2,0)="","(بدون عنوان)",VLOOKUP(LEFT(UPPER(TRIM($E935)),6),BankTbl,2,0)),"بانک ناشناخته"))</f>
        <v/>
      </c>
      <c r="G935" s="11" t="n"/>
      <c r="H935" s="10">
        <f>IF($G935="","",IFERROR(VLOOKUP($G935,CustTbl,2,0),IFERROR(VLOOKUP($G935,SuppTbl,2,0),IFERROR(VLOOKUP($G935,AcctTbl,2,0),IFERROR(VLOOKUP($G935,StaffTbl,2,0),"کد ناشناخته")))))</f>
        <v/>
      </c>
      <c r="I935" s="12" t="n"/>
      <c r="J935" s="12" t="n"/>
      <c r="K935" s="13" t="n"/>
      <c r="L935" s="13" t="n"/>
      <c r="M935" s="13" t="n"/>
      <c r="N935" s="14">
        <f>IF(OR($C935="",$E935="",Calc!$H935=""),"",IFERROR(VLOOKUP(LEFT(UPPER(TRIM($E935)),6),BankTbl,3,0),0)+SUMIFS(CalcDep,CalcBank,LEFT(UPPER(TRIM($E935)),6),CalcKey,"&lt;="&amp;Calc!$H935)-SUMIFS(CalcWit,CalcBank,LEFT(UPPER(TRIM($E935)),6),CalcKey,"&lt;="&amp;Calc!$H935))</f>
        <v/>
      </c>
      <c r="O935" s="10">
        <f>IF(OR($C935="",$M935=""),"",IF($N935="","؟",IF(ROUND($M935-$N935,0)=0,"√","×")))</f>
        <v/>
      </c>
      <c r="P935" s="12" t="n"/>
    </row>
    <row r="936">
      <c r="A936" s="10">
        <f>IF($C936="","",COUNTA($C$9:$C936))</f>
        <v/>
      </c>
      <c r="B936" s="10">
        <f>IF($C936="","","TXN-"&amp;RIGHT("0000"&amp;928,4))</f>
        <v/>
      </c>
      <c r="C936" s="11" t="n"/>
      <c r="D936" s="11" t="n"/>
      <c r="E936" s="12" t="n"/>
      <c r="F936" s="10">
        <f>IF($E936="","",IFERROR(IF(VLOOKUP(LEFT(UPPER(TRIM($E936)),6),BankTbl,2,0)="","(بدون عنوان)",VLOOKUP(LEFT(UPPER(TRIM($E936)),6),BankTbl,2,0)),"بانک ناشناخته"))</f>
        <v/>
      </c>
      <c r="G936" s="11" t="n"/>
      <c r="H936" s="10">
        <f>IF($G936="","",IFERROR(VLOOKUP($G936,CustTbl,2,0),IFERROR(VLOOKUP($G936,SuppTbl,2,0),IFERROR(VLOOKUP($G936,AcctTbl,2,0),IFERROR(VLOOKUP($G936,StaffTbl,2,0),"کد ناشناخته")))))</f>
        <v/>
      </c>
      <c r="I936" s="12" t="n"/>
      <c r="J936" s="12" t="n"/>
      <c r="K936" s="13" t="n"/>
      <c r="L936" s="13" t="n"/>
      <c r="M936" s="13" t="n"/>
      <c r="N936" s="14">
        <f>IF(OR($C936="",$E936="",Calc!$H936=""),"",IFERROR(VLOOKUP(LEFT(UPPER(TRIM($E936)),6),BankTbl,3,0),0)+SUMIFS(CalcDep,CalcBank,LEFT(UPPER(TRIM($E936)),6),CalcKey,"&lt;="&amp;Calc!$H936)-SUMIFS(CalcWit,CalcBank,LEFT(UPPER(TRIM($E936)),6),CalcKey,"&lt;="&amp;Calc!$H936))</f>
        <v/>
      </c>
      <c r="O936" s="10">
        <f>IF(OR($C936="",$M936=""),"",IF($N936="","؟",IF(ROUND($M936-$N936,0)=0,"√","×")))</f>
        <v/>
      </c>
      <c r="P936" s="12" t="n"/>
    </row>
    <row r="937">
      <c r="A937" s="10">
        <f>IF($C937="","",COUNTA($C$9:$C937))</f>
        <v/>
      </c>
      <c r="B937" s="10">
        <f>IF($C937="","","TXN-"&amp;RIGHT("0000"&amp;929,4))</f>
        <v/>
      </c>
      <c r="C937" s="11" t="n"/>
      <c r="D937" s="11" t="n"/>
      <c r="E937" s="12" t="n"/>
      <c r="F937" s="10">
        <f>IF($E937="","",IFERROR(IF(VLOOKUP(LEFT(UPPER(TRIM($E937)),6),BankTbl,2,0)="","(بدون عنوان)",VLOOKUP(LEFT(UPPER(TRIM($E937)),6),BankTbl,2,0)),"بانک ناشناخته"))</f>
        <v/>
      </c>
      <c r="G937" s="11" t="n"/>
      <c r="H937" s="10">
        <f>IF($G937="","",IFERROR(VLOOKUP($G937,CustTbl,2,0),IFERROR(VLOOKUP($G937,SuppTbl,2,0),IFERROR(VLOOKUP($G937,AcctTbl,2,0),IFERROR(VLOOKUP($G937,StaffTbl,2,0),"کد ناشناخته")))))</f>
        <v/>
      </c>
      <c r="I937" s="12" t="n"/>
      <c r="J937" s="12" t="n"/>
      <c r="K937" s="13" t="n"/>
      <c r="L937" s="13" t="n"/>
      <c r="M937" s="13" t="n"/>
      <c r="N937" s="14">
        <f>IF(OR($C937="",$E937="",Calc!$H937=""),"",IFERROR(VLOOKUP(LEFT(UPPER(TRIM($E937)),6),BankTbl,3,0),0)+SUMIFS(CalcDep,CalcBank,LEFT(UPPER(TRIM($E937)),6),CalcKey,"&lt;="&amp;Calc!$H937)-SUMIFS(CalcWit,CalcBank,LEFT(UPPER(TRIM($E937)),6),CalcKey,"&lt;="&amp;Calc!$H937))</f>
        <v/>
      </c>
      <c r="O937" s="10">
        <f>IF(OR($C937="",$M937=""),"",IF($N937="","؟",IF(ROUND($M937-$N937,0)=0,"√","×")))</f>
        <v/>
      </c>
      <c r="P937" s="12" t="n"/>
    </row>
    <row r="938">
      <c r="A938" s="10">
        <f>IF($C938="","",COUNTA($C$9:$C938))</f>
        <v/>
      </c>
      <c r="B938" s="10">
        <f>IF($C938="","","TXN-"&amp;RIGHT("0000"&amp;930,4))</f>
        <v/>
      </c>
      <c r="C938" s="11" t="n"/>
      <c r="D938" s="11" t="n"/>
      <c r="E938" s="12" t="n"/>
      <c r="F938" s="10">
        <f>IF($E938="","",IFERROR(IF(VLOOKUP(LEFT(UPPER(TRIM($E938)),6),BankTbl,2,0)="","(بدون عنوان)",VLOOKUP(LEFT(UPPER(TRIM($E938)),6),BankTbl,2,0)),"بانک ناشناخته"))</f>
        <v/>
      </c>
      <c r="G938" s="11" t="n"/>
      <c r="H938" s="10">
        <f>IF($G938="","",IFERROR(VLOOKUP($G938,CustTbl,2,0),IFERROR(VLOOKUP($G938,SuppTbl,2,0),IFERROR(VLOOKUP($G938,AcctTbl,2,0),IFERROR(VLOOKUP($G938,StaffTbl,2,0),"کد ناشناخته")))))</f>
        <v/>
      </c>
      <c r="I938" s="12" t="n"/>
      <c r="J938" s="12" t="n"/>
      <c r="K938" s="13" t="n"/>
      <c r="L938" s="13" t="n"/>
      <c r="M938" s="13" t="n"/>
      <c r="N938" s="14">
        <f>IF(OR($C938="",$E938="",Calc!$H938=""),"",IFERROR(VLOOKUP(LEFT(UPPER(TRIM($E938)),6),BankTbl,3,0),0)+SUMIFS(CalcDep,CalcBank,LEFT(UPPER(TRIM($E938)),6),CalcKey,"&lt;="&amp;Calc!$H938)-SUMIFS(CalcWit,CalcBank,LEFT(UPPER(TRIM($E938)),6),CalcKey,"&lt;="&amp;Calc!$H938))</f>
        <v/>
      </c>
      <c r="O938" s="10">
        <f>IF(OR($C938="",$M938=""),"",IF($N938="","؟",IF(ROUND($M938-$N938,0)=0,"√","×")))</f>
        <v/>
      </c>
      <c r="P938" s="12" t="n"/>
    </row>
    <row r="939">
      <c r="A939" s="10">
        <f>IF($C939="","",COUNTA($C$9:$C939))</f>
        <v/>
      </c>
      <c r="B939" s="10">
        <f>IF($C939="","","TXN-"&amp;RIGHT("0000"&amp;931,4))</f>
        <v/>
      </c>
      <c r="C939" s="11" t="n"/>
      <c r="D939" s="11" t="n"/>
      <c r="E939" s="12" t="n"/>
      <c r="F939" s="10">
        <f>IF($E939="","",IFERROR(IF(VLOOKUP(LEFT(UPPER(TRIM($E939)),6),BankTbl,2,0)="","(بدون عنوان)",VLOOKUP(LEFT(UPPER(TRIM($E939)),6),BankTbl,2,0)),"بانک ناشناخته"))</f>
        <v/>
      </c>
      <c r="G939" s="11" t="n"/>
      <c r="H939" s="10">
        <f>IF($G939="","",IFERROR(VLOOKUP($G939,CustTbl,2,0),IFERROR(VLOOKUP($G939,SuppTbl,2,0),IFERROR(VLOOKUP($G939,AcctTbl,2,0),IFERROR(VLOOKUP($G939,StaffTbl,2,0),"کد ناشناخته")))))</f>
        <v/>
      </c>
      <c r="I939" s="12" t="n"/>
      <c r="J939" s="12" t="n"/>
      <c r="K939" s="13" t="n"/>
      <c r="L939" s="13" t="n"/>
      <c r="M939" s="13" t="n"/>
      <c r="N939" s="14">
        <f>IF(OR($C939="",$E939="",Calc!$H939=""),"",IFERROR(VLOOKUP(LEFT(UPPER(TRIM($E939)),6),BankTbl,3,0),0)+SUMIFS(CalcDep,CalcBank,LEFT(UPPER(TRIM($E939)),6),CalcKey,"&lt;="&amp;Calc!$H939)-SUMIFS(CalcWit,CalcBank,LEFT(UPPER(TRIM($E939)),6),CalcKey,"&lt;="&amp;Calc!$H939))</f>
        <v/>
      </c>
      <c r="O939" s="10">
        <f>IF(OR($C939="",$M939=""),"",IF($N939="","؟",IF(ROUND($M939-$N939,0)=0,"√","×")))</f>
        <v/>
      </c>
      <c r="P939" s="12" t="n"/>
    </row>
    <row r="940">
      <c r="A940" s="10">
        <f>IF($C940="","",COUNTA($C$9:$C940))</f>
        <v/>
      </c>
      <c r="B940" s="10">
        <f>IF($C940="","","TXN-"&amp;RIGHT("0000"&amp;932,4))</f>
        <v/>
      </c>
      <c r="C940" s="11" t="n"/>
      <c r="D940" s="11" t="n"/>
      <c r="E940" s="12" t="n"/>
      <c r="F940" s="10">
        <f>IF($E940="","",IFERROR(IF(VLOOKUP(LEFT(UPPER(TRIM($E940)),6),BankTbl,2,0)="","(بدون عنوان)",VLOOKUP(LEFT(UPPER(TRIM($E940)),6),BankTbl,2,0)),"بانک ناشناخته"))</f>
        <v/>
      </c>
      <c r="G940" s="11" t="n"/>
      <c r="H940" s="10">
        <f>IF($G940="","",IFERROR(VLOOKUP($G940,CustTbl,2,0),IFERROR(VLOOKUP($G940,SuppTbl,2,0),IFERROR(VLOOKUP($G940,AcctTbl,2,0),IFERROR(VLOOKUP($G940,StaffTbl,2,0),"کد ناشناخته")))))</f>
        <v/>
      </c>
      <c r="I940" s="12" t="n"/>
      <c r="J940" s="12" t="n"/>
      <c r="K940" s="13" t="n"/>
      <c r="L940" s="13" t="n"/>
      <c r="M940" s="13" t="n"/>
      <c r="N940" s="14">
        <f>IF(OR($C940="",$E940="",Calc!$H940=""),"",IFERROR(VLOOKUP(LEFT(UPPER(TRIM($E940)),6),BankTbl,3,0),0)+SUMIFS(CalcDep,CalcBank,LEFT(UPPER(TRIM($E940)),6),CalcKey,"&lt;="&amp;Calc!$H940)-SUMIFS(CalcWit,CalcBank,LEFT(UPPER(TRIM($E940)),6),CalcKey,"&lt;="&amp;Calc!$H940))</f>
        <v/>
      </c>
      <c r="O940" s="10">
        <f>IF(OR($C940="",$M940=""),"",IF($N940="","؟",IF(ROUND($M940-$N940,0)=0,"√","×")))</f>
        <v/>
      </c>
      <c r="P940" s="12" t="n"/>
    </row>
    <row r="941">
      <c r="A941" s="10">
        <f>IF($C941="","",COUNTA($C$9:$C941))</f>
        <v/>
      </c>
      <c r="B941" s="10">
        <f>IF($C941="","","TXN-"&amp;RIGHT("0000"&amp;933,4))</f>
        <v/>
      </c>
      <c r="C941" s="11" t="n"/>
      <c r="D941" s="11" t="n"/>
      <c r="E941" s="12" t="n"/>
      <c r="F941" s="10">
        <f>IF($E941="","",IFERROR(IF(VLOOKUP(LEFT(UPPER(TRIM($E941)),6),BankTbl,2,0)="","(بدون عنوان)",VLOOKUP(LEFT(UPPER(TRIM($E941)),6),BankTbl,2,0)),"بانک ناشناخته"))</f>
        <v/>
      </c>
      <c r="G941" s="11" t="n"/>
      <c r="H941" s="10">
        <f>IF($G941="","",IFERROR(VLOOKUP($G941,CustTbl,2,0),IFERROR(VLOOKUP($G941,SuppTbl,2,0),IFERROR(VLOOKUP($G941,AcctTbl,2,0),IFERROR(VLOOKUP($G941,StaffTbl,2,0),"کد ناشناخته")))))</f>
        <v/>
      </c>
      <c r="I941" s="12" t="n"/>
      <c r="J941" s="12" t="n"/>
      <c r="K941" s="13" t="n"/>
      <c r="L941" s="13" t="n"/>
      <c r="M941" s="13" t="n"/>
      <c r="N941" s="14">
        <f>IF(OR($C941="",$E941="",Calc!$H941=""),"",IFERROR(VLOOKUP(LEFT(UPPER(TRIM($E941)),6),BankTbl,3,0),0)+SUMIFS(CalcDep,CalcBank,LEFT(UPPER(TRIM($E941)),6),CalcKey,"&lt;="&amp;Calc!$H941)-SUMIFS(CalcWit,CalcBank,LEFT(UPPER(TRIM($E941)),6),CalcKey,"&lt;="&amp;Calc!$H941))</f>
        <v/>
      </c>
      <c r="O941" s="10">
        <f>IF(OR($C941="",$M941=""),"",IF($N941="","؟",IF(ROUND($M941-$N941,0)=0,"√","×")))</f>
        <v/>
      </c>
      <c r="P941" s="12" t="n"/>
    </row>
    <row r="942">
      <c r="A942" s="10">
        <f>IF($C942="","",COUNTA($C$9:$C942))</f>
        <v/>
      </c>
      <c r="B942" s="10">
        <f>IF($C942="","","TXN-"&amp;RIGHT("0000"&amp;934,4))</f>
        <v/>
      </c>
      <c r="C942" s="11" t="n"/>
      <c r="D942" s="11" t="n"/>
      <c r="E942" s="12" t="n"/>
      <c r="F942" s="10">
        <f>IF($E942="","",IFERROR(IF(VLOOKUP(LEFT(UPPER(TRIM($E942)),6),BankTbl,2,0)="","(بدون عنوان)",VLOOKUP(LEFT(UPPER(TRIM($E942)),6),BankTbl,2,0)),"بانک ناشناخته"))</f>
        <v/>
      </c>
      <c r="G942" s="11" t="n"/>
      <c r="H942" s="10">
        <f>IF($G942="","",IFERROR(VLOOKUP($G942,CustTbl,2,0),IFERROR(VLOOKUP($G942,SuppTbl,2,0),IFERROR(VLOOKUP($G942,AcctTbl,2,0),IFERROR(VLOOKUP($G942,StaffTbl,2,0),"کد ناشناخته")))))</f>
        <v/>
      </c>
      <c r="I942" s="12" t="n"/>
      <c r="J942" s="12" t="n"/>
      <c r="K942" s="13" t="n"/>
      <c r="L942" s="13" t="n"/>
      <c r="M942" s="13" t="n"/>
      <c r="N942" s="14">
        <f>IF(OR($C942="",$E942="",Calc!$H942=""),"",IFERROR(VLOOKUP(LEFT(UPPER(TRIM($E942)),6),BankTbl,3,0),0)+SUMIFS(CalcDep,CalcBank,LEFT(UPPER(TRIM($E942)),6),CalcKey,"&lt;="&amp;Calc!$H942)-SUMIFS(CalcWit,CalcBank,LEFT(UPPER(TRIM($E942)),6),CalcKey,"&lt;="&amp;Calc!$H942))</f>
        <v/>
      </c>
      <c r="O942" s="10">
        <f>IF(OR($C942="",$M942=""),"",IF($N942="","؟",IF(ROUND($M942-$N942,0)=0,"√","×")))</f>
        <v/>
      </c>
      <c r="P942" s="12" t="n"/>
    </row>
    <row r="943">
      <c r="A943" s="10">
        <f>IF($C943="","",COUNTA($C$9:$C943))</f>
        <v/>
      </c>
      <c r="B943" s="10">
        <f>IF($C943="","","TXN-"&amp;RIGHT("0000"&amp;935,4))</f>
        <v/>
      </c>
      <c r="C943" s="11" t="n"/>
      <c r="D943" s="11" t="n"/>
      <c r="E943" s="12" t="n"/>
      <c r="F943" s="10">
        <f>IF($E943="","",IFERROR(IF(VLOOKUP(LEFT(UPPER(TRIM($E943)),6),BankTbl,2,0)="","(بدون عنوان)",VLOOKUP(LEFT(UPPER(TRIM($E943)),6),BankTbl,2,0)),"بانک ناشناخته"))</f>
        <v/>
      </c>
      <c r="G943" s="11" t="n"/>
      <c r="H943" s="10">
        <f>IF($G943="","",IFERROR(VLOOKUP($G943,CustTbl,2,0),IFERROR(VLOOKUP($G943,SuppTbl,2,0),IFERROR(VLOOKUP($G943,AcctTbl,2,0),IFERROR(VLOOKUP($G943,StaffTbl,2,0),"کد ناشناخته")))))</f>
        <v/>
      </c>
      <c r="I943" s="12" t="n"/>
      <c r="J943" s="12" t="n"/>
      <c r="K943" s="13" t="n"/>
      <c r="L943" s="13" t="n"/>
      <c r="M943" s="13" t="n"/>
      <c r="N943" s="14">
        <f>IF(OR($C943="",$E943="",Calc!$H943=""),"",IFERROR(VLOOKUP(LEFT(UPPER(TRIM($E943)),6),BankTbl,3,0),0)+SUMIFS(CalcDep,CalcBank,LEFT(UPPER(TRIM($E943)),6),CalcKey,"&lt;="&amp;Calc!$H943)-SUMIFS(CalcWit,CalcBank,LEFT(UPPER(TRIM($E943)),6),CalcKey,"&lt;="&amp;Calc!$H943))</f>
        <v/>
      </c>
      <c r="O943" s="10">
        <f>IF(OR($C943="",$M943=""),"",IF($N943="","؟",IF(ROUND($M943-$N943,0)=0,"√","×")))</f>
        <v/>
      </c>
      <c r="P943" s="12" t="n"/>
    </row>
    <row r="944">
      <c r="A944" s="10">
        <f>IF($C944="","",COUNTA($C$9:$C944))</f>
        <v/>
      </c>
      <c r="B944" s="10">
        <f>IF($C944="","","TXN-"&amp;RIGHT("0000"&amp;936,4))</f>
        <v/>
      </c>
      <c r="C944" s="11" t="n"/>
      <c r="D944" s="11" t="n"/>
      <c r="E944" s="12" t="n"/>
      <c r="F944" s="10">
        <f>IF($E944="","",IFERROR(IF(VLOOKUP(LEFT(UPPER(TRIM($E944)),6),BankTbl,2,0)="","(بدون عنوان)",VLOOKUP(LEFT(UPPER(TRIM($E944)),6),BankTbl,2,0)),"بانک ناشناخته"))</f>
        <v/>
      </c>
      <c r="G944" s="11" t="n"/>
      <c r="H944" s="10">
        <f>IF($G944="","",IFERROR(VLOOKUP($G944,CustTbl,2,0),IFERROR(VLOOKUP($G944,SuppTbl,2,0),IFERROR(VLOOKUP($G944,AcctTbl,2,0),IFERROR(VLOOKUP($G944,StaffTbl,2,0),"کد ناشناخته")))))</f>
        <v/>
      </c>
      <c r="I944" s="12" t="n"/>
      <c r="J944" s="12" t="n"/>
      <c r="K944" s="13" t="n"/>
      <c r="L944" s="13" t="n"/>
      <c r="M944" s="13" t="n"/>
      <c r="N944" s="14">
        <f>IF(OR($C944="",$E944="",Calc!$H944=""),"",IFERROR(VLOOKUP(LEFT(UPPER(TRIM($E944)),6),BankTbl,3,0),0)+SUMIFS(CalcDep,CalcBank,LEFT(UPPER(TRIM($E944)),6),CalcKey,"&lt;="&amp;Calc!$H944)-SUMIFS(CalcWit,CalcBank,LEFT(UPPER(TRIM($E944)),6),CalcKey,"&lt;="&amp;Calc!$H944))</f>
        <v/>
      </c>
      <c r="O944" s="10">
        <f>IF(OR($C944="",$M944=""),"",IF($N944="","؟",IF(ROUND($M944-$N944,0)=0,"√","×")))</f>
        <v/>
      </c>
      <c r="P944" s="12" t="n"/>
    </row>
    <row r="945">
      <c r="A945" s="10">
        <f>IF($C945="","",COUNTA($C$9:$C945))</f>
        <v/>
      </c>
      <c r="B945" s="10">
        <f>IF($C945="","","TXN-"&amp;RIGHT("0000"&amp;937,4))</f>
        <v/>
      </c>
      <c r="C945" s="11" t="n"/>
      <c r="D945" s="11" t="n"/>
      <c r="E945" s="12" t="n"/>
      <c r="F945" s="10">
        <f>IF($E945="","",IFERROR(IF(VLOOKUP(LEFT(UPPER(TRIM($E945)),6),BankTbl,2,0)="","(بدون عنوان)",VLOOKUP(LEFT(UPPER(TRIM($E945)),6),BankTbl,2,0)),"بانک ناشناخته"))</f>
        <v/>
      </c>
      <c r="G945" s="11" t="n"/>
      <c r="H945" s="10">
        <f>IF($G945="","",IFERROR(VLOOKUP($G945,CustTbl,2,0),IFERROR(VLOOKUP($G945,SuppTbl,2,0),IFERROR(VLOOKUP($G945,AcctTbl,2,0),IFERROR(VLOOKUP($G945,StaffTbl,2,0),"کد ناشناخته")))))</f>
        <v/>
      </c>
      <c r="I945" s="12" t="n"/>
      <c r="J945" s="12" t="n"/>
      <c r="K945" s="13" t="n"/>
      <c r="L945" s="13" t="n"/>
      <c r="M945" s="13" t="n"/>
      <c r="N945" s="14">
        <f>IF(OR($C945="",$E945="",Calc!$H945=""),"",IFERROR(VLOOKUP(LEFT(UPPER(TRIM($E945)),6),BankTbl,3,0),0)+SUMIFS(CalcDep,CalcBank,LEFT(UPPER(TRIM($E945)),6),CalcKey,"&lt;="&amp;Calc!$H945)-SUMIFS(CalcWit,CalcBank,LEFT(UPPER(TRIM($E945)),6),CalcKey,"&lt;="&amp;Calc!$H945))</f>
        <v/>
      </c>
      <c r="O945" s="10">
        <f>IF(OR($C945="",$M945=""),"",IF($N945="","؟",IF(ROUND($M945-$N945,0)=0,"√","×")))</f>
        <v/>
      </c>
      <c r="P945" s="12" t="n"/>
    </row>
    <row r="946">
      <c r="A946" s="10">
        <f>IF($C946="","",COUNTA($C$9:$C946))</f>
        <v/>
      </c>
      <c r="B946" s="10">
        <f>IF($C946="","","TXN-"&amp;RIGHT("0000"&amp;938,4))</f>
        <v/>
      </c>
      <c r="C946" s="11" t="n"/>
      <c r="D946" s="11" t="n"/>
      <c r="E946" s="12" t="n"/>
      <c r="F946" s="10">
        <f>IF($E946="","",IFERROR(IF(VLOOKUP(LEFT(UPPER(TRIM($E946)),6),BankTbl,2,0)="","(بدون عنوان)",VLOOKUP(LEFT(UPPER(TRIM($E946)),6),BankTbl,2,0)),"بانک ناشناخته"))</f>
        <v/>
      </c>
      <c r="G946" s="11" t="n"/>
      <c r="H946" s="10">
        <f>IF($G946="","",IFERROR(VLOOKUP($G946,CustTbl,2,0),IFERROR(VLOOKUP($G946,SuppTbl,2,0),IFERROR(VLOOKUP($G946,AcctTbl,2,0),IFERROR(VLOOKUP($G946,StaffTbl,2,0),"کد ناشناخته")))))</f>
        <v/>
      </c>
      <c r="I946" s="12" t="n"/>
      <c r="J946" s="12" t="n"/>
      <c r="K946" s="13" t="n"/>
      <c r="L946" s="13" t="n"/>
      <c r="M946" s="13" t="n"/>
      <c r="N946" s="14">
        <f>IF(OR($C946="",$E946="",Calc!$H946=""),"",IFERROR(VLOOKUP(LEFT(UPPER(TRIM($E946)),6),BankTbl,3,0),0)+SUMIFS(CalcDep,CalcBank,LEFT(UPPER(TRIM($E946)),6),CalcKey,"&lt;="&amp;Calc!$H946)-SUMIFS(CalcWit,CalcBank,LEFT(UPPER(TRIM($E946)),6),CalcKey,"&lt;="&amp;Calc!$H946))</f>
        <v/>
      </c>
      <c r="O946" s="10">
        <f>IF(OR($C946="",$M946=""),"",IF($N946="","؟",IF(ROUND($M946-$N946,0)=0,"√","×")))</f>
        <v/>
      </c>
      <c r="P946" s="12" t="n"/>
    </row>
    <row r="947">
      <c r="A947" s="10">
        <f>IF($C947="","",COUNTA($C$9:$C947))</f>
        <v/>
      </c>
      <c r="B947" s="10">
        <f>IF($C947="","","TXN-"&amp;RIGHT("0000"&amp;939,4))</f>
        <v/>
      </c>
      <c r="C947" s="11" t="n"/>
      <c r="D947" s="11" t="n"/>
      <c r="E947" s="12" t="n"/>
      <c r="F947" s="10">
        <f>IF($E947="","",IFERROR(IF(VLOOKUP(LEFT(UPPER(TRIM($E947)),6),BankTbl,2,0)="","(بدون عنوان)",VLOOKUP(LEFT(UPPER(TRIM($E947)),6),BankTbl,2,0)),"بانک ناشناخته"))</f>
        <v/>
      </c>
      <c r="G947" s="11" t="n"/>
      <c r="H947" s="10">
        <f>IF($G947="","",IFERROR(VLOOKUP($G947,CustTbl,2,0),IFERROR(VLOOKUP($G947,SuppTbl,2,0),IFERROR(VLOOKUP($G947,AcctTbl,2,0),IFERROR(VLOOKUP($G947,StaffTbl,2,0),"کد ناشناخته")))))</f>
        <v/>
      </c>
      <c r="I947" s="12" t="n"/>
      <c r="J947" s="12" t="n"/>
      <c r="K947" s="13" t="n"/>
      <c r="L947" s="13" t="n"/>
      <c r="M947" s="13" t="n"/>
      <c r="N947" s="14">
        <f>IF(OR($C947="",$E947="",Calc!$H947=""),"",IFERROR(VLOOKUP(LEFT(UPPER(TRIM($E947)),6),BankTbl,3,0),0)+SUMIFS(CalcDep,CalcBank,LEFT(UPPER(TRIM($E947)),6),CalcKey,"&lt;="&amp;Calc!$H947)-SUMIFS(CalcWit,CalcBank,LEFT(UPPER(TRIM($E947)),6),CalcKey,"&lt;="&amp;Calc!$H947))</f>
        <v/>
      </c>
      <c r="O947" s="10">
        <f>IF(OR($C947="",$M947=""),"",IF($N947="","؟",IF(ROUND($M947-$N947,0)=0,"√","×")))</f>
        <v/>
      </c>
      <c r="P947" s="12" t="n"/>
    </row>
    <row r="948">
      <c r="A948" s="10">
        <f>IF($C948="","",COUNTA($C$9:$C948))</f>
        <v/>
      </c>
      <c r="B948" s="10">
        <f>IF($C948="","","TXN-"&amp;RIGHT("0000"&amp;940,4))</f>
        <v/>
      </c>
      <c r="C948" s="11" t="n"/>
      <c r="D948" s="11" t="n"/>
      <c r="E948" s="12" t="n"/>
      <c r="F948" s="10">
        <f>IF($E948="","",IFERROR(IF(VLOOKUP(LEFT(UPPER(TRIM($E948)),6),BankTbl,2,0)="","(بدون عنوان)",VLOOKUP(LEFT(UPPER(TRIM($E948)),6),BankTbl,2,0)),"بانک ناشناخته"))</f>
        <v/>
      </c>
      <c r="G948" s="11" t="n"/>
      <c r="H948" s="10">
        <f>IF($G948="","",IFERROR(VLOOKUP($G948,CustTbl,2,0),IFERROR(VLOOKUP($G948,SuppTbl,2,0),IFERROR(VLOOKUP($G948,AcctTbl,2,0),IFERROR(VLOOKUP($G948,StaffTbl,2,0),"کد ناشناخته")))))</f>
        <v/>
      </c>
      <c r="I948" s="12" t="n"/>
      <c r="J948" s="12" t="n"/>
      <c r="K948" s="13" t="n"/>
      <c r="L948" s="13" t="n"/>
      <c r="M948" s="13" t="n"/>
      <c r="N948" s="14">
        <f>IF(OR($C948="",$E948="",Calc!$H948=""),"",IFERROR(VLOOKUP(LEFT(UPPER(TRIM($E948)),6),BankTbl,3,0),0)+SUMIFS(CalcDep,CalcBank,LEFT(UPPER(TRIM($E948)),6),CalcKey,"&lt;="&amp;Calc!$H948)-SUMIFS(CalcWit,CalcBank,LEFT(UPPER(TRIM($E948)),6),CalcKey,"&lt;="&amp;Calc!$H948))</f>
        <v/>
      </c>
      <c r="O948" s="10">
        <f>IF(OR($C948="",$M948=""),"",IF($N948="","؟",IF(ROUND($M948-$N948,0)=0,"√","×")))</f>
        <v/>
      </c>
      <c r="P948" s="12" t="n"/>
    </row>
    <row r="949">
      <c r="A949" s="10">
        <f>IF($C949="","",COUNTA($C$9:$C949))</f>
        <v/>
      </c>
      <c r="B949" s="10">
        <f>IF($C949="","","TXN-"&amp;RIGHT("0000"&amp;941,4))</f>
        <v/>
      </c>
      <c r="C949" s="11" t="n"/>
      <c r="D949" s="11" t="n"/>
      <c r="E949" s="12" t="n"/>
      <c r="F949" s="10">
        <f>IF($E949="","",IFERROR(IF(VLOOKUP(LEFT(UPPER(TRIM($E949)),6),BankTbl,2,0)="","(بدون عنوان)",VLOOKUP(LEFT(UPPER(TRIM($E949)),6),BankTbl,2,0)),"بانک ناشناخته"))</f>
        <v/>
      </c>
      <c r="G949" s="11" t="n"/>
      <c r="H949" s="10">
        <f>IF($G949="","",IFERROR(VLOOKUP($G949,CustTbl,2,0),IFERROR(VLOOKUP($G949,SuppTbl,2,0),IFERROR(VLOOKUP($G949,AcctTbl,2,0),IFERROR(VLOOKUP($G949,StaffTbl,2,0),"کد ناشناخته")))))</f>
        <v/>
      </c>
      <c r="I949" s="12" t="n"/>
      <c r="J949" s="12" t="n"/>
      <c r="K949" s="13" t="n"/>
      <c r="L949" s="13" t="n"/>
      <c r="M949" s="13" t="n"/>
      <c r="N949" s="14">
        <f>IF(OR($C949="",$E949="",Calc!$H949=""),"",IFERROR(VLOOKUP(LEFT(UPPER(TRIM($E949)),6),BankTbl,3,0),0)+SUMIFS(CalcDep,CalcBank,LEFT(UPPER(TRIM($E949)),6),CalcKey,"&lt;="&amp;Calc!$H949)-SUMIFS(CalcWit,CalcBank,LEFT(UPPER(TRIM($E949)),6),CalcKey,"&lt;="&amp;Calc!$H949))</f>
        <v/>
      </c>
      <c r="O949" s="10">
        <f>IF(OR($C949="",$M949=""),"",IF($N949="","؟",IF(ROUND($M949-$N949,0)=0,"√","×")))</f>
        <v/>
      </c>
      <c r="P949" s="12" t="n"/>
    </row>
    <row r="950">
      <c r="A950" s="10">
        <f>IF($C950="","",COUNTA($C$9:$C950))</f>
        <v/>
      </c>
      <c r="B950" s="10">
        <f>IF($C950="","","TXN-"&amp;RIGHT("0000"&amp;942,4))</f>
        <v/>
      </c>
      <c r="C950" s="11" t="n"/>
      <c r="D950" s="11" t="n"/>
      <c r="E950" s="12" t="n"/>
      <c r="F950" s="10">
        <f>IF($E950="","",IFERROR(IF(VLOOKUP(LEFT(UPPER(TRIM($E950)),6),BankTbl,2,0)="","(بدون عنوان)",VLOOKUP(LEFT(UPPER(TRIM($E950)),6),BankTbl,2,0)),"بانک ناشناخته"))</f>
        <v/>
      </c>
      <c r="G950" s="11" t="n"/>
      <c r="H950" s="10">
        <f>IF($G950="","",IFERROR(VLOOKUP($G950,CustTbl,2,0),IFERROR(VLOOKUP($G950,SuppTbl,2,0),IFERROR(VLOOKUP($G950,AcctTbl,2,0),IFERROR(VLOOKUP($G950,StaffTbl,2,0),"کد ناشناخته")))))</f>
        <v/>
      </c>
      <c r="I950" s="12" t="n"/>
      <c r="J950" s="12" t="n"/>
      <c r="K950" s="13" t="n"/>
      <c r="L950" s="13" t="n"/>
      <c r="M950" s="13" t="n"/>
      <c r="N950" s="14">
        <f>IF(OR($C950="",$E950="",Calc!$H950=""),"",IFERROR(VLOOKUP(LEFT(UPPER(TRIM($E950)),6),BankTbl,3,0),0)+SUMIFS(CalcDep,CalcBank,LEFT(UPPER(TRIM($E950)),6),CalcKey,"&lt;="&amp;Calc!$H950)-SUMIFS(CalcWit,CalcBank,LEFT(UPPER(TRIM($E950)),6),CalcKey,"&lt;="&amp;Calc!$H950))</f>
        <v/>
      </c>
      <c r="O950" s="10">
        <f>IF(OR($C950="",$M950=""),"",IF($N950="","؟",IF(ROUND($M950-$N950,0)=0,"√","×")))</f>
        <v/>
      </c>
      <c r="P950" s="12" t="n"/>
    </row>
    <row r="951">
      <c r="A951" s="10">
        <f>IF($C951="","",COUNTA($C$9:$C951))</f>
        <v/>
      </c>
      <c r="B951" s="10">
        <f>IF($C951="","","TXN-"&amp;RIGHT("0000"&amp;943,4))</f>
        <v/>
      </c>
      <c r="C951" s="11" t="n"/>
      <c r="D951" s="11" t="n"/>
      <c r="E951" s="12" t="n"/>
      <c r="F951" s="10">
        <f>IF($E951="","",IFERROR(IF(VLOOKUP(LEFT(UPPER(TRIM($E951)),6),BankTbl,2,0)="","(بدون عنوان)",VLOOKUP(LEFT(UPPER(TRIM($E951)),6),BankTbl,2,0)),"بانک ناشناخته"))</f>
        <v/>
      </c>
      <c r="G951" s="11" t="n"/>
      <c r="H951" s="10">
        <f>IF($G951="","",IFERROR(VLOOKUP($G951,CustTbl,2,0),IFERROR(VLOOKUP($G951,SuppTbl,2,0),IFERROR(VLOOKUP($G951,AcctTbl,2,0),IFERROR(VLOOKUP($G951,StaffTbl,2,0),"کد ناشناخته")))))</f>
        <v/>
      </c>
      <c r="I951" s="12" t="n"/>
      <c r="J951" s="12" t="n"/>
      <c r="K951" s="13" t="n"/>
      <c r="L951" s="13" t="n"/>
      <c r="M951" s="13" t="n"/>
      <c r="N951" s="14">
        <f>IF(OR($C951="",$E951="",Calc!$H951=""),"",IFERROR(VLOOKUP(LEFT(UPPER(TRIM($E951)),6),BankTbl,3,0),0)+SUMIFS(CalcDep,CalcBank,LEFT(UPPER(TRIM($E951)),6),CalcKey,"&lt;="&amp;Calc!$H951)-SUMIFS(CalcWit,CalcBank,LEFT(UPPER(TRIM($E951)),6),CalcKey,"&lt;="&amp;Calc!$H951))</f>
        <v/>
      </c>
      <c r="O951" s="10">
        <f>IF(OR($C951="",$M951=""),"",IF($N951="","؟",IF(ROUND($M951-$N951,0)=0,"√","×")))</f>
        <v/>
      </c>
      <c r="P951" s="12" t="n"/>
    </row>
    <row r="952">
      <c r="A952" s="10">
        <f>IF($C952="","",COUNTA($C$9:$C952))</f>
        <v/>
      </c>
      <c r="B952" s="10">
        <f>IF($C952="","","TXN-"&amp;RIGHT("0000"&amp;944,4))</f>
        <v/>
      </c>
      <c r="C952" s="11" t="n"/>
      <c r="D952" s="11" t="n"/>
      <c r="E952" s="12" t="n"/>
      <c r="F952" s="10">
        <f>IF($E952="","",IFERROR(IF(VLOOKUP(LEFT(UPPER(TRIM($E952)),6),BankTbl,2,0)="","(بدون عنوان)",VLOOKUP(LEFT(UPPER(TRIM($E952)),6),BankTbl,2,0)),"بانک ناشناخته"))</f>
        <v/>
      </c>
      <c r="G952" s="11" t="n"/>
      <c r="H952" s="10">
        <f>IF($G952="","",IFERROR(VLOOKUP($G952,CustTbl,2,0),IFERROR(VLOOKUP($G952,SuppTbl,2,0),IFERROR(VLOOKUP($G952,AcctTbl,2,0),IFERROR(VLOOKUP($G952,StaffTbl,2,0),"کد ناشناخته")))))</f>
        <v/>
      </c>
      <c r="I952" s="12" t="n"/>
      <c r="J952" s="12" t="n"/>
      <c r="K952" s="13" t="n"/>
      <c r="L952" s="13" t="n"/>
      <c r="M952" s="13" t="n"/>
      <c r="N952" s="14">
        <f>IF(OR($C952="",$E952="",Calc!$H952=""),"",IFERROR(VLOOKUP(LEFT(UPPER(TRIM($E952)),6),BankTbl,3,0),0)+SUMIFS(CalcDep,CalcBank,LEFT(UPPER(TRIM($E952)),6),CalcKey,"&lt;="&amp;Calc!$H952)-SUMIFS(CalcWit,CalcBank,LEFT(UPPER(TRIM($E952)),6),CalcKey,"&lt;="&amp;Calc!$H952))</f>
        <v/>
      </c>
      <c r="O952" s="10">
        <f>IF(OR($C952="",$M952=""),"",IF($N952="","؟",IF(ROUND($M952-$N952,0)=0,"√","×")))</f>
        <v/>
      </c>
      <c r="P952" s="12" t="n"/>
    </row>
    <row r="953">
      <c r="A953" s="10">
        <f>IF($C953="","",COUNTA($C$9:$C953))</f>
        <v/>
      </c>
      <c r="B953" s="10">
        <f>IF($C953="","","TXN-"&amp;RIGHT("0000"&amp;945,4))</f>
        <v/>
      </c>
      <c r="C953" s="11" t="n"/>
      <c r="D953" s="11" t="n"/>
      <c r="E953" s="12" t="n"/>
      <c r="F953" s="10">
        <f>IF($E953="","",IFERROR(IF(VLOOKUP(LEFT(UPPER(TRIM($E953)),6),BankTbl,2,0)="","(بدون عنوان)",VLOOKUP(LEFT(UPPER(TRIM($E953)),6),BankTbl,2,0)),"بانک ناشناخته"))</f>
        <v/>
      </c>
      <c r="G953" s="11" t="n"/>
      <c r="H953" s="10">
        <f>IF($G953="","",IFERROR(VLOOKUP($G953,CustTbl,2,0),IFERROR(VLOOKUP($G953,SuppTbl,2,0),IFERROR(VLOOKUP($G953,AcctTbl,2,0),IFERROR(VLOOKUP($G953,StaffTbl,2,0),"کد ناشناخته")))))</f>
        <v/>
      </c>
      <c r="I953" s="12" t="n"/>
      <c r="J953" s="12" t="n"/>
      <c r="K953" s="13" t="n"/>
      <c r="L953" s="13" t="n"/>
      <c r="M953" s="13" t="n"/>
      <c r="N953" s="14">
        <f>IF(OR($C953="",$E953="",Calc!$H953=""),"",IFERROR(VLOOKUP(LEFT(UPPER(TRIM($E953)),6),BankTbl,3,0),0)+SUMIFS(CalcDep,CalcBank,LEFT(UPPER(TRIM($E953)),6),CalcKey,"&lt;="&amp;Calc!$H953)-SUMIFS(CalcWit,CalcBank,LEFT(UPPER(TRIM($E953)),6),CalcKey,"&lt;="&amp;Calc!$H953))</f>
        <v/>
      </c>
      <c r="O953" s="10">
        <f>IF(OR($C953="",$M953=""),"",IF($N953="","؟",IF(ROUND($M953-$N953,0)=0,"√","×")))</f>
        <v/>
      </c>
      <c r="P953" s="12" t="n"/>
    </row>
    <row r="954">
      <c r="A954" s="10">
        <f>IF($C954="","",COUNTA($C$9:$C954))</f>
        <v/>
      </c>
      <c r="B954" s="10">
        <f>IF($C954="","","TXN-"&amp;RIGHT("0000"&amp;946,4))</f>
        <v/>
      </c>
      <c r="C954" s="11" t="n"/>
      <c r="D954" s="11" t="n"/>
      <c r="E954" s="12" t="n"/>
      <c r="F954" s="10">
        <f>IF($E954="","",IFERROR(IF(VLOOKUP(LEFT(UPPER(TRIM($E954)),6),BankTbl,2,0)="","(بدون عنوان)",VLOOKUP(LEFT(UPPER(TRIM($E954)),6),BankTbl,2,0)),"بانک ناشناخته"))</f>
        <v/>
      </c>
      <c r="G954" s="11" t="n"/>
      <c r="H954" s="10">
        <f>IF($G954="","",IFERROR(VLOOKUP($G954,CustTbl,2,0),IFERROR(VLOOKUP($G954,SuppTbl,2,0),IFERROR(VLOOKUP($G954,AcctTbl,2,0),IFERROR(VLOOKUP($G954,StaffTbl,2,0),"کد ناشناخته")))))</f>
        <v/>
      </c>
      <c r="I954" s="12" t="n"/>
      <c r="J954" s="12" t="n"/>
      <c r="K954" s="13" t="n"/>
      <c r="L954" s="13" t="n"/>
      <c r="M954" s="13" t="n"/>
      <c r="N954" s="14">
        <f>IF(OR($C954="",$E954="",Calc!$H954=""),"",IFERROR(VLOOKUP(LEFT(UPPER(TRIM($E954)),6),BankTbl,3,0),0)+SUMIFS(CalcDep,CalcBank,LEFT(UPPER(TRIM($E954)),6),CalcKey,"&lt;="&amp;Calc!$H954)-SUMIFS(CalcWit,CalcBank,LEFT(UPPER(TRIM($E954)),6),CalcKey,"&lt;="&amp;Calc!$H954))</f>
        <v/>
      </c>
      <c r="O954" s="10">
        <f>IF(OR($C954="",$M954=""),"",IF($N954="","؟",IF(ROUND($M954-$N954,0)=0,"√","×")))</f>
        <v/>
      </c>
      <c r="P954" s="12" t="n"/>
    </row>
    <row r="955">
      <c r="A955" s="10">
        <f>IF($C955="","",COUNTA($C$9:$C955))</f>
        <v/>
      </c>
      <c r="B955" s="10">
        <f>IF($C955="","","TXN-"&amp;RIGHT("0000"&amp;947,4))</f>
        <v/>
      </c>
      <c r="C955" s="11" t="n"/>
      <c r="D955" s="11" t="n"/>
      <c r="E955" s="12" t="n"/>
      <c r="F955" s="10">
        <f>IF($E955="","",IFERROR(IF(VLOOKUP(LEFT(UPPER(TRIM($E955)),6),BankTbl,2,0)="","(بدون عنوان)",VLOOKUP(LEFT(UPPER(TRIM($E955)),6),BankTbl,2,0)),"بانک ناشناخته"))</f>
        <v/>
      </c>
      <c r="G955" s="11" t="n"/>
      <c r="H955" s="10">
        <f>IF($G955="","",IFERROR(VLOOKUP($G955,CustTbl,2,0),IFERROR(VLOOKUP($G955,SuppTbl,2,0),IFERROR(VLOOKUP($G955,AcctTbl,2,0),IFERROR(VLOOKUP($G955,StaffTbl,2,0),"کد ناشناخته")))))</f>
        <v/>
      </c>
      <c r="I955" s="12" t="n"/>
      <c r="J955" s="12" t="n"/>
      <c r="K955" s="13" t="n"/>
      <c r="L955" s="13" t="n"/>
      <c r="M955" s="13" t="n"/>
      <c r="N955" s="14">
        <f>IF(OR($C955="",$E955="",Calc!$H955=""),"",IFERROR(VLOOKUP(LEFT(UPPER(TRIM($E955)),6),BankTbl,3,0),0)+SUMIFS(CalcDep,CalcBank,LEFT(UPPER(TRIM($E955)),6),CalcKey,"&lt;="&amp;Calc!$H955)-SUMIFS(CalcWit,CalcBank,LEFT(UPPER(TRIM($E955)),6),CalcKey,"&lt;="&amp;Calc!$H955))</f>
        <v/>
      </c>
      <c r="O955" s="10">
        <f>IF(OR($C955="",$M955=""),"",IF($N955="","؟",IF(ROUND($M955-$N955,0)=0,"√","×")))</f>
        <v/>
      </c>
      <c r="P955" s="12" t="n"/>
    </row>
    <row r="956">
      <c r="A956" s="10">
        <f>IF($C956="","",COUNTA($C$9:$C956))</f>
        <v/>
      </c>
      <c r="B956" s="10">
        <f>IF($C956="","","TXN-"&amp;RIGHT("0000"&amp;948,4))</f>
        <v/>
      </c>
      <c r="C956" s="11" t="n"/>
      <c r="D956" s="11" t="n"/>
      <c r="E956" s="12" t="n"/>
      <c r="F956" s="10">
        <f>IF($E956="","",IFERROR(IF(VLOOKUP(LEFT(UPPER(TRIM($E956)),6),BankTbl,2,0)="","(بدون عنوان)",VLOOKUP(LEFT(UPPER(TRIM($E956)),6),BankTbl,2,0)),"بانک ناشناخته"))</f>
        <v/>
      </c>
      <c r="G956" s="11" t="n"/>
      <c r="H956" s="10">
        <f>IF($G956="","",IFERROR(VLOOKUP($G956,CustTbl,2,0),IFERROR(VLOOKUP($G956,SuppTbl,2,0),IFERROR(VLOOKUP($G956,AcctTbl,2,0),IFERROR(VLOOKUP($G956,StaffTbl,2,0),"کد ناشناخته")))))</f>
        <v/>
      </c>
      <c r="I956" s="12" t="n"/>
      <c r="J956" s="12" t="n"/>
      <c r="K956" s="13" t="n"/>
      <c r="L956" s="13" t="n"/>
      <c r="M956" s="13" t="n"/>
      <c r="N956" s="14">
        <f>IF(OR($C956="",$E956="",Calc!$H956=""),"",IFERROR(VLOOKUP(LEFT(UPPER(TRIM($E956)),6),BankTbl,3,0),0)+SUMIFS(CalcDep,CalcBank,LEFT(UPPER(TRIM($E956)),6),CalcKey,"&lt;="&amp;Calc!$H956)-SUMIFS(CalcWit,CalcBank,LEFT(UPPER(TRIM($E956)),6),CalcKey,"&lt;="&amp;Calc!$H956))</f>
        <v/>
      </c>
      <c r="O956" s="10">
        <f>IF(OR($C956="",$M956=""),"",IF($N956="","؟",IF(ROUND($M956-$N956,0)=0,"√","×")))</f>
        <v/>
      </c>
      <c r="P956" s="12" t="n"/>
    </row>
    <row r="957">
      <c r="A957" s="10">
        <f>IF($C957="","",COUNTA($C$9:$C957))</f>
        <v/>
      </c>
      <c r="B957" s="10">
        <f>IF($C957="","","TXN-"&amp;RIGHT("0000"&amp;949,4))</f>
        <v/>
      </c>
      <c r="C957" s="11" t="n"/>
      <c r="D957" s="11" t="n"/>
      <c r="E957" s="12" t="n"/>
      <c r="F957" s="10">
        <f>IF($E957="","",IFERROR(IF(VLOOKUP(LEFT(UPPER(TRIM($E957)),6),BankTbl,2,0)="","(بدون عنوان)",VLOOKUP(LEFT(UPPER(TRIM($E957)),6),BankTbl,2,0)),"بانک ناشناخته"))</f>
        <v/>
      </c>
      <c r="G957" s="11" t="n"/>
      <c r="H957" s="10">
        <f>IF($G957="","",IFERROR(VLOOKUP($G957,CustTbl,2,0),IFERROR(VLOOKUP($G957,SuppTbl,2,0),IFERROR(VLOOKUP($G957,AcctTbl,2,0),IFERROR(VLOOKUP($G957,StaffTbl,2,0),"کد ناشناخته")))))</f>
        <v/>
      </c>
      <c r="I957" s="12" t="n"/>
      <c r="J957" s="12" t="n"/>
      <c r="K957" s="13" t="n"/>
      <c r="L957" s="13" t="n"/>
      <c r="M957" s="13" t="n"/>
      <c r="N957" s="14">
        <f>IF(OR($C957="",$E957="",Calc!$H957=""),"",IFERROR(VLOOKUP(LEFT(UPPER(TRIM($E957)),6),BankTbl,3,0),0)+SUMIFS(CalcDep,CalcBank,LEFT(UPPER(TRIM($E957)),6),CalcKey,"&lt;="&amp;Calc!$H957)-SUMIFS(CalcWit,CalcBank,LEFT(UPPER(TRIM($E957)),6),CalcKey,"&lt;="&amp;Calc!$H957))</f>
        <v/>
      </c>
      <c r="O957" s="10">
        <f>IF(OR($C957="",$M957=""),"",IF($N957="","؟",IF(ROUND($M957-$N957,0)=0,"√","×")))</f>
        <v/>
      </c>
      <c r="P957" s="12" t="n"/>
    </row>
    <row r="958">
      <c r="A958" s="10">
        <f>IF($C958="","",COUNTA($C$9:$C958))</f>
        <v/>
      </c>
      <c r="B958" s="10">
        <f>IF($C958="","","TXN-"&amp;RIGHT("0000"&amp;950,4))</f>
        <v/>
      </c>
      <c r="C958" s="11" t="n"/>
      <c r="D958" s="11" t="n"/>
      <c r="E958" s="12" t="n"/>
      <c r="F958" s="10">
        <f>IF($E958="","",IFERROR(IF(VLOOKUP(LEFT(UPPER(TRIM($E958)),6),BankTbl,2,0)="","(بدون عنوان)",VLOOKUP(LEFT(UPPER(TRIM($E958)),6),BankTbl,2,0)),"بانک ناشناخته"))</f>
        <v/>
      </c>
      <c r="G958" s="11" t="n"/>
      <c r="H958" s="10">
        <f>IF($G958="","",IFERROR(VLOOKUP($G958,CustTbl,2,0),IFERROR(VLOOKUP($G958,SuppTbl,2,0),IFERROR(VLOOKUP($G958,AcctTbl,2,0),IFERROR(VLOOKUP($G958,StaffTbl,2,0),"کد ناشناخته")))))</f>
        <v/>
      </c>
      <c r="I958" s="12" t="n"/>
      <c r="J958" s="12" t="n"/>
      <c r="K958" s="13" t="n"/>
      <c r="L958" s="13" t="n"/>
      <c r="M958" s="13" t="n"/>
      <c r="N958" s="14">
        <f>IF(OR($C958="",$E958="",Calc!$H958=""),"",IFERROR(VLOOKUP(LEFT(UPPER(TRIM($E958)),6),BankTbl,3,0),0)+SUMIFS(CalcDep,CalcBank,LEFT(UPPER(TRIM($E958)),6),CalcKey,"&lt;="&amp;Calc!$H958)-SUMIFS(CalcWit,CalcBank,LEFT(UPPER(TRIM($E958)),6),CalcKey,"&lt;="&amp;Calc!$H958))</f>
        <v/>
      </c>
      <c r="O958" s="10">
        <f>IF(OR($C958="",$M958=""),"",IF($N958="","؟",IF(ROUND($M958-$N958,0)=0,"√","×")))</f>
        <v/>
      </c>
      <c r="P958" s="12" t="n"/>
    </row>
    <row r="959">
      <c r="A959" s="10">
        <f>IF($C959="","",COUNTA($C$9:$C959))</f>
        <v/>
      </c>
      <c r="B959" s="10">
        <f>IF($C959="","","TXN-"&amp;RIGHT("0000"&amp;951,4))</f>
        <v/>
      </c>
      <c r="C959" s="11" t="n"/>
      <c r="D959" s="11" t="n"/>
      <c r="E959" s="12" t="n"/>
      <c r="F959" s="10">
        <f>IF($E959="","",IFERROR(IF(VLOOKUP(LEFT(UPPER(TRIM($E959)),6),BankTbl,2,0)="","(بدون عنوان)",VLOOKUP(LEFT(UPPER(TRIM($E959)),6),BankTbl,2,0)),"بانک ناشناخته"))</f>
        <v/>
      </c>
      <c r="G959" s="11" t="n"/>
      <c r="H959" s="10">
        <f>IF($G959="","",IFERROR(VLOOKUP($G959,CustTbl,2,0),IFERROR(VLOOKUP($G959,SuppTbl,2,0),IFERROR(VLOOKUP($G959,AcctTbl,2,0),IFERROR(VLOOKUP($G959,StaffTbl,2,0),"کد ناشناخته")))))</f>
        <v/>
      </c>
      <c r="I959" s="12" t="n"/>
      <c r="J959" s="12" t="n"/>
      <c r="K959" s="13" t="n"/>
      <c r="L959" s="13" t="n"/>
      <c r="M959" s="13" t="n"/>
      <c r="N959" s="14">
        <f>IF(OR($C959="",$E959="",Calc!$H959=""),"",IFERROR(VLOOKUP(LEFT(UPPER(TRIM($E959)),6),BankTbl,3,0),0)+SUMIFS(CalcDep,CalcBank,LEFT(UPPER(TRIM($E959)),6),CalcKey,"&lt;="&amp;Calc!$H959)-SUMIFS(CalcWit,CalcBank,LEFT(UPPER(TRIM($E959)),6),CalcKey,"&lt;="&amp;Calc!$H959))</f>
        <v/>
      </c>
      <c r="O959" s="10">
        <f>IF(OR($C959="",$M959=""),"",IF($N959="","؟",IF(ROUND($M959-$N959,0)=0,"√","×")))</f>
        <v/>
      </c>
      <c r="P959" s="12" t="n"/>
    </row>
    <row r="960">
      <c r="A960" s="10">
        <f>IF($C960="","",COUNTA($C$9:$C960))</f>
        <v/>
      </c>
      <c r="B960" s="10">
        <f>IF($C960="","","TXN-"&amp;RIGHT("0000"&amp;952,4))</f>
        <v/>
      </c>
      <c r="C960" s="11" t="n"/>
      <c r="D960" s="11" t="n"/>
      <c r="E960" s="12" t="n"/>
      <c r="F960" s="10">
        <f>IF($E960="","",IFERROR(IF(VLOOKUP(LEFT(UPPER(TRIM($E960)),6),BankTbl,2,0)="","(بدون عنوان)",VLOOKUP(LEFT(UPPER(TRIM($E960)),6),BankTbl,2,0)),"بانک ناشناخته"))</f>
        <v/>
      </c>
      <c r="G960" s="11" t="n"/>
      <c r="H960" s="10">
        <f>IF($G960="","",IFERROR(VLOOKUP($G960,CustTbl,2,0),IFERROR(VLOOKUP($G960,SuppTbl,2,0),IFERROR(VLOOKUP($G960,AcctTbl,2,0),IFERROR(VLOOKUP($G960,StaffTbl,2,0),"کد ناشناخته")))))</f>
        <v/>
      </c>
      <c r="I960" s="12" t="n"/>
      <c r="J960" s="12" t="n"/>
      <c r="K960" s="13" t="n"/>
      <c r="L960" s="13" t="n"/>
      <c r="M960" s="13" t="n"/>
      <c r="N960" s="14">
        <f>IF(OR($C960="",$E960="",Calc!$H960=""),"",IFERROR(VLOOKUP(LEFT(UPPER(TRIM($E960)),6),BankTbl,3,0),0)+SUMIFS(CalcDep,CalcBank,LEFT(UPPER(TRIM($E960)),6),CalcKey,"&lt;="&amp;Calc!$H960)-SUMIFS(CalcWit,CalcBank,LEFT(UPPER(TRIM($E960)),6),CalcKey,"&lt;="&amp;Calc!$H960))</f>
        <v/>
      </c>
      <c r="O960" s="10">
        <f>IF(OR($C960="",$M960=""),"",IF($N960="","؟",IF(ROUND($M960-$N960,0)=0,"√","×")))</f>
        <v/>
      </c>
      <c r="P960" s="12" t="n"/>
    </row>
    <row r="961">
      <c r="A961" s="10">
        <f>IF($C961="","",COUNTA($C$9:$C961))</f>
        <v/>
      </c>
      <c r="B961" s="10">
        <f>IF($C961="","","TXN-"&amp;RIGHT("0000"&amp;953,4))</f>
        <v/>
      </c>
      <c r="C961" s="11" t="n"/>
      <c r="D961" s="11" t="n"/>
      <c r="E961" s="12" t="n"/>
      <c r="F961" s="10">
        <f>IF($E961="","",IFERROR(IF(VLOOKUP(LEFT(UPPER(TRIM($E961)),6),BankTbl,2,0)="","(بدون عنوان)",VLOOKUP(LEFT(UPPER(TRIM($E961)),6),BankTbl,2,0)),"بانک ناشناخته"))</f>
        <v/>
      </c>
      <c r="G961" s="11" t="n"/>
      <c r="H961" s="10">
        <f>IF($G961="","",IFERROR(VLOOKUP($G961,CustTbl,2,0),IFERROR(VLOOKUP($G961,SuppTbl,2,0),IFERROR(VLOOKUP($G961,AcctTbl,2,0),IFERROR(VLOOKUP($G961,StaffTbl,2,0),"کد ناشناخته")))))</f>
        <v/>
      </c>
      <c r="I961" s="12" t="n"/>
      <c r="J961" s="12" t="n"/>
      <c r="K961" s="13" t="n"/>
      <c r="L961" s="13" t="n"/>
      <c r="M961" s="13" t="n"/>
      <c r="N961" s="14">
        <f>IF(OR($C961="",$E961="",Calc!$H961=""),"",IFERROR(VLOOKUP(LEFT(UPPER(TRIM($E961)),6),BankTbl,3,0),0)+SUMIFS(CalcDep,CalcBank,LEFT(UPPER(TRIM($E961)),6),CalcKey,"&lt;="&amp;Calc!$H961)-SUMIFS(CalcWit,CalcBank,LEFT(UPPER(TRIM($E961)),6),CalcKey,"&lt;="&amp;Calc!$H961))</f>
        <v/>
      </c>
      <c r="O961" s="10">
        <f>IF(OR($C961="",$M961=""),"",IF($N961="","؟",IF(ROUND($M961-$N961,0)=0,"√","×")))</f>
        <v/>
      </c>
      <c r="P961" s="12" t="n"/>
    </row>
    <row r="962">
      <c r="A962" s="10">
        <f>IF($C962="","",COUNTA($C$9:$C962))</f>
        <v/>
      </c>
      <c r="B962" s="10">
        <f>IF($C962="","","TXN-"&amp;RIGHT("0000"&amp;954,4))</f>
        <v/>
      </c>
      <c r="C962" s="11" t="n"/>
      <c r="D962" s="11" t="n"/>
      <c r="E962" s="12" t="n"/>
      <c r="F962" s="10">
        <f>IF($E962="","",IFERROR(IF(VLOOKUP(LEFT(UPPER(TRIM($E962)),6),BankTbl,2,0)="","(بدون عنوان)",VLOOKUP(LEFT(UPPER(TRIM($E962)),6),BankTbl,2,0)),"بانک ناشناخته"))</f>
        <v/>
      </c>
      <c r="G962" s="11" t="n"/>
      <c r="H962" s="10">
        <f>IF($G962="","",IFERROR(VLOOKUP($G962,CustTbl,2,0),IFERROR(VLOOKUP($G962,SuppTbl,2,0),IFERROR(VLOOKUP($G962,AcctTbl,2,0),IFERROR(VLOOKUP($G962,StaffTbl,2,0),"کد ناشناخته")))))</f>
        <v/>
      </c>
      <c r="I962" s="12" t="n"/>
      <c r="J962" s="12" t="n"/>
      <c r="K962" s="13" t="n"/>
      <c r="L962" s="13" t="n"/>
      <c r="M962" s="13" t="n"/>
      <c r="N962" s="14">
        <f>IF(OR($C962="",$E962="",Calc!$H962=""),"",IFERROR(VLOOKUP(LEFT(UPPER(TRIM($E962)),6),BankTbl,3,0),0)+SUMIFS(CalcDep,CalcBank,LEFT(UPPER(TRIM($E962)),6),CalcKey,"&lt;="&amp;Calc!$H962)-SUMIFS(CalcWit,CalcBank,LEFT(UPPER(TRIM($E962)),6),CalcKey,"&lt;="&amp;Calc!$H962))</f>
        <v/>
      </c>
      <c r="O962" s="10">
        <f>IF(OR($C962="",$M962=""),"",IF($N962="","؟",IF(ROUND($M962-$N962,0)=0,"√","×")))</f>
        <v/>
      </c>
      <c r="P962" s="12" t="n"/>
    </row>
    <row r="963">
      <c r="A963" s="10">
        <f>IF($C963="","",COUNTA($C$9:$C963))</f>
        <v/>
      </c>
      <c r="B963" s="10">
        <f>IF($C963="","","TXN-"&amp;RIGHT("0000"&amp;955,4))</f>
        <v/>
      </c>
      <c r="C963" s="11" t="n"/>
      <c r="D963" s="11" t="n"/>
      <c r="E963" s="12" t="n"/>
      <c r="F963" s="10">
        <f>IF($E963="","",IFERROR(IF(VLOOKUP(LEFT(UPPER(TRIM($E963)),6),BankTbl,2,0)="","(بدون عنوان)",VLOOKUP(LEFT(UPPER(TRIM($E963)),6),BankTbl,2,0)),"بانک ناشناخته"))</f>
        <v/>
      </c>
      <c r="G963" s="11" t="n"/>
      <c r="H963" s="10">
        <f>IF($G963="","",IFERROR(VLOOKUP($G963,CustTbl,2,0),IFERROR(VLOOKUP($G963,SuppTbl,2,0),IFERROR(VLOOKUP($G963,AcctTbl,2,0),IFERROR(VLOOKUP($G963,StaffTbl,2,0),"کد ناشناخته")))))</f>
        <v/>
      </c>
      <c r="I963" s="12" t="n"/>
      <c r="J963" s="12" t="n"/>
      <c r="K963" s="13" t="n"/>
      <c r="L963" s="13" t="n"/>
      <c r="M963" s="13" t="n"/>
      <c r="N963" s="14">
        <f>IF(OR($C963="",$E963="",Calc!$H963=""),"",IFERROR(VLOOKUP(LEFT(UPPER(TRIM($E963)),6),BankTbl,3,0),0)+SUMIFS(CalcDep,CalcBank,LEFT(UPPER(TRIM($E963)),6),CalcKey,"&lt;="&amp;Calc!$H963)-SUMIFS(CalcWit,CalcBank,LEFT(UPPER(TRIM($E963)),6),CalcKey,"&lt;="&amp;Calc!$H963))</f>
        <v/>
      </c>
      <c r="O963" s="10">
        <f>IF(OR($C963="",$M963=""),"",IF($N963="","؟",IF(ROUND($M963-$N963,0)=0,"√","×")))</f>
        <v/>
      </c>
      <c r="P963" s="12" t="n"/>
    </row>
    <row r="964">
      <c r="A964" s="10">
        <f>IF($C964="","",COUNTA($C$9:$C964))</f>
        <v/>
      </c>
      <c r="B964" s="10">
        <f>IF($C964="","","TXN-"&amp;RIGHT("0000"&amp;956,4))</f>
        <v/>
      </c>
      <c r="C964" s="11" t="n"/>
      <c r="D964" s="11" t="n"/>
      <c r="E964" s="12" t="n"/>
      <c r="F964" s="10">
        <f>IF($E964="","",IFERROR(IF(VLOOKUP(LEFT(UPPER(TRIM($E964)),6),BankTbl,2,0)="","(بدون عنوان)",VLOOKUP(LEFT(UPPER(TRIM($E964)),6),BankTbl,2,0)),"بانک ناشناخته"))</f>
        <v/>
      </c>
      <c r="G964" s="11" t="n"/>
      <c r="H964" s="10">
        <f>IF($G964="","",IFERROR(VLOOKUP($G964,CustTbl,2,0),IFERROR(VLOOKUP($G964,SuppTbl,2,0),IFERROR(VLOOKUP($G964,AcctTbl,2,0),IFERROR(VLOOKUP($G964,StaffTbl,2,0),"کد ناشناخته")))))</f>
        <v/>
      </c>
      <c r="I964" s="12" t="n"/>
      <c r="J964" s="12" t="n"/>
      <c r="K964" s="13" t="n"/>
      <c r="L964" s="13" t="n"/>
      <c r="M964" s="13" t="n"/>
      <c r="N964" s="14">
        <f>IF(OR($C964="",$E964="",Calc!$H964=""),"",IFERROR(VLOOKUP(LEFT(UPPER(TRIM($E964)),6),BankTbl,3,0),0)+SUMIFS(CalcDep,CalcBank,LEFT(UPPER(TRIM($E964)),6),CalcKey,"&lt;="&amp;Calc!$H964)-SUMIFS(CalcWit,CalcBank,LEFT(UPPER(TRIM($E964)),6),CalcKey,"&lt;="&amp;Calc!$H964))</f>
        <v/>
      </c>
      <c r="O964" s="10">
        <f>IF(OR($C964="",$M964=""),"",IF($N964="","؟",IF(ROUND($M964-$N964,0)=0,"√","×")))</f>
        <v/>
      </c>
      <c r="P964" s="12" t="n"/>
    </row>
    <row r="965">
      <c r="A965" s="10">
        <f>IF($C965="","",COUNTA($C$9:$C965))</f>
        <v/>
      </c>
      <c r="B965" s="10">
        <f>IF($C965="","","TXN-"&amp;RIGHT("0000"&amp;957,4))</f>
        <v/>
      </c>
      <c r="C965" s="11" t="n"/>
      <c r="D965" s="11" t="n"/>
      <c r="E965" s="12" t="n"/>
      <c r="F965" s="10">
        <f>IF($E965="","",IFERROR(IF(VLOOKUP(LEFT(UPPER(TRIM($E965)),6),BankTbl,2,0)="","(بدون عنوان)",VLOOKUP(LEFT(UPPER(TRIM($E965)),6),BankTbl,2,0)),"بانک ناشناخته"))</f>
        <v/>
      </c>
      <c r="G965" s="11" t="n"/>
      <c r="H965" s="10">
        <f>IF($G965="","",IFERROR(VLOOKUP($G965,CustTbl,2,0),IFERROR(VLOOKUP($G965,SuppTbl,2,0),IFERROR(VLOOKUP($G965,AcctTbl,2,0),IFERROR(VLOOKUP($G965,StaffTbl,2,0),"کد ناشناخته")))))</f>
        <v/>
      </c>
      <c r="I965" s="12" t="n"/>
      <c r="J965" s="12" t="n"/>
      <c r="K965" s="13" t="n"/>
      <c r="L965" s="13" t="n"/>
      <c r="M965" s="13" t="n"/>
      <c r="N965" s="14">
        <f>IF(OR($C965="",$E965="",Calc!$H965=""),"",IFERROR(VLOOKUP(LEFT(UPPER(TRIM($E965)),6),BankTbl,3,0),0)+SUMIFS(CalcDep,CalcBank,LEFT(UPPER(TRIM($E965)),6),CalcKey,"&lt;="&amp;Calc!$H965)-SUMIFS(CalcWit,CalcBank,LEFT(UPPER(TRIM($E965)),6),CalcKey,"&lt;="&amp;Calc!$H965))</f>
        <v/>
      </c>
      <c r="O965" s="10">
        <f>IF(OR($C965="",$M965=""),"",IF($N965="","؟",IF(ROUND($M965-$N965,0)=0,"√","×")))</f>
        <v/>
      </c>
      <c r="P965" s="12" t="n"/>
    </row>
    <row r="966">
      <c r="A966" s="10">
        <f>IF($C966="","",COUNTA($C$9:$C966))</f>
        <v/>
      </c>
      <c r="B966" s="10">
        <f>IF($C966="","","TXN-"&amp;RIGHT("0000"&amp;958,4))</f>
        <v/>
      </c>
      <c r="C966" s="11" t="n"/>
      <c r="D966" s="11" t="n"/>
      <c r="E966" s="12" t="n"/>
      <c r="F966" s="10">
        <f>IF($E966="","",IFERROR(IF(VLOOKUP(LEFT(UPPER(TRIM($E966)),6),BankTbl,2,0)="","(بدون عنوان)",VLOOKUP(LEFT(UPPER(TRIM($E966)),6),BankTbl,2,0)),"بانک ناشناخته"))</f>
        <v/>
      </c>
      <c r="G966" s="11" t="n"/>
      <c r="H966" s="10">
        <f>IF($G966="","",IFERROR(VLOOKUP($G966,CustTbl,2,0),IFERROR(VLOOKUP($G966,SuppTbl,2,0),IFERROR(VLOOKUP($G966,AcctTbl,2,0),IFERROR(VLOOKUP($G966,StaffTbl,2,0),"کد ناشناخته")))))</f>
        <v/>
      </c>
      <c r="I966" s="12" t="n"/>
      <c r="J966" s="12" t="n"/>
      <c r="K966" s="13" t="n"/>
      <c r="L966" s="13" t="n"/>
      <c r="M966" s="13" t="n"/>
      <c r="N966" s="14">
        <f>IF(OR($C966="",$E966="",Calc!$H966=""),"",IFERROR(VLOOKUP(LEFT(UPPER(TRIM($E966)),6),BankTbl,3,0),0)+SUMIFS(CalcDep,CalcBank,LEFT(UPPER(TRIM($E966)),6),CalcKey,"&lt;="&amp;Calc!$H966)-SUMIFS(CalcWit,CalcBank,LEFT(UPPER(TRIM($E966)),6),CalcKey,"&lt;="&amp;Calc!$H966))</f>
        <v/>
      </c>
      <c r="O966" s="10">
        <f>IF(OR($C966="",$M966=""),"",IF($N966="","؟",IF(ROUND($M966-$N966,0)=0,"√","×")))</f>
        <v/>
      </c>
      <c r="P966" s="12" t="n"/>
    </row>
    <row r="967">
      <c r="A967" s="10">
        <f>IF($C967="","",COUNTA($C$9:$C967))</f>
        <v/>
      </c>
      <c r="B967" s="10">
        <f>IF($C967="","","TXN-"&amp;RIGHT("0000"&amp;959,4))</f>
        <v/>
      </c>
      <c r="C967" s="11" t="n"/>
      <c r="D967" s="11" t="n"/>
      <c r="E967" s="12" t="n"/>
      <c r="F967" s="10">
        <f>IF($E967="","",IFERROR(IF(VLOOKUP(LEFT(UPPER(TRIM($E967)),6),BankTbl,2,0)="","(بدون عنوان)",VLOOKUP(LEFT(UPPER(TRIM($E967)),6),BankTbl,2,0)),"بانک ناشناخته"))</f>
        <v/>
      </c>
      <c r="G967" s="11" t="n"/>
      <c r="H967" s="10">
        <f>IF($G967="","",IFERROR(VLOOKUP($G967,CustTbl,2,0),IFERROR(VLOOKUP($G967,SuppTbl,2,0),IFERROR(VLOOKUP($G967,AcctTbl,2,0),IFERROR(VLOOKUP($G967,StaffTbl,2,0),"کد ناشناخته")))))</f>
        <v/>
      </c>
      <c r="I967" s="12" t="n"/>
      <c r="J967" s="12" t="n"/>
      <c r="K967" s="13" t="n"/>
      <c r="L967" s="13" t="n"/>
      <c r="M967" s="13" t="n"/>
      <c r="N967" s="14">
        <f>IF(OR($C967="",$E967="",Calc!$H967=""),"",IFERROR(VLOOKUP(LEFT(UPPER(TRIM($E967)),6),BankTbl,3,0),0)+SUMIFS(CalcDep,CalcBank,LEFT(UPPER(TRIM($E967)),6),CalcKey,"&lt;="&amp;Calc!$H967)-SUMIFS(CalcWit,CalcBank,LEFT(UPPER(TRIM($E967)),6),CalcKey,"&lt;="&amp;Calc!$H967))</f>
        <v/>
      </c>
      <c r="O967" s="10">
        <f>IF(OR($C967="",$M967=""),"",IF($N967="","؟",IF(ROUND($M967-$N967,0)=0,"√","×")))</f>
        <v/>
      </c>
      <c r="P967" s="12" t="n"/>
    </row>
    <row r="968">
      <c r="A968" s="10">
        <f>IF($C968="","",COUNTA($C$9:$C968))</f>
        <v/>
      </c>
      <c r="B968" s="10">
        <f>IF($C968="","","TXN-"&amp;RIGHT("0000"&amp;960,4))</f>
        <v/>
      </c>
      <c r="C968" s="11" t="n"/>
      <c r="D968" s="11" t="n"/>
      <c r="E968" s="12" t="n"/>
      <c r="F968" s="10">
        <f>IF($E968="","",IFERROR(IF(VLOOKUP(LEFT(UPPER(TRIM($E968)),6),BankTbl,2,0)="","(بدون عنوان)",VLOOKUP(LEFT(UPPER(TRIM($E968)),6),BankTbl,2,0)),"بانک ناشناخته"))</f>
        <v/>
      </c>
      <c r="G968" s="11" t="n"/>
      <c r="H968" s="10">
        <f>IF($G968="","",IFERROR(VLOOKUP($G968,CustTbl,2,0),IFERROR(VLOOKUP($G968,SuppTbl,2,0),IFERROR(VLOOKUP($G968,AcctTbl,2,0),IFERROR(VLOOKUP($G968,StaffTbl,2,0),"کد ناشناخته")))))</f>
        <v/>
      </c>
      <c r="I968" s="12" t="n"/>
      <c r="J968" s="12" t="n"/>
      <c r="K968" s="13" t="n"/>
      <c r="L968" s="13" t="n"/>
      <c r="M968" s="13" t="n"/>
      <c r="N968" s="14">
        <f>IF(OR($C968="",$E968="",Calc!$H968=""),"",IFERROR(VLOOKUP(LEFT(UPPER(TRIM($E968)),6),BankTbl,3,0),0)+SUMIFS(CalcDep,CalcBank,LEFT(UPPER(TRIM($E968)),6),CalcKey,"&lt;="&amp;Calc!$H968)-SUMIFS(CalcWit,CalcBank,LEFT(UPPER(TRIM($E968)),6),CalcKey,"&lt;="&amp;Calc!$H968))</f>
        <v/>
      </c>
      <c r="O968" s="10">
        <f>IF(OR($C968="",$M968=""),"",IF($N968="","؟",IF(ROUND($M968-$N968,0)=0,"√","×")))</f>
        <v/>
      </c>
      <c r="P968" s="12" t="n"/>
    </row>
    <row r="969">
      <c r="A969" s="10">
        <f>IF($C969="","",COUNTA($C$9:$C969))</f>
        <v/>
      </c>
      <c r="B969" s="10">
        <f>IF($C969="","","TXN-"&amp;RIGHT("0000"&amp;961,4))</f>
        <v/>
      </c>
      <c r="C969" s="11" t="n"/>
      <c r="D969" s="11" t="n"/>
      <c r="E969" s="12" t="n"/>
      <c r="F969" s="10">
        <f>IF($E969="","",IFERROR(IF(VLOOKUP(LEFT(UPPER(TRIM($E969)),6),BankTbl,2,0)="","(بدون عنوان)",VLOOKUP(LEFT(UPPER(TRIM($E969)),6),BankTbl,2,0)),"بانک ناشناخته"))</f>
        <v/>
      </c>
      <c r="G969" s="11" t="n"/>
      <c r="H969" s="10">
        <f>IF($G969="","",IFERROR(VLOOKUP($G969,CustTbl,2,0),IFERROR(VLOOKUP($G969,SuppTbl,2,0),IFERROR(VLOOKUP($G969,AcctTbl,2,0),IFERROR(VLOOKUP($G969,StaffTbl,2,0),"کد ناشناخته")))))</f>
        <v/>
      </c>
      <c r="I969" s="12" t="n"/>
      <c r="J969" s="12" t="n"/>
      <c r="K969" s="13" t="n"/>
      <c r="L969" s="13" t="n"/>
      <c r="M969" s="13" t="n"/>
      <c r="N969" s="14">
        <f>IF(OR($C969="",$E969="",Calc!$H969=""),"",IFERROR(VLOOKUP(LEFT(UPPER(TRIM($E969)),6),BankTbl,3,0),0)+SUMIFS(CalcDep,CalcBank,LEFT(UPPER(TRIM($E969)),6),CalcKey,"&lt;="&amp;Calc!$H969)-SUMIFS(CalcWit,CalcBank,LEFT(UPPER(TRIM($E969)),6),CalcKey,"&lt;="&amp;Calc!$H969))</f>
        <v/>
      </c>
      <c r="O969" s="10">
        <f>IF(OR($C969="",$M969=""),"",IF($N969="","؟",IF(ROUND($M969-$N969,0)=0,"√","×")))</f>
        <v/>
      </c>
      <c r="P969" s="12" t="n"/>
    </row>
    <row r="970">
      <c r="A970" s="10">
        <f>IF($C970="","",COUNTA($C$9:$C970))</f>
        <v/>
      </c>
      <c r="B970" s="10">
        <f>IF($C970="","","TXN-"&amp;RIGHT("0000"&amp;962,4))</f>
        <v/>
      </c>
      <c r="C970" s="11" t="n"/>
      <c r="D970" s="11" t="n"/>
      <c r="E970" s="12" t="n"/>
      <c r="F970" s="10">
        <f>IF($E970="","",IFERROR(IF(VLOOKUP(LEFT(UPPER(TRIM($E970)),6),BankTbl,2,0)="","(بدون عنوان)",VLOOKUP(LEFT(UPPER(TRIM($E970)),6),BankTbl,2,0)),"بانک ناشناخته"))</f>
        <v/>
      </c>
      <c r="G970" s="11" t="n"/>
      <c r="H970" s="10">
        <f>IF($G970="","",IFERROR(VLOOKUP($G970,CustTbl,2,0),IFERROR(VLOOKUP($G970,SuppTbl,2,0),IFERROR(VLOOKUP($G970,AcctTbl,2,0),IFERROR(VLOOKUP($G970,StaffTbl,2,0),"کد ناشناخته")))))</f>
        <v/>
      </c>
      <c r="I970" s="12" t="n"/>
      <c r="J970" s="12" t="n"/>
      <c r="K970" s="13" t="n"/>
      <c r="L970" s="13" t="n"/>
      <c r="M970" s="13" t="n"/>
      <c r="N970" s="14">
        <f>IF(OR($C970="",$E970="",Calc!$H970=""),"",IFERROR(VLOOKUP(LEFT(UPPER(TRIM($E970)),6),BankTbl,3,0),0)+SUMIFS(CalcDep,CalcBank,LEFT(UPPER(TRIM($E970)),6),CalcKey,"&lt;="&amp;Calc!$H970)-SUMIFS(CalcWit,CalcBank,LEFT(UPPER(TRIM($E970)),6),CalcKey,"&lt;="&amp;Calc!$H970))</f>
        <v/>
      </c>
      <c r="O970" s="10">
        <f>IF(OR($C970="",$M970=""),"",IF($N970="","؟",IF(ROUND($M970-$N970,0)=0,"√","×")))</f>
        <v/>
      </c>
      <c r="P970" s="12" t="n"/>
    </row>
    <row r="971">
      <c r="A971" s="10">
        <f>IF($C971="","",COUNTA($C$9:$C971))</f>
        <v/>
      </c>
      <c r="B971" s="10">
        <f>IF($C971="","","TXN-"&amp;RIGHT("0000"&amp;963,4))</f>
        <v/>
      </c>
      <c r="C971" s="11" t="n"/>
      <c r="D971" s="11" t="n"/>
      <c r="E971" s="12" t="n"/>
      <c r="F971" s="10">
        <f>IF($E971="","",IFERROR(IF(VLOOKUP(LEFT(UPPER(TRIM($E971)),6),BankTbl,2,0)="","(بدون عنوان)",VLOOKUP(LEFT(UPPER(TRIM($E971)),6),BankTbl,2,0)),"بانک ناشناخته"))</f>
        <v/>
      </c>
      <c r="G971" s="11" t="n"/>
      <c r="H971" s="10">
        <f>IF($G971="","",IFERROR(VLOOKUP($G971,CustTbl,2,0),IFERROR(VLOOKUP($G971,SuppTbl,2,0),IFERROR(VLOOKUP($G971,AcctTbl,2,0),IFERROR(VLOOKUP($G971,StaffTbl,2,0),"کد ناشناخته")))))</f>
        <v/>
      </c>
      <c r="I971" s="12" t="n"/>
      <c r="J971" s="12" t="n"/>
      <c r="K971" s="13" t="n"/>
      <c r="L971" s="13" t="n"/>
      <c r="M971" s="13" t="n"/>
      <c r="N971" s="14">
        <f>IF(OR($C971="",$E971="",Calc!$H971=""),"",IFERROR(VLOOKUP(LEFT(UPPER(TRIM($E971)),6),BankTbl,3,0),0)+SUMIFS(CalcDep,CalcBank,LEFT(UPPER(TRIM($E971)),6),CalcKey,"&lt;="&amp;Calc!$H971)-SUMIFS(CalcWit,CalcBank,LEFT(UPPER(TRIM($E971)),6),CalcKey,"&lt;="&amp;Calc!$H971))</f>
        <v/>
      </c>
      <c r="O971" s="10">
        <f>IF(OR($C971="",$M971=""),"",IF($N971="","؟",IF(ROUND($M971-$N971,0)=0,"√","×")))</f>
        <v/>
      </c>
      <c r="P971" s="12" t="n"/>
    </row>
    <row r="972">
      <c r="A972" s="10">
        <f>IF($C972="","",COUNTA($C$9:$C972))</f>
        <v/>
      </c>
      <c r="B972" s="10">
        <f>IF($C972="","","TXN-"&amp;RIGHT("0000"&amp;964,4))</f>
        <v/>
      </c>
      <c r="C972" s="11" t="n"/>
      <c r="D972" s="11" t="n"/>
      <c r="E972" s="12" t="n"/>
      <c r="F972" s="10">
        <f>IF($E972="","",IFERROR(IF(VLOOKUP(LEFT(UPPER(TRIM($E972)),6),BankTbl,2,0)="","(بدون عنوان)",VLOOKUP(LEFT(UPPER(TRIM($E972)),6),BankTbl,2,0)),"بانک ناشناخته"))</f>
        <v/>
      </c>
      <c r="G972" s="11" t="n"/>
      <c r="H972" s="10">
        <f>IF($G972="","",IFERROR(VLOOKUP($G972,CustTbl,2,0),IFERROR(VLOOKUP($G972,SuppTbl,2,0),IFERROR(VLOOKUP($G972,AcctTbl,2,0),IFERROR(VLOOKUP($G972,StaffTbl,2,0),"کد ناشناخته")))))</f>
        <v/>
      </c>
      <c r="I972" s="12" t="n"/>
      <c r="J972" s="12" t="n"/>
      <c r="K972" s="13" t="n"/>
      <c r="L972" s="13" t="n"/>
      <c r="M972" s="13" t="n"/>
      <c r="N972" s="14">
        <f>IF(OR($C972="",$E972="",Calc!$H972=""),"",IFERROR(VLOOKUP(LEFT(UPPER(TRIM($E972)),6),BankTbl,3,0),0)+SUMIFS(CalcDep,CalcBank,LEFT(UPPER(TRIM($E972)),6),CalcKey,"&lt;="&amp;Calc!$H972)-SUMIFS(CalcWit,CalcBank,LEFT(UPPER(TRIM($E972)),6),CalcKey,"&lt;="&amp;Calc!$H972))</f>
        <v/>
      </c>
      <c r="O972" s="10">
        <f>IF(OR($C972="",$M972=""),"",IF($N972="","؟",IF(ROUND($M972-$N972,0)=0,"√","×")))</f>
        <v/>
      </c>
      <c r="P972" s="12" t="n"/>
    </row>
    <row r="973">
      <c r="A973" s="10">
        <f>IF($C973="","",COUNTA($C$9:$C973))</f>
        <v/>
      </c>
      <c r="B973" s="10">
        <f>IF($C973="","","TXN-"&amp;RIGHT("0000"&amp;965,4))</f>
        <v/>
      </c>
      <c r="C973" s="11" t="n"/>
      <c r="D973" s="11" t="n"/>
      <c r="E973" s="12" t="n"/>
      <c r="F973" s="10">
        <f>IF($E973="","",IFERROR(IF(VLOOKUP(LEFT(UPPER(TRIM($E973)),6),BankTbl,2,0)="","(بدون عنوان)",VLOOKUP(LEFT(UPPER(TRIM($E973)),6),BankTbl,2,0)),"بانک ناشناخته"))</f>
        <v/>
      </c>
      <c r="G973" s="11" t="n"/>
      <c r="H973" s="10">
        <f>IF($G973="","",IFERROR(VLOOKUP($G973,CustTbl,2,0),IFERROR(VLOOKUP($G973,SuppTbl,2,0),IFERROR(VLOOKUP($G973,AcctTbl,2,0),IFERROR(VLOOKUP($G973,StaffTbl,2,0),"کد ناشناخته")))))</f>
        <v/>
      </c>
      <c r="I973" s="12" t="n"/>
      <c r="J973" s="12" t="n"/>
      <c r="K973" s="13" t="n"/>
      <c r="L973" s="13" t="n"/>
      <c r="M973" s="13" t="n"/>
      <c r="N973" s="14">
        <f>IF(OR($C973="",$E973="",Calc!$H973=""),"",IFERROR(VLOOKUP(LEFT(UPPER(TRIM($E973)),6),BankTbl,3,0),0)+SUMIFS(CalcDep,CalcBank,LEFT(UPPER(TRIM($E973)),6),CalcKey,"&lt;="&amp;Calc!$H973)-SUMIFS(CalcWit,CalcBank,LEFT(UPPER(TRIM($E973)),6),CalcKey,"&lt;="&amp;Calc!$H973))</f>
        <v/>
      </c>
      <c r="O973" s="10">
        <f>IF(OR($C973="",$M973=""),"",IF($N973="","؟",IF(ROUND($M973-$N973,0)=0,"√","×")))</f>
        <v/>
      </c>
      <c r="P973" s="12" t="n"/>
    </row>
    <row r="974">
      <c r="A974" s="10">
        <f>IF($C974="","",COUNTA($C$9:$C974))</f>
        <v/>
      </c>
      <c r="B974" s="10">
        <f>IF($C974="","","TXN-"&amp;RIGHT("0000"&amp;966,4))</f>
        <v/>
      </c>
      <c r="C974" s="11" t="n"/>
      <c r="D974" s="11" t="n"/>
      <c r="E974" s="12" t="n"/>
      <c r="F974" s="10">
        <f>IF($E974="","",IFERROR(IF(VLOOKUP(LEFT(UPPER(TRIM($E974)),6),BankTbl,2,0)="","(بدون عنوان)",VLOOKUP(LEFT(UPPER(TRIM($E974)),6),BankTbl,2,0)),"بانک ناشناخته"))</f>
        <v/>
      </c>
      <c r="G974" s="11" t="n"/>
      <c r="H974" s="10">
        <f>IF($G974="","",IFERROR(VLOOKUP($G974,CustTbl,2,0),IFERROR(VLOOKUP($G974,SuppTbl,2,0),IFERROR(VLOOKUP($G974,AcctTbl,2,0),IFERROR(VLOOKUP($G974,StaffTbl,2,0),"کد ناشناخته")))))</f>
        <v/>
      </c>
      <c r="I974" s="12" t="n"/>
      <c r="J974" s="12" t="n"/>
      <c r="K974" s="13" t="n"/>
      <c r="L974" s="13" t="n"/>
      <c r="M974" s="13" t="n"/>
      <c r="N974" s="14">
        <f>IF(OR($C974="",$E974="",Calc!$H974=""),"",IFERROR(VLOOKUP(LEFT(UPPER(TRIM($E974)),6),BankTbl,3,0),0)+SUMIFS(CalcDep,CalcBank,LEFT(UPPER(TRIM($E974)),6),CalcKey,"&lt;="&amp;Calc!$H974)-SUMIFS(CalcWit,CalcBank,LEFT(UPPER(TRIM($E974)),6),CalcKey,"&lt;="&amp;Calc!$H974))</f>
        <v/>
      </c>
      <c r="O974" s="10">
        <f>IF(OR($C974="",$M974=""),"",IF($N974="","؟",IF(ROUND($M974-$N974,0)=0,"√","×")))</f>
        <v/>
      </c>
      <c r="P974" s="12" t="n"/>
    </row>
    <row r="975">
      <c r="A975" s="10">
        <f>IF($C975="","",COUNTA($C$9:$C975))</f>
        <v/>
      </c>
      <c r="B975" s="10">
        <f>IF($C975="","","TXN-"&amp;RIGHT("0000"&amp;967,4))</f>
        <v/>
      </c>
      <c r="C975" s="11" t="n"/>
      <c r="D975" s="11" t="n"/>
      <c r="E975" s="12" t="n"/>
      <c r="F975" s="10">
        <f>IF($E975="","",IFERROR(IF(VLOOKUP(LEFT(UPPER(TRIM($E975)),6),BankTbl,2,0)="","(بدون عنوان)",VLOOKUP(LEFT(UPPER(TRIM($E975)),6),BankTbl,2,0)),"بانک ناشناخته"))</f>
        <v/>
      </c>
      <c r="G975" s="11" t="n"/>
      <c r="H975" s="10">
        <f>IF($G975="","",IFERROR(VLOOKUP($G975,CustTbl,2,0),IFERROR(VLOOKUP($G975,SuppTbl,2,0),IFERROR(VLOOKUP($G975,AcctTbl,2,0),IFERROR(VLOOKUP($G975,StaffTbl,2,0),"کد ناشناخته")))))</f>
        <v/>
      </c>
      <c r="I975" s="12" t="n"/>
      <c r="J975" s="12" t="n"/>
      <c r="K975" s="13" t="n"/>
      <c r="L975" s="13" t="n"/>
      <c r="M975" s="13" t="n"/>
      <c r="N975" s="14">
        <f>IF(OR($C975="",$E975="",Calc!$H975=""),"",IFERROR(VLOOKUP(LEFT(UPPER(TRIM($E975)),6),BankTbl,3,0),0)+SUMIFS(CalcDep,CalcBank,LEFT(UPPER(TRIM($E975)),6),CalcKey,"&lt;="&amp;Calc!$H975)-SUMIFS(CalcWit,CalcBank,LEFT(UPPER(TRIM($E975)),6),CalcKey,"&lt;="&amp;Calc!$H975))</f>
        <v/>
      </c>
      <c r="O975" s="10">
        <f>IF(OR($C975="",$M975=""),"",IF($N975="","؟",IF(ROUND($M975-$N975,0)=0,"√","×")))</f>
        <v/>
      </c>
      <c r="P975" s="12" t="n"/>
    </row>
    <row r="976">
      <c r="A976" s="10">
        <f>IF($C976="","",COUNTA($C$9:$C976))</f>
        <v/>
      </c>
      <c r="B976" s="10">
        <f>IF($C976="","","TXN-"&amp;RIGHT("0000"&amp;968,4))</f>
        <v/>
      </c>
      <c r="C976" s="11" t="n"/>
      <c r="D976" s="11" t="n"/>
      <c r="E976" s="12" t="n"/>
      <c r="F976" s="10">
        <f>IF($E976="","",IFERROR(IF(VLOOKUP(LEFT(UPPER(TRIM($E976)),6),BankTbl,2,0)="","(بدون عنوان)",VLOOKUP(LEFT(UPPER(TRIM($E976)),6),BankTbl,2,0)),"بانک ناشناخته"))</f>
        <v/>
      </c>
      <c r="G976" s="11" t="n"/>
      <c r="H976" s="10">
        <f>IF($G976="","",IFERROR(VLOOKUP($G976,CustTbl,2,0),IFERROR(VLOOKUP($G976,SuppTbl,2,0),IFERROR(VLOOKUP($G976,AcctTbl,2,0),IFERROR(VLOOKUP($G976,StaffTbl,2,0),"کد ناشناخته")))))</f>
        <v/>
      </c>
      <c r="I976" s="12" t="n"/>
      <c r="J976" s="12" t="n"/>
      <c r="K976" s="13" t="n"/>
      <c r="L976" s="13" t="n"/>
      <c r="M976" s="13" t="n"/>
      <c r="N976" s="14">
        <f>IF(OR($C976="",$E976="",Calc!$H976=""),"",IFERROR(VLOOKUP(LEFT(UPPER(TRIM($E976)),6),BankTbl,3,0),0)+SUMIFS(CalcDep,CalcBank,LEFT(UPPER(TRIM($E976)),6),CalcKey,"&lt;="&amp;Calc!$H976)-SUMIFS(CalcWit,CalcBank,LEFT(UPPER(TRIM($E976)),6),CalcKey,"&lt;="&amp;Calc!$H976))</f>
        <v/>
      </c>
      <c r="O976" s="10">
        <f>IF(OR($C976="",$M976=""),"",IF($N976="","؟",IF(ROUND($M976-$N976,0)=0,"√","×")))</f>
        <v/>
      </c>
      <c r="P976" s="12" t="n"/>
    </row>
    <row r="977">
      <c r="A977" s="10">
        <f>IF($C977="","",COUNTA($C$9:$C977))</f>
        <v/>
      </c>
      <c r="B977" s="10">
        <f>IF($C977="","","TXN-"&amp;RIGHT("0000"&amp;969,4))</f>
        <v/>
      </c>
      <c r="C977" s="11" t="n"/>
      <c r="D977" s="11" t="n"/>
      <c r="E977" s="12" t="n"/>
      <c r="F977" s="10">
        <f>IF($E977="","",IFERROR(IF(VLOOKUP(LEFT(UPPER(TRIM($E977)),6),BankTbl,2,0)="","(بدون عنوان)",VLOOKUP(LEFT(UPPER(TRIM($E977)),6),BankTbl,2,0)),"بانک ناشناخته"))</f>
        <v/>
      </c>
      <c r="G977" s="11" t="n"/>
      <c r="H977" s="10">
        <f>IF($G977="","",IFERROR(VLOOKUP($G977,CustTbl,2,0),IFERROR(VLOOKUP($G977,SuppTbl,2,0),IFERROR(VLOOKUP($G977,AcctTbl,2,0),IFERROR(VLOOKUP($G977,StaffTbl,2,0),"کد ناشناخته")))))</f>
        <v/>
      </c>
      <c r="I977" s="12" t="n"/>
      <c r="J977" s="12" t="n"/>
      <c r="K977" s="13" t="n"/>
      <c r="L977" s="13" t="n"/>
      <c r="M977" s="13" t="n"/>
      <c r="N977" s="14">
        <f>IF(OR($C977="",$E977="",Calc!$H977=""),"",IFERROR(VLOOKUP(LEFT(UPPER(TRIM($E977)),6),BankTbl,3,0),0)+SUMIFS(CalcDep,CalcBank,LEFT(UPPER(TRIM($E977)),6),CalcKey,"&lt;="&amp;Calc!$H977)-SUMIFS(CalcWit,CalcBank,LEFT(UPPER(TRIM($E977)),6),CalcKey,"&lt;="&amp;Calc!$H977))</f>
        <v/>
      </c>
      <c r="O977" s="10">
        <f>IF(OR($C977="",$M977=""),"",IF($N977="","؟",IF(ROUND($M977-$N977,0)=0,"√","×")))</f>
        <v/>
      </c>
      <c r="P977" s="12" t="n"/>
    </row>
    <row r="978">
      <c r="A978" s="10">
        <f>IF($C978="","",COUNTA($C$9:$C978))</f>
        <v/>
      </c>
      <c r="B978" s="10">
        <f>IF($C978="","","TXN-"&amp;RIGHT("0000"&amp;970,4))</f>
        <v/>
      </c>
      <c r="C978" s="11" t="n"/>
      <c r="D978" s="11" t="n"/>
      <c r="E978" s="12" t="n"/>
      <c r="F978" s="10">
        <f>IF($E978="","",IFERROR(IF(VLOOKUP(LEFT(UPPER(TRIM($E978)),6),BankTbl,2,0)="","(بدون عنوان)",VLOOKUP(LEFT(UPPER(TRIM($E978)),6),BankTbl,2,0)),"بانک ناشناخته"))</f>
        <v/>
      </c>
      <c r="G978" s="11" t="n"/>
      <c r="H978" s="10">
        <f>IF($G978="","",IFERROR(VLOOKUP($G978,CustTbl,2,0),IFERROR(VLOOKUP($G978,SuppTbl,2,0),IFERROR(VLOOKUP($G978,AcctTbl,2,0),IFERROR(VLOOKUP($G978,StaffTbl,2,0),"کد ناشناخته")))))</f>
        <v/>
      </c>
      <c r="I978" s="12" t="n"/>
      <c r="J978" s="12" t="n"/>
      <c r="K978" s="13" t="n"/>
      <c r="L978" s="13" t="n"/>
      <c r="M978" s="13" t="n"/>
      <c r="N978" s="14">
        <f>IF(OR($C978="",$E978="",Calc!$H978=""),"",IFERROR(VLOOKUP(LEFT(UPPER(TRIM($E978)),6),BankTbl,3,0),0)+SUMIFS(CalcDep,CalcBank,LEFT(UPPER(TRIM($E978)),6),CalcKey,"&lt;="&amp;Calc!$H978)-SUMIFS(CalcWit,CalcBank,LEFT(UPPER(TRIM($E978)),6),CalcKey,"&lt;="&amp;Calc!$H978))</f>
        <v/>
      </c>
      <c r="O978" s="10">
        <f>IF(OR($C978="",$M978=""),"",IF($N978="","؟",IF(ROUND($M978-$N978,0)=0,"√","×")))</f>
        <v/>
      </c>
      <c r="P978" s="12" t="n"/>
    </row>
    <row r="979">
      <c r="A979" s="10">
        <f>IF($C979="","",COUNTA($C$9:$C979))</f>
        <v/>
      </c>
      <c r="B979" s="10">
        <f>IF($C979="","","TXN-"&amp;RIGHT("0000"&amp;971,4))</f>
        <v/>
      </c>
      <c r="C979" s="11" t="n"/>
      <c r="D979" s="11" t="n"/>
      <c r="E979" s="12" t="n"/>
      <c r="F979" s="10">
        <f>IF($E979="","",IFERROR(IF(VLOOKUP(LEFT(UPPER(TRIM($E979)),6),BankTbl,2,0)="","(بدون عنوان)",VLOOKUP(LEFT(UPPER(TRIM($E979)),6),BankTbl,2,0)),"بانک ناشناخته"))</f>
        <v/>
      </c>
      <c r="G979" s="11" t="n"/>
      <c r="H979" s="10">
        <f>IF($G979="","",IFERROR(VLOOKUP($G979,CustTbl,2,0),IFERROR(VLOOKUP($G979,SuppTbl,2,0),IFERROR(VLOOKUP($G979,AcctTbl,2,0),IFERROR(VLOOKUP($G979,StaffTbl,2,0),"کد ناشناخته")))))</f>
        <v/>
      </c>
      <c r="I979" s="12" t="n"/>
      <c r="J979" s="12" t="n"/>
      <c r="K979" s="13" t="n"/>
      <c r="L979" s="13" t="n"/>
      <c r="M979" s="13" t="n"/>
      <c r="N979" s="14">
        <f>IF(OR($C979="",$E979="",Calc!$H979=""),"",IFERROR(VLOOKUP(LEFT(UPPER(TRIM($E979)),6),BankTbl,3,0),0)+SUMIFS(CalcDep,CalcBank,LEFT(UPPER(TRIM($E979)),6),CalcKey,"&lt;="&amp;Calc!$H979)-SUMIFS(CalcWit,CalcBank,LEFT(UPPER(TRIM($E979)),6),CalcKey,"&lt;="&amp;Calc!$H979))</f>
        <v/>
      </c>
      <c r="O979" s="10">
        <f>IF(OR($C979="",$M979=""),"",IF($N979="","؟",IF(ROUND($M979-$N979,0)=0,"√","×")))</f>
        <v/>
      </c>
      <c r="P979" s="12" t="n"/>
    </row>
    <row r="980">
      <c r="A980" s="10">
        <f>IF($C980="","",COUNTA($C$9:$C980))</f>
        <v/>
      </c>
      <c r="B980" s="10">
        <f>IF($C980="","","TXN-"&amp;RIGHT("0000"&amp;972,4))</f>
        <v/>
      </c>
      <c r="C980" s="11" t="n"/>
      <c r="D980" s="11" t="n"/>
      <c r="E980" s="12" t="n"/>
      <c r="F980" s="10">
        <f>IF($E980="","",IFERROR(IF(VLOOKUP(LEFT(UPPER(TRIM($E980)),6),BankTbl,2,0)="","(بدون عنوان)",VLOOKUP(LEFT(UPPER(TRIM($E980)),6),BankTbl,2,0)),"بانک ناشناخته"))</f>
        <v/>
      </c>
      <c r="G980" s="11" t="n"/>
      <c r="H980" s="10">
        <f>IF($G980="","",IFERROR(VLOOKUP($G980,CustTbl,2,0),IFERROR(VLOOKUP($G980,SuppTbl,2,0),IFERROR(VLOOKUP($G980,AcctTbl,2,0),IFERROR(VLOOKUP($G980,StaffTbl,2,0),"کد ناشناخته")))))</f>
        <v/>
      </c>
      <c r="I980" s="12" t="n"/>
      <c r="J980" s="12" t="n"/>
      <c r="K980" s="13" t="n"/>
      <c r="L980" s="13" t="n"/>
      <c r="M980" s="13" t="n"/>
      <c r="N980" s="14">
        <f>IF(OR($C980="",$E980="",Calc!$H980=""),"",IFERROR(VLOOKUP(LEFT(UPPER(TRIM($E980)),6),BankTbl,3,0),0)+SUMIFS(CalcDep,CalcBank,LEFT(UPPER(TRIM($E980)),6),CalcKey,"&lt;="&amp;Calc!$H980)-SUMIFS(CalcWit,CalcBank,LEFT(UPPER(TRIM($E980)),6),CalcKey,"&lt;="&amp;Calc!$H980))</f>
        <v/>
      </c>
      <c r="O980" s="10">
        <f>IF(OR($C980="",$M980=""),"",IF($N980="","؟",IF(ROUND($M980-$N980,0)=0,"√","×")))</f>
        <v/>
      </c>
      <c r="P980" s="12" t="n"/>
    </row>
    <row r="981">
      <c r="A981" s="10">
        <f>IF($C981="","",COUNTA($C$9:$C981))</f>
        <v/>
      </c>
      <c r="B981" s="10">
        <f>IF($C981="","","TXN-"&amp;RIGHT("0000"&amp;973,4))</f>
        <v/>
      </c>
      <c r="C981" s="11" t="n"/>
      <c r="D981" s="11" t="n"/>
      <c r="E981" s="12" t="n"/>
      <c r="F981" s="10">
        <f>IF($E981="","",IFERROR(IF(VLOOKUP(LEFT(UPPER(TRIM($E981)),6),BankTbl,2,0)="","(بدون عنوان)",VLOOKUP(LEFT(UPPER(TRIM($E981)),6),BankTbl,2,0)),"بانک ناشناخته"))</f>
        <v/>
      </c>
      <c r="G981" s="11" t="n"/>
      <c r="H981" s="10">
        <f>IF($G981="","",IFERROR(VLOOKUP($G981,CustTbl,2,0),IFERROR(VLOOKUP($G981,SuppTbl,2,0),IFERROR(VLOOKUP($G981,AcctTbl,2,0),IFERROR(VLOOKUP($G981,StaffTbl,2,0),"کد ناشناخته")))))</f>
        <v/>
      </c>
      <c r="I981" s="12" t="n"/>
      <c r="J981" s="12" t="n"/>
      <c r="K981" s="13" t="n"/>
      <c r="L981" s="13" t="n"/>
      <c r="M981" s="13" t="n"/>
      <c r="N981" s="14">
        <f>IF(OR($C981="",$E981="",Calc!$H981=""),"",IFERROR(VLOOKUP(LEFT(UPPER(TRIM($E981)),6),BankTbl,3,0),0)+SUMIFS(CalcDep,CalcBank,LEFT(UPPER(TRIM($E981)),6),CalcKey,"&lt;="&amp;Calc!$H981)-SUMIFS(CalcWit,CalcBank,LEFT(UPPER(TRIM($E981)),6),CalcKey,"&lt;="&amp;Calc!$H981))</f>
        <v/>
      </c>
      <c r="O981" s="10">
        <f>IF(OR($C981="",$M981=""),"",IF($N981="","؟",IF(ROUND($M981-$N981,0)=0,"√","×")))</f>
        <v/>
      </c>
      <c r="P981" s="12" t="n"/>
    </row>
    <row r="982">
      <c r="A982" s="10">
        <f>IF($C982="","",COUNTA($C$9:$C982))</f>
        <v/>
      </c>
      <c r="B982" s="10">
        <f>IF($C982="","","TXN-"&amp;RIGHT("0000"&amp;974,4))</f>
        <v/>
      </c>
      <c r="C982" s="11" t="n"/>
      <c r="D982" s="11" t="n"/>
      <c r="E982" s="12" t="n"/>
      <c r="F982" s="10">
        <f>IF($E982="","",IFERROR(IF(VLOOKUP(LEFT(UPPER(TRIM($E982)),6),BankTbl,2,0)="","(بدون عنوان)",VLOOKUP(LEFT(UPPER(TRIM($E982)),6),BankTbl,2,0)),"بانک ناشناخته"))</f>
        <v/>
      </c>
      <c r="G982" s="11" t="n"/>
      <c r="H982" s="10">
        <f>IF($G982="","",IFERROR(VLOOKUP($G982,CustTbl,2,0),IFERROR(VLOOKUP($G982,SuppTbl,2,0),IFERROR(VLOOKUP($G982,AcctTbl,2,0),IFERROR(VLOOKUP($G982,StaffTbl,2,0),"کد ناشناخته")))))</f>
        <v/>
      </c>
      <c r="I982" s="12" t="n"/>
      <c r="J982" s="12" t="n"/>
      <c r="K982" s="13" t="n"/>
      <c r="L982" s="13" t="n"/>
      <c r="M982" s="13" t="n"/>
      <c r="N982" s="14">
        <f>IF(OR($C982="",$E982="",Calc!$H982=""),"",IFERROR(VLOOKUP(LEFT(UPPER(TRIM($E982)),6),BankTbl,3,0),0)+SUMIFS(CalcDep,CalcBank,LEFT(UPPER(TRIM($E982)),6),CalcKey,"&lt;="&amp;Calc!$H982)-SUMIFS(CalcWit,CalcBank,LEFT(UPPER(TRIM($E982)),6),CalcKey,"&lt;="&amp;Calc!$H982))</f>
        <v/>
      </c>
      <c r="O982" s="10">
        <f>IF(OR($C982="",$M982=""),"",IF($N982="","؟",IF(ROUND($M982-$N982,0)=0,"√","×")))</f>
        <v/>
      </c>
      <c r="P982" s="12" t="n"/>
    </row>
    <row r="983">
      <c r="A983" s="10">
        <f>IF($C983="","",COUNTA($C$9:$C983))</f>
        <v/>
      </c>
      <c r="B983" s="10">
        <f>IF($C983="","","TXN-"&amp;RIGHT("0000"&amp;975,4))</f>
        <v/>
      </c>
      <c r="C983" s="11" t="n"/>
      <c r="D983" s="11" t="n"/>
      <c r="E983" s="12" t="n"/>
      <c r="F983" s="10">
        <f>IF($E983="","",IFERROR(IF(VLOOKUP(LEFT(UPPER(TRIM($E983)),6),BankTbl,2,0)="","(بدون عنوان)",VLOOKUP(LEFT(UPPER(TRIM($E983)),6),BankTbl,2,0)),"بانک ناشناخته"))</f>
        <v/>
      </c>
      <c r="G983" s="11" t="n"/>
      <c r="H983" s="10">
        <f>IF($G983="","",IFERROR(VLOOKUP($G983,CustTbl,2,0),IFERROR(VLOOKUP($G983,SuppTbl,2,0),IFERROR(VLOOKUP($G983,AcctTbl,2,0),IFERROR(VLOOKUP($G983,StaffTbl,2,0),"کد ناشناخته")))))</f>
        <v/>
      </c>
      <c r="I983" s="12" t="n"/>
      <c r="J983" s="12" t="n"/>
      <c r="K983" s="13" t="n"/>
      <c r="L983" s="13" t="n"/>
      <c r="M983" s="13" t="n"/>
      <c r="N983" s="14">
        <f>IF(OR($C983="",$E983="",Calc!$H983=""),"",IFERROR(VLOOKUP(LEFT(UPPER(TRIM($E983)),6),BankTbl,3,0),0)+SUMIFS(CalcDep,CalcBank,LEFT(UPPER(TRIM($E983)),6),CalcKey,"&lt;="&amp;Calc!$H983)-SUMIFS(CalcWit,CalcBank,LEFT(UPPER(TRIM($E983)),6),CalcKey,"&lt;="&amp;Calc!$H983))</f>
        <v/>
      </c>
      <c r="O983" s="10">
        <f>IF(OR($C983="",$M983=""),"",IF($N983="","؟",IF(ROUND($M983-$N983,0)=0,"√","×")))</f>
        <v/>
      </c>
      <c r="P983" s="12" t="n"/>
    </row>
    <row r="984">
      <c r="A984" s="10">
        <f>IF($C984="","",COUNTA($C$9:$C984))</f>
        <v/>
      </c>
      <c r="B984" s="10">
        <f>IF($C984="","","TXN-"&amp;RIGHT("0000"&amp;976,4))</f>
        <v/>
      </c>
      <c r="C984" s="11" t="n"/>
      <c r="D984" s="11" t="n"/>
      <c r="E984" s="12" t="n"/>
      <c r="F984" s="10">
        <f>IF($E984="","",IFERROR(IF(VLOOKUP(LEFT(UPPER(TRIM($E984)),6),BankTbl,2,0)="","(بدون عنوان)",VLOOKUP(LEFT(UPPER(TRIM($E984)),6),BankTbl,2,0)),"بانک ناشناخته"))</f>
        <v/>
      </c>
      <c r="G984" s="11" t="n"/>
      <c r="H984" s="10">
        <f>IF($G984="","",IFERROR(VLOOKUP($G984,CustTbl,2,0),IFERROR(VLOOKUP($G984,SuppTbl,2,0),IFERROR(VLOOKUP($G984,AcctTbl,2,0),IFERROR(VLOOKUP($G984,StaffTbl,2,0),"کد ناشناخته")))))</f>
        <v/>
      </c>
      <c r="I984" s="12" t="n"/>
      <c r="J984" s="12" t="n"/>
      <c r="K984" s="13" t="n"/>
      <c r="L984" s="13" t="n"/>
      <c r="M984" s="13" t="n"/>
      <c r="N984" s="14">
        <f>IF(OR($C984="",$E984="",Calc!$H984=""),"",IFERROR(VLOOKUP(LEFT(UPPER(TRIM($E984)),6),BankTbl,3,0),0)+SUMIFS(CalcDep,CalcBank,LEFT(UPPER(TRIM($E984)),6),CalcKey,"&lt;="&amp;Calc!$H984)-SUMIFS(CalcWit,CalcBank,LEFT(UPPER(TRIM($E984)),6),CalcKey,"&lt;="&amp;Calc!$H984))</f>
        <v/>
      </c>
      <c r="O984" s="10">
        <f>IF(OR($C984="",$M984=""),"",IF($N984="","؟",IF(ROUND($M984-$N984,0)=0,"√","×")))</f>
        <v/>
      </c>
      <c r="P984" s="12" t="n"/>
    </row>
    <row r="985">
      <c r="A985" s="10">
        <f>IF($C985="","",COUNTA($C$9:$C985))</f>
        <v/>
      </c>
      <c r="B985" s="10">
        <f>IF($C985="","","TXN-"&amp;RIGHT("0000"&amp;977,4))</f>
        <v/>
      </c>
      <c r="C985" s="11" t="n"/>
      <c r="D985" s="11" t="n"/>
      <c r="E985" s="12" t="n"/>
      <c r="F985" s="10">
        <f>IF($E985="","",IFERROR(IF(VLOOKUP(LEFT(UPPER(TRIM($E985)),6),BankTbl,2,0)="","(بدون عنوان)",VLOOKUP(LEFT(UPPER(TRIM($E985)),6),BankTbl,2,0)),"بانک ناشناخته"))</f>
        <v/>
      </c>
      <c r="G985" s="11" t="n"/>
      <c r="H985" s="10">
        <f>IF($G985="","",IFERROR(VLOOKUP($G985,CustTbl,2,0),IFERROR(VLOOKUP($G985,SuppTbl,2,0),IFERROR(VLOOKUP($G985,AcctTbl,2,0),IFERROR(VLOOKUP($G985,StaffTbl,2,0),"کد ناشناخته")))))</f>
        <v/>
      </c>
      <c r="I985" s="12" t="n"/>
      <c r="J985" s="12" t="n"/>
      <c r="K985" s="13" t="n"/>
      <c r="L985" s="13" t="n"/>
      <c r="M985" s="13" t="n"/>
      <c r="N985" s="14">
        <f>IF(OR($C985="",$E985="",Calc!$H985=""),"",IFERROR(VLOOKUP(LEFT(UPPER(TRIM($E985)),6),BankTbl,3,0),0)+SUMIFS(CalcDep,CalcBank,LEFT(UPPER(TRIM($E985)),6),CalcKey,"&lt;="&amp;Calc!$H985)-SUMIFS(CalcWit,CalcBank,LEFT(UPPER(TRIM($E985)),6),CalcKey,"&lt;="&amp;Calc!$H985))</f>
        <v/>
      </c>
      <c r="O985" s="10">
        <f>IF(OR($C985="",$M985=""),"",IF($N985="","؟",IF(ROUND($M985-$N985,0)=0,"√","×")))</f>
        <v/>
      </c>
      <c r="P985" s="12" t="n"/>
    </row>
    <row r="986">
      <c r="A986" s="10">
        <f>IF($C986="","",COUNTA($C$9:$C986))</f>
        <v/>
      </c>
      <c r="B986" s="10">
        <f>IF($C986="","","TXN-"&amp;RIGHT("0000"&amp;978,4))</f>
        <v/>
      </c>
      <c r="C986" s="11" t="n"/>
      <c r="D986" s="11" t="n"/>
      <c r="E986" s="12" t="n"/>
      <c r="F986" s="10">
        <f>IF($E986="","",IFERROR(IF(VLOOKUP(LEFT(UPPER(TRIM($E986)),6),BankTbl,2,0)="","(بدون عنوان)",VLOOKUP(LEFT(UPPER(TRIM($E986)),6),BankTbl,2,0)),"بانک ناشناخته"))</f>
        <v/>
      </c>
      <c r="G986" s="11" t="n"/>
      <c r="H986" s="10">
        <f>IF($G986="","",IFERROR(VLOOKUP($G986,CustTbl,2,0),IFERROR(VLOOKUP($G986,SuppTbl,2,0),IFERROR(VLOOKUP($G986,AcctTbl,2,0),IFERROR(VLOOKUP($G986,StaffTbl,2,0),"کد ناشناخته")))))</f>
        <v/>
      </c>
      <c r="I986" s="12" t="n"/>
      <c r="J986" s="12" t="n"/>
      <c r="K986" s="13" t="n"/>
      <c r="L986" s="13" t="n"/>
      <c r="M986" s="13" t="n"/>
      <c r="N986" s="14">
        <f>IF(OR($C986="",$E986="",Calc!$H986=""),"",IFERROR(VLOOKUP(LEFT(UPPER(TRIM($E986)),6),BankTbl,3,0),0)+SUMIFS(CalcDep,CalcBank,LEFT(UPPER(TRIM($E986)),6),CalcKey,"&lt;="&amp;Calc!$H986)-SUMIFS(CalcWit,CalcBank,LEFT(UPPER(TRIM($E986)),6),CalcKey,"&lt;="&amp;Calc!$H986))</f>
        <v/>
      </c>
      <c r="O986" s="10">
        <f>IF(OR($C986="",$M986=""),"",IF($N986="","؟",IF(ROUND($M986-$N986,0)=0,"√","×")))</f>
        <v/>
      </c>
      <c r="P986" s="12" t="n"/>
    </row>
    <row r="987">
      <c r="A987" s="10">
        <f>IF($C987="","",COUNTA($C$9:$C987))</f>
        <v/>
      </c>
      <c r="B987" s="10">
        <f>IF($C987="","","TXN-"&amp;RIGHT("0000"&amp;979,4))</f>
        <v/>
      </c>
      <c r="C987" s="11" t="n"/>
      <c r="D987" s="11" t="n"/>
      <c r="E987" s="12" t="n"/>
      <c r="F987" s="10">
        <f>IF($E987="","",IFERROR(IF(VLOOKUP(LEFT(UPPER(TRIM($E987)),6),BankTbl,2,0)="","(بدون عنوان)",VLOOKUP(LEFT(UPPER(TRIM($E987)),6),BankTbl,2,0)),"بانک ناشناخته"))</f>
        <v/>
      </c>
      <c r="G987" s="11" t="n"/>
      <c r="H987" s="10">
        <f>IF($G987="","",IFERROR(VLOOKUP($G987,CustTbl,2,0),IFERROR(VLOOKUP($G987,SuppTbl,2,0),IFERROR(VLOOKUP($G987,AcctTbl,2,0),IFERROR(VLOOKUP($G987,StaffTbl,2,0),"کد ناشناخته")))))</f>
        <v/>
      </c>
      <c r="I987" s="12" t="n"/>
      <c r="J987" s="12" t="n"/>
      <c r="K987" s="13" t="n"/>
      <c r="L987" s="13" t="n"/>
      <c r="M987" s="13" t="n"/>
      <c r="N987" s="14">
        <f>IF(OR($C987="",$E987="",Calc!$H987=""),"",IFERROR(VLOOKUP(LEFT(UPPER(TRIM($E987)),6),BankTbl,3,0),0)+SUMIFS(CalcDep,CalcBank,LEFT(UPPER(TRIM($E987)),6),CalcKey,"&lt;="&amp;Calc!$H987)-SUMIFS(CalcWit,CalcBank,LEFT(UPPER(TRIM($E987)),6),CalcKey,"&lt;="&amp;Calc!$H987))</f>
        <v/>
      </c>
      <c r="O987" s="10">
        <f>IF(OR($C987="",$M987=""),"",IF($N987="","؟",IF(ROUND($M987-$N987,0)=0,"√","×")))</f>
        <v/>
      </c>
      <c r="P987" s="12" t="n"/>
    </row>
    <row r="988">
      <c r="A988" s="10">
        <f>IF($C988="","",COUNTA($C$9:$C988))</f>
        <v/>
      </c>
      <c r="B988" s="10">
        <f>IF($C988="","","TXN-"&amp;RIGHT("0000"&amp;980,4))</f>
        <v/>
      </c>
      <c r="C988" s="11" t="n"/>
      <c r="D988" s="11" t="n"/>
      <c r="E988" s="12" t="n"/>
      <c r="F988" s="10">
        <f>IF($E988="","",IFERROR(IF(VLOOKUP(LEFT(UPPER(TRIM($E988)),6),BankTbl,2,0)="","(بدون عنوان)",VLOOKUP(LEFT(UPPER(TRIM($E988)),6),BankTbl,2,0)),"بانک ناشناخته"))</f>
        <v/>
      </c>
      <c r="G988" s="11" t="n"/>
      <c r="H988" s="10">
        <f>IF($G988="","",IFERROR(VLOOKUP($G988,CustTbl,2,0),IFERROR(VLOOKUP($G988,SuppTbl,2,0),IFERROR(VLOOKUP($G988,AcctTbl,2,0),IFERROR(VLOOKUP($G988,StaffTbl,2,0),"کد ناشناخته")))))</f>
        <v/>
      </c>
      <c r="I988" s="12" t="n"/>
      <c r="J988" s="12" t="n"/>
      <c r="K988" s="13" t="n"/>
      <c r="L988" s="13" t="n"/>
      <c r="M988" s="13" t="n"/>
      <c r="N988" s="14">
        <f>IF(OR($C988="",$E988="",Calc!$H988=""),"",IFERROR(VLOOKUP(LEFT(UPPER(TRIM($E988)),6),BankTbl,3,0),0)+SUMIFS(CalcDep,CalcBank,LEFT(UPPER(TRIM($E988)),6),CalcKey,"&lt;="&amp;Calc!$H988)-SUMIFS(CalcWit,CalcBank,LEFT(UPPER(TRIM($E988)),6),CalcKey,"&lt;="&amp;Calc!$H988))</f>
        <v/>
      </c>
      <c r="O988" s="10">
        <f>IF(OR($C988="",$M988=""),"",IF($N988="","؟",IF(ROUND($M988-$N988,0)=0,"√","×")))</f>
        <v/>
      </c>
      <c r="P988" s="12" t="n"/>
    </row>
    <row r="989">
      <c r="A989" s="10">
        <f>IF($C989="","",COUNTA($C$9:$C989))</f>
        <v/>
      </c>
      <c r="B989" s="10">
        <f>IF($C989="","","TXN-"&amp;RIGHT("0000"&amp;981,4))</f>
        <v/>
      </c>
      <c r="C989" s="11" t="n"/>
      <c r="D989" s="11" t="n"/>
      <c r="E989" s="12" t="n"/>
      <c r="F989" s="10">
        <f>IF($E989="","",IFERROR(IF(VLOOKUP(LEFT(UPPER(TRIM($E989)),6),BankTbl,2,0)="","(بدون عنوان)",VLOOKUP(LEFT(UPPER(TRIM($E989)),6),BankTbl,2,0)),"بانک ناشناخته"))</f>
        <v/>
      </c>
      <c r="G989" s="11" t="n"/>
      <c r="H989" s="10">
        <f>IF($G989="","",IFERROR(VLOOKUP($G989,CustTbl,2,0),IFERROR(VLOOKUP($G989,SuppTbl,2,0),IFERROR(VLOOKUP($G989,AcctTbl,2,0),IFERROR(VLOOKUP($G989,StaffTbl,2,0),"کد ناشناخته")))))</f>
        <v/>
      </c>
      <c r="I989" s="12" t="n"/>
      <c r="J989" s="12" t="n"/>
      <c r="K989" s="13" t="n"/>
      <c r="L989" s="13" t="n"/>
      <c r="M989" s="13" t="n"/>
      <c r="N989" s="14">
        <f>IF(OR($C989="",$E989="",Calc!$H989=""),"",IFERROR(VLOOKUP(LEFT(UPPER(TRIM($E989)),6),BankTbl,3,0),0)+SUMIFS(CalcDep,CalcBank,LEFT(UPPER(TRIM($E989)),6),CalcKey,"&lt;="&amp;Calc!$H989)-SUMIFS(CalcWit,CalcBank,LEFT(UPPER(TRIM($E989)),6),CalcKey,"&lt;="&amp;Calc!$H989))</f>
        <v/>
      </c>
      <c r="O989" s="10">
        <f>IF(OR($C989="",$M989=""),"",IF($N989="","؟",IF(ROUND($M989-$N989,0)=0,"√","×")))</f>
        <v/>
      </c>
      <c r="P989" s="12" t="n"/>
    </row>
    <row r="990">
      <c r="A990" s="10">
        <f>IF($C990="","",COUNTA($C$9:$C990))</f>
        <v/>
      </c>
      <c r="B990" s="10">
        <f>IF($C990="","","TXN-"&amp;RIGHT("0000"&amp;982,4))</f>
        <v/>
      </c>
      <c r="C990" s="11" t="n"/>
      <c r="D990" s="11" t="n"/>
      <c r="E990" s="12" t="n"/>
      <c r="F990" s="10">
        <f>IF($E990="","",IFERROR(IF(VLOOKUP(LEFT(UPPER(TRIM($E990)),6),BankTbl,2,0)="","(بدون عنوان)",VLOOKUP(LEFT(UPPER(TRIM($E990)),6),BankTbl,2,0)),"بانک ناشناخته"))</f>
        <v/>
      </c>
      <c r="G990" s="11" t="n"/>
      <c r="H990" s="10">
        <f>IF($G990="","",IFERROR(VLOOKUP($G990,CustTbl,2,0),IFERROR(VLOOKUP($G990,SuppTbl,2,0),IFERROR(VLOOKUP($G990,AcctTbl,2,0),IFERROR(VLOOKUP($G990,StaffTbl,2,0),"کد ناشناخته")))))</f>
        <v/>
      </c>
      <c r="I990" s="12" t="n"/>
      <c r="J990" s="12" t="n"/>
      <c r="K990" s="13" t="n"/>
      <c r="L990" s="13" t="n"/>
      <c r="M990" s="13" t="n"/>
      <c r="N990" s="14">
        <f>IF(OR($C990="",$E990="",Calc!$H990=""),"",IFERROR(VLOOKUP(LEFT(UPPER(TRIM($E990)),6),BankTbl,3,0),0)+SUMIFS(CalcDep,CalcBank,LEFT(UPPER(TRIM($E990)),6),CalcKey,"&lt;="&amp;Calc!$H990)-SUMIFS(CalcWit,CalcBank,LEFT(UPPER(TRIM($E990)),6),CalcKey,"&lt;="&amp;Calc!$H990))</f>
        <v/>
      </c>
      <c r="O990" s="10">
        <f>IF(OR($C990="",$M990=""),"",IF($N990="","؟",IF(ROUND($M990-$N990,0)=0,"√","×")))</f>
        <v/>
      </c>
      <c r="P990" s="12" t="n"/>
    </row>
    <row r="991">
      <c r="A991" s="10">
        <f>IF($C991="","",COUNTA($C$9:$C991))</f>
        <v/>
      </c>
      <c r="B991" s="10">
        <f>IF($C991="","","TXN-"&amp;RIGHT("0000"&amp;983,4))</f>
        <v/>
      </c>
      <c r="C991" s="11" t="n"/>
      <c r="D991" s="11" t="n"/>
      <c r="E991" s="12" t="n"/>
      <c r="F991" s="10">
        <f>IF($E991="","",IFERROR(IF(VLOOKUP(LEFT(UPPER(TRIM($E991)),6),BankTbl,2,0)="","(بدون عنوان)",VLOOKUP(LEFT(UPPER(TRIM($E991)),6),BankTbl,2,0)),"بانک ناشناخته"))</f>
        <v/>
      </c>
      <c r="G991" s="11" t="n"/>
      <c r="H991" s="10">
        <f>IF($G991="","",IFERROR(VLOOKUP($G991,CustTbl,2,0),IFERROR(VLOOKUP($G991,SuppTbl,2,0),IFERROR(VLOOKUP($G991,AcctTbl,2,0),IFERROR(VLOOKUP($G991,StaffTbl,2,0),"کد ناشناخته")))))</f>
        <v/>
      </c>
      <c r="I991" s="12" t="n"/>
      <c r="J991" s="12" t="n"/>
      <c r="K991" s="13" t="n"/>
      <c r="L991" s="13" t="n"/>
      <c r="M991" s="13" t="n"/>
      <c r="N991" s="14">
        <f>IF(OR($C991="",$E991="",Calc!$H991=""),"",IFERROR(VLOOKUP(LEFT(UPPER(TRIM($E991)),6),BankTbl,3,0),0)+SUMIFS(CalcDep,CalcBank,LEFT(UPPER(TRIM($E991)),6),CalcKey,"&lt;="&amp;Calc!$H991)-SUMIFS(CalcWit,CalcBank,LEFT(UPPER(TRIM($E991)),6),CalcKey,"&lt;="&amp;Calc!$H991))</f>
        <v/>
      </c>
      <c r="O991" s="10">
        <f>IF(OR($C991="",$M991=""),"",IF($N991="","؟",IF(ROUND($M991-$N991,0)=0,"√","×")))</f>
        <v/>
      </c>
      <c r="P991" s="12" t="n"/>
    </row>
    <row r="992">
      <c r="A992" s="10">
        <f>IF($C992="","",COUNTA($C$9:$C992))</f>
        <v/>
      </c>
      <c r="B992" s="10">
        <f>IF($C992="","","TXN-"&amp;RIGHT("0000"&amp;984,4))</f>
        <v/>
      </c>
      <c r="C992" s="11" t="n"/>
      <c r="D992" s="11" t="n"/>
      <c r="E992" s="12" t="n"/>
      <c r="F992" s="10">
        <f>IF($E992="","",IFERROR(IF(VLOOKUP(LEFT(UPPER(TRIM($E992)),6),BankTbl,2,0)="","(بدون عنوان)",VLOOKUP(LEFT(UPPER(TRIM($E992)),6),BankTbl,2,0)),"بانک ناشناخته"))</f>
        <v/>
      </c>
      <c r="G992" s="11" t="n"/>
      <c r="H992" s="10">
        <f>IF($G992="","",IFERROR(VLOOKUP($G992,CustTbl,2,0),IFERROR(VLOOKUP($G992,SuppTbl,2,0),IFERROR(VLOOKUP($G992,AcctTbl,2,0),IFERROR(VLOOKUP($G992,StaffTbl,2,0),"کد ناشناخته")))))</f>
        <v/>
      </c>
      <c r="I992" s="12" t="n"/>
      <c r="J992" s="12" t="n"/>
      <c r="K992" s="13" t="n"/>
      <c r="L992" s="13" t="n"/>
      <c r="M992" s="13" t="n"/>
      <c r="N992" s="14">
        <f>IF(OR($C992="",$E992="",Calc!$H992=""),"",IFERROR(VLOOKUP(LEFT(UPPER(TRIM($E992)),6),BankTbl,3,0),0)+SUMIFS(CalcDep,CalcBank,LEFT(UPPER(TRIM($E992)),6),CalcKey,"&lt;="&amp;Calc!$H992)-SUMIFS(CalcWit,CalcBank,LEFT(UPPER(TRIM($E992)),6),CalcKey,"&lt;="&amp;Calc!$H992))</f>
        <v/>
      </c>
      <c r="O992" s="10">
        <f>IF(OR($C992="",$M992=""),"",IF($N992="","؟",IF(ROUND($M992-$N992,0)=0,"√","×")))</f>
        <v/>
      </c>
      <c r="P992" s="12" t="n"/>
    </row>
    <row r="993">
      <c r="A993" s="10">
        <f>IF($C993="","",COUNTA($C$9:$C993))</f>
        <v/>
      </c>
      <c r="B993" s="10">
        <f>IF($C993="","","TXN-"&amp;RIGHT("0000"&amp;985,4))</f>
        <v/>
      </c>
      <c r="C993" s="11" t="n"/>
      <c r="D993" s="11" t="n"/>
      <c r="E993" s="12" t="n"/>
      <c r="F993" s="10">
        <f>IF($E993="","",IFERROR(IF(VLOOKUP(LEFT(UPPER(TRIM($E993)),6),BankTbl,2,0)="","(بدون عنوان)",VLOOKUP(LEFT(UPPER(TRIM($E993)),6),BankTbl,2,0)),"بانک ناشناخته"))</f>
        <v/>
      </c>
      <c r="G993" s="11" t="n"/>
      <c r="H993" s="10">
        <f>IF($G993="","",IFERROR(VLOOKUP($G993,CustTbl,2,0),IFERROR(VLOOKUP($G993,SuppTbl,2,0),IFERROR(VLOOKUP($G993,AcctTbl,2,0),IFERROR(VLOOKUP($G993,StaffTbl,2,0),"کد ناشناخته")))))</f>
        <v/>
      </c>
      <c r="I993" s="12" t="n"/>
      <c r="J993" s="12" t="n"/>
      <c r="K993" s="13" t="n"/>
      <c r="L993" s="13" t="n"/>
      <c r="M993" s="13" t="n"/>
      <c r="N993" s="14">
        <f>IF(OR($C993="",$E993="",Calc!$H993=""),"",IFERROR(VLOOKUP(LEFT(UPPER(TRIM($E993)),6),BankTbl,3,0),0)+SUMIFS(CalcDep,CalcBank,LEFT(UPPER(TRIM($E993)),6),CalcKey,"&lt;="&amp;Calc!$H993)-SUMIFS(CalcWit,CalcBank,LEFT(UPPER(TRIM($E993)),6),CalcKey,"&lt;="&amp;Calc!$H993))</f>
        <v/>
      </c>
      <c r="O993" s="10">
        <f>IF(OR($C993="",$M993=""),"",IF($N993="","؟",IF(ROUND($M993-$N993,0)=0,"√","×")))</f>
        <v/>
      </c>
      <c r="P993" s="12" t="n"/>
    </row>
    <row r="994">
      <c r="A994" s="10">
        <f>IF($C994="","",COUNTA($C$9:$C994))</f>
        <v/>
      </c>
      <c r="B994" s="10">
        <f>IF($C994="","","TXN-"&amp;RIGHT("0000"&amp;986,4))</f>
        <v/>
      </c>
      <c r="C994" s="11" t="n"/>
      <c r="D994" s="11" t="n"/>
      <c r="E994" s="12" t="n"/>
      <c r="F994" s="10">
        <f>IF($E994="","",IFERROR(IF(VLOOKUP(LEFT(UPPER(TRIM($E994)),6),BankTbl,2,0)="","(بدون عنوان)",VLOOKUP(LEFT(UPPER(TRIM($E994)),6),BankTbl,2,0)),"بانک ناشناخته"))</f>
        <v/>
      </c>
      <c r="G994" s="11" t="n"/>
      <c r="H994" s="10">
        <f>IF($G994="","",IFERROR(VLOOKUP($G994,CustTbl,2,0),IFERROR(VLOOKUP($G994,SuppTbl,2,0),IFERROR(VLOOKUP($G994,AcctTbl,2,0),IFERROR(VLOOKUP($G994,StaffTbl,2,0),"کد ناشناخته")))))</f>
        <v/>
      </c>
      <c r="I994" s="12" t="n"/>
      <c r="J994" s="12" t="n"/>
      <c r="K994" s="13" t="n"/>
      <c r="L994" s="13" t="n"/>
      <c r="M994" s="13" t="n"/>
      <c r="N994" s="14">
        <f>IF(OR($C994="",$E994="",Calc!$H994=""),"",IFERROR(VLOOKUP(LEFT(UPPER(TRIM($E994)),6),BankTbl,3,0),0)+SUMIFS(CalcDep,CalcBank,LEFT(UPPER(TRIM($E994)),6),CalcKey,"&lt;="&amp;Calc!$H994)-SUMIFS(CalcWit,CalcBank,LEFT(UPPER(TRIM($E994)),6),CalcKey,"&lt;="&amp;Calc!$H994))</f>
        <v/>
      </c>
      <c r="O994" s="10">
        <f>IF(OR($C994="",$M994=""),"",IF($N994="","؟",IF(ROUND($M994-$N994,0)=0,"√","×")))</f>
        <v/>
      </c>
      <c r="P994" s="12" t="n"/>
    </row>
    <row r="995">
      <c r="A995" s="10">
        <f>IF($C995="","",COUNTA($C$9:$C995))</f>
        <v/>
      </c>
      <c r="B995" s="10">
        <f>IF($C995="","","TXN-"&amp;RIGHT("0000"&amp;987,4))</f>
        <v/>
      </c>
      <c r="C995" s="11" t="n"/>
      <c r="D995" s="11" t="n"/>
      <c r="E995" s="12" t="n"/>
      <c r="F995" s="10">
        <f>IF($E995="","",IFERROR(IF(VLOOKUP(LEFT(UPPER(TRIM($E995)),6),BankTbl,2,0)="","(بدون عنوان)",VLOOKUP(LEFT(UPPER(TRIM($E995)),6),BankTbl,2,0)),"بانک ناشناخته"))</f>
        <v/>
      </c>
      <c r="G995" s="11" t="n"/>
      <c r="H995" s="10">
        <f>IF($G995="","",IFERROR(VLOOKUP($G995,CustTbl,2,0),IFERROR(VLOOKUP($G995,SuppTbl,2,0),IFERROR(VLOOKUP($G995,AcctTbl,2,0),IFERROR(VLOOKUP($G995,StaffTbl,2,0),"کد ناشناخته")))))</f>
        <v/>
      </c>
      <c r="I995" s="12" t="n"/>
      <c r="J995" s="12" t="n"/>
      <c r="K995" s="13" t="n"/>
      <c r="L995" s="13" t="n"/>
      <c r="M995" s="13" t="n"/>
      <c r="N995" s="14">
        <f>IF(OR($C995="",$E995="",Calc!$H995=""),"",IFERROR(VLOOKUP(LEFT(UPPER(TRIM($E995)),6),BankTbl,3,0),0)+SUMIFS(CalcDep,CalcBank,LEFT(UPPER(TRIM($E995)),6),CalcKey,"&lt;="&amp;Calc!$H995)-SUMIFS(CalcWit,CalcBank,LEFT(UPPER(TRIM($E995)),6),CalcKey,"&lt;="&amp;Calc!$H995))</f>
        <v/>
      </c>
      <c r="O995" s="10">
        <f>IF(OR($C995="",$M995=""),"",IF($N995="","؟",IF(ROUND($M995-$N995,0)=0,"√","×")))</f>
        <v/>
      </c>
      <c r="P995" s="12" t="n"/>
    </row>
    <row r="996">
      <c r="A996" s="10">
        <f>IF($C996="","",COUNTA($C$9:$C996))</f>
        <v/>
      </c>
      <c r="B996" s="10">
        <f>IF($C996="","","TXN-"&amp;RIGHT("0000"&amp;988,4))</f>
        <v/>
      </c>
      <c r="C996" s="11" t="n"/>
      <c r="D996" s="11" t="n"/>
      <c r="E996" s="12" t="n"/>
      <c r="F996" s="10">
        <f>IF($E996="","",IFERROR(IF(VLOOKUP(LEFT(UPPER(TRIM($E996)),6),BankTbl,2,0)="","(بدون عنوان)",VLOOKUP(LEFT(UPPER(TRIM($E996)),6),BankTbl,2,0)),"بانک ناشناخته"))</f>
        <v/>
      </c>
      <c r="G996" s="11" t="n"/>
      <c r="H996" s="10">
        <f>IF($G996="","",IFERROR(VLOOKUP($G996,CustTbl,2,0),IFERROR(VLOOKUP($G996,SuppTbl,2,0),IFERROR(VLOOKUP($G996,AcctTbl,2,0),IFERROR(VLOOKUP($G996,StaffTbl,2,0),"کد ناشناخته")))))</f>
        <v/>
      </c>
      <c r="I996" s="12" t="n"/>
      <c r="J996" s="12" t="n"/>
      <c r="K996" s="13" t="n"/>
      <c r="L996" s="13" t="n"/>
      <c r="M996" s="13" t="n"/>
      <c r="N996" s="14">
        <f>IF(OR($C996="",$E996="",Calc!$H996=""),"",IFERROR(VLOOKUP(LEFT(UPPER(TRIM($E996)),6),BankTbl,3,0),0)+SUMIFS(CalcDep,CalcBank,LEFT(UPPER(TRIM($E996)),6),CalcKey,"&lt;="&amp;Calc!$H996)-SUMIFS(CalcWit,CalcBank,LEFT(UPPER(TRIM($E996)),6),CalcKey,"&lt;="&amp;Calc!$H996))</f>
        <v/>
      </c>
      <c r="O996" s="10">
        <f>IF(OR($C996="",$M996=""),"",IF($N996="","؟",IF(ROUND($M996-$N996,0)=0,"√","×")))</f>
        <v/>
      </c>
      <c r="P996" s="12" t="n"/>
    </row>
    <row r="997">
      <c r="A997" s="10">
        <f>IF($C997="","",COUNTA($C$9:$C997))</f>
        <v/>
      </c>
      <c r="B997" s="10">
        <f>IF($C997="","","TXN-"&amp;RIGHT("0000"&amp;989,4))</f>
        <v/>
      </c>
      <c r="C997" s="11" t="n"/>
      <c r="D997" s="11" t="n"/>
      <c r="E997" s="12" t="n"/>
      <c r="F997" s="10">
        <f>IF($E997="","",IFERROR(IF(VLOOKUP(LEFT(UPPER(TRIM($E997)),6),BankTbl,2,0)="","(بدون عنوان)",VLOOKUP(LEFT(UPPER(TRIM($E997)),6),BankTbl,2,0)),"بانک ناشناخته"))</f>
        <v/>
      </c>
      <c r="G997" s="11" t="n"/>
      <c r="H997" s="10">
        <f>IF($G997="","",IFERROR(VLOOKUP($G997,CustTbl,2,0),IFERROR(VLOOKUP($G997,SuppTbl,2,0),IFERROR(VLOOKUP($G997,AcctTbl,2,0),IFERROR(VLOOKUP($G997,StaffTbl,2,0),"کد ناشناخته")))))</f>
        <v/>
      </c>
      <c r="I997" s="12" t="n"/>
      <c r="J997" s="12" t="n"/>
      <c r="K997" s="13" t="n"/>
      <c r="L997" s="13" t="n"/>
      <c r="M997" s="13" t="n"/>
      <c r="N997" s="14">
        <f>IF(OR($C997="",$E997="",Calc!$H997=""),"",IFERROR(VLOOKUP(LEFT(UPPER(TRIM($E997)),6),BankTbl,3,0),0)+SUMIFS(CalcDep,CalcBank,LEFT(UPPER(TRIM($E997)),6),CalcKey,"&lt;="&amp;Calc!$H997)-SUMIFS(CalcWit,CalcBank,LEFT(UPPER(TRIM($E997)),6),CalcKey,"&lt;="&amp;Calc!$H997))</f>
        <v/>
      </c>
      <c r="O997" s="10">
        <f>IF(OR($C997="",$M997=""),"",IF($N997="","؟",IF(ROUND($M997-$N997,0)=0,"√","×")))</f>
        <v/>
      </c>
      <c r="P997" s="12" t="n"/>
    </row>
    <row r="998">
      <c r="A998" s="10">
        <f>IF($C998="","",COUNTA($C$9:$C998))</f>
        <v/>
      </c>
      <c r="B998" s="10">
        <f>IF($C998="","","TXN-"&amp;RIGHT("0000"&amp;990,4))</f>
        <v/>
      </c>
      <c r="C998" s="11" t="n"/>
      <c r="D998" s="11" t="n"/>
      <c r="E998" s="12" t="n"/>
      <c r="F998" s="10">
        <f>IF($E998="","",IFERROR(IF(VLOOKUP(LEFT(UPPER(TRIM($E998)),6),BankTbl,2,0)="","(بدون عنوان)",VLOOKUP(LEFT(UPPER(TRIM($E998)),6),BankTbl,2,0)),"بانک ناشناخته"))</f>
        <v/>
      </c>
      <c r="G998" s="11" t="n"/>
      <c r="H998" s="10">
        <f>IF($G998="","",IFERROR(VLOOKUP($G998,CustTbl,2,0),IFERROR(VLOOKUP($G998,SuppTbl,2,0),IFERROR(VLOOKUP($G998,AcctTbl,2,0),IFERROR(VLOOKUP($G998,StaffTbl,2,0),"کد ناشناخته")))))</f>
        <v/>
      </c>
      <c r="I998" s="12" t="n"/>
      <c r="J998" s="12" t="n"/>
      <c r="K998" s="13" t="n"/>
      <c r="L998" s="13" t="n"/>
      <c r="M998" s="13" t="n"/>
      <c r="N998" s="14">
        <f>IF(OR($C998="",$E998="",Calc!$H998=""),"",IFERROR(VLOOKUP(LEFT(UPPER(TRIM($E998)),6),BankTbl,3,0),0)+SUMIFS(CalcDep,CalcBank,LEFT(UPPER(TRIM($E998)),6),CalcKey,"&lt;="&amp;Calc!$H998)-SUMIFS(CalcWit,CalcBank,LEFT(UPPER(TRIM($E998)),6),CalcKey,"&lt;="&amp;Calc!$H998))</f>
        <v/>
      </c>
      <c r="O998" s="10">
        <f>IF(OR($C998="",$M998=""),"",IF($N998="","؟",IF(ROUND($M998-$N998,0)=0,"√","×")))</f>
        <v/>
      </c>
      <c r="P998" s="12" t="n"/>
    </row>
    <row r="999">
      <c r="A999" s="10">
        <f>IF($C999="","",COUNTA($C$9:$C999))</f>
        <v/>
      </c>
      <c r="B999" s="10">
        <f>IF($C999="","","TXN-"&amp;RIGHT("0000"&amp;991,4))</f>
        <v/>
      </c>
      <c r="C999" s="11" t="n"/>
      <c r="D999" s="11" t="n"/>
      <c r="E999" s="12" t="n"/>
      <c r="F999" s="10">
        <f>IF($E999="","",IFERROR(IF(VLOOKUP(LEFT(UPPER(TRIM($E999)),6),BankTbl,2,0)="","(بدون عنوان)",VLOOKUP(LEFT(UPPER(TRIM($E999)),6),BankTbl,2,0)),"بانک ناشناخته"))</f>
        <v/>
      </c>
      <c r="G999" s="11" t="n"/>
      <c r="H999" s="10">
        <f>IF($G999="","",IFERROR(VLOOKUP($G999,CustTbl,2,0),IFERROR(VLOOKUP($G999,SuppTbl,2,0),IFERROR(VLOOKUP($G999,AcctTbl,2,0),IFERROR(VLOOKUP($G999,StaffTbl,2,0),"کد ناشناخته")))))</f>
        <v/>
      </c>
      <c r="I999" s="12" t="n"/>
      <c r="J999" s="12" t="n"/>
      <c r="K999" s="13" t="n"/>
      <c r="L999" s="13" t="n"/>
      <c r="M999" s="13" t="n"/>
      <c r="N999" s="14">
        <f>IF(OR($C999="",$E999="",Calc!$H999=""),"",IFERROR(VLOOKUP(LEFT(UPPER(TRIM($E999)),6),BankTbl,3,0),0)+SUMIFS(CalcDep,CalcBank,LEFT(UPPER(TRIM($E999)),6),CalcKey,"&lt;="&amp;Calc!$H999)-SUMIFS(CalcWit,CalcBank,LEFT(UPPER(TRIM($E999)),6),CalcKey,"&lt;="&amp;Calc!$H999))</f>
        <v/>
      </c>
      <c r="O999" s="10">
        <f>IF(OR($C999="",$M999=""),"",IF($N999="","؟",IF(ROUND($M999-$N999,0)=0,"√","×")))</f>
        <v/>
      </c>
      <c r="P999" s="12" t="n"/>
    </row>
    <row r="1000">
      <c r="A1000" s="10">
        <f>IF($C1000="","",COUNTA($C$9:$C1000))</f>
        <v/>
      </c>
      <c r="B1000" s="10">
        <f>IF($C1000="","","TXN-"&amp;RIGHT("0000"&amp;992,4))</f>
        <v/>
      </c>
      <c r="C1000" s="11" t="n"/>
      <c r="D1000" s="11" t="n"/>
      <c r="E1000" s="12" t="n"/>
      <c r="F1000" s="10">
        <f>IF($E1000="","",IFERROR(IF(VLOOKUP(LEFT(UPPER(TRIM($E1000)),6),BankTbl,2,0)="","(بدون عنوان)",VLOOKUP(LEFT(UPPER(TRIM($E1000)),6),BankTbl,2,0)),"بانک ناشناخته"))</f>
        <v/>
      </c>
      <c r="G1000" s="11" t="n"/>
      <c r="H1000" s="10">
        <f>IF($G1000="","",IFERROR(VLOOKUP($G1000,CustTbl,2,0),IFERROR(VLOOKUP($G1000,SuppTbl,2,0),IFERROR(VLOOKUP($G1000,AcctTbl,2,0),IFERROR(VLOOKUP($G1000,StaffTbl,2,0),"کد ناشناخته")))))</f>
        <v/>
      </c>
      <c r="I1000" s="12" t="n"/>
      <c r="J1000" s="12" t="n"/>
      <c r="K1000" s="13" t="n"/>
      <c r="L1000" s="13" t="n"/>
      <c r="M1000" s="13" t="n"/>
      <c r="N1000" s="14">
        <f>IF(OR($C1000="",$E1000="",Calc!$H1000=""),"",IFERROR(VLOOKUP(LEFT(UPPER(TRIM($E1000)),6),BankTbl,3,0),0)+SUMIFS(CalcDep,CalcBank,LEFT(UPPER(TRIM($E1000)),6),CalcKey,"&lt;="&amp;Calc!$H1000)-SUMIFS(CalcWit,CalcBank,LEFT(UPPER(TRIM($E1000)),6),CalcKey,"&lt;="&amp;Calc!$H1000))</f>
        <v/>
      </c>
      <c r="O1000" s="10">
        <f>IF(OR($C1000="",$M1000=""),"",IF($N1000="","؟",IF(ROUND($M1000-$N1000,0)=0,"√","×")))</f>
        <v/>
      </c>
      <c r="P1000" s="12" t="n"/>
    </row>
    <row r="1001">
      <c r="A1001" s="10">
        <f>IF($C1001="","",COUNTA($C$9:$C1001))</f>
        <v/>
      </c>
      <c r="B1001" s="10">
        <f>IF($C1001="","","TXN-"&amp;RIGHT("0000"&amp;993,4))</f>
        <v/>
      </c>
      <c r="C1001" s="11" t="n"/>
      <c r="D1001" s="11" t="n"/>
      <c r="E1001" s="12" t="n"/>
      <c r="F1001" s="10">
        <f>IF($E1001="","",IFERROR(IF(VLOOKUP(LEFT(UPPER(TRIM($E1001)),6),BankTbl,2,0)="","(بدون عنوان)",VLOOKUP(LEFT(UPPER(TRIM($E1001)),6),BankTbl,2,0)),"بانک ناشناخته"))</f>
        <v/>
      </c>
      <c r="G1001" s="11" t="n"/>
      <c r="H1001" s="10">
        <f>IF($G1001="","",IFERROR(VLOOKUP($G1001,CustTbl,2,0),IFERROR(VLOOKUP($G1001,SuppTbl,2,0),IFERROR(VLOOKUP($G1001,AcctTbl,2,0),IFERROR(VLOOKUP($G1001,StaffTbl,2,0),"کد ناشناخته")))))</f>
        <v/>
      </c>
      <c r="I1001" s="12" t="n"/>
      <c r="J1001" s="12" t="n"/>
      <c r="K1001" s="13" t="n"/>
      <c r="L1001" s="13" t="n"/>
      <c r="M1001" s="13" t="n"/>
      <c r="N1001" s="14">
        <f>IF(OR($C1001="",$E1001="",Calc!$H1001=""),"",IFERROR(VLOOKUP(LEFT(UPPER(TRIM($E1001)),6),BankTbl,3,0),0)+SUMIFS(CalcDep,CalcBank,LEFT(UPPER(TRIM($E1001)),6),CalcKey,"&lt;="&amp;Calc!$H1001)-SUMIFS(CalcWit,CalcBank,LEFT(UPPER(TRIM($E1001)),6),CalcKey,"&lt;="&amp;Calc!$H1001))</f>
        <v/>
      </c>
      <c r="O1001" s="10">
        <f>IF(OR($C1001="",$M1001=""),"",IF($N1001="","؟",IF(ROUND($M1001-$N1001,0)=0,"√","×")))</f>
        <v/>
      </c>
      <c r="P1001" s="12" t="n"/>
    </row>
    <row r="1002">
      <c r="A1002" s="10">
        <f>IF($C1002="","",COUNTA($C$9:$C1002))</f>
        <v/>
      </c>
      <c r="B1002" s="10">
        <f>IF($C1002="","","TXN-"&amp;RIGHT("0000"&amp;994,4))</f>
        <v/>
      </c>
      <c r="C1002" s="11" t="n"/>
      <c r="D1002" s="11" t="n"/>
      <c r="E1002" s="12" t="n"/>
      <c r="F1002" s="10">
        <f>IF($E1002="","",IFERROR(IF(VLOOKUP(LEFT(UPPER(TRIM($E1002)),6),BankTbl,2,0)="","(بدون عنوان)",VLOOKUP(LEFT(UPPER(TRIM($E1002)),6),BankTbl,2,0)),"بانک ناشناخته"))</f>
        <v/>
      </c>
      <c r="G1002" s="11" t="n"/>
      <c r="H1002" s="10">
        <f>IF($G1002="","",IFERROR(VLOOKUP($G1002,CustTbl,2,0),IFERROR(VLOOKUP($G1002,SuppTbl,2,0),IFERROR(VLOOKUP($G1002,AcctTbl,2,0),IFERROR(VLOOKUP($G1002,StaffTbl,2,0),"کد ناشناخته")))))</f>
        <v/>
      </c>
      <c r="I1002" s="12" t="n"/>
      <c r="J1002" s="12" t="n"/>
      <c r="K1002" s="13" t="n"/>
      <c r="L1002" s="13" t="n"/>
      <c r="M1002" s="13" t="n"/>
      <c r="N1002" s="14">
        <f>IF(OR($C1002="",$E1002="",Calc!$H1002=""),"",IFERROR(VLOOKUP(LEFT(UPPER(TRIM($E1002)),6),BankTbl,3,0),0)+SUMIFS(CalcDep,CalcBank,LEFT(UPPER(TRIM($E1002)),6),CalcKey,"&lt;="&amp;Calc!$H1002)-SUMIFS(CalcWit,CalcBank,LEFT(UPPER(TRIM($E1002)),6),CalcKey,"&lt;="&amp;Calc!$H1002))</f>
        <v/>
      </c>
      <c r="O1002" s="10">
        <f>IF(OR($C1002="",$M1002=""),"",IF($N1002="","؟",IF(ROUND($M1002-$N1002,0)=0,"√","×")))</f>
        <v/>
      </c>
      <c r="P1002" s="12" t="n"/>
    </row>
    <row r="1003">
      <c r="A1003" s="10">
        <f>IF($C1003="","",COUNTA($C$9:$C1003))</f>
        <v/>
      </c>
      <c r="B1003" s="10">
        <f>IF($C1003="","","TXN-"&amp;RIGHT("0000"&amp;995,4))</f>
        <v/>
      </c>
      <c r="C1003" s="11" t="n"/>
      <c r="D1003" s="11" t="n"/>
      <c r="E1003" s="12" t="n"/>
      <c r="F1003" s="10">
        <f>IF($E1003="","",IFERROR(IF(VLOOKUP(LEFT(UPPER(TRIM($E1003)),6),BankTbl,2,0)="","(بدون عنوان)",VLOOKUP(LEFT(UPPER(TRIM($E1003)),6),BankTbl,2,0)),"بانک ناشناخته"))</f>
        <v/>
      </c>
      <c r="G1003" s="11" t="n"/>
      <c r="H1003" s="10">
        <f>IF($G1003="","",IFERROR(VLOOKUP($G1003,CustTbl,2,0),IFERROR(VLOOKUP($G1003,SuppTbl,2,0),IFERROR(VLOOKUP($G1003,AcctTbl,2,0),IFERROR(VLOOKUP($G1003,StaffTbl,2,0),"کد ناشناخته")))))</f>
        <v/>
      </c>
      <c r="I1003" s="12" t="n"/>
      <c r="J1003" s="12" t="n"/>
      <c r="K1003" s="13" t="n"/>
      <c r="L1003" s="13" t="n"/>
      <c r="M1003" s="13" t="n"/>
      <c r="N1003" s="14">
        <f>IF(OR($C1003="",$E1003="",Calc!$H1003=""),"",IFERROR(VLOOKUP(LEFT(UPPER(TRIM($E1003)),6),BankTbl,3,0),0)+SUMIFS(CalcDep,CalcBank,LEFT(UPPER(TRIM($E1003)),6),CalcKey,"&lt;="&amp;Calc!$H1003)-SUMIFS(CalcWit,CalcBank,LEFT(UPPER(TRIM($E1003)),6),CalcKey,"&lt;="&amp;Calc!$H1003))</f>
        <v/>
      </c>
      <c r="O1003" s="10">
        <f>IF(OR($C1003="",$M1003=""),"",IF($N1003="","؟",IF(ROUND($M1003-$N1003,0)=0,"√","×")))</f>
        <v/>
      </c>
      <c r="P1003" s="12" t="n"/>
    </row>
    <row r="1004">
      <c r="A1004" s="10">
        <f>IF($C1004="","",COUNTA($C$9:$C1004))</f>
        <v/>
      </c>
      <c r="B1004" s="10">
        <f>IF($C1004="","","TXN-"&amp;RIGHT("0000"&amp;996,4))</f>
        <v/>
      </c>
      <c r="C1004" s="11" t="n"/>
      <c r="D1004" s="11" t="n"/>
      <c r="E1004" s="12" t="n"/>
      <c r="F1004" s="10">
        <f>IF($E1004="","",IFERROR(IF(VLOOKUP(LEFT(UPPER(TRIM($E1004)),6),BankTbl,2,0)="","(بدون عنوان)",VLOOKUP(LEFT(UPPER(TRIM($E1004)),6),BankTbl,2,0)),"بانک ناشناخته"))</f>
        <v/>
      </c>
      <c r="G1004" s="11" t="n"/>
      <c r="H1004" s="10">
        <f>IF($G1004="","",IFERROR(VLOOKUP($G1004,CustTbl,2,0),IFERROR(VLOOKUP($G1004,SuppTbl,2,0),IFERROR(VLOOKUP($G1004,AcctTbl,2,0),IFERROR(VLOOKUP($G1004,StaffTbl,2,0),"کد ناشناخته")))))</f>
        <v/>
      </c>
      <c r="I1004" s="12" t="n"/>
      <c r="J1004" s="12" t="n"/>
      <c r="K1004" s="13" t="n"/>
      <c r="L1004" s="13" t="n"/>
      <c r="M1004" s="13" t="n"/>
      <c r="N1004" s="14">
        <f>IF(OR($C1004="",$E1004="",Calc!$H1004=""),"",IFERROR(VLOOKUP(LEFT(UPPER(TRIM($E1004)),6),BankTbl,3,0),0)+SUMIFS(CalcDep,CalcBank,LEFT(UPPER(TRIM($E1004)),6),CalcKey,"&lt;="&amp;Calc!$H1004)-SUMIFS(CalcWit,CalcBank,LEFT(UPPER(TRIM($E1004)),6),CalcKey,"&lt;="&amp;Calc!$H1004))</f>
        <v/>
      </c>
      <c r="O1004" s="10">
        <f>IF(OR($C1004="",$M1004=""),"",IF($N1004="","؟",IF(ROUND($M1004-$N1004,0)=0,"√","×")))</f>
        <v/>
      </c>
      <c r="P1004" s="12" t="n"/>
    </row>
    <row r="1005">
      <c r="A1005" s="10">
        <f>IF($C1005="","",COUNTA($C$9:$C1005))</f>
        <v/>
      </c>
      <c r="B1005" s="10">
        <f>IF($C1005="","","TXN-"&amp;RIGHT("0000"&amp;997,4))</f>
        <v/>
      </c>
      <c r="C1005" s="11" t="n"/>
      <c r="D1005" s="11" t="n"/>
      <c r="E1005" s="12" t="n"/>
      <c r="F1005" s="10">
        <f>IF($E1005="","",IFERROR(IF(VLOOKUP(LEFT(UPPER(TRIM($E1005)),6),BankTbl,2,0)="","(بدون عنوان)",VLOOKUP(LEFT(UPPER(TRIM($E1005)),6),BankTbl,2,0)),"بانک ناشناخته"))</f>
        <v/>
      </c>
      <c r="G1005" s="11" t="n"/>
      <c r="H1005" s="10">
        <f>IF($G1005="","",IFERROR(VLOOKUP($G1005,CustTbl,2,0),IFERROR(VLOOKUP($G1005,SuppTbl,2,0),IFERROR(VLOOKUP($G1005,AcctTbl,2,0),IFERROR(VLOOKUP($G1005,StaffTbl,2,0),"کد ناشناخته")))))</f>
        <v/>
      </c>
      <c r="I1005" s="12" t="n"/>
      <c r="J1005" s="12" t="n"/>
      <c r="K1005" s="13" t="n"/>
      <c r="L1005" s="13" t="n"/>
      <c r="M1005" s="13" t="n"/>
      <c r="N1005" s="14">
        <f>IF(OR($C1005="",$E1005="",Calc!$H1005=""),"",IFERROR(VLOOKUP(LEFT(UPPER(TRIM($E1005)),6),BankTbl,3,0),0)+SUMIFS(CalcDep,CalcBank,LEFT(UPPER(TRIM($E1005)),6),CalcKey,"&lt;="&amp;Calc!$H1005)-SUMIFS(CalcWit,CalcBank,LEFT(UPPER(TRIM($E1005)),6),CalcKey,"&lt;="&amp;Calc!$H1005))</f>
        <v/>
      </c>
      <c r="O1005" s="10">
        <f>IF(OR($C1005="",$M1005=""),"",IF($N1005="","؟",IF(ROUND($M1005-$N1005,0)=0,"√","×")))</f>
        <v/>
      </c>
      <c r="P1005" s="12" t="n"/>
    </row>
    <row r="1006">
      <c r="A1006" s="10">
        <f>IF($C1006="","",COUNTA($C$9:$C1006))</f>
        <v/>
      </c>
      <c r="B1006" s="10">
        <f>IF($C1006="","","TXN-"&amp;RIGHT("0000"&amp;998,4))</f>
        <v/>
      </c>
      <c r="C1006" s="11" t="n"/>
      <c r="D1006" s="11" t="n"/>
      <c r="E1006" s="12" t="n"/>
      <c r="F1006" s="10">
        <f>IF($E1006="","",IFERROR(IF(VLOOKUP(LEFT(UPPER(TRIM($E1006)),6),BankTbl,2,0)="","(بدون عنوان)",VLOOKUP(LEFT(UPPER(TRIM($E1006)),6),BankTbl,2,0)),"بانک ناشناخته"))</f>
        <v/>
      </c>
      <c r="G1006" s="11" t="n"/>
      <c r="H1006" s="10">
        <f>IF($G1006="","",IFERROR(VLOOKUP($G1006,CustTbl,2,0),IFERROR(VLOOKUP($G1006,SuppTbl,2,0),IFERROR(VLOOKUP($G1006,AcctTbl,2,0),IFERROR(VLOOKUP($G1006,StaffTbl,2,0),"کد ناشناخته")))))</f>
        <v/>
      </c>
      <c r="I1006" s="12" t="n"/>
      <c r="J1006" s="12" t="n"/>
      <c r="K1006" s="13" t="n"/>
      <c r="L1006" s="13" t="n"/>
      <c r="M1006" s="13" t="n"/>
      <c r="N1006" s="14">
        <f>IF(OR($C1006="",$E1006="",Calc!$H1006=""),"",IFERROR(VLOOKUP(LEFT(UPPER(TRIM($E1006)),6),BankTbl,3,0),0)+SUMIFS(CalcDep,CalcBank,LEFT(UPPER(TRIM($E1006)),6),CalcKey,"&lt;="&amp;Calc!$H1006)-SUMIFS(CalcWit,CalcBank,LEFT(UPPER(TRIM($E1006)),6),CalcKey,"&lt;="&amp;Calc!$H1006))</f>
        <v/>
      </c>
      <c r="O1006" s="10">
        <f>IF(OR($C1006="",$M1006=""),"",IF($N1006="","؟",IF(ROUND($M1006-$N1006,0)=0,"√","×")))</f>
        <v/>
      </c>
      <c r="P1006" s="12" t="n"/>
    </row>
    <row r="1007">
      <c r="A1007" s="10">
        <f>IF($C1007="","",COUNTA($C$9:$C1007))</f>
        <v/>
      </c>
      <c r="B1007" s="10">
        <f>IF($C1007="","","TXN-"&amp;RIGHT("0000"&amp;999,4))</f>
        <v/>
      </c>
      <c r="C1007" s="11" t="n"/>
      <c r="D1007" s="11" t="n"/>
      <c r="E1007" s="12" t="n"/>
      <c r="F1007" s="10">
        <f>IF($E1007="","",IFERROR(IF(VLOOKUP(LEFT(UPPER(TRIM($E1007)),6),BankTbl,2,0)="","(بدون عنوان)",VLOOKUP(LEFT(UPPER(TRIM($E1007)),6),BankTbl,2,0)),"بانک ناشناخته"))</f>
        <v/>
      </c>
      <c r="G1007" s="11" t="n"/>
      <c r="H1007" s="10">
        <f>IF($G1007="","",IFERROR(VLOOKUP($G1007,CustTbl,2,0),IFERROR(VLOOKUP($G1007,SuppTbl,2,0),IFERROR(VLOOKUP($G1007,AcctTbl,2,0),IFERROR(VLOOKUP($G1007,StaffTbl,2,0),"کد ناشناخته")))))</f>
        <v/>
      </c>
      <c r="I1007" s="12" t="n"/>
      <c r="J1007" s="12" t="n"/>
      <c r="K1007" s="13" t="n"/>
      <c r="L1007" s="13" t="n"/>
      <c r="M1007" s="13" t="n"/>
      <c r="N1007" s="14">
        <f>IF(OR($C1007="",$E1007="",Calc!$H1007=""),"",IFERROR(VLOOKUP(LEFT(UPPER(TRIM($E1007)),6),BankTbl,3,0),0)+SUMIFS(CalcDep,CalcBank,LEFT(UPPER(TRIM($E1007)),6),CalcKey,"&lt;="&amp;Calc!$H1007)-SUMIFS(CalcWit,CalcBank,LEFT(UPPER(TRIM($E1007)),6),CalcKey,"&lt;="&amp;Calc!$H1007))</f>
        <v/>
      </c>
      <c r="O1007" s="10">
        <f>IF(OR($C1007="",$M1007=""),"",IF($N1007="","؟",IF(ROUND($M1007-$N1007,0)=0,"√","×")))</f>
        <v/>
      </c>
      <c r="P1007" s="12" t="n"/>
    </row>
    <row r="1008">
      <c r="A1008" s="10">
        <f>IF($C1008="","",COUNTA($C$9:$C1008))</f>
        <v/>
      </c>
      <c r="B1008" s="10">
        <f>IF($C1008="","","TXN-"&amp;RIGHT("0000"&amp;1000,4))</f>
        <v/>
      </c>
      <c r="C1008" s="11" t="n"/>
      <c r="D1008" s="11" t="n"/>
      <c r="E1008" s="12" t="n"/>
      <c r="F1008" s="10">
        <f>IF($E1008="","",IFERROR(IF(VLOOKUP(LEFT(UPPER(TRIM($E1008)),6),BankTbl,2,0)="","(بدون عنوان)",VLOOKUP(LEFT(UPPER(TRIM($E1008)),6),BankTbl,2,0)),"بانک ناشناخته"))</f>
        <v/>
      </c>
      <c r="G1008" s="11" t="n"/>
      <c r="H1008" s="10">
        <f>IF($G1008="","",IFERROR(VLOOKUP($G1008,CustTbl,2,0),IFERROR(VLOOKUP($G1008,SuppTbl,2,0),IFERROR(VLOOKUP($G1008,AcctTbl,2,0),IFERROR(VLOOKUP($G1008,StaffTbl,2,0),"کد ناشناخته")))))</f>
        <v/>
      </c>
      <c r="I1008" s="12" t="n"/>
      <c r="J1008" s="12" t="n"/>
      <c r="K1008" s="13" t="n"/>
      <c r="L1008" s="13" t="n"/>
      <c r="M1008" s="13" t="n"/>
      <c r="N1008" s="14">
        <f>IF(OR($C1008="",$E1008="",Calc!$H1008=""),"",IFERROR(VLOOKUP(LEFT(UPPER(TRIM($E1008)),6),BankTbl,3,0),0)+SUMIFS(CalcDep,CalcBank,LEFT(UPPER(TRIM($E1008)),6),CalcKey,"&lt;="&amp;Calc!$H1008)-SUMIFS(CalcWit,CalcBank,LEFT(UPPER(TRIM($E1008)),6),CalcKey,"&lt;="&amp;Calc!$H1008))</f>
        <v/>
      </c>
      <c r="O1008" s="10">
        <f>IF(OR($C1008="",$M1008=""),"",IF($N1008="","؟",IF(ROUND($M1008-$N1008,0)=0,"√","×")))</f>
        <v/>
      </c>
      <c r="P1008" s="12" t="n"/>
    </row>
    <row r="1009">
      <c r="A1009" s="10">
        <f>IF($C1009="","",COUNTA($C$9:$C1009))</f>
        <v/>
      </c>
      <c r="B1009" s="10">
        <f>IF($C1009="","","TXN-"&amp;RIGHT("0000"&amp;1001,4))</f>
        <v/>
      </c>
      <c r="C1009" s="11" t="n"/>
      <c r="D1009" s="11" t="n"/>
      <c r="E1009" s="12" t="n"/>
      <c r="F1009" s="10">
        <f>IF($E1009="","",IFERROR(IF(VLOOKUP(LEFT(UPPER(TRIM($E1009)),6),BankTbl,2,0)="","(بدون عنوان)",VLOOKUP(LEFT(UPPER(TRIM($E1009)),6),BankTbl,2,0)),"بانک ناشناخته"))</f>
        <v/>
      </c>
      <c r="G1009" s="11" t="n"/>
      <c r="H1009" s="10">
        <f>IF($G1009="","",IFERROR(VLOOKUP($G1009,CustTbl,2,0),IFERROR(VLOOKUP($G1009,SuppTbl,2,0),IFERROR(VLOOKUP($G1009,AcctTbl,2,0),IFERROR(VLOOKUP($G1009,StaffTbl,2,0),"کد ناشناخته")))))</f>
        <v/>
      </c>
      <c r="I1009" s="12" t="n"/>
      <c r="J1009" s="12" t="n"/>
      <c r="K1009" s="13" t="n"/>
      <c r="L1009" s="13" t="n"/>
      <c r="M1009" s="13" t="n"/>
      <c r="N1009" s="14">
        <f>IF(OR($C1009="",$E1009="",Calc!$H1009=""),"",IFERROR(VLOOKUP(LEFT(UPPER(TRIM($E1009)),6),BankTbl,3,0),0)+SUMIFS(CalcDep,CalcBank,LEFT(UPPER(TRIM($E1009)),6),CalcKey,"&lt;="&amp;Calc!$H1009)-SUMIFS(CalcWit,CalcBank,LEFT(UPPER(TRIM($E1009)),6),CalcKey,"&lt;="&amp;Calc!$H1009))</f>
        <v/>
      </c>
      <c r="O1009" s="10">
        <f>IF(OR($C1009="",$M1009=""),"",IF($N1009="","؟",IF(ROUND($M1009-$N1009,0)=0,"√","×")))</f>
        <v/>
      </c>
      <c r="P1009" s="12" t="n"/>
    </row>
    <row r="1010">
      <c r="A1010" s="10">
        <f>IF($C1010="","",COUNTA($C$9:$C1010))</f>
        <v/>
      </c>
      <c r="B1010" s="10">
        <f>IF($C1010="","","TXN-"&amp;RIGHT("0000"&amp;1002,4))</f>
        <v/>
      </c>
      <c r="C1010" s="11" t="n"/>
      <c r="D1010" s="11" t="n"/>
      <c r="E1010" s="12" t="n"/>
      <c r="F1010" s="10">
        <f>IF($E1010="","",IFERROR(IF(VLOOKUP(LEFT(UPPER(TRIM($E1010)),6),BankTbl,2,0)="","(بدون عنوان)",VLOOKUP(LEFT(UPPER(TRIM($E1010)),6),BankTbl,2,0)),"بانک ناشناخته"))</f>
        <v/>
      </c>
      <c r="G1010" s="11" t="n"/>
      <c r="H1010" s="10">
        <f>IF($G1010="","",IFERROR(VLOOKUP($G1010,CustTbl,2,0),IFERROR(VLOOKUP($G1010,SuppTbl,2,0),IFERROR(VLOOKUP($G1010,AcctTbl,2,0),IFERROR(VLOOKUP($G1010,StaffTbl,2,0),"کد ناشناخته")))))</f>
        <v/>
      </c>
      <c r="I1010" s="12" t="n"/>
      <c r="J1010" s="12" t="n"/>
      <c r="K1010" s="13" t="n"/>
      <c r="L1010" s="13" t="n"/>
      <c r="M1010" s="13" t="n"/>
      <c r="N1010" s="14">
        <f>IF(OR($C1010="",$E1010="",Calc!$H1010=""),"",IFERROR(VLOOKUP(LEFT(UPPER(TRIM($E1010)),6),BankTbl,3,0),0)+SUMIFS(CalcDep,CalcBank,LEFT(UPPER(TRIM($E1010)),6),CalcKey,"&lt;="&amp;Calc!$H1010)-SUMIFS(CalcWit,CalcBank,LEFT(UPPER(TRIM($E1010)),6),CalcKey,"&lt;="&amp;Calc!$H1010))</f>
        <v/>
      </c>
      <c r="O1010" s="10">
        <f>IF(OR($C1010="",$M1010=""),"",IF($N1010="","؟",IF(ROUND($M1010-$N1010,0)=0,"√","×")))</f>
        <v/>
      </c>
      <c r="P1010" s="12" t="n"/>
    </row>
    <row r="1011">
      <c r="A1011" s="10">
        <f>IF($C1011="","",COUNTA($C$9:$C1011))</f>
        <v/>
      </c>
      <c r="B1011" s="10">
        <f>IF($C1011="","","TXN-"&amp;RIGHT("0000"&amp;1003,4))</f>
        <v/>
      </c>
      <c r="C1011" s="11" t="n"/>
      <c r="D1011" s="11" t="n"/>
      <c r="E1011" s="12" t="n"/>
      <c r="F1011" s="10">
        <f>IF($E1011="","",IFERROR(IF(VLOOKUP(LEFT(UPPER(TRIM($E1011)),6),BankTbl,2,0)="","(بدون عنوان)",VLOOKUP(LEFT(UPPER(TRIM($E1011)),6),BankTbl,2,0)),"بانک ناشناخته"))</f>
        <v/>
      </c>
      <c r="G1011" s="11" t="n"/>
      <c r="H1011" s="10">
        <f>IF($G1011="","",IFERROR(VLOOKUP($G1011,CustTbl,2,0),IFERROR(VLOOKUP($G1011,SuppTbl,2,0),IFERROR(VLOOKUP($G1011,AcctTbl,2,0),IFERROR(VLOOKUP($G1011,StaffTbl,2,0),"کد ناشناخته")))))</f>
        <v/>
      </c>
      <c r="I1011" s="12" t="n"/>
      <c r="J1011" s="12" t="n"/>
      <c r="K1011" s="13" t="n"/>
      <c r="L1011" s="13" t="n"/>
      <c r="M1011" s="13" t="n"/>
      <c r="N1011" s="14">
        <f>IF(OR($C1011="",$E1011="",Calc!$H1011=""),"",IFERROR(VLOOKUP(LEFT(UPPER(TRIM($E1011)),6),BankTbl,3,0),0)+SUMIFS(CalcDep,CalcBank,LEFT(UPPER(TRIM($E1011)),6),CalcKey,"&lt;="&amp;Calc!$H1011)-SUMIFS(CalcWit,CalcBank,LEFT(UPPER(TRIM($E1011)),6),CalcKey,"&lt;="&amp;Calc!$H1011))</f>
        <v/>
      </c>
      <c r="O1011" s="10">
        <f>IF(OR($C1011="",$M1011=""),"",IF($N1011="","؟",IF(ROUND($M1011-$N1011,0)=0,"√","×")))</f>
        <v/>
      </c>
      <c r="P1011" s="12" t="n"/>
    </row>
    <row r="1012">
      <c r="A1012" s="10">
        <f>IF($C1012="","",COUNTA($C$9:$C1012))</f>
        <v/>
      </c>
      <c r="B1012" s="10">
        <f>IF($C1012="","","TXN-"&amp;RIGHT("0000"&amp;1004,4))</f>
        <v/>
      </c>
      <c r="C1012" s="11" t="n"/>
      <c r="D1012" s="11" t="n"/>
      <c r="E1012" s="12" t="n"/>
      <c r="F1012" s="10">
        <f>IF($E1012="","",IFERROR(IF(VLOOKUP(LEFT(UPPER(TRIM($E1012)),6),BankTbl,2,0)="","(بدون عنوان)",VLOOKUP(LEFT(UPPER(TRIM($E1012)),6),BankTbl,2,0)),"بانک ناشناخته"))</f>
        <v/>
      </c>
      <c r="G1012" s="11" t="n"/>
      <c r="H1012" s="10">
        <f>IF($G1012="","",IFERROR(VLOOKUP($G1012,CustTbl,2,0),IFERROR(VLOOKUP($G1012,SuppTbl,2,0),IFERROR(VLOOKUP($G1012,AcctTbl,2,0),IFERROR(VLOOKUP($G1012,StaffTbl,2,0),"کد ناشناخته")))))</f>
        <v/>
      </c>
      <c r="I1012" s="12" t="n"/>
      <c r="J1012" s="12" t="n"/>
      <c r="K1012" s="13" t="n"/>
      <c r="L1012" s="13" t="n"/>
      <c r="M1012" s="13" t="n"/>
      <c r="N1012" s="14">
        <f>IF(OR($C1012="",$E1012="",Calc!$H1012=""),"",IFERROR(VLOOKUP(LEFT(UPPER(TRIM($E1012)),6),BankTbl,3,0),0)+SUMIFS(CalcDep,CalcBank,LEFT(UPPER(TRIM($E1012)),6),CalcKey,"&lt;="&amp;Calc!$H1012)-SUMIFS(CalcWit,CalcBank,LEFT(UPPER(TRIM($E1012)),6),CalcKey,"&lt;="&amp;Calc!$H1012))</f>
        <v/>
      </c>
      <c r="O1012" s="10">
        <f>IF(OR($C1012="",$M1012=""),"",IF($N1012="","؟",IF(ROUND($M1012-$N1012,0)=0,"√","×")))</f>
        <v/>
      </c>
      <c r="P1012" s="12" t="n"/>
    </row>
    <row r="1013">
      <c r="A1013" s="10">
        <f>IF($C1013="","",COUNTA($C$9:$C1013))</f>
        <v/>
      </c>
      <c r="B1013" s="10">
        <f>IF($C1013="","","TXN-"&amp;RIGHT("0000"&amp;1005,4))</f>
        <v/>
      </c>
      <c r="C1013" s="11" t="n"/>
      <c r="D1013" s="11" t="n"/>
      <c r="E1013" s="12" t="n"/>
      <c r="F1013" s="10">
        <f>IF($E1013="","",IFERROR(IF(VLOOKUP(LEFT(UPPER(TRIM($E1013)),6),BankTbl,2,0)="","(بدون عنوان)",VLOOKUP(LEFT(UPPER(TRIM($E1013)),6),BankTbl,2,0)),"بانک ناشناخته"))</f>
        <v/>
      </c>
      <c r="G1013" s="11" t="n"/>
      <c r="H1013" s="10">
        <f>IF($G1013="","",IFERROR(VLOOKUP($G1013,CustTbl,2,0),IFERROR(VLOOKUP($G1013,SuppTbl,2,0),IFERROR(VLOOKUP($G1013,AcctTbl,2,0),IFERROR(VLOOKUP($G1013,StaffTbl,2,0),"کد ناشناخته")))))</f>
        <v/>
      </c>
      <c r="I1013" s="12" t="n"/>
      <c r="J1013" s="12" t="n"/>
      <c r="K1013" s="13" t="n"/>
      <c r="L1013" s="13" t="n"/>
      <c r="M1013" s="13" t="n"/>
      <c r="N1013" s="14">
        <f>IF(OR($C1013="",$E1013="",Calc!$H1013=""),"",IFERROR(VLOOKUP(LEFT(UPPER(TRIM($E1013)),6),BankTbl,3,0),0)+SUMIFS(CalcDep,CalcBank,LEFT(UPPER(TRIM($E1013)),6),CalcKey,"&lt;="&amp;Calc!$H1013)-SUMIFS(CalcWit,CalcBank,LEFT(UPPER(TRIM($E1013)),6),CalcKey,"&lt;="&amp;Calc!$H1013))</f>
        <v/>
      </c>
      <c r="O1013" s="10">
        <f>IF(OR($C1013="",$M1013=""),"",IF($N1013="","؟",IF(ROUND($M1013-$N1013,0)=0,"√","×")))</f>
        <v/>
      </c>
      <c r="P1013" s="12" t="n"/>
    </row>
    <row r="1014">
      <c r="A1014" s="10">
        <f>IF($C1014="","",COUNTA($C$9:$C1014))</f>
        <v/>
      </c>
      <c r="B1014" s="10">
        <f>IF($C1014="","","TXN-"&amp;RIGHT("0000"&amp;1006,4))</f>
        <v/>
      </c>
      <c r="C1014" s="11" t="n"/>
      <c r="D1014" s="11" t="n"/>
      <c r="E1014" s="12" t="n"/>
      <c r="F1014" s="10">
        <f>IF($E1014="","",IFERROR(IF(VLOOKUP(LEFT(UPPER(TRIM($E1014)),6),BankTbl,2,0)="","(بدون عنوان)",VLOOKUP(LEFT(UPPER(TRIM($E1014)),6),BankTbl,2,0)),"بانک ناشناخته"))</f>
        <v/>
      </c>
      <c r="G1014" s="11" t="n"/>
      <c r="H1014" s="10">
        <f>IF($G1014="","",IFERROR(VLOOKUP($G1014,CustTbl,2,0),IFERROR(VLOOKUP($G1014,SuppTbl,2,0),IFERROR(VLOOKUP($G1014,AcctTbl,2,0),IFERROR(VLOOKUP($G1014,StaffTbl,2,0),"کد ناشناخته")))))</f>
        <v/>
      </c>
      <c r="I1014" s="12" t="n"/>
      <c r="J1014" s="12" t="n"/>
      <c r="K1014" s="13" t="n"/>
      <c r="L1014" s="13" t="n"/>
      <c r="M1014" s="13" t="n"/>
      <c r="N1014" s="14">
        <f>IF(OR($C1014="",$E1014="",Calc!$H1014=""),"",IFERROR(VLOOKUP(LEFT(UPPER(TRIM($E1014)),6),BankTbl,3,0),0)+SUMIFS(CalcDep,CalcBank,LEFT(UPPER(TRIM($E1014)),6),CalcKey,"&lt;="&amp;Calc!$H1014)-SUMIFS(CalcWit,CalcBank,LEFT(UPPER(TRIM($E1014)),6),CalcKey,"&lt;="&amp;Calc!$H1014))</f>
        <v/>
      </c>
      <c r="O1014" s="10">
        <f>IF(OR($C1014="",$M1014=""),"",IF($N1014="","؟",IF(ROUND($M1014-$N1014,0)=0,"√","×")))</f>
        <v/>
      </c>
      <c r="P1014" s="12" t="n"/>
    </row>
    <row r="1015">
      <c r="A1015" s="10">
        <f>IF($C1015="","",COUNTA($C$9:$C1015))</f>
        <v/>
      </c>
      <c r="B1015" s="10">
        <f>IF($C1015="","","TXN-"&amp;RIGHT("0000"&amp;1007,4))</f>
        <v/>
      </c>
      <c r="C1015" s="11" t="n"/>
      <c r="D1015" s="11" t="n"/>
      <c r="E1015" s="12" t="n"/>
      <c r="F1015" s="10">
        <f>IF($E1015="","",IFERROR(IF(VLOOKUP(LEFT(UPPER(TRIM($E1015)),6),BankTbl,2,0)="","(بدون عنوان)",VLOOKUP(LEFT(UPPER(TRIM($E1015)),6),BankTbl,2,0)),"بانک ناشناخته"))</f>
        <v/>
      </c>
      <c r="G1015" s="11" t="n"/>
      <c r="H1015" s="10">
        <f>IF($G1015="","",IFERROR(VLOOKUP($G1015,CustTbl,2,0),IFERROR(VLOOKUP($G1015,SuppTbl,2,0),IFERROR(VLOOKUP($G1015,AcctTbl,2,0),IFERROR(VLOOKUP($G1015,StaffTbl,2,0),"کد ناشناخته")))))</f>
        <v/>
      </c>
      <c r="I1015" s="12" t="n"/>
      <c r="J1015" s="12" t="n"/>
      <c r="K1015" s="13" t="n"/>
      <c r="L1015" s="13" t="n"/>
      <c r="M1015" s="13" t="n"/>
      <c r="N1015" s="14">
        <f>IF(OR($C1015="",$E1015="",Calc!$H1015=""),"",IFERROR(VLOOKUP(LEFT(UPPER(TRIM($E1015)),6),BankTbl,3,0),0)+SUMIFS(CalcDep,CalcBank,LEFT(UPPER(TRIM($E1015)),6),CalcKey,"&lt;="&amp;Calc!$H1015)-SUMIFS(CalcWit,CalcBank,LEFT(UPPER(TRIM($E1015)),6),CalcKey,"&lt;="&amp;Calc!$H1015))</f>
        <v/>
      </c>
      <c r="O1015" s="10">
        <f>IF(OR($C1015="",$M1015=""),"",IF($N1015="","؟",IF(ROUND($M1015-$N1015,0)=0,"√","×")))</f>
        <v/>
      </c>
      <c r="P1015" s="12" t="n"/>
    </row>
    <row r="1016">
      <c r="A1016" s="10">
        <f>IF($C1016="","",COUNTA($C$9:$C1016))</f>
        <v/>
      </c>
      <c r="B1016" s="10">
        <f>IF($C1016="","","TXN-"&amp;RIGHT("0000"&amp;1008,4))</f>
        <v/>
      </c>
      <c r="C1016" s="11" t="n"/>
      <c r="D1016" s="11" t="n"/>
      <c r="E1016" s="12" t="n"/>
      <c r="F1016" s="10">
        <f>IF($E1016="","",IFERROR(IF(VLOOKUP(LEFT(UPPER(TRIM($E1016)),6),BankTbl,2,0)="","(بدون عنوان)",VLOOKUP(LEFT(UPPER(TRIM($E1016)),6),BankTbl,2,0)),"بانک ناشناخته"))</f>
        <v/>
      </c>
      <c r="G1016" s="11" t="n"/>
      <c r="H1016" s="10">
        <f>IF($G1016="","",IFERROR(VLOOKUP($G1016,CustTbl,2,0),IFERROR(VLOOKUP($G1016,SuppTbl,2,0),IFERROR(VLOOKUP($G1016,AcctTbl,2,0),IFERROR(VLOOKUP($G1016,StaffTbl,2,0),"کد ناشناخته")))))</f>
        <v/>
      </c>
      <c r="I1016" s="12" t="n"/>
      <c r="J1016" s="12" t="n"/>
      <c r="K1016" s="13" t="n"/>
      <c r="L1016" s="13" t="n"/>
      <c r="M1016" s="13" t="n"/>
      <c r="N1016" s="14">
        <f>IF(OR($C1016="",$E1016="",Calc!$H1016=""),"",IFERROR(VLOOKUP(LEFT(UPPER(TRIM($E1016)),6),BankTbl,3,0),0)+SUMIFS(CalcDep,CalcBank,LEFT(UPPER(TRIM($E1016)),6),CalcKey,"&lt;="&amp;Calc!$H1016)-SUMIFS(CalcWit,CalcBank,LEFT(UPPER(TRIM($E1016)),6),CalcKey,"&lt;="&amp;Calc!$H1016))</f>
        <v/>
      </c>
      <c r="O1016" s="10">
        <f>IF(OR($C1016="",$M1016=""),"",IF($N1016="","؟",IF(ROUND($M1016-$N1016,0)=0,"√","×")))</f>
        <v/>
      </c>
      <c r="P1016" s="12" t="n"/>
    </row>
    <row r="1017">
      <c r="A1017" s="10">
        <f>IF($C1017="","",COUNTA($C$9:$C1017))</f>
        <v/>
      </c>
      <c r="B1017" s="10">
        <f>IF($C1017="","","TXN-"&amp;RIGHT("0000"&amp;1009,4))</f>
        <v/>
      </c>
      <c r="C1017" s="11" t="n"/>
      <c r="D1017" s="11" t="n"/>
      <c r="E1017" s="12" t="n"/>
      <c r="F1017" s="10">
        <f>IF($E1017="","",IFERROR(IF(VLOOKUP(LEFT(UPPER(TRIM($E1017)),6),BankTbl,2,0)="","(بدون عنوان)",VLOOKUP(LEFT(UPPER(TRIM($E1017)),6),BankTbl,2,0)),"بانک ناشناخته"))</f>
        <v/>
      </c>
      <c r="G1017" s="11" t="n"/>
      <c r="H1017" s="10">
        <f>IF($G1017="","",IFERROR(VLOOKUP($G1017,CustTbl,2,0),IFERROR(VLOOKUP($G1017,SuppTbl,2,0),IFERROR(VLOOKUP($G1017,AcctTbl,2,0),IFERROR(VLOOKUP($G1017,StaffTbl,2,0),"کد ناشناخته")))))</f>
        <v/>
      </c>
      <c r="I1017" s="12" t="n"/>
      <c r="J1017" s="12" t="n"/>
      <c r="K1017" s="13" t="n"/>
      <c r="L1017" s="13" t="n"/>
      <c r="M1017" s="13" t="n"/>
      <c r="N1017" s="14">
        <f>IF(OR($C1017="",$E1017="",Calc!$H1017=""),"",IFERROR(VLOOKUP(LEFT(UPPER(TRIM($E1017)),6),BankTbl,3,0),0)+SUMIFS(CalcDep,CalcBank,LEFT(UPPER(TRIM($E1017)),6),CalcKey,"&lt;="&amp;Calc!$H1017)-SUMIFS(CalcWit,CalcBank,LEFT(UPPER(TRIM($E1017)),6),CalcKey,"&lt;="&amp;Calc!$H1017))</f>
        <v/>
      </c>
      <c r="O1017" s="10">
        <f>IF(OR($C1017="",$M1017=""),"",IF($N1017="","؟",IF(ROUND($M1017-$N1017,0)=0,"√","×")))</f>
        <v/>
      </c>
      <c r="P1017" s="12" t="n"/>
    </row>
    <row r="1018">
      <c r="A1018" s="10">
        <f>IF($C1018="","",COUNTA($C$9:$C1018))</f>
        <v/>
      </c>
      <c r="B1018" s="10">
        <f>IF($C1018="","","TXN-"&amp;RIGHT("0000"&amp;1010,4))</f>
        <v/>
      </c>
      <c r="C1018" s="11" t="n"/>
      <c r="D1018" s="11" t="n"/>
      <c r="E1018" s="12" t="n"/>
      <c r="F1018" s="10">
        <f>IF($E1018="","",IFERROR(IF(VLOOKUP(LEFT(UPPER(TRIM($E1018)),6),BankTbl,2,0)="","(بدون عنوان)",VLOOKUP(LEFT(UPPER(TRIM($E1018)),6),BankTbl,2,0)),"بانک ناشناخته"))</f>
        <v/>
      </c>
      <c r="G1018" s="11" t="n"/>
      <c r="H1018" s="10">
        <f>IF($G1018="","",IFERROR(VLOOKUP($G1018,CustTbl,2,0),IFERROR(VLOOKUP($G1018,SuppTbl,2,0),IFERROR(VLOOKUP($G1018,AcctTbl,2,0),IFERROR(VLOOKUP($G1018,StaffTbl,2,0),"کد ناشناخته")))))</f>
        <v/>
      </c>
      <c r="I1018" s="12" t="n"/>
      <c r="J1018" s="12" t="n"/>
      <c r="K1018" s="13" t="n"/>
      <c r="L1018" s="13" t="n"/>
      <c r="M1018" s="13" t="n"/>
      <c r="N1018" s="14">
        <f>IF(OR($C1018="",$E1018="",Calc!$H1018=""),"",IFERROR(VLOOKUP(LEFT(UPPER(TRIM($E1018)),6),BankTbl,3,0),0)+SUMIFS(CalcDep,CalcBank,LEFT(UPPER(TRIM($E1018)),6),CalcKey,"&lt;="&amp;Calc!$H1018)-SUMIFS(CalcWit,CalcBank,LEFT(UPPER(TRIM($E1018)),6),CalcKey,"&lt;="&amp;Calc!$H1018))</f>
        <v/>
      </c>
      <c r="O1018" s="10">
        <f>IF(OR($C1018="",$M1018=""),"",IF($N1018="","؟",IF(ROUND($M1018-$N1018,0)=0,"√","×")))</f>
        <v/>
      </c>
      <c r="P1018" s="12" t="n"/>
    </row>
    <row r="1019">
      <c r="A1019" s="10">
        <f>IF($C1019="","",COUNTA($C$9:$C1019))</f>
        <v/>
      </c>
      <c r="B1019" s="10">
        <f>IF($C1019="","","TXN-"&amp;RIGHT("0000"&amp;1011,4))</f>
        <v/>
      </c>
      <c r="C1019" s="11" t="n"/>
      <c r="D1019" s="11" t="n"/>
      <c r="E1019" s="12" t="n"/>
      <c r="F1019" s="10">
        <f>IF($E1019="","",IFERROR(IF(VLOOKUP(LEFT(UPPER(TRIM($E1019)),6),BankTbl,2,0)="","(بدون عنوان)",VLOOKUP(LEFT(UPPER(TRIM($E1019)),6),BankTbl,2,0)),"بانک ناشناخته"))</f>
        <v/>
      </c>
      <c r="G1019" s="11" t="n"/>
      <c r="H1019" s="10">
        <f>IF($G1019="","",IFERROR(VLOOKUP($G1019,CustTbl,2,0),IFERROR(VLOOKUP($G1019,SuppTbl,2,0),IFERROR(VLOOKUP($G1019,AcctTbl,2,0),IFERROR(VLOOKUP($G1019,StaffTbl,2,0),"کد ناشناخته")))))</f>
        <v/>
      </c>
      <c r="I1019" s="12" t="n"/>
      <c r="J1019" s="12" t="n"/>
      <c r="K1019" s="13" t="n"/>
      <c r="L1019" s="13" t="n"/>
      <c r="M1019" s="13" t="n"/>
      <c r="N1019" s="14">
        <f>IF(OR($C1019="",$E1019="",Calc!$H1019=""),"",IFERROR(VLOOKUP(LEFT(UPPER(TRIM($E1019)),6),BankTbl,3,0),0)+SUMIFS(CalcDep,CalcBank,LEFT(UPPER(TRIM($E1019)),6),CalcKey,"&lt;="&amp;Calc!$H1019)-SUMIFS(CalcWit,CalcBank,LEFT(UPPER(TRIM($E1019)),6),CalcKey,"&lt;="&amp;Calc!$H1019))</f>
        <v/>
      </c>
      <c r="O1019" s="10">
        <f>IF(OR($C1019="",$M1019=""),"",IF($N1019="","؟",IF(ROUND($M1019-$N1019,0)=0,"√","×")))</f>
        <v/>
      </c>
      <c r="P1019" s="12" t="n"/>
    </row>
    <row r="1020">
      <c r="A1020" s="10">
        <f>IF($C1020="","",COUNTA($C$9:$C1020))</f>
        <v/>
      </c>
      <c r="B1020" s="10">
        <f>IF($C1020="","","TXN-"&amp;RIGHT("0000"&amp;1012,4))</f>
        <v/>
      </c>
      <c r="C1020" s="11" t="n"/>
      <c r="D1020" s="11" t="n"/>
      <c r="E1020" s="12" t="n"/>
      <c r="F1020" s="10">
        <f>IF($E1020="","",IFERROR(IF(VLOOKUP(LEFT(UPPER(TRIM($E1020)),6),BankTbl,2,0)="","(بدون عنوان)",VLOOKUP(LEFT(UPPER(TRIM($E1020)),6),BankTbl,2,0)),"بانک ناشناخته"))</f>
        <v/>
      </c>
      <c r="G1020" s="11" t="n"/>
      <c r="H1020" s="10">
        <f>IF($G1020="","",IFERROR(VLOOKUP($G1020,CustTbl,2,0),IFERROR(VLOOKUP($G1020,SuppTbl,2,0),IFERROR(VLOOKUP($G1020,AcctTbl,2,0),IFERROR(VLOOKUP($G1020,StaffTbl,2,0),"کد ناشناخته")))))</f>
        <v/>
      </c>
      <c r="I1020" s="12" t="n"/>
      <c r="J1020" s="12" t="n"/>
      <c r="K1020" s="13" t="n"/>
      <c r="L1020" s="13" t="n"/>
      <c r="M1020" s="13" t="n"/>
      <c r="N1020" s="14">
        <f>IF(OR($C1020="",$E1020="",Calc!$H1020=""),"",IFERROR(VLOOKUP(LEFT(UPPER(TRIM($E1020)),6),BankTbl,3,0),0)+SUMIFS(CalcDep,CalcBank,LEFT(UPPER(TRIM($E1020)),6),CalcKey,"&lt;="&amp;Calc!$H1020)-SUMIFS(CalcWit,CalcBank,LEFT(UPPER(TRIM($E1020)),6),CalcKey,"&lt;="&amp;Calc!$H1020))</f>
        <v/>
      </c>
      <c r="O1020" s="10">
        <f>IF(OR($C1020="",$M1020=""),"",IF($N1020="","؟",IF(ROUND($M1020-$N1020,0)=0,"√","×")))</f>
        <v/>
      </c>
      <c r="P1020" s="12" t="n"/>
    </row>
    <row r="1021">
      <c r="A1021" s="10">
        <f>IF($C1021="","",COUNTA($C$9:$C1021))</f>
        <v/>
      </c>
      <c r="B1021" s="10">
        <f>IF($C1021="","","TXN-"&amp;RIGHT("0000"&amp;1013,4))</f>
        <v/>
      </c>
      <c r="C1021" s="11" t="n"/>
      <c r="D1021" s="11" t="n"/>
      <c r="E1021" s="12" t="n"/>
      <c r="F1021" s="10">
        <f>IF($E1021="","",IFERROR(IF(VLOOKUP(LEFT(UPPER(TRIM($E1021)),6),BankTbl,2,0)="","(بدون عنوان)",VLOOKUP(LEFT(UPPER(TRIM($E1021)),6),BankTbl,2,0)),"بانک ناشناخته"))</f>
        <v/>
      </c>
      <c r="G1021" s="11" t="n"/>
      <c r="H1021" s="10">
        <f>IF($G1021="","",IFERROR(VLOOKUP($G1021,CustTbl,2,0),IFERROR(VLOOKUP($G1021,SuppTbl,2,0),IFERROR(VLOOKUP($G1021,AcctTbl,2,0),IFERROR(VLOOKUP($G1021,StaffTbl,2,0),"کد ناشناخته")))))</f>
        <v/>
      </c>
      <c r="I1021" s="12" t="n"/>
      <c r="J1021" s="12" t="n"/>
      <c r="K1021" s="13" t="n"/>
      <c r="L1021" s="13" t="n"/>
      <c r="M1021" s="13" t="n"/>
      <c r="N1021" s="14">
        <f>IF(OR($C1021="",$E1021="",Calc!$H1021=""),"",IFERROR(VLOOKUP(LEFT(UPPER(TRIM($E1021)),6),BankTbl,3,0),0)+SUMIFS(CalcDep,CalcBank,LEFT(UPPER(TRIM($E1021)),6),CalcKey,"&lt;="&amp;Calc!$H1021)-SUMIFS(CalcWit,CalcBank,LEFT(UPPER(TRIM($E1021)),6),CalcKey,"&lt;="&amp;Calc!$H1021))</f>
        <v/>
      </c>
      <c r="O1021" s="10">
        <f>IF(OR($C1021="",$M1021=""),"",IF($N1021="","؟",IF(ROUND($M1021-$N1021,0)=0,"√","×")))</f>
        <v/>
      </c>
      <c r="P1021" s="12" t="n"/>
    </row>
    <row r="1022">
      <c r="A1022" s="10">
        <f>IF($C1022="","",COUNTA($C$9:$C1022))</f>
        <v/>
      </c>
      <c r="B1022" s="10">
        <f>IF($C1022="","","TXN-"&amp;RIGHT("0000"&amp;1014,4))</f>
        <v/>
      </c>
      <c r="C1022" s="11" t="n"/>
      <c r="D1022" s="11" t="n"/>
      <c r="E1022" s="12" t="n"/>
      <c r="F1022" s="10">
        <f>IF($E1022="","",IFERROR(IF(VLOOKUP(LEFT(UPPER(TRIM($E1022)),6),BankTbl,2,0)="","(بدون عنوان)",VLOOKUP(LEFT(UPPER(TRIM($E1022)),6),BankTbl,2,0)),"بانک ناشناخته"))</f>
        <v/>
      </c>
      <c r="G1022" s="11" t="n"/>
      <c r="H1022" s="10">
        <f>IF($G1022="","",IFERROR(VLOOKUP($G1022,CustTbl,2,0),IFERROR(VLOOKUP($G1022,SuppTbl,2,0),IFERROR(VLOOKUP($G1022,AcctTbl,2,0),IFERROR(VLOOKUP($G1022,StaffTbl,2,0),"کد ناشناخته")))))</f>
        <v/>
      </c>
      <c r="I1022" s="12" t="n"/>
      <c r="J1022" s="12" t="n"/>
      <c r="K1022" s="13" t="n"/>
      <c r="L1022" s="13" t="n"/>
      <c r="M1022" s="13" t="n"/>
      <c r="N1022" s="14">
        <f>IF(OR($C1022="",$E1022="",Calc!$H1022=""),"",IFERROR(VLOOKUP(LEFT(UPPER(TRIM($E1022)),6),BankTbl,3,0),0)+SUMIFS(CalcDep,CalcBank,LEFT(UPPER(TRIM($E1022)),6),CalcKey,"&lt;="&amp;Calc!$H1022)-SUMIFS(CalcWit,CalcBank,LEFT(UPPER(TRIM($E1022)),6),CalcKey,"&lt;="&amp;Calc!$H1022))</f>
        <v/>
      </c>
      <c r="O1022" s="10">
        <f>IF(OR($C1022="",$M1022=""),"",IF($N1022="","؟",IF(ROUND($M1022-$N1022,0)=0,"√","×")))</f>
        <v/>
      </c>
      <c r="P1022" s="12" t="n"/>
    </row>
    <row r="1023">
      <c r="A1023" s="10">
        <f>IF($C1023="","",COUNTA($C$9:$C1023))</f>
        <v/>
      </c>
      <c r="B1023" s="10">
        <f>IF($C1023="","","TXN-"&amp;RIGHT("0000"&amp;1015,4))</f>
        <v/>
      </c>
      <c r="C1023" s="11" t="n"/>
      <c r="D1023" s="11" t="n"/>
      <c r="E1023" s="12" t="n"/>
      <c r="F1023" s="10">
        <f>IF($E1023="","",IFERROR(IF(VLOOKUP(LEFT(UPPER(TRIM($E1023)),6),BankTbl,2,0)="","(بدون عنوان)",VLOOKUP(LEFT(UPPER(TRIM($E1023)),6),BankTbl,2,0)),"بانک ناشناخته"))</f>
        <v/>
      </c>
      <c r="G1023" s="11" t="n"/>
      <c r="H1023" s="10">
        <f>IF($G1023="","",IFERROR(VLOOKUP($G1023,CustTbl,2,0),IFERROR(VLOOKUP($G1023,SuppTbl,2,0),IFERROR(VLOOKUP($G1023,AcctTbl,2,0),IFERROR(VLOOKUP($G1023,StaffTbl,2,0),"کد ناشناخته")))))</f>
        <v/>
      </c>
      <c r="I1023" s="12" t="n"/>
      <c r="J1023" s="12" t="n"/>
      <c r="K1023" s="13" t="n"/>
      <c r="L1023" s="13" t="n"/>
      <c r="M1023" s="13" t="n"/>
      <c r="N1023" s="14">
        <f>IF(OR($C1023="",$E1023="",Calc!$H1023=""),"",IFERROR(VLOOKUP(LEFT(UPPER(TRIM($E1023)),6),BankTbl,3,0),0)+SUMIFS(CalcDep,CalcBank,LEFT(UPPER(TRIM($E1023)),6),CalcKey,"&lt;="&amp;Calc!$H1023)-SUMIFS(CalcWit,CalcBank,LEFT(UPPER(TRIM($E1023)),6),CalcKey,"&lt;="&amp;Calc!$H1023))</f>
        <v/>
      </c>
      <c r="O1023" s="10">
        <f>IF(OR($C1023="",$M1023=""),"",IF($N1023="","؟",IF(ROUND($M1023-$N1023,0)=0,"√","×")))</f>
        <v/>
      </c>
      <c r="P1023" s="12" t="n"/>
    </row>
    <row r="1024">
      <c r="A1024" s="10">
        <f>IF($C1024="","",COUNTA($C$9:$C1024))</f>
        <v/>
      </c>
      <c r="B1024" s="10">
        <f>IF($C1024="","","TXN-"&amp;RIGHT("0000"&amp;1016,4))</f>
        <v/>
      </c>
      <c r="C1024" s="11" t="n"/>
      <c r="D1024" s="11" t="n"/>
      <c r="E1024" s="12" t="n"/>
      <c r="F1024" s="10">
        <f>IF($E1024="","",IFERROR(IF(VLOOKUP(LEFT(UPPER(TRIM($E1024)),6),BankTbl,2,0)="","(بدون عنوان)",VLOOKUP(LEFT(UPPER(TRIM($E1024)),6),BankTbl,2,0)),"بانک ناشناخته"))</f>
        <v/>
      </c>
      <c r="G1024" s="11" t="n"/>
      <c r="H1024" s="10">
        <f>IF($G1024="","",IFERROR(VLOOKUP($G1024,CustTbl,2,0),IFERROR(VLOOKUP($G1024,SuppTbl,2,0),IFERROR(VLOOKUP($G1024,AcctTbl,2,0),IFERROR(VLOOKUP($G1024,StaffTbl,2,0),"کد ناشناخته")))))</f>
        <v/>
      </c>
      <c r="I1024" s="12" t="n"/>
      <c r="J1024" s="12" t="n"/>
      <c r="K1024" s="13" t="n"/>
      <c r="L1024" s="13" t="n"/>
      <c r="M1024" s="13" t="n"/>
      <c r="N1024" s="14">
        <f>IF(OR($C1024="",$E1024="",Calc!$H1024=""),"",IFERROR(VLOOKUP(LEFT(UPPER(TRIM($E1024)),6),BankTbl,3,0),0)+SUMIFS(CalcDep,CalcBank,LEFT(UPPER(TRIM($E1024)),6),CalcKey,"&lt;="&amp;Calc!$H1024)-SUMIFS(CalcWit,CalcBank,LEFT(UPPER(TRIM($E1024)),6),CalcKey,"&lt;="&amp;Calc!$H1024))</f>
        <v/>
      </c>
      <c r="O1024" s="10">
        <f>IF(OR($C1024="",$M1024=""),"",IF($N1024="","؟",IF(ROUND($M1024-$N1024,0)=0,"√","×")))</f>
        <v/>
      </c>
      <c r="P1024" s="12" t="n"/>
    </row>
    <row r="1025">
      <c r="A1025" s="10">
        <f>IF($C1025="","",COUNTA($C$9:$C1025))</f>
        <v/>
      </c>
      <c r="B1025" s="10">
        <f>IF($C1025="","","TXN-"&amp;RIGHT("0000"&amp;1017,4))</f>
        <v/>
      </c>
      <c r="C1025" s="11" t="n"/>
      <c r="D1025" s="11" t="n"/>
      <c r="E1025" s="12" t="n"/>
      <c r="F1025" s="10">
        <f>IF($E1025="","",IFERROR(IF(VLOOKUP(LEFT(UPPER(TRIM($E1025)),6),BankTbl,2,0)="","(بدون عنوان)",VLOOKUP(LEFT(UPPER(TRIM($E1025)),6),BankTbl,2,0)),"بانک ناشناخته"))</f>
        <v/>
      </c>
      <c r="G1025" s="11" t="n"/>
      <c r="H1025" s="10">
        <f>IF($G1025="","",IFERROR(VLOOKUP($G1025,CustTbl,2,0),IFERROR(VLOOKUP($G1025,SuppTbl,2,0),IFERROR(VLOOKUP($G1025,AcctTbl,2,0),IFERROR(VLOOKUP($G1025,StaffTbl,2,0),"کد ناشناخته")))))</f>
        <v/>
      </c>
      <c r="I1025" s="12" t="n"/>
      <c r="J1025" s="12" t="n"/>
      <c r="K1025" s="13" t="n"/>
      <c r="L1025" s="13" t="n"/>
      <c r="M1025" s="13" t="n"/>
      <c r="N1025" s="14">
        <f>IF(OR($C1025="",$E1025="",Calc!$H1025=""),"",IFERROR(VLOOKUP(LEFT(UPPER(TRIM($E1025)),6),BankTbl,3,0),0)+SUMIFS(CalcDep,CalcBank,LEFT(UPPER(TRIM($E1025)),6),CalcKey,"&lt;="&amp;Calc!$H1025)-SUMIFS(CalcWit,CalcBank,LEFT(UPPER(TRIM($E1025)),6),CalcKey,"&lt;="&amp;Calc!$H1025))</f>
        <v/>
      </c>
      <c r="O1025" s="10">
        <f>IF(OR($C1025="",$M1025=""),"",IF($N1025="","؟",IF(ROUND($M1025-$N1025,0)=0,"√","×")))</f>
        <v/>
      </c>
      <c r="P1025" s="12" t="n"/>
    </row>
    <row r="1026">
      <c r="A1026" s="10">
        <f>IF($C1026="","",COUNTA($C$9:$C1026))</f>
        <v/>
      </c>
      <c r="B1026" s="10">
        <f>IF($C1026="","","TXN-"&amp;RIGHT("0000"&amp;1018,4))</f>
        <v/>
      </c>
      <c r="C1026" s="11" t="n"/>
      <c r="D1026" s="11" t="n"/>
      <c r="E1026" s="12" t="n"/>
      <c r="F1026" s="10">
        <f>IF($E1026="","",IFERROR(IF(VLOOKUP(LEFT(UPPER(TRIM($E1026)),6),BankTbl,2,0)="","(بدون عنوان)",VLOOKUP(LEFT(UPPER(TRIM($E1026)),6),BankTbl,2,0)),"بانک ناشناخته"))</f>
        <v/>
      </c>
      <c r="G1026" s="11" t="n"/>
      <c r="H1026" s="10">
        <f>IF($G1026="","",IFERROR(VLOOKUP($G1026,CustTbl,2,0),IFERROR(VLOOKUP($G1026,SuppTbl,2,0),IFERROR(VLOOKUP($G1026,AcctTbl,2,0),IFERROR(VLOOKUP($G1026,StaffTbl,2,0),"کد ناشناخته")))))</f>
        <v/>
      </c>
      <c r="I1026" s="12" t="n"/>
      <c r="J1026" s="12" t="n"/>
      <c r="K1026" s="13" t="n"/>
      <c r="L1026" s="13" t="n"/>
      <c r="M1026" s="13" t="n"/>
      <c r="N1026" s="14">
        <f>IF(OR($C1026="",$E1026="",Calc!$H1026=""),"",IFERROR(VLOOKUP(LEFT(UPPER(TRIM($E1026)),6),BankTbl,3,0),0)+SUMIFS(CalcDep,CalcBank,LEFT(UPPER(TRIM($E1026)),6),CalcKey,"&lt;="&amp;Calc!$H1026)-SUMIFS(CalcWit,CalcBank,LEFT(UPPER(TRIM($E1026)),6),CalcKey,"&lt;="&amp;Calc!$H1026))</f>
        <v/>
      </c>
      <c r="O1026" s="10">
        <f>IF(OR($C1026="",$M1026=""),"",IF($N1026="","؟",IF(ROUND($M1026-$N1026,0)=0,"√","×")))</f>
        <v/>
      </c>
      <c r="P1026" s="12" t="n"/>
    </row>
    <row r="1027">
      <c r="A1027" s="10">
        <f>IF($C1027="","",COUNTA($C$9:$C1027))</f>
        <v/>
      </c>
      <c r="B1027" s="10">
        <f>IF($C1027="","","TXN-"&amp;RIGHT("0000"&amp;1019,4))</f>
        <v/>
      </c>
      <c r="C1027" s="11" t="n"/>
      <c r="D1027" s="11" t="n"/>
      <c r="E1027" s="12" t="n"/>
      <c r="F1027" s="10">
        <f>IF($E1027="","",IFERROR(IF(VLOOKUP(LEFT(UPPER(TRIM($E1027)),6),BankTbl,2,0)="","(بدون عنوان)",VLOOKUP(LEFT(UPPER(TRIM($E1027)),6),BankTbl,2,0)),"بانک ناشناخته"))</f>
        <v/>
      </c>
      <c r="G1027" s="11" t="n"/>
      <c r="H1027" s="10">
        <f>IF($G1027="","",IFERROR(VLOOKUP($G1027,CustTbl,2,0),IFERROR(VLOOKUP($G1027,SuppTbl,2,0),IFERROR(VLOOKUP($G1027,AcctTbl,2,0),IFERROR(VLOOKUP($G1027,StaffTbl,2,0),"کد ناشناخته")))))</f>
        <v/>
      </c>
      <c r="I1027" s="12" t="n"/>
      <c r="J1027" s="12" t="n"/>
      <c r="K1027" s="13" t="n"/>
      <c r="L1027" s="13" t="n"/>
      <c r="M1027" s="13" t="n"/>
      <c r="N1027" s="14">
        <f>IF(OR($C1027="",$E1027="",Calc!$H1027=""),"",IFERROR(VLOOKUP(LEFT(UPPER(TRIM($E1027)),6),BankTbl,3,0),0)+SUMIFS(CalcDep,CalcBank,LEFT(UPPER(TRIM($E1027)),6),CalcKey,"&lt;="&amp;Calc!$H1027)-SUMIFS(CalcWit,CalcBank,LEFT(UPPER(TRIM($E1027)),6),CalcKey,"&lt;="&amp;Calc!$H1027))</f>
        <v/>
      </c>
      <c r="O1027" s="10">
        <f>IF(OR($C1027="",$M1027=""),"",IF($N1027="","؟",IF(ROUND($M1027-$N1027,0)=0,"√","×")))</f>
        <v/>
      </c>
      <c r="P1027" s="12" t="n"/>
    </row>
    <row r="1028">
      <c r="A1028" s="10">
        <f>IF($C1028="","",COUNTA($C$9:$C1028))</f>
        <v/>
      </c>
      <c r="B1028" s="10">
        <f>IF($C1028="","","TXN-"&amp;RIGHT("0000"&amp;1020,4))</f>
        <v/>
      </c>
      <c r="C1028" s="11" t="n"/>
      <c r="D1028" s="11" t="n"/>
      <c r="E1028" s="12" t="n"/>
      <c r="F1028" s="10">
        <f>IF($E1028="","",IFERROR(IF(VLOOKUP(LEFT(UPPER(TRIM($E1028)),6),BankTbl,2,0)="","(بدون عنوان)",VLOOKUP(LEFT(UPPER(TRIM($E1028)),6),BankTbl,2,0)),"بانک ناشناخته"))</f>
        <v/>
      </c>
      <c r="G1028" s="11" t="n"/>
      <c r="H1028" s="10">
        <f>IF($G1028="","",IFERROR(VLOOKUP($G1028,CustTbl,2,0),IFERROR(VLOOKUP($G1028,SuppTbl,2,0),IFERROR(VLOOKUP($G1028,AcctTbl,2,0),IFERROR(VLOOKUP($G1028,StaffTbl,2,0),"کد ناشناخته")))))</f>
        <v/>
      </c>
      <c r="I1028" s="12" t="n"/>
      <c r="J1028" s="12" t="n"/>
      <c r="K1028" s="13" t="n"/>
      <c r="L1028" s="13" t="n"/>
      <c r="M1028" s="13" t="n"/>
      <c r="N1028" s="14">
        <f>IF(OR($C1028="",$E1028="",Calc!$H1028=""),"",IFERROR(VLOOKUP(LEFT(UPPER(TRIM($E1028)),6),BankTbl,3,0),0)+SUMIFS(CalcDep,CalcBank,LEFT(UPPER(TRIM($E1028)),6),CalcKey,"&lt;="&amp;Calc!$H1028)-SUMIFS(CalcWit,CalcBank,LEFT(UPPER(TRIM($E1028)),6),CalcKey,"&lt;="&amp;Calc!$H1028))</f>
        <v/>
      </c>
      <c r="O1028" s="10">
        <f>IF(OR($C1028="",$M1028=""),"",IF($N1028="","؟",IF(ROUND($M1028-$N1028,0)=0,"√","×")))</f>
        <v/>
      </c>
      <c r="P1028" s="12" t="n"/>
    </row>
    <row r="1029">
      <c r="A1029" s="10">
        <f>IF($C1029="","",COUNTA($C$9:$C1029))</f>
        <v/>
      </c>
      <c r="B1029" s="10">
        <f>IF($C1029="","","TXN-"&amp;RIGHT("0000"&amp;1021,4))</f>
        <v/>
      </c>
      <c r="C1029" s="11" t="n"/>
      <c r="D1029" s="11" t="n"/>
      <c r="E1029" s="12" t="n"/>
      <c r="F1029" s="10">
        <f>IF($E1029="","",IFERROR(IF(VLOOKUP(LEFT(UPPER(TRIM($E1029)),6),BankTbl,2,0)="","(بدون عنوان)",VLOOKUP(LEFT(UPPER(TRIM($E1029)),6),BankTbl,2,0)),"بانک ناشناخته"))</f>
        <v/>
      </c>
      <c r="G1029" s="11" t="n"/>
      <c r="H1029" s="10">
        <f>IF($G1029="","",IFERROR(VLOOKUP($G1029,CustTbl,2,0),IFERROR(VLOOKUP($G1029,SuppTbl,2,0),IFERROR(VLOOKUP($G1029,AcctTbl,2,0),IFERROR(VLOOKUP($G1029,StaffTbl,2,0),"کد ناشناخته")))))</f>
        <v/>
      </c>
      <c r="I1029" s="12" t="n"/>
      <c r="J1029" s="12" t="n"/>
      <c r="K1029" s="13" t="n"/>
      <c r="L1029" s="13" t="n"/>
      <c r="M1029" s="13" t="n"/>
      <c r="N1029" s="14">
        <f>IF(OR($C1029="",$E1029="",Calc!$H1029=""),"",IFERROR(VLOOKUP(LEFT(UPPER(TRIM($E1029)),6),BankTbl,3,0),0)+SUMIFS(CalcDep,CalcBank,LEFT(UPPER(TRIM($E1029)),6),CalcKey,"&lt;="&amp;Calc!$H1029)-SUMIFS(CalcWit,CalcBank,LEFT(UPPER(TRIM($E1029)),6),CalcKey,"&lt;="&amp;Calc!$H1029))</f>
        <v/>
      </c>
      <c r="O1029" s="10">
        <f>IF(OR($C1029="",$M1029=""),"",IF($N1029="","؟",IF(ROUND($M1029-$N1029,0)=0,"√","×")))</f>
        <v/>
      </c>
      <c r="P1029" s="12" t="n"/>
    </row>
    <row r="1030">
      <c r="A1030" s="10">
        <f>IF($C1030="","",COUNTA($C$9:$C1030))</f>
        <v/>
      </c>
      <c r="B1030" s="10">
        <f>IF($C1030="","","TXN-"&amp;RIGHT("0000"&amp;1022,4))</f>
        <v/>
      </c>
      <c r="C1030" s="11" t="n"/>
      <c r="D1030" s="11" t="n"/>
      <c r="E1030" s="12" t="n"/>
      <c r="F1030" s="10">
        <f>IF($E1030="","",IFERROR(IF(VLOOKUP(LEFT(UPPER(TRIM($E1030)),6),BankTbl,2,0)="","(بدون عنوان)",VLOOKUP(LEFT(UPPER(TRIM($E1030)),6),BankTbl,2,0)),"بانک ناشناخته"))</f>
        <v/>
      </c>
      <c r="G1030" s="11" t="n"/>
      <c r="H1030" s="10">
        <f>IF($G1030="","",IFERROR(VLOOKUP($G1030,CustTbl,2,0),IFERROR(VLOOKUP($G1030,SuppTbl,2,0),IFERROR(VLOOKUP($G1030,AcctTbl,2,0),IFERROR(VLOOKUP($G1030,StaffTbl,2,0),"کد ناشناخته")))))</f>
        <v/>
      </c>
      <c r="I1030" s="12" t="n"/>
      <c r="J1030" s="12" t="n"/>
      <c r="K1030" s="13" t="n"/>
      <c r="L1030" s="13" t="n"/>
      <c r="M1030" s="13" t="n"/>
      <c r="N1030" s="14">
        <f>IF(OR($C1030="",$E1030="",Calc!$H1030=""),"",IFERROR(VLOOKUP(LEFT(UPPER(TRIM($E1030)),6),BankTbl,3,0),0)+SUMIFS(CalcDep,CalcBank,LEFT(UPPER(TRIM($E1030)),6),CalcKey,"&lt;="&amp;Calc!$H1030)-SUMIFS(CalcWit,CalcBank,LEFT(UPPER(TRIM($E1030)),6),CalcKey,"&lt;="&amp;Calc!$H1030))</f>
        <v/>
      </c>
      <c r="O1030" s="10">
        <f>IF(OR($C1030="",$M1030=""),"",IF($N1030="","؟",IF(ROUND($M1030-$N1030,0)=0,"√","×")))</f>
        <v/>
      </c>
      <c r="P1030" s="12" t="n"/>
    </row>
    <row r="1031">
      <c r="A1031" s="10">
        <f>IF($C1031="","",COUNTA($C$9:$C1031))</f>
        <v/>
      </c>
      <c r="B1031" s="10">
        <f>IF($C1031="","","TXN-"&amp;RIGHT("0000"&amp;1023,4))</f>
        <v/>
      </c>
      <c r="C1031" s="11" t="n"/>
      <c r="D1031" s="11" t="n"/>
      <c r="E1031" s="12" t="n"/>
      <c r="F1031" s="10">
        <f>IF($E1031="","",IFERROR(IF(VLOOKUP(LEFT(UPPER(TRIM($E1031)),6),BankTbl,2,0)="","(بدون عنوان)",VLOOKUP(LEFT(UPPER(TRIM($E1031)),6),BankTbl,2,0)),"بانک ناشناخته"))</f>
        <v/>
      </c>
      <c r="G1031" s="11" t="n"/>
      <c r="H1031" s="10">
        <f>IF($G1031="","",IFERROR(VLOOKUP($G1031,CustTbl,2,0),IFERROR(VLOOKUP($G1031,SuppTbl,2,0),IFERROR(VLOOKUP($G1031,AcctTbl,2,0),IFERROR(VLOOKUP($G1031,StaffTbl,2,0),"کد ناشناخته")))))</f>
        <v/>
      </c>
      <c r="I1031" s="12" t="n"/>
      <c r="J1031" s="12" t="n"/>
      <c r="K1031" s="13" t="n"/>
      <c r="L1031" s="13" t="n"/>
      <c r="M1031" s="13" t="n"/>
      <c r="N1031" s="14">
        <f>IF(OR($C1031="",$E1031="",Calc!$H1031=""),"",IFERROR(VLOOKUP(LEFT(UPPER(TRIM($E1031)),6),BankTbl,3,0),0)+SUMIFS(CalcDep,CalcBank,LEFT(UPPER(TRIM($E1031)),6),CalcKey,"&lt;="&amp;Calc!$H1031)-SUMIFS(CalcWit,CalcBank,LEFT(UPPER(TRIM($E1031)),6),CalcKey,"&lt;="&amp;Calc!$H1031))</f>
        <v/>
      </c>
      <c r="O1031" s="10">
        <f>IF(OR($C1031="",$M1031=""),"",IF($N1031="","؟",IF(ROUND($M1031-$N1031,0)=0,"√","×")))</f>
        <v/>
      </c>
      <c r="P1031" s="12" t="n"/>
    </row>
    <row r="1032">
      <c r="A1032" s="10">
        <f>IF($C1032="","",COUNTA($C$9:$C1032))</f>
        <v/>
      </c>
      <c r="B1032" s="10">
        <f>IF($C1032="","","TXN-"&amp;RIGHT("0000"&amp;1024,4))</f>
        <v/>
      </c>
      <c r="C1032" s="11" t="n"/>
      <c r="D1032" s="11" t="n"/>
      <c r="E1032" s="12" t="n"/>
      <c r="F1032" s="10">
        <f>IF($E1032="","",IFERROR(IF(VLOOKUP(LEFT(UPPER(TRIM($E1032)),6),BankTbl,2,0)="","(بدون عنوان)",VLOOKUP(LEFT(UPPER(TRIM($E1032)),6),BankTbl,2,0)),"بانک ناشناخته"))</f>
        <v/>
      </c>
      <c r="G1032" s="11" t="n"/>
      <c r="H1032" s="10">
        <f>IF($G1032="","",IFERROR(VLOOKUP($G1032,CustTbl,2,0),IFERROR(VLOOKUP($G1032,SuppTbl,2,0),IFERROR(VLOOKUP($G1032,AcctTbl,2,0),IFERROR(VLOOKUP($G1032,StaffTbl,2,0),"کد ناشناخته")))))</f>
        <v/>
      </c>
      <c r="I1032" s="12" t="n"/>
      <c r="J1032" s="12" t="n"/>
      <c r="K1032" s="13" t="n"/>
      <c r="L1032" s="13" t="n"/>
      <c r="M1032" s="13" t="n"/>
      <c r="N1032" s="14">
        <f>IF(OR($C1032="",$E1032="",Calc!$H1032=""),"",IFERROR(VLOOKUP(LEFT(UPPER(TRIM($E1032)),6),BankTbl,3,0),0)+SUMIFS(CalcDep,CalcBank,LEFT(UPPER(TRIM($E1032)),6),CalcKey,"&lt;="&amp;Calc!$H1032)-SUMIFS(CalcWit,CalcBank,LEFT(UPPER(TRIM($E1032)),6),CalcKey,"&lt;="&amp;Calc!$H1032))</f>
        <v/>
      </c>
      <c r="O1032" s="10">
        <f>IF(OR($C1032="",$M1032=""),"",IF($N1032="","؟",IF(ROUND($M1032-$N1032,0)=0,"√","×")))</f>
        <v/>
      </c>
      <c r="P1032" s="12" t="n"/>
    </row>
    <row r="1033">
      <c r="A1033" s="10">
        <f>IF($C1033="","",COUNTA($C$9:$C1033))</f>
        <v/>
      </c>
      <c r="B1033" s="10">
        <f>IF($C1033="","","TXN-"&amp;RIGHT("0000"&amp;1025,4))</f>
        <v/>
      </c>
      <c r="C1033" s="11" t="n"/>
      <c r="D1033" s="11" t="n"/>
      <c r="E1033" s="12" t="n"/>
      <c r="F1033" s="10">
        <f>IF($E1033="","",IFERROR(IF(VLOOKUP(LEFT(UPPER(TRIM($E1033)),6),BankTbl,2,0)="","(بدون عنوان)",VLOOKUP(LEFT(UPPER(TRIM($E1033)),6),BankTbl,2,0)),"بانک ناشناخته"))</f>
        <v/>
      </c>
      <c r="G1033" s="11" t="n"/>
      <c r="H1033" s="10">
        <f>IF($G1033="","",IFERROR(VLOOKUP($G1033,CustTbl,2,0),IFERROR(VLOOKUP($G1033,SuppTbl,2,0),IFERROR(VLOOKUP($G1033,AcctTbl,2,0),IFERROR(VLOOKUP($G1033,StaffTbl,2,0),"کد ناشناخته")))))</f>
        <v/>
      </c>
      <c r="I1033" s="12" t="n"/>
      <c r="J1033" s="12" t="n"/>
      <c r="K1033" s="13" t="n"/>
      <c r="L1033" s="13" t="n"/>
      <c r="M1033" s="13" t="n"/>
      <c r="N1033" s="14">
        <f>IF(OR($C1033="",$E1033="",Calc!$H1033=""),"",IFERROR(VLOOKUP(LEFT(UPPER(TRIM($E1033)),6),BankTbl,3,0),0)+SUMIFS(CalcDep,CalcBank,LEFT(UPPER(TRIM($E1033)),6),CalcKey,"&lt;="&amp;Calc!$H1033)-SUMIFS(CalcWit,CalcBank,LEFT(UPPER(TRIM($E1033)),6),CalcKey,"&lt;="&amp;Calc!$H1033))</f>
        <v/>
      </c>
      <c r="O1033" s="10">
        <f>IF(OR($C1033="",$M1033=""),"",IF($N1033="","؟",IF(ROUND($M1033-$N1033,0)=0,"√","×")))</f>
        <v/>
      </c>
      <c r="P1033" s="12" t="n"/>
    </row>
    <row r="1034">
      <c r="A1034" s="10">
        <f>IF($C1034="","",COUNTA($C$9:$C1034))</f>
        <v/>
      </c>
      <c r="B1034" s="10">
        <f>IF($C1034="","","TXN-"&amp;RIGHT("0000"&amp;1026,4))</f>
        <v/>
      </c>
      <c r="C1034" s="11" t="n"/>
      <c r="D1034" s="11" t="n"/>
      <c r="E1034" s="12" t="n"/>
      <c r="F1034" s="10">
        <f>IF($E1034="","",IFERROR(IF(VLOOKUP(LEFT(UPPER(TRIM($E1034)),6),BankTbl,2,0)="","(بدون عنوان)",VLOOKUP(LEFT(UPPER(TRIM($E1034)),6),BankTbl,2,0)),"بانک ناشناخته"))</f>
        <v/>
      </c>
      <c r="G1034" s="11" t="n"/>
      <c r="H1034" s="10">
        <f>IF($G1034="","",IFERROR(VLOOKUP($G1034,CustTbl,2,0),IFERROR(VLOOKUP($G1034,SuppTbl,2,0),IFERROR(VLOOKUP($G1034,AcctTbl,2,0),IFERROR(VLOOKUP($G1034,StaffTbl,2,0),"کد ناشناخته")))))</f>
        <v/>
      </c>
      <c r="I1034" s="12" t="n"/>
      <c r="J1034" s="12" t="n"/>
      <c r="K1034" s="13" t="n"/>
      <c r="L1034" s="13" t="n"/>
      <c r="M1034" s="13" t="n"/>
      <c r="N1034" s="14">
        <f>IF(OR($C1034="",$E1034="",Calc!$H1034=""),"",IFERROR(VLOOKUP(LEFT(UPPER(TRIM($E1034)),6),BankTbl,3,0),0)+SUMIFS(CalcDep,CalcBank,LEFT(UPPER(TRIM($E1034)),6),CalcKey,"&lt;="&amp;Calc!$H1034)-SUMIFS(CalcWit,CalcBank,LEFT(UPPER(TRIM($E1034)),6),CalcKey,"&lt;="&amp;Calc!$H1034))</f>
        <v/>
      </c>
      <c r="O1034" s="10">
        <f>IF(OR($C1034="",$M1034=""),"",IF($N1034="","؟",IF(ROUND($M1034-$N1034,0)=0,"√","×")))</f>
        <v/>
      </c>
      <c r="P1034" s="12" t="n"/>
    </row>
    <row r="1035">
      <c r="A1035" s="10">
        <f>IF($C1035="","",COUNTA($C$9:$C1035))</f>
        <v/>
      </c>
      <c r="B1035" s="10">
        <f>IF($C1035="","","TXN-"&amp;RIGHT("0000"&amp;1027,4))</f>
        <v/>
      </c>
      <c r="C1035" s="11" t="n"/>
      <c r="D1035" s="11" t="n"/>
      <c r="E1035" s="12" t="n"/>
      <c r="F1035" s="10">
        <f>IF($E1035="","",IFERROR(IF(VLOOKUP(LEFT(UPPER(TRIM($E1035)),6),BankTbl,2,0)="","(بدون عنوان)",VLOOKUP(LEFT(UPPER(TRIM($E1035)),6),BankTbl,2,0)),"بانک ناشناخته"))</f>
        <v/>
      </c>
      <c r="G1035" s="11" t="n"/>
      <c r="H1035" s="10">
        <f>IF($G1035="","",IFERROR(VLOOKUP($G1035,CustTbl,2,0),IFERROR(VLOOKUP($G1035,SuppTbl,2,0),IFERROR(VLOOKUP($G1035,AcctTbl,2,0),IFERROR(VLOOKUP($G1035,StaffTbl,2,0),"کد ناشناخته")))))</f>
        <v/>
      </c>
      <c r="I1035" s="12" t="n"/>
      <c r="J1035" s="12" t="n"/>
      <c r="K1035" s="13" t="n"/>
      <c r="L1035" s="13" t="n"/>
      <c r="M1035" s="13" t="n"/>
      <c r="N1035" s="14">
        <f>IF(OR($C1035="",$E1035="",Calc!$H1035=""),"",IFERROR(VLOOKUP(LEFT(UPPER(TRIM($E1035)),6),BankTbl,3,0),0)+SUMIFS(CalcDep,CalcBank,LEFT(UPPER(TRIM($E1035)),6),CalcKey,"&lt;="&amp;Calc!$H1035)-SUMIFS(CalcWit,CalcBank,LEFT(UPPER(TRIM($E1035)),6),CalcKey,"&lt;="&amp;Calc!$H1035))</f>
        <v/>
      </c>
      <c r="O1035" s="10">
        <f>IF(OR($C1035="",$M1035=""),"",IF($N1035="","؟",IF(ROUND($M1035-$N1035,0)=0,"√","×")))</f>
        <v/>
      </c>
      <c r="P1035" s="12" t="n"/>
    </row>
    <row r="1036">
      <c r="A1036" s="10">
        <f>IF($C1036="","",COUNTA($C$9:$C1036))</f>
        <v/>
      </c>
      <c r="B1036" s="10">
        <f>IF($C1036="","","TXN-"&amp;RIGHT("0000"&amp;1028,4))</f>
        <v/>
      </c>
      <c r="C1036" s="11" t="n"/>
      <c r="D1036" s="11" t="n"/>
      <c r="E1036" s="12" t="n"/>
      <c r="F1036" s="10">
        <f>IF($E1036="","",IFERROR(IF(VLOOKUP(LEFT(UPPER(TRIM($E1036)),6),BankTbl,2,0)="","(بدون عنوان)",VLOOKUP(LEFT(UPPER(TRIM($E1036)),6),BankTbl,2,0)),"بانک ناشناخته"))</f>
        <v/>
      </c>
      <c r="G1036" s="11" t="n"/>
      <c r="H1036" s="10">
        <f>IF($G1036="","",IFERROR(VLOOKUP($G1036,CustTbl,2,0),IFERROR(VLOOKUP($G1036,SuppTbl,2,0),IFERROR(VLOOKUP($G1036,AcctTbl,2,0),IFERROR(VLOOKUP($G1036,StaffTbl,2,0),"کد ناشناخته")))))</f>
        <v/>
      </c>
      <c r="I1036" s="12" t="n"/>
      <c r="J1036" s="12" t="n"/>
      <c r="K1036" s="13" t="n"/>
      <c r="L1036" s="13" t="n"/>
      <c r="M1036" s="13" t="n"/>
      <c r="N1036" s="14">
        <f>IF(OR($C1036="",$E1036="",Calc!$H1036=""),"",IFERROR(VLOOKUP(LEFT(UPPER(TRIM($E1036)),6),BankTbl,3,0),0)+SUMIFS(CalcDep,CalcBank,LEFT(UPPER(TRIM($E1036)),6),CalcKey,"&lt;="&amp;Calc!$H1036)-SUMIFS(CalcWit,CalcBank,LEFT(UPPER(TRIM($E1036)),6),CalcKey,"&lt;="&amp;Calc!$H1036))</f>
        <v/>
      </c>
      <c r="O1036" s="10">
        <f>IF(OR($C1036="",$M1036=""),"",IF($N1036="","؟",IF(ROUND($M1036-$N1036,0)=0,"√","×")))</f>
        <v/>
      </c>
      <c r="P1036" s="12" t="n"/>
    </row>
    <row r="1037">
      <c r="A1037" s="10">
        <f>IF($C1037="","",COUNTA($C$9:$C1037))</f>
        <v/>
      </c>
      <c r="B1037" s="10">
        <f>IF($C1037="","","TXN-"&amp;RIGHT("0000"&amp;1029,4))</f>
        <v/>
      </c>
      <c r="C1037" s="11" t="n"/>
      <c r="D1037" s="11" t="n"/>
      <c r="E1037" s="12" t="n"/>
      <c r="F1037" s="10">
        <f>IF($E1037="","",IFERROR(IF(VLOOKUP(LEFT(UPPER(TRIM($E1037)),6),BankTbl,2,0)="","(بدون عنوان)",VLOOKUP(LEFT(UPPER(TRIM($E1037)),6),BankTbl,2,0)),"بانک ناشناخته"))</f>
        <v/>
      </c>
      <c r="G1037" s="11" t="n"/>
      <c r="H1037" s="10">
        <f>IF($G1037="","",IFERROR(VLOOKUP($G1037,CustTbl,2,0),IFERROR(VLOOKUP($G1037,SuppTbl,2,0),IFERROR(VLOOKUP($G1037,AcctTbl,2,0),IFERROR(VLOOKUP($G1037,StaffTbl,2,0),"کد ناشناخته")))))</f>
        <v/>
      </c>
      <c r="I1037" s="12" t="n"/>
      <c r="J1037" s="12" t="n"/>
      <c r="K1037" s="13" t="n"/>
      <c r="L1037" s="13" t="n"/>
      <c r="M1037" s="13" t="n"/>
      <c r="N1037" s="14">
        <f>IF(OR($C1037="",$E1037="",Calc!$H1037=""),"",IFERROR(VLOOKUP(LEFT(UPPER(TRIM($E1037)),6),BankTbl,3,0),0)+SUMIFS(CalcDep,CalcBank,LEFT(UPPER(TRIM($E1037)),6),CalcKey,"&lt;="&amp;Calc!$H1037)-SUMIFS(CalcWit,CalcBank,LEFT(UPPER(TRIM($E1037)),6),CalcKey,"&lt;="&amp;Calc!$H1037))</f>
        <v/>
      </c>
      <c r="O1037" s="10">
        <f>IF(OR($C1037="",$M1037=""),"",IF($N1037="","؟",IF(ROUND($M1037-$N1037,0)=0,"√","×")))</f>
        <v/>
      </c>
      <c r="P1037" s="12" t="n"/>
    </row>
    <row r="1038">
      <c r="A1038" s="10">
        <f>IF($C1038="","",COUNTA($C$9:$C1038))</f>
        <v/>
      </c>
      <c r="B1038" s="10">
        <f>IF($C1038="","","TXN-"&amp;RIGHT("0000"&amp;1030,4))</f>
        <v/>
      </c>
      <c r="C1038" s="11" t="n"/>
      <c r="D1038" s="11" t="n"/>
      <c r="E1038" s="12" t="n"/>
      <c r="F1038" s="10">
        <f>IF($E1038="","",IFERROR(IF(VLOOKUP(LEFT(UPPER(TRIM($E1038)),6),BankTbl,2,0)="","(بدون عنوان)",VLOOKUP(LEFT(UPPER(TRIM($E1038)),6),BankTbl,2,0)),"بانک ناشناخته"))</f>
        <v/>
      </c>
      <c r="G1038" s="11" t="n"/>
      <c r="H1038" s="10">
        <f>IF($G1038="","",IFERROR(VLOOKUP($G1038,CustTbl,2,0),IFERROR(VLOOKUP($G1038,SuppTbl,2,0),IFERROR(VLOOKUP($G1038,AcctTbl,2,0),IFERROR(VLOOKUP($G1038,StaffTbl,2,0),"کد ناشناخته")))))</f>
        <v/>
      </c>
      <c r="I1038" s="12" t="n"/>
      <c r="J1038" s="12" t="n"/>
      <c r="K1038" s="13" t="n"/>
      <c r="L1038" s="13" t="n"/>
      <c r="M1038" s="13" t="n"/>
      <c r="N1038" s="14">
        <f>IF(OR($C1038="",$E1038="",Calc!$H1038=""),"",IFERROR(VLOOKUP(LEFT(UPPER(TRIM($E1038)),6),BankTbl,3,0),0)+SUMIFS(CalcDep,CalcBank,LEFT(UPPER(TRIM($E1038)),6),CalcKey,"&lt;="&amp;Calc!$H1038)-SUMIFS(CalcWit,CalcBank,LEFT(UPPER(TRIM($E1038)),6),CalcKey,"&lt;="&amp;Calc!$H1038))</f>
        <v/>
      </c>
      <c r="O1038" s="10">
        <f>IF(OR($C1038="",$M1038=""),"",IF($N1038="","؟",IF(ROUND($M1038-$N1038,0)=0,"√","×")))</f>
        <v/>
      </c>
      <c r="P1038" s="12" t="n"/>
    </row>
    <row r="1039">
      <c r="A1039" s="10">
        <f>IF($C1039="","",COUNTA($C$9:$C1039))</f>
        <v/>
      </c>
      <c r="B1039" s="10">
        <f>IF($C1039="","","TXN-"&amp;RIGHT("0000"&amp;1031,4))</f>
        <v/>
      </c>
      <c r="C1039" s="11" t="n"/>
      <c r="D1039" s="11" t="n"/>
      <c r="E1039" s="12" t="n"/>
      <c r="F1039" s="10">
        <f>IF($E1039="","",IFERROR(IF(VLOOKUP(LEFT(UPPER(TRIM($E1039)),6),BankTbl,2,0)="","(بدون عنوان)",VLOOKUP(LEFT(UPPER(TRIM($E1039)),6),BankTbl,2,0)),"بانک ناشناخته"))</f>
        <v/>
      </c>
      <c r="G1039" s="11" t="n"/>
      <c r="H1039" s="10">
        <f>IF($G1039="","",IFERROR(VLOOKUP($G1039,CustTbl,2,0),IFERROR(VLOOKUP($G1039,SuppTbl,2,0),IFERROR(VLOOKUP($G1039,AcctTbl,2,0),IFERROR(VLOOKUP($G1039,StaffTbl,2,0),"کد ناشناخته")))))</f>
        <v/>
      </c>
      <c r="I1039" s="12" t="n"/>
      <c r="J1039" s="12" t="n"/>
      <c r="K1039" s="13" t="n"/>
      <c r="L1039" s="13" t="n"/>
      <c r="M1039" s="13" t="n"/>
      <c r="N1039" s="14">
        <f>IF(OR($C1039="",$E1039="",Calc!$H1039=""),"",IFERROR(VLOOKUP(LEFT(UPPER(TRIM($E1039)),6),BankTbl,3,0),0)+SUMIFS(CalcDep,CalcBank,LEFT(UPPER(TRIM($E1039)),6),CalcKey,"&lt;="&amp;Calc!$H1039)-SUMIFS(CalcWit,CalcBank,LEFT(UPPER(TRIM($E1039)),6),CalcKey,"&lt;="&amp;Calc!$H1039))</f>
        <v/>
      </c>
      <c r="O1039" s="10">
        <f>IF(OR($C1039="",$M1039=""),"",IF($N1039="","؟",IF(ROUND($M1039-$N1039,0)=0,"√","×")))</f>
        <v/>
      </c>
      <c r="P1039" s="12" t="n"/>
    </row>
    <row r="1040">
      <c r="A1040" s="10">
        <f>IF($C1040="","",COUNTA($C$9:$C1040))</f>
        <v/>
      </c>
      <c r="B1040" s="10">
        <f>IF($C1040="","","TXN-"&amp;RIGHT("0000"&amp;1032,4))</f>
        <v/>
      </c>
      <c r="C1040" s="11" t="n"/>
      <c r="D1040" s="11" t="n"/>
      <c r="E1040" s="12" t="n"/>
      <c r="F1040" s="10">
        <f>IF($E1040="","",IFERROR(IF(VLOOKUP(LEFT(UPPER(TRIM($E1040)),6),BankTbl,2,0)="","(بدون عنوان)",VLOOKUP(LEFT(UPPER(TRIM($E1040)),6),BankTbl,2,0)),"بانک ناشناخته"))</f>
        <v/>
      </c>
      <c r="G1040" s="11" t="n"/>
      <c r="H1040" s="10">
        <f>IF($G1040="","",IFERROR(VLOOKUP($G1040,CustTbl,2,0),IFERROR(VLOOKUP($G1040,SuppTbl,2,0),IFERROR(VLOOKUP($G1040,AcctTbl,2,0),IFERROR(VLOOKUP($G1040,StaffTbl,2,0),"کد ناشناخته")))))</f>
        <v/>
      </c>
      <c r="I1040" s="12" t="n"/>
      <c r="J1040" s="12" t="n"/>
      <c r="K1040" s="13" t="n"/>
      <c r="L1040" s="13" t="n"/>
      <c r="M1040" s="13" t="n"/>
      <c r="N1040" s="14">
        <f>IF(OR($C1040="",$E1040="",Calc!$H1040=""),"",IFERROR(VLOOKUP(LEFT(UPPER(TRIM($E1040)),6),BankTbl,3,0),0)+SUMIFS(CalcDep,CalcBank,LEFT(UPPER(TRIM($E1040)),6),CalcKey,"&lt;="&amp;Calc!$H1040)-SUMIFS(CalcWit,CalcBank,LEFT(UPPER(TRIM($E1040)),6),CalcKey,"&lt;="&amp;Calc!$H1040))</f>
        <v/>
      </c>
      <c r="O1040" s="10">
        <f>IF(OR($C1040="",$M1040=""),"",IF($N1040="","؟",IF(ROUND($M1040-$N1040,0)=0,"√","×")))</f>
        <v/>
      </c>
      <c r="P1040" s="12" t="n"/>
    </row>
    <row r="1041">
      <c r="A1041" s="10">
        <f>IF($C1041="","",COUNTA($C$9:$C1041))</f>
        <v/>
      </c>
      <c r="B1041" s="10">
        <f>IF($C1041="","","TXN-"&amp;RIGHT("0000"&amp;1033,4))</f>
        <v/>
      </c>
      <c r="C1041" s="11" t="n"/>
      <c r="D1041" s="11" t="n"/>
      <c r="E1041" s="12" t="n"/>
      <c r="F1041" s="10">
        <f>IF($E1041="","",IFERROR(IF(VLOOKUP(LEFT(UPPER(TRIM($E1041)),6),BankTbl,2,0)="","(بدون عنوان)",VLOOKUP(LEFT(UPPER(TRIM($E1041)),6),BankTbl,2,0)),"بانک ناشناخته"))</f>
        <v/>
      </c>
      <c r="G1041" s="11" t="n"/>
      <c r="H1041" s="10">
        <f>IF($G1041="","",IFERROR(VLOOKUP($G1041,CustTbl,2,0),IFERROR(VLOOKUP($G1041,SuppTbl,2,0),IFERROR(VLOOKUP($G1041,AcctTbl,2,0),IFERROR(VLOOKUP($G1041,StaffTbl,2,0),"کد ناشناخته")))))</f>
        <v/>
      </c>
      <c r="I1041" s="12" t="n"/>
      <c r="J1041" s="12" t="n"/>
      <c r="K1041" s="13" t="n"/>
      <c r="L1041" s="13" t="n"/>
      <c r="M1041" s="13" t="n"/>
      <c r="N1041" s="14">
        <f>IF(OR($C1041="",$E1041="",Calc!$H1041=""),"",IFERROR(VLOOKUP(LEFT(UPPER(TRIM($E1041)),6),BankTbl,3,0),0)+SUMIFS(CalcDep,CalcBank,LEFT(UPPER(TRIM($E1041)),6),CalcKey,"&lt;="&amp;Calc!$H1041)-SUMIFS(CalcWit,CalcBank,LEFT(UPPER(TRIM($E1041)),6),CalcKey,"&lt;="&amp;Calc!$H1041))</f>
        <v/>
      </c>
      <c r="O1041" s="10">
        <f>IF(OR($C1041="",$M1041=""),"",IF($N1041="","؟",IF(ROUND($M1041-$N1041,0)=0,"√","×")))</f>
        <v/>
      </c>
      <c r="P1041" s="12" t="n"/>
    </row>
    <row r="1042">
      <c r="A1042" s="10">
        <f>IF($C1042="","",COUNTA($C$9:$C1042))</f>
        <v/>
      </c>
      <c r="B1042" s="10">
        <f>IF($C1042="","","TXN-"&amp;RIGHT("0000"&amp;1034,4))</f>
        <v/>
      </c>
      <c r="C1042" s="11" t="n"/>
      <c r="D1042" s="11" t="n"/>
      <c r="E1042" s="12" t="n"/>
      <c r="F1042" s="10">
        <f>IF($E1042="","",IFERROR(IF(VLOOKUP(LEFT(UPPER(TRIM($E1042)),6),BankTbl,2,0)="","(بدون عنوان)",VLOOKUP(LEFT(UPPER(TRIM($E1042)),6),BankTbl,2,0)),"بانک ناشناخته"))</f>
        <v/>
      </c>
      <c r="G1042" s="11" t="n"/>
      <c r="H1042" s="10">
        <f>IF($G1042="","",IFERROR(VLOOKUP($G1042,CustTbl,2,0),IFERROR(VLOOKUP($G1042,SuppTbl,2,0),IFERROR(VLOOKUP($G1042,AcctTbl,2,0),IFERROR(VLOOKUP($G1042,StaffTbl,2,0),"کد ناشناخته")))))</f>
        <v/>
      </c>
      <c r="I1042" s="12" t="n"/>
      <c r="J1042" s="12" t="n"/>
      <c r="K1042" s="13" t="n"/>
      <c r="L1042" s="13" t="n"/>
      <c r="M1042" s="13" t="n"/>
      <c r="N1042" s="14">
        <f>IF(OR($C1042="",$E1042="",Calc!$H1042=""),"",IFERROR(VLOOKUP(LEFT(UPPER(TRIM($E1042)),6),BankTbl,3,0),0)+SUMIFS(CalcDep,CalcBank,LEFT(UPPER(TRIM($E1042)),6),CalcKey,"&lt;="&amp;Calc!$H1042)-SUMIFS(CalcWit,CalcBank,LEFT(UPPER(TRIM($E1042)),6),CalcKey,"&lt;="&amp;Calc!$H1042))</f>
        <v/>
      </c>
      <c r="O1042" s="10">
        <f>IF(OR($C1042="",$M1042=""),"",IF($N1042="","؟",IF(ROUND($M1042-$N1042,0)=0,"√","×")))</f>
        <v/>
      </c>
      <c r="P1042" s="12" t="n"/>
    </row>
    <row r="1043">
      <c r="A1043" s="10">
        <f>IF($C1043="","",COUNTA($C$9:$C1043))</f>
        <v/>
      </c>
      <c r="B1043" s="10">
        <f>IF($C1043="","","TXN-"&amp;RIGHT("0000"&amp;1035,4))</f>
        <v/>
      </c>
      <c r="C1043" s="11" t="n"/>
      <c r="D1043" s="11" t="n"/>
      <c r="E1043" s="12" t="n"/>
      <c r="F1043" s="10">
        <f>IF($E1043="","",IFERROR(IF(VLOOKUP(LEFT(UPPER(TRIM($E1043)),6),BankTbl,2,0)="","(بدون عنوان)",VLOOKUP(LEFT(UPPER(TRIM($E1043)),6),BankTbl,2,0)),"بانک ناشناخته"))</f>
        <v/>
      </c>
      <c r="G1043" s="11" t="n"/>
      <c r="H1043" s="10">
        <f>IF($G1043="","",IFERROR(VLOOKUP($G1043,CustTbl,2,0),IFERROR(VLOOKUP($G1043,SuppTbl,2,0),IFERROR(VLOOKUP($G1043,AcctTbl,2,0),IFERROR(VLOOKUP($G1043,StaffTbl,2,0),"کد ناشناخته")))))</f>
        <v/>
      </c>
      <c r="I1043" s="12" t="n"/>
      <c r="J1043" s="12" t="n"/>
      <c r="K1043" s="13" t="n"/>
      <c r="L1043" s="13" t="n"/>
      <c r="M1043" s="13" t="n"/>
      <c r="N1043" s="14">
        <f>IF(OR($C1043="",$E1043="",Calc!$H1043=""),"",IFERROR(VLOOKUP(LEFT(UPPER(TRIM($E1043)),6),BankTbl,3,0),0)+SUMIFS(CalcDep,CalcBank,LEFT(UPPER(TRIM($E1043)),6),CalcKey,"&lt;="&amp;Calc!$H1043)-SUMIFS(CalcWit,CalcBank,LEFT(UPPER(TRIM($E1043)),6),CalcKey,"&lt;="&amp;Calc!$H1043))</f>
        <v/>
      </c>
      <c r="O1043" s="10">
        <f>IF(OR($C1043="",$M1043=""),"",IF($N1043="","؟",IF(ROUND($M1043-$N1043,0)=0,"√","×")))</f>
        <v/>
      </c>
      <c r="P1043" s="12" t="n"/>
    </row>
    <row r="1044">
      <c r="A1044" s="10">
        <f>IF($C1044="","",COUNTA($C$9:$C1044))</f>
        <v/>
      </c>
      <c r="B1044" s="10">
        <f>IF($C1044="","","TXN-"&amp;RIGHT("0000"&amp;1036,4))</f>
        <v/>
      </c>
      <c r="C1044" s="11" t="n"/>
      <c r="D1044" s="11" t="n"/>
      <c r="E1044" s="12" t="n"/>
      <c r="F1044" s="10">
        <f>IF($E1044="","",IFERROR(IF(VLOOKUP(LEFT(UPPER(TRIM($E1044)),6),BankTbl,2,0)="","(بدون عنوان)",VLOOKUP(LEFT(UPPER(TRIM($E1044)),6),BankTbl,2,0)),"بانک ناشناخته"))</f>
        <v/>
      </c>
      <c r="G1044" s="11" t="n"/>
      <c r="H1044" s="10">
        <f>IF($G1044="","",IFERROR(VLOOKUP($G1044,CustTbl,2,0),IFERROR(VLOOKUP($G1044,SuppTbl,2,0),IFERROR(VLOOKUP($G1044,AcctTbl,2,0),IFERROR(VLOOKUP($G1044,StaffTbl,2,0),"کد ناشناخته")))))</f>
        <v/>
      </c>
      <c r="I1044" s="12" t="n"/>
      <c r="J1044" s="12" t="n"/>
      <c r="K1044" s="13" t="n"/>
      <c r="L1044" s="13" t="n"/>
      <c r="M1044" s="13" t="n"/>
      <c r="N1044" s="14">
        <f>IF(OR($C1044="",$E1044="",Calc!$H1044=""),"",IFERROR(VLOOKUP(LEFT(UPPER(TRIM($E1044)),6),BankTbl,3,0),0)+SUMIFS(CalcDep,CalcBank,LEFT(UPPER(TRIM($E1044)),6),CalcKey,"&lt;="&amp;Calc!$H1044)-SUMIFS(CalcWit,CalcBank,LEFT(UPPER(TRIM($E1044)),6),CalcKey,"&lt;="&amp;Calc!$H1044))</f>
        <v/>
      </c>
      <c r="O1044" s="10">
        <f>IF(OR($C1044="",$M1044=""),"",IF($N1044="","؟",IF(ROUND($M1044-$N1044,0)=0,"√","×")))</f>
        <v/>
      </c>
      <c r="P1044" s="12" t="n"/>
    </row>
    <row r="1045">
      <c r="A1045" s="10">
        <f>IF($C1045="","",COUNTA($C$9:$C1045))</f>
        <v/>
      </c>
      <c r="B1045" s="10">
        <f>IF($C1045="","","TXN-"&amp;RIGHT("0000"&amp;1037,4))</f>
        <v/>
      </c>
      <c r="C1045" s="11" t="n"/>
      <c r="D1045" s="11" t="n"/>
      <c r="E1045" s="12" t="n"/>
      <c r="F1045" s="10">
        <f>IF($E1045="","",IFERROR(IF(VLOOKUP(LEFT(UPPER(TRIM($E1045)),6),BankTbl,2,0)="","(بدون عنوان)",VLOOKUP(LEFT(UPPER(TRIM($E1045)),6),BankTbl,2,0)),"بانک ناشناخته"))</f>
        <v/>
      </c>
      <c r="G1045" s="11" t="n"/>
      <c r="H1045" s="10">
        <f>IF($G1045="","",IFERROR(VLOOKUP($G1045,CustTbl,2,0),IFERROR(VLOOKUP($G1045,SuppTbl,2,0),IFERROR(VLOOKUP($G1045,AcctTbl,2,0),IFERROR(VLOOKUP($G1045,StaffTbl,2,0),"کد ناشناخته")))))</f>
        <v/>
      </c>
      <c r="I1045" s="12" t="n"/>
      <c r="J1045" s="12" t="n"/>
      <c r="K1045" s="13" t="n"/>
      <c r="L1045" s="13" t="n"/>
      <c r="M1045" s="13" t="n"/>
      <c r="N1045" s="14">
        <f>IF(OR($C1045="",$E1045="",Calc!$H1045=""),"",IFERROR(VLOOKUP(LEFT(UPPER(TRIM($E1045)),6),BankTbl,3,0),0)+SUMIFS(CalcDep,CalcBank,LEFT(UPPER(TRIM($E1045)),6),CalcKey,"&lt;="&amp;Calc!$H1045)-SUMIFS(CalcWit,CalcBank,LEFT(UPPER(TRIM($E1045)),6),CalcKey,"&lt;="&amp;Calc!$H1045))</f>
        <v/>
      </c>
      <c r="O1045" s="10">
        <f>IF(OR($C1045="",$M1045=""),"",IF($N1045="","؟",IF(ROUND($M1045-$N1045,0)=0,"√","×")))</f>
        <v/>
      </c>
      <c r="P1045" s="12" t="n"/>
    </row>
    <row r="1046">
      <c r="A1046" s="10">
        <f>IF($C1046="","",COUNTA($C$9:$C1046))</f>
        <v/>
      </c>
      <c r="B1046" s="10">
        <f>IF($C1046="","","TXN-"&amp;RIGHT("0000"&amp;1038,4))</f>
        <v/>
      </c>
      <c r="C1046" s="11" t="n"/>
      <c r="D1046" s="11" t="n"/>
      <c r="E1046" s="12" t="n"/>
      <c r="F1046" s="10">
        <f>IF($E1046="","",IFERROR(IF(VLOOKUP(LEFT(UPPER(TRIM($E1046)),6),BankTbl,2,0)="","(بدون عنوان)",VLOOKUP(LEFT(UPPER(TRIM($E1046)),6),BankTbl,2,0)),"بانک ناشناخته"))</f>
        <v/>
      </c>
      <c r="G1046" s="11" t="n"/>
      <c r="H1046" s="10">
        <f>IF($G1046="","",IFERROR(VLOOKUP($G1046,CustTbl,2,0),IFERROR(VLOOKUP($G1046,SuppTbl,2,0),IFERROR(VLOOKUP($G1046,AcctTbl,2,0),IFERROR(VLOOKUP($G1046,StaffTbl,2,0),"کد ناشناخته")))))</f>
        <v/>
      </c>
      <c r="I1046" s="12" t="n"/>
      <c r="J1046" s="12" t="n"/>
      <c r="K1046" s="13" t="n"/>
      <c r="L1046" s="13" t="n"/>
      <c r="M1046" s="13" t="n"/>
      <c r="N1046" s="14">
        <f>IF(OR($C1046="",$E1046="",Calc!$H1046=""),"",IFERROR(VLOOKUP(LEFT(UPPER(TRIM($E1046)),6),BankTbl,3,0),0)+SUMIFS(CalcDep,CalcBank,LEFT(UPPER(TRIM($E1046)),6),CalcKey,"&lt;="&amp;Calc!$H1046)-SUMIFS(CalcWit,CalcBank,LEFT(UPPER(TRIM($E1046)),6),CalcKey,"&lt;="&amp;Calc!$H1046))</f>
        <v/>
      </c>
      <c r="O1046" s="10">
        <f>IF(OR($C1046="",$M1046=""),"",IF($N1046="","؟",IF(ROUND($M1046-$N1046,0)=0,"√","×")))</f>
        <v/>
      </c>
      <c r="P1046" s="12" t="n"/>
    </row>
    <row r="1047">
      <c r="A1047" s="10">
        <f>IF($C1047="","",COUNTA($C$9:$C1047))</f>
        <v/>
      </c>
      <c r="B1047" s="10">
        <f>IF($C1047="","","TXN-"&amp;RIGHT("0000"&amp;1039,4))</f>
        <v/>
      </c>
      <c r="C1047" s="11" t="n"/>
      <c r="D1047" s="11" t="n"/>
      <c r="E1047" s="12" t="n"/>
      <c r="F1047" s="10">
        <f>IF($E1047="","",IFERROR(IF(VLOOKUP(LEFT(UPPER(TRIM($E1047)),6),BankTbl,2,0)="","(بدون عنوان)",VLOOKUP(LEFT(UPPER(TRIM($E1047)),6),BankTbl,2,0)),"بانک ناشناخته"))</f>
        <v/>
      </c>
      <c r="G1047" s="11" t="n"/>
      <c r="H1047" s="10">
        <f>IF($G1047="","",IFERROR(VLOOKUP($G1047,CustTbl,2,0),IFERROR(VLOOKUP($G1047,SuppTbl,2,0),IFERROR(VLOOKUP($G1047,AcctTbl,2,0),IFERROR(VLOOKUP($G1047,StaffTbl,2,0),"کد ناشناخته")))))</f>
        <v/>
      </c>
      <c r="I1047" s="12" t="n"/>
      <c r="J1047" s="12" t="n"/>
      <c r="K1047" s="13" t="n"/>
      <c r="L1047" s="13" t="n"/>
      <c r="M1047" s="13" t="n"/>
      <c r="N1047" s="14">
        <f>IF(OR($C1047="",$E1047="",Calc!$H1047=""),"",IFERROR(VLOOKUP(LEFT(UPPER(TRIM($E1047)),6),BankTbl,3,0),0)+SUMIFS(CalcDep,CalcBank,LEFT(UPPER(TRIM($E1047)),6),CalcKey,"&lt;="&amp;Calc!$H1047)-SUMIFS(CalcWit,CalcBank,LEFT(UPPER(TRIM($E1047)),6),CalcKey,"&lt;="&amp;Calc!$H1047))</f>
        <v/>
      </c>
      <c r="O1047" s="10">
        <f>IF(OR($C1047="",$M1047=""),"",IF($N1047="","؟",IF(ROUND($M1047-$N1047,0)=0,"√","×")))</f>
        <v/>
      </c>
      <c r="P1047" s="12" t="n"/>
    </row>
    <row r="1048">
      <c r="A1048" s="10">
        <f>IF($C1048="","",COUNTA($C$9:$C1048))</f>
        <v/>
      </c>
      <c r="B1048" s="10">
        <f>IF($C1048="","","TXN-"&amp;RIGHT("0000"&amp;1040,4))</f>
        <v/>
      </c>
      <c r="C1048" s="11" t="n"/>
      <c r="D1048" s="11" t="n"/>
      <c r="E1048" s="12" t="n"/>
      <c r="F1048" s="10">
        <f>IF($E1048="","",IFERROR(IF(VLOOKUP(LEFT(UPPER(TRIM($E1048)),6),BankTbl,2,0)="","(بدون عنوان)",VLOOKUP(LEFT(UPPER(TRIM($E1048)),6),BankTbl,2,0)),"بانک ناشناخته"))</f>
        <v/>
      </c>
      <c r="G1048" s="11" t="n"/>
      <c r="H1048" s="10">
        <f>IF($G1048="","",IFERROR(VLOOKUP($G1048,CustTbl,2,0),IFERROR(VLOOKUP($G1048,SuppTbl,2,0),IFERROR(VLOOKUP($G1048,AcctTbl,2,0),IFERROR(VLOOKUP($G1048,StaffTbl,2,0),"کد ناشناخته")))))</f>
        <v/>
      </c>
      <c r="I1048" s="12" t="n"/>
      <c r="J1048" s="12" t="n"/>
      <c r="K1048" s="13" t="n"/>
      <c r="L1048" s="13" t="n"/>
      <c r="M1048" s="13" t="n"/>
      <c r="N1048" s="14">
        <f>IF(OR($C1048="",$E1048="",Calc!$H1048=""),"",IFERROR(VLOOKUP(LEFT(UPPER(TRIM($E1048)),6),BankTbl,3,0),0)+SUMIFS(CalcDep,CalcBank,LEFT(UPPER(TRIM($E1048)),6),CalcKey,"&lt;="&amp;Calc!$H1048)-SUMIFS(CalcWit,CalcBank,LEFT(UPPER(TRIM($E1048)),6),CalcKey,"&lt;="&amp;Calc!$H1048))</f>
        <v/>
      </c>
      <c r="O1048" s="10">
        <f>IF(OR($C1048="",$M1048=""),"",IF($N1048="","؟",IF(ROUND($M1048-$N1048,0)=0,"√","×")))</f>
        <v/>
      </c>
      <c r="P1048" s="12" t="n"/>
    </row>
    <row r="1049">
      <c r="A1049" s="10">
        <f>IF($C1049="","",COUNTA($C$9:$C1049))</f>
        <v/>
      </c>
      <c r="B1049" s="10">
        <f>IF($C1049="","","TXN-"&amp;RIGHT("0000"&amp;1041,4))</f>
        <v/>
      </c>
      <c r="C1049" s="11" t="n"/>
      <c r="D1049" s="11" t="n"/>
      <c r="E1049" s="12" t="n"/>
      <c r="F1049" s="10">
        <f>IF($E1049="","",IFERROR(IF(VLOOKUP(LEFT(UPPER(TRIM($E1049)),6),BankTbl,2,0)="","(بدون عنوان)",VLOOKUP(LEFT(UPPER(TRIM($E1049)),6),BankTbl,2,0)),"بانک ناشناخته"))</f>
        <v/>
      </c>
      <c r="G1049" s="11" t="n"/>
      <c r="H1049" s="10">
        <f>IF($G1049="","",IFERROR(VLOOKUP($G1049,CustTbl,2,0),IFERROR(VLOOKUP($G1049,SuppTbl,2,0),IFERROR(VLOOKUP($G1049,AcctTbl,2,0),IFERROR(VLOOKUP($G1049,StaffTbl,2,0),"کد ناشناخته")))))</f>
        <v/>
      </c>
      <c r="I1049" s="12" t="n"/>
      <c r="J1049" s="12" t="n"/>
      <c r="K1049" s="13" t="n"/>
      <c r="L1049" s="13" t="n"/>
      <c r="M1049" s="13" t="n"/>
      <c r="N1049" s="14">
        <f>IF(OR($C1049="",$E1049="",Calc!$H1049=""),"",IFERROR(VLOOKUP(LEFT(UPPER(TRIM($E1049)),6),BankTbl,3,0),0)+SUMIFS(CalcDep,CalcBank,LEFT(UPPER(TRIM($E1049)),6),CalcKey,"&lt;="&amp;Calc!$H1049)-SUMIFS(CalcWit,CalcBank,LEFT(UPPER(TRIM($E1049)),6),CalcKey,"&lt;="&amp;Calc!$H1049))</f>
        <v/>
      </c>
      <c r="O1049" s="10">
        <f>IF(OR($C1049="",$M1049=""),"",IF($N1049="","؟",IF(ROUND($M1049-$N1049,0)=0,"√","×")))</f>
        <v/>
      </c>
      <c r="P1049" s="12" t="n"/>
    </row>
    <row r="1050">
      <c r="A1050" s="10">
        <f>IF($C1050="","",COUNTA($C$9:$C1050))</f>
        <v/>
      </c>
      <c r="B1050" s="10">
        <f>IF($C1050="","","TXN-"&amp;RIGHT("0000"&amp;1042,4))</f>
        <v/>
      </c>
      <c r="C1050" s="11" t="n"/>
      <c r="D1050" s="11" t="n"/>
      <c r="E1050" s="12" t="n"/>
      <c r="F1050" s="10">
        <f>IF($E1050="","",IFERROR(IF(VLOOKUP(LEFT(UPPER(TRIM($E1050)),6),BankTbl,2,0)="","(بدون عنوان)",VLOOKUP(LEFT(UPPER(TRIM($E1050)),6),BankTbl,2,0)),"بانک ناشناخته"))</f>
        <v/>
      </c>
      <c r="G1050" s="11" t="n"/>
      <c r="H1050" s="10">
        <f>IF($G1050="","",IFERROR(VLOOKUP($G1050,CustTbl,2,0),IFERROR(VLOOKUP($G1050,SuppTbl,2,0),IFERROR(VLOOKUP($G1050,AcctTbl,2,0),IFERROR(VLOOKUP($G1050,StaffTbl,2,0),"کد ناشناخته")))))</f>
        <v/>
      </c>
      <c r="I1050" s="12" t="n"/>
      <c r="J1050" s="12" t="n"/>
      <c r="K1050" s="13" t="n"/>
      <c r="L1050" s="13" t="n"/>
      <c r="M1050" s="13" t="n"/>
      <c r="N1050" s="14">
        <f>IF(OR($C1050="",$E1050="",Calc!$H1050=""),"",IFERROR(VLOOKUP(LEFT(UPPER(TRIM($E1050)),6),BankTbl,3,0),0)+SUMIFS(CalcDep,CalcBank,LEFT(UPPER(TRIM($E1050)),6),CalcKey,"&lt;="&amp;Calc!$H1050)-SUMIFS(CalcWit,CalcBank,LEFT(UPPER(TRIM($E1050)),6),CalcKey,"&lt;="&amp;Calc!$H1050))</f>
        <v/>
      </c>
      <c r="O1050" s="10">
        <f>IF(OR($C1050="",$M1050=""),"",IF($N1050="","؟",IF(ROUND($M1050-$N1050,0)=0,"√","×")))</f>
        <v/>
      </c>
      <c r="P1050" s="12" t="n"/>
    </row>
    <row r="1051">
      <c r="A1051" s="10">
        <f>IF($C1051="","",COUNTA($C$9:$C1051))</f>
        <v/>
      </c>
      <c r="B1051" s="10">
        <f>IF($C1051="","","TXN-"&amp;RIGHT("0000"&amp;1043,4))</f>
        <v/>
      </c>
      <c r="C1051" s="11" t="n"/>
      <c r="D1051" s="11" t="n"/>
      <c r="E1051" s="12" t="n"/>
      <c r="F1051" s="10">
        <f>IF($E1051="","",IFERROR(IF(VLOOKUP(LEFT(UPPER(TRIM($E1051)),6),BankTbl,2,0)="","(بدون عنوان)",VLOOKUP(LEFT(UPPER(TRIM($E1051)),6),BankTbl,2,0)),"بانک ناشناخته"))</f>
        <v/>
      </c>
      <c r="G1051" s="11" t="n"/>
      <c r="H1051" s="10">
        <f>IF($G1051="","",IFERROR(VLOOKUP($G1051,CustTbl,2,0),IFERROR(VLOOKUP($G1051,SuppTbl,2,0),IFERROR(VLOOKUP($G1051,AcctTbl,2,0),IFERROR(VLOOKUP($G1051,StaffTbl,2,0),"کد ناشناخته")))))</f>
        <v/>
      </c>
      <c r="I1051" s="12" t="n"/>
      <c r="J1051" s="12" t="n"/>
      <c r="K1051" s="13" t="n"/>
      <c r="L1051" s="13" t="n"/>
      <c r="M1051" s="13" t="n"/>
      <c r="N1051" s="14">
        <f>IF(OR($C1051="",$E1051="",Calc!$H1051=""),"",IFERROR(VLOOKUP(LEFT(UPPER(TRIM($E1051)),6),BankTbl,3,0),0)+SUMIFS(CalcDep,CalcBank,LEFT(UPPER(TRIM($E1051)),6),CalcKey,"&lt;="&amp;Calc!$H1051)-SUMIFS(CalcWit,CalcBank,LEFT(UPPER(TRIM($E1051)),6),CalcKey,"&lt;="&amp;Calc!$H1051))</f>
        <v/>
      </c>
      <c r="O1051" s="10">
        <f>IF(OR($C1051="",$M1051=""),"",IF($N1051="","؟",IF(ROUND($M1051-$N1051,0)=0,"√","×")))</f>
        <v/>
      </c>
      <c r="P1051" s="12" t="n"/>
    </row>
    <row r="1052">
      <c r="A1052" s="10">
        <f>IF($C1052="","",COUNTA($C$9:$C1052))</f>
        <v/>
      </c>
      <c r="B1052" s="10">
        <f>IF($C1052="","","TXN-"&amp;RIGHT("0000"&amp;1044,4))</f>
        <v/>
      </c>
      <c r="C1052" s="11" t="n"/>
      <c r="D1052" s="11" t="n"/>
      <c r="E1052" s="12" t="n"/>
      <c r="F1052" s="10">
        <f>IF($E1052="","",IFERROR(IF(VLOOKUP(LEFT(UPPER(TRIM($E1052)),6),BankTbl,2,0)="","(بدون عنوان)",VLOOKUP(LEFT(UPPER(TRIM($E1052)),6),BankTbl,2,0)),"بانک ناشناخته"))</f>
        <v/>
      </c>
      <c r="G1052" s="11" t="n"/>
      <c r="H1052" s="10">
        <f>IF($G1052="","",IFERROR(VLOOKUP($G1052,CustTbl,2,0),IFERROR(VLOOKUP($G1052,SuppTbl,2,0),IFERROR(VLOOKUP($G1052,AcctTbl,2,0),IFERROR(VLOOKUP($G1052,StaffTbl,2,0),"کد ناشناخته")))))</f>
        <v/>
      </c>
      <c r="I1052" s="12" t="n"/>
      <c r="J1052" s="12" t="n"/>
      <c r="K1052" s="13" t="n"/>
      <c r="L1052" s="13" t="n"/>
      <c r="M1052" s="13" t="n"/>
      <c r="N1052" s="14">
        <f>IF(OR($C1052="",$E1052="",Calc!$H1052=""),"",IFERROR(VLOOKUP(LEFT(UPPER(TRIM($E1052)),6),BankTbl,3,0),0)+SUMIFS(CalcDep,CalcBank,LEFT(UPPER(TRIM($E1052)),6),CalcKey,"&lt;="&amp;Calc!$H1052)-SUMIFS(CalcWit,CalcBank,LEFT(UPPER(TRIM($E1052)),6),CalcKey,"&lt;="&amp;Calc!$H1052))</f>
        <v/>
      </c>
      <c r="O1052" s="10">
        <f>IF(OR($C1052="",$M1052=""),"",IF($N1052="","؟",IF(ROUND($M1052-$N1052,0)=0,"√","×")))</f>
        <v/>
      </c>
      <c r="P1052" s="12" t="n"/>
    </row>
    <row r="1053">
      <c r="A1053" s="10">
        <f>IF($C1053="","",COUNTA($C$9:$C1053))</f>
        <v/>
      </c>
      <c r="B1053" s="10">
        <f>IF($C1053="","","TXN-"&amp;RIGHT("0000"&amp;1045,4))</f>
        <v/>
      </c>
      <c r="C1053" s="11" t="n"/>
      <c r="D1053" s="11" t="n"/>
      <c r="E1053" s="12" t="n"/>
      <c r="F1053" s="10">
        <f>IF($E1053="","",IFERROR(IF(VLOOKUP(LEFT(UPPER(TRIM($E1053)),6),BankTbl,2,0)="","(بدون عنوان)",VLOOKUP(LEFT(UPPER(TRIM($E1053)),6),BankTbl,2,0)),"بانک ناشناخته"))</f>
        <v/>
      </c>
      <c r="G1053" s="11" t="n"/>
      <c r="H1053" s="10">
        <f>IF($G1053="","",IFERROR(VLOOKUP($G1053,CustTbl,2,0),IFERROR(VLOOKUP($G1053,SuppTbl,2,0),IFERROR(VLOOKUP($G1053,AcctTbl,2,0),IFERROR(VLOOKUP($G1053,StaffTbl,2,0),"کد ناشناخته")))))</f>
        <v/>
      </c>
      <c r="I1053" s="12" t="n"/>
      <c r="J1053" s="12" t="n"/>
      <c r="K1053" s="13" t="n"/>
      <c r="L1053" s="13" t="n"/>
      <c r="M1053" s="13" t="n"/>
      <c r="N1053" s="14">
        <f>IF(OR($C1053="",$E1053="",Calc!$H1053=""),"",IFERROR(VLOOKUP(LEFT(UPPER(TRIM($E1053)),6),BankTbl,3,0),0)+SUMIFS(CalcDep,CalcBank,LEFT(UPPER(TRIM($E1053)),6),CalcKey,"&lt;="&amp;Calc!$H1053)-SUMIFS(CalcWit,CalcBank,LEFT(UPPER(TRIM($E1053)),6),CalcKey,"&lt;="&amp;Calc!$H1053))</f>
        <v/>
      </c>
      <c r="O1053" s="10">
        <f>IF(OR($C1053="",$M1053=""),"",IF($N1053="","؟",IF(ROUND($M1053-$N1053,0)=0,"√","×")))</f>
        <v/>
      </c>
      <c r="P1053" s="12" t="n"/>
    </row>
    <row r="1054">
      <c r="A1054" s="10">
        <f>IF($C1054="","",COUNTA($C$9:$C1054))</f>
        <v/>
      </c>
      <c r="B1054" s="10">
        <f>IF($C1054="","","TXN-"&amp;RIGHT("0000"&amp;1046,4))</f>
        <v/>
      </c>
      <c r="C1054" s="11" t="n"/>
      <c r="D1054" s="11" t="n"/>
      <c r="E1054" s="12" t="n"/>
      <c r="F1054" s="10">
        <f>IF($E1054="","",IFERROR(IF(VLOOKUP(LEFT(UPPER(TRIM($E1054)),6),BankTbl,2,0)="","(بدون عنوان)",VLOOKUP(LEFT(UPPER(TRIM($E1054)),6),BankTbl,2,0)),"بانک ناشناخته"))</f>
        <v/>
      </c>
      <c r="G1054" s="11" t="n"/>
      <c r="H1054" s="10">
        <f>IF($G1054="","",IFERROR(VLOOKUP($G1054,CustTbl,2,0),IFERROR(VLOOKUP($G1054,SuppTbl,2,0),IFERROR(VLOOKUP($G1054,AcctTbl,2,0),IFERROR(VLOOKUP($G1054,StaffTbl,2,0),"کد ناشناخته")))))</f>
        <v/>
      </c>
      <c r="I1054" s="12" t="n"/>
      <c r="J1054" s="12" t="n"/>
      <c r="K1054" s="13" t="n"/>
      <c r="L1054" s="13" t="n"/>
      <c r="M1054" s="13" t="n"/>
      <c r="N1054" s="14">
        <f>IF(OR($C1054="",$E1054="",Calc!$H1054=""),"",IFERROR(VLOOKUP(LEFT(UPPER(TRIM($E1054)),6),BankTbl,3,0),0)+SUMIFS(CalcDep,CalcBank,LEFT(UPPER(TRIM($E1054)),6),CalcKey,"&lt;="&amp;Calc!$H1054)-SUMIFS(CalcWit,CalcBank,LEFT(UPPER(TRIM($E1054)),6),CalcKey,"&lt;="&amp;Calc!$H1054))</f>
        <v/>
      </c>
      <c r="O1054" s="10">
        <f>IF(OR($C1054="",$M1054=""),"",IF($N1054="","؟",IF(ROUND($M1054-$N1054,0)=0,"√","×")))</f>
        <v/>
      </c>
      <c r="P1054" s="12" t="n"/>
    </row>
    <row r="1055">
      <c r="A1055" s="10">
        <f>IF($C1055="","",COUNTA($C$9:$C1055))</f>
        <v/>
      </c>
      <c r="B1055" s="10">
        <f>IF($C1055="","","TXN-"&amp;RIGHT("0000"&amp;1047,4))</f>
        <v/>
      </c>
      <c r="C1055" s="11" t="n"/>
      <c r="D1055" s="11" t="n"/>
      <c r="E1055" s="12" t="n"/>
      <c r="F1055" s="10">
        <f>IF($E1055="","",IFERROR(IF(VLOOKUP(LEFT(UPPER(TRIM($E1055)),6),BankTbl,2,0)="","(بدون عنوان)",VLOOKUP(LEFT(UPPER(TRIM($E1055)),6),BankTbl,2,0)),"بانک ناشناخته"))</f>
        <v/>
      </c>
      <c r="G1055" s="11" t="n"/>
      <c r="H1055" s="10">
        <f>IF($G1055="","",IFERROR(VLOOKUP($G1055,CustTbl,2,0),IFERROR(VLOOKUP($G1055,SuppTbl,2,0),IFERROR(VLOOKUP($G1055,AcctTbl,2,0),IFERROR(VLOOKUP($G1055,StaffTbl,2,0),"کد ناشناخته")))))</f>
        <v/>
      </c>
      <c r="I1055" s="12" t="n"/>
      <c r="J1055" s="12" t="n"/>
      <c r="K1055" s="13" t="n"/>
      <c r="L1055" s="13" t="n"/>
      <c r="M1055" s="13" t="n"/>
      <c r="N1055" s="14">
        <f>IF(OR($C1055="",$E1055="",Calc!$H1055=""),"",IFERROR(VLOOKUP(LEFT(UPPER(TRIM($E1055)),6),BankTbl,3,0),0)+SUMIFS(CalcDep,CalcBank,LEFT(UPPER(TRIM($E1055)),6),CalcKey,"&lt;="&amp;Calc!$H1055)-SUMIFS(CalcWit,CalcBank,LEFT(UPPER(TRIM($E1055)),6),CalcKey,"&lt;="&amp;Calc!$H1055))</f>
        <v/>
      </c>
      <c r="O1055" s="10">
        <f>IF(OR($C1055="",$M1055=""),"",IF($N1055="","؟",IF(ROUND($M1055-$N1055,0)=0,"√","×")))</f>
        <v/>
      </c>
      <c r="P1055" s="12" t="n"/>
    </row>
    <row r="1056">
      <c r="A1056" s="10">
        <f>IF($C1056="","",COUNTA($C$9:$C1056))</f>
        <v/>
      </c>
      <c r="B1056" s="10">
        <f>IF($C1056="","","TXN-"&amp;RIGHT("0000"&amp;1048,4))</f>
        <v/>
      </c>
      <c r="C1056" s="11" t="n"/>
      <c r="D1056" s="11" t="n"/>
      <c r="E1056" s="12" t="n"/>
      <c r="F1056" s="10">
        <f>IF($E1056="","",IFERROR(IF(VLOOKUP(LEFT(UPPER(TRIM($E1056)),6),BankTbl,2,0)="","(بدون عنوان)",VLOOKUP(LEFT(UPPER(TRIM($E1056)),6),BankTbl,2,0)),"بانک ناشناخته"))</f>
        <v/>
      </c>
      <c r="G1056" s="11" t="n"/>
      <c r="H1056" s="10">
        <f>IF($G1056="","",IFERROR(VLOOKUP($G1056,CustTbl,2,0),IFERROR(VLOOKUP($G1056,SuppTbl,2,0),IFERROR(VLOOKUP($G1056,AcctTbl,2,0),IFERROR(VLOOKUP($G1056,StaffTbl,2,0),"کد ناشناخته")))))</f>
        <v/>
      </c>
      <c r="I1056" s="12" t="n"/>
      <c r="J1056" s="12" t="n"/>
      <c r="K1056" s="13" t="n"/>
      <c r="L1056" s="13" t="n"/>
      <c r="M1056" s="13" t="n"/>
      <c r="N1056" s="14">
        <f>IF(OR($C1056="",$E1056="",Calc!$H1056=""),"",IFERROR(VLOOKUP(LEFT(UPPER(TRIM($E1056)),6),BankTbl,3,0),0)+SUMIFS(CalcDep,CalcBank,LEFT(UPPER(TRIM($E1056)),6),CalcKey,"&lt;="&amp;Calc!$H1056)-SUMIFS(CalcWit,CalcBank,LEFT(UPPER(TRIM($E1056)),6),CalcKey,"&lt;="&amp;Calc!$H1056))</f>
        <v/>
      </c>
      <c r="O1056" s="10">
        <f>IF(OR($C1056="",$M1056=""),"",IF($N1056="","؟",IF(ROUND($M1056-$N1056,0)=0,"√","×")))</f>
        <v/>
      </c>
      <c r="P1056" s="12" t="n"/>
    </row>
    <row r="1057">
      <c r="A1057" s="10">
        <f>IF($C1057="","",COUNTA($C$9:$C1057))</f>
        <v/>
      </c>
      <c r="B1057" s="10">
        <f>IF($C1057="","","TXN-"&amp;RIGHT("0000"&amp;1049,4))</f>
        <v/>
      </c>
      <c r="C1057" s="11" t="n"/>
      <c r="D1057" s="11" t="n"/>
      <c r="E1057" s="12" t="n"/>
      <c r="F1057" s="10">
        <f>IF($E1057="","",IFERROR(IF(VLOOKUP(LEFT(UPPER(TRIM($E1057)),6),BankTbl,2,0)="","(بدون عنوان)",VLOOKUP(LEFT(UPPER(TRIM($E1057)),6),BankTbl,2,0)),"بانک ناشناخته"))</f>
        <v/>
      </c>
      <c r="G1057" s="11" t="n"/>
      <c r="H1057" s="10">
        <f>IF($G1057="","",IFERROR(VLOOKUP($G1057,CustTbl,2,0),IFERROR(VLOOKUP($G1057,SuppTbl,2,0),IFERROR(VLOOKUP($G1057,AcctTbl,2,0),IFERROR(VLOOKUP($G1057,StaffTbl,2,0),"کد ناشناخته")))))</f>
        <v/>
      </c>
      <c r="I1057" s="12" t="n"/>
      <c r="J1057" s="12" t="n"/>
      <c r="K1057" s="13" t="n"/>
      <c r="L1057" s="13" t="n"/>
      <c r="M1057" s="13" t="n"/>
      <c r="N1057" s="14">
        <f>IF(OR($C1057="",$E1057="",Calc!$H1057=""),"",IFERROR(VLOOKUP(LEFT(UPPER(TRIM($E1057)),6),BankTbl,3,0),0)+SUMIFS(CalcDep,CalcBank,LEFT(UPPER(TRIM($E1057)),6),CalcKey,"&lt;="&amp;Calc!$H1057)-SUMIFS(CalcWit,CalcBank,LEFT(UPPER(TRIM($E1057)),6),CalcKey,"&lt;="&amp;Calc!$H1057))</f>
        <v/>
      </c>
      <c r="O1057" s="10">
        <f>IF(OR($C1057="",$M1057=""),"",IF($N1057="","؟",IF(ROUND($M1057-$N1057,0)=0,"√","×")))</f>
        <v/>
      </c>
      <c r="P1057" s="12" t="n"/>
    </row>
    <row r="1058">
      <c r="A1058" s="10">
        <f>IF($C1058="","",COUNTA($C$9:$C1058))</f>
        <v/>
      </c>
      <c r="B1058" s="10">
        <f>IF($C1058="","","TXN-"&amp;RIGHT("0000"&amp;1050,4))</f>
        <v/>
      </c>
      <c r="C1058" s="11" t="n"/>
      <c r="D1058" s="11" t="n"/>
      <c r="E1058" s="12" t="n"/>
      <c r="F1058" s="10">
        <f>IF($E1058="","",IFERROR(IF(VLOOKUP(LEFT(UPPER(TRIM($E1058)),6),BankTbl,2,0)="","(بدون عنوان)",VLOOKUP(LEFT(UPPER(TRIM($E1058)),6),BankTbl,2,0)),"بانک ناشناخته"))</f>
        <v/>
      </c>
      <c r="G1058" s="11" t="n"/>
      <c r="H1058" s="10">
        <f>IF($G1058="","",IFERROR(VLOOKUP($G1058,CustTbl,2,0),IFERROR(VLOOKUP($G1058,SuppTbl,2,0),IFERROR(VLOOKUP($G1058,AcctTbl,2,0),IFERROR(VLOOKUP($G1058,StaffTbl,2,0),"کد ناشناخته")))))</f>
        <v/>
      </c>
      <c r="I1058" s="12" t="n"/>
      <c r="J1058" s="12" t="n"/>
      <c r="K1058" s="13" t="n"/>
      <c r="L1058" s="13" t="n"/>
      <c r="M1058" s="13" t="n"/>
      <c r="N1058" s="14">
        <f>IF(OR($C1058="",$E1058="",Calc!$H1058=""),"",IFERROR(VLOOKUP(LEFT(UPPER(TRIM($E1058)),6),BankTbl,3,0),0)+SUMIFS(CalcDep,CalcBank,LEFT(UPPER(TRIM($E1058)),6),CalcKey,"&lt;="&amp;Calc!$H1058)-SUMIFS(CalcWit,CalcBank,LEFT(UPPER(TRIM($E1058)),6),CalcKey,"&lt;="&amp;Calc!$H1058))</f>
        <v/>
      </c>
      <c r="O1058" s="10">
        <f>IF(OR($C1058="",$M1058=""),"",IF($N1058="","؟",IF(ROUND($M1058-$N1058,0)=0,"√","×")))</f>
        <v/>
      </c>
      <c r="P1058" s="12" t="n"/>
    </row>
    <row r="1059">
      <c r="A1059" s="10">
        <f>IF($C1059="","",COUNTA($C$9:$C1059))</f>
        <v/>
      </c>
      <c r="B1059" s="10">
        <f>IF($C1059="","","TXN-"&amp;RIGHT("0000"&amp;1051,4))</f>
        <v/>
      </c>
      <c r="C1059" s="11" t="n"/>
      <c r="D1059" s="11" t="n"/>
      <c r="E1059" s="12" t="n"/>
      <c r="F1059" s="10">
        <f>IF($E1059="","",IFERROR(IF(VLOOKUP(LEFT(UPPER(TRIM($E1059)),6),BankTbl,2,0)="","(بدون عنوان)",VLOOKUP(LEFT(UPPER(TRIM($E1059)),6),BankTbl,2,0)),"بانک ناشناخته"))</f>
        <v/>
      </c>
      <c r="G1059" s="11" t="n"/>
      <c r="H1059" s="10">
        <f>IF($G1059="","",IFERROR(VLOOKUP($G1059,CustTbl,2,0),IFERROR(VLOOKUP($G1059,SuppTbl,2,0),IFERROR(VLOOKUP($G1059,AcctTbl,2,0),IFERROR(VLOOKUP($G1059,StaffTbl,2,0),"کد ناشناخته")))))</f>
        <v/>
      </c>
      <c r="I1059" s="12" t="n"/>
      <c r="J1059" s="12" t="n"/>
      <c r="K1059" s="13" t="n"/>
      <c r="L1059" s="13" t="n"/>
      <c r="M1059" s="13" t="n"/>
      <c r="N1059" s="14">
        <f>IF(OR($C1059="",$E1059="",Calc!$H1059=""),"",IFERROR(VLOOKUP(LEFT(UPPER(TRIM($E1059)),6),BankTbl,3,0),0)+SUMIFS(CalcDep,CalcBank,LEFT(UPPER(TRIM($E1059)),6),CalcKey,"&lt;="&amp;Calc!$H1059)-SUMIFS(CalcWit,CalcBank,LEFT(UPPER(TRIM($E1059)),6),CalcKey,"&lt;="&amp;Calc!$H1059))</f>
        <v/>
      </c>
      <c r="O1059" s="10">
        <f>IF(OR($C1059="",$M1059=""),"",IF($N1059="","؟",IF(ROUND($M1059-$N1059,0)=0,"√","×")))</f>
        <v/>
      </c>
      <c r="P1059" s="12" t="n"/>
    </row>
    <row r="1060">
      <c r="A1060" s="10">
        <f>IF($C1060="","",COUNTA($C$9:$C1060))</f>
        <v/>
      </c>
      <c r="B1060" s="10">
        <f>IF($C1060="","","TXN-"&amp;RIGHT("0000"&amp;1052,4))</f>
        <v/>
      </c>
      <c r="C1060" s="11" t="n"/>
      <c r="D1060" s="11" t="n"/>
      <c r="E1060" s="12" t="n"/>
      <c r="F1060" s="10">
        <f>IF($E1060="","",IFERROR(IF(VLOOKUP(LEFT(UPPER(TRIM($E1060)),6),BankTbl,2,0)="","(بدون عنوان)",VLOOKUP(LEFT(UPPER(TRIM($E1060)),6),BankTbl,2,0)),"بانک ناشناخته"))</f>
        <v/>
      </c>
      <c r="G1060" s="11" t="n"/>
      <c r="H1060" s="10">
        <f>IF($G1060="","",IFERROR(VLOOKUP($G1060,CustTbl,2,0),IFERROR(VLOOKUP($G1060,SuppTbl,2,0),IFERROR(VLOOKUP($G1060,AcctTbl,2,0),IFERROR(VLOOKUP($G1060,StaffTbl,2,0),"کد ناشناخته")))))</f>
        <v/>
      </c>
      <c r="I1060" s="12" t="n"/>
      <c r="J1060" s="12" t="n"/>
      <c r="K1060" s="13" t="n"/>
      <c r="L1060" s="13" t="n"/>
      <c r="M1060" s="13" t="n"/>
      <c r="N1060" s="14">
        <f>IF(OR($C1060="",$E1060="",Calc!$H1060=""),"",IFERROR(VLOOKUP(LEFT(UPPER(TRIM($E1060)),6),BankTbl,3,0),0)+SUMIFS(CalcDep,CalcBank,LEFT(UPPER(TRIM($E1060)),6),CalcKey,"&lt;="&amp;Calc!$H1060)-SUMIFS(CalcWit,CalcBank,LEFT(UPPER(TRIM($E1060)),6),CalcKey,"&lt;="&amp;Calc!$H1060))</f>
        <v/>
      </c>
      <c r="O1060" s="10">
        <f>IF(OR($C1060="",$M1060=""),"",IF($N1060="","؟",IF(ROUND($M1060-$N1060,0)=0,"√","×")))</f>
        <v/>
      </c>
      <c r="P1060" s="12" t="n"/>
    </row>
    <row r="1061">
      <c r="A1061" s="10">
        <f>IF($C1061="","",COUNTA($C$9:$C1061))</f>
        <v/>
      </c>
      <c r="B1061" s="10">
        <f>IF($C1061="","","TXN-"&amp;RIGHT("0000"&amp;1053,4))</f>
        <v/>
      </c>
      <c r="C1061" s="11" t="n"/>
      <c r="D1061" s="11" t="n"/>
      <c r="E1061" s="12" t="n"/>
      <c r="F1061" s="10">
        <f>IF($E1061="","",IFERROR(IF(VLOOKUP(LEFT(UPPER(TRIM($E1061)),6),BankTbl,2,0)="","(بدون عنوان)",VLOOKUP(LEFT(UPPER(TRIM($E1061)),6),BankTbl,2,0)),"بانک ناشناخته"))</f>
        <v/>
      </c>
      <c r="G1061" s="11" t="n"/>
      <c r="H1061" s="10">
        <f>IF($G1061="","",IFERROR(VLOOKUP($G1061,CustTbl,2,0),IFERROR(VLOOKUP($G1061,SuppTbl,2,0),IFERROR(VLOOKUP($G1061,AcctTbl,2,0),IFERROR(VLOOKUP($G1061,StaffTbl,2,0),"کد ناشناخته")))))</f>
        <v/>
      </c>
      <c r="I1061" s="12" t="n"/>
      <c r="J1061" s="12" t="n"/>
      <c r="K1061" s="13" t="n"/>
      <c r="L1061" s="13" t="n"/>
      <c r="M1061" s="13" t="n"/>
      <c r="N1061" s="14">
        <f>IF(OR($C1061="",$E1061="",Calc!$H1061=""),"",IFERROR(VLOOKUP(LEFT(UPPER(TRIM($E1061)),6),BankTbl,3,0),0)+SUMIFS(CalcDep,CalcBank,LEFT(UPPER(TRIM($E1061)),6),CalcKey,"&lt;="&amp;Calc!$H1061)-SUMIFS(CalcWit,CalcBank,LEFT(UPPER(TRIM($E1061)),6),CalcKey,"&lt;="&amp;Calc!$H1061))</f>
        <v/>
      </c>
      <c r="O1061" s="10">
        <f>IF(OR($C1061="",$M1061=""),"",IF($N1061="","؟",IF(ROUND($M1061-$N1061,0)=0,"√","×")))</f>
        <v/>
      </c>
      <c r="P1061" s="12" t="n"/>
    </row>
    <row r="1062">
      <c r="A1062" s="10">
        <f>IF($C1062="","",COUNTA($C$9:$C1062))</f>
        <v/>
      </c>
      <c r="B1062" s="10">
        <f>IF($C1062="","","TXN-"&amp;RIGHT("0000"&amp;1054,4))</f>
        <v/>
      </c>
      <c r="C1062" s="11" t="n"/>
      <c r="D1062" s="11" t="n"/>
      <c r="E1062" s="12" t="n"/>
      <c r="F1062" s="10">
        <f>IF($E1062="","",IFERROR(IF(VLOOKUP(LEFT(UPPER(TRIM($E1062)),6),BankTbl,2,0)="","(بدون عنوان)",VLOOKUP(LEFT(UPPER(TRIM($E1062)),6),BankTbl,2,0)),"بانک ناشناخته"))</f>
        <v/>
      </c>
      <c r="G1062" s="11" t="n"/>
      <c r="H1062" s="10">
        <f>IF($G1062="","",IFERROR(VLOOKUP($G1062,CustTbl,2,0),IFERROR(VLOOKUP($G1062,SuppTbl,2,0),IFERROR(VLOOKUP($G1062,AcctTbl,2,0),IFERROR(VLOOKUP($G1062,StaffTbl,2,0),"کد ناشناخته")))))</f>
        <v/>
      </c>
      <c r="I1062" s="12" t="n"/>
      <c r="J1062" s="12" t="n"/>
      <c r="K1062" s="13" t="n"/>
      <c r="L1062" s="13" t="n"/>
      <c r="M1062" s="13" t="n"/>
      <c r="N1062" s="14">
        <f>IF(OR($C1062="",$E1062="",Calc!$H1062=""),"",IFERROR(VLOOKUP(LEFT(UPPER(TRIM($E1062)),6),BankTbl,3,0),0)+SUMIFS(CalcDep,CalcBank,LEFT(UPPER(TRIM($E1062)),6),CalcKey,"&lt;="&amp;Calc!$H1062)-SUMIFS(CalcWit,CalcBank,LEFT(UPPER(TRIM($E1062)),6),CalcKey,"&lt;="&amp;Calc!$H1062))</f>
        <v/>
      </c>
      <c r="O1062" s="10">
        <f>IF(OR($C1062="",$M1062=""),"",IF($N1062="","؟",IF(ROUND($M1062-$N1062,0)=0,"√","×")))</f>
        <v/>
      </c>
      <c r="P1062" s="12" t="n"/>
    </row>
    <row r="1063">
      <c r="A1063" s="10">
        <f>IF($C1063="","",COUNTA($C$9:$C1063))</f>
        <v/>
      </c>
      <c r="B1063" s="10">
        <f>IF($C1063="","","TXN-"&amp;RIGHT("0000"&amp;1055,4))</f>
        <v/>
      </c>
      <c r="C1063" s="11" t="n"/>
      <c r="D1063" s="11" t="n"/>
      <c r="E1063" s="12" t="n"/>
      <c r="F1063" s="10">
        <f>IF($E1063="","",IFERROR(IF(VLOOKUP(LEFT(UPPER(TRIM($E1063)),6),BankTbl,2,0)="","(بدون عنوان)",VLOOKUP(LEFT(UPPER(TRIM($E1063)),6),BankTbl,2,0)),"بانک ناشناخته"))</f>
        <v/>
      </c>
      <c r="G1063" s="11" t="n"/>
      <c r="H1063" s="10">
        <f>IF($G1063="","",IFERROR(VLOOKUP($G1063,CustTbl,2,0),IFERROR(VLOOKUP($G1063,SuppTbl,2,0),IFERROR(VLOOKUP($G1063,AcctTbl,2,0),IFERROR(VLOOKUP($G1063,StaffTbl,2,0),"کد ناشناخته")))))</f>
        <v/>
      </c>
      <c r="I1063" s="12" t="n"/>
      <c r="J1063" s="12" t="n"/>
      <c r="K1063" s="13" t="n"/>
      <c r="L1063" s="13" t="n"/>
      <c r="M1063" s="13" t="n"/>
      <c r="N1063" s="14">
        <f>IF(OR($C1063="",$E1063="",Calc!$H1063=""),"",IFERROR(VLOOKUP(LEFT(UPPER(TRIM($E1063)),6),BankTbl,3,0),0)+SUMIFS(CalcDep,CalcBank,LEFT(UPPER(TRIM($E1063)),6),CalcKey,"&lt;="&amp;Calc!$H1063)-SUMIFS(CalcWit,CalcBank,LEFT(UPPER(TRIM($E1063)),6),CalcKey,"&lt;="&amp;Calc!$H1063))</f>
        <v/>
      </c>
      <c r="O1063" s="10">
        <f>IF(OR($C1063="",$M1063=""),"",IF($N1063="","؟",IF(ROUND($M1063-$N1063,0)=0,"√","×")))</f>
        <v/>
      </c>
      <c r="P1063" s="12" t="n"/>
    </row>
    <row r="1064">
      <c r="A1064" s="10">
        <f>IF($C1064="","",COUNTA($C$9:$C1064))</f>
        <v/>
      </c>
      <c r="B1064" s="10">
        <f>IF($C1064="","","TXN-"&amp;RIGHT("0000"&amp;1056,4))</f>
        <v/>
      </c>
      <c r="C1064" s="11" t="n"/>
      <c r="D1064" s="11" t="n"/>
      <c r="E1064" s="12" t="n"/>
      <c r="F1064" s="10">
        <f>IF($E1064="","",IFERROR(IF(VLOOKUP(LEFT(UPPER(TRIM($E1064)),6),BankTbl,2,0)="","(بدون عنوان)",VLOOKUP(LEFT(UPPER(TRIM($E1064)),6),BankTbl,2,0)),"بانک ناشناخته"))</f>
        <v/>
      </c>
      <c r="G1064" s="11" t="n"/>
      <c r="H1064" s="10">
        <f>IF($G1064="","",IFERROR(VLOOKUP($G1064,CustTbl,2,0),IFERROR(VLOOKUP($G1064,SuppTbl,2,0),IFERROR(VLOOKUP($G1064,AcctTbl,2,0),IFERROR(VLOOKUP($G1064,StaffTbl,2,0),"کد ناشناخته")))))</f>
        <v/>
      </c>
      <c r="I1064" s="12" t="n"/>
      <c r="J1064" s="12" t="n"/>
      <c r="K1064" s="13" t="n"/>
      <c r="L1064" s="13" t="n"/>
      <c r="M1064" s="13" t="n"/>
      <c r="N1064" s="14">
        <f>IF(OR($C1064="",$E1064="",Calc!$H1064=""),"",IFERROR(VLOOKUP(LEFT(UPPER(TRIM($E1064)),6),BankTbl,3,0),0)+SUMIFS(CalcDep,CalcBank,LEFT(UPPER(TRIM($E1064)),6),CalcKey,"&lt;="&amp;Calc!$H1064)-SUMIFS(CalcWit,CalcBank,LEFT(UPPER(TRIM($E1064)),6),CalcKey,"&lt;="&amp;Calc!$H1064))</f>
        <v/>
      </c>
      <c r="O1064" s="10">
        <f>IF(OR($C1064="",$M1064=""),"",IF($N1064="","؟",IF(ROUND($M1064-$N1064,0)=0,"√","×")))</f>
        <v/>
      </c>
      <c r="P1064" s="12" t="n"/>
    </row>
    <row r="1065">
      <c r="A1065" s="10">
        <f>IF($C1065="","",COUNTA($C$9:$C1065))</f>
        <v/>
      </c>
      <c r="B1065" s="10">
        <f>IF($C1065="","","TXN-"&amp;RIGHT("0000"&amp;1057,4))</f>
        <v/>
      </c>
      <c r="C1065" s="11" t="n"/>
      <c r="D1065" s="11" t="n"/>
      <c r="E1065" s="12" t="n"/>
      <c r="F1065" s="10">
        <f>IF($E1065="","",IFERROR(IF(VLOOKUP(LEFT(UPPER(TRIM($E1065)),6),BankTbl,2,0)="","(بدون عنوان)",VLOOKUP(LEFT(UPPER(TRIM($E1065)),6),BankTbl,2,0)),"بانک ناشناخته"))</f>
        <v/>
      </c>
      <c r="G1065" s="11" t="n"/>
      <c r="H1065" s="10">
        <f>IF($G1065="","",IFERROR(VLOOKUP($G1065,CustTbl,2,0),IFERROR(VLOOKUP($G1065,SuppTbl,2,0),IFERROR(VLOOKUP($G1065,AcctTbl,2,0),IFERROR(VLOOKUP($G1065,StaffTbl,2,0),"کد ناشناخته")))))</f>
        <v/>
      </c>
      <c r="I1065" s="12" t="n"/>
      <c r="J1065" s="12" t="n"/>
      <c r="K1065" s="13" t="n"/>
      <c r="L1065" s="13" t="n"/>
      <c r="M1065" s="13" t="n"/>
      <c r="N1065" s="14">
        <f>IF(OR($C1065="",$E1065="",Calc!$H1065=""),"",IFERROR(VLOOKUP(LEFT(UPPER(TRIM($E1065)),6),BankTbl,3,0),0)+SUMIFS(CalcDep,CalcBank,LEFT(UPPER(TRIM($E1065)),6),CalcKey,"&lt;="&amp;Calc!$H1065)-SUMIFS(CalcWit,CalcBank,LEFT(UPPER(TRIM($E1065)),6),CalcKey,"&lt;="&amp;Calc!$H1065))</f>
        <v/>
      </c>
      <c r="O1065" s="10">
        <f>IF(OR($C1065="",$M1065=""),"",IF($N1065="","؟",IF(ROUND($M1065-$N1065,0)=0,"√","×")))</f>
        <v/>
      </c>
      <c r="P1065" s="12" t="n"/>
    </row>
    <row r="1066">
      <c r="A1066" s="10">
        <f>IF($C1066="","",COUNTA($C$9:$C1066))</f>
        <v/>
      </c>
      <c r="B1066" s="10">
        <f>IF($C1066="","","TXN-"&amp;RIGHT("0000"&amp;1058,4))</f>
        <v/>
      </c>
      <c r="C1066" s="11" t="n"/>
      <c r="D1066" s="11" t="n"/>
      <c r="E1066" s="12" t="n"/>
      <c r="F1066" s="10">
        <f>IF($E1066="","",IFERROR(IF(VLOOKUP(LEFT(UPPER(TRIM($E1066)),6),BankTbl,2,0)="","(بدون عنوان)",VLOOKUP(LEFT(UPPER(TRIM($E1066)),6),BankTbl,2,0)),"بانک ناشناخته"))</f>
        <v/>
      </c>
      <c r="G1066" s="11" t="n"/>
      <c r="H1066" s="10">
        <f>IF($G1066="","",IFERROR(VLOOKUP($G1066,CustTbl,2,0),IFERROR(VLOOKUP($G1066,SuppTbl,2,0),IFERROR(VLOOKUP($G1066,AcctTbl,2,0),IFERROR(VLOOKUP($G1066,StaffTbl,2,0),"کد ناشناخته")))))</f>
        <v/>
      </c>
      <c r="I1066" s="12" t="n"/>
      <c r="J1066" s="12" t="n"/>
      <c r="K1066" s="13" t="n"/>
      <c r="L1066" s="13" t="n"/>
      <c r="M1066" s="13" t="n"/>
      <c r="N1066" s="14">
        <f>IF(OR($C1066="",$E1066="",Calc!$H1066=""),"",IFERROR(VLOOKUP(LEFT(UPPER(TRIM($E1066)),6),BankTbl,3,0),0)+SUMIFS(CalcDep,CalcBank,LEFT(UPPER(TRIM($E1066)),6),CalcKey,"&lt;="&amp;Calc!$H1066)-SUMIFS(CalcWit,CalcBank,LEFT(UPPER(TRIM($E1066)),6),CalcKey,"&lt;="&amp;Calc!$H1066))</f>
        <v/>
      </c>
      <c r="O1066" s="10">
        <f>IF(OR($C1066="",$M1066=""),"",IF($N1066="","؟",IF(ROUND($M1066-$N1066,0)=0,"√","×")))</f>
        <v/>
      </c>
      <c r="P1066" s="12" t="n"/>
    </row>
    <row r="1067">
      <c r="A1067" s="10">
        <f>IF($C1067="","",COUNTA($C$9:$C1067))</f>
        <v/>
      </c>
      <c r="B1067" s="10">
        <f>IF($C1067="","","TXN-"&amp;RIGHT("0000"&amp;1059,4))</f>
        <v/>
      </c>
      <c r="C1067" s="11" t="n"/>
      <c r="D1067" s="11" t="n"/>
      <c r="E1067" s="12" t="n"/>
      <c r="F1067" s="10">
        <f>IF($E1067="","",IFERROR(IF(VLOOKUP(LEFT(UPPER(TRIM($E1067)),6),BankTbl,2,0)="","(بدون عنوان)",VLOOKUP(LEFT(UPPER(TRIM($E1067)),6),BankTbl,2,0)),"بانک ناشناخته"))</f>
        <v/>
      </c>
      <c r="G1067" s="11" t="n"/>
      <c r="H1067" s="10">
        <f>IF($G1067="","",IFERROR(VLOOKUP($G1067,CustTbl,2,0),IFERROR(VLOOKUP($G1067,SuppTbl,2,0),IFERROR(VLOOKUP($G1067,AcctTbl,2,0),IFERROR(VLOOKUP($G1067,StaffTbl,2,0),"کد ناشناخته")))))</f>
        <v/>
      </c>
      <c r="I1067" s="12" t="n"/>
      <c r="J1067" s="12" t="n"/>
      <c r="K1067" s="13" t="n"/>
      <c r="L1067" s="13" t="n"/>
      <c r="M1067" s="13" t="n"/>
      <c r="N1067" s="14">
        <f>IF(OR($C1067="",$E1067="",Calc!$H1067=""),"",IFERROR(VLOOKUP(LEFT(UPPER(TRIM($E1067)),6),BankTbl,3,0),0)+SUMIFS(CalcDep,CalcBank,LEFT(UPPER(TRIM($E1067)),6),CalcKey,"&lt;="&amp;Calc!$H1067)-SUMIFS(CalcWit,CalcBank,LEFT(UPPER(TRIM($E1067)),6),CalcKey,"&lt;="&amp;Calc!$H1067))</f>
        <v/>
      </c>
      <c r="O1067" s="10">
        <f>IF(OR($C1067="",$M1067=""),"",IF($N1067="","؟",IF(ROUND($M1067-$N1067,0)=0,"√","×")))</f>
        <v/>
      </c>
      <c r="P1067" s="12" t="n"/>
    </row>
    <row r="1068">
      <c r="A1068" s="10">
        <f>IF($C1068="","",COUNTA($C$9:$C1068))</f>
        <v/>
      </c>
      <c r="B1068" s="10">
        <f>IF($C1068="","","TXN-"&amp;RIGHT("0000"&amp;1060,4))</f>
        <v/>
      </c>
      <c r="C1068" s="11" t="n"/>
      <c r="D1068" s="11" t="n"/>
      <c r="E1068" s="12" t="n"/>
      <c r="F1068" s="10">
        <f>IF($E1068="","",IFERROR(IF(VLOOKUP(LEFT(UPPER(TRIM($E1068)),6),BankTbl,2,0)="","(بدون عنوان)",VLOOKUP(LEFT(UPPER(TRIM($E1068)),6),BankTbl,2,0)),"بانک ناشناخته"))</f>
        <v/>
      </c>
      <c r="G1068" s="11" t="n"/>
      <c r="H1068" s="10">
        <f>IF($G1068="","",IFERROR(VLOOKUP($G1068,CustTbl,2,0),IFERROR(VLOOKUP($G1068,SuppTbl,2,0),IFERROR(VLOOKUP($G1068,AcctTbl,2,0),IFERROR(VLOOKUP($G1068,StaffTbl,2,0),"کد ناشناخته")))))</f>
        <v/>
      </c>
      <c r="I1068" s="12" t="n"/>
      <c r="J1068" s="12" t="n"/>
      <c r="K1068" s="13" t="n"/>
      <c r="L1068" s="13" t="n"/>
      <c r="M1068" s="13" t="n"/>
      <c r="N1068" s="14">
        <f>IF(OR($C1068="",$E1068="",Calc!$H1068=""),"",IFERROR(VLOOKUP(LEFT(UPPER(TRIM($E1068)),6),BankTbl,3,0),0)+SUMIFS(CalcDep,CalcBank,LEFT(UPPER(TRIM($E1068)),6),CalcKey,"&lt;="&amp;Calc!$H1068)-SUMIFS(CalcWit,CalcBank,LEFT(UPPER(TRIM($E1068)),6),CalcKey,"&lt;="&amp;Calc!$H1068))</f>
        <v/>
      </c>
      <c r="O1068" s="10">
        <f>IF(OR($C1068="",$M1068=""),"",IF($N1068="","؟",IF(ROUND($M1068-$N1068,0)=0,"√","×")))</f>
        <v/>
      </c>
      <c r="P1068" s="12" t="n"/>
    </row>
    <row r="1069">
      <c r="A1069" s="10">
        <f>IF($C1069="","",COUNTA($C$9:$C1069))</f>
        <v/>
      </c>
      <c r="B1069" s="10">
        <f>IF($C1069="","","TXN-"&amp;RIGHT("0000"&amp;1061,4))</f>
        <v/>
      </c>
      <c r="C1069" s="11" t="n"/>
      <c r="D1069" s="11" t="n"/>
      <c r="E1069" s="12" t="n"/>
      <c r="F1069" s="10">
        <f>IF($E1069="","",IFERROR(IF(VLOOKUP(LEFT(UPPER(TRIM($E1069)),6),BankTbl,2,0)="","(بدون عنوان)",VLOOKUP(LEFT(UPPER(TRIM($E1069)),6),BankTbl,2,0)),"بانک ناشناخته"))</f>
        <v/>
      </c>
      <c r="G1069" s="11" t="n"/>
      <c r="H1069" s="10">
        <f>IF($G1069="","",IFERROR(VLOOKUP($G1069,CustTbl,2,0),IFERROR(VLOOKUP($G1069,SuppTbl,2,0),IFERROR(VLOOKUP($G1069,AcctTbl,2,0),IFERROR(VLOOKUP($G1069,StaffTbl,2,0),"کد ناشناخته")))))</f>
        <v/>
      </c>
      <c r="I1069" s="12" t="n"/>
      <c r="J1069" s="12" t="n"/>
      <c r="K1069" s="13" t="n"/>
      <c r="L1069" s="13" t="n"/>
      <c r="M1069" s="13" t="n"/>
      <c r="N1069" s="14">
        <f>IF(OR($C1069="",$E1069="",Calc!$H1069=""),"",IFERROR(VLOOKUP(LEFT(UPPER(TRIM($E1069)),6),BankTbl,3,0),0)+SUMIFS(CalcDep,CalcBank,LEFT(UPPER(TRIM($E1069)),6),CalcKey,"&lt;="&amp;Calc!$H1069)-SUMIFS(CalcWit,CalcBank,LEFT(UPPER(TRIM($E1069)),6),CalcKey,"&lt;="&amp;Calc!$H1069))</f>
        <v/>
      </c>
      <c r="O1069" s="10">
        <f>IF(OR($C1069="",$M1069=""),"",IF($N1069="","؟",IF(ROUND($M1069-$N1069,0)=0,"√","×")))</f>
        <v/>
      </c>
      <c r="P1069" s="12" t="n"/>
    </row>
    <row r="1070">
      <c r="A1070" s="10">
        <f>IF($C1070="","",COUNTA($C$9:$C1070))</f>
        <v/>
      </c>
      <c r="B1070" s="10">
        <f>IF($C1070="","","TXN-"&amp;RIGHT("0000"&amp;1062,4))</f>
        <v/>
      </c>
      <c r="C1070" s="11" t="n"/>
      <c r="D1070" s="11" t="n"/>
      <c r="E1070" s="12" t="n"/>
      <c r="F1070" s="10">
        <f>IF($E1070="","",IFERROR(IF(VLOOKUP(LEFT(UPPER(TRIM($E1070)),6),BankTbl,2,0)="","(بدون عنوان)",VLOOKUP(LEFT(UPPER(TRIM($E1070)),6),BankTbl,2,0)),"بانک ناشناخته"))</f>
        <v/>
      </c>
      <c r="G1070" s="11" t="n"/>
      <c r="H1070" s="10">
        <f>IF($G1070="","",IFERROR(VLOOKUP($G1070,CustTbl,2,0),IFERROR(VLOOKUP($G1070,SuppTbl,2,0),IFERROR(VLOOKUP($G1070,AcctTbl,2,0),IFERROR(VLOOKUP($G1070,StaffTbl,2,0),"کد ناشناخته")))))</f>
        <v/>
      </c>
      <c r="I1070" s="12" t="n"/>
      <c r="J1070" s="12" t="n"/>
      <c r="K1070" s="13" t="n"/>
      <c r="L1070" s="13" t="n"/>
      <c r="M1070" s="13" t="n"/>
      <c r="N1070" s="14">
        <f>IF(OR($C1070="",$E1070="",Calc!$H1070=""),"",IFERROR(VLOOKUP(LEFT(UPPER(TRIM($E1070)),6),BankTbl,3,0),0)+SUMIFS(CalcDep,CalcBank,LEFT(UPPER(TRIM($E1070)),6),CalcKey,"&lt;="&amp;Calc!$H1070)-SUMIFS(CalcWit,CalcBank,LEFT(UPPER(TRIM($E1070)),6),CalcKey,"&lt;="&amp;Calc!$H1070))</f>
        <v/>
      </c>
      <c r="O1070" s="10">
        <f>IF(OR($C1070="",$M1070=""),"",IF($N1070="","؟",IF(ROUND($M1070-$N1070,0)=0,"√","×")))</f>
        <v/>
      </c>
      <c r="P1070" s="12" t="n"/>
    </row>
    <row r="1071">
      <c r="A1071" s="10">
        <f>IF($C1071="","",COUNTA($C$9:$C1071))</f>
        <v/>
      </c>
      <c r="B1071" s="10">
        <f>IF($C1071="","","TXN-"&amp;RIGHT("0000"&amp;1063,4))</f>
        <v/>
      </c>
      <c r="C1071" s="11" t="n"/>
      <c r="D1071" s="11" t="n"/>
      <c r="E1071" s="12" t="n"/>
      <c r="F1071" s="10">
        <f>IF($E1071="","",IFERROR(IF(VLOOKUP(LEFT(UPPER(TRIM($E1071)),6),BankTbl,2,0)="","(بدون عنوان)",VLOOKUP(LEFT(UPPER(TRIM($E1071)),6),BankTbl,2,0)),"بانک ناشناخته"))</f>
        <v/>
      </c>
      <c r="G1071" s="11" t="n"/>
      <c r="H1071" s="10">
        <f>IF($G1071="","",IFERROR(VLOOKUP($G1071,CustTbl,2,0),IFERROR(VLOOKUP($G1071,SuppTbl,2,0),IFERROR(VLOOKUP($G1071,AcctTbl,2,0),IFERROR(VLOOKUP($G1071,StaffTbl,2,0),"کد ناشناخته")))))</f>
        <v/>
      </c>
      <c r="I1071" s="12" t="n"/>
      <c r="J1071" s="12" t="n"/>
      <c r="K1071" s="13" t="n"/>
      <c r="L1071" s="13" t="n"/>
      <c r="M1071" s="13" t="n"/>
      <c r="N1071" s="14">
        <f>IF(OR($C1071="",$E1071="",Calc!$H1071=""),"",IFERROR(VLOOKUP(LEFT(UPPER(TRIM($E1071)),6),BankTbl,3,0),0)+SUMIFS(CalcDep,CalcBank,LEFT(UPPER(TRIM($E1071)),6),CalcKey,"&lt;="&amp;Calc!$H1071)-SUMIFS(CalcWit,CalcBank,LEFT(UPPER(TRIM($E1071)),6),CalcKey,"&lt;="&amp;Calc!$H1071))</f>
        <v/>
      </c>
      <c r="O1071" s="10">
        <f>IF(OR($C1071="",$M1071=""),"",IF($N1071="","؟",IF(ROUND($M1071-$N1071,0)=0,"√","×")))</f>
        <v/>
      </c>
      <c r="P1071" s="12" t="n"/>
    </row>
    <row r="1072">
      <c r="A1072" s="10">
        <f>IF($C1072="","",COUNTA($C$9:$C1072))</f>
        <v/>
      </c>
      <c r="B1072" s="10">
        <f>IF($C1072="","","TXN-"&amp;RIGHT("0000"&amp;1064,4))</f>
        <v/>
      </c>
      <c r="C1072" s="11" t="n"/>
      <c r="D1072" s="11" t="n"/>
      <c r="E1072" s="12" t="n"/>
      <c r="F1072" s="10">
        <f>IF($E1072="","",IFERROR(IF(VLOOKUP(LEFT(UPPER(TRIM($E1072)),6),BankTbl,2,0)="","(بدون عنوان)",VLOOKUP(LEFT(UPPER(TRIM($E1072)),6),BankTbl,2,0)),"بانک ناشناخته"))</f>
        <v/>
      </c>
      <c r="G1072" s="11" t="n"/>
      <c r="H1072" s="10">
        <f>IF($G1072="","",IFERROR(VLOOKUP($G1072,CustTbl,2,0),IFERROR(VLOOKUP($G1072,SuppTbl,2,0),IFERROR(VLOOKUP($G1072,AcctTbl,2,0),IFERROR(VLOOKUP($G1072,StaffTbl,2,0),"کد ناشناخته")))))</f>
        <v/>
      </c>
      <c r="I1072" s="12" t="n"/>
      <c r="J1072" s="12" t="n"/>
      <c r="K1072" s="13" t="n"/>
      <c r="L1072" s="13" t="n"/>
      <c r="M1072" s="13" t="n"/>
      <c r="N1072" s="14">
        <f>IF(OR($C1072="",$E1072="",Calc!$H1072=""),"",IFERROR(VLOOKUP(LEFT(UPPER(TRIM($E1072)),6),BankTbl,3,0),0)+SUMIFS(CalcDep,CalcBank,LEFT(UPPER(TRIM($E1072)),6),CalcKey,"&lt;="&amp;Calc!$H1072)-SUMIFS(CalcWit,CalcBank,LEFT(UPPER(TRIM($E1072)),6),CalcKey,"&lt;="&amp;Calc!$H1072))</f>
        <v/>
      </c>
      <c r="O1072" s="10">
        <f>IF(OR($C1072="",$M1072=""),"",IF($N1072="","؟",IF(ROUND($M1072-$N1072,0)=0,"√","×")))</f>
        <v/>
      </c>
      <c r="P1072" s="12" t="n"/>
    </row>
    <row r="1073">
      <c r="A1073" s="10">
        <f>IF($C1073="","",COUNTA($C$9:$C1073))</f>
        <v/>
      </c>
      <c r="B1073" s="10">
        <f>IF($C1073="","","TXN-"&amp;RIGHT("0000"&amp;1065,4))</f>
        <v/>
      </c>
      <c r="C1073" s="11" t="n"/>
      <c r="D1073" s="11" t="n"/>
      <c r="E1073" s="12" t="n"/>
      <c r="F1073" s="10">
        <f>IF($E1073="","",IFERROR(IF(VLOOKUP(LEFT(UPPER(TRIM($E1073)),6),BankTbl,2,0)="","(بدون عنوان)",VLOOKUP(LEFT(UPPER(TRIM($E1073)),6),BankTbl,2,0)),"بانک ناشناخته"))</f>
        <v/>
      </c>
      <c r="G1073" s="11" t="n"/>
      <c r="H1073" s="10">
        <f>IF($G1073="","",IFERROR(VLOOKUP($G1073,CustTbl,2,0),IFERROR(VLOOKUP($G1073,SuppTbl,2,0),IFERROR(VLOOKUP($G1073,AcctTbl,2,0),IFERROR(VLOOKUP($G1073,StaffTbl,2,0),"کد ناشناخته")))))</f>
        <v/>
      </c>
      <c r="I1073" s="12" t="n"/>
      <c r="J1073" s="12" t="n"/>
      <c r="K1073" s="13" t="n"/>
      <c r="L1073" s="13" t="n"/>
      <c r="M1073" s="13" t="n"/>
      <c r="N1073" s="14">
        <f>IF(OR($C1073="",$E1073="",Calc!$H1073=""),"",IFERROR(VLOOKUP(LEFT(UPPER(TRIM($E1073)),6),BankTbl,3,0),0)+SUMIFS(CalcDep,CalcBank,LEFT(UPPER(TRIM($E1073)),6),CalcKey,"&lt;="&amp;Calc!$H1073)-SUMIFS(CalcWit,CalcBank,LEFT(UPPER(TRIM($E1073)),6),CalcKey,"&lt;="&amp;Calc!$H1073))</f>
        <v/>
      </c>
      <c r="O1073" s="10">
        <f>IF(OR($C1073="",$M1073=""),"",IF($N1073="","؟",IF(ROUND($M1073-$N1073,0)=0,"√","×")))</f>
        <v/>
      </c>
      <c r="P1073" s="12" t="n"/>
    </row>
    <row r="1074">
      <c r="A1074" s="10">
        <f>IF($C1074="","",COUNTA($C$9:$C1074))</f>
        <v/>
      </c>
      <c r="B1074" s="10">
        <f>IF($C1074="","","TXN-"&amp;RIGHT("0000"&amp;1066,4))</f>
        <v/>
      </c>
      <c r="C1074" s="11" t="n"/>
      <c r="D1074" s="11" t="n"/>
      <c r="E1074" s="12" t="n"/>
      <c r="F1074" s="10">
        <f>IF($E1074="","",IFERROR(IF(VLOOKUP(LEFT(UPPER(TRIM($E1074)),6),BankTbl,2,0)="","(بدون عنوان)",VLOOKUP(LEFT(UPPER(TRIM($E1074)),6),BankTbl,2,0)),"بانک ناشناخته"))</f>
        <v/>
      </c>
      <c r="G1074" s="11" t="n"/>
      <c r="H1074" s="10">
        <f>IF($G1074="","",IFERROR(VLOOKUP($G1074,CustTbl,2,0),IFERROR(VLOOKUP($G1074,SuppTbl,2,0),IFERROR(VLOOKUP($G1074,AcctTbl,2,0),IFERROR(VLOOKUP($G1074,StaffTbl,2,0),"کد ناشناخته")))))</f>
        <v/>
      </c>
      <c r="I1074" s="12" t="n"/>
      <c r="J1074" s="12" t="n"/>
      <c r="K1074" s="13" t="n"/>
      <c r="L1074" s="13" t="n"/>
      <c r="M1074" s="13" t="n"/>
      <c r="N1074" s="14">
        <f>IF(OR($C1074="",$E1074="",Calc!$H1074=""),"",IFERROR(VLOOKUP(LEFT(UPPER(TRIM($E1074)),6),BankTbl,3,0),0)+SUMIFS(CalcDep,CalcBank,LEFT(UPPER(TRIM($E1074)),6),CalcKey,"&lt;="&amp;Calc!$H1074)-SUMIFS(CalcWit,CalcBank,LEFT(UPPER(TRIM($E1074)),6),CalcKey,"&lt;="&amp;Calc!$H1074))</f>
        <v/>
      </c>
      <c r="O1074" s="10">
        <f>IF(OR($C1074="",$M1074=""),"",IF($N1074="","؟",IF(ROUND($M1074-$N1074,0)=0,"√","×")))</f>
        <v/>
      </c>
      <c r="P1074" s="12" t="n"/>
    </row>
    <row r="1075">
      <c r="A1075" s="10">
        <f>IF($C1075="","",COUNTA($C$9:$C1075))</f>
        <v/>
      </c>
      <c r="B1075" s="10">
        <f>IF($C1075="","","TXN-"&amp;RIGHT("0000"&amp;1067,4))</f>
        <v/>
      </c>
      <c r="C1075" s="11" t="n"/>
      <c r="D1075" s="11" t="n"/>
      <c r="E1075" s="12" t="n"/>
      <c r="F1075" s="10">
        <f>IF($E1075="","",IFERROR(IF(VLOOKUP(LEFT(UPPER(TRIM($E1075)),6),BankTbl,2,0)="","(بدون عنوان)",VLOOKUP(LEFT(UPPER(TRIM($E1075)),6),BankTbl,2,0)),"بانک ناشناخته"))</f>
        <v/>
      </c>
      <c r="G1075" s="11" t="n"/>
      <c r="H1075" s="10">
        <f>IF($G1075="","",IFERROR(VLOOKUP($G1075,CustTbl,2,0),IFERROR(VLOOKUP($G1075,SuppTbl,2,0),IFERROR(VLOOKUP($G1075,AcctTbl,2,0),IFERROR(VLOOKUP($G1075,StaffTbl,2,0),"کد ناشناخته")))))</f>
        <v/>
      </c>
      <c r="I1075" s="12" t="n"/>
      <c r="J1075" s="12" t="n"/>
      <c r="K1075" s="13" t="n"/>
      <c r="L1075" s="13" t="n"/>
      <c r="M1075" s="13" t="n"/>
      <c r="N1075" s="14">
        <f>IF(OR($C1075="",$E1075="",Calc!$H1075=""),"",IFERROR(VLOOKUP(LEFT(UPPER(TRIM($E1075)),6),BankTbl,3,0),0)+SUMIFS(CalcDep,CalcBank,LEFT(UPPER(TRIM($E1075)),6),CalcKey,"&lt;="&amp;Calc!$H1075)-SUMIFS(CalcWit,CalcBank,LEFT(UPPER(TRIM($E1075)),6),CalcKey,"&lt;="&amp;Calc!$H1075))</f>
        <v/>
      </c>
      <c r="O1075" s="10">
        <f>IF(OR($C1075="",$M1075=""),"",IF($N1075="","؟",IF(ROUND($M1075-$N1075,0)=0,"√","×")))</f>
        <v/>
      </c>
      <c r="P1075" s="12" t="n"/>
    </row>
    <row r="1076">
      <c r="A1076" s="10">
        <f>IF($C1076="","",COUNTA($C$9:$C1076))</f>
        <v/>
      </c>
      <c r="B1076" s="10">
        <f>IF($C1076="","","TXN-"&amp;RIGHT("0000"&amp;1068,4))</f>
        <v/>
      </c>
      <c r="C1076" s="11" t="n"/>
      <c r="D1076" s="11" t="n"/>
      <c r="E1076" s="12" t="n"/>
      <c r="F1076" s="10">
        <f>IF($E1076="","",IFERROR(IF(VLOOKUP(LEFT(UPPER(TRIM($E1076)),6),BankTbl,2,0)="","(بدون عنوان)",VLOOKUP(LEFT(UPPER(TRIM($E1076)),6),BankTbl,2,0)),"بانک ناشناخته"))</f>
        <v/>
      </c>
      <c r="G1076" s="11" t="n"/>
      <c r="H1076" s="10">
        <f>IF($G1076="","",IFERROR(VLOOKUP($G1076,CustTbl,2,0),IFERROR(VLOOKUP($G1076,SuppTbl,2,0),IFERROR(VLOOKUP($G1076,AcctTbl,2,0),IFERROR(VLOOKUP($G1076,StaffTbl,2,0),"کد ناشناخته")))))</f>
        <v/>
      </c>
      <c r="I1076" s="12" t="n"/>
      <c r="J1076" s="12" t="n"/>
      <c r="K1076" s="13" t="n"/>
      <c r="L1076" s="13" t="n"/>
      <c r="M1076" s="13" t="n"/>
      <c r="N1076" s="14">
        <f>IF(OR($C1076="",$E1076="",Calc!$H1076=""),"",IFERROR(VLOOKUP(LEFT(UPPER(TRIM($E1076)),6),BankTbl,3,0),0)+SUMIFS(CalcDep,CalcBank,LEFT(UPPER(TRIM($E1076)),6),CalcKey,"&lt;="&amp;Calc!$H1076)-SUMIFS(CalcWit,CalcBank,LEFT(UPPER(TRIM($E1076)),6),CalcKey,"&lt;="&amp;Calc!$H1076))</f>
        <v/>
      </c>
      <c r="O1076" s="10">
        <f>IF(OR($C1076="",$M1076=""),"",IF($N1076="","؟",IF(ROUND($M1076-$N1076,0)=0,"√","×")))</f>
        <v/>
      </c>
      <c r="P1076" s="12" t="n"/>
    </row>
    <row r="1077">
      <c r="A1077" s="10">
        <f>IF($C1077="","",COUNTA($C$9:$C1077))</f>
        <v/>
      </c>
      <c r="B1077" s="10">
        <f>IF($C1077="","","TXN-"&amp;RIGHT("0000"&amp;1069,4))</f>
        <v/>
      </c>
      <c r="C1077" s="11" t="n"/>
      <c r="D1077" s="11" t="n"/>
      <c r="E1077" s="12" t="n"/>
      <c r="F1077" s="10">
        <f>IF($E1077="","",IFERROR(IF(VLOOKUP(LEFT(UPPER(TRIM($E1077)),6),BankTbl,2,0)="","(بدون عنوان)",VLOOKUP(LEFT(UPPER(TRIM($E1077)),6),BankTbl,2,0)),"بانک ناشناخته"))</f>
        <v/>
      </c>
      <c r="G1077" s="11" t="n"/>
      <c r="H1077" s="10">
        <f>IF($G1077="","",IFERROR(VLOOKUP($G1077,CustTbl,2,0),IFERROR(VLOOKUP($G1077,SuppTbl,2,0),IFERROR(VLOOKUP($G1077,AcctTbl,2,0),IFERROR(VLOOKUP($G1077,StaffTbl,2,0),"کد ناشناخته")))))</f>
        <v/>
      </c>
      <c r="I1077" s="12" t="n"/>
      <c r="J1077" s="12" t="n"/>
      <c r="K1077" s="13" t="n"/>
      <c r="L1077" s="13" t="n"/>
      <c r="M1077" s="13" t="n"/>
      <c r="N1077" s="14">
        <f>IF(OR($C1077="",$E1077="",Calc!$H1077=""),"",IFERROR(VLOOKUP(LEFT(UPPER(TRIM($E1077)),6),BankTbl,3,0),0)+SUMIFS(CalcDep,CalcBank,LEFT(UPPER(TRIM($E1077)),6),CalcKey,"&lt;="&amp;Calc!$H1077)-SUMIFS(CalcWit,CalcBank,LEFT(UPPER(TRIM($E1077)),6),CalcKey,"&lt;="&amp;Calc!$H1077))</f>
        <v/>
      </c>
      <c r="O1077" s="10">
        <f>IF(OR($C1077="",$M1077=""),"",IF($N1077="","؟",IF(ROUND($M1077-$N1077,0)=0,"√","×")))</f>
        <v/>
      </c>
      <c r="P1077" s="12" t="n"/>
    </row>
    <row r="1078">
      <c r="A1078" s="10">
        <f>IF($C1078="","",COUNTA($C$9:$C1078))</f>
        <v/>
      </c>
      <c r="B1078" s="10">
        <f>IF($C1078="","","TXN-"&amp;RIGHT("0000"&amp;1070,4))</f>
        <v/>
      </c>
      <c r="C1078" s="11" t="n"/>
      <c r="D1078" s="11" t="n"/>
      <c r="E1078" s="12" t="n"/>
      <c r="F1078" s="10">
        <f>IF($E1078="","",IFERROR(IF(VLOOKUP(LEFT(UPPER(TRIM($E1078)),6),BankTbl,2,0)="","(بدون عنوان)",VLOOKUP(LEFT(UPPER(TRIM($E1078)),6),BankTbl,2,0)),"بانک ناشناخته"))</f>
        <v/>
      </c>
      <c r="G1078" s="11" t="n"/>
      <c r="H1078" s="10">
        <f>IF($G1078="","",IFERROR(VLOOKUP($G1078,CustTbl,2,0),IFERROR(VLOOKUP($G1078,SuppTbl,2,0),IFERROR(VLOOKUP($G1078,AcctTbl,2,0),IFERROR(VLOOKUP($G1078,StaffTbl,2,0),"کد ناشناخته")))))</f>
        <v/>
      </c>
      <c r="I1078" s="12" t="n"/>
      <c r="J1078" s="12" t="n"/>
      <c r="K1078" s="13" t="n"/>
      <c r="L1078" s="13" t="n"/>
      <c r="M1078" s="13" t="n"/>
      <c r="N1078" s="14">
        <f>IF(OR($C1078="",$E1078="",Calc!$H1078=""),"",IFERROR(VLOOKUP(LEFT(UPPER(TRIM($E1078)),6),BankTbl,3,0),0)+SUMIFS(CalcDep,CalcBank,LEFT(UPPER(TRIM($E1078)),6),CalcKey,"&lt;="&amp;Calc!$H1078)-SUMIFS(CalcWit,CalcBank,LEFT(UPPER(TRIM($E1078)),6),CalcKey,"&lt;="&amp;Calc!$H1078))</f>
        <v/>
      </c>
      <c r="O1078" s="10">
        <f>IF(OR($C1078="",$M1078=""),"",IF($N1078="","؟",IF(ROUND($M1078-$N1078,0)=0,"√","×")))</f>
        <v/>
      </c>
      <c r="P1078" s="12" t="n"/>
    </row>
    <row r="1079">
      <c r="A1079" s="10">
        <f>IF($C1079="","",COUNTA($C$9:$C1079))</f>
        <v/>
      </c>
      <c r="B1079" s="10">
        <f>IF($C1079="","","TXN-"&amp;RIGHT("0000"&amp;1071,4))</f>
        <v/>
      </c>
      <c r="C1079" s="11" t="n"/>
      <c r="D1079" s="11" t="n"/>
      <c r="E1079" s="12" t="n"/>
      <c r="F1079" s="10">
        <f>IF($E1079="","",IFERROR(IF(VLOOKUP(LEFT(UPPER(TRIM($E1079)),6),BankTbl,2,0)="","(بدون عنوان)",VLOOKUP(LEFT(UPPER(TRIM($E1079)),6),BankTbl,2,0)),"بانک ناشناخته"))</f>
        <v/>
      </c>
      <c r="G1079" s="11" t="n"/>
      <c r="H1079" s="10">
        <f>IF($G1079="","",IFERROR(VLOOKUP($G1079,CustTbl,2,0),IFERROR(VLOOKUP($G1079,SuppTbl,2,0),IFERROR(VLOOKUP($G1079,AcctTbl,2,0),IFERROR(VLOOKUP($G1079,StaffTbl,2,0),"کد ناشناخته")))))</f>
        <v/>
      </c>
      <c r="I1079" s="12" t="n"/>
      <c r="J1079" s="12" t="n"/>
      <c r="K1079" s="13" t="n"/>
      <c r="L1079" s="13" t="n"/>
      <c r="M1079" s="13" t="n"/>
      <c r="N1079" s="14">
        <f>IF(OR($C1079="",$E1079="",Calc!$H1079=""),"",IFERROR(VLOOKUP(LEFT(UPPER(TRIM($E1079)),6),BankTbl,3,0),0)+SUMIFS(CalcDep,CalcBank,LEFT(UPPER(TRIM($E1079)),6),CalcKey,"&lt;="&amp;Calc!$H1079)-SUMIFS(CalcWit,CalcBank,LEFT(UPPER(TRIM($E1079)),6),CalcKey,"&lt;="&amp;Calc!$H1079))</f>
        <v/>
      </c>
      <c r="O1079" s="10">
        <f>IF(OR($C1079="",$M1079=""),"",IF($N1079="","؟",IF(ROUND($M1079-$N1079,0)=0,"√","×")))</f>
        <v/>
      </c>
      <c r="P1079" s="12" t="n"/>
    </row>
    <row r="1080">
      <c r="A1080" s="10">
        <f>IF($C1080="","",COUNTA($C$9:$C1080))</f>
        <v/>
      </c>
      <c r="B1080" s="10">
        <f>IF($C1080="","","TXN-"&amp;RIGHT("0000"&amp;1072,4))</f>
        <v/>
      </c>
      <c r="C1080" s="11" t="n"/>
      <c r="D1080" s="11" t="n"/>
      <c r="E1080" s="12" t="n"/>
      <c r="F1080" s="10">
        <f>IF($E1080="","",IFERROR(IF(VLOOKUP(LEFT(UPPER(TRIM($E1080)),6),BankTbl,2,0)="","(بدون عنوان)",VLOOKUP(LEFT(UPPER(TRIM($E1080)),6),BankTbl,2,0)),"بانک ناشناخته"))</f>
        <v/>
      </c>
      <c r="G1080" s="11" t="n"/>
      <c r="H1080" s="10">
        <f>IF($G1080="","",IFERROR(VLOOKUP($G1080,CustTbl,2,0),IFERROR(VLOOKUP($G1080,SuppTbl,2,0),IFERROR(VLOOKUP($G1080,AcctTbl,2,0),IFERROR(VLOOKUP($G1080,StaffTbl,2,0),"کد ناشناخته")))))</f>
        <v/>
      </c>
      <c r="I1080" s="12" t="n"/>
      <c r="J1080" s="12" t="n"/>
      <c r="K1080" s="13" t="n"/>
      <c r="L1080" s="13" t="n"/>
      <c r="M1080" s="13" t="n"/>
      <c r="N1080" s="14">
        <f>IF(OR($C1080="",$E1080="",Calc!$H1080=""),"",IFERROR(VLOOKUP(LEFT(UPPER(TRIM($E1080)),6),BankTbl,3,0),0)+SUMIFS(CalcDep,CalcBank,LEFT(UPPER(TRIM($E1080)),6),CalcKey,"&lt;="&amp;Calc!$H1080)-SUMIFS(CalcWit,CalcBank,LEFT(UPPER(TRIM($E1080)),6),CalcKey,"&lt;="&amp;Calc!$H1080))</f>
        <v/>
      </c>
      <c r="O1080" s="10">
        <f>IF(OR($C1080="",$M1080=""),"",IF($N1080="","؟",IF(ROUND($M1080-$N1080,0)=0,"√","×")))</f>
        <v/>
      </c>
      <c r="P1080" s="12" t="n"/>
    </row>
    <row r="1081">
      <c r="A1081" s="10">
        <f>IF($C1081="","",COUNTA($C$9:$C1081))</f>
        <v/>
      </c>
      <c r="B1081" s="10">
        <f>IF($C1081="","","TXN-"&amp;RIGHT("0000"&amp;1073,4))</f>
        <v/>
      </c>
      <c r="C1081" s="11" t="n"/>
      <c r="D1081" s="11" t="n"/>
      <c r="E1081" s="12" t="n"/>
      <c r="F1081" s="10">
        <f>IF($E1081="","",IFERROR(IF(VLOOKUP(LEFT(UPPER(TRIM($E1081)),6),BankTbl,2,0)="","(بدون عنوان)",VLOOKUP(LEFT(UPPER(TRIM($E1081)),6),BankTbl,2,0)),"بانک ناشناخته"))</f>
        <v/>
      </c>
      <c r="G1081" s="11" t="n"/>
      <c r="H1081" s="10">
        <f>IF($G1081="","",IFERROR(VLOOKUP($G1081,CustTbl,2,0),IFERROR(VLOOKUP($G1081,SuppTbl,2,0),IFERROR(VLOOKUP($G1081,AcctTbl,2,0),IFERROR(VLOOKUP($G1081,StaffTbl,2,0),"کد ناشناخته")))))</f>
        <v/>
      </c>
      <c r="I1081" s="12" t="n"/>
      <c r="J1081" s="12" t="n"/>
      <c r="K1081" s="13" t="n"/>
      <c r="L1081" s="13" t="n"/>
      <c r="M1081" s="13" t="n"/>
      <c r="N1081" s="14">
        <f>IF(OR($C1081="",$E1081="",Calc!$H1081=""),"",IFERROR(VLOOKUP(LEFT(UPPER(TRIM($E1081)),6),BankTbl,3,0),0)+SUMIFS(CalcDep,CalcBank,LEFT(UPPER(TRIM($E1081)),6),CalcKey,"&lt;="&amp;Calc!$H1081)-SUMIFS(CalcWit,CalcBank,LEFT(UPPER(TRIM($E1081)),6),CalcKey,"&lt;="&amp;Calc!$H1081))</f>
        <v/>
      </c>
      <c r="O1081" s="10">
        <f>IF(OR($C1081="",$M1081=""),"",IF($N1081="","؟",IF(ROUND($M1081-$N1081,0)=0,"√","×")))</f>
        <v/>
      </c>
      <c r="P1081" s="12" t="n"/>
    </row>
    <row r="1082">
      <c r="A1082" s="10">
        <f>IF($C1082="","",COUNTA($C$9:$C1082))</f>
        <v/>
      </c>
      <c r="B1082" s="10">
        <f>IF($C1082="","","TXN-"&amp;RIGHT("0000"&amp;1074,4))</f>
        <v/>
      </c>
      <c r="C1082" s="11" t="n"/>
      <c r="D1082" s="11" t="n"/>
      <c r="E1082" s="12" t="n"/>
      <c r="F1082" s="10">
        <f>IF($E1082="","",IFERROR(IF(VLOOKUP(LEFT(UPPER(TRIM($E1082)),6),BankTbl,2,0)="","(بدون عنوان)",VLOOKUP(LEFT(UPPER(TRIM($E1082)),6),BankTbl,2,0)),"بانک ناشناخته"))</f>
        <v/>
      </c>
      <c r="G1082" s="11" t="n"/>
      <c r="H1082" s="10">
        <f>IF($G1082="","",IFERROR(VLOOKUP($G1082,CustTbl,2,0),IFERROR(VLOOKUP($G1082,SuppTbl,2,0),IFERROR(VLOOKUP($G1082,AcctTbl,2,0),IFERROR(VLOOKUP($G1082,StaffTbl,2,0),"کد ناشناخته")))))</f>
        <v/>
      </c>
      <c r="I1082" s="12" t="n"/>
      <c r="J1082" s="12" t="n"/>
      <c r="K1082" s="13" t="n"/>
      <c r="L1082" s="13" t="n"/>
      <c r="M1082" s="13" t="n"/>
      <c r="N1082" s="14">
        <f>IF(OR($C1082="",$E1082="",Calc!$H1082=""),"",IFERROR(VLOOKUP(LEFT(UPPER(TRIM($E1082)),6),BankTbl,3,0),0)+SUMIFS(CalcDep,CalcBank,LEFT(UPPER(TRIM($E1082)),6),CalcKey,"&lt;="&amp;Calc!$H1082)-SUMIFS(CalcWit,CalcBank,LEFT(UPPER(TRIM($E1082)),6),CalcKey,"&lt;="&amp;Calc!$H1082))</f>
        <v/>
      </c>
      <c r="O1082" s="10">
        <f>IF(OR($C1082="",$M1082=""),"",IF($N1082="","؟",IF(ROUND($M1082-$N1082,0)=0,"√","×")))</f>
        <v/>
      </c>
      <c r="P1082" s="12" t="n"/>
    </row>
    <row r="1083">
      <c r="A1083" s="10">
        <f>IF($C1083="","",COUNTA($C$9:$C1083))</f>
        <v/>
      </c>
      <c r="B1083" s="10">
        <f>IF($C1083="","","TXN-"&amp;RIGHT("0000"&amp;1075,4))</f>
        <v/>
      </c>
      <c r="C1083" s="11" t="n"/>
      <c r="D1083" s="11" t="n"/>
      <c r="E1083" s="12" t="n"/>
      <c r="F1083" s="10">
        <f>IF($E1083="","",IFERROR(IF(VLOOKUP(LEFT(UPPER(TRIM($E1083)),6),BankTbl,2,0)="","(بدون عنوان)",VLOOKUP(LEFT(UPPER(TRIM($E1083)),6),BankTbl,2,0)),"بانک ناشناخته"))</f>
        <v/>
      </c>
      <c r="G1083" s="11" t="n"/>
      <c r="H1083" s="10">
        <f>IF($G1083="","",IFERROR(VLOOKUP($G1083,CustTbl,2,0),IFERROR(VLOOKUP($G1083,SuppTbl,2,0),IFERROR(VLOOKUP($G1083,AcctTbl,2,0),IFERROR(VLOOKUP($G1083,StaffTbl,2,0),"کد ناشناخته")))))</f>
        <v/>
      </c>
      <c r="I1083" s="12" t="n"/>
      <c r="J1083" s="12" t="n"/>
      <c r="K1083" s="13" t="n"/>
      <c r="L1083" s="13" t="n"/>
      <c r="M1083" s="13" t="n"/>
      <c r="N1083" s="14">
        <f>IF(OR($C1083="",$E1083="",Calc!$H1083=""),"",IFERROR(VLOOKUP(LEFT(UPPER(TRIM($E1083)),6),BankTbl,3,0),0)+SUMIFS(CalcDep,CalcBank,LEFT(UPPER(TRIM($E1083)),6),CalcKey,"&lt;="&amp;Calc!$H1083)-SUMIFS(CalcWit,CalcBank,LEFT(UPPER(TRIM($E1083)),6),CalcKey,"&lt;="&amp;Calc!$H1083))</f>
        <v/>
      </c>
      <c r="O1083" s="10">
        <f>IF(OR($C1083="",$M1083=""),"",IF($N1083="","؟",IF(ROUND($M1083-$N1083,0)=0,"√","×")))</f>
        <v/>
      </c>
      <c r="P1083" s="12" t="n"/>
    </row>
    <row r="1084">
      <c r="A1084" s="10">
        <f>IF($C1084="","",COUNTA($C$9:$C1084))</f>
        <v/>
      </c>
      <c r="B1084" s="10">
        <f>IF($C1084="","","TXN-"&amp;RIGHT("0000"&amp;1076,4))</f>
        <v/>
      </c>
      <c r="C1084" s="11" t="n"/>
      <c r="D1084" s="11" t="n"/>
      <c r="E1084" s="12" t="n"/>
      <c r="F1084" s="10">
        <f>IF($E1084="","",IFERROR(IF(VLOOKUP(LEFT(UPPER(TRIM($E1084)),6),BankTbl,2,0)="","(بدون عنوان)",VLOOKUP(LEFT(UPPER(TRIM($E1084)),6),BankTbl,2,0)),"بانک ناشناخته"))</f>
        <v/>
      </c>
      <c r="G1084" s="11" t="n"/>
      <c r="H1084" s="10">
        <f>IF($G1084="","",IFERROR(VLOOKUP($G1084,CustTbl,2,0),IFERROR(VLOOKUP($G1084,SuppTbl,2,0),IFERROR(VLOOKUP($G1084,AcctTbl,2,0),IFERROR(VLOOKUP($G1084,StaffTbl,2,0),"کد ناشناخته")))))</f>
        <v/>
      </c>
      <c r="I1084" s="12" t="n"/>
      <c r="J1084" s="12" t="n"/>
      <c r="K1084" s="13" t="n"/>
      <c r="L1084" s="13" t="n"/>
      <c r="M1084" s="13" t="n"/>
      <c r="N1084" s="14">
        <f>IF(OR($C1084="",$E1084="",Calc!$H1084=""),"",IFERROR(VLOOKUP(LEFT(UPPER(TRIM($E1084)),6),BankTbl,3,0),0)+SUMIFS(CalcDep,CalcBank,LEFT(UPPER(TRIM($E1084)),6),CalcKey,"&lt;="&amp;Calc!$H1084)-SUMIFS(CalcWit,CalcBank,LEFT(UPPER(TRIM($E1084)),6),CalcKey,"&lt;="&amp;Calc!$H1084))</f>
        <v/>
      </c>
      <c r="O1084" s="10">
        <f>IF(OR($C1084="",$M1084=""),"",IF($N1084="","؟",IF(ROUND($M1084-$N1084,0)=0,"√","×")))</f>
        <v/>
      </c>
      <c r="P1084" s="12" t="n"/>
    </row>
    <row r="1085">
      <c r="A1085" s="10">
        <f>IF($C1085="","",COUNTA($C$9:$C1085))</f>
        <v/>
      </c>
      <c r="B1085" s="10">
        <f>IF($C1085="","","TXN-"&amp;RIGHT("0000"&amp;1077,4))</f>
        <v/>
      </c>
      <c r="C1085" s="11" t="n"/>
      <c r="D1085" s="11" t="n"/>
      <c r="E1085" s="12" t="n"/>
      <c r="F1085" s="10">
        <f>IF($E1085="","",IFERROR(IF(VLOOKUP(LEFT(UPPER(TRIM($E1085)),6),BankTbl,2,0)="","(بدون عنوان)",VLOOKUP(LEFT(UPPER(TRIM($E1085)),6),BankTbl,2,0)),"بانک ناشناخته"))</f>
        <v/>
      </c>
      <c r="G1085" s="11" t="n"/>
      <c r="H1085" s="10">
        <f>IF($G1085="","",IFERROR(VLOOKUP($G1085,CustTbl,2,0),IFERROR(VLOOKUP($G1085,SuppTbl,2,0),IFERROR(VLOOKUP($G1085,AcctTbl,2,0),IFERROR(VLOOKUP($G1085,StaffTbl,2,0),"کد ناشناخته")))))</f>
        <v/>
      </c>
      <c r="I1085" s="12" t="n"/>
      <c r="J1085" s="12" t="n"/>
      <c r="K1085" s="13" t="n"/>
      <c r="L1085" s="13" t="n"/>
      <c r="M1085" s="13" t="n"/>
      <c r="N1085" s="14">
        <f>IF(OR($C1085="",$E1085="",Calc!$H1085=""),"",IFERROR(VLOOKUP(LEFT(UPPER(TRIM($E1085)),6),BankTbl,3,0),0)+SUMIFS(CalcDep,CalcBank,LEFT(UPPER(TRIM($E1085)),6),CalcKey,"&lt;="&amp;Calc!$H1085)-SUMIFS(CalcWit,CalcBank,LEFT(UPPER(TRIM($E1085)),6),CalcKey,"&lt;="&amp;Calc!$H1085))</f>
        <v/>
      </c>
      <c r="O1085" s="10">
        <f>IF(OR($C1085="",$M1085=""),"",IF($N1085="","؟",IF(ROUND($M1085-$N1085,0)=0,"√","×")))</f>
        <v/>
      </c>
      <c r="P1085" s="12" t="n"/>
    </row>
    <row r="1086">
      <c r="A1086" s="10">
        <f>IF($C1086="","",COUNTA($C$9:$C1086))</f>
        <v/>
      </c>
      <c r="B1086" s="10">
        <f>IF($C1086="","","TXN-"&amp;RIGHT("0000"&amp;1078,4))</f>
        <v/>
      </c>
      <c r="C1086" s="11" t="n"/>
      <c r="D1086" s="11" t="n"/>
      <c r="E1086" s="12" t="n"/>
      <c r="F1086" s="10">
        <f>IF($E1086="","",IFERROR(IF(VLOOKUP(LEFT(UPPER(TRIM($E1086)),6),BankTbl,2,0)="","(بدون عنوان)",VLOOKUP(LEFT(UPPER(TRIM($E1086)),6),BankTbl,2,0)),"بانک ناشناخته"))</f>
        <v/>
      </c>
      <c r="G1086" s="11" t="n"/>
      <c r="H1086" s="10">
        <f>IF($G1086="","",IFERROR(VLOOKUP($G1086,CustTbl,2,0),IFERROR(VLOOKUP($G1086,SuppTbl,2,0),IFERROR(VLOOKUP($G1086,AcctTbl,2,0),IFERROR(VLOOKUP($G1086,StaffTbl,2,0),"کد ناشناخته")))))</f>
        <v/>
      </c>
      <c r="I1086" s="12" t="n"/>
      <c r="J1086" s="12" t="n"/>
      <c r="K1086" s="13" t="n"/>
      <c r="L1086" s="13" t="n"/>
      <c r="M1086" s="13" t="n"/>
      <c r="N1086" s="14">
        <f>IF(OR($C1086="",$E1086="",Calc!$H1086=""),"",IFERROR(VLOOKUP(LEFT(UPPER(TRIM($E1086)),6),BankTbl,3,0),0)+SUMIFS(CalcDep,CalcBank,LEFT(UPPER(TRIM($E1086)),6),CalcKey,"&lt;="&amp;Calc!$H1086)-SUMIFS(CalcWit,CalcBank,LEFT(UPPER(TRIM($E1086)),6),CalcKey,"&lt;="&amp;Calc!$H1086))</f>
        <v/>
      </c>
      <c r="O1086" s="10">
        <f>IF(OR($C1086="",$M1086=""),"",IF($N1086="","؟",IF(ROUND($M1086-$N1086,0)=0,"√","×")))</f>
        <v/>
      </c>
      <c r="P1086" s="12" t="n"/>
    </row>
    <row r="1087">
      <c r="A1087" s="10">
        <f>IF($C1087="","",COUNTA($C$9:$C1087))</f>
        <v/>
      </c>
      <c r="B1087" s="10">
        <f>IF($C1087="","","TXN-"&amp;RIGHT("0000"&amp;1079,4))</f>
        <v/>
      </c>
      <c r="C1087" s="11" t="n"/>
      <c r="D1087" s="11" t="n"/>
      <c r="E1087" s="12" t="n"/>
      <c r="F1087" s="10">
        <f>IF($E1087="","",IFERROR(IF(VLOOKUP(LEFT(UPPER(TRIM($E1087)),6),BankTbl,2,0)="","(بدون عنوان)",VLOOKUP(LEFT(UPPER(TRIM($E1087)),6),BankTbl,2,0)),"بانک ناشناخته"))</f>
        <v/>
      </c>
      <c r="G1087" s="11" t="n"/>
      <c r="H1087" s="10">
        <f>IF($G1087="","",IFERROR(VLOOKUP($G1087,CustTbl,2,0),IFERROR(VLOOKUP($G1087,SuppTbl,2,0),IFERROR(VLOOKUP($G1087,AcctTbl,2,0),IFERROR(VLOOKUP($G1087,StaffTbl,2,0),"کد ناشناخته")))))</f>
        <v/>
      </c>
      <c r="I1087" s="12" t="n"/>
      <c r="J1087" s="12" t="n"/>
      <c r="K1087" s="13" t="n"/>
      <c r="L1087" s="13" t="n"/>
      <c r="M1087" s="13" t="n"/>
      <c r="N1087" s="14">
        <f>IF(OR($C1087="",$E1087="",Calc!$H1087=""),"",IFERROR(VLOOKUP(LEFT(UPPER(TRIM($E1087)),6),BankTbl,3,0),0)+SUMIFS(CalcDep,CalcBank,LEFT(UPPER(TRIM($E1087)),6),CalcKey,"&lt;="&amp;Calc!$H1087)-SUMIFS(CalcWit,CalcBank,LEFT(UPPER(TRIM($E1087)),6),CalcKey,"&lt;="&amp;Calc!$H1087))</f>
        <v/>
      </c>
      <c r="O1087" s="10">
        <f>IF(OR($C1087="",$M1087=""),"",IF($N1087="","؟",IF(ROUND($M1087-$N1087,0)=0,"√","×")))</f>
        <v/>
      </c>
      <c r="P1087" s="12" t="n"/>
    </row>
    <row r="1088">
      <c r="A1088" s="10">
        <f>IF($C1088="","",COUNTA($C$9:$C1088))</f>
        <v/>
      </c>
      <c r="B1088" s="10">
        <f>IF($C1088="","","TXN-"&amp;RIGHT("0000"&amp;1080,4))</f>
        <v/>
      </c>
      <c r="C1088" s="11" t="n"/>
      <c r="D1088" s="11" t="n"/>
      <c r="E1088" s="12" t="n"/>
      <c r="F1088" s="10">
        <f>IF($E1088="","",IFERROR(IF(VLOOKUP(LEFT(UPPER(TRIM($E1088)),6),BankTbl,2,0)="","(بدون عنوان)",VLOOKUP(LEFT(UPPER(TRIM($E1088)),6),BankTbl,2,0)),"بانک ناشناخته"))</f>
        <v/>
      </c>
      <c r="G1088" s="11" t="n"/>
      <c r="H1088" s="10">
        <f>IF($G1088="","",IFERROR(VLOOKUP($G1088,CustTbl,2,0),IFERROR(VLOOKUP($G1088,SuppTbl,2,0),IFERROR(VLOOKUP($G1088,AcctTbl,2,0),IFERROR(VLOOKUP($G1088,StaffTbl,2,0),"کد ناشناخته")))))</f>
        <v/>
      </c>
      <c r="I1088" s="12" t="n"/>
      <c r="J1088" s="12" t="n"/>
      <c r="K1088" s="13" t="n"/>
      <c r="L1088" s="13" t="n"/>
      <c r="M1088" s="13" t="n"/>
      <c r="N1088" s="14">
        <f>IF(OR($C1088="",$E1088="",Calc!$H1088=""),"",IFERROR(VLOOKUP(LEFT(UPPER(TRIM($E1088)),6),BankTbl,3,0),0)+SUMIFS(CalcDep,CalcBank,LEFT(UPPER(TRIM($E1088)),6),CalcKey,"&lt;="&amp;Calc!$H1088)-SUMIFS(CalcWit,CalcBank,LEFT(UPPER(TRIM($E1088)),6),CalcKey,"&lt;="&amp;Calc!$H1088))</f>
        <v/>
      </c>
      <c r="O1088" s="10">
        <f>IF(OR($C1088="",$M1088=""),"",IF($N1088="","؟",IF(ROUND($M1088-$N1088,0)=0,"√","×")))</f>
        <v/>
      </c>
      <c r="P1088" s="12" t="n"/>
    </row>
    <row r="1089">
      <c r="A1089" s="10">
        <f>IF($C1089="","",COUNTA($C$9:$C1089))</f>
        <v/>
      </c>
      <c r="B1089" s="10">
        <f>IF($C1089="","","TXN-"&amp;RIGHT("0000"&amp;1081,4))</f>
        <v/>
      </c>
      <c r="C1089" s="11" t="n"/>
      <c r="D1089" s="11" t="n"/>
      <c r="E1089" s="12" t="n"/>
      <c r="F1089" s="10">
        <f>IF($E1089="","",IFERROR(IF(VLOOKUP(LEFT(UPPER(TRIM($E1089)),6),BankTbl,2,0)="","(بدون عنوان)",VLOOKUP(LEFT(UPPER(TRIM($E1089)),6),BankTbl,2,0)),"بانک ناشناخته"))</f>
        <v/>
      </c>
      <c r="G1089" s="11" t="n"/>
      <c r="H1089" s="10">
        <f>IF($G1089="","",IFERROR(VLOOKUP($G1089,CustTbl,2,0),IFERROR(VLOOKUP($G1089,SuppTbl,2,0),IFERROR(VLOOKUP($G1089,AcctTbl,2,0),IFERROR(VLOOKUP($G1089,StaffTbl,2,0),"کد ناشناخته")))))</f>
        <v/>
      </c>
      <c r="I1089" s="12" t="n"/>
      <c r="J1089" s="12" t="n"/>
      <c r="K1089" s="13" t="n"/>
      <c r="L1089" s="13" t="n"/>
      <c r="M1089" s="13" t="n"/>
      <c r="N1089" s="14">
        <f>IF(OR($C1089="",$E1089="",Calc!$H1089=""),"",IFERROR(VLOOKUP(LEFT(UPPER(TRIM($E1089)),6),BankTbl,3,0),0)+SUMIFS(CalcDep,CalcBank,LEFT(UPPER(TRIM($E1089)),6),CalcKey,"&lt;="&amp;Calc!$H1089)-SUMIFS(CalcWit,CalcBank,LEFT(UPPER(TRIM($E1089)),6),CalcKey,"&lt;="&amp;Calc!$H1089))</f>
        <v/>
      </c>
      <c r="O1089" s="10">
        <f>IF(OR($C1089="",$M1089=""),"",IF($N1089="","؟",IF(ROUND($M1089-$N1089,0)=0,"√","×")))</f>
        <v/>
      </c>
      <c r="P1089" s="12" t="n"/>
    </row>
    <row r="1090">
      <c r="A1090" s="10">
        <f>IF($C1090="","",COUNTA($C$9:$C1090))</f>
        <v/>
      </c>
      <c r="B1090" s="10">
        <f>IF($C1090="","","TXN-"&amp;RIGHT("0000"&amp;1082,4))</f>
        <v/>
      </c>
      <c r="C1090" s="11" t="n"/>
      <c r="D1090" s="11" t="n"/>
      <c r="E1090" s="12" t="n"/>
      <c r="F1090" s="10">
        <f>IF($E1090="","",IFERROR(IF(VLOOKUP(LEFT(UPPER(TRIM($E1090)),6),BankTbl,2,0)="","(بدون عنوان)",VLOOKUP(LEFT(UPPER(TRIM($E1090)),6),BankTbl,2,0)),"بانک ناشناخته"))</f>
        <v/>
      </c>
      <c r="G1090" s="11" t="n"/>
      <c r="H1090" s="10">
        <f>IF($G1090="","",IFERROR(VLOOKUP($G1090,CustTbl,2,0),IFERROR(VLOOKUP($G1090,SuppTbl,2,0),IFERROR(VLOOKUP($G1090,AcctTbl,2,0),IFERROR(VLOOKUP($G1090,StaffTbl,2,0),"کد ناشناخته")))))</f>
        <v/>
      </c>
      <c r="I1090" s="12" t="n"/>
      <c r="J1090" s="12" t="n"/>
      <c r="K1090" s="13" t="n"/>
      <c r="L1090" s="13" t="n"/>
      <c r="M1090" s="13" t="n"/>
      <c r="N1090" s="14">
        <f>IF(OR($C1090="",$E1090="",Calc!$H1090=""),"",IFERROR(VLOOKUP(LEFT(UPPER(TRIM($E1090)),6),BankTbl,3,0),0)+SUMIFS(CalcDep,CalcBank,LEFT(UPPER(TRIM($E1090)),6),CalcKey,"&lt;="&amp;Calc!$H1090)-SUMIFS(CalcWit,CalcBank,LEFT(UPPER(TRIM($E1090)),6),CalcKey,"&lt;="&amp;Calc!$H1090))</f>
        <v/>
      </c>
      <c r="O1090" s="10">
        <f>IF(OR($C1090="",$M1090=""),"",IF($N1090="","؟",IF(ROUND($M1090-$N1090,0)=0,"√","×")))</f>
        <v/>
      </c>
      <c r="P1090" s="12" t="n"/>
    </row>
    <row r="1091">
      <c r="A1091" s="10">
        <f>IF($C1091="","",COUNTA($C$9:$C1091))</f>
        <v/>
      </c>
      <c r="B1091" s="10">
        <f>IF($C1091="","","TXN-"&amp;RIGHT("0000"&amp;1083,4))</f>
        <v/>
      </c>
      <c r="C1091" s="11" t="n"/>
      <c r="D1091" s="11" t="n"/>
      <c r="E1091" s="12" t="n"/>
      <c r="F1091" s="10">
        <f>IF($E1091="","",IFERROR(IF(VLOOKUP(LEFT(UPPER(TRIM($E1091)),6),BankTbl,2,0)="","(بدون عنوان)",VLOOKUP(LEFT(UPPER(TRIM($E1091)),6),BankTbl,2,0)),"بانک ناشناخته"))</f>
        <v/>
      </c>
      <c r="G1091" s="11" t="n"/>
      <c r="H1091" s="10">
        <f>IF($G1091="","",IFERROR(VLOOKUP($G1091,CustTbl,2,0),IFERROR(VLOOKUP($G1091,SuppTbl,2,0),IFERROR(VLOOKUP($G1091,AcctTbl,2,0),IFERROR(VLOOKUP($G1091,StaffTbl,2,0),"کد ناشناخته")))))</f>
        <v/>
      </c>
      <c r="I1091" s="12" t="n"/>
      <c r="J1091" s="12" t="n"/>
      <c r="K1091" s="13" t="n"/>
      <c r="L1091" s="13" t="n"/>
      <c r="M1091" s="13" t="n"/>
      <c r="N1091" s="14">
        <f>IF(OR($C1091="",$E1091="",Calc!$H1091=""),"",IFERROR(VLOOKUP(LEFT(UPPER(TRIM($E1091)),6),BankTbl,3,0),0)+SUMIFS(CalcDep,CalcBank,LEFT(UPPER(TRIM($E1091)),6),CalcKey,"&lt;="&amp;Calc!$H1091)-SUMIFS(CalcWit,CalcBank,LEFT(UPPER(TRIM($E1091)),6),CalcKey,"&lt;="&amp;Calc!$H1091))</f>
        <v/>
      </c>
      <c r="O1091" s="10">
        <f>IF(OR($C1091="",$M1091=""),"",IF($N1091="","؟",IF(ROUND($M1091-$N1091,0)=0,"√","×")))</f>
        <v/>
      </c>
      <c r="P1091" s="12" t="n"/>
    </row>
    <row r="1092">
      <c r="A1092" s="10">
        <f>IF($C1092="","",COUNTA($C$9:$C1092))</f>
        <v/>
      </c>
      <c r="B1092" s="10">
        <f>IF($C1092="","","TXN-"&amp;RIGHT("0000"&amp;1084,4))</f>
        <v/>
      </c>
      <c r="C1092" s="11" t="n"/>
      <c r="D1092" s="11" t="n"/>
      <c r="E1092" s="12" t="n"/>
      <c r="F1092" s="10">
        <f>IF($E1092="","",IFERROR(IF(VLOOKUP(LEFT(UPPER(TRIM($E1092)),6),BankTbl,2,0)="","(بدون عنوان)",VLOOKUP(LEFT(UPPER(TRIM($E1092)),6),BankTbl,2,0)),"بانک ناشناخته"))</f>
        <v/>
      </c>
      <c r="G1092" s="11" t="n"/>
      <c r="H1092" s="10">
        <f>IF($G1092="","",IFERROR(VLOOKUP($G1092,CustTbl,2,0),IFERROR(VLOOKUP($G1092,SuppTbl,2,0),IFERROR(VLOOKUP($G1092,AcctTbl,2,0),IFERROR(VLOOKUP($G1092,StaffTbl,2,0),"کد ناشناخته")))))</f>
        <v/>
      </c>
      <c r="I1092" s="12" t="n"/>
      <c r="J1092" s="12" t="n"/>
      <c r="K1092" s="13" t="n"/>
      <c r="L1092" s="13" t="n"/>
      <c r="M1092" s="13" t="n"/>
      <c r="N1092" s="14">
        <f>IF(OR($C1092="",$E1092="",Calc!$H1092=""),"",IFERROR(VLOOKUP(LEFT(UPPER(TRIM($E1092)),6),BankTbl,3,0),0)+SUMIFS(CalcDep,CalcBank,LEFT(UPPER(TRIM($E1092)),6),CalcKey,"&lt;="&amp;Calc!$H1092)-SUMIFS(CalcWit,CalcBank,LEFT(UPPER(TRIM($E1092)),6),CalcKey,"&lt;="&amp;Calc!$H1092))</f>
        <v/>
      </c>
      <c r="O1092" s="10">
        <f>IF(OR($C1092="",$M1092=""),"",IF($N1092="","؟",IF(ROUND($M1092-$N1092,0)=0,"√","×")))</f>
        <v/>
      </c>
      <c r="P1092" s="12" t="n"/>
    </row>
    <row r="1093">
      <c r="A1093" s="10">
        <f>IF($C1093="","",COUNTA($C$9:$C1093))</f>
        <v/>
      </c>
      <c r="B1093" s="10">
        <f>IF($C1093="","","TXN-"&amp;RIGHT("0000"&amp;1085,4))</f>
        <v/>
      </c>
      <c r="C1093" s="11" t="n"/>
      <c r="D1093" s="11" t="n"/>
      <c r="E1093" s="12" t="n"/>
      <c r="F1093" s="10">
        <f>IF($E1093="","",IFERROR(IF(VLOOKUP(LEFT(UPPER(TRIM($E1093)),6),BankTbl,2,0)="","(بدون عنوان)",VLOOKUP(LEFT(UPPER(TRIM($E1093)),6),BankTbl,2,0)),"بانک ناشناخته"))</f>
        <v/>
      </c>
      <c r="G1093" s="11" t="n"/>
      <c r="H1093" s="10">
        <f>IF($G1093="","",IFERROR(VLOOKUP($G1093,CustTbl,2,0),IFERROR(VLOOKUP($G1093,SuppTbl,2,0),IFERROR(VLOOKUP($G1093,AcctTbl,2,0),IFERROR(VLOOKUP($G1093,StaffTbl,2,0),"کد ناشناخته")))))</f>
        <v/>
      </c>
      <c r="I1093" s="12" t="n"/>
      <c r="J1093" s="12" t="n"/>
      <c r="K1093" s="13" t="n"/>
      <c r="L1093" s="13" t="n"/>
      <c r="M1093" s="13" t="n"/>
      <c r="N1093" s="14">
        <f>IF(OR($C1093="",$E1093="",Calc!$H1093=""),"",IFERROR(VLOOKUP(LEFT(UPPER(TRIM($E1093)),6),BankTbl,3,0),0)+SUMIFS(CalcDep,CalcBank,LEFT(UPPER(TRIM($E1093)),6),CalcKey,"&lt;="&amp;Calc!$H1093)-SUMIFS(CalcWit,CalcBank,LEFT(UPPER(TRIM($E1093)),6),CalcKey,"&lt;="&amp;Calc!$H1093))</f>
        <v/>
      </c>
      <c r="O1093" s="10">
        <f>IF(OR($C1093="",$M1093=""),"",IF($N1093="","؟",IF(ROUND($M1093-$N1093,0)=0,"√","×")))</f>
        <v/>
      </c>
      <c r="P1093" s="12" t="n"/>
    </row>
    <row r="1094">
      <c r="A1094" s="10">
        <f>IF($C1094="","",COUNTA($C$9:$C1094))</f>
        <v/>
      </c>
      <c r="B1094" s="10">
        <f>IF($C1094="","","TXN-"&amp;RIGHT("0000"&amp;1086,4))</f>
        <v/>
      </c>
      <c r="C1094" s="11" t="n"/>
      <c r="D1094" s="11" t="n"/>
      <c r="E1094" s="12" t="n"/>
      <c r="F1094" s="10">
        <f>IF($E1094="","",IFERROR(IF(VLOOKUP(LEFT(UPPER(TRIM($E1094)),6),BankTbl,2,0)="","(بدون عنوان)",VLOOKUP(LEFT(UPPER(TRIM($E1094)),6),BankTbl,2,0)),"بانک ناشناخته"))</f>
        <v/>
      </c>
      <c r="G1094" s="11" t="n"/>
      <c r="H1094" s="10">
        <f>IF($G1094="","",IFERROR(VLOOKUP($G1094,CustTbl,2,0),IFERROR(VLOOKUP($G1094,SuppTbl,2,0),IFERROR(VLOOKUP($G1094,AcctTbl,2,0),IFERROR(VLOOKUP($G1094,StaffTbl,2,0),"کد ناشناخته")))))</f>
        <v/>
      </c>
      <c r="I1094" s="12" t="n"/>
      <c r="J1094" s="12" t="n"/>
      <c r="K1094" s="13" t="n"/>
      <c r="L1094" s="13" t="n"/>
      <c r="M1094" s="13" t="n"/>
      <c r="N1094" s="14">
        <f>IF(OR($C1094="",$E1094="",Calc!$H1094=""),"",IFERROR(VLOOKUP(LEFT(UPPER(TRIM($E1094)),6),BankTbl,3,0),0)+SUMIFS(CalcDep,CalcBank,LEFT(UPPER(TRIM($E1094)),6),CalcKey,"&lt;="&amp;Calc!$H1094)-SUMIFS(CalcWit,CalcBank,LEFT(UPPER(TRIM($E1094)),6),CalcKey,"&lt;="&amp;Calc!$H1094))</f>
        <v/>
      </c>
      <c r="O1094" s="10">
        <f>IF(OR($C1094="",$M1094=""),"",IF($N1094="","؟",IF(ROUND($M1094-$N1094,0)=0,"√","×")))</f>
        <v/>
      </c>
      <c r="P1094" s="12" t="n"/>
    </row>
    <row r="1095">
      <c r="A1095" s="10">
        <f>IF($C1095="","",COUNTA($C$9:$C1095))</f>
        <v/>
      </c>
      <c r="B1095" s="10">
        <f>IF($C1095="","","TXN-"&amp;RIGHT("0000"&amp;1087,4))</f>
        <v/>
      </c>
      <c r="C1095" s="11" t="n"/>
      <c r="D1095" s="11" t="n"/>
      <c r="E1095" s="12" t="n"/>
      <c r="F1095" s="10">
        <f>IF($E1095="","",IFERROR(IF(VLOOKUP(LEFT(UPPER(TRIM($E1095)),6),BankTbl,2,0)="","(بدون عنوان)",VLOOKUP(LEFT(UPPER(TRIM($E1095)),6),BankTbl,2,0)),"بانک ناشناخته"))</f>
        <v/>
      </c>
      <c r="G1095" s="11" t="n"/>
      <c r="H1095" s="10">
        <f>IF($G1095="","",IFERROR(VLOOKUP($G1095,CustTbl,2,0),IFERROR(VLOOKUP($G1095,SuppTbl,2,0),IFERROR(VLOOKUP($G1095,AcctTbl,2,0),IFERROR(VLOOKUP($G1095,StaffTbl,2,0),"کد ناشناخته")))))</f>
        <v/>
      </c>
      <c r="I1095" s="12" t="n"/>
      <c r="J1095" s="12" t="n"/>
      <c r="K1095" s="13" t="n"/>
      <c r="L1095" s="13" t="n"/>
      <c r="M1095" s="13" t="n"/>
      <c r="N1095" s="14">
        <f>IF(OR($C1095="",$E1095="",Calc!$H1095=""),"",IFERROR(VLOOKUP(LEFT(UPPER(TRIM($E1095)),6),BankTbl,3,0),0)+SUMIFS(CalcDep,CalcBank,LEFT(UPPER(TRIM($E1095)),6),CalcKey,"&lt;="&amp;Calc!$H1095)-SUMIFS(CalcWit,CalcBank,LEFT(UPPER(TRIM($E1095)),6),CalcKey,"&lt;="&amp;Calc!$H1095))</f>
        <v/>
      </c>
      <c r="O1095" s="10">
        <f>IF(OR($C1095="",$M1095=""),"",IF($N1095="","؟",IF(ROUND($M1095-$N1095,0)=0,"√","×")))</f>
        <v/>
      </c>
      <c r="P1095" s="12" t="n"/>
    </row>
    <row r="1096">
      <c r="A1096" s="10">
        <f>IF($C1096="","",COUNTA($C$9:$C1096))</f>
        <v/>
      </c>
      <c r="B1096" s="10">
        <f>IF($C1096="","","TXN-"&amp;RIGHT("0000"&amp;1088,4))</f>
        <v/>
      </c>
      <c r="C1096" s="11" t="n"/>
      <c r="D1096" s="11" t="n"/>
      <c r="E1096" s="12" t="n"/>
      <c r="F1096" s="10">
        <f>IF($E1096="","",IFERROR(IF(VLOOKUP(LEFT(UPPER(TRIM($E1096)),6),BankTbl,2,0)="","(بدون عنوان)",VLOOKUP(LEFT(UPPER(TRIM($E1096)),6),BankTbl,2,0)),"بانک ناشناخته"))</f>
        <v/>
      </c>
      <c r="G1096" s="11" t="n"/>
      <c r="H1096" s="10">
        <f>IF($G1096="","",IFERROR(VLOOKUP($G1096,CustTbl,2,0),IFERROR(VLOOKUP($G1096,SuppTbl,2,0),IFERROR(VLOOKUP($G1096,AcctTbl,2,0),IFERROR(VLOOKUP($G1096,StaffTbl,2,0),"کد ناشناخته")))))</f>
        <v/>
      </c>
      <c r="I1096" s="12" t="n"/>
      <c r="J1096" s="12" t="n"/>
      <c r="K1096" s="13" t="n"/>
      <c r="L1096" s="13" t="n"/>
      <c r="M1096" s="13" t="n"/>
      <c r="N1096" s="14">
        <f>IF(OR($C1096="",$E1096="",Calc!$H1096=""),"",IFERROR(VLOOKUP(LEFT(UPPER(TRIM($E1096)),6),BankTbl,3,0),0)+SUMIFS(CalcDep,CalcBank,LEFT(UPPER(TRIM($E1096)),6),CalcKey,"&lt;="&amp;Calc!$H1096)-SUMIFS(CalcWit,CalcBank,LEFT(UPPER(TRIM($E1096)),6),CalcKey,"&lt;="&amp;Calc!$H1096))</f>
        <v/>
      </c>
      <c r="O1096" s="10">
        <f>IF(OR($C1096="",$M1096=""),"",IF($N1096="","؟",IF(ROUND($M1096-$N1096,0)=0,"√","×")))</f>
        <v/>
      </c>
      <c r="P1096" s="12" t="n"/>
    </row>
    <row r="1097">
      <c r="A1097" s="10">
        <f>IF($C1097="","",COUNTA($C$9:$C1097))</f>
        <v/>
      </c>
      <c r="B1097" s="10">
        <f>IF($C1097="","","TXN-"&amp;RIGHT("0000"&amp;1089,4))</f>
        <v/>
      </c>
      <c r="C1097" s="11" t="n"/>
      <c r="D1097" s="11" t="n"/>
      <c r="E1097" s="12" t="n"/>
      <c r="F1097" s="10">
        <f>IF($E1097="","",IFERROR(IF(VLOOKUP(LEFT(UPPER(TRIM($E1097)),6),BankTbl,2,0)="","(بدون عنوان)",VLOOKUP(LEFT(UPPER(TRIM($E1097)),6),BankTbl,2,0)),"بانک ناشناخته"))</f>
        <v/>
      </c>
      <c r="G1097" s="11" t="n"/>
      <c r="H1097" s="10">
        <f>IF($G1097="","",IFERROR(VLOOKUP($G1097,CustTbl,2,0),IFERROR(VLOOKUP($G1097,SuppTbl,2,0),IFERROR(VLOOKUP($G1097,AcctTbl,2,0),IFERROR(VLOOKUP($G1097,StaffTbl,2,0),"کد ناشناخته")))))</f>
        <v/>
      </c>
      <c r="I1097" s="12" t="n"/>
      <c r="J1097" s="12" t="n"/>
      <c r="K1097" s="13" t="n"/>
      <c r="L1097" s="13" t="n"/>
      <c r="M1097" s="13" t="n"/>
      <c r="N1097" s="14">
        <f>IF(OR($C1097="",$E1097="",Calc!$H1097=""),"",IFERROR(VLOOKUP(LEFT(UPPER(TRIM($E1097)),6),BankTbl,3,0),0)+SUMIFS(CalcDep,CalcBank,LEFT(UPPER(TRIM($E1097)),6),CalcKey,"&lt;="&amp;Calc!$H1097)-SUMIFS(CalcWit,CalcBank,LEFT(UPPER(TRIM($E1097)),6),CalcKey,"&lt;="&amp;Calc!$H1097))</f>
        <v/>
      </c>
      <c r="O1097" s="10">
        <f>IF(OR($C1097="",$M1097=""),"",IF($N1097="","؟",IF(ROUND($M1097-$N1097,0)=0,"√","×")))</f>
        <v/>
      </c>
      <c r="P1097" s="12" t="n"/>
    </row>
    <row r="1098">
      <c r="A1098" s="10">
        <f>IF($C1098="","",COUNTA($C$9:$C1098))</f>
        <v/>
      </c>
      <c r="B1098" s="10">
        <f>IF($C1098="","","TXN-"&amp;RIGHT("0000"&amp;1090,4))</f>
        <v/>
      </c>
      <c r="C1098" s="11" t="n"/>
      <c r="D1098" s="11" t="n"/>
      <c r="E1098" s="12" t="n"/>
      <c r="F1098" s="10">
        <f>IF($E1098="","",IFERROR(IF(VLOOKUP(LEFT(UPPER(TRIM($E1098)),6),BankTbl,2,0)="","(بدون عنوان)",VLOOKUP(LEFT(UPPER(TRIM($E1098)),6),BankTbl,2,0)),"بانک ناشناخته"))</f>
        <v/>
      </c>
      <c r="G1098" s="11" t="n"/>
      <c r="H1098" s="10">
        <f>IF($G1098="","",IFERROR(VLOOKUP($G1098,CustTbl,2,0),IFERROR(VLOOKUP($G1098,SuppTbl,2,0),IFERROR(VLOOKUP($G1098,AcctTbl,2,0),IFERROR(VLOOKUP($G1098,StaffTbl,2,0),"کد ناشناخته")))))</f>
        <v/>
      </c>
      <c r="I1098" s="12" t="n"/>
      <c r="J1098" s="12" t="n"/>
      <c r="K1098" s="13" t="n"/>
      <c r="L1098" s="13" t="n"/>
      <c r="M1098" s="13" t="n"/>
      <c r="N1098" s="14">
        <f>IF(OR($C1098="",$E1098="",Calc!$H1098=""),"",IFERROR(VLOOKUP(LEFT(UPPER(TRIM($E1098)),6),BankTbl,3,0),0)+SUMIFS(CalcDep,CalcBank,LEFT(UPPER(TRIM($E1098)),6),CalcKey,"&lt;="&amp;Calc!$H1098)-SUMIFS(CalcWit,CalcBank,LEFT(UPPER(TRIM($E1098)),6),CalcKey,"&lt;="&amp;Calc!$H1098))</f>
        <v/>
      </c>
      <c r="O1098" s="10">
        <f>IF(OR($C1098="",$M1098=""),"",IF($N1098="","؟",IF(ROUND($M1098-$N1098,0)=0,"√","×")))</f>
        <v/>
      </c>
      <c r="P1098" s="12" t="n"/>
    </row>
    <row r="1099">
      <c r="A1099" s="10">
        <f>IF($C1099="","",COUNTA($C$9:$C1099))</f>
        <v/>
      </c>
      <c r="B1099" s="10">
        <f>IF($C1099="","","TXN-"&amp;RIGHT("0000"&amp;1091,4))</f>
        <v/>
      </c>
      <c r="C1099" s="11" t="n"/>
      <c r="D1099" s="11" t="n"/>
      <c r="E1099" s="12" t="n"/>
      <c r="F1099" s="10">
        <f>IF($E1099="","",IFERROR(IF(VLOOKUP(LEFT(UPPER(TRIM($E1099)),6),BankTbl,2,0)="","(بدون عنوان)",VLOOKUP(LEFT(UPPER(TRIM($E1099)),6),BankTbl,2,0)),"بانک ناشناخته"))</f>
        <v/>
      </c>
      <c r="G1099" s="11" t="n"/>
      <c r="H1099" s="10">
        <f>IF($G1099="","",IFERROR(VLOOKUP($G1099,CustTbl,2,0),IFERROR(VLOOKUP($G1099,SuppTbl,2,0),IFERROR(VLOOKUP($G1099,AcctTbl,2,0),IFERROR(VLOOKUP($G1099,StaffTbl,2,0),"کد ناشناخته")))))</f>
        <v/>
      </c>
      <c r="I1099" s="12" t="n"/>
      <c r="J1099" s="12" t="n"/>
      <c r="K1099" s="13" t="n"/>
      <c r="L1099" s="13" t="n"/>
      <c r="M1099" s="13" t="n"/>
      <c r="N1099" s="14">
        <f>IF(OR($C1099="",$E1099="",Calc!$H1099=""),"",IFERROR(VLOOKUP(LEFT(UPPER(TRIM($E1099)),6),BankTbl,3,0),0)+SUMIFS(CalcDep,CalcBank,LEFT(UPPER(TRIM($E1099)),6),CalcKey,"&lt;="&amp;Calc!$H1099)-SUMIFS(CalcWit,CalcBank,LEFT(UPPER(TRIM($E1099)),6),CalcKey,"&lt;="&amp;Calc!$H1099))</f>
        <v/>
      </c>
      <c r="O1099" s="10">
        <f>IF(OR($C1099="",$M1099=""),"",IF($N1099="","؟",IF(ROUND($M1099-$N1099,0)=0,"√","×")))</f>
        <v/>
      </c>
      <c r="P1099" s="12" t="n"/>
    </row>
    <row r="1100">
      <c r="A1100" s="10">
        <f>IF($C1100="","",COUNTA($C$9:$C1100))</f>
        <v/>
      </c>
      <c r="B1100" s="10">
        <f>IF($C1100="","","TXN-"&amp;RIGHT("0000"&amp;1092,4))</f>
        <v/>
      </c>
      <c r="C1100" s="11" t="n"/>
      <c r="D1100" s="11" t="n"/>
      <c r="E1100" s="12" t="n"/>
      <c r="F1100" s="10">
        <f>IF($E1100="","",IFERROR(IF(VLOOKUP(LEFT(UPPER(TRIM($E1100)),6),BankTbl,2,0)="","(بدون عنوان)",VLOOKUP(LEFT(UPPER(TRIM($E1100)),6),BankTbl,2,0)),"بانک ناشناخته"))</f>
        <v/>
      </c>
      <c r="G1100" s="11" t="n"/>
      <c r="H1100" s="10">
        <f>IF($G1100="","",IFERROR(VLOOKUP($G1100,CustTbl,2,0),IFERROR(VLOOKUP($G1100,SuppTbl,2,0),IFERROR(VLOOKUP($G1100,AcctTbl,2,0),IFERROR(VLOOKUP($G1100,StaffTbl,2,0),"کد ناشناخته")))))</f>
        <v/>
      </c>
      <c r="I1100" s="12" t="n"/>
      <c r="J1100" s="12" t="n"/>
      <c r="K1100" s="13" t="n"/>
      <c r="L1100" s="13" t="n"/>
      <c r="M1100" s="13" t="n"/>
      <c r="N1100" s="14">
        <f>IF(OR($C1100="",$E1100="",Calc!$H1100=""),"",IFERROR(VLOOKUP(LEFT(UPPER(TRIM($E1100)),6),BankTbl,3,0),0)+SUMIFS(CalcDep,CalcBank,LEFT(UPPER(TRIM($E1100)),6),CalcKey,"&lt;="&amp;Calc!$H1100)-SUMIFS(CalcWit,CalcBank,LEFT(UPPER(TRIM($E1100)),6),CalcKey,"&lt;="&amp;Calc!$H1100))</f>
        <v/>
      </c>
      <c r="O1100" s="10">
        <f>IF(OR($C1100="",$M1100=""),"",IF($N1100="","؟",IF(ROUND($M1100-$N1100,0)=0,"√","×")))</f>
        <v/>
      </c>
      <c r="P1100" s="12" t="n"/>
    </row>
    <row r="1101">
      <c r="A1101" s="10">
        <f>IF($C1101="","",COUNTA($C$9:$C1101))</f>
        <v/>
      </c>
      <c r="B1101" s="10">
        <f>IF($C1101="","","TXN-"&amp;RIGHT("0000"&amp;1093,4))</f>
        <v/>
      </c>
      <c r="C1101" s="11" t="n"/>
      <c r="D1101" s="11" t="n"/>
      <c r="E1101" s="12" t="n"/>
      <c r="F1101" s="10">
        <f>IF($E1101="","",IFERROR(IF(VLOOKUP(LEFT(UPPER(TRIM($E1101)),6),BankTbl,2,0)="","(بدون عنوان)",VLOOKUP(LEFT(UPPER(TRIM($E1101)),6),BankTbl,2,0)),"بانک ناشناخته"))</f>
        <v/>
      </c>
      <c r="G1101" s="11" t="n"/>
      <c r="H1101" s="10">
        <f>IF($G1101="","",IFERROR(VLOOKUP($G1101,CustTbl,2,0),IFERROR(VLOOKUP($G1101,SuppTbl,2,0),IFERROR(VLOOKUP($G1101,AcctTbl,2,0),IFERROR(VLOOKUP($G1101,StaffTbl,2,0),"کد ناشناخته")))))</f>
        <v/>
      </c>
      <c r="I1101" s="12" t="n"/>
      <c r="J1101" s="12" t="n"/>
      <c r="K1101" s="13" t="n"/>
      <c r="L1101" s="13" t="n"/>
      <c r="M1101" s="13" t="n"/>
      <c r="N1101" s="14">
        <f>IF(OR($C1101="",$E1101="",Calc!$H1101=""),"",IFERROR(VLOOKUP(LEFT(UPPER(TRIM($E1101)),6),BankTbl,3,0),0)+SUMIFS(CalcDep,CalcBank,LEFT(UPPER(TRIM($E1101)),6),CalcKey,"&lt;="&amp;Calc!$H1101)-SUMIFS(CalcWit,CalcBank,LEFT(UPPER(TRIM($E1101)),6),CalcKey,"&lt;="&amp;Calc!$H1101))</f>
        <v/>
      </c>
      <c r="O1101" s="10">
        <f>IF(OR($C1101="",$M1101=""),"",IF($N1101="","؟",IF(ROUND($M1101-$N1101,0)=0,"√","×")))</f>
        <v/>
      </c>
      <c r="P1101" s="12" t="n"/>
    </row>
    <row r="1102">
      <c r="A1102" s="10">
        <f>IF($C1102="","",COUNTA($C$9:$C1102))</f>
        <v/>
      </c>
      <c r="B1102" s="10">
        <f>IF($C1102="","","TXN-"&amp;RIGHT("0000"&amp;1094,4))</f>
        <v/>
      </c>
      <c r="C1102" s="11" t="n"/>
      <c r="D1102" s="11" t="n"/>
      <c r="E1102" s="12" t="n"/>
      <c r="F1102" s="10">
        <f>IF($E1102="","",IFERROR(IF(VLOOKUP(LEFT(UPPER(TRIM($E1102)),6),BankTbl,2,0)="","(بدون عنوان)",VLOOKUP(LEFT(UPPER(TRIM($E1102)),6),BankTbl,2,0)),"بانک ناشناخته"))</f>
        <v/>
      </c>
      <c r="G1102" s="11" t="n"/>
      <c r="H1102" s="10">
        <f>IF($G1102="","",IFERROR(VLOOKUP($G1102,CustTbl,2,0),IFERROR(VLOOKUP($G1102,SuppTbl,2,0),IFERROR(VLOOKUP($G1102,AcctTbl,2,0),IFERROR(VLOOKUP($G1102,StaffTbl,2,0),"کد ناشناخته")))))</f>
        <v/>
      </c>
      <c r="I1102" s="12" t="n"/>
      <c r="J1102" s="12" t="n"/>
      <c r="K1102" s="13" t="n"/>
      <c r="L1102" s="13" t="n"/>
      <c r="M1102" s="13" t="n"/>
      <c r="N1102" s="14">
        <f>IF(OR($C1102="",$E1102="",Calc!$H1102=""),"",IFERROR(VLOOKUP(LEFT(UPPER(TRIM($E1102)),6),BankTbl,3,0),0)+SUMIFS(CalcDep,CalcBank,LEFT(UPPER(TRIM($E1102)),6),CalcKey,"&lt;="&amp;Calc!$H1102)-SUMIFS(CalcWit,CalcBank,LEFT(UPPER(TRIM($E1102)),6),CalcKey,"&lt;="&amp;Calc!$H1102))</f>
        <v/>
      </c>
      <c r="O1102" s="10">
        <f>IF(OR($C1102="",$M1102=""),"",IF($N1102="","؟",IF(ROUND($M1102-$N1102,0)=0,"√","×")))</f>
        <v/>
      </c>
      <c r="P1102" s="12" t="n"/>
    </row>
    <row r="1103">
      <c r="A1103" s="10">
        <f>IF($C1103="","",COUNTA($C$9:$C1103))</f>
        <v/>
      </c>
      <c r="B1103" s="10">
        <f>IF($C1103="","","TXN-"&amp;RIGHT("0000"&amp;1095,4))</f>
        <v/>
      </c>
      <c r="C1103" s="11" t="n"/>
      <c r="D1103" s="11" t="n"/>
      <c r="E1103" s="12" t="n"/>
      <c r="F1103" s="10">
        <f>IF($E1103="","",IFERROR(IF(VLOOKUP(LEFT(UPPER(TRIM($E1103)),6),BankTbl,2,0)="","(بدون عنوان)",VLOOKUP(LEFT(UPPER(TRIM($E1103)),6),BankTbl,2,0)),"بانک ناشناخته"))</f>
        <v/>
      </c>
      <c r="G1103" s="11" t="n"/>
      <c r="H1103" s="10">
        <f>IF($G1103="","",IFERROR(VLOOKUP($G1103,CustTbl,2,0),IFERROR(VLOOKUP($G1103,SuppTbl,2,0),IFERROR(VLOOKUP($G1103,AcctTbl,2,0),IFERROR(VLOOKUP($G1103,StaffTbl,2,0),"کد ناشناخته")))))</f>
        <v/>
      </c>
      <c r="I1103" s="12" t="n"/>
      <c r="J1103" s="12" t="n"/>
      <c r="K1103" s="13" t="n"/>
      <c r="L1103" s="13" t="n"/>
      <c r="M1103" s="13" t="n"/>
      <c r="N1103" s="14">
        <f>IF(OR($C1103="",$E1103="",Calc!$H1103=""),"",IFERROR(VLOOKUP(LEFT(UPPER(TRIM($E1103)),6),BankTbl,3,0),0)+SUMIFS(CalcDep,CalcBank,LEFT(UPPER(TRIM($E1103)),6),CalcKey,"&lt;="&amp;Calc!$H1103)-SUMIFS(CalcWit,CalcBank,LEFT(UPPER(TRIM($E1103)),6),CalcKey,"&lt;="&amp;Calc!$H1103))</f>
        <v/>
      </c>
      <c r="O1103" s="10">
        <f>IF(OR($C1103="",$M1103=""),"",IF($N1103="","؟",IF(ROUND($M1103-$N1103,0)=0,"√","×")))</f>
        <v/>
      </c>
      <c r="P1103" s="12" t="n"/>
    </row>
    <row r="1104">
      <c r="A1104" s="10">
        <f>IF($C1104="","",COUNTA($C$9:$C1104))</f>
        <v/>
      </c>
      <c r="B1104" s="10">
        <f>IF($C1104="","","TXN-"&amp;RIGHT("0000"&amp;1096,4))</f>
        <v/>
      </c>
      <c r="C1104" s="11" t="n"/>
      <c r="D1104" s="11" t="n"/>
      <c r="E1104" s="12" t="n"/>
      <c r="F1104" s="10">
        <f>IF($E1104="","",IFERROR(IF(VLOOKUP(LEFT(UPPER(TRIM($E1104)),6),BankTbl,2,0)="","(بدون عنوان)",VLOOKUP(LEFT(UPPER(TRIM($E1104)),6),BankTbl,2,0)),"بانک ناشناخته"))</f>
        <v/>
      </c>
      <c r="G1104" s="11" t="n"/>
      <c r="H1104" s="10">
        <f>IF($G1104="","",IFERROR(VLOOKUP($G1104,CustTbl,2,0),IFERROR(VLOOKUP($G1104,SuppTbl,2,0),IFERROR(VLOOKUP($G1104,AcctTbl,2,0),IFERROR(VLOOKUP($G1104,StaffTbl,2,0),"کد ناشناخته")))))</f>
        <v/>
      </c>
      <c r="I1104" s="12" t="n"/>
      <c r="J1104" s="12" t="n"/>
      <c r="K1104" s="13" t="n"/>
      <c r="L1104" s="13" t="n"/>
      <c r="M1104" s="13" t="n"/>
      <c r="N1104" s="14">
        <f>IF(OR($C1104="",$E1104="",Calc!$H1104=""),"",IFERROR(VLOOKUP(LEFT(UPPER(TRIM($E1104)),6),BankTbl,3,0),0)+SUMIFS(CalcDep,CalcBank,LEFT(UPPER(TRIM($E1104)),6),CalcKey,"&lt;="&amp;Calc!$H1104)-SUMIFS(CalcWit,CalcBank,LEFT(UPPER(TRIM($E1104)),6),CalcKey,"&lt;="&amp;Calc!$H1104))</f>
        <v/>
      </c>
      <c r="O1104" s="10">
        <f>IF(OR($C1104="",$M1104=""),"",IF($N1104="","؟",IF(ROUND($M1104-$N1104,0)=0,"√","×")))</f>
        <v/>
      </c>
      <c r="P1104" s="12" t="n"/>
    </row>
    <row r="1105">
      <c r="A1105" s="10">
        <f>IF($C1105="","",COUNTA($C$9:$C1105))</f>
        <v/>
      </c>
      <c r="B1105" s="10">
        <f>IF($C1105="","","TXN-"&amp;RIGHT("0000"&amp;1097,4))</f>
        <v/>
      </c>
      <c r="C1105" s="11" t="n"/>
      <c r="D1105" s="11" t="n"/>
      <c r="E1105" s="12" t="n"/>
      <c r="F1105" s="10">
        <f>IF($E1105="","",IFERROR(IF(VLOOKUP(LEFT(UPPER(TRIM($E1105)),6),BankTbl,2,0)="","(بدون عنوان)",VLOOKUP(LEFT(UPPER(TRIM($E1105)),6),BankTbl,2,0)),"بانک ناشناخته"))</f>
        <v/>
      </c>
      <c r="G1105" s="11" t="n"/>
      <c r="H1105" s="10">
        <f>IF($G1105="","",IFERROR(VLOOKUP($G1105,CustTbl,2,0),IFERROR(VLOOKUP($G1105,SuppTbl,2,0),IFERROR(VLOOKUP($G1105,AcctTbl,2,0),IFERROR(VLOOKUP($G1105,StaffTbl,2,0),"کد ناشناخته")))))</f>
        <v/>
      </c>
      <c r="I1105" s="12" t="n"/>
      <c r="J1105" s="12" t="n"/>
      <c r="K1105" s="13" t="n"/>
      <c r="L1105" s="13" t="n"/>
      <c r="M1105" s="13" t="n"/>
      <c r="N1105" s="14">
        <f>IF(OR($C1105="",$E1105="",Calc!$H1105=""),"",IFERROR(VLOOKUP(LEFT(UPPER(TRIM($E1105)),6),BankTbl,3,0),0)+SUMIFS(CalcDep,CalcBank,LEFT(UPPER(TRIM($E1105)),6),CalcKey,"&lt;="&amp;Calc!$H1105)-SUMIFS(CalcWit,CalcBank,LEFT(UPPER(TRIM($E1105)),6),CalcKey,"&lt;="&amp;Calc!$H1105))</f>
        <v/>
      </c>
      <c r="O1105" s="10">
        <f>IF(OR($C1105="",$M1105=""),"",IF($N1105="","؟",IF(ROUND($M1105-$N1105,0)=0,"√","×")))</f>
        <v/>
      </c>
      <c r="P1105" s="12" t="n"/>
    </row>
    <row r="1106">
      <c r="A1106" s="10">
        <f>IF($C1106="","",COUNTA($C$9:$C1106))</f>
        <v/>
      </c>
      <c r="B1106" s="10">
        <f>IF($C1106="","","TXN-"&amp;RIGHT("0000"&amp;1098,4))</f>
        <v/>
      </c>
      <c r="C1106" s="11" t="n"/>
      <c r="D1106" s="11" t="n"/>
      <c r="E1106" s="12" t="n"/>
      <c r="F1106" s="10">
        <f>IF($E1106="","",IFERROR(IF(VLOOKUP(LEFT(UPPER(TRIM($E1106)),6),BankTbl,2,0)="","(بدون عنوان)",VLOOKUP(LEFT(UPPER(TRIM($E1106)),6),BankTbl,2,0)),"بانک ناشناخته"))</f>
        <v/>
      </c>
      <c r="G1106" s="11" t="n"/>
      <c r="H1106" s="10">
        <f>IF($G1106="","",IFERROR(VLOOKUP($G1106,CustTbl,2,0),IFERROR(VLOOKUP($G1106,SuppTbl,2,0),IFERROR(VLOOKUP($G1106,AcctTbl,2,0),IFERROR(VLOOKUP($G1106,StaffTbl,2,0),"کد ناشناخته")))))</f>
        <v/>
      </c>
      <c r="I1106" s="12" t="n"/>
      <c r="J1106" s="12" t="n"/>
      <c r="K1106" s="13" t="n"/>
      <c r="L1106" s="13" t="n"/>
      <c r="M1106" s="13" t="n"/>
      <c r="N1106" s="14">
        <f>IF(OR($C1106="",$E1106="",Calc!$H1106=""),"",IFERROR(VLOOKUP(LEFT(UPPER(TRIM($E1106)),6),BankTbl,3,0),0)+SUMIFS(CalcDep,CalcBank,LEFT(UPPER(TRIM($E1106)),6),CalcKey,"&lt;="&amp;Calc!$H1106)-SUMIFS(CalcWit,CalcBank,LEFT(UPPER(TRIM($E1106)),6),CalcKey,"&lt;="&amp;Calc!$H1106))</f>
        <v/>
      </c>
      <c r="O1106" s="10">
        <f>IF(OR($C1106="",$M1106=""),"",IF($N1106="","؟",IF(ROUND($M1106-$N1106,0)=0,"√","×")))</f>
        <v/>
      </c>
      <c r="P1106" s="12" t="n"/>
    </row>
    <row r="1107">
      <c r="A1107" s="10">
        <f>IF($C1107="","",COUNTA($C$9:$C1107))</f>
        <v/>
      </c>
      <c r="B1107" s="10">
        <f>IF($C1107="","","TXN-"&amp;RIGHT("0000"&amp;1099,4))</f>
        <v/>
      </c>
      <c r="C1107" s="11" t="n"/>
      <c r="D1107" s="11" t="n"/>
      <c r="E1107" s="12" t="n"/>
      <c r="F1107" s="10">
        <f>IF($E1107="","",IFERROR(IF(VLOOKUP(LEFT(UPPER(TRIM($E1107)),6),BankTbl,2,0)="","(بدون عنوان)",VLOOKUP(LEFT(UPPER(TRIM($E1107)),6),BankTbl,2,0)),"بانک ناشناخته"))</f>
        <v/>
      </c>
      <c r="G1107" s="11" t="n"/>
      <c r="H1107" s="10">
        <f>IF($G1107="","",IFERROR(VLOOKUP($G1107,CustTbl,2,0),IFERROR(VLOOKUP($G1107,SuppTbl,2,0),IFERROR(VLOOKUP($G1107,AcctTbl,2,0),IFERROR(VLOOKUP($G1107,StaffTbl,2,0),"کد ناشناخته")))))</f>
        <v/>
      </c>
      <c r="I1107" s="12" t="n"/>
      <c r="J1107" s="12" t="n"/>
      <c r="K1107" s="13" t="n"/>
      <c r="L1107" s="13" t="n"/>
      <c r="M1107" s="13" t="n"/>
      <c r="N1107" s="14">
        <f>IF(OR($C1107="",$E1107="",Calc!$H1107=""),"",IFERROR(VLOOKUP(LEFT(UPPER(TRIM($E1107)),6),BankTbl,3,0),0)+SUMIFS(CalcDep,CalcBank,LEFT(UPPER(TRIM($E1107)),6),CalcKey,"&lt;="&amp;Calc!$H1107)-SUMIFS(CalcWit,CalcBank,LEFT(UPPER(TRIM($E1107)),6),CalcKey,"&lt;="&amp;Calc!$H1107))</f>
        <v/>
      </c>
      <c r="O1107" s="10">
        <f>IF(OR($C1107="",$M1107=""),"",IF($N1107="","؟",IF(ROUND($M1107-$N1107,0)=0,"√","×")))</f>
        <v/>
      </c>
      <c r="P1107" s="12" t="n"/>
    </row>
    <row r="1108">
      <c r="A1108" s="10">
        <f>IF($C1108="","",COUNTA($C$9:$C1108))</f>
        <v/>
      </c>
      <c r="B1108" s="10">
        <f>IF($C1108="","","TXN-"&amp;RIGHT("0000"&amp;1100,4))</f>
        <v/>
      </c>
      <c r="C1108" s="11" t="n"/>
      <c r="D1108" s="11" t="n"/>
      <c r="E1108" s="12" t="n"/>
      <c r="F1108" s="10">
        <f>IF($E1108="","",IFERROR(IF(VLOOKUP(LEFT(UPPER(TRIM($E1108)),6),BankTbl,2,0)="","(بدون عنوان)",VLOOKUP(LEFT(UPPER(TRIM($E1108)),6),BankTbl,2,0)),"بانک ناشناخته"))</f>
        <v/>
      </c>
      <c r="G1108" s="11" t="n"/>
      <c r="H1108" s="10">
        <f>IF($G1108="","",IFERROR(VLOOKUP($G1108,CustTbl,2,0),IFERROR(VLOOKUP($G1108,SuppTbl,2,0),IFERROR(VLOOKUP($G1108,AcctTbl,2,0),IFERROR(VLOOKUP($G1108,StaffTbl,2,0),"کد ناشناخته")))))</f>
        <v/>
      </c>
      <c r="I1108" s="12" t="n"/>
      <c r="J1108" s="12" t="n"/>
      <c r="K1108" s="13" t="n"/>
      <c r="L1108" s="13" t="n"/>
      <c r="M1108" s="13" t="n"/>
      <c r="N1108" s="14">
        <f>IF(OR($C1108="",$E1108="",Calc!$H1108=""),"",IFERROR(VLOOKUP(LEFT(UPPER(TRIM($E1108)),6),BankTbl,3,0),0)+SUMIFS(CalcDep,CalcBank,LEFT(UPPER(TRIM($E1108)),6),CalcKey,"&lt;="&amp;Calc!$H1108)-SUMIFS(CalcWit,CalcBank,LEFT(UPPER(TRIM($E1108)),6),CalcKey,"&lt;="&amp;Calc!$H1108))</f>
        <v/>
      </c>
      <c r="O1108" s="10">
        <f>IF(OR($C1108="",$M1108=""),"",IF($N1108="","؟",IF(ROUND($M1108-$N1108,0)=0,"√","×")))</f>
        <v/>
      </c>
      <c r="P1108" s="12" t="n"/>
    </row>
    <row r="1109">
      <c r="A1109" s="10">
        <f>IF($C1109="","",COUNTA($C$9:$C1109))</f>
        <v/>
      </c>
      <c r="B1109" s="10">
        <f>IF($C1109="","","TXN-"&amp;RIGHT("0000"&amp;1101,4))</f>
        <v/>
      </c>
      <c r="C1109" s="11" t="n"/>
      <c r="D1109" s="11" t="n"/>
      <c r="E1109" s="12" t="n"/>
      <c r="F1109" s="10">
        <f>IF($E1109="","",IFERROR(IF(VLOOKUP(LEFT(UPPER(TRIM($E1109)),6),BankTbl,2,0)="","(بدون عنوان)",VLOOKUP(LEFT(UPPER(TRIM($E1109)),6),BankTbl,2,0)),"بانک ناشناخته"))</f>
        <v/>
      </c>
      <c r="G1109" s="11" t="n"/>
      <c r="H1109" s="10">
        <f>IF($G1109="","",IFERROR(VLOOKUP($G1109,CustTbl,2,0),IFERROR(VLOOKUP($G1109,SuppTbl,2,0),IFERROR(VLOOKUP($G1109,AcctTbl,2,0),IFERROR(VLOOKUP($G1109,StaffTbl,2,0),"کد ناشناخته")))))</f>
        <v/>
      </c>
      <c r="I1109" s="12" t="n"/>
      <c r="J1109" s="12" t="n"/>
      <c r="K1109" s="13" t="n"/>
      <c r="L1109" s="13" t="n"/>
      <c r="M1109" s="13" t="n"/>
      <c r="N1109" s="14">
        <f>IF(OR($C1109="",$E1109="",Calc!$H1109=""),"",IFERROR(VLOOKUP(LEFT(UPPER(TRIM($E1109)),6),BankTbl,3,0),0)+SUMIFS(CalcDep,CalcBank,LEFT(UPPER(TRIM($E1109)),6),CalcKey,"&lt;="&amp;Calc!$H1109)-SUMIFS(CalcWit,CalcBank,LEFT(UPPER(TRIM($E1109)),6),CalcKey,"&lt;="&amp;Calc!$H1109))</f>
        <v/>
      </c>
      <c r="O1109" s="10">
        <f>IF(OR($C1109="",$M1109=""),"",IF($N1109="","؟",IF(ROUND($M1109-$N1109,0)=0,"√","×")))</f>
        <v/>
      </c>
      <c r="P1109" s="12" t="n"/>
    </row>
    <row r="1110">
      <c r="A1110" s="10">
        <f>IF($C1110="","",COUNTA($C$9:$C1110))</f>
        <v/>
      </c>
      <c r="B1110" s="10">
        <f>IF($C1110="","","TXN-"&amp;RIGHT("0000"&amp;1102,4))</f>
        <v/>
      </c>
      <c r="C1110" s="11" t="n"/>
      <c r="D1110" s="11" t="n"/>
      <c r="E1110" s="12" t="n"/>
      <c r="F1110" s="10">
        <f>IF($E1110="","",IFERROR(IF(VLOOKUP(LEFT(UPPER(TRIM($E1110)),6),BankTbl,2,0)="","(بدون عنوان)",VLOOKUP(LEFT(UPPER(TRIM($E1110)),6),BankTbl,2,0)),"بانک ناشناخته"))</f>
        <v/>
      </c>
      <c r="G1110" s="11" t="n"/>
      <c r="H1110" s="10">
        <f>IF($G1110="","",IFERROR(VLOOKUP($G1110,CustTbl,2,0),IFERROR(VLOOKUP($G1110,SuppTbl,2,0),IFERROR(VLOOKUP($G1110,AcctTbl,2,0),IFERROR(VLOOKUP($G1110,StaffTbl,2,0),"کد ناشناخته")))))</f>
        <v/>
      </c>
      <c r="I1110" s="12" t="n"/>
      <c r="J1110" s="12" t="n"/>
      <c r="K1110" s="13" t="n"/>
      <c r="L1110" s="13" t="n"/>
      <c r="M1110" s="13" t="n"/>
      <c r="N1110" s="14">
        <f>IF(OR($C1110="",$E1110="",Calc!$H1110=""),"",IFERROR(VLOOKUP(LEFT(UPPER(TRIM($E1110)),6),BankTbl,3,0),0)+SUMIFS(CalcDep,CalcBank,LEFT(UPPER(TRIM($E1110)),6),CalcKey,"&lt;="&amp;Calc!$H1110)-SUMIFS(CalcWit,CalcBank,LEFT(UPPER(TRIM($E1110)),6),CalcKey,"&lt;="&amp;Calc!$H1110))</f>
        <v/>
      </c>
      <c r="O1110" s="10">
        <f>IF(OR($C1110="",$M1110=""),"",IF($N1110="","؟",IF(ROUND($M1110-$N1110,0)=0,"√","×")))</f>
        <v/>
      </c>
      <c r="P1110" s="12" t="n"/>
    </row>
    <row r="1111">
      <c r="A1111" s="10">
        <f>IF($C1111="","",COUNTA($C$9:$C1111))</f>
        <v/>
      </c>
      <c r="B1111" s="10">
        <f>IF($C1111="","","TXN-"&amp;RIGHT("0000"&amp;1103,4))</f>
        <v/>
      </c>
      <c r="C1111" s="11" t="n"/>
      <c r="D1111" s="11" t="n"/>
      <c r="E1111" s="12" t="n"/>
      <c r="F1111" s="10">
        <f>IF($E1111="","",IFERROR(IF(VLOOKUP(LEFT(UPPER(TRIM($E1111)),6),BankTbl,2,0)="","(بدون عنوان)",VLOOKUP(LEFT(UPPER(TRIM($E1111)),6),BankTbl,2,0)),"بانک ناشناخته"))</f>
        <v/>
      </c>
      <c r="G1111" s="11" t="n"/>
      <c r="H1111" s="10">
        <f>IF($G1111="","",IFERROR(VLOOKUP($G1111,CustTbl,2,0),IFERROR(VLOOKUP($G1111,SuppTbl,2,0),IFERROR(VLOOKUP($G1111,AcctTbl,2,0),IFERROR(VLOOKUP($G1111,StaffTbl,2,0),"کد ناشناخته")))))</f>
        <v/>
      </c>
      <c r="I1111" s="12" t="n"/>
      <c r="J1111" s="12" t="n"/>
      <c r="K1111" s="13" t="n"/>
      <c r="L1111" s="13" t="n"/>
      <c r="M1111" s="13" t="n"/>
      <c r="N1111" s="14">
        <f>IF(OR($C1111="",$E1111="",Calc!$H1111=""),"",IFERROR(VLOOKUP(LEFT(UPPER(TRIM($E1111)),6),BankTbl,3,0),0)+SUMIFS(CalcDep,CalcBank,LEFT(UPPER(TRIM($E1111)),6),CalcKey,"&lt;="&amp;Calc!$H1111)-SUMIFS(CalcWit,CalcBank,LEFT(UPPER(TRIM($E1111)),6),CalcKey,"&lt;="&amp;Calc!$H1111))</f>
        <v/>
      </c>
      <c r="O1111" s="10">
        <f>IF(OR($C1111="",$M1111=""),"",IF($N1111="","؟",IF(ROUND($M1111-$N1111,0)=0,"√","×")))</f>
        <v/>
      </c>
      <c r="P1111" s="12" t="n"/>
    </row>
    <row r="1112">
      <c r="A1112" s="10">
        <f>IF($C1112="","",COUNTA($C$9:$C1112))</f>
        <v/>
      </c>
      <c r="B1112" s="10">
        <f>IF($C1112="","","TXN-"&amp;RIGHT("0000"&amp;1104,4))</f>
        <v/>
      </c>
      <c r="C1112" s="11" t="n"/>
      <c r="D1112" s="11" t="n"/>
      <c r="E1112" s="12" t="n"/>
      <c r="F1112" s="10">
        <f>IF($E1112="","",IFERROR(IF(VLOOKUP(LEFT(UPPER(TRIM($E1112)),6),BankTbl,2,0)="","(بدون عنوان)",VLOOKUP(LEFT(UPPER(TRIM($E1112)),6),BankTbl,2,0)),"بانک ناشناخته"))</f>
        <v/>
      </c>
      <c r="G1112" s="11" t="n"/>
      <c r="H1112" s="10">
        <f>IF($G1112="","",IFERROR(VLOOKUP($G1112,CustTbl,2,0),IFERROR(VLOOKUP($G1112,SuppTbl,2,0),IFERROR(VLOOKUP($G1112,AcctTbl,2,0),IFERROR(VLOOKUP($G1112,StaffTbl,2,0),"کد ناشناخته")))))</f>
        <v/>
      </c>
      <c r="I1112" s="12" t="n"/>
      <c r="J1112" s="12" t="n"/>
      <c r="K1112" s="13" t="n"/>
      <c r="L1112" s="13" t="n"/>
      <c r="M1112" s="13" t="n"/>
      <c r="N1112" s="14">
        <f>IF(OR($C1112="",$E1112="",Calc!$H1112=""),"",IFERROR(VLOOKUP(LEFT(UPPER(TRIM($E1112)),6),BankTbl,3,0),0)+SUMIFS(CalcDep,CalcBank,LEFT(UPPER(TRIM($E1112)),6),CalcKey,"&lt;="&amp;Calc!$H1112)-SUMIFS(CalcWit,CalcBank,LEFT(UPPER(TRIM($E1112)),6),CalcKey,"&lt;="&amp;Calc!$H1112))</f>
        <v/>
      </c>
      <c r="O1112" s="10">
        <f>IF(OR($C1112="",$M1112=""),"",IF($N1112="","؟",IF(ROUND($M1112-$N1112,0)=0,"√","×")))</f>
        <v/>
      </c>
      <c r="P1112" s="12" t="n"/>
    </row>
    <row r="1113">
      <c r="A1113" s="10">
        <f>IF($C1113="","",COUNTA($C$9:$C1113))</f>
        <v/>
      </c>
      <c r="B1113" s="10">
        <f>IF($C1113="","","TXN-"&amp;RIGHT("0000"&amp;1105,4))</f>
        <v/>
      </c>
      <c r="C1113" s="11" t="n"/>
      <c r="D1113" s="11" t="n"/>
      <c r="E1113" s="12" t="n"/>
      <c r="F1113" s="10">
        <f>IF($E1113="","",IFERROR(IF(VLOOKUP(LEFT(UPPER(TRIM($E1113)),6),BankTbl,2,0)="","(بدون عنوان)",VLOOKUP(LEFT(UPPER(TRIM($E1113)),6),BankTbl,2,0)),"بانک ناشناخته"))</f>
        <v/>
      </c>
      <c r="G1113" s="11" t="n"/>
      <c r="H1113" s="10">
        <f>IF($G1113="","",IFERROR(VLOOKUP($G1113,CustTbl,2,0),IFERROR(VLOOKUP($G1113,SuppTbl,2,0),IFERROR(VLOOKUP($G1113,AcctTbl,2,0),IFERROR(VLOOKUP($G1113,StaffTbl,2,0),"کد ناشناخته")))))</f>
        <v/>
      </c>
      <c r="I1113" s="12" t="n"/>
      <c r="J1113" s="12" t="n"/>
      <c r="K1113" s="13" t="n"/>
      <c r="L1113" s="13" t="n"/>
      <c r="M1113" s="13" t="n"/>
      <c r="N1113" s="14">
        <f>IF(OR($C1113="",$E1113="",Calc!$H1113=""),"",IFERROR(VLOOKUP(LEFT(UPPER(TRIM($E1113)),6),BankTbl,3,0),0)+SUMIFS(CalcDep,CalcBank,LEFT(UPPER(TRIM($E1113)),6),CalcKey,"&lt;="&amp;Calc!$H1113)-SUMIFS(CalcWit,CalcBank,LEFT(UPPER(TRIM($E1113)),6),CalcKey,"&lt;="&amp;Calc!$H1113))</f>
        <v/>
      </c>
      <c r="O1113" s="10">
        <f>IF(OR($C1113="",$M1113=""),"",IF($N1113="","؟",IF(ROUND($M1113-$N1113,0)=0,"√","×")))</f>
        <v/>
      </c>
      <c r="P1113" s="12" t="n"/>
    </row>
    <row r="1114">
      <c r="A1114" s="10">
        <f>IF($C1114="","",COUNTA($C$9:$C1114))</f>
        <v/>
      </c>
      <c r="B1114" s="10">
        <f>IF($C1114="","","TXN-"&amp;RIGHT("0000"&amp;1106,4))</f>
        <v/>
      </c>
      <c r="C1114" s="11" t="n"/>
      <c r="D1114" s="11" t="n"/>
      <c r="E1114" s="12" t="n"/>
      <c r="F1114" s="10">
        <f>IF($E1114="","",IFERROR(IF(VLOOKUP(LEFT(UPPER(TRIM($E1114)),6),BankTbl,2,0)="","(بدون عنوان)",VLOOKUP(LEFT(UPPER(TRIM($E1114)),6),BankTbl,2,0)),"بانک ناشناخته"))</f>
        <v/>
      </c>
      <c r="G1114" s="11" t="n"/>
      <c r="H1114" s="10">
        <f>IF($G1114="","",IFERROR(VLOOKUP($G1114,CustTbl,2,0),IFERROR(VLOOKUP($G1114,SuppTbl,2,0),IFERROR(VLOOKUP($G1114,AcctTbl,2,0),IFERROR(VLOOKUP($G1114,StaffTbl,2,0),"کد ناشناخته")))))</f>
        <v/>
      </c>
      <c r="I1114" s="12" t="n"/>
      <c r="J1114" s="12" t="n"/>
      <c r="K1114" s="13" t="n"/>
      <c r="L1114" s="13" t="n"/>
      <c r="M1114" s="13" t="n"/>
      <c r="N1114" s="14">
        <f>IF(OR($C1114="",$E1114="",Calc!$H1114=""),"",IFERROR(VLOOKUP(LEFT(UPPER(TRIM($E1114)),6),BankTbl,3,0),0)+SUMIFS(CalcDep,CalcBank,LEFT(UPPER(TRIM($E1114)),6),CalcKey,"&lt;="&amp;Calc!$H1114)-SUMIFS(CalcWit,CalcBank,LEFT(UPPER(TRIM($E1114)),6),CalcKey,"&lt;="&amp;Calc!$H1114))</f>
        <v/>
      </c>
      <c r="O1114" s="10">
        <f>IF(OR($C1114="",$M1114=""),"",IF($N1114="","؟",IF(ROUND($M1114-$N1114,0)=0,"√","×")))</f>
        <v/>
      </c>
      <c r="P1114" s="12" t="n"/>
    </row>
    <row r="1115">
      <c r="A1115" s="10">
        <f>IF($C1115="","",COUNTA($C$9:$C1115))</f>
        <v/>
      </c>
      <c r="B1115" s="10">
        <f>IF($C1115="","","TXN-"&amp;RIGHT("0000"&amp;1107,4))</f>
        <v/>
      </c>
      <c r="C1115" s="11" t="n"/>
      <c r="D1115" s="11" t="n"/>
      <c r="E1115" s="12" t="n"/>
      <c r="F1115" s="10">
        <f>IF($E1115="","",IFERROR(IF(VLOOKUP(LEFT(UPPER(TRIM($E1115)),6),BankTbl,2,0)="","(بدون عنوان)",VLOOKUP(LEFT(UPPER(TRIM($E1115)),6),BankTbl,2,0)),"بانک ناشناخته"))</f>
        <v/>
      </c>
      <c r="G1115" s="11" t="n"/>
      <c r="H1115" s="10">
        <f>IF($G1115="","",IFERROR(VLOOKUP($G1115,CustTbl,2,0),IFERROR(VLOOKUP($G1115,SuppTbl,2,0),IFERROR(VLOOKUP($G1115,AcctTbl,2,0),IFERROR(VLOOKUP($G1115,StaffTbl,2,0),"کد ناشناخته")))))</f>
        <v/>
      </c>
      <c r="I1115" s="12" t="n"/>
      <c r="J1115" s="12" t="n"/>
      <c r="K1115" s="13" t="n"/>
      <c r="L1115" s="13" t="n"/>
      <c r="M1115" s="13" t="n"/>
      <c r="N1115" s="14">
        <f>IF(OR($C1115="",$E1115="",Calc!$H1115=""),"",IFERROR(VLOOKUP(LEFT(UPPER(TRIM($E1115)),6),BankTbl,3,0),0)+SUMIFS(CalcDep,CalcBank,LEFT(UPPER(TRIM($E1115)),6),CalcKey,"&lt;="&amp;Calc!$H1115)-SUMIFS(CalcWit,CalcBank,LEFT(UPPER(TRIM($E1115)),6),CalcKey,"&lt;="&amp;Calc!$H1115))</f>
        <v/>
      </c>
      <c r="O1115" s="10">
        <f>IF(OR($C1115="",$M1115=""),"",IF($N1115="","؟",IF(ROUND($M1115-$N1115,0)=0,"√","×")))</f>
        <v/>
      </c>
      <c r="P1115" s="12" t="n"/>
    </row>
    <row r="1116">
      <c r="A1116" s="10">
        <f>IF($C1116="","",COUNTA($C$9:$C1116))</f>
        <v/>
      </c>
      <c r="B1116" s="10">
        <f>IF($C1116="","","TXN-"&amp;RIGHT("0000"&amp;1108,4))</f>
        <v/>
      </c>
      <c r="C1116" s="11" t="n"/>
      <c r="D1116" s="11" t="n"/>
      <c r="E1116" s="12" t="n"/>
      <c r="F1116" s="10">
        <f>IF($E1116="","",IFERROR(IF(VLOOKUP(LEFT(UPPER(TRIM($E1116)),6),BankTbl,2,0)="","(بدون عنوان)",VLOOKUP(LEFT(UPPER(TRIM($E1116)),6),BankTbl,2,0)),"بانک ناشناخته"))</f>
        <v/>
      </c>
      <c r="G1116" s="11" t="n"/>
      <c r="H1116" s="10">
        <f>IF($G1116="","",IFERROR(VLOOKUP($G1116,CustTbl,2,0),IFERROR(VLOOKUP($G1116,SuppTbl,2,0),IFERROR(VLOOKUP($G1116,AcctTbl,2,0),IFERROR(VLOOKUP($G1116,StaffTbl,2,0),"کد ناشناخته")))))</f>
        <v/>
      </c>
      <c r="I1116" s="12" t="n"/>
      <c r="J1116" s="12" t="n"/>
      <c r="K1116" s="13" t="n"/>
      <c r="L1116" s="13" t="n"/>
      <c r="M1116" s="13" t="n"/>
      <c r="N1116" s="14">
        <f>IF(OR($C1116="",$E1116="",Calc!$H1116=""),"",IFERROR(VLOOKUP(LEFT(UPPER(TRIM($E1116)),6),BankTbl,3,0),0)+SUMIFS(CalcDep,CalcBank,LEFT(UPPER(TRIM($E1116)),6),CalcKey,"&lt;="&amp;Calc!$H1116)-SUMIFS(CalcWit,CalcBank,LEFT(UPPER(TRIM($E1116)),6),CalcKey,"&lt;="&amp;Calc!$H1116))</f>
        <v/>
      </c>
      <c r="O1116" s="10">
        <f>IF(OR($C1116="",$M1116=""),"",IF($N1116="","؟",IF(ROUND($M1116-$N1116,0)=0,"√","×")))</f>
        <v/>
      </c>
      <c r="P1116" s="12" t="n"/>
    </row>
    <row r="1117">
      <c r="A1117" s="10">
        <f>IF($C1117="","",COUNTA($C$9:$C1117))</f>
        <v/>
      </c>
      <c r="B1117" s="10">
        <f>IF($C1117="","","TXN-"&amp;RIGHT("0000"&amp;1109,4))</f>
        <v/>
      </c>
      <c r="C1117" s="11" t="n"/>
      <c r="D1117" s="11" t="n"/>
      <c r="E1117" s="12" t="n"/>
      <c r="F1117" s="10">
        <f>IF($E1117="","",IFERROR(IF(VLOOKUP(LEFT(UPPER(TRIM($E1117)),6),BankTbl,2,0)="","(بدون عنوان)",VLOOKUP(LEFT(UPPER(TRIM($E1117)),6),BankTbl,2,0)),"بانک ناشناخته"))</f>
        <v/>
      </c>
      <c r="G1117" s="11" t="n"/>
      <c r="H1117" s="10">
        <f>IF($G1117="","",IFERROR(VLOOKUP($G1117,CustTbl,2,0),IFERROR(VLOOKUP($G1117,SuppTbl,2,0),IFERROR(VLOOKUP($G1117,AcctTbl,2,0),IFERROR(VLOOKUP($G1117,StaffTbl,2,0),"کد ناشناخته")))))</f>
        <v/>
      </c>
      <c r="I1117" s="12" t="n"/>
      <c r="J1117" s="12" t="n"/>
      <c r="K1117" s="13" t="n"/>
      <c r="L1117" s="13" t="n"/>
      <c r="M1117" s="13" t="n"/>
      <c r="N1117" s="14">
        <f>IF(OR($C1117="",$E1117="",Calc!$H1117=""),"",IFERROR(VLOOKUP(LEFT(UPPER(TRIM($E1117)),6),BankTbl,3,0),0)+SUMIFS(CalcDep,CalcBank,LEFT(UPPER(TRIM($E1117)),6),CalcKey,"&lt;="&amp;Calc!$H1117)-SUMIFS(CalcWit,CalcBank,LEFT(UPPER(TRIM($E1117)),6),CalcKey,"&lt;="&amp;Calc!$H1117))</f>
        <v/>
      </c>
      <c r="O1117" s="10">
        <f>IF(OR($C1117="",$M1117=""),"",IF($N1117="","؟",IF(ROUND($M1117-$N1117,0)=0,"√","×")))</f>
        <v/>
      </c>
      <c r="P1117" s="12" t="n"/>
    </row>
    <row r="1118">
      <c r="A1118" s="10">
        <f>IF($C1118="","",COUNTA($C$9:$C1118))</f>
        <v/>
      </c>
      <c r="B1118" s="10">
        <f>IF($C1118="","","TXN-"&amp;RIGHT("0000"&amp;1110,4))</f>
        <v/>
      </c>
      <c r="C1118" s="11" t="n"/>
      <c r="D1118" s="11" t="n"/>
      <c r="E1118" s="12" t="n"/>
      <c r="F1118" s="10">
        <f>IF($E1118="","",IFERROR(IF(VLOOKUP(LEFT(UPPER(TRIM($E1118)),6),BankTbl,2,0)="","(بدون عنوان)",VLOOKUP(LEFT(UPPER(TRIM($E1118)),6),BankTbl,2,0)),"بانک ناشناخته"))</f>
        <v/>
      </c>
      <c r="G1118" s="11" t="n"/>
      <c r="H1118" s="10">
        <f>IF($G1118="","",IFERROR(VLOOKUP($G1118,CustTbl,2,0),IFERROR(VLOOKUP($G1118,SuppTbl,2,0),IFERROR(VLOOKUP($G1118,AcctTbl,2,0),IFERROR(VLOOKUP($G1118,StaffTbl,2,0),"کد ناشناخته")))))</f>
        <v/>
      </c>
      <c r="I1118" s="12" t="n"/>
      <c r="J1118" s="12" t="n"/>
      <c r="K1118" s="13" t="n"/>
      <c r="L1118" s="13" t="n"/>
      <c r="M1118" s="13" t="n"/>
      <c r="N1118" s="14">
        <f>IF(OR($C1118="",$E1118="",Calc!$H1118=""),"",IFERROR(VLOOKUP(LEFT(UPPER(TRIM($E1118)),6),BankTbl,3,0),0)+SUMIFS(CalcDep,CalcBank,LEFT(UPPER(TRIM($E1118)),6),CalcKey,"&lt;="&amp;Calc!$H1118)-SUMIFS(CalcWit,CalcBank,LEFT(UPPER(TRIM($E1118)),6),CalcKey,"&lt;="&amp;Calc!$H1118))</f>
        <v/>
      </c>
      <c r="O1118" s="10">
        <f>IF(OR($C1118="",$M1118=""),"",IF($N1118="","؟",IF(ROUND($M1118-$N1118,0)=0,"√","×")))</f>
        <v/>
      </c>
      <c r="P1118" s="12" t="n"/>
    </row>
    <row r="1119">
      <c r="A1119" s="10">
        <f>IF($C1119="","",COUNTA($C$9:$C1119))</f>
        <v/>
      </c>
      <c r="B1119" s="10">
        <f>IF($C1119="","","TXN-"&amp;RIGHT("0000"&amp;1111,4))</f>
        <v/>
      </c>
      <c r="C1119" s="11" t="n"/>
      <c r="D1119" s="11" t="n"/>
      <c r="E1119" s="12" t="n"/>
      <c r="F1119" s="10">
        <f>IF($E1119="","",IFERROR(IF(VLOOKUP(LEFT(UPPER(TRIM($E1119)),6),BankTbl,2,0)="","(بدون عنوان)",VLOOKUP(LEFT(UPPER(TRIM($E1119)),6),BankTbl,2,0)),"بانک ناشناخته"))</f>
        <v/>
      </c>
      <c r="G1119" s="11" t="n"/>
      <c r="H1119" s="10">
        <f>IF($G1119="","",IFERROR(VLOOKUP($G1119,CustTbl,2,0),IFERROR(VLOOKUP($G1119,SuppTbl,2,0),IFERROR(VLOOKUP($G1119,AcctTbl,2,0),IFERROR(VLOOKUP($G1119,StaffTbl,2,0),"کد ناشناخته")))))</f>
        <v/>
      </c>
      <c r="I1119" s="12" t="n"/>
      <c r="J1119" s="12" t="n"/>
      <c r="K1119" s="13" t="n"/>
      <c r="L1119" s="13" t="n"/>
      <c r="M1119" s="13" t="n"/>
      <c r="N1119" s="14">
        <f>IF(OR($C1119="",$E1119="",Calc!$H1119=""),"",IFERROR(VLOOKUP(LEFT(UPPER(TRIM($E1119)),6),BankTbl,3,0),0)+SUMIFS(CalcDep,CalcBank,LEFT(UPPER(TRIM($E1119)),6),CalcKey,"&lt;="&amp;Calc!$H1119)-SUMIFS(CalcWit,CalcBank,LEFT(UPPER(TRIM($E1119)),6),CalcKey,"&lt;="&amp;Calc!$H1119))</f>
        <v/>
      </c>
      <c r="O1119" s="10">
        <f>IF(OR($C1119="",$M1119=""),"",IF($N1119="","؟",IF(ROUND($M1119-$N1119,0)=0,"√","×")))</f>
        <v/>
      </c>
      <c r="P1119" s="12" t="n"/>
    </row>
    <row r="1120">
      <c r="A1120" s="10">
        <f>IF($C1120="","",COUNTA($C$9:$C1120))</f>
        <v/>
      </c>
      <c r="B1120" s="10">
        <f>IF($C1120="","","TXN-"&amp;RIGHT("0000"&amp;1112,4))</f>
        <v/>
      </c>
      <c r="C1120" s="11" t="n"/>
      <c r="D1120" s="11" t="n"/>
      <c r="E1120" s="12" t="n"/>
      <c r="F1120" s="10">
        <f>IF($E1120="","",IFERROR(IF(VLOOKUP(LEFT(UPPER(TRIM($E1120)),6),BankTbl,2,0)="","(بدون عنوان)",VLOOKUP(LEFT(UPPER(TRIM($E1120)),6),BankTbl,2,0)),"بانک ناشناخته"))</f>
        <v/>
      </c>
      <c r="G1120" s="11" t="n"/>
      <c r="H1120" s="10">
        <f>IF($G1120="","",IFERROR(VLOOKUP($G1120,CustTbl,2,0),IFERROR(VLOOKUP($G1120,SuppTbl,2,0),IFERROR(VLOOKUP($G1120,AcctTbl,2,0),IFERROR(VLOOKUP($G1120,StaffTbl,2,0),"کد ناشناخته")))))</f>
        <v/>
      </c>
      <c r="I1120" s="12" t="n"/>
      <c r="J1120" s="12" t="n"/>
      <c r="K1120" s="13" t="n"/>
      <c r="L1120" s="13" t="n"/>
      <c r="M1120" s="13" t="n"/>
      <c r="N1120" s="14">
        <f>IF(OR($C1120="",$E1120="",Calc!$H1120=""),"",IFERROR(VLOOKUP(LEFT(UPPER(TRIM($E1120)),6),BankTbl,3,0),0)+SUMIFS(CalcDep,CalcBank,LEFT(UPPER(TRIM($E1120)),6),CalcKey,"&lt;="&amp;Calc!$H1120)-SUMIFS(CalcWit,CalcBank,LEFT(UPPER(TRIM($E1120)),6),CalcKey,"&lt;="&amp;Calc!$H1120))</f>
        <v/>
      </c>
      <c r="O1120" s="10">
        <f>IF(OR($C1120="",$M1120=""),"",IF($N1120="","؟",IF(ROUND($M1120-$N1120,0)=0,"√","×")))</f>
        <v/>
      </c>
      <c r="P1120" s="12" t="n"/>
    </row>
    <row r="1121">
      <c r="A1121" s="10">
        <f>IF($C1121="","",COUNTA($C$9:$C1121))</f>
        <v/>
      </c>
      <c r="B1121" s="10">
        <f>IF($C1121="","","TXN-"&amp;RIGHT("0000"&amp;1113,4))</f>
        <v/>
      </c>
      <c r="C1121" s="11" t="n"/>
      <c r="D1121" s="11" t="n"/>
      <c r="E1121" s="12" t="n"/>
      <c r="F1121" s="10">
        <f>IF($E1121="","",IFERROR(IF(VLOOKUP(LEFT(UPPER(TRIM($E1121)),6),BankTbl,2,0)="","(بدون عنوان)",VLOOKUP(LEFT(UPPER(TRIM($E1121)),6),BankTbl,2,0)),"بانک ناشناخته"))</f>
        <v/>
      </c>
      <c r="G1121" s="11" t="n"/>
      <c r="H1121" s="10">
        <f>IF($G1121="","",IFERROR(VLOOKUP($G1121,CustTbl,2,0),IFERROR(VLOOKUP($G1121,SuppTbl,2,0),IFERROR(VLOOKUP($G1121,AcctTbl,2,0),IFERROR(VLOOKUP($G1121,StaffTbl,2,0),"کد ناشناخته")))))</f>
        <v/>
      </c>
      <c r="I1121" s="12" t="n"/>
      <c r="J1121" s="12" t="n"/>
      <c r="K1121" s="13" t="n"/>
      <c r="L1121" s="13" t="n"/>
      <c r="M1121" s="13" t="n"/>
      <c r="N1121" s="14">
        <f>IF(OR($C1121="",$E1121="",Calc!$H1121=""),"",IFERROR(VLOOKUP(LEFT(UPPER(TRIM($E1121)),6),BankTbl,3,0),0)+SUMIFS(CalcDep,CalcBank,LEFT(UPPER(TRIM($E1121)),6),CalcKey,"&lt;="&amp;Calc!$H1121)-SUMIFS(CalcWit,CalcBank,LEFT(UPPER(TRIM($E1121)),6),CalcKey,"&lt;="&amp;Calc!$H1121))</f>
        <v/>
      </c>
      <c r="O1121" s="10">
        <f>IF(OR($C1121="",$M1121=""),"",IF($N1121="","؟",IF(ROUND($M1121-$N1121,0)=0,"√","×")))</f>
        <v/>
      </c>
      <c r="P1121" s="12" t="n"/>
    </row>
    <row r="1122">
      <c r="A1122" s="10">
        <f>IF($C1122="","",COUNTA($C$9:$C1122))</f>
        <v/>
      </c>
      <c r="B1122" s="10">
        <f>IF($C1122="","","TXN-"&amp;RIGHT("0000"&amp;1114,4))</f>
        <v/>
      </c>
      <c r="C1122" s="11" t="n"/>
      <c r="D1122" s="11" t="n"/>
      <c r="E1122" s="12" t="n"/>
      <c r="F1122" s="10">
        <f>IF($E1122="","",IFERROR(IF(VLOOKUP(LEFT(UPPER(TRIM($E1122)),6),BankTbl,2,0)="","(بدون عنوان)",VLOOKUP(LEFT(UPPER(TRIM($E1122)),6),BankTbl,2,0)),"بانک ناشناخته"))</f>
        <v/>
      </c>
      <c r="G1122" s="11" t="n"/>
      <c r="H1122" s="10">
        <f>IF($G1122="","",IFERROR(VLOOKUP($G1122,CustTbl,2,0),IFERROR(VLOOKUP($G1122,SuppTbl,2,0),IFERROR(VLOOKUP($G1122,AcctTbl,2,0),IFERROR(VLOOKUP($G1122,StaffTbl,2,0),"کد ناشناخته")))))</f>
        <v/>
      </c>
      <c r="I1122" s="12" t="n"/>
      <c r="J1122" s="12" t="n"/>
      <c r="K1122" s="13" t="n"/>
      <c r="L1122" s="13" t="n"/>
      <c r="M1122" s="13" t="n"/>
      <c r="N1122" s="14">
        <f>IF(OR($C1122="",$E1122="",Calc!$H1122=""),"",IFERROR(VLOOKUP(LEFT(UPPER(TRIM($E1122)),6),BankTbl,3,0),0)+SUMIFS(CalcDep,CalcBank,LEFT(UPPER(TRIM($E1122)),6),CalcKey,"&lt;="&amp;Calc!$H1122)-SUMIFS(CalcWit,CalcBank,LEFT(UPPER(TRIM($E1122)),6),CalcKey,"&lt;="&amp;Calc!$H1122))</f>
        <v/>
      </c>
      <c r="O1122" s="10">
        <f>IF(OR($C1122="",$M1122=""),"",IF($N1122="","؟",IF(ROUND($M1122-$N1122,0)=0,"√","×")))</f>
        <v/>
      </c>
      <c r="P1122" s="12" t="n"/>
    </row>
    <row r="1123">
      <c r="A1123" s="10">
        <f>IF($C1123="","",COUNTA($C$9:$C1123))</f>
        <v/>
      </c>
      <c r="B1123" s="10">
        <f>IF($C1123="","","TXN-"&amp;RIGHT("0000"&amp;1115,4))</f>
        <v/>
      </c>
      <c r="C1123" s="11" t="n"/>
      <c r="D1123" s="11" t="n"/>
      <c r="E1123" s="12" t="n"/>
      <c r="F1123" s="10">
        <f>IF($E1123="","",IFERROR(IF(VLOOKUP(LEFT(UPPER(TRIM($E1123)),6),BankTbl,2,0)="","(بدون عنوان)",VLOOKUP(LEFT(UPPER(TRIM($E1123)),6),BankTbl,2,0)),"بانک ناشناخته"))</f>
        <v/>
      </c>
      <c r="G1123" s="11" t="n"/>
      <c r="H1123" s="10">
        <f>IF($G1123="","",IFERROR(VLOOKUP($G1123,CustTbl,2,0),IFERROR(VLOOKUP($G1123,SuppTbl,2,0),IFERROR(VLOOKUP($G1123,AcctTbl,2,0),IFERROR(VLOOKUP($G1123,StaffTbl,2,0),"کد ناشناخته")))))</f>
        <v/>
      </c>
      <c r="I1123" s="12" t="n"/>
      <c r="J1123" s="12" t="n"/>
      <c r="K1123" s="13" t="n"/>
      <c r="L1123" s="13" t="n"/>
      <c r="M1123" s="13" t="n"/>
      <c r="N1123" s="14">
        <f>IF(OR($C1123="",$E1123="",Calc!$H1123=""),"",IFERROR(VLOOKUP(LEFT(UPPER(TRIM($E1123)),6),BankTbl,3,0),0)+SUMIFS(CalcDep,CalcBank,LEFT(UPPER(TRIM($E1123)),6),CalcKey,"&lt;="&amp;Calc!$H1123)-SUMIFS(CalcWit,CalcBank,LEFT(UPPER(TRIM($E1123)),6),CalcKey,"&lt;="&amp;Calc!$H1123))</f>
        <v/>
      </c>
      <c r="O1123" s="10">
        <f>IF(OR($C1123="",$M1123=""),"",IF($N1123="","؟",IF(ROUND($M1123-$N1123,0)=0,"√","×")))</f>
        <v/>
      </c>
      <c r="P1123" s="12" t="n"/>
    </row>
    <row r="1124">
      <c r="A1124" s="10">
        <f>IF($C1124="","",COUNTA($C$9:$C1124))</f>
        <v/>
      </c>
      <c r="B1124" s="10">
        <f>IF($C1124="","","TXN-"&amp;RIGHT("0000"&amp;1116,4))</f>
        <v/>
      </c>
      <c r="C1124" s="11" t="n"/>
      <c r="D1124" s="11" t="n"/>
      <c r="E1124" s="12" t="n"/>
      <c r="F1124" s="10">
        <f>IF($E1124="","",IFERROR(IF(VLOOKUP(LEFT(UPPER(TRIM($E1124)),6),BankTbl,2,0)="","(بدون عنوان)",VLOOKUP(LEFT(UPPER(TRIM($E1124)),6),BankTbl,2,0)),"بانک ناشناخته"))</f>
        <v/>
      </c>
      <c r="G1124" s="11" t="n"/>
      <c r="H1124" s="10">
        <f>IF($G1124="","",IFERROR(VLOOKUP($G1124,CustTbl,2,0),IFERROR(VLOOKUP($G1124,SuppTbl,2,0),IFERROR(VLOOKUP($G1124,AcctTbl,2,0),IFERROR(VLOOKUP($G1124,StaffTbl,2,0),"کد ناشناخته")))))</f>
        <v/>
      </c>
      <c r="I1124" s="12" t="n"/>
      <c r="J1124" s="12" t="n"/>
      <c r="K1124" s="13" t="n"/>
      <c r="L1124" s="13" t="n"/>
      <c r="M1124" s="13" t="n"/>
      <c r="N1124" s="14">
        <f>IF(OR($C1124="",$E1124="",Calc!$H1124=""),"",IFERROR(VLOOKUP(LEFT(UPPER(TRIM($E1124)),6),BankTbl,3,0),0)+SUMIFS(CalcDep,CalcBank,LEFT(UPPER(TRIM($E1124)),6),CalcKey,"&lt;="&amp;Calc!$H1124)-SUMIFS(CalcWit,CalcBank,LEFT(UPPER(TRIM($E1124)),6),CalcKey,"&lt;="&amp;Calc!$H1124))</f>
        <v/>
      </c>
      <c r="O1124" s="10">
        <f>IF(OR($C1124="",$M1124=""),"",IF($N1124="","؟",IF(ROUND($M1124-$N1124,0)=0,"√","×")))</f>
        <v/>
      </c>
      <c r="P1124" s="12" t="n"/>
    </row>
    <row r="1125">
      <c r="A1125" s="10">
        <f>IF($C1125="","",COUNTA($C$9:$C1125))</f>
        <v/>
      </c>
      <c r="B1125" s="10">
        <f>IF($C1125="","","TXN-"&amp;RIGHT("0000"&amp;1117,4))</f>
        <v/>
      </c>
      <c r="C1125" s="11" t="n"/>
      <c r="D1125" s="11" t="n"/>
      <c r="E1125" s="12" t="n"/>
      <c r="F1125" s="10">
        <f>IF($E1125="","",IFERROR(IF(VLOOKUP(LEFT(UPPER(TRIM($E1125)),6),BankTbl,2,0)="","(بدون عنوان)",VLOOKUP(LEFT(UPPER(TRIM($E1125)),6),BankTbl,2,0)),"بانک ناشناخته"))</f>
        <v/>
      </c>
      <c r="G1125" s="11" t="n"/>
      <c r="H1125" s="10">
        <f>IF($G1125="","",IFERROR(VLOOKUP($G1125,CustTbl,2,0),IFERROR(VLOOKUP($G1125,SuppTbl,2,0),IFERROR(VLOOKUP($G1125,AcctTbl,2,0),IFERROR(VLOOKUP($G1125,StaffTbl,2,0),"کد ناشناخته")))))</f>
        <v/>
      </c>
      <c r="I1125" s="12" t="n"/>
      <c r="J1125" s="12" t="n"/>
      <c r="K1125" s="13" t="n"/>
      <c r="L1125" s="13" t="n"/>
      <c r="M1125" s="13" t="n"/>
      <c r="N1125" s="14">
        <f>IF(OR($C1125="",$E1125="",Calc!$H1125=""),"",IFERROR(VLOOKUP(LEFT(UPPER(TRIM($E1125)),6),BankTbl,3,0),0)+SUMIFS(CalcDep,CalcBank,LEFT(UPPER(TRIM($E1125)),6),CalcKey,"&lt;="&amp;Calc!$H1125)-SUMIFS(CalcWit,CalcBank,LEFT(UPPER(TRIM($E1125)),6),CalcKey,"&lt;="&amp;Calc!$H1125))</f>
        <v/>
      </c>
      <c r="O1125" s="10">
        <f>IF(OR($C1125="",$M1125=""),"",IF($N1125="","؟",IF(ROUND($M1125-$N1125,0)=0,"√","×")))</f>
        <v/>
      </c>
      <c r="P1125" s="12" t="n"/>
    </row>
    <row r="1126">
      <c r="A1126" s="10">
        <f>IF($C1126="","",COUNTA($C$9:$C1126))</f>
        <v/>
      </c>
      <c r="B1126" s="10">
        <f>IF($C1126="","","TXN-"&amp;RIGHT("0000"&amp;1118,4))</f>
        <v/>
      </c>
      <c r="C1126" s="11" t="n"/>
      <c r="D1126" s="11" t="n"/>
      <c r="E1126" s="12" t="n"/>
      <c r="F1126" s="10">
        <f>IF($E1126="","",IFERROR(IF(VLOOKUP(LEFT(UPPER(TRIM($E1126)),6),BankTbl,2,0)="","(بدون عنوان)",VLOOKUP(LEFT(UPPER(TRIM($E1126)),6),BankTbl,2,0)),"بانک ناشناخته"))</f>
        <v/>
      </c>
      <c r="G1126" s="11" t="n"/>
      <c r="H1126" s="10">
        <f>IF($G1126="","",IFERROR(VLOOKUP($G1126,CustTbl,2,0),IFERROR(VLOOKUP($G1126,SuppTbl,2,0),IFERROR(VLOOKUP($G1126,AcctTbl,2,0),IFERROR(VLOOKUP($G1126,StaffTbl,2,0),"کد ناشناخته")))))</f>
        <v/>
      </c>
      <c r="I1126" s="12" t="n"/>
      <c r="J1126" s="12" t="n"/>
      <c r="K1126" s="13" t="n"/>
      <c r="L1126" s="13" t="n"/>
      <c r="M1126" s="13" t="n"/>
      <c r="N1126" s="14">
        <f>IF(OR($C1126="",$E1126="",Calc!$H1126=""),"",IFERROR(VLOOKUP(LEFT(UPPER(TRIM($E1126)),6),BankTbl,3,0),0)+SUMIFS(CalcDep,CalcBank,LEFT(UPPER(TRIM($E1126)),6),CalcKey,"&lt;="&amp;Calc!$H1126)-SUMIFS(CalcWit,CalcBank,LEFT(UPPER(TRIM($E1126)),6),CalcKey,"&lt;="&amp;Calc!$H1126))</f>
        <v/>
      </c>
      <c r="O1126" s="10">
        <f>IF(OR($C1126="",$M1126=""),"",IF($N1126="","؟",IF(ROUND($M1126-$N1126,0)=0,"√","×")))</f>
        <v/>
      </c>
      <c r="P1126" s="12" t="n"/>
    </row>
    <row r="1127">
      <c r="A1127" s="10">
        <f>IF($C1127="","",COUNTA($C$9:$C1127))</f>
        <v/>
      </c>
      <c r="B1127" s="10">
        <f>IF($C1127="","","TXN-"&amp;RIGHT("0000"&amp;1119,4))</f>
        <v/>
      </c>
      <c r="C1127" s="11" t="n"/>
      <c r="D1127" s="11" t="n"/>
      <c r="E1127" s="12" t="n"/>
      <c r="F1127" s="10">
        <f>IF($E1127="","",IFERROR(IF(VLOOKUP(LEFT(UPPER(TRIM($E1127)),6),BankTbl,2,0)="","(بدون عنوان)",VLOOKUP(LEFT(UPPER(TRIM($E1127)),6),BankTbl,2,0)),"بانک ناشناخته"))</f>
        <v/>
      </c>
      <c r="G1127" s="11" t="n"/>
      <c r="H1127" s="10">
        <f>IF($G1127="","",IFERROR(VLOOKUP($G1127,CustTbl,2,0),IFERROR(VLOOKUP($G1127,SuppTbl,2,0),IFERROR(VLOOKUP($G1127,AcctTbl,2,0),IFERROR(VLOOKUP($G1127,StaffTbl,2,0),"کد ناشناخته")))))</f>
        <v/>
      </c>
      <c r="I1127" s="12" t="n"/>
      <c r="J1127" s="12" t="n"/>
      <c r="K1127" s="13" t="n"/>
      <c r="L1127" s="13" t="n"/>
      <c r="M1127" s="13" t="n"/>
      <c r="N1127" s="14">
        <f>IF(OR($C1127="",$E1127="",Calc!$H1127=""),"",IFERROR(VLOOKUP(LEFT(UPPER(TRIM($E1127)),6),BankTbl,3,0),0)+SUMIFS(CalcDep,CalcBank,LEFT(UPPER(TRIM($E1127)),6),CalcKey,"&lt;="&amp;Calc!$H1127)-SUMIFS(CalcWit,CalcBank,LEFT(UPPER(TRIM($E1127)),6),CalcKey,"&lt;="&amp;Calc!$H1127))</f>
        <v/>
      </c>
      <c r="O1127" s="10">
        <f>IF(OR($C1127="",$M1127=""),"",IF($N1127="","؟",IF(ROUND($M1127-$N1127,0)=0,"√","×")))</f>
        <v/>
      </c>
      <c r="P1127" s="12" t="n"/>
    </row>
    <row r="1128">
      <c r="A1128" s="10">
        <f>IF($C1128="","",COUNTA($C$9:$C1128))</f>
        <v/>
      </c>
      <c r="B1128" s="10">
        <f>IF($C1128="","","TXN-"&amp;RIGHT("0000"&amp;1120,4))</f>
        <v/>
      </c>
      <c r="C1128" s="11" t="n"/>
      <c r="D1128" s="11" t="n"/>
      <c r="E1128" s="12" t="n"/>
      <c r="F1128" s="10">
        <f>IF($E1128="","",IFERROR(IF(VLOOKUP(LEFT(UPPER(TRIM($E1128)),6),BankTbl,2,0)="","(بدون عنوان)",VLOOKUP(LEFT(UPPER(TRIM($E1128)),6),BankTbl,2,0)),"بانک ناشناخته"))</f>
        <v/>
      </c>
      <c r="G1128" s="11" t="n"/>
      <c r="H1128" s="10">
        <f>IF($G1128="","",IFERROR(VLOOKUP($G1128,CustTbl,2,0),IFERROR(VLOOKUP($G1128,SuppTbl,2,0),IFERROR(VLOOKUP($G1128,AcctTbl,2,0),IFERROR(VLOOKUP($G1128,StaffTbl,2,0),"کد ناشناخته")))))</f>
        <v/>
      </c>
      <c r="I1128" s="12" t="n"/>
      <c r="J1128" s="12" t="n"/>
      <c r="K1128" s="13" t="n"/>
      <c r="L1128" s="13" t="n"/>
      <c r="M1128" s="13" t="n"/>
      <c r="N1128" s="14">
        <f>IF(OR($C1128="",$E1128="",Calc!$H1128=""),"",IFERROR(VLOOKUP(LEFT(UPPER(TRIM($E1128)),6),BankTbl,3,0),0)+SUMIFS(CalcDep,CalcBank,LEFT(UPPER(TRIM($E1128)),6),CalcKey,"&lt;="&amp;Calc!$H1128)-SUMIFS(CalcWit,CalcBank,LEFT(UPPER(TRIM($E1128)),6),CalcKey,"&lt;="&amp;Calc!$H1128))</f>
        <v/>
      </c>
      <c r="O1128" s="10">
        <f>IF(OR($C1128="",$M1128=""),"",IF($N1128="","؟",IF(ROUND($M1128-$N1128,0)=0,"√","×")))</f>
        <v/>
      </c>
      <c r="P1128" s="12" t="n"/>
    </row>
    <row r="1129">
      <c r="A1129" s="10">
        <f>IF($C1129="","",COUNTA($C$9:$C1129))</f>
        <v/>
      </c>
      <c r="B1129" s="10">
        <f>IF($C1129="","","TXN-"&amp;RIGHT("0000"&amp;1121,4))</f>
        <v/>
      </c>
      <c r="C1129" s="11" t="n"/>
      <c r="D1129" s="11" t="n"/>
      <c r="E1129" s="12" t="n"/>
      <c r="F1129" s="10">
        <f>IF($E1129="","",IFERROR(IF(VLOOKUP(LEFT(UPPER(TRIM($E1129)),6),BankTbl,2,0)="","(بدون عنوان)",VLOOKUP(LEFT(UPPER(TRIM($E1129)),6),BankTbl,2,0)),"بانک ناشناخته"))</f>
        <v/>
      </c>
      <c r="G1129" s="11" t="n"/>
      <c r="H1129" s="10">
        <f>IF($G1129="","",IFERROR(VLOOKUP($G1129,CustTbl,2,0),IFERROR(VLOOKUP($G1129,SuppTbl,2,0),IFERROR(VLOOKUP($G1129,AcctTbl,2,0),IFERROR(VLOOKUP($G1129,StaffTbl,2,0),"کد ناشناخته")))))</f>
        <v/>
      </c>
      <c r="I1129" s="12" t="n"/>
      <c r="J1129" s="12" t="n"/>
      <c r="K1129" s="13" t="n"/>
      <c r="L1129" s="13" t="n"/>
      <c r="M1129" s="13" t="n"/>
      <c r="N1129" s="14">
        <f>IF(OR($C1129="",$E1129="",Calc!$H1129=""),"",IFERROR(VLOOKUP(LEFT(UPPER(TRIM($E1129)),6),BankTbl,3,0),0)+SUMIFS(CalcDep,CalcBank,LEFT(UPPER(TRIM($E1129)),6),CalcKey,"&lt;="&amp;Calc!$H1129)-SUMIFS(CalcWit,CalcBank,LEFT(UPPER(TRIM($E1129)),6),CalcKey,"&lt;="&amp;Calc!$H1129))</f>
        <v/>
      </c>
      <c r="O1129" s="10">
        <f>IF(OR($C1129="",$M1129=""),"",IF($N1129="","؟",IF(ROUND($M1129-$N1129,0)=0,"√","×")))</f>
        <v/>
      </c>
      <c r="P1129" s="12" t="n"/>
    </row>
    <row r="1130">
      <c r="A1130" s="10">
        <f>IF($C1130="","",COUNTA($C$9:$C1130))</f>
        <v/>
      </c>
      <c r="B1130" s="10">
        <f>IF($C1130="","","TXN-"&amp;RIGHT("0000"&amp;1122,4))</f>
        <v/>
      </c>
      <c r="C1130" s="11" t="n"/>
      <c r="D1130" s="11" t="n"/>
      <c r="E1130" s="12" t="n"/>
      <c r="F1130" s="10">
        <f>IF($E1130="","",IFERROR(IF(VLOOKUP(LEFT(UPPER(TRIM($E1130)),6),BankTbl,2,0)="","(بدون عنوان)",VLOOKUP(LEFT(UPPER(TRIM($E1130)),6),BankTbl,2,0)),"بانک ناشناخته"))</f>
        <v/>
      </c>
      <c r="G1130" s="11" t="n"/>
      <c r="H1130" s="10">
        <f>IF($G1130="","",IFERROR(VLOOKUP($G1130,CustTbl,2,0),IFERROR(VLOOKUP($G1130,SuppTbl,2,0),IFERROR(VLOOKUP($G1130,AcctTbl,2,0),IFERROR(VLOOKUP($G1130,StaffTbl,2,0),"کد ناشناخته")))))</f>
        <v/>
      </c>
      <c r="I1130" s="12" t="n"/>
      <c r="J1130" s="12" t="n"/>
      <c r="K1130" s="13" t="n"/>
      <c r="L1130" s="13" t="n"/>
      <c r="M1130" s="13" t="n"/>
      <c r="N1130" s="14">
        <f>IF(OR($C1130="",$E1130="",Calc!$H1130=""),"",IFERROR(VLOOKUP(LEFT(UPPER(TRIM($E1130)),6),BankTbl,3,0),0)+SUMIFS(CalcDep,CalcBank,LEFT(UPPER(TRIM($E1130)),6),CalcKey,"&lt;="&amp;Calc!$H1130)-SUMIFS(CalcWit,CalcBank,LEFT(UPPER(TRIM($E1130)),6),CalcKey,"&lt;="&amp;Calc!$H1130))</f>
        <v/>
      </c>
      <c r="O1130" s="10">
        <f>IF(OR($C1130="",$M1130=""),"",IF($N1130="","؟",IF(ROUND($M1130-$N1130,0)=0,"√","×")))</f>
        <v/>
      </c>
      <c r="P1130" s="12" t="n"/>
    </row>
    <row r="1131">
      <c r="A1131" s="10">
        <f>IF($C1131="","",COUNTA($C$9:$C1131))</f>
        <v/>
      </c>
      <c r="B1131" s="10">
        <f>IF($C1131="","","TXN-"&amp;RIGHT("0000"&amp;1123,4))</f>
        <v/>
      </c>
      <c r="C1131" s="11" t="n"/>
      <c r="D1131" s="11" t="n"/>
      <c r="E1131" s="12" t="n"/>
      <c r="F1131" s="10">
        <f>IF($E1131="","",IFERROR(IF(VLOOKUP(LEFT(UPPER(TRIM($E1131)),6),BankTbl,2,0)="","(بدون عنوان)",VLOOKUP(LEFT(UPPER(TRIM($E1131)),6),BankTbl,2,0)),"بانک ناشناخته"))</f>
        <v/>
      </c>
      <c r="G1131" s="11" t="n"/>
      <c r="H1131" s="10">
        <f>IF($G1131="","",IFERROR(VLOOKUP($G1131,CustTbl,2,0),IFERROR(VLOOKUP($G1131,SuppTbl,2,0),IFERROR(VLOOKUP($G1131,AcctTbl,2,0),IFERROR(VLOOKUP($G1131,StaffTbl,2,0),"کد ناشناخته")))))</f>
        <v/>
      </c>
      <c r="I1131" s="12" t="n"/>
      <c r="J1131" s="12" t="n"/>
      <c r="K1131" s="13" t="n"/>
      <c r="L1131" s="13" t="n"/>
      <c r="M1131" s="13" t="n"/>
      <c r="N1131" s="14">
        <f>IF(OR($C1131="",$E1131="",Calc!$H1131=""),"",IFERROR(VLOOKUP(LEFT(UPPER(TRIM($E1131)),6),BankTbl,3,0),0)+SUMIFS(CalcDep,CalcBank,LEFT(UPPER(TRIM($E1131)),6),CalcKey,"&lt;="&amp;Calc!$H1131)-SUMIFS(CalcWit,CalcBank,LEFT(UPPER(TRIM($E1131)),6),CalcKey,"&lt;="&amp;Calc!$H1131))</f>
        <v/>
      </c>
      <c r="O1131" s="10">
        <f>IF(OR($C1131="",$M1131=""),"",IF($N1131="","؟",IF(ROUND($M1131-$N1131,0)=0,"√","×")))</f>
        <v/>
      </c>
      <c r="P1131" s="12" t="n"/>
    </row>
    <row r="1132">
      <c r="A1132" s="10">
        <f>IF($C1132="","",COUNTA($C$9:$C1132))</f>
        <v/>
      </c>
      <c r="B1132" s="10">
        <f>IF($C1132="","","TXN-"&amp;RIGHT("0000"&amp;1124,4))</f>
        <v/>
      </c>
      <c r="C1132" s="11" t="n"/>
      <c r="D1132" s="11" t="n"/>
      <c r="E1132" s="12" t="n"/>
      <c r="F1132" s="10">
        <f>IF($E1132="","",IFERROR(IF(VLOOKUP(LEFT(UPPER(TRIM($E1132)),6),BankTbl,2,0)="","(بدون عنوان)",VLOOKUP(LEFT(UPPER(TRIM($E1132)),6),BankTbl,2,0)),"بانک ناشناخته"))</f>
        <v/>
      </c>
      <c r="G1132" s="11" t="n"/>
      <c r="H1132" s="10">
        <f>IF($G1132="","",IFERROR(VLOOKUP($G1132,CustTbl,2,0),IFERROR(VLOOKUP($G1132,SuppTbl,2,0),IFERROR(VLOOKUP($G1132,AcctTbl,2,0),IFERROR(VLOOKUP($G1132,StaffTbl,2,0),"کد ناشناخته")))))</f>
        <v/>
      </c>
      <c r="I1132" s="12" t="n"/>
      <c r="J1132" s="12" t="n"/>
      <c r="K1132" s="13" t="n"/>
      <c r="L1132" s="13" t="n"/>
      <c r="M1132" s="13" t="n"/>
      <c r="N1132" s="14">
        <f>IF(OR($C1132="",$E1132="",Calc!$H1132=""),"",IFERROR(VLOOKUP(LEFT(UPPER(TRIM($E1132)),6),BankTbl,3,0),0)+SUMIFS(CalcDep,CalcBank,LEFT(UPPER(TRIM($E1132)),6),CalcKey,"&lt;="&amp;Calc!$H1132)-SUMIFS(CalcWit,CalcBank,LEFT(UPPER(TRIM($E1132)),6),CalcKey,"&lt;="&amp;Calc!$H1132))</f>
        <v/>
      </c>
      <c r="O1132" s="10">
        <f>IF(OR($C1132="",$M1132=""),"",IF($N1132="","؟",IF(ROUND($M1132-$N1132,0)=0,"√","×")))</f>
        <v/>
      </c>
      <c r="P1132" s="12" t="n"/>
    </row>
    <row r="1133">
      <c r="A1133" s="10">
        <f>IF($C1133="","",COUNTA($C$9:$C1133))</f>
        <v/>
      </c>
      <c r="B1133" s="10">
        <f>IF($C1133="","","TXN-"&amp;RIGHT("0000"&amp;1125,4))</f>
        <v/>
      </c>
      <c r="C1133" s="11" t="n"/>
      <c r="D1133" s="11" t="n"/>
      <c r="E1133" s="12" t="n"/>
      <c r="F1133" s="10">
        <f>IF($E1133="","",IFERROR(IF(VLOOKUP(LEFT(UPPER(TRIM($E1133)),6),BankTbl,2,0)="","(بدون عنوان)",VLOOKUP(LEFT(UPPER(TRIM($E1133)),6),BankTbl,2,0)),"بانک ناشناخته"))</f>
        <v/>
      </c>
      <c r="G1133" s="11" t="n"/>
      <c r="H1133" s="10">
        <f>IF($G1133="","",IFERROR(VLOOKUP($G1133,CustTbl,2,0),IFERROR(VLOOKUP($G1133,SuppTbl,2,0),IFERROR(VLOOKUP($G1133,AcctTbl,2,0),IFERROR(VLOOKUP($G1133,StaffTbl,2,0),"کد ناشناخته")))))</f>
        <v/>
      </c>
      <c r="I1133" s="12" t="n"/>
      <c r="J1133" s="12" t="n"/>
      <c r="K1133" s="13" t="n"/>
      <c r="L1133" s="13" t="n"/>
      <c r="M1133" s="13" t="n"/>
      <c r="N1133" s="14">
        <f>IF(OR($C1133="",$E1133="",Calc!$H1133=""),"",IFERROR(VLOOKUP(LEFT(UPPER(TRIM($E1133)),6),BankTbl,3,0),0)+SUMIFS(CalcDep,CalcBank,LEFT(UPPER(TRIM($E1133)),6),CalcKey,"&lt;="&amp;Calc!$H1133)-SUMIFS(CalcWit,CalcBank,LEFT(UPPER(TRIM($E1133)),6),CalcKey,"&lt;="&amp;Calc!$H1133))</f>
        <v/>
      </c>
      <c r="O1133" s="10">
        <f>IF(OR($C1133="",$M1133=""),"",IF($N1133="","؟",IF(ROUND($M1133-$N1133,0)=0,"√","×")))</f>
        <v/>
      </c>
      <c r="P1133" s="12" t="n"/>
    </row>
    <row r="1134">
      <c r="A1134" s="10">
        <f>IF($C1134="","",COUNTA($C$9:$C1134))</f>
        <v/>
      </c>
      <c r="B1134" s="10">
        <f>IF($C1134="","","TXN-"&amp;RIGHT("0000"&amp;1126,4))</f>
        <v/>
      </c>
      <c r="C1134" s="11" t="n"/>
      <c r="D1134" s="11" t="n"/>
      <c r="E1134" s="12" t="n"/>
      <c r="F1134" s="10">
        <f>IF($E1134="","",IFERROR(IF(VLOOKUP(LEFT(UPPER(TRIM($E1134)),6),BankTbl,2,0)="","(بدون عنوان)",VLOOKUP(LEFT(UPPER(TRIM($E1134)),6),BankTbl,2,0)),"بانک ناشناخته"))</f>
        <v/>
      </c>
      <c r="G1134" s="11" t="n"/>
      <c r="H1134" s="10">
        <f>IF($G1134="","",IFERROR(VLOOKUP($G1134,CustTbl,2,0),IFERROR(VLOOKUP($G1134,SuppTbl,2,0),IFERROR(VLOOKUP($G1134,AcctTbl,2,0),IFERROR(VLOOKUP($G1134,StaffTbl,2,0),"کد ناشناخته")))))</f>
        <v/>
      </c>
      <c r="I1134" s="12" t="n"/>
      <c r="J1134" s="12" t="n"/>
      <c r="K1134" s="13" t="n"/>
      <c r="L1134" s="13" t="n"/>
      <c r="M1134" s="13" t="n"/>
      <c r="N1134" s="14">
        <f>IF(OR($C1134="",$E1134="",Calc!$H1134=""),"",IFERROR(VLOOKUP(LEFT(UPPER(TRIM($E1134)),6),BankTbl,3,0),0)+SUMIFS(CalcDep,CalcBank,LEFT(UPPER(TRIM($E1134)),6),CalcKey,"&lt;="&amp;Calc!$H1134)-SUMIFS(CalcWit,CalcBank,LEFT(UPPER(TRIM($E1134)),6),CalcKey,"&lt;="&amp;Calc!$H1134))</f>
        <v/>
      </c>
      <c r="O1134" s="10">
        <f>IF(OR($C1134="",$M1134=""),"",IF($N1134="","؟",IF(ROUND($M1134-$N1134,0)=0,"√","×")))</f>
        <v/>
      </c>
      <c r="P1134" s="12" t="n"/>
    </row>
    <row r="1135">
      <c r="A1135" s="10">
        <f>IF($C1135="","",COUNTA($C$9:$C1135))</f>
        <v/>
      </c>
      <c r="B1135" s="10">
        <f>IF($C1135="","","TXN-"&amp;RIGHT("0000"&amp;1127,4))</f>
        <v/>
      </c>
      <c r="C1135" s="11" t="n"/>
      <c r="D1135" s="11" t="n"/>
      <c r="E1135" s="12" t="n"/>
      <c r="F1135" s="10">
        <f>IF($E1135="","",IFERROR(IF(VLOOKUP(LEFT(UPPER(TRIM($E1135)),6),BankTbl,2,0)="","(بدون عنوان)",VLOOKUP(LEFT(UPPER(TRIM($E1135)),6),BankTbl,2,0)),"بانک ناشناخته"))</f>
        <v/>
      </c>
      <c r="G1135" s="11" t="n"/>
      <c r="H1135" s="10">
        <f>IF($G1135="","",IFERROR(VLOOKUP($G1135,CustTbl,2,0),IFERROR(VLOOKUP($G1135,SuppTbl,2,0),IFERROR(VLOOKUP($G1135,AcctTbl,2,0),IFERROR(VLOOKUP($G1135,StaffTbl,2,0),"کد ناشناخته")))))</f>
        <v/>
      </c>
      <c r="I1135" s="12" t="n"/>
      <c r="J1135" s="12" t="n"/>
      <c r="K1135" s="13" t="n"/>
      <c r="L1135" s="13" t="n"/>
      <c r="M1135" s="13" t="n"/>
      <c r="N1135" s="14">
        <f>IF(OR($C1135="",$E1135="",Calc!$H1135=""),"",IFERROR(VLOOKUP(LEFT(UPPER(TRIM($E1135)),6),BankTbl,3,0),0)+SUMIFS(CalcDep,CalcBank,LEFT(UPPER(TRIM($E1135)),6),CalcKey,"&lt;="&amp;Calc!$H1135)-SUMIFS(CalcWit,CalcBank,LEFT(UPPER(TRIM($E1135)),6),CalcKey,"&lt;="&amp;Calc!$H1135))</f>
        <v/>
      </c>
      <c r="O1135" s="10">
        <f>IF(OR($C1135="",$M1135=""),"",IF($N1135="","؟",IF(ROUND($M1135-$N1135,0)=0,"√","×")))</f>
        <v/>
      </c>
      <c r="P1135" s="12" t="n"/>
    </row>
    <row r="1136">
      <c r="A1136" s="10">
        <f>IF($C1136="","",COUNTA($C$9:$C1136))</f>
        <v/>
      </c>
      <c r="B1136" s="10">
        <f>IF($C1136="","","TXN-"&amp;RIGHT("0000"&amp;1128,4))</f>
        <v/>
      </c>
      <c r="C1136" s="11" t="n"/>
      <c r="D1136" s="11" t="n"/>
      <c r="E1136" s="12" t="n"/>
      <c r="F1136" s="10">
        <f>IF($E1136="","",IFERROR(IF(VLOOKUP(LEFT(UPPER(TRIM($E1136)),6),BankTbl,2,0)="","(بدون عنوان)",VLOOKUP(LEFT(UPPER(TRIM($E1136)),6),BankTbl,2,0)),"بانک ناشناخته"))</f>
        <v/>
      </c>
      <c r="G1136" s="11" t="n"/>
      <c r="H1136" s="10">
        <f>IF($G1136="","",IFERROR(VLOOKUP($G1136,CustTbl,2,0),IFERROR(VLOOKUP($G1136,SuppTbl,2,0),IFERROR(VLOOKUP($G1136,AcctTbl,2,0),IFERROR(VLOOKUP($G1136,StaffTbl,2,0),"کد ناشناخته")))))</f>
        <v/>
      </c>
      <c r="I1136" s="12" t="n"/>
      <c r="J1136" s="12" t="n"/>
      <c r="K1136" s="13" t="n"/>
      <c r="L1136" s="13" t="n"/>
      <c r="M1136" s="13" t="n"/>
      <c r="N1136" s="14">
        <f>IF(OR($C1136="",$E1136="",Calc!$H1136=""),"",IFERROR(VLOOKUP(LEFT(UPPER(TRIM($E1136)),6),BankTbl,3,0),0)+SUMIFS(CalcDep,CalcBank,LEFT(UPPER(TRIM($E1136)),6),CalcKey,"&lt;="&amp;Calc!$H1136)-SUMIFS(CalcWit,CalcBank,LEFT(UPPER(TRIM($E1136)),6),CalcKey,"&lt;="&amp;Calc!$H1136))</f>
        <v/>
      </c>
      <c r="O1136" s="10">
        <f>IF(OR($C1136="",$M1136=""),"",IF($N1136="","؟",IF(ROUND($M1136-$N1136,0)=0,"√","×")))</f>
        <v/>
      </c>
      <c r="P1136" s="12" t="n"/>
    </row>
    <row r="1137">
      <c r="A1137" s="10">
        <f>IF($C1137="","",COUNTA($C$9:$C1137))</f>
        <v/>
      </c>
      <c r="B1137" s="10">
        <f>IF($C1137="","","TXN-"&amp;RIGHT("0000"&amp;1129,4))</f>
        <v/>
      </c>
      <c r="C1137" s="11" t="n"/>
      <c r="D1137" s="11" t="n"/>
      <c r="E1137" s="12" t="n"/>
      <c r="F1137" s="10">
        <f>IF($E1137="","",IFERROR(IF(VLOOKUP(LEFT(UPPER(TRIM($E1137)),6),BankTbl,2,0)="","(بدون عنوان)",VLOOKUP(LEFT(UPPER(TRIM($E1137)),6),BankTbl,2,0)),"بانک ناشناخته"))</f>
        <v/>
      </c>
      <c r="G1137" s="11" t="n"/>
      <c r="H1137" s="10">
        <f>IF($G1137="","",IFERROR(VLOOKUP($G1137,CustTbl,2,0),IFERROR(VLOOKUP($G1137,SuppTbl,2,0),IFERROR(VLOOKUP($G1137,AcctTbl,2,0),IFERROR(VLOOKUP($G1137,StaffTbl,2,0),"کد ناشناخته")))))</f>
        <v/>
      </c>
      <c r="I1137" s="12" t="n"/>
      <c r="J1137" s="12" t="n"/>
      <c r="K1137" s="13" t="n"/>
      <c r="L1137" s="13" t="n"/>
      <c r="M1137" s="13" t="n"/>
      <c r="N1137" s="14">
        <f>IF(OR($C1137="",$E1137="",Calc!$H1137=""),"",IFERROR(VLOOKUP(LEFT(UPPER(TRIM($E1137)),6),BankTbl,3,0),0)+SUMIFS(CalcDep,CalcBank,LEFT(UPPER(TRIM($E1137)),6),CalcKey,"&lt;="&amp;Calc!$H1137)-SUMIFS(CalcWit,CalcBank,LEFT(UPPER(TRIM($E1137)),6),CalcKey,"&lt;="&amp;Calc!$H1137))</f>
        <v/>
      </c>
      <c r="O1137" s="10">
        <f>IF(OR($C1137="",$M1137=""),"",IF($N1137="","؟",IF(ROUND($M1137-$N1137,0)=0,"√","×")))</f>
        <v/>
      </c>
      <c r="P1137" s="12" t="n"/>
    </row>
    <row r="1138">
      <c r="A1138" s="10">
        <f>IF($C1138="","",COUNTA($C$9:$C1138))</f>
        <v/>
      </c>
      <c r="B1138" s="10">
        <f>IF($C1138="","","TXN-"&amp;RIGHT("0000"&amp;1130,4))</f>
        <v/>
      </c>
      <c r="C1138" s="11" t="n"/>
      <c r="D1138" s="11" t="n"/>
      <c r="E1138" s="12" t="n"/>
      <c r="F1138" s="10">
        <f>IF($E1138="","",IFERROR(IF(VLOOKUP(LEFT(UPPER(TRIM($E1138)),6),BankTbl,2,0)="","(بدون عنوان)",VLOOKUP(LEFT(UPPER(TRIM($E1138)),6),BankTbl,2,0)),"بانک ناشناخته"))</f>
        <v/>
      </c>
      <c r="G1138" s="11" t="n"/>
      <c r="H1138" s="10">
        <f>IF($G1138="","",IFERROR(VLOOKUP($G1138,CustTbl,2,0),IFERROR(VLOOKUP($G1138,SuppTbl,2,0),IFERROR(VLOOKUP($G1138,AcctTbl,2,0),IFERROR(VLOOKUP($G1138,StaffTbl,2,0),"کد ناشناخته")))))</f>
        <v/>
      </c>
      <c r="I1138" s="12" t="n"/>
      <c r="J1138" s="12" t="n"/>
      <c r="K1138" s="13" t="n"/>
      <c r="L1138" s="13" t="n"/>
      <c r="M1138" s="13" t="n"/>
      <c r="N1138" s="14">
        <f>IF(OR($C1138="",$E1138="",Calc!$H1138=""),"",IFERROR(VLOOKUP(LEFT(UPPER(TRIM($E1138)),6),BankTbl,3,0),0)+SUMIFS(CalcDep,CalcBank,LEFT(UPPER(TRIM($E1138)),6),CalcKey,"&lt;="&amp;Calc!$H1138)-SUMIFS(CalcWit,CalcBank,LEFT(UPPER(TRIM($E1138)),6),CalcKey,"&lt;="&amp;Calc!$H1138))</f>
        <v/>
      </c>
      <c r="O1138" s="10">
        <f>IF(OR($C1138="",$M1138=""),"",IF($N1138="","؟",IF(ROUND($M1138-$N1138,0)=0,"√","×")))</f>
        <v/>
      </c>
      <c r="P1138" s="12" t="n"/>
    </row>
    <row r="1139">
      <c r="A1139" s="10">
        <f>IF($C1139="","",COUNTA($C$9:$C1139))</f>
        <v/>
      </c>
      <c r="B1139" s="10">
        <f>IF($C1139="","","TXN-"&amp;RIGHT("0000"&amp;1131,4))</f>
        <v/>
      </c>
      <c r="C1139" s="11" t="n"/>
      <c r="D1139" s="11" t="n"/>
      <c r="E1139" s="12" t="n"/>
      <c r="F1139" s="10">
        <f>IF($E1139="","",IFERROR(IF(VLOOKUP(LEFT(UPPER(TRIM($E1139)),6),BankTbl,2,0)="","(بدون عنوان)",VLOOKUP(LEFT(UPPER(TRIM($E1139)),6),BankTbl,2,0)),"بانک ناشناخته"))</f>
        <v/>
      </c>
      <c r="G1139" s="11" t="n"/>
      <c r="H1139" s="10">
        <f>IF($G1139="","",IFERROR(VLOOKUP($G1139,CustTbl,2,0),IFERROR(VLOOKUP($G1139,SuppTbl,2,0),IFERROR(VLOOKUP($G1139,AcctTbl,2,0),IFERROR(VLOOKUP($G1139,StaffTbl,2,0),"کد ناشناخته")))))</f>
        <v/>
      </c>
      <c r="I1139" s="12" t="n"/>
      <c r="J1139" s="12" t="n"/>
      <c r="K1139" s="13" t="n"/>
      <c r="L1139" s="13" t="n"/>
      <c r="M1139" s="13" t="n"/>
      <c r="N1139" s="14">
        <f>IF(OR($C1139="",$E1139="",Calc!$H1139=""),"",IFERROR(VLOOKUP(LEFT(UPPER(TRIM($E1139)),6),BankTbl,3,0),0)+SUMIFS(CalcDep,CalcBank,LEFT(UPPER(TRIM($E1139)),6),CalcKey,"&lt;="&amp;Calc!$H1139)-SUMIFS(CalcWit,CalcBank,LEFT(UPPER(TRIM($E1139)),6),CalcKey,"&lt;="&amp;Calc!$H1139))</f>
        <v/>
      </c>
      <c r="O1139" s="10">
        <f>IF(OR($C1139="",$M1139=""),"",IF($N1139="","؟",IF(ROUND($M1139-$N1139,0)=0,"√","×")))</f>
        <v/>
      </c>
      <c r="P1139" s="12" t="n"/>
    </row>
    <row r="1140">
      <c r="A1140" s="10">
        <f>IF($C1140="","",COUNTA($C$9:$C1140))</f>
        <v/>
      </c>
      <c r="B1140" s="10">
        <f>IF($C1140="","","TXN-"&amp;RIGHT("0000"&amp;1132,4))</f>
        <v/>
      </c>
      <c r="C1140" s="11" t="n"/>
      <c r="D1140" s="11" t="n"/>
      <c r="E1140" s="12" t="n"/>
      <c r="F1140" s="10">
        <f>IF($E1140="","",IFERROR(IF(VLOOKUP(LEFT(UPPER(TRIM($E1140)),6),BankTbl,2,0)="","(بدون عنوان)",VLOOKUP(LEFT(UPPER(TRIM($E1140)),6),BankTbl,2,0)),"بانک ناشناخته"))</f>
        <v/>
      </c>
      <c r="G1140" s="11" t="n"/>
      <c r="H1140" s="10">
        <f>IF($G1140="","",IFERROR(VLOOKUP($G1140,CustTbl,2,0),IFERROR(VLOOKUP($G1140,SuppTbl,2,0),IFERROR(VLOOKUP($G1140,AcctTbl,2,0),IFERROR(VLOOKUP($G1140,StaffTbl,2,0),"کد ناشناخته")))))</f>
        <v/>
      </c>
      <c r="I1140" s="12" t="n"/>
      <c r="J1140" s="12" t="n"/>
      <c r="K1140" s="13" t="n"/>
      <c r="L1140" s="13" t="n"/>
      <c r="M1140" s="13" t="n"/>
      <c r="N1140" s="14">
        <f>IF(OR($C1140="",$E1140="",Calc!$H1140=""),"",IFERROR(VLOOKUP(LEFT(UPPER(TRIM($E1140)),6),BankTbl,3,0),0)+SUMIFS(CalcDep,CalcBank,LEFT(UPPER(TRIM($E1140)),6),CalcKey,"&lt;="&amp;Calc!$H1140)-SUMIFS(CalcWit,CalcBank,LEFT(UPPER(TRIM($E1140)),6),CalcKey,"&lt;="&amp;Calc!$H1140))</f>
        <v/>
      </c>
      <c r="O1140" s="10">
        <f>IF(OR($C1140="",$M1140=""),"",IF($N1140="","؟",IF(ROUND($M1140-$N1140,0)=0,"√","×")))</f>
        <v/>
      </c>
      <c r="P1140" s="12" t="n"/>
    </row>
    <row r="1141">
      <c r="A1141" s="10">
        <f>IF($C1141="","",COUNTA($C$9:$C1141))</f>
        <v/>
      </c>
      <c r="B1141" s="10">
        <f>IF($C1141="","","TXN-"&amp;RIGHT("0000"&amp;1133,4))</f>
        <v/>
      </c>
      <c r="C1141" s="11" t="n"/>
      <c r="D1141" s="11" t="n"/>
      <c r="E1141" s="12" t="n"/>
      <c r="F1141" s="10">
        <f>IF($E1141="","",IFERROR(IF(VLOOKUP(LEFT(UPPER(TRIM($E1141)),6),BankTbl,2,0)="","(بدون عنوان)",VLOOKUP(LEFT(UPPER(TRIM($E1141)),6),BankTbl,2,0)),"بانک ناشناخته"))</f>
        <v/>
      </c>
      <c r="G1141" s="11" t="n"/>
      <c r="H1141" s="10">
        <f>IF($G1141="","",IFERROR(VLOOKUP($G1141,CustTbl,2,0),IFERROR(VLOOKUP($G1141,SuppTbl,2,0),IFERROR(VLOOKUP($G1141,AcctTbl,2,0),IFERROR(VLOOKUP($G1141,StaffTbl,2,0),"کد ناشناخته")))))</f>
        <v/>
      </c>
      <c r="I1141" s="12" t="n"/>
      <c r="J1141" s="12" t="n"/>
      <c r="K1141" s="13" t="n"/>
      <c r="L1141" s="13" t="n"/>
      <c r="M1141" s="13" t="n"/>
      <c r="N1141" s="14">
        <f>IF(OR($C1141="",$E1141="",Calc!$H1141=""),"",IFERROR(VLOOKUP(LEFT(UPPER(TRIM($E1141)),6),BankTbl,3,0),0)+SUMIFS(CalcDep,CalcBank,LEFT(UPPER(TRIM($E1141)),6),CalcKey,"&lt;="&amp;Calc!$H1141)-SUMIFS(CalcWit,CalcBank,LEFT(UPPER(TRIM($E1141)),6),CalcKey,"&lt;="&amp;Calc!$H1141))</f>
        <v/>
      </c>
      <c r="O1141" s="10">
        <f>IF(OR($C1141="",$M1141=""),"",IF($N1141="","؟",IF(ROUND($M1141-$N1141,0)=0,"√","×")))</f>
        <v/>
      </c>
      <c r="P1141" s="12" t="n"/>
    </row>
    <row r="1142">
      <c r="A1142" s="10">
        <f>IF($C1142="","",COUNTA($C$9:$C1142))</f>
        <v/>
      </c>
      <c r="B1142" s="10">
        <f>IF($C1142="","","TXN-"&amp;RIGHT("0000"&amp;1134,4))</f>
        <v/>
      </c>
      <c r="C1142" s="11" t="n"/>
      <c r="D1142" s="11" t="n"/>
      <c r="E1142" s="12" t="n"/>
      <c r="F1142" s="10">
        <f>IF($E1142="","",IFERROR(IF(VLOOKUP(LEFT(UPPER(TRIM($E1142)),6),BankTbl,2,0)="","(بدون عنوان)",VLOOKUP(LEFT(UPPER(TRIM($E1142)),6),BankTbl,2,0)),"بانک ناشناخته"))</f>
        <v/>
      </c>
      <c r="G1142" s="11" t="n"/>
      <c r="H1142" s="10">
        <f>IF($G1142="","",IFERROR(VLOOKUP($G1142,CustTbl,2,0),IFERROR(VLOOKUP($G1142,SuppTbl,2,0),IFERROR(VLOOKUP($G1142,AcctTbl,2,0),IFERROR(VLOOKUP($G1142,StaffTbl,2,0),"کد ناشناخته")))))</f>
        <v/>
      </c>
      <c r="I1142" s="12" t="n"/>
      <c r="J1142" s="12" t="n"/>
      <c r="K1142" s="13" t="n"/>
      <c r="L1142" s="13" t="n"/>
      <c r="M1142" s="13" t="n"/>
      <c r="N1142" s="14">
        <f>IF(OR($C1142="",$E1142="",Calc!$H1142=""),"",IFERROR(VLOOKUP(LEFT(UPPER(TRIM($E1142)),6),BankTbl,3,0),0)+SUMIFS(CalcDep,CalcBank,LEFT(UPPER(TRIM($E1142)),6),CalcKey,"&lt;="&amp;Calc!$H1142)-SUMIFS(CalcWit,CalcBank,LEFT(UPPER(TRIM($E1142)),6),CalcKey,"&lt;="&amp;Calc!$H1142))</f>
        <v/>
      </c>
      <c r="O1142" s="10">
        <f>IF(OR($C1142="",$M1142=""),"",IF($N1142="","؟",IF(ROUND($M1142-$N1142,0)=0,"√","×")))</f>
        <v/>
      </c>
      <c r="P1142" s="12" t="n"/>
    </row>
    <row r="1143">
      <c r="A1143" s="10">
        <f>IF($C1143="","",COUNTA($C$9:$C1143))</f>
        <v/>
      </c>
      <c r="B1143" s="10">
        <f>IF($C1143="","","TXN-"&amp;RIGHT("0000"&amp;1135,4))</f>
        <v/>
      </c>
      <c r="C1143" s="11" t="n"/>
      <c r="D1143" s="11" t="n"/>
      <c r="E1143" s="12" t="n"/>
      <c r="F1143" s="10">
        <f>IF($E1143="","",IFERROR(IF(VLOOKUP(LEFT(UPPER(TRIM($E1143)),6),BankTbl,2,0)="","(بدون عنوان)",VLOOKUP(LEFT(UPPER(TRIM($E1143)),6),BankTbl,2,0)),"بانک ناشناخته"))</f>
        <v/>
      </c>
      <c r="G1143" s="11" t="n"/>
      <c r="H1143" s="10">
        <f>IF($G1143="","",IFERROR(VLOOKUP($G1143,CustTbl,2,0),IFERROR(VLOOKUP($G1143,SuppTbl,2,0),IFERROR(VLOOKUP($G1143,AcctTbl,2,0),IFERROR(VLOOKUP($G1143,StaffTbl,2,0),"کد ناشناخته")))))</f>
        <v/>
      </c>
      <c r="I1143" s="12" t="n"/>
      <c r="J1143" s="12" t="n"/>
      <c r="K1143" s="13" t="n"/>
      <c r="L1143" s="13" t="n"/>
      <c r="M1143" s="13" t="n"/>
      <c r="N1143" s="14">
        <f>IF(OR($C1143="",$E1143="",Calc!$H1143=""),"",IFERROR(VLOOKUP(LEFT(UPPER(TRIM($E1143)),6),BankTbl,3,0),0)+SUMIFS(CalcDep,CalcBank,LEFT(UPPER(TRIM($E1143)),6),CalcKey,"&lt;="&amp;Calc!$H1143)-SUMIFS(CalcWit,CalcBank,LEFT(UPPER(TRIM($E1143)),6),CalcKey,"&lt;="&amp;Calc!$H1143))</f>
        <v/>
      </c>
      <c r="O1143" s="10">
        <f>IF(OR($C1143="",$M1143=""),"",IF($N1143="","؟",IF(ROUND($M1143-$N1143,0)=0,"√","×")))</f>
        <v/>
      </c>
      <c r="P1143" s="12" t="n"/>
    </row>
    <row r="1144">
      <c r="A1144" s="10">
        <f>IF($C1144="","",COUNTA($C$9:$C1144))</f>
        <v/>
      </c>
      <c r="B1144" s="10">
        <f>IF($C1144="","","TXN-"&amp;RIGHT("0000"&amp;1136,4))</f>
        <v/>
      </c>
      <c r="C1144" s="11" t="n"/>
      <c r="D1144" s="11" t="n"/>
      <c r="E1144" s="12" t="n"/>
      <c r="F1144" s="10">
        <f>IF($E1144="","",IFERROR(IF(VLOOKUP(LEFT(UPPER(TRIM($E1144)),6),BankTbl,2,0)="","(بدون عنوان)",VLOOKUP(LEFT(UPPER(TRIM($E1144)),6),BankTbl,2,0)),"بانک ناشناخته"))</f>
        <v/>
      </c>
      <c r="G1144" s="11" t="n"/>
      <c r="H1144" s="10">
        <f>IF($G1144="","",IFERROR(VLOOKUP($G1144,CustTbl,2,0),IFERROR(VLOOKUP($G1144,SuppTbl,2,0),IFERROR(VLOOKUP($G1144,AcctTbl,2,0),IFERROR(VLOOKUP($G1144,StaffTbl,2,0),"کد ناشناخته")))))</f>
        <v/>
      </c>
      <c r="I1144" s="12" t="n"/>
      <c r="J1144" s="12" t="n"/>
      <c r="K1144" s="13" t="n"/>
      <c r="L1144" s="13" t="n"/>
      <c r="M1144" s="13" t="n"/>
      <c r="N1144" s="14">
        <f>IF(OR($C1144="",$E1144="",Calc!$H1144=""),"",IFERROR(VLOOKUP(LEFT(UPPER(TRIM($E1144)),6),BankTbl,3,0),0)+SUMIFS(CalcDep,CalcBank,LEFT(UPPER(TRIM($E1144)),6),CalcKey,"&lt;="&amp;Calc!$H1144)-SUMIFS(CalcWit,CalcBank,LEFT(UPPER(TRIM($E1144)),6),CalcKey,"&lt;="&amp;Calc!$H1144))</f>
        <v/>
      </c>
      <c r="O1144" s="10">
        <f>IF(OR($C1144="",$M1144=""),"",IF($N1144="","؟",IF(ROUND($M1144-$N1144,0)=0,"√","×")))</f>
        <v/>
      </c>
      <c r="P1144" s="12" t="n"/>
    </row>
    <row r="1145">
      <c r="A1145" s="10">
        <f>IF($C1145="","",COUNTA($C$9:$C1145))</f>
        <v/>
      </c>
      <c r="B1145" s="10">
        <f>IF($C1145="","","TXN-"&amp;RIGHT("0000"&amp;1137,4))</f>
        <v/>
      </c>
      <c r="C1145" s="11" t="n"/>
      <c r="D1145" s="11" t="n"/>
      <c r="E1145" s="12" t="n"/>
      <c r="F1145" s="10">
        <f>IF($E1145="","",IFERROR(IF(VLOOKUP(LEFT(UPPER(TRIM($E1145)),6),BankTbl,2,0)="","(بدون عنوان)",VLOOKUP(LEFT(UPPER(TRIM($E1145)),6),BankTbl,2,0)),"بانک ناشناخته"))</f>
        <v/>
      </c>
      <c r="G1145" s="11" t="n"/>
      <c r="H1145" s="10">
        <f>IF($G1145="","",IFERROR(VLOOKUP($G1145,CustTbl,2,0),IFERROR(VLOOKUP($G1145,SuppTbl,2,0),IFERROR(VLOOKUP($G1145,AcctTbl,2,0),IFERROR(VLOOKUP($G1145,StaffTbl,2,0),"کد ناشناخته")))))</f>
        <v/>
      </c>
      <c r="I1145" s="12" t="n"/>
      <c r="J1145" s="12" t="n"/>
      <c r="K1145" s="13" t="n"/>
      <c r="L1145" s="13" t="n"/>
      <c r="M1145" s="13" t="n"/>
      <c r="N1145" s="14">
        <f>IF(OR($C1145="",$E1145="",Calc!$H1145=""),"",IFERROR(VLOOKUP(LEFT(UPPER(TRIM($E1145)),6),BankTbl,3,0),0)+SUMIFS(CalcDep,CalcBank,LEFT(UPPER(TRIM($E1145)),6),CalcKey,"&lt;="&amp;Calc!$H1145)-SUMIFS(CalcWit,CalcBank,LEFT(UPPER(TRIM($E1145)),6),CalcKey,"&lt;="&amp;Calc!$H1145))</f>
        <v/>
      </c>
      <c r="O1145" s="10">
        <f>IF(OR($C1145="",$M1145=""),"",IF($N1145="","؟",IF(ROUND($M1145-$N1145,0)=0,"√","×")))</f>
        <v/>
      </c>
      <c r="P1145" s="12" t="n"/>
    </row>
    <row r="1146">
      <c r="A1146" s="10">
        <f>IF($C1146="","",COUNTA($C$9:$C1146))</f>
        <v/>
      </c>
      <c r="B1146" s="10">
        <f>IF($C1146="","","TXN-"&amp;RIGHT("0000"&amp;1138,4))</f>
        <v/>
      </c>
      <c r="C1146" s="11" t="n"/>
      <c r="D1146" s="11" t="n"/>
      <c r="E1146" s="12" t="n"/>
      <c r="F1146" s="10">
        <f>IF($E1146="","",IFERROR(IF(VLOOKUP(LEFT(UPPER(TRIM($E1146)),6),BankTbl,2,0)="","(بدون عنوان)",VLOOKUP(LEFT(UPPER(TRIM($E1146)),6),BankTbl,2,0)),"بانک ناشناخته"))</f>
        <v/>
      </c>
      <c r="G1146" s="11" t="n"/>
      <c r="H1146" s="10">
        <f>IF($G1146="","",IFERROR(VLOOKUP($G1146,CustTbl,2,0),IFERROR(VLOOKUP($G1146,SuppTbl,2,0),IFERROR(VLOOKUP($G1146,AcctTbl,2,0),IFERROR(VLOOKUP($G1146,StaffTbl,2,0),"کد ناشناخته")))))</f>
        <v/>
      </c>
      <c r="I1146" s="12" t="n"/>
      <c r="J1146" s="12" t="n"/>
      <c r="K1146" s="13" t="n"/>
      <c r="L1146" s="13" t="n"/>
      <c r="M1146" s="13" t="n"/>
      <c r="N1146" s="14">
        <f>IF(OR($C1146="",$E1146="",Calc!$H1146=""),"",IFERROR(VLOOKUP(LEFT(UPPER(TRIM($E1146)),6),BankTbl,3,0),0)+SUMIFS(CalcDep,CalcBank,LEFT(UPPER(TRIM($E1146)),6),CalcKey,"&lt;="&amp;Calc!$H1146)-SUMIFS(CalcWit,CalcBank,LEFT(UPPER(TRIM($E1146)),6),CalcKey,"&lt;="&amp;Calc!$H1146))</f>
        <v/>
      </c>
      <c r="O1146" s="10">
        <f>IF(OR($C1146="",$M1146=""),"",IF($N1146="","؟",IF(ROUND($M1146-$N1146,0)=0,"√","×")))</f>
        <v/>
      </c>
      <c r="P1146" s="12" t="n"/>
    </row>
    <row r="1147">
      <c r="A1147" s="10">
        <f>IF($C1147="","",COUNTA($C$9:$C1147))</f>
        <v/>
      </c>
      <c r="B1147" s="10">
        <f>IF($C1147="","","TXN-"&amp;RIGHT("0000"&amp;1139,4))</f>
        <v/>
      </c>
      <c r="C1147" s="11" t="n"/>
      <c r="D1147" s="11" t="n"/>
      <c r="E1147" s="12" t="n"/>
      <c r="F1147" s="10">
        <f>IF($E1147="","",IFERROR(IF(VLOOKUP(LEFT(UPPER(TRIM($E1147)),6),BankTbl,2,0)="","(بدون عنوان)",VLOOKUP(LEFT(UPPER(TRIM($E1147)),6),BankTbl,2,0)),"بانک ناشناخته"))</f>
        <v/>
      </c>
      <c r="G1147" s="11" t="n"/>
      <c r="H1147" s="10">
        <f>IF($G1147="","",IFERROR(VLOOKUP($G1147,CustTbl,2,0),IFERROR(VLOOKUP($G1147,SuppTbl,2,0),IFERROR(VLOOKUP($G1147,AcctTbl,2,0),IFERROR(VLOOKUP($G1147,StaffTbl,2,0),"کد ناشناخته")))))</f>
        <v/>
      </c>
      <c r="I1147" s="12" t="n"/>
      <c r="J1147" s="12" t="n"/>
      <c r="K1147" s="13" t="n"/>
      <c r="L1147" s="13" t="n"/>
      <c r="M1147" s="13" t="n"/>
      <c r="N1147" s="14">
        <f>IF(OR($C1147="",$E1147="",Calc!$H1147=""),"",IFERROR(VLOOKUP(LEFT(UPPER(TRIM($E1147)),6),BankTbl,3,0),0)+SUMIFS(CalcDep,CalcBank,LEFT(UPPER(TRIM($E1147)),6),CalcKey,"&lt;="&amp;Calc!$H1147)-SUMIFS(CalcWit,CalcBank,LEFT(UPPER(TRIM($E1147)),6),CalcKey,"&lt;="&amp;Calc!$H1147))</f>
        <v/>
      </c>
      <c r="O1147" s="10">
        <f>IF(OR($C1147="",$M1147=""),"",IF($N1147="","؟",IF(ROUND($M1147-$N1147,0)=0,"√","×")))</f>
        <v/>
      </c>
      <c r="P1147" s="12" t="n"/>
    </row>
    <row r="1148">
      <c r="A1148" s="10">
        <f>IF($C1148="","",COUNTA($C$9:$C1148))</f>
        <v/>
      </c>
      <c r="B1148" s="10">
        <f>IF($C1148="","","TXN-"&amp;RIGHT("0000"&amp;1140,4))</f>
        <v/>
      </c>
      <c r="C1148" s="11" t="n"/>
      <c r="D1148" s="11" t="n"/>
      <c r="E1148" s="12" t="n"/>
      <c r="F1148" s="10">
        <f>IF($E1148="","",IFERROR(IF(VLOOKUP(LEFT(UPPER(TRIM($E1148)),6),BankTbl,2,0)="","(بدون عنوان)",VLOOKUP(LEFT(UPPER(TRIM($E1148)),6),BankTbl,2,0)),"بانک ناشناخته"))</f>
        <v/>
      </c>
      <c r="G1148" s="11" t="n"/>
      <c r="H1148" s="10">
        <f>IF($G1148="","",IFERROR(VLOOKUP($G1148,CustTbl,2,0),IFERROR(VLOOKUP($G1148,SuppTbl,2,0),IFERROR(VLOOKUP($G1148,AcctTbl,2,0),IFERROR(VLOOKUP($G1148,StaffTbl,2,0),"کد ناشناخته")))))</f>
        <v/>
      </c>
      <c r="I1148" s="12" t="n"/>
      <c r="J1148" s="12" t="n"/>
      <c r="K1148" s="13" t="n"/>
      <c r="L1148" s="13" t="n"/>
      <c r="M1148" s="13" t="n"/>
      <c r="N1148" s="14">
        <f>IF(OR($C1148="",$E1148="",Calc!$H1148=""),"",IFERROR(VLOOKUP(LEFT(UPPER(TRIM($E1148)),6),BankTbl,3,0),0)+SUMIFS(CalcDep,CalcBank,LEFT(UPPER(TRIM($E1148)),6),CalcKey,"&lt;="&amp;Calc!$H1148)-SUMIFS(CalcWit,CalcBank,LEFT(UPPER(TRIM($E1148)),6),CalcKey,"&lt;="&amp;Calc!$H1148))</f>
        <v/>
      </c>
      <c r="O1148" s="10">
        <f>IF(OR($C1148="",$M1148=""),"",IF($N1148="","؟",IF(ROUND($M1148-$N1148,0)=0,"√","×")))</f>
        <v/>
      </c>
      <c r="P1148" s="12" t="n"/>
    </row>
    <row r="1149">
      <c r="A1149" s="10">
        <f>IF($C1149="","",COUNTA($C$9:$C1149))</f>
        <v/>
      </c>
      <c r="B1149" s="10">
        <f>IF($C1149="","","TXN-"&amp;RIGHT("0000"&amp;1141,4))</f>
        <v/>
      </c>
      <c r="C1149" s="11" t="n"/>
      <c r="D1149" s="11" t="n"/>
      <c r="E1149" s="12" t="n"/>
      <c r="F1149" s="10">
        <f>IF($E1149="","",IFERROR(IF(VLOOKUP(LEFT(UPPER(TRIM($E1149)),6),BankTbl,2,0)="","(بدون عنوان)",VLOOKUP(LEFT(UPPER(TRIM($E1149)),6),BankTbl,2,0)),"بانک ناشناخته"))</f>
        <v/>
      </c>
      <c r="G1149" s="11" t="n"/>
      <c r="H1149" s="10">
        <f>IF($G1149="","",IFERROR(VLOOKUP($G1149,CustTbl,2,0),IFERROR(VLOOKUP($G1149,SuppTbl,2,0),IFERROR(VLOOKUP($G1149,AcctTbl,2,0),IFERROR(VLOOKUP($G1149,StaffTbl,2,0),"کد ناشناخته")))))</f>
        <v/>
      </c>
      <c r="I1149" s="12" t="n"/>
      <c r="J1149" s="12" t="n"/>
      <c r="K1149" s="13" t="n"/>
      <c r="L1149" s="13" t="n"/>
      <c r="M1149" s="13" t="n"/>
      <c r="N1149" s="14">
        <f>IF(OR($C1149="",$E1149="",Calc!$H1149=""),"",IFERROR(VLOOKUP(LEFT(UPPER(TRIM($E1149)),6),BankTbl,3,0),0)+SUMIFS(CalcDep,CalcBank,LEFT(UPPER(TRIM($E1149)),6),CalcKey,"&lt;="&amp;Calc!$H1149)-SUMIFS(CalcWit,CalcBank,LEFT(UPPER(TRIM($E1149)),6),CalcKey,"&lt;="&amp;Calc!$H1149))</f>
        <v/>
      </c>
      <c r="O1149" s="10">
        <f>IF(OR($C1149="",$M1149=""),"",IF($N1149="","؟",IF(ROUND($M1149-$N1149,0)=0,"√","×")))</f>
        <v/>
      </c>
      <c r="P1149" s="12" t="n"/>
    </row>
    <row r="1150">
      <c r="A1150" s="10">
        <f>IF($C1150="","",COUNTA($C$9:$C1150))</f>
        <v/>
      </c>
      <c r="B1150" s="10">
        <f>IF($C1150="","","TXN-"&amp;RIGHT("0000"&amp;1142,4))</f>
        <v/>
      </c>
      <c r="C1150" s="11" t="n"/>
      <c r="D1150" s="11" t="n"/>
      <c r="E1150" s="12" t="n"/>
      <c r="F1150" s="10">
        <f>IF($E1150="","",IFERROR(IF(VLOOKUP(LEFT(UPPER(TRIM($E1150)),6),BankTbl,2,0)="","(بدون عنوان)",VLOOKUP(LEFT(UPPER(TRIM($E1150)),6),BankTbl,2,0)),"بانک ناشناخته"))</f>
        <v/>
      </c>
      <c r="G1150" s="11" t="n"/>
      <c r="H1150" s="10">
        <f>IF($G1150="","",IFERROR(VLOOKUP($G1150,CustTbl,2,0),IFERROR(VLOOKUP($G1150,SuppTbl,2,0),IFERROR(VLOOKUP($G1150,AcctTbl,2,0),IFERROR(VLOOKUP($G1150,StaffTbl,2,0),"کد ناشناخته")))))</f>
        <v/>
      </c>
      <c r="I1150" s="12" t="n"/>
      <c r="J1150" s="12" t="n"/>
      <c r="K1150" s="13" t="n"/>
      <c r="L1150" s="13" t="n"/>
      <c r="M1150" s="13" t="n"/>
      <c r="N1150" s="14">
        <f>IF(OR($C1150="",$E1150="",Calc!$H1150=""),"",IFERROR(VLOOKUP(LEFT(UPPER(TRIM($E1150)),6),BankTbl,3,0),0)+SUMIFS(CalcDep,CalcBank,LEFT(UPPER(TRIM($E1150)),6),CalcKey,"&lt;="&amp;Calc!$H1150)-SUMIFS(CalcWit,CalcBank,LEFT(UPPER(TRIM($E1150)),6),CalcKey,"&lt;="&amp;Calc!$H1150))</f>
        <v/>
      </c>
      <c r="O1150" s="10">
        <f>IF(OR($C1150="",$M1150=""),"",IF($N1150="","؟",IF(ROUND($M1150-$N1150,0)=0,"√","×")))</f>
        <v/>
      </c>
      <c r="P1150" s="12" t="n"/>
    </row>
    <row r="1151">
      <c r="A1151" s="10">
        <f>IF($C1151="","",COUNTA($C$9:$C1151))</f>
        <v/>
      </c>
      <c r="B1151" s="10">
        <f>IF($C1151="","","TXN-"&amp;RIGHT("0000"&amp;1143,4))</f>
        <v/>
      </c>
      <c r="C1151" s="11" t="n"/>
      <c r="D1151" s="11" t="n"/>
      <c r="E1151" s="12" t="n"/>
      <c r="F1151" s="10">
        <f>IF($E1151="","",IFERROR(IF(VLOOKUP(LEFT(UPPER(TRIM($E1151)),6),BankTbl,2,0)="","(بدون عنوان)",VLOOKUP(LEFT(UPPER(TRIM($E1151)),6),BankTbl,2,0)),"بانک ناشناخته"))</f>
        <v/>
      </c>
      <c r="G1151" s="11" t="n"/>
      <c r="H1151" s="10">
        <f>IF($G1151="","",IFERROR(VLOOKUP($G1151,CustTbl,2,0),IFERROR(VLOOKUP($G1151,SuppTbl,2,0),IFERROR(VLOOKUP($G1151,AcctTbl,2,0),IFERROR(VLOOKUP($G1151,StaffTbl,2,0),"کد ناشناخته")))))</f>
        <v/>
      </c>
      <c r="I1151" s="12" t="n"/>
      <c r="J1151" s="12" t="n"/>
      <c r="K1151" s="13" t="n"/>
      <c r="L1151" s="13" t="n"/>
      <c r="M1151" s="13" t="n"/>
      <c r="N1151" s="14">
        <f>IF(OR($C1151="",$E1151="",Calc!$H1151=""),"",IFERROR(VLOOKUP(LEFT(UPPER(TRIM($E1151)),6),BankTbl,3,0),0)+SUMIFS(CalcDep,CalcBank,LEFT(UPPER(TRIM($E1151)),6),CalcKey,"&lt;="&amp;Calc!$H1151)-SUMIFS(CalcWit,CalcBank,LEFT(UPPER(TRIM($E1151)),6),CalcKey,"&lt;="&amp;Calc!$H1151))</f>
        <v/>
      </c>
      <c r="O1151" s="10">
        <f>IF(OR($C1151="",$M1151=""),"",IF($N1151="","؟",IF(ROUND($M1151-$N1151,0)=0,"√","×")))</f>
        <v/>
      </c>
      <c r="P1151" s="12" t="n"/>
    </row>
    <row r="1152">
      <c r="A1152" s="10">
        <f>IF($C1152="","",COUNTA($C$9:$C1152))</f>
        <v/>
      </c>
      <c r="B1152" s="10">
        <f>IF($C1152="","","TXN-"&amp;RIGHT("0000"&amp;1144,4))</f>
        <v/>
      </c>
      <c r="C1152" s="11" t="n"/>
      <c r="D1152" s="11" t="n"/>
      <c r="E1152" s="12" t="n"/>
      <c r="F1152" s="10">
        <f>IF($E1152="","",IFERROR(IF(VLOOKUP(LEFT(UPPER(TRIM($E1152)),6),BankTbl,2,0)="","(بدون عنوان)",VLOOKUP(LEFT(UPPER(TRIM($E1152)),6),BankTbl,2,0)),"بانک ناشناخته"))</f>
        <v/>
      </c>
      <c r="G1152" s="11" t="n"/>
      <c r="H1152" s="10">
        <f>IF($G1152="","",IFERROR(VLOOKUP($G1152,CustTbl,2,0),IFERROR(VLOOKUP($G1152,SuppTbl,2,0),IFERROR(VLOOKUP($G1152,AcctTbl,2,0),IFERROR(VLOOKUP($G1152,StaffTbl,2,0),"کد ناشناخته")))))</f>
        <v/>
      </c>
      <c r="I1152" s="12" t="n"/>
      <c r="J1152" s="12" t="n"/>
      <c r="K1152" s="13" t="n"/>
      <c r="L1152" s="13" t="n"/>
      <c r="M1152" s="13" t="n"/>
      <c r="N1152" s="14">
        <f>IF(OR($C1152="",$E1152="",Calc!$H1152=""),"",IFERROR(VLOOKUP(LEFT(UPPER(TRIM($E1152)),6),BankTbl,3,0),0)+SUMIFS(CalcDep,CalcBank,LEFT(UPPER(TRIM($E1152)),6),CalcKey,"&lt;="&amp;Calc!$H1152)-SUMIFS(CalcWit,CalcBank,LEFT(UPPER(TRIM($E1152)),6),CalcKey,"&lt;="&amp;Calc!$H1152))</f>
        <v/>
      </c>
      <c r="O1152" s="10">
        <f>IF(OR($C1152="",$M1152=""),"",IF($N1152="","؟",IF(ROUND($M1152-$N1152,0)=0,"√","×")))</f>
        <v/>
      </c>
      <c r="P1152" s="12" t="n"/>
    </row>
    <row r="1153">
      <c r="A1153" s="10">
        <f>IF($C1153="","",COUNTA($C$9:$C1153))</f>
        <v/>
      </c>
      <c r="B1153" s="10">
        <f>IF($C1153="","","TXN-"&amp;RIGHT("0000"&amp;1145,4))</f>
        <v/>
      </c>
      <c r="C1153" s="11" t="n"/>
      <c r="D1153" s="11" t="n"/>
      <c r="E1153" s="12" t="n"/>
      <c r="F1153" s="10">
        <f>IF($E1153="","",IFERROR(IF(VLOOKUP(LEFT(UPPER(TRIM($E1153)),6),BankTbl,2,0)="","(بدون عنوان)",VLOOKUP(LEFT(UPPER(TRIM($E1153)),6),BankTbl,2,0)),"بانک ناشناخته"))</f>
        <v/>
      </c>
      <c r="G1153" s="11" t="n"/>
      <c r="H1153" s="10">
        <f>IF($G1153="","",IFERROR(VLOOKUP($G1153,CustTbl,2,0),IFERROR(VLOOKUP($G1153,SuppTbl,2,0),IFERROR(VLOOKUP($G1153,AcctTbl,2,0),IFERROR(VLOOKUP($G1153,StaffTbl,2,0),"کد ناشناخته")))))</f>
        <v/>
      </c>
      <c r="I1153" s="12" t="n"/>
      <c r="J1153" s="12" t="n"/>
      <c r="K1153" s="13" t="n"/>
      <c r="L1153" s="13" t="n"/>
      <c r="M1153" s="13" t="n"/>
      <c r="N1153" s="14">
        <f>IF(OR($C1153="",$E1153="",Calc!$H1153=""),"",IFERROR(VLOOKUP(LEFT(UPPER(TRIM($E1153)),6),BankTbl,3,0),0)+SUMIFS(CalcDep,CalcBank,LEFT(UPPER(TRIM($E1153)),6),CalcKey,"&lt;="&amp;Calc!$H1153)-SUMIFS(CalcWit,CalcBank,LEFT(UPPER(TRIM($E1153)),6),CalcKey,"&lt;="&amp;Calc!$H1153))</f>
        <v/>
      </c>
      <c r="O1153" s="10">
        <f>IF(OR($C1153="",$M1153=""),"",IF($N1153="","؟",IF(ROUND($M1153-$N1153,0)=0,"√","×")))</f>
        <v/>
      </c>
      <c r="P1153" s="12" t="n"/>
    </row>
    <row r="1154">
      <c r="A1154" s="10">
        <f>IF($C1154="","",COUNTA($C$9:$C1154))</f>
        <v/>
      </c>
      <c r="B1154" s="10">
        <f>IF($C1154="","","TXN-"&amp;RIGHT("0000"&amp;1146,4))</f>
        <v/>
      </c>
      <c r="C1154" s="11" t="n"/>
      <c r="D1154" s="11" t="n"/>
      <c r="E1154" s="12" t="n"/>
      <c r="F1154" s="10">
        <f>IF($E1154="","",IFERROR(IF(VLOOKUP(LEFT(UPPER(TRIM($E1154)),6),BankTbl,2,0)="","(بدون عنوان)",VLOOKUP(LEFT(UPPER(TRIM($E1154)),6),BankTbl,2,0)),"بانک ناشناخته"))</f>
        <v/>
      </c>
      <c r="G1154" s="11" t="n"/>
      <c r="H1154" s="10">
        <f>IF($G1154="","",IFERROR(VLOOKUP($G1154,CustTbl,2,0),IFERROR(VLOOKUP($G1154,SuppTbl,2,0),IFERROR(VLOOKUP($G1154,AcctTbl,2,0),IFERROR(VLOOKUP($G1154,StaffTbl,2,0),"کد ناشناخته")))))</f>
        <v/>
      </c>
      <c r="I1154" s="12" t="n"/>
      <c r="J1154" s="12" t="n"/>
      <c r="K1154" s="13" t="n"/>
      <c r="L1154" s="13" t="n"/>
      <c r="M1154" s="13" t="n"/>
      <c r="N1154" s="14">
        <f>IF(OR($C1154="",$E1154="",Calc!$H1154=""),"",IFERROR(VLOOKUP(LEFT(UPPER(TRIM($E1154)),6),BankTbl,3,0),0)+SUMIFS(CalcDep,CalcBank,LEFT(UPPER(TRIM($E1154)),6),CalcKey,"&lt;="&amp;Calc!$H1154)-SUMIFS(CalcWit,CalcBank,LEFT(UPPER(TRIM($E1154)),6),CalcKey,"&lt;="&amp;Calc!$H1154))</f>
        <v/>
      </c>
      <c r="O1154" s="10">
        <f>IF(OR($C1154="",$M1154=""),"",IF($N1154="","؟",IF(ROUND($M1154-$N1154,0)=0,"√","×")))</f>
        <v/>
      </c>
      <c r="P1154" s="12" t="n"/>
    </row>
    <row r="1155">
      <c r="A1155" s="10">
        <f>IF($C1155="","",COUNTA($C$9:$C1155))</f>
        <v/>
      </c>
      <c r="B1155" s="10">
        <f>IF($C1155="","","TXN-"&amp;RIGHT("0000"&amp;1147,4))</f>
        <v/>
      </c>
      <c r="C1155" s="11" t="n"/>
      <c r="D1155" s="11" t="n"/>
      <c r="E1155" s="12" t="n"/>
      <c r="F1155" s="10">
        <f>IF($E1155="","",IFERROR(IF(VLOOKUP(LEFT(UPPER(TRIM($E1155)),6),BankTbl,2,0)="","(بدون عنوان)",VLOOKUP(LEFT(UPPER(TRIM($E1155)),6),BankTbl,2,0)),"بانک ناشناخته"))</f>
        <v/>
      </c>
      <c r="G1155" s="11" t="n"/>
      <c r="H1155" s="10">
        <f>IF($G1155="","",IFERROR(VLOOKUP($G1155,CustTbl,2,0),IFERROR(VLOOKUP($G1155,SuppTbl,2,0),IFERROR(VLOOKUP($G1155,AcctTbl,2,0),IFERROR(VLOOKUP($G1155,StaffTbl,2,0),"کد ناشناخته")))))</f>
        <v/>
      </c>
      <c r="I1155" s="12" t="n"/>
      <c r="J1155" s="12" t="n"/>
      <c r="K1155" s="13" t="n"/>
      <c r="L1155" s="13" t="n"/>
      <c r="M1155" s="13" t="n"/>
      <c r="N1155" s="14">
        <f>IF(OR($C1155="",$E1155="",Calc!$H1155=""),"",IFERROR(VLOOKUP(LEFT(UPPER(TRIM($E1155)),6),BankTbl,3,0),0)+SUMIFS(CalcDep,CalcBank,LEFT(UPPER(TRIM($E1155)),6),CalcKey,"&lt;="&amp;Calc!$H1155)-SUMIFS(CalcWit,CalcBank,LEFT(UPPER(TRIM($E1155)),6),CalcKey,"&lt;="&amp;Calc!$H1155))</f>
        <v/>
      </c>
      <c r="O1155" s="10">
        <f>IF(OR($C1155="",$M1155=""),"",IF($N1155="","؟",IF(ROUND($M1155-$N1155,0)=0,"√","×")))</f>
        <v/>
      </c>
      <c r="P1155" s="12" t="n"/>
    </row>
    <row r="1156">
      <c r="A1156" s="10">
        <f>IF($C1156="","",COUNTA($C$9:$C1156))</f>
        <v/>
      </c>
      <c r="B1156" s="10">
        <f>IF($C1156="","","TXN-"&amp;RIGHT("0000"&amp;1148,4))</f>
        <v/>
      </c>
      <c r="C1156" s="11" t="n"/>
      <c r="D1156" s="11" t="n"/>
      <c r="E1156" s="12" t="n"/>
      <c r="F1156" s="10">
        <f>IF($E1156="","",IFERROR(IF(VLOOKUP(LEFT(UPPER(TRIM($E1156)),6),BankTbl,2,0)="","(بدون عنوان)",VLOOKUP(LEFT(UPPER(TRIM($E1156)),6),BankTbl,2,0)),"بانک ناشناخته"))</f>
        <v/>
      </c>
      <c r="G1156" s="11" t="n"/>
      <c r="H1156" s="10">
        <f>IF($G1156="","",IFERROR(VLOOKUP($G1156,CustTbl,2,0),IFERROR(VLOOKUP($G1156,SuppTbl,2,0),IFERROR(VLOOKUP($G1156,AcctTbl,2,0),IFERROR(VLOOKUP($G1156,StaffTbl,2,0),"کد ناشناخته")))))</f>
        <v/>
      </c>
      <c r="I1156" s="12" t="n"/>
      <c r="J1156" s="12" t="n"/>
      <c r="K1156" s="13" t="n"/>
      <c r="L1156" s="13" t="n"/>
      <c r="M1156" s="13" t="n"/>
      <c r="N1156" s="14">
        <f>IF(OR($C1156="",$E1156="",Calc!$H1156=""),"",IFERROR(VLOOKUP(LEFT(UPPER(TRIM($E1156)),6),BankTbl,3,0),0)+SUMIFS(CalcDep,CalcBank,LEFT(UPPER(TRIM($E1156)),6),CalcKey,"&lt;="&amp;Calc!$H1156)-SUMIFS(CalcWit,CalcBank,LEFT(UPPER(TRIM($E1156)),6),CalcKey,"&lt;="&amp;Calc!$H1156))</f>
        <v/>
      </c>
      <c r="O1156" s="10">
        <f>IF(OR($C1156="",$M1156=""),"",IF($N1156="","؟",IF(ROUND($M1156-$N1156,0)=0,"√","×")))</f>
        <v/>
      </c>
      <c r="P1156" s="12" t="n"/>
    </row>
    <row r="1157">
      <c r="A1157" s="10">
        <f>IF($C1157="","",COUNTA($C$9:$C1157))</f>
        <v/>
      </c>
      <c r="B1157" s="10">
        <f>IF($C1157="","","TXN-"&amp;RIGHT("0000"&amp;1149,4))</f>
        <v/>
      </c>
      <c r="C1157" s="11" t="n"/>
      <c r="D1157" s="11" t="n"/>
      <c r="E1157" s="12" t="n"/>
      <c r="F1157" s="10">
        <f>IF($E1157="","",IFERROR(IF(VLOOKUP(LEFT(UPPER(TRIM($E1157)),6),BankTbl,2,0)="","(بدون عنوان)",VLOOKUP(LEFT(UPPER(TRIM($E1157)),6),BankTbl,2,0)),"بانک ناشناخته"))</f>
        <v/>
      </c>
      <c r="G1157" s="11" t="n"/>
      <c r="H1157" s="10">
        <f>IF($G1157="","",IFERROR(VLOOKUP($G1157,CustTbl,2,0),IFERROR(VLOOKUP($G1157,SuppTbl,2,0),IFERROR(VLOOKUP($G1157,AcctTbl,2,0),IFERROR(VLOOKUP($G1157,StaffTbl,2,0),"کد ناشناخته")))))</f>
        <v/>
      </c>
      <c r="I1157" s="12" t="n"/>
      <c r="J1157" s="12" t="n"/>
      <c r="K1157" s="13" t="n"/>
      <c r="L1157" s="13" t="n"/>
      <c r="M1157" s="13" t="n"/>
      <c r="N1157" s="14">
        <f>IF(OR($C1157="",$E1157="",Calc!$H1157=""),"",IFERROR(VLOOKUP(LEFT(UPPER(TRIM($E1157)),6),BankTbl,3,0),0)+SUMIFS(CalcDep,CalcBank,LEFT(UPPER(TRIM($E1157)),6),CalcKey,"&lt;="&amp;Calc!$H1157)-SUMIFS(CalcWit,CalcBank,LEFT(UPPER(TRIM($E1157)),6),CalcKey,"&lt;="&amp;Calc!$H1157))</f>
        <v/>
      </c>
      <c r="O1157" s="10">
        <f>IF(OR($C1157="",$M1157=""),"",IF($N1157="","؟",IF(ROUND($M1157-$N1157,0)=0,"√","×")))</f>
        <v/>
      </c>
      <c r="P1157" s="12" t="n"/>
    </row>
    <row r="1158">
      <c r="A1158" s="10">
        <f>IF($C1158="","",COUNTA($C$9:$C1158))</f>
        <v/>
      </c>
      <c r="B1158" s="10">
        <f>IF($C1158="","","TXN-"&amp;RIGHT("0000"&amp;1150,4))</f>
        <v/>
      </c>
      <c r="C1158" s="11" t="n"/>
      <c r="D1158" s="11" t="n"/>
      <c r="E1158" s="12" t="n"/>
      <c r="F1158" s="10">
        <f>IF($E1158="","",IFERROR(IF(VLOOKUP(LEFT(UPPER(TRIM($E1158)),6),BankTbl,2,0)="","(بدون عنوان)",VLOOKUP(LEFT(UPPER(TRIM($E1158)),6),BankTbl,2,0)),"بانک ناشناخته"))</f>
        <v/>
      </c>
      <c r="G1158" s="11" t="n"/>
      <c r="H1158" s="10">
        <f>IF($G1158="","",IFERROR(VLOOKUP($G1158,CustTbl,2,0),IFERROR(VLOOKUP($G1158,SuppTbl,2,0),IFERROR(VLOOKUP($G1158,AcctTbl,2,0),IFERROR(VLOOKUP($G1158,StaffTbl,2,0),"کد ناشناخته")))))</f>
        <v/>
      </c>
      <c r="I1158" s="12" t="n"/>
      <c r="J1158" s="12" t="n"/>
      <c r="K1158" s="13" t="n"/>
      <c r="L1158" s="13" t="n"/>
      <c r="M1158" s="13" t="n"/>
      <c r="N1158" s="14">
        <f>IF(OR($C1158="",$E1158="",Calc!$H1158=""),"",IFERROR(VLOOKUP(LEFT(UPPER(TRIM($E1158)),6),BankTbl,3,0),0)+SUMIFS(CalcDep,CalcBank,LEFT(UPPER(TRIM($E1158)),6),CalcKey,"&lt;="&amp;Calc!$H1158)-SUMIFS(CalcWit,CalcBank,LEFT(UPPER(TRIM($E1158)),6),CalcKey,"&lt;="&amp;Calc!$H1158))</f>
        <v/>
      </c>
      <c r="O1158" s="10">
        <f>IF(OR($C1158="",$M1158=""),"",IF($N1158="","؟",IF(ROUND($M1158-$N1158,0)=0,"√","×")))</f>
        <v/>
      </c>
      <c r="P1158" s="12" t="n"/>
    </row>
    <row r="1159">
      <c r="A1159" s="10">
        <f>IF($C1159="","",COUNTA($C$9:$C1159))</f>
        <v/>
      </c>
      <c r="B1159" s="10">
        <f>IF($C1159="","","TXN-"&amp;RIGHT("0000"&amp;1151,4))</f>
        <v/>
      </c>
      <c r="C1159" s="11" t="n"/>
      <c r="D1159" s="11" t="n"/>
      <c r="E1159" s="12" t="n"/>
      <c r="F1159" s="10">
        <f>IF($E1159="","",IFERROR(IF(VLOOKUP(LEFT(UPPER(TRIM($E1159)),6),BankTbl,2,0)="","(بدون عنوان)",VLOOKUP(LEFT(UPPER(TRIM($E1159)),6),BankTbl,2,0)),"بانک ناشناخته"))</f>
        <v/>
      </c>
      <c r="G1159" s="11" t="n"/>
      <c r="H1159" s="10">
        <f>IF($G1159="","",IFERROR(VLOOKUP($G1159,CustTbl,2,0),IFERROR(VLOOKUP($G1159,SuppTbl,2,0),IFERROR(VLOOKUP($G1159,AcctTbl,2,0),IFERROR(VLOOKUP($G1159,StaffTbl,2,0),"کد ناشناخته")))))</f>
        <v/>
      </c>
      <c r="I1159" s="12" t="n"/>
      <c r="J1159" s="12" t="n"/>
      <c r="K1159" s="13" t="n"/>
      <c r="L1159" s="13" t="n"/>
      <c r="M1159" s="13" t="n"/>
      <c r="N1159" s="14">
        <f>IF(OR($C1159="",$E1159="",Calc!$H1159=""),"",IFERROR(VLOOKUP(LEFT(UPPER(TRIM($E1159)),6),BankTbl,3,0),0)+SUMIFS(CalcDep,CalcBank,LEFT(UPPER(TRIM($E1159)),6),CalcKey,"&lt;="&amp;Calc!$H1159)-SUMIFS(CalcWit,CalcBank,LEFT(UPPER(TRIM($E1159)),6),CalcKey,"&lt;="&amp;Calc!$H1159))</f>
        <v/>
      </c>
      <c r="O1159" s="10">
        <f>IF(OR($C1159="",$M1159=""),"",IF($N1159="","؟",IF(ROUND($M1159-$N1159,0)=0,"√","×")))</f>
        <v/>
      </c>
      <c r="P1159" s="12" t="n"/>
    </row>
    <row r="1160">
      <c r="A1160" s="10">
        <f>IF($C1160="","",COUNTA($C$9:$C1160))</f>
        <v/>
      </c>
      <c r="B1160" s="10">
        <f>IF($C1160="","","TXN-"&amp;RIGHT("0000"&amp;1152,4))</f>
        <v/>
      </c>
      <c r="C1160" s="11" t="n"/>
      <c r="D1160" s="11" t="n"/>
      <c r="E1160" s="12" t="n"/>
      <c r="F1160" s="10">
        <f>IF($E1160="","",IFERROR(IF(VLOOKUP(LEFT(UPPER(TRIM($E1160)),6),BankTbl,2,0)="","(بدون عنوان)",VLOOKUP(LEFT(UPPER(TRIM($E1160)),6),BankTbl,2,0)),"بانک ناشناخته"))</f>
        <v/>
      </c>
      <c r="G1160" s="11" t="n"/>
      <c r="H1160" s="10">
        <f>IF($G1160="","",IFERROR(VLOOKUP($G1160,CustTbl,2,0),IFERROR(VLOOKUP($G1160,SuppTbl,2,0),IFERROR(VLOOKUP($G1160,AcctTbl,2,0),IFERROR(VLOOKUP($G1160,StaffTbl,2,0),"کد ناشناخته")))))</f>
        <v/>
      </c>
      <c r="I1160" s="12" t="n"/>
      <c r="J1160" s="12" t="n"/>
      <c r="K1160" s="13" t="n"/>
      <c r="L1160" s="13" t="n"/>
      <c r="M1160" s="13" t="n"/>
      <c r="N1160" s="14">
        <f>IF(OR($C1160="",$E1160="",Calc!$H1160=""),"",IFERROR(VLOOKUP(LEFT(UPPER(TRIM($E1160)),6),BankTbl,3,0),0)+SUMIFS(CalcDep,CalcBank,LEFT(UPPER(TRIM($E1160)),6),CalcKey,"&lt;="&amp;Calc!$H1160)-SUMIFS(CalcWit,CalcBank,LEFT(UPPER(TRIM($E1160)),6),CalcKey,"&lt;="&amp;Calc!$H1160))</f>
        <v/>
      </c>
      <c r="O1160" s="10">
        <f>IF(OR($C1160="",$M1160=""),"",IF($N1160="","؟",IF(ROUND($M1160-$N1160,0)=0,"√","×")))</f>
        <v/>
      </c>
      <c r="P1160" s="12" t="n"/>
    </row>
    <row r="1161">
      <c r="A1161" s="10">
        <f>IF($C1161="","",COUNTA($C$9:$C1161))</f>
        <v/>
      </c>
      <c r="B1161" s="10">
        <f>IF($C1161="","","TXN-"&amp;RIGHT("0000"&amp;1153,4))</f>
        <v/>
      </c>
      <c r="C1161" s="11" t="n"/>
      <c r="D1161" s="11" t="n"/>
      <c r="E1161" s="12" t="n"/>
      <c r="F1161" s="10">
        <f>IF($E1161="","",IFERROR(IF(VLOOKUP(LEFT(UPPER(TRIM($E1161)),6),BankTbl,2,0)="","(بدون عنوان)",VLOOKUP(LEFT(UPPER(TRIM($E1161)),6),BankTbl,2,0)),"بانک ناشناخته"))</f>
        <v/>
      </c>
      <c r="G1161" s="11" t="n"/>
      <c r="H1161" s="10">
        <f>IF($G1161="","",IFERROR(VLOOKUP($G1161,CustTbl,2,0),IFERROR(VLOOKUP($G1161,SuppTbl,2,0),IFERROR(VLOOKUP($G1161,AcctTbl,2,0),IFERROR(VLOOKUP($G1161,StaffTbl,2,0),"کد ناشناخته")))))</f>
        <v/>
      </c>
      <c r="I1161" s="12" t="n"/>
      <c r="J1161" s="12" t="n"/>
      <c r="K1161" s="13" t="n"/>
      <c r="L1161" s="13" t="n"/>
      <c r="M1161" s="13" t="n"/>
      <c r="N1161" s="14">
        <f>IF(OR($C1161="",$E1161="",Calc!$H1161=""),"",IFERROR(VLOOKUP(LEFT(UPPER(TRIM($E1161)),6),BankTbl,3,0),0)+SUMIFS(CalcDep,CalcBank,LEFT(UPPER(TRIM($E1161)),6),CalcKey,"&lt;="&amp;Calc!$H1161)-SUMIFS(CalcWit,CalcBank,LEFT(UPPER(TRIM($E1161)),6),CalcKey,"&lt;="&amp;Calc!$H1161))</f>
        <v/>
      </c>
      <c r="O1161" s="10">
        <f>IF(OR($C1161="",$M1161=""),"",IF($N1161="","؟",IF(ROUND($M1161-$N1161,0)=0,"√","×")))</f>
        <v/>
      </c>
      <c r="P1161" s="12" t="n"/>
    </row>
    <row r="1162">
      <c r="A1162" s="10">
        <f>IF($C1162="","",COUNTA($C$9:$C1162))</f>
        <v/>
      </c>
      <c r="B1162" s="10">
        <f>IF($C1162="","","TXN-"&amp;RIGHT("0000"&amp;1154,4))</f>
        <v/>
      </c>
      <c r="C1162" s="11" t="n"/>
      <c r="D1162" s="11" t="n"/>
      <c r="E1162" s="12" t="n"/>
      <c r="F1162" s="10">
        <f>IF($E1162="","",IFERROR(IF(VLOOKUP(LEFT(UPPER(TRIM($E1162)),6),BankTbl,2,0)="","(بدون عنوان)",VLOOKUP(LEFT(UPPER(TRIM($E1162)),6),BankTbl,2,0)),"بانک ناشناخته"))</f>
        <v/>
      </c>
      <c r="G1162" s="11" t="n"/>
      <c r="H1162" s="10">
        <f>IF($G1162="","",IFERROR(VLOOKUP($G1162,CustTbl,2,0),IFERROR(VLOOKUP($G1162,SuppTbl,2,0),IFERROR(VLOOKUP($G1162,AcctTbl,2,0),IFERROR(VLOOKUP($G1162,StaffTbl,2,0),"کد ناشناخته")))))</f>
        <v/>
      </c>
      <c r="I1162" s="12" t="n"/>
      <c r="J1162" s="12" t="n"/>
      <c r="K1162" s="13" t="n"/>
      <c r="L1162" s="13" t="n"/>
      <c r="M1162" s="13" t="n"/>
      <c r="N1162" s="14">
        <f>IF(OR($C1162="",$E1162="",Calc!$H1162=""),"",IFERROR(VLOOKUP(LEFT(UPPER(TRIM($E1162)),6),BankTbl,3,0),0)+SUMIFS(CalcDep,CalcBank,LEFT(UPPER(TRIM($E1162)),6),CalcKey,"&lt;="&amp;Calc!$H1162)-SUMIFS(CalcWit,CalcBank,LEFT(UPPER(TRIM($E1162)),6),CalcKey,"&lt;="&amp;Calc!$H1162))</f>
        <v/>
      </c>
      <c r="O1162" s="10">
        <f>IF(OR($C1162="",$M1162=""),"",IF($N1162="","؟",IF(ROUND($M1162-$N1162,0)=0,"√","×")))</f>
        <v/>
      </c>
      <c r="P1162" s="12" t="n"/>
    </row>
    <row r="1163">
      <c r="A1163" s="10">
        <f>IF($C1163="","",COUNTA($C$9:$C1163))</f>
        <v/>
      </c>
      <c r="B1163" s="10">
        <f>IF($C1163="","","TXN-"&amp;RIGHT("0000"&amp;1155,4))</f>
        <v/>
      </c>
      <c r="C1163" s="11" t="n"/>
      <c r="D1163" s="11" t="n"/>
      <c r="E1163" s="12" t="n"/>
      <c r="F1163" s="10">
        <f>IF($E1163="","",IFERROR(IF(VLOOKUP(LEFT(UPPER(TRIM($E1163)),6),BankTbl,2,0)="","(بدون عنوان)",VLOOKUP(LEFT(UPPER(TRIM($E1163)),6),BankTbl,2,0)),"بانک ناشناخته"))</f>
        <v/>
      </c>
      <c r="G1163" s="11" t="n"/>
      <c r="H1163" s="10">
        <f>IF($G1163="","",IFERROR(VLOOKUP($G1163,CustTbl,2,0),IFERROR(VLOOKUP($G1163,SuppTbl,2,0),IFERROR(VLOOKUP($G1163,AcctTbl,2,0),IFERROR(VLOOKUP($G1163,StaffTbl,2,0),"کد ناشناخته")))))</f>
        <v/>
      </c>
      <c r="I1163" s="12" t="n"/>
      <c r="J1163" s="12" t="n"/>
      <c r="K1163" s="13" t="n"/>
      <c r="L1163" s="13" t="n"/>
      <c r="M1163" s="13" t="n"/>
      <c r="N1163" s="14">
        <f>IF(OR($C1163="",$E1163="",Calc!$H1163=""),"",IFERROR(VLOOKUP(LEFT(UPPER(TRIM($E1163)),6),BankTbl,3,0),0)+SUMIFS(CalcDep,CalcBank,LEFT(UPPER(TRIM($E1163)),6),CalcKey,"&lt;="&amp;Calc!$H1163)-SUMIFS(CalcWit,CalcBank,LEFT(UPPER(TRIM($E1163)),6),CalcKey,"&lt;="&amp;Calc!$H1163))</f>
        <v/>
      </c>
      <c r="O1163" s="10">
        <f>IF(OR($C1163="",$M1163=""),"",IF($N1163="","؟",IF(ROUND($M1163-$N1163,0)=0,"√","×")))</f>
        <v/>
      </c>
      <c r="P1163" s="12" t="n"/>
    </row>
    <row r="1164">
      <c r="A1164" s="10">
        <f>IF($C1164="","",COUNTA($C$9:$C1164))</f>
        <v/>
      </c>
      <c r="B1164" s="10">
        <f>IF($C1164="","","TXN-"&amp;RIGHT("0000"&amp;1156,4))</f>
        <v/>
      </c>
      <c r="C1164" s="11" t="n"/>
      <c r="D1164" s="11" t="n"/>
      <c r="E1164" s="12" t="n"/>
      <c r="F1164" s="10">
        <f>IF($E1164="","",IFERROR(IF(VLOOKUP(LEFT(UPPER(TRIM($E1164)),6),BankTbl,2,0)="","(بدون عنوان)",VLOOKUP(LEFT(UPPER(TRIM($E1164)),6),BankTbl,2,0)),"بانک ناشناخته"))</f>
        <v/>
      </c>
      <c r="G1164" s="11" t="n"/>
      <c r="H1164" s="10">
        <f>IF($G1164="","",IFERROR(VLOOKUP($G1164,CustTbl,2,0),IFERROR(VLOOKUP($G1164,SuppTbl,2,0),IFERROR(VLOOKUP($G1164,AcctTbl,2,0),IFERROR(VLOOKUP($G1164,StaffTbl,2,0),"کد ناشناخته")))))</f>
        <v/>
      </c>
      <c r="I1164" s="12" t="n"/>
      <c r="J1164" s="12" t="n"/>
      <c r="K1164" s="13" t="n"/>
      <c r="L1164" s="13" t="n"/>
      <c r="M1164" s="13" t="n"/>
      <c r="N1164" s="14">
        <f>IF(OR($C1164="",$E1164="",Calc!$H1164=""),"",IFERROR(VLOOKUP(LEFT(UPPER(TRIM($E1164)),6),BankTbl,3,0),0)+SUMIFS(CalcDep,CalcBank,LEFT(UPPER(TRIM($E1164)),6),CalcKey,"&lt;="&amp;Calc!$H1164)-SUMIFS(CalcWit,CalcBank,LEFT(UPPER(TRIM($E1164)),6),CalcKey,"&lt;="&amp;Calc!$H1164))</f>
        <v/>
      </c>
      <c r="O1164" s="10">
        <f>IF(OR($C1164="",$M1164=""),"",IF($N1164="","؟",IF(ROUND($M1164-$N1164,0)=0,"√","×")))</f>
        <v/>
      </c>
      <c r="P1164" s="12" t="n"/>
    </row>
    <row r="1165">
      <c r="A1165" s="10">
        <f>IF($C1165="","",COUNTA($C$9:$C1165))</f>
        <v/>
      </c>
      <c r="B1165" s="10">
        <f>IF($C1165="","","TXN-"&amp;RIGHT("0000"&amp;1157,4))</f>
        <v/>
      </c>
      <c r="C1165" s="11" t="n"/>
      <c r="D1165" s="11" t="n"/>
      <c r="E1165" s="12" t="n"/>
      <c r="F1165" s="10">
        <f>IF($E1165="","",IFERROR(IF(VLOOKUP(LEFT(UPPER(TRIM($E1165)),6),BankTbl,2,0)="","(بدون عنوان)",VLOOKUP(LEFT(UPPER(TRIM($E1165)),6),BankTbl,2,0)),"بانک ناشناخته"))</f>
        <v/>
      </c>
      <c r="G1165" s="11" t="n"/>
      <c r="H1165" s="10">
        <f>IF($G1165="","",IFERROR(VLOOKUP($G1165,CustTbl,2,0),IFERROR(VLOOKUP($G1165,SuppTbl,2,0),IFERROR(VLOOKUP($G1165,AcctTbl,2,0),IFERROR(VLOOKUP($G1165,StaffTbl,2,0),"کد ناشناخته")))))</f>
        <v/>
      </c>
      <c r="I1165" s="12" t="n"/>
      <c r="J1165" s="12" t="n"/>
      <c r="K1165" s="13" t="n"/>
      <c r="L1165" s="13" t="n"/>
      <c r="M1165" s="13" t="n"/>
      <c r="N1165" s="14">
        <f>IF(OR($C1165="",$E1165="",Calc!$H1165=""),"",IFERROR(VLOOKUP(LEFT(UPPER(TRIM($E1165)),6),BankTbl,3,0),0)+SUMIFS(CalcDep,CalcBank,LEFT(UPPER(TRIM($E1165)),6),CalcKey,"&lt;="&amp;Calc!$H1165)-SUMIFS(CalcWit,CalcBank,LEFT(UPPER(TRIM($E1165)),6),CalcKey,"&lt;="&amp;Calc!$H1165))</f>
        <v/>
      </c>
      <c r="O1165" s="10">
        <f>IF(OR($C1165="",$M1165=""),"",IF($N1165="","؟",IF(ROUND($M1165-$N1165,0)=0,"√","×")))</f>
        <v/>
      </c>
      <c r="P1165" s="12" t="n"/>
    </row>
    <row r="1166">
      <c r="A1166" s="10">
        <f>IF($C1166="","",COUNTA($C$9:$C1166))</f>
        <v/>
      </c>
      <c r="B1166" s="10">
        <f>IF($C1166="","","TXN-"&amp;RIGHT("0000"&amp;1158,4))</f>
        <v/>
      </c>
      <c r="C1166" s="11" t="n"/>
      <c r="D1166" s="11" t="n"/>
      <c r="E1166" s="12" t="n"/>
      <c r="F1166" s="10">
        <f>IF($E1166="","",IFERROR(IF(VLOOKUP(LEFT(UPPER(TRIM($E1166)),6),BankTbl,2,0)="","(بدون عنوان)",VLOOKUP(LEFT(UPPER(TRIM($E1166)),6),BankTbl,2,0)),"بانک ناشناخته"))</f>
        <v/>
      </c>
      <c r="G1166" s="11" t="n"/>
      <c r="H1166" s="10">
        <f>IF($G1166="","",IFERROR(VLOOKUP($G1166,CustTbl,2,0),IFERROR(VLOOKUP($G1166,SuppTbl,2,0),IFERROR(VLOOKUP($G1166,AcctTbl,2,0),IFERROR(VLOOKUP($G1166,StaffTbl,2,0),"کد ناشناخته")))))</f>
        <v/>
      </c>
      <c r="I1166" s="12" t="n"/>
      <c r="J1166" s="12" t="n"/>
      <c r="K1166" s="13" t="n"/>
      <c r="L1166" s="13" t="n"/>
      <c r="M1166" s="13" t="n"/>
      <c r="N1166" s="14">
        <f>IF(OR($C1166="",$E1166="",Calc!$H1166=""),"",IFERROR(VLOOKUP(LEFT(UPPER(TRIM($E1166)),6),BankTbl,3,0),0)+SUMIFS(CalcDep,CalcBank,LEFT(UPPER(TRIM($E1166)),6),CalcKey,"&lt;="&amp;Calc!$H1166)-SUMIFS(CalcWit,CalcBank,LEFT(UPPER(TRIM($E1166)),6),CalcKey,"&lt;="&amp;Calc!$H1166))</f>
        <v/>
      </c>
      <c r="O1166" s="10">
        <f>IF(OR($C1166="",$M1166=""),"",IF($N1166="","؟",IF(ROUND($M1166-$N1166,0)=0,"√","×")))</f>
        <v/>
      </c>
      <c r="P1166" s="12" t="n"/>
    </row>
    <row r="1167">
      <c r="A1167" s="10">
        <f>IF($C1167="","",COUNTA($C$9:$C1167))</f>
        <v/>
      </c>
      <c r="B1167" s="10">
        <f>IF($C1167="","","TXN-"&amp;RIGHT("0000"&amp;1159,4))</f>
        <v/>
      </c>
      <c r="C1167" s="11" t="n"/>
      <c r="D1167" s="11" t="n"/>
      <c r="E1167" s="12" t="n"/>
      <c r="F1167" s="10">
        <f>IF($E1167="","",IFERROR(IF(VLOOKUP(LEFT(UPPER(TRIM($E1167)),6),BankTbl,2,0)="","(بدون عنوان)",VLOOKUP(LEFT(UPPER(TRIM($E1167)),6),BankTbl,2,0)),"بانک ناشناخته"))</f>
        <v/>
      </c>
      <c r="G1167" s="11" t="n"/>
      <c r="H1167" s="10">
        <f>IF($G1167="","",IFERROR(VLOOKUP($G1167,CustTbl,2,0),IFERROR(VLOOKUP($G1167,SuppTbl,2,0),IFERROR(VLOOKUP($G1167,AcctTbl,2,0),IFERROR(VLOOKUP($G1167,StaffTbl,2,0),"کد ناشناخته")))))</f>
        <v/>
      </c>
      <c r="I1167" s="12" t="n"/>
      <c r="J1167" s="12" t="n"/>
      <c r="K1167" s="13" t="n"/>
      <c r="L1167" s="13" t="n"/>
      <c r="M1167" s="13" t="n"/>
      <c r="N1167" s="14">
        <f>IF(OR($C1167="",$E1167="",Calc!$H1167=""),"",IFERROR(VLOOKUP(LEFT(UPPER(TRIM($E1167)),6),BankTbl,3,0),0)+SUMIFS(CalcDep,CalcBank,LEFT(UPPER(TRIM($E1167)),6),CalcKey,"&lt;="&amp;Calc!$H1167)-SUMIFS(CalcWit,CalcBank,LEFT(UPPER(TRIM($E1167)),6),CalcKey,"&lt;="&amp;Calc!$H1167))</f>
        <v/>
      </c>
      <c r="O1167" s="10">
        <f>IF(OR($C1167="",$M1167=""),"",IF($N1167="","؟",IF(ROUND($M1167-$N1167,0)=0,"√","×")))</f>
        <v/>
      </c>
      <c r="P1167" s="12" t="n"/>
    </row>
    <row r="1168">
      <c r="A1168" s="10">
        <f>IF($C1168="","",COUNTA($C$9:$C1168))</f>
        <v/>
      </c>
      <c r="B1168" s="10">
        <f>IF($C1168="","","TXN-"&amp;RIGHT("0000"&amp;1160,4))</f>
        <v/>
      </c>
      <c r="C1168" s="11" t="n"/>
      <c r="D1168" s="11" t="n"/>
      <c r="E1168" s="12" t="n"/>
      <c r="F1168" s="10">
        <f>IF($E1168="","",IFERROR(IF(VLOOKUP(LEFT(UPPER(TRIM($E1168)),6),BankTbl,2,0)="","(بدون عنوان)",VLOOKUP(LEFT(UPPER(TRIM($E1168)),6),BankTbl,2,0)),"بانک ناشناخته"))</f>
        <v/>
      </c>
      <c r="G1168" s="11" t="n"/>
      <c r="H1168" s="10">
        <f>IF($G1168="","",IFERROR(VLOOKUP($G1168,CustTbl,2,0),IFERROR(VLOOKUP($G1168,SuppTbl,2,0),IFERROR(VLOOKUP($G1168,AcctTbl,2,0),IFERROR(VLOOKUP($G1168,StaffTbl,2,0),"کد ناشناخته")))))</f>
        <v/>
      </c>
      <c r="I1168" s="12" t="n"/>
      <c r="J1168" s="12" t="n"/>
      <c r="K1168" s="13" t="n"/>
      <c r="L1168" s="13" t="n"/>
      <c r="M1168" s="13" t="n"/>
      <c r="N1168" s="14">
        <f>IF(OR($C1168="",$E1168="",Calc!$H1168=""),"",IFERROR(VLOOKUP(LEFT(UPPER(TRIM($E1168)),6),BankTbl,3,0),0)+SUMIFS(CalcDep,CalcBank,LEFT(UPPER(TRIM($E1168)),6),CalcKey,"&lt;="&amp;Calc!$H1168)-SUMIFS(CalcWit,CalcBank,LEFT(UPPER(TRIM($E1168)),6),CalcKey,"&lt;="&amp;Calc!$H1168))</f>
        <v/>
      </c>
      <c r="O1168" s="10">
        <f>IF(OR($C1168="",$M1168=""),"",IF($N1168="","؟",IF(ROUND($M1168-$N1168,0)=0,"√","×")))</f>
        <v/>
      </c>
      <c r="P1168" s="12" t="n"/>
    </row>
    <row r="1169">
      <c r="A1169" s="10">
        <f>IF($C1169="","",COUNTA($C$9:$C1169))</f>
        <v/>
      </c>
      <c r="B1169" s="10">
        <f>IF($C1169="","","TXN-"&amp;RIGHT("0000"&amp;1161,4))</f>
        <v/>
      </c>
      <c r="C1169" s="11" t="n"/>
      <c r="D1169" s="11" t="n"/>
      <c r="E1169" s="12" t="n"/>
      <c r="F1169" s="10">
        <f>IF($E1169="","",IFERROR(IF(VLOOKUP(LEFT(UPPER(TRIM($E1169)),6),BankTbl,2,0)="","(بدون عنوان)",VLOOKUP(LEFT(UPPER(TRIM($E1169)),6),BankTbl,2,0)),"بانک ناشناخته"))</f>
        <v/>
      </c>
      <c r="G1169" s="11" t="n"/>
      <c r="H1169" s="10">
        <f>IF($G1169="","",IFERROR(VLOOKUP($G1169,CustTbl,2,0),IFERROR(VLOOKUP($G1169,SuppTbl,2,0),IFERROR(VLOOKUP($G1169,AcctTbl,2,0),IFERROR(VLOOKUP($G1169,StaffTbl,2,0),"کد ناشناخته")))))</f>
        <v/>
      </c>
      <c r="I1169" s="12" t="n"/>
      <c r="J1169" s="12" t="n"/>
      <c r="K1169" s="13" t="n"/>
      <c r="L1169" s="13" t="n"/>
      <c r="M1169" s="13" t="n"/>
      <c r="N1169" s="14">
        <f>IF(OR($C1169="",$E1169="",Calc!$H1169=""),"",IFERROR(VLOOKUP(LEFT(UPPER(TRIM($E1169)),6),BankTbl,3,0),0)+SUMIFS(CalcDep,CalcBank,LEFT(UPPER(TRIM($E1169)),6),CalcKey,"&lt;="&amp;Calc!$H1169)-SUMIFS(CalcWit,CalcBank,LEFT(UPPER(TRIM($E1169)),6),CalcKey,"&lt;="&amp;Calc!$H1169))</f>
        <v/>
      </c>
      <c r="O1169" s="10">
        <f>IF(OR($C1169="",$M1169=""),"",IF($N1169="","؟",IF(ROUND($M1169-$N1169,0)=0,"√","×")))</f>
        <v/>
      </c>
      <c r="P1169" s="12" t="n"/>
    </row>
    <row r="1170">
      <c r="A1170" s="10">
        <f>IF($C1170="","",COUNTA($C$9:$C1170))</f>
        <v/>
      </c>
      <c r="B1170" s="10">
        <f>IF($C1170="","","TXN-"&amp;RIGHT("0000"&amp;1162,4))</f>
        <v/>
      </c>
      <c r="C1170" s="11" t="n"/>
      <c r="D1170" s="11" t="n"/>
      <c r="E1170" s="12" t="n"/>
      <c r="F1170" s="10">
        <f>IF($E1170="","",IFERROR(IF(VLOOKUP(LEFT(UPPER(TRIM($E1170)),6),BankTbl,2,0)="","(بدون عنوان)",VLOOKUP(LEFT(UPPER(TRIM($E1170)),6),BankTbl,2,0)),"بانک ناشناخته"))</f>
        <v/>
      </c>
      <c r="G1170" s="11" t="n"/>
      <c r="H1170" s="10">
        <f>IF($G1170="","",IFERROR(VLOOKUP($G1170,CustTbl,2,0),IFERROR(VLOOKUP($G1170,SuppTbl,2,0),IFERROR(VLOOKUP($G1170,AcctTbl,2,0),IFERROR(VLOOKUP($G1170,StaffTbl,2,0),"کد ناشناخته")))))</f>
        <v/>
      </c>
      <c r="I1170" s="12" t="n"/>
      <c r="J1170" s="12" t="n"/>
      <c r="K1170" s="13" t="n"/>
      <c r="L1170" s="13" t="n"/>
      <c r="M1170" s="13" t="n"/>
      <c r="N1170" s="14">
        <f>IF(OR($C1170="",$E1170="",Calc!$H1170=""),"",IFERROR(VLOOKUP(LEFT(UPPER(TRIM($E1170)),6),BankTbl,3,0),0)+SUMIFS(CalcDep,CalcBank,LEFT(UPPER(TRIM($E1170)),6),CalcKey,"&lt;="&amp;Calc!$H1170)-SUMIFS(CalcWit,CalcBank,LEFT(UPPER(TRIM($E1170)),6),CalcKey,"&lt;="&amp;Calc!$H1170))</f>
        <v/>
      </c>
      <c r="O1170" s="10">
        <f>IF(OR($C1170="",$M1170=""),"",IF($N1170="","؟",IF(ROUND($M1170-$N1170,0)=0,"√","×")))</f>
        <v/>
      </c>
      <c r="P1170" s="12" t="n"/>
    </row>
    <row r="1171">
      <c r="A1171" s="10">
        <f>IF($C1171="","",COUNTA($C$9:$C1171))</f>
        <v/>
      </c>
      <c r="B1171" s="10">
        <f>IF($C1171="","","TXN-"&amp;RIGHT("0000"&amp;1163,4))</f>
        <v/>
      </c>
      <c r="C1171" s="11" t="n"/>
      <c r="D1171" s="11" t="n"/>
      <c r="E1171" s="12" t="n"/>
      <c r="F1171" s="10">
        <f>IF($E1171="","",IFERROR(IF(VLOOKUP(LEFT(UPPER(TRIM($E1171)),6),BankTbl,2,0)="","(بدون عنوان)",VLOOKUP(LEFT(UPPER(TRIM($E1171)),6),BankTbl,2,0)),"بانک ناشناخته"))</f>
        <v/>
      </c>
      <c r="G1171" s="11" t="n"/>
      <c r="H1171" s="10">
        <f>IF($G1171="","",IFERROR(VLOOKUP($G1171,CustTbl,2,0),IFERROR(VLOOKUP($G1171,SuppTbl,2,0),IFERROR(VLOOKUP($G1171,AcctTbl,2,0),IFERROR(VLOOKUP($G1171,StaffTbl,2,0),"کد ناشناخته")))))</f>
        <v/>
      </c>
      <c r="I1171" s="12" t="n"/>
      <c r="J1171" s="12" t="n"/>
      <c r="K1171" s="13" t="n"/>
      <c r="L1171" s="13" t="n"/>
      <c r="M1171" s="13" t="n"/>
      <c r="N1171" s="14">
        <f>IF(OR($C1171="",$E1171="",Calc!$H1171=""),"",IFERROR(VLOOKUP(LEFT(UPPER(TRIM($E1171)),6),BankTbl,3,0),0)+SUMIFS(CalcDep,CalcBank,LEFT(UPPER(TRIM($E1171)),6),CalcKey,"&lt;="&amp;Calc!$H1171)-SUMIFS(CalcWit,CalcBank,LEFT(UPPER(TRIM($E1171)),6),CalcKey,"&lt;="&amp;Calc!$H1171))</f>
        <v/>
      </c>
      <c r="O1171" s="10">
        <f>IF(OR($C1171="",$M1171=""),"",IF($N1171="","؟",IF(ROUND($M1171-$N1171,0)=0,"√","×")))</f>
        <v/>
      </c>
      <c r="P1171" s="12" t="n"/>
    </row>
    <row r="1172">
      <c r="A1172" s="10">
        <f>IF($C1172="","",COUNTA($C$9:$C1172))</f>
        <v/>
      </c>
      <c r="B1172" s="10">
        <f>IF($C1172="","","TXN-"&amp;RIGHT("0000"&amp;1164,4))</f>
        <v/>
      </c>
      <c r="C1172" s="11" t="n"/>
      <c r="D1172" s="11" t="n"/>
      <c r="E1172" s="12" t="n"/>
      <c r="F1172" s="10">
        <f>IF($E1172="","",IFERROR(IF(VLOOKUP(LEFT(UPPER(TRIM($E1172)),6),BankTbl,2,0)="","(بدون عنوان)",VLOOKUP(LEFT(UPPER(TRIM($E1172)),6),BankTbl,2,0)),"بانک ناشناخته"))</f>
        <v/>
      </c>
      <c r="G1172" s="11" t="n"/>
      <c r="H1172" s="10">
        <f>IF($G1172="","",IFERROR(VLOOKUP($G1172,CustTbl,2,0),IFERROR(VLOOKUP($G1172,SuppTbl,2,0),IFERROR(VLOOKUP($G1172,AcctTbl,2,0),IFERROR(VLOOKUP($G1172,StaffTbl,2,0),"کد ناشناخته")))))</f>
        <v/>
      </c>
      <c r="I1172" s="12" t="n"/>
      <c r="J1172" s="12" t="n"/>
      <c r="K1172" s="13" t="n"/>
      <c r="L1172" s="13" t="n"/>
      <c r="M1172" s="13" t="n"/>
      <c r="N1172" s="14">
        <f>IF(OR($C1172="",$E1172="",Calc!$H1172=""),"",IFERROR(VLOOKUP(LEFT(UPPER(TRIM($E1172)),6),BankTbl,3,0),0)+SUMIFS(CalcDep,CalcBank,LEFT(UPPER(TRIM($E1172)),6),CalcKey,"&lt;="&amp;Calc!$H1172)-SUMIFS(CalcWit,CalcBank,LEFT(UPPER(TRIM($E1172)),6),CalcKey,"&lt;="&amp;Calc!$H1172))</f>
        <v/>
      </c>
      <c r="O1172" s="10">
        <f>IF(OR($C1172="",$M1172=""),"",IF($N1172="","؟",IF(ROUND($M1172-$N1172,0)=0,"√","×")))</f>
        <v/>
      </c>
      <c r="P1172" s="12" t="n"/>
    </row>
    <row r="1173">
      <c r="A1173" s="10">
        <f>IF($C1173="","",COUNTA($C$9:$C1173))</f>
        <v/>
      </c>
      <c r="B1173" s="10">
        <f>IF($C1173="","","TXN-"&amp;RIGHT("0000"&amp;1165,4))</f>
        <v/>
      </c>
      <c r="C1173" s="11" t="n"/>
      <c r="D1173" s="11" t="n"/>
      <c r="E1173" s="12" t="n"/>
      <c r="F1173" s="10">
        <f>IF($E1173="","",IFERROR(IF(VLOOKUP(LEFT(UPPER(TRIM($E1173)),6),BankTbl,2,0)="","(بدون عنوان)",VLOOKUP(LEFT(UPPER(TRIM($E1173)),6),BankTbl,2,0)),"بانک ناشناخته"))</f>
        <v/>
      </c>
      <c r="G1173" s="11" t="n"/>
      <c r="H1173" s="10">
        <f>IF($G1173="","",IFERROR(VLOOKUP($G1173,CustTbl,2,0),IFERROR(VLOOKUP($G1173,SuppTbl,2,0),IFERROR(VLOOKUP($G1173,AcctTbl,2,0),IFERROR(VLOOKUP($G1173,StaffTbl,2,0),"کد ناشناخته")))))</f>
        <v/>
      </c>
      <c r="I1173" s="12" t="n"/>
      <c r="J1173" s="12" t="n"/>
      <c r="K1173" s="13" t="n"/>
      <c r="L1173" s="13" t="n"/>
      <c r="M1173" s="13" t="n"/>
      <c r="N1173" s="14">
        <f>IF(OR($C1173="",$E1173="",Calc!$H1173=""),"",IFERROR(VLOOKUP(LEFT(UPPER(TRIM($E1173)),6),BankTbl,3,0),0)+SUMIFS(CalcDep,CalcBank,LEFT(UPPER(TRIM($E1173)),6),CalcKey,"&lt;="&amp;Calc!$H1173)-SUMIFS(CalcWit,CalcBank,LEFT(UPPER(TRIM($E1173)),6),CalcKey,"&lt;="&amp;Calc!$H1173))</f>
        <v/>
      </c>
      <c r="O1173" s="10">
        <f>IF(OR($C1173="",$M1173=""),"",IF($N1173="","؟",IF(ROUND($M1173-$N1173,0)=0,"√","×")))</f>
        <v/>
      </c>
      <c r="P1173" s="12" t="n"/>
    </row>
    <row r="1174">
      <c r="A1174" s="10">
        <f>IF($C1174="","",COUNTA($C$9:$C1174))</f>
        <v/>
      </c>
      <c r="B1174" s="10">
        <f>IF($C1174="","","TXN-"&amp;RIGHT("0000"&amp;1166,4))</f>
        <v/>
      </c>
      <c r="C1174" s="11" t="n"/>
      <c r="D1174" s="11" t="n"/>
      <c r="E1174" s="12" t="n"/>
      <c r="F1174" s="10">
        <f>IF($E1174="","",IFERROR(IF(VLOOKUP(LEFT(UPPER(TRIM($E1174)),6),BankTbl,2,0)="","(بدون عنوان)",VLOOKUP(LEFT(UPPER(TRIM($E1174)),6),BankTbl,2,0)),"بانک ناشناخته"))</f>
        <v/>
      </c>
      <c r="G1174" s="11" t="n"/>
      <c r="H1174" s="10">
        <f>IF($G1174="","",IFERROR(VLOOKUP($G1174,CustTbl,2,0),IFERROR(VLOOKUP($G1174,SuppTbl,2,0),IFERROR(VLOOKUP($G1174,AcctTbl,2,0),IFERROR(VLOOKUP($G1174,StaffTbl,2,0),"کد ناشناخته")))))</f>
        <v/>
      </c>
      <c r="I1174" s="12" t="n"/>
      <c r="J1174" s="12" t="n"/>
      <c r="K1174" s="13" t="n"/>
      <c r="L1174" s="13" t="n"/>
      <c r="M1174" s="13" t="n"/>
      <c r="N1174" s="14">
        <f>IF(OR($C1174="",$E1174="",Calc!$H1174=""),"",IFERROR(VLOOKUP(LEFT(UPPER(TRIM($E1174)),6),BankTbl,3,0),0)+SUMIFS(CalcDep,CalcBank,LEFT(UPPER(TRIM($E1174)),6),CalcKey,"&lt;="&amp;Calc!$H1174)-SUMIFS(CalcWit,CalcBank,LEFT(UPPER(TRIM($E1174)),6),CalcKey,"&lt;="&amp;Calc!$H1174))</f>
        <v/>
      </c>
      <c r="O1174" s="10">
        <f>IF(OR($C1174="",$M1174=""),"",IF($N1174="","؟",IF(ROUND($M1174-$N1174,0)=0,"√","×")))</f>
        <v/>
      </c>
      <c r="P1174" s="12" t="n"/>
    </row>
    <row r="1175">
      <c r="A1175" s="10">
        <f>IF($C1175="","",COUNTA($C$9:$C1175))</f>
        <v/>
      </c>
      <c r="B1175" s="10">
        <f>IF($C1175="","","TXN-"&amp;RIGHT("0000"&amp;1167,4))</f>
        <v/>
      </c>
      <c r="C1175" s="11" t="n"/>
      <c r="D1175" s="11" t="n"/>
      <c r="E1175" s="12" t="n"/>
      <c r="F1175" s="10">
        <f>IF($E1175="","",IFERROR(IF(VLOOKUP(LEFT(UPPER(TRIM($E1175)),6),BankTbl,2,0)="","(بدون عنوان)",VLOOKUP(LEFT(UPPER(TRIM($E1175)),6),BankTbl,2,0)),"بانک ناشناخته"))</f>
        <v/>
      </c>
      <c r="G1175" s="11" t="n"/>
      <c r="H1175" s="10">
        <f>IF($G1175="","",IFERROR(VLOOKUP($G1175,CustTbl,2,0),IFERROR(VLOOKUP($G1175,SuppTbl,2,0),IFERROR(VLOOKUP($G1175,AcctTbl,2,0),IFERROR(VLOOKUP($G1175,StaffTbl,2,0),"کد ناشناخته")))))</f>
        <v/>
      </c>
      <c r="I1175" s="12" t="n"/>
      <c r="J1175" s="12" t="n"/>
      <c r="K1175" s="13" t="n"/>
      <c r="L1175" s="13" t="n"/>
      <c r="M1175" s="13" t="n"/>
      <c r="N1175" s="14">
        <f>IF(OR($C1175="",$E1175="",Calc!$H1175=""),"",IFERROR(VLOOKUP(LEFT(UPPER(TRIM($E1175)),6),BankTbl,3,0),0)+SUMIFS(CalcDep,CalcBank,LEFT(UPPER(TRIM($E1175)),6),CalcKey,"&lt;="&amp;Calc!$H1175)-SUMIFS(CalcWit,CalcBank,LEFT(UPPER(TRIM($E1175)),6),CalcKey,"&lt;="&amp;Calc!$H1175))</f>
        <v/>
      </c>
      <c r="O1175" s="10">
        <f>IF(OR($C1175="",$M1175=""),"",IF($N1175="","؟",IF(ROUND($M1175-$N1175,0)=0,"√","×")))</f>
        <v/>
      </c>
      <c r="P1175" s="12" t="n"/>
    </row>
    <row r="1176">
      <c r="A1176" s="10">
        <f>IF($C1176="","",COUNTA($C$9:$C1176))</f>
        <v/>
      </c>
      <c r="B1176" s="10">
        <f>IF($C1176="","","TXN-"&amp;RIGHT("0000"&amp;1168,4))</f>
        <v/>
      </c>
      <c r="C1176" s="11" t="n"/>
      <c r="D1176" s="11" t="n"/>
      <c r="E1176" s="12" t="n"/>
      <c r="F1176" s="10">
        <f>IF($E1176="","",IFERROR(IF(VLOOKUP(LEFT(UPPER(TRIM($E1176)),6),BankTbl,2,0)="","(بدون عنوان)",VLOOKUP(LEFT(UPPER(TRIM($E1176)),6),BankTbl,2,0)),"بانک ناشناخته"))</f>
        <v/>
      </c>
      <c r="G1176" s="11" t="n"/>
      <c r="H1176" s="10">
        <f>IF($G1176="","",IFERROR(VLOOKUP($G1176,CustTbl,2,0),IFERROR(VLOOKUP($G1176,SuppTbl,2,0),IFERROR(VLOOKUP($G1176,AcctTbl,2,0),IFERROR(VLOOKUP($G1176,StaffTbl,2,0),"کد ناشناخته")))))</f>
        <v/>
      </c>
      <c r="I1176" s="12" t="n"/>
      <c r="J1176" s="12" t="n"/>
      <c r="K1176" s="13" t="n"/>
      <c r="L1176" s="13" t="n"/>
      <c r="M1176" s="13" t="n"/>
      <c r="N1176" s="14">
        <f>IF(OR($C1176="",$E1176="",Calc!$H1176=""),"",IFERROR(VLOOKUP(LEFT(UPPER(TRIM($E1176)),6),BankTbl,3,0),0)+SUMIFS(CalcDep,CalcBank,LEFT(UPPER(TRIM($E1176)),6),CalcKey,"&lt;="&amp;Calc!$H1176)-SUMIFS(CalcWit,CalcBank,LEFT(UPPER(TRIM($E1176)),6),CalcKey,"&lt;="&amp;Calc!$H1176))</f>
        <v/>
      </c>
      <c r="O1176" s="10">
        <f>IF(OR($C1176="",$M1176=""),"",IF($N1176="","؟",IF(ROUND($M1176-$N1176,0)=0,"√","×")))</f>
        <v/>
      </c>
      <c r="P1176" s="12" t="n"/>
    </row>
    <row r="1177">
      <c r="A1177" s="10">
        <f>IF($C1177="","",COUNTA($C$9:$C1177))</f>
        <v/>
      </c>
      <c r="B1177" s="10">
        <f>IF($C1177="","","TXN-"&amp;RIGHT("0000"&amp;1169,4))</f>
        <v/>
      </c>
      <c r="C1177" s="11" t="n"/>
      <c r="D1177" s="11" t="n"/>
      <c r="E1177" s="12" t="n"/>
      <c r="F1177" s="10">
        <f>IF($E1177="","",IFERROR(IF(VLOOKUP(LEFT(UPPER(TRIM($E1177)),6),BankTbl,2,0)="","(بدون عنوان)",VLOOKUP(LEFT(UPPER(TRIM($E1177)),6),BankTbl,2,0)),"بانک ناشناخته"))</f>
        <v/>
      </c>
      <c r="G1177" s="11" t="n"/>
      <c r="H1177" s="10">
        <f>IF($G1177="","",IFERROR(VLOOKUP($G1177,CustTbl,2,0),IFERROR(VLOOKUP($G1177,SuppTbl,2,0),IFERROR(VLOOKUP($G1177,AcctTbl,2,0),IFERROR(VLOOKUP($G1177,StaffTbl,2,0),"کد ناشناخته")))))</f>
        <v/>
      </c>
      <c r="I1177" s="12" t="n"/>
      <c r="J1177" s="12" t="n"/>
      <c r="K1177" s="13" t="n"/>
      <c r="L1177" s="13" t="n"/>
      <c r="M1177" s="13" t="n"/>
      <c r="N1177" s="14">
        <f>IF(OR($C1177="",$E1177="",Calc!$H1177=""),"",IFERROR(VLOOKUP(LEFT(UPPER(TRIM($E1177)),6),BankTbl,3,0),0)+SUMIFS(CalcDep,CalcBank,LEFT(UPPER(TRIM($E1177)),6),CalcKey,"&lt;="&amp;Calc!$H1177)-SUMIFS(CalcWit,CalcBank,LEFT(UPPER(TRIM($E1177)),6),CalcKey,"&lt;="&amp;Calc!$H1177))</f>
        <v/>
      </c>
      <c r="O1177" s="10">
        <f>IF(OR($C1177="",$M1177=""),"",IF($N1177="","؟",IF(ROUND($M1177-$N1177,0)=0,"√","×")))</f>
        <v/>
      </c>
      <c r="P1177" s="12" t="n"/>
    </row>
    <row r="1178">
      <c r="A1178" s="10">
        <f>IF($C1178="","",COUNTA($C$9:$C1178))</f>
        <v/>
      </c>
      <c r="B1178" s="10">
        <f>IF($C1178="","","TXN-"&amp;RIGHT("0000"&amp;1170,4))</f>
        <v/>
      </c>
      <c r="C1178" s="11" t="n"/>
      <c r="D1178" s="11" t="n"/>
      <c r="E1178" s="12" t="n"/>
      <c r="F1178" s="10">
        <f>IF($E1178="","",IFERROR(IF(VLOOKUP(LEFT(UPPER(TRIM($E1178)),6),BankTbl,2,0)="","(بدون عنوان)",VLOOKUP(LEFT(UPPER(TRIM($E1178)),6),BankTbl,2,0)),"بانک ناشناخته"))</f>
        <v/>
      </c>
      <c r="G1178" s="11" t="n"/>
      <c r="H1178" s="10">
        <f>IF($G1178="","",IFERROR(VLOOKUP($G1178,CustTbl,2,0),IFERROR(VLOOKUP($G1178,SuppTbl,2,0),IFERROR(VLOOKUP($G1178,AcctTbl,2,0),IFERROR(VLOOKUP($G1178,StaffTbl,2,0),"کد ناشناخته")))))</f>
        <v/>
      </c>
      <c r="I1178" s="12" t="n"/>
      <c r="J1178" s="12" t="n"/>
      <c r="K1178" s="13" t="n"/>
      <c r="L1178" s="13" t="n"/>
      <c r="M1178" s="13" t="n"/>
      <c r="N1178" s="14">
        <f>IF(OR($C1178="",$E1178="",Calc!$H1178=""),"",IFERROR(VLOOKUP(LEFT(UPPER(TRIM($E1178)),6),BankTbl,3,0),0)+SUMIFS(CalcDep,CalcBank,LEFT(UPPER(TRIM($E1178)),6),CalcKey,"&lt;="&amp;Calc!$H1178)-SUMIFS(CalcWit,CalcBank,LEFT(UPPER(TRIM($E1178)),6),CalcKey,"&lt;="&amp;Calc!$H1178))</f>
        <v/>
      </c>
      <c r="O1178" s="10">
        <f>IF(OR($C1178="",$M1178=""),"",IF($N1178="","؟",IF(ROUND($M1178-$N1178,0)=0,"√","×")))</f>
        <v/>
      </c>
      <c r="P1178" s="12" t="n"/>
    </row>
    <row r="1179">
      <c r="A1179" s="10">
        <f>IF($C1179="","",COUNTA($C$9:$C1179))</f>
        <v/>
      </c>
      <c r="B1179" s="10">
        <f>IF($C1179="","","TXN-"&amp;RIGHT("0000"&amp;1171,4))</f>
        <v/>
      </c>
      <c r="C1179" s="11" t="n"/>
      <c r="D1179" s="11" t="n"/>
      <c r="E1179" s="12" t="n"/>
      <c r="F1179" s="10">
        <f>IF($E1179="","",IFERROR(IF(VLOOKUP(LEFT(UPPER(TRIM($E1179)),6),BankTbl,2,0)="","(بدون عنوان)",VLOOKUP(LEFT(UPPER(TRIM($E1179)),6),BankTbl,2,0)),"بانک ناشناخته"))</f>
        <v/>
      </c>
      <c r="G1179" s="11" t="n"/>
      <c r="H1179" s="10">
        <f>IF($G1179="","",IFERROR(VLOOKUP($G1179,CustTbl,2,0),IFERROR(VLOOKUP($G1179,SuppTbl,2,0),IFERROR(VLOOKUP($G1179,AcctTbl,2,0),IFERROR(VLOOKUP($G1179,StaffTbl,2,0),"کد ناشناخته")))))</f>
        <v/>
      </c>
      <c r="I1179" s="12" t="n"/>
      <c r="J1179" s="12" t="n"/>
      <c r="K1179" s="13" t="n"/>
      <c r="L1179" s="13" t="n"/>
      <c r="M1179" s="13" t="n"/>
      <c r="N1179" s="14">
        <f>IF(OR($C1179="",$E1179="",Calc!$H1179=""),"",IFERROR(VLOOKUP(LEFT(UPPER(TRIM($E1179)),6),BankTbl,3,0),0)+SUMIFS(CalcDep,CalcBank,LEFT(UPPER(TRIM($E1179)),6),CalcKey,"&lt;="&amp;Calc!$H1179)-SUMIFS(CalcWit,CalcBank,LEFT(UPPER(TRIM($E1179)),6),CalcKey,"&lt;="&amp;Calc!$H1179))</f>
        <v/>
      </c>
      <c r="O1179" s="10">
        <f>IF(OR($C1179="",$M1179=""),"",IF($N1179="","؟",IF(ROUND($M1179-$N1179,0)=0,"√","×")))</f>
        <v/>
      </c>
      <c r="P1179" s="12" t="n"/>
    </row>
    <row r="1180">
      <c r="A1180" s="10">
        <f>IF($C1180="","",COUNTA($C$9:$C1180))</f>
        <v/>
      </c>
      <c r="B1180" s="10">
        <f>IF($C1180="","","TXN-"&amp;RIGHT("0000"&amp;1172,4))</f>
        <v/>
      </c>
      <c r="C1180" s="11" t="n"/>
      <c r="D1180" s="11" t="n"/>
      <c r="E1180" s="12" t="n"/>
      <c r="F1180" s="10">
        <f>IF($E1180="","",IFERROR(IF(VLOOKUP(LEFT(UPPER(TRIM($E1180)),6),BankTbl,2,0)="","(بدون عنوان)",VLOOKUP(LEFT(UPPER(TRIM($E1180)),6),BankTbl,2,0)),"بانک ناشناخته"))</f>
        <v/>
      </c>
      <c r="G1180" s="11" t="n"/>
      <c r="H1180" s="10">
        <f>IF($G1180="","",IFERROR(VLOOKUP($G1180,CustTbl,2,0),IFERROR(VLOOKUP($G1180,SuppTbl,2,0),IFERROR(VLOOKUP($G1180,AcctTbl,2,0),IFERROR(VLOOKUP($G1180,StaffTbl,2,0),"کد ناشناخته")))))</f>
        <v/>
      </c>
      <c r="I1180" s="12" t="n"/>
      <c r="J1180" s="12" t="n"/>
      <c r="K1180" s="13" t="n"/>
      <c r="L1180" s="13" t="n"/>
      <c r="M1180" s="13" t="n"/>
      <c r="N1180" s="14">
        <f>IF(OR($C1180="",$E1180="",Calc!$H1180=""),"",IFERROR(VLOOKUP(LEFT(UPPER(TRIM($E1180)),6),BankTbl,3,0),0)+SUMIFS(CalcDep,CalcBank,LEFT(UPPER(TRIM($E1180)),6),CalcKey,"&lt;="&amp;Calc!$H1180)-SUMIFS(CalcWit,CalcBank,LEFT(UPPER(TRIM($E1180)),6),CalcKey,"&lt;="&amp;Calc!$H1180))</f>
        <v/>
      </c>
      <c r="O1180" s="10">
        <f>IF(OR($C1180="",$M1180=""),"",IF($N1180="","؟",IF(ROUND($M1180-$N1180,0)=0,"√","×")))</f>
        <v/>
      </c>
      <c r="P1180" s="12" t="n"/>
    </row>
    <row r="1181">
      <c r="A1181" s="10">
        <f>IF($C1181="","",COUNTA($C$9:$C1181))</f>
        <v/>
      </c>
      <c r="B1181" s="10">
        <f>IF($C1181="","","TXN-"&amp;RIGHT("0000"&amp;1173,4))</f>
        <v/>
      </c>
      <c r="C1181" s="11" t="n"/>
      <c r="D1181" s="11" t="n"/>
      <c r="E1181" s="12" t="n"/>
      <c r="F1181" s="10">
        <f>IF($E1181="","",IFERROR(IF(VLOOKUP(LEFT(UPPER(TRIM($E1181)),6),BankTbl,2,0)="","(بدون عنوان)",VLOOKUP(LEFT(UPPER(TRIM($E1181)),6),BankTbl,2,0)),"بانک ناشناخته"))</f>
        <v/>
      </c>
      <c r="G1181" s="11" t="n"/>
      <c r="H1181" s="10">
        <f>IF($G1181="","",IFERROR(VLOOKUP($G1181,CustTbl,2,0),IFERROR(VLOOKUP($G1181,SuppTbl,2,0),IFERROR(VLOOKUP($G1181,AcctTbl,2,0),IFERROR(VLOOKUP($G1181,StaffTbl,2,0),"کد ناشناخته")))))</f>
        <v/>
      </c>
      <c r="I1181" s="12" t="n"/>
      <c r="J1181" s="12" t="n"/>
      <c r="K1181" s="13" t="n"/>
      <c r="L1181" s="13" t="n"/>
      <c r="M1181" s="13" t="n"/>
      <c r="N1181" s="14">
        <f>IF(OR($C1181="",$E1181="",Calc!$H1181=""),"",IFERROR(VLOOKUP(LEFT(UPPER(TRIM($E1181)),6),BankTbl,3,0),0)+SUMIFS(CalcDep,CalcBank,LEFT(UPPER(TRIM($E1181)),6),CalcKey,"&lt;="&amp;Calc!$H1181)-SUMIFS(CalcWit,CalcBank,LEFT(UPPER(TRIM($E1181)),6),CalcKey,"&lt;="&amp;Calc!$H1181))</f>
        <v/>
      </c>
      <c r="O1181" s="10">
        <f>IF(OR($C1181="",$M1181=""),"",IF($N1181="","؟",IF(ROUND($M1181-$N1181,0)=0,"√","×")))</f>
        <v/>
      </c>
      <c r="P1181" s="12" t="n"/>
    </row>
    <row r="1182">
      <c r="A1182" s="10">
        <f>IF($C1182="","",COUNTA($C$9:$C1182))</f>
        <v/>
      </c>
      <c r="B1182" s="10">
        <f>IF($C1182="","","TXN-"&amp;RIGHT("0000"&amp;1174,4))</f>
        <v/>
      </c>
      <c r="C1182" s="11" t="n"/>
      <c r="D1182" s="11" t="n"/>
      <c r="E1182" s="12" t="n"/>
      <c r="F1182" s="10">
        <f>IF($E1182="","",IFERROR(IF(VLOOKUP(LEFT(UPPER(TRIM($E1182)),6),BankTbl,2,0)="","(بدون عنوان)",VLOOKUP(LEFT(UPPER(TRIM($E1182)),6),BankTbl,2,0)),"بانک ناشناخته"))</f>
        <v/>
      </c>
      <c r="G1182" s="11" t="n"/>
      <c r="H1182" s="10">
        <f>IF($G1182="","",IFERROR(VLOOKUP($G1182,CustTbl,2,0),IFERROR(VLOOKUP($G1182,SuppTbl,2,0),IFERROR(VLOOKUP($G1182,AcctTbl,2,0),IFERROR(VLOOKUP($G1182,StaffTbl,2,0),"کد ناشناخته")))))</f>
        <v/>
      </c>
      <c r="I1182" s="12" t="n"/>
      <c r="J1182" s="12" t="n"/>
      <c r="K1182" s="13" t="n"/>
      <c r="L1182" s="13" t="n"/>
      <c r="M1182" s="13" t="n"/>
      <c r="N1182" s="14">
        <f>IF(OR($C1182="",$E1182="",Calc!$H1182=""),"",IFERROR(VLOOKUP(LEFT(UPPER(TRIM($E1182)),6),BankTbl,3,0),0)+SUMIFS(CalcDep,CalcBank,LEFT(UPPER(TRIM($E1182)),6),CalcKey,"&lt;="&amp;Calc!$H1182)-SUMIFS(CalcWit,CalcBank,LEFT(UPPER(TRIM($E1182)),6),CalcKey,"&lt;="&amp;Calc!$H1182))</f>
        <v/>
      </c>
      <c r="O1182" s="10">
        <f>IF(OR($C1182="",$M1182=""),"",IF($N1182="","؟",IF(ROUND($M1182-$N1182,0)=0,"√","×")))</f>
        <v/>
      </c>
      <c r="P1182" s="12" t="n"/>
    </row>
    <row r="1183">
      <c r="A1183" s="10">
        <f>IF($C1183="","",COUNTA($C$9:$C1183))</f>
        <v/>
      </c>
      <c r="B1183" s="10">
        <f>IF($C1183="","","TXN-"&amp;RIGHT("0000"&amp;1175,4))</f>
        <v/>
      </c>
      <c r="C1183" s="11" t="n"/>
      <c r="D1183" s="11" t="n"/>
      <c r="E1183" s="12" t="n"/>
      <c r="F1183" s="10">
        <f>IF($E1183="","",IFERROR(IF(VLOOKUP(LEFT(UPPER(TRIM($E1183)),6),BankTbl,2,0)="","(بدون عنوان)",VLOOKUP(LEFT(UPPER(TRIM($E1183)),6),BankTbl,2,0)),"بانک ناشناخته"))</f>
        <v/>
      </c>
      <c r="G1183" s="11" t="n"/>
      <c r="H1183" s="10">
        <f>IF($G1183="","",IFERROR(VLOOKUP($G1183,CustTbl,2,0),IFERROR(VLOOKUP($G1183,SuppTbl,2,0),IFERROR(VLOOKUP($G1183,AcctTbl,2,0),IFERROR(VLOOKUP($G1183,StaffTbl,2,0),"کد ناشناخته")))))</f>
        <v/>
      </c>
      <c r="I1183" s="12" t="n"/>
      <c r="J1183" s="12" t="n"/>
      <c r="K1183" s="13" t="n"/>
      <c r="L1183" s="13" t="n"/>
      <c r="M1183" s="13" t="n"/>
      <c r="N1183" s="14">
        <f>IF(OR($C1183="",$E1183="",Calc!$H1183=""),"",IFERROR(VLOOKUP(LEFT(UPPER(TRIM($E1183)),6),BankTbl,3,0),0)+SUMIFS(CalcDep,CalcBank,LEFT(UPPER(TRIM($E1183)),6),CalcKey,"&lt;="&amp;Calc!$H1183)-SUMIFS(CalcWit,CalcBank,LEFT(UPPER(TRIM($E1183)),6),CalcKey,"&lt;="&amp;Calc!$H1183))</f>
        <v/>
      </c>
      <c r="O1183" s="10">
        <f>IF(OR($C1183="",$M1183=""),"",IF($N1183="","؟",IF(ROUND($M1183-$N1183,0)=0,"√","×")))</f>
        <v/>
      </c>
      <c r="P1183" s="12" t="n"/>
    </row>
    <row r="1184">
      <c r="A1184" s="10">
        <f>IF($C1184="","",COUNTA($C$9:$C1184))</f>
        <v/>
      </c>
      <c r="B1184" s="10">
        <f>IF($C1184="","","TXN-"&amp;RIGHT("0000"&amp;1176,4))</f>
        <v/>
      </c>
      <c r="C1184" s="11" t="n"/>
      <c r="D1184" s="11" t="n"/>
      <c r="E1184" s="12" t="n"/>
      <c r="F1184" s="10">
        <f>IF($E1184="","",IFERROR(IF(VLOOKUP(LEFT(UPPER(TRIM($E1184)),6),BankTbl,2,0)="","(بدون عنوان)",VLOOKUP(LEFT(UPPER(TRIM($E1184)),6),BankTbl,2,0)),"بانک ناشناخته"))</f>
        <v/>
      </c>
      <c r="G1184" s="11" t="n"/>
      <c r="H1184" s="10">
        <f>IF($G1184="","",IFERROR(VLOOKUP($G1184,CustTbl,2,0),IFERROR(VLOOKUP($G1184,SuppTbl,2,0),IFERROR(VLOOKUP($G1184,AcctTbl,2,0),IFERROR(VLOOKUP($G1184,StaffTbl,2,0),"کد ناشناخته")))))</f>
        <v/>
      </c>
      <c r="I1184" s="12" t="n"/>
      <c r="J1184" s="12" t="n"/>
      <c r="K1184" s="13" t="n"/>
      <c r="L1184" s="13" t="n"/>
      <c r="M1184" s="13" t="n"/>
      <c r="N1184" s="14">
        <f>IF(OR($C1184="",$E1184="",Calc!$H1184=""),"",IFERROR(VLOOKUP(LEFT(UPPER(TRIM($E1184)),6),BankTbl,3,0),0)+SUMIFS(CalcDep,CalcBank,LEFT(UPPER(TRIM($E1184)),6),CalcKey,"&lt;="&amp;Calc!$H1184)-SUMIFS(CalcWit,CalcBank,LEFT(UPPER(TRIM($E1184)),6),CalcKey,"&lt;="&amp;Calc!$H1184))</f>
        <v/>
      </c>
      <c r="O1184" s="10">
        <f>IF(OR($C1184="",$M1184=""),"",IF($N1184="","؟",IF(ROUND($M1184-$N1184,0)=0,"√","×")))</f>
        <v/>
      </c>
      <c r="P1184" s="12" t="n"/>
    </row>
    <row r="1185">
      <c r="A1185" s="10">
        <f>IF($C1185="","",COUNTA($C$9:$C1185))</f>
        <v/>
      </c>
      <c r="B1185" s="10">
        <f>IF($C1185="","","TXN-"&amp;RIGHT("0000"&amp;1177,4))</f>
        <v/>
      </c>
      <c r="C1185" s="11" t="n"/>
      <c r="D1185" s="11" t="n"/>
      <c r="E1185" s="12" t="n"/>
      <c r="F1185" s="10">
        <f>IF($E1185="","",IFERROR(IF(VLOOKUP(LEFT(UPPER(TRIM($E1185)),6),BankTbl,2,0)="","(بدون عنوان)",VLOOKUP(LEFT(UPPER(TRIM($E1185)),6),BankTbl,2,0)),"بانک ناشناخته"))</f>
        <v/>
      </c>
      <c r="G1185" s="11" t="n"/>
      <c r="H1185" s="10">
        <f>IF($G1185="","",IFERROR(VLOOKUP($G1185,CustTbl,2,0),IFERROR(VLOOKUP($G1185,SuppTbl,2,0),IFERROR(VLOOKUP($G1185,AcctTbl,2,0),IFERROR(VLOOKUP($G1185,StaffTbl,2,0),"کد ناشناخته")))))</f>
        <v/>
      </c>
      <c r="I1185" s="12" t="n"/>
      <c r="J1185" s="12" t="n"/>
      <c r="K1185" s="13" t="n"/>
      <c r="L1185" s="13" t="n"/>
      <c r="M1185" s="13" t="n"/>
      <c r="N1185" s="14">
        <f>IF(OR($C1185="",$E1185="",Calc!$H1185=""),"",IFERROR(VLOOKUP(LEFT(UPPER(TRIM($E1185)),6),BankTbl,3,0),0)+SUMIFS(CalcDep,CalcBank,LEFT(UPPER(TRIM($E1185)),6),CalcKey,"&lt;="&amp;Calc!$H1185)-SUMIFS(CalcWit,CalcBank,LEFT(UPPER(TRIM($E1185)),6),CalcKey,"&lt;="&amp;Calc!$H1185))</f>
        <v/>
      </c>
      <c r="O1185" s="10">
        <f>IF(OR($C1185="",$M1185=""),"",IF($N1185="","؟",IF(ROUND($M1185-$N1185,0)=0,"√","×")))</f>
        <v/>
      </c>
      <c r="P1185" s="12" t="n"/>
    </row>
    <row r="1186">
      <c r="A1186" s="10">
        <f>IF($C1186="","",COUNTA($C$9:$C1186))</f>
        <v/>
      </c>
      <c r="B1186" s="10">
        <f>IF($C1186="","","TXN-"&amp;RIGHT("0000"&amp;1178,4))</f>
        <v/>
      </c>
      <c r="C1186" s="11" t="n"/>
      <c r="D1186" s="11" t="n"/>
      <c r="E1186" s="12" t="n"/>
      <c r="F1186" s="10">
        <f>IF($E1186="","",IFERROR(IF(VLOOKUP(LEFT(UPPER(TRIM($E1186)),6),BankTbl,2,0)="","(بدون عنوان)",VLOOKUP(LEFT(UPPER(TRIM($E1186)),6),BankTbl,2,0)),"بانک ناشناخته"))</f>
        <v/>
      </c>
      <c r="G1186" s="11" t="n"/>
      <c r="H1186" s="10">
        <f>IF($G1186="","",IFERROR(VLOOKUP($G1186,CustTbl,2,0),IFERROR(VLOOKUP($G1186,SuppTbl,2,0),IFERROR(VLOOKUP($G1186,AcctTbl,2,0),IFERROR(VLOOKUP($G1186,StaffTbl,2,0),"کد ناشناخته")))))</f>
        <v/>
      </c>
      <c r="I1186" s="12" t="n"/>
      <c r="J1186" s="12" t="n"/>
      <c r="K1186" s="13" t="n"/>
      <c r="L1186" s="13" t="n"/>
      <c r="M1186" s="13" t="n"/>
      <c r="N1186" s="14">
        <f>IF(OR($C1186="",$E1186="",Calc!$H1186=""),"",IFERROR(VLOOKUP(LEFT(UPPER(TRIM($E1186)),6),BankTbl,3,0),0)+SUMIFS(CalcDep,CalcBank,LEFT(UPPER(TRIM($E1186)),6),CalcKey,"&lt;="&amp;Calc!$H1186)-SUMIFS(CalcWit,CalcBank,LEFT(UPPER(TRIM($E1186)),6),CalcKey,"&lt;="&amp;Calc!$H1186))</f>
        <v/>
      </c>
      <c r="O1186" s="10">
        <f>IF(OR($C1186="",$M1186=""),"",IF($N1186="","؟",IF(ROUND($M1186-$N1186,0)=0,"√","×")))</f>
        <v/>
      </c>
      <c r="P1186" s="12" t="n"/>
    </row>
    <row r="1187">
      <c r="A1187" s="10">
        <f>IF($C1187="","",COUNTA($C$9:$C1187))</f>
        <v/>
      </c>
      <c r="B1187" s="10">
        <f>IF($C1187="","","TXN-"&amp;RIGHT("0000"&amp;1179,4))</f>
        <v/>
      </c>
      <c r="C1187" s="11" t="n"/>
      <c r="D1187" s="11" t="n"/>
      <c r="E1187" s="12" t="n"/>
      <c r="F1187" s="10">
        <f>IF($E1187="","",IFERROR(IF(VLOOKUP(LEFT(UPPER(TRIM($E1187)),6),BankTbl,2,0)="","(بدون عنوان)",VLOOKUP(LEFT(UPPER(TRIM($E1187)),6),BankTbl,2,0)),"بانک ناشناخته"))</f>
        <v/>
      </c>
      <c r="G1187" s="11" t="n"/>
      <c r="H1187" s="10">
        <f>IF($G1187="","",IFERROR(VLOOKUP($G1187,CustTbl,2,0),IFERROR(VLOOKUP($G1187,SuppTbl,2,0),IFERROR(VLOOKUP($G1187,AcctTbl,2,0),IFERROR(VLOOKUP($G1187,StaffTbl,2,0),"کد ناشناخته")))))</f>
        <v/>
      </c>
      <c r="I1187" s="12" t="n"/>
      <c r="J1187" s="12" t="n"/>
      <c r="K1187" s="13" t="n"/>
      <c r="L1187" s="13" t="n"/>
      <c r="M1187" s="13" t="n"/>
      <c r="N1187" s="14">
        <f>IF(OR($C1187="",$E1187="",Calc!$H1187=""),"",IFERROR(VLOOKUP(LEFT(UPPER(TRIM($E1187)),6),BankTbl,3,0),0)+SUMIFS(CalcDep,CalcBank,LEFT(UPPER(TRIM($E1187)),6),CalcKey,"&lt;="&amp;Calc!$H1187)-SUMIFS(CalcWit,CalcBank,LEFT(UPPER(TRIM($E1187)),6),CalcKey,"&lt;="&amp;Calc!$H1187))</f>
        <v/>
      </c>
      <c r="O1187" s="10">
        <f>IF(OR($C1187="",$M1187=""),"",IF($N1187="","؟",IF(ROUND($M1187-$N1187,0)=0,"√","×")))</f>
        <v/>
      </c>
      <c r="P1187" s="12" t="n"/>
    </row>
    <row r="1188">
      <c r="A1188" s="10">
        <f>IF($C1188="","",COUNTA($C$9:$C1188))</f>
        <v/>
      </c>
      <c r="B1188" s="10">
        <f>IF($C1188="","","TXN-"&amp;RIGHT("0000"&amp;1180,4))</f>
        <v/>
      </c>
      <c r="C1188" s="11" t="n"/>
      <c r="D1188" s="11" t="n"/>
      <c r="E1188" s="12" t="n"/>
      <c r="F1188" s="10">
        <f>IF($E1188="","",IFERROR(IF(VLOOKUP(LEFT(UPPER(TRIM($E1188)),6),BankTbl,2,0)="","(بدون عنوان)",VLOOKUP(LEFT(UPPER(TRIM($E1188)),6),BankTbl,2,0)),"بانک ناشناخته"))</f>
        <v/>
      </c>
      <c r="G1188" s="11" t="n"/>
      <c r="H1188" s="10">
        <f>IF($G1188="","",IFERROR(VLOOKUP($G1188,CustTbl,2,0),IFERROR(VLOOKUP($G1188,SuppTbl,2,0),IFERROR(VLOOKUP($G1188,AcctTbl,2,0),IFERROR(VLOOKUP($G1188,StaffTbl,2,0),"کد ناشناخته")))))</f>
        <v/>
      </c>
      <c r="I1188" s="12" t="n"/>
      <c r="J1188" s="12" t="n"/>
      <c r="K1188" s="13" t="n"/>
      <c r="L1188" s="13" t="n"/>
      <c r="M1188" s="13" t="n"/>
      <c r="N1188" s="14">
        <f>IF(OR($C1188="",$E1188="",Calc!$H1188=""),"",IFERROR(VLOOKUP(LEFT(UPPER(TRIM($E1188)),6),BankTbl,3,0),0)+SUMIFS(CalcDep,CalcBank,LEFT(UPPER(TRIM($E1188)),6),CalcKey,"&lt;="&amp;Calc!$H1188)-SUMIFS(CalcWit,CalcBank,LEFT(UPPER(TRIM($E1188)),6),CalcKey,"&lt;="&amp;Calc!$H1188))</f>
        <v/>
      </c>
      <c r="O1188" s="10">
        <f>IF(OR($C1188="",$M1188=""),"",IF($N1188="","؟",IF(ROUND($M1188-$N1188,0)=0,"√","×")))</f>
        <v/>
      </c>
      <c r="P1188" s="12" t="n"/>
    </row>
    <row r="1189">
      <c r="A1189" s="10">
        <f>IF($C1189="","",COUNTA($C$9:$C1189))</f>
        <v/>
      </c>
      <c r="B1189" s="10">
        <f>IF($C1189="","","TXN-"&amp;RIGHT("0000"&amp;1181,4))</f>
        <v/>
      </c>
      <c r="C1189" s="11" t="n"/>
      <c r="D1189" s="11" t="n"/>
      <c r="E1189" s="12" t="n"/>
      <c r="F1189" s="10">
        <f>IF($E1189="","",IFERROR(IF(VLOOKUP(LEFT(UPPER(TRIM($E1189)),6),BankTbl,2,0)="","(بدون عنوان)",VLOOKUP(LEFT(UPPER(TRIM($E1189)),6),BankTbl,2,0)),"بانک ناشناخته"))</f>
        <v/>
      </c>
      <c r="G1189" s="11" t="n"/>
      <c r="H1189" s="10">
        <f>IF($G1189="","",IFERROR(VLOOKUP($G1189,CustTbl,2,0),IFERROR(VLOOKUP($G1189,SuppTbl,2,0),IFERROR(VLOOKUP($G1189,AcctTbl,2,0),IFERROR(VLOOKUP($G1189,StaffTbl,2,0),"کد ناشناخته")))))</f>
        <v/>
      </c>
      <c r="I1189" s="12" t="n"/>
      <c r="J1189" s="12" t="n"/>
      <c r="K1189" s="13" t="n"/>
      <c r="L1189" s="13" t="n"/>
      <c r="M1189" s="13" t="n"/>
      <c r="N1189" s="14">
        <f>IF(OR($C1189="",$E1189="",Calc!$H1189=""),"",IFERROR(VLOOKUP(LEFT(UPPER(TRIM($E1189)),6),BankTbl,3,0),0)+SUMIFS(CalcDep,CalcBank,LEFT(UPPER(TRIM($E1189)),6),CalcKey,"&lt;="&amp;Calc!$H1189)-SUMIFS(CalcWit,CalcBank,LEFT(UPPER(TRIM($E1189)),6),CalcKey,"&lt;="&amp;Calc!$H1189))</f>
        <v/>
      </c>
      <c r="O1189" s="10">
        <f>IF(OR($C1189="",$M1189=""),"",IF($N1189="","؟",IF(ROUND($M1189-$N1189,0)=0,"√","×")))</f>
        <v/>
      </c>
      <c r="P1189" s="12" t="n"/>
    </row>
    <row r="1190">
      <c r="A1190" s="10">
        <f>IF($C1190="","",COUNTA($C$9:$C1190))</f>
        <v/>
      </c>
      <c r="B1190" s="10">
        <f>IF($C1190="","","TXN-"&amp;RIGHT("0000"&amp;1182,4))</f>
        <v/>
      </c>
      <c r="C1190" s="11" t="n"/>
      <c r="D1190" s="11" t="n"/>
      <c r="E1190" s="12" t="n"/>
      <c r="F1190" s="10">
        <f>IF($E1190="","",IFERROR(IF(VLOOKUP(LEFT(UPPER(TRIM($E1190)),6),BankTbl,2,0)="","(بدون عنوان)",VLOOKUP(LEFT(UPPER(TRIM($E1190)),6),BankTbl,2,0)),"بانک ناشناخته"))</f>
        <v/>
      </c>
      <c r="G1190" s="11" t="n"/>
      <c r="H1190" s="10">
        <f>IF($G1190="","",IFERROR(VLOOKUP($G1190,CustTbl,2,0),IFERROR(VLOOKUP($G1190,SuppTbl,2,0),IFERROR(VLOOKUP($G1190,AcctTbl,2,0),IFERROR(VLOOKUP($G1190,StaffTbl,2,0),"کد ناشناخته")))))</f>
        <v/>
      </c>
      <c r="I1190" s="12" t="n"/>
      <c r="J1190" s="12" t="n"/>
      <c r="K1190" s="13" t="n"/>
      <c r="L1190" s="13" t="n"/>
      <c r="M1190" s="13" t="n"/>
      <c r="N1190" s="14">
        <f>IF(OR($C1190="",$E1190="",Calc!$H1190=""),"",IFERROR(VLOOKUP(LEFT(UPPER(TRIM($E1190)),6),BankTbl,3,0),0)+SUMIFS(CalcDep,CalcBank,LEFT(UPPER(TRIM($E1190)),6),CalcKey,"&lt;="&amp;Calc!$H1190)-SUMIFS(CalcWit,CalcBank,LEFT(UPPER(TRIM($E1190)),6),CalcKey,"&lt;="&amp;Calc!$H1190))</f>
        <v/>
      </c>
      <c r="O1190" s="10">
        <f>IF(OR($C1190="",$M1190=""),"",IF($N1190="","؟",IF(ROUND($M1190-$N1190,0)=0,"√","×")))</f>
        <v/>
      </c>
      <c r="P1190" s="12" t="n"/>
    </row>
    <row r="1191">
      <c r="A1191" s="10">
        <f>IF($C1191="","",COUNTA($C$9:$C1191))</f>
        <v/>
      </c>
      <c r="B1191" s="10">
        <f>IF($C1191="","","TXN-"&amp;RIGHT("0000"&amp;1183,4))</f>
        <v/>
      </c>
      <c r="C1191" s="11" t="n"/>
      <c r="D1191" s="11" t="n"/>
      <c r="E1191" s="12" t="n"/>
      <c r="F1191" s="10">
        <f>IF($E1191="","",IFERROR(IF(VLOOKUP(LEFT(UPPER(TRIM($E1191)),6),BankTbl,2,0)="","(بدون عنوان)",VLOOKUP(LEFT(UPPER(TRIM($E1191)),6),BankTbl,2,0)),"بانک ناشناخته"))</f>
        <v/>
      </c>
      <c r="G1191" s="11" t="n"/>
      <c r="H1191" s="10">
        <f>IF($G1191="","",IFERROR(VLOOKUP($G1191,CustTbl,2,0),IFERROR(VLOOKUP($G1191,SuppTbl,2,0),IFERROR(VLOOKUP($G1191,AcctTbl,2,0),IFERROR(VLOOKUP($G1191,StaffTbl,2,0),"کد ناشناخته")))))</f>
        <v/>
      </c>
      <c r="I1191" s="12" t="n"/>
      <c r="J1191" s="12" t="n"/>
      <c r="K1191" s="13" t="n"/>
      <c r="L1191" s="13" t="n"/>
      <c r="M1191" s="13" t="n"/>
      <c r="N1191" s="14">
        <f>IF(OR($C1191="",$E1191="",Calc!$H1191=""),"",IFERROR(VLOOKUP(LEFT(UPPER(TRIM($E1191)),6),BankTbl,3,0),0)+SUMIFS(CalcDep,CalcBank,LEFT(UPPER(TRIM($E1191)),6),CalcKey,"&lt;="&amp;Calc!$H1191)-SUMIFS(CalcWit,CalcBank,LEFT(UPPER(TRIM($E1191)),6),CalcKey,"&lt;="&amp;Calc!$H1191))</f>
        <v/>
      </c>
      <c r="O1191" s="10">
        <f>IF(OR($C1191="",$M1191=""),"",IF($N1191="","؟",IF(ROUND($M1191-$N1191,0)=0,"√","×")))</f>
        <v/>
      </c>
      <c r="P1191" s="12" t="n"/>
    </row>
    <row r="1192">
      <c r="A1192" s="10">
        <f>IF($C1192="","",COUNTA($C$9:$C1192))</f>
        <v/>
      </c>
      <c r="B1192" s="10">
        <f>IF($C1192="","","TXN-"&amp;RIGHT("0000"&amp;1184,4))</f>
        <v/>
      </c>
      <c r="C1192" s="11" t="n"/>
      <c r="D1192" s="11" t="n"/>
      <c r="E1192" s="12" t="n"/>
      <c r="F1192" s="10">
        <f>IF($E1192="","",IFERROR(IF(VLOOKUP(LEFT(UPPER(TRIM($E1192)),6),BankTbl,2,0)="","(بدون عنوان)",VLOOKUP(LEFT(UPPER(TRIM($E1192)),6),BankTbl,2,0)),"بانک ناشناخته"))</f>
        <v/>
      </c>
      <c r="G1192" s="11" t="n"/>
      <c r="H1192" s="10">
        <f>IF($G1192="","",IFERROR(VLOOKUP($G1192,CustTbl,2,0),IFERROR(VLOOKUP($G1192,SuppTbl,2,0),IFERROR(VLOOKUP($G1192,AcctTbl,2,0),IFERROR(VLOOKUP($G1192,StaffTbl,2,0),"کد ناشناخته")))))</f>
        <v/>
      </c>
      <c r="I1192" s="12" t="n"/>
      <c r="J1192" s="12" t="n"/>
      <c r="K1192" s="13" t="n"/>
      <c r="L1192" s="13" t="n"/>
      <c r="M1192" s="13" t="n"/>
      <c r="N1192" s="14">
        <f>IF(OR($C1192="",$E1192="",Calc!$H1192=""),"",IFERROR(VLOOKUP(LEFT(UPPER(TRIM($E1192)),6),BankTbl,3,0),0)+SUMIFS(CalcDep,CalcBank,LEFT(UPPER(TRIM($E1192)),6),CalcKey,"&lt;="&amp;Calc!$H1192)-SUMIFS(CalcWit,CalcBank,LEFT(UPPER(TRIM($E1192)),6),CalcKey,"&lt;="&amp;Calc!$H1192))</f>
        <v/>
      </c>
      <c r="O1192" s="10">
        <f>IF(OR($C1192="",$M1192=""),"",IF($N1192="","؟",IF(ROUND($M1192-$N1192,0)=0,"√","×")))</f>
        <v/>
      </c>
      <c r="P1192" s="12" t="n"/>
    </row>
    <row r="1193">
      <c r="A1193" s="10">
        <f>IF($C1193="","",COUNTA($C$9:$C1193))</f>
        <v/>
      </c>
      <c r="B1193" s="10">
        <f>IF($C1193="","","TXN-"&amp;RIGHT("0000"&amp;1185,4))</f>
        <v/>
      </c>
      <c r="C1193" s="11" t="n"/>
      <c r="D1193" s="11" t="n"/>
      <c r="E1193" s="12" t="n"/>
      <c r="F1193" s="10">
        <f>IF($E1193="","",IFERROR(IF(VLOOKUP(LEFT(UPPER(TRIM($E1193)),6),BankTbl,2,0)="","(بدون عنوان)",VLOOKUP(LEFT(UPPER(TRIM($E1193)),6),BankTbl,2,0)),"بانک ناشناخته"))</f>
        <v/>
      </c>
      <c r="G1193" s="11" t="n"/>
      <c r="H1193" s="10">
        <f>IF($G1193="","",IFERROR(VLOOKUP($G1193,CustTbl,2,0),IFERROR(VLOOKUP($G1193,SuppTbl,2,0),IFERROR(VLOOKUP($G1193,AcctTbl,2,0),IFERROR(VLOOKUP($G1193,StaffTbl,2,0),"کد ناشناخته")))))</f>
        <v/>
      </c>
      <c r="I1193" s="12" t="n"/>
      <c r="J1193" s="12" t="n"/>
      <c r="K1193" s="13" t="n"/>
      <c r="L1193" s="13" t="n"/>
      <c r="M1193" s="13" t="n"/>
      <c r="N1193" s="14">
        <f>IF(OR($C1193="",$E1193="",Calc!$H1193=""),"",IFERROR(VLOOKUP(LEFT(UPPER(TRIM($E1193)),6),BankTbl,3,0),0)+SUMIFS(CalcDep,CalcBank,LEFT(UPPER(TRIM($E1193)),6),CalcKey,"&lt;="&amp;Calc!$H1193)-SUMIFS(CalcWit,CalcBank,LEFT(UPPER(TRIM($E1193)),6),CalcKey,"&lt;="&amp;Calc!$H1193))</f>
        <v/>
      </c>
      <c r="O1193" s="10">
        <f>IF(OR($C1193="",$M1193=""),"",IF($N1193="","؟",IF(ROUND($M1193-$N1193,0)=0,"√","×")))</f>
        <v/>
      </c>
      <c r="P1193" s="12" t="n"/>
    </row>
    <row r="1194">
      <c r="A1194" s="10">
        <f>IF($C1194="","",COUNTA($C$9:$C1194))</f>
        <v/>
      </c>
      <c r="B1194" s="10">
        <f>IF($C1194="","","TXN-"&amp;RIGHT("0000"&amp;1186,4))</f>
        <v/>
      </c>
      <c r="C1194" s="11" t="n"/>
      <c r="D1194" s="11" t="n"/>
      <c r="E1194" s="12" t="n"/>
      <c r="F1194" s="10">
        <f>IF($E1194="","",IFERROR(IF(VLOOKUP(LEFT(UPPER(TRIM($E1194)),6),BankTbl,2,0)="","(بدون عنوان)",VLOOKUP(LEFT(UPPER(TRIM($E1194)),6),BankTbl,2,0)),"بانک ناشناخته"))</f>
        <v/>
      </c>
      <c r="G1194" s="11" t="n"/>
      <c r="H1194" s="10">
        <f>IF($G1194="","",IFERROR(VLOOKUP($G1194,CustTbl,2,0),IFERROR(VLOOKUP($G1194,SuppTbl,2,0),IFERROR(VLOOKUP($G1194,AcctTbl,2,0),IFERROR(VLOOKUP($G1194,StaffTbl,2,0),"کد ناشناخته")))))</f>
        <v/>
      </c>
      <c r="I1194" s="12" t="n"/>
      <c r="J1194" s="12" t="n"/>
      <c r="K1194" s="13" t="n"/>
      <c r="L1194" s="13" t="n"/>
      <c r="M1194" s="13" t="n"/>
      <c r="N1194" s="14">
        <f>IF(OR($C1194="",$E1194="",Calc!$H1194=""),"",IFERROR(VLOOKUP(LEFT(UPPER(TRIM($E1194)),6),BankTbl,3,0),0)+SUMIFS(CalcDep,CalcBank,LEFT(UPPER(TRIM($E1194)),6),CalcKey,"&lt;="&amp;Calc!$H1194)-SUMIFS(CalcWit,CalcBank,LEFT(UPPER(TRIM($E1194)),6),CalcKey,"&lt;="&amp;Calc!$H1194))</f>
        <v/>
      </c>
      <c r="O1194" s="10">
        <f>IF(OR($C1194="",$M1194=""),"",IF($N1194="","؟",IF(ROUND($M1194-$N1194,0)=0,"√","×")))</f>
        <v/>
      </c>
      <c r="P1194" s="12" t="n"/>
    </row>
    <row r="1195">
      <c r="A1195" s="10">
        <f>IF($C1195="","",COUNTA($C$9:$C1195))</f>
        <v/>
      </c>
      <c r="B1195" s="10">
        <f>IF($C1195="","","TXN-"&amp;RIGHT("0000"&amp;1187,4))</f>
        <v/>
      </c>
      <c r="C1195" s="11" t="n"/>
      <c r="D1195" s="11" t="n"/>
      <c r="E1195" s="12" t="n"/>
      <c r="F1195" s="10">
        <f>IF($E1195="","",IFERROR(IF(VLOOKUP(LEFT(UPPER(TRIM($E1195)),6),BankTbl,2,0)="","(بدون عنوان)",VLOOKUP(LEFT(UPPER(TRIM($E1195)),6),BankTbl,2,0)),"بانک ناشناخته"))</f>
        <v/>
      </c>
      <c r="G1195" s="11" t="n"/>
      <c r="H1195" s="10">
        <f>IF($G1195="","",IFERROR(VLOOKUP($G1195,CustTbl,2,0),IFERROR(VLOOKUP($G1195,SuppTbl,2,0),IFERROR(VLOOKUP($G1195,AcctTbl,2,0),IFERROR(VLOOKUP($G1195,StaffTbl,2,0),"کد ناشناخته")))))</f>
        <v/>
      </c>
      <c r="I1195" s="12" t="n"/>
      <c r="J1195" s="12" t="n"/>
      <c r="K1195" s="13" t="n"/>
      <c r="L1195" s="13" t="n"/>
      <c r="M1195" s="13" t="n"/>
      <c r="N1195" s="14">
        <f>IF(OR($C1195="",$E1195="",Calc!$H1195=""),"",IFERROR(VLOOKUP(LEFT(UPPER(TRIM($E1195)),6),BankTbl,3,0),0)+SUMIFS(CalcDep,CalcBank,LEFT(UPPER(TRIM($E1195)),6),CalcKey,"&lt;="&amp;Calc!$H1195)-SUMIFS(CalcWit,CalcBank,LEFT(UPPER(TRIM($E1195)),6),CalcKey,"&lt;="&amp;Calc!$H1195))</f>
        <v/>
      </c>
      <c r="O1195" s="10">
        <f>IF(OR($C1195="",$M1195=""),"",IF($N1195="","؟",IF(ROUND($M1195-$N1195,0)=0,"√","×")))</f>
        <v/>
      </c>
      <c r="P1195" s="12" t="n"/>
    </row>
    <row r="1196">
      <c r="A1196" s="10">
        <f>IF($C1196="","",COUNTA($C$9:$C1196))</f>
        <v/>
      </c>
      <c r="B1196" s="10">
        <f>IF($C1196="","","TXN-"&amp;RIGHT("0000"&amp;1188,4))</f>
        <v/>
      </c>
      <c r="C1196" s="11" t="n"/>
      <c r="D1196" s="11" t="n"/>
      <c r="E1196" s="12" t="n"/>
      <c r="F1196" s="10">
        <f>IF($E1196="","",IFERROR(IF(VLOOKUP(LEFT(UPPER(TRIM($E1196)),6),BankTbl,2,0)="","(بدون عنوان)",VLOOKUP(LEFT(UPPER(TRIM($E1196)),6),BankTbl,2,0)),"بانک ناشناخته"))</f>
        <v/>
      </c>
      <c r="G1196" s="11" t="n"/>
      <c r="H1196" s="10">
        <f>IF($G1196="","",IFERROR(VLOOKUP($G1196,CustTbl,2,0),IFERROR(VLOOKUP($G1196,SuppTbl,2,0),IFERROR(VLOOKUP($G1196,AcctTbl,2,0),IFERROR(VLOOKUP($G1196,StaffTbl,2,0),"کد ناشناخته")))))</f>
        <v/>
      </c>
      <c r="I1196" s="12" t="n"/>
      <c r="J1196" s="12" t="n"/>
      <c r="K1196" s="13" t="n"/>
      <c r="L1196" s="13" t="n"/>
      <c r="M1196" s="13" t="n"/>
      <c r="N1196" s="14">
        <f>IF(OR($C1196="",$E1196="",Calc!$H1196=""),"",IFERROR(VLOOKUP(LEFT(UPPER(TRIM($E1196)),6),BankTbl,3,0),0)+SUMIFS(CalcDep,CalcBank,LEFT(UPPER(TRIM($E1196)),6),CalcKey,"&lt;="&amp;Calc!$H1196)-SUMIFS(CalcWit,CalcBank,LEFT(UPPER(TRIM($E1196)),6),CalcKey,"&lt;="&amp;Calc!$H1196))</f>
        <v/>
      </c>
      <c r="O1196" s="10">
        <f>IF(OR($C1196="",$M1196=""),"",IF($N1196="","؟",IF(ROUND($M1196-$N1196,0)=0,"√","×")))</f>
        <v/>
      </c>
      <c r="P1196" s="12" t="n"/>
    </row>
    <row r="1197">
      <c r="A1197" s="10">
        <f>IF($C1197="","",COUNTA($C$9:$C1197))</f>
        <v/>
      </c>
      <c r="B1197" s="10">
        <f>IF($C1197="","","TXN-"&amp;RIGHT("0000"&amp;1189,4))</f>
        <v/>
      </c>
      <c r="C1197" s="11" t="n"/>
      <c r="D1197" s="11" t="n"/>
      <c r="E1197" s="12" t="n"/>
      <c r="F1197" s="10">
        <f>IF($E1197="","",IFERROR(IF(VLOOKUP(LEFT(UPPER(TRIM($E1197)),6),BankTbl,2,0)="","(بدون عنوان)",VLOOKUP(LEFT(UPPER(TRIM($E1197)),6),BankTbl,2,0)),"بانک ناشناخته"))</f>
        <v/>
      </c>
      <c r="G1197" s="11" t="n"/>
      <c r="H1197" s="10">
        <f>IF($G1197="","",IFERROR(VLOOKUP($G1197,CustTbl,2,0),IFERROR(VLOOKUP($G1197,SuppTbl,2,0),IFERROR(VLOOKUP($G1197,AcctTbl,2,0),IFERROR(VLOOKUP($G1197,StaffTbl,2,0),"کد ناشناخته")))))</f>
        <v/>
      </c>
      <c r="I1197" s="12" t="n"/>
      <c r="J1197" s="12" t="n"/>
      <c r="K1197" s="13" t="n"/>
      <c r="L1197" s="13" t="n"/>
      <c r="M1197" s="13" t="n"/>
      <c r="N1197" s="14">
        <f>IF(OR($C1197="",$E1197="",Calc!$H1197=""),"",IFERROR(VLOOKUP(LEFT(UPPER(TRIM($E1197)),6),BankTbl,3,0),0)+SUMIFS(CalcDep,CalcBank,LEFT(UPPER(TRIM($E1197)),6),CalcKey,"&lt;="&amp;Calc!$H1197)-SUMIFS(CalcWit,CalcBank,LEFT(UPPER(TRIM($E1197)),6),CalcKey,"&lt;="&amp;Calc!$H1197))</f>
        <v/>
      </c>
      <c r="O1197" s="10">
        <f>IF(OR($C1197="",$M1197=""),"",IF($N1197="","؟",IF(ROUND($M1197-$N1197,0)=0,"√","×")))</f>
        <v/>
      </c>
      <c r="P1197" s="12" t="n"/>
    </row>
    <row r="1198">
      <c r="A1198" s="10">
        <f>IF($C1198="","",COUNTA($C$9:$C1198))</f>
        <v/>
      </c>
      <c r="B1198" s="10">
        <f>IF($C1198="","","TXN-"&amp;RIGHT("0000"&amp;1190,4))</f>
        <v/>
      </c>
      <c r="C1198" s="11" t="n"/>
      <c r="D1198" s="11" t="n"/>
      <c r="E1198" s="12" t="n"/>
      <c r="F1198" s="10">
        <f>IF($E1198="","",IFERROR(IF(VLOOKUP(LEFT(UPPER(TRIM($E1198)),6),BankTbl,2,0)="","(بدون عنوان)",VLOOKUP(LEFT(UPPER(TRIM($E1198)),6),BankTbl,2,0)),"بانک ناشناخته"))</f>
        <v/>
      </c>
      <c r="G1198" s="11" t="n"/>
      <c r="H1198" s="10">
        <f>IF($G1198="","",IFERROR(VLOOKUP($G1198,CustTbl,2,0),IFERROR(VLOOKUP($G1198,SuppTbl,2,0),IFERROR(VLOOKUP($G1198,AcctTbl,2,0),IFERROR(VLOOKUP($G1198,StaffTbl,2,0),"کد ناشناخته")))))</f>
        <v/>
      </c>
      <c r="I1198" s="12" t="n"/>
      <c r="J1198" s="12" t="n"/>
      <c r="K1198" s="13" t="n"/>
      <c r="L1198" s="13" t="n"/>
      <c r="M1198" s="13" t="n"/>
      <c r="N1198" s="14">
        <f>IF(OR($C1198="",$E1198="",Calc!$H1198=""),"",IFERROR(VLOOKUP(LEFT(UPPER(TRIM($E1198)),6),BankTbl,3,0),0)+SUMIFS(CalcDep,CalcBank,LEFT(UPPER(TRIM($E1198)),6),CalcKey,"&lt;="&amp;Calc!$H1198)-SUMIFS(CalcWit,CalcBank,LEFT(UPPER(TRIM($E1198)),6),CalcKey,"&lt;="&amp;Calc!$H1198))</f>
        <v/>
      </c>
      <c r="O1198" s="10">
        <f>IF(OR($C1198="",$M1198=""),"",IF($N1198="","؟",IF(ROUND($M1198-$N1198,0)=0,"√","×")))</f>
        <v/>
      </c>
      <c r="P1198" s="12" t="n"/>
    </row>
    <row r="1199">
      <c r="A1199" s="10">
        <f>IF($C1199="","",COUNTA($C$9:$C1199))</f>
        <v/>
      </c>
      <c r="B1199" s="10">
        <f>IF($C1199="","","TXN-"&amp;RIGHT("0000"&amp;1191,4))</f>
        <v/>
      </c>
      <c r="C1199" s="11" t="n"/>
      <c r="D1199" s="11" t="n"/>
      <c r="E1199" s="12" t="n"/>
      <c r="F1199" s="10">
        <f>IF($E1199="","",IFERROR(IF(VLOOKUP(LEFT(UPPER(TRIM($E1199)),6),BankTbl,2,0)="","(بدون عنوان)",VLOOKUP(LEFT(UPPER(TRIM($E1199)),6),BankTbl,2,0)),"بانک ناشناخته"))</f>
        <v/>
      </c>
      <c r="G1199" s="11" t="n"/>
      <c r="H1199" s="10">
        <f>IF($G1199="","",IFERROR(VLOOKUP($G1199,CustTbl,2,0),IFERROR(VLOOKUP($G1199,SuppTbl,2,0),IFERROR(VLOOKUP($G1199,AcctTbl,2,0),IFERROR(VLOOKUP($G1199,StaffTbl,2,0),"کد ناشناخته")))))</f>
        <v/>
      </c>
      <c r="I1199" s="12" t="n"/>
      <c r="J1199" s="12" t="n"/>
      <c r="K1199" s="13" t="n"/>
      <c r="L1199" s="13" t="n"/>
      <c r="M1199" s="13" t="n"/>
      <c r="N1199" s="14">
        <f>IF(OR($C1199="",$E1199="",Calc!$H1199=""),"",IFERROR(VLOOKUP(LEFT(UPPER(TRIM($E1199)),6),BankTbl,3,0),0)+SUMIFS(CalcDep,CalcBank,LEFT(UPPER(TRIM($E1199)),6),CalcKey,"&lt;="&amp;Calc!$H1199)-SUMIFS(CalcWit,CalcBank,LEFT(UPPER(TRIM($E1199)),6),CalcKey,"&lt;="&amp;Calc!$H1199))</f>
        <v/>
      </c>
      <c r="O1199" s="10">
        <f>IF(OR($C1199="",$M1199=""),"",IF($N1199="","؟",IF(ROUND($M1199-$N1199,0)=0,"√","×")))</f>
        <v/>
      </c>
      <c r="P1199" s="12" t="n"/>
    </row>
    <row r="1200">
      <c r="A1200" s="10">
        <f>IF($C1200="","",COUNTA($C$9:$C1200))</f>
        <v/>
      </c>
      <c r="B1200" s="10">
        <f>IF($C1200="","","TXN-"&amp;RIGHT("0000"&amp;1192,4))</f>
        <v/>
      </c>
      <c r="C1200" s="11" t="n"/>
      <c r="D1200" s="11" t="n"/>
      <c r="E1200" s="12" t="n"/>
      <c r="F1200" s="10">
        <f>IF($E1200="","",IFERROR(IF(VLOOKUP(LEFT(UPPER(TRIM($E1200)),6),BankTbl,2,0)="","(بدون عنوان)",VLOOKUP(LEFT(UPPER(TRIM($E1200)),6),BankTbl,2,0)),"بانک ناشناخته"))</f>
        <v/>
      </c>
      <c r="G1200" s="11" t="n"/>
      <c r="H1200" s="10">
        <f>IF($G1200="","",IFERROR(VLOOKUP($G1200,CustTbl,2,0),IFERROR(VLOOKUP($G1200,SuppTbl,2,0),IFERROR(VLOOKUP($G1200,AcctTbl,2,0),IFERROR(VLOOKUP($G1200,StaffTbl,2,0),"کد ناشناخته")))))</f>
        <v/>
      </c>
      <c r="I1200" s="12" t="n"/>
      <c r="J1200" s="12" t="n"/>
      <c r="K1200" s="13" t="n"/>
      <c r="L1200" s="13" t="n"/>
      <c r="M1200" s="13" t="n"/>
      <c r="N1200" s="14">
        <f>IF(OR($C1200="",$E1200="",Calc!$H1200=""),"",IFERROR(VLOOKUP(LEFT(UPPER(TRIM($E1200)),6),BankTbl,3,0),0)+SUMIFS(CalcDep,CalcBank,LEFT(UPPER(TRIM($E1200)),6),CalcKey,"&lt;="&amp;Calc!$H1200)-SUMIFS(CalcWit,CalcBank,LEFT(UPPER(TRIM($E1200)),6),CalcKey,"&lt;="&amp;Calc!$H1200))</f>
        <v/>
      </c>
      <c r="O1200" s="10">
        <f>IF(OR($C1200="",$M1200=""),"",IF($N1200="","؟",IF(ROUND($M1200-$N1200,0)=0,"√","×")))</f>
        <v/>
      </c>
      <c r="P1200" s="12" t="n"/>
    </row>
    <row r="1201">
      <c r="A1201" s="10">
        <f>IF($C1201="","",COUNTA($C$9:$C1201))</f>
        <v/>
      </c>
      <c r="B1201" s="10">
        <f>IF($C1201="","","TXN-"&amp;RIGHT("0000"&amp;1193,4))</f>
        <v/>
      </c>
      <c r="C1201" s="11" t="n"/>
      <c r="D1201" s="11" t="n"/>
      <c r="E1201" s="12" t="n"/>
      <c r="F1201" s="10">
        <f>IF($E1201="","",IFERROR(IF(VLOOKUP(LEFT(UPPER(TRIM($E1201)),6),BankTbl,2,0)="","(بدون عنوان)",VLOOKUP(LEFT(UPPER(TRIM($E1201)),6),BankTbl,2,0)),"بانک ناشناخته"))</f>
        <v/>
      </c>
      <c r="G1201" s="11" t="n"/>
      <c r="H1201" s="10">
        <f>IF($G1201="","",IFERROR(VLOOKUP($G1201,CustTbl,2,0),IFERROR(VLOOKUP($G1201,SuppTbl,2,0),IFERROR(VLOOKUP($G1201,AcctTbl,2,0),IFERROR(VLOOKUP($G1201,StaffTbl,2,0),"کد ناشناخته")))))</f>
        <v/>
      </c>
      <c r="I1201" s="12" t="n"/>
      <c r="J1201" s="12" t="n"/>
      <c r="K1201" s="13" t="n"/>
      <c r="L1201" s="13" t="n"/>
      <c r="M1201" s="13" t="n"/>
      <c r="N1201" s="14">
        <f>IF(OR($C1201="",$E1201="",Calc!$H1201=""),"",IFERROR(VLOOKUP(LEFT(UPPER(TRIM($E1201)),6),BankTbl,3,0),0)+SUMIFS(CalcDep,CalcBank,LEFT(UPPER(TRIM($E1201)),6),CalcKey,"&lt;="&amp;Calc!$H1201)-SUMIFS(CalcWit,CalcBank,LEFT(UPPER(TRIM($E1201)),6),CalcKey,"&lt;="&amp;Calc!$H1201))</f>
        <v/>
      </c>
      <c r="O1201" s="10">
        <f>IF(OR($C1201="",$M1201=""),"",IF($N1201="","؟",IF(ROUND($M1201-$N1201,0)=0,"√","×")))</f>
        <v/>
      </c>
      <c r="P1201" s="12" t="n"/>
    </row>
    <row r="1202">
      <c r="A1202" s="10">
        <f>IF($C1202="","",COUNTA($C$9:$C1202))</f>
        <v/>
      </c>
      <c r="B1202" s="10">
        <f>IF($C1202="","","TXN-"&amp;RIGHT("0000"&amp;1194,4))</f>
        <v/>
      </c>
      <c r="C1202" s="11" t="n"/>
      <c r="D1202" s="11" t="n"/>
      <c r="E1202" s="12" t="n"/>
      <c r="F1202" s="10">
        <f>IF($E1202="","",IFERROR(IF(VLOOKUP(LEFT(UPPER(TRIM($E1202)),6),BankTbl,2,0)="","(بدون عنوان)",VLOOKUP(LEFT(UPPER(TRIM($E1202)),6),BankTbl,2,0)),"بانک ناشناخته"))</f>
        <v/>
      </c>
      <c r="G1202" s="11" t="n"/>
      <c r="H1202" s="10">
        <f>IF($G1202="","",IFERROR(VLOOKUP($G1202,CustTbl,2,0),IFERROR(VLOOKUP($G1202,SuppTbl,2,0),IFERROR(VLOOKUP($G1202,AcctTbl,2,0),IFERROR(VLOOKUP($G1202,StaffTbl,2,0),"کد ناشناخته")))))</f>
        <v/>
      </c>
      <c r="I1202" s="12" t="n"/>
      <c r="J1202" s="12" t="n"/>
      <c r="K1202" s="13" t="n"/>
      <c r="L1202" s="13" t="n"/>
      <c r="M1202" s="13" t="n"/>
      <c r="N1202" s="14">
        <f>IF(OR($C1202="",$E1202="",Calc!$H1202=""),"",IFERROR(VLOOKUP(LEFT(UPPER(TRIM($E1202)),6),BankTbl,3,0),0)+SUMIFS(CalcDep,CalcBank,LEFT(UPPER(TRIM($E1202)),6),CalcKey,"&lt;="&amp;Calc!$H1202)-SUMIFS(CalcWit,CalcBank,LEFT(UPPER(TRIM($E1202)),6),CalcKey,"&lt;="&amp;Calc!$H1202))</f>
        <v/>
      </c>
      <c r="O1202" s="10">
        <f>IF(OR($C1202="",$M1202=""),"",IF($N1202="","؟",IF(ROUND($M1202-$N1202,0)=0,"√","×")))</f>
        <v/>
      </c>
      <c r="P1202" s="12" t="n"/>
    </row>
    <row r="1203">
      <c r="A1203" s="10">
        <f>IF($C1203="","",COUNTA($C$9:$C1203))</f>
        <v/>
      </c>
      <c r="B1203" s="10">
        <f>IF($C1203="","","TXN-"&amp;RIGHT("0000"&amp;1195,4))</f>
        <v/>
      </c>
      <c r="C1203" s="11" t="n"/>
      <c r="D1203" s="11" t="n"/>
      <c r="E1203" s="12" t="n"/>
      <c r="F1203" s="10">
        <f>IF($E1203="","",IFERROR(IF(VLOOKUP(LEFT(UPPER(TRIM($E1203)),6),BankTbl,2,0)="","(بدون عنوان)",VLOOKUP(LEFT(UPPER(TRIM($E1203)),6),BankTbl,2,0)),"بانک ناشناخته"))</f>
        <v/>
      </c>
      <c r="G1203" s="11" t="n"/>
      <c r="H1203" s="10">
        <f>IF($G1203="","",IFERROR(VLOOKUP($G1203,CustTbl,2,0),IFERROR(VLOOKUP($G1203,SuppTbl,2,0),IFERROR(VLOOKUP($G1203,AcctTbl,2,0),IFERROR(VLOOKUP($G1203,StaffTbl,2,0),"کد ناشناخته")))))</f>
        <v/>
      </c>
      <c r="I1203" s="12" t="n"/>
      <c r="J1203" s="12" t="n"/>
      <c r="K1203" s="13" t="n"/>
      <c r="L1203" s="13" t="n"/>
      <c r="M1203" s="13" t="n"/>
      <c r="N1203" s="14">
        <f>IF(OR($C1203="",$E1203="",Calc!$H1203=""),"",IFERROR(VLOOKUP(LEFT(UPPER(TRIM($E1203)),6),BankTbl,3,0),0)+SUMIFS(CalcDep,CalcBank,LEFT(UPPER(TRIM($E1203)),6),CalcKey,"&lt;="&amp;Calc!$H1203)-SUMIFS(CalcWit,CalcBank,LEFT(UPPER(TRIM($E1203)),6),CalcKey,"&lt;="&amp;Calc!$H1203))</f>
        <v/>
      </c>
      <c r="O1203" s="10">
        <f>IF(OR($C1203="",$M1203=""),"",IF($N1203="","؟",IF(ROUND($M1203-$N1203,0)=0,"√","×")))</f>
        <v/>
      </c>
      <c r="P1203" s="12" t="n"/>
    </row>
    <row r="1204">
      <c r="A1204" s="10">
        <f>IF($C1204="","",COUNTA($C$9:$C1204))</f>
        <v/>
      </c>
      <c r="B1204" s="10">
        <f>IF($C1204="","","TXN-"&amp;RIGHT("0000"&amp;1196,4))</f>
        <v/>
      </c>
      <c r="C1204" s="11" t="n"/>
      <c r="D1204" s="11" t="n"/>
      <c r="E1204" s="12" t="n"/>
      <c r="F1204" s="10">
        <f>IF($E1204="","",IFERROR(IF(VLOOKUP(LEFT(UPPER(TRIM($E1204)),6),BankTbl,2,0)="","(بدون عنوان)",VLOOKUP(LEFT(UPPER(TRIM($E1204)),6),BankTbl,2,0)),"بانک ناشناخته"))</f>
        <v/>
      </c>
      <c r="G1204" s="11" t="n"/>
      <c r="H1204" s="10">
        <f>IF($G1204="","",IFERROR(VLOOKUP($G1204,CustTbl,2,0),IFERROR(VLOOKUP($G1204,SuppTbl,2,0),IFERROR(VLOOKUP($G1204,AcctTbl,2,0),IFERROR(VLOOKUP($G1204,StaffTbl,2,0),"کد ناشناخته")))))</f>
        <v/>
      </c>
      <c r="I1204" s="12" t="n"/>
      <c r="J1204" s="12" t="n"/>
      <c r="K1204" s="13" t="n"/>
      <c r="L1204" s="13" t="n"/>
      <c r="M1204" s="13" t="n"/>
      <c r="N1204" s="14">
        <f>IF(OR($C1204="",$E1204="",Calc!$H1204=""),"",IFERROR(VLOOKUP(LEFT(UPPER(TRIM($E1204)),6),BankTbl,3,0),0)+SUMIFS(CalcDep,CalcBank,LEFT(UPPER(TRIM($E1204)),6),CalcKey,"&lt;="&amp;Calc!$H1204)-SUMIFS(CalcWit,CalcBank,LEFT(UPPER(TRIM($E1204)),6),CalcKey,"&lt;="&amp;Calc!$H1204))</f>
        <v/>
      </c>
      <c r="O1204" s="10">
        <f>IF(OR($C1204="",$M1204=""),"",IF($N1204="","؟",IF(ROUND($M1204-$N1204,0)=0,"√","×")))</f>
        <v/>
      </c>
      <c r="P1204" s="12" t="n"/>
    </row>
    <row r="1205">
      <c r="A1205" s="10">
        <f>IF($C1205="","",COUNTA($C$9:$C1205))</f>
        <v/>
      </c>
      <c r="B1205" s="10">
        <f>IF($C1205="","","TXN-"&amp;RIGHT("0000"&amp;1197,4))</f>
        <v/>
      </c>
      <c r="C1205" s="11" t="n"/>
      <c r="D1205" s="11" t="n"/>
      <c r="E1205" s="12" t="n"/>
      <c r="F1205" s="10">
        <f>IF($E1205="","",IFERROR(IF(VLOOKUP(LEFT(UPPER(TRIM($E1205)),6),BankTbl,2,0)="","(بدون عنوان)",VLOOKUP(LEFT(UPPER(TRIM($E1205)),6),BankTbl,2,0)),"بانک ناشناخته"))</f>
        <v/>
      </c>
      <c r="G1205" s="11" t="n"/>
      <c r="H1205" s="10">
        <f>IF($G1205="","",IFERROR(VLOOKUP($G1205,CustTbl,2,0),IFERROR(VLOOKUP($G1205,SuppTbl,2,0),IFERROR(VLOOKUP($G1205,AcctTbl,2,0),IFERROR(VLOOKUP($G1205,StaffTbl,2,0),"کد ناشناخته")))))</f>
        <v/>
      </c>
      <c r="I1205" s="12" t="n"/>
      <c r="J1205" s="12" t="n"/>
      <c r="K1205" s="13" t="n"/>
      <c r="L1205" s="13" t="n"/>
      <c r="M1205" s="13" t="n"/>
      <c r="N1205" s="14">
        <f>IF(OR($C1205="",$E1205="",Calc!$H1205=""),"",IFERROR(VLOOKUP(LEFT(UPPER(TRIM($E1205)),6),BankTbl,3,0),0)+SUMIFS(CalcDep,CalcBank,LEFT(UPPER(TRIM($E1205)),6),CalcKey,"&lt;="&amp;Calc!$H1205)-SUMIFS(CalcWit,CalcBank,LEFT(UPPER(TRIM($E1205)),6),CalcKey,"&lt;="&amp;Calc!$H1205))</f>
        <v/>
      </c>
      <c r="O1205" s="10">
        <f>IF(OR($C1205="",$M1205=""),"",IF($N1205="","؟",IF(ROUND($M1205-$N1205,0)=0,"√","×")))</f>
        <v/>
      </c>
      <c r="P1205" s="12" t="n"/>
    </row>
    <row r="1206">
      <c r="A1206" s="10">
        <f>IF($C1206="","",COUNTA($C$9:$C1206))</f>
        <v/>
      </c>
      <c r="B1206" s="10">
        <f>IF($C1206="","","TXN-"&amp;RIGHT("0000"&amp;1198,4))</f>
        <v/>
      </c>
      <c r="C1206" s="11" t="n"/>
      <c r="D1206" s="11" t="n"/>
      <c r="E1206" s="12" t="n"/>
      <c r="F1206" s="10">
        <f>IF($E1206="","",IFERROR(IF(VLOOKUP(LEFT(UPPER(TRIM($E1206)),6),BankTbl,2,0)="","(بدون عنوان)",VLOOKUP(LEFT(UPPER(TRIM($E1206)),6),BankTbl,2,0)),"بانک ناشناخته"))</f>
        <v/>
      </c>
      <c r="G1206" s="11" t="n"/>
      <c r="H1206" s="10">
        <f>IF($G1206="","",IFERROR(VLOOKUP($G1206,CustTbl,2,0),IFERROR(VLOOKUP($G1206,SuppTbl,2,0),IFERROR(VLOOKUP($G1206,AcctTbl,2,0),IFERROR(VLOOKUP($G1206,StaffTbl,2,0),"کد ناشناخته")))))</f>
        <v/>
      </c>
      <c r="I1206" s="12" t="n"/>
      <c r="J1206" s="12" t="n"/>
      <c r="K1206" s="13" t="n"/>
      <c r="L1206" s="13" t="n"/>
      <c r="M1206" s="13" t="n"/>
      <c r="N1206" s="14">
        <f>IF(OR($C1206="",$E1206="",Calc!$H1206=""),"",IFERROR(VLOOKUP(LEFT(UPPER(TRIM($E1206)),6),BankTbl,3,0),0)+SUMIFS(CalcDep,CalcBank,LEFT(UPPER(TRIM($E1206)),6),CalcKey,"&lt;="&amp;Calc!$H1206)-SUMIFS(CalcWit,CalcBank,LEFT(UPPER(TRIM($E1206)),6),CalcKey,"&lt;="&amp;Calc!$H1206))</f>
        <v/>
      </c>
      <c r="O1206" s="10">
        <f>IF(OR($C1206="",$M1206=""),"",IF($N1206="","؟",IF(ROUND($M1206-$N1206,0)=0,"√","×")))</f>
        <v/>
      </c>
      <c r="P1206" s="12" t="n"/>
    </row>
    <row r="1207">
      <c r="A1207" s="10">
        <f>IF($C1207="","",COUNTA($C$9:$C1207))</f>
        <v/>
      </c>
      <c r="B1207" s="10">
        <f>IF($C1207="","","TXN-"&amp;RIGHT("0000"&amp;1199,4))</f>
        <v/>
      </c>
      <c r="C1207" s="11" t="n"/>
      <c r="D1207" s="11" t="n"/>
      <c r="E1207" s="12" t="n"/>
      <c r="F1207" s="10">
        <f>IF($E1207="","",IFERROR(IF(VLOOKUP(LEFT(UPPER(TRIM($E1207)),6),BankTbl,2,0)="","(بدون عنوان)",VLOOKUP(LEFT(UPPER(TRIM($E1207)),6),BankTbl,2,0)),"بانک ناشناخته"))</f>
        <v/>
      </c>
      <c r="G1207" s="11" t="n"/>
      <c r="H1207" s="10">
        <f>IF($G1207="","",IFERROR(VLOOKUP($G1207,CustTbl,2,0),IFERROR(VLOOKUP($G1207,SuppTbl,2,0),IFERROR(VLOOKUP($G1207,AcctTbl,2,0),IFERROR(VLOOKUP($G1207,StaffTbl,2,0),"کد ناشناخته")))))</f>
        <v/>
      </c>
      <c r="I1207" s="12" t="n"/>
      <c r="J1207" s="12" t="n"/>
      <c r="K1207" s="13" t="n"/>
      <c r="L1207" s="13" t="n"/>
      <c r="M1207" s="13" t="n"/>
      <c r="N1207" s="14">
        <f>IF(OR($C1207="",$E1207="",Calc!$H1207=""),"",IFERROR(VLOOKUP(LEFT(UPPER(TRIM($E1207)),6),BankTbl,3,0),0)+SUMIFS(CalcDep,CalcBank,LEFT(UPPER(TRIM($E1207)),6),CalcKey,"&lt;="&amp;Calc!$H1207)-SUMIFS(CalcWit,CalcBank,LEFT(UPPER(TRIM($E1207)),6),CalcKey,"&lt;="&amp;Calc!$H1207))</f>
        <v/>
      </c>
      <c r="O1207" s="10">
        <f>IF(OR($C1207="",$M1207=""),"",IF($N1207="","؟",IF(ROUND($M1207-$N1207,0)=0,"√","×")))</f>
        <v/>
      </c>
      <c r="P1207" s="12" t="n"/>
    </row>
    <row r="1208">
      <c r="A1208" s="10">
        <f>IF($C1208="","",COUNTA($C$9:$C1208))</f>
        <v/>
      </c>
      <c r="B1208" s="10">
        <f>IF($C1208="","","TXN-"&amp;RIGHT("0000"&amp;1200,4))</f>
        <v/>
      </c>
      <c r="C1208" s="11" t="n"/>
      <c r="D1208" s="11" t="n"/>
      <c r="E1208" s="12" t="n"/>
      <c r="F1208" s="10">
        <f>IF($E1208="","",IFERROR(IF(VLOOKUP(LEFT(UPPER(TRIM($E1208)),6),BankTbl,2,0)="","(بدون عنوان)",VLOOKUP(LEFT(UPPER(TRIM($E1208)),6),BankTbl,2,0)),"بانک ناشناخته"))</f>
        <v/>
      </c>
      <c r="G1208" s="11" t="n"/>
      <c r="H1208" s="10">
        <f>IF($G1208="","",IFERROR(VLOOKUP($G1208,CustTbl,2,0),IFERROR(VLOOKUP($G1208,SuppTbl,2,0),IFERROR(VLOOKUP($G1208,AcctTbl,2,0),IFERROR(VLOOKUP($G1208,StaffTbl,2,0),"کد ناشناخته")))))</f>
        <v/>
      </c>
      <c r="I1208" s="12" t="n"/>
      <c r="J1208" s="12" t="n"/>
      <c r="K1208" s="13" t="n"/>
      <c r="L1208" s="13" t="n"/>
      <c r="M1208" s="13" t="n"/>
      <c r="N1208" s="14">
        <f>IF(OR($C1208="",$E1208="",Calc!$H1208=""),"",IFERROR(VLOOKUP(LEFT(UPPER(TRIM($E1208)),6),BankTbl,3,0),0)+SUMIFS(CalcDep,CalcBank,LEFT(UPPER(TRIM($E1208)),6),CalcKey,"&lt;="&amp;Calc!$H1208)-SUMIFS(CalcWit,CalcBank,LEFT(UPPER(TRIM($E1208)),6),CalcKey,"&lt;="&amp;Calc!$H1208))</f>
        <v/>
      </c>
      <c r="O1208" s="10">
        <f>IF(OR($C1208="",$M1208=""),"",IF($N1208="","؟",IF(ROUND($M1208-$N1208,0)=0,"√","×")))</f>
        <v/>
      </c>
      <c r="P1208" s="12" t="n"/>
    </row>
    <row r="1209">
      <c r="A1209" s="10">
        <f>IF($C1209="","",COUNTA($C$9:$C1209))</f>
        <v/>
      </c>
      <c r="B1209" s="10">
        <f>IF($C1209="","","TXN-"&amp;RIGHT("0000"&amp;1201,4))</f>
        <v/>
      </c>
      <c r="C1209" s="11" t="n"/>
      <c r="D1209" s="11" t="n"/>
      <c r="E1209" s="12" t="n"/>
      <c r="F1209" s="10">
        <f>IF($E1209="","",IFERROR(IF(VLOOKUP(LEFT(UPPER(TRIM($E1209)),6),BankTbl,2,0)="","(بدون عنوان)",VLOOKUP(LEFT(UPPER(TRIM($E1209)),6),BankTbl,2,0)),"بانک ناشناخته"))</f>
        <v/>
      </c>
      <c r="G1209" s="11" t="n"/>
      <c r="H1209" s="10">
        <f>IF($G1209="","",IFERROR(VLOOKUP($G1209,CustTbl,2,0),IFERROR(VLOOKUP($G1209,SuppTbl,2,0),IFERROR(VLOOKUP($G1209,AcctTbl,2,0),IFERROR(VLOOKUP($G1209,StaffTbl,2,0),"کد ناشناخته")))))</f>
        <v/>
      </c>
      <c r="I1209" s="12" t="n"/>
      <c r="J1209" s="12" t="n"/>
      <c r="K1209" s="13" t="n"/>
      <c r="L1209" s="13" t="n"/>
      <c r="M1209" s="13" t="n"/>
      <c r="N1209" s="14">
        <f>IF(OR($C1209="",$E1209="",Calc!$H1209=""),"",IFERROR(VLOOKUP(LEFT(UPPER(TRIM($E1209)),6),BankTbl,3,0),0)+SUMIFS(CalcDep,CalcBank,LEFT(UPPER(TRIM($E1209)),6),CalcKey,"&lt;="&amp;Calc!$H1209)-SUMIFS(CalcWit,CalcBank,LEFT(UPPER(TRIM($E1209)),6),CalcKey,"&lt;="&amp;Calc!$H1209))</f>
        <v/>
      </c>
      <c r="O1209" s="10">
        <f>IF(OR($C1209="",$M1209=""),"",IF($N1209="","؟",IF(ROUND($M1209-$N1209,0)=0,"√","×")))</f>
        <v/>
      </c>
      <c r="P1209" s="12" t="n"/>
    </row>
    <row r="1210">
      <c r="A1210" s="10">
        <f>IF($C1210="","",COUNTA($C$9:$C1210))</f>
        <v/>
      </c>
      <c r="B1210" s="10">
        <f>IF($C1210="","","TXN-"&amp;RIGHT("0000"&amp;1202,4))</f>
        <v/>
      </c>
      <c r="C1210" s="11" t="n"/>
      <c r="D1210" s="11" t="n"/>
      <c r="E1210" s="12" t="n"/>
      <c r="F1210" s="10">
        <f>IF($E1210="","",IFERROR(IF(VLOOKUP(LEFT(UPPER(TRIM($E1210)),6),BankTbl,2,0)="","(بدون عنوان)",VLOOKUP(LEFT(UPPER(TRIM($E1210)),6),BankTbl,2,0)),"بانک ناشناخته"))</f>
        <v/>
      </c>
      <c r="G1210" s="11" t="n"/>
      <c r="H1210" s="10">
        <f>IF($G1210="","",IFERROR(VLOOKUP($G1210,CustTbl,2,0),IFERROR(VLOOKUP($G1210,SuppTbl,2,0),IFERROR(VLOOKUP($G1210,AcctTbl,2,0),IFERROR(VLOOKUP($G1210,StaffTbl,2,0),"کد ناشناخته")))))</f>
        <v/>
      </c>
      <c r="I1210" s="12" t="n"/>
      <c r="J1210" s="12" t="n"/>
      <c r="K1210" s="13" t="n"/>
      <c r="L1210" s="13" t="n"/>
      <c r="M1210" s="13" t="n"/>
      <c r="N1210" s="14">
        <f>IF(OR($C1210="",$E1210="",Calc!$H1210=""),"",IFERROR(VLOOKUP(LEFT(UPPER(TRIM($E1210)),6),BankTbl,3,0),0)+SUMIFS(CalcDep,CalcBank,LEFT(UPPER(TRIM($E1210)),6),CalcKey,"&lt;="&amp;Calc!$H1210)-SUMIFS(CalcWit,CalcBank,LEFT(UPPER(TRIM($E1210)),6),CalcKey,"&lt;="&amp;Calc!$H1210))</f>
        <v/>
      </c>
      <c r="O1210" s="10">
        <f>IF(OR($C1210="",$M1210=""),"",IF($N1210="","؟",IF(ROUND($M1210-$N1210,0)=0,"√","×")))</f>
        <v/>
      </c>
      <c r="P1210" s="12" t="n"/>
    </row>
    <row r="1211">
      <c r="A1211" s="10">
        <f>IF($C1211="","",COUNTA($C$9:$C1211))</f>
        <v/>
      </c>
      <c r="B1211" s="10">
        <f>IF($C1211="","","TXN-"&amp;RIGHT("0000"&amp;1203,4))</f>
        <v/>
      </c>
      <c r="C1211" s="11" t="n"/>
      <c r="D1211" s="11" t="n"/>
      <c r="E1211" s="12" t="n"/>
      <c r="F1211" s="10">
        <f>IF($E1211="","",IFERROR(IF(VLOOKUP(LEFT(UPPER(TRIM($E1211)),6),BankTbl,2,0)="","(بدون عنوان)",VLOOKUP(LEFT(UPPER(TRIM($E1211)),6),BankTbl,2,0)),"بانک ناشناخته"))</f>
        <v/>
      </c>
      <c r="G1211" s="11" t="n"/>
      <c r="H1211" s="10">
        <f>IF($G1211="","",IFERROR(VLOOKUP($G1211,CustTbl,2,0),IFERROR(VLOOKUP($G1211,SuppTbl,2,0),IFERROR(VLOOKUP($G1211,AcctTbl,2,0),IFERROR(VLOOKUP($G1211,StaffTbl,2,0),"کد ناشناخته")))))</f>
        <v/>
      </c>
      <c r="I1211" s="12" t="n"/>
      <c r="J1211" s="12" t="n"/>
      <c r="K1211" s="13" t="n"/>
      <c r="L1211" s="13" t="n"/>
      <c r="M1211" s="13" t="n"/>
      <c r="N1211" s="14">
        <f>IF(OR($C1211="",$E1211="",Calc!$H1211=""),"",IFERROR(VLOOKUP(LEFT(UPPER(TRIM($E1211)),6),BankTbl,3,0),0)+SUMIFS(CalcDep,CalcBank,LEFT(UPPER(TRIM($E1211)),6),CalcKey,"&lt;="&amp;Calc!$H1211)-SUMIFS(CalcWit,CalcBank,LEFT(UPPER(TRIM($E1211)),6),CalcKey,"&lt;="&amp;Calc!$H1211))</f>
        <v/>
      </c>
      <c r="O1211" s="10">
        <f>IF(OR($C1211="",$M1211=""),"",IF($N1211="","؟",IF(ROUND($M1211-$N1211,0)=0,"√","×")))</f>
        <v/>
      </c>
      <c r="P1211" s="12" t="n"/>
    </row>
    <row r="1212">
      <c r="A1212" s="10">
        <f>IF($C1212="","",COUNTA($C$9:$C1212))</f>
        <v/>
      </c>
      <c r="B1212" s="10">
        <f>IF($C1212="","","TXN-"&amp;RIGHT("0000"&amp;1204,4))</f>
        <v/>
      </c>
      <c r="C1212" s="11" t="n"/>
      <c r="D1212" s="11" t="n"/>
      <c r="E1212" s="12" t="n"/>
      <c r="F1212" s="10">
        <f>IF($E1212="","",IFERROR(IF(VLOOKUP(LEFT(UPPER(TRIM($E1212)),6),BankTbl,2,0)="","(بدون عنوان)",VLOOKUP(LEFT(UPPER(TRIM($E1212)),6),BankTbl,2,0)),"بانک ناشناخته"))</f>
        <v/>
      </c>
      <c r="G1212" s="11" t="n"/>
      <c r="H1212" s="10">
        <f>IF($G1212="","",IFERROR(VLOOKUP($G1212,CustTbl,2,0),IFERROR(VLOOKUP($G1212,SuppTbl,2,0),IFERROR(VLOOKUP($G1212,AcctTbl,2,0),IFERROR(VLOOKUP($G1212,StaffTbl,2,0),"کد ناشناخته")))))</f>
        <v/>
      </c>
      <c r="I1212" s="12" t="n"/>
      <c r="J1212" s="12" t="n"/>
      <c r="K1212" s="13" t="n"/>
      <c r="L1212" s="13" t="n"/>
      <c r="M1212" s="13" t="n"/>
      <c r="N1212" s="14">
        <f>IF(OR($C1212="",$E1212="",Calc!$H1212=""),"",IFERROR(VLOOKUP(LEFT(UPPER(TRIM($E1212)),6),BankTbl,3,0),0)+SUMIFS(CalcDep,CalcBank,LEFT(UPPER(TRIM($E1212)),6),CalcKey,"&lt;="&amp;Calc!$H1212)-SUMIFS(CalcWit,CalcBank,LEFT(UPPER(TRIM($E1212)),6),CalcKey,"&lt;="&amp;Calc!$H1212))</f>
        <v/>
      </c>
      <c r="O1212" s="10">
        <f>IF(OR($C1212="",$M1212=""),"",IF($N1212="","؟",IF(ROUND($M1212-$N1212,0)=0,"√","×")))</f>
        <v/>
      </c>
      <c r="P1212" s="12" t="n"/>
    </row>
    <row r="1213">
      <c r="A1213" s="10">
        <f>IF($C1213="","",COUNTA($C$9:$C1213))</f>
        <v/>
      </c>
      <c r="B1213" s="10">
        <f>IF($C1213="","","TXN-"&amp;RIGHT("0000"&amp;1205,4))</f>
        <v/>
      </c>
      <c r="C1213" s="11" t="n"/>
      <c r="D1213" s="11" t="n"/>
      <c r="E1213" s="12" t="n"/>
      <c r="F1213" s="10">
        <f>IF($E1213="","",IFERROR(IF(VLOOKUP(LEFT(UPPER(TRIM($E1213)),6),BankTbl,2,0)="","(بدون عنوان)",VLOOKUP(LEFT(UPPER(TRIM($E1213)),6),BankTbl,2,0)),"بانک ناشناخته"))</f>
        <v/>
      </c>
      <c r="G1213" s="11" t="n"/>
      <c r="H1213" s="10">
        <f>IF($G1213="","",IFERROR(VLOOKUP($G1213,CustTbl,2,0),IFERROR(VLOOKUP($G1213,SuppTbl,2,0),IFERROR(VLOOKUP($G1213,AcctTbl,2,0),IFERROR(VLOOKUP($G1213,StaffTbl,2,0),"کد ناشناخته")))))</f>
        <v/>
      </c>
      <c r="I1213" s="12" t="n"/>
      <c r="J1213" s="12" t="n"/>
      <c r="K1213" s="13" t="n"/>
      <c r="L1213" s="13" t="n"/>
      <c r="M1213" s="13" t="n"/>
      <c r="N1213" s="14">
        <f>IF(OR($C1213="",$E1213="",Calc!$H1213=""),"",IFERROR(VLOOKUP(LEFT(UPPER(TRIM($E1213)),6),BankTbl,3,0),0)+SUMIFS(CalcDep,CalcBank,LEFT(UPPER(TRIM($E1213)),6),CalcKey,"&lt;="&amp;Calc!$H1213)-SUMIFS(CalcWit,CalcBank,LEFT(UPPER(TRIM($E1213)),6),CalcKey,"&lt;="&amp;Calc!$H1213))</f>
        <v/>
      </c>
      <c r="O1213" s="10">
        <f>IF(OR($C1213="",$M1213=""),"",IF($N1213="","؟",IF(ROUND($M1213-$N1213,0)=0,"√","×")))</f>
        <v/>
      </c>
      <c r="P1213" s="12" t="n"/>
    </row>
    <row r="1214">
      <c r="A1214" s="10">
        <f>IF($C1214="","",COUNTA($C$9:$C1214))</f>
        <v/>
      </c>
      <c r="B1214" s="10">
        <f>IF($C1214="","","TXN-"&amp;RIGHT("0000"&amp;1206,4))</f>
        <v/>
      </c>
      <c r="C1214" s="11" t="n"/>
      <c r="D1214" s="11" t="n"/>
      <c r="E1214" s="12" t="n"/>
      <c r="F1214" s="10">
        <f>IF($E1214="","",IFERROR(IF(VLOOKUP(LEFT(UPPER(TRIM($E1214)),6),BankTbl,2,0)="","(بدون عنوان)",VLOOKUP(LEFT(UPPER(TRIM($E1214)),6),BankTbl,2,0)),"بانک ناشناخته"))</f>
        <v/>
      </c>
      <c r="G1214" s="11" t="n"/>
      <c r="H1214" s="10">
        <f>IF($G1214="","",IFERROR(VLOOKUP($G1214,CustTbl,2,0),IFERROR(VLOOKUP($G1214,SuppTbl,2,0),IFERROR(VLOOKUP($G1214,AcctTbl,2,0),IFERROR(VLOOKUP($G1214,StaffTbl,2,0),"کد ناشناخته")))))</f>
        <v/>
      </c>
      <c r="I1214" s="12" t="n"/>
      <c r="J1214" s="12" t="n"/>
      <c r="K1214" s="13" t="n"/>
      <c r="L1214" s="13" t="n"/>
      <c r="M1214" s="13" t="n"/>
      <c r="N1214" s="14">
        <f>IF(OR($C1214="",$E1214="",Calc!$H1214=""),"",IFERROR(VLOOKUP(LEFT(UPPER(TRIM($E1214)),6),BankTbl,3,0),0)+SUMIFS(CalcDep,CalcBank,LEFT(UPPER(TRIM($E1214)),6),CalcKey,"&lt;="&amp;Calc!$H1214)-SUMIFS(CalcWit,CalcBank,LEFT(UPPER(TRIM($E1214)),6),CalcKey,"&lt;="&amp;Calc!$H1214))</f>
        <v/>
      </c>
      <c r="O1214" s="10">
        <f>IF(OR($C1214="",$M1214=""),"",IF($N1214="","؟",IF(ROUND($M1214-$N1214,0)=0,"√","×")))</f>
        <v/>
      </c>
      <c r="P1214" s="12" t="n"/>
    </row>
    <row r="1215">
      <c r="A1215" s="10">
        <f>IF($C1215="","",COUNTA($C$9:$C1215))</f>
        <v/>
      </c>
      <c r="B1215" s="10">
        <f>IF($C1215="","","TXN-"&amp;RIGHT("0000"&amp;1207,4))</f>
        <v/>
      </c>
      <c r="C1215" s="11" t="n"/>
      <c r="D1215" s="11" t="n"/>
      <c r="E1215" s="12" t="n"/>
      <c r="F1215" s="10">
        <f>IF($E1215="","",IFERROR(IF(VLOOKUP(LEFT(UPPER(TRIM($E1215)),6),BankTbl,2,0)="","(بدون عنوان)",VLOOKUP(LEFT(UPPER(TRIM($E1215)),6),BankTbl,2,0)),"بانک ناشناخته"))</f>
        <v/>
      </c>
      <c r="G1215" s="11" t="n"/>
      <c r="H1215" s="10">
        <f>IF($G1215="","",IFERROR(VLOOKUP($G1215,CustTbl,2,0),IFERROR(VLOOKUP($G1215,SuppTbl,2,0),IFERROR(VLOOKUP($G1215,AcctTbl,2,0),IFERROR(VLOOKUP($G1215,StaffTbl,2,0),"کد ناشناخته")))))</f>
        <v/>
      </c>
      <c r="I1215" s="12" t="n"/>
      <c r="J1215" s="12" t="n"/>
      <c r="K1215" s="13" t="n"/>
      <c r="L1215" s="13" t="n"/>
      <c r="M1215" s="13" t="n"/>
      <c r="N1215" s="14">
        <f>IF(OR($C1215="",$E1215="",Calc!$H1215=""),"",IFERROR(VLOOKUP(LEFT(UPPER(TRIM($E1215)),6),BankTbl,3,0),0)+SUMIFS(CalcDep,CalcBank,LEFT(UPPER(TRIM($E1215)),6),CalcKey,"&lt;="&amp;Calc!$H1215)-SUMIFS(CalcWit,CalcBank,LEFT(UPPER(TRIM($E1215)),6),CalcKey,"&lt;="&amp;Calc!$H1215))</f>
        <v/>
      </c>
      <c r="O1215" s="10">
        <f>IF(OR($C1215="",$M1215=""),"",IF($N1215="","؟",IF(ROUND($M1215-$N1215,0)=0,"√","×")))</f>
        <v/>
      </c>
      <c r="P1215" s="12" t="n"/>
    </row>
    <row r="1216">
      <c r="A1216" s="10">
        <f>IF($C1216="","",COUNTA($C$9:$C1216))</f>
        <v/>
      </c>
      <c r="B1216" s="10">
        <f>IF($C1216="","","TXN-"&amp;RIGHT("0000"&amp;1208,4))</f>
        <v/>
      </c>
      <c r="C1216" s="11" t="n"/>
      <c r="D1216" s="11" t="n"/>
      <c r="E1216" s="12" t="n"/>
      <c r="F1216" s="10">
        <f>IF($E1216="","",IFERROR(IF(VLOOKUP(LEFT(UPPER(TRIM($E1216)),6),BankTbl,2,0)="","(بدون عنوان)",VLOOKUP(LEFT(UPPER(TRIM($E1216)),6),BankTbl,2,0)),"بانک ناشناخته"))</f>
        <v/>
      </c>
      <c r="G1216" s="11" t="n"/>
      <c r="H1216" s="10">
        <f>IF($G1216="","",IFERROR(VLOOKUP($G1216,CustTbl,2,0),IFERROR(VLOOKUP($G1216,SuppTbl,2,0),IFERROR(VLOOKUP($G1216,AcctTbl,2,0),IFERROR(VLOOKUP($G1216,StaffTbl,2,0),"کد ناشناخته")))))</f>
        <v/>
      </c>
      <c r="I1216" s="12" t="n"/>
      <c r="J1216" s="12" t="n"/>
      <c r="K1216" s="13" t="n"/>
      <c r="L1216" s="13" t="n"/>
      <c r="M1216" s="13" t="n"/>
      <c r="N1216" s="14">
        <f>IF(OR($C1216="",$E1216="",Calc!$H1216=""),"",IFERROR(VLOOKUP(LEFT(UPPER(TRIM($E1216)),6),BankTbl,3,0),0)+SUMIFS(CalcDep,CalcBank,LEFT(UPPER(TRIM($E1216)),6),CalcKey,"&lt;="&amp;Calc!$H1216)-SUMIFS(CalcWit,CalcBank,LEFT(UPPER(TRIM($E1216)),6),CalcKey,"&lt;="&amp;Calc!$H1216))</f>
        <v/>
      </c>
      <c r="O1216" s="10">
        <f>IF(OR($C1216="",$M1216=""),"",IF($N1216="","؟",IF(ROUND($M1216-$N1216,0)=0,"√","×")))</f>
        <v/>
      </c>
      <c r="P1216" s="12" t="n"/>
    </row>
    <row r="1217">
      <c r="A1217" s="10">
        <f>IF($C1217="","",COUNTA($C$9:$C1217))</f>
        <v/>
      </c>
      <c r="B1217" s="10">
        <f>IF($C1217="","","TXN-"&amp;RIGHT("0000"&amp;1209,4))</f>
        <v/>
      </c>
      <c r="C1217" s="11" t="n"/>
      <c r="D1217" s="11" t="n"/>
      <c r="E1217" s="12" t="n"/>
      <c r="F1217" s="10">
        <f>IF($E1217="","",IFERROR(IF(VLOOKUP(LEFT(UPPER(TRIM($E1217)),6),BankTbl,2,0)="","(بدون عنوان)",VLOOKUP(LEFT(UPPER(TRIM($E1217)),6),BankTbl,2,0)),"بانک ناشناخته"))</f>
        <v/>
      </c>
      <c r="G1217" s="11" t="n"/>
      <c r="H1217" s="10">
        <f>IF($G1217="","",IFERROR(VLOOKUP($G1217,CustTbl,2,0),IFERROR(VLOOKUP($G1217,SuppTbl,2,0),IFERROR(VLOOKUP($G1217,AcctTbl,2,0),IFERROR(VLOOKUP($G1217,StaffTbl,2,0),"کد ناشناخته")))))</f>
        <v/>
      </c>
      <c r="I1217" s="12" t="n"/>
      <c r="J1217" s="12" t="n"/>
      <c r="K1217" s="13" t="n"/>
      <c r="L1217" s="13" t="n"/>
      <c r="M1217" s="13" t="n"/>
      <c r="N1217" s="14">
        <f>IF(OR($C1217="",$E1217="",Calc!$H1217=""),"",IFERROR(VLOOKUP(LEFT(UPPER(TRIM($E1217)),6),BankTbl,3,0),0)+SUMIFS(CalcDep,CalcBank,LEFT(UPPER(TRIM($E1217)),6),CalcKey,"&lt;="&amp;Calc!$H1217)-SUMIFS(CalcWit,CalcBank,LEFT(UPPER(TRIM($E1217)),6),CalcKey,"&lt;="&amp;Calc!$H1217))</f>
        <v/>
      </c>
      <c r="O1217" s="10">
        <f>IF(OR($C1217="",$M1217=""),"",IF($N1217="","؟",IF(ROUND($M1217-$N1217,0)=0,"√","×")))</f>
        <v/>
      </c>
      <c r="P1217" s="12" t="n"/>
    </row>
    <row r="1218">
      <c r="A1218" s="10">
        <f>IF($C1218="","",COUNTA($C$9:$C1218))</f>
        <v/>
      </c>
      <c r="B1218" s="10">
        <f>IF($C1218="","","TXN-"&amp;RIGHT("0000"&amp;1210,4))</f>
        <v/>
      </c>
      <c r="C1218" s="11" t="n"/>
      <c r="D1218" s="11" t="n"/>
      <c r="E1218" s="12" t="n"/>
      <c r="F1218" s="10">
        <f>IF($E1218="","",IFERROR(IF(VLOOKUP(LEFT(UPPER(TRIM($E1218)),6),BankTbl,2,0)="","(بدون عنوان)",VLOOKUP(LEFT(UPPER(TRIM($E1218)),6),BankTbl,2,0)),"بانک ناشناخته"))</f>
        <v/>
      </c>
      <c r="G1218" s="11" t="n"/>
      <c r="H1218" s="10">
        <f>IF($G1218="","",IFERROR(VLOOKUP($G1218,CustTbl,2,0),IFERROR(VLOOKUP($G1218,SuppTbl,2,0),IFERROR(VLOOKUP($G1218,AcctTbl,2,0),IFERROR(VLOOKUP($G1218,StaffTbl,2,0),"کد ناشناخته")))))</f>
        <v/>
      </c>
      <c r="I1218" s="12" t="n"/>
      <c r="J1218" s="12" t="n"/>
      <c r="K1218" s="13" t="n"/>
      <c r="L1218" s="13" t="n"/>
      <c r="M1218" s="13" t="n"/>
      <c r="N1218" s="14">
        <f>IF(OR($C1218="",$E1218="",Calc!$H1218=""),"",IFERROR(VLOOKUP(LEFT(UPPER(TRIM($E1218)),6),BankTbl,3,0),0)+SUMIFS(CalcDep,CalcBank,LEFT(UPPER(TRIM($E1218)),6),CalcKey,"&lt;="&amp;Calc!$H1218)-SUMIFS(CalcWit,CalcBank,LEFT(UPPER(TRIM($E1218)),6),CalcKey,"&lt;="&amp;Calc!$H1218))</f>
        <v/>
      </c>
      <c r="O1218" s="10">
        <f>IF(OR($C1218="",$M1218=""),"",IF($N1218="","؟",IF(ROUND($M1218-$N1218,0)=0,"√","×")))</f>
        <v/>
      </c>
      <c r="P1218" s="12" t="n"/>
    </row>
    <row r="1219">
      <c r="A1219" s="10">
        <f>IF($C1219="","",COUNTA($C$9:$C1219))</f>
        <v/>
      </c>
      <c r="B1219" s="10">
        <f>IF($C1219="","","TXN-"&amp;RIGHT("0000"&amp;1211,4))</f>
        <v/>
      </c>
      <c r="C1219" s="11" t="n"/>
      <c r="D1219" s="11" t="n"/>
      <c r="E1219" s="12" t="n"/>
      <c r="F1219" s="10">
        <f>IF($E1219="","",IFERROR(IF(VLOOKUP(LEFT(UPPER(TRIM($E1219)),6),BankTbl,2,0)="","(بدون عنوان)",VLOOKUP(LEFT(UPPER(TRIM($E1219)),6),BankTbl,2,0)),"بانک ناشناخته"))</f>
        <v/>
      </c>
      <c r="G1219" s="11" t="n"/>
      <c r="H1219" s="10">
        <f>IF($G1219="","",IFERROR(VLOOKUP($G1219,CustTbl,2,0),IFERROR(VLOOKUP($G1219,SuppTbl,2,0),IFERROR(VLOOKUP($G1219,AcctTbl,2,0),IFERROR(VLOOKUP($G1219,StaffTbl,2,0),"کد ناشناخته")))))</f>
        <v/>
      </c>
      <c r="I1219" s="12" t="n"/>
      <c r="J1219" s="12" t="n"/>
      <c r="K1219" s="13" t="n"/>
      <c r="L1219" s="13" t="n"/>
      <c r="M1219" s="13" t="n"/>
      <c r="N1219" s="14">
        <f>IF(OR($C1219="",$E1219="",Calc!$H1219=""),"",IFERROR(VLOOKUP(LEFT(UPPER(TRIM($E1219)),6),BankTbl,3,0),0)+SUMIFS(CalcDep,CalcBank,LEFT(UPPER(TRIM($E1219)),6),CalcKey,"&lt;="&amp;Calc!$H1219)-SUMIFS(CalcWit,CalcBank,LEFT(UPPER(TRIM($E1219)),6),CalcKey,"&lt;="&amp;Calc!$H1219))</f>
        <v/>
      </c>
      <c r="O1219" s="10">
        <f>IF(OR($C1219="",$M1219=""),"",IF($N1219="","؟",IF(ROUND($M1219-$N1219,0)=0,"√","×")))</f>
        <v/>
      </c>
      <c r="P1219" s="12" t="n"/>
    </row>
    <row r="1220">
      <c r="A1220" s="10">
        <f>IF($C1220="","",COUNTA($C$9:$C1220))</f>
        <v/>
      </c>
      <c r="B1220" s="10">
        <f>IF($C1220="","","TXN-"&amp;RIGHT("0000"&amp;1212,4))</f>
        <v/>
      </c>
      <c r="C1220" s="11" t="n"/>
      <c r="D1220" s="11" t="n"/>
      <c r="E1220" s="12" t="n"/>
      <c r="F1220" s="10">
        <f>IF($E1220="","",IFERROR(IF(VLOOKUP(LEFT(UPPER(TRIM($E1220)),6),BankTbl,2,0)="","(بدون عنوان)",VLOOKUP(LEFT(UPPER(TRIM($E1220)),6),BankTbl,2,0)),"بانک ناشناخته"))</f>
        <v/>
      </c>
      <c r="G1220" s="11" t="n"/>
      <c r="H1220" s="10">
        <f>IF($G1220="","",IFERROR(VLOOKUP($G1220,CustTbl,2,0),IFERROR(VLOOKUP($G1220,SuppTbl,2,0),IFERROR(VLOOKUP($G1220,AcctTbl,2,0),IFERROR(VLOOKUP($G1220,StaffTbl,2,0),"کد ناشناخته")))))</f>
        <v/>
      </c>
      <c r="I1220" s="12" t="n"/>
      <c r="J1220" s="12" t="n"/>
      <c r="K1220" s="13" t="n"/>
      <c r="L1220" s="13" t="n"/>
      <c r="M1220" s="13" t="n"/>
      <c r="N1220" s="14">
        <f>IF(OR($C1220="",$E1220="",Calc!$H1220=""),"",IFERROR(VLOOKUP(LEFT(UPPER(TRIM($E1220)),6),BankTbl,3,0),0)+SUMIFS(CalcDep,CalcBank,LEFT(UPPER(TRIM($E1220)),6),CalcKey,"&lt;="&amp;Calc!$H1220)-SUMIFS(CalcWit,CalcBank,LEFT(UPPER(TRIM($E1220)),6),CalcKey,"&lt;="&amp;Calc!$H1220))</f>
        <v/>
      </c>
      <c r="O1220" s="10">
        <f>IF(OR($C1220="",$M1220=""),"",IF($N1220="","؟",IF(ROUND($M1220-$N1220,0)=0,"√","×")))</f>
        <v/>
      </c>
      <c r="P1220" s="12" t="n"/>
    </row>
    <row r="1221">
      <c r="A1221" s="10">
        <f>IF($C1221="","",COUNTA($C$9:$C1221))</f>
        <v/>
      </c>
      <c r="B1221" s="10">
        <f>IF($C1221="","","TXN-"&amp;RIGHT("0000"&amp;1213,4))</f>
        <v/>
      </c>
      <c r="C1221" s="11" t="n"/>
      <c r="D1221" s="11" t="n"/>
      <c r="E1221" s="12" t="n"/>
      <c r="F1221" s="10">
        <f>IF($E1221="","",IFERROR(IF(VLOOKUP(LEFT(UPPER(TRIM($E1221)),6),BankTbl,2,0)="","(بدون عنوان)",VLOOKUP(LEFT(UPPER(TRIM($E1221)),6),BankTbl,2,0)),"بانک ناشناخته"))</f>
        <v/>
      </c>
      <c r="G1221" s="11" t="n"/>
      <c r="H1221" s="10">
        <f>IF($G1221="","",IFERROR(VLOOKUP($G1221,CustTbl,2,0),IFERROR(VLOOKUP($G1221,SuppTbl,2,0),IFERROR(VLOOKUP($G1221,AcctTbl,2,0),IFERROR(VLOOKUP($G1221,StaffTbl,2,0),"کد ناشناخته")))))</f>
        <v/>
      </c>
      <c r="I1221" s="12" t="n"/>
      <c r="J1221" s="12" t="n"/>
      <c r="K1221" s="13" t="n"/>
      <c r="L1221" s="13" t="n"/>
      <c r="M1221" s="13" t="n"/>
      <c r="N1221" s="14">
        <f>IF(OR($C1221="",$E1221="",Calc!$H1221=""),"",IFERROR(VLOOKUP(LEFT(UPPER(TRIM($E1221)),6),BankTbl,3,0),0)+SUMIFS(CalcDep,CalcBank,LEFT(UPPER(TRIM($E1221)),6),CalcKey,"&lt;="&amp;Calc!$H1221)-SUMIFS(CalcWit,CalcBank,LEFT(UPPER(TRIM($E1221)),6),CalcKey,"&lt;="&amp;Calc!$H1221))</f>
        <v/>
      </c>
      <c r="O1221" s="10">
        <f>IF(OR($C1221="",$M1221=""),"",IF($N1221="","؟",IF(ROUND($M1221-$N1221,0)=0,"√","×")))</f>
        <v/>
      </c>
      <c r="P1221" s="12" t="n"/>
    </row>
    <row r="1222">
      <c r="A1222" s="10">
        <f>IF($C1222="","",COUNTA($C$9:$C1222))</f>
        <v/>
      </c>
      <c r="B1222" s="10">
        <f>IF($C1222="","","TXN-"&amp;RIGHT("0000"&amp;1214,4))</f>
        <v/>
      </c>
      <c r="C1222" s="11" t="n"/>
      <c r="D1222" s="11" t="n"/>
      <c r="E1222" s="12" t="n"/>
      <c r="F1222" s="10">
        <f>IF($E1222="","",IFERROR(IF(VLOOKUP(LEFT(UPPER(TRIM($E1222)),6),BankTbl,2,0)="","(بدون عنوان)",VLOOKUP(LEFT(UPPER(TRIM($E1222)),6),BankTbl,2,0)),"بانک ناشناخته"))</f>
        <v/>
      </c>
      <c r="G1222" s="11" t="n"/>
      <c r="H1222" s="10">
        <f>IF($G1222="","",IFERROR(VLOOKUP($G1222,CustTbl,2,0),IFERROR(VLOOKUP($G1222,SuppTbl,2,0),IFERROR(VLOOKUP($G1222,AcctTbl,2,0),IFERROR(VLOOKUP($G1222,StaffTbl,2,0),"کد ناشناخته")))))</f>
        <v/>
      </c>
      <c r="I1222" s="12" t="n"/>
      <c r="J1222" s="12" t="n"/>
      <c r="K1222" s="13" t="n"/>
      <c r="L1222" s="13" t="n"/>
      <c r="M1222" s="13" t="n"/>
      <c r="N1222" s="14">
        <f>IF(OR($C1222="",$E1222="",Calc!$H1222=""),"",IFERROR(VLOOKUP(LEFT(UPPER(TRIM($E1222)),6),BankTbl,3,0),0)+SUMIFS(CalcDep,CalcBank,LEFT(UPPER(TRIM($E1222)),6),CalcKey,"&lt;="&amp;Calc!$H1222)-SUMIFS(CalcWit,CalcBank,LEFT(UPPER(TRIM($E1222)),6),CalcKey,"&lt;="&amp;Calc!$H1222))</f>
        <v/>
      </c>
      <c r="O1222" s="10">
        <f>IF(OR($C1222="",$M1222=""),"",IF($N1222="","؟",IF(ROUND($M1222-$N1222,0)=0,"√","×")))</f>
        <v/>
      </c>
      <c r="P1222" s="12" t="n"/>
    </row>
    <row r="1223">
      <c r="A1223" s="10">
        <f>IF($C1223="","",COUNTA($C$9:$C1223))</f>
        <v/>
      </c>
      <c r="B1223" s="10">
        <f>IF($C1223="","","TXN-"&amp;RIGHT("0000"&amp;1215,4))</f>
        <v/>
      </c>
      <c r="C1223" s="11" t="n"/>
      <c r="D1223" s="11" t="n"/>
      <c r="E1223" s="12" t="n"/>
      <c r="F1223" s="10">
        <f>IF($E1223="","",IFERROR(IF(VLOOKUP(LEFT(UPPER(TRIM($E1223)),6),BankTbl,2,0)="","(بدون عنوان)",VLOOKUP(LEFT(UPPER(TRIM($E1223)),6),BankTbl,2,0)),"بانک ناشناخته"))</f>
        <v/>
      </c>
      <c r="G1223" s="11" t="n"/>
      <c r="H1223" s="10">
        <f>IF($G1223="","",IFERROR(VLOOKUP($G1223,CustTbl,2,0),IFERROR(VLOOKUP($G1223,SuppTbl,2,0),IFERROR(VLOOKUP($G1223,AcctTbl,2,0),IFERROR(VLOOKUP($G1223,StaffTbl,2,0),"کد ناشناخته")))))</f>
        <v/>
      </c>
      <c r="I1223" s="12" t="n"/>
      <c r="J1223" s="12" t="n"/>
      <c r="K1223" s="13" t="n"/>
      <c r="L1223" s="13" t="n"/>
      <c r="M1223" s="13" t="n"/>
      <c r="N1223" s="14">
        <f>IF(OR($C1223="",$E1223="",Calc!$H1223=""),"",IFERROR(VLOOKUP(LEFT(UPPER(TRIM($E1223)),6),BankTbl,3,0),0)+SUMIFS(CalcDep,CalcBank,LEFT(UPPER(TRIM($E1223)),6),CalcKey,"&lt;="&amp;Calc!$H1223)-SUMIFS(CalcWit,CalcBank,LEFT(UPPER(TRIM($E1223)),6),CalcKey,"&lt;="&amp;Calc!$H1223))</f>
        <v/>
      </c>
      <c r="O1223" s="10">
        <f>IF(OR($C1223="",$M1223=""),"",IF($N1223="","؟",IF(ROUND($M1223-$N1223,0)=0,"√","×")))</f>
        <v/>
      </c>
      <c r="P1223" s="12" t="n"/>
    </row>
    <row r="1224">
      <c r="A1224" s="10">
        <f>IF($C1224="","",COUNTA($C$9:$C1224))</f>
        <v/>
      </c>
      <c r="B1224" s="10">
        <f>IF($C1224="","","TXN-"&amp;RIGHT("0000"&amp;1216,4))</f>
        <v/>
      </c>
      <c r="C1224" s="11" t="n"/>
      <c r="D1224" s="11" t="n"/>
      <c r="E1224" s="12" t="n"/>
      <c r="F1224" s="10">
        <f>IF($E1224="","",IFERROR(IF(VLOOKUP(LEFT(UPPER(TRIM($E1224)),6),BankTbl,2,0)="","(بدون عنوان)",VLOOKUP(LEFT(UPPER(TRIM($E1224)),6),BankTbl,2,0)),"بانک ناشناخته"))</f>
        <v/>
      </c>
      <c r="G1224" s="11" t="n"/>
      <c r="H1224" s="10">
        <f>IF($G1224="","",IFERROR(VLOOKUP($G1224,CustTbl,2,0),IFERROR(VLOOKUP($G1224,SuppTbl,2,0),IFERROR(VLOOKUP($G1224,AcctTbl,2,0),IFERROR(VLOOKUP($G1224,StaffTbl,2,0),"کد ناشناخته")))))</f>
        <v/>
      </c>
      <c r="I1224" s="12" t="n"/>
      <c r="J1224" s="12" t="n"/>
      <c r="K1224" s="13" t="n"/>
      <c r="L1224" s="13" t="n"/>
      <c r="M1224" s="13" t="n"/>
      <c r="N1224" s="14">
        <f>IF(OR($C1224="",$E1224="",Calc!$H1224=""),"",IFERROR(VLOOKUP(LEFT(UPPER(TRIM($E1224)),6),BankTbl,3,0),0)+SUMIFS(CalcDep,CalcBank,LEFT(UPPER(TRIM($E1224)),6),CalcKey,"&lt;="&amp;Calc!$H1224)-SUMIFS(CalcWit,CalcBank,LEFT(UPPER(TRIM($E1224)),6),CalcKey,"&lt;="&amp;Calc!$H1224))</f>
        <v/>
      </c>
      <c r="O1224" s="10">
        <f>IF(OR($C1224="",$M1224=""),"",IF($N1224="","؟",IF(ROUND($M1224-$N1224,0)=0,"√","×")))</f>
        <v/>
      </c>
      <c r="P1224" s="12" t="n"/>
    </row>
    <row r="1225">
      <c r="A1225" s="10">
        <f>IF($C1225="","",COUNTA($C$9:$C1225))</f>
        <v/>
      </c>
      <c r="B1225" s="10">
        <f>IF($C1225="","","TXN-"&amp;RIGHT("0000"&amp;1217,4))</f>
        <v/>
      </c>
      <c r="C1225" s="11" t="n"/>
      <c r="D1225" s="11" t="n"/>
      <c r="E1225" s="12" t="n"/>
      <c r="F1225" s="10">
        <f>IF($E1225="","",IFERROR(IF(VLOOKUP(LEFT(UPPER(TRIM($E1225)),6),BankTbl,2,0)="","(بدون عنوان)",VLOOKUP(LEFT(UPPER(TRIM($E1225)),6),BankTbl,2,0)),"بانک ناشناخته"))</f>
        <v/>
      </c>
      <c r="G1225" s="11" t="n"/>
      <c r="H1225" s="10">
        <f>IF($G1225="","",IFERROR(VLOOKUP($G1225,CustTbl,2,0),IFERROR(VLOOKUP($G1225,SuppTbl,2,0),IFERROR(VLOOKUP($G1225,AcctTbl,2,0),IFERROR(VLOOKUP($G1225,StaffTbl,2,0),"کد ناشناخته")))))</f>
        <v/>
      </c>
      <c r="I1225" s="12" t="n"/>
      <c r="J1225" s="12" t="n"/>
      <c r="K1225" s="13" t="n"/>
      <c r="L1225" s="13" t="n"/>
      <c r="M1225" s="13" t="n"/>
      <c r="N1225" s="14">
        <f>IF(OR($C1225="",$E1225="",Calc!$H1225=""),"",IFERROR(VLOOKUP(LEFT(UPPER(TRIM($E1225)),6),BankTbl,3,0),0)+SUMIFS(CalcDep,CalcBank,LEFT(UPPER(TRIM($E1225)),6),CalcKey,"&lt;="&amp;Calc!$H1225)-SUMIFS(CalcWit,CalcBank,LEFT(UPPER(TRIM($E1225)),6),CalcKey,"&lt;="&amp;Calc!$H1225))</f>
        <v/>
      </c>
      <c r="O1225" s="10">
        <f>IF(OR($C1225="",$M1225=""),"",IF($N1225="","؟",IF(ROUND($M1225-$N1225,0)=0,"√","×")))</f>
        <v/>
      </c>
      <c r="P1225" s="12" t="n"/>
    </row>
    <row r="1226">
      <c r="A1226" s="10">
        <f>IF($C1226="","",COUNTA($C$9:$C1226))</f>
        <v/>
      </c>
      <c r="B1226" s="10">
        <f>IF($C1226="","","TXN-"&amp;RIGHT("0000"&amp;1218,4))</f>
        <v/>
      </c>
      <c r="C1226" s="11" t="n"/>
      <c r="D1226" s="11" t="n"/>
      <c r="E1226" s="12" t="n"/>
      <c r="F1226" s="10">
        <f>IF($E1226="","",IFERROR(IF(VLOOKUP(LEFT(UPPER(TRIM($E1226)),6),BankTbl,2,0)="","(بدون عنوان)",VLOOKUP(LEFT(UPPER(TRIM($E1226)),6),BankTbl,2,0)),"بانک ناشناخته"))</f>
        <v/>
      </c>
      <c r="G1226" s="11" t="n"/>
      <c r="H1226" s="10">
        <f>IF($G1226="","",IFERROR(VLOOKUP($G1226,CustTbl,2,0),IFERROR(VLOOKUP($G1226,SuppTbl,2,0),IFERROR(VLOOKUP($G1226,AcctTbl,2,0),IFERROR(VLOOKUP($G1226,StaffTbl,2,0),"کد ناشناخته")))))</f>
        <v/>
      </c>
      <c r="I1226" s="12" t="n"/>
      <c r="J1226" s="12" t="n"/>
      <c r="K1226" s="13" t="n"/>
      <c r="L1226" s="13" t="n"/>
      <c r="M1226" s="13" t="n"/>
      <c r="N1226" s="14">
        <f>IF(OR($C1226="",$E1226="",Calc!$H1226=""),"",IFERROR(VLOOKUP(LEFT(UPPER(TRIM($E1226)),6),BankTbl,3,0),0)+SUMIFS(CalcDep,CalcBank,LEFT(UPPER(TRIM($E1226)),6),CalcKey,"&lt;="&amp;Calc!$H1226)-SUMIFS(CalcWit,CalcBank,LEFT(UPPER(TRIM($E1226)),6),CalcKey,"&lt;="&amp;Calc!$H1226))</f>
        <v/>
      </c>
      <c r="O1226" s="10">
        <f>IF(OR($C1226="",$M1226=""),"",IF($N1226="","؟",IF(ROUND($M1226-$N1226,0)=0,"√","×")))</f>
        <v/>
      </c>
      <c r="P1226" s="12" t="n"/>
    </row>
    <row r="1227">
      <c r="A1227" s="10">
        <f>IF($C1227="","",COUNTA($C$9:$C1227))</f>
        <v/>
      </c>
      <c r="B1227" s="10">
        <f>IF($C1227="","","TXN-"&amp;RIGHT("0000"&amp;1219,4))</f>
        <v/>
      </c>
      <c r="C1227" s="11" t="n"/>
      <c r="D1227" s="11" t="n"/>
      <c r="E1227" s="12" t="n"/>
      <c r="F1227" s="10">
        <f>IF($E1227="","",IFERROR(IF(VLOOKUP(LEFT(UPPER(TRIM($E1227)),6),BankTbl,2,0)="","(بدون عنوان)",VLOOKUP(LEFT(UPPER(TRIM($E1227)),6),BankTbl,2,0)),"بانک ناشناخته"))</f>
        <v/>
      </c>
      <c r="G1227" s="11" t="n"/>
      <c r="H1227" s="10">
        <f>IF($G1227="","",IFERROR(VLOOKUP($G1227,CustTbl,2,0),IFERROR(VLOOKUP($G1227,SuppTbl,2,0),IFERROR(VLOOKUP($G1227,AcctTbl,2,0),IFERROR(VLOOKUP($G1227,StaffTbl,2,0),"کد ناشناخته")))))</f>
        <v/>
      </c>
      <c r="I1227" s="12" t="n"/>
      <c r="J1227" s="12" t="n"/>
      <c r="K1227" s="13" t="n"/>
      <c r="L1227" s="13" t="n"/>
      <c r="M1227" s="13" t="n"/>
      <c r="N1227" s="14">
        <f>IF(OR($C1227="",$E1227="",Calc!$H1227=""),"",IFERROR(VLOOKUP(LEFT(UPPER(TRIM($E1227)),6),BankTbl,3,0),0)+SUMIFS(CalcDep,CalcBank,LEFT(UPPER(TRIM($E1227)),6),CalcKey,"&lt;="&amp;Calc!$H1227)-SUMIFS(CalcWit,CalcBank,LEFT(UPPER(TRIM($E1227)),6),CalcKey,"&lt;="&amp;Calc!$H1227))</f>
        <v/>
      </c>
      <c r="O1227" s="10">
        <f>IF(OR($C1227="",$M1227=""),"",IF($N1227="","؟",IF(ROUND($M1227-$N1227,0)=0,"√","×")))</f>
        <v/>
      </c>
      <c r="P1227" s="12" t="n"/>
    </row>
    <row r="1228">
      <c r="A1228" s="10">
        <f>IF($C1228="","",COUNTA($C$9:$C1228))</f>
        <v/>
      </c>
      <c r="B1228" s="10">
        <f>IF($C1228="","","TXN-"&amp;RIGHT("0000"&amp;1220,4))</f>
        <v/>
      </c>
      <c r="C1228" s="11" t="n"/>
      <c r="D1228" s="11" t="n"/>
      <c r="E1228" s="12" t="n"/>
      <c r="F1228" s="10">
        <f>IF($E1228="","",IFERROR(IF(VLOOKUP(LEFT(UPPER(TRIM($E1228)),6),BankTbl,2,0)="","(بدون عنوان)",VLOOKUP(LEFT(UPPER(TRIM($E1228)),6),BankTbl,2,0)),"بانک ناشناخته"))</f>
        <v/>
      </c>
      <c r="G1228" s="11" t="n"/>
      <c r="H1228" s="10">
        <f>IF($G1228="","",IFERROR(VLOOKUP($G1228,CustTbl,2,0),IFERROR(VLOOKUP($G1228,SuppTbl,2,0),IFERROR(VLOOKUP($G1228,AcctTbl,2,0),IFERROR(VLOOKUP($G1228,StaffTbl,2,0),"کد ناشناخته")))))</f>
        <v/>
      </c>
      <c r="I1228" s="12" t="n"/>
      <c r="J1228" s="12" t="n"/>
      <c r="K1228" s="13" t="n"/>
      <c r="L1228" s="13" t="n"/>
      <c r="M1228" s="13" t="n"/>
      <c r="N1228" s="14">
        <f>IF(OR($C1228="",$E1228="",Calc!$H1228=""),"",IFERROR(VLOOKUP(LEFT(UPPER(TRIM($E1228)),6),BankTbl,3,0),0)+SUMIFS(CalcDep,CalcBank,LEFT(UPPER(TRIM($E1228)),6),CalcKey,"&lt;="&amp;Calc!$H1228)-SUMIFS(CalcWit,CalcBank,LEFT(UPPER(TRIM($E1228)),6),CalcKey,"&lt;="&amp;Calc!$H1228))</f>
        <v/>
      </c>
      <c r="O1228" s="10">
        <f>IF(OR($C1228="",$M1228=""),"",IF($N1228="","؟",IF(ROUND($M1228-$N1228,0)=0,"√","×")))</f>
        <v/>
      </c>
      <c r="P1228" s="12" t="n"/>
    </row>
    <row r="1229">
      <c r="A1229" s="10">
        <f>IF($C1229="","",COUNTA($C$9:$C1229))</f>
        <v/>
      </c>
      <c r="B1229" s="10">
        <f>IF($C1229="","","TXN-"&amp;RIGHT("0000"&amp;1221,4))</f>
        <v/>
      </c>
      <c r="C1229" s="11" t="n"/>
      <c r="D1229" s="11" t="n"/>
      <c r="E1229" s="12" t="n"/>
      <c r="F1229" s="10">
        <f>IF($E1229="","",IFERROR(IF(VLOOKUP(LEFT(UPPER(TRIM($E1229)),6),BankTbl,2,0)="","(بدون عنوان)",VLOOKUP(LEFT(UPPER(TRIM($E1229)),6),BankTbl,2,0)),"بانک ناشناخته"))</f>
        <v/>
      </c>
      <c r="G1229" s="11" t="n"/>
      <c r="H1229" s="10">
        <f>IF($G1229="","",IFERROR(VLOOKUP($G1229,CustTbl,2,0),IFERROR(VLOOKUP($G1229,SuppTbl,2,0),IFERROR(VLOOKUP($G1229,AcctTbl,2,0),IFERROR(VLOOKUP($G1229,StaffTbl,2,0),"کد ناشناخته")))))</f>
        <v/>
      </c>
      <c r="I1229" s="12" t="n"/>
      <c r="J1229" s="12" t="n"/>
      <c r="K1229" s="13" t="n"/>
      <c r="L1229" s="13" t="n"/>
      <c r="M1229" s="13" t="n"/>
      <c r="N1229" s="14">
        <f>IF(OR($C1229="",$E1229="",Calc!$H1229=""),"",IFERROR(VLOOKUP(LEFT(UPPER(TRIM($E1229)),6),BankTbl,3,0),0)+SUMIFS(CalcDep,CalcBank,LEFT(UPPER(TRIM($E1229)),6),CalcKey,"&lt;="&amp;Calc!$H1229)-SUMIFS(CalcWit,CalcBank,LEFT(UPPER(TRIM($E1229)),6),CalcKey,"&lt;="&amp;Calc!$H1229))</f>
        <v/>
      </c>
      <c r="O1229" s="10">
        <f>IF(OR($C1229="",$M1229=""),"",IF($N1229="","؟",IF(ROUND($M1229-$N1229,0)=0,"√","×")))</f>
        <v/>
      </c>
      <c r="P1229" s="12" t="n"/>
    </row>
    <row r="1230">
      <c r="A1230" s="10">
        <f>IF($C1230="","",COUNTA($C$9:$C1230))</f>
        <v/>
      </c>
      <c r="B1230" s="10">
        <f>IF($C1230="","","TXN-"&amp;RIGHT("0000"&amp;1222,4))</f>
        <v/>
      </c>
      <c r="C1230" s="11" t="n"/>
      <c r="D1230" s="11" t="n"/>
      <c r="E1230" s="12" t="n"/>
      <c r="F1230" s="10">
        <f>IF($E1230="","",IFERROR(IF(VLOOKUP(LEFT(UPPER(TRIM($E1230)),6),BankTbl,2,0)="","(بدون عنوان)",VLOOKUP(LEFT(UPPER(TRIM($E1230)),6),BankTbl,2,0)),"بانک ناشناخته"))</f>
        <v/>
      </c>
      <c r="G1230" s="11" t="n"/>
      <c r="H1230" s="10">
        <f>IF($G1230="","",IFERROR(VLOOKUP($G1230,CustTbl,2,0),IFERROR(VLOOKUP($G1230,SuppTbl,2,0),IFERROR(VLOOKUP($G1230,AcctTbl,2,0),IFERROR(VLOOKUP($G1230,StaffTbl,2,0),"کد ناشناخته")))))</f>
        <v/>
      </c>
      <c r="I1230" s="12" t="n"/>
      <c r="J1230" s="12" t="n"/>
      <c r="K1230" s="13" t="n"/>
      <c r="L1230" s="13" t="n"/>
      <c r="M1230" s="13" t="n"/>
      <c r="N1230" s="14">
        <f>IF(OR($C1230="",$E1230="",Calc!$H1230=""),"",IFERROR(VLOOKUP(LEFT(UPPER(TRIM($E1230)),6),BankTbl,3,0),0)+SUMIFS(CalcDep,CalcBank,LEFT(UPPER(TRIM($E1230)),6),CalcKey,"&lt;="&amp;Calc!$H1230)-SUMIFS(CalcWit,CalcBank,LEFT(UPPER(TRIM($E1230)),6),CalcKey,"&lt;="&amp;Calc!$H1230))</f>
        <v/>
      </c>
      <c r="O1230" s="10">
        <f>IF(OR($C1230="",$M1230=""),"",IF($N1230="","؟",IF(ROUND($M1230-$N1230,0)=0,"√","×")))</f>
        <v/>
      </c>
      <c r="P1230" s="12" t="n"/>
    </row>
    <row r="1231">
      <c r="A1231" s="10">
        <f>IF($C1231="","",COUNTA($C$9:$C1231))</f>
        <v/>
      </c>
      <c r="B1231" s="10">
        <f>IF($C1231="","","TXN-"&amp;RIGHT("0000"&amp;1223,4))</f>
        <v/>
      </c>
      <c r="C1231" s="11" t="n"/>
      <c r="D1231" s="11" t="n"/>
      <c r="E1231" s="12" t="n"/>
      <c r="F1231" s="10">
        <f>IF($E1231="","",IFERROR(IF(VLOOKUP(LEFT(UPPER(TRIM($E1231)),6),BankTbl,2,0)="","(بدون عنوان)",VLOOKUP(LEFT(UPPER(TRIM($E1231)),6),BankTbl,2,0)),"بانک ناشناخته"))</f>
        <v/>
      </c>
      <c r="G1231" s="11" t="n"/>
      <c r="H1231" s="10">
        <f>IF($G1231="","",IFERROR(VLOOKUP($G1231,CustTbl,2,0),IFERROR(VLOOKUP($G1231,SuppTbl,2,0),IFERROR(VLOOKUP($G1231,AcctTbl,2,0),IFERROR(VLOOKUP($G1231,StaffTbl,2,0),"کد ناشناخته")))))</f>
        <v/>
      </c>
      <c r="I1231" s="12" t="n"/>
      <c r="J1231" s="12" t="n"/>
      <c r="K1231" s="13" t="n"/>
      <c r="L1231" s="13" t="n"/>
      <c r="M1231" s="13" t="n"/>
      <c r="N1231" s="14">
        <f>IF(OR($C1231="",$E1231="",Calc!$H1231=""),"",IFERROR(VLOOKUP(LEFT(UPPER(TRIM($E1231)),6),BankTbl,3,0),0)+SUMIFS(CalcDep,CalcBank,LEFT(UPPER(TRIM($E1231)),6),CalcKey,"&lt;="&amp;Calc!$H1231)-SUMIFS(CalcWit,CalcBank,LEFT(UPPER(TRIM($E1231)),6),CalcKey,"&lt;="&amp;Calc!$H1231))</f>
        <v/>
      </c>
      <c r="O1231" s="10">
        <f>IF(OR($C1231="",$M1231=""),"",IF($N1231="","؟",IF(ROUND($M1231-$N1231,0)=0,"√","×")))</f>
        <v/>
      </c>
      <c r="P1231" s="12" t="n"/>
    </row>
    <row r="1232">
      <c r="A1232" s="10">
        <f>IF($C1232="","",COUNTA($C$9:$C1232))</f>
        <v/>
      </c>
      <c r="B1232" s="10">
        <f>IF($C1232="","","TXN-"&amp;RIGHT("0000"&amp;1224,4))</f>
        <v/>
      </c>
      <c r="C1232" s="11" t="n"/>
      <c r="D1232" s="11" t="n"/>
      <c r="E1232" s="12" t="n"/>
      <c r="F1232" s="10">
        <f>IF($E1232="","",IFERROR(IF(VLOOKUP(LEFT(UPPER(TRIM($E1232)),6),BankTbl,2,0)="","(بدون عنوان)",VLOOKUP(LEFT(UPPER(TRIM($E1232)),6),BankTbl,2,0)),"بانک ناشناخته"))</f>
        <v/>
      </c>
      <c r="G1232" s="11" t="n"/>
      <c r="H1232" s="10">
        <f>IF($G1232="","",IFERROR(VLOOKUP($G1232,CustTbl,2,0),IFERROR(VLOOKUP($G1232,SuppTbl,2,0),IFERROR(VLOOKUP($G1232,AcctTbl,2,0),IFERROR(VLOOKUP($G1232,StaffTbl,2,0),"کد ناشناخته")))))</f>
        <v/>
      </c>
      <c r="I1232" s="12" t="n"/>
      <c r="J1232" s="12" t="n"/>
      <c r="K1232" s="13" t="n"/>
      <c r="L1232" s="13" t="n"/>
      <c r="M1232" s="13" t="n"/>
      <c r="N1232" s="14">
        <f>IF(OR($C1232="",$E1232="",Calc!$H1232=""),"",IFERROR(VLOOKUP(LEFT(UPPER(TRIM($E1232)),6),BankTbl,3,0),0)+SUMIFS(CalcDep,CalcBank,LEFT(UPPER(TRIM($E1232)),6),CalcKey,"&lt;="&amp;Calc!$H1232)-SUMIFS(CalcWit,CalcBank,LEFT(UPPER(TRIM($E1232)),6),CalcKey,"&lt;="&amp;Calc!$H1232))</f>
        <v/>
      </c>
      <c r="O1232" s="10">
        <f>IF(OR($C1232="",$M1232=""),"",IF($N1232="","؟",IF(ROUND($M1232-$N1232,0)=0,"√","×")))</f>
        <v/>
      </c>
      <c r="P1232" s="12" t="n"/>
    </row>
    <row r="1233">
      <c r="A1233" s="10">
        <f>IF($C1233="","",COUNTA($C$9:$C1233))</f>
        <v/>
      </c>
      <c r="B1233" s="10">
        <f>IF($C1233="","","TXN-"&amp;RIGHT("0000"&amp;1225,4))</f>
        <v/>
      </c>
      <c r="C1233" s="11" t="n"/>
      <c r="D1233" s="11" t="n"/>
      <c r="E1233" s="12" t="n"/>
      <c r="F1233" s="10">
        <f>IF($E1233="","",IFERROR(IF(VLOOKUP(LEFT(UPPER(TRIM($E1233)),6),BankTbl,2,0)="","(بدون عنوان)",VLOOKUP(LEFT(UPPER(TRIM($E1233)),6),BankTbl,2,0)),"بانک ناشناخته"))</f>
        <v/>
      </c>
      <c r="G1233" s="11" t="n"/>
      <c r="H1233" s="10">
        <f>IF($G1233="","",IFERROR(VLOOKUP($G1233,CustTbl,2,0),IFERROR(VLOOKUP($G1233,SuppTbl,2,0),IFERROR(VLOOKUP($G1233,AcctTbl,2,0),IFERROR(VLOOKUP($G1233,StaffTbl,2,0),"کد ناشناخته")))))</f>
        <v/>
      </c>
      <c r="I1233" s="12" t="n"/>
      <c r="J1233" s="12" t="n"/>
      <c r="K1233" s="13" t="n"/>
      <c r="L1233" s="13" t="n"/>
      <c r="M1233" s="13" t="n"/>
      <c r="N1233" s="14">
        <f>IF(OR($C1233="",$E1233="",Calc!$H1233=""),"",IFERROR(VLOOKUP(LEFT(UPPER(TRIM($E1233)),6),BankTbl,3,0),0)+SUMIFS(CalcDep,CalcBank,LEFT(UPPER(TRIM($E1233)),6),CalcKey,"&lt;="&amp;Calc!$H1233)-SUMIFS(CalcWit,CalcBank,LEFT(UPPER(TRIM($E1233)),6),CalcKey,"&lt;="&amp;Calc!$H1233))</f>
        <v/>
      </c>
      <c r="O1233" s="10">
        <f>IF(OR($C1233="",$M1233=""),"",IF($N1233="","؟",IF(ROUND($M1233-$N1233,0)=0,"√","×")))</f>
        <v/>
      </c>
      <c r="P1233" s="12" t="n"/>
    </row>
    <row r="1234">
      <c r="A1234" s="10">
        <f>IF($C1234="","",COUNTA($C$9:$C1234))</f>
        <v/>
      </c>
      <c r="B1234" s="10">
        <f>IF($C1234="","","TXN-"&amp;RIGHT("0000"&amp;1226,4))</f>
        <v/>
      </c>
      <c r="C1234" s="11" t="n"/>
      <c r="D1234" s="11" t="n"/>
      <c r="E1234" s="12" t="n"/>
      <c r="F1234" s="10">
        <f>IF($E1234="","",IFERROR(IF(VLOOKUP(LEFT(UPPER(TRIM($E1234)),6),BankTbl,2,0)="","(بدون عنوان)",VLOOKUP(LEFT(UPPER(TRIM($E1234)),6),BankTbl,2,0)),"بانک ناشناخته"))</f>
        <v/>
      </c>
      <c r="G1234" s="11" t="n"/>
      <c r="H1234" s="10">
        <f>IF($G1234="","",IFERROR(VLOOKUP($G1234,CustTbl,2,0),IFERROR(VLOOKUP($G1234,SuppTbl,2,0),IFERROR(VLOOKUP($G1234,AcctTbl,2,0),IFERROR(VLOOKUP($G1234,StaffTbl,2,0),"کد ناشناخته")))))</f>
        <v/>
      </c>
      <c r="I1234" s="12" t="n"/>
      <c r="J1234" s="12" t="n"/>
      <c r="K1234" s="13" t="n"/>
      <c r="L1234" s="13" t="n"/>
      <c r="M1234" s="13" t="n"/>
      <c r="N1234" s="14">
        <f>IF(OR($C1234="",$E1234="",Calc!$H1234=""),"",IFERROR(VLOOKUP(LEFT(UPPER(TRIM($E1234)),6),BankTbl,3,0),0)+SUMIFS(CalcDep,CalcBank,LEFT(UPPER(TRIM($E1234)),6),CalcKey,"&lt;="&amp;Calc!$H1234)-SUMIFS(CalcWit,CalcBank,LEFT(UPPER(TRIM($E1234)),6),CalcKey,"&lt;="&amp;Calc!$H1234))</f>
        <v/>
      </c>
      <c r="O1234" s="10">
        <f>IF(OR($C1234="",$M1234=""),"",IF($N1234="","؟",IF(ROUND($M1234-$N1234,0)=0,"√","×")))</f>
        <v/>
      </c>
      <c r="P1234" s="12" t="n"/>
    </row>
    <row r="1235">
      <c r="A1235" s="10">
        <f>IF($C1235="","",COUNTA($C$9:$C1235))</f>
        <v/>
      </c>
      <c r="B1235" s="10">
        <f>IF($C1235="","","TXN-"&amp;RIGHT("0000"&amp;1227,4))</f>
        <v/>
      </c>
      <c r="C1235" s="11" t="n"/>
      <c r="D1235" s="11" t="n"/>
      <c r="E1235" s="12" t="n"/>
      <c r="F1235" s="10">
        <f>IF($E1235="","",IFERROR(IF(VLOOKUP(LEFT(UPPER(TRIM($E1235)),6),BankTbl,2,0)="","(بدون عنوان)",VLOOKUP(LEFT(UPPER(TRIM($E1235)),6),BankTbl,2,0)),"بانک ناشناخته"))</f>
        <v/>
      </c>
      <c r="G1235" s="11" t="n"/>
      <c r="H1235" s="10">
        <f>IF($G1235="","",IFERROR(VLOOKUP($G1235,CustTbl,2,0),IFERROR(VLOOKUP($G1235,SuppTbl,2,0),IFERROR(VLOOKUP($G1235,AcctTbl,2,0),IFERROR(VLOOKUP($G1235,StaffTbl,2,0),"کد ناشناخته")))))</f>
        <v/>
      </c>
      <c r="I1235" s="12" t="n"/>
      <c r="J1235" s="12" t="n"/>
      <c r="K1235" s="13" t="n"/>
      <c r="L1235" s="13" t="n"/>
      <c r="M1235" s="13" t="n"/>
      <c r="N1235" s="14">
        <f>IF(OR($C1235="",$E1235="",Calc!$H1235=""),"",IFERROR(VLOOKUP(LEFT(UPPER(TRIM($E1235)),6),BankTbl,3,0),0)+SUMIFS(CalcDep,CalcBank,LEFT(UPPER(TRIM($E1235)),6),CalcKey,"&lt;="&amp;Calc!$H1235)-SUMIFS(CalcWit,CalcBank,LEFT(UPPER(TRIM($E1235)),6),CalcKey,"&lt;="&amp;Calc!$H1235))</f>
        <v/>
      </c>
      <c r="O1235" s="10">
        <f>IF(OR($C1235="",$M1235=""),"",IF($N1235="","؟",IF(ROUND($M1235-$N1235,0)=0,"√","×")))</f>
        <v/>
      </c>
      <c r="P1235" s="12" t="n"/>
    </row>
    <row r="1236">
      <c r="A1236" s="10">
        <f>IF($C1236="","",COUNTA($C$9:$C1236))</f>
        <v/>
      </c>
      <c r="B1236" s="10">
        <f>IF($C1236="","","TXN-"&amp;RIGHT("0000"&amp;1228,4))</f>
        <v/>
      </c>
      <c r="C1236" s="11" t="n"/>
      <c r="D1236" s="11" t="n"/>
      <c r="E1236" s="12" t="n"/>
      <c r="F1236" s="10">
        <f>IF($E1236="","",IFERROR(IF(VLOOKUP(LEFT(UPPER(TRIM($E1236)),6),BankTbl,2,0)="","(بدون عنوان)",VLOOKUP(LEFT(UPPER(TRIM($E1236)),6),BankTbl,2,0)),"بانک ناشناخته"))</f>
        <v/>
      </c>
      <c r="G1236" s="11" t="n"/>
      <c r="H1236" s="10">
        <f>IF($G1236="","",IFERROR(VLOOKUP($G1236,CustTbl,2,0),IFERROR(VLOOKUP($G1236,SuppTbl,2,0),IFERROR(VLOOKUP($G1236,AcctTbl,2,0),IFERROR(VLOOKUP($G1236,StaffTbl,2,0),"کد ناشناخته")))))</f>
        <v/>
      </c>
      <c r="I1236" s="12" t="n"/>
      <c r="J1236" s="12" t="n"/>
      <c r="K1236" s="13" t="n"/>
      <c r="L1236" s="13" t="n"/>
      <c r="M1236" s="13" t="n"/>
      <c r="N1236" s="14">
        <f>IF(OR($C1236="",$E1236="",Calc!$H1236=""),"",IFERROR(VLOOKUP(LEFT(UPPER(TRIM($E1236)),6),BankTbl,3,0),0)+SUMIFS(CalcDep,CalcBank,LEFT(UPPER(TRIM($E1236)),6),CalcKey,"&lt;="&amp;Calc!$H1236)-SUMIFS(CalcWit,CalcBank,LEFT(UPPER(TRIM($E1236)),6),CalcKey,"&lt;="&amp;Calc!$H1236))</f>
        <v/>
      </c>
      <c r="O1236" s="10">
        <f>IF(OR($C1236="",$M1236=""),"",IF($N1236="","؟",IF(ROUND($M1236-$N1236,0)=0,"√","×")))</f>
        <v/>
      </c>
      <c r="P1236" s="12" t="n"/>
    </row>
    <row r="1237">
      <c r="A1237" s="10">
        <f>IF($C1237="","",COUNTA($C$9:$C1237))</f>
        <v/>
      </c>
      <c r="B1237" s="10">
        <f>IF($C1237="","","TXN-"&amp;RIGHT("0000"&amp;1229,4))</f>
        <v/>
      </c>
      <c r="C1237" s="11" t="n"/>
      <c r="D1237" s="11" t="n"/>
      <c r="E1237" s="12" t="n"/>
      <c r="F1237" s="10">
        <f>IF($E1237="","",IFERROR(IF(VLOOKUP(LEFT(UPPER(TRIM($E1237)),6),BankTbl,2,0)="","(بدون عنوان)",VLOOKUP(LEFT(UPPER(TRIM($E1237)),6),BankTbl,2,0)),"بانک ناشناخته"))</f>
        <v/>
      </c>
      <c r="G1237" s="11" t="n"/>
      <c r="H1237" s="10">
        <f>IF($G1237="","",IFERROR(VLOOKUP($G1237,CustTbl,2,0),IFERROR(VLOOKUP($G1237,SuppTbl,2,0),IFERROR(VLOOKUP($G1237,AcctTbl,2,0),IFERROR(VLOOKUP($G1237,StaffTbl,2,0),"کد ناشناخته")))))</f>
        <v/>
      </c>
      <c r="I1237" s="12" t="n"/>
      <c r="J1237" s="12" t="n"/>
      <c r="K1237" s="13" t="n"/>
      <c r="L1237" s="13" t="n"/>
      <c r="M1237" s="13" t="n"/>
      <c r="N1237" s="14">
        <f>IF(OR($C1237="",$E1237="",Calc!$H1237=""),"",IFERROR(VLOOKUP(LEFT(UPPER(TRIM($E1237)),6),BankTbl,3,0),0)+SUMIFS(CalcDep,CalcBank,LEFT(UPPER(TRIM($E1237)),6),CalcKey,"&lt;="&amp;Calc!$H1237)-SUMIFS(CalcWit,CalcBank,LEFT(UPPER(TRIM($E1237)),6),CalcKey,"&lt;="&amp;Calc!$H1237))</f>
        <v/>
      </c>
      <c r="O1237" s="10">
        <f>IF(OR($C1237="",$M1237=""),"",IF($N1237="","؟",IF(ROUND($M1237-$N1237,0)=0,"√","×")))</f>
        <v/>
      </c>
      <c r="P1237" s="12" t="n"/>
    </row>
    <row r="1238">
      <c r="A1238" s="10">
        <f>IF($C1238="","",COUNTA($C$9:$C1238))</f>
        <v/>
      </c>
      <c r="B1238" s="10">
        <f>IF($C1238="","","TXN-"&amp;RIGHT("0000"&amp;1230,4))</f>
        <v/>
      </c>
      <c r="C1238" s="11" t="n"/>
      <c r="D1238" s="11" t="n"/>
      <c r="E1238" s="12" t="n"/>
      <c r="F1238" s="10">
        <f>IF($E1238="","",IFERROR(IF(VLOOKUP(LEFT(UPPER(TRIM($E1238)),6),BankTbl,2,0)="","(بدون عنوان)",VLOOKUP(LEFT(UPPER(TRIM($E1238)),6),BankTbl,2,0)),"بانک ناشناخته"))</f>
        <v/>
      </c>
      <c r="G1238" s="11" t="n"/>
      <c r="H1238" s="10">
        <f>IF($G1238="","",IFERROR(VLOOKUP($G1238,CustTbl,2,0),IFERROR(VLOOKUP($G1238,SuppTbl,2,0),IFERROR(VLOOKUP($G1238,AcctTbl,2,0),IFERROR(VLOOKUP($G1238,StaffTbl,2,0),"کد ناشناخته")))))</f>
        <v/>
      </c>
      <c r="I1238" s="12" t="n"/>
      <c r="J1238" s="12" t="n"/>
      <c r="K1238" s="13" t="n"/>
      <c r="L1238" s="13" t="n"/>
      <c r="M1238" s="13" t="n"/>
      <c r="N1238" s="14">
        <f>IF(OR($C1238="",$E1238="",Calc!$H1238=""),"",IFERROR(VLOOKUP(LEFT(UPPER(TRIM($E1238)),6),BankTbl,3,0),0)+SUMIFS(CalcDep,CalcBank,LEFT(UPPER(TRIM($E1238)),6),CalcKey,"&lt;="&amp;Calc!$H1238)-SUMIFS(CalcWit,CalcBank,LEFT(UPPER(TRIM($E1238)),6),CalcKey,"&lt;="&amp;Calc!$H1238))</f>
        <v/>
      </c>
      <c r="O1238" s="10">
        <f>IF(OR($C1238="",$M1238=""),"",IF($N1238="","؟",IF(ROUND($M1238-$N1238,0)=0,"√","×")))</f>
        <v/>
      </c>
      <c r="P1238" s="12" t="n"/>
    </row>
    <row r="1239">
      <c r="A1239" s="10">
        <f>IF($C1239="","",COUNTA($C$9:$C1239))</f>
        <v/>
      </c>
      <c r="B1239" s="10">
        <f>IF($C1239="","","TXN-"&amp;RIGHT("0000"&amp;1231,4))</f>
        <v/>
      </c>
      <c r="C1239" s="11" t="n"/>
      <c r="D1239" s="11" t="n"/>
      <c r="E1239" s="12" t="n"/>
      <c r="F1239" s="10">
        <f>IF($E1239="","",IFERROR(IF(VLOOKUP(LEFT(UPPER(TRIM($E1239)),6),BankTbl,2,0)="","(بدون عنوان)",VLOOKUP(LEFT(UPPER(TRIM($E1239)),6),BankTbl,2,0)),"بانک ناشناخته"))</f>
        <v/>
      </c>
      <c r="G1239" s="11" t="n"/>
      <c r="H1239" s="10">
        <f>IF($G1239="","",IFERROR(VLOOKUP($G1239,CustTbl,2,0),IFERROR(VLOOKUP($G1239,SuppTbl,2,0),IFERROR(VLOOKUP($G1239,AcctTbl,2,0),IFERROR(VLOOKUP($G1239,StaffTbl,2,0),"کد ناشناخته")))))</f>
        <v/>
      </c>
      <c r="I1239" s="12" t="n"/>
      <c r="J1239" s="12" t="n"/>
      <c r="K1239" s="13" t="n"/>
      <c r="L1239" s="13" t="n"/>
      <c r="M1239" s="13" t="n"/>
      <c r="N1239" s="14">
        <f>IF(OR($C1239="",$E1239="",Calc!$H1239=""),"",IFERROR(VLOOKUP(LEFT(UPPER(TRIM($E1239)),6),BankTbl,3,0),0)+SUMIFS(CalcDep,CalcBank,LEFT(UPPER(TRIM($E1239)),6),CalcKey,"&lt;="&amp;Calc!$H1239)-SUMIFS(CalcWit,CalcBank,LEFT(UPPER(TRIM($E1239)),6),CalcKey,"&lt;="&amp;Calc!$H1239))</f>
        <v/>
      </c>
      <c r="O1239" s="10">
        <f>IF(OR($C1239="",$M1239=""),"",IF($N1239="","؟",IF(ROUND($M1239-$N1239,0)=0,"√","×")))</f>
        <v/>
      </c>
      <c r="P1239" s="12" t="n"/>
    </row>
    <row r="1240">
      <c r="A1240" s="10">
        <f>IF($C1240="","",COUNTA($C$9:$C1240))</f>
        <v/>
      </c>
      <c r="B1240" s="10">
        <f>IF($C1240="","","TXN-"&amp;RIGHT("0000"&amp;1232,4))</f>
        <v/>
      </c>
      <c r="C1240" s="11" t="n"/>
      <c r="D1240" s="11" t="n"/>
      <c r="E1240" s="12" t="n"/>
      <c r="F1240" s="10">
        <f>IF($E1240="","",IFERROR(IF(VLOOKUP(LEFT(UPPER(TRIM($E1240)),6),BankTbl,2,0)="","(بدون عنوان)",VLOOKUP(LEFT(UPPER(TRIM($E1240)),6),BankTbl,2,0)),"بانک ناشناخته"))</f>
        <v/>
      </c>
      <c r="G1240" s="11" t="n"/>
      <c r="H1240" s="10">
        <f>IF($G1240="","",IFERROR(VLOOKUP($G1240,CustTbl,2,0),IFERROR(VLOOKUP($G1240,SuppTbl,2,0),IFERROR(VLOOKUP($G1240,AcctTbl,2,0),IFERROR(VLOOKUP($G1240,StaffTbl,2,0),"کد ناشناخته")))))</f>
        <v/>
      </c>
      <c r="I1240" s="12" t="n"/>
      <c r="J1240" s="12" t="n"/>
      <c r="K1240" s="13" t="n"/>
      <c r="L1240" s="13" t="n"/>
      <c r="M1240" s="13" t="n"/>
      <c r="N1240" s="14">
        <f>IF(OR($C1240="",$E1240="",Calc!$H1240=""),"",IFERROR(VLOOKUP(LEFT(UPPER(TRIM($E1240)),6),BankTbl,3,0),0)+SUMIFS(CalcDep,CalcBank,LEFT(UPPER(TRIM($E1240)),6),CalcKey,"&lt;="&amp;Calc!$H1240)-SUMIFS(CalcWit,CalcBank,LEFT(UPPER(TRIM($E1240)),6),CalcKey,"&lt;="&amp;Calc!$H1240))</f>
        <v/>
      </c>
      <c r="O1240" s="10">
        <f>IF(OR($C1240="",$M1240=""),"",IF($N1240="","؟",IF(ROUND($M1240-$N1240,0)=0,"√","×")))</f>
        <v/>
      </c>
      <c r="P1240" s="12" t="n"/>
    </row>
    <row r="1241">
      <c r="A1241" s="10">
        <f>IF($C1241="","",COUNTA($C$9:$C1241))</f>
        <v/>
      </c>
      <c r="B1241" s="10">
        <f>IF($C1241="","","TXN-"&amp;RIGHT("0000"&amp;1233,4))</f>
        <v/>
      </c>
      <c r="C1241" s="11" t="n"/>
      <c r="D1241" s="11" t="n"/>
      <c r="E1241" s="12" t="n"/>
      <c r="F1241" s="10">
        <f>IF($E1241="","",IFERROR(IF(VLOOKUP(LEFT(UPPER(TRIM($E1241)),6),BankTbl,2,0)="","(بدون عنوان)",VLOOKUP(LEFT(UPPER(TRIM($E1241)),6),BankTbl,2,0)),"بانک ناشناخته"))</f>
        <v/>
      </c>
      <c r="G1241" s="11" t="n"/>
      <c r="H1241" s="10">
        <f>IF($G1241="","",IFERROR(VLOOKUP($G1241,CustTbl,2,0),IFERROR(VLOOKUP($G1241,SuppTbl,2,0),IFERROR(VLOOKUP($G1241,AcctTbl,2,0),IFERROR(VLOOKUP($G1241,StaffTbl,2,0),"کد ناشناخته")))))</f>
        <v/>
      </c>
      <c r="I1241" s="12" t="n"/>
      <c r="J1241" s="12" t="n"/>
      <c r="K1241" s="13" t="n"/>
      <c r="L1241" s="13" t="n"/>
      <c r="M1241" s="13" t="n"/>
      <c r="N1241" s="14">
        <f>IF(OR($C1241="",$E1241="",Calc!$H1241=""),"",IFERROR(VLOOKUP(LEFT(UPPER(TRIM($E1241)),6),BankTbl,3,0),0)+SUMIFS(CalcDep,CalcBank,LEFT(UPPER(TRIM($E1241)),6),CalcKey,"&lt;="&amp;Calc!$H1241)-SUMIFS(CalcWit,CalcBank,LEFT(UPPER(TRIM($E1241)),6),CalcKey,"&lt;="&amp;Calc!$H1241))</f>
        <v/>
      </c>
      <c r="O1241" s="10">
        <f>IF(OR($C1241="",$M1241=""),"",IF($N1241="","؟",IF(ROUND($M1241-$N1241,0)=0,"√","×")))</f>
        <v/>
      </c>
      <c r="P1241" s="12" t="n"/>
    </row>
    <row r="1242">
      <c r="A1242" s="10">
        <f>IF($C1242="","",COUNTA($C$9:$C1242))</f>
        <v/>
      </c>
      <c r="B1242" s="10">
        <f>IF($C1242="","","TXN-"&amp;RIGHT("0000"&amp;1234,4))</f>
        <v/>
      </c>
      <c r="C1242" s="11" t="n"/>
      <c r="D1242" s="11" t="n"/>
      <c r="E1242" s="12" t="n"/>
      <c r="F1242" s="10">
        <f>IF($E1242="","",IFERROR(IF(VLOOKUP(LEFT(UPPER(TRIM($E1242)),6),BankTbl,2,0)="","(بدون عنوان)",VLOOKUP(LEFT(UPPER(TRIM($E1242)),6),BankTbl,2,0)),"بانک ناشناخته"))</f>
        <v/>
      </c>
      <c r="G1242" s="11" t="n"/>
      <c r="H1242" s="10">
        <f>IF($G1242="","",IFERROR(VLOOKUP($G1242,CustTbl,2,0),IFERROR(VLOOKUP($G1242,SuppTbl,2,0),IFERROR(VLOOKUP($G1242,AcctTbl,2,0),IFERROR(VLOOKUP($G1242,StaffTbl,2,0),"کد ناشناخته")))))</f>
        <v/>
      </c>
      <c r="I1242" s="12" t="n"/>
      <c r="J1242" s="12" t="n"/>
      <c r="K1242" s="13" t="n"/>
      <c r="L1242" s="13" t="n"/>
      <c r="M1242" s="13" t="n"/>
      <c r="N1242" s="14">
        <f>IF(OR($C1242="",$E1242="",Calc!$H1242=""),"",IFERROR(VLOOKUP(LEFT(UPPER(TRIM($E1242)),6),BankTbl,3,0),0)+SUMIFS(CalcDep,CalcBank,LEFT(UPPER(TRIM($E1242)),6),CalcKey,"&lt;="&amp;Calc!$H1242)-SUMIFS(CalcWit,CalcBank,LEFT(UPPER(TRIM($E1242)),6),CalcKey,"&lt;="&amp;Calc!$H1242))</f>
        <v/>
      </c>
      <c r="O1242" s="10">
        <f>IF(OR($C1242="",$M1242=""),"",IF($N1242="","؟",IF(ROUND($M1242-$N1242,0)=0,"√","×")))</f>
        <v/>
      </c>
      <c r="P1242" s="12" t="n"/>
    </row>
    <row r="1243">
      <c r="A1243" s="10">
        <f>IF($C1243="","",COUNTA($C$9:$C1243))</f>
        <v/>
      </c>
      <c r="B1243" s="10">
        <f>IF($C1243="","","TXN-"&amp;RIGHT("0000"&amp;1235,4))</f>
        <v/>
      </c>
      <c r="C1243" s="11" t="n"/>
      <c r="D1243" s="11" t="n"/>
      <c r="E1243" s="12" t="n"/>
      <c r="F1243" s="10">
        <f>IF($E1243="","",IFERROR(IF(VLOOKUP(LEFT(UPPER(TRIM($E1243)),6),BankTbl,2,0)="","(بدون عنوان)",VLOOKUP(LEFT(UPPER(TRIM($E1243)),6),BankTbl,2,0)),"بانک ناشناخته"))</f>
        <v/>
      </c>
      <c r="G1243" s="11" t="n"/>
      <c r="H1243" s="10">
        <f>IF($G1243="","",IFERROR(VLOOKUP($G1243,CustTbl,2,0),IFERROR(VLOOKUP($G1243,SuppTbl,2,0),IFERROR(VLOOKUP($G1243,AcctTbl,2,0),IFERROR(VLOOKUP($G1243,StaffTbl,2,0),"کد ناشناخته")))))</f>
        <v/>
      </c>
      <c r="I1243" s="12" t="n"/>
      <c r="J1243" s="12" t="n"/>
      <c r="K1243" s="13" t="n"/>
      <c r="L1243" s="13" t="n"/>
      <c r="M1243" s="13" t="n"/>
      <c r="N1243" s="14">
        <f>IF(OR($C1243="",$E1243="",Calc!$H1243=""),"",IFERROR(VLOOKUP(LEFT(UPPER(TRIM($E1243)),6),BankTbl,3,0),0)+SUMIFS(CalcDep,CalcBank,LEFT(UPPER(TRIM($E1243)),6),CalcKey,"&lt;="&amp;Calc!$H1243)-SUMIFS(CalcWit,CalcBank,LEFT(UPPER(TRIM($E1243)),6),CalcKey,"&lt;="&amp;Calc!$H1243))</f>
        <v/>
      </c>
      <c r="O1243" s="10">
        <f>IF(OR($C1243="",$M1243=""),"",IF($N1243="","؟",IF(ROUND($M1243-$N1243,0)=0,"√","×")))</f>
        <v/>
      </c>
      <c r="P1243" s="12" t="n"/>
    </row>
    <row r="1244">
      <c r="A1244" s="10">
        <f>IF($C1244="","",COUNTA($C$9:$C1244))</f>
        <v/>
      </c>
      <c r="B1244" s="10">
        <f>IF($C1244="","","TXN-"&amp;RIGHT("0000"&amp;1236,4))</f>
        <v/>
      </c>
      <c r="C1244" s="11" t="n"/>
      <c r="D1244" s="11" t="n"/>
      <c r="E1244" s="12" t="n"/>
      <c r="F1244" s="10">
        <f>IF($E1244="","",IFERROR(IF(VLOOKUP(LEFT(UPPER(TRIM($E1244)),6),BankTbl,2,0)="","(بدون عنوان)",VLOOKUP(LEFT(UPPER(TRIM($E1244)),6),BankTbl,2,0)),"بانک ناشناخته"))</f>
        <v/>
      </c>
      <c r="G1244" s="11" t="n"/>
      <c r="H1244" s="10">
        <f>IF($G1244="","",IFERROR(VLOOKUP($G1244,CustTbl,2,0),IFERROR(VLOOKUP($G1244,SuppTbl,2,0),IFERROR(VLOOKUP($G1244,AcctTbl,2,0),IFERROR(VLOOKUP($G1244,StaffTbl,2,0),"کد ناشناخته")))))</f>
        <v/>
      </c>
      <c r="I1244" s="12" t="n"/>
      <c r="J1244" s="12" t="n"/>
      <c r="K1244" s="13" t="n"/>
      <c r="L1244" s="13" t="n"/>
      <c r="M1244" s="13" t="n"/>
      <c r="N1244" s="14">
        <f>IF(OR($C1244="",$E1244="",Calc!$H1244=""),"",IFERROR(VLOOKUP(LEFT(UPPER(TRIM($E1244)),6),BankTbl,3,0),0)+SUMIFS(CalcDep,CalcBank,LEFT(UPPER(TRIM($E1244)),6),CalcKey,"&lt;="&amp;Calc!$H1244)-SUMIFS(CalcWit,CalcBank,LEFT(UPPER(TRIM($E1244)),6),CalcKey,"&lt;="&amp;Calc!$H1244))</f>
        <v/>
      </c>
      <c r="O1244" s="10">
        <f>IF(OR($C1244="",$M1244=""),"",IF($N1244="","؟",IF(ROUND($M1244-$N1244,0)=0,"√","×")))</f>
        <v/>
      </c>
      <c r="P1244" s="12" t="n"/>
    </row>
    <row r="1245">
      <c r="A1245" s="10">
        <f>IF($C1245="","",COUNTA($C$9:$C1245))</f>
        <v/>
      </c>
      <c r="B1245" s="10">
        <f>IF($C1245="","","TXN-"&amp;RIGHT("0000"&amp;1237,4))</f>
        <v/>
      </c>
      <c r="C1245" s="11" t="n"/>
      <c r="D1245" s="11" t="n"/>
      <c r="E1245" s="12" t="n"/>
      <c r="F1245" s="10">
        <f>IF($E1245="","",IFERROR(IF(VLOOKUP(LEFT(UPPER(TRIM($E1245)),6),BankTbl,2,0)="","(بدون عنوان)",VLOOKUP(LEFT(UPPER(TRIM($E1245)),6),BankTbl,2,0)),"بانک ناشناخته"))</f>
        <v/>
      </c>
      <c r="G1245" s="11" t="n"/>
      <c r="H1245" s="10">
        <f>IF($G1245="","",IFERROR(VLOOKUP($G1245,CustTbl,2,0),IFERROR(VLOOKUP($G1245,SuppTbl,2,0),IFERROR(VLOOKUP($G1245,AcctTbl,2,0),IFERROR(VLOOKUP($G1245,StaffTbl,2,0),"کد ناشناخته")))))</f>
        <v/>
      </c>
      <c r="I1245" s="12" t="n"/>
      <c r="J1245" s="12" t="n"/>
      <c r="K1245" s="13" t="n"/>
      <c r="L1245" s="13" t="n"/>
      <c r="M1245" s="13" t="n"/>
      <c r="N1245" s="14">
        <f>IF(OR($C1245="",$E1245="",Calc!$H1245=""),"",IFERROR(VLOOKUP(LEFT(UPPER(TRIM($E1245)),6),BankTbl,3,0),0)+SUMIFS(CalcDep,CalcBank,LEFT(UPPER(TRIM($E1245)),6),CalcKey,"&lt;="&amp;Calc!$H1245)-SUMIFS(CalcWit,CalcBank,LEFT(UPPER(TRIM($E1245)),6),CalcKey,"&lt;="&amp;Calc!$H1245))</f>
        <v/>
      </c>
      <c r="O1245" s="10">
        <f>IF(OR($C1245="",$M1245=""),"",IF($N1245="","؟",IF(ROUND($M1245-$N1245,0)=0,"√","×")))</f>
        <v/>
      </c>
      <c r="P1245" s="12" t="n"/>
    </row>
    <row r="1246">
      <c r="A1246" s="10">
        <f>IF($C1246="","",COUNTA($C$9:$C1246))</f>
        <v/>
      </c>
      <c r="B1246" s="10">
        <f>IF($C1246="","","TXN-"&amp;RIGHT("0000"&amp;1238,4))</f>
        <v/>
      </c>
      <c r="C1246" s="11" t="n"/>
      <c r="D1246" s="11" t="n"/>
      <c r="E1246" s="12" t="n"/>
      <c r="F1246" s="10">
        <f>IF($E1246="","",IFERROR(IF(VLOOKUP(LEFT(UPPER(TRIM($E1246)),6),BankTbl,2,0)="","(بدون عنوان)",VLOOKUP(LEFT(UPPER(TRIM($E1246)),6),BankTbl,2,0)),"بانک ناشناخته"))</f>
        <v/>
      </c>
      <c r="G1246" s="11" t="n"/>
      <c r="H1246" s="10">
        <f>IF($G1246="","",IFERROR(VLOOKUP($G1246,CustTbl,2,0),IFERROR(VLOOKUP($G1246,SuppTbl,2,0),IFERROR(VLOOKUP($G1246,AcctTbl,2,0),IFERROR(VLOOKUP($G1246,StaffTbl,2,0),"کد ناشناخته")))))</f>
        <v/>
      </c>
      <c r="I1246" s="12" t="n"/>
      <c r="J1246" s="12" t="n"/>
      <c r="K1246" s="13" t="n"/>
      <c r="L1246" s="13" t="n"/>
      <c r="M1246" s="13" t="n"/>
      <c r="N1246" s="14">
        <f>IF(OR($C1246="",$E1246="",Calc!$H1246=""),"",IFERROR(VLOOKUP(LEFT(UPPER(TRIM($E1246)),6),BankTbl,3,0),0)+SUMIFS(CalcDep,CalcBank,LEFT(UPPER(TRIM($E1246)),6),CalcKey,"&lt;="&amp;Calc!$H1246)-SUMIFS(CalcWit,CalcBank,LEFT(UPPER(TRIM($E1246)),6),CalcKey,"&lt;="&amp;Calc!$H1246))</f>
        <v/>
      </c>
      <c r="O1246" s="10">
        <f>IF(OR($C1246="",$M1246=""),"",IF($N1246="","؟",IF(ROUND($M1246-$N1246,0)=0,"√","×")))</f>
        <v/>
      </c>
      <c r="P1246" s="12" t="n"/>
    </row>
    <row r="1247">
      <c r="A1247" s="10">
        <f>IF($C1247="","",COUNTA($C$9:$C1247))</f>
        <v/>
      </c>
      <c r="B1247" s="10">
        <f>IF($C1247="","","TXN-"&amp;RIGHT("0000"&amp;1239,4))</f>
        <v/>
      </c>
      <c r="C1247" s="11" t="n"/>
      <c r="D1247" s="11" t="n"/>
      <c r="E1247" s="12" t="n"/>
      <c r="F1247" s="10">
        <f>IF($E1247="","",IFERROR(IF(VLOOKUP(LEFT(UPPER(TRIM($E1247)),6),BankTbl,2,0)="","(بدون عنوان)",VLOOKUP(LEFT(UPPER(TRIM($E1247)),6),BankTbl,2,0)),"بانک ناشناخته"))</f>
        <v/>
      </c>
      <c r="G1247" s="11" t="n"/>
      <c r="H1247" s="10">
        <f>IF($G1247="","",IFERROR(VLOOKUP($G1247,CustTbl,2,0),IFERROR(VLOOKUP($G1247,SuppTbl,2,0),IFERROR(VLOOKUP($G1247,AcctTbl,2,0),IFERROR(VLOOKUP($G1247,StaffTbl,2,0),"کد ناشناخته")))))</f>
        <v/>
      </c>
      <c r="I1247" s="12" t="n"/>
      <c r="J1247" s="12" t="n"/>
      <c r="K1247" s="13" t="n"/>
      <c r="L1247" s="13" t="n"/>
      <c r="M1247" s="13" t="n"/>
      <c r="N1247" s="14">
        <f>IF(OR($C1247="",$E1247="",Calc!$H1247=""),"",IFERROR(VLOOKUP(LEFT(UPPER(TRIM($E1247)),6),BankTbl,3,0),0)+SUMIFS(CalcDep,CalcBank,LEFT(UPPER(TRIM($E1247)),6),CalcKey,"&lt;="&amp;Calc!$H1247)-SUMIFS(CalcWit,CalcBank,LEFT(UPPER(TRIM($E1247)),6),CalcKey,"&lt;="&amp;Calc!$H1247))</f>
        <v/>
      </c>
      <c r="O1247" s="10">
        <f>IF(OR($C1247="",$M1247=""),"",IF($N1247="","؟",IF(ROUND($M1247-$N1247,0)=0,"√","×")))</f>
        <v/>
      </c>
      <c r="P1247" s="12" t="n"/>
    </row>
    <row r="1248">
      <c r="A1248" s="10">
        <f>IF($C1248="","",COUNTA($C$9:$C1248))</f>
        <v/>
      </c>
      <c r="B1248" s="10">
        <f>IF($C1248="","","TXN-"&amp;RIGHT("0000"&amp;1240,4))</f>
        <v/>
      </c>
      <c r="C1248" s="11" t="n"/>
      <c r="D1248" s="11" t="n"/>
      <c r="E1248" s="12" t="n"/>
      <c r="F1248" s="10">
        <f>IF($E1248="","",IFERROR(IF(VLOOKUP(LEFT(UPPER(TRIM($E1248)),6),BankTbl,2,0)="","(بدون عنوان)",VLOOKUP(LEFT(UPPER(TRIM($E1248)),6),BankTbl,2,0)),"بانک ناشناخته"))</f>
        <v/>
      </c>
      <c r="G1248" s="11" t="n"/>
      <c r="H1248" s="10">
        <f>IF($G1248="","",IFERROR(VLOOKUP($G1248,CustTbl,2,0),IFERROR(VLOOKUP($G1248,SuppTbl,2,0),IFERROR(VLOOKUP($G1248,AcctTbl,2,0),IFERROR(VLOOKUP($G1248,StaffTbl,2,0),"کد ناشناخته")))))</f>
        <v/>
      </c>
      <c r="I1248" s="12" t="n"/>
      <c r="J1248" s="12" t="n"/>
      <c r="K1248" s="13" t="n"/>
      <c r="L1248" s="13" t="n"/>
      <c r="M1248" s="13" t="n"/>
      <c r="N1248" s="14">
        <f>IF(OR($C1248="",$E1248="",Calc!$H1248=""),"",IFERROR(VLOOKUP(LEFT(UPPER(TRIM($E1248)),6),BankTbl,3,0),0)+SUMIFS(CalcDep,CalcBank,LEFT(UPPER(TRIM($E1248)),6),CalcKey,"&lt;="&amp;Calc!$H1248)-SUMIFS(CalcWit,CalcBank,LEFT(UPPER(TRIM($E1248)),6),CalcKey,"&lt;="&amp;Calc!$H1248))</f>
        <v/>
      </c>
      <c r="O1248" s="10">
        <f>IF(OR($C1248="",$M1248=""),"",IF($N1248="","؟",IF(ROUND($M1248-$N1248,0)=0,"√","×")))</f>
        <v/>
      </c>
      <c r="P1248" s="12" t="n"/>
    </row>
    <row r="1249">
      <c r="A1249" s="10">
        <f>IF($C1249="","",COUNTA($C$9:$C1249))</f>
        <v/>
      </c>
      <c r="B1249" s="10">
        <f>IF($C1249="","","TXN-"&amp;RIGHT("0000"&amp;1241,4))</f>
        <v/>
      </c>
      <c r="C1249" s="11" t="n"/>
      <c r="D1249" s="11" t="n"/>
      <c r="E1249" s="12" t="n"/>
      <c r="F1249" s="10">
        <f>IF($E1249="","",IFERROR(IF(VLOOKUP(LEFT(UPPER(TRIM($E1249)),6),BankTbl,2,0)="","(بدون عنوان)",VLOOKUP(LEFT(UPPER(TRIM($E1249)),6),BankTbl,2,0)),"بانک ناشناخته"))</f>
        <v/>
      </c>
      <c r="G1249" s="11" t="n"/>
      <c r="H1249" s="10">
        <f>IF($G1249="","",IFERROR(VLOOKUP($G1249,CustTbl,2,0),IFERROR(VLOOKUP($G1249,SuppTbl,2,0),IFERROR(VLOOKUP($G1249,AcctTbl,2,0),IFERROR(VLOOKUP($G1249,StaffTbl,2,0),"کد ناشناخته")))))</f>
        <v/>
      </c>
      <c r="I1249" s="12" t="n"/>
      <c r="J1249" s="12" t="n"/>
      <c r="K1249" s="13" t="n"/>
      <c r="L1249" s="13" t="n"/>
      <c r="M1249" s="13" t="n"/>
      <c r="N1249" s="14">
        <f>IF(OR($C1249="",$E1249="",Calc!$H1249=""),"",IFERROR(VLOOKUP(LEFT(UPPER(TRIM($E1249)),6),BankTbl,3,0),0)+SUMIFS(CalcDep,CalcBank,LEFT(UPPER(TRIM($E1249)),6),CalcKey,"&lt;="&amp;Calc!$H1249)-SUMIFS(CalcWit,CalcBank,LEFT(UPPER(TRIM($E1249)),6),CalcKey,"&lt;="&amp;Calc!$H1249))</f>
        <v/>
      </c>
      <c r="O1249" s="10">
        <f>IF(OR($C1249="",$M1249=""),"",IF($N1249="","؟",IF(ROUND($M1249-$N1249,0)=0,"√","×")))</f>
        <v/>
      </c>
      <c r="P1249" s="12" t="n"/>
    </row>
    <row r="1250">
      <c r="A1250" s="10">
        <f>IF($C1250="","",COUNTA($C$9:$C1250))</f>
        <v/>
      </c>
      <c r="B1250" s="10">
        <f>IF($C1250="","","TXN-"&amp;RIGHT("0000"&amp;1242,4))</f>
        <v/>
      </c>
      <c r="C1250" s="11" t="n"/>
      <c r="D1250" s="11" t="n"/>
      <c r="E1250" s="12" t="n"/>
      <c r="F1250" s="10">
        <f>IF($E1250="","",IFERROR(IF(VLOOKUP(LEFT(UPPER(TRIM($E1250)),6),BankTbl,2,0)="","(بدون عنوان)",VLOOKUP(LEFT(UPPER(TRIM($E1250)),6),BankTbl,2,0)),"بانک ناشناخته"))</f>
        <v/>
      </c>
      <c r="G1250" s="11" t="n"/>
      <c r="H1250" s="10">
        <f>IF($G1250="","",IFERROR(VLOOKUP($G1250,CustTbl,2,0),IFERROR(VLOOKUP($G1250,SuppTbl,2,0),IFERROR(VLOOKUP($G1250,AcctTbl,2,0),IFERROR(VLOOKUP($G1250,StaffTbl,2,0),"کد ناشناخته")))))</f>
        <v/>
      </c>
      <c r="I1250" s="12" t="n"/>
      <c r="J1250" s="12" t="n"/>
      <c r="K1250" s="13" t="n"/>
      <c r="L1250" s="13" t="n"/>
      <c r="M1250" s="13" t="n"/>
      <c r="N1250" s="14">
        <f>IF(OR($C1250="",$E1250="",Calc!$H1250=""),"",IFERROR(VLOOKUP(LEFT(UPPER(TRIM($E1250)),6),BankTbl,3,0),0)+SUMIFS(CalcDep,CalcBank,LEFT(UPPER(TRIM($E1250)),6),CalcKey,"&lt;="&amp;Calc!$H1250)-SUMIFS(CalcWit,CalcBank,LEFT(UPPER(TRIM($E1250)),6),CalcKey,"&lt;="&amp;Calc!$H1250))</f>
        <v/>
      </c>
      <c r="O1250" s="10">
        <f>IF(OR($C1250="",$M1250=""),"",IF($N1250="","؟",IF(ROUND($M1250-$N1250,0)=0,"√","×")))</f>
        <v/>
      </c>
      <c r="P1250" s="12" t="n"/>
    </row>
    <row r="1251">
      <c r="A1251" s="10">
        <f>IF($C1251="","",COUNTA($C$9:$C1251))</f>
        <v/>
      </c>
      <c r="B1251" s="10">
        <f>IF($C1251="","","TXN-"&amp;RIGHT("0000"&amp;1243,4))</f>
        <v/>
      </c>
      <c r="C1251" s="11" t="n"/>
      <c r="D1251" s="11" t="n"/>
      <c r="E1251" s="12" t="n"/>
      <c r="F1251" s="10">
        <f>IF($E1251="","",IFERROR(IF(VLOOKUP(LEFT(UPPER(TRIM($E1251)),6),BankTbl,2,0)="","(بدون عنوان)",VLOOKUP(LEFT(UPPER(TRIM($E1251)),6),BankTbl,2,0)),"بانک ناشناخته"))</f>
        <v/>
      </c>
      <c r="G1251" s="11" t="n"/>
      <c r="H1251" s="10">
        <f>IF($G1251="","",IFERROR(VLOOKUP($G1251,CustTbl,2,0),IFERROR(VLOOKUP($G1251,SuppTbl,2,0),IFERROR(VLOOKUP($G1251,AcctTbl,2,0),IFERROR(VLOOKUP($G1251,StaffTbl,2,0),"کد ناشناخته")))))</f>
        <v/>
      </c>
      <c r="I1251" s="12" t="n"/>
      <c r="J1251" s="12" t="n"/>
      <c r="K1251" s="13" t="n"/>
      <c r="L1251" s="13" t="n"/>
      <c r="M1251" s="13" t="n"/>
      <c r="N1251" s="14">
        <f>IF(OR($C1251="",$E1251="",Calc!$H1251=""),"",IFERROR(VLOOKUP(LEFT(UPPER(TRIM($E1251)),6),BankTbl,3,0),0)+SUMIFS(CalcDep,CalcBank,LEFT(UPPER(TRIM($E1251)),6),CalcKey,"&lt;="&amp;Calc!$H1251)-SUMIFS(CalcWit,CalcBank,LEFT(UPPER(TRIM($E1251)),6),CalcKey,"&lt;="&amp;Calc!$H1251))</f>
        <v/>
      </c>
      <c r="O1251" s="10">
        <f>IF(OR($C1251="",$M1251=""),"",IF($N1251="","؟",IF(ROUND($M1251-$N1251,0)=0,"√","×")))</f>
        <v/>
      </c>
      <c r="P1251" s="12" t="n"/>
    </row>
    <row r="1252">
      <c r="A1252" s="10">
        <f>IF($C1252="","",COUNTA($C$9:$C1252))</f>
        <v/>
      </c>
      <c r="B1252" s="10">
        <f>IF($C1252="","","TXN-"&amp;RIGHT("0000"&amp;1244,4))</f>
        <v/>
      </c>
      <c r="C1252" s="11" t="n"/>
      <c r="D1252" s="11" t="n"/>
      <c r="E1252" s="12" t="n"/>
      <c r="F1252" s="10">
        <f>IF($E1252="","",IFERROR(IF(VLOOKUP(LEFT(UPPER(TRIM($E1252)),6),BankTbl,2,0)="","(بدون عنوان)",VLOOKUP(LEFT(UPPER(TRIM($E1252)),6),BankTbl,2,0)),"بانک ناشناخته"))</f>
        <v/>
      </c>
      <c r="G1252" s="11" t="n"/>
      <c r="H1252" s="10">
        <f>IF($G1252="","",IFERROR(VLOOKUP($G1252,CustTbl,2,0),IFERROR(VLOOKUP($G1252,SuppTbl,2,0),IFERROR(VLOOKUP($G1252,AcctTbl,2,0),IFERROR(VLOOKUP($G1252,StaffTbl,2,0),"کد ناشناخته")))))</f>
        <v/>
      </c>
      <c r="I1252" s="12" t="n"/>
      <c r="J1252" s="12" t="n"/>
      <c r="K1252" s="13" t="n"/>
      <c r="L1252" s="13" t="n"/>
      <c r="M1252" s="13" t="n"/>
      <c r="N1252" s="14">
        <f>IF(OR($C1252="",$E1252="",Calc!$H1252=""),"",IFERROR(VLOOKUP(LEFT(UPPER(TRIM($E1252)),6),BankTbl,3,0),0)+SUMIFS(CalcDep,CalcBank,LEFT(UPPER(TRIM($E1252)),6),CalcKey,"&lt;="&amp;Calc!$H1252)-SUMIFS(CalcWit,CalcBank,LEFT(UPPER(TRIM($E1252)),6),CalcKey,"&lt;="&amp;Calc!$H1252))</f>
        <v/>
      </c>
      <c r="O1252" s="10">
        <f>IF(OR($C1252="",$M1252=""),"",IF($N1252="","؟",IF(ROUND($M1252-$N1252,0)=0,"√","×")))</f>
        <v/>
      </c>
      <c r="P1252" s="12" t="n"/>
    </row>
    <row r="1253">
      <c r="A1253" s="10">
        <f>IF($C1253="","",COUNTA($C$9:$C1253))</f>
        <v/>
      </c>
      <c r="B1253" s="10">
        <f>IF($C1253="","","TXN-"&amp;RIGHT("0000"&amp;1245,4))</f>
        <v/>
      </c>
      <c r="C1253" s="11" t="n"/>
      <c r="D1253" s="11" t="n"/>
      <c r="E1253" s="12" t="n"/>
      <c r="F1253" s="10">
        <f>IF($E1253="","",IFERROR(IF(VLOOKUP(LEFT(UPPER(TRIM($E1253)),6),BankTbl,2,0)="","(بدون عنوان)",VLOOKUP(LEFT(UPPER(TRIM($E1253)),6),BankTbl,2,0)),"بانک ناشناخته"))</f>
        <v/>
      </c>
      <c r="G1253" s="11" t="n"/>
      <c r="H1253" s="10">
        <f>IF($G1253="","",IFERROR(VLOOKUP($G1253,CustTbl,2,0),IFERROR(VLOOKUP($G1253,SuppTbl,2,0),IFERROR(VLOOKUP($G1253,AcctTbl,2,0),IFERROR(VLOOKUP($G1253,StaffTbl,2,0),"کد ناشناخته")))))</f>
        <v/>
      </c>
      <c r="I1253" s="12" t="n"/>
      <c r="J1253" s="12" t="n"/>
      <c r="K1253" s="13" t="n"/>
      <c r="L1253" s="13" t="n"/>
      <c r="M1253" s="13" t="n"/>
      <c r="N1253" s="14">
        <f>IF(OR($C1253="",$E1253="",Calc!$H1253=""),"",IFERROR(VLOOKUP(LEFT(UPPER(TRIM($E1253)),6),BankTbl,3,0),0)+SUMIFS(CalcDep,CalcBank,LEFT(UPPER(TRIM($E1253)),6),CalcKey,"&lt;="&amp;Calc!$H1253)-SUMIFS(CalcWit,CalcBank,LEFT(UPPER(TRIM($E1253)),6),CalcKey,"&lt;="&amp;Calc!$H1253))</f>
        <v/>
      </c>
      <c r="O1253" s="10">
        <f>IF(OR($C1253="",$M1253=""),"",IF($N1253="","؟",IF(ROUND($M1253-$N1253,0)=0,"√","×")))</f>
        <v/>
      </c>
      <c r="P1253" s="12" t="n"/>
    </row>
    <row r="1254">
      <c r="A1254" s="10">
        <f>IF($C1254="","",COUNTA($C$9:$C1254))</f>
        <v/>
      </c>
      <c r="B1254" s="10">
        <f>IF($C1254="","","TXN-"&amp;RIGHT("0000"&amp;1246,4))</f>
        <v/>
      </c>
      <c r="C1254" s="11" t="n"/>
      <c r="D1254" s="11" t="n"/>
      <c r="E1254" s="12" t="n"/>
      <c r="F1254" s="10">
        <f>IF($E1254="","",IFERROR(IF(VLOOKUP(LEFT(UPPER(TRIM($E1254)),6),BankTbl,2,0)="","(بدون عنوان)",VLOOKUP(LEFT(UPPER(TRIM($E1254)),6),BankTbl,2,0)),"بانک ناشناخته"))</f>
        <v/>
      </c>
      <c r="G1254" s="11" t="n"/>
      <c r="H1254" s="10">
        <f>IF($G1254="","",IFERROR(VLOOKUP($G1254,CustTbl,2,0),IFERROR(VLOOKUP($G1254,SuppTbl,2,0),IFERROR(VLOOKUP($G1254,AcctTbl,2,0),IFERROR(VLOOKUP($G1254,StaffTbl,2,0),"کد ناشناخته")))))</f>
        <v/>
      </c>
      <c r="I1254" s="12" t="n"/>
      <c r="J1254" s="12" t="n"/>
      <c r="K1254" s="13" t="n"/>
      <c r="L1254" s="13" t="n"/>
      <c r="M1254" s="13" t="n"/>
      <c r="N1254" s="14">
        <f>IF(OR($C1254="",$E1254="",Calc!$H1254=""),"",IFERROR(VLOOKUP(LEFT(UPPER(TRIM($E1254)),6),BankTbl,3,0),0)+SUMIFS(CalcDep,CalcBank,LEFT(UPPER(TRIM($E1254)),6),CalcKey,"&lt;="&amp;Calc!$H1254)-SUMIFS(CalcWit,CalcBank,LEFT(UPPER(TRIM($E1254)),6),CalcKey,"&lt;="&amp;Calc!$H1254))</f>
        <v/>
      </c>
      <c r="O1254" s="10">
        <f>IF(OR($C1254="",$M1254=""),"",IF($N1254="","؟",IF(ROUND($M1254-$N1254,0)=0,"√","×")))</f>
        <v/>
      </c>
      <c r="P1254" s="12" t="n"/>
    </row>
    <row r="1255">
      <c r="A1255" s="10">
        <f>IF($C1255="","",COUNTA($C$9:$C1255))</f>
        <v/>
      </c>
      <c r="B1255" s="10">
        <f>IF($C1255="","","TXN-"&amp;RIGHT("0000"&amp;1247,4))</f>
        <v/>
      </c>
      <c r="C1255" s="11" t="n"/>
      <c r="D1255" s="11" t="n"/>
      <c r="E1255" s="12" t="n"/>
      <c r="F1255" s="10">
        <f>IF($E1255="","",IFERROR(IF(VLOOKUP(LEFT(UPPER(TRIM($E1255)),6),BankTbl,2,0)="","(بدون عنوان)",VLOOKUP(LEFT(UPPER(TRIM($E1255)),6),BankTbl,2,0)),"بانک ناشناخته"))</f>
        <v/>
      </c>
      <c r="G1255" s="11" t="n"/>
      <c r="H1255" s="10">
        <f>IF($G1255="","",IFERROR(VLOOKUP($G1255,CustTbl,2,0),IFERROR(VLOOKUP($G1255,SuppTbl,2,0),IFERROR(VLOOKUP($G1255,AcctTbl,2,0),IFERROR(VLOOKUP($G1255,StaffTbl,2,0),"کد ناشناخته")))))</f>
        <v/>
      </c>
      <c r="I1255" s="12" t="n"/>
      <c r="J1255" s="12" t="n"/>
      <c r="K1255" s="13" t="n"/>
      <c r="L1255" s="13" t="n"/>
      <c r="M1255" s="13" t="n"/>
      <c r="N1255" s="14">
        <f>IF(OR($C1255="",$E1255="",Calc!$H1255=""),"",IFERROR(VLOOKUP(LEFT(UPPER(TRIM($E1255)),6),BankTbl,3,0),0)+SUMIFS(CalcDep,CalcBank,LEFT(UPPER(TRIM($E1255)),6),CalcKey,"&lt;="&amp;Calc!$H1255)-SUMIFS(CalcWit,CalcBank,LEFT(UPPER(TRIM($E1255)),6),CalcKey,"&lt;="&amp;Calc!$H1255))</f>
        <v/>
      </c>
      <c r="O1255" s="10">
        <f>IF(OR($C1255="",$M1255=""),"",IF($N1255="","؟",IF(ROUND($M1255-$N1255,0)=0,"√","×")))</f>
        <v/>
      </c>
      <c r="P1255" s="12" t="n"/>
    </row>
    <row r="1256">
      <c r="A1256" s="10">
        <f>IF($C1256="","",COUNTA($C$9:$C1256))</f>
        <v/>
      </c>
      <c r="B1256" s="10">
        <f>IF($C1256="","","TXN-"&amp;RIGHT("0000"&amp;1248,4))</f>
        <v/>
      </c>
      <c r="C1256" s="11" t="n"/>
      <c r="D1256" s="11" t="n"/>
      <c r="E1256" s="12" t="n"/>
      <c r="F1256" s="10">
        <f>IF($E1256="","",IFERROR(IF(VLOOKUP(LEFT(UPPER(TRIM($E1256)),6),BankTbl,2,0)="","(بدون عنوان)",VLOOKUP(LEFT(UPPER(TRIM($E1256)),6),BankTbl,2,0)),"بانک ناشناخته"))</f>
        <v/>
      </c>
      <c r="G1256" s="11" t="n"/>
      <c r="H1256" s="10">
        <f>IF($G1256="","",IFERROR(VLOOKUP($G1256,CustTbl,2,0),IFERROR(VLOOKUP($G1256,SuppTbl,2,0),IFERROR(VLOOKUP($G1256,AcctTbl,2,0),IFERROR(VLOOKUP($G1256,StaffTbl,2,0),"کد ناشناخته")))))</f>
        <v/>
      </c>
      <c r="I1256" s="12" t="n"/>
      <c r="J1256" s="12" t="n"/>
      <c r="K1256" s="13" t="n"/>
      <c r="L1256" s="13" t="n"/>
      <c r="M1256" s="13" t="n"/>
      <c r="N1256" s="14">
        <f>IF(OR($C1256="",$E1256="",Calc!$H1256=""),"",IFERROR(VLOOKUP(LEFT(UPPER(TRIM($E1256)),6),BankTbl,3,0),0)+SUMIFS(CalcDep,CalcBank,LEFT(UPPER(TRIM($E1256)),6),CalcKey,"&lt;="&amp;Calc!$H1256)-SUMIFS(CalcWit,CalcBank,LEFT(UPPER(TRIM($E1256)),6),CalcKey,"&lt;="&amp;Calc!$H1256))</f>
        <v/>
      </c>
      <c r="O1256" s="10">
        <f>IF(OR($C1256="",$M1256=""),"",IF($N1256="","؟",IF(ROUND($M1256-$N1256,0)=0,"√","×")))</f>
        <v/>
      </c>
      <c r="P1256" s="12" t="n"/>
    </row>
    <row r="1257">
      <c r="A1257" s="10">
        <f>IF($C1257="","",COUNTA($C$9:$C1257))</f>
        <v/>
      </c>
      <c r="B1257" s="10">
        <f>IF($C1257="","","TXN-"&amp;RIGHT("0000"&amp;1249,4))</f>
        <v/>
      </c>
      <c r="C1257" s="11" t="n"/>
      <c r="D1257" s="11" t="n"/>
      <c r="E1257" s="12" t="n"/>
      <c r="F1257" s="10">
        <f>IF($E1257="","",IFERROR(IF(VLOOKUP(LEFT(UPPER(TRIM($E1257)),6),BankTbl,2,0)="","(بدون عنوان)",VLOOKUP(LEFT(UPPER(TRIM($E1257)),6),BankTbl,2,0)),"بانک ناشناخته"))</f>
        <v/>
      </c>
      <c r="G1257" s="11" t="n"/>
      <c r="H1257" s="10">
        <f>IF($G1257="","",IFERROR(VLOOKUP($G1257,CustTbl,2,0),IFERROR(VLOOKUP($G1257,SuppTbl,2,0),IFERROR(VLOOKUP($G1257,AcctTbl,2,0),IFERROR(VLOOKUP($G1257,StaffTbl,2,0),"کد ناشناخته")))))</f>
        <v/>
      </c>
      <c r="I1257" s="12" t="n"/>
      <c r="J1257" s="12" t="n"/>
      <c r="K1257" s="13" t="n"/>
      <c r="L1257" s="13" t="n"/>
      <c r="M1257" s="13" t="n"/>
      <c r="N1257" s="14">
        <f>IF(OR($C1257="",$E1257="",Calc!$H1257=""),"",IFERROR(VLOOKUP(LEFT(UPPER(TRIM($E1257)),6),BankTbl,3,0),0)+SUMIFS(CalcDep,CalcBank,LEFT(UPPER(TRIM($E1257)),6),CalcKey,"&lt;="&amp;Calc!$H1257)-SUMIFS(CalcWit,CalcBank,LEFT(UPPER(TRIM($E1257)),6),CalcKey,"&lt;="&amp;Calc!$H1257))</f>
        <v/>
      </c>
      <c r="O1257" s="10">
        <f>IF(OR($C1257="",$M1257=""),"",IF($N1257="","؟",IF(ROUND($M1257-$N1257,0)=0,"√","×")))</f>
        <v/>
      </c>
      <c r="P1257" s="12" t="n"/>
    </row>
    <row r="1258">
      <c r="A1258" s="10">
        <f>IF($C1258="","",COUNTA($C$9:$C1258))</f>
        <v/>
      </c>
      <c r="B1258" s="10">
        <f>IF($C1258="","","TXN-"&amp;RIGHT("0000"&amp;1250,4))</f>
        <v/>
      </c>
      <c r="C1258" s="11" t="n"/>
      <c r="D1258" s="11" t="n"/>
      <c r="E1258" s="12" t="n"/>
      <c r="F1258" s="10">
        <f>IF($E1258="","",IFERROR(IF(VLOOKUP(LEFT(UPPER(TRIM($E1258)),6),BankTbl,2,0)="","(بدون عنوان)",VLOOKUP(LEFT(UPPER(TRIM($E1258)),6),BankTbl,2,0)),"بانک ناشناخته"))</f>
        <v/>
      </c>
      <c r="G1258" s="11" t="n"/>
      <c r="H1258" s="10">
        <f>IF($G1258="","",IFERROR(VLOOKUP($G1258,CustTbl,2,0),IFERROR(VLOOKUP($G1258,SuppTbl,2,0),IFERROR(VLOOKUP($G1258,AcctTbl,2,0),IFERROR(VLOOKUP($G1258,StaffTbl,2,0),"کد ناشناخته")))))</f>
        <v/>
      </c>
      <c r="I1258" s="12" t="n"/>
      <c r="J1258" s="12" t="n"/>
      <c r="K1258" s="13" t="n"/>
      <c r="L1258" s="13" t="n"/>
      <c r="M1258" s="13" t="n"/>
      <c r="N1258" s="14">
        <f>IF(OR($C1258="",$E1258="",Calc!$H1258=""),"",IFERROR(VLOOKUP(LEFT(UPPER(TRIM($E1258)),6),BankTbl,3,0),0)+SUMIFS(CalcDep,CalcBank,LEFT(UPPER(TRIM($E1258)),6),CalcKey,"&lt;="&amp;Calc!$H1258)-SUMIFS(CalcWit,CalcBank,LEFT(UPPER(TRIM($E1258)),6),CalcKey,"&lt;="&amp;Calc!$H1258))</f>
        <v/>
      </c>
      <c r="O1258" s="10">
        <f>IF(OR($C1258="",$M1258=""),"",IF($N1258="","؟",IF(ROUND($M1258-$N1258,0)=0,"√","×")))</f>
        <v/>
      </c>
      <c r="P1258" s="12" t="n"/>
    </row>
    <row r="1259">
      <c r="A1259" s="10">
        <f>IF($C1259="","",COUNTA($C$9:$C1259))</f>
        <v/>
      </c>
      <c r="B1259" s="10">
        <f>IF($C1259="","","TXN-"&amp;RIGHT("0000"&amp;1251,4))</f>
        <v/>
      </c>
      <c r="C1259" s="11" t="n"/>
      <c r="D1259" s="11" t="n"/>
      <c r="E1259" s="12" t="n"/>
      <c r="F1259" s="10">
        <f>IF($E1259="","",IFERROR(IF(VLOOKUP(LEFT(UPPER(TRIM($E1259)),6),BankTbl,2,0)="","(بدون عنوان)",VLOOKUP(LEFT(UPPER(TRIM($E1259)),6),BankTbl,2,0)),"بانک ناشناخته"))</f>
        <v/>
      </c>
      <c r="G1259" s="11" t="n"/>
      <c r="H1259" s="10">
        <f>IF($G1259="","",IFERROR(VLOOKUP($G1259,CustTbl,2,0),IFERROR(VLOOKUP($G1259,SuppTbl,2,0),IFERROR(VLOOKUP($G1259,AcctTbl,2,0),IFERROR(VLOOKUP($G1259,StaffTbl,2,0),"کد ناشناخته")))))</f>
        <v/>
      </c>
      <c r="I1259" s="12" t="n"/>
      <c r="J1259" s="12" t="n"/>
      <c r="K1259" s="13" t="n"/>
      <c r="L1259" s="13" t="n"/>
      <c r="M1259" s="13" t="n"/>
      <c r="N1259" s="14">
        <f>IF(OR($C1259="",$E1259="",Calc!$H1259=""),"",IFERROR(VLOOKUP(LEFT(UPPER(TRIM($E1259)),6),BankTbl,3,0),0)+SUMIFS(CalcDep,CalcBank,LEFT(UPPER(TRIM($E1259)),6),CalcKey,"&lt;="&amp;Calc!$H1259)-SUMIFS(CalcWit,CalcBank,LEFT(UPPER(TRIM($E1259)),6),CalcKey,"&lt;="&amp;Calc!$H1259))</f>
        <v/>
      </c>
      <c r="O1259" s="10">
        <f>IF(OR($C1259="",$M1259=""),"",IF($N1259="","؟",IF(ROUND($M1259-$N1259,0)=0,"√","×")))</f>
        <v/>
      </c>
      <c r="P1259" s="12" t="n"/>
    </row>
    <row r="1260">
      <c r="A1260" s="10">
        <f>IF($C1260="","",COUNTA($C$9:$C1260))</f>
        <v/>
      </c>
      <c r="B1260" s="10">
        <f>IF($C1260="","","TXN-"&amp;RIGHT("0000"&amp;1252,4))</f>
        <v/>
      </c>
      <c r="C1260" s="11" t="n"/>
      <c r="D1260" s="11" t="n"/>
      <c r="E1260" s="12" t="n"/>
      <c r="F1260" s="10">
        <f>IF($E1260="","",IFERROR(IF(VLOOKUP(LEFT(UPPER(TRIM($E1260)),6),BankTbl,2,0)="","(بدون عنوان)",VLOOKUP(LEFT(UPPER(TRIM($E1260)),6),BankTbl,2,0)),"بانک ناشناخته"))</f>
        <v/>
      </c>
      <c r="G1260" s="11" t="n"/>
      <c r="H1260" s="10">
        <f>IF($G1260="","",IFERROR(VLOOKUP($G1260,CustTbl,2,0),IFERROR(VLOOKUP($G1260,SuppTbl,2,0),IFERROR(VLOOKUP($G1260,AcctTbl,2,0),IFERROR(VLOOKUP($G1260,StaffTbl,2,0),"کد ناشناخته")))))</f>
        <v/>
      </c>
      <c r="I1260" s="12" t="n"/>
      <c r="J1260" s="12" t="n"/>
      <c r="K1260" s="13" t="n"/>
      <c r="L1260" s="13" t="n"/>
      <c r="M1260" s="13" t="n"/>
      <c r="N1260" s="14">
        <f>IF(OR($C1260="",$E1260="",Calc!$H1260=""),"",IFERROR(VLOOKUP(LEFT(UPPER(TRIM($E1260)),6),BankTbl,3,0),0)+SUMIFS(CalcDep,CalcBank,LEFT(UPPER(TRIM($E1260)),6),CalcKey,"&lt;="&amp;Calc!$H1260)-SUMIFS(CalcWit,CalcBank,LEFT(UPPER(TRIM($E1260)),6),CalcKey,"&lt;="&amp;Calc!$H1260))</f>
        <v/>
      </c>
      <c r="O1260" s="10">
        <f>IF(OR($C1260="",$M1260=""),"",IF($N1260="","؟",IF(ROUND($M1260-$N1260,0)=0,"√","×")))</f>
        <v/>
      </c>
      <c r="P1260" s="12" t="n"/>
    </row>
    <row r="1261">
      <c r="A1261" s="10">
        <f>IF($C1261="","",COUNTA($C$9:$C1261))</f>
        <v/>
      </c>
      <c r="B1261" s="10">
        <f>IF($C1261="","","TXN-"&amp;RIGHT("0000"&amp;1253,4))</f>
        <v/>
      </c>
      <c r="C1261" s="11" t="n"/>
      <c r="D1261" s="11" t="n"/>
      <c r="E1261" s="12" t="n"/>
      <c r="F1261" s="10">
        <f>IF($E1261="","",IFERROR(IF(VLOOKUP(LEFT(UPPER(TRIM($E1261)),6),BankTbl,2,0)="","(بدون عنوان)",VLOOKUP(LEFT(UPPER(TRIM($E1261)),6),BankTbl,2,0)),"بانک ناشناخته"))</f>
        <v/>
      </c>
      <c r="G1261" s="11" t="n"/>
      <c r="H1261" s="10">
        <f>IF($G1261="","",IFERROR(VLOOKUP($G1261,CustTbl,2,0),IFERROR(VLOOKUP($G1261,SuppTbl,2,0),IFERROR(VLOOKUP($G1261,AcctTbl,2,0),IFERROR(VLOOKUP($G1261,StaffTbl,2,0),"کد ناشناخته")))))</f>
        <v/>
      </c>
      <c r="I1261" s="12" t="n"/>
      <c r="J1261" s="12" t="n"/>
      <c r="K1261" s="13" t="n"/>
      <c r="L1261" s="13" t="n"/>
      <c r="M1261" s="13" t="n"/>
      <c r="N1261" s="14">
        <f>IF(OR($C1261="",$E1261="",Calc!$H1261=""),"",IFERROR(VLOOKUP(LEFT(UPPER(TRIM($E1261)),6),BankTbl,3,0),0)+SUMIFS(CalcDep,CalcBank,LEFT(UPPER(TRIM($E1261)),6),CalcKey,"&lt;="&amp;Calc!$H1261)-SUMIFS(CalcWit,CalcBank,LEFT(UPPER(TRIM($E1261)),6),CalcKey,"&lt;="&amp;Calc!$H1261))</f>
        <v/>
      </c>
      <c r="O1261" s="10">
        <f>IF(OR($C1261="",$M1261=""),"",IF($N1261="","؟",IF(ROUND($M1261-$N1261,0)=0,"√","×")))</f>
        <v/>
      </c>
      <c r="P1261" s="12" t="n"/>
    </row>
    <row r="1262">
      <c r="A1262" s="10">
        <f>IF($C1262="","",COUNTA($C$9:$C1262))</f>
        <v/>
      </c>
      <c r="B1262" s="10">
        <f>IF($C1262="","","TXN-"&amp;RIGHT("0000"&amp;1254,4))</f>
        <v/>
      </c>
      <c r="C1262" s="11" t="n"/>
      <c r="D1262" s="11" t="n"/>
      <c r="E1262" s="12" t="n"/>
      <c r="F1262" s="10">
        <f>IF($E1262="","",IFERROR(IF(VLOOKUP(LEFT(UPPER(TRIM($E1262)),6),BankTbl,2,0)="","(بدون عنوان)",VLOOKUP(LEFT(UPPER(TRIM($E1262)),6),BankTbl,2,0)),"بانک ناشناخته"))</f>
        <v/>
      </c>
      <c r="G1262" s="11" t="n"/>
      <c r="H1262" s="10">
        <f>IF($G1262="","",IFERROR(VLOOKUP($G1262,CustTbl,2,0),IFERROR(VLOOKUP($G1262,SuppTbl,2,0),IFERROR(VLOOKUP($G1262,AcctTbl,2,0),IFERROR(VLOOKUP($G1262,StaffTbl,2,0),"کد ناشناخته")))))</f>
        <v/>
      </c>
      <c r="I1262" s="12" t="n"/>
      <c r="J1262" s="12" t="n"/>
      <c r="K1262" s="13" t="n"/>
      <c r="L1262" s="13" t="n"/>
      <c r="M1262" s="13" t="n"/>
      <c r="N1262" s="14">
        <f>IF(OR($C1262="",$E1262="",Calc!$H1262=""),"",IFERROR(VLOOKUP(LEFT(UPPER(TRIM($E1262)),6),BankTbl,3,0),0)+SUMIFS(CalcDep,CalcBank,LEFT(UPPER(TRIM($E1262)),6),CalcKey,"&lt;="&amp;Calc!$H1262)-SUMIFS(CalcWit,CalcBank,LEFT(UPPER(TRIM($E1262)),6),CalcKey,"&lt;="&amp;Calc!$H1262))</f>
        <v/>
      </c>
      <c r="O1262" s="10">
        <f>IF(OR($C1262="",$M1262=""),"",IF($N1262="","؟",IF(ROUND($M1262-$N1262,0)=0,"√","×")))</f>
        <v/>
      </c>
      <c r="P1262" s="12" t="n"/>
    </row>
    <row r="1263">
      <c r="A1263" s="10">
        <f>IF($C1263="","",COUNTA($C$9:$C1263))</f>
        <v/>
      </c>
      <c r="B1263" s="10">
        <f>IF($C1263="","","TXN-"&amp;RIGHT("0000"&amp;1255,4))</f>
        <v/>
      </c>
      <c r="C1263" s="11" t="n"/>
      <c r="D1263" s="11" t="n"/>
      <c r="E1263" s="12" t="n"/>
      <c r="F1263" s="10">
        <f>IF($E1263="","",IFERROR(IF(VLOOKUP(LEFT(UPPER(TRIM($E1263)),6),BankTbl,2,0)="","(بدون عنوان)",VLOOKUP(LEFT(UPPER(TRIM($E1263)),6),BankTbl,2,0)),"بانک ناشناخته"))</f>
        <v/>
      </c>
      <c r="G1263" s="11" t="n"/>
      <c r="H1263" s="10">
        <f>IF($G1263="","",IFERROR(VLOOKUP($G1263,CustTbl,2,0),IFERROR(VLOOKUP($G1263,SuppTbl,2,0),IFERROR(VLOOKUP($G1263,AcctTbl,2,0),IFERROR(VLOOKUP($G1263,StaffTbl,2,0),"کد ناشناخته")))))</f>
        <v/>
      </c>
      <c r="I1263" s="12" t="n"/>
      <c r="J1263" s="12" t="n"/>
      <c r="K1263" s="13" t="n"/>
      <c r="L1263" s="13" t="n"/>
      <c r="M1263" s="13" t="n"/>
      <c r="N1263" s="14">
        <f>IF(OR($C1263="",$E1263="",Calc!$H1263=""),"",IFERROR(VLOOKUP(LEFT(UPPER(TRIM($E1263)),6),BankTbl,3,0),0)+SUMIFS(CalcDep,CalcBank,LEFT(UPPER(TRIM($E1263)),6),CalcKey,"&lt;="&amp;Calc!$H1263)-SUMIFS(CalcWit,CalcBank,LEFT(UPPER(TRIM($E1263)),6),CalcKey,"&lt;="&amp;Calc!$H1263))</f>
        <v/>
      </c>
      <c r="O1263" s="10">
        <f>IF(OR($C1263="",$M1263=""),"",IF($N1263="","؟",IF(ROUND($M1263-$N1263,0)=0,"√","×")))</f>
        <v/>
      </c>
      <c r="P1263" s="12" t="n"/>
    </row>
    <row r="1264">
      <c r="A1264" s="10">
        <f>IF($C1264="","",COUNTA($C$9:$C1264))</f>
        <v/>
      </c>
      <c r="B1264" s="10">
        <f>IF($C1264="","","TXN-"&amp;RIGHT("0000"&amp;1256,4))</f>
        <v/>
      </c>
      <c r="C1264" s="11" t="n"/>
      <c r="D1264" s="11" t="n"/>
      <c r="E1264" s="12" t="n"/>
      <c r="F1264" s="10">
        <f>IF($E1264="","",IFERROR(IF(VLOOKUP(LEFT(UPPER(TRIM($E1264)),6),BankTbl,2,0)="","(بدون عنوان)",VLOOKUP(LEFT(UPPER(TRIM($E1264)),6),BankTbl,2,0)),"بانک ناشناخته"))</f>
        <v/>
      </c>
      <c r="G1264" s="11" t="n"/>
      <c r="H1264" s="10">
        <f>IF($G1264="","",IFERROR(VLOOKUP($G1264,CustTbl,2,0),IFERROR(VLOOKUP($G1264,SuppTbl,2,0),IFERROR(VLOOKUP($G1264,AcctTbl,2,0),IFERROR(VLOOKUP($G1264,StaffTbl,2,0),"کد ناشناخته")))))</f>
        <v/>
      </c>
      <c r="I1264" s="12" t="n"/>
      <c r="J1264" s="12" t="n"/>
      <c r="K1264" s="13" t="n"/>
      <c r="L1264" s="13" t="n"/>
      <c r="M1264" s="13" t="n"/>
      <c r="N1264" s="14">
        <f>IF(OR($C1264="",$E1264="",Calc!$H1264=""),"",IFERROR(VLOOKUP(LEFT(UPPER(TRIM($E1264)),6),BankTbl,3,0),0)+SUMIFS(CalcDep,CalcBank,LEFT(UPPER(TRIM($E1264)),6),CalcKey,"&lt;="&amp;Calc!$H1264)-SUMIFS(CalcWit,CalcBank,LEFT(UPPER(TRIM($E1264)),6),CalcKey,"&lt;="&amp;Calc!$H1264))</f>
        <v/>
      </c>
      <c r="O1264" s="10">
        <f>IF(OR($C1264="",$M1264=""),"",IF($N1264="","؟",IF(ROUND($M1264-$N1264,0)=0,"√","×")))</f>
        <v/>
      </c>
      <c r="P1264" s="12" t="n"/>
    </row>
    <row r="1265">
      <c r="A1265" s="10">
        <f>IF($C1265="","",COUNTA($C$9:$C1265))</f>
        <v/>
      </c>
      <c r="B1265" s="10">
        <f>IF($C1265="","","TXN-"&amp;RIGHT("0000"&amp;1257,4))</f>
        <v/>
      </c>
      <c r="C1265" s="11" t="n"/>
      <c r="D1265" s="11" t="n"/>
      <c r="E1265" s="12" t="n"/>
      <c r="F1265" s="10">
        <f>IF($E1265="","",IFERROR(IF(VLOOKUP(LEFT(UPPER(TRIM($E1265)),6),BankTbl,2,0)="","(بدون عنوان)",VLOOKUP(LEFT(UPPER(TRIM($E1265)),6),BankTbl,2,0)),"بانک ناشناخته"))</f>
        <v/>
      </c>
      <c r="G1265" s="11" t="n"/>
      <c r="H1265" s="10">
        <f>IF($G1265="","",IFERROR(VLOOKUP($G1265,CustTbl,2,0),IFERROR(VLOOKUP($G1265,SuppTbl,2,0),IFERROR(VLOOKUP($G1265,AcctTbl,2,0),IFERROR(VLOOKUP($G1265,StaffTbl,2,0),"کد ناشناخته")))))</f>
        <v/>
      </c>
      <c r="I1265" s="12" t="n"/>
      <c r="J1265" s="12" t="n"/>
      <c r="K1265" s="13" t="n"/>
      <c r="L1265" s="13" t="n"/>
      <c r="M1265" s="13" t="n"/>
      <c r="N1265" s="14">
        <f>IF(OR($C1265="",$E1265="",Calc!$H1265=""),"",IFERROR(VLOOKUP(LEFT(UPPER(TRIM($E1265)),6),BankTbl,3,0),0)+SUMIFS(CalcDep,CalcBank,LEFT(UPPER(TRIM($E1265)),6),CalcKey,"&lt;="&amp;Calc!$H1265)-SUMIFS(CalcWit,CalcBank,LEFT(UPPER(TRIM($E1265)),6),CalcKey,"&lt;="&amp;Calc!$H1265))</f>
        <v/>
      </c>
      <c r="O1265" s="10">
        <f>IF(OR($C1265="",$M1265=""),"",IF($N1265="","؟",IF(ROUND($M1265-$N1265,0)=0,"√","×")))</f>
        <v/>
      </c>
      <c r="P1265" s="12" t="n"/>
    </row>
    <row r="1266">
      <c r="A1266" s="10">
        <f>IF($C1266="","",COUNTA($C$9:$C1266))</f>
        <v/>
      </c>
      <c r="B1266" s="10">
        <f>IF($C1266="","","TXN-"&amp;RIGHT("0000"&amp;1258,4))</f>
        <v/>
      </c>
      <c r="C1266" s="11" t="n"/>
      <c r="D1266" s="11" t="n"/>
      <c r="E1266" s="12" t="n"/>
      <c r="F1266" s="10">
        <f>IF($E1266="","",IFERROR(IF(VLOOKUP(LEFT(UPPER(TRIM($E1266)),6),BankTbl,2,0)="","(بدون عنوان)",VLOOKUP(LEFT(UPPER(TRIM($E1266)),6),BankTbl,2,0)),"بانک ناشناخته"))</f>
        <v/>
      </c>
      <c r="G1266" s="11" t="n"/>
      <c r="H1266" s="10">
        <f>IF($G1266="","",IFERROR(VLOOKUP($G1266,CustTbl,2,0),IFERROR(VLOOKUP($G1266,SuppTbl,2,0),IFERROR(VLOOKUP($G1266,AcctTbl,2,0),IFERROR(VLOOKUP($G1266,StaffTbl,2,0),"کد ناشناخته")))))</f>
        <v/>
      </c>
      <c r="I1266" s="12" t="n"/>
      <c r="J1266" s="12" t="n"/>
      <c r="K1266" s="13" t="n"/>
      <c r="L1266" s="13" t="n"/>
      <c r="M1266" s="13" t="n"/>
      <c r="N1266" s="14">
        <f>IF(OR($C1266="",$E1266="",Calc!$H1266=""),"",IFERROR(VLOOKUP(LEFT(UPPER(TRIM($E1266)),6),BankTbl,3,0),0)+SUMIFS(CalcDep,CalcBank,LEFT(UPPER(TRIM($E1266)),6),CalcKey,"&lt;="&amp;Calc!$H1266)-SUMIFS(CalcWit,CalcBank,LEFT(UPPER(TRIM($E1266)),6),CalcKey,"&lt;="&amp;Calc!$H1266))</f>
        <v/>
      </c>
      <c r="O1266" s="10">
        <f>IF(OR($C1266="",$M1266=""),"",IF($N1266="","؟",IF(ROUND($M1266-$N1266,0)=0,"√","×")))</f>
        <v/>
      </c>
      <c r="P1266" s="12" t="n"/>
    </row>
    <row r="1267">
      <c r="A1267" s="10">
        <f>IF($C1267="","",COUNTA($C$9:$C1267))</f>
        <v/>
      </c>
      <c r="B1267" s="10">
        <f>IF($C1267="","","TXN-"&amp;RIGHT("0000"&amp;1259,4))</f>
        <v/>
      </c>
      <c r="C1267" s="11" t="n"/>
      <c r="D1267" s="11" t="n"/>
      <c r="E1267" s="12" t="n"/>
      <c r="F1267" s="10">
        <f>IF($E1267="","",IFERROR(IF(VLOOKUP(LEFT(UPPER(TRIM($E1267)),6),BankTbl,2,0)="","(بدون عنوان)",VLOOKUP(LEFT(UPPER(TRIM($E1267)),6),BankTbl,2,0)),"بانک ناشناخته"))</f>
        <v/>
      </c>
      <c r="G1267" s="11" t="n"/>
      <c r="H1267" s="10">
        <f>IF($G1267="","",IFERROR(VLOOKUP($G1267,CustTbl,2,0),IFERROR(VLOOKUP($G1267,SuppTbl,2,0),IFERROR(VLOOKUP($G1267,AcctTbl,2,0),IFERROR(VLOOKUP($G1267,StaffTbl,2,0),"کد ناشناخته")))))</f>
        <v/>
      </c>
      <c r="I1267" s="12" t="n"/>
      <c r="J1267" s="12" t="n"/>
      <c r="K1267" s="13" t="n"/>
      <c r="L1267" s="13" t="n"/>
      <c r="M1267" s="13" t="n"/>
      <c r="N1267" s="14">
        <f>IF(OR($C1267="",$E1267="",Calc!$H1267=""),"",IFERROR(VLOOKUP(LEFT(UPPER(TRIM($E1267)),6),BankTbl,3,0),0)+SUMIFS(CalcDep,CalcBank,LEFT(UPPER(TRIM($E1267)),6),CalcKey,"&lt;="&amp;Calc!$H1267)-SUMIFS(CalcWit,CalcBank,LEFT(UPPER(TRIM($E1267)),6),CalcKey,"&lt;="&amp;Calc!$H1267))</f>
        <v/>
      </c>
      <c r="O1267" s="10">
        <f>IF(OR($C1267="",$M1267=""),"",IF($N1267="","؟",IF(ROUND($M1267-$N1267,0)=0,"√","×")))</f>
        <v/>
      </c>
      <c r="P1267" s="12" t="n"/>
    </row>
    <row r="1268">
      <c r="A1268" s="10">
        <f>IF($C1268="","",COUNTA($C$9:$C1268))</f>
        <v/>
      </c>
      <c r="B1268" s="10">
        <f>IF($C1268="","","TXN-"&amp;RIGHT("0000"&amp;1260,4))</f>
        <v/>
      </c>
      <c r="C1268" s="11" t="n"/>
      <c r="D1268" s="11" t="n"/>
      <c r="E1268" s="12" t="n"/>
      <c r="F1268" s="10">
        <f>IF($E1268="","",IFERROR(IF(VLOOKUP(LEFT(UPPER(TRIM($E1268)),6),BankTbl,2,0)="","(بدون عنوان)",VLOOKUP(LEFT(UPPER(TRIM($E1268)),6),BankTbl,2,0)),"بانک ناشناخته"))</f>
        <v/>
      </c>
      <c r="G1268" s="11" t="n"/>
      <c r="H1268" s="10">
        <f>IF($G1268="","",IFERROR(VLOOKUP($G1268,CustTbl,2,0),IFERROR(VLOOKUP($G1268,SuppTbl,2,0),IFERROR(VLOOKUP($G1268,AcctTbl,2,0),IFERROR(VLOOKUP($G1268,StaffTbl,2,0),"کد ناشناخته")))))</f>
        <v/>
      </c>
      <c r="I1268" s="12" t="n"/>
      <c r="J1268" s="12" t="n"/>
      <c r="K1268" s="13" t="n"/>
      <c r="L1268" s="13" t="n"/>
      <c r="M1268" s="13" t="n"/>
      <c r="N1268" s="14">
        <f>IF(OR($C1268="",$E1268="",Calc!$H1268=""),"",IFERROR(VLOOKUP(LEFT(UPPER(TRIM($E1268)),6),BankTbl,3,0),0)+SUMIFS(CalcDep,CalcBank,LEFT(UPPER(TRIM($E1268)),6),CalcKey,"&lt;="&amp;Calc!$H1268)-SUMIFS(CalcWit,CalcBank,LEFT(UPPER(TRIM($E1268)),6),CalcKey,"&lt;="&amp;Calc!$H1268))</f>
        <v/>
      </c>
      <c r="O1268" s="10">
        <f>IF(OR($C1268="",$M1268=""),"",IF($N1268="","؟",IF(ROUND($M1268-$N1268,0)=0,"√","×")))</f>
        <v/>
      </c>
      <c r="P1268" s="12" t="n"/>
    </row>
    <row r="1269">
      <c r="A1269" s="10">
        <f>IF($C1269="","",COUNTA($C$9:$C1269))</f>
        <v/>
      </c>
      <c r="B1269" s="10">
        <f>IF($C1269="","","TXN-"&amp;RIGHT("0000"&amp;1261,4))</f>
        <v/>
      </c>
      <c r="C1269" s="11" t="n"/>
      <c r="D1269" s="11" t="n"/>
      <c r="E1269" s="12" t="n"/>
      <c r="F1269" s="10">
        <f>IF($E1269="","",IFERROR(IF(VLOOKUP(LEFT(UPPER(TRIM($E1269)),6),BankTbl,2,0)="","(بدون عنوان)",VLOOKUP(LEFT(UPPER(TRIM($E1269)),6),BankTbl,2,0)),"بانک ناشناخته"))</f>
        <v/>
      </c>
      <c r="G1269" s="11" t="n"/>
      <c r="H1269" s="10">
        <f>IF($G1269="","",IFERROR(VLOOKUP($G1269,CustTbl,2,0),IFERROR(VLOOKUP($G1269,SuppTbl,2,0),IFERROR(VLOOKUP($G1269,AcctTbl,2,0),IFERROR(VLOOKUP($G1269,StaffTbl,2,0),"کد ناشناخته")))))</f>
        <v/>
      </c>
      <c r="I1269" s="12" t="n"/>
      <c r="J1269" s="12" t="n"/>
      <c r="K1269" s="13" t="n"/>
      <c r="L1269" s="13" t="n"/>
      <c r="M1269" s="13" t="n"/>
      <c r="N1269" s="14">
        <f>IF(OR($C1269="",$E1269="",Calc!$H1269=""),"",IFERROR(VLOOKUP(LEFT(UPPER(TRIM($E1269)),6),BankTbl,3,0),0)+SUMIFS(CalcDep,CalcBank,LEFT(UPPER(TRIM($E1269)),6),CalcKey,"&lt;="&amp;Calc!$H1269)-SUMIFS(CalcWit,CalcBank,LEFT(UPPER(TRIM($E1269)),6),CalcKey,"&lt;="&amp;Calc!$H1269))</f>
        <v/>
      </c>
      <c r="O1269" s="10">
        <f>IF(OR($C1269="",$M1269=""),"",IF($N1269="","؟",IF(ROUND($M1269-$N1269,0)=0,"√","×")))</f>
        <v/>
      </c>
      <c r="P1269" s="12" t="n"/>
    </row>
    <row r="1270">
      <c r="A1270" s="10">
        <f>IF($C1270="","",COUNTA($C$9:$C1270))</f>
        <v/>
      </c>
      <c r="B1270" s="10">
        <f>IF($C1270="","","TXN-"&amp;RIGHT("0000"&amp;1262,4))</f>
        <v/>
      </c>
      <c r="C1270" s="11" t="n"/>
      <c r="D1270" s="11" t="n"/>
      <c r="E1270" s="12" t="n"/>
      <c r="F1270" s="10">
        <f>IF($E1270="","",IFERROR(IF(VLOOKUP(LEFT(UPPER(TRIM($E1270)),6),BankTbl,2,0)="","(بدون عنوان)",VLOOKUP(LEFT(UPPER(TRIM($E1270)),6),BankTbl,2,0)),"بانک ناشناخته"))</f>
        <v/>
      </c>
      <c r="G1270" s="11" t="n"/>
      <c r="H1270" s="10">
        <f>IF($G1270="","",IFERROR(VLOOKUP($G1270,CustTbl,2,0),IFERROR(VLOOKUP($G1270,SuppTbl,2,0),IFERROR(VLOOKUP($G1270,AcctTbl,2,0),IFERROR(VLOOKUP($G1270,StaffTbl,2,0),"کد ناشناخته")))))</f>
        <v/>
      </c>
      <c r="I1270" s="12" t="n"/>
      <c r="J1270" s="12" t="n"/>
      <c r="K1270" s="13" t="n"/>
      <c r="L1270" s="13" t="n"/>
      <c r="M1270" s="13" t="n"/>
      <c r="N1270" s="14">
        <f>IF(OR($C1270="",$E1270="",Calc!$H1270=""),"",IFERROR(VLOOKUP(LEFT(UPPER(TRIM($E1270)),6),BankTbl,3,0),0)+SUMIFS(CalcDep,CalcBank,LEFT(UPPER(TRIM($E1270)),6),CalcKey,"&lt;="&amp;Calc!$H1270)-SUMIFS(CalcWit,CalcBank,LEFT(UPPER(TRIM($E1270)),6),CalcKey,"&lt;="&amp;Calc!$H1270))</f>
        <v/>
      </c>
      <c r="O1270" s="10">
        <f>IF(OR($C1270="",$M1270=""),"",IF($N1270="","؟",IF(ROUND($M1270-$N1270,0)=0,"√","×")))</f>
        <v/>
      </c>
      <c r="P1270" s="12" t="n"/>
    </row>
    <row r="1271">
      <c r="A1271" s="10">
        <f>IF($C1271="","",COUNTA($C$9:$C1271))</f>
        <v/>
      </c>
      <c r="B1271" s="10">
        <f>IF($C1271="","","TXN-"&amp;RIGHT("0000"&amp;1263,4))</f>
        <v/>
      </c>
      <c r="C1271" s="11" t="n"/>
      <c r="D1271" s="11" t="n"/>
      <c r="E1271" s="12" t="n"/>
      <c r="F1271" s="10">
        <f>IF($E1271="","",IFERROR(IF(VLOOKUP(LEFT(UPPER(TRIM($E1271)),6),BankTbl,2,0)="","(بدون عنوان)",VLOOKUP(LEFT(UPPER(TRIM($E1271)),6),BankTbl,2,0)),"بانک ناشناخته"))</f>
        <v/>
      </c>
      <c r="G1271" s="11" t="n"/>
      <c r="H1271" s="10">
        <f>IF($G1271="","",IFERROR(VLOOKUP($G1271,CustTbl,2,0),IFERROR(VLOOKUP($G1271,SuppTbl,2,0),IFERROR(VLOOKUP($G1271,AcctTbl,2,0),IFERROR(VLOOKUP($G1271,StaffTbl,2,0),"کد ناشناخته")))))</f>
        <v/>
      </c>
      <c r="I1271" s="12" t="n"/>
      <c r="J1271" s="12" t="n"/>
      <c r="K1271" s="13" t="n"/>
      <c r="L1271" s="13" t="n"/>
      <c r="M1271" s="13" t="n"/>
      <c r="N1271" s="14">
        <f>IF(OR($C1271="",$E1271="",Calc!$H1271=""),"",IFERROR(VLOOKUP(LEFT(UPPER(TRIM($E1271)),6),BankTbl,3,0),0)+SUMIFS(CalcDep,CalcBank,LEFT(UPPER(TRIM($E1271)),6),CalcKey,"&lt;="&amp;Calc!$H1271)-SUMIFS(CalcWit,CalcBank,LEFT(UPPER(TRIM($E1271)),6),CalcKey,"&lt;="&amp;Calc!$H1271))</f>
        <v/>
      </c>
      <c r="O1271" s="10">
        <f>IF(OR($C1271="",$M1271=""),"",IF($N1271="","؟",IF(ROUND($M1271-$N1271,0)=0,"√","×")))</f>
        <v/>
      </c>
      <c r="P1271" s="12" t="n"/>
    </row>
    <row r="1272">
      <c r="A1272" s="10">
        <f>IF($C1272="","",COUNTA($C$9:$C1272))</f>
        <v/>
      </c>
      <c r="B1272" s="10">
        <f>IF($C1272="","","TXN-"&amp;RIGHT("0000"&amp;1264,4))</f>
        <v/>
      </c>
      <c r="C1272" s="11" t="n"/>
      <c r="D1272" s="11" t="n"/>
      <c r="E1272" s="12" t="n"/>
      <c r="F1272" s="10">
        <f>IF($E1272="","",IFERROR(IF(VLOOKUP(LEFT(UPPER(TRIM($E1272)),6),BankTbl,2,0)="","(بدون عنوان)",VLOOKUP(LEFT(UPPER(TRIM($E1272)),6),BankTbl,2,0)),"بانک ناشناخته"))</f>
        <v/>
      </c>
      <c r="G1272" s="11" t="n"/>
      <c r="H1272" s="10">
        <f>IF($G1272="","",IFERROR(VLOOKUP($G1272,CustTbl,2,0),IFERROR(VLOOKUP($G1272,SuppTbl,2,0),IFERROR(VLOOKUP($G1272,AcctTbl,2,0),IFERROR(VLOOKUP($G1272,StaffTbl,2,0),"کد ناشناخته")))))</f>
        <v/>
      </c>
      <c r="I1272" s="12" t="n"/>
      <c r="J1272" s="12" t="n"/>
      <c r="K1272" s="13" t="n"/>
      <c r="L1272" s="13" t="n"/>
      <c r="M1272" s="13" t="n"/>
      <c r="N1272" s="14">
        <f>IF(OR($C1272="",$E1272="",Calc!$H1272=""),"",IFERROR(VLOOKUP(LEFT(UPPER(TRIM($E1272)),6),BankTbl,3,0),0)+SUMIFS(CalcDep,CalcBank,LEFT(UPPER(TRIM($E1272)),6),CalcKey,"&lt;="&amp;Calc!$H1272)-SUMIFS(CalcWit,CalcBank,LEFT(UPPER(TRIM($E1272)),6),CalcKey,"&lt;="&amp;Calc!$H1272))</f>
        <v/>
      </c>
      <c r="O1272" s="10">
        <f>IF(OR($C1272="",$M1272=""),"",IF($N1272="","؟",IF(ROUND($M1272-$N1272,0)=0,"√","×")))</f>
        <v/>
      </c>
      <c r="P1272" s="12" t="n"/>
    </row>
    <row r="1273">
      <c r="A1273" s="10">
        <f>IF($C1273="","",COUNTA($C$9:$C1273))</f>
        <v/>
      </c>
      <c r="B1273" s="10">
        <f>IF($C1273="","","TXN-"&amp;RIGHT("0000"&amp;1265,4))</f>
        <v/>
      </c>
      <c r="C1273" s="11" t="n"/>
      <c r="D1273" s="11" t="n"/>
      <c r="E1273" s="12" t="n"/>
      <c r="F1273" s="10">
        <f>IF($E1273="","",IFERROR(IF(VLOOKUP(LEFT(UPPER(TRIM($E1273)),6),BankTbl,2,0)="","(بدون عنوان)",VLOOKUP(LEFT(UPPER(TRIM($E1273)),6),BankTbl,2,0)),"بانک ناشناخته"))</f>
        <v/>
      </c>
      <c r="G1273" s="11" t="n"/>
      <c r="H1273" s="10">
        <f>IF($G1273="","",IFERROR(VLOOKUP($G1273,CustTbl,2,0),IFERROR(VLOOKUP($G1273,SuppTbl,2,0),IFERROR(VLOOKUP($G1273,AcctTbl,2,0),IFERROR(VLOOKUP($G1273,StaffTbl,2,0),"کد ناشناخته")))))</f>
        <v/>
      </c>
      <c r="I1273" s="12" t="n"/>
      <c r="J1273" s="12" t="n"/>
      <c r="K1273" s="13" t="n"/>
      <c r="L1273" s="13" t="n"/>
      <c r="M1273" s="13" t="n"/>
      <c r="N1273" s="14">
        <f>IF(OR($C1273="",$E1273="",Calc!$H1273=""),"",IFERROR(VLOOKUP(LEFT(UPPER(TRIM($E1273)),6),BankTbl,3,0),0)+SUMIFS(CalcDep,CalcBank,LEFT(UPPER(TRIM($E1273)),6),CalcKey,"&lt;="&amp;Calc!$H1273)-SUMIFS(CalcWit,CalcBank,LEFT(UPPER(TRIM($E1273)),6),CalcKey,"&lt;="&amp;Calc!$H1273))</f>
        <v/>
      </c>
      <c r="O1273" s="10">
        <f>IF(OR($C1273="",$M1273=""),"",IF($N1273="","؟",IF(ROUND($M1273-$N1273,0)=0,"√","×")))</f>
        <v/>
      </c>
      <c r="P1273" s="12" t="n"/>
    </row>
    <row r="1274">
      <c r="A1274" s="10">
        <f>IF($C1274="","",COUNTA($C$9:$C1274))</f>
        <v/>
      </c>
      <c r="B1274" s="10">
        <f>IF($C1274="","","TXN-"&amp;RIGHT("0000"&amp;1266,4))</f>
        <v/>
      </c>
      <c r="C1274" s="11" t="n"/>
      <c r="D1274" s="11" t="n"/>
      <c r="E1274" s="12" t="n"/>
      <c r="F1274" s="10">
        <f>IF($E1274="","",IFERROR(IF(VLOOKUP(LEFT(UPPER(TRIM($E1274)),6),BankTbl,2,0)="","(بدون عنوان)",VLOOKUP(LEFT(UPPER(TRIM($E1274)),6),BankTbl,2,0)),"بانک ناشناخته"))</f>
        <v/>
      </c>
      <c r="G1274" s="11" t="n"/>
      <c r="H1274" s="10">
        <f>IF($G1274="","",IFERROR(VLOOKUP($G1274,CustTbl,2,0),IFERROR(VLOOKUP($G1274,SuppTbl,2,0),IFERROR(VLOOKUP($G1274,AcctTbl,2,0),IFERROR(VLOOKUP($G1274,StaffTbl,2,0),"کد ناشناخته")))))</f>
        <v/>
      </c>
      <c r="I1274" s="12" t="n"/>
      <c r="J1274" s="12" t="n"/>
      <c r="K1274" s="13" t="n"/>
      <c r="L1274" s="13" t="n"/>
      <c r="M1274" s="13" t="n"/>
      <c r="N1274" s="14">
        <f>IF(OR($C1274="",$E1274="",Calc!$H1274=""),"",IFERROR(VLOOKUP(LEFT(UPPER(TRIM($E1274)),6),BankTbl,3,0),0)+SUMIFS(CalcDep,CalcBank,LEFT(UPPER(TRIM($E1274)),6),CalcKey,"&lt;="&amp;Calc!$H1274)-SUMIFS(CalcWit,CalcBank,LEFT(UPPER(TRIM($E1274)),6),CalcKey,"&lt;="&amp;Calc!$H1274))</f>
        <v/>
      </c>
      <c r="O1274" s="10">
        <f>IF(OR($C1274="",$M1274=""),"",IF($N1274="","؟",IF(ROUND($M1274-$N1274,0)=0,"√","×")))</f>
        <v/>
      </c>
      <c r="P1274" s="12" t="n"/>
    </row>
    <row r="1275">
      <c r="A1275" s="10">
        <f>IF($C1275="","",COUNTA($C$9:$C1275))</f>
        <v/>
      </c>
      <c r="B1275" s="10">
        <f>IF($C1275="","","TXN-"&amp;RIGHT("0000"&amp;1267,4))</f>
        <v/>
      </c>
      <c r="C1275" s="11" t="n"/>
      <c r="D1275" s="11" t="n"/>
      <c r="E1275" s="12" t="n"/>
      <c r="F1275" s="10">
        <f>IF($E1275="","",IFERROR(IF(VLOOKUP(LEFT(UPPER(TRIM($E1275)),6),BankTbl,2,0)="","(بدون عنوان)",VLOOKUP(LEFT(UPPER(TRIM($E1275)),6),BankTbl,2,0)),"بانک ناشناخته"))</f>
        <v/>
      </c>
      <c r="G1275" s="11" t="n"/>
      <c r="H1275" s="10">
        <f>IF($G1275="","",IFERROR(VLOOKUP($G1275,CustTbl,2,0),IFERROR(VLOOKUP($G1275,SuppTbl,2,0),IFERROR(VLOOKUP($G1275,AcctTbl,2,0),IFERROR(VLOOKUP($G1275,StaffTbl,2,0),"کد ناشناخته")))))</f>
        <v/>
      </c>
      <c r="I1275" s="12" t="n"/>
      <c r="J1275" s="12" t="n"/>
      <c r="K1275" s="13" t="n"/>
      <c r="L1275" s="13" t="n"/>
      <c r="M1275" s="13" t="n"/>
      <c r="N1275" s="14">
        <f>IF(OR($C1275="",$E1275="",Calc!$H1275=""),"",IFERROR(VLOOKUP(LEFT(UPPER(TRIM($E1275)),6),BankTbl,3,0),0)+SUMIFS(CalcDep,CalcBank,LEFT(UPPER(TRIM($E1275)),6),CalcKey,"&lt;="&amp;Calc!$H1275)-SUMIFS(CalcWit,CalcBank,LEFT(UPPER(TRIM($E1275)),6),CalcKey,"&lt;="&amp;Calc!$H1275))</f>
        <v/>
      </c>
      <c r="O1275" s="10">
        <f>IF(OR($C1275="",$M1275=""),"",IF($N1275="","؟",IF(ROUND($M1275-$N1275,0)=0,"√","×")))</f>
        <v/>
      </c>
      <c r="P1275" s="12" t="n"/>
    </row>
    <row r="1276">
      <c r="A1276" s="10">
        <f>IF($C1276="","",COUNTA($C$9:$C1276))</f>
        <v/>
      </c>
      <c r="B1276" s="10">
        <f>IF($C1276="","","TXN-"&amp;RIGHT("0000"&amp;1268,4))</f>
        <v/>
      </c>
      <c r="C1276" s="11" t="n"/>
      <c r="D1276" s="11" t="n"/>
      <c r="E1276" s="12" t="n"/>
      <c r="F1276" s="10">
        <f>IF($E1276="","",IFERROR(IF(VLOOKUP(LEFT(UPPER(TRIM($E1276)),6),BankTbl,2,0)="","(بدون عنوان)",VLOOKUP(LEFT(UPPER(TRIM($E1276)),6),BankTbl,2,0)),"بانک ناشناخته"))</f>
        <v/>
      </c>
      <c r="G1276" s="11" t="n"/>
      <c r="H1276" s="10">
        <f>IF($G1276="","",IFERROR(VLOOKUP($G1276,CustTbl,2,0),IFERROR(VLOOKUP($G1276,SuppTbl,2,0),IFERROR(VLOOKUP($G1276,AcctTbl,2,0),IFERROR(VLOOKUP($G1276,StaffTbl,2,0),"کد ناشناخته")))))</f>
        <v/>
      </c>
      <c r="I1276" s="12" t="n"/>
      <c r="J1276" s="12" t="n"/>
      <c r="K1276" s="13" t="n"/>
      <c r="L1276" s="13" t="n"/>
      <c r="M1276" s="13" t="n"/>
      <c r="N1276" s="14">
        <f>IF(OR($C1276="",$E1276="",Calc!$H1276=""),"",IFERROR(VLOOKUP(LEFT(UPPER(TRIM($E1276)),6),BankTbl,3,0),0)+SUMIFS(CalcDep,CalcBank,LEFT(UPPER(TRIM($E1276)),6),CalcKey,"&lt;="&amp;Calc!$H1276)-SUMIFS(CalcWit,CalcBank,LEFT(UPPER(TRIM($E1276)),6),CalcKey,"&lt;="&amp;Calc!$H1276))</f>
        <v/>
      </c>
      <c r="O1276" s="10">
        <f>IF(OR($C1276="",$M1276=""),"",IF($N1276="","؟",IF(ROUND($M1276-$N1276,0)=0,"√","×")))</f>
        <v/>
      </c>
      <c r="P1276" s="12" t="n"/>
    </row>
    <row r="1277">
      <c r="A1277" s="10">
        <f>IF($C1277="","",COUNTA($C$9:$C1277))</f>
        <v/>
      </c>
      <c r="B1277" s="10">
        <f>IF($C1277="","","TXN-"&amp;RIGHT("0000"&amp;1269,4))</f>
        <v/>
      </c>
      <c r="C1277" s="11" t="n"/>
      <c r="D1277" s="11" t="n"/>
      <c r="E1277" s="12" t="n"/>
      <c r="F1277" s="10">
        <f>IF($E1277="","",IFERROR(IF(VLOOKUP(LEFT(UPPER(TRIM($E1277)),6),BankTbl,2,0)="","(بدون عنوان)",VLOOKUP(LEFT(UPPER(TRIM($E1277)),6),BankTbl,2,0)),"بانک ناشناخته"))</f>
        <v/>
      </c>
      <c r="G1277" s="11" t="n"/>
      <c r="H1277" s="10">
        <f>IF($G1277="","",IFERROR(VLOOKUP($G1277,CustTbl,2,0),IFERROR(VLOOKUP($G1277,SuppTbl,2,0),IFERROR(VLOOKUP($G1277,AcctTbl,2,0),IFERROR(VLOOKUP($G1277,StaffTbl,2,0),"کد ناشناخته")))))</f>
        <v/>
      </c>
      <c r="I1277" s="12" t="n"/>
      <c r="J1277" s="12" t="n"/>
      <c r="K1277" s="13" t="n"/>
      <c r="L1277" s="13" t="n"/>
      <c r="M1277" s="13" t="n"/>
      <c r="N1277" s="14">
        <f>IF(OR($C1277="",$E1277="",Calc!$H1277=""),"",IFERROR(VLOOKUP(LEFT(UPPER(TRIM($E1277)),6),BankTbl,3,0),0)+SUMIFS(CalcDep,CalcBank,LEFT(UPPER(TRIM($E1277)),6),CalcKey,"&lt;="&amp;Calc!$H1277)-SUMIFS(CalcWit,CalcBank,LEFT(UPPER(TRIM($E1277)),6),CalcKey,"&lt;="&amp;Calc!$H1277))</f>
        <v/>
      </c>
      <c r="O1277" s="10">
        <f>IF(OR($C1277="",$M1277=""),"",IF($N1277="","؟",IF(ROUND($M1277-$N1277,0)=0,"√","×")))</f>
        <v/>
      </c>
      <c r="P1277" s="12" t="n"/>
    </row>
    <row r="1278">
      <c r="A1278" s="10">
        <f>IF($C1278="","",COUNTA($C$9:$C1278))</f>
        <v/>
      </c>
      <c r="B1278" s="10">
        <f>IF($C1278="","","TXN-"&amp;RIGHT("0000"&amp;1270,4))</f>
        <v/>
      </c>
      <c r="C1278" s="11" t="n"/>
      <c r="D1278" s="11" t="n"/>
      <c r="E1278" s="12" t="n"/>
      <c r="F1278" s="10">
        <f>IF($E1278="","",IFERROR(IF(VLOOKUP(LEFT(UPPER(TRIM($E1278)),6),BankTbl,2,0)="","(بدون عنوان)",VLOOKUP(LEFT(UPPER(TRIM($E1278)),6),BankTbl,2,0)),"بانک ناشناخته"))</f>
        <v/>
      </c>
      <c r="G1278" s="11" t="n"/>
      <c r="H1278" s="10">
        <f>IF($G1278="","",IFERROR(VLOOKUP($G1278,CustTbl,2,0),IFERROR(VLOOKUP($G1278,SuppTbl,2,0),IFERROR(VLOOKUP($G1278,AcctTbl,2,0),IFERROR(VLOOKUP($G1278,StaffTbl,2,0),"کد ناشناخته")))))</f>
        <v/>
      </c>
      <c r="I1278" s="12" t="n"/>
      <c r="J1278" s="12" t="n"/>
      <c r="K1278" s="13" t="n"/>
      <c r="L1278" s="13" t="n"/>
      <c r="M1278" s="13" t="n"/>
      <c r="N1278" s="14">
        <f>IF(OR($C1278="",$E1278="",Calc!$H1278=""),"",IFERROR(VLOOKUP(LEFT(UPPER(TRIM($E1278)),6),BankTbl,3,0),0)+SUMIFS(CalcDep,CalcBank,LEFT(UPPER(TRIM($E1278)),6),CalcKey,"&lt;="&amp;Calc!$H1278)-SUMIFS(CalcWit,CalcBank,LEFT(UPPER(TRIM($E1278)),6),CalcKey,"&lt;="&amp;Calc!$H1278))</f>
        <v/>
      </c>
      <c r="O1278" s="10">
        <f>IF(OR($C1278="",$M1278=""),"",IF($N1278="","؟",IF(ROUND($M1278-$N1278,0)=0,"√","×")))</f>
        <v/>
      </c>
      <c r="P1278" s="12" t="n"/>
    </row>
    <row r="1279">
      <c r="A1279" s="10">
        <f>IF($C1279="","",COUNTA($C$9:$C1279))</f>
        <v/>
      </c>
      <c r="B1279" s="10">
        <f>IF($C1279="","","TXN-"&amp;RIGHT("0000"&amp;1271,4))</f>
        <v/>
      </c>
      <c r="C1279" s="11" t="n"/>
      <c r="D1279" s="11" t="n"/>
      <c r="E1279" s="12" t="n"/>
      <c r="F1279" s="10">
        <f>IF($E1279="","",IFERROR(IF(VLOOKUP(LEFT(UPPER(TRIM($E1279)),6),BankTbl,2,0)="","(بدون عنوان)",VLOOKUP(LEFT(UPPER(TRIM($E1279)),6),BankTbl,2,0)),"بانک ناشناخته"))</f>
        <v/>
      </c>
      <c r="G1279" s="11" t="n"/>
      <c r="H1279" s="10">
        <f>IF($G1279="","",IFERROR(VLOOKUP($G1279,CustTbl,2,0),IFERROR(VLOOKUP($G1279,SuppTbl,2,0),IFERROR(VLOOKUP($G1279,AcctTbl,2,0),IFERROR(VLOOKUP($G1279,StaffTbl,2,0),"کد ناشناخته")))))</f>
        <v/>
      </c>
      <c r="I1279" s="12" t="n"/>
      <c r="J1279" s="12" t="n"/>
      <c r="K1279" s="13" t="n"/>
      <c r="L1279" s="13" t="n"/>
      <c r="M1279" s="13" t="n"/>
      <c r="N1279" s="14">
        <f>IF(OR($C1279="",$E1279="",Calc!$H1279=""),"",IFERROR(VLOOKUP(LEFT(UPPER(TRIM($E1279)),6),BankTbl,3,0),0)+SUMIFS(CalcDep,CalcBank,LEFT(UPPER(TRIM($E1279)),6),CalcKey,"&lt;="&amp;Calc!$H1279)-SUMIFS(CalcWit,CalcBank,LEFT(UPPER(TRIM($E1279)),6),CalcKey,"&lt;="&amp;Calc!$H1279))</f>
        <v/>
      </c>
      <c r="O1279" s="10">
        <f>IF(OR($C1279="",$M1279=""),"",IF($N1279="","؟",IF(ROUND($M1279-$N1279,0)=0,"√","×")))</f>
        <v/>
      </c>
      <c r="P1279" s="12" t="n"/>
    </row>
    <row r="1280">
      <c r="A1280" s="10">
        <f>IF($C1280="","",COUNTA($C$9:$C1280))</f>
        <v/>
      </c>
      <c r="B1280" s="10">
        <f>IF($C1280="","","TXN-"&amp;RIGHT("0000"&amp;1272,4))</f>
        <v/>
      </c>
      <c r="C1280" s="11" t="n"/>
      <c r="D1280" s="11" t="n"/>
      <c r="E1280" s="12" t="n"/>
      <c r="F1280" s="10">
        <f>IF($E1280="","",IFERROR(IF(VLOOKUP(LEFT(UPPER(TRIM($E1280)),6),BankTbl,2,0)="","(بدون عنوان)",VLOOKUP(LEFT(UPPER(TRIM($E1280)),6),BankTbl,2,0)),"بانک ناشناخته"))</f>
        <v/>
      </c>
      <c r="G1280" s="11" t="n"/>
      <c r="H1280" s="10">
        <f>IF($G1280="","",IFERROR(VLOOKUP($G1280,CustTbl,2,0),IFERROR(VLOOKUP($G1280,SuppTbl,2,0),IFERROR(VLOOKUP($G1280,AcctTbl,2,0),IFERROR(VLOOKUP($G1280,StaffTbl,2,0),"کد ناشناخته")))))</f>
        <v/>
      </c>
      <c r="I1280" s="12" t="n"/>
      <c r="J1280" s="12" t="n"/>
      <c r="K1280" s="13" t="n"/>
      <c r="L1280" s="13" t="n"/>
      <c r="M1280" s="13" t="n"/>
      <c r="N1280" s="14">
        <f>IF(OR($C1280="",$E1280="",Calc!$H1280=""),"",IFERROR(VLOOKUP(LEFT(UPPER(TRIM($E1280)),6),BankTbl,3,0),0)+SUMIFS(CalcDep,CalcBank,LEFT(UPPER(TRIM($E1280)),6),CalcKey,"&lt;="&amp;Calc!$H1280)-SUMIFS(CalcWit,CalcBank,LEFT(UPPER(TRIM($E1280)),6),CalcKey,"&lt;="&amp;Calc!$H1280))</f>
        <v/>
      </c>
      <c r="O1280" s="10">
        <f>IF(OR($C1280="",$M1280=""),"",IF($N1280="","؟",IF(ROUND($M1280-$N1280,0)=0,"√","×")))</f>
        <v/>
      </c>
      <c r="P1280" s="12" t="n"/>
    </row>
    <row r="1281">
      <c r="A1281" s="10">
        <f>IF($C1281="","",COUNTA($C$9:$C1281))</f>
        <v/>
      </c>
      <c r="B1281" s="10">
        <f>IF($C1281="","","TXN-"&amp;RIGHT("0000"&amp;1273,4))</f>
        <v/>
      </c>
      <c r="C1281" s="11" t="n"/>
      <c r="D1281" s="11" t="n"/>
      <c r="E1281" s="12" t="n"/>
      <c r="F1281" s="10">
        <f>IF($E1281="","",IFERROR(IF(VLOOKUP(LEFT(UPPER(TRIM($E1281)),6),BankTbl,2,0)="","(بدون عنوان)",VLOOKUP(LEFT(UPPER(TRIM($E1281)),6),BankTbl,2,0)),"بانک ناشناخته"))</f>
        <v/>
      </c>
      <c r="G1281" s="11" t="n"/>
      <c r="H1281" s="10">
        <f>IF($G1281="","",IFERROR(VLOOKUP($G1281,CustTbl,2,0),IFERROR(VLOOKUP($G1281,SuppTbl,2,0),IFERROR(VLOOKUP($G1281,AcctTbl,2,0),IFERROR(VLOOKUP($G1281,StaffTbl,2,0),"کد ناشناخته")))))</f>
        <v/>
      </c>
      <c r="I1281" s="12" t="n"/>
      <c r="J1281" s="12" t="n"/>
      <c r="K1281" s="13" t="n"/>
      <c r="L1281" s="13" t="n"/>
      <c r="M1281" s="13" t="n"/>
      <c r="N1281" s="14">
        <f>IF(OR($C1281="",$E1281="",Calc!$H1281=""),"",IFERROR(VLOOKUP(LEFT(UPPER(TRIM($E1281)),6),BankTbl,3,0),0)+SUMIFS(CalcDep,CalcBank,LEFT(UPPER(TRIM($E1281)),6),CalcKey,"&lt;="&amp;Calc!$H1281)-SUMIFS(CalcWit,CalcBank,LEFT(UPPER(TRIM($E1281)),6),CalcKey,"&lt;="&amp;Calc!$H1281))</f>
        <v/>
      </c>
      <c r="O1281" s="10">
        <f>IF(OR($C1281="",$M1281=""),"",IF($N1281="","؟",IF(ROUND($M1281-$N1281,0)=0,"√","×")))</f>
        <v/>
      </c>
      <c r="P1281" s="12" t="n"/>
    </row>
    <row r="1282">
      <c r="A1282" s="10">
        <f>IF($C1282="","",COUNTA($C$9:$C1282))</f>
        <v/>
      </c>
      <c r="B1282" s="10">
        <f>IF($C1282="","","TXN-"&amp;RIGHT("0000"&amp;1274,4))</f>
        <v/>
      </c>
      <c r="C1282" s="11" t="n"/>
      <c r="D1282" s="11" t="n"/>
      <c r="E1282" s="12" t="n"/>
      <c r="F1282" s="10">
        <f>IF($E1282="","",IFERROR(IF(VLOOKUP(LEFT(UPPER(TRIM($E1282)),6),BankTbl,2,0)="","(بدون عنوان)",VLOOKUP(LEFT(UPPER(TRIM($E1282)),6),BankTbl,2,0)),"بانک ناشناخته"))</f>
        <v/>
      </c>
      <c r="G1282" s="11" t="n"/>
      <c r="H1282" s="10">
        <f>IF($G1282="","",IFERROR(VLOOKUP($G1282,CustTbl,2,0),IFERROR(VLOOKUP($G1282,SuppTbl,2,0),IFERROR(VLOOKUP($G1282,AcctTbl,2,0),IFERROR(VLOOKUP($G1282,StaffTbl,2,0),"کد ناشناخته")))))</f>
        <v/>
      </c>
      <c r="I1282" s="12" t="n"/>
      <c r="J1282" s="12" t="n"/>
      <c r="K1282" s="13" t="n"/>
      <c r="L1282" s="13" t="n"/>
      <c r="M1282" s="13" t="n"/>
      <c r="N1282" s="14">
        <f>IF(OR($C1282="",$E1282="",Calc!$H1282=""),"",IFERROR(VLOOKUP(LEFT(UPPER(TRIM($E1282)),6),BankTbl,3,0),0)+SUMIFS(CalcDep,CalcBank,LEFT(UPPER(TRIM($E1282)),6),CalcKey,"&lt;="&amp;Calc!$H1282)-SUMIFS(CalcWit,CalcBank,LEFT(UPPER(TRIM($E1282)),6),CalcKey,"&lt;="&amp;Calc!$H1282))</f>
        <v/>
      </c>
      <c r="O1282" s="10">
        <f>IF(OR($C1282="",$M1282=""),"",IF($N1282="","؟",IF(ROUND($M1282-$N1282,0)=0,"√","×")))</f>
        <v/>
      </c>
      <c r="P1282" s="12" t="n"/>
    </row>
    <row r="1283">
      <c r="A1283" s="10">
        <f>IF($C1283="","",COUNTA($C$9:$C1283))</f>
        <v/>
      </c>
      <c r="B1283" s="10">
        <f>IF($C1283="","","TXN-"&amp;RIGHT("0000"&amp;1275,4))</f>
        <v/>
      </c>
      <c r="C1283" s="11" t="n"/>
      <c r="D1283" s="11" t="n"/>
      <c r="E1283" s="12" t="n"/>
      <c r="F1283" s="10">
        <f>IF($E1283="","",IFERROR(IF(VLOOKUP(LEFT(UPPER(TRIM($E1283)),6),BankTbl,2,0)="","(بدون عنوان)",VLOOKUP(LEFT(UPPER(TRIM($E1283)),6),BankTbl,2,0)),"بانک ناشناخته"))</f>
        <v/>
      </c>
      <c r="G1283" s="11" t="n"/>
      <c r="H1283" s="10">
        <f>IF($G1283="","",IFERROR(VLOOKUP($G1283,CustTbl,2,0),IFERROR(VLOOKUP($G1283,SuppTbl,2,0),IFERROR(VLOOKUP($G1283,AcctTbl,2,0),IFERROR(VLOOKUP($G1283,StaffTbl,2,0),"کد ناشناخته")))))</f>
        <v/>
      </c>
      <c r="I1283" s="12" t="n"/>
      <c r="J1283" s="12" t="n"/>
      <c r="K1283" s="13" t="n"/>
      <c r="L1283" s="13" t="n"/>
      <c r="M1283" s="13" t="n"/>
      <c r="N1283" s="14">
        <f>IF(OR($C1283="",$E1283="",Calc!$H1283=""),"",IFERROR(VLOOKUP(LEFT(UPPER(TRIM($E1283)),6),BankTbl,3,0),0)+SUMIFS(CalcDep,CalcBank,LEFT(UPPER(TRIM($E1283)),6),CalcKey,"&lt;="&amp;Calc!$H1283)-SUMIFS(CalcWit,CalcBank,LEFT(UPPER(TRIM($E1283)),6),CalcKey,"&lt;="&amp;Calc!$H1283))</f>
        <v/>
      </c>
      <c r="O1283" s="10">
        <f>IF(OR($C1283="",$M1283=""),"",IF($N1283="","؟",IF(ROUND($M1283-$N1283,0)=0,"√","×")))</f>
        <v/>
      </c>
      <c r="P1283" s="12" t="n"/>
    </row>
    <row r="1284">
      <c r="A1284" s="10">
        <f>IF($C1284="","",COUNTA($C$9:$C1284))</f>
        <v/>
      </c>
      <c r="B1284" s="10">
        <f>IF($C1284="","","TXN-"&amp;RIGHT("0000"&amp;1276,4))</f>
        <v/>
      </c>
      <c r="C1284" s="11" t="n"/>
      <c r="D1284" s="11" t="n"/>
      <c r="E1284" s="12" t="n"/>
      <c r="F1284" s="10">
        <f>IF($E1284="","",IFERROR(IF(VLOOKUP(LEFT(UPPER(TRIM($E1284)),6),BankTbl,2,0)="","(بدون عنوان)",VLOOKUP(LEFT(UPPER(TRIM($E1284)),6),BankTbl,2,0)),"بانک ناشناخته"))</f>
        <v/>
      </c>
      <c r="G1284" s="11" t="n"/>
      <c r="H1284" s="10">
        <f>IF($G1284="","",IFERROR(VLOOKUP($G1284,CustTbl,2,0),IFERROR(VLOOKUP($G1284,SuppTbl,2,0),IFERROR(VLOOKUP($G1284,AcctTbl,2,0),IFERROR(VLOOKUP($G1284,StaffTbl,2,0),"کد ناشناخته")))))</f>
        <v/>
      </c>
      <c r="I1284" s="12" t="n"/>
      <c r="J1284" s="12" t="n"/>
      <c r="K1284" s="13" t="n"/>
      <c r="L1284" s="13" t="n"/>
      <c r="M1284" s="13" t="n"/>
      <c r="N1284" s="14">
        <f>IF(OR($C1284="",$E1284="",Calc!$H1284=""),"",IFERROR(VLOOKUP(LEFT(UPPER(TRIM($E1284)),6),BankTbl,3,0),0)+SUMIFS(CalcDep,CalcBank,LEFT(UPPER(TRIM($E1284)),6),CalcKey,"&lt;="&amp;Calc!$H1284)-SUMIFS(CalcWit,CalcBank,LEFT(UPPER(TRIM($E1284)),6),CalcKey,"&lt;="&amp;Calc!$H1284))</f>
        <v/>
      </c>
      <c r="O1284" s="10">
        <f>IF(OR($C1284="",$M1284=""),"",IF($N1284="","؟",IF(ROUND($M1284-$N1284,0)=0,"√","×")))</f>
        <v/>
      </c>
      <c r="P1284" s="12" t="n"/>
    </row>
    <row r="1285">
      <c r="A1285" s="10">
        <f>IF($C1285="","",COUNTA($C$9:$C1285))</f>
        <v/>
      </c>
      <c r="B1285" s="10">
        <f>IF($C1285="","","TXN-"&amp;RIGHT("0000"&amp;1277,4))</f>
        <v/>
      </c>
      <c r="C1285" s="11" t="n"/>
      <c r="D1285" s="11" t="n"/>
      <c r="E1285" s="12" t="n"/>
      <c r="F1285" s="10">
        <f>IF($E1285="","",IFERROR(IF(VLOOKUP(LEFT(UPPER(TRIM($E1285)),6),BankTbl,2,0)="","(بدون عنوان)",VLOOKUP(LEFT(UPPER(TRIM($E1285)),6),BankTbl,2,0)),"بانک ناشناخته"))</f>
        <v/>
      </c>
      <c r="G1285" s="11" t="n"/>
      <c r="H1285" s="10">
        <f>IF($G1285="","",IFERROR(VLOOKUP($G1285,CustTbl,2,0),IFERROR(VLOOKUP($G1285,SuppTbl,2,0),IFERROR(VLOOKUP($G1285,AcctTbl,2,0),IFERROR(VLOOKUP($G1285,StaffTbl,2,0),"کد ناشناخته")))))</f>
        <v/>
      </c>
      <c r="I1285" s="12" t="n"/>
      <c r="J1285" s="12" t="n"/>
      <c r="K1285" s="13" t="n"/>
      <c r="L1285" s="13" t="n"/>
      <c r="M1285" s="13" t="n"/>
      <c r="N1285" s="14">
        <f>IF(OR($C1285="",$E1285="",Calc!$H1285=""),"",IFERROR(VLOOKUP(LEFT(UPPER(TRIM($E1285)),6),BankTbl,3,0),0)+SUMIFS(CalcDep,CalcBank,LEFT(UPPER(TRIM($E1285)),6),CalcKey,"&lt;="&amp;Calc!$H1285)-SUMIFS(CalcWit,CalcBank,LEFT(UPPER(TRIM($E1285)),6),CalcKey,"&lt;="&amp;Calc!$H1285))</f>
        <v/>
      </c>
      <c r="O1285" s="10">
        <f>IF(OR($C1285="",$M1285=""),"",IF($N1285="","؟",IF(ROUND($M1285-$N1285,0)=0,"√","×")))</f>
        <v/>
      </c>
      <c r="P1285" s="12" t="n"/>
    </row>
    <row r="1286">
      <c r="A1286" s="10">
        <f>IF($C1286="","",COUNTA($C$9:$C1286))</f>
        <v/>
      </c>
      <c r="B1286" s="10">
        <f>IF($C1286="","","TXN-"&amp;RIGHT("0000"&amp;1278,4))</f>
        <v/>
      </c>
      <c r="C1286" s="11" t="n"/>
      <c r="D1286" s="11" t="n"/>
      <c r="E1286" s="12" t="n"/>
      <c r="F1286" s="10">
        <f>IF($E1286="","",IFERROR(IF(VLOOKUP(LEFT(UPPER(TRIM($E1286)),6),BankTbl,2,0)="","(بدون عنوان)",VLOOKUP(LEFT(UPPER(TRIM($E1286)),6),BankTbl,2,0)),"بانک ناشناخته"))</f>
        <v/>
      </c>
      <c r="G1286" s="11" t="n"/>
      <c r="H1286" s="10">
        <f>IF($G1286="","",IFERROR(VLOOKUP($G1286,CustTbl,2,0),IFERROR(VLOOKUP($G1286,SuppTbl,2,0),IFERROR(VLOOKUP($G1286,AcctTbl,2,0),IFERROR(VLOOKUP($G1286,StaffTbl,2,0),"کد ناشناخته")))))</f>
        <v/>
      </c>
      <c r="I1286" s="12" t="n"/>
      <c r="J1286" s="12" t="n"/>
      <c r="K1286" s="13" t="n"/>
      <c r="L1286" s="13" t="n"/>
      <c r="M1286" s="13" t="n"/>
      <c r="N1286" s="14">
        <f>IF(OR($C1286="",$E1286="",Calc!$H1286=""),"",IFERROR(VLOOKUP(LEFT(UPPER(TRIM($E1286)),6),BankTbl,3,0),0)+SUMIFS(CalcDep,CalcBank,LEFT(UPPER(TRIM($E1286)),6),CalcKey,"&lt;="&amp;Calc!$H1286)-SUMIFS(CalcWit,CalcBank,LEFT(UPPER(TRIM($E1286)),6),CalcKey,"&lt;="&amp;Calc!$H1286))</f>
        <v/>
      </c>
      <c r="O1286" s="10">
        <f>IF(OR($C1286="",$M1286=""),"",IF($N1286="","؟",IF(ROUND($M1286-$N1286,0)=0,"√","×")))</f>
        <v/>
      </c>
      <c r="P1286" s="12" t="n"/>
    </row>
    <row r="1287">
      <c r="A1287" s="10">
        <f>IF($C1287="","",COUNTA($C$9:$C1287))</f>
        <v/>
      </c>
      <c r="B1287" s="10">
        <f>IF($C1287="","","TXN-"&amp;RIGHT("0000"&amp;1279,4))</f>
        <v/>
      </c>
      <c r="C1287" s="11" t="n"/>
      <c r="D1287" s="11" t="n"/>
      <c r="E1287" s="12" t="n"/>
      <c r="F1287" s="10">
        <f>IF($E1287="","",IFERROR(IF(VLOOKUP(LEFT(UPPER(TRIM($E1287)),6),BankTbl,2,0)="","(بدون عنوان)",VLOOKUP(LEFT(UPPER(TRIM($E1287)),6),BankTbl,2,0)),"بانک ناشناخته"))</f>
        <v/>
      </c>
      <c r="G1287" s="11" t="n"/>
      <c r="H1287" s="10">
        <f>IF($G1287="","",IFERROR(VLOOKUP($G1287,CustTbl,2,0),IFERROR(VLOOKUP($G1287,SuppTbl,2,0),IFERROR(VLOOKUP($G1287,AcctTbl,2,0),IFERROR(VLOOKUP($G1287,StaffTbl,2,0),"کد ناشناخته")))))</f>
        <v/>
      </c>
      <c r="I1287" s="12" t="n"/>
      <c r="J1287" s="12" t="n"/>
      <c r="K1287" s="13" t="n"/>
      <c r="L1287" s="13" t="n"/>
      <c r="M1287" s="13" t="n"/>
      <c r="N1287" s="14">
        <f>IF(OR($C1287="",$E1287="",Calc!$H1287=""),"",IFERROR(VLOOKUP(LEFT(UPPER(TRIM($E1287)),6),BankTbl,3,0),0)+SUMIFS(CalcDep,CalcBank,LEFT(UPPER(TRIM($E1287)),6),CalcKey,"&lt;="&amp;Calc!$H1287)-SUMIFS(CalcWit,CalcBank,LEFT(UPPER(TRIM($E1287)),6),CalcKey,"&lt;="&amp;Calc!$H1287))</f>
        <v/>
      </c>
      <c r="O1287" s="10">
        <f>IF(OR($C1287="",$M1287=""),"",IF($N1287="","؟",IF(ROUND($M1287-$N1287,0)=0,"√","×")))</f>
        <v/>
      </c>
      <c r="P1287" s="12" t="n"/>
    </row>
    <row r="1288">
      <c r="A1288" s="10">
        <f>IF($C1288="","",COUNTA($C$9:$C1288))</f>
        <v/>
      </c>
      <c r="B1288" s="10">
        <f>IF($C1288="","","TXN-"&amp;RIGHT("0000"&amp;1280,4))</f>
        <v/>
      </c>
      <c r="C1288" s="11" t="n"/>
      <c r="D1288" s="11" t="n"/>
      <c r="E1288" s="12" t="n"/>
      <c r="F1288" s="10">
        <f>IF($E1288="","",IFERROR(IF(VLOOKUP(LEFT(UPPER(TRIM($E1288)),6),BankTbl,2,0)="","(بدون عنوان)",VLOOKUP(LEFT(UPPER(TRIM($E1288)),6),BankTbl,2,0)),"بانک ناشناخته"))</f>
        <v/>
      </c>
      <c r="G1288" s="11" t="n"/>
      <c r="H1288" s="10">
        <f>IF($G1288="","",IFERROR(VLOOKUP($G1288,CustTbl,2,0),IFERROR(VLOOKUP($G1288,SuppTbl,2,0),IFERROR(VLOOKUP($G1288,AcctTbl,2,0),IFERROR(VLOOKUP($G1288,StaffTbl,2,0),"کد ناشناخته")))))</f>
        <v/>
      </c>
      <c r="I1288" s="12" t="n"/>
      <c r="J1288" s="12" t="n"/>
      <c r="K1288" s="13" t="n"/>
      <c r="L1288" s="13" t="n"/>
      <c r="M1288" s="13" t="n"/>
      <c r="N1288" s="14">
        <f>IF(OR($C1288="",$E1288="",Calc!$H1288=""),"",IFERROR(VLOOKUP(LEFT(UPPER(TRIM($E1288)),6),BankTbl,3,0),0)+SUMIFS(CalcDep,CalcBank,LEFT(UPPER(TRIM($E1288)),6),CalcKey,"&lt;="&amp;Calc!$H1288)-SUMIFS(CalcWit,CalcBank,LEFT(UPPER(TRIM($E1288)),6),CalcKey,"&lt;="&amp;Calc!$H1288))</f>
        <v/>
      </c>
      <c r="O1288" s="10">
        <f>IF(OR($C1288="",$M1288=""),"",IF($N1288="","؟",IF(ROUND($M1288-$N1288,0)=0,"√","×")))</f>
        <v/>
      </c>
      <c r="P1288" s="12" t="n"/>
    </row>
    <row r="1289">
      <c r="A1289" s="10">
        <f>IF($C1289="","",COUNTA($C$9:$C1289))</f>
        <v/>
      </c>
      <c r="B1289" s="10">
        <f>IF($C1289="","","TXN-"&amp;RIGHT("0000"&amp;1281,4))</f>
        <v/>
      </c>
      <c r="C1289" s="11" t="n"/>
      <c r="D1289" s="11" t="n"/>
      <c r="E1289" s="12" t="n"/>
      <c r="F1289" s="10">
        <f>IF($E1289="","",IFERROR(IF(VLOOKUP(LEFT(UPPER(TRIM($E1289)),6),BankTbl,2,0)="","(بدون عنوان)",VLOOKUP(LEFT(UPPER(TRIM($E1289)),6),BankTbl,2,0)),"بانک ناشناخته"))</f>
        <v/>
      </c>
      <c r="G1289" s="11" t="n"/>
      <c r="H1289" s="10">
        <f>IF($G1289="","",IFERROR(VLOOKUP($G1289,CustTbl,2,0),IFERROR(VLOOKUP($G1289,SuppTbl,2,0),IFERROR(VLOOKUP($G1289,AcctTbl,2,0),IFERROR(VLOOKUP($G1289,StaffTbl,2,0),"کد ناشناخته")))))</f>
        <v/>
      </c>
      <c r="I1289" s="12" t="n"/>
      <c r="J1289" s="12" t="n"/>
      <c r="K1289" s="13" t="n"/>
      <c r="L1289" s="13" t="n"/>
      <c r="M1289" s="13" t="n"/>
      <c r="N1289" s="14">
        <f>IF(OR($C1289="",$E1289="",Calc!$H1289=""),"",IFERROR(VLOOKUP(LEFT(UPPER(TRIM($E1289)),6),BankTbl,3,0),0)+SUMIFS(CalcDep,CalcBank,LEFT(UPPER(TRIM($E1289)),6),CalcKey,"&lt;="&amp;Calc!$H1289)-SUMIFS(CalcWit,CalcBank,LEFT(UPPER(TRIM($E1289)),6),CalcKey,"&lt;="&amp;Calc!$H1289))</f>
        <v/>
      </c>
      <c r="O1289" s="10">
        <f>IF(OR($C1289="",$M1289=""),"",IF($N1289="","؟",IF(ROUND($M1289-$N1289,0)=0,"√","×")))</f>
        <v/>
      </c>
      <c r="P1289" s="12" t="n"/>
    </row>
    <row r="1290">
      <c r="A1290" s="10">
        <f>IF($C1290="","",COUNTA($C$9:$C1290))</f>
        <v/>
      </c>
      <c r="B1290" s="10">
        <f>IF($C1290="","","TXN-"&amp;RIGHT("0000"&amp;1282,4))</f>
        <v/>
      </c>
      <c r="C1290" s="11" t="n"/>
      <c r="D1290" s="11" t="n"/>
      <c r="E1290" s="12" t="n"/>
      <c r="F1290" s="10">
        <f>IF($E1290="","",IFERROR(IF(VLOOKUP(LEFT(UPPER(TRIM($E1290)),6),BankTbl,2,0)="","(بدون عنوان)",VLOOKUP(LEFT(UPPER(TRIM($E1290)),6),BankTbl,2,0)),"بانک ناشناخته"))</f>
        <v/>
      </c>
      <c r="G1290" s="11" t="n"/>
      <c r="H1290" s="10">
        <f>IF($G1290="","",IFERROR(VLOOKUP($G1290,CustTbl,2,0),IFERROR(VLOOKUP($G1290,SuppTbl,2,0),IFERROR(VLOOKUP($G1290,AcctTbl,2,0),IFERROR(VLOOKUP($G1290,StaffTbl,2,0),"کد ناشناخته")))))</f>
        <v/>
      </c>
      <c r="I1290" s="12" t="n"/>
      <c r="J1290" s="12" t="n"/>
      <c r="K1290" s="13" t="n"/>
      <c r="L1290" s="13" t="n"/>
      <c r="M1290" s="13" t="n"/>
      <c r="N1290" s="14">
        <f>IF(OR($C1290="",$E1290="",Calc!$H1290=""),"",IFERROR(VLOOKUP(LEFT(UPPER(TRIM($E1290)),6),BankTbl,3,0),0)+SUMIFS(CalcDep,CalcBank,LEFT(UPPER(TRIM($E1290)),6),CalcKey,"&lt;="&amp;Calc!$H1290)-SUMIFS(CalcWit,CalcBank,LEFT(UPPER(TRIM($E1290)),6),CalcKey,"&lt;="&amp;Calc!$H1290))</f>
        <v/>
      </c>
      <c r="O1290" s="10">
        <f>IF(OR($C1290="",$M1290=""),"",IF($N1290="","؟",IF(ROUND($M1290-$N1290,0)=0,"√","×")))</f>
        <v/>
      </c>
      <c r="P1290" s="12" t="n"/>
    </row>
    <row r="1291">
      <c r="A1291" s="10">
        <f>IF($C1291="","",COUNTA($C$9:$C1291))</f>
        <v/>
      </c>
      <c r="B1291" s="10">
        <f>IF($C1291="","","TXN-"&amp;RIGHT("0000"&amp;1283,4))</f>
        <v/>
      </c>
      <c r="C1291" s="11" t="n"/>
      <c r="D1291" s="11" t="n"/>
      <c r="E1291" s="12" t="n"/>
      <c r="F1291" s="10">
        <f>IF($E1291="","",IFERROR(IF(VLOOKUP(LEFT(UPPER(TRIM($E1291)),6),BankTbl,2,0)="","(بدون عنوان)",VLOOKUP(LEFT(UPPER(TRIM($E1291)),6),BankTbl,2,0)),"بانک ناشناخته"))</f>
        <v/>
      </c>
      <c r="G1291" s="11" t="n"/>
      <c r="H1291" s="10">
        <f>IF($G1291="","",IFERROR(VLOOKUP($G1291,CustTbl,2,0),IFERROR(VLOOKUP($G1291,SuppTbl,2,0),IFERROR(VLOOKUP($G1291,AcctTbl,2,0),IFERROR(VLOOKUP($G1291,StaffTbl,2,0),"کد ناشناخته")))))</f>
        <v/>
      </c>
      <c r="I1291" s="12" t="n"/>
      <c r="J1291" s="12" t="n"/>
      <c r="K1291" s="13" t="n"/>
      <c r="L1291" s="13" t="n"/>
      <c r="M1291" s="13" t="n"/>
      <c r="N1291" s="14">
        <f>IF(OR($C1291="",$E1291="",Calc!$H1291=""),"",IFERROR(VLOOKUP(LEFT(UPPER(TRIM($E1291)),6),BankTbl,3,0),0)+SUMIFS(CalcDep,CalcBank,LEFT(UPPER(TRIM($E1291)),6),CalcKey,"&lt;="&amp;Calc!$H1291)-SUMIFS(CalcWit,CalcBank,LEFT(UPPER(TRIM($E1291)),6),CalcKey,"&lt;="&amp;Calc!$H1291))</f>
        <v/>
      </c>
      <c r="O1291" s="10">
        <f>IF(OR($C1291="",$M1291=""),"",IF($N1291="","؟",IF(ROUND($M1291-$N1291,0)=0,"√","×")))</f>
        <v/>
      </c>
      <c r="P1291" s="12" t="n"/>
    </row>
    <row r="1292">
      <c r="A1292" s="10">
        <f>IF($C1292="","",COUNTA($C$9:$C1292))</f>
        <v/>
      </c>
      <c r="B1292" s="10">
        <f>IF($C1292="","","TXN-"&amp;RIGHT("0000"&amp;1284,4))</f>
        <v/>
      </c>
      <c r="C1292" s="11" t="n"/>
      <c r="D1292" s="11" t="n"/>
      <c r="E1292" s="12" t="n"/>
      <c r="F1292" s="10">
        <f>IF($E1292="","",IFERROR(IF(VLOOKUP(LEFT(UPPER(TRIM($E1292)),6),BankTbl,2,0)="","(بدون عنوان)",VLOOKUP(LEFT(UPPER(TRIM($E1292)),6),BankTbl,2,0)),"بانک ناشناخته"))</f>
        <v/>
      </c>
      <c r="G1292" s="11" t="n"/>
      <c r="H1292" s="10">
        <f>IF($G1292="","",IFERROR(VLOOKUP($G1292,CustTbl,2,0),IFERROR(VLOOKUP($G1292,SuppTbl,2,0),IFERROR(VLOOKUP($G1292,AcctTbl,2,0),IFERROR(VLOOKUP($G1292,StaffTbl,2,0),"کد ناشناخته")))))</f>
        <v/>
      </c>
      <c r="I1292" s="12" t="n"/>
      <c r="J1292" s="12" t="n"/>
      <c r="K1292" s="13" t="n"/>
      <c r="L1292" s="13" t="n"/>
      <c r="M1292" s="13" t="n"/>
      <c r="N1292" s="14">
        <f>IF(OR($C1292="",$E1292="",Calc!$H1292=""),"",IFERROR(VLOOKUP(LEFT(UPPER(TRIM($E1292)),6),BankTbl,3,0),0)+SUMIFS(CalcDep,CalcBank,LEFT(UPPER(TRIM($E1292)),6),CalcKey,"&lt;="&amp;Calc!$H1292)-SUMIFS(CalcWit,CalcBank,LEFT(UPPER(TRIM($E1292)),6),CalcKey,"&lt;="&amp;Calc!$H1292))</f>
        <v/>
      </c>
      <c r="O1292" s="10">
        <f>IF(OR($C1292="",$M1292=""),"",IF($N1292="","؟",IF(ROUND($M1292-$N1292,0)=0,"√","×")))</f>
        <v/>
      </c>
      <c r="P1292" s="12" t="n"/>
    </row>
    <row r="1293">
      <c r="A1293" s="10">
        <f>IF($C1293="","",COUNTA($C$9:$C1293))</f>
        <v/>
      </c>
      <c r="B1293" s="10">
        <f>IF($C1293="","","TXN-"&amp;RIGHT("0000"&amp;1285,4))</f>
        <v/>
      </c>
      <c r="C1293" s="11" t="n"/>
      <c r="D1293" s="11" t="n"/>
      <c r="E1293" s="12" t="n"/>
      <c r="F1293" s="10">
        <f>IF($E1293="","",IFERROR(IF(VLOOKUP(LEFT(UPPER(TRIM($E1293)),6),BankTbl,2,0)="","(بدون عنوان)",VLOOKUP(LEFT(UPPER(TRIM($E1293)),6),BankTbl,2,0)),"بانک ناشناخته"))</f>
        <v/>
      </c>
      <c r="G1293" s="11" t="n"/>
      <c r="H1293" s="10">
        <f>IF($G1293="","",IFERROR(VLOOKUP($G1293,CustTbl,2,0),IFERROR(VLOOKUP($G1293,SuppTbl,2,0),IFERROR(VLOOKUP($G1293,AcctTbl,2,0),IFERROR(VLOOKUP($G1293,StaffTbl,2,0),"کد ناشناخته")))))</f>
        <v/>
      </c>
      <c r="I1293" s="12" t="n"/>
      <c r="J1293" s="12" t="n"/>
      <c r="K1293" s="13" t="n"/>
      <c r="L1293" s="13" t="n"/>
      <c r="M1293" s="13" t="n"/>
      <c r="N1293" s="14">
        <f>IF(OR($C1293="",$E1293="",Calc!$H1293=""),"",IFERROR(VLOOKUP(LEFT(UPPER(TRIM($E1293)),6),BankTbl,3,0),0)+SUMIFS(CalcDep,CalcBank,LEFT(UPPER(TRIM($E1293)),6),CalcKey,"&lt;="&amp;Calc!$H1293)-SUMIFS(CalcWit,CalcBank,LEFT(UPPER(TRIM($E1293)),6),CalcKey,"&lt;="&amp;Calc!$H1293))</f>
        <v/>
      </c>
      <c r="O1293" s="10">
        <f>IF(OR($C1293="",$M1293=""),"",IF($N1293="","؟",IF(ROUND($M1293-$N1293,0)=0,"√","×")))</f>
        <v/>
      </c>
      <c r="P1293" s="12" t="n"/>
    </row>
    <row r="1294">
      <c r="A1294" s="10">
        <f>IF($C1294="","",COUNTA($C$9:$C1294))</f>
        <v/>
      </c>
      <c r="B1294" s="10">
        <f>IF($C1294="","","TXN-"&amp;RIGHT("0000"&amp;1286,4))</f>
        <v/>
      </c>
      <c r="C1294" s="11" t="n"/>
      <c r="D1294" s="11" t="n"/>
      <c r="E1294" s="12" t="n"/>
      <c r="F1294" s="10">
        <f>IF($E1294="","",IFERROR(IF(VLOOKUP(LEFT(UPPER(TRIM($E1294)),6),BankTbl,2,0)="","(بدون عنوان)",VLOOKUP(LEFT(UPPER(TRIM($E1294)),6),BankTbl,2,0)),"بانک ناشناخته"))</f>
        <v/>
      </c>
      <c r="G1294" s="11" t="n"/>
      <c r="H1294" s="10">
        <f>IF($G1294="","",IFERROR(VLOOKUP($G1294,CustTbl,2,0),IFERROR(VLOOKUP($G1294,SuppTbl,2,0),IFERROR(VLOOKUP($G1294,AcctTbl,2,0),IFERROR(VLOOKUP($G1294,StaffTbl,2,0),"کد ناشناخته")))))</f>
        <v/>
      </c>
      <c r="I1294" s="12" t="n"/>
      <c r="J1294" s="12" t="n"/>
      <c r="K1294" s="13" t="n"/>
      <c r="L1294" s="13" t="n"/>
      <c r="M1294" s="13" t="n"/>
      <c r="N1294" s="14">
        <f>IF(OR($C1294="",$E1294="",Calc!$H1294=""),"",IFERROR(VLOOKUP(LEFT(UPPER(TRIM($E1294)),6),BankTbl,3,0),0)+SUMIFS(CalcDep,CalcBank,LEFT(UPPER(TRIM($E1294)),6),CalcKey,"&lt;="&amp;Calc!$H1294)-SUMIFS(CalcWit,CalcBank,LEFT(UPPER(TRIM($E1294)),6),CalcKey,"&lt;="&amp;Calc!$H1294))</f>
        <v/>
      </c>
      <c r="O1294" s="10">
        <f>IF(OR($C1294="",$M1294=""),"",IF($N1294="","؟",IF(ROUND($M1294-$N1294,0)=0,"√","×")))</f>
        <v/>
      </c>
      <c r="P1294" s="12" t="n"/>
    </row>
    <row r="1295">
      <c r="A1295" s="10">
        <f>IF($C1295="","",COUNTA($C$9:$C1295))</f>
        <v/>
      </c>
      <c r="B1295" s="10">
        <f>IF($C1295="","","TXN-"&amp;RIGHT("0000"&amp;1287,4))</f>
        <v/>
      </c>
      <c r="C1295" s="11" t="n"/>
      <c r="D1295" s="11" t="n"/>
      <c r="E1295" s="12" t="n"/>
      <c r="F1295" s="10">
        <f>IF($E1295="","",IFERROR(IF(VLOOKUP(LEFT(UPPER(TRIM($E1295)),6),BankTbl,2,0)="","(بدون عنوان)",VLOOKUP(LEFT(UPPER(TRIM($E1295)),6),BankTbl,2,0)),"بانک ناشناخته"))</f>
        <v/>
      </c>
      <c r="G1295" s="11" t="n"/>
      <c r="H1295" s="10">
        <f>IF($G1295="","",IFERROR(VLOOKUP($G1295,CustTbl,2,0),IFERROR(VLOOKUP($G1295,SuppTbl,2,0),IFERROR(VLOOKUP($G1295,AcctTbl,2,0),IFERROR(VLOOKUP($G1295,StaffTbl,2,0),"کد ناشناخته")))))</f>
        <v/>
      </c>
      <c r="I1295" s="12" t="n"/>
      <c r="J1295" s="12" t="n"/>
      <c r="K1295" s="13" t="n"/>
      <c r="L1295" s="13" t="n"/>
      <c r="M1295" s="13" t="n"/>
      <c r="N1295" s="14">
        <f>IF(OR($C1295="",$E1295="",Calc!$H1295=""),"",IFERROR(VLOOKUP(LEFT(UPPER(TRIM($E1295)),6),BankTbl,3,0),0)+SUMIFS(CalcDep,CalcBank,LEFT(UPPER(TRIM($E1295)),6),CalcKey,"&lt;="&amp;Calc!$H1295)-SUMIFS(CalcWit,CalcBank,LEFT(UPPER(TRIM($E1295)),6),CalcKey,"&lt;="&amp;Calc!$H1295))</f>
        <v/>
      </c>
      <c r="O1295" s="10">
        <f>IF(OR($C1295="",$M1295=""),"",IF($N1295="","؟",IF(ROUND($M1295-$N1295,0)=0,"√","×")))</f>
        <v/>
      </c>
      <c r="P1295" s="12" t="n"/>
    </row>
    <row r="1296">
      <c r="A1296" s="10">
        <f>IF($C1296="","",COUNTA($C$9:$C1296))</f>
        <v/>
      </c>
      <c r="B1296" s="10">
        <f>IF($C1296="","","TXN-"&amp;RIGHT("0000"&amp;1288,4))</f>
        <v/>
      </c>
      <c r="C1296" s="11" t="n"/>
      <c r="D1296" s="11" t="n"/>
      <c r="E1296" s="12" t="n"/>
      <c r="F1296" s="10">
        <f>IF($E1296="","",IFERROR(IF(VLOOKUP(LEFT(UPPER(TRIM($E1296)),6),BankTbl,2,0)="","(بدون عنوان)",VLOOKUP(LEFT(UPPER(TRIM($E1296)),6),BankTbl,2,0)),"بانک ناشناخته"))</f>
        <v/>
      </c>
      <c r="G1296" s="11" t="n"/>
      <c r="H1296" s="10">
        <f>IF($G1296="","",IFERROR(VLOOKUP($G1296,CustTbl,2,0),IFERROR(VLOOKUP($G1296,SuppTbl,2,0),IFERROR(VLOOKUP($G1296,AcctTbl,2,0),IFERROR(VLOOKUP($G1296,StaffTbl,2,0),"کد ناشناخته")))))</f>
        <v/>
      </c>
      <c r="I1296" s="12" t="n"/>
      <c r="J1296" s="12" t="n"/>
      <c r="K1296" s="13" t="n"/>
      <c r="L1296" s="13" t="n"/>
      <c r="M1296" s="13" t="n"/>
      <c r="N1296" s="14">
        <f>IF(OR($C1296="",$E1296="",Calc!$H1296=""),"",IFERROR(VLOOKUP(LEFT(UPPER(TRIM($E1296)),6),BankTbl,3,0),0)+SUMIFS(CalcDep,CalcBank,LEFT(UPPER(TRIM($E1296)),6),CalcKey,"&lt;="&amp;Calc!$H1296)-SUMIFS(CalcWit,CalcBank,LEFT(UPPER(TRIM($E1296)),6),CalcKey,"&lt;="&amp;Calc!$H1296))</f>
        <v/>
      </c>
      <c r="O1296" s="10">
        <f>IF(OR($C1296="",$M1296=""),"",IF($N1296="","؟",IF(ROUND($M1296-$N1296,0)=0,"√","×")))</f>
        <v/>
      </c>
      <c r="P1296" s="12" t="n"/>
    </row>
    <row r="1297">
      <c r="A1297" s="10">
        <f>IF($C1297="","",COUNTA($C$9:$C1297))</f>
        <v/>
      </c>
      <c r="B1297" s="10">
        <f>IF($C1297="","","TXN-"&amp;RIGHT("0000"&amp;1289,4))</f>
        <v/>
      </c>
      <c r="C1297" s="11" t="n"/>
      <c r="D1297" s="11" t="n"/>
      <c r="E1297" s="12" t="n"/>
      <c r="F1297" s="10">
        <f>IF($E1297="","",IFERROR(IF(VLOOKUP(LEFT(UPPER(TRIM($E1297)),6),BankTbl,2,0)="","(بدون عنوان)",VLOOKUP(LEFT(UPPER(TRIM($E1297)),6),BankTbl,2,0)),"بانک ناشناخته"))</f>
        <v/>
      </c>
      <c r="G1297" s="11" t="n"/>
      <c r="H1297" s="10">
        <f>IF($G1297="","",IFERROR(VLOOKUP($G1297,CustTbl,2,0),IFERROR(VLOOKUP($G1297,SuppTbl,2,0),IFERROR(VLOOKUP($G1297,AcctTbl,2,0),IFERROR(VLOOKUP($G1297,StaffTbl,2,0),"کد ناشناخته")))))</f>
        <v/>
      </c>
      <c r="I1297" s="12" t="n"/>
      <c r="J1297" s="12" t="n"/>
      <c r="K1297" s="13" t="n"/>
      <c r="L1297" s="13" t="n"/>
      <c r="M1297" s="13" t="n"/>
      <c r="N1297" s="14">
        <f>IF(OR($C1297="",$E1297="",Calc!$H1297=""),"",IFERROR(VLOOKUP(LEFT(UPPER(TRIM($E1297)),6),BankTbl,3,0),0)+SUMIFS(CalcDep,CalcBank,LEFT(UPPER(TRIM($E1297)),6),CalcKey,"&lt;="&amp;Calc!$H1297)-SUMIFS(CalcWit,CalcBank,LEFT(UPPER(TRIM($E1297)),6),CalcKey,"&lt;="&amp;Calc!$H1297))</f>
        <v/>
      </c>
      <c r="O1297" s="10">
        <f>IF(OR($C1297="",$M1297=""),"",IF($N1297="","؟",IF(ROUND($M1297-$N1297,0)=0,"√","×")))</f>
        <v/>
      </c>
      <c r="P1297" s="12" t="n"/>
    </row>
    <row r="1298">
      <c r="A1298" s="10">
        <f>IF($C1298="","",COUNTA($C$9:$C1298))</f>
        <v/>
      </c>
      <c r="B1298" s="10">
        <f>IF($C1298="","","TXN-"&amp;RIGHT("0000"&amp;1290,4))</f>
        <v/>
      </c>
      <c r="C1298" s="11" t="n"/>
      <c r="D1298" s="11" t="n"/>
      <c r="E1298" s="12" t="n"/>
      <c r="F1298" s="10">
        <f>IF($E1298="","",IFERROR(IF(VLOOKUP(LEFT(UPPER(TRIM($E1298)),6),BankTbl,2,0)="","(بدون عنوان)",VLOOKUP(LEFT(UPPER(TRIM($E1298)),6),BankTbl,2,0)),"بانک ناشناخته"))</f>
        <v/>
      </c>
      <c r="G1298" s="11" t="n"/>
      <c r="H1298" s="10">
        <f>IF($G1298="","",IFERROR(VLOOKUP($G1298,CustTbl,2,0),IFERROR(VLOOKUP($G1298,SuppTbl,2,0),IFERROR(VLOOKUP($G1298,AcctTbl,2,0),IFERROR(VLOOKUP($G1298,StaffTbl,2,0),"کد ناشناخته")))))</f>
        <v/>
      </c>
      <c r="I1298" s="12" t="n"/>
      <c r="J1298" s="12" t="n"/>
      <c r="K1298" s="13" t="n"/>
      <c r="L1298" s="13" t="n"/>
      <c r="M1298" s="13" t="n"/>
      <c r="N1298" s="14">
        <f>IF(OR($C1298="",$E1298="",Calc!$H1298=""),"",IFERROR(VLOOKUP(LEFT(UPPER(TRIM($E1298)),6),BankTbl,3,0),0)+SUMIFS(CalcDep,CalcBank,LEFT(UPPER(TRIM($E1298)),6),CalcKey,"&lt;="&amp;Calc!$H1298)-SUMIFS(CalcWit,CalcBank,LEFT(UPPER(TRIM($E1298)),6),CalcKey,"&lt;="&amp;Calc!$H1298))</f>
        <v/>
      </c>
      <c r="O1298" s="10">
        <f>IF(OR($C1298="",$M1298=""),"",IF($N1298="","؟",IF(ROUND($M1298-$N1298,0)=0,"√","×")))</f>
        <v/>
      </c>
      <c r="P1298" s="12" t="n"/>
    </row>
    <row r="1299">
      <c r="A1299" s="10">
        <f>IF($C1299="","",COUNTA($C$9:$C1299))</f>
        <v/>
      </c>
      <c r="B1299" s="10">
        <f>IF($C1299="","","TXN-"&amp;RIGHT("0000"&amp;1291,4))</f>
        <v/>
      </c>
      <c r="C1299" s="11" t="n"/>
      <c r="D1299" s="11" t="n"/>
      <c r="E1299" s="12" t="n"/>
      <c r="F1299" s="10">
        <f>IF($E1299="","",IFERROR(IF(VLOOKUP(LEFT(UPPER(TRIM($E1299)),6),BankTbl,2,0)="","(بدون عنوان)",VLOOKUP(LEFT(UPPER(TRIM($E1299)),6),BankTbl,2,0)),"بانک ناشناخته"))</f>
        <v/>
      </c>
      <c r="G1299" s="11" t="n"/>
      <c r="H1299" s="10">
        <f>IF($G1299="","",IFERROR(VLOOKUP($G1299,CustTbl,2,0),IFERROR(VLOOKUP($G1299,SuppTbl,2,0),IFERROR(VLOOKUP($G1299,AcctTbl,2,0),IFERROR(VLOOKUP($G1299,StaffTbl,2,0),"کد ناشناخته")))))</f>
        <v/>
      </c>
      <c r="I1299" s="12" t="n"/>
      <c r="J1299" s="12" t="n"/>
      <c r="K1299" s="13" t="n"/>
      <c r="L1299" s="13" t="n"/>
      <c r="M1299" s="13" t="n"/>
      <c r="N1299" s="14">
        <f>IF(OR($C1299="",$E1299="",Calc!$H1299=""),"",IFERROR(VLOOKUP(LEFT(UPPER(TRIM($E1299)),6),BankTbl,3,0),0)+SUMIFS(CalcDep,CalcBank,LEFT(UPPER(TRIM($E1299)),6),CalcKey,"&lt;="&amp;Calc!$H1299)-SUMIFS(CalcWit,CalcBank,LEFT(UPPER(TRIM($E1299)),6),CalcKey,"&lt;="&amp;Calc!$H1299))</f>
        <v/>
      </c>
      <c r="O1299" s="10">
        <f>IF(OR($C1299="",$M1299=""),"",IF($N1299="","؟",IF(ROUND($M1299-$N1299,0)=0,"√","×")))</f>
        <v/>
      </c>
      <c r="P1299" s="12" t="n"/>
    </row>
    <row r="1300">
      <c r="A1300" s="10">
        <f>IF($C1300="","",COUNTA($C$9:$C1300))</f>
        <v/>
      </c>
      <c r="B1300" s="10">
        <f>IF($C1300="","","TXN-"&amp;RIGHT("0000"&amp;1292,4))</f>
        <v/>
      </c>
      <c r="C1300" s="11" t="n"/>
      <c r="D1300" s="11" t="n"/>
      <c r="E1300" s="12" t="n"/>
      <c r="F1300" s="10">
        <f>IF($E1300="","",IFERROR(IF(VLOOKUP(LEFT(UPPER(TRIM($E1300)),6),BankTbl,2,0)="","(بدون عنوان)",VLOOKUP(LEFT(UPPER(TRIM($E1300)),6),BankTbl,2,0)),"بانک ناشناخته"))</f>
        <v/>
      </c>
      <c r="G1300" s="11" t="n"/>
      <c r="H1300" s="10">
        <f>IF($G1300="","",IFERROR(VLOOKUP($G1300,CustTbl,2,0),IFERROR(VLOOKUP($G1300,SuppTbl,2,0),IFERROR(VLOOKUP($G1300,AcctTbl,2,0),IFERROR(VLOOKUP($G1300,StaffTbl,2,0),"کد ناشناخته")))))</f>
        <v/>
      </c>
      <c r="I1300" s="12" t="n"/>
      <c r="J1300" s="12" t="n"/>
      <c r="K1300" s="13" t="n"/>
      <c r="L1300" s="13" t="n"/>
      <c r="M1300" s="13" t="n"/>
      <c r="N1300" s="14">
        <f>IF(OR($C1300="",$E1300="",Calc!$H1300=""),"",IFERROR(VLOOKUP(LEFT(UPPER(TRIM($E1300)),6),BankTbl,3,0),0)+SUMIFS(CalcDep,CalcBank,LEFT(UPPER(TRIM($E1300)),6),CalcKey,"&lt;="&amp;Calc!$H1300)-SUMIFS(CalcWit,CalcBank,LEFT(UPPER(TRIM($E1300)),6),CalcKey,"&lt;="&amp;Calc!$H1300))</f>
        <v/>
      </c>
      <c r="O1300" s="10">
        <f>IF(OR($C1300="",$M1300=""),"",IF($N1300="","؟",IF(ROUND($M1300-$N1300,0)=0,"√","×")))</f>
        <v/>
      </c>
      <c r="P1300" s="12" t="n"/>
    </row>
    <row r="1301">
      <c r="A1301" s="10">
        <f>IF($C1301="","",COUNTA($C$9:$C1301))</f>
        <v/>
      </c>
      <c r="B1301" s="10">
        <f>IF($C1301="","","TXN-"&amp;RIGHT("0000"&amp;1293,4))</f>
        <v/>
      </c>
      <c r="C1301" s="11" t="n"/>
      <c r="D1301" s="11" t="n"/>
      <c r="E1301" s="12" t="n"/>
      <c r="F1301" s="10">
        <f>IF($E1301="","",IFERROR(IF(VLOOKUP(LEFT(UPPER(TRIM($E1301)),6),BankTbl,2,0)="","(بدون عنوان)",VLOOKUP(LEFT(UPPER(TRIM($E1301)),6),BankTbl,2,0)),"بانک ناشناخته"))</f>
        <v/>
      </c>
      <c r="G1301" s="11" t="n"/>
      <c r="H1301" s="10">
        <f>IF($G1301="","",IFERROR(VLOOKUP($G1301,CustTbl,2,0),IFERROR(VLOOKUP($G1301,SuppTbl,2,0),IFERROR(VLOOKUP($G1301,AcctTbl,2,0),IFERROR(VLOOKUP($G1301,StaffTbl,2,0),"کد ناشناخته")))))</f>
        <v/>
      </c>
      <c r="I1301" s="12" t="n"/>
      <c r="J1301" s="12" t="n"/>
      <c r="K1301" s="13" t="n"/>
      <c r="L1301" s="13" t="n"/>
      <c r="M1301" s="13" t="n"/>
      <c r="N1301" s="14">
        <f>IF(OR($C1301="",$E1301="",Calc!$H1301=""),"",IFERROR(VLOOKUP(LEFT(UPPER(TRIM($E1301)),6),BankTbl,3,0),0)+SUMIFS(CalcDep,CalcBank,LEFT(UPPER(TRIM($E1301)),6),CalcKey,"&lt;="&amp;Calc!$H1301)-SUMIFS(CalcWit,CalcBank,LEFT(UPPER(TRIM($E1301)),6),CalcKey,"&lt;="&amp;Calc!$H1301))</f>
        <v/>
      </c>
      <c r="O1301" s="10">
        <f>IF(OR($C1301="",$M1301=""),"",IF($N1301="","؟",IF(ROUND($M1301-$N1301,0)=0,"√","×")))</f>
        <v/>
      </c>
      <c r="P1301" s="12" t="n"/>
    </row>
    <row r="1302">
      <c r="A1302" s="10">
        <f>IF($C1302="","",COUNTA($C$9:$C1302))</f>
        <v/>
      </c>
      <c r="B1302" s="10">
        <f>IF($C1302="","","TXN-"&amp;RIGHT("0000"&amp;1294,4))</f>
        <v/>
      </c>
      <c r="C1302" s="11" t="n"/>
      <c r="D1302" s="11" t="n"/>
      <c r="E1302" s="12" t="n"/>
      <c r="F1302" s="10">
        <f>IF($E1302="","",IFERROR(IF(VLOOKUP(LEFT(UPPER(TRIM($E1302)),6),BankTbl,2,0)="","(بدون عنوان)",VLOOKUP(LEFT(UPPER(TRIM($E1302)),6),BankTbl,2,0)),"بانک ناشناخته"))</f>
        <v/>
      </c>
      <c r="G1302" s="11" t="n"/>
      <c r="H1302" s="10">
        <f>IF($G1302="","",IFERROR(VLOOKUP($G1302,CustTbl,2,0),IFERROR(VLOOKUP($G1302,SuppTbl,2,0),IFERROR(VLOOKUP($G1302,AcctTbl,2,0),IFERROR(VLOOKUP($G1302,StaffTbl,2,0),"کد ناشناخته")))))</f>
        <v/>
      </c>
      <c r="I1302" s="12" t="n"/>
      <c r="J1302" s="12" t="n"/>
      <c r="K1302" s="13" t="n"/>
      <c r="L1302" s="13" t="n"/>
      <c r="M1302" s="13" t="n"/>
      <c r="N1302" s="14">
        <f>IF(OR($C1302="",$E1302="",Calc!$H1302=""),"",IFERROR(VLOOKUP(LEFT(UPPER(TRIM($E1302)),6),BankTbl,3,0),0)+SUMIFS(CalcDep,CalcBank,LEFT(UPPER(TRIM($E1302)),6),CalcKey,"&lt;="&amp;Calc!$H1302)-SUMIFS(CalcWit,CalcBank,LEFT(UPPER(TRIM($E1302)),6),CalcKey,"&lt;="&amp;Calc!$H1302))</f>
        <v/>
      </c>
      <c r="O1302" s="10">
        <f>IF(OR($C1302="",$M1302=""),"",IF($N1302="","؟",IF(ROUND($M1302-$N1302,0)=0,"√","×")))</f>
        <v/>
      </c>
      <c r="P1302" s="12" t="n"/>
    </row>
    <row r="1303">
      <c r="A1303" s="10">
        <f>IF($C1303="","",COUNTA($C$9:$C1303))</f>
        <v/>
      </c>
      <c r="B1303" s="10">
        <f>IF($C1303="","","TXN-"&amp;RIGHT("0000"&amp;1295,4))</f>
        <v/>
      </c>
      <c r="C1303" s="11" t="n"/>
      <c r="D1303" s="11" t="n"/>
      <c r="E1303" s="12" t="n"/>
      <c r="F1303" s="10">
        <f>IF($E1303="","",IFERROR(IF(VLOOKUP(LEFT(UPPER(TRIM($E1303)),6),BankTbl,2,0)="","(بدون عنوان)",VLOOKUP(LEFT(UPPER(TRIM($E1303)),6),BankTbl,2,0)),"بانک ناشناخته"))</f>
        <v/>
      </c>
      <c r="G1303" s="11" t="n"/>
      <c r="H1303" s="10">
        <f>IF($G1303="","",IFERROR(VLOOKUP($G1303,CustTbl,2,0),IFERROR(VLOOKUP($G1303,SuppTbl,2,0),IFERROR(VLOOKUP($G1303,AcctTbl,2,0),IFERROR(VLOOKUP($G1303,StaffTbl,2,0),"کد ناشناخته")))))</f>
        <v/>
      </c>
      <c r="I1303" s="12" t="n"/>
      <c r="J1303" s="12" t="n"/>
      <c r="K1303" s="13" t="n"/>
      <c r="L1303" s="13" t="n"/>
      <c r="M1303" s="13" t="n"/>
      <c r="N1303" s="14">
        <f>IF(OR($C1303="",$E1303="",Calc!$H1303=""),"",IFERROR(VLOOKUP(LEFT(UPPER(TRIM($E1303)),6),BankTbl,3,0),0)+SUMIFS(CalcDep,CalcBank,LEFT(UPPER(TRIM($E1303)),6),CalcKey,"&lt;="&amp;Calc!$H1303)-SUMIFS(CalcWit,CalcBank,LEFT(UPPER(TRIM($E1303)),6),CalcKey,"&lt;="&amp;Calc!$H1303))</f>
        <v/>
      </c>
      <c r="O1303" s="10">
        <f>IF(OR($C1303="",$M1303=""),"",IF($N1303="","؟",IF(ROUND($M1303-$N1303,0)=0,"√","×")))</f>
        <v/>
      </c>
      <c r="P1303" s="12" t="n"/>
    </row>
    <row r="1304">
      <c r="A1304" s="10">
        <f>IF($C1304="","",COUNTA($C$9:$C1304))</f>
        <v/>
      </c>
      <c r="B1304" s="10">
        <f>IF($C1304="","","TXN-"&amp;RIGHT("0000"&amp;1296,4))</f>
        <v/>
      </c>
      <c r="C1304" s="11" t="n"/>
      <c r="D1304" s="11" t="n"/>
      <c r="E1304" s="12" t="n"/>
      <c r="F1304" s="10">
        <f>IF($E1304="","",IFERROR(IF(VLOOKUP(LEFT(UPPER(TRIM($E1304)),6),BankTbl,2,0)="","(بدون عنوان)",VLOOKUP(LEFT(UPPER(TRIM($E1304)),6),BankTbl,2,0)),"بانک ناشناخته"))</f>
        <v/>
      </c>
      <c r="G1304" s="11" t="n"/>
      <c r="H1304" s="10">
        <f>IF($G1304="","",IFERROR(VLOOKUP($G1304,CustTbl,2,0),IFERROR(VLOOKUP($G1304,SuppTbl,2,0),IFERROR(VLOOKUP($G1304,AcctTbl,2,0),IFERROR(VLOOKUP($G1304,StaffTbl,2,0),"کد ناشناخته")))))</f>
        <v/>
      </c>
      <c r="I1304" s="12" t="n"/>
      <c r="J1304" s="12" t="n"/>
      <c r="K1304" s="13" t="n"/>
      <c r="L1304" s="13" t="n"/>
      <c r="M1304" s="13" t="n"/>
      <c r="N1304" s="14">
        <f>IF(OR($C1304="",$E1304="",Calc!$H1304=""),"",IFERROR(VLOOKUP(LEFT(UPPER(TRIM($E1304)),6),BankTbl,3,0),0)+SUMIFS(CalcDep,CalcBank,LEFT(UPPER(TRIM($E1304)),6),CalcKey,"&lt;="&amp;Calc!$H1304)-SUMIFS(CalcWit,CalcBank,LEFT(UPPER(TRIM($E1304)),6),CalcKey,"&lt;="&amp;Calc!$H1304))</f>
        <v/>
      </c>
      <c r="O1304" s="10">
        <f>IF(OR($C1304="",$M1304=""),"",IF($N1304="","؟",IF(ROUND($M1304-$N1304,0)=0,"√","×")))</f>
        <v/>
      </c>
      <c r="P1304" s="12" t="n"/>
    </row>
    <row r="1305">
      <c r="A1305" s="10">
        <f>IF($C1305="","",COUNTA($C$9:$C1305))</f>
        <v/>
      </c>
      <c r="B1305" s="10">
        <f>IF($C1305="","","TXN-"&amp;RIGHT("0000"&amp;1297,4))</f>
        <v/>
      </c>
      <c r="C1305" s="11" t="n"/>
      <c r="D1305" s="11" t="n"/>
      <c r="E1305" s="12" t="n"/>
      <c r="F1305" s="10">
        <f>IF($E1305="","",IFERROR(IF(VLOOKUP(LEFT(UPPER(TRIM($E1305)),6),BankTbl,2,0)="","(بدون عنوان)",VLOOKUP(LEFT(UPPER(TRIM($E1305)),6),BankTbl,2,0)),"بانک ناشناخته"))</f>
        <v/>
      </c>
      <c r="G1305" s="11" t="n"/>
      <c r="H1305" s="10">
        <f>IF($G1305="","",IFERROR(VLOOKUP($G1305,CustTbl,2,0),IFERROR(VLOOKUP($G1305,SuppTbl,2,0),IFERROR(VLOOKUP($G1305,AcctTbl,2,0),IFERROR(VLOOKUP($G1305,StaffTbl,2,0),"کد ناشناخته")))))</f>
        <v/>
      </c>
      <c r="I1305" s="12" t="n"/>
      <c r="J1305" s="12" t="n"/>
      <c r="K1305" s="13" t="n"/>
      <c r="L1305" s="13" t="n"/>
      <c r="M1305" s="13" t="n"/>
      <c r="N1305" s="14">
        <f>IF(OR($C1305="",$E1305="",Calc!$H1305=""),"",IFERROR(VLOOKUP(LEFT(UPPER(TRIM($E1305)),6),BankTbl,3,0),0)+SUMIFS(CalcDep,CalcBank,LEFT(UPPER(TRIM($E1305)),6),CalcKey,"&lt;="&amp;Calc!$H1305)-SUMIFS(CalcWit,CalcBank,LEFT(UPPER(TRIM($E1305)),6),CalcKey,"&lt;="&amp;Calc!$H1305))</f>
        <v/>
      </c>
      <c r="O1305" s="10">
        <f>IF(OR($C1305="",$M1305=""),"",IF($N1305="","؟",IF(ROUND($M1305-$N1305,0)=0,"√","×")))</f>
        <v/>
      </c>
      <c r="P1305" s="12" t="n"/>
    </row>
    <row r="1306">
      <c r="A1306" s="10">
        <f>IF($C1306="","",COUNTA($C$9:$C1306))</f>
        <v/>
      </c>
      <c r="B1306" s="10">
        <f>IF($C1306="","","TXN-"&amp;RIGHT("0000"&amp;1298,4))</f>
        <v/>
      </c>
      <c r="C1306" s="11" t="n"/>
      <c r="D1306" s="11" t="n"/>
      <c r="E1306" s="12" t="n"/>
      <c r="F1306" s="10">
        <f>IF($E1306="","",IFERROR(IF(VLOOKUP(LEFT(UPPER(TRIM($E1306)),6),BankTbl,2,0)="","(بدون عنوان)",VLOOKUP(LEFT(UPPER(TRIM($E1306)),6),BankTbl,2,0)),"بانک ناشناخته"))</f>
        <v/>
      </c>
      <c r="G1306" s="11" t="n"/>
      <c r="H1306" s="10">
        <f>IF($G1306="","",IFERROR(VLOOKUP($G1306,CustTbl,2,0),IFERROR(VLOOKUP($G1306,SuppTbl,2,0),IFERROR(VLOOKUP($G1306,AcctTbl,2,0),IFERROR(VLOOKUP($G1306,StaffTbl,2,0),"کد ناشناخته")))))</f>
        <v/>
      </c>
      <c r="I1306" s="12" t="n"/>
      <c r="J1306" s="12" t="n"/>
      <c r="K1306" s="13" t="n"/>
      <c r="L1306" s="13" t="n"/>
      <c r="M1306" s="13" t="n"/>
      <c r="N1306" s="14">
        <f>IF(OR($C1306="",$E1306="",Calc!$H1306=""),"",IFERROR(VLOOKUP(LEFT(UPPER(TRIM($E1306)),6),BankTbl,3,0),0)+SUMIFS(CalcDep,CalcBank,LEFT(UPPER(TRIM($E1306)),6),CalcKey,"&lt;="&amp;Calc!$H1306)-SUMIFS(CalcWit,CalcBank,LEFT(UPPER(TRIM($E1306)),6),CalcKey,"&lt;="&amp;Calc!$H1306))</f>
        <v/>
      </c>
      <c r="O1306" s="10">
        <f>IF(OR($C1306="",$M1306=""),"",IF($N1306="","؟",IF(ROUND($M1306-$N1306,0)=0,"√","×")))</f>
        <v/>
      </c>
      <c r="P1306" s="12" t="n"/>
    </row>
    <row r="1307">
      <c r="A1307" s="10">
        <f>IF($C1307="","",COUNTA($C$9:$C1307))</f>
        <v/>
      </c>
      <c r="B1307" s="10">
        <f>IF($C1307="","","TXN-"&amp;RIGHT("0000"&amp;1299,4))</f>
        <v/>
      </c>
      <c r="C1307" s="11" t="n"/>
      <c r="D1307" s="11" t="n"/>
      <c r="E1307" s="12" t="n"/>
      <c r="F1307" s="10">
        <f>IF($E1307="","",IFERROR(IF(VLOOKUP(LEFT(UPPER(TRIM($E1307)),6),BankTbl,2,0)="","(بدون عنوان)",VLOOKUP(LEFT(UPPER(TRIM($E1307)),6),BankTbl,2,0)),"بانک ناشناخته"))</f>
        <v/>
      </c>
      <c r="G1307" s="11" t="n"/>
      <c r="H1307" s="10">
        <f>IF($G1307="","",IFERROR(VLOOKUP($G1307,CustTbl,2,0),IFERROR(VLOOKUP($G1307,SuppTbl,2,0),IFERROR(VLOOKUP($G1307,AcctTbl,2,0),IFERROR(VLOOKUP($G1307,StaffTbl,2,0),"کد ناشناخته")))))</f>
        <v/>
      </c>
      <c r="I1307" s="12" t="n"/>
      <c r="J1307" s="12" t="n"/>
      <c r="K1307" s="13" t="n"/>
      <c r="L1307" s="13" t="n"/>
      <c r="M1307" s="13" t="n"/>
      <c r="N1307" s="14">
        <f>IF(OR($C1307="",$E1307="",Calc!$H1307=""),"",IFERROR(VLOOKUP(LEFT(UPPER(TRIM($E1307)),6),BankTbl,3,0),0)+SUMIFS(CalcDep,CalcBank,LEFT(UPPER(TRIM($E1307)),6),CalcKey,"&lt;="&amp;Calc!$H1307)-SUMIFS(CalcWit,CalcBank,LEFT(UPPER(TRIM($E1307)),6),CalcKey,"&lt;="&amp;Calc!$H1307))</f>
        <v/>
      </c>
      <c r="O1307" s="10">
        <f>IF(OR($C1307="",$M1307=""),"",IF($N1307="","؟",IF(ROUND($M1307-$N1307,0)=0,"√","×")))</f>
        <v/>
      </c>
      <c r="P1307" s="12" t="n"/>
    </row>
    <row r="1308">
      <c r="A1308" s="10">
        <f>IF($C1308="","",COUNTA($C$9:$C1308))</f>
        <v/>
      </c>
      <c r="B1308" s="10">
        <f>IF($C1308="","","TXN-"&amp;RIGHT("0000"&amp;1300,4))</f>
        <v/>
      </c>
      <c r="C1308" s="11" t="n"/>
      <c r="D1308" s="11" t="n"/>
      <c r="E1308" s="12" t="n"/>
      <c r="F1308" s="10">
        <f>IF($E1308="","",IFERROR(IF(VLOOKUP(LEFT(UPPER(TRIM($E1308)),6),BankTbl,2,0)="","(بدون عنوان)",VLOOKUP(LEFT(UPPER(TRIM($E1308)),6),BankTbl,2,0)),"بانک ناشناخته"))</f>
        <v/>
      </c>
      <c r="G1308" s="11" t="n"/>
      <c r="H1308" s="10">
        <f>IF($G1308="","",IFERROR(VLOOKUP($G1308,CustTbl,2,0),IFERROR(VLOOKUP($G1308,SuppTbl,2,0),IFERROR(VLOOKUP($G1308,AcctTbl,2,0),IFERROR(VLOOKUP($G1308,StaffTbl,2,0),"کد ناشناخته")))))</f>
        <v/>
      </c>
      <c r="I1308" s="12" t="n"/>
      <c r="J1308" s="12" t="n"/>
      <c r="K1308" s="13" t="n"/>
      <c r="L1308" s="13" t="n"/>
      <c r="M1308" s="13" t="n"/>
      <c r="N1308" s="14">
        <f>IF(OR($C1308="",$E1308="",Calc!$H1308=""),"",IFERROR(VLOOKUP(LEFT(UPPER(TRIM($E1308)),6),BankTbl,3,0),0)+SUMIFS(CalcDep,CalcBank,LEFT(UPPER(TRIM($E1308)),6),CalcKey,"&lt;="&amp;Calc!$H1308)-SUMIFS(CalcWit,CalcBank,LEFT(UPPER(TRIM($E1308)),6),CalcKey,"&lt;="&amp;Calc!$H1308))</f>
        <v/>
      </c>
      <c r="O1308" s="10">
        <f>IF(OR($C1308="",$M1308=""),"",IF($N1308="","؟",IF(ROUND($M1308-$N1308,0)=0,"√","×")))</f>
        <v/>
      </c>
      <c r="P1308" s="12" t="n"/>
    </row>
    <row r="1309">
      <c r="A1309" s="10">
        <f>IF($C1309="","",COUNTA($C$9:$C1309))</f>
        <v/>
      </c>
      <c r="B1309" s="10">
        <f>IF($C1309="","","TXN-"&amp;RIGHT("0000"&amp;1301,4))</f>
        <v/>
      </c>
      <c r="C1309" s="11" t="n"/>
      <c r="D1309" s="11" t="n"/>
      <c r="E1309" s="12" t="n"/>
      <c r="F1309" s="10">
        <f>IF($E1309="","",IFERROR(IF(VLOOKUP(LEFT(UPPER(TRIM($E1309)),6),BankTbl,2,0)="","(بدون عنوان)",VLOOKUP(LEFT(UPPER(TRIM($E1309)),6),BankTbl,2,0)),"بانک ناشناخته"))</f>
        <v/>
      </c>
      <c r="G1309" s="11" t="n"/>
      <c r="H1309" s="10">
        <f>IF($G1309="","",IFERROR(VLOOKUP($G1309,CustTbl,2,0),IFERROR(VLOOKUP($G1309,SuppTbl,2,0),IFERROR(VLOOKUP($G1309,AcctTbl,2,0),IFERROR(VLOOKUP($G1309,StaffTbl,2,0),"کد ناشناخته")))))</f>
        <v/>
      </c>
      <c r="I1309" s="12" t="n"/>
      <c r="J1309" s="12" t="n"/>
      <c r="K1309" s="13" t="n"/>
      <c r="L1309" s="13" t="n"/>
      <c r="M1309" s="13" t="n"/>
      <c r="N1309" s="14">
        <f>IF(OR($C1309="",$E1309="",Calc!$H1309=""),"",IFERROR(VLOOKUP(LEFT(UPPER(TRIM($E1309)),6),BankTbl,3,0),0)+SUMIFS(CalcDep,CalcBank,LEFT(UPPER(TRIM($E1309)),6),CalcKey,"&lt;="&amp;Calc!$H1309)-SUMIFS(CalcWit,CalcBank,LEFT(UPPER(TRIM($E1309)),6),CalcKey,"&lt;="&amp;Calc!$H1309))</f>
        <v/>
      </c>
      <c r="O1309" s="10">
        <f>IF(OR($C1309="",$M1309=""),"",IF($N1309="","؟",IF(ROUND($M1309-$N1309,0)=0,"√","×")))</f>
        <v/>
      </c>
      <c r="P1309" s="12" t="n"/>
    </row>
    <row r="1310">
      <c r="A1310" s="10">
        <f>IF($C1310="","",COUNTA($C$9:$C1310))</f>
        <v/>
      </c>
      <c r="B1310" s="10">
        <f>IF($C1310="","","TXN-"&amp;RIGHT("0000"&amp;1302,4))</f>
        <v/>
      </c>
      <c r="C1310" s="11" t="n"/>
      <c r="D1310" s="11" t="n"/>
      <c r="E1310" s="12" t="n"/>
      <c r="F1310" s="10">
        <f>IF($E1310="","",IFERROR(IF(VLOOKUP(LEFT(UPPER(TRIM($E1310)),6),BankTbl,2,0)="","(بدون عنوان)",VLOOKUP(LEFT(UPPER(TRIM($E1310)),6),BankTbl,2,0)),"بانک ناشناخته"))</f>
        <v/>
      </c>
      <c r="G1310" s="11" t="n"/>
      <c r="H1310" s="10">
        <f>IF($G1310="","",IFERROR(VLOOKUP($G1310,CustTbl,2,0),IFERROR(VLOOKUP($G1310,SuppTbl,2,0),IFERROR(VLOOKUP($G1310,AcctTbl,2,0),IFERROR(VLOOKUP($G1310,StaffTbl,2,0),"کد ناشناخته")))))</f>
        <v/>
      </c>
      <c r="I1310" s="12" t="n"/>
      <c r="J1310" s="12" t="n"/>
      <c r="K1310" s="13" t="n"/>
      <c r="L1310" s="13" t="n"/>
      <c r="M1310" s="13" t="n"/>
      <c r="N1310" s="14">
        <f>IF(OR($C1310="",$E1310="",Calc!$H1310=""),"",IFERROR(VLOOKUP(LEFT(UPPER(TRIM($E1310)),6),BankTbl,3,0),0)+SUMIFS(CalcDep,CalcBank,LEFT(UPPER(TRIM($E1310)),6),CalcKey,"&lt;="&amp;Calc!$H1310)-SUMIFS(CalcWit,CalcBank,LEFT(UPPER(TRIM($E1310)),6),CalcKey,"&lt;="&amp;Calc!$H1310))</f>
        <v/>
      </c>
      <c r="O1310" s="10">
        <f>IF(OR($C1310="",$M1310=""),"",IF($N1310="","؟",IF(ROUND($M1310-$N1310,0)=0,"√","×")))</f>
        <v/>
      </c>
      <c r="P1310" s="12" t="n"/>
    </row>
    <row r="1311">
      <c r="A1311" s="10">
        <f>IF($C1311="","",COUNTA($C$9:$C1311))</f>
        <v/>
      </c>
      <c r="B1311" s="10">
        <f>IF($C1311="","","TXN-"&amp;RIGHT("0000"&amp;1303,4))</f>
        <v/>
      </c>
      <c r="C1311" s="11" t="n"/>
      <c r="D1311" s="11" t="n"/>
      <c r="E1311" s="12" t="n"/>
      <c r="F1311" s="10">
        <f>IF($E1311="","",IFERROR(IF(VLOOKUP(LEFT(UPPER(TRIM($E1311)),6),BankTbl,2,0)="","(بدون عنوان)",VLOOKUP(LEFT(UPPER(TRIM($E1311)),6),BankTbl,2,0)),"بانک ناشناخته"))</f>
        <v/>
      </c>
      <c r="G1311" s="11" t="n"/>
      <c r="H1311" s="10">
        <f>IF($G1311="","",IFERROR(VLOOKUP($G1311,CustTbl,2,0),IFERROR(VLOOKUP($G1311,SuppTbl,2,0),IFERROR(VLOOKUP($G1311,AcctTbl,2,0),IFERROR(VLOOKUP($G1311,StaffTbl,2,0),"کد ناشناخته")))))</f>
        <v/>
      </c>
      <c r="I1311" s="12" t="n"/>
      <c r="J1311" s="12" t="n"/>
      <c r="K1311" s="13" t="n"/>
      <c r="L1311" s="13" t="n"/>
      <c r="M1311" s="13" t="n"/>
      <c r="N1311" s="14">
        <f>IF(OR($C1311="",$E1311="",Calc!$H1311=""),"",IFERROR(VLOOKUP(LEFT(UPPER(TRIM($E1311)),6),BankTbl,3,0),0)+SUMIFS(CalcDep,CalcBank,LEFT(UPPER(TRIM($E1311)),6),CalcKey,"&lt;="&amp;Calc!$H1311)-SUMIFS(CalcWit,CalcBank,LEFT(UPPER(TRIM($E1311)),6),CalcKey,"&lt;="&amp;Calc!$H1311))</f>
        <v/>
      </c>
      <c r="O1311" s="10">
        <f>IF(OR($C1311="",$M1311=""),"",IF($N1311="","؟",IF(ROUND($M1311-$N1311,0)=0,"√","×")))</f>
        <v/>
      </c>
      <c r="P1311" s="12" t="n"/>
    </row>
    <row r="1312">
      <c r="A1312" s="10">
        <f>IF($C1312="","",COUNTA($C$9:$C1312))</f>
        <v/>
      </c>
      <c r="B1312" s="10">
        <f>IF($C1312="","","TXN-"&amp;RIGHT("0000"&amp;1304,4))</f>
        <v/>
      </c>
      <c r="C1312" s="11" t="n"/>
      <c r="D1312" s="11" t="n"/>
      <c r="E1312" s="12" t="n"/>
      <c r="F1312" s="10">
        <f>IF($E1312="","",IFERROR(IF(VLOOKUP(LEFT(UPPER(TRIM($E1312)),6),BankTbl,2,0)="","(بدون عنوان)",VLOOKUP(LEFT(UPPER(TRIM($E1312)),6),BankTbl,2,0)),"بانک ناشناخته"))</f>
        <v/>
      </c>
      <c r="G1312" s="11" t="n"/>
      <c r="H1312" s="10">
        <f>IF($G1312="","",IFERROR(VLOOKUP($G1312,CustTbl,2,0),IFERROR(VLOOKUP($G1312,SuppTbl,2,0),IFERROR(VLOOKUP($G1312,AcctTbl,2,0),IFERROR(VLOOKUP($G1312,StaffTbl,2,0),"کد ناشناخته")))))</f>
        <v/>
      </c>
      <c r="I1312" s="12" t="n"/>
      <c r="J1312" s="12" t="n"/>
      <c r="K1312" s="13" t="n"/>
      <c r="L1312" s="13" t="n"/>
      <c r="M1312" s="13" t="n"/>
      <c r="N1312" s="14">
        <f>IF(OR($C1312="",$E1312="",Calc!$H1312=""),"",IFERROR(VLOOKUP(LEFT(UPPER(TRIM($E1312)),6),BankTbl,3,0),0)+SUMIFS(CalcDep,CalcBank,LEFT(UPPER(TRIM($E1312)),6),CalcKey,"&lt;="&amp;Calc!$H1312)-SUMIFS(CalcWit,CalcBank,LEFT(UPPER(TRIM($E1312)),6),CalcKey,"&lt;="&amp;Calc!$H1312))</f>
        <v/>
      </c>
      <c r="O1312" s="10">
        <f>IF(OR($C1312="",$M1312=""),"",IF($N1312="","؟",IF(ROUND($M1312-$N1312,0)=0,"√","×")))</f>
        <v/>
      </c>
      <c r="P1312" s="12" t="n"/>
    </row>
    <row r="1313">
      <c r="A1313" s="10">
        <f>IF($C1313="","",COUNTA($C$9:$C1313))</f>
        <v/>
      </c>
      <c r="B1313" s="10">
        <f>IF($C1313="","","TXN-"&amp;RIGHT("0000"&amp;1305,4))</f>
        <v/>
      </c>
      <c r="C1313" s="11" t="n"/>
      <c r="D1313" s="11" t="n"/>
      <c r="E1313" s="12" t="n"/>
      <c r="F1313" s="10">
        <f>IF($E1313="","",IFERROR(IF(VLOOKUP(LEFT(UPPER(TRIM($E1313)),6),BankTbl,2,0)="","(بدون عنوان)",VLOOKUP(LEFT(UPPER(TRIM($E1313)),6),BankTbl,2,0)),"بانک ناشناخته"))</f>
        <v/>
      </c>
      <c r="G1313" s="11" t="n"/>
      <c r="H1313" s="10">
        <f>IF($G1313="","",IFERROR(VLOOKUP($G1313,CustTbl,2,0),IFERROR(VLOOKUP($G1313,SuppTbl,2,0),IFERROR(VLOOKUP($G1313,AcctTbl,2,0),IFERROR(VLOOKUP($G1313,StaffTbl,2,0),"کد ناشناخته")))))</f>
        <v/>
      </c>
      <c r="I1313" s="12" t="n"/>
      <c r="J1313" s="12" t="n"/>
      <c r="K1313" s="13" t="n"/>
      <c r="L1313" s="13" t="n"/>
      <c r="M1313" s="13" t="n"/>
      <c r="N1313" s="14">
        <f>IF(OR($C1313="",$E1313="",Calc!$H1313=""),"",IFERROR(VLOOKUP(LEFT(UPPER(TRIM($E1313)),6),BankTbl,3,0),0)+SUMIFS(CalcDep,CalcBank,LEFT(UPPER(TRIM($E1313)),6),CalcKey,"&lt;="&amp;Calc!$H1313)-SUMIFS(CalcWit,CalcBank,LEFT(UPPER(TRIM($E1313)),6),CalcKey,"&lt;="&amp;Calc!$H1313))</f>
        <v/>
      </c>
      <c r="O1313" s="10">
        <f>IF(OR($C1313="",$M1313=""),"",IF($N1313="","؟",IF(ROUND($M1313-$N1313,0)=0,"√","×")))</f>
        <v/>
      </c>
      <c r="P1313" s="12" t="n"/>
    </row>
    <row r="1314">
      <c r="A1314" s="10">
        <f>IF($C1314="","",COUNTA($C$9:$C1314))</f>
        <v/>
      </c>
      <c r="B1314" s="10">
        <f>IF($C1314="","","TXN-"&amp;RIGHT("0000"&amp;1306,4))</f>
        <v/>
      </c>
      <c r="C1314" s="11" t="n"/>
      <c r="D1314" s="11" t="n"/>
      <c r="E1314" s="12" t="n"/>
      <c r="F1314" s="10">
        <f>IF($E1314="","",IFERROR(IF(VLOOKUP(LEFT(UPPER(TRIM($E1314)),6),BankTbl,2,0)="","(بدون عنوان)",VLOOKUP(LEFT(UPPER(TRIM($E1314)),6),BankTbl,2,0)),"بانک ناشناخته"))</f>
        <v/>
      </c>
      <c r="G1314" s="11" t="n"/>
      <c r="H1314" s="10">
        <f>IF($G1314="","",IFERROR(VLOOKUP($G1314,CustTbl,2,0),IFERROR(VLOOKUP($G1314,SuppTbl,2,0),IFERROR(VLOOKUP($G1314,AcctTbl,2,0),IFERROR(VLOOKUP($G1314,StaffTbl,2,0),"کد ناشناخته")))))</f>
        <v/>
      </c>
      <c r="I1314" s="12" t="n"/>
      <c r="J1314" s="12" t="n"/>
      <c r="K1314" s="13" t="n"/>
      <c r="L1314" s="13" t="n"/>
      <c r="M1314" s="13" t="n"/>
      <c r="N1314" s="14">
        <f>IF(OR($C1314="",$E1314="",Calc!$H1314=""),"",IFERROR(VLOOKUP(LEFT(UPPER(TRIM($E1314)),6),BankTbl,3,0),0)+SUMIFS(CalcDep,CalcBank,LEFT(UPPER(TRIM($E1314)),6),CalcKey,"&lt;="&amp;Calc!$H1314)-SUMIFS(CalcWit,CalcBank,LEFT(UPPER(TRIM($E1314)),6),CalcKey,"&lt;="&amp;Calc!$H1314))</f>
        <v/>
      </c>
      <c r="O1314" s="10">
        <f>IF(OR($C1314="",$M1314=""),"",IF($N1314="","؟",IF(ROUND($M1314-$N1314,0)=0,"√","×")))</f>
        <v/>
      </c>
      <c r="P1314" s="12" t="n"/>
    </row>
    <row r="1315">
      <c r="A1315" s="10">
        <f>IF($C1315="","",COUNTA($C$9:$C1315))</f>
        <v/>
      </c>
      <c r="B1315" s="10">
        <f>IF($C1315="","","TXN-"&amp;RIGHT("0000"&amp;1307,4))</f>
        <v/>
      </c>
      <c r="C1315" s="11" t="n"/>
      <c r="D1315" s="11" t="n"/>
      <c r="E1315" s="12" t="n"/>
      <c r="F1315" s="10">
        <f>IF($E1315="","",IFERROR(IF(VLOOKUP(LEFT(UPPER(TRIM($E1315)),6),BankTbl,2,0)="","(بدون عنوان)",VLOOKUP(LEFT(UPPER(TRIM($E1315)),6),BankTbl,2,0)),"بانک ناشناخته"))</f>
        <v/>
      </c>
      <c r="G1315" s="11" t="n"/>
      <c r="H1315" s="10">
        <f>IF($G1315="","",IFERROR(VLOOKUP($G1315,CustTbl,2,0),IFERROR(VLOOKUP($G1315,SuppTbl,2,0),IFERROR(VLOOKUP($G1315,AcctTbl,2,0),IFERROR(VLOOKUP($G1315,StaffTbl,2,0),"کد ناشناخته")))))</f>
        <v/>
      </c>
      <c r="I1315" s="12" t="n"/>
      <c r="J1315" s="12" t="n"/>
      <c r="K1315" s="13" t="n"/>
      <c r="L1315" s="13" t="n"/>
      <c r="M1315" s="13" t="n"/>
      <c r="N1315" s="14">
        <f>IF(OR($C1315="",$E1315="",Calc!$H1315=""),"",IFERROR(VLOOKUP(LEFT(UPPER(TRIM($E1315)),6),BankTbl,3,0),0)+SUMIFS(CalcDep,CalcBank,LEFT(UPPER(TRIM($E1315)),6),CalcKey,"&lt;="&amp;Calc!$H1315)-SUMIFS(CalcWit,CalcBank,LEFT(UPPER(TRIM($E1315)),6),CalcKey,"&lt;="&amp;Calc!$H1315))</f>
        <v/>
      </c>
      <c r="O1315" s="10">
        <f>IF(OR($C1315="",$M1315=""),"",IF($N1315="","؟",IF(ROUND($M1315-$N1315,0)=0,"√","×")))</f>
        <v/>
      </c>
      <c r="P1315" s="12" t="n"/>
    </row>
    <row r="1316">
      <c r="A1316" s="10">
        <f>IF($C1316="","",COUNTA($C$9:$C1316))</f>
        <v/>
      </c>
      <c r="B1316" s="10">
        <f>IF($C1316="","","TXN-"&amp;RIGHT("0000"&amp;1308,4))</f>
        <v/>
      </c>
      <c r="C1316" s="11" t="n"/>
      <c r="D1316" s="11" t="n"/>
      <c r="E1316" s="12" t="n"/>
      <c r="F1316" s="10">
        <f>IF($E1316="","",IFERROR(IF(VLOOKUP(LEFT(UPPER(TRIM($E1316)),6),BankTbl,2,0)="","(بدون عنوان)",VLOOKUP(LEFT(UPPER(TRIM($E1316)),6),BankTbl,2,0)),"بانک ناشناخته"))</f>
        <v/>
      </c>
      <c r="G1316" s="11" t="n"/>
      <c r="H1316" s="10">
        <f>IF($G1316="","",IFERROR(VLOOKUP($G1316,CustTbl,2,0),IFERROR(VLOOKUP($G1316,SuppTbl,2,0),IFERROR(VLOOKUP($G1316,AcctTbl,2,0),IFERROR(VLOOKUP($G1316,StaffTbl,2,0),"کد ناشناخته")))))</f>
        <v/>
      </c>
      <c r="I1316" s="12" t="n"/>
      <c r="J1316" s="12" t="n"/>
      <c r="K1316" s="13" t="n"/>
      <c r="L1316" s="13" t="n"/>
      <c r="M1316" s="13" t="n"/>
      <c r="N1316" s="14">
        <f>IF(OR($C1316="",$E1316="",Calc!$H1316=""),"",IFERROR(VLOOKUP(LEFT(UPPER(TRIM($E1316)),6),BankTbl,3,0),0)+SUMIFS(CalcDep,CalcBank,LEFT(UPPER(TRIM($E1316)),6),CalcKey,"&lt;="&amp;Calc!$H1316)-SUMIFS(CalcWit,CalcBank,LEFT(UPPER(TRIM($E1316)),6),CalcKey,"&lt;="&amp;Calc!$H1316))</f>
        <v/>
      </c>
      <c r="O1316" s="10">
        <f>IF(OR($C1316="",$M1316=""),"",IF($N1316="","؟",IF(ROUND($M1316-$N1316,0)=0,"√","×")))</f>
        <v/>
      </c>
      <c r="P1316" s="12" t="n"/>
    </row>
    <row r="1317">
      <c r="A1317" s="10">
        <f>IF($C1317="","",COUNTA($C$9:$C1317))</f>
        <v/>
      </c>
      <c r="B1317" s="10">
        <f>IF($C1317="","","TXN-"&amp;RIGHT("0000"&amp;1309,4))</f>
        <v/>
      </c>
      <c r="C1317" s="11" t="n"/>
      <c r="D1317" s="11" t="n"/>
      <c r="E1317" s="12" t="n"/>
      <c r="F1317" s="10">
        <f>IF($E1317="","",IFERROR(IF(VLOOKUP(LEFT(UPPER(TRIM($E1317)),6),BankTbl,2,0)="","(بدون عنوان)",VLOOKUP(LEFT(UPPER(TRIM($E1317)),6),BankTbl,2,0)),"بانک ناشناخته"))</f>
        <v/>
      </c>
      <c r="G1317" s="11" t="n"/>
      <c r="H1317" s="10">
        <f>IF($G1317="","",IFERROR(VLOOKUP($G1317,CustTbl,2,0),IFERROR(VLOOKUP($G1317,SuppTbl,2,0),IFERROR(VLOOKUP($G1317,AcctTbl,2,0),IFERROR(VLOOKUP($G1317,StaffTbl,2,0),"کد ناشناخته")))))</f>
        <v/>
      </c>
      <c r="I1317" s="12" t="n"/>
      <c r="J1317" s="12" t="n"/>
      <c r="K1317" s="13" t="n"/>
      <c r="L1317" s="13" t="n"/>
      <c r="M1317" s="13" t="n"/>
      <c r="N1317" s="14">
        <f>IF(OR($C1317="",$E1317="",Calc!$H1317=""),"",IFERROR(VLOOKUP(LEFT(UPPER(TRIM($E1317)),6),BankTbl,3,0),0)+SUMIFS(CalcDep,CalcBank,LEFT(UPPER(TRIM($E1317)),6),CalcKey,"&lt;="&amp;Calc!$H1317)-SUMIFS(CalcWit,CalcBank,LEFT(UPPER(TRIM($E1317)),6),CalcKey,"&lt;="&amp;Calc!$H1317))</f>
        <v/>
      </c>
      <c r="O1317" s="10">
        <f>IF(OR($C1317="",$M1317=""),"",IF($N1317="","؟",IF(ROUND($M1317-$N1317,0)=0,"√","×")))</f>
        <v/>
      </c>
      <c r="P1317" s="12" t="n"/>
    </row>
    <row r="1318">
      <c r="A1318" s="10">
        <f>IF($C1318="","",COUNTA($C$9:$C1318))</f>
        <v/>
      </c>
      <c r="B1318" s="10">
        <f>IF($C1318="","","TXN-"&amp;RIGHT("0000"&amp;1310,4))</f>
        <v/>
      </c>
      <c r="C1318" s="11" t="n"/>
      <c r="D1318" s="11" t="n"/>
      <c r="E1318" s="12" t="n"/>
      <c r="F1318" s="10">
        <f>IF($E1318="","",IFERROR(IF(VLOOKUP(LEFT(UPPER(TRIM($E1318)),6),BankTbl,2,0)="","(بدون عنوان)",VLOOKUP(LEFT(UPPER(TRIM($E1318)),6),BankTbl,2,0)),"بانک ناشناخته"))</f>
        <v/>
      </c>
      <c r="G1318" s="11" t="n"/>
      <c r="H1318" s="10">
        <f>IF($G1318="","",IFERROR(VLOOKUP($G1318,CustTbl,2,0),IFERROR(VLOOKUP($G1318,SuppTbl,2,0),IFERROR(VLOOKUP($G1318,AcctTbl,2,0),IFERROR(VLOOKUP($G1318,StaffTbl,2,0),"کد ناشناخته")))))</f>
        <v/>
      </c>
      <c r="I1318" s="12" t="n"/>
      <c r="J1318" s="12" t="n"/>
      <c r="K1318" s="13" t="n"/>
      <c r="L1318" s="13" t="n"/>
      <c r="M1318" s="13" t="n"/>
      <c r="N1318" s="14">
        <f>IF(OR($C1318="",$E1318="",Calc!$H1318=""),"",IFERROR(VLOOKUP(LEFT(UPPER(TRIM($E1318)),6),BankTbl,3,0),0)+SUMIFS(CalcDep,CalcBank,LEFT(UPPER(TRIM($E1318)),6),CalcKey,"&lt;="&amp;Calc!$H1318)-SUMIFS(CalcWit,CalcBank,LEFT(UPPER(TRIM($E1318)),6),CalcKey,"&lt;="&amp;Calc!$H1318))</f>
        <v/>
      </c>
      <c r="O1318" s="10">
        <f>IF(OR($C1318="",$M1318=""),"",IF($N1318="","؟",IF(ROUND($M1318-$N1318,0)=0,"√","×")))</f>
        <v/>
      </c>
      <c r="P1318" s="12" t="n"/>
    </row>
    <row r="1319">
      <c r="A1319" s="10">
        <f>IF($C1319="","",COUNTA($C$9:$C1319))</f>
        <v/>
      </c>
      <c r="B1319" s="10">
        <f>IF($C1319="","","TXN-"&amp;RIGHT("0000"&amp;1311,4))</f>
        <v/>
      </c>
      <c r="C1319" s="11" t="n"/>
      <c r="D1319" s="11" t="n"/>
      <c r="E1319" s="12" t="n"/>
      <c r="F1319" s="10">
        <f>IF($E1319="","",IFERROR(IF(VLOOKUP(LEFT(UPPER(TRIM($E1319)),6),BankTbl,2,0)="","(بدون عنوان)",VLOOKUP(LEFT(UPPER(TRIM($E1319)),6),BankTbl,2,0)),"بانک ناشناخته"))</f>
        <v/>
      </c>
      <c r="G1319" s="11" t="n"/>
      <c r="H1319" s="10">
        <f>IF($G1319="","",IFERROR(VLOOKUP($G1319,CustTbl,2,0),IFERROR(VLOOKUP($G1319,SuppTbl,2,0),IFERROR(VLOOKUP($G1319,AcctTbl,2,0),IFERROR(VLOOKUP($G1319,StaffTbl,2,0),"کد ناشناخته")))))</f>
        <v/>
      </c>
      <c r="I1319" s="12" t="n"/>
      <c r="J1319" s="12" t="n"/>
      <c r="K1319" s="13" t="n"/>
      <c r="L1319" s="13" t="n"/>
      <c r="M1319" s="13" t="n"/>
      <c r="N1319" s="14">
        <f>IF(OR($C1319="",$E1319="",Calc!$H1319=""),"",IFERROR(VLOOKUP(LEFT(UPPER(TRIM($E1319)),6),BankTbl,3,0),0)+SUMIFS(CalcDep,CalcBank,LEFT(UPPER(TRIM($E1319)),6),CalcKey,"&lt;="&amp;Calc!$H1319)-SUMIFS(CalcWit,CalcBank,LEFT(UPPER(TRIM($E1319)),6),CalcKey,"&lt;="&amp;Calc!$H1319))</f>
        <v/>
      </c>
      <c r="O1319" s="10">
        <f>IF(OR($C1319="",$M1319=""),"",IF($N1319="","؟",IF(ROUND($M1319-$N1319,0)=0,"√","×")))</f>
        <v/>
      </c>
      <c r="P1319" s="12" t="n"/>
    </row>
    <row r="1320">
      <c r="A1320" s="10">
        <f>IF($C1320="","",COUNTA($C$9:$C1320))</f>
        <v/>
      </c>
      <c r="B1320" s="10">
        <f>IF($C1320="","","TXN-"&amp;RIGHT("0000"&amp;1312,4))</f>
        <v/>
      </c>
      <c r="C1320" s="11" t="n"/>
      <c r="D1320" s="11" t="n"/>
      <c r="E1320" s="12" t="n"/>
      <c r="F1320" s="10">
        <f>IF($E1320="","",IFERROR(IF(VLOOKUP(LEFT(UPPER(TRIM($E1320)),6),BankTbl,2,0)="","(بدون عنوان)",VLOOKUP(LEFT(UPPER(TRIM($E1320)),6),BankTbl,2,0)),"بانک ناشناخته"))</f>
        <v/>
      </c>
      <c r="G1320" s="11" t="n"/>
      <c r="H1320" s="10">
        <f>IF($G1320="","",IFERROR(VLOOKUP($G1320,CustTbl,2,0),IFERROR(VLOOKUP($G1320,SuppTbl,2,0),IFERROR(VLOOKUP($G1320,AcctTbl,2,0),IFERROR(VLOOKUP($G1320,StaffTbl,2,0),"کد ناشناخته")))))</f>
        <v/>
      </c>
      <c r="I1320" s="12" t="n"/>
      <c r="J1320" s="12" t="n"/>
      <c r="K1320" s="13" t="n"/>
      <c r="L1320" s="13" t="n"/>
      <c r="M1320" s="13" t="n"/>
      <c r="N1320" s="14">
        <f>IF(OR($C1320="",$E1320="",Calc!$H1320=""),"",IFERROR(VLOOKUP(LEFT(UPPER(TRIM($E1320)),6),BankTbl,3,0),0)+SUMIFS(CalcDep,CalcBank,LEFT(UPPER(TRIM($E1320)),6),CalcKey,"&lt;="&amp;Calc!$H1320)-SUMIFS(CalcWit,CalcBank,LEFT(UPPER(TRIM($E1320)),6),CalcKey,"&lt;="&amp;Calc!$H1320))</f>
        <v/>
      </c>
      <c r="O1320" s="10">
        <f>IF(OR($C1320="",$M1320=""),"",IF($N1320="","؟",IF(ROUND($M1320-$N1320,0)=0,"√","×")))</f>
        <v/>
      </c>
      <c r="P1320" s="12" t="n"/>
    </row>
    <row r="1321">
      <c r="A1321" s="10">
        <f>IF($C1321="","",COUNTA($C$9:$C1321))</f>
        <v/>
      </c>
      <c r="B1321" s="10">
        <f>IF($C1321="","","TXN-"&amp;RIGHT("0000"&amp;1313,4))</f>
        <v/>
      </c>
      <c r="C1321" s="11" t="n"/>
      <c r="D1321" s="11" t="n"/>
      <c r="E1321" s="12" t="n"/>
      <c r="F1321" s="10">
        <f>IF($E1321="","",IFERROR(IF(VLOOKUP(LEFT(UPPER(TRIM($E1321)),6),BankTbl,2,0)="","(بدون عنوان)",VLOOKUP(LEFT(UPPER(TRIM($E1321)),6),BankTbl,2,0)),"بانک ناشناخته"))</f>
        <v/>
      </c>
      <c r="G1321" s="11" t="n"/>
      <c r="H1321" s="10">
        <f>IF($G1321="","",IFERROR(VLOOKUP($G1321,CustTbl,2,0),IFERROR(VLOOKUP($G1321,SuppTbl,2,0),IFERROR(VLOOKUP($G1321,AcctTbl,2,0),IFERROR(VLOOKUP($G1321,StaffTbl,2,0),"کد ناشناخته")))))</f>
        <v/>
      </c>
      <c r="I1321" s="12" t="n"/>
      <c r="J1321" s="12" t="n"/>
      <c r="K1321" s="13" t="n"/>
      <c r="L1321" s="13" t="n"/>
      <c r="M1321" s="13" t="n"/>
      <c r="N1321" s="14">
        <f>IF(OR($C1321="",$E1321="",Calc!$H1321=""),"",IFERROR(VLOOKUP(LEFT(UPPER(TRIM($E1321)),6),BankTbl,3,0),0)+SUMIFS(CalcDep,CalcBank,LEFT(UPPER(TRIM($E1321)),6),CalcKey,"&lt;="&amp;Calc!$H1321)-SUMIFS(CalcWit,CalcBank,LEFT(UPPER(TRIM($E1321)),6),CalcKey,"&lt;="&amp;Calc!$H1321))</f>
        <v/>
      </c>
      <c r="O1321" s="10">
        <f>IF(OR($C1321="",$M1321=""),"",IF($N1321="","؟",IF(ROUND($M1321-$N1321,0)=0,"√","×")))</f>
        <v/>
      </c>
      <c r="P1321" s="12" t="n"/>
    </row>
    <row r="1322">
      <c r="A1322" s="10">
        <f>IF($C1322="","",COUNTA($C$9:$C1322))</f>
        <v/>
      </c>
      <c r="B1322" s="10">
        <f>IF($C1322="","","TXN-"&amp;RIGHT("0000"&amp;1314,4))</f>
        <v/>
      </c>
      <c r="C1322" s="11" t="n"/>
      <c r="D1322" s="11" t="n"/>
      <c r="E1322" s="12" t="n"/>
      <c r="F1322" s="10">
        <f>IF($E1322="","",IFERROR(IF(VLOOKUP(LEFT(UPPER(TRIM($E1322)),6),BankTbl,2,0)="","(بدون عنوان)",VLOOKUP(LEFT(UPPER(TRIM($E1322)),6),BankTbl,2,0)),"بانک ناشناخته"))</f>
        <v/>
      </c>
      <c r="G1322" s="11" t="n"/>
      <c r="H1322" s="10">
        <f>IF($G1322="","",IFERROR(VLOOKUP($G1322,CustTbl,2,0),IFERROR(VLOOKUP($G1322,SuppTbl,2,0),IFERROR(VLOOKUP($G1322,AcctTbl,2,0),IFERROR(VLOOKUP($G1322,StaffTbl,2,0),"کد ناشناخته")))))</f>
        <v/>
      </c>
      <c r="I1322" s="12" t="n"/>
      <c r="J1322" s="12" t="n"/>
      <c r="K1322" s="13" t="n"/>
      <c r="L1322" s="13" t="n"/>
      <c r="M1322" s="13" t="n"/>
      <c r="N1322" s="14">
        <f>IF(OR($C1322="",$E1322="",Calc!$H1322=""),"",IFERROR(VLOOKUP(LEFT(UPPER(TRIM($E1322)),6),BankTbl,3,0),0)+SUMIFS(CalcDep,CalcBank,LEFT(UPPER(TRIM($E1322)),6),CalcKey,"&lt;="&amp;Calc!$H1322)-SUMIFS(CalcWit,CalcBank,LEFT(UPPER(TRIM($E1322)),6),CalcKey,"&lt;="&amp;Calc!$H1322))</f>
        <v/>
      </c>
      <c r="O1322" s="10">
        <f>IF(OR($C1322="",$M1322=""),"",IF($N1322="","؟",IF(ROUND($M1322-$N1322,0)=0,"√","×")))</f>
        <v/>
      </c>
      <c r="P1322" s="12" t="n"/>
    </row>
    <row r="1323">
      <c r="A1323" s="10">
        <f>IF($C1323="","",COUNTA($C$9:$C1323))</f>
        <v/>
      </c>
      <c r="B1323" s="10">
        <f>IF($C1323="","","TXN-"&amp;RIGHT("0000"&amp;1315,4))</f>
        <v/>
      </c>
      <c r="C1323" s="11" t="n"/>
      <c r="D1323" s="11" t="n"/>
      <c r="E1323" s="12" t="n"/>
      <c r="F1323" s="10">
        <f>IF($E1323="","",IFERROR(IF(VLOOKUP(LEFT(UPPER(TRIM($E1323)),6),BankTbl,2,0)="","(بدون عنوان)",VLOOKUP(LEFT(UPPER(TRIM($E1323)),6),BankTbl,2,0)),"بانک ناشناخته"))</f>
        <v/>
      </c>
      <c r="G1323" s="11" t="n"/>
      <c r="H1323" s="10">
        <f>IF($G1323="","",IFERROR(VLOOKUP($G1323,CustTbl,2,0),IFERROR(VLOOKUP($G1323,SuppTbl,2,0),IFERROR(VLOOKUP($G1323,AcctTbl,2,0),IFERROR(VLOOKUP($G1323,StaffTbl,2,0),"کد ناشناخته")))))</f>
        <v/>
      </c>
      <c r="I1323" s="12" t="n"/>
      <c r="J1323" s="12" t="n"/>
      <c r="K1323" s="13" t="n"/>
      <c r="L1323" s="13" t="n"/>
      <c r="M1323" s="13" t="n"/>
      <c r="N1323" s="14">
        <f>IF(OR($C1323="",$E1323="",Calc!$H1323=""),"",IFERROR(VLOOKUP(LEFT(UPPER(TRIM($E1323)),6),BankTbl,3,0),0)+SUMIFS(CalcDep,CalcBank,LEFT(UPPER(TRIM($E1323)),6),CalcKey,"&lt;="&amp;Calc!$H1323)-SUMIFS(CalcWit,CalcBank,LEFT(UPPER(TRIM($E1323)),6),CalcKey,"&lt;="&amp;Calc!$H1323))</f>
        <v/>
      </c>
      <c r="O1323" s="10">
        <f>IF(OR($C1323="",$M1323=""),"",IF($N1323="","؟",IF(ROUND($M1323-$N1323,0)=0,"√","×")))</f>
        <v/>
      </c>
      <c r="P1323" s="12" t="n"/>
    </row>
    <row r="1324">
      <c r="A1324" s="10">
        <f>IF($C1324="","",COUNTA($C$9:$C1324))</f>
        <v/>
      </c>
      <c r="B1324" s="10">
        <f>IF($C1324="","","TXN-"&amp;RIGHT("0000"&amp;1316,4))</f>
        <v/>
      </c>
      <c r="C1324" s="11" t="n"/>
      <c r="D1324" s="11" t="n"/>
      <c r="E1324" s="12" t="n"/>
      <c r="F1324" s="10">
        <f>IF($E1324="","",IFERROR(IF(VLOOKUP(LEFT(UPPER(TRIM($E1324)),6),BankTbl,2,0)="","(بدون عنوان)",VLOOKUP(LEFT(UPPER(TRIM($E1324)),6),BankTbl,2,0)),"بانک ناشناخته"))</f>
        <v/>
      </c>
      <c r="G1324" s="11" t="n"/>
      <c r="H1324" s="10">
        <f>IF($G1324="","",IFERROR(VLOOKUP($G1324,CustTbl,2,0),IFERROR(VLOOKUP($G1324,SuppTbl,2,0),IFERROR(VLOOKUP($G1324,AcctTbl,2,0),IFERROR(VLOOKUP($G1324,StaffTbl,2,0),"کد ناشناخته")))))</f>
        <v/>
      </c>
      <c r="I1324" s="12" t="n"/>
      <c r="J1324" s="12" t="n"/>
      <c r="K1324" s="13" t="n"/>
      <c r="L1324" s="13" t="n"/>
      <c r="M1324" s="13" t="n"/>
      <c r="N1324" s="14">
        <f>IF(OR($C1324="",$E1324="",Calc!$H1324=""),"",IFERROR(VLOOKUP(LEFT(UPPER(TRIM($E1324)),6),BankTbl,3,0),0)+SUMIFS(CalcDep,CalcBank,LEFT(UPPER(TRIM($E1324)),6),CalcKey,"&lt;="&amp;Calc!$H1324)-SUMIFS(CalcWit,CalcBank,LEFT(UPPER(TRIM($E1324)),6),CalcKey,"&lt;="&amp;Calc!$H1324))</f>
        <v/>
      </c>
      <c r="O1324" s="10">
        <f>IF(OR($C1324="",$M1324=""),"",IF($N1324="","؟",IF(ROUND($M1324-$N1324,0)=0,"√","×")))</f>
        <v/>
      </c>
      <c r="P1324" s="12" t="n"/>
    </row>
    <row r="1325">
      <c r="A1325" s="10">
        <f>IF($C1325="","",COUNTA($C$9:$C1325))</f>
        <v/>
      </c>
      <c r="B1325" s="10">
        <f>IF($C1325="","","TXN-"&amp;RIGHT("0000"&amp;1317,4))</f>
        <v/>
      </c>
      <c r="C1325" s="11" t="n"/>
      <c r="D1325" s="11" t="n"/>
      <c r="E1325" s="12" t="n"/>
      <c r="F1325" s="10">
        <f>IF($E1325="","",IFERROR(IF(VLOOKUP(LEFT(UPPER(TRIM($E1325)),6),BankTbl,2,0)="","(بدون عنوان)",VLOOKUP(LEFT(UPPER(TRIM($E1325)),6),BankTbl,2,0)),"بانک ناشناخته"))</f>
        <v/>
      </c>
      <c r="G1325" s="11" t="n"/>
      <c r="H1325" s="10">
        <f>IF($G1325="","",IFERROR(VLOOKUP($G1325,CustTbl,2,0),IFERROR(VLOOKUP($G1325,SuppTbl,2,0),IFERROR(VLOOKUP($G1325,AcctTbl,2,0),IFERROR(VLOOKUP($G1325,StaffTbl,2,0),"کد ناشناخته")))))</f>
        <v/>
      </c>
      <c r="I1325" s="12" t="n"/>
      <c r="J1325" s="12" t="n"/>
      <c r="K1325" s="13" t="n"/>
      <c r="L1325" s="13" t="n"/>
      <c r="M1325" s="13" t="n"/>
      <c r="N1325" s="14">
        <f>IF(OR($C1325="",$E1325="",Calc!$H1325=""),"",IFERROR(VLOOKUP(LEFT(UPPER(TRIM($E1325)),6),BankTbl,3,0),0)+SUMIFS(CalcDep,CalcBank,LEFT(UPPER(TRIM($E1325)),6),CalcKey,"&lt;="&amp;Calc!$H1325)-SUMIFS(CalcWit,CalcBank,LEFT(UPPER(TRIM($E1325)),6),CalcKey,"&lt;="&amp;Calc!$H1325))</f>
        <v/>
      </c>
      <c r="O1325" s="10">
        <f>IF(OR($C1325="",$M1325=""),"",IF($N1325="","؟",IF(ROUND($M1325-$N1325,0)=0,"√","×")))</f>
        <v/>
      </c>
      <c r="P1325" s="12" t="n"/>
    </row>
    <row r="1326">
      <c r="A1326" s="10">
        <f>IF($C1326="","",COUNTA($C$9:$C1326))</f>
        <v/>
      </c>
      <c r="B1326" s="10">
        <f>IF($C1326="","","TXN-"&amp;RIGHT("0000"&amp;1318,4))</f>
        <v/>
      </c>
      <c r="C1326" s="11" t="n"/>
      <c r="D1326" s="11" t="n"/>
      <c r="E1326" s="12" t="n"/>
      <c r="F1326" s="10">
        <f>IF($E1326="","",IFERROR(IF(VLOOKUP(LEFT(UPPER(TRIM($E1326)),6),BankTbl,2,0)="","(بدون عنوان)",VLOOKUP(LEFT(UPPER(TRIM($E1326)),6),BankTbl,2,0)),"بانک ناشناخته"))</f>
        <v/>
      </c>
      <c r="G1326" s="11" t="n"/>
      <c r="H1326" s="10">
        <f>IF($G1326="","",IFERROR(VLOOKUP($G1326,CustTbl,2,0),IFERROR(VLOOKUP($G1326,SuppTbl,2,0),IFERROR(VLOOKUP($G1326,AcctTbl,2,0),IFERROR(VLOOKUP($G1326,StaffTbl,2,0),"کد ناشناخته")))))</f>
        <v/>
      </c>
      <c r="I1326" s="12" t="n"/>
      <c r="J1326" s="12" t="n"/>
      <c r="K1326" s="13" t="n"/>
      <c r="L1326" s="13" t="n"/>
      <c r="M1326" s="13" t="n"/>
      <c r="N1326" s="14">
        <f>IF(OR($C1326="",$E1326="",Calc!$H1326=""),"",IFERROR(VLOOKUP(LEFT(UPPER(TRIM($E1326)),6),BankTbl,3,0),0)+SUMIFS(CalcDep,CalcBank,LEFT(UPPER(TRIM($E1326)),6),CalcKey,"&lt;="&amp;Calc!$H1326)-SUMIFS(CalcWit,CalcBank,LEFT(UPPER(TRIM($E1326)),6),CalcKey,"&lt;="&amp;Calc!$H1326))</f>
        <v/>
      </c>
      <c r="O1326" s="10">
        <f>IF(OR($C1326="",$M1326=""),"",IF($N1326="","؟",IF(ROUND($M1326-$N1326,0)=0,"√","×")))</f>
        <v/>
      </c>
      <c r="P1326" s="12" t="n"/>
    </row>
    <row r="1327">
      <c r="A1327" s="10">
        <f>IF($C1327="","",COUNTA($C$9:$C1327))</f>
        <v/>
      </c>
      <c r="B1327" s="10">
        <f>IF($C1327="","","TXN-"&amp;RIGHT("0000"&amp;1319,4))</f>
        <v/>
      </c>
      <c r="C1327" s="11" t="n"/>
      <c r="D1327" s="11" t="n"/>
      <c r="E1327" s="12" t="n"/>
      <c r="F1327" s="10">
        <f>IF($E1327="","",IFERROR(IF(VLOOKUP(LEFT(UPPER(TRIM($E1327)),6),BankTbl,2,0)="","(بدون عنوان)",VLOOKUP(LEFT(UPPER(TRIM($E1327)),6),BankTbl,2,0)),"بانک ناشناخته"))</f>
        <v/>
      </c>
      <c r="G1327" s="11" t="n"/>
      <c r="H1327" s="10">
        <f>IF($G1327="","",IFERROR(VLOOKUP($G1327,CustTbl,2,0),IFERROR(VLOOKUP($G1327,SuppTbl,2,0),IFERROR(VLOOKUP($G1327,AcctTbl,2,0),IFERROR(VLOOKUP($G1327,StaffTbl,2,0),"کد ناشناخته")))))</f>
        <v/>
      </c>
      <c r="I1327" s="12" t="n"/>
      <c r="J1327" s="12" t="n"/>
      <c r="K1327" s="13" t="n"/>
      <c r="L1327" s="13" t="n"/>
      <c r="M1327" s="13" t="n"/>
      <c r="N1327" s="14">
        <f>IF(OR($C1327="",$E1327="",Calc!$H1327=""),"",IFERROR(VLOOKUP(LEFT(UPPER(TRIM($E1327)),6),BankTbl,3,0),0)+SUMIFS(CalcDep,CalcBank,LEFT(UPPER(TRIM($E1327)),6),CalcKey,"&lt;="&amp;Calc!$H1327)-SUMIFS(CalcWit,CalcBank,LEFT(UPPER(TRIM($E1327)),6),CalcKey,"&lt;="&amp;Calc!$H1327))</f>
        <v/>
      </c>
      <c r="O1327" s="10">
        <f>IF(OR($C1327="",$M1327=""),"",IF($N1327="","؟",IF(ROUND($M1327-$N1327,0)=0,"√","×")))</f>
        <v/>
      </c>
      <c r="P1327" s="12" t="n"/>
    </row>
    <row r="1328">
      <c r="A1328" s="10">
        <f>IF($C1328="","",COUNTA($C$9:$C1328))</f>
        <v/>
      </c>
      <c r="B1328" s="10">
        <f>IF($C1328="","","TXN-"&amp;RIGHT("0000"&amp;1320,4))</f>
        <v/>
      </c>
      <c r="C1328" s="11" t="n"/>
      <c r="D1328" s="11" t="n"/>
      <c r="E1328" s="12" t="n"/>
      <c r="F1328" s="10">
        <f>IF($E1328="","",IFERROR(IF(VLOOKUP(LEFT(UPPER(TRIM($E1328)),6),BankTbl,2,0)="","(بدون عنوان)",VLOOKUP(LEFT(UPPER(TRIM($E1328)),6),BankTbl,2,0)),"بانک ناشناخته"))</f>
        <v/>
      </c>
      <c r="G1328" s="11" t="n"/>
      <c r="H1328" s="10">
        <f>IF($G1328="","",IFERROR(VLOOKUP($G1328,CustTbl,2,0),IFERROR(VLOOKUP($G1328,SuppTbl,2,0),IFERROR(VLOOKUP($G1328,AcctTbl,2,0),IFERROR(VLOOKUP($G1328,StaffTbl,2,0),"کد ناشناخته")))))</f>
        <v/>
      </c>
      <c r="I1328" s="12" t="n"/>
      <c r="J1328" s="12" t="n"/>
      <c r="K1328" s="13" t="n"/>
      <c r="L1328" s="13" t="n"/>
      <c r="M1328" s="13" t="n"/>
      <c r="N1328" s="14">
        <f>IF(OR($C1328="",$E1328="",Calc!$H1328=""),"",IFERROR(VLOOKUP(LEFT(UPPER(TRIM($E1328)),6),BankTbl,3,0),0)+SUMIFS(CalcDep,CalcBank,LEFT(UPPER(TRIM($E1328)),6),CalcKey,"&lt;="&amp;Calc!$H1328)-SUMIFS(CalcWit,CalcBank,LEFT(UPPER(TRIM($E1328)),6),CalcKey,"&lt;="&amp;Calc!$H1328))</f>
        <v/>
      </c>
      <c r="O1328" s="10">
        <f>IF(OR($C1328="",$M1328=""),"",IF($N1328="","؟",IF(ROUND($M1328-$N1328,0)=0,"√","×")))</f>
        <v/>
      </c>
      <c r="P1328" s="12" t="n"/>
    </row>
    <row r="1329">
      <c r="A1329" s="10">
        <f>IF($C1329="","",COUNTA($C$9:$C1329))</f>
        <v/>
      </c>
      <c r="B1329" s="10">
        <f>IF($C1329="","","TXN-"&amp;RIGHT("0000"&amp;1321,4))</f>
        <v/>
      </c>
      <c r="C1329" s="11" t="n"/>
      <c r="D1329" s="11" t="n"/>
      <c r="E1329" s="12" t="n"/>
      <c r="F1329" s="10">
        <f>IF($E1329="","",IFERROR(IF(VLOOKUP(LEFT(UPPER(TRIM($E1329)),6),BankTbl,2,0)="","(بدون عنوان)",VLOOKUP(LEFT(UPPER(TRIM($E1329)),6),BankTbl,2,0)),"بانک ناشناخته"))</f>
        <v/>
      </c>
      <c r="G1329" s="11" t="n"/>
      <c r="H1329" s="10">
        <f>IF($G1329="","",IFERROR(VLOOKUP($G1329,CustTbl,2,0),IFERROR(VLOOKUP($G1329,SuppTbl,2,0),IFERROR(VLOOKUP($G1329,AcctTbl,2,0),IFERROR(VLOOKUP($G1329,StaffTbl,2,0),"کد ناشناخته")))))</f>
        <v/>
      </c>
      <c r="I1329" s="12" t="n"/>
      <c r="J1329" s="12" t="n"/>
      <c r="K1329" s="13" t="n"/>
      <c r="L1329" s="13" t="n"/>
      <c r="M1329" s="13" t="n"/>
      <c r="N1329" s="14">
        <f>IF(OR($C1329="",$E1329="",Calc!$H1329=""),"",IFERROR(VLOOKUP(LEFT(UPPER(TRIM($E1329)),6),BankTbl,3,0),0)+SUMIFS(CalcDep,CalcBank,LEFT(UPPER(TRIM($E1329)),6),CalcKey,"&lt;="&amp;Calc!$H1329)-SUMIFS(CalcWit,CalcBank,LEFT(UPPER(TRIM($E1329)),6),CalcKey,"&lt;="&amp;Calc!$H1329))</f>
        <v/>
      </c>
      <c r="O1329" s="10">
        <f>IF(OR($C1329="",$M1329=""),"",IF($N1329="","؟",IF(ROUND($M1329-$N1329,0)=0,"√","×")))</f>
        <v/>
      </c>
      <c r="P1329" s="12" t="n"/>
    </row>
    <row r="1330">
      <c r="A1330" s="10">
        <f>IF($C1330="","",COUNTA($C$9:$C1330))</f>
        <v/>
      </c>
      <c r="B1330" s="10">
        <f>IF($C1330="","","TXN-"&amp;RIGHT("0000"&amp;1322,4))</f>
        <v/>
      </c>
      <c r="C1330" s="11" t="n"/>
      <c r="D1330" s="11" t="n"/>
      <c r="E1330" s="12" t="n"/>
      <c r="F1330" s="10">
        <f>IF($E1330="","",IFERROR(IF(VLOOKUP(LEFT(UPPER(TRIM($E1330)),6),BankTbl,2,0)="","(بدون عنوان)",VLOOKUP(LEFT(UPPER(TRIM($E1330)),6),BankTbl,2,0)),"بانک ناشناخته"))</f>
        <v/>
      </c>
      <c r="G1330" s="11" t="n"/>
      <c r="H1330" s="10">
        <f>IF($G1330="","",IFERROR(VLOOKUP($G1330,CustTbl,2,0),IFERROR(VLOOKUP($G1330,SuppTbl,2,0),IFERROR(VLOOKUP($G1330,AcctTbl,2,0),IFERROR(VLOOKUP($G1330,StaffTbl,2,0),"کد ناشناخته")))))</f>
        <v/>
      </c>
      <c r="I1330" s="12" t="n"/>
      <c r="J1330" s="12" t="n"/>
      <c r="K1330" s="13" t="n"/>
      <c r="L1330" s="13" t="n"/>
      <c r="M1330" s="13" t="n"/>
      <c r="N1330" s="14">
        <f>IF(OR($C1330="",$E1330="",Calc!$H1330=""),"",IFERROR(VLOOKUP(LEFT(UPPER(TRIM($E1330)),6),BankTbl,3,0),0)+SUMIFS(CalcDep,CalcBank,LEFT(UPPER(TRIM($E1330)),6),CalcKey,"&lt;="&amp;Calc!$H1330)-SUMIFS(CalcWit,CalcBank,LEFT(UPPER(TRIM($E1330)),6),CalcKey,"&lt;="&amp;Calc!$H1330))</f>
        <v/>
      </c>
      <c r="O1330" s="10">
        <f>IF(OR($C1330="",$M1330=""),"",IF($N1330="","؟",IF(ROUND($M1330-$N1330,0)=0,"√","×")))</f>
        <v/>
      </c>
      <c r="P1330" s="12" t="n"/>
    </row>
    <row r="1331">
      <c r="A1331" s="10">
        <f>IF($C1331="","",COUNTA($C$9:$C1331))</f>
        <v/>
      </c>
      <c r="B1331" s="10">
        <f>IF($C1331="","","TXN-"&amp;RIGHT("0000"&amp;1323,4))</f>
        <v/>
      </c>
      <c r="C1331" s="11" t="n"/>
      <c r="D1331" s="11" t="n"/>
      <c r="E1331" s="12" t="n"/>
      <c r="F1331" s="10">
        <f>IF($E1331="","",IFERROR(IF(VLOOKUP(LEFT(UPPER(TRIM($E1331)),6),BankTbl,2,0)="","(بدون عنوان)",VLOOKUP(LEFT(UPPER(TRIM($E1331)),6),BankTbl,2,0)),"بانک ناشناخته"))</f>
        <v/>
      </c>
      <c r="G1331" s="11" t="n"/>
      <c r="H1331" s="10">
        <f>IF($G1331="","",IFERROR(VLOOKUP($G1331,CustTbl,2,0),IFERROR(VLOOKUP($G1331,SuppTbl,2,0),IFERROR(VLOOKUP($G1331,AcctTbl,2,0),IFERROR(VLOOKUP($G1331,StaffTbl,2,0),"کد ناشناخته")))))</f>
        <v/>
      </c>
      <c r="I1331" s="12" t="n"/>
      <c r="J1331" s="12" t="n"/>
      <c r="K1331" s="13" t="n"/>
      <c r="L1331" s="13" t="n"/>
      <c r="M1331" s="13" t="n"/>
      <c r="N1331" s="14">
        <f>IF(OR($C1331="",$E1331="",Calc!$H1331=""),"",IFERROR(VLOOKUP(LEFT(UPPER(TRIM($E1331)),6),BankTbl,3,0),0)+SUMIFS(CalcDep,CalcBank,LEFT(UPPER(TRIM($E1331)),6),CalcKey,"&lt;="&amp;Calc!$H1331)-SUMIFS(CalcWit,CalcBank,LEFT(UPPER(TRIM($E1331)),6),CalcKey,"&lt;="&amp;Calc!$H1331))</f>
        <v/>
      </c>
      <c r="O1331" s="10">
        <f>IF(OR($C1331="",$M1331=""),"",IF($N1331="","؟",IF(ROUND($M1331-$N1331,0)=0,"√","×")))</f>
        <v/>
      </c>
      <c r="P1331" s="12" t="n"/>
    </row>
    <row r="1332">
      <c r="A1332" s="10">
        <f>IF($C1332="","",COUNTA($C$9:$C1332))</f>
        <v/>
      </c>
      <c r="B1332" s="10">
        <f>IF($C1332="","","TXN-"&amp;RIGHT("0000"&amp;1324,4))</f>
        <v/>
      </c>
      <c r="C1332" s="11" t="n"/>
      <c r="D1332" s="11" t="n"/>
      <c r="E1332" s="12" t="n"/>
      <c r="F1332" s="10">
        <f>IF($E1332="","",IFERROR(IF(VLOOKUP(LEFT(UPPER(TRIM($E1332)),6),BankTbl,2,0)="","(بدون عنوان)",VLOOKUP(LEFT(UPPER(TRIM($E1332)),6),BankTbl,2,0)),"بانک ناشناخته"))</f>
        <v/>
      </c>
      <c r="G1332" s="11" t="n"/>
      <c r="H1332" s="10">
        <f>IF($G1332="","",IFERROR(VLOOKUP($G1332,CustTbl,2,0),IFERROR(VLOOKUP($G1332,SuppTbl,2,0),IFERROR(VLOOKUP($G1332,AcctTbl,2,0),IFERROR(VLOOKUP($G1332,StaffTbl,2,0),"کد ناشناخته")))))</f>
        <v/>
      </c>
      <c r="I1332" s="12" t="n"/>
      <c r="J1332" s="12" t="n"/>
      <c r="K1332" s="13" t="n"/>
      <c r="L1332" s="13" t="n"/>
      <c r="M1332" s="13" t="n"/>
      <c r="N1332" s="14">
        <f>IF(OR($C1332="",$E1332="",Calc!$H1332=""),"",IFERROR(VLOOKUP(LEFT(UPPER(TRIM($E1332)),6),BankTbl,3,0),0)+SUMIFS(CalcDep,CalcBank,LEFT(UPPER(TRIM($E1332)),6),CalcKey,"&lt;="&amp;Calc!$H1332)-SUMIFS(CalcWit,CalcBank,LEFT(UPPER(TRIM($E1332)),6),CalcKey,"&lt;="&amp;Calc!$H1332))</f>
        <v/>
      </c>
      <c r="O1332" s="10">
        <f>IF(OR($C1332="",$M1332=""),"",IF($N1332="","؟",IF(ROUND($M1332-$N1332,0)=0,"√","×")))</f>
        <v/>
      </c>
      <c r="P1332" s="12" t="n"/>
    </row>
    <row r="1333">
      <c r="A1333" s="10">
        <f>IF($C1333="","",COUNTA($C$9:$C1333))</f>
        <v/>
      </c>
      <c r="B1333" s="10">
        <f>IF($C1333="","","TXN-"&amp;RIGHT("0000"&amp;1325,4))</f>
        <v/>
      </c>
      <c r="C1333" s="11" t="n"/>
      <c r="D1333" s="11" t="n"/>
      <c r="E1333" s="12" t="n"/>
      <c r="F1333" s="10">
        <f>IF($E1333="","",IFERROR(IF(VLOOKUP(LEFT(UPPER(TRIM($E1333)),6),BankTbl,2,0)="","(بدون عنوان)",VLOOKUP(LEFT(UPPER(TRIM($E1333)),6),BankTbl,2,0)),"بانک ناشناخته"))</f>
        <v/>
      </c>
      <c r="G1333" s="11" t="n"/>
      <c r="H1333" s="10">
        <f>IF($G1333="","",IFERROR(VLOOKUP($G1333,CustTbl,2,0),IFERROR(VLOOKUP($G1333,SuppTbl,2,0),IFERROR(VLOOKUP($G1333,AcctTbl,2,0),IFERROR(VLOOKUP($G1333,StaffTbl,2,0),"کد ناشناخته")))))</f>
        <v/>
      </c>
      <c r="I1333" s="12" t="n"/>
      <c r="J1333" s="12" t="n"/>
      <c r="K1333" s="13" t="n"/>
      <c r="L1333" s="13" t="n"/>
      <c r="M1333" s="13" t="n"/>
      <c r="N1333" s="14">
        <f>IF(OR($C1333="",$E1333="",Calc!$H1333=""),"",IFERROR(VLOOKUP(LEFT(UPPER(TRIM($E1333)),6),BankTbl,3,0),0)+SUMIFS(CalcDep,CalcBank,LEFT(UPPER(TRIM($E1333)),6),CalcKey,"&lt;="&amp;Calc!$H1333)-SUMIFS(CalcWit,CalcBank,LEFT(UPPER(TRIM($E1333)),6),CalcKey,"&lt;="&amp;Calc!$H1333))</f>
        <v/>
      </c>
      <c r="O1333" s="10">
        <f>IF(OR($C1333="",$M1333=""),"",IF($N1333="","؟",IF(ROUND($M1333-$N1333,0)=0,"√","×")))</f>
        <v/>
      </c>
      <c r="P1333" s="12" t="n"/>
    </row>
    <row r="1334">
      <c r="A1334" s="10">
        <f>IF($C1334="","",COUNTA($C$9:$C1334))</f>
        <v/>
      </c>
      <c r="B1334" s="10">
        <f>IF($C1334="","","TXN-"&amp;RIGHT("0000"&amp;1326,4))</f>
        <v/>
      </c>
      <c r="C1334" s="11" t="n"/>
      <c r="D1334" s="11" t="n"/>
      <c r="E1334" s="12" t="n"/>
      <c r="F1334" s="10">
        <f>IF($E1334="","",IFERROR(IF(VLOOKUP(LEFT(UPPER(TRIM($E1334)),6),BankTbl,2,0)="","(بدون عنوان)",VLOOKUP(LEFT(UPPER(TRIM($E1334)),6),BankTbl,2,0)),"بانک ناشناخته"))</f>
        <v/>
      </c>
      <c r="G1334" s="11" t="n"/>
      <c r="H1334" s="10">
        <f>IF($G1334="","",IFERROR(VLOOKUP($G1334,CustTbl,2,0),IFERROR(VLOOKUP($G1334,SuppTbl,2,0),IFERROR(VLOOKUP($G1334,AcctTbl,2,0),IFERROR(VLOOKUP($G1334,StaffTbl,2,0),"کد ناشناخته")))))</f>
        <v/>
      </c>
      <c r="I1334" s="12" t="n"/>
      <c r="J1334" s="12" t="n"/>
      <c r="K1334" s="13" t="n"/>
      <c r="L1334" s="13" t="n"/>
      <c r="M1334" s="13" t="n"/>
      <c r="N1334" s="14">
        <f>IF(OR($C1334="",$E1334="",Calc!$H1334=""),"",IFERROR(VLOOKUP(LEFT(UPPER(TRIM($E1334)),6),BankTbl,3,0),0)+SUMIFS(CalcDep,CalcBank,LEFT(UPPER(TRIM($E1334)),6),CalcKey,"&lt;="&amp;Calc!$H1334)-SUMIFS(CalcWit,CalcBank,LEFT(UPPER(TRIM($E1334)),6),CalcKey,"&lt;="&amp;Calc!$H1334))</f>
        <v/>
      </c>
      <c r="O1334" s="10">
        <f>IF(OR($C1334="",$M1334=""),"",IF($N1334="","؟",IF(ROUND($M1334-$N1334,0)=0,"√","×")))</f>
        <v/>
      </c>
      <c r="P1334" s="12" t="n"/>
    </row>
    <row r="1335">
      <c r="A1335" s="10">
        <f>IF($C1335="","",COUNTA($C$9:$C1335))</f>
        <v/>
      </c>
      <c r="B1335" s="10">
        <f>IF($C1335="","","TXN-"&amp;RIGHT("0000"&amp;1327,4))</f>
        <v/>
      </c>
      <c r="C1335" s="11" t="n"/>
      <c r="D1335" s="11" t="n"/>
      <c r="E1335" s="12" t="n"/>
      <c r="F1335" s="10">
        <f>IF($E1335="","",IFERROR(IF(VLOOKUP(LEFT(UPPER(TRIM($E1335)),6),BankTbl,2,0)="","(بدون عنوان)",VLOOKUP(LEFT(UPPER(TRIM($E1335)),6),BankTbl,2,0)),"بانک ناشناخته"))</f>
        <v/>
      </c>
      <c r="G1335" s="11" t="n"/>
      <c r="H1335" s="10">
        <f>IF($G1335="","",IFERROR(VLOOKUP($G1335,CustTbl,2,0),IFERROR(VLOOKUP($G1335,SuppTbl,2,0),IFERROR(VLOOKUP($G1335,AcctTbl,2,0),IFERROR(VLOOKUP($G1335,StaffTbl,2,0),"کد ناشناخته")))))</f>
        <v/>
      </c>
      <c r="I1335" s="12" t="n"/>
      <c r="J1335" s="12" t="n"/>
      <c r="K1335" s="13" t="n"/>
      <c r="L1335" s="13" t="n"/>
      <c r="M1335" s="13" t="n"/>
      <c r="N1335" s="14">
        <f>IF(OR($C1335="",$E1335="",Calc!$H1335=""),"",IFERROR(VLOOKUP(LEFT(UPPER(TRIM($E1335)),6),BankTbl,3,0),0)+SUMIFS(CalcDep,CalcBank,LEFT(UPPER(TRIM($E1335)),6),CalcKey,"&lt;="&amp;Calc!$H1335)-SUMIFS(CalcWit,CalcBank,LEFT(UPPER(TRIM($E1335)),6),CalcKey,"&lt;="&amp;Calc!$H1335))</f>
        <v/>
      </c>
      <c r="O1335" s="10">
        <f>IF(OR($C1335="",$M1335=""),"",IF($N1335="","؟",IF(ROUND($M1335-$N1335,0)=0,"√","×")))</f>
        <v/>
      </c>
      <c r="P1335" s="12" t="n"/>
    </row>
    <row r="1336">
      <c r="A1336" s="10">
        <f>IF($C1336="","",COUNTA($C$9:$C1336))</f>
        <v/>
      </c>
      <c r="B1336" s="10">
        <f>IF($C1336="","","TXN-"&amp;RIGHT("0000"&amp;1328,4))</f>
        <v/>
      </c>
      <c r="C1336" s="11" t="n"/>
      <c r="D1336" s="11" t="n"/>
      <c r="E1336" s="12" t="n"/>
      <c r="F1336" s="10">
        <f>IF($E1336="","",IFERROR(IF(VLOOKUP(LEFT(UPPER(TRIM($E1336)),6),BankTbl,2,0)="","(بدون عنوان)",VLOOKUP(LEFT(UPPER(TRIM($E1336)),6),BankTbl,2,0)),"بانک ناشناخته"))</f>
        <v/>
      </c>
      <c r="G1336" s="11" t="n"/>
      <c r="H1336" s="10">
        <f>IF($G1336="","",IFERROR(VLOOKUP($G1336,CustTbl,2,0),IFERROR(VLOOKUP($G1336,SuppTbl,2,0),IFERROR(VLOOKUP($G1336,AcctTbl,2,0),IFERROR(VLOOKUP($G1336,StaffTbl,2,0),"کد ناشناخته")))))</f>
        <v/>
      </c>
      <c r="I1336" s="12" t="n"/>
      <c r="J1336" s="12" t="n"/>
      <c r="K1336" s="13" t="n"/>
      <c r="L1336" s="13" t="n"/>
      <c r="M1336" s="13" t="n"/>
      <c r="N1336" s="14">
        <f>IF(OR($C1336="",$E1336="",Calc!$H1336=""),"",IFERROR(VLOOKUP(LEFT(UPPER(TRIM($E1336)),6),BankTbl,3,0),0)+SUMIFS(CalcDep,CalcBank,LEFT(UPPER(TRIM($E1336)),6),CalcKey,"&lt;="&amp;Calc!$H1336)-SUMIFS(CalcWit,CalcBank,LEFT(UPPER(TRIM($E1336)),6),CalcKey,"&lt;="&amp;Calc!$H1336))</f>
        <v/>
      </c>
      <c r="O1336" s="10">
        <f>IF(OR($C1336="",$M1336=""),"",IF($N1336="","؟",IF(ROUND($M1336-$N1336,0)=0,"√","×")))</f>
        <v/>
      </c>
      <c r="P1336" s="12" t="n"/>
    </row>
    <row r="1337">
      <c r="A1337" s="10">
        <f>IF($C1337="","",COUNTA($C$9:$C1337))</f>
        <v/>
      </c>
      <c r="B1337" s="10">
        <f>IF($C1337="","","TXN-"&amp;RIGHT("0000"&amp;1329,4))</f>
        <v/>
      </c>
      <c r="C1337" s="11" t="n"/>
      <c r="D1337" s="11" t="n"/>
      <c r="E1337" s="12" t="n"/>
      <c r="F1337" s="10">
        <f>IF($E1337="","",IFERROR(IF(VLOOKUP(LEFT(UPPER(TRIM($E1337)),6),BankTbl,2,0)="","(بدون عنوان)",VLOOKUP(LEFT(UPPER(TRIM($E1337)),6),BankTbl,2,0)),"بانک ناشناخته"))</f>
        <v/>
      </c>
      <c r="G1337" s="11" t="n"/>
      <c r="H1337" s="10">
        <f>IF($G1337="","",IFERROR(VLOOKUP($G1337,CustTbl,2,0),IFERROR(VLOOKUP($G1337,SuppTbl,2,0),IFERROR(VLOOKUP($G1337,AcctTbl,2,0),IFERROR(VLOOKUP($G1337,StaffTbl,2,0),"کد ناشناخته")))))</f>
        <v/>
      </c>
      <c r="I1337" s="12" t="n"/>
      <c r="J1337" s="12" t="n"/>
      <c r="K1337" s="13" t="n"/>
      <c r="L1337" s="13" t="n"/>
      <c r="M1337" s="13" t="n"/>
      <c r="N1337" s="14">
        <f>IF(OR($C1337="",$E1337="",Calc!$H1337=""),"",IFERROR(VLOOKUP(LEFT(UPPER(TRIM($E1337)),6),BankTbl,3,0),0)+SUMIFS(CalcDep,CalcBank,LEFT(UPPER(TRIM($E1337)),6),CalcKey,"&lt;="&amp;Calc!$H1337)-SUMIFS(CalcWit,CalcBank,LEFT(UPPER(TRIM($E1337)),6),CalcKey,"&lt;="&amp;Calc!$H1337))</f>
        <v/>
      </c>
      <c r="O1337" s="10">
        <f>IF(OR($C1337="",$M1337=""),"",IF($N1337="","؟",IF(ROUND($M1337-$N1337,0)=0,"√","×")))</f>
        <v/>
      </c>
      <c r="P1337" s="12" t="n"/>
    </row>
    <row r="1338">
      <c r="A1338" s="10">
        <f>IF($C1338="","",COUNTA($C$9:$C1338))</f>
        <v/>
      </c>
      <c r="B1338" s="10">
        <f>IF($C1338="","","TXN-"&amp;RIGHT("0000"&amp;1330,4))</f>
        <v/>
      </c>
      <c r="C1338" s="11" t="n"/>
      <c r="D1338" s="11" t="n"/>
      <c r="E1338" s="12" t="n"/>
      <c r="F1338" s="10">
        <f>IF($E1338="","",IFERROR(IF(VLOOKUP(LEFT(UPPER(TRIM($E1338)),6),BankTbl,2,0)="","(بدون عنوان)",VLOOKUP(LEFT(UPPER(TRIM($E1338)),6),BankTbl,2,0)),"بانک ناشناخته"))</f>
        <v/>
      </c>
      <c r="G1338" s="11" t="n"/>
      <c r="H1338" s="10">
        <f>IF($G1338="","",IFERROR(VLOOKUP($G1338,CustTbl,2,0),IFERROR(VLOOKUP($G1338,SuppTbl,2,0),IFERROR(VLOOKUP($G1338,AcctTbl,2,0),IFERROR(VLOOKUP($G1338,StaffTbl,2,0),"کد ناشناخته")))))</f>
        <v/>
      </c>
      <c r="I1338" s="12" t="n"/>
      <c r="J1338" s="12" t="n"/>
      <c r="K1338" s="13" t="n"/>
      <c r="L1338" s="13" t="n"/>
      <c r="M1338" s="13" t="n"/>
      <c r="N1338" s="14">
        <f>IF(OR($C1338="",$E1338="",Calc!$H1338=""),"",IFERROR(VLOOKUP(LEFT(UPPER(TRIM($E1338)),6),BankTbl,3,0),0)+SUMIFS(CalcDep,CalcBank,LEFT(UPPER(TRIM($E1338)),6),CalcKey,"&lt;="&amp;Calc!$H1338)-SUMIFS(CalcWit,CalcBank,LEFT(UPPER(TRIM($E1338)),6),CalcKey,"&lt;="&amp;Calc!$H1338))</f>
        <v/>
      </c>
      <c r="O1338" s="10">
        <f>IF(OR($C1338="",$M1338=""),"",IF($N1338="","؟",IF(ROUND($M1338-$N1338,0)=0,"√","×")))</f>
        <v/>
      </c>
      <c r="P1338" s="12" t="n"/>
    </row>
    <row r="1339">
      <c r="A1339" s="10">
        <f>IF($C1339="","",COUNTA($C$9:$C1339))</f>
        <v/>
      </c>
      <c r="B1339" s="10">
        <f>IF($C1339="","","TXN-"&amp;RIGHT("0000"&amp;1331,4))</f>
        <v/>
      </c>
      <c r="C1339" s="11" t="n"/>
      <c r="D1339" s="11" t="n"/>
      <c r="E1339" s="12" t="n"/>
      <c r="F1339" s="10">
        <f>IF($E1339="","",IFERROR(IF(VLOOKUP(LEFT(UPPER(TRIM($E1339)),6),BankTbl,2,0)="","(بدون عنوان)",VLOOKUP(LEFT(UPPER(TRIM($E1339)),6),BankTbl,2,0)),"بانک ناشناخته"))</f>
        <v/>
      </c>
      <c r="G1339" s="11" t="n"/>
      <c r="H1339" s="10">
        <f>IF($G1339="","",IFERROR(VLOOKUP($G1339,CustTbl,2,0),IFERROR(VLOOKUP($G1339,SuppTbl,2,0),IFERROR(VLOOKUP($G1339,AcctTbl,2,0),IFERROR(VLOOKUP($G1339,StaffTbl,2,0),"کد ناشناخته")))))</f>
        <v/>
      </c>
      <c r="I1339" s="12" t="n"/>
      <c r="J1339" s="12" t="n"/>
      <c r="K1339" s="13" t="n"/>
      <c r="L1339" s="13" t="n"/>
      <c r="M1339" s="13" t="n"/>
      <c r="N1339" s="14">
        <f>IF(OR($C1339="",$E1339="",Calc!$H1339=""),"",IFERROR(VLOOKUP(LEFT(UPPER(TRIM($E1339)),6),BankTbl,3,0),0)+SUMIFS(CalcDep,CalcBank,LEFT(UPPER(TRIM($E1339)),6),CalcKey,"&lt;="&amp;Calc!$H1339)-SUMIFS(CalcWit,CalcBank,LEFT(UPPER(TRIM($E1339)),6),CalcKey,"&lt;="&amp;Calc!$H1339))</f>
        <v/>
      </c>
      <c r="O1339" s="10">
        <f>IF(OR($C1339="",$M1339=""),"",IF($N1339="","؟",IF(ROUND($M1339-$N1339,0)=0,"√","×")))</f>
        <v/>
      </c>
      <c r="P1339" s="12" t="n"/>
    </row>
    <row r="1340">
      <c r="A1340" s="10">
        <f>IF($C1340="","",COUNTA($C$9:$C1340))</f>
        <v/>
      </c>
      <c r="B1340" s="10">
        <f>IF($C1340="","","TXN-"&amp;RIGHT("0000"&amp;1332,4))</f>
        <v/>
      </c>
      <c r="C1340" s="11" t="n"/>
      <c r="D1340" s="11" t="n"/>
      <c r="E1340" s="12" t="n"/>
      <c r="F1340" s="10">
        <f>IF($E1340="","",IFERROR(IF(VLOOKUP(LEFT(UPPER(TRIM($E1340)),6),BankTbl,2,0)="","(بدون عنوان)",VLOOKUP(LEFT(UPPER(TRIM($E1340)),6),BankTbl,2,0)),"بانک ناشناخته"))</f>
        <v/>
      </c>
      <c r="G1340" s="11" t="n"/>
      <c r="H1340" s="10">
        <f>IF($G1340="","",IFERROR(VLOOKUP($G1340,CustTbl,2,0),IFERROR(VLOOKUP($G1340,SuppTbl,2,0),IFERROR(VLOOKUP($G1340,AcctTbl,2,0),IFERROR(VLOOKUP($G1340,StaffTbl,2,0),"کد ناشناخته")))))</f>
        <v/>
      </c>
      <c r="I1340" s="12" t="n"/>
      <c r="J1340" s="12" t="n"/>
      <c r="K1340" s="13" t="n"/>
      <c r="L1340" s="13" t="n"/>
      <c r="M1340" s="13" t="n"/>
      <c r="N1340" s="14">
        <f>IF(OR($C1340="",$E1340="",Calc!$H1340=""),"",IFERROR(VLOOKUP(LEFT(UPPER(TRIM($E1340)),6),BankTbl,3,0),0)+SUMIFS(CalcDep,CalcBank,LEFT(UPPER(TRIM($E1340)),6),CalcKey,"&lt;="&amp;Calc!$H1340)-SUMIFS(CalcWit,CalcBank,LEFT(UPPER(TRIM($E1340)),6),CalcKey,"&lt;="&amp;Calc!$H1340))</f>
        <v/>
      </c>
      <c r="O1340" s="10">
        <f>IF(OR($C1340="",$M1340=""),"",IF($N1340="","؟",IF(ROUND($M1340-$N1340,0)=0,"√","×")))</f>
        <v/>
      </c>
      <c r="P1340" s="12" t="n"/>
    </row>
    <row r="1341">
      <c r="A1341" s="10">
        <f>IF($C1341="","",COUNTA($C$9:$C1341))</f>
        <v/>
      </c>
      <c r="B1341" s="10">
        <f>IF($C1341="","","TXN-"&amp;RIGHT("0000"&amp;1333,4))</f>
        <v/>
      </c>
      <c r="C1341" s="11" t="n"/>
      <c r="D1341" s="11" t="n"/>
      <c r="E1341" s="12" t="n"/>
      <c r="F1341" s="10">
        <f>IF($E1341="","",IFERROR(IF(VLOOKUP(LEFT(UPPER(TRIM($E1341)),6),BankTbl,2,0)="","(بدون عنوان)",VLOOKUP(LEFT(UPPER(TRIM($E1341)),6),BankTbl,2,0)),"بانک ناشناخته"))</f>
        <v/>
      </c>
      <c r="G1341" s="11" t="n"/>
      <c r="H1341" s="10">
        <f>IF($G1341="","",IFERROR(VLOOKUP($G1341,CustTbl,2,0),IFERROR(VLOOKUP($G1341,SuppTbl,2,0),IFERROR(VLOOKUP($G1341,AcctTbl,2,0),IFERROR(VLOOKUP($G1341,StaffTbl,2,0),"کد ناشناخته")))))</f>
        <v/>
      </c>
      <c r="I1341" s="12" t="n"/>
      <c r="J1341" s="12" t="n"/>
      <c r="K1341" s="13" t="n"/>
      <c r="L1341" s="13" t="n"/>
      <c r="M1341" s="13" t="n"/>
      <c r="N1341" s="14">
        <f>IF(OR($C1341="",$E1341="",Calc!$H1341=""),"",IFERROR(VLOOKUP(LEFT(UPPER(TRIM($E1341)),6),BankTbl,3,0),0)+SUMIFS(CalcDep,CalcBank,LEFT(UPPER(TRIM($E1341)),6),CalcKey,"&lt;="&amp;Calc!$H1341)-SUMIFS(CalcWit,CalcBank,LEFT(UPPER(TRIM($E1341)),6),CalcKey,"&lt;="&amp;Calc!$H1341))</f>
        <v/>
      </c>
      <c r="O1341" s="10">
        <f>IF(OR($C1341="",$M1341=""),"",IF($N1341="","؟",IF(ROUND($M1341-$N1341,0)=0,"√","×")))</f>
        <v/>
      </c>
      <c r="P1341" s="12" t="n"/>
    </row>
    <row r="1342">
      <c r="A1342" s="10">
        <f>IF($C1342="","",COUNTA($C$9:$C1342))</f>
        <v/>
      </c>
      <c r="B1342" s="10">
        <f>IF($C1342="","","TXN-"&amp;RIGHT("0000"&amp;1334,4))</f>
        <v/>
      </c>
      <c r="C1342" s="11" t="n"/>
      <c r="D1342" s="11" t="n"/>
      <c r="E1342" s="12" t="n"/>
      <c r="F1342" s="10">
        <f>IF($E1342="","",IFERROR(IF(VLOOKUP(LEFT(UPPER(TRIM($E1342)),6),BankTbl,2,0)="","(بدون عنوان)",VLOOKUP(LEFT(UPPER(TRIM($E1342)),6),BankTbl,2,0)),"بانک ناشناخته"))</f>
        <v/>
      </c>
      <c r="G1342" s="11" t="n"/>
      <c r="H1342" s="10">
        <f>IF($G1342="","",IFERROR(VLOOKUP($G1342,CustTbl,2,0),IFERROR(VLOOKUP($G1342,SuppTbl,2,0),IFERROR(VLOOKUP($G1342,AcctTbl,2,0),IFERROR(VLOOKUP($G1342,StaffTbl,2,0),"کد ناشناخته")))))</f>
        <v/>
      </c>
      <c r="I1342" s="12" t="n"/>
      <c r="J1342" s="12" t="n"/>
      <c r="K1342" s="13" t="n"/>
      <c r="L1342" s="13" t="n"/>
      <c r="M1342" s="13" t="n"/>
      <c r="N1342" s="14">
        <f>IF(OR($C1342="",$E1342="",Calc!$H1342=""),"",IFERROR(VLOOKUP(LEFT(UPPER(TRIM($E1342)),6),BankTbl,3,0),0)+SUMIFS(CalcDep,CalcBank,LEFT(UPPER(TRIM($E1342)),6),CalcKey,"&lt;="&amp;Calc!$H1342)-SUMIFS(CalcWit,CalcBank,LEFT(UPPER(TRIM($E1342)),6),CalcKey,"&lt;="&amp;Calc!$H1342))</f>
        <v/>
      </c>
      <c r="O1342" s="10">
        <f>IF(OR($C1342="",$M1342=""),"",IF($N1342="","؟",IF(ROUND($M1342-$N1342,0)=0,"√","×")))</f>
        <v/>
      </c>
      <c r="P1342" s="12" t="n"/>
    </row>
    <row r="1343">
      <c r="A1343" s="10">
        <f>IF($C1343="","",COUNTA($C$9:$C1343))</f>
        <v/>
      </c>
      <c r="B1343" s="10">
        <f>IF($C1343="","","TXN-"&amp;RIGHT("0000"&amp;1335,4))</f>
        <v/>
      </c>
      <c r="C1343" s="11" t="n"/>
      <c r="D1343" s="11" t="n"/>
      <c r="E1343" s="12" t="n"/>
      <c r="F1343" s="10">
        <f>IF($E1343="","",IFERROR(IF(VLOOKUP(LEFT(UPPER(TRIM($E1343)),6),BankTbl,2,0)="","(بدون عنوان)",VLOOKUP(LEFT(UPPER(TRIM($E1343)),6),BankTbl,2,0)),"بانک ناشناخته"))</f>
        <v/>
      </c>
      <c r="G1343" s="11" t="n"/>
      <c r="H1343" s="10">
        <f>IF($G1343="","",IFERROR(VLOOKUP($G1343,CustTbl,2,0),IFERROR(VLOOKUP($G1343,SuppTbl,2,0),IFERROR(VLOOKUP($G1343,AcctTbl,2,0),IFERROR(VLOOKUP($G1343,StaffTbl,2,0),"کد ناشناخته")))))</f>
        <v/>
      </c>
      <c r="I1343" s="12" t="n"/>
      <c r="J1343" s="12" t="n"/>
      <c r="K1343" s="13" t="n"/>
      <c r="L1343" s="13" t="n"/>
      <c r="M1343" s="13" t="n"/>
      <c r="N1343" s="14">
        <f>IF(OR($C1343="",$E1343="",Calc!$H1343=""),"",IFERROR(VLOOKUP(LEFT(UPPER(TRIM($E1343)),6),BankTbl,3,0),0)+SUMIFS(CalcDep,CalcBank,LEFT(UPPER(TRIM($E1343)),6),CalcKey,"&lt;="&amp;Calc!$H1343)-SUMIFS(CalcWit,CalcBank,LEFT(UPPER(TRIM($E1343)),6),CalcKey,"&lt;="&amp;Calc!$H1343))</f>
        <v/>
      </c>
      <c r="O1343" s="10">
        <f>IF(OR($C1343="",$M1343=""),"",IF($N1343="","؟",IF(ROUND($M1343-$N1343,0)=0,"√","×")))</f>
        <v/>
      </c>
      <c r="P1343" s="12" t="n"/>
    </row>
    <row r="1344">
      <c r="A1344" s="10">
        <f>IF($C1344="","",COUNTA($C$9:$C1344))</f>
        <v/>
      </c>
      <c r="B1344" s="10">
        <f>IF($C1344="","","TXN-"&amp;RIGHT("0000"&amp;1336,4))</f>
        <v/>
      </c>
      <c r="C1344" s="11" t="n"/>
      <c r="D1344" s="11" t="n"/>
      <c r="E1344" s="12" t="n"/>
      <c r="F1344" s="10">
        <f>IF($E1344="","",IFERROR(IF(VLOOKUP(LEFT(UPPER(TRIM($E1344)),6),BankTbl,2,0)="","(بدون عنوان)",VLOOKUP(LEFT(UPPER(TRIM($E1344)),6),BankTbl,2,0)),"بانک ناشناخته"))</f>
        <v/>
      </c>
      <c r="G1344" s="11" t="n"/>
      <c r="H1344" s="10">
        <f>IF($G1344="","",IFERROR(VLOOKUP($G1344,CustTbl,2,0),IFERROR(VLOOKUP($G1344,SuppTbl,2,0),IFERROR(VLOOKUP($G1344,AcctTbl,2,0),IFERROR(VLOOKUP($G1344,StaffTbl,2,0),"کد ناشناخته")))))</f>
        <v/>
      </c>
      <c r="I1344" s="12" t="n"/>
      <c r="J1344" s="12" t="n"/>
      <c r="K1344" s="13" t="n"/>
      <c r="L1344" s="13" t="n"/>
      <c r="M1344" s="13" t="n"/>
      <c r="N1344" s="14">
        <f>IF(OR($C1344="",$E1344="",Calc!$H1344=""),"",IFERROR(VLOOKUP(LEFT(UPPER(TRIM($E1344)),6),BankTbl,3,0),0)+SUMIFS(CalcDep,CalcBank,LEFT(UPPER(TRIM($E1344)),6),CalcKey,"&lt;="&amp;Calc!$H1344)-SUMIFS(CalcWit,CalcBank,LEFT(UPPER(TRIM($E1344)),6),CalcKey,"&lt;="&amp;Calc!$H1344))</f>
        <v/>
      </c>
      <c r="O1344" s="10">
        <f>IF(OR($C1344="",$M1344=""),"",IF($N1344="","؟",IF(ROUND($M1344-$N1344,0)=0,"√","×")))</f>
        <v/>
      </c>
      <c r="P1344" s="12" t="n"/>
    </row>
    <row r="1345">
      <c r="A1345" s="10">
        <f>IF($C1345="","",COUNTA($C$9:$C1345))</f>
        <v/>
      </c>
      <c r="B1345" s="10">
        <f>IF($C1345="","","TXN-"&amp;RIGHT("0000"&amp;1337,4))</f>
        <v/>
      </c>
      <c r="C1345" s="11" t="n"/>
      <c r="D1345" s="11" t="n"/>
      <c r="E1345" s="12" t="n"/>
      <c r="F1345" s="10">
        <f>IF($E1345="","",IFERROR(IF(VLOOKUP(LEFT(UPPER(TRIM($E1345)),6),BankTbl,2,0)="","(بدون عنوان)",VLOOKUP(LEFT(UPPER(TRIM($E1345)),6),BankTbl,2,0)),"بانک ناشناخته"))</f>
        <v/>
      </c>
      <c r="G1345" s="11" t="n"/>
      <c r="H1345" s="10">
        <f>IF($G1345="","",IFERROR(VLOOKUP($G1345,CustTbl,2,0),IFERROR(VLOOKUP($G1345,SuppTbl,2,0),IFERROR(VLOOKUP($G1345,AcctTbl,2,0),IFERROR(VLOOKUP($G1345,StaffTbl,2,0),"کد ناشناخته")))))</f>
        <v/>
      </c>
      <c r="I1345" s="12" t="n"/>
      <c r="J1345" s="12" t="n"/>
      <c r="K1345" s="13" t="n"/>
      <c r="L1345" s="13" t="n"/>
      <c r="M1345" s="13" t="n"/>
      <c r="N1345" s="14">
        <f>IF(OR($C1345="",$E1345="",Calc!$H1345=""),"",IFERROR(VLOOKUP(LEFT(UPPER(TRIM($E1345)),6),BankTbl,3,0),0)+SUMIFS(CalcDep,CalcBank,LEFT(UPPER(TRIM($E1345)),6),CalcKey,"&lt;="&amp;Calc!$H1345)-SUMIFS(CalcWit,CalcBank,LEFT(UPPER(TRIM($E1345)),6),CalcKey,"&lt;="&amp;Calc!$H1345))</f>
        <v/>
      </c>
      <c r="O1345" s="10">
        <f>IF(OR($C1345="",$M1345=""),"",IF($N1345="","؟",IF(ROUND($M1345-$N1345,0)=0,"√","×")))</f>
        <v/>
      </c>
      <c r="P1345" s="12" t="n"/>
    </row>
    <row r="1346">
      <c r="A1346" s="10">
        <f>IF($C1346="","",COUNTA($C$9:$C1346))</f>
        <v/>
      </c>
      <c r="B1346" s="10">
        <f>IF($C1346="","","TXN-"&amp;RIGHT("0000"&amp;1338,4))</f>
        <v/>
      </c>
      <c r="C1346" s="11" t="n"/>
      <c r="D1346" s="11" t="n"/>
      <c r="E1346" s="12" t="n"/>
      <c r="F1346" s="10">
        <f>IF($E1346="","",IFERROR(IF(VLOOKUP(LEFT(UPPER(TRIM($E1346)),6),BankTbl,2,0)="","(بدون عنوان)",VLOOKUP(LEFT(UPPER(TRIM($E1346)),6),BankTbl,2,0)),"بانک ناشناخته"))</f>
        <v/>
      </c>
      <c r="G1346" s="11" t="n"/>
      <c r="H1346" s="10">
        <f>IF($G1346="","",IFERROR(VLOOKUP($G1346,CustTbl,2,0),IFERROR(VLOOKUP($G1346,SuppTbl,2,0),IFERROR(VLOOKUP($G1346,AcctTbl,2,0),IFERROR(VLOOKUP($G1346,StaffTbl,2,0),"کد ناشناخته")))))</f>
        <v/>
      </c>
      <c r="I1346" s="12" t="n"/>
      <c r="J1346" s="12" t="n"/>
      <c r="K1346" s="13" t="n"/>
      <c r="L1346" s="13" t="n"/>
      <c r="M1346" s="13" t="n"/>
      <c r="N1346" s="14">
        <f>IF(OR($C1346="",$E1346="",Calc!$H1346=""),"",IFERROR(VLOOKUP(LEFT(UPPER(TRIM($E1346)),6),BankTbl,3,0),0)+SUMIFS(CalcDep,CalcBank,LEFT(UPPER(TRIM($E1346)),6),CalcKey,"&lt;="&amp;Calc!$H1346)-SUMIFS(CalcWit,CalcBank,LEFT(UPPER(TRIM($E1346)),6),CalcKey,"&lt;="&amp;Calc!$H1346))</f>
        <v/>
      </c>
      <c r="O1346" s="10">
        <f>IF(OR($C1346="",$M1346=""),"",IF($N1346="","؟",IF(ROUND($M1346-$N1346,0)=0,"√","×")))</f>
        <v/>
      </c>
      <c r="P1346" s="12" t="n"/>
    </row>
    <row r="1347">
      <c r="A1347" s="10">
        <f>IF($C1347="","",COUNTA($C$9:$C1347))</f>
        <v/>
      </c>
      <c r="B1347" s="10">
        <f>IF($C1347="","","TXN-"&amp;RIGHT("0000"&amp;1339,4))</f>
        <v/>
      </c>
      <c r="C1347" s="11" t="n"/>
      <c r="D1347" s="11" t="n"/>
      <c r="E1347" s="12" t="n"/>
      <c r="F1347" s="10">
        <f>IF($E1347="","",IFERROR(IF(VLOOKUP(LEFT(UPPER(TRIM($E1347)),6),BankTbl,2,0)="","(بدون عنوان)",VLOOKUP(LEFT(UPPER(TRIM($E1347)),6),BankTbl,2,0)),"بانک ناشناخته"))</f>
        <v/>
      </c>
      <c r="G1347" s="11" t="n"/>
      <c r="H1347" s="10">
        <f>IF($G1347="","",IFERROR(VLOOKUP($G1347,CustTbl,2,0),IFERROR(VLOOKUP($G1347,SuppTbl,2,0),IFERROR(VLOOKUP($G1347,AcctTbl,2,0),IFERROR(VLOOKUP($G1347,StaffTbl,2,0),"کد ناشناخته")))))</f>
        <v/>
      </c>
      <c r="I1347" s="12" t="n"/>
      <c r="J1347" s="12" t="n"/>
      <c r="K1347" s="13" t="n"/>
      <c r="L1347" s="13" t="n"/>
      <c r="M1347" s="13" t="n"/>
      <c r="N1347" s="14">
        <f>IF(OR($C1347="",$E1347="",Calc!$H1347=""),"",IFERROR(VLOOKUP(LEFT(UPPER(TRIM($E1347)),6),BankTbl,3,0),0)+SUMIFS(CalcDep,CalcBank,LEFT(UPPER(TRIM($E1347)),6),CalcKey,"&lt;="&amp;Calc!$H1347)-SUMIFS(CalcWit,CalcBank,LEFT(UPPER(TRIM($E1347)),6),CalcKey,"&lt;="&amp;Calc!$H1347))</f>
        <v/>
      </c>
      <c r="O1347" s="10">
        <f>IF(OR($C1347="",$M1347=""),"",IF($N1347="","؟",IF(ROUND($M1347-$N1347,0)=0,"√","×")))</f>
        <v/>
      </c>
      <c r="P1347" s="12" t="n"/>
    </row>
    <row r="1348">
      <c r="A1348" s="10">
        <f>IF($C1348="","",COUNTA($C$9:$C1348))</f>
        <v/>
      </c>
      <c r="B1348" s="10">
        <f>IF($C1348="","","TXN-"&amp;RIGHT("0000"&amp;1340,4))</f>
        <v/>
      </c>
      <c r="C1348" s="11" t="n"/>
      <c r="D1348" s="11" t="n"/>
      <c r="E1348" s="12" t="n"/>
      <c r="F1348" s="10">
        <f>IF($E1348="","",IFERROR(IF(VLOOKUP(LEFT(UPPER(TRIM($E1348)),6),BankTbl,2,0)="","(بدون عنوان)",VLOOKUP(LEFT(UPPER(TRIM($E1348)),6),BankTbl,2,0)),"بانک ناشناخته"))</f>
        <v/>
      </c>
      <c r="G1348" s="11" t="n"/>
      <c r="H1348" s="10">
        <f>IF($G1348="","",IFERROR(VLOOKUP($G1348,CustTbl,2,0),IFERROR(VLOOKUP($G1348,SuppTbl,2,0),IFERROR(VLOOKUP($G1348,AcctTbl,2,0),IFERROR(VLOOKUP($G1348,StaffTbl,2,0),"کد ناشناخته")))))</f>
        <v/>
      </c>
      <c r="I1348" s="12" t="n"/>
      <c r="J1348" s="12" t="n"/>
      <c r="K1348" s="13" t="n"/>
      <c r="L1348" s="13" t="n"/>
      <c r="M1348" s="13" t="n"/>
      <c r="N1348" s="14">
        <f>IF(OR($C1348="",$E1348="",Calc!$H1348=""),"",IFERROR(VLOOKUP(LEFT(UPPER(TRIM($E1348)),6),BankTbl,3,0),0)+SUMIFS(CalcDep,CalcBank,LEFT(UPPER(TRIM($E1348)),6),CalcKey,"&lt;="&amp;Calc!$H1348)-SUMIFS(CalcWit,CalcBank,LEFT(UPPER(TRIM($E1348)),6),CalcKey,"&lt;="&amp;Calc!$H1348))</f>
        <v/>
      </c>
      <c r="O1348" s="10">
        <f>IF(OR($C1348="",$M1348=""),"",IF($N1348="","؟",IF(ROUND($M1348-$N1348,0)=0,"√","×")))</f>
        <v/>
      </c>
      <c r="P1348" s="12" t="n"/>
    </row>
    <row r="1349">
      <c r="A1349" s="10">
        <f>IF($C1349="","",COUNTA($C$9:$C1349))</f>
        <v/>
      </c>
      <c r="B1349" s="10">
        <f>IF($C1349="","","TXN-"&amp;RIGHT("0000"&amp;1341,4))</f>
        <v/>
      </c>
      <c r="C1349" s="11" t="n"/>
      <c r="D1349" s="11" t="n"/>
      <c r="E1349" s="12" t="n"/>
      <c r="F1349" s="10">
        <f>IF($E1349="","",IFERROR(IF(VLOOKUP(LEFT(UPPER(TRIM($E1349)),6),BankTbl,2,0)="","(بدون عنوان)",VLOOKUP(LEFT(UPPER(TRIM($E1349)),6),BankTbl,2,0)),"بانک ناشناخته"))</f>
        <v/>
      </c>
      <c r="G1349" s="11" t="n"/>
      <c r="H1349" s="10">
        <f>IF($G1349="","",IFERROR(VLOOKUP($G1349,CustTbl,2,0),IFERROR(VLOOKUP($G1349,SuppTbl,2,0),IFERROR(VLOOKUP($G1349,AcctTbl,2,0),IFERROR(VLOOKUP($G1349,StaffTbl,2,0),"کد ناشناخته")))))</f>
        <v/>
      </c>
      <c r="I1349" s="12" t="n"/>
      <c r="J1349" s="12" t="n"/>
      <c r="K1349" s="13" t="n"/>
      <c r="L1349" s="13" t="n"/>
      <c r="M1349" s="13" t="n"/>
      <c r="N1349" s="14">
        <f>IF(OR($C1349="",$E1349="",Calc!$H1349=""),"",IFERROR(VLOOKUP(LEFT(UPPER(TRIM($E1349)),6),BankTbl,3,0),0)+SUMIFS(CalcDep,CalcBank,LEFT(UPPER(TRIM($E1349)),6),CalcKey,"&lt;="&amp;Calc!$H1349)-SUMIFS(CalcWit,CalcBank,LEFT(UPPER(TRIM($E1349)),6),CalcKey,"&lt;="&amp;Calc!$H1349))</f>
        <v/>
      </c>
      <c r="O1349" s="10">
        <f>IF(OR($C1349="",$M1349=""),"",IF($N1349="","؟",IF(ROUND($M1349-$N1349,0)=0,"√","×")))</f>
        <v/>
      </c>
      <c r="P1349" s="12" t="n"/>
    </row>
    <row r="1350">
      <c r="A1350" s="10">
        <f>IF($C1350="","",COUNTA($C$9:$C1350))</f>
        <v/>
      </c>
      <c r="B1350" s="10">
        <f>IF($C1350="","","TXN-"&amp;RIGHT("0000"&amp;1342,4))</f>
        <v/>
      </c>
      <c r="C1350" s="11" t="n"/>
      <c r="D1350" s="11" t="n"/>
      <c r="E1350" s="12" t="n"/>
      <c r="F1350" s="10">
        <f>IF($E1350="","",IFERROR(IF(VLOOKUP(LEFT(UPPER(TRIM($E1350)),6),BankTbl,2,0)="","(بدون عنوان)",VLOOKUP(LEFT(UPPER(TRIM($E1350)),6),BankTbl,2,0)),"بانک ناشناخته"))</f>
        <v/>
      </c>
      <c r="G1350" s="11" t="n"/>
      <c r="H1350" s="10">
        <f>IF($G1350="","",IFERROR(VLOOKUP($G1350,CustTbl,2,0),IFERROR(VLOOKUP($G1350,SuppTbl,2,0),IFERROR(VLOOKUP($G1350,AcctTbl,2,0),IFERROR(VLOOKUP($G1350,StaffTbl,2,0),"کد ناشناخته")))))</f>
        <v/>
      </c>
      <c r="I1350" s="12" t="n"/>
      <c r="J1350" s="12" t="n"/>
      <c r="K1350" s="13" t="n"/>
      <c r="L1350" s="13" t="n"/>
      <c r="M1350" s="13" t="n"/>
      <c r="N1350" s="14">
        <f>IF(OR($C1350="",$E1350="",Calc!$H1350=""),"",IFERROR(VLOOKUP(LEFT(UPPER(TRIM($E1350)),6),BankTbl,3,0),0)+SUMIFS(CalcDep,CalcBank,LEFT(UPPER(TRIM($E1350)),6),CalcKey,"&lt;="&amp;Calc!$H1350)-SUMIFS(CalcWit,CalcBank,LEFT(UPPER(TRIM($E1350)),6),CalcKey,"&lt;="&amp;Calc!$H1350))</f>
        <v/>
      </c>
      <c r="O1350" s="10">
        <f>IF(OR($C1350="",$M1350=""),"",IF($N1350="","؟",IF(ROUND($M1350-$N1350,0)=0,"√","×")))</f>
        <v/>
      </c>
      <c r="P1350" s="12" t="n"/>
    </row>
    <row r="1351">
      <c r="A1351" s="10">
        <f>IF($C1351="","",COUNTA($C$9:$C1351))</f>
        <v/>
      </c>
      <c r="B1351" s="10">
        <f>IF($C1351="","","TXN-"&amp;RIGHT("0000"&amp;1343,4))</f>
        <v/>
      </c>
      <c r="C1351" s="11" t="n"/>
      <c r="D1351" s="11" t="n"/>
      <c r="E1351" s="12" t="n"/>
      <c r="F1351" s="10">
        <f>IF($E1351="","",IFERROR(IF(VLOOKUP(LEFT(UPPER(TRIM($E1351)),6),BankTbl,2,0)="","(بدون عنوان)",VLOOKUP(LEFT(UPPER(TRIM($E1351)),6),BankTbl,2,0)),"بانک ناشناخته"))</f>
        <v/>
      </c>
      <c r="G1351" s="11" t="n"/>
      <c r="H1351" s="10">
        <f>IF($G1351="","",IFERROR(VLOOKUP($G1351,CustTbl,2,0),IFERROR(VLOOKUP($G1351,SuppTbl,2,0),IFERROR(VLOOKUP($G1351,AcctTbl,2,0),IFERROR(VLOOKUP($G1351,StaffTbl,2,0),"کد ناشناخته")))))</f>
        <v/>
      </c>
      <c r="I1351" s="12" t="n"/>
      <c r="J1351" s="12" t="n"/>
      <c r="K1351" s="13" t="n"/>
      <c r="L1351" s="13" t="n"/>
      <c r="M1351" s="13" t="n"/>
      <c r="N1351" s="14">
        <f>IF(OR($C1351="",$E1351="",Calc!$H1351=""),"",IFERROR(VLOOKUP(LEFT(UPPER(TRIM($E1351)),6),BankTbl,3,0),0)+SUMIFS(CalcDep,CalcBank,LEFT(UPPER(TRIM($E1351)),6),CalcKey,"&lt;="&amp;Calc!$H1351)-SUMIFS(CalcWit,CalcBank,LEFT(UPPER(TRIM($E1351)),6),CalcKey,"&lt;="&amp;Calc!$H1351))</f>
        <v/>
      </c>
      <c r="O1351" s="10">
        <f>IF(OR($C1351="",$M1351=""),"",IF($N1351="","؟",IF(ROUND($M1351-$N1351,0)=0,"√","×")))</f>
        <v/>
      </c>
      <c r="P1351" s="12" t="n"/>
    </row>
    <row r="1352">
      <c r="A1352" s="10">
        <f>IF($C1352="","",COUNTA($C$9:$C1352))</f>
        <v/>
      </c>
      <c r="B1352" s="10">
        <f>IF($C1352="","","TXN-"&amp;RIGHT("0000"&amp;1344,4))</f>
        <v/>
      </c>
      <c r="C1352" s="11" t="n"/>
      <c r="D1352" s="11" t="n"/>
      <c r="E1352" s="12" t="n"/>
      <c r="F1352" s="10">
        <f>IF($E1352="","",IFERROR(IF(VLOOKUP(LEFT(UPPER(TRIM($E1352)),6),BankTbl,2,0)="","(بدون عنوان)",VLOOKUP(LEFT(UPPER(TRIM($E1352)),6),BankTbl,2,0)),"بانک ناشناخته"))</f>
        <v/>
      </c>
      <c r="G1352" s="11" t="n"/>
      <c r="H1352" s="10">
        <f>IF($G1352="","",IFERROR(VLOOKUP($G1352,CustTbl,2,0),IFERROR(VLOOKUP($G1352,SuppTbl,2,0),IFERROR(VLOOKUP($G1352,AcctTbl,2,0),IFERROR(VLOOKUP($G1352,StaffTbl,2,0),"کد ناشناخته")))))</f>
        <v/>
      </c>
      <c r="I1352" s="12" t="n"/>
      <c r="J1352" s="12" t="n"/>
      <c r="K1352" s="13" t="n"/>
      <c r="L1352" s="13" t="n"/>
      <c r="M1352" s="13" t="n"/>
      <c r="N1352" s="14">
        <f>IF(OR($C1352="",$E1352="",Calc!$H1352=""),"",IFERROR(VLOOKUP(LEFT(UPPER(TRIM($E1352)),6),BankTbl,3,0),0)+SUMIFS(CalcDep,CalcBank,LEFT(UPPER(TRIM($E1352)),6),CalcKey,"&lt;="&amp;Calc!$H1352)-SUMIFS(CalcWit,CalcBank,LEFT(UPPER(TRIM($E1352)),6),CalcKey,"&lt;="&amp;Calc!$H1352))</f>
        <v/>
      </c>
      <c r="O1352" s="10">
        <f>IF(OR($C1352="",$M1352=""),"",IF($N1352="","؟",IF(ROUND($M1352-$N1352,0)=0,"√","×")))</f>
        <v/>
      </c>
      <c r="P1352" s="12" t="n"/>
    </row>
    <row r="1353">
      <c r="A1353" s="10">
        <f>IF($C1353="","",COUNTA($C$9:$C1353))</f>
        <v/>
      </c>
      <c r="B1353" s="10">
        <f>IF($C1353="","","TXN-"&amp;RIGHT("0000"&amp;1345,4))</f>
        <v/>
      </c>
      <c r="C1353" s="11" t="n"/>
      <c r="D1353" s="11" t="n"/>
      <c r="E1353" s="12" t="n"/>
      <c r="F1353" s="10">
        <f>IF($E1353="","",IFERROR(IF(VLOOKUP(LEFT(UPPER(TRIM($E1353)),6),BankTbl,2,0)="","(بدون عنوان)",VLOOKUP(LEFT(UPPER(TRIM($E1353)),6),BankTbl,2,0)),"بانک ناشناخته"))</f>
        <v/>
      </c>
      <c r="G1353" s="11" t="n"/>
      <c r="H1353" s="10">
        <f>IF($G1353="","",IFERROR(VLOOKUP($G1353,CustTbl,2,0),IFERROR(VLOOKUP($G1353,SuppTbl,2,0),IFERROR(VLOOKUP($G1353,AcctTbl,2,0),IFERROR(VLOOKUP($G1353,StaffTbl,2,0),"کد ناشناخته")))))</f>
        <v/>
      </c>
      <c r="I1353" s="12" t="n"/>
      <c r="J1353" s="12" t="n"/>
      <c r="K1353" s="13" t="n"/>
      <c r="L1353" s="13" t="n"/>
      <c r="M1353" s="13" t="n"/>
      <c r="N1353" s="14">
        <f>IF(OR($C1353="",$E1353="",Calc!$H1353=""),"",IFERROR(VLOOKUP(LEFT(UPPER(TRIM($E1353)),6),BankTbl,3,0),0)+SUMIFS(CalcDep,CalcBank,LEFT(UPPER(TRIM($E1353)),6),CalcKey,"&lt;="&amp;Calc!$H1353)-SUMIFS(CalcWit,CalcBank,LEFT(UPPER(TRIM($E1353)),6),CalcKey,"&lt;="&amp;Calc!$H1353))</f>
        <v/>
      </c>
      <c r="O1353" s="10">
        <f>IF(OR($C1353="",$M1353=""),"",IF($N1353="","؟",IF(ROUND($M1353-$N1353,0)=0,"√","×")))</f>
        <v/>
      </c>
      <c r="P1353" s="12" t="n"/>
    </row>
    <row r="1354">
      <c r="A1354" s="10">
        <f>IF($C1354="","",COUNTA($C$9:$C1354))</f>
        <v/>
      </c>
      <c r="B1354" s="10">
        <f>IF($C1354="","","TXN-"&amp;RIGHT("0000"&amp;1346,4))</f>
        <v/>
      </c>
      <c r="C1354" s="11" t="n"/>
      <c r="D1354" s="11" t="n"/>
      <c r="E1354" s="12" t="n"/>
      <c r="F1354" s="10">
        <f>IF($E1354="","",IFERROR(IF(VLOOKUP(LEFT(UPPER(TRIM($E1354)),6),BankTbl,2,0)="","(بدون عنوان)",VLOOKUP(LEFT(UPPER(TRIM($E1354)),6),BankTbl,2,0)),"بانک ناشناخته"))</f>
        <v/>
      </c>
      <c r="G1354" s="11" t="n"/>
      <c r="H1354" s="10">
        <f>IF($G1354="","",IFERROR(VLOOKUP($G1354,CustTbl,2,0),IFERROR(VLOOKUP($G1354,SuppTbl,2,0),IFERROR(VLOOKUP($G1354,AcctTbl,2,0),IFERROR(VLOOKUP($G1354,StaffTbl,2,0),"کد ناشناخته")))))</f>
        <v/>
      </c>
      <c r="I1354" s="12" t="n"/>
      <c r="J1354" s="12" t="n"/>
      <c r="K1354" s="13" t="n"/>
      <c r="L1354" s="13" t="n"/>
      <c r="M1354" s="13" t="n"/>
      <c r="N1354" s="14">
        <f>IF(OR($C1354="",$E1354="",Calc!$H1354=""),"",IFERROR(VLOOKUP(LEFT(UPPER(TRIM($E1354)),6),BankTbl,3,0),0)+SUMIFS(CalcDep,CalcBank,LEFT(UPPER(TRIM($E1354)),6),CalcKey,"&lt;="&amp;Calc!$H1354)-SUMIFS(CalcWit,CalcBank,LEFT(UPPER(TRIM($E1354)),6),CalcKey,"&lt;="&amp;Calc!$H1354))</f>
        <v/>
      </c>
      <c r="O1354" s="10">
        <f>IF(OR($C1354="",$M1354=""),"",IF($N1354="","؟",IF(ROUND($M1354-$N1354,0)=0,"√","×")))</f>
        <v/>
      </c>
      <c r="P1354" s="12" t="n"/>
    </row>
    <row r="1355">
      <c r="A1355" s="10">
        <f>IF($C1355="","",COUNTA($C$9:$C1355))</f>
        <v/>
      </c>
      <c r="B1355" s="10">
        <f>IF($C1355="","","TXN-"&amp;RIGHT("0000"&amp;1347,4))</f>
        <v/>
      </c>
      <c r="C1355" s="11" t="n"/>
      <c r="D1355" s="11" t="n"/>
      <c r="E1355" s="12" t="n"/>
      <c r="F1355" s="10">
        <f>IF($E1355="","",IFERROR(IF(VLOOKUP(LEFT(UPPER(TRIM($E1355)),6),BankTbl,2,0)="","(بدون عنوان)",VLOOKUP(LEFT(UPPER(TRIM($E1355)),6),BankTbl,2,0)),"بانک ناشناخته"))</f>
        <v/>
      </c>
      <c r="G1355" s="11" t="n"/>
      <c r="H1355" s="10">
        <f>IF($G1355="","",IFERROR(VLOOKUP($G1355,CustTbl,2,0),IFERROR(VLOOKUP($G1355,SuppTbl,2,0),IFERROR(VLOOKUP($G1355,AcctTbl,2,0),IFERROR(VLOOKUP($G1355,StaffTbl,2,0),"کد ناشناخته")))))</f>
        <v/>
      </c>
      <c r="I1355" s="12" t="n"/>
      <c r="J1355" s="12" t="n"/>
      <c r="K1355" s="13" t="n"/>
      <c r="L1355" s="13" t="n"/>
      <c r="M1355" s="13" t="n"/>
      <c r="N1355" s="14">
        <f>IF(OR($C1355="",$E1355="",Calc!$H1355=""),"",IFERROR(VLOOKUP(LEFT(UPPER(TRIM($E1355)),6),BankTbl,3,0),0)+SUMIFS(CalcDep,CalcBank,LEFT(UPPER(TRIM($E1355)),6),CalcKey,"&lt;="&amp;Calc!$H1355)-SUMIFS(CalcWit,CalcBank,LEFT(UPPER(TRIM($E1355)),6),CalcKey,"&lt;="&amp;Calc!$H1355))</f>
        <v/>
      </c>
      <c r="O1355" s="10">
        <f>IF(OR($C1355="",$M1355=""),"",IF($N1355="","؟",IF(ROUND($M1355-$N1355,0)=0,"√","×")))</f>
        <v/>
      </c>
      <c r="P1355" s="12" t="n"/>
    </row>
    <row r="1356">
      <c r="A1356" s="10">
        <f>IF($C1356="","",COUNTA($C$9:$C1356))</f>
        <v/>
      </c>
      <c r="B1356" s="10">
        <f>IF($C1356="","","TXN-"&amp;RIGHT("0000"&amp;1348,4))</f>
        <v/>
      </c>
      <c r="C1356" s="11" t="n"/>
      <c r="D1356" s="11" t="n"/>
      <c r="E1356" s="12" t="n"/>
      <c r="F1356" s="10">
        <f>IF($E1356="","",IFERROR(IF(VLOOKUP(LEFT(UPPER(TRIM($E1356)),6),BankTbl,2,0)="","(بدون عنوان)",VLOOKUP(LEFT(UPPER(TRIM($E1356)),6),BankTbl,2,0)),"بانک ناشناخته"))</f>
        <v/>
      </c>
      <c r="G1356" s="11" t="n"/>
      <c r="H1356" s="10">
        <f>IF($G1356="","",IFERROR(VLOOKUP($G1356,CustTbl,2,0),IFERROR(VLOOKUP($G1356,SuppTbl,2,0),IFERROR(VLOOKUP($G1356,AcctTbl,2,0),IFERROR(VLOOKUP($G1356,StaffTbl,2,0),"کد ناشناخته")))))</f>
        <v/>
      </c>
      <c r="I1356" s="12" t="n"/>
      <c r="J1356" s="12" t="n"/>
      <c r="K1356" s="13" t="n"/>
      <c r="L1356" s="13" t="n"/>
      <c r="M1356" s="13" t="n"/>
      <c r="N1356" s="14">
        <f>IF(OR($C1356="",$E1356="",Calc!$H1356=""),"",IFERROR(VLOOKUP(LEFT(UPPER(TRIM($E1356)),6),BankTbl,3,0),0)+SUMIFS(CalcDep,CalcBank,LEFT(UPPER(TRIM($E1356)),6),CalcKey,"&lt;="&amp;Calc!$H1356)-SUMIFS(CalcWit,CalcBank,LEFT(UPPER(TRIM($E1356)),6),CalcKey,"&lt;="&amp;Calc!$H1356))</f>
        <v/>
      </c>
      <c r="O1356" s="10">
        <f>IF(OR($C1356="",$M1356=""),"",IF($N1356="","؟",IF(ROUND($M1356-$N1356,0)=0,"√","×")))</f>
        <v/>
      </c>
      <c r="P1356" s="12" t="n"/>
    </row>
    <row r="1357">
      <c r="A1357" s="10">
        <f>IF($C1357="","",COUNTA($C$9:$C1357))</f>
        <v/>
      </c>
      <c r="B1357" s="10">
        <f>IF($C1357="","","TXN-"&amp;RIGHT("0000"&amp;1349,4))</f>
        <v/>
      </c>
      <c r="C1357" s="11" t="n"/>
      <c r="D1357" s="11" t="n"/>
      <c r="E1357" s="12" t="n"/>
      <c r="F1357" s="10">
        <f>IF($E1357="","",IFERROR(IF(VLOOKUP(LEFT(UPPER(TRIM($E1357)),6),BankTbl,2,0)="","(بدون عنوان)",VLOOKUP(LEFT(UPPER(TRIM($E1357)),6),BankTbl,2,0)),"بانک ناشناخته"))</f>
        <v/>
      </c>
      <c r="G1357" s="11" t="n"/>
      <c r="H1357" s="10">
        <f>IF($G1357="","",IFERROR(VLOOKUP($G1357,CustTbl,2,0),IFERROR(VLOOKUP($G1357,SuppTbl,2,0),IFERROR(VLOOKUP($G1357,AcctTbl,2,0),IFERROR(VLOOKUP($G1357,StaffTbl,2,0),"کد ناشناخته")))))</f>
        <v/>
      </c>
      <c r="I1357" s="12" t="n"/>
      <c r="J1357" s="12" t="n"/>
      <c r="K1357" s="13" t="n"/>
      <c r="L1357" s="13" t="n"/>
      <c r="M1357" s="13" t="n"/>
      <c r="N1357" s="14">
        <f>IF(OR($C1357="",$E1357="",Calc!$H1357=""),"",IFERROR(VLOOKUP(LEFT(UPPER(TRIM($E1357)),6),BankTbl,3,0),0)+SUMIFS(CalcDep,CalcBank,LEFT(UPPER(TRIM($E1357)),6),CalcKey,"&lt;="&amp;Calc!$H1357)-SUMIFS(CalcWit,CalcBank,LEFT(UPPER(TRIM($E1357)),6),CalcKey,"&lt;="&amp;Calc!$H1357))</f>
        <v/>
      </c>
      <c r="O1357" s="10">
        <f>IF(OR($C1357="",$M1357=""),"",IF($N1357="","؟",IF(ROUND($M1357-$N1357,0)=0,"√","×")))</f>
        <v/>
      </c>
      <c r="P1357" s="12" t="n"/>
    </row>
    <row r="1358">
      <c r="A1358" s="10">
        <f>IF($C1358="","",COUNTA($C$9:$C1358))</f>
        <v/>
      </c>
      <c r="B1358" s="10">
        <f>IF($C1358="","","TXN-"&amp;RIGHT("0000"&amp;1350,4))</f>
        <v/>
      </c>
      <c r="C1358" s="11" t="n"/>
      <c r="D1358" s="11" t="n"/>
      <c r="E1358" s="12" t="n"/>
      <c r="F1358" s="10">
        <f>IF($E1358="","",IFERROR(IF(VLOOKUP(LEFT(UPPER(TRIM($E1358)),6),BankTbl,2,0)="","(بدون عنوان)",VLOOKUP(LEFT(UPPER(TRIM($E1358)),6),BankTbl,2,0)),"بانک ناشناخته"))</f>
        <v/>
      </c>
      <c r="G1358" s="11" t="n"/>
      <c r="H1358" s="10">
        <f>IF($G1358="","",IFERROR(VLOOKUP($G1358,CustTbl,2,0),IFERROR(VLOOKUP($G1358,SuppTbl,2,0),IFERROR(VLOOKUP($G1358,AcctTbl,2,0),IFERROR(VLOOKUP($G1358,StaffTbl,2,0),"کد ناشناخته")))))</f>
        <v/>
      </c>
      <c r="I1358" s="12" t="n"/>
      <c r="J1358" s="12" t="n"/>
      <c r="K1358" s="13" t="n"/>
      <c r="L1358" s="13" t="n"/>
      <c r="M1358" s="13" t="n"/>
      <c r="N1358" s="14">
        <f>IF(OR($C1358="",$E1358="",Calc!$H1358=""),"",IFERROR(VLOOKUP(LEFT(UPPER(TRIM($E1358)),6),BankTbl,3,0),0)+SUMIFS(CalcDep,CalcBank,LEFT(UPPER(TRIM($E1358)),6),CalcKey,"&lt;="&amp;Calc!$H1358)-SUMIFS(CalcWit,CalcBank,LEFT(UPPER(TRIM($E1358)),6),CalcKey,"&lt;="&amp;Calc!$H1358))</f>
        <v/>
      </c>
      <c r="O1358" s="10">
        <f>IF(OR($C1358="",$M1358=""),"",IF($N1358="","؟",IF(ROUND($M1358-$N1358,0)=0,"√","×")))</f>
        <v/>
      </c>
      <c r="P1358" s="12" t="n"/>
    </row>
    <row r="1359">
      <c r="A1359" s="10">
        <f>IF($C1359="","",COUNTA($C$9:$C1359))</f>
        <v/>
      </c>
      <c r="B1359" s="10">
        <f>IF($C1359="","","TXN-"&amp;RIGHT("0000"&amp;1351,4))</f>
        <v/>
      </c>
      <c r="C1359" s="11" t="n"/>
      <c r="D1359" s="11" t="n"/>
      <c r="E1359" s="12" t="n"/>
      <c r="F1359" s="10">
        <f>IF($E1359="","",IFERROR(IF(VLOOKUP(LEFT(UPPER(TRIM($E1359)),6),BankTbl,2,0)="","(بدون عنوان)",VLOOKUP(LEFT(UPPER(TRIM($E1359)),6),BankTbl,2,0)),"بانک ناشناخته"))</f>
        <v/>
      </c>
      <c r="G1359" s="11" t="n"/>
      <c r="H1359" s="10">
        <f>IF($G1359="","",IFERROR(VLOOKUP($G1359,CustTbl,2,0),IFERROR(VLOOKUP($G1359,SuppTbl,2,0),IFERROR(VLOOKUP($G1359,AcctTbl,2,0),IFERROR(VLOOKUP($G1359,StaffTbl,2,0),"کد ناشناخته")))))</f>
        <v/>
      </c>
      <c r="I1359" s="12" t="n"/>
      <c r="J1359" s="12" t="n"/>
      <c r="K1359" s="13" t="n"/>
      <c r="L1359" s="13" t="n"/>
      <c r="M1359" s="13" t="n"/>
      <c r="N1359" s="14">
        <f>IF(OR($C1359="",$E1359="",Calc!$H1359=""),"",IFERROR(VLOOKUP(LEFT(UPPER(TRIM($E1359)),6),BankTbl,3,0),0)+SUMIFS(CalcDep,CalcBank,LEFT(UPPER(TRIM($E1359)),6),CalcKey,"&lt;="&amp;Calc!$H1359)-SUMIFS(CalcWit,CalcBank,LEFT(UPPER(TRIM($E1359)),6),CalcKey,"&lt;="&amp;Calc!$H1359))</f>
        <v/>
      </c>
      <c r="O1359" s="10">
        <f>IF(OR($C1359="",$M1359=""),"",IF($N1359="","؟",IF(ROUND($M1359-$N1359,0)=0,"√","×")))</f>
        <v/>
      </c>
      <c r="P1359" s="12" t="n"/>
    </row>
    <row r="1360">
      <c r="A1360" s="10">
        <f>IF($C1360="","",COUNTA($C$9:$C1360))</f>
        <v/>
      </c>
      <c r="B1360" s="10">
        <f>IF($C1360="","","TXN-"&amp;RIGHT("0000"&amp;1352,4))</f>
        <v/>
      </c>
      <c r="C1360" s="11" t="n"/>
      <c r="D1360" s="11" t="n"/>
      <c r="E1360" s="12" t="n"/>
      <c r="F1360" s="10">
        <f>IF($E1360="","",IFERROR(IF(VLOOKUP(LEFT(UPPER(TRIM($E1360)),6),BankTbl,2,0)="","(بدون عنوان)",VLOOKUP(LEFT(UPPER(TRIM($E1360)),6),BankTbl,2,0)),"بانک ناشناخته"))</f>
        <v/>
      </c>
      <c r="G1360" s="11" t="n"/>
      <c r="H1360" s="10">
        <f>IF($G1360="","",IFERROR(VLOOKUP($G1360,CustTbl,2,0),IFERROR(VLOOKUP($G1360,SuppTbl,2,0),IFERROR(VLOOKUP($G1360,AcctTbl,2,0),IFERROR(VLOOKUP($G1360,StaffTbl,2,0),"کد ناشناخته")))))</f>
        <v/>
      </c>
      <c r="I1360" s="12" t="n"/>
      <c r="J1360" s="12" t="n"/>
      <c r="K1360" s="13" t="n"/>
      <c r="L1360" s="13" t="n"/>
      <c r="M1360" s="13" t="n"/>
      <c r="N1360" s="14">
        <f>IF(OR($C1360="",$E1360="",Calc!$H1360=""),"",IFERROR(VLOOKUP(LEFT(UPPER(TRIM($E1360)),6),BankTbl,3,0),0)+SUMIFS(CalcDep,CalcBank,LEFT(UPPER(TRIM($E1360)),6),CalcKey,"&lt;="&amp;Calc!$H1360)-SUMIFS(CalcWit,CalcBank,LEFT(UPPER(TRIM($E1360)),6),CalcKey,"&lt;="&amp;Calc!$H1360))</f>
        <v/>
      </c>
      <c r="O1360" s="10">
        <f>IF(OR($C1360="",$M1360=""),"",IF($N1360="","؟",IF(ROUND($M1360-$N1360,0)=0,"√","×")))</f>
        <v/>
      </c>
      <c r="P1360" s="12" t="n"/>
    </row>
    <row r="1361">
      <c r="A1361" s="10">
        <f>IF($C1361="","",COUNTA($C$9:$C1361))</f>
        <v/>
      </c>
      <c r="B1361" s="10">
        <f>IF($C1361="","","TXN-"&amp;RIGHT("0000"&amp;1353,4))</f>
        <v/>
      </c>
      <c r="C1361" s="11" t="n"/>
      <c r="D1361" s="11" t="n"/>
      <c r="E1361" s="12" t="n"/>
      <c r="F1361" s="10">
        <f>IF($E1361="","",IFERROR(IF(VLOOKUP(LEFT(UPPER(TRIM($E1361)),6),BankTbl,2,0)="","(بدون عنوان)",VLOOKUP(LEFT(UPPER(TRIM($E1361)),6),BankTbl,2,0)),"بانک ناشناخته"))</f>
        <v/>
      </c>
      <c r="G1361" s="11" t="n"/>
      <c r="H1361" s="10">
        <f>IF($G1361="","",IFERROR(VLOOKUP($G1361,CustTbl,2,0),IFERROR(VLOOKUP($G1361,SuppTbl,2,0),IFERROR(VLOOKUP($G1361,AcctTbl,2,0),IFERROR(VLOOKUP($G1361,StaffTbl,2,0),"کد ناشناخته")))))</f>
        <v/>
      </c>
      <c r="I1361" s="12" t="n"/>
      <c r="J1361" s="12" t="n"/>
      <c r="K1361" s="13" t="n"/>
      <c r="L1361" s="13" t="n"/>
      <c r="M1361" s="13" t="n"/>
      <c r="N1361" s="14">
        <f>IF(OR($C1361="",$E1361="",Calc!$H1361=""),"",IFERROR(VLOOKUP(LEFT(UPPER(TRIM($E1361)),6),BankTbl,3,0),0)+SUMIFS(CalcDep,CalcBank,LEFT(UPPER(TRIM($E1361)),6),CalcKey,"&lt;="&amp;Calc!$H1361)-SUMIFS(CalcWit,CalcBank,LEFT(UPPER(TRIM($E1361)),6),CalcKey,"&lt;="&amp;Calc!$H1361))</f>
        <v/>
      </c>
      <c r="O1361" s="10">
        <f>IF(OR($C1361="",$M1361=""),"",IF($N1361="","؟",IF(ROUND($M1361-$N1361,0)=0,"√","×")))</f>
        <v/>
      </c>
      <c r="P1361" s="12" t="n"/>
    </row>
    <row r="1362">
      <c r="A1362" s="10">
        <f>IF($C1362="","",COUNTA($C$9:$C1362))</f>
        <v/>
      </c>
      <c r="B1362" s="10">
        <f>IF($C1362="","","TXN-"&amp;RIGHT("0000"&amp;1354,4))</f>
        <v/>
      </c>
      <c r="C1362" s="11" t="n"/>
      <c r="D1362" s="11" t="n"/>
      <c r="E1362" s="12" t="n"/>
      <c r="F1362" s="10">
        <f>IF($E1362="","",IFERROR(IF(VLOOKUP(LEFT(UPPER(TRIM($E1362)),6),BankTbl,2,0)="","(بدون عنوان)",VLOOKUP(LEFT(UPPER(TRIM($E1362)),6),BankTbl,2,0)),"بانک ناشناخته"))</f>
        <v/>
      </c>
      <c r="G1362" s="11" t="n"/>
      <c r="H1362" s="10">
        <f>IF($G1362="","",IFERROR(VLOOKUP($G1362,CustTbl,2,0),IFERROR(VLOOKUP($G1362,SuppTbl,2,0),IFERROR(VLOOKUP($G1362,AcctTbl,2,0),IFERROR(VLOOKUP($G1362,StaffTbl,2,0),"کد ناشناخته")))))</f>
        <v/>
      </c>
      <c r="I1362" s="12" t="n"/>
      <c r="J1362" s="12" t="n"/>
      <c r="K1362" s="13" t="n"/>
      <c r="L1362" s="13" t="n"/>
      <c r="M1362" s="13" t="n"/>
      <c r="N1362" s="14">
        <f>IF(OR($C1362="",$E1362="",Calc!$H1362=""),"",IFERROR(VLOOKUP(LEFT(UPPER(TRIM($E1362)),6),BankTbl,3,0),0)+SUMIFS(CalcDep,CalcBank,LEFT(UPPER(TRIM($E1362)),6),CalcKey,"&lt;="&amp;Calc!$H1362)-SUMIFS(CalcWit,CalcBank,LEFT(UPPER(TRIM($E1362)),6),CalcKey,"&lt;="&amp;Calc!$H1362))</f>
        <v/>
      </c>
      <c r="O1362" s="10">
        <f>IF(OR($C1362="",$M1362=""),"",IF($N1362="","؟",IF(ROUND($M1362-$N1362,0)=0,"√","×")))</f>
        <v/>
      </c>
      <c r="P1362" s="12" t="n"/>
    </row>
    <row r="1363">
      <c r="A1363" s="10">
        <f>IF($C1363="","",COUNTA($C$9:$C1363))</f>
        <v/>
      </c>
      <c r="B1363" s="10">
        <f>IF($C1363="","","TXN-"&amp;RIGHT("0000"&amp;1355,4))</f>
        <v/>
      </c>
      <c r="C1363" s="11" t="n"/>
      <c r="D1363" s="11" t="n"/>
      <c r="E1363" s="12" t="n"/>
      <c r="F1363" s="10">
        <f>IF($E1363="","",IFERROR(IF(VLOOKUP(LEFT(UPPER(TRIM($E1363)),6),BankTbl,2,0)="","(بدون عنوان)",VLOOKUP(LEFT(UPPER(TRIM($E1363)),6),BankTbl,2,0)),"بانک ناشناخته"))</f>
        <v/>
      </c>
      <c r="G1363" s="11" t="n"/>
      <c r="H1363" s="10">
        <f>IF($G1363="","",IFERROR(VLOOKUP($G1363,CustTbl,2,0),IFERROR(VLOOKUP($G1363,SuppTbl,2,0),IFERROR(VLOOKUP($G1363,AcctTbl,2,0),IFERROR(VLOOKUP($G1363,StaffTbl,2,0),"کد ناشناخته")))))</f>
        <v/>
      </c>
      <c r="I1363" s="12" t="n"/>
      <c r="J1363" s="12" t="n"/>
      <c r="K1363" s="13" t="n"/>
      <c r="L1363" s="13" t="n"/>
      <c r="M1363" s="13" t="n"/>
      <c r="N1363" s="14">
        <f>IF(OR($C1363="",$E1363="",Calc!$H1363=""),"",IFERROR(VLOOKUP(LEFT(UPPER(TRIM($E1363)),6),BankTbl,3,0),0)+SUMIFS(CalcDep,CalcBank,LEFT(UPPER(TRIM($E1363)),6),CalcKey,"&lt;="&amp;Calc!$H1363)-SUMIFS(CalcWit,CalcBank,LEFT(UPPER(TRIM($E1363)),6),CalcKey,"&lt;="&amp;Calc!$H1363))</f>
        <v/>
      </c>
      <c r="O1363" s="10">
        <f>IF(OR($C1363="",$M1363=""),"",IF($N1363="","؟",IF(ROUND($M1363-$N1363,0)=0,"√","×")))</f>
        <v/>
      </c>
      <c r="P1363" s="12" t="n"/>
    </row>
    <row r="1364">
      <c r="A1364" s="10">
        <f>IF($C1364="","",COUNTA($C$9:$C1364))</f>
        <v/>
      </c>
      <c r="B1364" s="10">
        <f>IF($C1364="","","TXN-"&amp;RIGHT("0000"&amp;1356,4))</f>
        <v/>
      </c>
      <c r="C1364" s="11" t="n"/>
      <c r="D1364" s="11" t="n"/>
      <c r="E1364" s="12" t="n"/>
      <c r="F1364" s="10">
        <f>IF($E1364="","",IFERROR(IF(VLOOKUP(LEFT(UPPER(TRIM($E1364)),6),BankTbl,2,0)="","(بدون عنوان)",VLOOKUP(LEFT(UPPER(TRIM($E1364)),6),BankTbl,2,0)),"بانک ناشناخته"))</f>
        <v/>
      </c>
      <c r="G1364" s="11" t="n"/>
      <c r="H1364" s="10">
        <f>IF($G1364="","",IFERROR(VLOOKUP($G1364,CustTbl,2,0),IFERROR(VLOOKUP($G1364,SuppTbl,2,0),IFERROR(VLOOKUP($G1364,AcctTbl,2,0),IFERROR(VLOOKUP($G1364,StaffTbl,2,0),"کد ناشناخته")))))</f>
        <v/>
      </c>
      <c r="I1364" s="12" t="n"/>
      <c r="J1364" s="12" t="n"/>
      <c r="K1364" s="13" t="n"/>
      <c r="L1364" s="13" t="n"/>
      <c r="M1364" s="13" t="n"/>
      <c r="N1364" s="14">
        <f>IF(OR($C1364="",$E1364="",Calc!$H1364=""),"",IFERROR(VLOOKUP(LEFT(UPPER(TRIM($E1364)),6),BankTbl,3,0),0)+SUMIFS(CalcDep,CalcBank,LEFT(UPPER(TRIM($E1364)),6),CalcKey,"&lt;="&amp;Calc!$H1364)-SUMIFS(CalcWit,CalcBank,LEFT(UPPER(TRIM($E1364)),6),CalcKey,"&lt;="&amp;Calc!$H1364))</f>
        <v/>
      </c>
      <c r="O1364" s="10">
        <f>IF(OR($C1364="",$M1364=""),"",IF($N1364="","؟",IF(ROUND($M1364-$N1364,0)=0,"√","×")))</f>
        <v/>
      </c>
      <c r="P1364" s="12" t="n"/>
    </row>
    <row r="1365">
      <c r="A1365" s="10">
        <f>IF($C1365="","",COUNTA($C$9:$C1365))</f>
        <v/>
      </c>
      <c r="B1365" s="10">
        <f>IF($C1365="","","TXN-"&amp;RIGHT("0000"&amp;1357,4))</f>
        <v/>
      </c>
      <c r="C1365" s="11" t="n"/>
      <c r="D1365" s="11" t="n"/>
      <c r="E1365" s="12" t="n"/>
      <c r="F1365" s="10">
        <f>IF($E1365="","",IFERROR(IF(VLOOKUP(LEFT(UPPER(TRIM($E1365)),6),BankTbl,2,0)="","(بدون عنوان)",VLOOKUP(LEFT(UPPER(TRIM($E1365)),6),BankTbl,2,0)),"بانک ناشناخته"))</f>
        <v/>
      </c>
      <c r="G1365" s="11" t="n"/>
      <c r="H1365" s="10">
        <f>IF($G1365="","",IFERROR(VLOOKUP($G1365,CustTbl,2,0),IFERROR(VLOOKUP($G1365,SuppTbl,2,0),IFERROR(VLOOKUP($G1365,AcctTbl,2,0),IFERROR(VLOOKUP($G1365,StaffTbl,2,0),"کد ناشناخته")))))</f>
        <v/>
      </c>
      <c r="I1365" s="12" t="n"/>
      <c r="J1365" s="12" t="n"/>
      <c r="K1365" s="13" t="n"/>
      <c r="L1365" s="13" t="n"/>
      <c r="M1365" s="13" t="n"/>
      <c r="N1365" s="14">
        <f>IF(OR($C1365="",$E1365="",Calc!$H1365=""),"",IFERROR(VLOOKUP(LEFT(UPPER(TRIM($E1365)),6),BankTbl,3,0),0)+SUMIFS(CalcDep,CalcBank,LEFT(UPPER(TRIM($E1365)),6),CalcKey,"&lt;="&amp;Calc!$H1365)-SUMIFS(CalcWit,CalcBank,LEFT(UPPER(TRIM($E1365)),6),CalcKey,"&lt;="&amp;Calc!$H1365))</f>
        <v/>
      </c>
      <c r="O1365" s="10">
        <f>IF(OR($C1365="",$M1365=""),"",IF($N1365="","؟",IF(ROUND($M1365-$N1365,0)=0,"√","×")))</f>
        <v/>
      </c>
      <c r="P1365" s="12" t="n"/>
    </row>
    <row r="1366">
      <c r="A1366" s="10">
        <f>IF($C1366="","",COUNTA($C$9:$C1366))</f>
        <v/>
      </c>
      <c r="B1366" s="10">
        <f>IF($C1366="","","TXN-"&amp;RIGHT("0000"&amp;1358,4))</f>
        <v/>
      </c>
      <c r="C1366" s="11" t="n"/>
      <c r="D1366" s="11" t="n"/>
      <c r="E1366" s="12" t="n"/>
      <c r="F1366" s="10">
        <f>IF($E1366="","",IFERROR(IF(VLOOKUP(LEFT(UPPER(TRIM($E1366)),6),BankTbl,2,0)="","(بدون عنوان)",VLOOKUP(LEFT(UPPER(TRIM($E1366)),6),BankTbl,2,0)),"بانک ناشناخته"))</f>
        <v/>
      </c>
      <c r="G1366" s="11" t="n"/>
      <c r="H1366" s="10">
        <f>IF($G1366="","",IFERROR(VLOOKUP($G1366,CustTbl,2,0),IFERROR(VLOOKUP($G1366,SuppTbl,2,0),IFERROR(VLOOKUP($G1366,AcctTbl,2,0),IFERROR(VLOOKUP($G1366,StaffTbl,2,0),"کد ناشناخته")))))</f>
        <v/>
      </c>
      <c r="I1366" s="12" t="n"/>
      <c r="J1366" s="12" t="n"/>
      <c r="K1366" s="13" t="n"/>
      <c r="L1366" s="13" t="n"/>
      <c r="M1366" s="13" t="n"/>
      <c r="N1366" s="14">
        <f>IF(OR($C1366="",$E1366="",Calc!$H1366=""),"",IFERROR(VLOOKUP(LEFT(UPPER(TRIM($E1366)),6),BankTbl,3,0),0)+SUMIFS(CalcDep,CalcBank,LEFT(UPPER(TRIM($E1366)),6),CalcKey,"&lt;="&amp;Calc!$H1366)-SUMIFS(CalcWit,CalcBank,LEFT(UPPER(TRIM($E1366)),6),CalcKey,"&lt;="&amp;Calc!$H1366))</f>
        <v/>
      </c>
      <c r="O1366" s="10">
        <f>IF(OR($C1366="",$M1366=""),"",IF($N1366="","؟",IF(ROUND($M1366-$N1366,0)=0,"√","×")))</f>
        <v/>
      </c>
      <c r="P1366" s="12" t="n"/>
    </row>
    <row r="1367">
      <c r="A1367" s="10">
        <f>IF($C1367="","",COUNTA($C$9:$C1367))</f>
        <v/>
      </c>
      <c r="B1367" s="10">
        <f>IF($C1367="","","TXN-"&amp;RIGHT("0000"&amp;1359,4))</f>
        <v/>
      </c>
      <c r="C1367" s="11" t="n"/>
      <c r="D1367" s="11" t="n"/>
      <c r="E1367" s="12" t="n"/>
      <c r="F1367" s="10">
        <f>IF($E1367="","",IFERROR(IF(VLOOKUP(LEFT(UPPER(TRIM($E1367)),6),BankTbl,2,0)="","(بدون عنوان)",VLOOKUP(LEFT(UPPER(TRIM($E1367)),6),BankTbl,2,0)),"بانک ناشناخته"))</f>
        <v/>
      </c>
      <c r="G1367" s="11" t="n"/>
      <c r="H1367" s="10">
        <f>IF($G1367="","",IFERROR(VLOOKUP($G1367,CustTbl,2,0),IFERROR(VLOOKUP($G1367,SuppTbl,2,0),IFERROR(VLOOKUP($G1367,AcctTbl,2,0),IFERROR(VLOOKUP($G1367,StaffTbl,2,0),"کد ناشناخته")))))</f>
        <v/>
      </c>
      <c r="I1367" s="12" t="n"/>
      <c r="J1367" s="12" t="n"/>
      <c r="K1367" s="13" t="n"/>
      <c r="L1367" s="13" t="n"/>
      <c r="M1367" s="13" t="n"/>
      <c r="N1367" s="14">
        <f>IF(OR($C1367="",$E1367="",Calc!$H1367=""),"",IFERROR(VLOOKUP(LEFT(UPPER(TRIM($E1367)),6),BankTbl,3,0),0)+SUMIFS(CalcDep,CalcBank,LEFT(UPPER(TRIM($E1367)),6),CalcKey,"&lt;="&amp;Calc!$H1367)-SUMIFS(CalcWit,CalcBank,LEFT(UPPER(TRIM($E1367)),6),CalcKey,"&lt;="&amp;Calc!$H1367))</f>
        <v/>
      </c>
      <c r="O1367" s="10">
        <f>IF(OR($C1367="",$M1367=""),"",IF($N1367="","؟",IF(ROUND($M1367-$N1367,0)=0,"√","×")))</f>
        <v/>
      </c>
      <c r="P1367" s="12" t="n"/>
    </row>
    <row r="1368">
      <c r="A1368" s="10">
        <f>IF($C1368="","",COUNTA($C$9:$C1368))</f>
        <v/>
      </c>
      <c r="B1368" s="10">
        <f>IF($C1368="","","TXN-"&amp;RIGHT("0000"&amp;1360,4))</f>
        <v/>
      </c>
      <c r="C1368" s="11" t="n"/>
      <c r="D1368" s="11" t="n"/>
      <c r="E1368" s="12" t="n"/>
      <c r="F1368" s="10">
        <f>IF($E1368="","",IFERROR(IF(VLOOKUP(LEFT(UPPER(TRIM($E1368)),6),BankTbl,2,0)="","(بدون عنوان)",VLOOKUP(LEFT(UPPER(TRIM($E1368)),6),BankTbl,2,0)),"بانک ناشناخته"))</f>
        <v/>
      </c>
      <c r="G1368" s="11" t="n"/>
      <c r="H1368" s="10">
        <f>IF($G1368="","",IFERROR(VLOOKUP($G1368,CustTbl,2,0),IFERROR(VLOOKUP($G1368,SuppTbl,2,0),IFERROR(VLOOKUP($G1368,AcctTbl,2,0),IFERROR(VLOOKUP($G1368,StaffTbl,2,0),"کد ناشناخته")))))</f>
        <v/>
      </c>
      <c r="I1368" s="12" t="n"/>
      <c r="J1368" s="12" t="n"/>
      <c r="K1368" s="13" t="n"/>
      <c r="L1368" s="13" t="n"/>
      <c r="M1368" s="13" t="n"/>
      <c r="N1368" s="14">
        <f>IF(OR($C1368="",$E1368="",Calc!$H1368=""),"",IFERROR(VLOOKUP(LEFT(UPPER(TRIM($E1368)),6),BankTbl,3,0),0)+SUMIFS(CalcDep,CalcBank,LEFT(UPPER(TRIM($E1368)),6),CalcKey,"&lt;="&amp;Calc!$H1368)-SUMIFS(CalcWit,CalcBank,LEFT(UPPER(TRIM($E1368)),6),CalcKey,"&lt;="&amp;Calc!$H1368))</f>
        <v/>
      </c>
      <c r="O1368" s="10">
        <f>IF(OR($C1368="",$M1368=""),"",IF($N1368="","؟",IF(ROUND($M1368-$N1368,0)=0,"√","×")))</f>
        <v/>
      </c>
      <c r="P1368" s="12" t="n"/>
    </row>
    <row r="1369">
      <c r="A1369" s="10">
        <f>IF($C1369="","",COUNTA($C$9:$C1369))</f>
        <v/>
      </c>
      <c r="B1369" s="10">
        <f>IF($C1369="","","TXN-"&amp;RIGHT("0000"&amp;1361,4))</f>
        <v/>
      </c>
      <c r="C1369" s="11" t="n"/>
      <c r="D1369" s="11" t="n"/>
      <c r="E1369" s="12" t="n"/>
      <c r="F1369" s="10">
        <f>IF($E1369="","",IFERROR(IF(VLOOKUP(LEFT(UPPER(TRIM($E1369)),6),BankTbl,2,0)="","(بدون عنوان)",VLOOKUP(LEFT(UPPER(TRIM($E1369)),6),BankTbl,2,0)),"بانک ناشناخته"))</f>
        <v/>
      </c>
      <c r="G1369" s="11" t="n"/>
      <c r="H1369" s="10">
        <f>IF($G1369="","",IFERROR(VLOOKUP($G1369,CustTbl,2,0),IFERROR(VLOOKUP($G1369,SuppTbl,2,0),IFERROR(VLOOKUP($G1369,AcctTbl,2,0),IFERROR(VLOOKUP($G1369,StaffTbl,2,0),"کد ناشناخته")))))</f>
        <v/>
      </c>
      <c r="I1369" s="12" t="n"/>
      <c r="J1369" s="12" t="n"/>
      <c r="K1369" s="13" t="n"/>
      <c r="L1369" s="13" t="n"/>
      <c r="M1369" s="13" t="n"/>
      <c r="N1369" s="14">
        <f>IF(OR($C1369="",$E1369="",Calc!$H1369=""),"",IFERROR(VLOOKUP(LEFT(UPPER(TRIM($E1369)),6),BankTbl,3,0),0)+SUMIFS(CalcDep,CalcBank,LEFT(UPPER(TRIM($E1369)),6),CalcKey,"&lt;="&amp;Calc!$H1369)-SUMIFS(CalcWit,CalcBank,LEFT(UPPER(TRIM($E1369)),6),CalcKey,"&lt;="&amp;Calc!$H1369))</f>
        <v/>
      </c>
      <c r="O1369" s="10">
        <f>IF(OR($C1369="",$M1369=""),"",IF($N1369="","؟",IF(ROUND($M1369-$N1369,0)=0,"√","×")))</f>
        <v/>
      </c>
      <c r="P1369" s="12" t="n"/>
    </row>
    <row r="1370">
      <c r="A1370" s="10">
        <f>IF($C1370="","",COUNTA($C$9:$C1370))</f>
        <v/>
      </c>
      <c r="B1370" s="10">
        <f>IF($C1370="","","TXN-"&amp;RIGHT("0000"&amp;1362,4))</f>
        <v/>
      </c>
      <c r="C1370" s="11" t="n"/>
      <c r="D1370" s="11" t="n"/>
      <c r="E1370" s="12" t="n"/>
      <c r="F1370" s="10">
        <f>IF($E1370="","",IFERROR(IF(VLOOKUP(LEFT(UPPER(TRIM($E1370)),6),BankTbl,2,0)="","(بدون عنوان)",VLOOKUP(LEFT(UPPER(TRIM($E1370)),6),BankTbl,2,0)),"بانک ناشناخته"))</f>
        <v/>
      </c>
      <c r="G1370" s="11" t="n"/>
      <c r="H1370" s="10">
        <f>IF($G1370="","",IFERROR(VLOOKUP($G1370,CustTbl,2,0),IFERROR(VLOOKUP($G1370,SuppTbl,2,0),IFERROR(VLOOKUP($G1370,AcctTbl,2,0),IFERROR(VLOOKUP($G1370,StaffTbl,2,0),"کد ناشناخته")))))</f>
        <v/>
      </c>
      <c r="I1370" s="12" t="n"/>
      <c r="J1370" s="12" t="n"/>
      <c r="K1370" s="13" t="n"/>
      <c r="L1370" s="13" t="n"/>
      <c r="M1370" s="13" t="n"/>
      <c r="N1370" s="14">
        <f>IF(OR($C1370="",$E1370="",Calc!$H1370=""),"",IFERROR(VLOOKUP(LEFT(UPPER(TRIM($E1370)),6),BankTbl,3,0),0)+SUMIFS(CalcDep,CalcBank,LEFT(UPPER(TRIM($E1370)),6),CalcKey,"&lt;="&amp;Calc!$H1370)-SUMIFS(CalcWit,CalcBank,LEFT(UPPER(TRIM($E1370)),6),CalcKey,"&lt;="&amp;Calc!$H1370))</f>
        <v/>
      </c>
      <c r="O1370" s="10">
        <f>IF(OR($C1370="",$M1370=""),"",IF($N1370="","؟",IF(ROUND($M1370-$N1370,0)=0,"√","×")))</f>
        <v/>
      </c>
      <c r="P1370" s="12" t="n"/>
    </row>
    <row r="1371">
      <c r="A1371" s="10">
        <f>IF($C1371="","",COUNTA($C$9:$C1371))</f>
        <v/>
      </c>
      <c r="B1371" s="10">
        <f>IF($C1371="","","TXN-"&amp;RIGHT("0000"&amp;1363,4))</f>
        <v/>
      </c>
      <c r="C1371" s="11" t="n"/>
      <c r="D1371" s="11" t="n"/>
      <c r="E1371" s="12" t="n"/>
      <c r="F1371" s="10">
        <f>IF($E1371="","",IFERROR(IF(VLOOKUP(LEFT(UPPER(TRIM($E1371)),6),BankTbl,2,0)="","(بدون عنوان)",VLOOKUP(LEFT(UPPER(TRIM($E1371)),6),BankTbl,2,0)),"بانک ناشناخته"))</f>
        <v/>
      </c>
      <c r="G1371" s="11" t="n"/>
      <c r="H1371" s="10">
        <f>IF($G1371="","",IFERROR(VLOOKUP($G1371,CustTbl,2,0),IFERROR(VLOOKUP($G1371,SuppTbl,2,0),IFERROR(VLOOKUP($G1371,AcctTbl,2,0),IFERROR(VLOOKUP($G1371,StaffTbl,2,0),"کد ناشناخته")))))</f>
        <v/>
      </c>
      <c r="I1371" s="12" t="n"/>
      <c r="J1371" s="12" t="n"/>
      <c r="K1371" s="13" t="n"/>
      <c r="L1371" s="13" t="n"/>
      <c r="M1371" s="13" t="n"/>
      <c r="N1371" s="14">
        <f>IF(OR($C1371="",$E1371="",Calc!$H1371=""),"",IFERROR(VLOOKUP(LEFT(UPPER(TRIM($E1371)),6),BankTbl,3,0),0)+SUMIFS(CalcDep,CalcBank,LEFT(UPPER(TRIM($E1371)),6),CalcKey,"&lt;="&amp;Calc!$H1371)-SUMIFS(CalcWit,CalcBank,LEFT(UPPER(TRIM($E1371)),6),CalcKey,"&lt;="&amp;Calc!$H1371))</f>
        <v/>
      </c>
      <c r="O1371" s="10">
        <f>IF(OR($C1371="",$M1371=""),"",IF($N1371="","؟",IF(ROUND($M1371-$N1371,0)=0,"√","×")))</f>
        <v/>
      </c>
      <c r="P1371" s="12" t="n"/>
    </row>
    <row r="1372">
      <c r="A1372" s="10">
        <f>IF($C1372="","",COUNTA($C$9:$C1372))</f>
        <v/>
      </c>
      <c r="B1372" s="10">
        <f>IF($C1372="","","TXN-"&amp;RIGHT("0000"&amp;1364,4))</f>
        <v/>
      </c>
      <c r="C1372" s="11" t="n"/>
      <c r="D1372" s="11" t="n"/>
      <c r="E1372" s="12" t="n"/>
      <c r="F1372" s="10">
        <f>IF($E1372="","",IFERROR(IF(VLOOKUP(LEFT(UPPER(TRIM($E1372)),6),BankTbl,2,0)="","(بدون عنوان)",VLOOKUP(LEFT(UPPER(TRIM($E1372)),6),BankTbl,2,0)),"بانک ناشناخته"))</f>
        <v/>
      </c>
      <c r="G1372" s="11" t="n"/>
      <c r="H1372" s="10">
        <f>IF($G1372="","",IFERROR(VLOOKUP($G1372,CustTbl,2,0),IFERROR(VLOOKUP($G1372,SuppTbl,2,0),IFERROR(VLOOKUP($G1372,AcctTbl,2,0),IFERROR(VLOOKUP($G1372,StaffTbl,2,0),"کد ناشناخته")))))</f>
        <v/>
      </c>
      <c r="I1372" s="12" t="n"/>
      <c r="J1372" s="12" t="n"/>
      <c r="K1372" s="13" t="n"/>
      <c r="L1372" s="13" t="n"/>
      <c r="M1372" s="13" t="n"/>
      <c r="N1372" s="14">
        <f>IF(OR($C1372="",$E1372="",Calc!$H1372=""),"",IFERROR(VLOOKUP(LEFT(UPPER(TRIM($E1372)),6),BankTbl,3,0),0)+SUMIFS(CalcDep,CalcBank,LEFT(UPPER(TRIM($E1372)),6),CalcKey,"&lt;="&amp;Calc!$H1372)-SUMIFS(CalcWit,CalcBank,LEFT(UPPER(TRIM($E1372)),6),CalcKey,"&lt;="&amp;Calc!$H1372))</f>
        <v/>
      </c>
      <c r="O1372" s="10">
        <f>IF(OR($C1372="",$M1372=""),"",IF($N1372="","؟",IF(ROUND($M1372-$N1372,0)=0,"√","×")))</f>
        <v/>
      </c>
      <c r="P1372" s="12" t="n"/>
    </row>
    <row r="1373">
      <c r="A1373" s="10">
        <f>IF($C1373="","",COUNTA($C$9:$C1373))</f>
        <v/>
      </c>
      <c r="B1373" s="10">
        <f>IF($C1373="","","TXN-"&amp;RIGHT("0000"&amp;1365,4))</f>
        <v/>
      </c>
      <c r="C1373" s="11" t="n"/>
      <c r="D1373" s="11" t="n"/>
      <c r="E1373" s="12" t="n"/>
      <c r="F1373" s="10">
        <f>IF($E1373="","",IFERROR(IF(VLOOKUP(LEFT(UPPER(TRIM($E1373)),6),BankTbl,2,0)="","(بدون عنوان)",VLOOKUP(LEFT(UPPER(TRIM($E1373)),6),BankTbl,2,0)),"بانک ناشناخته"))</f>
        <v/>
      </c>
      <c r="G1373" s="11" t="n"/>
      <c r="H1373" s="10">
        <f>IF($G1373="","",IFERROR(VLOOKUP($G1373,CustTbl,2,0),IFERROR(VLOOKUP($G1373,SuppTbl,2,0),IFERROR(VLOOKUP($G1373,AcctTbl,2,0),IFERROR(VLOOKUP($G1373,StaffTbl,2,0),"کد ناشناخته")))))</f>
        <v/>
      </c>
      <c r="I1373" s="12" t="n"/>
      <c r="J1373" s="12" t="n"/>
      <c r="K1373" s="13" t="n"/>
      <c r="L1373" s="13" t="n"/>
      <c r="M1373" s="13" t="n"/>
      <c r="N1373" s="14">
        <f>IF(OR($C1373="",$E1373="",Calc!$H1373=""),"",IFERROR(VLOOKUP(LEFT(UPPER(TRIM($E1373)),6),BankTbl,3,0),0)+SUMIFS(CalcDep,CalcBank,LEFT(UPPER(TRIM($E1373)),6),CalcKey,"&lt;="&amp;Calc!$H1373)-SUMIFS(CalcWit,CalcBank,LEFT(UPPER(TRIM($E1373)),6),CalcKey,"&lt;="&amp;Calc!$H1373))</f>
        <v/>
      </c>
      <c r="O1373" s="10">
        <f>IF(OR($C1373="",$M1373=""),"",IF($N1373="","؟",IF(ROUND($M1373-$N1373,0)=0,"√","×")))</f>
        <v/>
      </c>
      <c r="P1373" s="12" t="n"/>
    </row>
    <row r="1374">
      <c r="A1374" s="10">
        <f>IF($C1374="","",COUNTA($C$9:$C1374))</f>
        <v/>
      </c>
      <c r="B1374" s="10">
        <f>IF($C1374="","","TXN-"&amp;RIGHT("0000"&amp;1366,4))</f>
        <v/>
      </c>
      <c r="C1374" s="11" t="n"/>
      <c r="D1374" s="11" t="n"/>
      <c r="E1374" s="12" t="n"/>
      <c r="F1374" s="10">
        <f>IF($E1374="","",IFERROR(IF(VLOOKUP(LEFT(UPPER(TRIM($E1374)),6),BankTbl,2,0)="","(بدون عنوان)",VLOOKUP(LEFT(UPPER(TRIM($E1374)),6),BankTbl,2,0)),"بانک ناشناخته"))</f>
        <v/>
      </c>
      <c r="G1374" s="11" t="n"/>
      <c r="H1374" s="10">
        <f>IF($G1374="","",IFERROR(VLOOKUP($G1374,CustTbl,2,0),IFERROR(VLOOKUP($G1374,SuppTbl,2,0),IFERROR(VLOOKUP($G1374,AcctTbl,2,0),IFERROR(VLOOKUP($G1374,StaffTbl,2,0),"کد ناشناخته")))))</f>
        <v/>
      </c>
      <c r="I1374" s="12" t="n"/>
      <c r="J1374" s="12" t="n"/>
      <c r="K1374" s="13" t="n"/>
      <c r="L1374" s="13" t="n"/>
      <c r="M1374" s="13" t="n"/>
      <c r="N1374" s="14">
        <f>IF(OR($C1374="",$E1374="",Calc!$H1374=""),"",IFERROR(VLOOKUP(LEFT(UPPER(TRIM($E1374)),6),BankTbl,3,0),0)+SUMIFS(CalcDep,CalcBank,LEFT(UPPER(TRIM($E1374)),6),CalcKey,"&lt;="&amp;Calc!$H1374)-SUMIFS(CalcWit,CalcBank,LEFT(UPPER(TRIM($E1374)),6),CalcKey,"&lt;="&amp;Calc!$H1374))</f>
        <v/>
      </c>
      <c r="O1374" s="10">
        <f>IF(OR($C1374="",$M1374=""),"",IF($N1374="","؟",IF(ROUND($M1374-$N1374,0)=0,"√","×")))</f>
        <v/>
      </c>
      <c r="P1374" s="12" t="n"/>
    </row>
    <row r="1375">
      <c r="A1375" s="10">
        <f>IF($C1375="","",COUNTA($C$9:$C1375))</f>
        <v/>
      </c>
      <c r="B1375" s="10">
        <f>IF($C1375="","","TXN-"&amp;RIGHT("0000"&amp;1367,4))</f>
        <v/>
      </c>
      <c r="C1375" s="11" t="n"/>
      <c r="D1375" s="11" t="n"/>
      <c r="E1375" s="12" t="n"/>
      <c r="F1375" s="10">
        <f>IF($E1375="","",IFERROR(IF(VLOOKUP(LEFT(UPPER(TRIM($E1375)),6),BankTbl,2,0)="","(بدون عنوان)",VLOOKUP(LEFT(UPPER(TRIM($E1375)),6),BankTbl,2,0)),"بانک ناشناخته"))</f>
        <v/>
      </c>
      <c r="G1375" s="11" t="n"/>
      <c r="H1375" s="10">
        <f>IF($G1375="","",IFERROR(VLOOKUP($G1375,CustTbl,2,0),IFERROR(VLOOKUP($G1375,SuppTbl,2,0),IFERROR(VLOOKUP($G1375,AcctTbl,2,0),IFERROR(VLOOKUP($G1375,StaffTbl,2,0),"کد ناشناخته")))))</f>
        <v/>
      </c>
      <c r="I1375" s="12" t="n"/>
      <c r="J1375" s="12" t="n"/>
      <c r="K1375" s="13" t="n"/>
      <c r="L1375" s="13" t="n"/>
      <c r="M1375" s="13" t="n"/>
      <c r="N1375" s="14">
        <f>IF(OR($C1375="",$E1375="",Calc!$H1375=""),"",IFERROR(VLOOKUP(LEFT(UPPER(TRIM($E1375)),6),BankTbl,3,0),0)+SUMIFS(CalcDep,CalcBank,LEFT(UPPER(TRIM($E1375)),6),CalcKey,"&lt;="&amp;Calc!$H1375)-SUMIFS(CalcWit,CalcBank,LEFT(UPPER(TRIM($E1375)),6),CalcKey,"&lt;="&amp;Calc!$H1375))</f>
        <v/>
      </c>
      <c r="O1375" s="10">
        <f>IF(OR($C1375="",$M1375=""),"",IF($N1375="","؟",IF(ROUND($M1375-$N1375,0)=0,"√","×")))</f>
        <v/>
      </c>
      <c r="P1375" s="12" t="n"/>
    </row>
    <row r="1376">
      <c r="A1376" s="10">
        <f>IF($C1376="","",COUNTA($C$9:$C1376))</f>
        <v/>
      </c>
      <c r="B1376" s="10">
        <f>IF($C1376="","","TXN-"&amp;RIGHT("0000"&amp;1368,4))</f>
        <v/>
      </c>
      <c r="C1376" s="11" t="n"/>
      <c r="D1376" s="11" t="n"/>
      <c r="E1376" s="12" t="n"/>
      <c r="F1376" s="10">
        <f>IF($E1376="","",IFERROR(IF(VLOOKUP(LEFT(UPPER(TRIM($E1376)),6),BankTbl,2,0)="","(بدون عنوان)",VLOOKUP(LEFT(UPPER(TRIM($E1376)),6),BankTbl,2,0)),"بانک ناشناخته"))</f>
        <v/>
      </c>
      <c r="G1376" s="11" t="n"/>
      <c r="H1376" s="10">
        <f>IF($G1376="","",IFERROR(VLOOKUP($G1376,CustTbl,2,0),IFERROR(VLOOKUP($G1376,SuppTbl,2,0),IFERROR(VLOOKUP($G1376,AcctTbl,2,0),IFERROR(VLOOKUP($G1376,StaffTbl,2,0),"کد ناشناخته")))))</f>
        <v/>
      </c>
      <c r="I1376" s="12" t="n"/>
      <c r="J1376" s="12" t="n"/>
      <c r="K1376" s="13" t="n"/>
      <c r="L1376" s="13" t="n"/>
      <c r="M1376" s="13" t="n"/>
      <c r="N1376" s="14">
        <f>IF(OR($C1376="",$E1376="",Calc!$H1376=""),"",IFERROR(VLOOKUP(LEFT(UPPER(TRIM($E1376)),6),BankTbl,3,0),0)+SUMIFS(CalcDep,CalcBank,LEFT(UPPER(TRIM($E1376)),6),CalcKey,"&lt;="&amp;Calc!$H1376)-SUMIFS(CalcWit,CalcBank,LEFT(UPPER(TRIM($E1376)),6),CalcKey,"&lt;="&amp;Calc!$H1376))</f>
        <v/>
      </c>
      <c r="O1376" s="10">
        <f>IF(OR($C1376="",$M1376=""),"",IF($N1376="","؟",IF(ROUND($M1376-$N1376,0)=0,"√","×")))</f>
        <v/>
      </c>
      <c r="P1376" s="12" t="n"/>
    </row>
    <row r="1377">
      <c r="A1377" s="10">
        <f>IF($C1377="","",COUNTA($C$9:$C1377))</f>
        <v/>
      </c>
      <c r="B1377" s="10">
        <f>IF($C1377="","","TXN-"&amp;RIGHT("0000"&amp;1369,4))</f>
        <v/>
      </c>
      <c r="C1377" s="11" t="n"/>
      <c r="D1377" s="11" t="n"/>
      <c r="E1377" s="12" t="n"/>
      <c r="F1377" s="10">
        <f>IF($E1377="","",IFERROR(IF(VLOOKUP(LEFT(UPPER(TRIM($E1377)),6),BankTbl,2,0)="","(بدون عنوان)",VLOOKUP(LEFT(UPPER(TRIM($E1377)),6),BankTbl,2,0)),"بانک ناشناخته"))</f>
        <v/>
      </c>
      <c r="G1377" s="11" t="n"/>
      <c r="H1377" s="10">
        <f>IF($G1377="","",IFERROR(VLOOKUP($G1377,CustTbl,2,0),IFERROR(VLOOKUP($G1377,SuppTbl,2,0),IFERROR(VLOOKUP($G1377,AcctTbl,2,0),IFERROR(VLOOKUP($G1377,StaffTbl,2,0),"کد ناشناخته")))))</f>
        <v/>
      </c>
      <c r="I1377" s="12" t="n"/>
      <c r="J1377" s="12" t="n"/>
      <c r="K1377" s="13" t="n"/>
      <c r="L1377" s="13" t="n"/>
      <c r="M1377" s="13" t="n"/>
      <c r="N1377" s="14">
        <f>IF(OR($C1377="",$E1377="",Calc!$H1377=""),"",IFERROR(VLOOKUP(LEFT(UPPER(TRIM($E1377)),6),BankTbl,3,0),0)+SUMIFS(CalcDep,CalcBank,LEFT(UPPER(TRIM($E1377)),6),CalcKey,"&lt;="&amp;Calc!$H1377)-SUMIFS(CalcWit,CalcBank,LEFT(UPPER(TRIM($E1377)),6),CalcKey,"&lt;="&amp;Calc!$H1377))</f>
        <v/>
      </c>
      <c r="O1377" s="10">
        <f>IF(OR($C1377="",$M1377=""),"",IF($N1377="","؟",IF(ROUND($M1377-$N1377,0)=0,"√","×")))</f>
        <v/>
      </c>
      <c r="P1377" s="12" t="n"/>
    </row>
    <row r="1378">
      <c r="A1378" s="10">
        <f>IF($C1378="","",COUNTA($C$9:$C1378))</f>
        <v/>
      </c>
      <c r="B1378" s="10">
        <f>IF($C1378="","","TXN-"&amp;RIGHT("0000"&amp;1370,4))</f>
        <v/>
      </c>
      <c r="C1378" s="11" t="n"/>
      <c r="D1378" s="11" t="n"/>
      <c r="E1378" s="12" t="n"/>
      <c r="F1378" s="10">
        <f>IF($E1378="","",IFERROR(IF(VLOOKUP(LEFT(UPPER(TRIM($E1378)),6),BankTbl,2,0)="","(بدون عنوان)",VLOOKUP(LEFT(UPPER(TRIM($E1378)),6),BankTbl,2,0)),"بانک ناشناخته"))</f>
        <v/>
      </c>
      <c r="G1378" s="11" t="n"/>
      <c r="H1378" s="10">
        <f>IF($G1378="","",IFERROR(VLOOKUP($G1378,CustTbl,2,0),IFERROR(VLOOKUP($G1378,SuppTbl,2,0),IFERROR(VLOOKUP($G1378,AcctTbl,2,0),IFERROR(VLOOKUP($G1378,StaffTbl,2,0),"کد ناشناخته")))))</f>
        <v/>
      </c>
      <c r="I1378" s="12" t="n"/>
      <c r="J1378" s="12" t="n"/>
      <c r="K1378" s="13" t="n"/>
      <c r="L1378" s="13" t="n"/>
      <c r="M1378" s="13" t="n"/>
      <c r="N1378" s="14">
        <f>IF(OR($C1378="",$E1378="",Calc!$H1378=""),"",IFERROR(VLOOKUP(LEFT(UPPER(TRIM($E1378)),6),BankTbl,3,0),0)+SUMIFS(CalcDep,CalcBank,LEFT(UPPER(TRIM($E1378)),6),CalcKey,"&lt;="&amp;Calc!$H1378)-SUMIFS(CalcWit,CalcBank,LEFT(UPPER(TRIM($E1378)),6),CalcKey,"&lt;="&amp;Calc!$H1378))</f>
        <v/>
      </c>
      <c r="O1378" s="10">
        <f>IF(OR($C1378="",$M1378=""),"",IF($N1378="","؟",IF(ROUND($M1378-$N1378,0)=0,"√","×")))</f>
        <v/>
      </c>
      <c r="P1378" s="12" t="n"/>
    </row>
    <row r="1379">
      <c r="A1379" s="10">
        <f>IF($C1379="","",COUNTA($C$9:$C1379))</f>
        <v/>
      </c>
      <c r="B1379" s="10">
        <f>IF($C1379="","","TXN-"&amp;RIGHT("0000"&amp;1371,4))</f>
        <v/>
      </c>
      <c r="C1379" s="11" t="n"/>
      <c r="D1379" s="11" t="n"/>
      <c r="E1379" s="12" t="n"/>
      <c r="F1379" s="10">
        <f>IF($E1379="","",IFERROR(IF(VLOOKUP(LEFT(UPPER(TRIM($E1379)),6),BankTbl,2,0)="","(بدون عنوان)",VLOOKUP(LEFT(UPPER(TRIM($E1379)),6),BankTbl,2,0)),"بانک ناشناخته"))</f>
        <v/>
      </c>
      <c r="G1379" s="11" t="n"/>
      <c r="H1379" s="10">
        <f>IF($G1379="","",IFERROR(VLOOKUP($G1379,CustTbl,2,0),IFERROR(VLOOKUP($G1379,SuppTbl,2,0),IFERROR(VLOOKUP($G1379,AcctTbl,2,0),IFERROR(VLOOKUP($G1379,StaffTbl,2,0),"کد ناشناخته")))))</f>
        <v/>
      </c>
      <c r="I1379" s="12" t="n"/>
      <c r="J1379" s="12" t="n"/>
      <c r="K1379" s="13" t="n"/>
      <c r="L1379" s="13" t="n"/>
      <c r="M1379" s="13" t="n"/>
      <c r="N1379" s="14">
        <f>IF(OR($C1379="",$E1379="",Calc!$H1379=""),"",IFERROR(VLOOKUP(LEFT(UPPER(TRIM($E1379)),6),BankTbl,3,0),0)+SUMIFS(CalcDep,CalcBank,LEFT(UPPER(TRIM($E1379)),6),CalcKey,"&lt;="&amp;Calc!$H1379)-SUMIFS(CalcWit,CalcBank,LEFT(UPPER(TRIM($E1379)),6),CalcKey,"&lt;="&amp;Calc!$H1379))</f>
        <v/>
      </c>
      <c r="O1379" s="10">
        <f>IF(OR($C1379="",$M1379=""),"",IF($N1379="","؟",IF(ROUND($M1379-$N1379,0)=0,"√","×")))</f>
        <v/>
      </c>
      <c r="P1379" s="12" t="n"/>
    </row>
    <row r="1380">
      <c r="A1380" s="10">
        <f>IF($C1380="","",COUNTA($C$9:$C1380))</f>
        <v/>
      </c>
      <c r="B1380" s="10">
        <f>IF($C1380="","","TXN-"&amp;RIGHT("0000"&amp;1372,4))</f>
        <v/>
      </c>
      <c r="C1380" s="11" t="n"/>
      <c r="D1380" s="11" t="n"/>
      <c r="E1380" s="12" t="n"/>
      <c r="F1380" s="10">
        <f>IF($E1380="","",IFERROR(IF(VLOOKUP(LEFT(UPPER(TRIM($E1380)),6),BankTbl,2,0)="","(بدون عنوان)",VLOOKUP(LEFT(UPPER(TRIM($E1380)),6),BankTbl,2,0)),"بانک ناشناخته"))</f>
        <v/>
      </c>
      <c r="G1380" s="11" t="n"/>
      <c r="H1380" s="10">
        <f>IF($G1380="","",IFERROR(VLOOKUP($G1380,CustTbl,2,0),IFERROR(VLOOKUP($G1380,SuppTbl,2,0),IFERROR(VLOOKUP($G1380,AcctTbl,2,0),IFERROR(VLOOKUP($G1380,StaffTbl,2,0),"کد ناشناخته")))))</f>
        <v/>
      </c>
      <c r="I1380" s="12" t="n"/>
      <c r="J1380" s="12" t="n"/>
      <c r="K1380" s="13" t="n"/>
      <c r="L1380" s="13" t="n"/>
      <c r="M1380" s="13" t="n"/>
      <c r="N1380" s="14">
        <f>IF(OR($C1380="",$E1380="",Calc!$H1380=""),"",IFERROR(VLOOKUP(LEFT(UPPER(TRIM($E1380)),6),BankTbl,3,0),0)+SUMIFS(CalcDep,CalcBank,LEFT(UPPER(TRIM($E1380)),6),CalcKey,"&lt;="&amp;Calc!$H1380)-SUMIFS(CalcWit,CalcBank,LEFT(UPPER(TRIM($E1380)),6),CalcKey,"&lt;="&amp;Calc!$H1380))</f>
        <v/>
      </c>
      <c r="O1380" s="10">
        <f>IF(OR($C1380="",$M1380=""),"",IF($N1380="","؟",IF(ROUND($M1380-$N1380,0)=0,"√","×")))</f>
        <v/>
      </c>
      <c r="P1380" s="12" t="n"/>
    </row>
    <row r="1381">
      <c r="A1381" s="10">
        <f>IF($C1381="","",COUNTA($C$9:$C1381))</f>
        <v/>
      </c>
      <c r="B1381" s="10">
        <f>IF($C1381="","","TXN-"&amp;RIGHT("0000"&amp;1373,4))</f>
        <v/>
      </c>
      <c r="C1381" s="11" t="n"/>
      <c r="D1381" s="11" t="n"/>
      <c r="E1381" s="12" t="n"/>
      <c r="F1381" s="10">
        <f>IF($E1381="","",IFERROR(IF(VLOOKUP(LEFT(UPPER(TRIM($E1381)),6),BankTbl,2,0)="","(بدون عنوان)",VLOOKUP(LEFT(UPPER(TRIM($E1381)),6),BankTbl,2,0)),"بانک ناشناخته"))</f>
        <v/>
      </c>
      <c r="G1381" s="11" t="n"/>
      <c r="H1381" s="10">
        <f>IF($G1381="","",IFERROR(VLOOKUP($G1381,CustTbl,2,0),IFERROR(VLOOKUP($G1381,SuppTbl,2,0),IFERROR(VLOOKUP($G1381,AcctTbl,2,0),IFERROR(VLOOKUP($G1381,StaffTbl,2,0),"کد ناشناخته")))))</f>
        <v/>
      </c>
      <c r="I1381" s="12" t="n"/>
      <c r="J1381" s="12" t="n"/>
      <c r="K1381" s="13" t="n"/>
      <c r="L1381" s="13" t="n"/>
      <c r="M1381" s="13" t="n"/>
      <c r="N1381" s="14">
        <f>IF(OR($C1381="",$E1381="",Calc!$H1381=""),"",IFERROR(VLOOKUP(LEFT(UPPER(TRIM($E1381)),6),BankTbl,3,0),0)+SUMIFS(CalcDep,CalcBank,LEFT(UPPER(TRIM($E1381)),6),CalcKey,"&lt;="&amp;Calc!$H1381)-SUMIFS(CalcWit,CalcBank,LEFT(UPPER(TRIM($E1381)),6),CalcKey,"&lt;="&amp;Calc!$H1381))</f>
        <v/>
      </c>
      <c r="O1381" s="10">
        <f>IF(OR($C1381="",$M1381=""),"",IF($N1381="","؟",IF(ROUND($M1381-$N1381,0)=0,"√","×")))</f>
        <v/>
      </c>
      <c r="P1381" s="12" t="n"/>
    </row>
    <row r="1382">
      <c r="A1382" s="10">
        <f>IF($C1382="","",COUNTA($C$9:$C1382))</f>
        <v/>
      </c>
      <c r="B1382" s="10">
        <f>IF($C1382="","","TXN-"&amp;RIGHT("0000"&amp;1374,4))</f>
        <v/>
      </c>
      <c r="C1382" s="11" t="n"/>
      <c r="D1382" s="11" t="n"/>
      <c r="E1382" s="12" t="n"/>
      <c r="F1382" s="10">
        <f>IF($E1382="","",IFERROR(IF(VLOOKUP(LEFT(UPPER(TRIM($E1382)),6),BankTbl,2,0)="","(بدون عنوان)",VLOOKUP(LEFT(UPPER(TRIM($E1382)),6),BankTbl,2,0)),"بانک ناشناخته"))</f>
        <v/>
      </c>
      <c r="G1382" s="11" t="n"/>
      <c r="H1382" s="10">
        <f>IF($G1382="","",IFERROR(VLOOKUP($G1382,CustTbl,2,0),IFERROR(VLOOKUP($G1382,SuppTbl,2,0),IFERROR(VLOOKUP($G1382,AcctTbl,2,0),IFERROR(VLOOKUP($G1382,StaffTbl,2,0),"کد ناشناخته")))))</f>
        <v/>
      </c>
      <c r="I1382" s="12" t="n"/>
      <c r="J1382" s="12" t="n"/>
      <c r="K1382" s="13" t="n"/>
      <c r="L1382" s="13" t="n"/>
      <c r="M1382" s="13" t="n"/>
      <c r="N1382" s="14">
        <f>IF(OR($C1382="",$E1382="",Calc!$H1382=""),"",IFERROR(VLOOKUP(LEFT(UPPER(TRIM($E1382)),6),BankTbl,3,0),0)+SUMIFS(CalcDep,CalcBank,LEFT(UPPER(TRIM($E1382)),6),CalcKey,"&lt;="&amp;Calc!$H1382)-SUMIFS(CalcWit,CalcBank,LEFT(UPPER(TRIM($E1382)),6),CalcKey,"&lt;="&amp;Calc!$H1382))</f>
        <v/>
      </c>
      <c r="O1382" s="10">
        <f>IF(OR($C1382="",$M1382=""),"",IF($N1382="","؟",IF(ROUND($M1382-$N1382,0)=0,"√","×")))</f>
        <v/>
      </c>
      <c r="P1382" s="12" t="n"/>
    </row>
    <row r="1383">
      <c r="A1383" s="10">
        <f>IF($C1383="","",COUNTA($C$9:$C1383))</f>
        <v/>
      </c>
      <c r="B1383" s="10">
        <f>IF($C1383="","","TXN-"&amp;RIGHT("0000"&amp;1375,4))</f>
        <v/>
      </c>
      <c r="C1383" s="11" t="n"/>
      <c r="D1383" s="11" t="n"/>
      <c r="E1383" s="12" t="n"/>
      <c r="F1383" s="10">
        <f>IF($E1383="","",IFERROR(IF(VLOOKUP(LEFT(UPPER(TRIM($E1383)),6),BankTbl,2,0)="","(بدون عنوان)",VLOOKUP(LEFT(UPPER(TRIM($E1383)),6),BankTbl,2,0)),"بانک ناشناخته"))</f>
        <v/>
      </c>
      <c r="G1383" s="11" t="n"/>
      <c r="H1383" s="10">
        <f>IF($G1383="","",IFERROR(VLOOKUP($G1383,CustTbl,2,0),IFERROR(VLOOKUP($G1383,SuppTbl,2,0),IFERROR(VLOOKUP($G1383,AcctTbl,2,0),IFERROR(VLOOKUP($G1383,StaffTbl,2,0),"کد ناشناخته")))))</f>
        <v/>
      </c>
      <c r="I1383" s="12" t="n"/>
      <c r="J1383" s="12" t="n"/>
      <c r="K1383" s="13" t="n"/>
      <c r="L1383" s="13" t="n"/>
      <c r="M1383" s="13" t="n"/>
      <c r="N1383" s="14">
        <f>IF(OR($C1383="",$E1383="",Calc!$H1383=""),"",IFERROR(VLOOKUP(LEFT(UPPER(TRIM($E1383)),6),BankTbl,3,0),0)+SUMIFS(CalcDep,CalcBank,LEFT(UPPER(TRIM($E1383)),6),CalcKey,"&lt;="&amp;Calc!$H1383)-SUMIFS(CalcWit,CalcBank,LEFT(UPPER(TRIM($E1383)),6),CalcKey,"&lt;="&amp;Calc!$H1383))</f>
        <v/>
      </c>
      <c r="O1383" s="10">
        <f>IF(OR($C1383="",$M1383=""),"",IF($N1383="","؟",IF(ROUND($M1383-$N1383,0)=0,"√","×")))</f>
        <v/>
      </c>
      <c r="P1383" s="12" t="n"/>
    </row>
    <row r="1384">
      <c r="A1384" s="10">
        <f>IF($C1384="","",COUNTA($C$9:$C1384))</f>
        <v/>
      </c>
      <c r="B1384" s="10">
        <f>IF($C1384="","","TXN-"&amp;RIGHT("0000"&amp;1376,4))</f>
        <v/>
      </c>
      <c r="C1384" s="11" t="n"/>
      <c r="D1384" s="11" t="n"/>
      <c r="E1384" s="12" t="n"/>
      <c r="F1384" s="10">
        <f>IF($E1384="","",IFERROR(IF(VLOOKUP(LEFT(UPPER(TRIM($E1384)),6),BankTbl,2,0)="","(بدون عنوان)",VLOOKUP(LEFT(UPPER(TRIM($E1384)),6),BankTbl,2,0)),"بانک ناشناخته"))</f>
        <v/>
      </c>
      <c r="G1384" s="11" t="n"/>
      <c r="H1384" s="10">
        <f>IF($G1384="","",IFERROR(VLOOKUP($G1384,CustTbl,2,0),IFERROR(VLOOKUP($G1384,SuppTbl,2,0),IFERROR(VLOOKUP($G1384,AcctTbl,2,0),IFERROR(VLOOKUP($G1384,StaffTbl,2,0),"کد ناشناخته")))))</f>
        <v/>
      </c>
      <c r="I1384" s="12" t="n"/>
      <c r="J1384" s="12" t="n"/>
      <c r="K1384" s="13" t="n"/>
      <c r="L1384" s="13" t="n"/>
      <c r="M1384" s="13" t="n"/>
      <c r="N1384" s="14">
        <f>IF(OR($C1384="",$E1384="",Calc!$H1384=""),"",IFERROR(VLOOKUP(LEFT(UPPER(TRIM($E1384)),6),BankTbl,3,0),0)+SUMIFS(CalcDep,CalcBank,LEFT(UPPER(TRIM($E1384)),6),CalcKey,"&lt;="&amp;Calc!$H1384)-SUMIFS(CalcWit,CalcBank,LEFT(UPPER(TRIM($E1384)),6),CalcKey,"&lt;="&amp;Calc!$H1384))</f>
        <v/>
      </c>
      <c r="O1384" s="10">
        <f>IF(OR($C1384="",$M1384=""),"",IF($N1384="","؟",IF(ROUND($M1384-$N1384,0)=0,"√","×")))</f>
        <v/>
      </c>
      <c r="P1384" s="12" t="n"/>
    </row>
    <row r="1385">
      <c r="A1385" s="10">
        <f>IF($C1385="","",COUNTA($C$9:$C1385))</f>
        <v/>
      </c>
      <c r="B1385" s="10">
        <f>IF($C1385="","","TXN-"&amp;RIGHT("0000"&amp;1377,4))</f>
        <v/>
      </c>
      <c r="C1385" s="11" t="n"/>
      <c r="D1385" s="11" t="n"/>
      <c r="E1385" s="12" t="n"/>
      <c r="F1385" s="10">
        <f>IF($E1385="","",IFERROR(IF(VLOOKUP(LEFT(UPPER(TRIM($E1385)),6),BankTbl,2,0)="","(بدون عنوان)",VLOOKUP(LEFT(UPPER(TRIM($E1385)),6),BankTbl,2,0)),"بانک ناشناخته"))</f>
        <v/>
      </c>
      <c r="G1385" s="11" t="n"/>
      <c r="H1385" s="10">
        <f>IF($G1385="","",IFERROR(VLOOKUP($G1385,CustTbl,2,0),IFERROR(VLOOKUP($G1385,SuppTbl,2,0),IFERROR(VLOOKUP($G1385,AcctTbl,2,0),IFERROR(VLOOKUP($G1385,StaffTbl,2,0),"کد ناشناخته")))))</f>
        <v/>
      </c>
      <c r="I1385" s="12" t="n"/>
      <c r="J1385" s="12" t="n"/>
      <c r="K1385" s="13" t="n"/>
      <c r="L1385" s="13" t="n"/>
      <c r="M1385" s="13" t="n"/>
      <c r="N1385" s="14">
        <f>IF(OR($C1385="",$E1385="",Calc!$H1385=""),"",IFERROR(VLOOKUP(LEFT(UPPER(TRIM($E1385)),6),BankTbl,3,0),0)+SUMIFS(CalcDep,CalcBank,LEFT(UPPER(TRIM($E1385)),6),CalcKey,"&lt;="&amp;Calc!$H1385)-SUMIFS(CalcWit,CalcBank,LEFT(UPPER(TRIM($E1385)),6),CalcKey,"&lt;="&amp;Calc!$H1385))</f>
        <v/>
      </c>
      <c r="O1385" s="10">
        <f>IF(OR($C1385="",$M1385=""),"",IF($N1385="","؟",IF(ROUND($M1385-$N1385,0)=0,"√","×")))</f>
        <v/>
      </c>
      <c r="P1385" s="12" t="n"/>
    </row>
    <row r="1386">
      <c r="A1386" s="10">
        <f>IF($C1386="","",COUNTA($C$9:$C1386))</f>
        <v/>
      </c>
      <c r="B1386" s="10">
        <f>IF($C1386="","","TXN-"&amp;RIGHT("0000"&amp;1378,4))</f>
        <v/>
      </c>
      <c r="C1386" s="11" t="n"/>
      <c r="D1386" s="11" t="n"/>
      <c r="E1386" s="12" t="n"/>
      <c r="F1386" s="10">
        <f>IF($E1386="","",IFERROR(IF(VLOOKUP(LEFT(UPPER(TRIM($E1386)),6),BankTbl,2,0)="","(بدون عنوان)",VLOOKUP(LEFT(UPPER(TRIM($E1386)),6),BankTbl,2,0)),"بانک ناشناخته"))</f>
        <v/>
      </c>
      <c r="G1386" s="11" t="n"/>
      <c r="H1386" s="10">
        <f>IF($G1386="","",IFERROR(VLOOKUP($G1386,CustTbl,2,0),IFERROR(VLOOKUP($G1386,SuppTbl,2,0),IFERROR(VLOOKUP($G1386,AcctTbl,2,0),IFERROR(VLOOKUP($G1386,StaffTbl,2,0),"کد ناشناخته")))))</f>
        <v/>
      </c>
      <c r="I1386" s="12" t="n"/>
      <c r="J1386" s="12" t="n"/>
      <c r="K1386" s="13" t="n"/>
      <c r="L1386" s="13" t="n"/>
      <c r="M1386" s="13" t="n"/>
      <c r="N1386" s="14">
        <f>IF(OR($C1386="",$E1386="",Calc!$H1386=""),"",IFERROR(VLOOKUP(LEFT(UPPER(TRIM($E1386)),6),BankTbl,3,0),0)+SUMIFS(CalcDep,CalcBank,LEFT(UPPER(TRIM($E1386)),6),CalcKey,"&lt;="&amp;Calc!$H1386)-SUMIFS(CalcWit,CalcBank,LEFT(UPPER(TRIM($E1386)),6),CalcKey,"&lt;="&amp;Calc!$H1386))</f>
        <v/>
      </c>
      <c r="O1386" s="10">
        <f>IF(OR($C1386="",$M1386=""),"",IF($N1386="","؟",IF(ROUND($M1386-$N1386,0)=0,"√","×")))</f>
        <v/>
      </c>
      <c r="P1386" s="12" t="n"/>
    </row>
    <row r="1387">
      <c r="A1387" s="10">
        <f>IF($C1387="","",COUNTA($C$9:$C1387))</f>
        <v/>
      </c>
      <c r="B1387" s="10">
        <f>IF($C1387="","","TXN-"&amp;RIGHT("0000"&amp;1379,4))</f>
        <v/>
      </c>
      <c r="C1387" s="11" t="n"/>
      <c r="D1387" s="11" t="n"/>
      <c r="E1387" s="12" t="n"/>
      <c r="F1387" s="10">
        <f>IF($E1387="","",IFERROR(IF(VLOOKUP(LEFT(UPPER(TRIM($E1387)),6),BankTbl,2,0)="","(بدون عنوان)",VLOOKUP(LEFT(UPPER(TRIM($E1387)),6),BankTbl,2,0)),"بانک ناشناخته"))</f>
        <v/>
      </c>
      <c r="G1387" s="11" t="n"/>
      <c r="H1387" s="10">
        <f>IF($G1387="","",IFERROR(VLOOKUP($G1387,CustTbl,2,0),IFERROR(VLOOKUP($G1387,SuppTbl,2,0),IFERROR(VLOOKUP($G1387,AcctTbl,2,0),IFERROR(VLOOKUP($G1387,StaffTbl,2,0),"کد ناشناخته")))))</f>
        <v/>
      </c>
      <c r="I1387" s="12" t="n"/>
      <c r="J1387" s="12" t="n"/>
      <c r="K1387" s="13" t="n"/>
      <c r="L1387" s="13" t="n"/>
      <c r="M1387" s="13" t="n"/>
      <c r="N1387" s="14">
        <f>IF(OR($C1387="",$E1387="",Calc!$H1387=""),"",IFERROR(VLOOKUP(LEFT(UPPER(TRIM($E1387)),6),BankTbl,3,0),0)+SUMIFS(CalcDep,CalcBank,LEFT(UPPER(TRIM($E1387)),6),CalcKey,"&lt;="&amp;Calc!$H1387)-SUMIFS(CalcWit,CalcBank,LEFT(UPPER(TRIM($E1387)),6),CalcKey,"&lt;="&amp;Calc!$H1387))</f>
        <v/>
      </c>
      <c r="O1387" s="10">
        <f>IF(OR($C1387="",$M1387=""),"",IF($N1387="","؟",IF(ROUND($M1387-$N1387,0)=0,"√","×")))</f>
        <v/>
      </c>
      <c r="P1387" s="12" t="n"/>
    </row>
    <row r="1388">
      <c r="A1388" s="10">
        <f>IF($C1388="","",COUNTA($C$9:$C1388))</f>
        <v/>
      </c>
      <c r="B1388" s="10">
        <f>IF($C1388="","","TXN-"&amp;RIGHT("0000"&amp;1380,4))</f>
        <v/>
      </c>
      <c r="C1388" s="11" t="n"/>
      <c r="D1388" s="11" t="n"/>
      <c r="E1388" s="12" t="n"/>
      <c r="F1388" s="10">
        <f>IF($E1388="","",IFERROR(IF(VLOOKUP(LEFT(UPPER(TRIM($E1388)),6),BankTbl,2,0)="","(بدون عنوان)",VLOOKUP(LEFT(UPPER(TRIM($E1388)),6),BankTbl,2,0)),"بانک ناشناخته"))</f>
        <v/>
      </c>
      <c r="G1388" s="11" t="n"/>
      <c r="H1388" s="10">
        <f>IF($G1388="","",IFERROR(VLOOKUP($G1388,CustTbl,2,0),IFERROR(VLOOKUP($G1388,SuppTbl,2,0),IFERROR(VLOOKUP($G1388,AcctTbl,2,0),IFERROR(VLOOKUP($G1388,StaffTbl,2,0),"کد ناشناخته")))))</f>
        <v/>
      </c>
      <c r="I1388" s="12" t="n"/>
      <c r="J1388" s="12" t="n"/>
      <c r="K1388" s="13" t="n"/>
      <c r="L1388" s="13" t="n"/>
      <c r="M1388" s="13" t="n"/>
      <c r="N1388" s="14">
        <f>IF(OR($C1388="",$E1388="",Calc!$H1388=""),"",IFERROR(VLOOKUP(LEFT(UPPER(TRIM($E1388)),6),BankTbl,3,0),0)+SUMIFS(CalcDep,CalcBank,LEFT(UPPER(TRIM($E1388)),6),CalcKey,"&lt;="&amp;Calc!$H1388)-SUMIFS(CalcWit,CalcBank,LEFT(UPPER(TRIM($E1388)),6),CalcKey,"&lt;="&amp;Calc!$H1388))</f>
        <v/>
      </c>
      <c r="O1388" s="10">
        <f>IF(OR($C1388="",$M1388=""),"",IF($N1388="","؟",IF(ROUND($M1388-$N1388,0)=0,"√","×")))</f>
        <v/>
      </c>
      <c r="P1388" s="12" t="n"/>
    </row>
    <row r="1389">
      <c r="A1389" s="10">
        <f>IF($C1389="","",COUNTA($C$9:$C1389))</f>
        <v/>
      </c>
      <c r="B1389" s="10">
        <f>IF($C1389="","","TXN-"&amp;RIGHT("0000"&amp;1381,4))</f>
        <v/>
      </c>
      <c r="C1389" s="11" t="n"/>
      <c r="D1389" s="11" t="n"/>
      <c r="E1389" s="12" t="n"/>
      <c r="F1389" s="10">
        <f>IF($E1389="","",IFERROR(IF(VLOOKUP(LEFT(UPPER(TRIM($E1389)),6),BankTbl,2,0)="","(بدون عنوان)",VLOOKUP(LEFT(UPPER(TRIM($E1389)),6),BankTbl,2,0)),"بانک ناشناخته"))</f>
        <v/>
      </c>
      <c r="G1389" s="11" t="n"/>
      <c r="H1389" s="10">
        <f>IF($G1389="","",IFERROR(VLOOKUP($G1389,CustTbl,2,0),IFERROR(VLOOKUP($G1389,SuppTbl,2,0),IFERROR(VLOOKUP($G1389,AcctTbl,2,0),IFERROR(VLOOKUP($G1389,StaffTbl,2,0),"کد ناشناخته")))))</f>
        <v/>
      </c>
      <c r="I1389" s="12" t="n"/>
      <c r="J1389" s="12" t="n"/>
      <c r="K1389" s="13" t="n"/>
      <c r="L1389" s="13" t="n"/>
      <c r="M1389" s="13" t="n"/>
      <c r="N1389" s="14">
        <f>IF(OR($C1389="",$E1389="",Calc!$H1389=""),"",IFERROR(VLOOKUP(LEFT(UPPER(TRIM($E1389)),6),BankTbl,3,0),0)+SUMIFS(CalcDep,CalcBank,LEFT(UPPER(TRIM($E1389)),6),CalcKey,"&lt;="&amp;Calc!$H1389)-SUMIFS(CalcWit,CalcBank,LEFT(UPPER(TRIM($E1389)),6),CalcKey,"&lt;="&amp;Calc!$H1389))</f>
        <v/>
      </c>
      <c r="O1389" s="10">
        <f>IF(OR($C1389="",$M1389=""),"",IF($N1389="","؟",IF(ROUND($M1389-$N1389,0)=0,"√","×")))</f>
        <v/>
      </c>
      <c r="P1389" s="12" t="n"/>
    </row>
    <row r="1390">
      <c r="A1390" s="10">
        <f>IF($C1390="","",COUNTA($C$9:$C1390))</f>
        <v/>
      </c>
      <c r="B1390" s="10">
        <f>IF($C1390="","","TXN-"&amp;RIGHT("0000"&amp;1382,4))</f>
        <v/>
      </c>
      <c r="C1390" s="11" t="n"/>
      <c r="D1390" s="11" t="n"/>
      <c r="E1390" s="12" t="n"/>
      <c r="F1390" s="10">
        <f>IF($E1390="","",IFERROR(IF(VLOOKUP(LEFT(UPPER(TRIM($E1390)),6),BankTbl,2,0)="","(بدون عنوان)",VLOOKUP(LEFT(UPPER(TRIM($E1390)),6),BankTbl,2,0)),"بانک ناشناخته"))</f>
        <v/>
      </c>
      <c r="G1390" s="11" t="n"/>
      <c r="H1390" s="10">
        <f>IF($G1390="","",IFERROR(VLOOKUP($G1390,CustTbl,2,0),IFERROR(VLOOKUP($G1390,SuppTbl,2,0),IFERROR(VLOOKUP($G1390,AcctTbl,2,0),IFERROR(VLOOKUP($G1390,StaffTbl,2,0),"کد ناشناخته")))))</f>
        <v/>
      </c>
      <c r="I1390" s="12" t="n"/>
      <c r="J1390" s="12" t="n"/>
      <c r="K1390" s="13" t="n"/>
      <c r="L1390" s="13" t="n"/>
      <c r="M1390" s="13" t="n"/>
      <c r="N1390" s="14">
        <f>IF(OR($C1390="",$E1390="",Calc!$H1390=""),"",IFERROR(VLOOKUP(LEFT(UPPER(TRIM($E1390)),6),BankTbl,3,0),0)+SUMIFS(CalcDep,CalcBank,LEFT(UPPER(TRIM($E1390)),6),CalcKey,"&lt;="&amp;Calc!$H1390)-SUMIFS(CalcWit,CalcBank,LEFT(UPPER(TRIM($E1390)),6),CalcKey,"&lt;="&amp;Calc!$H1390))</f>
        <v/>
      </c>
      <c r="O1390" s="10">
        <f>IF(OR($C1390="",$M1390=""),"",IF($N1390="","؟",IF(ROUND($M1390-$N1390,0)=0,"√","×")))</f>
        <v/>
      </c>
      <c r="P1390" s="12" t="n"/>
    </row>
    <row r="1391">
      <c r="A1391" s="10">
        <f>IF($C1391="","",COUNTA($C$9:$C1391))</f>
        <v/>
      </c>
      <c r="B1391" s="10">
        <f>IF($C1391="","","TXN-"&amp;RIGHT("0000"&amp;1383,4))</f>
        <v/>
      </c>
      <c r="C1391" s="11" t="n"/>
      <c r="D1391" s="11" t="n"/>
      <c r="E1391" s="12" t="n"/>
      <c r="F1391" s="10">
        <f>IF($E1391="","",IFERROR(IF(VLOOKUP(LEFT(UPPER(TRIM($E1391)),6),BankTbl,2,0)="","(بدون عنوان)",VLOOKUP(LEFT(UPPER(TRIM($E1391)),6),BankTbl,2,0)),"بانک ناشناخته"))</f>
        <v/>
      </c>
      <c r="G1391" s="11" t="n"/>
      <c r="H1391" s="10">
        <f>IF($G1391="","",IFERROR(VLOOKUP($G1391,CustTbl,2,0),IFERROR(VLOOKUP($G1391,SuppTbl,2,0),IFERROR(VLOOKUP($G1391,AcctTbl,2,0),IFERROR(VLOOKUP($G1391,StaffTbl,2,0),"کد ناشناخته")))))</f>
        <v/>
      </c>
      <c r="I1391" s="12" t="n"/>
      <c r="J1391" s="12" t="n"/>
      <c r="K1391" s="13" t="n"/>
      <c r="L1391" s="13" t="n"/>
      <c r="M1391" s="13" t="n"/>
      <c r="N1391" s="14">
        <f>IF(OR($C1391="",$E1391="",Calc!$H1391=""),"",IFERROR(VLOOKUP(LEFT(UPPER(TRIM($E1391)),6),BankTbl,3,0),0)+SUMIFS(CalcDep,CalcBank,LEFT(UPPER(TRIM($E1391)),6),CalcKey,"&lt;="&amp;Calc!$H1391)-SUMIFS(CalcWit,CalcBank,LEFT(UPPER(TRIM($E1391)),6),CalcKey,"&lt;="&amp;Calc!$H1391))</f>
        <v/>
      </c>
      <c r="O1391" s="10">
        <f>IF(OR($C1391="",$M1391=""),"",IF($N1391="","؟",IF(ROUND($M1391-$N1391,0)=0,"√","×")))</f>
        <v/>
      </c>
      <c r="P1391" s="12" t="n"/>
    </row>
    <row r="1392">
      <c r="A1392" s="10">
        <f>IF($C1392="","",COUNTA($C$9:$C1392))</f>
        <v/>
      </c>
      <c r="B1392" s="10">
        <f>IF($C1392="","","TXN-"&amp;RIGHT("0000"&amp;1384,4))</f>
        <v/>
      </c>
      <c r="C1392" s="11" t="n"/>
      <c r="D1392" s="11" t="n"/>
      <c r="E1392" s="12" t="n"/>
      <c r="F1392" s="10">
        <f>IF($E1392="","",IFERROR(IF(VLOOKUP(LEFT(UPPER(TRIM($E1392)),6),BankTbl,2,0)="","(بدون عنوان)",VLOOKUP(LEFT(UPPER(TRIM($E1392)),6),BankTbl,2,0)),"بانک ناشناخته"))</f>
        <v/>
      </c>
      <c r="G1392" s="11" t="n"/>
      <c r="H1392" s="10">
        <f>IF($G1392="","",IFERROR(VLOOKUP($G1392,CustTbl,2,0),IFERROR(VLOOKUP($G1392,SuppTbl,2,0),IFERROR(VLOOKUP($G1392,AcctTbl,2,0),IFERROR(VLOOKUP($G1392,StaffTbl,2,0),"کد ناشناخته")))))</f>
        <v/>
      </c>
      <c r="I1392" s="12" t="n"/>
      <c r="J1392" s="12" t="n"/>
      <c r="K1392" s="13" t="n"/>
      <c r="L1392" s="13" t="n"/>
      <c r="M1392" s="13" t="n"/>
      <c r="N1392" s="14">
        <f>IF(OR($C1392="",$E1392="",Calc!$H1392=""),"",IFERROR(VLOOKUP(LEFT(UPPER(TRIM($E1392)),6),BankTbl,3,0),0)+SUMIFS(CalcDep,CalcBank,LEFT(UPPER(TRIM($E1392)),6),CalcKey,"&lt;="&amp;Calc!$H1392)-SUMIFS(CalcWit,CalcBank,LEFT(UPPER(TRIM($E1392)),6),CalcKey,"&lt;="&amp;Calc!$H1392))</f>
        <v/>
      </c>
      <c r="O1392" s="10">
        <f>IF(OR($C1392="",$M1392=""),"",IF($N1392="","؟",IF(ROUND($M1392-$N1392,0)=0,"√","×")))</f>
        <v/>
      </c>
      <c r="P1392" s="12" t="n"/>
    </row>
    <row r="1393">
      <c r="A1393" s="10">
        <f>IF($C1393="","",COUNTA($C$9:$C1393))</f>
        <v/>
      </c>
      <c r="B1393" s="10">
        <f>IF($C1393="","","TXN-"&amp;RIGHT("0000"&amp;1385,4))</f>
        <v/>
      </c>
      <c r="C1393" s="11" t="n"/>
      <c r="D1393" s="11" t="n"/>
      <c r="E1393" s="12" t="n"/>
      <c r="F1393" s="10">
        <f>IF($E1393="","",IFERROR(IF(VLOOKUP(LEFT(UPPER(TRIM($E1393)),6),BankTbl,2,0)="","(بدون عنوان)",VLOOKUP(LEFT(UPPER(TRIM($E1393)),6),BankTbl,2,0)),"بانک ناشناخته"))</f>
        <v/>
      </c>
      <c r="G1393" s="11" t="n"/>
      <c r="H1393" s="10">
        <f>IF($G1393="","",IFERROR(VLOOKUP($G1393,CustTbl,2,0),IFERROR(VLOOKUP($G1393,SuppTbl,2,0),IFERROR(VLOOKUP($G1393,AcctTbl,2,0),IFERROR(VLOOKUP($G1393,StaffTbl,2,0),"کد ناشناخته")))))</f>
        <v/>
      </c>
      <c r="I1393" s="12" t="n"/>
      <c r="J1393" s="12" t="n"/>
      <c r="K1393" s="13" t="n"/>
      <c r="L1393" s="13" t="n"/>
      <c r="M1393" s="13" t="n"/>
      <c r="N1393" s="14">
        <f>IF(OR($C1393="",$E1393="",Calc!$H1393=""),"",IFERROR(VLOOKUP(LEFT(UPPER(TRIM($E1393)),6),BankTbl,3,0),0)+SUMIFS(CalcDep,CalcBank,LEFT(UPPER(TRIM($E1393)),6),CalcKey,"&lt;="&amp;Calc!$H1393)-SUMIFS(CalcWit,CalcBank,LEFT(UPPER(TRIM($E1393)),6),CalcKey,"&lt;="&amp;Calc!$H1393))</f>
        <v/>
      </c>
      <c r="O1393" s="10">
        <f>IF(OR($C1393="",$M1393=""),"",IF($N1393="","؟",IF(ROUND($M1393-$N1393,0)=0,"√","×")))</f>
        <v/>
      </c>
      <c r="P1393" s="12" t="n"/>
    </row>
    <row r="1394">
      <c r="A1394" s="10">
        <f>IF($C1394="","",COUNTA($C$9:$C1394))</f>
        <v/>
      </c>
      <c r="B1394" s="10">
        <f>IF($C1394="","","TXN-"&amp;RIGHT("0000"&amp;1386,4))</f>
        <v/>
      </c>
      <c r="C1394" s="11" t="n"/>
      <c r="D1394" s="11" t="n"/>
      <c r="E1394" s="12" t="n"/>
      <c r="F1394" s="10">
        <f>IF($E1394="","",IFERROR(IF(VLOOKUP(LEFT(UPPER(TRIM($E1394)),6),BankTbl,2,0)="","(بدون عنوان)",VLOOKUP(LEFT(UPPER(TRIM($E1394)),6),BankTbl,2,0)),"بانک ناشناخته"))</f>
        <v/>
      </c>
      <c r="G1394" s="11" t="n"/>
      <c r="H1394" s="10">
        <f>IF($G1394="","",IFERROR(VLOOKUP($G1394,CustTbl,2,0),IFERROR(VLOOKUP($G1394,SuppTbl,2,0),IFERROR(VLOOKUP($G1394,AcctTbl,2,0),IFERROR(VLOOKUP($G1394,StaffTbl,2,0),"کد ناشناخته")))))</f>
        <v/>
      </c>
      <c r="I1394" s="12" t="n"/>
      <c r="J1394" s="12" t="n"/>
      <c r="K1394" s="13" t="n"/>
      <c r="L1394" s="13" t="n"/>
      <c r="M1394" s="13" t="n"/>
      <c r="N1394" s="14">
        <f>IF(OR($C1394="",$E1394="",Calc!$H1394=""),"",IFERROR(VLOOKUP(LEFT(UPPER(TRIM($E1394)),6),BankTbl,3,0),0)+SUMIFS(CalcDep,CalcBank,LEFT(UPPER(TRIM($E1394)),6),CalcKey,"&lt;="&amp;Calc!$H1394)-SUMIFS(CalcWit,CalcBank,LEFT(UPPER(TRIM($E1394)),6),CalcKey,"&lt;="&amp;Calc!$H1394))</f>
        <v/>
      </c>
      <c r="O1394" s="10">
        <f>IF(OR($C1394="",$M1394=""),"",IF($N1394="","؟",IF(ROUND($M1394-$N1394,0)=0,"√","×")))</f>
        <v/>
      </c>
      <c r="P1394" s="12" t="n"/>
    </row>
    <row r="1395">
      <c r="A1395" s="10">
        <f>IF($C1395="","",COUNTA($C$9:$C1395))</f>
        <v/>
      </c>
      <c r="B1395" s="10">
        <f>IF($C1395="","","TXN-"&amp;RIGHT("0000"&amp;1387,4))</f>
        <v/>
      </c>
      <c r="C1395" s="11" t="n"/>
      <c r="D1395" s="11" t="n"/>
      <c r="E1395" s="12" t="n"/>
      <c r="F1395" s="10">
        <f>IF($E1395="","",IFERROR(IF(VLOOKUP(LEFT(UPPER(TRIM($E1395)),6),BankTbl,2,0)="","(بدون عنوان)",VLOOKUP(LEFT(UPPER(TRIM($E1395)),6),BankTbl,2,0)),"بانک ناشناخته"))</f>
        <v/>
      </c>
      <c r="G1395" s="11" t="n"/>
      <c r="H1395" s="10">
        <f>IF($G1395="","",IFERROR(VLOOKUP($G1395,CustTbl,2,0),IFERROR(VLOOKUP($G1395,SuppTbl,2,0),IFERROR(VLOOKUP($G1395,AcctTbl,2,0),IFERROR(VLOOKUP($G1395,StaffTbl,2,0),"کد ناشناخته")))))</f>
        <v/>
      </c>
      <c r="I1395" s="12" t="n"/>
      <c r="J1395" s="12" t="n"/>
      <c r="K1395" s="13" t="n"/>
      <c r="L1395" s="13" t="n"/>
      <c r="M1395" s="13" t="n"/>
      <c r="N1395" s="14">
        <f>IF(OR($C1395="",$E1395="",Calc!$H1395=""),"",IFERROR(VLOOKUP(LEFT(UPPER(TRIM($E1395)),6),BankTbl,3,0),0)+SUMIFS(CalcDep,CalcBank,LEFT(UPPER(TRIM($E1395)),6),CalcKey,"&lt;="&amp;Calc!$H1395)-SUMIFS(CalcWit,CalcBank,LEFT(UPPER(TRIM($E1395)),6),CalcKey,"&lt;="&amp;Calc!$H1395))</f>
        <v/>
      </c>
      <c r="O1395" s="10">
        <f>IF(OR($C1395="",$M1395=""),"",IF($N1395="","؟",IF(ROUND($M1395-$N1395,0)=0,"√","×")))</f>
        <v/>
      </c>
      <c r="P1395" s="12" t="n"/>
    </row>
    <row r="1396">
      <c r="A1396" s="10">
        <f>IF($C1396="","",COUNTA($C$9:$C1396))</f>
        <v/>
      </c>
      <c r="B1396" s="10">
        <f>IF($C1396="","","TXN-"&amp;RIGHT("0000"&amp;1388,4))</f>
        <v/>
      </c>
      <c r="C1396" s="11" t="n"/>
      <c r="D1396" s="11" t="n"/>
      <c r="E1396" s="12" t="n"/>
      <c r="F1396" s="10">
        <f>IF($E1396="","",IFERROR(IF(VLOOKUP(LEFT(UPPER(TRIM($E1396)),6),BankTbl,2,0)="","(بدون عنوان)",VLOOKUP(LEFT(UPPER(TRIM($E1396)),6),BankTbl,2,0)),"بانک ناشناخته"))</f>
        <v/>
      </c>
      <c r="G1396" s="11" t="n"/>
      <c r="H1396" s="10">
        <f>IF($G1396="","",IFERROR(VLOOKUP($G1396,CustTbl,2,0),IFERROR(VLOOKUP($G1396,SuppTbl,2,0),IFERROR(VLOOKUP($G1396,AcctTbl,2,0),IFERROR(VLOOKUP($G1396,StaffTbl,2,0),"کد ناشناخته")))))</f>
        <v/>
      </c>
      <c r="I1396" s="12" t="n"/>
      <c r="J1396" s="12" t="n"/>
      <c r="K1396" s="13" t="n"/>
      <c r="L1396" s="13" t="n"/>
      <c r="M1396" s="13" t="n"/>
      <c r="N1396" s="14">
        <f>IF(OR($C1396="",$E1396="",Calc!$H1396=""),"",IFERROR(VLOOKUP(LEFT(UPPER(TRIM($E1396)),6),BankTbl,3,0),0)+SUMIFS(CalcDep,CalcBank,LEFT(UPPER(TRIM($E1396)),6),CalcKey,"&lt;="&amp;Calc!$H1396)-SUMIFS(CalcWit,CalcBank,LEFT(UPPER(TRIM($E1396)),6),CalcKey,"&lt;="&amp;Calc!$H1396))</f>
        <v/>
      </c>
      <c r="O1396" s="10">
        <f>IF(OR($C1396="",$M1396=""),"",IF($N1396="","؟",IF(ROUND($M1396-$N1396,0)=0,"√","×")))</f>
        <v/>
      </c>
      <c r="P1396" s="12" t="n"/>
    </row>
    <row r="1397">
      <c r="A1397" s="10">
        <f>IF($C1397="","",COUNTA($C$9:$C1397))</f>
        <v/>
      </c>
      <c r="B1397" s="10">
        <f>IF($C1397="","","TXN-"&amp;RIGHT("0000"&amp;1389,4))</f>
        <v/>
      </c>
      <c r="C1397" s="11" t="n"/>
      <c r="D1397" s="11" t="n"/>
      <c r="E1397" s="12" t="n"/>
      <c r="F1397" s="10">
        <f>IF($E1397="","",IFERROR(IF(VLOOKUP(LEFT(UPPER(TRIM($E1397)),6),BankTbl,2,0)="","(بدون عنوان)",VLOOKUP(LEFT(UPPER(TRIM($E1397)),6),BankTbl,2,0)),"بانک ناشناخته"))</f>
        <v/>
      </c>
      <c r="G1397" s="11" t="n"/>
      <c r="H1397" s="10">
        <f>IF($G1397="","",IFERROR(VLOOKUP($G1397,CustTbl,2,0),IFERROR(VLOOKUP($G1397,SuppTbl,2,0),IFERROR(VLOOKUP($G1397,AcctTbl,2,0),IFERROR(VLOOKUP($G1397,StaffTbl,2,0),"کد ناشناخته")))))</f>
        <v/>
      </c>
      <c r="I1397" s="12" t="n"/>
      <c r="J1397" s="12" t="n"/>
      <c r="K1397" s="13" t="n"/>
      <c r="L1397" s="13" t="n"/>
      <c r="M1397" s="13" t="n"/>
      <c r="N1397" s="14">
        <f>IF(OR($C1397="",$E1397="",Calc!$H1397=""),"",IFERROR(VLOOKUP(LEFT(UPPER(TRIM($E1397)),6),BankTbl,3,0),0)+SUMIFS(CalcDep,CalcBank,LEFT(UPPER(TRIM($E1397)),6),CalcKey,"&lt;="&amp;Calc!$H1397)-SUMIFS(CalcWit,CalcBank,LEFT(UPPER(TRIM($E1397)),6),CalcKey,"&lt;="&amp;Calc!$H1397))</f>
        <v/>
      </c>
      <c r="O1397" s="10">
        <f>IF(OR($C1397="",$M1397=""),"",IF($N1397="","؟",IF(ROUND($M1397-$N1397,0)=0,"√","×")))</f>
        <v/>
      </c>
      <c r="P1397" s="12" t="n"/>
    </row>
    <row r="1398">
      <c r="A1398" s="10">
        <f>IF($C1398="","",COUNTA($C$9:$C1398))</f>
        <v/>
      </c>
      <c r="B1398" s="10">
        <f>IF($C1398="","","TXN-"&amp;RIGHT("0000"&amp;1390,4))</f>
        <v/>
      </c>
      <c r="C1398" s="11" t="n"/>
      <c r="D1398" s="11" t="n"/>
      <c r="E1398" s="12" t="n"/>
      <c r="F1398" s="10">
        <f>IF($E1398="","",IFERROR(IF(VLOOKUP(LEFT(UPPER(TRIM($E1398)),6),BankTbl,2,0)="","(بدون عنوان)",VLOOKUP(LEFT(UPPER(TRIM($E1398)),6),BankTbl,2,0)),"بانک ناشناخته"))</f>
        <v/>
      </c>
      <c r="G1398" s="11" t="n"/>
      <c r="H1398" s="10">
        <f>IF($G1398="","",IFERROR(VLOOKUP($G1398,CustTbl,2,0),IFERROR(VLOOKUP($G1398,SuppTbl,2,0),IFERROR(VLOOKUP($G1398,AcctTbl,2,0),IFERROR(VLOOKUP($G1398,StaffTbl,2,0),"کد ناشناخته")))))</f>
        <v/>
      </c>
      <c r="I1398" s="12" t="n"/>
      <c r="J1398" s="12" t="n"/>
      <c r="K1398" s="13" t="n"/>
      <c r="L1398" s="13" t="n"/>
      <c r="M1398" s="13" t="n"/>
      <c r="N1398" s="14">
        <f>IF(OR($C1398="",$E1398="",Calc!$H1398=""),"",IFERROR(VLOOKUP(LEFT(UPPER(TRIM($E1398)),6),BankTbl,3,0),0)+SUMIFS(CalcDep,CalcBank,LEFT(UPPER(TRIM($E1398)),6),CalcKey,"&lt;="&amp;Calc!$H1398)-SUMIFS(CalcWit,CalcBank,LEFT(UPPER(TRIM($E1398)),6),CalcKey,"&lt;="&amp;Calc!$H1398))</f>
        <v/>
      </c>
      <c r="O1398" s="10">
        <f>IF(OR($C1398="",$M1398=""),"",IF($N1398="","؟",IF(ROUND($M1398-$N1398,0)=0,"√","×")))</f>
        <v/>
      </c>
      <c r="P1398" s="12" t="n"/>
    </row>
    <row r="1399">
      <c r="A1399" s="10">
        <f>IF($C1399="","",COUNTA($C$9:$C1399))</f>
        <v/>
      </c>
      <c r="B1399" s="10">
        <f>IF($C1399="","","TXN-"&amp;RIGHT("0000"&amp;1391,4))</f>
        <v/>
      </c>
      <c r="C1399" s="11" t="n"/>
      <c r="D1399" s="11" t="n"/>
      <c r="E1399" s="12" t="n"/>
      <c r="F1399" s="10">
        <f>IF($E1399="","",IFERROR(IF(VLOOKUP(LEFT(UPPER(TRIM($E1399)),6),BankTbl,2,0)="","(بدون عنوان)",VLOOKUP(LEFT(UPPER(TRIM($E1399)),6),BankTbl,2,0)),"بانک ناشناخته"))</f>
        <v/>
      </c>
      <c r="G1399" s="11" t="n"/>
      <c r="H1399" s="10">
        <f>IF($G1399="","",IFERROR(VLOOKUP($G1399,CustTbl,2,0),IFERROR(VLOOKUP($G1399,SuppTbl,2,0),IFERROR(VLOOKUP($G1399,AcctTbl,2,0),IFERROR(VLOOKUP($G1399,StaffTbl,2,0),"کد ناشناخته")))))</f>
        <v/>
      </c>
      <c r="I1399" s="12" t="n"/>
      <c r="J1399" s="12" t="n"/>
      <c r="K1399" s="13" t="n"/>
      <c r="L1399" s="13" t="n"/>
      <c r="M1399" s="13" t="n"/>
      <c r="N1399" s="14">
        <f>IF(OR($C1399="",$E1399="",Calc!$H1399=""),"",IFERROR(VLOOKUP(LEFT(UPPER(TRIM($E1399)),6),BankTbl,3,0),0)+SUMIFS(CalcDep,CalcBank,LEFT(UPPER(TRIM($E1399)),6),CalcKey,"&lt;="&amp;Calc!$H1399)-SUMIFS(CalcWit,CalcBank,LEFT(UPPER(TRIM($E1399)),6),CalcKey,"&lt;="&amp;Calc!$H1399))</f>
        <v/>
      </c>
      <c r="O1399" s="10">
        <f>IF(OR($C1399="",$M1399=""),"",IF($N1399="","؟",IF(ROUND($M1399-$N1399,0)=0,"√","×")))</f>
        <v/>
      </c>
      <c r="P1399" s="12" t="n"/>
    </row>
    <row r="1400">
      <c r="A1400" s="10">
        <f>IF($C1400="","",COUNTA($C$9:$C1400))</f>
        <v/>
      </c>
      <c r="B1400" s="10">
        <f>IF($C1400="","","TXN-"&amp;RIGHT("0000"&amp;1392,4))</f>
        <v/>
      </c>
      <c r="C1400" s="11" t="n"/>
      <c r="D1400" s="11" t="n"/>
      <c r="E1400" s="12" t="n"/>
      <c r="F1400" s="10">
        <f>IF($E1400="","",IFERROR(IF(VLOOKUP(LEFT(UPPER(TRIM($E1400)),6),BankTbl,2,0)="","(بدون عنوان)",VLOOKUP(LEFT(UPPER(TRIM($E1400)),6),BankTbl,2,0)),"بانک ناشناخته"))</f>
        <v/>
      </c>
      <c r="G1400" s="11" t="n"/>
      <c r="H1400" s="10">
        <f>IF($G1400="","",IFERROR(VLOOKUP($G1400,CustTbl,2,0),IFERROR(VLOOKUP($G1400,SuppTbl,2,0),IFERROR(VLOOKUP($G1400,AcctTbl,2,0),IFERROR(VLOOKUP($G1400,StaffTbl,2,0),"کد ناشناخته")))))</f>
        <v/>
      </c>
      <c r="I1400" s="12" t="n"/>
      <c r="J1400" s="12" t="n"/>
      <c r="K1400" s="13" t="n"/>
      <c r="L1400" s="13" t="n"/>
      <c r="M1400" s="13" t="n"/>
      <c r="N1400" s="14">
        <f>IF(OR($C1400="",$E1400="",Calc!$H1400=""),"",IFERROR(VLOOKUP(LEFT(UPPER(TRIM($E1400)),6),BankTbl,3,0),0)+SUMIFS(CalcDep,CalcBank,LEFT(UPPER(TRIM($E1400)),6),CalcKey,"&lt;="&amp;Calc!$H1400)-SUMIFS(CalcWit,CalcBank,LEFT(UPPER(TRIM($E1400)),6),CalcKey,"&lt;="&amp;Calc!$H1400))</f>
        <v/>
      </c>
      <c r="O1400" s="10">
        <f>IF(OR($C1400="",$M1400=""),"",IF($N1400="","؟",IF(ROUND($M1400-$N1400,0)=0,"√","×")))</f>
        <v/>
      </c>
      <c r="P1400" s="12" t="n"/>
    </row>
    <row r="1401">
      <c r="A1401" s="10">
        <f>IF($C1401="","",COUNTA($C$9:$C1401))</f>
        <v/>
      </c>
      <c r="B1401" s="10">
        <f>IF($C1401="","","TXN-"&amp;RIGHT("0000"&amp;1393,4))</f>
        <v/>
      </c>
      <c r="C1401" s="11" t="n"/>
      <c r="D1401" s="11" t="n"/>
      <c r="E1401" s="12" t="n"/>
      <c r="F1401" s="10">
        <f>IF($E1401="","",IFERROR(IF(VLOOKUP(LEFT(UPPER(TRIM($E1401)),6),BankTbl,2,0)="","(بدون عنوان)",VLOOKUP(LEFT(UPPER(TRIM($E1401)),6),BankTbl,2,0)),"بانک ناشناخته"))</f>
        <v/>
      </c>
      <c r="G1401" s="11" t="n"/>
      <c r="H1401" s="10">
        <f>IF($G1401="","",IFERROR(VLOOKUP($G1401,CustTbl,2,0),IFERROR(VLOOKUP($G1401,SuppTbl,2,0),IFERROR(VLOOKUP($G1401,AcctTbl,2,0),IFERROR(VLOOKUP($G1401,StaffTbl,2,0),"کد ناشناخته")))))</f>
        <v/>
      </c>
      <c r="I1401" s="12" t="n"/>
      <c r="J1401" s="12" t="n"/>
      <c r="K1401" s="13" t="n"/>
      <c r="L1401" s="13" t="n"/>
      <c r="M1401" s="13" t="n"/>
      <c r="N1401" s="14">
        <f>IF(OR($C1401="",$E1401="",Calc!$H1401=""),"",IFERROR(VLOOKUP(LEFT(UPPER(TRIM($E1401)),6),BankTbl,3,0),0)+SUMIFS(CalcDep,CalcBank,LEFT(UPPER(TRIM($E1401)),6),CalcKey,"&lt;="&amp;Calc!$H1401)-SUMIFS(CalcWit,CalcBank,LEFT(UPPER(TRIM($E1401)),6),CalcKey,"&lt;="&amp;Calc!$H1401))</f>
        <v/>
      </c>
      <c r="O1401" s="10">
        <f>IF(OR($C1401="",$M1401=""),"",IF($N1401="","؟",IF(ROUND($M1401-$N1401,0)=0,"√","×")))</f>
        <v/>
      </c>
      <c r="P1401" s="12" t="n"/>
    </row>
    <row r="1402">
      <c r="A1402" s="10">
        <f>IF($C1402="","",COUNTA($C$9:$C1402))</f>
        <v/>
      </c>
      <c r="B1402" s="10">
        <f>IF($C1402="","","TXN-"&amp;RIGHT("0000"&amp;1394,4))</f>
        <v/>
      </c>
      <c r="C1402" s="11" t="n"/>
      <c r="D1402" s="11" t="n"/>
      <c r="E1402" s="12" t="n"/>
      <c r="F1402" s="10">
        <f>IF($E1402="","",IFERROR(IF(VLOOKUP(LEFT(UPPER(TRIM($E1402)),6),BankTbl,2,0)="","(بدون عنوان)",VLOOKUP(LEFT(UPPER(TRIM($E1402)),6),BankTbl,2,0)),"بانک ناشناخته"))</f>
        <v/>
      </c>
      <c r="G1402" s="11" t="n"/>
      <c r="H1402" s="10">
        <f>IF($G1402="","",IFERROR(VLOOKUP($G1402,CustTbl,2,0),IFERROR(VLOOKUP($G1402,SuppTbl,2,0),IFERROR(VLOOKUP($G1402,AcctTbl,2,0),IFERROR(VLOOKUP($G1402,StaffTbl,2,0),"کد ناشناخته")))))</f>
        <v/>
      </c>
      <c r="I1402" s="12" t="n"/>
      <c r="J1402" s="12" t="n"/>
      <c r="K1402" s="13" t="n"/>
      <c r="L1402" s="13" t="n"/>
      <c r="M1402" s="13" t="n"/>
      <c r="N1402" s="14">
        <f>IF(OR($C1402="",$E1402="",Calc!$H1402=""),"",IFERROR(VLOOKUP(LEFT(UPPER(TRIM($E1402)),6),BankTbl,3,0),0)+SUMIFS(CalcDep,CalcBank,LEFT(UPPER(TRIM($E1402)),6),CalcKey,"&lt;="&amp;Calc!$H1402)-SUMIFS(CalcWit,CalcBank,LEFT(UPPER(TRIM($E1402)),6),CalcKey,"&lt;="&amp;Calc!$H1402))</f>
        <v/>
      </c>
      <c r="O1402" s="10">
        <f>IF(OR($C1402="",$M1402=""),"",IF($N1402="","؟",IF(ROUND($M1402-$N1402,0)=0,"√","×")))</f>
        <v/>
      </c>
      <c r="P1402" s="12" t="n"/>
    </row>
    <row r="1403">
      <c r="A1403" s="10">
        <f>IF($C1403="","",COUNTA($C$9:$C1403))</f>
        <v/>
      </c>
      <c r="B1403" s="10">
        <f>IF($C1403="","","TXN-"&amp;RIGHT("0000"&amp;1395,4))</f>
        <v/>
      </c>
      <c r="C1403" s="11" t="n"/>
      <c r="D1403" s="11" t="n"/>
      <c r="E1403" s="12" t="n"/>
      <c r="F1403" s="10">
        <f>IF($E1403="","",IFERROR(IF(VLOOKUP(LEFT(UPPER(TRIM($E1403)),6),BankTbl,2,0)="","(بدون عنوان)",VLOOKUP(LEFT(UPPER(TRIM($E1403)),6),BankTbl,2,0)),"بانک ناشناخته"))</f>
        <v/>
      </c>
      <c r="G1403" s="11" t="n"/>
      <c r="H1403" s="10">
        <f>IF($G1403="","",IFERROR(VLOOKUP($G1403,CustTbl,2,0),IFERROR(VLOOKUP($G1403,SuppTbl,2,0),IFERROR(VLOOKUP($G1403,AcctTbl,2,0),IFERROR(VLOOKUP($G1403,StaffTbl,2,0),"کد ناشناخته")))))</f>
        <v/>
      </c>
      <c r="I1403" s="12" t="n"/>
      <c r="J1403" s="12" t="n"/>
      <c r="K1403" s="13" t="n"/>
      <c r="L1403" s="13" t="n"/>
      <c r="M1403" s="13" t="n"/>
      <c r="N1403" s="14">
        <f>IF(OR($C1403="",$E1403="",Calc!$H1403=""),"",IFERROR(VLOOKUP(LEFT(UPPER(TRIM($E1403)),6),BankTbl,3,0),0)+SUMIFS(CalcDep,CalcBank,LEFT(UPPER(TRIM($E1403)),6),CalcKey,"&lt;="&amp;Calc!$H1403)-SUMIFS(CalcWit,CalcBank,LEFT(UPPER(TRIM($E1403)),6),CalcKey,"&lt;="&amp;Calc!$H1403))</f>
        <v/>
      </c>
      <c r="O1403" s="10">
        <f>IF(OR($C1403="",$M1403=""),"",IF($N1403="","؟",IF(ROUND($M1403-$N1403,0)=0,"√","×")))</f>
        <v/>
      </c>
      <c r="P1403" s="12" t="n"/>
    </row>
    <row r="1404">
      <c r="A1404" s="10">
        <f>IF($C1404="","",COUNTA($C$9:$C1404))</f>
        <v/>
      </c>
      <c r="B1404" s="10">
        <f>IF($C1404="","","TXN-"&amp;RIGHT("0000"&amp;1396,4))</f>
        <v/>
      </c>
      <c r="C1404" s="11" t="n"/>
      <c r="D1404" s="11" t="n"/>
      <c r="E1404" s="12" t="n"/>
      <c r="F1404" s="10">
        <f>IF($E1404="","",IFERROR(IF(VLOOKUP(LEFT(UPPER(TRIM($E1404)),6),BankTbl,2,0)="","(بدون عنوان)",VLOOKUP(LEFT(UPPER(TRIM($E1404)),6),BankTbl,2,0)),"بانک ناشناخته"))</f>
        <v/>
      </c>
      <c r="G1404" s="11" t="n"/>
      <c r="H1404" s="10">
        <f>IF($G1404="","",IFERROR(VLOOKUP($G1404,CustTbl,2,0),IFERROR(VLOOKUP($G1404,SuppTbl,2,0),IFERROR(VLOOKUP($G1404,AcctTbl,2,0),IFERROR(VLOOKUP($G1404,StaffTbl,2,0),"کد ناشناخته")))))</f>
        <v/>
      </c>
      <c r="I1404" s="12" t="n"/>
      <c r="J1404" s="12" t="n"/>
      <c r="K1404" s="13" t="n"/>
      <c r="L1404" s="13" t="n"/>
      <c r="M1404" s="13" t="n"/>
      <c r="N1404" s="14">
        <f>IF(OR($C1404="",$E1404="",Calc!$H1404=""),"",IFERROR(VLOOKUP(LEFT(UPPER(TRIM($E1404)),6),BankTbl,3,0),0)+SUMIFS(CalcDep,CalcBank,LEFT(UPPER(TRIM($E1404)),6),CalcKey,"&lt;="&amp;Calc!$H1404)-SUMIFS(CalcWit,CalcBank,LEFT(UPPER(TRIM($E1404)),6),CalcKey,"&lt;="&amp;Calc!$H1404))</f>
        <v/>
      </c>
      <c r="O1404" s="10">
        <f>IF(OR($C1404="",$M1404=""),"",IF($N1404="","؟",IF(ROUND($M1404-$N1404,0)=0,"√","×")))</f>
        <v/>
      </c>
      <c r="P1404" s="12" t="n"/>
    </row>
    <row r="1405">
      <c r="A1405" s="10">
        <f>IF($C1405="","",COUNTA($C$9:$C1405))</f>
        <v/>
      </c>
      <c r="B1405" s="10">
        <f>IF($C1405="","","TXN-"&amp;RIGHT("0000"&amp;1397,4))</f>
        <v/>
      </c>
      <c r="C1405" s="11" t="n"/>
      <c r="D1405" s="11" t="n"/>
      <c r="E1405" s="12" t="n"/>
      <c r="F1405" s="10">
        <f>IF($E1405="","",IFERROR(IF(VLOOKUP(LEFT(UPPER(TRIM($E1405)),6),BankTbl,2,0)="","(بدون عنوان)",VLOOKUP(LEFT(UPPER(TRIM($E1405)),6),BankTbl,2,0)),"بانک ناشناخته"))</f>
        <v/>
      </c>
      <c r="G1405" s="11" t="n"/>
      <c r="H1405" s="10">
        <f>IF($G1405="","",IFERROR(VLOOKUP($G1405,CustTbl,2,0),IFERROR(VLOOKUP($G1405,SuppTbl,2,0),IFERROR(VLOOKUP($G1405,AcctTbl,2,0),IFERROR(VLOOKUP($G1405,StaffTbl,2,0),"کد ناشناخته")))))</f>
        <v/>
      </c>
      <c r="I1405" s="12" t="n"/>
      <c r="J1405" s="12" t="n"/>
      <c r="K1405" s="13" t="n"/>
      <c r="L1405" s="13" t="n"/>
      <c r="M1405" s="13" t="n"/>
      <c r="N1405" s="14">
        <f>IF(OR($C1405="",$E1405="",Calc!$H1405=""),"",IFERROR(VLOOKUP(LEFT(UPPER(TRIM($E1405)),6),BankTbl,3,0),0)+SUMIFS(CalcDep,CalcBank,LEFT(UPPER(TRIM($E1405)),6),CalcKey,"&lt;="&amp;Calc!$H1405)-SUMIFS(CalcWit,CalcBank,LEFT(UPPER(TRIM($E1405)),6),CalcKey,"&lt;="&amp;Calc!$H1405))</f>
        <v/>
      </c>
      <c r="O1405" s="10">
        <f>IF(OR($C1405="",$M1405=""),"",IF($N1405="","؟",IF(ROUND($M1405-$N1405,0)=0,"√","×")))</f>
        <v/>
      </c>
      <c r="P1405" s="12" t="n"/>
    </row>
    <row r="1406">
      <c r="A1406" s="10">
        <f>IF($C1406="","",COUNTA($C$9:$C1406))</f>
        <v/>
      </c>
      <c r="B1406" s="10">
        <f>IF($C1406="","","TXN-"&amp;RIGHT("0000"&amp;1398,4))</f>
        <v/>
      </c>
      <c r="C1406" s="11" t="n"/>
      <c r="D1406" s="11" t="n"/>
      <c r="E1406" s="12" t="n"/>
      <c r="F1406" s="10">
        <f>IF($E1406="","",IFERROR(IF(VLOOKUP(LEFT(UPPER(TRIM($E1406)),6),BankTbl,2,0)="","(بدون عنوان)",VLOOKUP(LEFT(UPPER(TRIM($E1406)),6),BankTbl,2,0)),"بانک ناشناخته"))</f>
        <v/>
      </c>
      <c r="G1406" s="11" t="n"/>
      <c r="H1406" s="10">
        <f>IF($G1406="","",IFERROR(VLOOKUP($G1406,CustTbl,2,0),IFERROR(VLOOKUP($G1406,SuppTbl,2,0),IFERROR(VLOOKUP($G1406,AcctTbl,2,0),IFERROR(VLOOKUP($G1406,StaffTbl,2,0),"کد ناشناخته")))))</f>
        <v/>
      </c>
      <c r="I1406" s="12" t="n"/>
      <c r="J1406" s="12" t="n"/>
      <c r="K1406" s="13" t="n"/>
      <c r="L1406" s="13" t="n"/>
      <c r="M1406" s="13" t="n"/>
      <c r="N1406" s="14">
        <f>IF(OR($C1406="",$E1406="",Calc!$H1406=""),"",IFERROR(VLOOKUP(LEFT(UPPER(TRIM($E1406)),6),BankTbl,3,0),0)+SUMIFS(CalcDep,CalcBank,LEFT(UPPER(TRIM($E1406)),6),CalcKey,"&lt;="&amp;Calc!$H1406)-SUMIFS(CalcWit,CalcBank,LEFT(UPPER(TRIM($E1406)),6),CalcKey,"&lt;="&amp;Calc!$H1406))</f>
        <v/>
      </c>
      <c r="O1406" s="10">
        <f>IF(OR($C1406="",$M1406=""),"",IF($N1406="","؟",IF(ROUND($M1406-$N1406,0)=0,"√","×")))</f>
        <v/>
      </c>
      <c r="P1406" s="12" t="n"/>
    </row>
    <row r="1407">
      <c r="A1407" s="10">
        <f>IF($C1407="","",COUNTA($C$9:$C1407))</f>
        <v/>
      </c>
      <c r="B1407" s="10">
        <f>IF($C1407="","","TXN-"&amp;RIGHT("0000"&amp;1399,4))</f>
        <v/>
      </c>
      <c r="C1407" s="11" t="n"/>
      <c r="D1407" s="11" t="n"/>
      <c r="E1407" s="12" t="n"/>
      <c r="F1407" s="10">
        <f>IF($E1407="","",IFERROR(IF(VLOOKUP(LEFT(UPPER(TRIM($E1407)),6),BankTbl,2,0)="","(بدون عنوان)",VLOOKUP(LEFT(UPPER(TRIM($E1407)),6),BankTbl,2,0)),"بانک ناشناخته"))</f>
        <v/>
      </c>
      <c r="G1407" s="11" t="n"/>
      <c r="H1407" s="10">
        <f>IF($G1407="","",IFERROR(VLOOKUP($G1407,CustTbl,2,0),IFERROR(VLOOKUP($G1407,SuppTbl,2,0),IFERROR(VLOOKUP($G1407,AcctTbl,2,0),IFERROR(VLOOKUP($G1407,StaffTbl,2,0),"کد ناشناخته")))))</f>
        <v/>
      </c>
      <c r="I1407" s="12" t="n"/>
      <c r="J1407" s="12" t="n"/>
      <c r="K1407" s="13" t="n"/>
      <c r="L1407" s="13" t="n"/>
      <c r="M1407" s="13" t="n"/>
      <c r="N1407" s="14">
        <f>IF(OR($C1407="",$E1407="",Calc!$H1407=""),"",IFERROR(VLOOKUP(LEFT(UPPER(TRIM($E1407)),6),BankTbl,3,0),0)+SUMIFS(CalcDep,CalcBank,LEFT(UPPER(TRIM($E1407)),6),CalcKey,"&lt;="&amp;Calc!$H1407)-SUMIFS(CalcWit,CalcBank,LEFT(UPPER(TRIM($E1407)),6),CalcKey,"&lt;="&amp;Calc!$H1407))</f>
        <v/>
      </c>
      <c r="O1407" s="10">
        <f>IF(OR($C1407="",$M1407=""),"",IF($N1407="","؟",IF(ROUND($M1407-$N1407,0)=0,"√","×")))</f>
        <v/>
      </c>
      <c r="P1407" s="12" t="n"/>
    </row>
    <row r="1408">
      <c r="A1408" s="10">
        <f>IF($C1408="","",COUNTA($C$9:$C1408))</f>
        <v/>
      </c>
      <c r="B1408" s="10">
        <f>IF($C1408="","","TXN-"&amp;RIGHT("0000"&amp;1400,4))</f>
        <v/>
      </c>
      <c r="C1408" s="11" t="n"/>
      <c r="D1408" s="11" t="n"/>
      <c r="E1408" s="12" t="n"/>
      <c r="F1408" s="10">
        <f>IF($E1408="","",IFERROR(IF(VLOOKUP(LEFT(UPPER(TRIM($E1408)),6),BankTbl,2,0)="","(بدون عنوان)",VLOOKUP(LEFT(UPPER(TRIM($E1408)),6),BankTbl,2,0)),"بانک ناشناخته"))</f>
        <v/>
      </c>
      <c r="G1408" s="11" t="n"/>
      <c r="H1408" s="10">
        <f>IF($G1408="","",IFERROR(VLOOKUP($G1408,CustTbl,2,0),IFERROR(VLOOKUP($G1408,SuppTbl,2,0),IFERROR(VLOOKUP($G1408,AcctTbl,2,0),IFERROR(VLOOKUP($G1408,StaffTbl,2,0),"کد ناشناخته")))))</f>
        <v/>
      </c>
      <c r="I1408" s="12" t="n"/>
      <c r="J1408" s="12" t="n"/>
      <c r="K1408" s="13" t="n"/>
      <c r="L1408" s="13" t="n"/>
      <c r="M1408" s="13" t="n"/>
      <c r="N1408" s="14">
        <f>IF(OR($C1408="",$E1408="",Calc!$H1408=""),"",IFERROR(VLOOKUP(LEFT(UPPER(TRIM($E1408)),6),BankTbl,3,0),0)+SUMIFS(CalcDep,CalcBank,LEFT(UPPER(TRIM($E1408)),6),CalcKey,"&lt;="&amp;Calc!$H1408)-SUMIFS(CalcWit,CalcBank,LEFT(UPPER(TRIM($E1408)),6),CalcKey,"&lt;="&amp;Calc!$H1408))</f>
        <v/>
      </c>
      <c r="O1408" s="10">
        <f>IF(OR($C1408="",$M1408=""),"",IF($N1408="","؟",IF(ROUND($M1408-$N1408,0)=0,"√","×")))</f>
        <v/>
      </c>
      <c r="P1408" s="12" t="n"/>
    </row>
    <row r="1409">
      <c r="A1409" s="10">
        <f>IF($C1409="","",COUNTA($C$9:$C1409))</f>
        <v/>
      </c>
      <c r="B1409" s="10">
        <f>IF($C1409="","","TXN-"&amp;RIGHT("0000"&amp;1401,4))</f>
        <v/>
      </c>
      <c r="C1409" s="11" t="n"/>
      <c r="D1409" s="11" t="n"/>
      <c r="E1409" s="12" t="n"/>
      <c r="F1409" s="10">
        <f>IF($E1409="","",IFERROR(IF(VLOOKUP(LEFT(UPPER(TRIM($E1409)),6),BankTbl,2,0)="","(بدون عنوان)",VLOOKUP(LEFT(UPPER(TRIM($E1409)),6),BankTbl,2,0)),"بانک ناشناخته"))</f>
        <v/>
      </c>
      <c r="G1409" s="11" t="n"/>
      <c r="H1409" s="10">
        <f>IF($G1409="","",IFERROR(VLOOKUP($G1409,CustTbl,2,0),IFERROR(VLOOKUP($G1409,SuppTbl,2,0),IFERROR(VLOOKUP($G1409,AcctTbl,2,0),IFERROR(VLOOKUP($G1409,StaffTbl,2,0),"کد ناشناخته")))))</f>
        <v/>
      </c>
      <c r="I1409" s="12" t="n"/>
      <c r="J1409" s="12" t="n"/>
      <c r="K1409" s="13" t="n"/>
      <c r="L1409" s="13" t="n"/>
      <c r="M1409" s="13" t="n"/>
      <c r="N1409" s="14">
        <f>IF(OR($C1409="",$E1409="",Calc!$H1409=""),"",IFERROR(VLOOKUP(LEFT(UPPER(TRIM($E1409)),6),BankTbl,3,0),0)+SUMIFS(CalcDep,CalcBank,LEFT(UPPER(TRIM($E1409)),6),CalcKey,"&lt;="&amp;Calc!$H1409)-SUMIFS(CalcWit,CalcBank,LEFT(UPPER(TRIM($E1409)),6),CalcKey,"&lt;="&amp;Calc!$H1409))</f>
        <v/>
      </c>
      <c r="O1409" s="10">
        <f>IF(OR($C1409="",$M1409=""),"",IF($N1409="","؟",IF(ROUND($M1409-$N1409,0)=0,"√","×")))</f>
        <v/>
      </c>
      <c r="P1409" s="12" t="n"/>
    </row>
    <row r="1410">
      <c r="A1410" s="10">
        <f>IF($C1410="","",COUNTA($C$9:$C1410))</f>
        <v/>
      </c>
      <c r="B1410" s="10">
        <f>IF($C1410="","","TXN-"&amp;RIGHT("0000"&amp;1402,4))</f>
        <v/>
      </c>
      <c r="C1410" s="11" t="n"/>
      <c r="D1410" s="11" t="n"/>
      <c r="E1410" s="12" t="n"/>
      <c r="F1410" s="10">
        <f>IF($E1410="","",IFERROR(IF(VLOOKUP(LEFT(UPPER(TRIM($E1410)),6),BankTbl,2,0)="","(بدون عنوان)",VLOOKUP(LEFT(UPPER(TRIM($E1410)),6),BankTbl,2,0)),"بانک ناشناخته"))</f>
        <v/>
      </c>
      <c r="G1410" s="11" t="n"/>
      <c r="H1410" s="10">
        <f>IF($G1410="","",IFERROR(VLOOKUP($G1410,CustTbl,2,0),IFERROR(VLOOKUP($G1410,SuppTbl,2,0),IFERROR(VLOOKUP($G1410,AcctTbl,2,0),IFERROR(VLOOKUP($G1410,StaffTbl,2,0),"کد ناشناخته")))))</f>
        <v/>
      </c>
      <c r="I1410" s="12" t="n"/>
      <c r="J1410" s="12" t="n"/>
      <c r="K1410" s="13" t="n"/>
      <c r="L1410" s="13" t="n"/>
      <c r="M1410" s="13" t="n"/>
      <c r="N1410" s="14">
        <f>IF(OR($C1410="",$E1410="",Calc!$H1410=""),"",IFERROR(VLOOKUP(LEFT(UPPER(TRIM($E1410)),6),BankTbl,3,0),0)+SUMIFS(CalcDep,CalcBank,LEFT(UPPER(TRIM($E1410)),6),CalcKey,"&lt;="&amp;Calc!$H1410)-SUMIFS(CalcWit,CalcBank,LEFT(UPPER(TRIM($E1410)),6),CalcKey,"&lt;="&amp;Calc!$H1410))</f>
        <v/>
      </c>
      <c r="O1410" s="10">
        <f>IF(OR($C1410="",$M1410=""),"",IF($N1410="","؟",IF(ROUND($M1410-$N1410,0)=0,"√","×")))</f>
        <v/>
      </c>
      <c r="P1410" s="12" t="n"/>
    </row>
    <row r="1411">
      <c r="A1411" s="10">
        <f>IF($C1411="","",COUNTA($C$9:$C1411))</f>
        <v/>
      </c>
      <c r="B1411" s="10">
        <f>IF($C1411="","","TXN-"&amp;RIGHT("0000"&amp;1403,4))</f>
        <v/>
      </c>
      <c r="C1411" s="11" t="n"/>
      <c r="D1411" s="11" t="n"/>
      <c r="E1411" s="12" t="n"/>
      <c r="F1411" s="10">
        <f>IF($E1411="","",IFERROR(IF(VLOOKUP(LEFT(UPPER(TRIM($E1411)),6),BankTbl,2,0)="","(بدون عنوان)",VLOOKUP(LEFT(UPPER(TRIM($E1411)),6),BankTbl,2,0)),"بانک ناشناخته"))</f>
        <v/>
      </c>
      <c r="G1411" s="11" t="n"/>
      <c r="H1411" s="10">
        <f>IF($G1411="","",IFERROR(VLOOKUP($G1411,CustTbl,2,0),IFERROR(VLOOKUP($G1411,SuppTbl,2,0),IFERROR(VLOOKUP($G1411,AcctTbl,2,0),IFERROR(VLOOKUP($G1411,StaffTbl,2,0),"کد ناشناخته")))))</f>
        <v/>
      </c>
      <c r="I1411" s="12" t="n"/>
      <c r="J1411" s="12" t="n"/>
      <c r="K1411" s="13" t="n"/>
      <c r="L1411" s="13" t="n"/>
      <c r="M1411" s="13" t="n"/>
      <c r="N1411" s="14">
        <f>IF(OR($C1411="",$E1411="",Calc!$H1411=""),"",IFERROR(VLOOKUP(LEFT(UPPER(TRIM($E1411)),6),BankTbl,3,0),0)+SUMIFS(CalcDep,CalcBank,LEFT(UPPER(TRIM($E1411)),6),CalcKey,"&lt;="&amp;Calc!$H1411)-SUMIFS(CalcWit,CalcBank,LEFT(UPPER(TRIM($E1411)),6),CalcKey,"&lt;="&amp;Calc!$H1411))</f>
        <v/>
      </c>
      <c r="O1411" s="10">
        <f>IF(OR($C1411="",$M1411=""),"",IF($N1411="","؟",IF(ROUND($M1411-$N1411,0)=0,"√","×")))</f>
        <v/>
      </c>
      <c r="P1411" s="12" t="n"/>
    </row>
    <row r="1412">
      <c r="A1412" s="10">
        <f>IF($C1412="","",COUNTA($C$9:$C1412))</f>
        <v/>
      </c>
      <c r="B1412" s="10">
        <f>IF($C1412="","","TXN-"&amp;RIGHT("0000"&amp;1404,4))</f>
        <v/>
      </c>
      <c r="C1412" s="11" t="n"/>
      <c r="D1412" s="11" t="n"/>
      <c r="E1412" s="12" t="n"/>
      <c r="F1412" s="10">
        <f>IF($E1412="","",IFERROR(IF(VLOOKUP(LEFT(UPPER(TRIM($E1412)),6),BankTbl,2,0)="","(بدون عنوان)",VLOOKUP(LEFT(UPPER(TRIM($E1412)),6),BankTbl,2,0)),"بانک ناشناخته"))</f>
        <v/>
      </c>
      <c r="G1412" s="11" t="n"/>
      <c r="H1412" s="10">
        <f>IF($G1412="","",IFERROR(VLOOKUP($G1412,CustTbl,2,0),IFERROR(VLOOKUP($G1412,SuppTbl,2,0),IFERROR(VLOOKUP($G1412,AcctTbl,2,0),IFERROR(VLOOKUP($G1412,StaffTbl,2,0),"کد ناشناخته")))))</f>
        <v/>
      </c>
      <c r="I1412" s="12" t="n"/>
      <c r="J1412" s="12" t="n"/>
      <c r="K1412" s="13" t="n"/>
      <c r="L1412" s="13" t="n"/>
      <c r="M1412" s="13" t="n"/>
      <c r="N1412" s="14">
        <f>IF(OR($C1412="",$E1412="",Calc!$H1412=""),"",IFERROR(VLOOKUP(LEFT(UPPER(TRIM($E1412)),6),BankTbl,3,0),0)+SUMIFS(CalcDep,CalcBank,LEFT(UPPER(TRIM($E1412)),6),CalcKey,"&lt;="&amp;Calc!$H1412)-SUMIFS(CalcWit,CalcBank,LEFT(UPPER(TRIM($E1412)),6),CalcKey,"&lt;="&amp;Calc!$H1412))</f>
        <v/>
      </c>
      <c r="O1412" s="10">
        <f>IF(OR($C1412="",$M1412=""),"",IF($N1412="","؟",IF(ROUND($M1412-$N1412,0)=0,"√","×")))</f>
        <v/>
      </c>
      <c r="P1412" s="12" t="n"/>
    </row>
    <row r="1413">
      <c r="A1413" s="10">
        <f>IF($C1413="","",COUNTA($C$9:$C1413))</f>
        <v/>
      </c>
      <c r="B1413" s="10">
        <f>IF($C1413="","","TXN-"&amp;RIGHT("0000"&amp;1405,4))</f>
        <v/>
      </c>
      <c r="C1413" s="11" t="n"/>
      <c r="D1413" s="11" t="n"/>
      <c r="E1413" s="12" t="n"/>
      <c r="F1413" s="10">
        <f>IF($E1413="","",IFERROR(IF(VLOOKUP(LEFT(UPPER(TRIM($E1413)),6),BankTbl,2,0)="","(بدون عنوان)",VLOOKUP(LEFT(UPPER(TRIM($E1413)),6),BankTbl,2,0)),"بانک ناشناخته"))</f>
        <v/>
      </c>
      <c r="G1413" s="11" t="n"/>
      <c r="H1413" s="10">
        <f>IF($G1413="","",IFERROR(VLOOKUP($G1413,CustTbl,2,0),IFERROR(VLOOKUP($G1413,SuppTbl,2,0),IFERROR(VLOOKUP($G1413,AcctTbl,2,0),IFERROR(VLOOKUP($G1413,StaffTbl,2,0),"کد ناشناخته")))))</f>
        <v/>
      </c>
      <c r="I1413" s="12" t="n"/>
      <c r="J1413" s="12" t="n"/>
      <c r="K1413" s="13" t="n"/>
      <c r="L1413" s="13" t="n"/>
      <c r="M1413" s="13" t="n"/>
      <c r="N1413" s="14">
        <f>IF(OR($C1413="",$E1413="",Calc!$H1413=""),"",IFERROR(VLOOKUP(LEFT(UPPER(TRIM($E1413)),6),BankTbl,3,0),0)+SUMIFS(CalcDep,CalcBank,LEFT(UPPER(TRIM($E1413)),6),CalcKey,"&lt;="&amp;Calc!$H1413)-SUMIFS(CalcWit,CalcBank,LEFT(UPPER(TRIM($E1413)),6),CalcKey,"&lt;="&amp;Calc!$H1413))</f>
        <v/>
      </c>
      <c r="O1413" s="10">
        <f>IF(OR($C1413="",$M1413=""),"",IF($N1413="","؟",IF(ROUND($M1413-$N1413,0)=0,"√","×")))</f>
        <v/>
      </c>
      <c r="P1413" s="12" t="n"/>
    </row>
    <row r="1414">
      <c r="A1414" s="10">
        <f>IF($C1414="","",COUNTA($C$9:$C1414))</f>
        <v/>
      </c>
      <c r="B1414" s="10">
        <f>IF($C1414="","","TXN-"&amp;RIGHT("0000"&amp;1406,4))</f>
        <v/>
      </c>
      <c r="C1414" s="11" t="n"/>
      <c r="D1414" s="11" t="n"/>
      <c r="E1414" s="12" t="n"/>
      <c r="F1414" s="10">
        <f>IF($E1414="","",IFERROR(IF(VLOOKUP(LEFT(UPPER(TRIM($E1414)),6),BankTbl,2,0)="","(بدون عنوان)",VLOOKUP(LEFT(UPPER(TRIM($E1414)),6),BankTbl,2,0)),"بانک ناشناخته"))</f>
        <v/>
      </c>
      <c r="G1414" s="11" t="n"/>
      <c r="H1414" s="10">
        <f>IF($G1414="","",IFERROR(VLOOKUP($G1414,CustTbl,2,0),IFERROR(VLOOKUP($G1414,SuppTbl,2,0),IFERROR(VLOOKUP($G1414,AcctTbl,2,0),IFERROR(VLOOKUP($G1414,StaffTbl,2,0),"کد ناشناخته")))))</f>
        <v/>
      </c>
      <c r="I1414" s="12" t="n"/>
      <c r="J1414" s="12" t="n"/>
      <c r="K1414" s="13" t="n"/>
      <c r="L1414" s="13" t="n"/>
      <c r="M1414" s="13" t="n"/>
      <c r="N1414" s="14">
        <f>IF(OR($C1414="",$E1414="",Calc!$H1414=""),"",IFERROR(VLOOKUP(LEFT(UPPER(TRIM($E1414)),6),BankTbl,3,0),0)+SUMIFS(CalcDep,CalcBank,LEFT(UPPER(TRIM($E1414)),6),CalcKey,"&lt;="&amp;Calc!$H1414)-SUMIFS(CalcWit,CalcBank,LEFT(UPPER(TRIM($E1414)),6),CalcKey,"&lt;="&amp;Calc!$H1414))</f>
        <v/>
      </c>
      <c r="O1414" s="10">
        <f>IF(OR($C1414="",$M1414=""),"",IF($N1414="","؟",IF(ROUND($M1414-$N1414,0)=0,"√","×")))</f>
        <v/>
      </c>
      <c r="P1414" s="12" t="n"/>
    </row>
    <row r="1415">
      <c r="A1415" s="10">
        <f>IF($C1415="","",COUNTA($C$9:$C1415))</f>
        <v/>
      </c>
      <c r="B1415" s="10">
        <f>IF($C1415="","","TXN-"&amp;RIGHT("0000"&amp;1407,4))</f>
        <v/>
      </c>
      <c r="C1415" s="11" t="n"/>
      <c r="D1415" s="11" t="n"/>
      <c r="E1415" s="12" t="n"/>
      <c r="F1415" s="10">
        <f>IF($E1415="","",IFERROR(IF(VLOOKUP(LEFT(UPPER(TRIM($E1415)),6),BankTbl,2,0)="","(بدون عنوان)",VLOOKUP(LEFT(UPPER(TRIM($E1415)),6),BankTbl,2,0)),"بانک ناشناخته"))</f>
        <v/>
      </c>
      <c r="G1415" s="11" t="n"/>
      <c r="H1415" s="10">
        <f>IF($G1415="","",IFERROR(VLOOKUP($G1415,CustTbl,2,0),IFERROR(VLOOKUP($G1415,SuppTbl,2,0),IFERROR(VLOOKUP($G1415,AcctTbl,2,0),IFERROR(VLOOKUP($G1415,StaffTbl,2,0),"کد ناشناخته")))))</f>
        <v/>
      </c>
      <c r="I1415" s="12" t="n"/>
      <c r="J1415" s="12" t="n"/>
      <c r="K1415" s="13" t="n"/>
      <c r="L1415" s="13" t="n"/>
      <c r="M1415" s="13" t="n"/>
      <c r="N1415" s="14">
        <f>IF(OR($C1415="",$E1415="",Calc!$H1415=""),"",IFERROR(VLOOKUP(LEFT(UPPER(TRIM($E1415)),6),BankTbl,3,0),0)+SUMIFS(CalcDep,CalcBank,LEFT(UPPER(TRIM($E1415)),6),CalcKey,"&lt;="&amp;Calc!$H1415)-SUMIFS(CalcWit,CalcBank,LEFT(UPPER(TRIM($E1415)),6),CalcKey,"&lt;="&amp;Calc!$H1415))</f>
        <v/>
      </c>
      <c r="O1415" s="10">
        <f>IF(OR($C1415="",$M1415=""),"",IF($N1415="","؟",IF(ROUND($M1415-$N1415,0)=0,"√","×")))</f>
        <v/>
      </c>
      <c r="P1415" s="12" t="n"/>
    </row>
    <row r="1416">
      <c r="A1416" s="10">
        <f>IF($C1416="","",COUNTA($C$9:$C1416))</f>
        <v/>
      </c>
      <c r="B1416" s="10">
        <f>IF($C1416="","","TXN-"&amp;RIGHT("0000"&amp;1408,4))</f>
        <v/>
      </c>
      <c r="C1416" s="11" t="n"/>
      <c r="D1416" s="11" t="n"/>
      <c r="E1416" s="12" t="n"/>
      <c r="F1416" s="10">
        <f>IF($E1416="","",IFERROR(IF(VLOOKUP(LEFT(UPPER(TRIM($E1416)),6),BankTbl,2,0)="","(بدون عنوان)",VLOOKUP(LEFT(UPPER(TRIM($E1416)),6),BankTbl,2,0)),"بانک ناشناخته"))</f>
        <v/>
      </c>
      <c r="G1416" s="11" t="n"/>
      <c r="H1416" s="10">
        <f>IF($G1416="","",IFERROR(VLOOKUP($G1416,CustTbl,2,0),IFERROR(VLOOKUP($G1416,SuppTbl,2,0),IFERROR(VLOOKUP($G1416,AcctTbl,2,0),IFERROR(VLOOKUP($G1416,StaffTbl,2,0),"کد ناشناخته")))))</f>
        <v/>
      </c>
      <c r="I1416" s="12" t="n"/>
      <c r="J1416" s="12" t="n"/>
      <c r="K1416" s="13" t="n"/>
      <c r="L1416" s="13" t="n"/>
      <c r="M1416" s="13" t="n"/>
      <c r="N1416" s="14">
        <f>IF(OR($C1416="",$E1416="",Calc!$H1416=""),"",IFERROR(VLOOKUP(LEFT(UPPER(TRIM($E1416)),6),BankTbl,3,0),0)+SUMIFS(CalcDep,CalcBank,LEFT(UPPER(TRIM($E1416)),6),CalcKey,"&lt;="&amp;Calc!$H1416)-SUMIFS(CalcWit,CalcBank,LEFT(UPPER(TRIM($E1416)),6),CalcKey,"&lt;="&amp;Calc!$H1416))</f>
        <v/>
      </c>
      <c r="O1416" s="10">
        <f>IF(OR($C1416="",$M1416=""),"",IF($N1416="","؟",IF(ROUND($M1416-$N1416,0)=0,"√","×")))</f>
        <v/>
      </c>
      <c r="P1416" s="12" t="n"/>
    </row>
    <row r="1417">
      <c r="A1417" s="10">
        <f>IF($C1417="","",COUNTA($C$9:$C1417))</f>
        <v/>
      </c>
      <c r="B1417" s="10">
        <f>IF($C1417="","","TXN-"&amp;RIGHT("0000"&amp;1409,4))</f>
        <v/>
      </c>
      <c r="C1417" s="11" t="n"/>
      <c r="D1417" s="11" t="n"/>
      <c r="E1417" s="12" t="n"/>
      <c r="F1417" s="10">
        <f>IF($E1417="","",IFERROR(IF(VLOOKUP(LEFT(UPPER(TRIM($E1417)),6),BankTbl,2,0)="","(بدون عنوان)",VLOOKUP(LEFT(UPPER(TRIM($E1417)),6),BankTbl,2,0)),"بانک ناشناخته"))</f>
        <v/>
      </c>
      <c r="G1417" s="11" t="n"/>
      <c r="H1417" s="10">
        <f>IF($G1417="","",IFERROR(VLOOKUP($G1417,CustTbl,2,0),IFERROR(VLOOKUP($G1417,SuppTbl,2,0),IFERROR(VLOOKUP($G1417,AcctTbl,2,0),IFERROR(VLOOKUP($G1417,StaffTbl,2,0),"کد ناشناخته")))))</f>
        <v/>
      </c>
      <c r="I1417" s="12" t="n"/>
      <c r="J1417" s="12" t="n"/>
      <c r="K1417" s="13" t="n"/>
      <c r="L1417" s="13" t="n"/>
      <c r="M1417" s="13" t="n"/>
      <c r="N1417" s="14">
        <f>IF(OR($C1417="",$E1417="",Calc!$H1417=""),"",IFERROR(VLOOKUP(LEFT(UPPER(TRIM($E1417)),6),BankTbl,3,0),0)+SUMIFS(CalcDep,CalcBank,LEFT(UPPER(TRIM($E1417)),6),CalcKey,"&lt;="&amp;Calc!$H1417)-SUMIFS(CalcWit,CalcBank,LEFT(UPPER(TRIM($E1417)),6),CalcKey,"&lt;="&amp;Calc!$H1417))</f>
        <v/>
      </c>
      <c r="O1417" s="10">
        <f>IF(OR($C1417="",$M1417=""),"",IF($N1417="","؟",IF(ROUND($M1417-$N1417,0)=0,"√","×")))</f>
        <v/>
      </c>
      <c r="P1417" s="12" t="n"/>
    </row>
    <row r="1418">
      <c r="A1418" s="10">
        <f>IF($C1418="","",COUNTA($C$9:$C1418))</f>
        <v/>
      </c>
      <c r="B1418" s="10">
        <f>IF($C1418="","","TXN-"&amp;RIGHT("0000"&amp;1410,4))</f>
        <v/>
      </c>
      <c r="C1418" s="11" t="n"/>
      <c r="D1418" s="11" t="n"/>
      <c r="E1418" s="12" t="n"/>
      <c r="F1418" s="10">
        <f>IF($E1418="","",IFERROR(IF(VLOOKUP(LEFT(UPPER(TRIM($E1418)),6),BankTbl,2,0)="","(بدون عنوان)",VLOOKUP(LEFT(UPPER(TRIM($E1418)),6),BankTbl,2,0)),"بانک ناشناخته"))</f>
        <v/>
      </c>
      <c r="G1418" s="11" t="n"/>
      <c r="H1418" s="10">
        <f>IF($G1418="","",IFERROR(VLOOKUP($G1418,CustTbl,2,0),IFERROR(VLOOKUP($G1418,SuppTbl,2,0),IFERROR(VLOOKUP($G1418,AcctTbl,2,0),IFERROR(VLOOKUP($G1418,StaffTbl,2,0),"کد ناشناخته")))))</f>
        <v/>
      </c>
      <c r="I1418" s="12" t="n"/>
      <c r="J1418" s="12" t="n"/>
      <c r="K1418" s="13" t="n"/>
      <c r="L1418" s="13" t="n"/>
      <c r="M1418" s="13" t="n"/>
      <c r="N1418" s="14">
        <f>IF(OR($C1418="",$E1418="",Calc!$H1418=""),"",IFERROR(VLOOKUP(LEFT(UPPER(TRIM($E1418)),6),BankTbl,3,0),0)+SUMIFS(CalcDep,CalcBank,LEFT(UPPER(TRIM($E1418)),6),CalcKey,"&lt;="&amp;Calc!$H1418)-SUMIFS(CalcWit,CalcBank,LEFT(UPPER(TRIM($E1418)),6),CalcKey,"&lt;="&amp;Calc!$H1418))</f>
        <v/>
      </c>
      <c r="O1418" s="10">
        <f>IF(OR($C1418="",$M1418=""),"",IF($N1418="","؟",IF(ROUND($M1418-$N1418,0)=0,"√","×")))</f>
        <v/>
      </c>
      <c r="P1418" s="12" t="n"/>
    </row>
    <row r="1419">
      <c r="A1419" s="10">
        <f>IF($C1419="","",COUNTA($C$9:$C1419))</f>
        <v/>
      </c>
      <c r="B1419" s="10">
        <f>IF($C1419="","","TXN-"&amp;RIGHT("0000"&amp;1411,4))</f>
        <v/>
      </c>
      <c r="C1419" s="11" t="n"/>
      <c r="D1419" s="11" t="n"/>
      <c r="E1419" s="12" t="n"/>
      <c r="F1419" s="10">
        <f>IF($E1419="","",IFERROR(IF(VLOOKUP(LEFT(UPPER(TRIM($E1419)),6),BankTbl,2,0)="","(بدون عنوان)",VLOOKUP(LEFT(UPPER(TRIM($E1419)),6),BankTbl,2,0)),"بانک ناشناخته"))</f>
        <v/>
      </c>
      <c r="G1419" s="11" t="n"/>
      <c r="H1419" s="10">
        <f>IF($G1419="","",IFERROR(VLOOKUP($G1419,CustTbl,2,0),IFERROR(VLOOKUP($G1419,SuppTbl,2,0),IFERROR(VLOOKUP($G1419,AcctTbl,2,0),IFERROR(VLOOKUP($G1419,StaffTbl,2,0),"کد ناشناخته")))))</f>
        <v/>
      </c>
      <c r="I1419" s="12" t="n"/>
      <c r="J1419" s="12" t="n"/>
      <c r="K1419" s="13" t="n"/>
      <c r="L1419" s="13" t="n"/>
      <c r="M1419" s="13" t="n"/>
      <c r="N1419" s="14">
        <f>IF(OR($C1419="",$E1419="",Calc!$H1419=""),"",IFERROR(VLOOKUP(LEFT(UPPER(TRIM($E1419)),6),BankTbl,3,0),0)+SUMIFS(CalcDep,CalcBank,LEFT(UPPER(TRIM($E1419)),6),CalcKey,"&lt;="&amp;Calc!$H1419)-SUMIFS(CalcWit,CalcBank,LEFT(UPPER(TRIM($E1419)),6),CalcKey,"&lt;="&amp;Calc!$H1419))</f>
        <v/>
      </c>
      <c r="O1419" s="10">
        <f>IF(OR($C1419="",$M1419=""),"",IF($N1419="","؟",IF(ROUND($M1419-$N1419,0)=0,"√","×")))</f>
        <v/>
      </c>
      <c r="P1419" s="12" t="n"/>
    </row>
    <row r="1420">
      <c r="A1420" s="10">
        <f>IF($C1420="","",COUNTA($C$9:$C1420))</f>
        <v/>
      </c>
      <c r="B1420" s="10">
        <f>IF($C1420="","","TXN-"&amp;RIGHT("0000"&amp;1412,4))</f>
        <v/>
      </c>
      <c r="C1420" s="11" t="n"/>
      <c r="D1420" s="11" t="n"/>
      <c r="E1420" s="12" t="n"/>
      <c r="F1420" s="10">
        <f>IF($E1420="","",IFERROR(IF(VLOOKUP(LEFT(UPPER(TRIM($E1420)),6),BankTbl,2,0)="","(بدون عنوان)",VLOOKUP(LEFT(UPPER(TRIM($E1420)),6),BankTbl,2,0)),"بانک ناشناخته"))</f>
        <v/>
      </c>
      <c r="G1420" s="11" t="n"/>
      <c r="H1420" s="10">
        <f>IF($G1420="","",IFERROR(VLOOKUP($G1420,CustTbl,2,0),IFERROR(VLOOKUP($G1420,SuppTbl,2,0),IFERROR(VLOOKUP($G1420,AcctTbl,2,0),IFERROR(VLOOKUP($G1420,StaffTbl,2,0),"کد ناشناخته")))))</f>
        <v/>
      </c>
      <c r="I1420" s="12" t="n"/>
      <c r="J1420" s="12" t="n"/>
      <c r="K1420" s="13" t="n"/>
      <c r="L1420" s="13" t="n"/>
      <c r="M1420" s="13" t="n"/>
      <c r="N1420" s="14">
        <f>IF(OR($C1420="",$E1420="",Calc!$H1420=""),"",IFERROR(VLOOKUP(LEFT(UPPER(TRIM($E1420)),6),BankTbl,3,0),0)+SUMIFS(CalcDep,CalcBank,LEFT(UPPER(TRIM($E1420)),6),CalcKey,"&lt;="&amp;Calc!$H1420)-SUMIFS(CalcWit,CalcBank,LEFT(UPPER(TRIM($E1420)),6),CalcKey,"&lt;="&amp;Calc!$H1420))</f>
        <v/>
      </c>
      <c r="O1420" s="10">
        <f>IF(OR($C1420="",$M1420=""),"",IF($N1420="","؟",IF(ROUND($M1420-$N1420,0)=0,"√","×")))</f>
        <v/>
      </c>
      <c r="P1420" s="12" t="n"/>
    </row>
    <row r="1421">
      <c r="A1421" s="10">
        <f>IF($C1421="","",COUNTA($C$9:$C1421))</f>
        <v/>
      </c>
      <c r="B1421" s="10">
        <f>IF($C1421="","","TXN-"&amp;RIGHT("0000"&amp;1413,4))</f>
        <v/>
      </c>
      <c r="C1421" s="11" t="n"/>
      <c r="D1421" s="11" t="n"/>
      <c r="E1421" s="12" t="n"/>
      <c r="F1421" s="10">
        <f>IF($E1421="","",IFERROR(IF(VLOOKUP(LEFT(UPPER(TRIM($E1421)),6),BankTbl,2,0)="","(بدون عنوان)",VLOOKUP(LEFT(UPPER(TRIM($E1421)),6),BankTbl,2,0)),"بانک ناشناخته"))</f>
        <v/>
      </c>
      <c r="G1421" s="11" t="n"/>
      <c r="H1421" s="10">
        <f>IF($G1421="","",IFERROR(VLOOKUP($G1421,CustTbl,2,0),IFERROR(VLOOKUP($G1421,SuppTbl,2,0),IFERROR(VLOOKUP($G1421,AcctTbl,2,0),IFERROR(VLOOKUP($G1421,StaffTbl,2,0),"کد ناشناخته")))))</f>
        <v/>
      </c>
      <c r="I1421" s="12" t="n"/>
      <c r="J1421" s="12" t="n"/>
      <c r="K1421" s="13" t="n"/>
      <c r="L1421" s="13" t="n"/>
      <c r="M1421" s="13" t="n"/>
      <c r="N1421" s="14">
        <f>IF(OR($C1421="",$E1421="",Calc!$H1421=""),"",IFERROR(VLOOKUP(LEFT(UPPER(TRIM($E1421)),6),BankTbl,3,0),0)+SUMIFS(CalcDep,CalcBank,LEFT(UPPER(TRIM($E1421)),6),CalcKey,"&lt;="&amp;Calc!$H1421)-SUMIFS(CalcWit,CalcBank,LEFT(UPPER(TRIM($E1421)),6),CalcKey,"&lt;="&amp;Calc!$H1421))</f>
        <v/>
      </c>
      <c r="O1421" s="10">
        <f>IF(OR($C1421="",$M1421=""),"",IF($N1421="","؟",IF(ROUND($M1421-$N1421,0)=0,"√","×")))</f>
        <v/>
      </c>
      <c r="P1421" s="12" t="n"/>
    </row>
    <row r="1422">
      <c r="A1422" s="10">
        <f>IF($C1422="","",COUNTA($C$9:$C1422))</f>
        <v/>
      </c>
      <c r="B1422" s="10">
        <f>IF($C1422="","","TXN-"&amp;RIGHT("0000"&amp;1414,4))</f>
        <v/>
      </c>
      <c r="C1422" s="11" t="n"/>
      <c r="D1422" s="11" t="n"/>
      <c r="E1422" s="12" t="n"/>
      <c r="F1422" s="10">
        <f>IF($E1422="","",IFERROR(IF(VLOOKUP(LEFT(UPPER(TRIM($E1422)),6),BankTbl,2,0)="","(بدون عنوان)",VLOOKUP(LEFT(UPPER(TRIM($E1422)),6),BankTbl,2,0)),"بانک ناشناخته"))</f>
        <v/>
      </c>
      <c r="G1422" s="11" t="n"/>
      <c r="H1422" s="10">
        <f>IF($G1422="","",IFERROR(VLOOKUP($G1422,CustTbl,2,0),IFERROR(VLOOKUP($G1422,SuppTbl,2,0),IFERROR(VLOOKUP($G1422,AcctTbl,2,0),IFERROR(VLOOKUP($G1422,StaffTbl,2,0),"کد ناشناخته")))))</f>
        <v/>
      </c>
      <c r="I1422" s="12" t="n"/>
      <c r="J1422" s="12" t="n"/>
      <c r="K1422" s="13" t="n"/>
      <c r="L1422" s="13" t="n"/>
      <c r="M1422" s="13" t="n"/>
      <c r="N1422" s="14">
        <f>IF(OR($C1422="",$E1422="",Calc!$H1422=""),"",IFERROR(VLOOKUP(LEFT(UPPER(TRIM($E1422)),6),BankTbl,3,0),0)+SUMIFS(CalcDep,CalcBank,LEFT(UPPER(TRIM($E1422)),6),CalcKey,"&lt;="&amp;Calc!$H1422)-SUMIFS(CalcWit,CalcBank,LEFT(UPPER(TRIM($E1422)),6),CalcKey,"&lt;="&amp;Calc!$H1422))</f>
        <v/>
      </c>
      <c r="O1422" s="10">
        <f>IF(OR($C1422="",$M1422=""),"",IF($N1422="","؟",IF(ROUND($M1422-$N1422,0)=0,"√","×")))</f>
        <v/>
      </c>
      <c r="P1422" s="12" t="n"/>
    </row>
    <row r="1423">
      <c r="A1423" s="10">
        <f>IF($C1423="","",COUNTA($C$9:$C1423))</f>
        <v/>
      </c>
      <c r="B1423" s="10">
        <f>IF($C1423="","","TXN-"&amp;RIGHT("0000"&amp;1415,4))</f>
        <v/>
      </c>
      <c r="C1423" s="11" t="n"/>
      <c r="D1423" s="11" t="n"/>
      <c r="E1423" s="12" t="n"/>
      <c r="F1423" s="10">
        <f>IF($E1423="","",IFERROR(IF(VLOOKUP(LEFT(UPPER(TRIM($E1423)),6),BankTbl,2,0)="","(بدون عنوان)",VLOOKUP(LEFT(UPPER(TRIM($E1423)),6),BankTbl,2,0)),"بانک ناشناخته"))</f>
        <v/>
      </c>
      <c r="G1423" s="11" t="n"/>
      <c r="H1423" s="10">
        <f>IF($G1423="","",IFERROR(VLOOKUP($G1423,CustTbl,2,0),IFERROR(VLOOKUP($G1423,SuppTbl,2,0),IFERROR(VLOOKUP($G1423,AcctTbl,2,0),IFERROR(VLOOKUP($G1423,StaffTbl,2,0),"کد ناشناخته")))))</f>
        <v/>
      </c>
      <c r="I1423" s="12" t="n"/>
      <c r="J1423" s="12" t="n"/>
      <c r="K1423" s="13" t="n"/>
      <c r="L1423" s="13" t="n"/>
      <c r="M1423" s="13" t="n"/>
      <c r="N1423" s="14">
        <f>IF(OR($C1423="",$E1423="",Calc!$H1423=""),"",IFERROR(VLOOKUP(LEFT(UPPER(TRIM($E1423)),6),BankTbl,3,0),0)+SUMIFS(CalcDep,CalcBank,LEFT(UPPER(TRIM($E1423)),6),CalcKey,"&lt;="&amp;Calc!$H1423)-SUMIFS(CalcWit,CalcBank,LEFT(UPPER(TRIM($E1423)),6),CalcKey,"&lt;="&amp;Calc!$H1423))</f>
        <v/>
      </c>
      <c r="O1423" s="10">
        <f>IF(OR($C1423="",$M1423=""),"",IF($N1423="","؟",IF(ROUND($M1423-$N1423,0)=0,"√","×")))</f>
        <v/>
      </c>
      <c r="P1423" s="12" t="n"/>
    </row>
    <row r="1424">
      <c r="A1424" s="10">
        <f>IF($C1424="","",COUNTA($C$9:$C1424))</f>
        <v/>
      </c>
      <c r="B1424" s="10">
        <f>IF($C1424="","","TXN-"&amp;RIGHT("0000"&amp;1416,4))</f>
        <v/>
      </c>
      <c r="C1424" s="11" t="n"/>
      <c r="D1424" s="11" t="n"/>
      <c r="E1424" s="12" t="n"/>
      <c r="F1424" s="10">
        <f>IF($E1424="","",IFERROR(IF(VLOOKUP(LEFT(UPPER(TRIM($E1424)),6),BankTbl,2,0)="","(بدون عنوان)",VLOOKUP(LEFT(UPPER(TRIM($E1424)),6),BankTbl,2,0)),"بانک ناشناخته"))</f>
        <v/>
      </c>
      <c r="G1424" s="11" t="n"/>
      <c r="H1424" s="10">
        <f>IF($G1424="","",IFERROR(VLOOKUP($G1424,CustTbl,2,0),IFERROR(VLOOKUP($G1424,SuppTbl,2,0),IFERROR(VLOOKUP($G1424,AcctTbl,2,0),IFERROR(VLOOKUP($G1424,StaffTbl,2,0),"کد ناشناخته")))))</f>
        <v/>
      </c>
      <c r="I1424" s="12" t="n"/>
      <c r="J1424" s="12" t="n"/>
      <c r="K1424" s="13" t="n"/>
      <c r="L1424" s="13" t="n"/>
      <c r="M1424" s="13" t="n"/>
      <c r="N1424" s="14">
        <f>IF(OR($C1424="",$E1424="",Calc!$H1424=""),"",IFERROR(VLOOKUP(LEFT(UPPER(TRIM($E1424)),6),BankTbl,3,0),0)+SUMIFS(CalcDep,CalcBank,LEFT(UPPER(TRIM($E1424)),6),CalcKey,"&lt;="&amp;Calc!$H1424)-SUMIFS(CalcWit,CalcBank,LEFT(UPPER(TRIM($E1424)),6),CalcKey,"&lt;="&amp;Calc!$H1424))</f>
        <v/>
      </c>
      <c r="O1424" s="10">
        <f>IF(OR($C1424="",$M1424=""),"",IF($N1424="","؟",IF(ROUND($M1424-$N1424,0)=0,"√","×")))</f>
        <v/>
      </c>
      <c r="P1424" s="12" t="n"/>
    </row>
    <row r="1425">
      <c r="A1425" s="10">
        <f>IF($C1425="","",COUNTA($C$9:$C1425))</f>
        <v/>
      </c>
      <c r="B1425" s="10">
        <f>IF($C1425="","","TXN-"&amp;RIGHT("0000"&amp;1417,4))</f>
        <v/>
      </c>
      <c r="C1425" s="11" t="n"/>
      <c r="D1425" s="11" t="n"/>
      <c r="E1425" s="12" t="n"/>
      <c r="F1425" s="10">
        <f>IF($E1425="","",IFERROR(IF(VLOOKUP(LEFT(UPPER(TRIM($E1425)),6),BankTbl,2,0)="","(بدون عنوان)",VLOOKUP(LEFT(UPPER(TRIM($E1425)),6),BankTbl,2,0)),"بانک ناشناخته"))</f>
        <v/>
      </c>
      <c r="G1425" s="11" t="n"/>
      <c r="H1425" s="10">
        <f>IF($G1425="","",IFERROR(VLOOKUP($G1425,CustTbl,2,0),IFERROR(VLOOKUP($G1425,SuppTbl,2,0),IFERROR(VLOOKUP($G1425,AcctTbl,2,0),IFERROR(VLOOKUP($G1425,StaffTbl,2,0),"کد ناشناخته")))))</f>
        <v/>
      </c>
      <c r="I1425" s="12" t="n"/>
      <c r="J1425" s="12" t="n"/>
      <c r="K1425" s="13" t="n"/>
      <c r="L1425" s="13" t="n"/>
      <c r="M1425" s="13" t="n"/>
      <c r="N1425" s="14">
        <f>IF(OR($C1425="",$E1425="",Calc!$H1425=""),"",IFERROR(VLOOKUP(LEFT(UPPER(TRIM($E1425)),6),BankTbl,3,0),0)+SUMIFS(CalcDep,CalcBank,LEFT(UPPER(TRIM($E1425)),6),CalcKey,"&lt;="&amp;Calc!$H1425)-SUMIFS(CalcWit,CalcBank,LEFT(UPPER(TRIM($E1425)),6),CalcKey,"&lt;="&amp;Calc!$H1425))</f>
        <v/>
      </c>
      <c r="O1425" s="10">
        <f>IF(OR($C1425="",$M1425=""),"",IF($N1425="","؟",IF(ROUND($M1425-$N1425,0)=0,"√","×")))</f>
        <v/>
      </c>
      <c r="P1425" s="12" t="n"/>
    </row>
    <row r="1426">
      <c r="A1426" s="10">
        <f>IF($C1426="","",COUNTA($C$9:$C1426))</f>
        <v/>
      </c>
      <c r="B1426" s="10">
        <f>IF($C1426="","","TXN-"&amp;RIGHT("0000"&amp;1418,4))</f>
        <v/>
      </c>
      <c r="C1426" s="11" t="n"/>
      <c r="D1426" s="11" t="n"/>
      <c r="E1426" s="12" t="n"/>
      <c r="F1426" s="10">
        <f>IF($E1426="","",IFERROR(IF(VLOOKUP(LEFT(UPPER(TRIM($E1426)),6),BankTbl,2,0)="","(بدون عنوان)",VLOOKUP(LEFT(UPPER(TRIM($E1426)),6),BankTbl,2,0)),"بانک ناشناخته"))</f>
        <v/>
      </c>
      <c r="G1426" s="11" t="n"/>
      <c r="H1426" s="10">
        <f>IF($G1426="","",IFERROR(VLOOKUP($G1426,CustTbl,2,0),IFERROR(VLOOKUP($G1426,SuppTbl,2,0),IFERROR(VLOOKUP($G1426,AcctTbl,2,0),IFERROR(VLOOKUP($G1426,StaffTbl,2,0),"کد ناشناخته")))))</f>
        <v/>
      </c>
      <c r="I1426" s="12" t="n"/>
      <c r="J1426" s="12" t="n"/>
      <c r="K1426" s="13" t="n"/>
      <c r="L1426" s="13" t="n"/>
      <c r="M1426" s="13" t="n"/>
      <c r="N1426" s="14">
        <f>IF(OR($C1426="",$E1426="",Calc!$H1426=""),"",IFERROR(VLOOKUP(LEFT(UPPER(TRIM($E1426)),6),BankTbl,3,0),0)+SUMIFS(CalcDep,CalcBank,LEFT(UPPER(TRIM($E1426)),6),CalcKey,"&lt;="&amp;Calc!$H1426)-SUMIFS(CalcWit,CalcBank,LEFT(UPPER(TRIM($E1426)),6),CalcKey,"&lt;="&amp;Calc!$H1426))</f>
        <v/>
      </c>
      <c r="O1426" s="10">
        <f>IF(OR($C1426="",$M1426=""),"",IF($N1426="","؟",IF(ROUND($M1426-$N1426,0)=0,"√","×")))</f>
        <v/>
      </c>
      <c r="P1426" s="12" t="n"/>
    </row>
    <row r="1427">
      <c r="A1427" s="10">
        <f>IF($C1427="","",COUNTA($C$9:$C1427))</f>
        <v/>
      </c>
      <c r="B1427" s="10">
        <f>IF($C1427="","","TXN-"&amp;RIGHT("0000"&amp;1419,4))</f>
        <v/>
      </c>
      <c r="C1427" s="11" t="n"/>
      <c r="D1427" s="11" t="n"/>
      <c r="E1427" s="12" t="n"/>
      <c r="F1427" s="10">
        <f>IF($E1427="","",IFERROR(IF(VLOOKUP(LEFT(UPPER(TRIM($E1427)),6),BankTbl,2,0)="","(بدون عنوان)",VLOOKUP(LEFT(UPPER(TRIM($E1427)),6),BankTbl,2,0)),"بانک ناشناخته"))</f>
        <v/>
      </c>
      <c r="G1427" s="11" t="n"/>
      <c r="H1427" s="10">
        <f>IF($G1427="","",IFERROR(VLOOKUP($G1427,CustTbl,2,0),IFERROR(VLOOKUP($G1427,SuppTbl,2,0),IFERROR(VLOOKUP($G1427,AcctTbl,2,0),IFERROR(VLOOKUP($G1427,StaffTbl,2,0),"کد ناشناخته")))))</f>
        <v/>
      </c>
      <c r="I1427" s="12" t="n"/>
      <c r="J1427" s="12" t="n"/>
      <c r="K1427" s="13" t="n"/>
      <c r="L1427" s="13" t="n"/>
      <c r="M1427" s="13" t="n"/>
      <c r="N1427" s="14">
        <f>IF(OR($C1427="",$E1427="",Calc!$H1427=""),"",IFERROR(VLOOKUP(LEFT(UPPER(TRIM($E1427)),6),BankTbl,3,0),0)+SUMIFS(CalcDep,CalcBank,LEFT(UPPER(TRIM($E1427)),6),CalcKey,"&lt;="&amp;Calc!$H1427)-SUMIFS(CalcWit,CalcBank,LEFT(UPPER(TRIM($E1427)),6),CalcKey,"&lt;="&amp;Calc!$H1427))</f>
        <v/>
      </c>
      <c r="O1427" s="10">
        <f>IF(OR($C1427="",$M1427=""),"",IF($N1427="","؟",IF(ROUND($M1427-$N1427,0)=0,"√","×")))</f>
        <v/>
      </c>
      <c r="P1427" s="12" t="n"/>
    </row>
    <row r="1428">
      <c r="A1428" s="10">
        <f>IF($C1428="","",COUNTA($C$9:$C1428))</f>
        <v/>
      </c>
      <c r="B1428" s="10">
        <f>IF($C1428="","","TXN-"&amp;RIGHT("0000"&amp;1420,4))</f>
        <v/>
      </c>
      <c r="C1428" s="11" t="n"/>
      <c r="D1428" s="11" t="n"/>
      <c r="E1428" s="12" t="n"/>
      <c r="F1428" s="10">
        <f>IF($E1428="","",IFERROR(IF(VLOOKUP(LEFT(UPPER(TRIM($E1428)),6),BankTbl,2,0)="","(بدون عنوان)",VLOOKUP(LEFT(UPPER(TRIM($E1428)),6),BankTbl,2,0)),"بانک ناشناخته"))</f>
        <v/>
      </c>
      <c r="G1428" s="11" t="n"/>
      <c r="H1428" s="10">
        <f>IF($G1428="","",IFERROR(VLOOKUP($G1428,CustTbl,2,0),IFERROR(VLOOKUP($G1428,SuppTbl,2,0),IFERROR(VLOOKUP($G1428,AcctTbl,2,0),IFERROR(VLOOKUP($G1428,StaffTbl,2,0),"کد ناشناخته")))))</f>
        <v/>
      </c>
      <c r="I1428" s="12" t="n"/>
      <c r="J1428" s="12" t="n"/>
      <c r="K1428" s="13" t="n"/>
      <c r="L1428" s="13" t="n"/>
      <c r="M1428" s="13" t="n"/>
      <c r="N1428" s="14">
        <f>IF(OR($C1428="",$E1428="",Calc!$H1428=""),"",IFERROR(VLOOKUP(LEFT(UPPER(TRIM($E1428)),6),BankTbl,3,0),0)+SUMIFS(CalcDep,CalcBank,LEFT(UPPER(TRIM($E1428)),6),CalcKey,"&lt;="&amp;Calc!$H1428)-SUMIFS(CalcWit,CalcBank,LEFT(UPPER(TRIM($E1428)),6),CalcKey,"&lt;="&amp;Calc!$H1428))</f>
        <v/>
      </c>
      <c r="O1428" s="10">
        <f>IF(OR($C1428="",$M1428=""),"",IF($N1428="","؟",IF(ROUND($M1428-$N1428,0)=0,"√","×")))</f>
        <v/>
      </c>
      <c r="P1428" s="12" t="n"/>
    </row>
    <row r="1429">
      <c r="A1429" s="10">
        <f>IF($C1429="","",COUNTA($C$9:$C1429))</f>
        <v/>
      </c>
      <c r="B1429" s="10">
        <f>IF($C1429="","","TXN-"&amp;RIGHT("0000"&amp;1421,4))</f>
        <v/>
      </c>
      <c r="C1429" s="11" t="n"/>
      <c r="D1429" s="11" t="n"/>
      <c r="E1429" s="12" t="n"/>
      <c r="F1429" s="10">
        <f>IF($E1429="","",IFERROR(IF(VLOOKUP(LEFT(UPPER(TRIM($E1429)),6),BankTbl,2,0)="","(بدون عنوان)",VLOOKUP(LEFT(UPPER(TRIM($E1429)),6),BankTbl,2,0)),"بانک ناشناخته"))</f>
        <v/>
      </c>
      <c r="G1429" s="11" t="n"/>
      <c r="H1429" s="10">
        <f>IF($G1429="","",IFERROR(VLOOKUP($G1429,CustTbl,2,0),IFERROR(VLOOKUP($G1429,SuppTbl,2,0),IFERROR(VLOOKUP($G1429,AcctTbl,2,0),IFERROR(VLOOKUP($G1429,StaffTbl,2,0),"کد ناشناخته")))))</f>
        <v/>
      </c>
      <c r="I1429" s="12" t="n"/>
      <c r="J1429" s="12" t="n"/>
      <c r="K1429" s="13" t="n"/>
      <c r="L1429" s="13" t="n"/>
      <c r="M1429" s="13" t="n"/>
      <c r="N1429" s="14">
        <f>IF(OR($C1429="",$E1429="",Calc!$H1429=""),"",IFERROR(VLOOKUP(LEFT(UPPER(TRIM($E1429)),6),BankTbl,3,0),0)+SUMIFS(CalcDep,CalcBank,LEFT(UPPER(TRIM($E1429)),6),CalcKey,"&lt;="&amp;Calc!$H1429)-SUMIFS(CalcWit,CalcBank,LEFT(UPPER(TRIM($E1429)),6),CalcKey,"&lt;="&amp;Calc!$H1429))</f>
        <v/>
      </c>
      <c r="O1429" s="10">
        <f>IF(OR($C1429="",$M1429=""),"",IF($N1429="","؟",IF(ROUND($M1429-$N1429,0)=0,"√","×")))</f>
        <v/>
      </c>
      <c r="P1429" s="12" t="n"/>
    </row>
    <row r="1430">
      <c r="A1430" s="10">
        <f>IF($C1430="","",COUNTA($C$9:$C1430))</f>
        <v/>
      </c>
      <c r="B1430" s="10">
        <f>IF($C1430="","","TXN-"&amp;RIGHT("0000"&amp;1422,4))</f>
        <v/>
      </c>
      <c r="C1430" s="11" t="n"/>
      <c r="D1430" s="11" t="n"/>
      <c r="E1430" s="12" t="n"/>
      <c r="F1430" s="10">
        <f>IF($E1430="","",IFERROR(IF(VLOOKUP(LEFT(UPPER(TRIM($E1430)),6),BankTbl,2,0)="","(بدون عنوان)",VLOOKUP(LEFT(UPPER(TRIM($E1430)),6),BankTbl,2,0)),"بانک ناشناخته"))</f>
        <v/>
      </c>
      <c r="G1430" s="11" t="n"/>
      <c r="H1430" s="10">
        <f>IF($G1430="","",IFERROR(VLOOKUP($G1430,CustTbl,2,0),IFERROR(VLOOKUP($G1430,SuppTbl,2,0),IFERROR(VLOOKUP($G1430,AcctTbl,2,0),IFERROR(VLOOKUP($G1430,StaffTbl,2,0),"کد ناشناخته")))))</f>
        <v/>
      </c>
      <c r="I1430" s="12" t="n"/>
      <c r="J1430" s="12" t="n"/>
      <c r="K1430" s="13" t="n"/>
      <c r="L1430" s="13" t="n"/>
      <c r="M1430" s="13" t="n"/>
      <c r="N1430" s="14">
        <f>IF(OR($C1430="",$E1430="",Calc!$H1430=""),"",IFERROR(VLOOKUP(LEFT(UPPER(TRIM($E1430)),6),BankTbl,3,0),0)+SUMIFS(CalcDep,CalcBank,LEFT(UPPER(TRIM($E1430)),6),CalcKey,"&lt;="&amp;Calc!$H1430)-SUMIFS(CalcWit,CalcBank,LEFT(UPPER(TRIM($E1430)),6),CalcKey,"&lt;="&amp;Calc!$H1430))</f>
        <v/>
      </c>
      <c r="O1430" s="10">
        <f>IF(OR($C1430="",$M1430=""),"",IF($N1430="","؟",IF(ROUND($M1430-$N1430,0)=0,"√","×")))</f>
        <v/>
      </c>
      <c r="P1430" s="12" t="n"/>
    </row>
    <row r="1431">
      <c r="A1431" s="10">
        <f>IF($C1431="","",COUNTA($C$9:$C1431))</f>
        <v/>
      </c>
      <c r="B1431" s="10">
        <f>IF($C1431="","","TXN-"&amp;RIGHT("0000"&amp;1423,4))</f>
        <v/>
      </c>
      <c r="C1431" s="11" t="n"/>
      <c r="D1431" s="11" t="n"/>
      <c r="E1431" s="12" t="n"/>
      <c r="F1431" s="10">
        <f>IF($E1431="","",IFERROR(IF(VLOOKUP(LEFT(UPPER(TRIM($E1431)),6),BankTbl,2,0)="","(بدون عنوان)",VLOOKUP(LEFT(UPPER(TRIM($E1431)),6),BankTbl,2,0)),"بانک ناشناخته"))</f>
        <v/>
      </c>
      <c r="G1431" s="11" t="n"/>
      <c r="H1431" s="10">
        <f>IF($G1431="","",IFERROR(VLOOKUP($G1431,CustTbl,2,0),IFERROR(VLOOKUP($G1431,SuppTbl,2,0),IFERROR(VLOOKUP($G1431,AcctTbl,2,0),IFERROR(VLOOKUP($G1431,StaffTbl,2,0),"کد ناشناخته")))))</f>
        <v/>
      </c>
      <c r="I1431" s="12" t="n"/>
      <c r="J1431" s="12" t="n"/>
      <c r="K1431" s="13" t="n"/>
      <c r="L1431" s="13" t="n"/>
      <c r="M1431" s="13" t="n"/>
      <c r="N1431" s="14">
        <f>IF(OR($C1431="",$E1431="",Calc!$H1431=""),"",IFERROR(VLOOKUP(LEFT(UPPER(TRIM($E1431)),6),BankTbl,3,0),0)+SUMIFS(CalcDep,CalcBank,LEFT(UPPER(TRIM($E1431)),6),CalcKey,"&lt;="&amp;Calc!$H1431)-SUMIFS(CalcWit,CalcBank,LEFT(UPPER(TRIM($E1431)),6),CalcKey,"&lt;="&amp;Calc!$H1431))</f>
        <v/>
      </c>
      <c r="O1431" s="10">
        <f>IF(OR($C1431="",$M1431=""),"",IF($N1431="","؟",IF(ROUND($M1431-$N1431,0)=0,"√","×")))</f>
        <v/>
      </c>
      <c r="P1431" s="12" t="n"/>
    </row>
    <row r="1432">
      <c r="A1432" s="10">
        <f>IF($C1432="","",COUNTA($C$9:$C1432))</f>
        <v/>
      </c>
      <c r="B1432" s="10">
        <f>IF($C1432="","","TXN-"&amp;RIGHT("0000"&amp;1424,4))</f>
        <v/>
      </c>
      <c r="C1432" s="11" t="n"/>
      <c r="D1432" s="11" t="n"/>
      <c r="E1432" s="12" t="n"/>
      <c r="F1432" s="10">
        <f>IF($E1432="","",IFERROR(IF(VLOOKUP(LEFT(UPPER(TRIM($E1432)),6),BankTbl,2,0)="","(بدون عنوان)",VLOOKUP(LEFT(UPPER(TRIM($E1432)),6),BankTbl,2,0)),"بانک ناشناخته"))</f>
        <v/>
      </c>
      <c r="G1432" s="11" t="n"/>
      <c r="H1432" s="10">
        <f>IF($G1432="","",IFERROR(VLOOKUP($G1432,CustTbl,2,0),IFERROR(VLOOKUP($G1432,SuppTbl,2,0),IFERROR(VLOOKUP($G1432,AcctTbl,2,0),IFERROR(VLOOKUP($G1432,StaffTbl,2,0),"کد ناشناخته")))))</f>
        <v/>
      </c>
      <c r="I1432" s="12" t="n"/>
      <c r="J1432" s="12" t="n"/>
      <c r="K1432" s="13" t="n"/>
      <c r="L1432" s="13" t="n"/>
      <c r="M1432" s="13" t="n"/>
      <c r="N1432" s="14">
        <f>IF(OR($C1432="",$E1432="",Calc!$H1432=""),"",IFERROR(VLOOKUP(LEFT(UPPER(TRIM($E1432)),6),BankTbl,3,0),0)+SUMIFS(CalcDep,CalcBank,LEFT(UPPER(TRIM($E1432)),6),CalcKey,"&lt;="&amp;Calc!$H1432)-SUMIFS(CalcWit,CalcBank,LEFT(UPPER(TRIM($E1432)),6),CalcKey,"&lt;="&amp;Calc!$H1432))</f>
        <v/>
      </c>
      <c r="O1432" s="10">
        <f>IF(OR($C1432="",$M1432=""),"",IF($N1432="","؟",IF(ROUND($M1432-$N1432,0)=0,"√","×")))</f>
        <v/>
      </c>
      <c r="P1432" s="12" t="n"/>
    </row>
    <row r="1433">
      <c r="A1433" s="10">
        <f>IF($C1433="","",COUNTA($C$9:$C1433))</f>
        <v/>
      </c>
      <c r="B1433" s="10">
        <f>IF($C1433="","","TXN-"&amp;RIGHT("0000"&amp;1425,4))</f>
        <v/>
      </c>
      <c r="C1433" s="11" t="n"/>
      <c r="D1433" s="11" t="n"/>
      <c r="E1433" s="12" t="n"/>
      <c r="F1433" s="10">
        <f>IF($E1433="","",IFERROR(IF(VLOOKUP(LEFT(UPPER(TRIM($E1433)),6),BankTbl,2,0)="","(بدون عنوان)",VLOOKUP(LEFT(UPPER(TRIM($E1433)),6),BankTbl,2,0)),"بانک ناشناخته"))</f>
        <v/>
      </c>
      <c r="G1433" s="11" t="n"/>
      <c r="H1433" s="10">
        <f>IF($G1433="","",IFERROR(VLOOKUP($G1433,CustTbl,2,0),IFERROR(VLOOKUP($G1433,SuppTbl,2,0),IFERROR(VLOOKUP($G1433,AcctTbl,2,0),IFERROR(VLOOKUP($G1433,StaffTbl,2,0),"کد ناشناخته")))))</f>
        <v/>
      </c>
      <c r="I1433" s="12" t="n"/>
      <c r="J1433" s="12" t="n"/>
      <c r="K1433" s="13" t="n"/>
      <c r="L1433" s="13" t="n"/>
      <c r="M1433" s="13" t="n"/>
      <c r="N1433" s="14">
        <f>IF(OR($C1433="",$E1433="",Calc!$H1433=""),"",IFERROR(VLOOKUP(LEFT(UPPER(TRIM($E1433)),6),BankTbl,3,0),0)+SUMIFS(CalcDep,CalcBank,LEFT(UPPER(TRIM($E1433)),6),CalcKey,"&lt;="&amp;Calc!$H1433)-SUMIFS(CalcWit,CalcBank,LEFT(UPPER(TRIM($E1433)),6),CalcKey,"&lt;="&amp;Calc!$H1433))</f>
        <v/>
      </c>
      <c r="O1433" s="10">
        <f>IF(OR($C1433="",$M1433=""),"",IF($N1433="","؟",IF(ROUND($M1433-$N1433,0)=0,"√","×")))</f>
        <v/>
      </c>
      <c r="P1433" s="12" t="n"/>
    </row>
    <row r="1434">
      <c r="A1434" s="10">
        <f>IF($C1434="","",COUNTA($C$9:$C1434))</f>
        <v/>
      </c>
      <c r="B1434" s="10">
        <f>IF($C1434="","","TXN-"&amp;RIGHT("0000"&amp;1426,4))</f>
        <v/>
      </c>
      <c r="C1434" s="11" t="n"/>
      <c r="D1434" s="11" t="n"/>
      <c r="E1434" s="12" t="n"/>
      <c r="F1434" s="10">
        <f>IF($E1434="","",IFERROR(IF(VLOOKUP(LEFT(UPPER(TRIM($E1434)),6),BankTbl,2,0)="","(بدون عنوان)",VLOOKUP(LEFT(UPPER(TRIM($E1434)),6),BankTbl,2,0)),"بانک ناشناخته"))</f>
        <v/>
      </c>
      <c r="G1434" s="11" t="n"/>
      <c r="H1434" s="10">
        <f>IF($G1434="","",IFERROR(VLOOKUP($G1434,CustTbl,2,0),IFERROR(VLOOKUP($G1434,SuppTbl,2,0),IFERROR(VLOOKUP($G1434,AcctTbl,2,0),IFERROR(VLOOKUP($G1434,StaffTbl,2,0),"کد ناشناخته")))))</f>
        <v/>
      </c>
      <c r="I1434" s="12" t="n"/>
      <c r="J1434" s="12" t="n"/>
      <c r="K1434" s="13" t="n"/>
      <c r="L1434" s="13" t="n"/>
      <c r="M1434" s="13" t="n"/>
      <c r="N1434" s="14">
        <f>IF(OR($C1434="",$E1434="",Calc!$H1434=""),"",IFERROR(VLOOKUP(LEFT(UPPER(TRIM($E1434)),6),BankTbl,3,0),0)+SUMIFS(CalcDep,CalcBank,LEFT(UPPER(TRIM($E1434)),6),CalcKey,"&lt;="&amp;Calc!$H1434)-SUMIFS(CalcWit,CalcBank,LEFT(UPPER(TRIM($E1434)),6),CalcKey,"&lt;="&amp;Calc!$H1434))</f>
        <v/>
      </c>
      <c r="O1434" s="10">
        <f>IF(OR($C1434="",$M1434=""),"",IF($N1434="","؟",IF(ROUND($M1434-$N1434,0)=0,"√","×")))</f>
        <v/>
      </c>
      <c r="P1434" s="12" t="n"/>
    </row>
    <row r="1435">
      <c r="A1435" s="10">
        <f>IF($C1435="","",COUNTA($C$9:$C1435))</f>
        <v/>
      </c>
      <c r="B1435" s="10">
        <f>IF($C1435="","","TXN-"&amp;RIGHT("0000"&amp;1427,4))</f>
        <v/>
      </c>
      <c r="C1435" s="11" t="n"/>
      <c r="D1435" s="11" t="n"/>
      <c r="E1435" s="12" t="n"/>
      <c r="F1435" s="10">
        <f>IF($E1435="","",IFERROR(IF(VLOOKUP(LEFT(UPPER(TRIM($E1435)),6),BankTbl,2,0)="","(بدون عنوان)",VLOOKUP(LEFT(UPPER(TRIM($E1435)),6),BankTbl,2,0)),"بانک ناشناخته"))</f>
        <v/>
      </c>
      <c r="G1435" s="11" t="n"/>
      <c r="H1435" s="10">
        <f>IF($G1435="","",IFERROR(VLOOKUP($G1435,CustTbl,2,0),IFERROR(VLOOKUP($G1435,SuppTbl,2,0),IFERROR(VLOOKUP($G1435,AcctTbl,2,0),IFERROR(VLOOKUP($G1435,StaffTbl,2,0),"کد ناشناخته")))))</f>
        <v/>
      </c>
      <c r="I1435" s="12" t="n"/>
      <c r="J1435" s="12" t="n"/>
      <c r="K1435" s="13" t="n"/>
      <c r="L1435" s="13" t="n"/>
      <c r="M1435" s="13" t="n"/>
      <c r="N1435" s="14">
        <f>IF(OR($C1435="",$E1435="",Calc!$H1435=""),"",IFERROR(VLOOKUP(LEFT(UPPER(TRIM($E1435)),6),BankTbl,3,0),0)+SUMIFS(CalcDep,CalcBank,LEFT(UPPER(TRIM($E1435)),6),CalcKey,"&lt;="&amp;Calc!$H1435)-SUMIFS(CalcWit,CalcBank,LEFT(UPPER(TRIM($E1435)),6),CalcKey,"&lt;="&amp;Calc!$H1435))</f>
        <v/>
      </c>
      <c r="O1435" s="10">
        <f>IF(OR($C1435="",$M1435=""),"",IF($N1435="","؟",IF(ROUND($M1435-$N1435,0)=0,"√","×")))</f>
        <v/>
      </c>
      <c r="P1435" s="12" t="n"/>
    </row>
    <row r="1436">
      <c r="A1436" s="10">
        <f>IF($C1436="","",COUNTA($C$9:$C1436))</f>
        <v/>
      </c>
      <c r="B1436" s="10">
        <f>IF($C1436="","","TXN-"&amp;RIGHT("0000"&amp;1428,4))</f>
        <v/>
      </c>
      <c r="C1436" s="11" t="n"/>
      <c r="D1436" s="11" t="n"/>
      <c r="E1436" s="12" t="n"/>
      <c r="F1436" s="10">
        <f>IF($E1436="","",IFERROR(IF(VLOOKUP(LEFT(UPPER(TRIM($E1436)),6),BankTbl,2,0)="","(بدون عنوان)",VLOOKUP(LEFT(UPPER(TRIM($E1436)),6),BankTbl,2,0)),"بانک ناشناخته"))</f>
        <v/>
      </c>
      <c r="G1436" s="11" t="n"/>
      <c r="H1436" s="10">
        <f>IF($G1436="","",IFERROR(VLOOKUP($G1436,CustTbl,2,0),IFERROR(VLOOKUP($G1436,SuppTbl,2,0),IFERROR(VLOOKUP($G1436,AcctTbl,2,0),IFERROR(VLOOKUP($G1436,StaffTbl,2,0),"کد ناشناخته")))))</f>
        <v/>
      </c>
      <c r="I1436" s="12" t="n"/>
      <c r="J1436" s="12" t="n"/>
      <c r="K1436" s="13" t="n"/>
      <c r="L1436" s="13" t="n"/>
      <c r="M1436" s="13" t="n"/>
      <c r="N1436" s="14">
        <f>IF(OR($C1436="",$E1436="",Calc!$H1436=""),"",IFERROR(VLOOKUP(LEFT(UPPER(TRIM($E1436)),6),BankTbl,3,0),0)+SUMIFS(CalcDep,CalcBank,LEFT(UPPER(TRIM($E1436)),6),CalcKey,"&lt;="&amp;Calc!$H1436)-SUMIFS(CalcWit,CalcBank,LEFT(UPPER(TRIM($E1436)),6),CalcKey,"&lt;="&amp;Calc!$H1436))</f>
        <v/>
      </c>
      <c r="O1436" s="10">
        <f>IF(OR($C1436="",$M1436=""),"",IF($N1436="","؟",IF(ROUND($M1436-$N1436,0)=0,"√","×")))</f>
        <v/>
      </c>
      <c r="P1436" s="12" t="n"/>
    </row>
    <row r="1437">
      <c r="A1437" s="10">
        <f>IF($C1437="","",COUNTA($C$9:$C1437))</f>
        <v/>
      </c>
      <c r="B1437" s="10">
        <f>IF($C1437="","","TXN-"&amp;RIGHT("0000"&amp;1429,4))</f>
        <v/>
      </c>
      <c r="C1437" s="11" t="n"/>
      <c r="D1437" s="11" t="n"/>
      <c r="E1437" s="12" t="n"/>
      <c r="F1437" s="10">
        <f>IF($E1437="","",IFERROR(IF(VLOOKUP(LEFT(UPPER(TRIM($E1437)),6),BankTbl,2,0)="","(بدون عنوان)",VLOOKUP(LEFT(UPPER(TRIM($E1437)),6),BankTbl,2,0)),"بانک ناشناخته"))</f>
        <v/>
      </c>
      <c r="G1437" s="11" t="n"/>
      <c r="H1437" s="10">
        <f>IF($G1437="","",IFERROR(VLOOKUP($G1437,CustTbl,2,0),IFERROR(VLOOKUP($G1437,SuppTbl,2,0),IFERROR(VLOOKUP($G1437,AcctTbl,2,0),IFERROR(VLOOKUP($G1437,StaffTbl,2,0),"کد ناشناخته")))))</f>
        <v/>
      </c>
      <c r="I1437" s="12" t="n"/>
      <c r="J1437" s="12" t="n"/>
      <c r="K1437" s="13" t="n"/>
      <c r="L1437" s="13" t="n"/>
      <c r="M1437" s="13" t="n"/>
      <c r="N1437" s="14">
        <f>IF(OR($C1437="",$E1437="",Calc!$H1437=""),"",IFERROR(VLOOKUP(LEFT(UPPER(TRIM($E1437)),6),BankTbl,3,0),0)+SUMIFS(CalcDep,CalcBank,LEFT(UPPER(TRIM($E1437)),6),CalcKey,"&lt;="&amp;Calc!$H1437)-SUMIFS(CalcWit,CalcBank,LEFT(UPPER(TRIM($E1437)),6),CalcKey,"&lt;="&amp;Calc!$H1437))</f>
        <v/>
      </c>
      <c r="O1437" s="10">
        <f>IF(OR($C1437="",$M1437=""),"",IF($N1437="","؟",IF(ROUND($M1437-$N1437,0)=0,"√","×")))</f>
        <v/>
      </c>
      <c r="P1437" s="12" t="n"/>
    </row>
    <row r="1438">
      <c r="A1438" s="10">
        <f>IF($C1438="","",COUNTA($C$9:$C1438))</f>
        <v/>
      </c>
      <c r="B1438" s="10">
        <f>IF($C1438="","","TXN-"&amp;RIGHT("0000"&amp;1430,4))</f>
        <v/>
      </c>
      <c r="C1438" s="11" t="n"/>
      <c r="D1438" s="11" t="n"/>
      <c r="E1438" s="12" t="n"/>
      <c r="F1438" s="10">
        <f>IF($E1438="","",IFERROR(IF(VLOOKUP(LEFT(UPPER(TRIM($E1438)),6),BankTbl,2,0)="","(بدون عنوان)",VLOOKUP(LEFT(UPPER(TRIM($E1438)),6),BankTbl,2,0)),"بانک ناشناخته"))</f>
        <v/>
      </c>
      <c r="G1438" s="11" t="n"/>
      <c r="H1438" s="10">
        <f>IF($G1438="","",IFERROR(VLOOKUP($G1438,CustTbl,2,0),IFERROR(VLOOKUP($G1438,SuppTbl,2,0),IFERROR(VLOOKUP($G1438,AcctTbl,2,0),IFERROR(VLOOKUP($G1438,StaffTbl,2,0),"کد ناشناخته")))))</f>
        <v/>
      </c>
      <c r="I1438" s="12" t="n"/>
      <c r="J1438" s="12" t="n"/>
      <c r="K1438" s="13" t="n"/>
      <c r="L1438" s="13" t="n"/>
      <c r="M1438" s="13" t="n"/>
      <c r="N1438" s="14">
        <f>IF(OR($C1438="",$E1438="",Calc!$H1438=""),"",IFERROR(VLOOKUP(LEFT(UPPER(TRIM($E1438)),6),BankTbl,3,0),0)+SUMIFS(CalcDep,CalcBank,LEFT(UPPER(TRIM($E1438)),6),CalcKey,"&lt;="&amp;Calc!$H1438)-SUMIFS(CalcWit,CalcBank,LEFT(UPPER(TRIM($E1438)),6),CalcKey,"&lt;="&amp;Calc!$H1438))</f>
        <v/>
      </c>
      <c r="O1438" s="10">
        <f>IF(OR($C1438="",$M1438=""),"",IF($N1438="","؟",IF(ROUND($M1438-$N1438,0)=0,"√","×")))</f>
        <v/>
      </c>
      <c r="P1438" s="12" t="n"/>
    </row>
    <row r="1439">
      <c r="A1439" s="10">
        <f>IF($C1439="","",COUNTA($C$9:$C1439))</f>
        <v/>
      </c>
      <c r="B1439" s="10">
        <f>IF($C1439="","","TXN-"&amp;RIGHT("0000"&amp;1431,4))</f>
        <v/>
      </c>
      <c r="C1439" s="11" t="n"/>
      <c r="D1439" s="11" t="n"/>
      <c r="E1439" s="12" t="n"/>
      <c r="F1439" s="10">
        <f>IF($E1439="","",IFERROR(IF(VLOOKUP(LEFT(UPPER(TRIM($E1439)),6),BankTbl,2,0)="","(بدون عنوان)",VLOOKUP(LEFT(UPPER(TRIM($E1439)),6),BankTbl,2,0)),"بانک ناشناخته"))</f>
        <v/>
      </c>
      <c r="G1439" s="11" t="n"/>
      <c r="H1439" s="10">
        <f>IF($G1439="","",IFERROR(VLOOKUP($G1439,CustTbl,2,0),IFERROR(VLOOKUP($G1439,SuppTbl,2,0),IFERROR(VLOOKUP($G1439,AcctTbl,2,0),IFERROR(VLOOKUP($G1439,StaffTbl,2,0),"کد ناشناخته")))))</f>
        <v/>
      </c>
      <c r="I1439" s="12" t="n"/>
      <c r="J1439" s="12" t="n"/>
      <c r="K1439" s="13" t="n"/>
      <c r="L1439" s="13" t="n"/>
      <c r="M1439" s="13" t="n"/>
      <c r="N1439" s="14">
        <f>IF(OR($C1439="",$E1439="",Calc!$H1439=""),"",IFERROR(VLOOKUP(LEFT(UPPER(TRIM($E1439)),6),BankTbl,3,0),0)+SUMIFS(CalcDep,CalcBank,LEFT(UPPER(TRIM($E1439)),6),CalcKey,"&lt;="&amp;Calc!$H1439)-SUMIFS(CalcWit,CalcBank,LEFT(UPPER(TRIM($E1439)),6),CalcKey,"&lt;="&amp;Calc!$H1439))</f>
        <v/>
      </c>
      <c r="O1439" s="10">
        <f>IF(OR($C1439="",$M1439=""),"",IF($N1439="","؟",IF(ROUND($M1439-$N1439,0)=0,"√","×")))</f>
        <v/>
      </c>
      <c r="P1439" s="12" t="n"/>
    </row>
    <row r="1440">
      <c r="A1440" s="10">
        <f>IF($C1440="","",COUNTA($C$9:$C1440))</f>
        <v/>
      </c>
      <c r="B1440" s="10">
        <f>IF($C1440="","","TXN-"&amp;RIGHT("0000"&amp;1432,4))</f>
        <v/>
      </c>
      <c r="C1440" s="11" t="n"/>
      <c r="D1440" s="11" t="n"/>
      <c r="E1440" s="12" t="n"/>
      <c r="F1440" s="10">
        <f>IF($E1440="","",IFERROR(IF(VLOOKUP(LEFT(UPPER(TRIM($E1440)),6),BankTbl,2,0)="","(بدون عنوان)",VLOOKUP(LEFT(UPPER(TRIM($E1440)),6),BankTbl,2,0)),"بانک ناشناخته"))</f>
        <v/>
      </c>
      <c r="G1440" s="11" t="n"/>
      <c r="H1440" s="10">
        <f>IF($G1440="","",IFERROR(VLOOKUP($G1440,CustTbl,2,0),IFERROR(VLOOKUP($G1440,SuppTbl,2,0),IFERROR(VLOOKUP($G1440,AcctTbl,2,0),IFERROR(VLOOKUP($G1440,StaffTbl,2,0),"کد ناشناخته")))))</f>
        <v/>
      </c>
      <c r="I1440" s="12" t="n"/>
      <c r="J1440" s="12" t="n"/>
      <c r="K1440" s="13" t="n"/>
      <c r="L1440" s="13" t="n"/>
      <c r="M1440" s="13" t="n"/>
      <c r="N1440" s="14">
        <f>IF(OR($C1440="",$E1440="",Calc!$H1440=""),"",IFERROR(VLOOKUP(LEFT(UPPER(TRIM($E1440)),6),BankTbl,3,0),0)+SUMIFS(CalcDep,CalcBank,LEFT(UPPER(TRIM($E1440)),6),CalcKey,"&lt;="&amp;Calc!$H1440)-SUMIFS(CalcWit,CalcBank,LEFT(UPPER(TRIM($E1440)),6),CalcKey,"&lt;="&amp;Calc!$H1440))</f>
        <v/>
      </c>
      <c r="O1440" s="10">
        <f>IF(OR($C1440="",$M1440=""),"",IF($N1440="","؟",IF(ROUND($M1440-$N1440,0)=0,"√","×")))</f>
        <v/>
      </c>
      <c r="P1440" s="12" t="n"/>
    </row>
    <row r="1441">
      <c r="A1441" s="10">
        <f>IF($C1441="","",COUNTA($C$9:$C1441))</f>
        <v/>
      </c>
      <c r="B1441" s="10">
        <f>IF($C1441="","","TXN-"&amp;RIGHT("0000"&amp;1433,4))</f>
        <v/>
      </c>
      <c r="C1441" s="11" t="n"/>
      <c r="D1441" s="11" t="n"/>
      <c r="E1441" s="12" t="n"/>
      <c r="F1441" s="10">
        <f>IF($E1441="","",IFERROR(IF(VLOOKUP(LEFT(UPPER(TRIM($E1441)),6),BankTbl,2,0)="","(بدون عنوان)",VLOOKUP(LEFT(UPPER(TRIM($E1441)),6),BankTbl,2,0)),"بانک ناشناخته"))</f>
        <v/>
      </c>
      <c r="G1441" s="11" t="n"/>
      <c r="H1441" s="10">
        <f>IF($G1441="","",IFERROR(VLOOKUP($G1441,CustTbl,2,0),IFERROR(VLOOKUP($G1441,SuppTbl,2,0),IFERROR(VLOOKUP($G1441,AcctTbl,2,0),IFERROR(VLOOKUP($G1441,StaffTbl,2,0),"کد ناشناخته")))))</f>
        <v/>
      </c>
      <c r="I1441" s="12" t="n"/>
      <c r="J1441" s="12" t="n"/>
      <c r="K1441" s="13" t="n"/>
      <c r="L1441" s="13" t="n"/>
      <c r="M1441" s="13" t="n"/>
      <c r="N1441" s="14">
        <f>IF(OR($C1441="",$E1441="",Calc!$H1441=""),"",IFERROR(VLOOKUP(LEFT(UPPER(TRIM($E1441)),6),BankTbl,3,0),0)+SUMIFS(CalcDep,CalcBank,LEFT(UPPER(TRIM($E1441)),6),CalcKey,"&lt;="&amp;Calc!$H1441)-SUMIFS(CalcWit,CalcBank,LEFT(UPPER(TRIM($E1441)),6),CalcKey,"&lt;="&amp;Calc!$H1441))</f>
        <v/>
      </c>
      <c r="O1441" s="10">
        <f>IF(OR($C1441="",$M1441=""),"",IF($N1441="","؟",IF(ROUND($M1441-$N1441,0)=0,"√","×")))</f>
        <v/>
      </c>
      <c r="P1441" s="12" t="n"/>
    </row>
    <row r="1442">
      <c r="A1442" s="10">
        <f>IF($C1442="","",COUNTA($C$9:$C1442))</f>
        <v/>
      </c>
      <c r="B1442" s="10">
        <f>IF($C1442="","","TXN-"&amp;RIGHT("0000"&amp;1434,4))</f>
        <v/>
      </c>
      <c r="C1442" s="11" t="n"/>
      <c r="D1442" s="11" t="n"/>
      <c r="E1442" s="12" t="n"/>
      <c r="F1442" s="10">
        <f>IF($E1442="","",IFERROR(IF(VLOOKUP(LEFT(UPPER(TRIM($E1442)),6),BankTbl,2,0)="","(بدون عنوان)",VLOOKUP(LEFT(UPPER(TRIM($E1442)),6),BankTbl,2,0)),"بانک ناشناخته"))</f>
        <v/>
      </c>
      <c r="G1442" s="11" t="n"/>
      <c r="H1442" s="10">
        <f>IF($G1442="","",IFERROR(VLOOKUP($G1442,CustTbl,2,0),IFERROR(VLOOKUP($G1442,SuppTbl,2,0),IFERROR(VLOOKUP($G1442,AcctTbl,2,0),IFERROR(VLOOKUP($G1442,StaffTbl,2,0),"کد ناشناخته")))))</f>
        <v/>
      </c>
      <c r="I1442" s="12" t="n"/>
      <c r="J1442" s="12" t="n"/>
      <c r="K1442" s="13" t="n"/>
      <c r="L1442" s="13" t="n"/>
      <c r="M1442" s="13" t="n"/>
      <c r="N1442" s="14">
        <f>IF(OR($C1442="",$E1442="",Calc!$H1442=""),"",IFERROR(VLOOKUP(LEFT(UPPER(TRIM($E1442)),6),BankTbl,3,0),0)+SUMIFS(CalcDep,CalcBank,LEFT(UPPER(TRIM($E1442)),6),CalcKey,"&lt;="&amp;Calc!$H1442)-SUMIFS(CalcWit,CalcBank,LEFT(UPPER(TRIM($E1442)),6),CalcKey,"&lt;="&amp;Calc!$H1442))</f>
        <v/>
      </c>
      <c r="O1442" s="10">
        <f>IF(OR($C1442="",$M1442=""),"",IF($N1442="","؟",IF(ROUND($M1442-$N1442,0)=0,"√","×")))</f>
        <v/>
      </c>
      <c r="P1442" s="12" t="n"/>
    </row>
    <row r="1443">
      <c r="A1443" s="10">
        <f>IF($C1443="","",COUNTA($C$9:$C1443))</f>
        <v/>
      </c>
      <c r="B1443" s="10">
        <f>IF($C1443="","","TXN-"&amp;RIGHT("0000"&amp;1435,4))</f>
        <v/>
      </c>
      <c r="C1443" s="11" t="n"/>
      <c r="D1443" s="11" t="n"/>
      <c r="E1443" s="12" t="n"/>
      <c r="F1443" s="10">
        <f>IF($E1443="","",IFERROR(IF(VLOOKUP(LEFT(UPPER(TRIM($E1443)),6),BankTbl,2,0)="","(بدون عنوان)",VLOOKUP(LEFT(UPPER(TRIM($E1443)),6),BankTbl,2,0)),"بانک ناشناخته"))</f>
        <v/>
      </c>
      <c r="G1443" s="11" t="n"/>
      <c r="H1443" s="10">
        <f>IF($G1443="","",IFERROR(VLOOKUP($G1443,CustTbl,2,0),IFERROR(VLOOKUP($G1443,SuppTbl,2,0),IFERROR(VLOOKUP($G1443,AcctTbl,2,0),IFERROR(VLOOKUP($G1443,StaffTbl,2,0),"کد ناشناخته")))))</f>
        <v/>
      </c>
      <c r="I1443" s="12" t="n"/>
      <c r="J1443" s="12" t="n"/>
      <c r="K1443" s="13" t="n"/>
      <c r="L1443" s="13" t="n"/>
      <c r="M1443" s="13" t="n"/>
      <c r="N1443" s="14">
        <f>IF(OR($C1443="",$E1443="",Calc!$H1443=""),"",IFERROR(VLOOKUP(LEFT(UPPER(TRIM($E1443)),6),BankTbl,3,0),0)+SUMIFS(CalcDep,CalcBank,LEFT(UPPER(TRIM($E1443)),6),CalcKey,"&lt;="&amp;Calc!$H1443)-SUMIFS(CalcWit,CalcBank,LEFT(UPPER(TRIM($E1443)),6),CalcKey,"&lt;="&amp;Calc!$H1443))</f>
        <v/>
      </c>
      <c r="O1443" s="10">
        <f>IF(OR($C1443="",$M1443=""),"",IF($N1443="","؟",IF(ROUND($M1443-$N1443,0)=0,"√","×")))</f>
        <v/>
      </c>
      <c r="P1443" s="12" t="n"/>
    </row>
    <row r="1444">
      <c r="A1444" s="10">
        <f>IF($C1444="","",COUNTA($C$9:$C1444))</f>
        <v/>
      </c>
      <c r="B1444" s="10">
        <f>IF($C1444="","","TXN-"&amp;RIGHT("0000"&amp;1436,4))</f>
        <v/>
      </c>
      <c r="C1444" s="11" t="n"/>
      <c r="D1444" s="11" t="n"/>
      <c r="E1444" s="12" t="n"/>
      <c r="F1444" s="10">
        <f>IF($E1444="","",IFERROR(IF(VLOOKUP(LEFT(UPPER(TRIM($E1444)),6),BankTbl,2,0)="","(بدون عنوان)",VLOOKUP(LEFT(UPPER(TRIM($E1444)),6),BankTbl,2,0)),"بانک ناشناخته"))</f>
        <v/>
      </c>
      <c r="G1444" s="11" t="n"/>
      <c r="H1444" s="10">
        <f>IF($G1444="","",IFERROR(VLOOKUP($G1444,CustTbl,2,0),IFERROR(VLOOKUP($G1444,SuppTbl,2,0),IFERROR(VLOOKUP($G1444,AcctTbl,2,0),IFERROR(VLOOKUP($G1444,StaffTbl,2,0),"کد ناشناخته")))))</f>
        <v/>
      </c>
      <c r="I1444" s="12" t="n"/>
      <c r="J1444" s="12" t="n"/>
      <c r="K1444" s="13" t="n"/>
      <c r="L1444" s="13" t="n"/>
      <c r="M1444" s="13" t="n"/>
      <c r="N1444" s="14">
        <f>IF(OR($C1444="",$E1444="",Calc!$H1444=""),"",IFERROR(VLOOKUP(LEFT(UPPER(TRIM($E1444)),6),BankTbl,3,0),0)+SUMIFS(CalcDep,CalcBank,LEFT(UPPER(TRIM($E1444)),6),CalcKey,"&lt;="&amp;Calc!$H1444)-SUMIFS(CalcWit,CalcBank,LEFT(UPPER(TRIM($E1444)),6),CalcKey,"&lt;="&amp;Calc!$H1444))</f>
        <v/>
      </c>
      <c r="O1444" s="10">
        <f>IF(OR($C1444="",$M1444=""),"",IF($N1444="","؟",IF(ROUND($M1444-$N1444,0)=0,"√","×")))</f>
        <v/>
      </c>
      <c r="P1444" s="12" t="n"/>
    </row>
    <row r="1445">
      <c r="A1445" s="10">
        <f>IF($C1445="","",COUNTA($C$9:$C1445))</f>
        <v/>
      </c>
      <c r="B1445" s="10">
        <f>IF($C1445="","","TXN-"&amp;RIGHT("0000"&amp;1437,4))</f>
        <v/>
      </c>
      <c r="C1445" s="11" t="n"/>
      <c r="D1445" s="11" t="n"/>
      <c r="E1445" s="12" t="n"/>
      <c r="F1445" s="10">
        <f>IF($E1445="","",IFERROR(IF(VLOOKUP(LEFT(UPPER(TRIM($E1445)),6),BankTbl,2,0)="","(بدون عنوان)",VLOOKUP(LEFT(UPPER(TRIM($E1445)),6),BankTbl,2,0)),"بانک ناشناخته"))</f>
        <v/>
      </c>
      <c r="G1445" s="11" t="n"/>
      <c r="H1445" s="10">
        <f>IF($G1445="","",IFERROR(VLOOKUP($G1445,CustTbl,2,0),IFERROR(VLOOKUP($G1445,SuppTbl,2,0),IFERROR(VLOOKUP($G1445,AcctTbl,2,0),IFERROR(VLOOKUP($G1445,StaffTbl,2,0),"کد ناشناخته")))))</f>
        <v/>
      </c>
      <c r="I1445" s="12" t="n"/>
      <c r="J1445" s="12" t="n"/>
      <c r="K1445" s="13" t="n"/>
      <c r="L1445" s="13" t="n"/>
      <c r="M1445" s="13" t="n"/>
      <c r="N1445" s="14">
        <f>IF(OR($C1445="",$E1445="",Calc!$H1445=""),"",IFERROR(VLOOKUP(LEFT(UPPER(TRIM($E1445)),6),BankTbl,3,0),0)+SUMIFS(CalcDep,CalcBank,LEFT(UPPER(TRIM($E1445)),6),CalcKey,"&lt;="&amp;Calc!$H1445)-SUMIFS(CalcWit,CalcBank,LEFT(UPPER(TRIM($E1445)),6),CalcKey,"&lt;="&amp;Calc!$H1445))</f>
        <v/>
      </c>
      <c r="O1445" s="10">
        <f>IF(OR($C1445="",$M1445=""),"",IF($N1445="","؟",IF(ROUND($M1445-$N1445,0)=0,"√","×")))</f>
        <v/>
      </c>
      <c r="P1445" s="12" t="n"/>
    </row>
    <row r="1446">
      <c r="A1446" s="10">
        <f>IF($C1446="","",COUNTA($C$9:$C1446))</f>
        <v/>
      </c>
      <c r="B1446" s="10">
        <f>IF($C1446="","","TXN-"&amp;RIGHT("0000"&amp;1438,4))</f>
        <v/>
      </c>
      <c r="C1446" s="11" t="n"/>
      <c r="D1446" s="11" t="n"/>
      <c r="E1446" s="12" t="n"/>
      <c r="F1446" s="10">
        <f>IF($E1446="","",IFERROR(IF(VLOOKUP(LEFT(UPPER(TRIM($E1446)),6),BankTbl,2,0)="","(بدون عنوان)",VLOOKUP(LEFT(UPPER(TRIM($E1446)),6),BankTbl,2,0)),"بانک ناشناخته"))</f>
        <v/>
      </c>
      <c r="G1446" s="11" t="n"/>
      <c r="H1446" s="10">
        <f>IF($G1446="","",IFERROR(VLOOKUP($G1446,CustTbl,2,0),IFERROR(VLOOKUP($G1446,SuppTbl,2,0),IFERROR(VLOOKUP($G1446,AcctTbl,2,0),IFERROR(VLOOKUP($G1446,StaffTbl,2,0),"کد ناشناخته")))))</f>
        <v/>
      </c>
      <c r="I1446" s="12" t="n"/>
      <c r="J1446" s="12" t="n"/>
      <c r="K1446" s="13" t="n"/>
      <c r="L1446" s="13" t="n"/>
      <c r="M1446" s="13" t="n"/>
      <c r="N1446" s="14">
        <f>IF(OR($C1446="",$E1446="",Calc!$H1446=""),"",IFERROR(VLOOKUP(LEFT(UPPER(TRIM($E1446)),6),BankTbl,3,0),0)+SUMIFS(CalcDep,CalcBank,LEFT(UPPER(TRIM($E1446)),6),CalcKey,"&lt;="&amp;Calc!$H1446)-SUMIFS(CalcWit,CalcBank,LEFT(UPPER(TRIM($E1446)),6),CalcKey,"&lt;="&amp;Calc!$H1446))</f>
        <v/>
      </c>
      <c r="O1446" s="10">
        <f>IF(OR($C1446="",$M1446=""),"",IF($N1446="","؟",IF(ROUND($M1446-$N1446,0)=0,"√","×")))</f>
        <v/>
      </c>
      <c r="P1446" s="12" t="n"/>
    </row>
    <row r="1447">
      <c r="A1447" s="10">
        <f>IF($C1447="","",COUNTA($C$9:$C1447))</f>
        <v/>
      </c>
      <c r="B1447" s="10">
        <f>IF($C1447="","","TXN-"&amp;RIGHT("0000"&amp;1439,4))</f>
        <v/>
      </c>
      <c r="C1447" s="11" t="n"/>
      <c r="D1447" s="11" t="n"/>
      <c r="E1447" s="12" t="n"/>
      <c r="F1447" s="10">
        <f>IF($E1447="","",IFERROR(IF(VLOOKUP(LEFT(UPPER(TRIM($E1447)),6),BankTbl,2,0)="","(بدون عنوان)",VLOOKUP(LEFT(UPPER(TRIM($E1447)),6),BankTbl,2,0)),"بانک ناشناخته"))</f>
        <v/>
      </c>
      <c r="G1447" s="11" t="n"/>
      <c r="H1447" s="10">
        <f>IF($G1447="","",IFERROR(VLOOKUP($G1447,CustTbl,2,0),IFERROR(VLOOKUP($G1447,SuppTbl,2,0),IFERROR(VLOOKUP($G1447,AcctTbl,2,0),IFERROR(VLOOKUP($G1447,StaffTbl,2,0),"کد ناشناخته")))))</f>
        <v/>
      </c>
      <c r="I1447" s="12" t="n"/>
      <c r="J1447" s="12" t="n"/>
      <c r="K1447" s="13" t="n"/>
      <c r="L1447" s="13" t="n"/>
      <c r="M1447" s="13" t="n"/>
      <c r="N1447" s="14">
        <f>IF(OR($C1447="",$E1447="",Calc!$H1447=""),"",IFERROR(VLOOKUP(LEFT(UPPER(TRIM($E1447)),6),BankTbl,3,0),0)+SUMIFS(CalcDep,CalcBank,LEFT(UPPER(TRIM($E1447)),6),CalcKey,"&lt;="&amp;Calc!$H1447)-SUMIFS(CalcWit,CalcBank,LEFT(UPPER(TRIM($E1447)),6),CalcKey,"&lt;="&amp;Calc!$H1447))</f>
        <v/>
      </c>
      <c r="O1447" s="10">
        <f>IF(OR($C1447="",$M1447=""),"",IF($N1447="","؟",IF(ROUND($M1447-$N1447,0)=0,"√","×")))</f>
        <v/>
      </c>
      <c r="P1447" s="12" t="n"/>
    </row>
    <row r="1448">
      <c r="A1448" s="10">
        <f>IF($C1448="","",COUNTA($C$9:$C1448))</f>
        <v/>
      </c>
      <c r="B1448" s="10">
        <f>IF($C1448="","","TXN-"&amp;RIGHT("0000"&amp;1440,4))</f>
        <v/>
      </c>
      <c r="C1448" s="11" t="n"/>
      <c r="D1448" s="11" t="n"/>
      <c r="E1448" s="12" t="n"/>
      <c r="F1448" s="10">
        <f>IF($E1448="","",IFERROR(IF(VLOOKUP(LEFT(UPPER(TRIM($E1448)),6),BankTbl,2,0)="","(بدون عنوان)",VLOOKUP(LEFT(UPPER(TRIM($E1448)),6),BankTbl,2,0)),"بانک ناشناخته"))</f>
        <v/>
      </c>
      <c r="G1448" s="11" t="n"/>
      <c r="H1448" s="10">
        <f>IF($G1448="","",IFERROR(VLOOKUP($G1448,CustTbl,2,0),IFERROR(VLOOKUP($G1448,SuppTbl,2,0),IFERROR(VLOOKUP($G1448,AcctTbl,2,0),IFERROR(VLOOKUP($G1448,StaffTbl,2,0),"کد ناشناخته")))))</f>
        <v/>
      </c>
      <c r="I1448" s="12" t="n"/>
      <c r="J1448" s="12" t="n"/>
      <c r="K1448" s="13" t="n"/>
      <c r="L1448" s="13" t="n"/>
      <c r="M1448" s="13" t="n"/>
      <c r="N1448" s="14">
        <f>IF(OR($C1448="",$E1448="",Calc!$H1448=""),"",IFERROR(VLOOKUP(LEFT(UPPER(TRIM($E1448)),6),BankTbl,3,0),0)+SUMIFS(CalcDep,CalcBank,LEFT(UPPER(TRIM($E1448)),6),CalcKey,"&lt;="&amp;Calc!$H1448)-SUMIFS(CalcWit,CalcBank,LEFT(UPPER(TRIM($E1448)),6),CalcKey,"&lt;="&amp;Calc!$H1448))</f>
        <v/>
      </c>
      <c r="O1448" s="10">
        <f>IF(OR($C1448="",$M1448=""),"",IF($N1448="","؟",IF(ROUND($M1448-$N1448,0)=0,"√","×")))</f>
        <v/>
      </c>
      <c r="P1448" s="12" t="n"/>
    </row>
    <row r="1449">
      <c r="A1449" s="10">
        <f>IF($C1449="","",COUNTA($C$9:$C1449))</f>
        <v/>
      </c>
      <c r="B1449" s="10">
        <f>IF($C1449="","","TXN-"&amp;RIGHT("0000"&amp;1441,4))</f>
        <v/>
      </c>
      <c r="C1449" s="11" t="n"/>
      <c r="D1449" s="11" t="n"/>
      <c r="E1449" s="12" t="n"/>
      <c r="F1449" s="10">
        <f>IF($E1449="","",IFERROR(IF(VLOOKUP(LEFT(UPPER(TRIM($E1449)),6),BankTbl,2,0)="","(بدون عنوان)",VLOOKUP(LEFT(UPPER(TRIM($E1449)),6),BankTbl,2,0)),"بانک ناشناخته"))</f>
        <v/>
      </c>
      <c r="G1449" s="11" t="n"/>
      <c r="H1449" s="10">
        <f>IF($G1449="","",IFERROR(VLOOKUP($G1449,CustTbl,2,0),IFERROR(VLOOKUP($G1449,SuppTbl,2,0),IFERROR(VLOOKUP($G1449,AcctTbl,2,0),IFERROR(VLOOKUP($G1449,StaffTbl,2,0),"کد ناشناخته")))))</f>
        <v/>
      </c>
      <c r="I1449" s="12" t="n"/>
      <c r="J1449" s="12" t="n"/>
      <c r="K1449" s="13" t="n"/>
      <c r="L1449" s="13" t="n"/>
      <c r="M1449" s="13" t="n"/>
      <c r="N1449" s="14">
        <f>IF(OR($C1449="",$E1449="",Calc!$H1449=""),"",IFERROR(VLOOKUP(LEFT(UPPER(TRIM($E1449)),6),BankTbl,3,0),0)+SUMIFS(CalcDep,CalcBank,LEFT(UPPER(TRIM($E1449)),6),CalcKey,"&lt;="&amp;Calc!$H1449)-SUMIFS(CalcWit,CalcBank,LEFT(UPPER(TRIM($E1449)),6),CalcKey,"&lt;="&amp;Calc!$H1449))</f>
        <v/>
      </c>
      <c r="O1449" s="10">
        <f>IF(OR($C1449="",$M1449=""),"",IF($N1449="","؟",IF(ROUND($M1449-$N1449,0)=0,"√","×")))</f>
        <v/>
      </c>
      <c r="P1449" s="12" t="n"/>
    </row>
    <row r="1450">
      <c r="A1450" s="10">
        <f>IF($C1450="","",COUNTA($C$9:$C1450))</f>
        <v/>
      </c>
      <c r="B1450" s="10">
        <f>IF($C1450="","","TXN-"&amp;RIGHT("0000"&amp;1442,4))</f>
        <v/>
      </c>
      <c r="C1450" s="11" t="n"/>
      <c r="D1450" s="11" t="n"/>
      <c r="E1450" s="12" t="n"/>
      <c r="F1450" s="10">
        <f>IF($E1450="","",IFERROR(IF(VLOOKUP(LEFT(UPPER(TRIM($E1450)),6),BankTbl,2,0)="","(بدون عنوان)",VLOOKUP(LEFT(UPPER(TRIM($E1450)),6),BankTbl,2,0)),"بانک ناشناخته"))</f>
        <v/>
      </c>
      <c r="G1450" s="11" t="n"/>
      <c r="H1450" s="10">
        <f>IF($G1450="","",IFERROR(VLOOKUP($G1450,CustTbl,2,0),IFERROR(VLOOKUP($G1450,SuppTbl,2,0),IFERROR(VLOOKUP($G1450,AcctTbl,2,0),IFERROR(VLOOKUP($G1450,StaffTbl,2,0),"کد ناشناخته")))))</f>
        <v/>
      </c>
      <c r="I1450" s="12" t="n"/>
      <c r="J1450" s="12" t="n"/>
      <c r="K1450" s="13" t="n"/>
      <c r="L1450" s="13" t="n"/>
      <c r="M1450" s="13" t="n"/>
      <c r="N1450" s="14">
        <f>IF(OR($C1450="",$E1450="",Calc!$H1450=""),"",IFERROR(VLOOKUP(LEFT(UPPER(TRIM($E1450)),6),BankTbl,3,0),0)+SUMIFS(CalcDep,CalcBank,LEFT(UPPER(TRIM($E1450)),6),CalcKey,"&lt;="&amp;Calc!$H1450)-SUMIFS(CalcWit,CalcBank,LEFT(UPPER(TRIM($E1450)),6),CalcKey,"&lt;="&amp;Calc!$H1450))</f>
        <v/>
      </c>
      <c r="O1450" s="10">
        <f>IF(OR($C1450="",$M1450=""),"",IF($N1450="","؟",IF(ROUND($M1450-$N1450,0)=0,"√","×")))</f>
        <v/>
      </c>
      <c r="P1450" s="12" t="n"/>
    </row>
    <row r="1451">
      <c r="A1451" s="10">
        <f>IF($C1451="","",COUNTA($C$9:$C1451))</f>
        <v/>
      </c>
      <c r="B1451" s="10">
        <f>IF($C1451="","","TXN-"&amp;RIGHT("0000"&amp;1443,4))</f>
        <v/>
      </c>
      <c r="C1451" s="11" t="n"/>
      <c r="D1451" s="11" t="n"/>
      <c r="E1451" s="12" t="n"/>
      <c r="F1451" s="10">
        <f>IF($E1451="","",IFERROR(IF(VLOOKUP(LEFT(UPPER(TRIM($E1451)),6),BankTbl,2,0)="","(بدون عنوان)",VLOOKUP(LEFT(UPPER(TRIM($E1451)),6),BankTbl,2,0)),"بانک ناشناخته"))</f>
        <v/>
      </c>
      <c r="G1451" s="11" t="n"/>
      <c r="H1451" s="10">
        <f>IF($G1451="","",IFERROR(VLOOKUP($G1451,CustTbl,2,0),IFERROR(VLOOKUP($G1451,SuppTbl,2,0),IFERROR(VLOOKUP($G1451,AcctTbl,2,0),IFERROR(VLOOKUP($G1451,StaffTbl,2,0),"کد ناشناخته")))))</f>
        <v/>
      </c>
      <c r="I1451" s="12" t="n"/>
      <c r="J1451" s="12" t="n"/>
      <c r="K1451" s="13" t="n"/>
      <c r="L1451" s="13" t="n"/>
      <c r="M1451" s="13" t="n"/>
      <c r="N1451" s="14">
        <f>IF(OR($C1451="",$E1451="",Calc!$H1451=""),"",IFERROR(VLOOKUP(LEFT(UPPER(TRIM($E1451)),6),BankTbl,3,0),0)+SUMIFS(CalcDep,CalcBank,LEFT(UPPER(TRIM($E1451)),6),CalcKey,"&lt;="&amp;Calc!$H1451)-SUMIFS(CalcWit,CalcBank,LEFT(UPPER(TRIM($E1451)),6),CalcKey,"&lt;="&amp;Calc!$H1451))</f>
        <v/>
      </c>
      <c r="O1451" s="10">
        <f>IF(OR($C1451="",$M1451=""),"",IF($N1451="","؟",IF(ROUND($M1451-$N1451,0)=0,"√","×")))</f>
        <v/>
      </c>
      <c r="P1451" s="12" t="n"/>
    </row>
    <row r="1452">
      <c r="A1452" s="10">
        <f>IF($C1452="","",COUNTA($C$9:$C1452))</f>
        <v/>
      </c>
      <c r="B1452" s="10">
        <f>IF($C1452="","","TXN-"&amp;RIGHT("0000"&amp;1444,4))</f>
        <v/>
      </c>
      <c r="C1452" s="11" t="n"/>
      <c r="D1452" s="11" t="n"/>
      <c r="E1452" s="12" t="n"/>
      <c r="F1452" s="10">
        <f>IF($E1452="","",IFERROR(IF(VLOOKUP(LEFT(UPPER(TRIM($E1452)),6),BankTbl,2,0)="","(بدون عنوان)",VLOOKUP(LEFT(UPPER(TRIM($E1452)),6),BankTbl,2,0)),"بانک ناشناخته"))</f>
        <v/>
      </c>
      <c r="G1452" s="11" t="n"/>
      <c r="H1452" s="10">
        <f>IF($G1452="","",IFERROR(VLOOKUP($G1452,CustTbl,2,0),IFERROR(VLOOKUP($G1452,SuppTbl,2,0),IFERROR(VLOOKUP($G1452,AcctTbl,2,0),IFERROR(VLOOKUP($G1452,StaffTbl,2,0),"کد ناشناخته")))))</f>
        <v/>
      </c>
      <c r="I1452" s="12" t="n"/>
      <c r="J1452" s="12" t="n"/>
      <c r="K1452" s="13" t="n"/>
      <c r="L1452" s="13" t="n"/>
      <c r="M1452" s="13" t="n"/>
      <c r="N1452" s="14">
        <f>IF(OR($C1452="",$E1452="",Calc!$H1452=""),"",IFERROR(VLOOKUP(LEFT(UPPER(TRIM($E1452)),6),BankTbl,3,0),0)+SUMIFS(CalcDep,CalcBank,LEFT(UPPER(TRIM($E1452)),6),CalcKey,"&lt;="&amp;Calc!$H1452)-SUMIFS(CalcWit,CalcBank,LEFT(UPPER(TRIM($E1452)),6),CalcKey,"&lt;="&amp;Calc!$H1452))</f>
        <v/>
      </c>
      <c r="O1452" s="10">
        <f>IF(OR($C1452="",$M1452=""),"",IF($N1452="","؟",IF(ROUND($M1452-$N1452,0)=0,"√","×")))</f>
        <v/>
      </c>
      <c r="P1452" s="12" t="n"/>
    </row>
    <row r="1453">
      <c r="A1453" s="10">
        <f>IF($C1453="","",COUNTA($C$9:$C1453))</f>
        <v/>
      </c>
      <c r="B1453" s="10">
        <f>IF($C1453="","","TXN-"&amp;RIGHT("0000"&amp;1445,4))</f>
        <v/>
      </c>
      <c r="C1453" s="11" t="n"/>
      <c r="D1453" s="11" t="n"/>
      <c r="E1453" s="12" t="n"/>
      <c r="F1453" s="10">
        <f>IF($E1453="","",IFERROR(IF(VLOOKUP(LEFT(UPPER(TRIM($E1453)),6),BankTbl,2,0)="","(بدون عنوان)",VLOOKUP(LEFT(UPPER(TRIM($E1453)),6),BankTbl,2,0)),"بانک ناشناخته"))</f>
        <v/>
      </c>
      <c r="G1453" s="11" t="n"/>
      <c r="H1453" s="10">
        <f>IF($G1453="","",IFERROR(VLOOKUP($G1453,CustTbl,2,0),IFERROR(VLOOKUP($G1453,SuppTbl,2,0),IFERROR(VLOOKUP($G1453,AcctTbl,2,0),IFERROR(VLOOKUP($G1453,StaffTbl,2,0),"کد ناشناخته")))))</f>
        <v/>
      </c>
      <c r="I1453" s="12" t="n"/>
      <c r="J1453" s="12" t="n"/>
      <c r="K1453" s="13" t="n"/>
      <c r="L1453" s="13" t="n"/>
      <c r="M1453" s="13" t="n"/>
      <c r="N1453" s="14">
        <f>IF(OR($C1453="",$E1453="",Calc!$H1453=""),"",IFERROR(VLOOKUP(LEFT(UPPER(TRIM($E1453)),6),BankTbl,3,0),0)+SUMIFS(CalcDep,CalcBank,LEFT(UPPER(TRIM($E1453)),6),CalcKey,"&lt;="&amp;Calc!$H1453)-SUMIFS(CalcWit,CalcBank,LEFT(UPPER(TRIM($E1453)),6),CalcKey,"&lt;="&amp;Calc!$H1453))</f>
        <v/>
      </c>
      <c r="O1453" s="10">
        <f>IF(OR($C1453="",$M1453=""),"",IF($N1453="","؟",IF(ROUND($M1453-$N1453,0)=0,"√","×")))</f>
        <v/>
      </c>
      <c r="P1453" s="12" t="n"/>
    </row>
    <row r="1454">
      <c r="A1454" s="10">
        <f>IF($C1454="","",COUNTA($C$9:$C1454))</f>
        <v/>
      </c>
      <c r="B1454" s="10">
        <f>IF($C1454="","","TXN-"&amp;RIGHT("0000"&amp;1446,4))</f>
        <v/>
      </c>
      <c r="C1454" s="11" t="n"/>
      <c r="D1454" s="11" t="n"/>
      <c r="E1454" s="12" t="n"/>
      <c r="F1454" s="10">
        <f>IF($E1454="","",IFERROR(IF(VLOOKUP(LEFT(UPPER(TRIM($E1454)),6),BankTbl,2,0)="","(بدون عنوان)",VLOOKUP(LEFT(UPPER(TRIM($E1454)),6),BankTbl,2,0)),"بانک ناشناخته"))</f>
        <v/>
      </c>
      <c r="G1454" s="11" t="n"/>
      <c r="H1454" s="10">
        <f>IF($G1454="","",IFERROR(VLOOKUP($G1454,CustTbl,2,0),IFERROR(VLOOKUP($G1454,SuppTbl,2,0),IFERROR(VLOOKUP($G1454,AcctTbl,2,0),IFERROR(VLOOKUP($G1454,StaffTbl,2,0),"کد ناشناخته")))))</f>
        <v/>
      </c>
      <c r="I1454" s="12" t="n"/>
      <c r="J1454" s="12" t="n"/>
      <c r="K1454" s="13" t="n"/>
      <c r="L1454" s="13" t="n"/>
      <c r="M1454" s="13" t="n"/>
      <c r="N1454" s="14">
        <f>IF(OR($C1454="",$E1454="",Calc!$H1454=""),"",IFERROR(VLOOKUP(LEFT(UPPER(TRIM($E1454)),6),BankTbl,3,0),0)+SUMIFS(CalcDep,CalcBank,LEFT(UPPER(TRIM($E1454)),6),CalcKey,"&lt;="&amp;Calc!$H1454)-SUMIFS(CalcWit,CalcBank,LEFT(UPPER(TRIM($E1454)),6),CalcKey,"&lt;="&amp;Calc!$H1454))</f>
        <v/>
      </c>
      <c r="O1454" s="10">
        <f>IF(OR($C1454="",$M1454=""),"",IF($N1454="","؟",IF(ROUND($M1454-$N1454,0)=0,"√","×")))</f>
        <v/>
      </c>
      <c r="P1454" s="12" t="n"/>
    </row>
    <row r="1455">
      <c r="A1455" s="10">
        <f>IF($C1455="","",COUNTA($C$9:$C1455))</f>
        <v/>
      </c>
      <c r="B1455" s="10">
        <f>IF($C1455="","","TXN-"&amp;RIGHT("0000"&amp;1447,4))</f>
        <v/>
      </c>
      <c r="C1455" s="11" t="n"/>
      <c r="D1455" s="11" t="n"/>
      <c r="E1455" s="12" t="n"/>
      <c r="F1455" s="10">
        <f>IF($E1455="","",IFERROR(IF(VLOOKUP(LEFT(UPPER(TRIM($E1455)),6),BankTbl,2,0)="","(بدون عنوان)",VLOOKUP(LEFT(UPPER(TRIM($E1455)),6),BankTbl,2,0)),"بانک ناشناخته"))</f>
        <v/>
      </c>
      <c r="G1455" s="11" t="n"/>
      <c r="H1455" s="10">
        <f>IF($G1455="","",IFERROR(VLOOKUP($G1455,CustTbl,2,0),IFERROR(VLOOKUP($G1455,SuppTbl,2,0),IFERROR(VLOOKUP($G1455,AcctTbl,2,0),IFERROR(VLOOKUP($G1455,StaffTbl,2,0),"کد ناشناخته")))))</f>
        <v/>
      </c>
      <c r="I1455" s="12" t="n"/>
      <c r="J1455" s="12" t="n"/>
      <c r="K1455" s="13" t="n"/>
      <c r="L1455" s="13" t="n"/>
      <c r="M1455" s="13" t="n"/>
      <c r="N1455" s="14">
        <f>IF(OR($C1455="",$E1455="",Calc!$H1455=""),"",IFERROR(VLOOKUP(LEFT(UPPER(TRIM($E1455)),6),BankTbl,3,0),0)+SUMIFS(CalcDep,CalcBank,LEFT(UPPER(TRIM($E1455)),6),CalcKey,"&lt;="&amp;Calc!$H1455)-SUMIFS(CalcWit,CalcBank,LEFT(UPPER(TRIM($E1455)),6),CalcKey,"&lt;="&amp;Calc!$H1455))</f>
        <v/>
      </c>
      <c r="O1455" s="10">
        <f>IF(OR($C1455="",$M1455=""),"",IF($N1455="","؟",IF(ROUND($M1455-$N1455,0)=0,"√","×")))</f>
        <v/>
      </c>
      <c r="P1455" s="12" t="n"/>
    </row>
    <row r="1456">
      <c r="A1456" s="10">
        <f>IF($C1456="","",COUNTA($C$9:$C1456))</f>
        <v/>
      </c>
      <c r="B1456" s="10">
        <f>IF($C1456="","","TXN-"&amp;RIGHT("0000"&amp;1448,4))</f>
        <v/>
      </c>
      <c r="C1456" s="11" t="n"/>
      <c r="D1456" s="11" t="n"/>
      <c r="E1456" s="12" t="n"/>
      <c r="F1456" s="10">
        <f>IF($E1456="","",IFERROR(IF(VLOOKUP(LEFT(UPPER(TRIM($E1456)),6),BankTbl,2,0)="","(بدون عنوان)",VLOOKUP(LEFT(UPPER(TRIM($E1456)),6),BankTbl,2,0)),"بانک ناشناخته"))</f>
        <v/>
      </c>
      <c r="G1456" s="11" t="n"/>
      <c r="H1456" s="10">
        <f>IF($G1456="","",IFERROR(VLOOKUP($G1456,CustTbl,2,0),IFERROR(VLOOKUP($G1456,SuppTbl,2,0),IFERROR(VLOOKUP($G1456,AcctTbl,2,0),IFERROR(VLOOKUP($G1456,StaffTbl,2,0),"کد ناشناخته")))))</f>
        <v/>
      </c>
      <c r="I1456" s="12" t="n"/>
      <c r="J1456" s="12" t="n"/>
      <c r="K1456" s="13" t="n"/>
      <c r="L1456" s="13" t="n"/>
      <c r="M1456" s="13" t="n"/>
      <c r="N1456" s="14">
        <f>IF(OR($C1456="",$E1456="",Calc!$H1456=""),"",IFERROR(VLOOKUP(LEFT(UPPER(TRIM($E1456)),6),BankTbl,3,0),0)+SUMIFS(CalcDep,CalcBank,LEFT(UPPER(TRIM($E1456)),6),CalcKey,"&lt;="&amp;Calc!$H1456)-SUMIFS(CalcWit,CalcBank,LEFT(UPPER(TRIM($E1456)),6),CalcKey,"&lt;="&amp;Calc!$H1456))</f>
        <v/>
      </c>
      <c r="O1456" s="10">
        <f>IF(OR($C1456="",$M1456=""),"",IF($N1456="","؟",IF(ROUND($M1456-$N1456,0)=0,"√","×")))</f>
        <v/>
      </c>
      <c r="P1456" s="12" t="n"/>
    </row>
    <row r="1457">
      <c r="A1457" s="10">
        <f>IF($C1457="","",COUNTA($C$9:$C1457))</f>
        <v/>
      </c>
      <c r="B1457" s="10">
        <f>IF($C1457="","","TXN-"&amp;RIGHT("0000"&amp;1449,4))</f>
        <v/>
      </c>
      <c r="C1457" s="11" t="n"/>
      <c r="D1457" s="11" t="n"/>
      <c r="E1457" s="12" t="n"/>
      <c r="F1457" s="10">
        <f>IF($E1457="","",IFERROR(IF(VLOOKUP(LEFT(UPPER(TRIM($E1457)),6),BankTbl,2,0)="","(بدون عنوان)",VLOOKUP(LEFT(UPPER(TRIM($E1457)),6),BankTbl,2,0)),"بانک ناشناخته"))</f>
        <v/>
      </c>
      <c r="G1457" s="11" t="n"/>
      <c r="H1457" s="10">
        <f>IF($G1457="","",IFERROR(VLOOKUP($G1457,CustTbl,2,0),IFERROR(VLOOKUP($G1457,SuppTbl,2,0),IFERROR(VLOOKUP($G1457,AcctTbl,2,0),IFERROR(VLOOKUP($G1457,StaffTbl,2,0),"کد ناشناخته")))))</f>
        <v/>
      </c>
      <c r="I1457" s="12" t="n"/>
      <c r="J1457" s="12" t="n"/>
      <c r="K1457" s="13" t="n"/>
      <c r="L1457" s="13" t="n"/>
      <c r="M1457" s="13" t="n"/>
      <c r="N1457" s="14">
        <f>IF(OR($C1457="",$E1457="",Calc!$H1457=""),"",IFERROR(VLOOKUP(LEFT(UPPER(TRIM($E1457)),6),BankTbl,3,0),0)+SUMIFS(CalcDep,CalcBank,LEFT(UPPER(TRIM($E1457)),6),CalcKey,"&lt;="&amp;Calc!$H1457)-SUMIFS(CalcWit,CalcBank,LEFT(UPPER(TRIM($E1457)),6),CalcKey,"&lt;="&amp;Calc!$H1457))</f>
        <v/>
      </c>
      <c r="O1457" s="10">
        <f>IF(OR($C1457="",$M1457=""),"",IF($N1457="","؟",IF(ROUND($M1457-$N1457,0)=0,"√","×")))</f>
        <v/>
      </c>
      <c r="P1457" s="12" t="n"/>
    </row>
    <row r="1458">
      <c r="A1458" s="10">
        <f>IF($C1458="","",COUNTA($C$9:$C1458))</f>
        <v/>
      </c>
      <c r="B1458" s="10">
        <f>IF($C1458="","","TXN-"&amp;RIGHT("0000"&amp;1450,4))</f>
        <v/>
      </c>
      <c r="C1458" s="11" t="n"/>
      <c r="D1458" s="11" t="n"/>
      <c r="E1458" s="12" t="n"/>
      <c r="F1458" s="10">
        <f>IF($E1458="","",IFERROR(IF(VLOOKUP(LEFT(UPPER(TRIM($E1458)),6),BankTbl,2,0)="","(بدون عنوان)",VLOOKUP(LEFT(UPPER(TRIM($E1458)),6),BankTbl,2,0)),"بانک ناشناخته"))</f>
        <v/>
      </c>
      <c r="G1458" s="11" t="n"/>
      <c r="H1458" s="10">
        <f>IF($G1458="","",IFERROR(VLOOKUP($G1458,CustTbl,2,0),IFERROR(VLOOKUP($G1458,SuppTbl,2,0),IFERROR(VLOOKUP($G1458,AcctTbl,2,0),IFERROR(VLOOKUP($G1458,StaffTbl,2,0),"کد ناشناخته")))))</f>
        <v/>
      </c>
      <c r="I1458" s="12" t="n"/>
      <c r="J1458" s="12" t="n"/>
      <c r="K1458" s="13" t="n"/>
      <c r="L1458" s="13" t="n"/>
      <c r="M1458" s="13" t="n"/>
      <c r="N1458" s="14">
        <f>IF(OR($C1458="",$E1458="",Calc!$H1458=""),"",IFERROR(VLOOKUP(LEFT(UPPER(TRIM($E1458)),6),BankTbl,3,0),0)+SUMIFS(CalcDep,CalcBank,LEFT(UPPER(TRIM($E1458)),6),CalcKey,"&lt;="&amp;Calc!$H1458)-SUMIFS(CalcWit,CalcBank,LEFT(UPPER(TRIM($E1458)),6),CalcKey,"&lt;="&amp;Calc!$H1458))</f>
        <v/>
      </c>
      <c r="O1458" s="10">
        <f>IF(OR($C1458="",$M1458=""),"",IF($N1458="","؟",IF(ROUND($M1458-$N1458,0)=0,"√","×")))</f>
        <v/>
      </c>
      <c r="P1458" s="12" t="n"/>
    </row>
    <row r="1459">
      <c r="A1459" s="10">
        <f>IF($C1459="","",COUNTA($C$9:$C1459))</f>
        <v/>
      </c>
      <c r="B1459" s="10">
        <f>IF($C1459="","","TXN-"&amp;RIGHT("0000"&amp;1451,4))</f>
        <v/>
      </c>
      <c r="C1459" s="11" t="n"/>
      <c r="D1459" s="11" t="n"/>
      <c r="E1459" s="12" t="n"/>
      <c r="F1459" s="10">
        <f>IF($E1459="","",IFERROR(IF(VLOOKUP(LEFT(UPPER(TRIM($E1459)),6),BankTbl,2,0)="","(بدون عنوان)",VLOOKUP(LEFT(UPPER(TRIM($E1459)),6),BankTbl,2,0)),"بانک ناشناخته"))</f>
        <v/>
      </c>
      <c r="G1459" s="11" t="n"/>
      <c r="H1459" s="10">
        <f>IF($G1459="","",IFERROR(VLOOKUP($G1459,CustTbl,2,0),IFERROR(VLOOKUP($G1459,SuppTbl,2,0),IFERROR(VLOOKUP($G1459,AcctTbl,2,0),IFERROR(VLOOKUP($G1459,StaffTbl,2,0),"کد ناشناخته")))))</f>
        <v/>
      </c>
      <c r="I1459" s="12" t="n"/>
      <c r="J1459" s="12" t="n"/>
      <c r="K1459" s="13" t="n"/>
      <c r="L1459" s="13" t="n"/>
      <c r="M1459" s="13" t="n"/>
      <c r="N1459" s="14">
        <f>IF(OR($C1459="",$E1459="",Calc!$H1459=""),"",IFERROR(VLOOKUP(LEFT(UPPER(TRIM($E1459)),6),BankTbl,3,0),0)+SUMIFS(CalcDep,CalcBank,LEFT(UPPER(TRIM($E1459)),6),CalcKey,"&lt;="&amp;Calc!$H1459)-SUMIFS(CalcWit,CalcBank,LEFT(UPPER(TRIM($E1459)),6),CalcKey,"&lt;="&amp;Calc!$H1459))</f>
        <v/>
      </c>
      <c r="O1459" s="10">
        <f>IF(OR($C1459="",$M1459=""),"",IF($N1459="","؟",IF(ROUND($M1459-$N1459,0)=0,"√","×")))</f>
        <v/>
      </c>
      <c r="P1459" s="12" t="n"/>
    </row>
    <row r="1460">
      <c r="A1460" s="10">
        <f>IF($C1460="","",COUNTA($C$9:$C1460))</f>
        <v/>
      </c>
      <c r="B1460" s="10">
        <f>IF($C1460="","","TXN-"&amp;RIGHT("0000"&amp;1452,4))</f>
        <v/>
      </c>
      <c r="C1460" s="11" t="n"/>
      <c r="D1460" s="11" t="n"/>
      <c r="E1460" s="12" t="n"/>
      <c r="F1460" s="10">
        <f>IF($E1460="","",IFERROR(IF(VLOOKUP(LEFT(UPPER(TRIM($E1460)),6),BankTbl,2,0)="","(بدون عنوان)",VLOOKUP(LEFT(UPPER(TRIM($E1460)),6),BankTbl,2,0)),"بانک ناشناخته"))</f>
        <v/>
      </c>
      <c r="G1460" s="11" t="n"/>
      <c r="H1460" s="10">
        <f>IF($G1460="","",IFERROR(VLOOKUP($G1460,CustTbl,2,0),IFERROR(VLOOKUP($G1460,SuppTbl,2,0),IFERROR(VLOOKUP($G1460,AcctTbl,2,0),IFERROR(VLOOKUP($G1460,StaffTbl,2,0),"کد ناشناخته")))))</f>
        <v/>
      </c>
      <c r="I1460" s="12" t="n"/>
      <c r="J1460" s="12" t="n"/>
      <c r="K1460" s="13" t="n"/>
      <c r="L1460" s="13" t="n"/>
      <c r="M1460" s="13" t="n"/>
      <c r="N1460" s="14">
        <f>IF(OR($C1460="",$E1460="",Calc!$H1460=""),"",IFERROR(VLOOKUP(LEFT(UPPER(TRIM($E1460)),6),BankTbl,3,0),0)+SUMIFS(CalcDep,CalcBank,LEFT(UPPER(TRIM($E1460)),6),CalcKey,"&lt;="&amp;Calc!$H1460)-SUMIFS(CalcWit,CalcBank,LEFT(UPPER(TRIM($E1460)),6),CalcKey,"&lt;="&amp;Calc!$H1460))</f>
        <v/>
      </c>
      <c r="O1460" s="10">
        <f>IF(OR($C1460="",$M1460=""),"",IF($N1460="","؟",IF(ROUND($M1460-$N1460,0)=0,"√","×")))</f>
        <v/>
      </c>
      <c r="P1460" s="12" t="n"/>
    </row>
    <row r="1461">
      <c r="A1461" s="10">
        <f>IF($C1461="","",COUNTA($C$9:$C1461))</f>
        <v/>
      </c>
      <c r="B1461" s="10">
        <f>IF($C1461="","","TXN-"&amp;RIGHT("0000"&amp;1453,4))</f>
        <v/>
      </c>
      <c r="C1461" s="11" t="n"/>
      <c r="D1461" s="11" t="n"/>
      <c r="E1461" s="12" t="n"/>
      <c r="F1461" s="10">
        <f>IF($E1461="","",IFERROR(IF(VLOOKUP(LEFT(UPPER(TRIM($E1461)),6),BankTbl,2,0)="","(بدون عنوان)",VLOOKUP(LEFT(UPPER(TRIM($E1461)),6),BankTbl,2,0)),"بانک ناشناخته"))</f>
        <v/>
      </c>
      <c r="G1461" s="11" t="n"/>
      <c r="H1461" s="10">
        <f>IF($G1461="","",IFERROR(VLOOKUP($G1461,CustTbl,2,0),IFERROR(VLOOKUP($G1461,SuppTbl,2,0),IFERROR(VLOOKUP($G1461,AcctTbl,2,0),IFERROR(VLOOKUP($G1461,StaffTbl,2,0),"کد ناشناخته")))))</f>
        <v/>
      </c>
      <c r="I1461" s="12" t="n"/>
      <c r="J1461" s="12" t="n"/>
      <c r="K1461" s="13" t="n"/>
      <c r="L1461" s="13" t="n"/>
      <c r="M1461" s="13" t="n"/>
      <c r="N1461" s="14">
        <f>IF(OR($C1461="",$E1461="",Calc!$H1461=""),"",IFERROR(VLOOKUP(LEFT(UPPER(TRIM($E1461)),6),BankTbl,3,0),0)+SUMIFS(CalcDep,CalcBank,LEFT(UPPER(TRIM($E1461)),6),CalcKey,"&lt;="&amp;Calc!$H1461)-SUMIFS(CalcWit,CalcBank,LEFT(UPPER(TRIM($E1461)),6),CalcKey,"&lt;="&amp;Calc!$H1461))</f>
        <v/>
      </c>
      <c r="O1461" s="10">
        <f>IF(OR($C1461="",$M1461=""),"",IF($N1461="","؟",IF(ROUND($M1461-$N1461,0)=0,"√","×")))</f>
        <v/>
      </c>
      <c r="P1461" s="12" t="n"/>
    </row>
    <row r="1462">
      <c r="A1462" s="10">
        <f>IF($C1462="","",COUNTA($C$9:$C1462))</f>
        <v/>
      </c>
      <c r="B1462" s="10">
        <f>IF($C1462="","","TXN-"&amp;RIGHT("0000"&amp;1454,4))</f>
        <v/>
      </c>
      <c r="C1462" s="11" t="n"/>
      <c r="D1462" s="11" t="n"/>
      <c r="E1462" s="12" t="n"/>
      <c r="F1462" s="10">
        <f>IF($E1462="","",IFERROR(IF(VLOOKUP(LEFT(UPPER(TRIM($E1462)),6),BankTbl,2,0)="","(بدون عنوان)",VLOOKUP(LEFT(UPPER(TRIM($E1462)),6),BankTbl,2,0)),"بانک ناشناخته"))</f>
        <v/>
      </c>
      <c r="G1462" s="11" t="n"/>
      <c r="H1462" s="10">
        <f>IF($G1462="","",IFERROR(VLOOKUP($G1462,CustTbl,2,0),IFERROR(VLOOKUP($G1462,SuppTbl,2,0),IFERROR(VLOOKUP($G1462,AcctTbl,2,0),IFERROR(VLOOKUP($G1462,StaffTbl,2,0),"کد ناشناخته")))))</f>
        <v/>
      </c>
      <c r="I1462" s="12" t="n"/>
      <c r="J1462" s="12" t="n"/>
      <c r="K1462" s="13" t="n"/>
      <c r="L1462" s="13" t="n"/>
      <c r="M1462" s="13" t="n"/>
      <c r="N1462" s="14">
        <f>IF(OR($C1462="",$E1462="",Calc!$H1462=""),"",IFERROR(VLOOKUP(LEFT(UPPER(TRIM($E1462)),6),BankTbl,3,0),0)+SUMIFS(CalcDep,CalcBank,LEFT(UPPER(TRIM($E1462)),6),CalcKey,"&lt;="&amp;Calc!$H1462)-SUMIFS(CalcWit,CalcBank,LEFT(UPPER(TRIM($E1462)),6),CalcKey,"&lt;="&amp;Calc!$H1462))</f>
        <v/>
      </c>
      <c r="O1462" s="10">
        <f>IF(OR($C1462="",$M1462=""),"",IF($N1462="","؟",IF(ROUND($M1462-$N1462,0)=0,"√","×")))</f>
        <v/>
      </c>
      <c r="P1462" s="12" t="n"/>
    </row>
    <row r="1463">
      <c r="A1463" s="10">
        <f>IF($C1463="","",COUNTA($C$9:$C1463))</f>
        <v/>
      </c>
      <c r="B1463" s="10">
        <f>IF($C1463="","","TXN-"&amp;RIGHT("0000"&amp;1455,4))</f>
        <v/>
      </c>
      <c r="C1463" s="11" t="n"/>
      <c r="D1463" s="11" t="n"/>
      <c r="E1463" s="12" t="n"/>
      <c r="F1463" s="10">
        <f>IF($E1463="","",IFERROR(IF(VLOOKUP(LEFT(UPPER(TRIM($E1463)),6),BankTbl,2,0)="","(بدون عنوان)",VLOOKUP(LEFT(UPPER(TRIM($E1463)),6),BankTbl,2,0)),"بانک ناشناخته"))</f>
        <v/>
      </c>
      <c r="G1463" s="11" t="n"/>
      <c r="H1463" s="10">
        <f>IF($G1463="","",IFERROR(VLOOKUP($G1463,CustTbl,2,0),IFERROR(VLOOKUP($G1463,SuppTbl,2,0),IFERROR(VLOOKUP($G1463,AcctTbl,2,0),IFERROR(VLOOKUP($G1463,StaffTbl,2,0),"کد ناشناخته")))))</f>
        <v/>
      </c>
      <c r="I1463" s="12" t="n"/>
      <c r="J1463" s="12" t="n"/>
      <c r="K1463" s="13" t="n"/>
      <c r="L1463" s="13" t="n"/>
      <c r="M1463" s="13" t="n"/>
      <c r="N1463" s="14">
        <f>IF(OR($C1463="",$E1463="",Calc!$H1463=""),"",IFERROR(VLOOKUP(LEFT(UPPER(TRIM($E1463)),6),BankTbl,3,0),0)+SUMIFS(CalcDep,CalcBank,LEFT(UPPER(TRIM($E1463)),6),CalcKey,"&lt;="&amp;Calc!$H1463)-SUMIFS(CalcWit,CalcBank,LEFT(UPPER(TRIM($E1463)),6),CalcKey,"&lt;="&amp;Calc!$H1463))</f>
        <v/>
      </c>
      <c r="O1463" s="10">
        <f>IF(OR($C1463="",$M1463=""),"",IF($N1463="","؟",IF(ROUND($M1463-$N1463,0)=0,"√","×")))</f>
        <v/>
      </c>
      <c r="P1463" s="12" t="n"/>
    </row>
    <row r="1464">
      <c r="A1464" s="10">
        <f>IF($C1464="","",COUNTA($C$9:$C1464))</f>
        <v/>
      </c>
      <c r="B1464" s="10">
        <f>IF($C1464="","","TXN-"&amp;RIGHT("0000"&amp;1456,4))</f>
        <v/>
      </c>
      <c r="C1464" s="11" t="n"/>
      <c r="D1464" s="11" t="n"/>
      <c r="E1464" s="12" t="n"/>
      <c r="F1464" s="10">
        <f>IF($E1464="","",IFERROR(IF(VLOOKUP(LEFT(UPPER(TRIM($E1464)),6),BankTbl,2,0)="","(بدون عنوان)",VLOOKUP(LEFT(UPPER(TRIM($E1464)),6),BankTbl,2,0)),"بانک ناشناخته"))</f>
        <v/>
      </c>
      <c r="G1464" s="11" t="n"/>
      <c r="H1464" s="10">
        <f>IF($G1464="","",IFERROR(VLOOKUP($G1464,CustTbl,2,0),IFERROR(VLOOKUP($G1464,SuppTbl,2,0),IFERROR(VLOOKUP($G1464,AcctTbl,2,0),IFERROR(VLOOKUP($G1464,StaffTbl,2,0),"کد ناشناخته")))))</f>
        <v/>
      </c>
      <c r="I1464" s="12" t="n"/>
      <c r="J1464" s="12" t="n"/>
      <c r="K1464" s="13" t="n"/>
      <c r="L1464" s="13" t="n"/>
      <c r="M1464" s="13" t="n"/>
      <c r="N1464" s="14">
        <f>IF(OR($C1464="",$E1464="",Calc!$H1464=""),"",IFERROR(VLOOKUP(LEFT(UPPER(TRIM($E1464)),6),BankTbl,3,0),0)+SUMIFS(CalcDep,CalcBank,LEFT(UPPER(TRIM($E1464)),6),CalcKey,"&lt;="&amp;Calc!$H1464)-SUMIFS(CalcWit,CalcBank,LEFT(UPPER(TRIM($E1464)),6),CalcKey,"&lt;="&amp;Calc!$H1464))</f>
        <v/>
      </c>
      <c r="O1464" s="10">
        <f>IF(OR($C1464="",$M1464=""),"",IF($N1464="","؟",IF(ROUND($M1464-$N1464,0)=0,"√","×")))</f>
        <v/>
      </c>
      <c r="P1464" s="12" t="n"/>
    </row>
    <row r="1465">
      <c r="A1465" s="10">
        <f>IF($C1465="","",COUNTA($C$9:$C1465))</f>
        <v/>
      </c>
      <c r="B1465" s="10">
        <f>IF($C1465="","","TXN-"&amp;RIGHT("0000"&amp;1457,4))</f>
        <v/>
      </c>
      <c r="C1465" s="11" t="n"/>
      <c r="D1465" s="11" t="n"/>
      <c r="E1465" s="12" t="n"/>
      <c r="F1465" s="10">
        <f>IF($E1465="","",IFERROR(IF(VLOOKUP(LEFT(UPPER(TRIM($E1465)),6),BankTbl,2,0)="","(بدون عنوان)",VLOOKUP(LEFT(UPPER(TRIM($E1465)),6),BankTbl,2,0)),"بانک ناشناخته"))</f>
        <v/>
      </c>
      <c r="G1465" s="11" t="n"/>
      <c r="H1465" s="10">
        <f>IF($G1465="","",IFERROR(VLOOKUP($G1465,CustTbl,2,0),IFERROR(VLOOKUP($G1465,SuppTbl,2,0),IFERROR(VLOOKUP($G1465,AcctTbl,2,0),IFERROR(VLOOKUP($G1465,StaffTbl,2,0),"کد ناشناخته")))))</f>
        <v/>
      </c>
      <c r="I1465" s="12" t="n"/>
      <c r="J1465" s="12" t="n"/>
      <c r="K1465" s="13" t="n"/>
      <c r="L1465" s="13" t="n"/>
      <c r="M1465" s="13" t="n"/>
      <c r="N1465" s="14">
        <f>IF(OR($C1465="",$E1465="",Calc!$H1465=""),"",IFERROR(VLOOKUP(LEFT(UPPER(TRIM($E1465)),6),BankTbl,3,0),0)+SUMIFS(CalcDep,CalcBank,LEFT(UPPER(TRIM($E1465)),6),CalcKey,"&lt;="&amp;Calc!$H1465)-SUMIFS(CalcWit,CalcBank,LEFT(UPPER(TRIM($E1465)),6),CalcKey,"&lt;="&amp;Calc!$H1465))</f>
        <v/>
      </c>
      <c r="O1465" s="10">
        <f>IF(OR($C1465="",$M1465=""),"",IF($N1465="","؟",IF(ROUND($M1465-$N1465,0)=0,"√","×")))</f>
        <v/>
      </c>
      <c r="P1465" s="12" t="n"/>
    </row>
    <row r="1466">
      <c r="A1466" s="10">
        <f>IF($C1466="","",COUNTA($C$9:$C1466))</f>
        <v/>
      </c>
      <c r="B1466" s="10">
        <f>IF($C1466="","","TXN-"&amp;RIGHT("0000"&amp;1458,4))</f>
        <v/>
      </c>
      <c r="C1466" s="11" t="n"/>
      <c r="D1466" s="11" t="n"/>
      <c r="E1466" s="12" t="n"/>
      <c r="F1466" s="10">
        <f>IF($E1466="","",IFERROR(IF(VLOOKUP(LEFT(UPPER(TRIM($E1466)),6),BankTbl,2,0)="","(بدون عنوان)",VLOOKUP(LEFT(UPPER(TRIM($E1466)),6),BankTbl,2,0)),"بانک ناشناخته"))</f>
        <v/>
      </c>
      <c r="G1466" s="11" t="n"/>
      <c r="H1466" s="10">
        <f>IF($G1466="","",IFERROR(VLOOKUP($G1466,CustTbl,2,0),IFERROR(VLOOKUP($G1466,SuppTbl,2,0),IFERROR(VLOOKUP($G1466,AcctTbl,2,0),IFERROR(VLOOKUP($G1466,StaffTbl,2,0),"کد ناشناخته")))))</f>
        <v/>
      </c>
      <c r="I1466" s="12" t="n"/>
      <c r="J1466" s="12" t="n"/>
      <c r="K1466" s="13" t="n"/>
      <c r="L1466" s="13" t="n"/>
      <c r="M1466" s="13" t="n"/>
      <c r="N1466" s="14">
        <f>IF(OR($C1466="",$E1466="",Calc!$H1466=""),"",IFERROR(VLOOKUP(LEFT(UPPER(TRIM($E1466)),6),BankTbl,3,0),0)+SUMIFS(CalcDep,CalcBank,LEFT(UPPER(TRIM($E1466)),6),CalcKey,"&lt;="&amp;Calc!$H1466)-SUMIFS(CalcWit,CalcBank,LEFT(UPPER(TRIM($E1466)),6),CalcKey,"&lt;="&amp;Calc!$H1466))</f>
        <v/>
      </c>
      <c r="O1466" s="10">
        <f>IF(OR($C1466="",$M1466=""),"",IF($N1466="","؟",IF(ROUND($M1466-$N1466,0)=0,"√","×")))</f>
        <v/>
      </c>
      <c r="P1466" s="12" t="n"/>
    </row>
    <row r="1467">
      <c r="A1467" s="10">
        <f>IF($C1467="","",COUNTA($C$9:$C1467))</f>
        <v/>
      </c>
      <c r="B1467" s="10">
        <f>IF($C1467="","","TXN-"&amp;RIGHT("0000"&amp;1459,4))</f>
        <v/>
      </c>
      <c r="C1467" s="11" t="n"/>
      <c r="D1467" s="11" t="n"/>
      <c r="E1467" s="12" t="n"/>
      <c r="F1467" s="10">
        <f>IF($E1467="","",IFERROR(IF(VLOOKUP(LEFT(UPPER(TRIM($E1467)),6),BankTbl,2,0)="","(بدون عنوان)",VLOOKUP(LEFT(UPPER(TRIM($E1467)),6),BankTbl,2,0)),"بانک ناشناخته"))</f>
        <v/>
      </c>
      <c r="G1467" s="11" t="n"/>
      <c r="H1467" s="10">
        <f>IF($G1467="","",IFERROR(VLOOKUP($G1467,CustTbl,2,0),IFERROR(VLOOKUP($G1467,SuppTbl,2,0),IFERROR(VLOOKUP($G1467,AcctTbl,2,0),IFERROR(VLOOKUP($G1467,StaffTbl,2,0),"کد ناشناخته")))))</f>
        <v/>
      </c>
      <c r="I1467" s="12" t="n"/>
      <c r="J1467" s="12" t="n"/>
      <c r="K1467" s="13" t="n"/>
      <c r="L1467" s="13" t="n"/>
      <c r="M1467" s="13" t="n"/>
      <c r="N1467" s="14">
        <f>IF(OR($C1467="",$E1467="",Calc!$H1467=""),"",IFERROR(VLOOKUP(LEFT(UPPER(TRIM($E1467)),6),BankTbl,3,0),0)+SUMIFS(CalcDep,CalcBank,LEFT(UPPER(TRIM($E1467)),6),CalcKey,"&lt;="&amp;Calc!$H1467)-SUMIFS(CalcWit,CalcBank,LEFT(UPPER(TRIM($E1467)),6),CalcKey,"&lt;="&amp;Calc!$H1467))</f>
        <v/>
      </c>
      <c r="O1467" s="10">
        <f>IF(OR($C1467="",$M1467=""),"",IF($N1467="","؟",IF(ROUND($M1467-$N1467,0)=0,"√","×")))</f>
        <v/>
      </c>
      <c r="P1467" s="12" t="n"/>
    </row>
    <row r="1468">
      <c r="A1468" s="10">
        <f>IF($C1468="","",COUNTA($C$9:$C1468))</f>
        <v/>
      </c>
      <c r="B1468" s="10">
        <f>IF($C1468="","","TXN-"&amp;RIGHT("0000"&amp;1460,4))</f>
        <v/>
      </c>
      <c r="C1468" s="11" t="n"/>
      <c r="D1468" s="11" t="n"/>
      <c r="E1468" s="12" t="n"/>
      <c r="F1468" s="10">
        <f>IF($E1468="","",IFERROR(IF(VLOOKUP(LEFT(UPPER(TRIM($E1468)),6),BankTbl,2,0)="","(بدون عنوان)",VLOOKUP(LEFT(UPPER(TRIM($E1468)),6),BankTbl,2,0)),"بانک ناشناخته"))</f>
        <v/>
      </c>
      <c r="G1468" s="11" t="n"/>
      <c r="H1468" s="10">
        <f>IF($G1468="","",IFERROR(VLOOKUP($G1468,CustTbl,2,0),IFERROR(VLOOKUP($G1468,SuppTbl,2,0),IFERROR(VLOOKUP($G1468,AcctTbl,2,0),IFERROR(VLOOKUP($G1468,StaffTbl,2,0),"کد ناشناخته")))))</f>
        <v/>
      </c>
      <c r="I1468" s="12" t="n"/>
      <c r="J1468" s="12" t="n"/>
      <c r="K1468" s="13" t="n"/>
      <c r="L1468" s="13" t="n"/>
      <c r="M1468" s="13" t="n"/>
      <c r="N1468" s="14">
        <f>IF(OR($C1468="",$E1468="",Calc!$H1468=""),"",IFERROR(VLOOKUP(LEFT(UPPER(TRIM($E1468)),6),BankTbl,3,0),0)+SUMIFS(CalcDep,CalcBank,LEFT(UPPER(TRIM($E1468)),6),CalcKey,"&lt;="&amp;Calc!$H1468)-SUMIFS(CalcWit,CalcBank,LEFT(UPPER(TRIM($E1468)),6),CalcKey,"&lt;="&amp;Calc!$H1468))</f>
        <v/>
      </c>
      <c r="O1468" s="10">
        <f>IF(OR($C1468="",$M1468=""),"",IF($N1468="","؟",IF(ROUND($M1468-$N1468,0)=0,"√","×")))</f>
        <v/>
      </c>
      <c r="P1468" s="12" t="n"/>
    </row>
    <row r="1469">
      <c r="A1469" s="10">
        <f>IF($C1469="","",COUNTA($C$9:$C1469))</f>
        <v/>
      </c>
      <c r="B1469" s="10">
        <f>IF($C1469="","","TXN-"&amp;RIGHT("0000"&amp;1461,4))</f>
        <v/>
      </c>
      <c r="C1469" s="11" t="n"/>
      <c r="D1469" s="11" t="n"/>
      <c r="E1469" s="12" t="n"/>
      <c r="F1469" s="10">
        <f>IF($E1469="","",IFERROR(IF(VLOOKUP(LEFT(UPPER(TRIM($E1469)),6),BankTbl,2,0)="","(بدون عنوان)",VLOOKUP(LEFT(UPPER(TRIM($E1469)),6),BankTbl,2,0)),"بانک ناشناخته"))</f>
        <v/>
      </c>
      <c r="G1469" s="11" t="n"/>
      <c r="H1469" s="10">
        <f>IF($G1469="","",IFERROR(VLOOKUP($G1469,CustTbl,2,0),IFERROR(VLOOKUP($G1469,SuppTbl,2,0),IFERROR(VLOOKUP($G1469,AcctTbl,2,0),IFERROR(VLOOKUP($G1469,StaffTbl,2,0),"کد ناشناخته")))))</f>
        <v/>
      </c>
      <c r="I1469" s="12" t="n"/>
      <c r="J1469" s="12" t="n"/>
      <c r="K1469" s="13" t="n"/>
      <c r="L1469" s="13" t="n"/>
      <c r="M1469" s="13" t="n"/>
      <c r="N1469" s="14">
        <f>IF(OR($C1469="",$E1469="",Calc!$H1469=""),"",IFERROR(VLOOKUP(LEFT(UPPER(TRIM($E1469)),6),BankTbl,3,0),0)+SUMIFS(CalcDep,CalcBank,LEFT(UPPER(TRIM($E1469)),6),CalcKey,"&lt;="&amp;Calc!$H1469)-SUMIFS(CalcWit,CalcBank,LEFT(UPPER(TRIM($E1469)),6),CalcKey,"&lt;="&amp;Calc!$H1469))</f>
        <v/>
      </c>
      <c r="O1469" s="10">
        <f>IF(OR($C1469="",$M1469=""),"",IF($N1469="","؟",IF(ROUND($M1469-$N1469,0)=0,"√","×")))</f>
        <v/>
      </c>
      <c r="P1469" s="12" t="n"/>
    </row>
    <row r="1470">
      <c r="A1470" s="10">
        <f>IF($C1470="","",COUNTA($C$9:$C1470))</f>
        <v/>
      </c>
      <c r="B1470" s="10">
        <f>IF($C1470="","","TXN-"&amp;RIGHT("0000"&amp;1462,4))</f>
        <v/>
      </c>
      <c r="C1470" s="11" t="n"/>
      <c r="D1470" s="11" t="n"/>
      <c r="E1470" s="12" t="n"/>
      <c r="F1470" s="10">
        <f>IF($E1470="","",IFERROR(IF(VLOOKUP(LEFT(UPPER(TRIM($E1470)),6),BankTbl,2,0)="","(بدون عنوان)",VLOOKUP(LEFT(UPPER(TRIM($E1470)),6),BankTbl,2,0)),"بانک ناشناخته"))</f>
        <v/>
      </c>
      <c r="G1470" s="11" t="n"/>
      <c r="H1470" s="10">
        <f>IF($G1470="","",IFERROR(VLOOKUP($G1470,CustTbl,2,0),IFERROR(VLOOKUP($G1470,SuppTbl,2,0),IFERROR(VLOOKUP($G1470,AcctTbl,2,0),IFERROR(VLOOKUP($G1470,StaffTbl,2,0),"کد ناشناخته")))))</f>
        <v/>
      </c>
      <c r="I1470" s="12" t="n"/>
      <c r="J1470" s="12" t="n"/>
      <c r="K1470" s="13" t="n"/>
      <c r="L1470" s="13" t="n"/>
      <c r="M1470" s="13" t="n"/>
      <c r="N1470" s="14">
        <f>IF(OR($C1470="",$E1470="",Calc!$H1470=""),"",IFERROR(VLOOKUP(LEFT(UPPER(TRIM($E1470)),6),BankTbl,3,0),0)+SUMIFS(CalcDep,CalcBank,LEFT(UPPER(TRIM($E1470)),6),CalcKey,"&lt;="&amp;Calc!$H1470)-SUMIFS(CalcWit,CalcBank,LEFT(UPPER(TRIM($E1470)),6),CalcKey,"&lt;="&amp;Calc!$H1470))</f>
        <v/>
      </c>
      <c r="O1470" s="10">
        <f>IF(OR($C1470="",$M1470=""),"",IF($N1470="","؟",IF(ROUND($M1470-$N1470,0)=0,"√","×")))</f>
        <v/>
      </c>
      <c r="P1470" s="12" t="n"/>
    </row>
    <row r="1471">
      <c r="A1471" s="10">
        <f>IF($C1471="","",COUNTA($C$9:$C1471))</f>
        <v/>
      </c>
      <c r="B1471" s="10">
        <f>IF($C1471="","","TXN-"&amp;RIGHT("0000"&amp;1463,4))</f>
        <v/>
      </c>
      <c r="C1471" s="11" t="n"/>
      <c r="D1471" s="11" t="n"/>
      <c r="E1471" s="12" t="n"/>
      <c r="F1471" s="10">
        <f>IF($E1471="","",IFERROR(IF(VLOOKUP(LEFT(UPPER(TRIM($E1471)),6),BankTbl,2,0)="","(بدون عنوان)",VLOOKUP(LEFT(UPPER(TRIM($E1471)),6),BankTbl,2,0)),"بانک ناشناخته"))</f>
        <v/>
      </c>
      <c r="G1471" s="11" t="n"/>
      <c r="H1471" s="10">
        <f>IF($G1471="","",IFERROR(VLOOKUP($G1471,CustTbl,2,0),IFERROR(VLOOKUP($G1471,SuppTbl,2,0),IFERROR(VLOOKUP($G1471,AcctTbl,2,0),IFERROR(VLOOKUP($G1471,StaffTbl,2,0),"کد ناشناخته")))))</f>
        <v/>
      </c>
      <c r="I1471" s="12" t="n"/>
      <c r="J1471" s="12" t="n"/>
      <c r="K1471" s="13" t="n"/>
      <c r="L1471" s="13" t="n"/>
      <c r="M1471" s="13" t="n"/>
      <c r="N1471" s="14">
        <f>IF(OR($C1471="",$E1471="",Calc!$H1471=""),"",IFERROR(VLOOKUP(LEFT(UPPER(TRIM($E1471)),6),BankTbl,3,0),0)+SUMIFS(CalcDep,CalcBank,LEFT(UPPER(TRIM($E1471)),6),CalcKey,"&lt;="&amp;Calc!$H1471)-SUMIFS(CalcWit,CalcBank,LEFT(UPPER(TRIM($E1471)),6),CalcKey,"&lt;="&amp;Calc!$H1471))</f>
        <v/>
      </c>
      <c r="O1471" s="10">
        <f>IF(OR($C1471="",$M1471=""),"",IF($N1471="","؟",IF(ROUND($M1471-$N1471,0)=0,"√","×")))</f>
        <v/>
      </c>
      <c r="P1471" s="12" t="n"/>
    </row>
    <row r="1472">
      <c r="A1472" s="10">
        <f>IF($C1472="","",COUNTA($C$9:$C1472))</f>
        <v/>
      </c>
      <c r="B1472" s="10">
        <f>IF($C1472="","","TXN-"&amp;RIGHT("0000"&amp;1464,4))</f>
        <v/>
      </c>
      <c r="C1472" s="11" t="n"/>
      <c r="D1472" s="11" t="n"/>
      <c r="E1472" s="12" t="n"/>
      <c r="F1472" s="10">
        <f>IF($E1472="","",IFERROR(IF(VLOOKUP(LEFT(UPPER(TRIM($E1472)),6),BankTbl,2,0)="","(بدون عنوان)",VLOOKUP(LEFT(UPPER(TRIM($E1472)),6),BankTbl,2,0)),"بانک ناشناخته"))</f>
        <v/>
      </c>
      <c r="G1472" s="11" t="n"/>
      <c r="H1472" s="10">
        <f>IF($G1472="","",IFERROR(VLOOKUP($G1472,CustTbl,2,0),IFERROR(VLOOKUP($G1472,SuppTbl,2,0),IFERROR(VLOOKUP($G1472,AcctTbl,2,0),IFERROR(VLOOKUP($G1472,StaffTbl,2,0),"کد ناشناخته")))))</f>
        <v/>
      </c>
      <c r="I1472" s="12" t="n"/>
      <c r="J1472" s="12" t="n"/>
      <c r="K1472" s="13" t="n"/>
      <c r="L1472" s="13" t="n"/>
      <c r="M1472" s="13" t="n"/>
      <c r="N1472" s="14">
        <f>IF(OR($C1472="",$E1472="",Calc!$H1472=""),"",IFERROR(VLOOKUP(LEFT(UPPER(TRIM($E1472)),6),BankTbl,3,0),0)+SUMIFS(CalcDep,CalcBank,LEFT(UPPER(TRIM($E1472)),6),CalcKey,"&lt;="&amp;Calc!$H1472)-SUMIFS(CalcWit,CalcBank,LEFT(UPPER(TRIM($E1472)),6),CalcKey,"&lt;="&amp;Calc!$H1472))</f>
        <v/>
      </c>
      <c r="O1472" s="10">
        <f>IF(OR($C1472="",$M1472=""),"",IF($N1472="","؟",IF(ROUND($M1472-$N1472,0)=0,"√","×")))</f>
        <v/>
      </c>
      <c r="P1472" s="12" t="n"/>
    </row>
    <row r="1473">
      <c r="A1473" s="10">
        <f>IF($C1473="","",COUNTA($C$9:$C1473))</f>
        <v/>
      </c>
      <c r="B1473" s="10">
        <f>IF($C1473="","","TXN-"&amp;RIGHT("0000"&amp;1465,4))</f>
        <v/>
      </c>
      <c r="C1473" s="11" t="n"/>
      <c r="D1473" s="11" t="n"/>
      <c r="E1473" s="12" t="n"/>
      <c r="F1473" s="10">
        <f>IF($E1473="","",IFERROR(IF(VLOOKUP(LEFT(UPPER(TRIM($E1473)),6),BankTbl,2,0)="","(بدون عنوان)",VLOOKUP(LEFT(UPPER(TRIM($E1473)),6),BankTbl,2,0)),"بانک ناشناخته"))</f>
        <v/>
      </c>
      <c r="G1473" s="11" t="n"/>
      <c r="H1473" s="10">
        <f>IF($G1473="","",IFERROR(VLOOKUP($G1473,CustTbl,2,0),IFERROR(VLOOKUP($G1473,SuppTbl,2,0),IFERROR(VLOOKUP($G1473,AcctTbl,2,0),IFERROR(VLOOKUP($G1473,StaffTbl,2,0),"کد ناشناخته")))))</f>
        <v/>
      </c>
      <c r="I1473" s="12" t="n"/>
      <c r="J1473" s="12" t="n"/>
      <c r="K1473" s="13" t="n"/>
      <c r="L1473" s="13" t="n"/>
      <c r="M1473" s="13" t="n"/>
      <c r="N1473" s="14">
        <f>IF(OR($C1473="",$E1473="",Calc!$H1473=""),"",IFERROR(VLOOKUP(LEFT(UPPER(TRIM($E1473)),6),BankTbl,3,0),0)+SUMIFS(CalcDep,CalcBank,LEFT(UPPER(TRIM($E1473)),6),CalcKey,"&lt;="&amp;Calc!$H1473)-SUMIFS(CalcWit,CalcBank,LEFT(UPPER(TRIM($E1473)),6),CalcKey,"&lt;="&amp;Calc!$H1473))</f>
        <v/>
      </c>
      <c r="O1473" s="10">
        <f>IF(OR($C1473="",$M1473=""),"",IF($N1473="","؟",IF(ROUND($M1473-$N1473,0)=0,"√","×")))</f>
        <v/>
      </c>
      <c r="P1473" s="12" t="n"/>
    </row>
    <row r="1474">
      <c r="A1474" s="10">
        <f>IF($C1474="","",COUNTA($C$9:$C1474))</f>
        <v/>
      </c>
      <c r="B1474" s="10">
        <f>IF($C1474="","","TXN-"&amp;RIGHT("0000"&amp;1466,4))</f>
        <v/>
      </c>
      <c r="C1474" s="11" t="n"/>
      <c r="D1474" s="11" t="n"/>
      <c r="E1474" s="12" t="n"/>
      <c r="F1474" s="10">
        <f>IF($E1474="","",IFERROR(IF(VLOOKUP(LEFT(UPPER(TRIM($E1474)),6),BankTbl,2,0)="","(بدون عنوان)",VLOOKUP(LEFT(UPPER(TRIM($E1474)),6),BankTbl,2,0)),"بانک ناشناخته"))</f>
        <v/>
      </c>
      <c r="G1474" s="11" t="n"/>
      <c r="H1474" s="10">
        <f>IF($G1474="","",IFERROR(VLOOKUP($G1474,CustTbl,2,0),IFERROR(VLOOKUP($G1474,SuppTbl,2,0),IFERROR(VLOOKUP($G1474,AcctTbl,2,0),IFERROR(VLOOKUP($G1474,StaffTbl,2,0),"کد ناشناخته")))))</f>
        <v/>
      </c>
      <c r="I1474" s="12" t="n"/>
      <c r="J1474" s="12" t="n"/>
      <c r="K1474" s="13" t="n"/>
      <c r="L1474" s="13" t="n"/>
      <c r="M1474" s="13" t="n"/>
      <c r="N1474" s="14">
        <f>IF(OR($C1474="",$E1474="",Calc!$H1474=""),"",IFERROR(VLOOKUP(LEFT(UPPER(TRIM($E1474)),6),BankTbl,3,0),0)+SUMIFS(CalcDep,CalcBank,LEFT(UPPER(TRIM($E1474)),6),CalcKey,"&lt;="&amp;Calc!$H1474)-SUMIFS(CalcWit,CalcBank,LEFT(UPPER(TRIM($E1474)),6),CalcKey,"&lt;="&amp;Calc!$H1474))</f>
        <v/>
      </c>
      <c r="O1474" s="10">
        <f>IF(OR($C1474="",$M1474=""),"",IF($N1474="","؟",IF(ROUND($M1474-$N1474,0)=0,"√","×")))</f>
        <v/>
      </c>
      <c r="P1474" s="12" t="n"/>
    </row>
    <row r="1475">
      <c r="A1475" s="10">
        <f>IF($C1475="","",COUNTA($C$9:$C1475))</f>
        <v/>
      </c>
      <c r="B1475" s="10">
        <f>IF($C1475="","","TXN-"&amp;RIGHT("0000"&amp;1467,4))</f>
        <v/>
      </c>
      <c r="C1475" s="11" t="n"/>
      <c r="D1475" s="11" t="n"/>
      <c r="E1475" s="12" t="n"/>
      <c r="F1475" s="10">
        <f>IF($E1475="","",IFERROR(IF(VLOOKUP(LEFT(UPPER(TRIM($E1475)),6),BankTbl,2,0)="","(بدون عنوان)",VLOOKUP(LEFT(UPPER(TRIM($E1475)),6),BankTbl,2,0)),"بانک ناشناخته"))</f>
        <v/>
      </c>
      <c r="G1475" s="11" t="n"/>
      <c r="H1475" s="10">
        <f>IF($G1475="","",IFERROR(VLOOKUP($G1475,CustTbl,2,0),IFERROR(VLOOKUP($G1475,SuppTbl,2,0),IFERROR(VLOOKUP($G1475,AcctTbl,2,0),IFERROR(VLOOKUP($G1475,StaffTbl,2,0),"کد ناشناخته")))))</f>
        <v/>
      </c>
      <c r="I1475" s="12" t="n"/>
      <c r="J1475" s="12" t="n"/>
      <c r="K1475" s="13" t="n"/>
      <c r="L1475" s="13" t="n"/>
      <c r="M1475" s="13" t="n"/>
      <c r="N1475" s="14">
        <f>IF(OR($C1475="",$E1475="",Calc!$H1475=""),"",IFERROR(VLOOKUP(LEFT(UPPER(TRIM($E1475)),6),BankTbl,3,0),0)+SUMIFS(CalcDep,CalcBank,LEFT(UPPER(TRIM($E1475)),6),CalcKey,"&lt;="&amp;Calc!$H1475)-SUMIFS(CalcWit,CalcBank,LEFT(UPPER(TRIM($E1475)),6),CalcKey,"&lt;="&amp;Calc!$H1475))</f>
        <v/>
      </c>
      <c r="O1475" s="10">
        <f>IF(OR($C1475="",$M1475=""),"",IF($N1475="","؟",IF(ROUND($M1475-$N1475,0)=0,"√","×")))</f>
        <v/>
      </c>
      <c r="P1475" s="12" t="n"/>
    </row>
    <row r="1476">
      <c r="A1476" s="10">
        <f>IF($C1476="","",COUNTA($C$9:$C1476))</f>
        <v/>
      </c>
      <c r="B1476" s="10">
        <f>IF($C1476="","","TXN-"&amp;RIGHT("0000"&amp;1468,4))</f>
        <v/>
      </c>
      <c r="C1476" s="11" t="n"/>
      <c r="D1476" s="11" t="n"/>
      <c r="E1476" s="12" t="n"/>
      <c r="F1476" s="10">
        <f>IF($E1476="","",IFERROR(IF(VLOOKUP(LEFT(UPPER(TRIM($E1476)),6),BankTbl,2,0)="","(بدون عنوان)",VLOOKUP(LEFT(UPPER(TRIM($E1476)),6),BankTbl,2,0)),"بانک ناشناخته"))</f>
        <v/>
      </c>
      <c r="G1476" s="11" t="n"/>
      <c r="H1476" s="10">
        <f>IF($G1476="","",IFERROR(VLOOKUP($G1476,CustTbl,2,0),IFERROR(VLOOKUP($G1476,SuppTbl,2,0),IFERROR(VLOOKUP($G1476,AcctTbl,2,0),IFERROR(VLOOKUP($G1476,StaffTbl,2,0),"کد ناشناخته")))))</f>
        <v/>
      </c>
      <c r="I1476" s="12" t="n"/>
      <c r="J1476" s="12" t="n"/>
      <c r="K1476" s="13" t="n"/>
      <c r="L1476" s="13" t="n"/>
      <c r="M1476" s="13" t="n"/>
      <c r="N1476" s="14">
        <f>IF(OR($C1476="",$E1476="",Calc!$H1476=""),"",IFERROR(VLOOKUP(LEFT(UPPER(TRIM($E1476)),6),BankTbl,3,0),0)+SUMIFS(CalcDep,CalcBank,LEFT(UPPER(TRIM($E1476)),6),CalcKey,"&lt;="&amp;Calc!$H1476)-SUMIFS(CalcWit,CalcBank,LEFT(UPPER(TRIM($E1476)),6),CalcKey,"&lt;="&amp;Calc!$H1476))</f>
        <v/>
      </c>
      <c r="O1476" s="10">
        <f>IF(OR($C1476="",$M1476=""),"",IF($N1476="","؟",IF(ROUND($M1476-$N1476,0)=0,"√","×")))</f>
        <v/>
      </c>
      <c r="P1476" s="12" t="n"/>
    </row>
    <row r="1477">
      <c r="A1477" s="10">
        <f>IF($C1477="","",COUNTA($C$9:$C1477))</f>
        <v/>
      </c>
      <c r="B1477" s="10">
        <f>IF($C1477="","","TXN-"&amp;RIGHT("0000"&amp;1469,4))</f>
        <v/>
      </c>
      <c r="C1477" s="11" t="n"/>
      <c r="D1477" s="11" t="n"/>
      <c r="E1477" s="12" t="n"/>
      <c r="F1477" s="10">
        <f>IF($E1477="","",IFERROR(IF(VLOOKUP(LEFT(UPPER(TRIM($E1477)),6),BankTbl,2,0)="","(بدون عنوان)",VLOOKUP(LEFT(UPPER(TRIM($E1477)),6),BankTbl,2,0)),"بانک ناشناخته"))</f>
        <v/>
      </c>
      <c r="G1477" s="11" t="n"/>
      <c r="H1477" s="10">
        <f>IF($G1477="","",IFERROR(VLOOKUP($G1477,CustTbl,2,0),IFERROR(VLOOKUP($G1477,SuppTbl,2,0),IFERROR(VLOOKUP($G1477,AcctTbl,2,0),IFERROR(VLOOKUP($G1477,StaffTbl,2,0),"کد ناشناخته")))))</f>
        <v/>
      </c>
      <c r="I1477" s="12" t="n"/>
      <c r="J1477" s="12" t="n"/>
      <c r="K1477" s="13" t="n"/>
      <c r="L1477" s="13" t="n"/>
      <c r="M1477" s="13" t="n"/>
      <c r="N1477" s="14">
        <f>IF(OR($C1477="",$E1477="",Calc!$H1477=""),"",IFERROR(VLOOKUP(LEFT(UPPER(TRIM($E1477)),6),BankTbl,3,0),0)+SUMIFS(CalcDep,CalcBank,LEFT(UPPER(TRIM($E1477)),6),CalcKey,"&lt;="&amp;Calc!$H1477)-SUMIFS(CalcWit,CalcBank,LEFT(UPPER(TRIM($E1477)),6),CalcKey,"&lt;="&amp;Calc!$H1477))</f>
        <v/>
      </c>
      <c r="O1477" s="10">
        <f>IF(OR($C1477="",$M1477=""),"",IF($N1477="","؟",IF(ROUND($M1477-$N1477,0)=0,"√","×")))</f>
        <v/>
      </c>
      <c r="P1477" s="12" t="n"/>
    </row>
    <row r="1478">
      <c r="A1478" s="10">
        <f>IF($C1478="","",COUNTA($C$9:$C1478))</f>
        <v/>
      </c>
      <c r="B1478" s="10">
        <f>IF($C1478="","","TXN-"&amp;RIGHT("0000"&amp;1470,4))</f>
        <v/>
      </c>
      <c r="C1478" s="11" t="n"/>
      <c r="D1478" s="11" t="n"/>
      <c r="E1478" s="12" t="n"/>
      <c r="F1478" s="10">
        <f>IF($E1478="","",IFERROR(IF(VLOOKUP(LEFT(UPPER(TRIM($E1478)),6),BankTbl,2,0)="","(بدون عنوان)",VLOOKUP(LEFT(UPPER(TRIM($E1478)),6),BankTbl,2,0)),"بانک ناشناخته"))</f>
        <v/>
      </c>
      <c r="G1478" s="11" t="n"/>
      <c r="H1478" s="10">
        <f>IF($G1478="","",IFERROR(VLOOKUP($G1478,CustTbl,2,0),IFERROR(VLOOKUP($G1478,SuppTbl,2,0),IFERROR(VLOOKUP($G1478,AcctTbl,2,0),IFERROR(VLOOKUP($G1478,StaffTbl,2,0),"کد ناشناخته")))))</f>
        <v/>
      </c>
      <c r="I1478" s="12" t="n"/>
      <c r="J1478" s="12" t="n"/>
      <c r="K1478" s="13" t="n"/>
      <c r="L1478" s="13" t="n"/>
      <c r="M1478" s="13" t="n"/>
      <c r="N1478" s="14">
        <f>IF(OR($C1478="",$E1478="",Calc!$H1478=""),"",IFERROR(VLOOKUP(LEFT(UPPER(TRIM($E1478)),6),BankTbl,3,0),0)+SUMIFS(CalcDep,CalcBank,LEFT(UPPER(TRIM($E1478)),6),CalcKey,"&lt;="&amp;Calc!$H1478)-SUMIFS(CalcWit,CalcBank,LEFT(UPPER(TRIM($E1478)),6),CalcKey,"&lt;="&amp;Calc!$H1478))</f>
        <v/>
      </c>
      <c r="O1478" s="10">
        <f>IF(OR($C1478="",$M1478=""),"",IF($N1478="","؟",IF(ROUND($M1478-$N1478,0)=0,"√","×")))</f>
        <v/>
      </c>
      <c r="P1478" s="12" t="n"/>
    </row>
    <row r="1479">
      <c r="A1479" s="10">
        <f>IF($C1479="","",COUNTA($C$9:$C1479))</f>
        <v/>
      </c>
      <c r="B1479" s="10">
        <f>IF($C1479="","","TXN-"&amp;RIGHT("0000"&amp;1471,4))</f>
        <v/>
      </c>
      <c r="C1479" s="11" t="n"/>
      <c r="D1479" s="11" t="n"/>
      <c r="E1479" s="12" t="n"/>
      <c r="F1479" s="10">
        <f>IF($E1479="","",IFERROR(IF(VLOOKUP(LEFT(UPPER(TRIM($E1479)),6),BankTbl,2,0)="","(بدون عنوان)",VLOOKUP(LEFT(UPPER(TRIM($E1479)),6),BankTbl,2,0)),"بانک ناشناخته"))</f>
        <v/>
      </c>
      <c r="G1479" s="11" t="n"/>
      <c r="H1479" s="10">
        <f>IF($G1479="","",IFERROR(VLOOKUP($G1479,CustTbl,2,0),IFERROR(VLOOKUP($G1479,SuppTbl,2,0),IFERROR(VLOOKUP($G1479,AcctTbl,2,0),IFERROR(VLOOKUP($G1479,StaffTbl,2,0),"کد ناشناخته")))))</f>
        <v/>
      </c>
      <c r="I1479" s="12" t="n"/>
      <c r="J1479" s="12" t="n"/>
      <c r="K1479" s="13" t="n"/>
      <c r="L1479" s="13" t="n"/>
      <c r="M1479" s="13" t="n"/>
      <c r="N1479" s="14">
        <f>IF(OR($C1479="",$E1479="",Calc!$H1479=""),"",IFERROR(VLOOKUP(LEFT(UPPER(TRIM($E1479)),6),BankTbl,3,0),0)+SUMIFS(CalcDep,CalcBank,LEFT(UPPER(TRIM($E1479)),6),CalcKey,"&lt;="&amp;Calc!$H1479)-SUMIFS(CalcWit,CalcBank,LEFT(UPPER(TRIM($E1479)),6),CalcKey,"&lt;="&amp;Calc!$H1479))</f>
        <v/>
      </c>
      <c r="O1479" s="10">
        <f>IF(OR($C1479="",$M1479=""),"",IF($N1479="","؟",IF(ROUND($M1479-$N1479,0)=0,"√","×")))</f>
        <v/>
      </c>
      <c r="P1479" s="12" t="n"/>
    </row>
    <row r="1480">
      <c r="A1480" s="10">
        <f>IF($C1480="","",COUNTA($C$9:$C1480))</f>
        <v/>
      </c>
      <c r="B1480" s="10">
        <f>IF($C1480="","","TXN-"&amp;RIGHT("0000"&amp;1472,4))</f>
        <v/>
      </c>
      <c r="C1480" s="11" t="n"/>
      <c r="D1480" s="11" t="n"/>
      <c r="E1480" s="12" t="n"/>
      <c r="F1480" s="10">
        <f>IF($E1480="","",IFERROR(IF(VLOOKUP(LEFT(UPPER(TRIM($E1480)),6),BankTbl,2,0)="","(بدون عنوان)",VLOOKUP(LEFT(UPPER(TRIM($E1480)),6),BankTbl,2,0)),"بانک ناشناخته"))</f>
        <v/>
      </c>
      <c r="G1480" s="11" t="n"/>
      <c r="H1480" s="10">
        <f>IF($G1480="","",IFERROR(VLOOKUP($G1480,CustTbl,2,0),IFERROR(VLOOKUP($G1480,SuppTbl,2,0),IFERROR(VLOOKUP($G1480,AcctTbl,2,0),IFERROR(VLOOKUP($G1480,StaffTbl,2,0),"کد ناشناخته")))))</f>
        <v/>
      </c>
      <c r="I1480" s="12" t="n"/>
      <c r="J1480" s="12" t="n"/>
      <c r="K1480" s="13" t="n"/>
      <c r="L1480" s="13" t="n"/>
      <c r="M1480" s="13" t="n"/>
      <c r="N1480" s="14">
        <f>IF(OR($C1480="",$E1480="",Calc!$H1480=""),"",IFERROR(VLOOKUP(LEFT(UPPER(TRIM($E1480)),6),BankTbl,3,0),0)+SUMIFS(CalcDep,CalcBank,LEFT(UPPER(TRIM($E1480)),6),CalcKey,"&lt;="&amp;Calc!$H1480)-SUMIFS(CalcWit,CalcBank,LEFT(UPPER(TRIM($E1480)),6),CalcKey,"&lt;="&amp;Calc!$H1480))</f>
        <v/>
      </c>
      <c r="O1480" s="10">
        <f>IF(OR($C1480="",$M1480=""),"",IF($N1480="","؟",IF(ROUND($M1480-$N1480,0)=0,"√","×")))</f>
        <v/>
      </c>
      <c r="P1480" s="12" t="n"/>
    </row>
    <row r="1481">
      <c r="A1481" s="10">
        <f>IF($C1481="","",COUNTA($C$9:$C1481))</f>
        <v/>
      </c>
      <c r="B1481" s="10">
        <f>IF($C1481="","","TXN-"&amp;RIGHT("0000"&amp;1473,4))</f>
        <v/>
      </c>
      <c r="C1481" s="11" t="n"/>
      <c r="D1481" s="11" t="n"/>
      <c r="E1481" s="12" t="n"/>
      <c r="F1481" s="10">
        <f>IF($E1481="","",IFERROR(IF(VLOOKUP(LEFT(UPPER(TRIM($E1481)),6),BankTbl,2,0)="","(بدون عنوان)",VLOOKUP(LEFT(UPPER(TRIM($E1481)),6),BankTbl,2,0)),"بانک ناشناخته"))</f>
        <v/>
      </c>
      <c r="G1481" s="11" t="n"/>
      <c r="H1481" s="10">
        <f>IF($G1481="","",IFERROR(VLOOKUP($G1481,CustTbl,2,0),IFERROR(VLOOKUP($G1481,SuppTbl,2,0),IFERROR(VLOOKUP($G1481,AcctTbl,2,0),IFERROR(VLOOKUP($G1481,StaffTbl,2,0),"کد ناشناخته")))))</f>
        <v/>
      </c>
      <c r="I1481" s="12" t="n"/>
      <c r="J1481" s="12" t="n"/>
      <c r="K1481" s="13" t="n"/>
      <c r="L1481" s="13" t="n"/>
      <c r="M1481" s="13" t="n"/>
      <c r="N1481" s="14">
        <f>IF(OR($C1481="",$E1481="",Calc!$H1481=""),"",IFERROR(VLOOKUP(LEFT(UPPER(TRIM($E1481)),6),BankTbl,3,0),0)+SUMIFS(CalcDep,CalcBank,LEFT(UPPER(TRIM($E1481)),6),CalcKey,"&lt;="&amp;Calc!$H1481)-SUMIFS(CalcWit,CalcBank,LEFT(UPPER(TRIM($E1481)),6),CalcKey,"&lt;="&amp;Calc!$H1481))</f>
        <v/>
      </c>
      <c r="O1481" s="10">
        <f>IF(OR($C1481="",$M1481=""),"",IF($N1481="","؟",IF(ROUND($M1481-$N1481,0)=0,"√","×")))</f>
        <v/>
      </c>
      <c r="P1481" s="12" t="n"/>
    </row>
    <row r="1482">
      <c r="A1482" s="10">
        <f>IF($C1482="","",COUNTA($C$9:$C1482))</f>
        <v/>
      </c>
      <c r="B1482" s="10">
        <f>IF($C1482="","","TXN-"&amp;RIGHT("0000"&amp;1474,4))</f>
        <v/>
      </c>
      <c r="C1482" s="11" t="n"/>
      <c r="D1482" s="11" t="n"/>
      <c r="E1482" s="12" t="n"/>
      <c r="F1482" s="10">
        <f>IF($E1482="","",IFERROR(IF(VLOOKUP(LEFT(UPPER(TRIM($E1482)),6),BankTbl,2,0)="","(بدون عنوان)",VLOOKUP(LEFT(UPPER(TRIM($E1482)),6),BankTbl,2,0)),"بانک ناشناخته"))</f>
        <v/>
      </c>
      <c r="G1482" s="11" t="n"/>
      <c r="H1482" s="10">
        <f>IF($G1482="","",IFERROR(VLOOKUP($G1482,CustTbl,2,0),IFERROR(VLOOKUP($G1482,SuppTbl,2,0),IFERROR(VLOOKUP($G1482,AcctTbl,2,0),IFERROR(VLOOKUP($G1482,StaffTbl,2,0),"کد ناشناخته")))))</f>
        <v/>
      </c>
      <c r="I1482" s="12" t="n"/>
      <c r="J1482" s="12" t="n"/>
      <c r="K1482" s="13" t="n"/>
      <c r="L1482" s="13" t="n"/>
      <c r="M1482" s="13" t="n"/>
      <c r="N1482" s="14">
        <f>IF(OR($C1482="",$E1482="",Calc!$H1482=""),"",IFERROR(VLOOKUP(LEFT(UPPER(TRIM($E1482)),6),BankTbl,3,0),0)+SUMIFS(CalcDep,CalcBank,LEFT(UPPER(TRIM($E1482)),6),CalcKey,"&lt;="&amp;Calc!$H1482)-SUMIFS(CalcWit,CalcBank,LEFT(UPPER(TRIM($E1482)),6),CalcKey,"&lt;="&amp;Calc!$H1482))</f>
        <v/>
      </c>
      <c r="O1482" s="10">
        <f>IF(OR($C1482="",$M1482=""),"",IF($N1482="","؟",IF(ROUND($M1482-$N1482,0)=0,"√","×")))</f>
        <v/>
      </c>
      <c r="P1482" s="12" t="n"/>
    </row>
    <row r="1483">
      <c r="A1483" s="10">
        <f>IF($C1483="","",COUNTA($C$9:$C1483))</f>
        <v/>
      </c>
      <c r="B1483" s="10">
        <f>IF($C1483="","","TXN-"&amp;RIGHT("0000"&amp;1475,4))</f>
        <v/>
      </c>
      <c r="C1483" s="11" t="n"/>
      <c r="D1483" s="11" t="n"/>
      <c r="E1483" s="12" t="n"/>
      <c r="F1483" s="10">
        <f>IF($E1483="","",IFERROR(IF(VLOOKUP(LEFT(UPPER(TRIM($E1483)),6),BankTbl,2,0)="","(بدون عنوان)",VLOOKUP(LEFT(UPPER(TRIM($E1483)),6),BankTbl,2,0)),"بانک ناشناخته"))</f>
        <v/>
      </c>
      <c r="G1483" s="11" t="n"/>
      <c r="H1483" s="10">
        <f>IF($G1483="","",IFERROR(VLOOKUP($G1483,CustTbl,2,0),IFERROR(VLOOKUP($G1483,SuppTbl,2,0),IFERROR(VLOOKUP($G1483,AcctTbl,2,0),IFERROR(VLOOKUP($G1483,StaffTbl,2,0),"کد ناشناخته")))))</f>
        <v/>
      </c>
      <c r="I1483" s="12" t="n"/>
      <c r="J1483" s="12" t="n"/>
      <c r="K1483" s="13" t="n"/>
      <c r="L1483" s="13" t="n"/>
      <c r="M1483" s="13" t="n"/>
      <c r="N1483" s="14">
        <f>IF(OR($C1483="",$E1483="",Calc!$H1483=""),"",IFERROR(VLOOKUP(LEFT(UPPER(TRIM($E1483)),6),BankTbl,3,0),0)+SUMIFS(CalcDep,CalcBank,LEFT(UPPER(TRIM($E1483)),6),CalcKey,"&lt;="&amp;Calc!$H1483)-SUMIFS(CalcWit,CalcBank,LEFT(UPPER(TRIM($E1483)),6),CalcKey,"&lt;="&amp;Calc!$H1483))</f>
        <v/>
      </c>
      <c r="O1483" s="10">
        <f>IF(OR($C1483="",$M1483=""),"",IF($N1483="","؟",IF(ROUND($M1483-$N1483,0)=0,"√","×")))</f>
        <v/>
      </c>
      <c r="P1483" s="12" t="n"/>
    </row>
    <row r="1484">
      <c r="A1484" s="10">
        <f>IF($C1484="","",COUNTA($C$9:$C1484))</f>
        <v/>
      </c>
      <c r="B1484" s="10">
        <f>IF($C1484="","","TXN-"&amp;RIGHT("0000"&amp;1476,4))</f>
        <v/>
      </c>
      <c r="C1484" s="11" t="n"/>
      <c r="D1484" s="11" t="n"/>
      <c r="E1484" s="12" t="n"/>
      <c r="F1484" s="10">
        <f>IF($E1484="","",IFERROR(IF(VLOOKUP(LEFT(UPPER(TRIM($E1484)),6),BankTbl,2,0)="","(بدون عنوان)",VLOOKUP(LEFT(UPPER(TRIM($E1484)),6),BankTbl,2,0)),"بانک ناشناخته"))</f>
        <v/>
      </c>
      <c r="G1484" s="11" t="n"/>
      <c r="H1484" s="10">
        <f>IF($G1484="","",IFERROR(VLOOKUP($G1484,CustTbl,2,0),IFERROR(VLOOKUP($G1484,SuppTbl,2,0),IFERROR(VLOOKUP($G1484,AcctTbl,2,0),IFERROR(VLOOKUP($G1484,StaffTbl,2,0),"کد ناشناخته")))))</f>
        <v/>
      </c>
      <c r="I1484" s="12" t="n"/>
      <c r="J1484" s="12" t="n"/>
      <c r="K1484" s="13" t="n"/>
      <c r="L1484" s="13" t="n"/>
      <c r="M1484" s="13" t="n"/>
      <c r="N1484" s="14">
        <f>IF(OR($C1484="",$E1484="",Calc!$H1484=""),"",IFERROR(VLOOKUP(LEFT(UPPER(TRIM($E1484)),6),BankTbl,3,0),0)+SUMIFS(CalcDep,CalcBank,LEFT(UPPER(TRIM($E1484)),6),CalcKey,"&lt;="&amp;Calc!$H1484)-SUMIFS(CalcWit,CalcBank,LEFT(UPPER(TRIM($E1484)),6),CalcKey,"&lt;="&amp;Calc!$H1484))</f>
        <v/>
      </c>
      <c r="O1484" s="10">
        <f>IF(OR($C1484="",$M1484=""),"",IF($N1484="","؟",IF(ROUND($M1484-$N1484,0)=0,"√","×")))</f>
        <v/>
      </c>
      <c r="P1484" s="12" t="n"/>
    </row>
    <row r="1485">
      <c r="A1485" s="10">
        <f>IF($C1485="","",COUNTA($C$9:$C1485))</f>
        <v/>
      </c>
      <c r="B1485" s="10">
        <f>IF($C1485="","","TXN-"&amp;RIGHT("0000"&amp;1477,4))</f>
        <v/>
      </c>
      <c r="C1485" s="11" t="n"/>
      <c r="D1485" s="11" t="n"/>
      <c r="E1485" s="12" t="n"/>
      <c r="F1485" s="10">
        <f>IF($E1485="","",IFERROR(IF(VLOOKUP(LEFT(UPPER(TRIM($E1485)),6),BankTbl,2,0)="","(بدون عنوان)",VLOOKUP(LEFT(UPPER(TRIM($E1485)),6),BankTbl,2,0)),"بانک ناشناخته"))</f>
        <v/>
      </c>
      <c r="G1485" s="11" t="n"/>
      <c r="H1485" s="10">
        <f>IF($G1485="","",IFERROR(VLOOKUP($G1485,CustTbl,2,0),IFERROR(VLOOKUP($G1485,SuppTbl,2,0),IFERROR(VLOOKUP($G1485,AcctTbl,2,0),IFERROR(VLOOKUP($G1485,StaffTbl,2,0),"کد ناشناخته")))))</f>
        <v/>
      </c>
      <c r="I1485" s="12" t="n"/>
      <c r="J1485" s="12" t="n"/>
      <c r="K1485" s="13" t="n"/>
      <c r="L1485" s="13" t="n"/>
      <c r="M1485" s="13" t="n"/>
      <c r="N1485" s="14">
        <f>IF(OR($C1485="",$E1485="",Calc!$H1485=""),"",IFERROR(VLOOKUP(LEFT(UPPER(TRIM($E1485)),6),BankTbl,3,0),0)+SUMIFS(CalcDep,CalcBank,LEFT(UPPER(TRIM($E1485)),6),CalcKey,"&lt;="&amp;Calc!$H1485)-SUMIFS(CalcWit,CalcBank,LEFT(UPPER(TRIM($E1485)),6),CalcKey,"&lt;="&amp;Calc!$H1485))</f>
        <v/>
      </c>
      <c r="O1485" s="10">
        <f>IF(OR($C1485="",$M1485=""),"",IF($N1485="","؟",IF(ROUND($M1485-$N1485,0)=0,"√","×")))</f>
        <v/>
      </c>
      <c r="P1485" s="12" t="n"/>
    </row>
    <row r="1486">
      <c r="A1486" s="10">
        <f>IF($C1486="","",COUNTA($C$9:$C1486))</f>
        <v/>
      </c>
      <c r="B1486" s="10">
        <f>IF($C1486="","","TXN-"&amp;RIGHT("0000"&amp;1478,4))</f>
        <v/>
      </c>
      <c r="C1486" s="11" t="n"/>
      <c r="D1486" s="11" t="n"/>
      <c r="E1486" s="12" t="n"/>
      <c r="F1486" s="10">
        <f>IF($E1486="","",IFERROR(IF(VLOOKUP(LEFT(UPPER(TRIM($E1486)),6),BankTbl,2,0)="","(بدون عنوان)",VLOOKUP(LEFT(UPPER(TRIM($E1486)),6),BankTbl,2,0)),"بانک ناشناخته"))</f>
        <v/>
      </c>
      <c r="G1486" s="11" t="n"/>
      <c r="H1486" s="10">
        <f>IF($G1486="","",IFERROR(VLOOKUP($G1486,CustTbl,2,0),IFERROR(VLOOKUP($G1486,SuppTbl,2,0),IFERROR(VLOOKUP($G1486,AcctTbl,2,0),IFERROR(VLOOKUP($G1486,StaffTbl,2,0),"کد ناشناخته")))))</f>
        <v/>
      </c>
      <c r="I1486" s="12" t="n"/>
      <c r="J1486" s="12" t="n"/>
      <c r="K1486" s="13" t="n"/>
      <c r="L1486" s="13" t="n"/>
      <c r="M1486" s="13" t="n"/>
      <c r="N1486" s="14">
        <f>IF(OR($C1486="",$E1486="",Calc!$H1486=""),"",IFERROR(VLOOKUP(LEFT(UPPER(TRIM($E1486)),6),BankTbl,3,0),0)+SUMIFS(CalcDep,CalcBank,LEFT(UPPER(TRIM($E1486)),6),CalcKey,"&lt;="&amp;Calc!$H1486)-SUMIFS(CalcWit,CalcBank,LEFT(UPPER(TRIM($E1486)),6),CalcKey,"&lt;="&amp;Calc!$H1486))</f>
        <v/>
      </c>
      <c r="O1486" s="10">
        <f>IF(OR($C1486="",$M1486=""),"",IF($N1486="","؟",IF(ROUND($M1486-$N1486,0)=0,"√","×")))</f>
        <v/>
      </c>
      <c r="P1486" s="12" t="n"/>
    </row>
    <row r="1487">
      <c r="A1487" s="10">
        <f>IF($C1487="","",COUNTA($C$9:$C1487))</f>
        <v/>
      </c>
      <c r="B1487" s="10">
        <f>IF($C1487="","","TXN-"&amp;RIGHT("0000"&amp;1479,4))</f>
        <v/>
      </c>
      <c r="C1487" s="11" t="n"/>
      <c r="D1487" s="11" t="n"/>
      <c r="E1487" s="12" t="n"/>
      <c r="F1487" s="10">
        <f>IF($E1487="","",IFERROR(IF(VLOOKUP(LEFT(UPPER(TRIM($E1487)),6),BankTbl,2,0)="","(بدون عنوان)",VLOOKUP(LEFT(UPPER(TRIM($E1487)),6),BankTbl,2,0)),"بانک ناشناخته"))</f>
        <v/>
      </c>
      <c r="G1487" s="11" t="n"/>
      <c r="H1487" s="10">
        <f>IF($G1487="","",IFERROR(VLOOKUP($G1487,CustTbl,2,0),IFERROR(VLOOKUP($G1487,SuppTbl,2,0),IFERROR(VLOOKUP($G1487,AcctTbl,2,0),IFERROR(VLOOKUP($G1487,StaffTbl,2,0),"کد ناشناخته")))))</f>
        <v/>
      </c>
      <c r="I1487" s="12" t="n"/>
      <c r="J1487" s="12" t="n"/>
      <c r="K1487" s="13" t="n"/>
      <c r="L1487" s="13" t="n"/>
      <c r="M1487" s="13" t="n"/>
      <c r="N1487" s="14">
        <f>IF(OR($C1487="",$E1487="",Calc!$H1487=""),"",IFERROR(VLOOKUP(LEFT(UPPER(TRIM($E1487)),6),BankTbl,3,0),0)+SUMIFS(CalcDep,CalcBank,LEFT(UPPER(TRIM($E1487)),6),CalcKey,"&lt;="&amp;Calc!$H1487)-SUMIFS(CalcWit,CalcBank,LEFT(UPPER(TRIM($E1487)),6),CalcKey,"&lt;="&amp;Calc!$H1487))</f>
        <v/>
      </c>
      <c r="O1487" s="10">
        <f>IF(OR($C1487="",$M1487=""),"",IF($N1487="","؟",IF(ROUND($M1487-$N1487,0)=0,"√","×")))</f>
        <v/>
      </c>
      <c r="P1487" s="12" t="n"/>
    </row>
    <row r="1488">
      <c r="A1488" s="10">
        <f>IF($C1488="","",COUNTA($C$9:$C1488))</f>
        <v/>
      </c>
      <c r="B1488" s="10">
        <f>IF($C1488="","","TXN-"&amp;RIGHT("0000"&amp;1480,4))</f>
        <v/>
      </c>
      <c r="C1488" s="11" t="n"/>
      <c r="D1488" s="11" t="n"/>
      <c r="E1488" s="12" t="n"/>
      <c r="F1488" s="10">
        <f>IF($E1488="","",IFERROR(IF(VLOOKUP(LEFT(UPPER(TRIM($E1488)),6),BankTbl,2,0)="","(بدون عنوان)",VLOOKUP(LEFT(UPPER(TRIM($E1488)),6),BankTbl,2,0)),"بانک ناشناخته"))</f>
        <v/>
      </c>
      <c r="G1488" s="11" t="n"/>
      <c r="H1488" s="10">
        <f>IF($G1488="","",IFERROR(VLOOKUP($G1488,CustTbl,2,0),IFERROR(VLOOKUP($G1488,SuppTbl,2,0),IFERROR(VLOOKUP($G1488,AcctTbl,2,0),IFERROR(VLOOKUP($G1488,StaffTbl,2,0),"کد ناشناخته")))))</f>
        <v/>
      </c>
      <c r="I1488" s="12" t="n"/>
      <c r="J1488" s="12" t="n"/>
      <c r="K1488" s="13" t="n"/>
      <c r="L1488" s="13" t="n"/>
      <c r="M1488" s="13" t="n"/>
      <c r="N1488" s="14">
        <f>IF(OR($C1488="",$E1488="",Calc!$H1488=""),"",IFERROR(VLOOKUP(LEFT(UPPER(TRIM($E1488)),6),BankTbl,3,0),0)+SUMIFS(CalcDep,CalcBank,LEFT(UPPER(TRIM($E1488)),6),CalcKey,"&lt;="&amp;Calc!$H1488)-SUMIFS(CalcWit,CalcBank,LEFT(UPPER(TRIM($E1488)),6),CalcKey,"&lt;="&amp;Calc!$H1488))</f>
        <v/>
      </c>
      <c r="O1488" s="10">
        <f>IF(OR($C1488="",$M1488=""),"",IF($N1488="","؟",IF(ROUND($M1488-$N1488,0)=0,"√","×")))</f>
        <v/>
      </c>
      <c r="P1488" s="12" t="n"/>
    </row>
    <row r="1489">
      <c r="A1489" s="10">
        <f>IF($C1489="","",COUNTA($C$9:$C1489))</f>
        <v/>
      </c>
      <c r="B1489" s="10">
        <f>IF($C1489="","","TXN-"&amp;RIGHT("0000"&amp;1481,4))</f>
        <v/>
      </c>
      <c r="C1489" s="11" t="n"/>
      <c r="D1489" s="11" t="n"/>
      <c r="E1489" s="12" t="n"/>
      <c r="F1489" s="10">
        <f>IF($E1489="","",IFERROR(IF(VLOOKUP(LEFT(UPPER(TRIM($E1489)),6),BankTbl,2,0)="","(بدون عنوان)",VLOOKUP(LEFT(UPPER(TRIM($E1489)),6),BankTbl,2,0)),"بانک ناشناخته"))</f>
        <v/>
      </c>
      <c r="G1489" s="11" t="n"/>
      <c r="H1489" s="10">
        <f>IF($G1489="","",IFERROR(VLOOKUP($G1489,CustTbl,2,0),IFERROR(VLOOKUP($G1489,SuppTbl,2,0),IFERROR(VLOOKUP($G1489,AcctTbl,2,0),IFERROR(VLOOKUP($G1489,StaffTbl,2,0),"کد ناشناخته")))))</f>
        <v/>
      </c>
      <c r="I1489" s="12" t="n"/>
      <c r="J1489" s="12" t="n"/>
      <c r="K1489" s="13" t="n"/>
      <c r="L1489" s="13" t="n"/>
      <c r="M1489" s="13" t="n"/>
      <c r="N1489" s="14">
        <f>IF(OR($C1489="",$E1489="",Calc!$H1489=""),"",IFERROR(VLOOKUP(LEFT(UPPER(TRIM($E1489)),6),BankTbl,3,0),0)+SUMIFS(CalcDep,CalcBank,LEFT(UPPER(TRIM($E1489)),6),CalcKey,"&lt;="&amp;Calc!$H1489)-SUMIFS(CalcWit,CalcBank,LEFT(UPPER(TRIM($E1489)),6),CalcKey,"&lt;="&amp;Calc!$H1489))</f>
        <v/>
      </c>
      <c r="O1489" s="10">
        <f>IF(OR($C1489="",$M1489=""),"",IF($N1489="","؟",IF(ROUND($M1489-$N1489,0)=0,"√","×")))</f>
        <v/>
      </c>
      <c r="P1489" s="12" t="n"/>
    </row>
    <row r="1490">
      <c r="A1490" s="10">
        <f>IF($C1490="","",COUNTA($C$9:$C1490))</f>
        <v/>
      </c>
      <c r="B1490" s="10">
        <f>IF($C1490="","","TXN-"&amp;RIGHT("0000"&amp;1482,4))</f>
        <v/>
      </c>
      <c r="C1490" s="11" t="n"/>
      <c r="D1490" s="11" t="n"/>
      <c r="E1490" s="12" t="n"/>
      <c r="F1490" s="10">
        <f>IF($E1490="","",IFERROR(IF(VLOOKUP(LEFT(UPPER(TRIM($E1490)),6),BankTbl,2,0)="","(بدون عنوان)",VLOOKUP(LEFT(UPPER(TRIM($E1490)),6),BankTbl,2,0)),"بانک ناشناخته"))</f>
        <v/>
      </c>
      <c r="G1490" s="11" t="n"/>
      <c r="H1490" s="10">
        <f>IF($G1490="","",IFERROR(VLOOKUP($G1490,CustTbl,2,0),IFERROR(VLOOKUP($G1490,SuppTbl,2,0),IFERROR(VLOOKUP($G1490,AcctTbl,2,0),IFERROR(VLOOKUP($G1490,StaffTbl,2,0),"کد ناشناخته")))))</f>
        <v/>
      </c>
      <c r="I1490" s="12" t="n"/>
      <c r="J1490" s="12" t="n"/>
      <c r="K1490" s="13" t="n"/>
      <c r="L1490" s="13" t="n"/>
      <c r="M1490" s="13" t="n"/>
      <c r="N1490" s="14">
        <f>IF(OR($C1490="",$E1490="",Calc!$H1490=""),"",IFERROR(VLOOKUP(LEFT(UPPER(TRIM($E1490)),6),BankTbl,3,0),0)+SUMIFS(CalcDep,CalcBank,LEFT(UPPER(TRIM($E1490)),6),CalcKey,"&lt;="&amp;Calc!$H1490)-SUMIFS(CalcWit,CalcBank,LEFT(UPPER(TRIM($E1490)),6),CalcKey,"&lt;="&amp;Calc!$H1490))</f>
        <v/>
      </c>
      <c r="O1490" s="10">
        <f>IF(OR($C1490="",$M1490=""),"",IF($N1490="","؟",IF(ROUND($M1490-$N1490,0)=0,"√","×")))</f>
        <v/>
      </c>
      <c r="P1490" s="12" t="n"/>
    </row>
    <row r="1491">
      <c r="A1491" s="10">
        <f>IF($C1491="","",COUNTA($C$9:$C1491))</f>
        <v/>
      </c>
      <c r="B1491" s="10">
        <f>IF($C1491="","","TXN-"&amp;RIGHT("0000"&amp;1483,4))</f>
        <v/>
      </c>
      <c r="C1491" s="11" t="n"/>
      <c r="D1491" s="11" t="n"/>
      <c r="E1491" s="12" t="n"/>
      <c r="F1491" s="10">
        <f>IF($E1491="","",IFERROR(IF(VLOOKUP(LEFT(UPPER(TRIM($E1491)),6),BankTbl,2,0)="","(بدون عنوان)",VLOOKUP(LEFT(UPPER(TRIM($E1491)),6),BankTbl,2,0)),"بانک ناشناخته"))</f>
        <v/>
      </c>
      <c r="G1491" s="11" t="n"/>
      <c r="H1491" s="10">
        <f>IF($G1491="","",IFERROR(VLOOKUP($G1491,CustTbl,2,0),IFERROR(VLOOKUP($G1491,SuppTbl,2,0),IFERROR(VLOOKUP($G1491,AcctTbl,2,0),IFERROR(VLOOKUP($G1491,StaffTbl,2,0),"کد ناشناخته")))))</f>
        <v/>
      </c>
      <c r="I1491" s="12" t="n"/>
      <c r="J1491" s="12" t="n"/>
      <c r="K1491" s="13" t="n"/>
      <c r="L1491" s="13" t="n"/>
      <c r="M1491" s="13" t="n"/>
      <c r="N1491" s="14">
        <f>IF(OR($C1491="",$E1491="",Calc!$H1491=""),"",IFERROR(VLOOKUP(LEFT(UPPER(TRIM($E1491)),6),BankTbl,3,0),0)+SUMIFS(CalcDep,CalcBank,LEFT(UPPER(TRIM($E1491)),6),CalcKey,"&lt;="&amp;Calc!$H1491)-SUMIFS(CalcWit,CalcBank,LEFT(UPPER(TRIM($E1491)),6),CalcKey,"&lt;="&amp;Calc!$H1491))</f>
        <v/>
      </c>
      <c r="O1491" s="10">
        <f>IF(OR($C1491="",$M1491=""),"",IF($N1491="","؟",IF(ROUND($M1491-$N1491,0)=0,"√","×")))</f>
        <v/>
      </c>
      <c r="P1491" s="12" t="n"/>
    </row>
    <row r="1492">
      <c r="A1492" s="10">
        <f>IF($C1492="","",COUNTA($C$9:$C1492))</f>
        <v/>
      </c>
      <c r="B1492" s="10">
        <f>IF($C1492="","","TXN-"&amp;RIGHT("0000"&amp;1484,4))</f>
        <v/>
      </c>
      <c r="C1492" s="11" t="n"/>
      <c r="D1492" s="11" t="n"/>
      <c r="E1492" s="12" t="n"/>
      <c r="F1492" s="10">
        <f>IF($E1492="","",IFERROR(IF(VLOOKUP(LEFT(UPPER(TRIM($E1492)),6),BankTbl,2,0)="","(بدون عنوان)",VLOOKUP(LEFT(UPPER(TRIM($E1492)),6),BankTbl,2,0)),"بانک ناشناخته"))</f>
        <v/>
      </c>
      <c r="G1492" s="11" t="n"/>
      <c r="H1492" s="10">
        <f>IF($G1492="","",IFERROR(VLOOKUP($G1492,CustTbl,2,0),IFERROR(VLOOKUP($G1492,SuppTbl,2,0),IFERROR(VLOOKUP($G1492,AcctTbl,2,0),IFERROR(VLOOKUP($G1492,StaffTbl,2,0),"کد ناشناخته")))))</f>
        <v/>
      </c>
      <c r="I1492" s="12" t="n"/>
      <c r="J1492" s="12" t="n"/>
      <c r="K1492" s="13" t="n"/>
      <c r="L1492" s="13" t="n"/>
      <c r="M1492" s="13" t="n"/>
      <c r="N1492" s="14">
        <f>IF(OR($C1492="",$E1492="",Calc!$H1492=""),"",IFERROR(VLOOKUP(LEFT(UPPER(TRIM($E1492)),6),BankTbl,3,0),0)+SUMIFS(CalcDep,CalcBank,LEFT(UPPER(TRIM($E1492)),6),CalcKey,"&lt;="&amp;Calc!$H1492)-SUMIFS(CalcWit,CalcBank,LEFT(UPPER(TRIM($E1492)),6),CalcKey,"&lt;="&amp;Calc!$H1492))</f>
        <v/>
      </c>
      <c r="O1492" s="10">
        <f>IF(OR($C1492="",$M1492=""),"",IF($N1492="","؟",IF(ROUND($M1492-$N1492,0)=0,"√","×")))</f>
        <v/>
      </c>
      <c r="P1492" s="12" t="n"/>
    </row>
    <row r="1493">
      <c r="A1493" s="10">
        <f>IF($C1493="","",COUNTA($C$9:$C1493))</f>
        <v/>
      </c>
      <c r="B1493" s="10">
        <f>IF($C1493="","","TXN-"&amp;RIGHT("0000"&amp;1485,4))</f>
        <v/>
      </c>
      <c r="C1493" s="11" t="n"/>
      <c r="D1493" s="11" t="n"/>
      <c r="E1493" s="12" t="n"/>
      <c r="F1493" s="10">
        <f>IF($E1493="","",IFERROR(IF(VLOOKUP(LEFT(UPPER(TRIM($E1493)),6),BankTbl,2,0)="","(بدون عنوان)",VLOOKUP(LEFT(UPPER(TRIM($E1493)),6),BankTbl,2,0)),"بانک ناشناخته"))</f>
        <v/>
      </c>
      <c r="G1493" s="11" t="n"/>
      <c r="H1493" s="10">
        <f>IF($G1493="","",IFERROR(VLOOKUP($G1493,CustTbl,2,0),IFERROR(VLOOKUP($G1493,SuppTbl,2,0),IFERROR(VLOOKUP($G1493,AcctTbl,2,0),IFERROR(VLOOKUP($G1493,StaffTbl,2,0),"کد ناشناخته")))))</f>
        <v/>
      </c>
      <c r="I1493" s="12" t="n"/>
      <c r="J1493" s="12" t="n"/>
      <c r="K1493" s="13" t="n"/>
      <c r="L1493" s="13" t="n"/>
      <c r="M1493" s="13" t="n"/>
      <c r="N1493" s="14">
        <f>IF(OR($C1493="",$E1493="",Calc!$H1493=""),"",IFERROR(VLOOKUP(LEFT(UPPER(TRIM($E1493)),6),BankTbl,3,0),0)+SUMIFS(CalcDep,CalcBank,LEFT(UPPER(TRIM($E1493)),6),CalcKey,"&lt;="&amp;Calc!$H1493)-SUMIFS(CalcWit,CalcBank,LEFT(UPPER(TRIM($E1493)),6),CalcKey,"&lt;="&amp;Calc!$H1493))</f>
        <v/>
      </c>
      <c r="O1493" s="10">
        <f>IF(OR($C1493="",$M1493=""),"",IF($N1493="","؟",IF(ROUND($M1493-$N1493,0)=0,"√","×")))</f>
        <v/>
      </c>
      <c r="P1493" s="12" t="n"/>
    </row>
    <row r="1494">
      <c r="A1494" s="10">
        <f>IF($C1494="","",COUNTA($C$9:$C1494))</f>
        <v/>
      </c>
      <c r="B1494" s="10">
        <f>IF($C1494="","","TXN-"&amp;RIGHT("0000"&amp;1486,4))</f>
        <v/>
      </c>
      <c r="C1494" s="11" t="n"/>
      <c r="D1494" s="11" t="n"/>
      <c r="E1494" s="12" t="n"/>
      <c r="F1494" s="10">
        <f>IF($E1494="","",IFERROR(IF(VLOOKUP(LEFT(UPPER(TRIM($E1494)),6),BankTbl,2,0)="","(بدون عنوان)",VLOOKUP(LEFT(UPPER(TRIM($E1494)),6),BankTbl,2,0)),"بانک ناشناخته"))</f>
        <v/>
      </c>
      <c r="G1494" s="11" t="n"/>
      <c r="H1494" s="10">
        <f>IF($G1494="","",IFERROR(VLOOKUP($G1494,CustTbl,2,0),IFERROR(VLOOKUP($G1494,SuppTbl,2,0),IFERROR(VLOOKUP($G1494,AcctTbl,2,0),IFERROR(VLOOKUP($G1494,StaffTbl,2,0),"کد ناشناخته")))))</f>
        <v/>
      </c>
      <c r="I1494" s="12" t="n"/>
      <c r="J1494" s="12" t="n"/>
      <c r="K1494" s="13" t="n"/>
      <c r="L1494" s="13" t="n"/>
      <c r="M1494" s="13" t="n"/>
      <c r="N1494" s="14">
        <f>IF(OR($C1494="",$E1494="",Calc!$H1494=""),"",IFERROR(VLOOKUP(LEFT(UPPER(TRIM($E1494)),6),BankTbl,3,0),0)+SUMIFS(CalcDep,CalcBank,LEFT(UPPER(TRIM($E1494)),6),CalcKey,"&lt;="&amp;Calc!$H1494)-SUMIFS(CalcWit,CalcBank,LEFT(UPPER(TRIM($E1494)),6),CalcKey,"&lt;="&amp;Calc!$H1494))</f>
        <v/>
      </c>
      <c r="O1494" s="10">
        <f>IF(OR($C1494="",$M1494=""),"",IF($N1494="","؟",IF(ROUND($M1494-$N1494,0)=0,"√","×")))</f>
        <v/>
      </c>
      <c r="P1494" s="12" t="n"/>
    </row>
    <row r="1495">
      <c r="A1495" s="10">
        <f>IF($C1495="","",COUNTA($C$9:$C1495))</f>
        <v/>
      </c>
      <c r="B1495" s="10">
        <f>IF($C1495="","","TXN-"&amp;RIGHT("0000"&amp;1487,4))</f>
        <v/>
      </c>
      <c r="C1495" s="11" t="n"/>
      <c r="D1495" s="11" t="n"/>
      <c r="E1495" s="12" t="n"/>
      <c r="F1495" s="10">
        <f>IF($E1495="","",IFERROR(IF(VLOOKUP(LEFT(UPPER(TRIM($E1495)),6),BankTbl,2,0)="","(بدون عنوان)",VLOOKUP(LEFT(UPPER(TRIM($E1495)),6),BankTbl,2,0)),"بانک ناشناخته"))</f>
        <v/>
      </c>
      <c r="G1495" s="11" t="n"/>
      <c r="H1495" s="10">
        <f>IF($G1495="","",IFERROR(VLOOKUP($G1495,CustTbl,2,0),IFERROR(VLOOKUP($G1495,SuppTbl,2,0),IFERROR(VLOOKUP($G1495,AcctTbl,2,0),IFERROR(VLOOKUP($G1495,StaffTbl,2,0),"کد ناشناخته")))))</f>
        <v/>
      </c>
      <c r="I1495" s="12" t="n"/>
      <c r="J1495" s="12" t="n"/>
      <c r="K1495" s="13" t="n"/>
      <c r="L1495" s="13" t="n"/>
      <c r="M1495" s="13" t="n"/>
      <c r="N1495" s="14">
        <f>IF(OR($C1495="",$E1495="",Calc!$H1495=""),"",IFERROR(VLOOKUP(LEFT(UPPER(TRIM($E1495)),6),BankTbl,3,0),0)+SUMIFS(CalcDep,CalcBank,LEFT(UPPER(TRIM($E1495)),6),CalcKey,"&lt;="&amp;Calc!$H1495)-SUMIFS(CalcWit,CalcBank,LEFT(UPPER(TRIM($E1495)),6),CalcKey,"&lt;="&amp;Calc!$H1495))</f>
        <v/>
      </c>
      <c r="O1495" s="10">
        <f>IF(OR($C1495="",$M1495=""),"",IF($N1495="","؟",IF(ROUND($M1495-$N1495,0)=0,"√","×")))</f>
        <v/>
      </c>
      <c r="P1495" s="12" t="n"/>
    </row>
    <row r="1496">
      <c r="A1496" s="10">
        <f>IF($C1496="","",COUNTA($C$9:$C1496))</f>
        <v/>
      </c>
      <c r="B1496" s="10">
        <f>IF($C1496="","","TXN-"&amp;RIGHT("0000"&amp;1488,4))</f>
        <v/>
      </c>
      <c r="C1496" s="11" t="n"/>
      <c r="D1496" s="11" t="n"/>
      <c r="E1496" s="12" t="n"/>
      <c r="F1496" s="10">
        <f>IF($E1496="","",IFERROR(IF(VLOOKUP(LEFT(UPPER(TRIM($E1496)),6),BankTbl,2,0)="","(بدون عنوان)",VLOOKUP(LEFT(UPPER(TRIM($E1496)),6),BankTbl,2,0)),"بانک ناشناخته"))</f>
        <v/>
      </c>
      <c r="G1496" s="11" t="n"/>
      <c r="H1496" s="10">
        <f>IF($G1496="","",IFERROR(VLOOKUP($G1496,CustTbl,2,0),IFERROR(VLOOKUP($G1496,SuppTbl,2,0),IFERROR(VLOOKUP($G1496,AcctTbl,2,0),IFERROR(VLOOKUP($G1496,StaffTbl,2,0),"کد ناشناخته")))))</f>
        <v/>
      </c>
      <c r="I1496" s="12" t="n"/>
      <c r="J1496" s="12" t="n"/>
      <c r="K1496" s="13" t="n"/>
      <c r="L1496" s="13" t="n"/>
      <c r="M1496" s="13" t="n"/>
      <c r="N1496" s="14">
        <f>IF(OR($C1496="",$E1496="",Calc!$H1496=""),"",IFERROR(VLOOKUP(LEFT(UPPER(TRIM($E1496)),6),BankTbl,3,0),0)+SUMIFS(CalcDep,CalcBank,LEFT(UPPER(TRIM($E1496)),6),CalcKey,"&lt;="&amp;Calc!$H1496)-SUMIFS(CalcWit,CalcBank,LEFT(UPPER(TRIM($E1496)),6),CalcKey,"&lt;="&amp;Calc!$H1496))</f>
        <v/>
      </c>
      <c r="O1496" s="10">
        <f>IF(OR($C1496="",$M1496=""),"",IF($N1496="","؟",IF(ROUND($M1496-$N1496,0)=0,"√","×")))</f>
        <v/>
      </c>
      <c r="P1496" s="12" t="n"/>
    </row>
    <row r="1497">
      <c r="A1497" s="10">
        <f>IF($C1497="","",COUNTA($C$9:$C1497))</f>
        <v/>
      </c>
      <c r="B1497" s="10">
        <f>IF($C1497="","","TXN-"&amp;RIGHT("0000"&amp;1489,4))</f>
        <v/>
      </c>
      <c r="C1497" s="11" t="n"/>
      <c r="D1497" s="11" t="n"/>
      <c r="E1497" s="12" t="n"/>
      <c r="F1497" s="10">
        <f>IF($E1497="","",IFERROR(IF(VLOOKUP(LEFT(UPPER(TRIM($E1497)),6),BankTbl,2,0)="","(بدون عنوان)",VLOOKUP(LEFT(UPPER(TRIM($E1497)),6),BankTbl,2,0)),"بانک ناشناخته"))</f>
        <v/>
      </c>
      <c r="G1497" s="11" t="n"/>
      <c r="H1497" s="10">
        <f>IF($G1497="","",IFERROR(VLOOKUP($G1497,CustTbl,2,0),IFERROR(VLOOKUP($G1497,SuppTbl,2,0),IFERROR(VLOOKUP($G1497,AcctTbl,2,0),IFERROR(VLOOKUP($G1497,StaffTbl,2,0),"کد ناشناخته")))))</f>
        <v/>
      </c>
      <c r="I1497" s="12" t="n"/>
      <c r="J1497" s="12" t="n"/>
      <c r="K1497" s="13" t="n"/>
      <c r="L1497" s="13" t="n"/>
      <c r="M1497" s="13" t="n"/>
      <c r="N1497" s="14">
        <f>IF(OR($C1497="",$E1497="",Calc!$H1497=""),"",IFERROR(VLOOKUP(LEFT(UPPER(TRIM($E1497)),6),BankTbl,3,0),0)+SUMIFS(CalcDep,CalcBank,LEFT(UPPER(TRIM($E1497)),6),CalcKey,"&lt;="&amp;Calc!$H1497)-SUMIFS(CalcWit,CalcBank,LEFT(UPPER(TRIM($E1497)),6),CalcKey,"&lt;="&amp;Calc!$H1497))</f>
        <v/>
      </c>
      <c r="O1497" s="10">
        <f>IF(OR($C1497="",$M1497=""),"",IF($N1497="","؟",IF(ROUND($M1497-$N1497,0)=0,"√","×")))</f>
        <v/>
      </c>
      <c r="P1497" s="12" t="n"/>
    </row>
    <row r="1498">
      <c r="A1498" s="10">
        <f>IF($C1498="","",COUNTA($C$9:$C1498))</f>
        <v/>
      </c>
      <c r="B1498" s="10">
        <f>IF($C1498="","","TXN-"&amp;RIGHT("0000"&amp;1490,4))</f>
        <v/>
      </c>
      <c r="C1498" s="11" t="n"/>
      <c r="D1498" s="11" t="n"/>
      <c r="E1498" s="12" t="n"/>
      <c r="F1498" s="10">
        <f>IF($E1498="","",IFERROR(IF(VLOOKUP(LEFT(UPPER(TRIM($E1498)),6),BankTbl,2,0)="","(بدون عنوان)",VLOOKUP(LEFT(UPPER(TRIM($E1498)),6),BankTbl,2,0)),"بانک ناشناخته"))</f>
        <v/>
      </c>
      <c r="G1498" s="11" t="n"/>
      <c r="H1498" s="10">
        <f>IF($G1498="","",IFERROR(VLOOKUP($G1498,CustTbl,2,0),IFERROR(VLOOKUP($G1498,SuppTbl,2,0),IFERROR(VLOOKUP($G1498,AcctTbl,2,0),IFERROR(VLOOKUP($G1498,StaffTbl,2,0),"کد ناشناخته")))))</f>
        <v/>
      </c>
      <c r="I1498" s="12" t="n"/>
      <c r="J1498" s="12" t="n"/>
      <c r="K1498" s="13" t="n"/>
      <c r="L1498" s="13" t="n"/>
      <c r="M1498" s="13" t="n"/>
      <c r="N1498" s="14">
        <f>IF(OR($C1498="",$E1498="",Calc!$H1498=""),"",IFERROR(VLOOKUP(LEFT(UPPER(TRIM($E1498)),6),BankTbl,3,0),0)+SUMIFS(CalcDep,CalcBank,LEFT(UPPER(TRIM($E1498)),6),CalcKey,"&lt;="&amp;Calc!$H1498)-SUMIFS(CalcWit,CalcBank,LEFT(UPPER(TRIM($E1498)),6),CalcKey,"&lt;="&amp;Calc!$H1498))</f>
        <v/>
      </c>
      <c r="O1498" s="10">
        <f>IF(OR($C1498="",$M1498=""),"",IF($N1498="","؟",IF(ROUND($M1498-$N1498,0)=0,"√","×")))</f>
        <v/>
      </c>
      <c r="P1498" s="12" t="n"/>
    </row>
    <row r="1499">
      <c r="A1499" s="10">
        <f>IF($C1499="","",COUNTA($C$9:$C1499))</f>
        <v/>
      </c>
      <c r="B1499" s="10">
        <f>IF($C1499="","","TXN-"&amp;RIGHT("0000"&amp;1491,4))</f>
        <v/>
      </c>
      <c r="C1499" s="11" t="n"/>
      <c r="D1499" s="11" t="n"/>
      <c r="E1499" s="12" t="n"/>
      <c r="F1499" s="10">
        <f>IF($E1499="","",IFERROR(IF(VLOOKUP(LEFT(UPPER(TRIM($E1499)),6),BankTbl,2,0)="","(بدون عنوان)",VLOOKUP(LEFT(UPPER(TRIM($E1499)),6),BankTbl,2,0)),"بانک ناشناخته"))</f>
        <v/>
      </c>
      <c r="G1499" s="11" t="n"/>
      <c r="H1499" s="10">
        <f>IF($G1499="","",IFERROR(VLOOKUP($G1499,CustTbl,2,0),IFERROR(VLOOKUP($G1499,SuppTbl,2,0),IFERROR(VLOOKUP($G1499,AcctTbl,2,0),IFERROR(VLOOKUP($G1499,StaffTbl,2,0),"کد ناشناخته")))))</f>
        <v/>
      </c>
      <c r="I1499" s="12" t="n"/>
      <c r="J1499" s="12" t="n"/>
      <c r="K1499" s="13" t="n"/>
      <c r="L1499" s="13" t="n"/>
      <c r="M1499" s="13" t="n"/>
      <c r="N1499" s="14">
        <f>IF(OR($C1499="",$E1499="",Calc!$H1499=""),"",IFERROR(VLOOKUP(LEFT(UPPER(TRIM($E1499)),6),BankTbl,3,0),0)+SUMIFS(CalcDep,CalcBank,LEFT(UPPER(TRIM($E1499)),6),CalcKey,"&lt;="&amp;Calc!$H1499)-SUMIFS(CalcWit,CalcBank,LEFT(UPPER(TRIM($E1499)),6),CalcKey,"&lt;="&amp;Calc!$H1499))</f>
        <v/>
      </c>
      <c r="O1499" s="10">
        <f>IF(OR($C1499="",$M1499=""),"",IF($N1499="","؟",IF(ROUND($M1499-$N1499,0)=0,"√","×")))</f>
        <v/>
      </c>
      <c r="P1499" s="12" t="n"/>
    </row>
    <row r="1500">
      <c r="A1500" s="10">
        <f>IF($C1500="","",COUNTA($C$9:$C1500))</f>
        <v/>
      </c>
      <c r="B1500" s="10">
        <f>IF($C1500="","","TXN-"&amp;RIGHT("0000"&amp;1492,4))</f>
        <v/>
      </c>
      <c r="C1500" s="11" t="n"/>
      <c r="D1500" s="11" t="n"/>
      <c r="E1500" s="12" t="n"/>
      <c r="F1500" s="10">
        <f>IF($E1500="","",IFERROR(IF(VLOOKUP(LEFT(UPPER(TRIM($E1500)),6),BankTbl,2,0)="","(بدون عنوان)",VLOOKUP(LEFT(UPPER(TRIM($E1500)),6),BankTbl,2,0)),"بانک ناشناخته"))</f>
        <v/>
      </c>
      <c r="G1500" s="11" t="n"/>
      <c r="H1500" s="10">
        <f>IF($G1500="","",IFERROR(VLOOKUP($G1500,CustTbl,2,0),IFERROR(VLOOKUP($G1500,SuppTbl,2,0),IFERROR(VLOOKUP($G1500,AcctTbl,2,0),IFERROR(VLOOKUP($G1500,StaffTbl,2,0),"کد ناشناخته")))))</f>
        <v/>
      </c>
      <c r="I1500" s="12" t="n"/>
      <c r="J1500" s="12" t="n"/>
      <c r="K1500" s="13" t="n"/>
      <c r="L1500" s="13" t="n"/>
      <c r="M1500" s="13" t="n"/>
      <c r="N1500" s="14">
        <f>IF(OR($C1500="",$E1500="",Calc!$H1500=""),"",IFERROR(VLOOKUP(LEFT(UPPER(TRIM($E1500)),6),BankTbl,3,0),0)+SUMIFS(CalcDep,CalcBank,LEFT(UPPER(TRIM($E1500)),6),CalcKey,"&lt;="&amp;Calc!$H1500)-SUMIFS(CalcWit,CalcBank,LEFT(UPPER(TRIM($E1500)),6),CalcKey,"&lt;="&amp;Calc!$H1500))</f>
        <v/>
      </c>
      <c r="O1500" s="10">
        <f>IF(OR($C1500="",$M1500=""),"",IF($N1500="","؟",IF(ROUND($M1500-$N1500,0)=0,"√","×")))</f>
        <v/>
      </c>
      <c r="P1500" s="12" t="n"/>
    </row>
    <row r="1501">
      <c r="A1501" s="10">
        <f>IF($C1501="","",COUNTA($C$9:$C1501))</f>
        <v/>
      </c>
      <c r="B1501" s="10">
        <f>IF($C1501="","","TXN-"&amp;RIGHT("0000"&amp;1493,4))</f>
        <v/>
      </c>
      <c r="C1501" s="11" t="n"/>
      <c r="D1501" s="11" t="n"/>
      <c r="E1501" s="12" t="n"/>
      <c r="F1501" s="10">
        <f>IF($E1501="","",IFERROR(IF(VLOOKUP(LEFT(UPPER(TRIM($E1501)),6),BankTbl,2,0)="","(بدون عنوان)",VLOOKUP(LEFT(UPPER(TRIM($E1501)),6),BankTbl,2,0)),"بانک ناشناخته"))</f>
        <v/>
      </c>
      <c r="G1501" s="11" t="n"/>
      <c r="H1501" s="10">
        <f>IF($G1501="","",IFERROR(VLOOKUP($G1501,CustTbl,2,0),IFERROR(VLOOKUP($G1501,SuppTbl,2,0),IFERROR(VLOOKUP($G1501,AcctTbl,2,0),IFERROR(VLOOKUP($G1501,StaffTbl,2,0),"کد ناشناخته")))))</f>
        <v/>
      </c>
      <c r="I1501" s="12" t="n"/>
      <c r="J1501" s="12" t="n"/>
      <c r="K1501" s="13" t="n"/>
      <c r="L1501" s="13" t="n"/>
      <c r="M1501" s="13" t="n"/>
      <c r="N1501" s="14">
        <f>IF(OR($C1501="",$E1501="",Calc!$H1501=""),"",IFERROR(VLOOKUP(LEFT(UPPER(TRIM($E1501)),6),BankTbl,3,0),0)+SUMIFS(CalcDep,CalcBank,LEFT(UPPER(TRIM($E1501)),6),CalcKey,"&lt;="&amp;Calc!$H1501)-SUMIFS(CalcWit,CalcBank,LEFT(UPPER(TRIM($E1501)),6),CalcKey,"&lt;="&amp;Calc!$H1501))</f>
        <v/>
      </c>
      <c r="O1501" s="10">
        <f>IF(OR($C1501="",$M1501=""),"",IF($N1501="","؟",IF(ROUND($M1501-$N1501,0)=0,"√","×")))</f>
        <v/>
      </c>
      <c r="P1501" s="12" t="n"/>
    </row>
    <row r="1502">
      <c r="A1502" s="10">
        <f>IF($C1502="","",COUNTA($C$9:$C1502))</f>
        <v/>
      </c>
      <c r="B1502" s="10">
        <f>IF($C1502="","","TXN-"&amp;RIGHT("0000"&amp;1494,4))</f>
        <v/>
      </c>
      <c r="C1502" s="11" t="n"/>
      <c r="D1502" s="11" t="n"/>
      <c r="E1502" s="12" t="n"/>
      <c r="F1502" s="10">
        <f>IF($E1502="","",IFERROR(IF(VLOOKUP(LEFT(UPPER(TRIM($E1502)),6),BankTbl,2,0)="","(بدون عنوان)",VLOOKUP(LEFT(UPPER(TRIM($E1502)),6),BankTbl,2,0)),"بانک ناشناخته"))</f>
        <v/>
      </c>
      <c r="G1502" s="11" t="n"/>
      <c r="H1502" s="10">
        <f>IF($G1502="","",IFERROR(VLOOKUP($G1502,CustTbl,2,0),IFERROR(VLOOKUP($G1502,SuppTbl,2,0),IFERROR(VLOOKUP($G1502,AcctTbl,2,0),IFERROR(VLOOKUP($G1502,StaffTbl,2,0),"کد ناشناخته")))))</f>
        <v/>
      </c>
      <c r="I1502" s="12" t="n"/>
      <c r="J1502" s="12" t="n"/>
      <c r="K1502" s="13" t="n"/>
      <c r="L1502" s="13" t="n"/>
      <c r="M1502" s="13" t="n"/>
      <c r="N1502" s="14">
        <f>IF(OR($C1502="",$E1502="",Calc!$H1502=""),"",IFERROR(VLOOKUP(LEFT(UPPER(TRIM($E1502)),6),BankTbl,3,0),0)+SUMIFS(CalcDep,CalcBank,LEFT(UPPER(TRIM($E1502)),6),CalcKey,"&lt;="&amp;Calc!$H1502)-SUMIFS(CalcWit,CalcBank,LEFT(UPPER(TRIM($E1502)),6),CalcKey,"&lt;="&amp;Calc!$H1502))</f>
        <v/>
      </c>
      <c r="O1502" s="10">
        <f>IF(OR($C1502="",$M1502=""),"",IF($N1502="","؟",IF(ROUND($M1502-$N1502,0)=0,"√","×")))</f>
        <v/>
      </c>
      <c r="P1502" s="12" t="n"/>
    </row>
    <row r="1503">
      <c r="A1503" s="10">
        <f>IF($C1503="","",COUNTA($C$9:$C1503))</f>
        <v/>
      </c>
      <c r="B1503" s="10">
        <f>IF($C1503="","","TXN-"&amp;RIGHT("0000"&amp;1495,4))</f>
        <v/>
      </c>
      <c r="C1503" s="11" t="n"/>
      <c r="D1503" s="11" t="n"/>
      <c r="E1503" s="12" t="n"/>
      <c r="F1503" s="10">
        <f>IF($E1503="","",IFERROR(IF(VLOOKUP(LEFT(UPPER(TRIM($E1503)),6),BankTbl,2,0)="","(بدون عنوان)",VLOOKUP(LEFT(UPPER(TRIM($E1503)),6),BankTbl,2,0)),"بانک ناشناخته"))</f>
        <v/>
      </c>
      <c r="G1503" s="11" t="n"/>
      <c r="H1503" s="10">
        <f>IF($G1503="","",IFERROR(VLOOKUP($G1503,CustTbl,2,0),IFERROR(VLOOKUP($G1503,SuppTbl,2,0),IFERROR(VLOOKUP($G1503,AcctTbl,2,0),IFERROR(VLOOKUP($G1503,StaffTbl,2,0),"کد ناشناخته")))))</f>
        <v/>
      </c>
      <c r="I1503" s="12" t="n"/>
      <c r="J1503" s="12" t="n"/>
      <c r="K1503" s="13" t="n"/>
      <c r="L1503" s="13" t="n"/>
      <c r="M1503" s="13" t="n"/>
      <c r="N1503" s="14">
        <f>IF(OR($C1503="",$E1503="",Calc!$H1503=""),"",IFERROR(VLOOKUP(LEFT(UPPER(TRIM($E1503)),6),BankTbl,3,0),0)+SUMIFS(CalcDep,CalcBank,LEFT(UPPER(TRIM($E1503)),6),CalcKey,"&lt;="&amp;Calc!$H1503)-SUMIFS(CalcWit,CalcBank,LEFT(UPPER(TRIM($E1503)),6),CalcKey,"&lt;="&amp;Calc!$H1503))</f>
        <v/>
      </c>
      <c r="O1503" s="10">
        <f>IF(OR($C1503="",$M1503=""),"",IF($N1503="","؟",IF(ROUND($M1503-$N1503,0)=0,"√","×")))</f>
        <v/>
      </c>
      <c r="P1503" s="12" t="n"/>
    </row>
    <row r="1504">
      <c r="A1504" s="10">
        <f>IF($C1504="","",COUNTA($C$9:$C1504))</f>
        <v/>
      </c>
      <c r="B1504" s="10">
        <f>IF($C1504="","","TXN-"&amp;RIGHT("0000"&amp;1496,4))</f>
        <v/>
      </c>
      <c r="C1504" s="11" t="n"/>
      <c r="D1504" s="11" t="n"/>
      <c r="E1504" s="12" t="n"/>
      <c r="F1504" s="10">
        <f>IF($E1504="","",IFERROR(IF(VLOOKUP(LEFT(UPPER(TRIM($E1504)),6),BankTbl,2,0)="","(بدون عنوان)",VLOOKUP(LEFT(UPPER(TRIM($E1504)),6),BankTbl,2,0)),"بانک ناشناخته"))</f>
        <v/>
      </c>
      <c r="G1504" s="11" t="n"/>
      <c r="H1504" s="10">
        <f>IF($G1504="","",IFERROR(VLOOKUP($G1504,CustTbl,2,0),IFERROR(VLOOKUP($G1504,SuppTbl,2,0),IFERROR(VLOOKUP($G1504,AcctTbl,2,0),IFERROR(VLOOKUP($G1504,StaffTbl,2,0),"کد ناشناخته")))))</f>
        <v/>
      </c>
      <c r="I1504" s="12" t="n"/>
      <c r="J1504" s="12" t="n"/>
      <c r="K1504" s="13" t="n"/>
      <c r="L1504" s="13" t="n"/>
      <c r="M1504" s="13" t="n"/>
      <c r="N1504" s="14">
        <f>IF(OR($C1504="",$E1504="",Calc!$H1504=""),"",IFERROR(VLOOKUP(LEFT(UPPER(TRIM($E1504)),6),BankTbl,3,0),0)+SUMIFS(CalcDep,CalcBank,LEFT(UPPER(TRIM($E1504)),6),CalcKey,"&lt;="&amp;Calc!$H1504)-SUMIFS(CalcWit,CalcBank,LEFT(UPPER(TRIM($E1504)),6),CalcKey,"&lt;="&amp;Calc!$H1504))</f>
        <v/>
      </c>
      <c r="O1504" s="10">
        <f>IF(OR($C1504="",$M1504=""),"",IF($N1504="","؟",IF(ROUND($M1504-$N1504,0)=0,"√","×")))</f>
        <v/>
      </c>
      <c r="P1504" s="12" t="n"/>
    </row>
    <row r="1505">
      <c r="A1505" s="10">
        <f>IF($C1505="","",COUNTA($C$9:$C1505))</f>
        <v/>
      </c>
      <c r="B1505" s="10">
        <f>IF($C1505="","","TXN-"&amp;RIGHT("0000"&amp;1497,4))</f>
        <v/>
      </c>
      <c r="C1505" s="11" t="n"/>
      <c r="D1505" s="11" t="n"/>
      <c r="E1505" s="12" t="n"/>
      <c r="F1505" s="10">
        <f>IF($E1505="","",IFERROR(IF(VLOOKUP(LEFT(UPPER(TRIM($E1505)),6),BankTbl,2,0)="","(بدون عنوان)",VLOOKUP(LEFT(UPPER(TRIM($E1505)),6),BankTbl,2,0)),"بانک ناشناخته"))</f>
        <v/>
      </c>
      <c r="G1505" s="11" t="n"/>
      <c r="H1505" s="10">
        <f>IF($G1505="","",IFERROR(VLOOKUP($G1505,CustTbl,2,0),IFERROR(VLOOKUP($G1505,SuppTbl,2,0),IFERROR(VLOOKUP($G1505,AcctTbl,2,0),IFERROR(VLOOKUP($G1505,StaffTbl,2,0),"کد ناشناخته")))))</f>
        <v/>
      </c>
      <c r="I1505" s="12" t="n"/>
      <c r="J1505" s="12" t="n"/>
      <c r="K1505" s="13" t="n"/>
      <c r="L1505" s="13" t="n"/>
      <c r="M1505" s="13" t="n"/>
      <c r="N1505" s="14">
        <f>IF(OR($C1505="",$E1505="",Calc!$H1505=""),"",IFERROR(VLOOKUP(LEFT(UPPER(TRIM($E1505)),6),BankTbl,3,0),0)+SUMIFS(CalcDep,CalcBank,LEFT(UPPER(TRIM($E1505)),6),CalcKey,"&lt;="&amp;Calc!$H1505)-SUMIFS(CalcWit,CalcBank,LEFT(UPPER(TRIM($E1505)),6),CalcKey,"&lt;="&amp;Calc!$H1505))</f>
        <v/>
      </c>
      <c r="O1505" s="10">
        <f>IF(OR($C1505="",$M1505=""),"",IF($N1505="","؟",IF(ROUND($M1505-$N1505,0)=0,"√","×")))</f>
        <v/>
      </c>
      <c r="P1505" s="12" t="n"/>
    </row>
    <row r="1506">
      <c r="A1506" s="10">
        <f>IF($C1506="","",COUNTA($C$9:$C1506))</f>
        <v/>
      </c>
      <c r="B1506" s="10">
        <f>IF($C1506="","","TXN-"&amp;RIGHT("0000"&amp;1498,4))</f>
        <v/>
      </c>
      <c r="C1506" s="11" t="n"/>
      <c r="D1506" s="11" t="n"/>
      <c r="E1506" s="12" t="n"/>
      <c r="F1506" s="10">
        <f>IF($E1506="","",IFERROR(IF(VLOOKUP(LEFT(UPPER(TRIM($E1506)),6),BankTbl,2,0)="","(بدون عنوان)",VLOOKUP(LEFT(UPPER(TRIM($E1506)),6),BankTbl,2,0)),"بانک ناشناخته"))</f>
        <v/>
      </c>
      <c r="G1506" s="11" t="n"/>
      <c r="H1506" s="10">
        <f>IF($G1506="","",IFERROR(VLOOKUP($G1506,CustTbl,2,0),IFERROR(VLOOKUP($G1506,SuppTbl,2,0),IFERROR(VLOOKUP($G1506,AcctTbl,2,0),IFERROR(VLOOKUP($G1506,StaffTbl,2,0),"کد ناشناخته")))))</f>
        <v/>
      </c>
      <c r="I1506" s="12" t="n"/>
      <c r="J1506" s="12" t="n"/>
      <c r="K1506" s="13" t="n"/>
      <c r="L1506" s="13" t="n"/>
      <c r="M1506" s="13" t="n"/>
      <c r="N1506" s="14">
        <f>IF(OR($C1506="",$E1506="",Calc!$H1506=""),"",IFERROR(VLOOKUP(LEFT(UPPER(TRIM($E1506)),6),BankTbl,3,0),0)+SUMIFS(CalcDep,CalcBank,LEFT(UPPER(TRIM($E1506)),6),CalcKey,"&lt;="&amp;Calc!$H1506)-SUMIFS(CalcWit,CalcBank,LEFT(UPPER(TRIM($E1506)),6),CalcKey,"&lt;="&amp;Calc!$H1506))</f>
        <v/>
      </c>
      <c r="O1506" s="10">
        <f>IF(OR($C1506="",$M1506=""),"",IF($N1506="","؟",IF(ROUND($M1506-$N1506,0)=0,"√","×")))</f>
        <v/>
      </c>
      <c r="P1506" s="12" t="n"/>
    </row>
    <row r="1507">
      <c r="A1507" s="10">
        <f>IF($C1507="","",COUNTA($C$9:$C1507))</f>
        <v/>
      </c>
      <c r="B1507" s="10">
        <f>IF($C1507="","","TXN-"&amp;RIGHT("0000"&amp;1499,4))</f>
        <v/>
      </c>
      <c r="C1507" s="11" t="n"/>
      <c r="D1507" s="11" t="n"/>
      <c r="E1507" s="12" t="n"/>
      <c r="F1507" s="10">
        <f>IF($E1507="","",IFERROR(IF(VLOOKUP(LEFT(UPPER(TRIM($E1507)),6),BankTbl,2,0)="","(بدون عنوان)",VLOOKUP(LEFT(UPPER(TRIM($E1507)),6),BankTbl,2,0)),"بانک ناشناخته"))</f>
        <v/>
      </c>
      <c r="G1507" s="11" t="n"/>
      <c r="H1507" s="10">
        <f>IF($G1507="","",IFERROR(VLOOKUP($G1507,CustTbl,2,0),IFERROR(VLOOKUP($G1507,SuppTbl,2,0),IFERROR(VLOOKUP($G1507,AcctTbl,2,0),IFERROR(VLOOKUP($G1507,StaffTbl,2,0),"کد ناشناخته")))))</f>
        <v/>
      </c>
      <c r="I1507" s="12" t="n"/>
      <c r="J1507" s="12" t="n"/>
      <c r="K1507" s="13" t="n"/>
      <c r="L1507" s="13" t="n"/>
      <c r="M1507" s="13" t="n"/>
      <c r="N1507" s="14">
        <f>IF(OR($C1507="",$E1507="",Calc!$H1507=""),"",IFERROR(VLOOKUP(LEFT(UPPER(TRIM($E1507)),6),BankTbl,3,0),0)+SUMIFS(CalcDep,CalcBank,LEFT(UPPER(TRIM($E1507)),6),CalcKey,"&lt;="&amp;Calc!$H1507)-SUMIFS(CalcWit,CalcBank,LEFT(UPPER(TRIM($E1507)),6),CalcKey,"&lt;="&amp;Calc!$H1507))</f>
        <v/>
      </c>
      <c r="O1507" s="10">
        <f>IF(OR($C1507="",$M1507=""),"",IF($N1507="","؟",IF(ROUND($M1507-$N1507,0)=0,"√","×")))</f>
        <v/>
      </c>
      <c r="P1507" s="12" t="n"/>
    </row>
    <row r="1508">
      <c r="A1508" s="10">
        <f>IF($C1508="","",COUNTA($C$9:$C1508))</f>
        <v/>
      </c>
      <c r="B1508" s="10">
        <f>IF($C1508="","","TXN-"&amp;RIGHT("0000"&amp;1500,4))</f>
        <v/>
      </c>
      <c r="C1508" s="11" t="n"/>
      <c r="D1508" s="11" t="n"/>
      <c r="E1508" s="12" t="n"/>
      <c r="F1508" s="10">
        <f>IF($E1508="","",IFERROR(IF(VLOOKUP(LEFT(UPPER(TRIM($E1508)),6),BankTbl,2,0)="","(بدون عنوان)",VLOOKUP(LEFT(UPPER(TRIM($E1508)),6),BankTbl,2,0)),"بانک ناشناخته"))</f>
        <v/>
      </c>
      <c r="G1508" s="11" t="n"/>
      <c r="H1508" s="10">
        <f>IF($G1508="","",IFERROR(VLOOKUP($G1508,CustTbl,2,0),IFERROR(VLOOKUP($G1508,SuppTbl,2,0),IFERROR(VLOOKUP($G1508,AcctTbl,2,0),IFERROR(VLOOKUP($G1508,StaffTbl,2,0),"کد ناشناخته")))))</f>
        <v/>
      </c>
      <c r="I1508" s="12" t="n"/>
      <c r="J1508" s="12" t="n"/>
      <c r="K1508" s="13" t="n"/>
      <c r="L1508" s="13" t="n"/>
      <c r="M1508" s="13" t="n"/>
      <c r="N1508" s="14">
        <f>IF(OR($C1508="",$E1508="",Calc!$H1508=""),"",IFERROR(VLOOKUP(LEFT(UPPER(TRIM($E1508)),6),BankTbl,3,0),0)+SUMIFS(CalcDep,CalcBank,LEFT(UPPER(TRIM($E1508)),6),CalcKey,"&lt;="&amp;Calc!$H1508)-SUMIFS(CalcWit,CalcBank,LEFT(UPPER(TRIM($E1508)),6),CalcKey,"&lt;="&amp;Calc!$H1508))</f>
        <v/>
      </c>
      <c r="O1508" s="10">
        <f>IF(OR($C1508="",$M1508=""),"",IF($N1508="","؟",IF(ROUND($M1508-$N1508,0)=0,"√","×")))</f>
        <v/>
      </c>
      <c r="P1508" s="12" t="n"/>
    </row>
    <row r="1509">
      <c r="A1509" s="10">
        <f>IF($C1509="","",COUNTA($C$9:$C1509))</f>
        <v/>
      </c>
      <c r="B1509" s="10">
        <f>IF($C1509="","","TXN-"&amp;RIGHT("0000"&amp;1501,4))</f>
        <v/>
      </c>
      <c r="C1509" s="11" t="n"/>
      <c r="D1509" s="11" t="n"/>
      <c r="E1509" s="12" t="n"/>
      <c r="F1509" s="10">
        <f>IF($E1509="","",IFERROR(IF(VLOOKUP(LEFT(UPPER(TRIM($E1509)),6),BankTbl,2,0)="","(بدون عنوان)",VLOOKUP(LEFT(UPPER(TRIM($E1509)),6),BankTbl,2,0)),"بانک ناشناخته"))</f>
        <v/>
      </c>
      <c r="G1509" s="11" t="n"/>
      <c r="H1509" s="10">
        <f>IF($G1509="","",IFERROR(VLOOKUP($G1509,CustTbl,2,0),IFERROR(VLOOKUP($G1509,SuppTbl,2,0),IFERROR(VLOOKUP($G1509,AcctTbl,2,0),IFERROR(VLOOKUP($G1509,StaffTbl,2,0),"کد ناشناخته")))))</f>
        <v/>
      </c>
      <c r="I1509" s="12" t="n"/>
      <c r="J1509" s="12" t="n"/>
      <c r="K1509" s="13" t="n"/>
      <c r="L1509" s="13" t="n"/>
      <c r="M1509" s="13" t="n"/>
      <c r="N1509" s="14">
        <f>IF(OR($C1509="",$E1509="",Calc!$H1509=""),"",IFERROR(VLOOKUP(LEFT(UPPER(TRIM($E1509)),6),BankTbl,3,0),0)+SUMIFS(CalcDep,CalcBank,LEFT(UPPER(TRIM($E1509)),6),CalcKey,"&lt;="&amp;Calc!$H1509)-SUMIFS(CalcWit,CalcBank,LEFT(UPPER(TRIM($E1509)),6),CalcKey,"&lt;="&amp;Calc!$H1509))</f>
        <v/>
      </c>
      <c r="O1509" s="10">
        <f>IF(OR($C1509="",$M1509=""),"",IF($N1509="","؟",IF(ROUND($M1509-$N1509,0)=0,"√","×")))</f>
        <v/>
      </c>
      <c r="P1509" s="12" t="n"/>
    </row>
    <row r="1510">
      <c r="A1510" s="10">
        <f>IF($C1510="","",COUNTA($C$9:$C1510))</f>
        <v/>
      </c>
      <c r="B1510" s="10">
        <f>IF($C1510="","","TXN-"&amp;RIGHT("0000"&amp;1502,4))</f>
        <v/>
      </c>
      <c r="C1510" s="11" t="n"/>
      <c r="D1510" s="11" t="n"/>
      <c r="E1510" s="12" t="n"/>
      <c r="F1510" s="10">
        <f>IF($E1510="","",IFERROR(IF(VLOOKUP(LEFT(UPPER(TRIM($E1510)),6),BankTbl,2,0)="","(بدون عنوان)",VLOOKUP(LEFT(UPPER(TRIM($E1510)),6),BankTbl,2,0)),"بانک ناشناخته"))</f>
        <v/>
      </c>
      <c r="G1510" s="11" t="n"/>
      <c r="H1510" s="10">
        <f>IF($G1510="","",IFERROR(VLOOKUP($G1510,CustTbl,2,0),IFERROR(VLOOKUP($G1510,SuppTbl,2,0),IFERROR(VLOOKUP($G1510,AcctTbl,2,0),IFERROR(VLOOKUP($G1510,StaffTbl,2,0),"کد ناشناخته")))))</f>
        <v/>
      </c>
      <c r="I1510" s="12" t="n"/>
      <c r="J1510" s="12" t="n"/>
      <c r="K1510" s="13" t="n"/>
      <c r="L1510" s="13" t="n"/>
      <c r="M1510" s="13" t="n"/>
      <c r="N1510" s="14">
        <f>IF(OR($C1510="",$E1510="",Calc!$H1510=""),"",IFERROR(VLOOKUP(LEFT(UPPER(TRIM($E1510)),6),BankTbl,3,0),0)+SUMIFS(CalcDep,CalcBank,LEFT(UPPER(TRIM($E1510)),6),CalcKey,"&lt;="&amp;Calc!$H1510)-SUMIFS(CalcWit,CalcBank,LEFT(UPPER(TRIM($E1510)),6),CalcKey,"&lt;="&amp;Calc!$H1510))</f>
        <v/>
      </c>
      <c r="O1510" s="10">
        <f>IF(OR($C1510="",$M1510=""),"",IF($N1510="","؟",IF(ROUND($M1510-$N1510,0)=0,"√","×")))</f>
        <v/>
      </c>
      <c r="P1510" s="12" t="n"/>
    </row>
    <row r="1511">
      <c r="A1511" s="10">
        <f>IF($C1511="","",COUNTA($C$9:$C1511))</f>
        <v/>
      </c>
      <c r="B1511" s="10">
        <f>IF($C1511="","","TXN-"&amp;RIGHT("0000"&amp;1503,4))</f>
        <v/>
      </c>
      <c r="C1511" s="11" t="n"/>
      <c r="D1511" s="11" t="n"/>
      <c r="E1511" s="12" t="n"/>
      <c r="F1511" s="10">
        <f>IF($E1511="","",IFERROR(IF(VLOOKUP(LEFT(UPPER(TRIM($E1511)),6),BankTbl,2,0)="","(بدون عنوان)",VLOOKUP(LEFT(UPPER(TRIM($E1511)),6),BankTbl,2,0)),"بانک ناشناخته"))</f>
        <v/>
      </c>
      <c r="G1511" s="11" t="n"/>
      <c r="H1511" s="10">
        <f>IF($G1511="","",IFERROR(VLOOKUP($G1511,CustTbl,2,0),IFERROR(VLOOKUP($G1511,SuppTbl,2,0),IFERROR(VLOOKUP($G1511,AcctTbl,2,0),IFERROR(VLOOKUP($G1511,StaffTbl,2,0),"کد ناشناخته")))))</f>
        <v/>
      </c>
      <c r="I1511" s="12" t="n"/>
      <c r="J1511" s="12" t="n"/>
      <c r="K1511" s="13" t="n"/>
      <c r="L1511" s="13" t="n"/>
      <c r="M1511" s="13" t="n"/>
      <c r="N1511" s="14">
        <f>IF(OR($C1511="",$E1511="",Calc!$H1511=""),"",IFERROR(VLOOKUP(LEFT(UPPER(TRIM($E1511)),6),BankTbl,3,0),0)+SUMIFS(CalcDep,CalcBank,LEFT(UPPER(TRIM($E1511)),6),CalcKey,"&lt;="&amp;Calc!$H1511)-SUMIFS(CalcWit,CalcBank,LEFT(UPPER(TRIM($E1511)),6),CalcKey,"&lt;="&amp;Calc!$H1511))</f>
        <v/>
      </c>
      <c r="O1511" s="10">
        <f>IF(OR($C1511="",$M1511=""),"",IF($N1511="","؟",IF(ROUND($M1511-$N1511,0)=0,"√","×")))</f>
        <v/>
      </c>
      <c r="P1511" s="12" t="n"/>
    </row>
    <row r="1512">
      <c r="A1512" s="10">
        <f>IF($C1512="","",COUNTA($C$9:$C1512))</f>
        <v/>
      </c>
      <c r="B1512" s="10">
        <f>IF($C1512="","","TXN-"&amp;RIGHT("0000"&amp;1504,4))</f>
        <v/>
      </c>
      <c r="C1512" s="11" t="n"/>
      <c r="D1512" s="11" t="n"/>
      <c r="E1512" s="12" t="n"/>
      <c r="F1512" s="10">
        <f>IF($E1512="","",IFERROR(IF(VLOOKUP(LEFT(UPPER(TRIM($E1512)),6),BankTbl,2,0)="","(بدون عنوان)",VLOOKUP(LEFT(UPPER(TRIM($E1512)),6),BankTbl,2,0)),"بانک ناشناخته"))</f>
        <v/>
      </c>
      <c r="G1512" s="11" t="n"/>
      <c r="H1512" s="10">
        <f>IF($G1512="","",IFERROR(VLOOKUP($G1512,CustTbl,2,0),IFERROR(VLOOKUP($G1512,SuppTbl,2,0),IFERROR(VLOOKUP($G1512,AcctTbl,2,0),IFERROR(VLOOKUP($G1512,StaffTbl,2,0),"کد ناشناخته")))))</f>
        <v/>
      </c>
      <c r="I1512" s="12" t="n"/>
      <c r="J1512" s="12" t="n"/>
      <c r="K1512" s="13" t="n"/>
      <c r="L1512" s="13" t="n"/>
      <c r="M1512" s="13" t="n"/>
      <c r="N1512" s="14">
        <f>IF(OR($C1512="",$E1512="",Calc!$H1512=""),"",IFERROR(VLOOKUP(LEFT(UPPER(TRIM($E1512)),6),BankTbl,3,0),0)+SUMIFS(CalcDep,CalcBank,LEFT(UPPER(TRIM($E1512)),6),CalcKey,"&lt;="&amp;Calc!$H1512)-SUMIFS(CalcWit,CalcBank,LEFT(UPPER(TRIM($E1512)),6),CalcKey,"&lt;="&amp;Calc!$H1512))</f>
        <v/>
      </c>
      <c r="O1512" s="10">
        <f>IF(OR($C1512="",$M1512=""),"",IF($N1512="","؟",IF(ROUND($M1512-$N1512,0)=0,"√","×")))</f>
        <v/>
      </c>
      <c r="P1512" s="12" t="n"/>
    </row>
    <row r="1513">
      <c r="A1513" s="10">
        <f>IF($C1513="","",COUNTA($C$9:$C1513))</f>
        <v/>
      </c>
      <c r="B1513" s="10">
        <f>IF($C1513="","","TXN-"&amp;RIGHT("0000"&amp;1505,4))</f>
        <v/>
      </c>
      <c r="C1513" s="11" t="n"/>
      <c r="D1513" s="11" t="n"/>
      <c r="E1513" s="12" t="n"/>
      <c r="F1513" s="10">
        <f>IF($E1513="","",IFERROR(IF(VLOOKUP(LEFT(UPPER(TRIM($E1513)),6),BankTbl,2,0)="","(بدون عنوان)",VLOOKUP(LEFT(UPPER(TRIM($E1513)),6),BankTbl,2,0)),"بانک ناشناخته"))</f>
        <v/>
      </c>
      <c r="G1513" s="11" t="n"/>
      <c r="H1513" s="10">
        <f>IF($G1513="","",IFERROR(VLOOKUP($G1513,CustTbl,2,0),IFERROR(VLOOKUP($G1513,SuppTbl,2,0),IFERROR(VLOOKUP($G1513,AcctTbl,2,0),IFERROR(VLOOKUP($G1513,StaffTbl,2,0),"کد ناشناخته")))))</f>
        <v/>
      </c>
      <c r="I1513" s="12" t="n"/>
      <c r="J1513" s="12" t="n"/>
      <c r="K1513" s="13" t="n"/>
      <c r="L1513" s="13" t="n"/>
      <c r="M1513" s="13" t="n"/>
      <c r="N1513" s="14">
        <f>IF(OR($C1513="",$E1513="",Calc!$H1513=""),"",IFERROR(VLOOKUP(LEFT(UPPER(TRIM($E1513)),6),BankTbl,3,0),0)+SUMIFS(CalcDep,CalcBank,LEFT(UPPER(TRIM($E1513)),6),CalcKey,"&lt;="&amp;Calc!$H1513)-SUMIFS(CalcWit,CalcBank,LEFT(UPPER(TRIM($E1513)),6),CalcKey,"&lt;="&amp;Calc!$H1513))</f>
        <v/>
      </c>
      <c r="O1513" s="10">
        <f>IF(OR($C1513="",$M1513=""),"",IF($N1513="","؟",IF(ROUND($M1513-$N1513,0)=0,"√","×")))</f>
        <v/>
      </c>
      <c r="P1513" s="12" t="n"/>
    </row>
    <row r="1514">
      <c r="A1514" s="10">
        <f>IF($C1514="","",COUNTA($C$9:$C1514))</f>
        <v/>
      </c>
      <c r="B1514" s="10">
        <f>IF($C1514="","","TXN-"&amp;RIGHT("0000"&amp;1506,4))</f>
        <v/>
      </c>
      <c r="C1514" s="11" t="n"/>
      <c r="D1514" s="11" t="n"/>
      <c r="E1514" s="12" t="n"/>
      <c r="F1514" s="10">
        <f>IF($E1514="","",IFERROR(IF(VLOOKUP(LEFT(UPPER(TRIM($E1514)),6),BankTbl,2,0)="","(بدون عنوان)",VLOOKUP(LEFT(UPPER(TRIM($E1514)),6),BankTbl,2,0)),"بانک ناشناخته"))</f>
        <v/>
      </c>
      <c r="G1514" s="11" t="n"/>
      <c r="H1514" s="10">
        <f>IF($G1514="","",IFERROR(VLOOKUP($G1514,CustTbl,2,0),IFERROR(VLOOKUP($G1514,SuppTbl,2,0),IFERROR(VLOOKUP($G1514,AcctTbl,2,0),IFERROR(VLOOKUP($G1514,StaffTbl,2,0),"کد ناشناخته")))))</f>
        <v/>
      </c>
      <c r="I1514" s="12" t="n"/>
      <c r="J1514" s="12" t="n"/>
      <c r="K1514" s="13" t="n"/>
      <c r="L1514" s="13" t="n"/>
      <c r="M1514" s="13" t="n"/>
      <c r="N1514" s="14">
        <f>IF(OR($C1514="",$E1514="",Calc!$H1514=""),"",IFERROR(VLOOKUP(LEFT(UPPER(TRIM($E1514)),6),BankTbl,3,0),0)+SUMIFS(CalcDep,CalcBank,LEFT(UPPER(TRIM($E1514)),6),CalcKey,"&lt;="&amp;Calc!$H1514)-SUMIFS(CalcWit,CalcBank,LEFT(UPPER(TRIM($E1514)),6),CalcKey,"&lt;="&amp;Calc!$H1514))</f>
        <v/>
      </c>
      <c r="O1514" s="10">
        <f>IF(OR($C1514="",$M1514=""),"",IF($N1514="","؟",IF(ROUND($M1514-$N1514,0)=0,"√","×")))</f>
        <v/>
      </c>
      <c r="P1514" s="12" t="n"/>
    </row>
    <row r="1515">
      <c r="A1515" s="10">
        <f>IF($C1515="","",COUNTA($C$9:$C1515))</f>
        <v/>
      </c>
      <c r="B1515" s="10">
        <f>IF($C1515="","","TXN-"&amp;RIGHT("0000"&amp;1507,4))</f>
        <v/>
      </c>
      <c r="C1515" s="11" t="n"/>
      <c r="D1515" s="11" t="n"/>
      <c r="E1515" s="12" t="n"/>
      <c r="F1515" s="10">
        <f>IF($E1515="","",IFERROR(IF(VLOOKUP(LEFT(UPPER(TRIM($E1515)),6),BankTbl,2,0)="","(بدون عنوان)",VLOOKUP(LEFT(UPPER(TRIM($E1515)),6),BankTbl,2,0)),"بانک ناشناخته"))</f>
        <v/>
      </c>
      <c r="G1515" s="11" t="n"/>
      <c r="H1515" s="10">
        <f>IF($G1515="","",IFERROR(VLOOKUP($G1515,CustTbl,2,0),IFERROR(VLOOKUP($G1515,SuppTbl,2,0),IFERROR(VLOOKUP($G1515,AcctTbl,2,0),IFERROR(VLOOKUP($G1515,StaffTbl,2,0),"کد ناشناخته")))))</f>
        <v/>
      </c>
      <c r="I1515" s="12" t="n"/>
      <c r="J1515" s="12" t="n"/>
      <c r="K1515" s="13" t="n"/>
      <c r="L1515" s="13" t="n"/>
      <c r="M1515" s="13" t="n"/>
      <c r="N1515" s="14">
        <f>IF(OR($C1515="",$E1515="",Calc!$H1515=""),"",IFERROR(VLOOKUP(LEFT(UPPER(TRIM($E1515)),6),BankTbl,3,0),0)+SUMIFS(CalcDep,CalcBank,LEFT(UPPER(TRIM($E1515)),6),CalcKey,"&lt;="&amp;Calc!$H1515)-SUMIFS(CalcWit,CalcBank,LEFT(UPPER(TRIM($E1515)),6),CalcKey,"&lt;="&amp;Calc!$H1515))</f>
        <v/>
      </c>
      <c r="O1515" s="10">
        <f>IF(OR($C1515="",$M1515=""),"",IF($N1515="","؟",IF(ROUND($M1515-$N1515,0)=0,"√","×")))</f>
        <v/>
      </c>
      <c r="P1515" s="12" t="n"/>
    </row>
    <row r="1516">
      <c r="A1516" s="10">
        <f>IF($C1516="","",COUNTA($C$9:$C1516))</f>
        <v/>
      </c>
      <c r="B1516" s="10">
        <f>IF($C1516="","","TXN-"&amp;RIGHT("0000"&amp;1508,4))</f>
        <v/>
      </c>
      <c r="C1516" s="11" t="n"/>
      <c r="D1516" s="11" t="n"/>
      <c r="E1516" s="12" t="n"/>
      <c r="F1516" s="10">
        <f>IF($E1516="","",IFERROR(IF(VLOOKUP(LEFT(UPPER(TRIM($E1516)),6),BankTbl,2,0)="","(بدون عنوان)",VLOOKUP(LEFT(UPPER(TRIM($E1516)),6),BankTbl,2,0)),"بانک ناشناخته"))</f>
        <v/>
      </c>
      <c r="G1516" s="11" t="n"/>
      <c r="H1516" s="10">
        <f>IF($G1516="","",IFERROR(VLOOKUP($G1516,CustTbl,2,0),IFERROR(VLOOKUP($G1516,SuppTbl,2,0),IFERROR(VLOOKUP($G1516,AcctTbl,2,0),IFERROR(VLOOKUP($G1516,StaffTbl,2,0),"کد ناشناخته")))))</f>
        <v/>
      </c>
      <c r="I1516" s="12" t="n"/>
      <c r="J1516" s="12" t="n"/>
      <c r="K1516" s="13" t="n"/>
      <c r="L1516" s="13" t="n"/>
      <c r="M1516" s="13" t="n"/>
      <c r="N1516" s="14">
        <f>IF(OR($C1516="",$E1516="",Calc!$H1516=""),"",IFERROR(VLOOKUP(LEFT(UPPER(TRIM($E1516)),6),BankTbl,3,0),0)+SUMIFS(CalcDep,CalcBank,LEFT(UPPER(TRIM($E1516)),6),CalcKey,"&lt;="&amp;Calc!$H1516)-SUMIFS(CalcWit,CalcBank,LEFT(UPPER(TRIM($E1516)),6),CalcKey,"&lt;="&amp;Calc!$H1516))</f>
        <v/>
      </c>
      <c r="O1516" s="10">
        <f>IF(OR($C1516="",$M1516=""),"",IF($N1516="","؟",IF(ROUND($M1516-$N1516,0)=0,"√","×")))</f>
        <v/>
      </c>
      <c r="P1516" s="12" t="n"/>
    </row>
    <row r="1517">
      <c r="A1517" s="10">
        <f>IF($C1517="","",COUNTA($C$9:$C1517))</f>
        <v/>
      </c>
      <c r="B1517" s="10">
        <f>IF($C1517="","","TXN-"&amp;RIGHT("0000"&amp;1509,4))</f>
        <v/>
      </c>
      <c r="C1517" s="11" t="n"/>
      <c r="D1517" s="11" t="n"/>
      <c r="E1517" s="12" t="n"/>
      <c r="F1517" s="10">
        <f>IF($E1517="","",IFERROR(IF(VLOOKUP(LEFT(UPPER(TRIM($E1517)),6),BankTbl,2,0)="","(بدون عنوان)",VLOOKUP(LEFT(UPPER(TRIM($E1517)),6),BankTbl,2,0)),"بانک ناشناخته"))</f>
        <v/>
      </c>
      <c r="G1517" s="11" t="n"/>
      <c r="H1517" s="10">
        <f>IF($G1517="","",IFERROR(VLOOKUP($G1517,CustTbl,2,0),IFERROR(VLOOKUP($G1517,SuppTbl,2,0),IFERROR(VLOOKUP($G1517,AcctTbl,2,0),IFERROR(VLOOKUP($G1517,StaffTbl,2,0),"کد ناشناخته")))))</f>
        <v/>
      </c>
      <c r="I1517" s="12" t="n"/>
      <c r="J1517" s="12" t="n"/>
      <c r="K1517" s="13" t="n"/>
      <c r="L1517" s="13" t="n"/>
      <c r="M1517" s="13" t="n"/>
      <c r="N1517" s="14">
        <f>IF(OR($C1517="",$E1517="",Calc!$H1517=""),"",IFERROR(VLOOKUP(LEFT(UPPER(TRIM($E1517)),6),BankTbl,3,0),0)+SUMIFS(CalcDep,CalcBank,LEFT(UPPER(TRIM($E1517)),6),CalcKey,"&lt;="&amp;Calc!$H1517)-SUMIFS(CalcWit,CalcBank,LEFT(UPPER(TRIM($E1517)),6),CalcKey,"&lt;="&amp;Calc!$H1517))</f>
        <v/>
      </c>
      <c r="O1517" s="10">
        <f>IF(OR($C1517="",$M1517=""),"",IF($N1517="","؟",IF(ROUND($M1517-$N1517,0)=0,"√","×")))</f>
        <v/>
      </c>
      <c r="P1517" s="12" t="n"/>
    </row>
    <row r="1518">
      <c r="A1518" s="10">
        <f>IF($C1518="","",COUNTA($C$9:$C1518))</f>
        <v/>
      </c>
      <c r="B1518" s="10">
        <f>IF($C1518="","","TXN-"&amp;RIGHT("0000"&amp;1510,4))</f>
        <v/>
      </c>
      <c r="C1518" s="11" t="n"/>
      <c r="D1518" s="11" t="n"/>
      <c r="E1518" s="12" t="n"/>
      <c r="F1518" s="10">
        <f>IF($E1518="","",IFERROR(IF(VLOOKUP(LEFT(UPPER(TRIM($E1518)),6),BankTbl,2,0)="","(بدون عنوان)",VLOOKUP(LEFT(UPPER(TRIM($E1518)),6),BankTbl,2,0)),"بانک ناشناخته"))</f>
        <v/>
      </c>
      <c r="G1518" s="11" t="n"/>
      <c r="H1518" s="10">
        <f>IF($G1518="","",IFERROR(VLOOKUP($G1518,CustTbl,2,0),IFERROR(VLOOKUP($G1518,SuppTbl,2,0),IFERROR(VLOOKUP($G1518,AcctTbl,2,0),IFERROR(VLOOKUP($G1518,StaffTbl,2,0),"کد ناشناخته")))))</f>
        <v/>
      </c>
      <c r="I1518" s="12" t="n"/>
      <c r="J1518" s="12" t="n"/>
      <c r="K1518" s="13" t="n"/>
      <c r="L1518" s="13" t="n"/>
      <c r="M1518" s="13" t="n"/>
      <c r="N1518" s="14">
        <f>IF(OR($C1518="",$E1518="",Calc!$H1518=""),"",IFERROR(VLOOKUP(LEFT(UPPER(TRIM($E1518)),6),BankTbl,3,0),0)+SUMIFS(CalcDep,CalcBank,LEFT(UPPER(TRIM($E1518)),6),CalcKey,"&lt;="&amp;Calc!$H1518)-SUMIFS(CalcWit,CalcBank,LEFT(UPPER(TRIM($E1518)),6),CalcKey,"&lt;="&amp;Calc!$H1518))</f>
        <v/>
      </c>
      <c r="O1518" s="10">
        <f>IF(OR($C1518="",$M1518=""),"",IF($N1518="","؟",IF(ROUND($M1518-$N1518,0)=0,"√","×")))</f>
        <v/>
      </c>
      <c r="P1518" s="12" t="n"/>
    </row>
    <row r="1519">
      <c r="A1519" s="10">
        <f>IF($C1519="","",COUNTA($C$9:$C1519))</f>
        <v/>
      </c>
      <c r="B1519" s="10">
        <f>IF($C1519="","","TXN-"&amp;RIGHT("0000"&amp;1511,4))</f>
        <v/>
      </c>
      <c r="C1519" s="11" t="n"/>
      <c r="D1519" s="11" t="n"/>
      <c r="E1519" s="12" t="n"/>
      <c r="F1519" s="10">
        <f>IF($E1519="","",IFERROR(IF(VLOOKUP(LEFT(UPPER(TRIM($E1519)),6),BankTbl,2,0)="","(بدون عنوان)",VLOOKUP(LEFT(UPPER(TRIM($E1519)),6),BankTbl,2,0)),"بانک ناشناخته"))</f>
        <v/>
      </c>
      <c r="G1519" s="11" t="n"/>
      <c r="H1519" s="10">
        <f>IF($G1519="","",IFERROR(VLOOKUP($G1519,CustTbl,2,0),IFERROR(VLOOKUP($G1519,SuppTbl,2,0),IFERROR(VLOOKUP($G1519,AcctTbl,2,0),IFERROR(VLOOKUP($G1519,StaffTbl,2,0),"کد ناشناخته")))))</f>
        <v/>
      </c>
      <c r="I1519" s="12" t="n"/>
      <c r="J1519" s="12" t="n"/>
      <c r="K1519" s="13" t="n"/>
      <c r="L1519" s="13" t="n"/>
      <c r="M1519" s="13" t="n"/>
      <c r="N1519" s="14">
        <f>IF(OR($C1519="",$E1519="",Calc!$H1519=""),"",IFERROR(VLOOKUP(LEFT(UPPER(TRIM($E1519)),6),BankTbl,3,0),0)+SUMIFS(CalcDep,CalcBank,LEFT(UPPER(TRIM($E1519)),6),CalcKey,"&lt;="&amp;Calc!$H1519)-SUMIFS(CalcWit,CalcBank,LEFT(UPPER(TRIM($E1519)),6),CalcKey,"&lt;="&amp;Calc!$H1519))</f>
        <v/>
      </c>
      <c r="O1519" s="10">
        <f>IF(OR($C1519="",$M1519=""),"",IF($N1519="","؟",IF(ROUND($M1519-$N1519,0)=0,"√","×")))</f>
        <v/>
      </c>
      <c r="P1519" s="12" t="n"/>
    </row>
    <row r="1520">
      <c r="A1520" s="10">
        <f>IF($C1520="","",COUNTA($C$9:$C1520))</f>
        <v/>
      </c>
      <c r="B1520" s="10">
        <f>IF($C1520="","","TXN-"&amp;RIGHT("0000"&amp;1512,4))</f>
        <v/>
      </c>
      <c r="C1520" s="11" t="n"/>
      <c r="D1520" s="11" t="n"/>
      <c r="E1520" s="12" t="n"/>
      <c r="F1520" s="10">
        <f>IF($E1520="","",IFERROR(IF(VLOOKUP(LEFT(UPPER(TRIM($E1520)),6),BankTbl,2,0)="","(بدون عنوان)",VLOOKUP(LEFT(UPPER(TRIM($E1520)),6),BankTbl,2,0)),"بانک ناشناخته"))</f>
        <v/>
      </c>
      <c r="G1520" s="11" t="n"/>
      <c r="H1520" s="10">
        <f>IF($G1520="","",IFERROR(VLOOKUP($G1520,CustTbl,2,0),IFERROR(VLOOKUP($G1520,SuppTbl,2,0),IFERROR(VLOOKUP($G1520,AcctTbl,2,0),IFERROR(VLOOKUP($G1520,StaffTbl,2,0),"کد ناشناخته")))))</f>
        <v/>
      </c>
      <c r="I1520" s="12" t="n"/>
      <c r="J1520" s="12" t="n"/>
      <c r="K1520" s="13" t="n"/>
      <c r="L1520" s="13" t="n"/>
      <c r="M1520" s="13" t="n"/>
      <c r="N1520" s="14">
        <f>IF(OR($C1520="",$E1520="",Calc!$H1520=""),"",IFERROR(VLOOKUP(LEFT(UPPER(TRIM($E1520)),6),BankTbl,3,0),0)+SUMIFS(CalcDep,CalcBank,LEFT(UPPER(TRIM($E1520)),6),CalcKey,"&lt;="&amp;Calc!$H1520)-SUMIFS(CalcWit,CalcBank,LEFT(UPPER(TRIM($E1520)),6),CalcKey,"&lt;="&amp;Calc!$H1520))</f>
        <v/>
      </c>
      <c r="O1520" s="10">
        <f>IF(OR($C1520="",$M1520=""),"",IF($N1520="","؟",IF(ROUND($M1520-$N1520,0)=0,"√","×")))</f>
        <v/>
      </c>
      <c r="P1520" s="12" t="n"/>
    </row>
    <row r="1521">
      <c r="A1521" s="10">
        <f>IF($C1521="","",COUNTA($C$9:$C1521))</f>
        <v/>
      </c>
      <c r="B1521" s="10">
        <f>IF($C1521="","","TXN-"&amp;RIGHT("0000"&amp;1513,4))</f>
        <v/>
      </c>
      <c r="C1521" s="11" t="n"/>
      <c r="D1521" s="11" t="n"/>
      <c r="E1521" s="12" t="n"/>
      <c r="F1521" s="10">
        <f>IF($E1521="","",IFERROR(IF(VLOOKUP(LEFT(UPPER(TRIM($E1521)),6),BankTbl,2,0)="","(بدون عنوان)",VLOOKUP(LEFT(UPPER(TRIM($E1521)),6),BankTbl,2,0)),"بانک ناشناخته"))</f>
        <v/>
      </c>
      <c r="G1521" s="11" t="n"/>
      <c r="H1521" s="10">
        <f>IF($G1521="","",IFERROR(VLOOKUP($G1521,CustTbl,2,0),IFERROR(VLOOKUP($G1521,SuppTbl,2,0),IFERROR(VLOOKUP($G1521,AcctTbl,2,0),IFERROR(VLOOKUP($G1521,StaffTbl,2,0),"کد ناشناخته")))))</f>
        <v/>
      </c>
      <c r="I1521" s="12" t="n"/>
      <c r="J1521" s="12" t="n"/>
      <c r="K1521" s="13" t="n"/>
      <c r="L1521" s="13" t="n"/>
      <c r="M1521" s="13" t="n"/>
      <c r="N1521" s="14">
        <f>IF(OR($C1521="",$E1521="",Calc!$H1521=""),"",IFERROR(VLOOKUP(LEFT(UPPER(TRIM($E1521)),6),BankTbl,3,0),0)+SUMIFS(CalcDep,CalcBank,LEFT(UPPER(TRIM($E1521)),6),CalcKey,"&lt;="&amp;Calc!$H1521)-SUMIFS(CalcWit,CalcBank,LEFT(UPPER(TRIM($E1521)),6),CalcKey,"&lt;="&amp;Calc!$H1521))</f>
        <v/>
      </c>
      <c r="O1521" s="10">
        <f>IF(OR($C1521="",$M1521=""),"",IF($N1521="","؟",IF(ROUND($M1521-$N1521,0)=0,"√","×")))</f>
        <v/>
      </c>
      <c r="P1521" s="12" t="n"/>
    </row>
    <row r="1522">
      <c r="A1522" s="10">
        <f>IF($C1522="","",COUNTA($C$9:$C1522))</f>
        <v/>
      </c>
      <c r="B1522" s="10">
        <f>IF($C1522="","","TXN-"&amp;RIGHT("0000"&amp;1514,4))</f>
        <v/>
      </c>
      <c r="C1522" s="11" t="n"/>
      <c r="D1522" s="11" t="n"/>
      <c r="E1522" s="12" t="n"/>
      <c r="F1522" s="10">
        <f>IF($E1522="","",IFERROR(IF(VLOOKUP(LEFT(UPPER(TRIM($E1522)),6),BankTbl,2,0)="","(بدون عنوان)",VLOOKUP(LEFT(UPPER(TRIM($E1522)),6),BankTbl,2,0)),"بانک ناشناخته"))</f>
        <v/>
      </c>
      <c r="G1522" s="11" t="n"/>
      <c r="H1522" s="10">
        <f>IF($G1522="","",IFERROR(VLOOKUP($G1522,CustTbl,2,0),IFERROR(VLOOKUP($G1522,SuppTbl,2,0),IFERROR(VLOOKUP($G1522,AcctTbl,2,0),IFERROR(VLOOKUP($G1522,StaffTbl,2,0),"کد ناشناخته")))))</f>
        <v/>
      </c>
      <c r="I1522" s="12" t="n"/>
      <c r="J1522" s="12" t="n"/>
      <c r="K1522" s="13" t="n"/>
      <c r="L1522" s="13" t="n"/>
      <c r="M1522" s="13" t="n"/>
      <c r="N1522" s="14">
        <f>IF(OR($C1522="",$E1522="",Calc!$H1522=""),"",IFERROR(VLOOKUP(LEFT(UPPER(TRIM($E1522)),6),BankTbl,3,0),0)+SUMIFS(CalcDep,CalcBank,LEFT(UPPER(TRIM($E1522)),6),CalcKey,"&lt;="&amp;Calc!$H1522)-SUMIFS(CalcWit,CalcBank,LEFT(UPPER(TRIM($E1522)),6),CalcKey,"&lt;="&amp;Calc!$H1522))</f>
        <v/>
      </c>
      <c r="O1522" s="10">
        <f>IF(OR($C1522="",$M1522=""),"",IF($N1522="","؟",IF(ROUND($M1522-$N1522,0)=0,"√","×")))</f>
        <v/>
      </c>
      <c r="P1522" s="12" t="n"/>
    </row>
    <row r="1523">
      <c r="A1523" s="10">
        <f>IF($C1523="","",COUNTA($C$9:$C1523))</f>
        <v/>
      </c>
      <c r="B1523" s="10">
        <f>IF($C1523="","","TXN-"&amp;RIGHT("0000"&amp;1515,4))</f>
        <v/>
      </c>
      <c r="C1523" s="11" t="n"/>
      <c r="D1523" s="11" t="n"/>
      <c r="E1523" s="12" t="n"/>
      <c r="F1523" s="10">
        <f>IF($E1523="","",IFERROR(IF(VLOOKUP(LEFT(UPPER(TRIM($E1523)),6),BankTbl,2,0)="","(بدون عنوان)",VLOOKUP(LEFT(UPPER(TRIM($E1523)),6),BankTbl,2,0)),"بانک ناشناخته"))</f>
        <v/>
      </c>
      <c r="G1523" s="11" t="n"/>
      <c r="H1523" s="10">
        <f>IF($G1523="","",IFERROR(VLOOKUP($G1523,CustTbl,2,0),IFERROR(VLOOKUP($G1523,SuppTbl,2,0),IFERROR(VLOOKUP($G1523,AcctTbl,2,0),IFERROR(VLOOKUP($G1523,StaffTbl,2,0),"کد ناشناخته")))))</f>
        <v/>
      </c>
      <c r="I1523" s="12" t="n"/>
      <c r="J1523" s="12" t="n"/>
      <c r="K1523" s="13" t="n"/>
      <c r="L1523" s="13" t="n"/>
      <c r="M1523" s="13" t="n"/>
      <c r="N1523" s="14">
        <f>IF(OR($C1523="",$E1523="",Calc!$H1523=""),"",IFERROR(VLOOKUP(LEFT(UPPER(TRIM($E1523)),6),BankTbl,3,0),0)+SUMIFS(CalcDep,CalcBank,LEFT(UPPER(TRIM($E1523)),6),CalcKey,"&lt;="&amp;Calc!$H1523)-SUMIFS(CalcWit,CalcBank,LEFT(UPPER(TRIM($E1523)),6),CalcKey,"&lt;="&amp;Calc!$H1523))</f>
        <v/>
      </c>
      <c r="O1523" s="10">
        <f>IF(OR($C1523="",$M1523=""),"",IF($N1523="","؟",IF(ROUND($M1523-$N1523,0)=0,"√","×")))</f>
        <v/>
      </c>
      <c r="P1523" s="12" t="n"/>
    </row>
    <row r="1524">
      <c r="A1524" s="10">
        <f>IF($C1524="","",COUNTA($C$9:$C1524))</f>
        <v/>
      </c>
      <c r="B1524" s="10">
        <f>IF($C1524="","","TXN-"&amp;RIGHT("0000"&amp;1516,4))</f>
        <v/>
      </c>
      <c r="C1524" s="11" t="n"/>
      <c r="D1524" s="11" t="n"/>
      <c r="E1524" s="12" t="n"/>
      <c r="F1524" s="10">
        <f>IF($E1524="","",IFERROR(IF(VLOOKUP(LEFT(UPPER(TRIM($E1524)),6),BankTbl,2,0)="","(بدون عنوان)",VLOOKUP(LEFT(UPPER(TRIM($E1524)),6),BankTbl,2,0)),"بانک ناشناخته"))</f>
        <v/>
      </c>
      <c r="G1524" s="11" t="n"/>
      <c r="H1524" s="10">
        <f>IF($G1524="","",IFERROR(VLOOKUP($G1524,CustTbl,2,0),IFERROR(VLOOKUP($G1524,SuppTbl,2,0),IFERROR(VLOOKUP($G1524,AcctTbl,2,0),IFERROR(VLOOKUP($G1524,StaffTbl,2,0),"کد ناشناخته")))))</f>
        <v/>
      </c>
      <c r="I1524" s="12" t="n"/>
      <c r="J1524" s="12" t="n"/>
      <c r="K1524" s="13" t="n"/>
      <c r="L1524" s="13" t="n"/>
      <c r="M1524" s="13" t="n"/>
      <c r="N1524" s="14">
        <f>IF(OR($C1524="",$E1524="",Calc!$H1524=""),"",IFERROR(VLOOKUP(LEFT(UPPER(TRIM($E1524)),6),BankTbl,3,0),0)+SUMIFS(CalcDep,CalcBank,LEFT(UPPER(TRIM($E1524)),6),CalcKey,"&lt;="&amp;Calc!$H1524)-SUMIFS(CalcWit,CalcBank,LEFT(UPPER(TRIM($E1524)),6),CalcKey,"&lt;="&amp;Calc!$H1524))</f>
        <v/>
      </c>
      <c r="O1524" s="10">
        <f>IF(OR($C1524="",$M1524=""),"",IF($N1524="","؟",IF(ROUND($M1524-$N1524,0)=0,"√","×")))</f>
        <v/>
      </c>
      <c r="P1524" s="12" t="n"/>
    </row>
    <row r="1525">
      <c r="A1525" s="10">
        <f>IF($C1525="","",COUNTA($C$9:$C1525))</f>
        <v/>
      </c>
      <c r="B1525" s="10">
        <f>IF($C1525="","","TXN-"&amp;RIGHT("0000"&amp;1517,4))</f>
        <v/>
      </c>
      <c r="C1525" s="11" t="n"/>
      <c r="D1525" s="11" t="n"/>
      <c r="E1525" s="12" t="n"/>
      <c r="F1525" s="10">
        <f>IF($E1525="","",IFERROR(IF(VLOOKUP(LEFT(UPPER(TRIM($E1525)),6),BankTbl,2,0)="","(بدون عنوان)",VLOOKUP(LEFT(UPPER(TRIM($E1525)),6),BankTbl,2,0)),"بانک ناشناخته"))</f>
        <v/>
      </c>
      <c r="G1525" s="11" t="n"/>
      <c r="H1525" s="10">
        <f>IF($G1525="","",IFERROR(VLOOKUP($G1525,CustTbl,2,0),IFERROR(VLOOKUP($G1525,SuppTbl,2,0),IFERROR(VLOOKUP($G1525,AcctTbl,2,0),IFERROR(VLOOKUP($G1525,StaffTbl,2,0),"کد ناشناخته")))))</f>
        <v/>
      </c>
      <c r="I1525" s="12" t="n"/>
      <c r="J1525" s="12" t="n"/>
      <c r="K1525" s="13" t="n"/>
      <c r="L1525" s="13" t="n"/>
      <c r="M1525" s="13" t="n"/>
      <c r="N1525" s="14">
        <f>IF(OR($C1525="",$E1525="",Calc!$H1525=""),"",IFERROR(VLOOKUP(LEFT(UPPER(TRIM($E1525)),6),BankTbl,3,0),0)+SUMIFS(CalcDep,CalcBank,LEFT(UPPER(TRIM($E1525)),6),CalcKey,"&lt;="&amp;Calc!$H1525)-SUMIFS(CalcWit,CalcBank,LEFT(UPPER(TRIM($E1525)),6),CalcKey,"&lt;="&amp;Calc!$H1525))</f>
        <v/>
      </c>
      <c r="O1525" s="10">
        <f>IF(OR($C1525="",$M1525=""),"",IF($N1525="","؟",IF(ROUND($M1525-$N1525,0)=0,"√","×")))</f>
        <v/>
      </c>
      <c r="P1525" s="12" t="n"/>
    </row>
    <row r="1526">
      <c r="A1526" s="10">
        <f>IF($C1526="","",COUNTA($C$9:$C1526))</f>
        <v/>
      </c>
      <c r="B1526" s="10">
        <f>IF($C1526="","","TXN-"&amp;RIGHT("0000"&amp;1518,4))</f>
        <v/>
      </c>
      <c r="C1526" s="11" t="n"/>
      <c r="D1526" s="11" t="n"/>
      <c r="E1526" s="12" t="n"/>
      <c r="F1526" s="10">
        <f>IF($E1526="","",IFERROR(IF(VLOOKUP(LEFT(UPPER(TRIM($E1526)),6),BankTbl,2,0)="","(بدون عنوان)",VLOOKUP(LEFT(UPPER(TRIM($E1526)),6),BankTbl,2,0)),"بانک ناشناخته"))</f>
        <v/>
      </c>
      <c r="G1526" s="11" t="n"/>
      <c r="H1526" s="10">
        <f>IF($G1526="","",IFERROR(VLOOKUP($G1526,CustTbl,2,0),IFERROR(VLOOKUP($G1526,SuppTbl,2,0),IFERROR(VLOOKUP($G1526,AcctTbl,2,0),IFERROR(VLOOKUP($G1526,StaffTbl,2,0),"کد ناشناخته")))))</f>
        <v/>
      </c>
      <c r="I1526" s="12" t="n"/>
      <c r="J1526" s="12" t="n"/>
      <c r="K1526" s="13" t="n"/>
      <c r="L1526" s="13" t="n"/>
      <c r="M1526" s="13" t="n"/>
      <c r="N1526" s="14">
        <f>IF(OR($C1526="",$E1526="",Calc!$H1526=""),"",IFERROR(VLOOKUP(LEFT(UPPER(TRIM($E1526)),6),BankTbl,3,0),0)+SUMIFS(CalcDep,CalcBank,LEFT(UPPER(TRIM($E1526)),6),CalcKey,"&lt;="&amp;Calc!$H1526)-SUMIFS(CalcWit,CalcBank,LEFT(UPPER(TRIM($E1526)),6),CalcKey,"&lt;="&amp;Calc!$H1526))</f>
        <v/>
      </c>
      <c r="O1526" s="10">
        <f>IF(OR($C1526="",$M1526=""),"",IF($N1526="","؟",IF(ROUND($M1526-$N1526,0)=0,"√","×")))</f>
        <v/>
      </c>
      <c r="P1526" s="12" t="n"/>
    </row>
    <row r="1527">
      <c r="A1527" s="10">
        <f>IF($C1527="","",COUNTA($C$9:$C1527))</f>
        <v/>
      </c>
      <c r="B1527" s="10">
        <f>IF($C1527="","","TXN-"&amp;RIGHT("0000"&amp;1519,4))</f>
        <v/>
      </c>
      <c r="C1527" s="11" t="n"/>
      <c r="D1527" s="11" t="n"/>
      <c r="E1527" s="12" t="n"/>
      <c r="F1527" s="10">
        <f>IF($E1527="","",IFERROR(IF(VLOOKUP(LEFT(UPPER(TRIM($E1527)),6),BankTbl,2,0)="","(بدون عنوان)",VLOOKUP(LEFT(UPPER(TRIM($E1527)),6),BankTbl,2,0)),"بانک ناشناخته"))</f>
        <v/>
      </c>
      <c r="G1527" s="11" t="n"/>
      <c r="H1527" s="10">
        <f>IF($G1527="","",IFERROR(VLOOKUP($G1527,CustTbl,2,0),IFERROR(VLOOKUP($G1527,SuppTbl,2,0),IFERROR(VLOOKUP($G1527,AcctTbl,2,0),IFERROR(VLOOKUP($G1527,StaffTbl,2,0),"کد ناشناخته")))))</f>
        <v/>
      </c>
      <c r="I1527" s="12" t="n"/>
      <c r="J1527" s="12" t="n"/>
      <c r="K1527" s="13" t="n"/>
      <c r="L1527" s="13" t="n"/>
      <c r="M1527" s="13" t="n"/>
      <c r="N1527" s="14">
        <f>IF(OR($C1527="",$E1527="",Calc!$H1527=""),"",IFERROR(VLOOKUP(LEFT(UPPER(TRIM($E1527)),6),BankTbl,3,0),0)+SUMIFS(CalcDep,CalcBank,LEFT(UPPER(TRIM($E1527)),6),CalcKey,"&lt;="&amp;Calc!$H1527)-SUMIFS(CalcWit,CalcBank,LEFT(UPPER(TRIM($E1527)),6),CalcKey,"&lt;="&amp;Calc!$H1527))</f>
        <v/>
      </c>
      <c r="O1527" s="10">
        <f>IF(OR($C1527="",$M1527=""),"",IF($N1527="","؟",IF(ROUND($M1527-$N1527,0)=0,"√","×")))</f>
        <v/>
      </c>
      <c r="P1527" s="12" t="n"/>
    </row>
    <row r="1528">
      <c r="A1528" s="10">
        <f>IF($C1528="","",COUNTA($C$9:$C1528))</f>
        <v/>
      </c>
      <c r="B1528" s="10">
        <f>IF($C1528="","","TXN-"&amp;RIGHT("0000"&amp;1520,4))</f>
        <v/>
      </c>
      <c r="C1528" s="11" t="n"/>
      <c r="D1528" s="11" t="n"/>
      <c r="E1528" s="12" t="n"/>
      <c r="F1528" s="10">
        <f>IF($E1528="","",IFERROR(IF(VLOOKUP(LEFT(UPPER(TRIM($E1528)),6),BankTbl,2,0)="","(بدون عنوان)",VLOOKUP(LEFT(UPPER(TRIM($E1528)),6),BankTbl,2,0)),"بانک ناشناخته"))</f>
        <v/>
      </c>
      <c r="G1528" s="11" t="n"/>
      <c r="H1528" s="10">
        <f>IF($G1528="","",IFERROR(VLOOKUP($G1528,CustTbl,2,0),IFERROR(VLOOKUP($G1528,SuppTbl,2,0),IFERROR(VLOOKUP($G1528,AcctTbl,2,0),IFERROR(VLOOKUP($G1528,StaffTbl,2,0),"کد ناشناخته")))))</f>
        <v/>
      </c>
      <c r="I1528" s="12" t="n"/>
      <c r="J1528" s="12" t="n"/>
      <c r="K1528" s="13" t="n"/>
      <c r="L1528" s="13" t="n"/>
      <c r="M1528" s="13" t="n"/>
      <c r="N1528" s="14">
        <f>IF(OR($C1528="",$E1528="",Calc!$H1528=""),"",IFERROR(VLOOKUP(LEFT(UPPER(TRIM($E1528)),6),BankTbl,3,0),0)+SUMIFS(CalcDep,CalcBank,LEFT(UPPER(TRIM($E1528)),6),CalcKey,"&lt;="&amp;Calc!$H1528)-SUMIFS(CalcWit,CalcBank,LEFT(UPPER(TRIM($E1528)),6),CalcKey,"&lt;="&amp;Calc!$H1528))</f>
        <v/>
      </c>
      <c r="O1528" s="10">
        <f>IF(OR($C1528="",$M1528=""),"",IF($N1528="","؟",IF(ROUND($M1528-$N1528,0)=0,"√","×")))</f>
        <v/>
      </c>
      <c r="P1528" s="12" t="n"/>
    </row>
    <row r="1529">
      <c r="A1529" s="10">
        <f>IF($C1529="","",COUNTA($C$9:$C1529))</f>
        <v/>
      </c>
      <c r="B1529" s="10">
        <f>IF($C1529="","","TXN-"&amp;RIGHT("0000"&amp;1521,4))</f>
        <v/>
      </c>
      <c r="C1529" s="11" t="n"/>
      <c r="D1529" s="11" t="n"/>
      <c r="E1529" s="12" t="n"/>
      <c r="F1529" s="10">
        <f>IF($E1529="","",IFERROR(IF(VLOOKUP(LEFT(UPPER(TRIM($E1529)),6),BankTbl,2,0)="","(بدون عنوان)",VLOOKUP(LEFT(UPPER(TRIM($E1529)),6),BankTbl,2,0)),"بانک ناشناخته"))</f>
        <v/>
      </c>
      <c r="G1529" s="11" t="n"/>
      <c r="H1529" s="10">
        <f>IF($G1529="","",IFERROR(VLOOKUP($G1529,CustTbl,2,0),IFERROR(VLOOKUP($G1529,SuppTbl,2,0),IFERROR(VLOOKUP($G1529,AcctTbl,2,0),IFERROR(VLOOKUP($G1529,StaffTbl,2,0),"کد ناشناخته")))))</f>
        <v/>
      </c>
      <c r="I1529" s="12" t="n"/>
      <c r="J1529" s="12" t="n"/>
      <c r="K1529" s="13" t="n"/>
      <c r="L1529" s="13" t="n"/>
      <c r="M1529" s="13" t="n"/>
      <c r="N1529" s="14">
        <f>IF(OR($C1529="",$E1529="",Calc!$H1529=""),"",IFERROR(VLOOKUP(LEFT(UPPER(TRIM($E1529)),6),BankTbl,3,0),0)+SUMIFS(CalcDep,CalcBank,LEFT(UPPER(TRIM($E1529)),6),CalcKey,"&lt;="&amp;Calc!$H1529)-SUMIFS(CalcWit,CalcBank,LEFT(UPPER(TRIM($E1529)),6),CalcKey,"&lt;="&amp;Calc!$H1529))</f>
        <v/>
      </c>
      <c r="O1529" s="10">
        <f>IF(OR($C1529="",$M1529=""),"",IF($N1529="","؟",IF(ROUND($M1529-$N1529,0)=0,"√","×")))</f>
        <v/>
      </c>
      <c r="P1529" s="12" t="n"/>
    </row>
    <row r="1530">
      <c r="A1530" s="10">
        <f>IF($C1530="","",COUNTA($C$9:$C1530))</f>
        <v/>
      </c>
      <c r="B1530" s="10">
        <f>IF($C1530="","","TXN-"&amp;RIGHT("0000"&amp;1522,4))</f>
        <v/>
      </c>
      <c r="C1530" s="11" t="n"/>
      <c r="D1530" s="11" t="n"/>
      <c r="E1530" s="12" t="n"/>
      <c r="F1530" s="10">
        <f>IF($E1530="","",IFERROR(IF(VLOOKUP(LEFT(UPPER(TRIM($E1530)),6),BankTbl,2,0)="","(بدون عنوان)",VLOOKUP(LEFT(UPPER(TRIM($E1530)),6),BankTbl,2,0)),"بانک ناشناخته"))</f>
        <v/>
      </c>
      <c r="G1530" s="11" t="n"/>
      <c r="H1530" s="10">
        <f>IF($G1530="","",IFERROR(VLOOKUP($G1530,CustTbl,2,0),IFERROR(VLOOKUP($G1530,SuppTbl,2,0),IFERROR(VLOOKUP($G1530,AcctTbl,2,0),IFERROR(VLOOKUP($G1530,StaffTbl,2,0),"کد ناشناخته")))))</f>
        <v/>
      </c>
      <c r="I1530" s="12" t="n"/>
      <c r="J1530" s="12" t="n"/>
      <c r="K1530" s="13" t="n"/>
      <c r="L1530" s="13" t="n"/>
      <c r="M1530" s="13" t="n"/>
      <c r="N1530" s="14">
        <f>IF(OR($C1530="",$E1530="",Calc!$H1530=""),"",IFERROR(VLOOKUP(LEFT(UPPER(TRIM($E1530)),6),BankTbl,3,0),0)+SUMIFS(CalcDep,CalcBank,LEFT(UPPER(TRIM($E1530)),6),CalcKey,"&lt;="&amp;Calc!$H1530)-SUMIFS(CalcWit,CalcBank,LEFT(UPPER(TRIM($E1530)),6),CalcKey,"&lt;="&amp;Calc!$H1530))</f>
        <v/>
      </c>
      <c r="O1530" s="10">
        <f>IF(OR($C1530="",$M1530=""),"",IF($N1530="","؟",IF(ROUND($M1530-$N1530,0)=0,"√","×")))</f>
        <v/>
      </c>
      <c r="P1530" s="12" t="n"/>
    </row>
    <row r="1531">
      <c r="A1531" s="10">
        <f>IF($C1531="","",COUNTA($C$9:$C1531))</f>
        <v/>
      </c>
      <c r="B1531" s="10">
        <f>IF($C1531="","","TXN-"&amp;RIGHT("0000"&amp;1523,4))</f>
        <v/>
      </c>
      <c r="C1531" s="11" t="n"/>
      <c r="D1531" s="11" t="n"/>
      <c r="E1531" s="12" t="n"/>
      <c r="F1531" s="10">
        <f>IF($E1531="","",IFERROR(IF(VLOOKUP(LEFT(UPPER(TRIM($E1531)),6),BankTbl,2,0)="","(بدون عنوان)",VLOOKUP(LEFT(UPPER(TRIM($E1531)),6),BankTbl,2,0)),"بانک ناشناخته"))</f>
        <v/>
      </c>
      <c r="G1531" s="11" t="n"/>
      <c r="H1531" s="10">
        <f>IF($G1531="","",IFERROR(VLOOKUP($G1531,CustTbl,2,0),IFERROR(VLOOKUP($G1531,SuppTbl,2,0),IFERROR(VLOOKUP($G1531,AcctTbl,2,0),IFERROR(VLOOKUP($G1531,StaffTbl,2,0),"کد ناشناخته")))))</f>
        <v/>
      </c>
      <c r="I1531" s="12" t="n"/>
      <c r="J1531" s="12" t="n"/>
      <c r="K1531" s="13" t="n"/>
      <c r="L1531" s="13" t="n"/>
      <c r="M1531" s="13" t="n"/>
      <c r="N1531" s="14">
        <f>IF(OR($C1531="",$E1531="",Calc!$H1531=""),"",IFERROR(VLOOKUP(LEFT(UPPER(TRIM($E1531)),6),BankTbl,3,0),0)+SUMIFS(CalcDep,CalcBank,LEFT(UPPER(TRIM($E1531)),6),CalcKey,"&lt;="&amp;Calc!$H1531)-SUMIFS(CalcWit,CalcBank,LEFT(UPPER(TRIM($E1531)),6),CalcKey,"&lt;="&amp;Calc!$H1531))</f>
        <v/>
      </c>
      <c r="O1531" s="10">
        <f>IF(OR($C1531="",$M1531=""),"",IF($N1531="","؟",IF(ROUND($M1531-$N1531,0)=0,"√","×")))</f>
        <v/>
      </c>
      <c r="P1531" s="12" t="n"/>
    </row>
    <row r="1532">
      <c r="A1532" s="10">
        <f>IF($C1532="","",COUNTA($C$9:$C1532))</f>
        <v/>
      </c>
      <c r="B1532" s="10">
        <f>IF($C1532="","","TXN-"&amp;RIGHT("0000"&amp;1524,4))</f>
        <v/>
      </c>
      <c r="C1532" s="11" t="n"/>
      <c r="D1532" s="11" t="n"/>
      <c r="E1532" s="12" t="n"/>
      <c r="F1532" s="10">
        <f>IF($E1532="","",IFERROR(IF(VLOOKUP(LEFT(UPPER(TRIM($E1532)),6),BankTbl,2,0)="","(بدون عنوان)",VLOOKUP(LEFT(UPPER(TRIM($E1532)),6),BankTbl,2,0)),"بانک ناشناخته"))</f>
        <v/>
      </c>
      <c r="G1532" s="11" t="n"/>
      <c r="H1532" s="10">
        <f>IF($G1532="","",IFERROR(VLOOKUP($G1532,CustTbl,2,0),IFERROR(VLOOKUP($G1532,SuppTbl,2,0),IFERROR(VLOOKUP($G1532,AcctTbl,2,0),IFERROR(VLOOKUP($G1532,StaffTbl,2,0),"کد ناشناخته")))))</f>
        <v/>
      </c>
      <c r="I1532" s="12" t="n"/>
      <c r="J1532" s="12" t="n"/>
      <c r="K1532" s="13" t="n"/>
      <c r="L1532" s="13" t="n"/>
      <c r="M1532" s="13" t="n"/>
      <c r="N1532" s="14">
        <f>IF(OR($C1532="",$E1532="",Calc!$H1532=""),"",IFERROR(VLOOKUP(LEFT(UPPER(TRIM($E1532)),6),BankTbl,3,0),0)+SUMIFS(CalcDep,CalcBank,LEFT(UPPER(TRIM($E1532)),6),CalcKey,"&lt;="&amp;Calc!$H1532)-SUMIFS(CalcWit,CalcBank,LEFT(UPPER(TRIM($E1532)),6),CalcKey,"&lt;="&amp;Calc!$H1532))</f>
        <v/>
      </c>
      <c r="O1532" s="10">
        <f>IF(OR($C1532="",$M1532=""),"",IF($N1532="","؟",IF(ROUND($M1532-$N1532,0)=0,"√","×")))</f>
        <v/>
      </c>
      <c r="P1532" s="12" t="n"/>
    </row>
    <row r="1533">
      <c r="A1533" s="10">
        <f>IF($C1533="","",COUNTA($C$9:$C1533))</f>
        <v/>
      </c>
      <c r="B1533" s="10">
        <f>IF($C1533="","","TXN-"&amp;RIGHT("0000"&amp;1525,4))</f>
        <v/>
      </c>
      <c r="C1533" s="11" t="n"/>
      <c r="D1533" s="11" t="n"/>
      <c r="E1533" s="12" t="n"/>
      <c r="F1533" s="10">
        <f>IF($E1533="","",IFERROR(IF(VLOOKUP(LEFT(UPPER(TRIM($E1533)),6),BankTbl,2,0)="","(بدون عنوان)",VLOOKUP(LEFT(UPPER(TRIM($E1533)),6),BankTbl,2,0)),"بانک ناشناخته"))</f>
        <v/>
      </c>
      <c r="G1533" s="11" t="n"/>
      <c r="H1533" s="10">
        <f>IF($G1533="","",IFERROR(VLOOKUP($G1533,CustTbl,2,0),IFERROR(VLOOKUP($G1533,SuppTbl,2,0),IFERROR(VLOOKUP($G1533,AcctTbl,2,0),IFERROR(VLOOKUP($G1533,StaffTbl,2,0),"کد ناشناخته")))))</f>
        <v/>
      </c>
      <c r="I1533" s="12" t="n"/>
      <c r="J1533" s="12" t="n"/>
      <c r="K1533" s="13" t="n"/>
      <c r="L1533" s="13" t="n"/>
      <c r="M1533" s="13" t="n"/>
      <c r="N1533" s="14">
        <f>IF(OR($C1533="",$E1533="",Calc!$H1533=""),"",IFERROR(VLOOKUP(LEFT(UPPER(TRIM($E1533)),6),BankTbl,3,0),0)+SUMIFS(CalcDep,CalcBank,LEFT(UPPER(TRIM($E1533)),6),CalcKey,"&lt;="&amp;Calc!$H1533)-SUMIFS(CalcWit,CalcBank,LEFT(UPPER(TRIM($E1533)),6),CalcKey,"&lt;="&amp;Calc!$H1533))</f>
        <v/>
      </c>
      <c r="O1533" s="10">
        <f>IF(OR($C1533="",$M1533=""),"",IF($N1533="","؟",IF(ROUND($M1533-$N1533,0)=0,"√","×")))</f>
        <v/>
      </c>
      <c r="P1533" s="12" t="n"/>
    </row>
    <row r="1534">
      <c r="A1534" s="10">
        <f>IF($C1534="","",COUNTA($C$9:$C1534))</f>
        <v/>
      </c>
      <c r="B1534" s="10">
        <f>IF($C1534="","","TXN-"&amp;RIGHT("0000"&amp;1526,4))</f>
        <v/>
      </c>
      <c r="C1534" s="11" t="n"/>
      <c r="D1534" s="11" t="n"/>
      <c r="E1534" s="12" t="n"/>
      <c r="F1534" s="10">
        <f>IF($E1534="","",IFERROR(IF(VLOOKUP(LEFT(UPPER(TRIM($E1534)),6),BankTbl,2,0)="","(بدون عنوان)",VLOOKUP(LEFT(UPPER(TRIM($E1534)),6),BankTbl,2,0)),"بانک ناشناخته"))</f>
        <v/>
      </c>
      <c r="G1534" s="11" t="n"/>
      <c r="H1534" s="10">
        <f>IF($G1534="","",IFERROR(VLOOKUP($G1534,CustTbl,2,0),IFERROR(VLOOKUP($G1534,SuppTbl,2,0),IFERROR(VLOOKUP($G1534,AcctTbl,2,0),IFERROR(VLOOKUP($G1534,StaffTbl,2,0),"کد ناشناخته")))))</f>
        <v/>
      </c>
      <c r="I1534" s="12" t="n"/>
      <c r="J1534" s="12" t="n"/>
      <c r="K1534" s="13" t="n"/>
      <c r="L1534" s="13" t="n"/>
      <c r="M1534" s="13" t="n"/>
      <c r="N1534" s="14">
        <f>IF(OR($C1534="",$E1534="",Calc!$H1534=""),"",IFERROR(VLOOKUP(LEFT(UPPER(TRIM($E1534)),6),BankTbl,3,0),0)+SUMIFS(CalcDep,CalcBank,LEFT(UPPER(TRIM($E1534)),6),CalcKey,"&lt;="&amp;Calc!$H1534)-SUMIFS(CalcWit,CalcBank,LEFT(UPPER(TRIM($E1534)),6),CalcKey,"&lt;="&amp;Calc!$H1534))</f>
        <v/>
      </c>
      <c r="O1534" s="10">
        <f>IF(OR($C1534="",$M1534=""),"",IF($N1534="","؟",IF(ROUND($M1534-$N1534,0)=0,"√","×")))</f>
        <v/>
      </c>
      <c r="P1534" s="12" t="n"/>
    </row>
    <row r="1535">
      <c r="A1535" s="10">
        <f>IF($C1535="","",COUNTA($C$9:$C1535))</f>
        <v/>
      </c>
      <c r="B1535" s="10">
        <f>IF($C1535="","","TXN-"&amp;RIGHT("0000"&amp;1527,4))</f>
        <v/>
      </c>
      <c r="C1535" s="11" t="n"/>
      <c r="D1535" s="11" t="n"/>
      <c r="E1535" s="12" t="n"/>
      <c r="F1535" s="10">
        <f>IF($E1535="","",IFERROR(IF(VLOOKUP(LEFT(UPPER(TRIM($E1535)),6),BankTbl,2,0)="","(بدون عنوان)",VLOOKUP(LEFT(UPPER(TRIM($E1535)),6),BankTbl,2,0)),"بانک ناشناخته"))</f>
        <v/>
      </c>
      <c r="G1535" s="11" t="n"/>
      <c r="H1535" s="10">
        <f>IF($G1535="","",IFERROR(VLOOKUP($G1535,CustTbl,2,0),IFERROR(VLOOKUP($G1535,SuppTbl,2,0),IFERROR(VLOOKUP($G1535,AcctTbl,2,0),IFERROR(VLOOKUP($G1535,StaffTbl,2,0),"کد ناشناخته")))))</f>
        <v/>
      </c>
      <c r="I1535" s="12" t="n"/>
      <c r="J1535" s="12" t="n"/>
      <c r="K1535" s="13" t="n"/>
      <c r="L1535" s="13" t="n"/>
      <c r="M1535" s="13" t="n"/>
      <c r="N1535" s="14">
        <f>IF(OR($C1535="",$E1535="",Calc!$H1535=""),"",IFERROR(VLOOKUP(LEFT(UPPER(TRIM($E1535)),6),BankTbl,3,0),0)+SUMIFS(CalcDep,CalcBank,LEFT(UPPER(TRIM($E1535)),6),CalcKey,"&lt;="&amp;Calc!$H1535)-SUMIFS(CalcWit,CalcBank,LEFT(UPPER(TRIM($E1535)),6),CalcKey,"&lt;="&amp;Calc!$H1535))</f>
        <v/>
      </c>
      <c r="O1535" s="10">
        <f>IF(OR($C1535="",$M1535=""),"",IF($N1535="","؟",IF(ROUND($M1535-$N1535,0)=0,"√","×")))</f>
        <v/>
      </c>
      <c r="P1535" s="12" t="n"/>
    </row>
    <row r="1536">
      <c r="A1536" s="10">
        <f>IF($C1536="","",COUNTA($C$9:$C1536))</f>
        <v/>
      </c>
      <c r="B1536" s="10">
        <f>IF($C1536="","","TXN-"&amp;RIGHT("0000"&amp;1528,4))</f>
        <v/>
      </c>
      <c r="C1536" s="11" t="n"/>
      <c r="D1536" s="11" t="n"/>
      <c r="E1536" s="12" t="n"/>
      <c r="F1536" s="10">
        <f>IF($E1536="","",IFERROR(IF(VLOOKUP(LEFT(UPPER(TRIM($E1536)),6),BankTbl,2,0)="","(بدون عنوان)",VLOOKUP(LEFT(UPPER(TRIM($E1536)),6),BankTbl,2,0)),"بانک ناشناخته"))</f>
        <v/>
      </c>
      <c r="G1536" s="11" t="n"/>
      <c r="H1536" s="10">
        <f>IF($G1536="","",IFERROR(VLOOKUP($G1536,CustTbl,2,0),IFERROR(VLOOKUP($G1536,SuppTbl,2,0),IFERROR(VLOOKUP($G1536,AcctTbl,2,0),IFERROR(VLOOKUP($G1536,StaffTbl,2,0),"کد ناشناخته")))))</f>
        <v/>
      </c>
      <c r="I1536" s="12" t="n"/>
      <c r="J1536" s="12" t="n"/>
      <c r="K1536" s="13" t="n"/>
      <c r="L1536" s="13" t="n"/>
      <c r="M1536" s="13" t="n"/>
      <c r="N1536" s="14">
        <f>IF(OR($C1536="",$E1536="",Calc!$H1536=""),"",IFERROR(VLOOKUP(LEFT(UPPER(TRIM($E1536)),6),BankTbl,3,0),0)+SUMIFS(CalcDep,CalcBank,LEFT(UPPER(TRIM($E1536)),6),CalcKey,"&lt;="&amp;Calc!$H1536)-SUMIFS(CalcWit,CalcBank,LEFT(UPPER(TRIM($E1536)),6),CalcKey,"&lt;="&amp;Calc!$H1536))</f>
        <v/>
      </c>
      <c r="O1536" s="10">
        <f>IF(OR($C1536="",$M1536=""),"",IF($N1536="","؟",IF(ROUND($M1536-$N1536,0)=0,"√","×")))</f>
        <v/>
      </c>
      <c r="P1536" s="12" t="n"/>
    </row>
    <row r="1537">
      <c r="A1537" s="10">
        <f>IF($C1537="","",COUNTA($C$9:$C1537))</f>
        <v/>
      </c>
      <c r="B1537" s="10">
        <f>IF($C1537="","","TXN-"&amp;RIGHT("0000"&amp;1529,4))</f>
        <v/>
      </c>
      <c r="C1537" s="11" t="n"/>
      <c r="D1537" s="11" t="n"/>
      <c r="E1537" s="12" t="n"/>
      <c r="F1537" s="10">
        <f>IF($E1537="","",IFERROR(IF(VLOOKUP(LEFT(UPPER(TRIM($E1537)),6),BankTbl,2,0)="","(بدون عنوان)",VLOOKUP(LEFT(UPPER(TRIM($E1537)),6),BankTbl,2,0)),"بانک ناشناخته"))</f>
        <v/>
      </c>
      <c r="G1537" s="11" t="n"/>
      <c r="H1537" s="10">
        <f>IF($G1537="","",IFERROR(VLOOKUP($G1537,CustTbl,2,0),IFERROR(VLOOKUP($G1537,SuppTbl,2,0),IFERROR(VLOOKUP($G1537,AcctTbl,2,0),IFERROR(VLOOKUP($G1537,StaffTbl,2,0),"کد ناشناخته")))))</f>
        <v/>
      </c>
      <c r="I1537" s="12" t="n"/>
      <c r="J1537" s="12" t="n"/>
      <c r="K1537" s="13" t="n"/>
      <c r="L1537" s="13" t="n"/>
      <c r="M1537" s="13" t="n"/>
      <c r="N1537" s="14">
        <f>IF(OR($C1537="",$E1537="",Calc!$H1537=""),"",IFERROR(VLOOKUP(LEFT(UPPER(TRIM($E1537)),6),BankTbl,3,0),0)+SUMIFS(CalcDep,CalcBank,LEFT(UPPER(TRIM($E1537)),6),CalcKey,"&lt;="&amp;Calc!$H1537)-SUMIFS(CalcWit,CalcBank,LEFT(UPPER(TRIM($E1537)),6),CalcKey,"&lt;="&amp;Calc!$H1537))</f>
        <v/>
      </c>
      <c r="O1537" s="10">
        <f>IF(OR($C1537="",$M1537=""),"",IF($N1537="","؟",IF(ROUND($M1537-$N1537,0)=0,"√","×")))</f>
        <v/>
      </c>
      <c r="P1537" s="12" t="n"/>
    </row>
    <row r="1538">
      <c r="A1538" s="10">
        <f>IF($C1538="","",COUNTA($C$9:$C1538))</f>
        <v/>
      </c>
      <c r="B1538" s="10">
        <f>IF($C1538="","","TXN-"&amp;RIGHT("0000"&amp;1530,4))</f>
        <v/>
      </c>
      <c r="C1538" s="11" t="n"/>
      <c r="D1538" s="11" t="n"/>
      <c r="E1538" s="12" t="n"/>
      <c r="F1538" s="10">
        <f>IF($E1538="","",IFERROR(IF(VLOOKUP(LEFT(UPPER(TRIM($E1538)),6),BankTbl,2,0)="","(بدون عنوان)",VLOOKUP(LEFT(UPPER(TRIM($E1538)),6),BankTbl,2,0)),"بانک ناشناخته"))</f>
        <v/>
      </c>
      <c r="G1538" s="11" t="n"/>
      <c r="H1538" s="10">
        <f>IF($G1538="","",IFERROR(VLOOKUP($G1538,CustTbl,2,0),IFERROR(VLOOKUP($G1538,SuppTbl,2,0),IFERROR(VLOOKUP($G1538,AcctTbl,2,0),IFERROR(VLOOKUP($G1538,StaffTbl,2,0),"کد ناشناخته")))))</f>
        <v/>
      </c>
      <c r="I1538" s="12" t="n"/>
      <c r="J1538" s="12" t="n"/>
      <c r="K1538" s="13" t="n"/>
      <c r="L1538" s="13" t="n"/>
      <c r="M1538" s="13" t="n"/>
      <c r="N1538" s="14">
        <f>IF(OR($C1538="",$E1538="",Calc!$H1538=""),"",IFERROR(VLOOKUP(LEFT(UPPER(TRIM($E1538)),6),BankTbl,3,0),0)+SUMIFS(CalcDep,CalcBank,LEFT(UPPER(TRIM($E1538)),6),CalcKey,"&lt;="&amp;Calc!$H1538)-SUMIFS(CalcWit,CalcBank,LEFT(UPPER(TRIM($E1538)),6),CalcKey,"&lt;="&amp;Calc!$H1538))</f>
        <v/>
      </c>
      <c r="O1538" s="10">
        <f>IF(OR($C1538="",$M1538=""),"",IF($N1538="","؟",IF(ROUND($M1538-$N1538,0)=0,"√","×")))</f>
        <v/>
      </c>
      <c r="P1538" s="12" t="n"/>
    </row>
    <row r="1539">
      <c r="A1539" s="10">
        <f>IF($C1539="","",COUNTA($C$9:$C1539))</f>
        <v/>
      </c>
      <c r="B1539" s="10">
        <f>IF($C1539="","","TXN-"&amp;RIGHT("0000"&amp;1531,4))</f>
        <v/>
      </c>
      <c r="C1539" s="11" t="n"/>
      <c r="D1539" s="11" t="n"/>
      <c r="E1539" s="12" t="n"/>
      <c r="F1539" s="10">
        <f>IF($E1539="","",IFERROR(IF(VLOOKUP(LEFT(UPPER(TRIM($E1539)),6),BankTbl,2,0)="","(بدون عنوان)",VLOOKUP(LEFT(UPPER(TRIM($E1539)),6),BankTbl,2,0)),"بانک ناشناخته"))</f>
        <v/>
      </c>
      <c r="G1539" s="11" t="n"/>
      <c r="H1539" s="10">
        <f>IF($G1539="","",IFERROR(VLOOKUP($G1539,CustTbl,2,0),IFERROR(VLOOKUP($G1539,SuppTbl,2,0),IFERROR(VLOOKUP($G1539,AcctTbl,2,0),IFERROR(VLOOKUP($G1539,StaffTbl,2,0),"کد ناشناخته")))))</f>
        <v/>
      </c>
      <c r="I1539" s="12" t="n"/>
      <c r="J1539" s="12" t="n"/>
      <c r="K1539" s="13" t="n"/>
      <c r="L1539" s="13" t="n"/>
      <c r="M1539" s="13" t="n"/>
      <c r="N1539" s="14">
        <f>IF(OR($C1539="",$E1539="",Calc!$H1539=""),"",IFERROR(VLOOKUP(LEFT(UPPER(TRIM($E1539)),6),BankTbl,3,0),0)+SUMIFS(CalcDep,CalcBank,LEFT(UPPER(TRIM($E1539)),6),CalcKey,"&lt;="&amp;Calc!$H1539)-SUMIFS(CalcWit,CalcBank,LEFT(UPPER(TRIM($E1539)),6),CalcKey,"&lt;="&amp;Calc!$H1539))</f>
        <v/>
      </c>
      <c r="O1539" s="10">
        <f>IF(OR($C1539="",$M1539=""),"",IF($N1539="","؟",IF(ROUND($M1539-$N1539,0)=0,"√","×")))</f>
        <v/>
      </c>
      <c r="P1539" s="12" t="n"/>
    </row>
    <row r="1540">
      <c r="A1540" s="10">
        <f>IF($C1540="","",COUNTA($C$9:$C1540))</f>
        <v/>
      </c>
      <c r="B1540" s="10">
        <f>IF($C1540="","","TXN-"&amp;RIGHT("0000"&amp;1532,4))</f>
        <v/>
      </c>
      <c r="C1540" s="11" t="n"/>
      <c r="D1540" s="11" t="n"/>
      <c r="E1540" s="12" t="n"/>
      <c r="F1540" s="10">
        <f>IF($E1540="","",IFERROR(IF(VLOOKUP(LEFT(UPPER(TRIM($E1540)),6),BankTbl,2,0)="","(بدون عنوان)",VLOOKUP(LEFT(UPPER(TRIM($E1540)),6),BankTbl,2,0)),"بانک ناشناخته"))</f>
        <v/>
      </c>
      <c r="G1540" s="11" t="n"/>
      <c r="H1540" s="10">
        <f>IF($G1540="","",IFERROR(VLOOKUP($G1540,CustTbl,2,0),IFERROR(VLOOKUP($G1540,SuppTbl,2,0),IFERROR(VLOOKUP($G1540,AcctTbl,2,0),IFERROR(VLOOKUP($G1540,StaffTbl,2,0),"کد ناشناخته")))))</f>
        <v/>
      </c>
      <c r="I1540" s="12" t="n"/>
      <c r="J1540" s="12" t="n"/>
      <c r="K1540" s="13" t="n"/>
      <c r="L1540" s="13" t="n"/>
      <c r="M1540" s="13" t="n"/>
      <c r="N1540" s="14">
        <f>IF(OR($C1540="",$E1540="",Calc!$H1540=""),"",IFERROR(VLOOKUP(LEFT(UPPER(TRIM($E1540)),6),BankTbl,3,0),0)+SUMIFS(CalcDep,CalcBank,LEFT(UPPER(TRIM($E1540)),6),CalcKey,"&lt;="&amp;Calc!$H1540)-SUMIFS(CalcWit,CalcBank,LEFT(UPPER(TRIM($E1540)),6),CalcKey,"&lt;="&amp;Calc!$H1540))</f>
        <v/>
      </c>
      <c r="O1540" s="10">
        <f>IF(OR($C1540="",$M1540=""),"",IF($N1540="","؟",IF(ROUND($M1540-$N1540,0)=0,"√","×")))</f>
        <v/>
      </c>
      <c r="P1540" s="12" t="n"/>
    </row>
    <row r="1541">
      <c r="A1541" s="10">
        <f>IF($C1541="","",COUNTA($C$9:$C1541))</f>
        <v/>
      </c>
      <c r="B1541" s="10">
        <f>IF($C1541="","","TXN-"&amp;RIGHT("0000"&amp;1533,4))</f>
        <v/>
      </c>
      <c r="C1541" s="11" t="n"/>
      <c r="D1541" s="11" t="n"/>
      <c r="E1541" s="12" t="n"/>
      <c r="F1541" s="10">
        <f>IF($E1541="","",IFERROR(IF(VLOOKUP(LEFT(UPPER(TRIM($E1541)),6),BankTbl,2,0)="","(بدون عنوان)",VLOOKUP(LEFT(UPPER(TRIM($E1541)),6),BankTbl,2,0)),"بانک ناشناخته"))</f>
        <v/>
      </c>
      <c r="G1541" s="11" t="n"/>
      <c r="H1541" s="10">
        <f>IF($G1541="","",IFERROR(VLOOKUP($G1541,CustTbl,2,0),IFERROR(VLOOKUP($G1541,SuppTbl,2,0),IFERROR(VLOOKUP($G1541,AcctTbl,2,0),IFERROR(VLOOKUP($G1541,StaffTbl,2,0),"کد ناشناخته")))))</f>
        <v/>
      </c>
      <c r="I1541" s="12" t="n"/>
      <c r="J1541" s="12" t="n"/>
      <c r="K1541" s="13" t="n"/>
      <c r="L1541" s="13" t="n"/>
      <c r="M1541" s="13" t="n"/>
      <c r="N1541" s="14">
        <f>IF(OR($C1541="",$E1541="",Calc!$H1541=""),"",IFERROR(VLOOKUP(LEFT(UPPER(TRIM($E1541)),6),BankTbl,3,0),0)+SUMIFS(CalcDep,CalcBank,LEFT(UPPER(TRIM($E1541)),6),CalcKey,"&lt;="&amp;Calc!$H1541)-SUMIFS(CalcWit,CalcBank,LEFT(UPPER(TRIM($E1541)),6),CalcKey,"&lt;="&amp;Calc!$H1541))</f>
        <v/>
      </c>
      <c r="O1541" s="10">
        <f>IF(OR($C1541="",$M1541=""),"",IF($N1541="","؟",IF(ROUND($M1541-$N1541,0)=0,"√","×")))</f>
        <v/>
      </c>
      <c r="P1541" s="12" t="n"/>
    </row>
    <row r="1542">
      <c r="A1542" s="10">
        <f>IF($C1542="","",COUNTA($C$9:$C1542))</f>
        <v/>
      </c>
      <c r="B1542" s="10">
        <f>IF($C1542="","","TXN-"&amp;RIGHT("0000"&amp;1534,4))</f>
        <v/>
      </c>
      <c r="C1542" s="11" t="n"/>
      <c r="D1542" s="11" t="n"/>
      <c r="E1542" s="12" t="n"/>
      <c r="F1542" s="10">
        <f>IF($E1542="","",IFERROR(IF(VLOOKUP(LEFT(UPPER(TRIM($E1542)),6),BankTbl,2,0)="","(بدون عنوان)",VLOOKUP(LEFT(UPPER(TRIM($E1542)),6),BankTbl,2,0)),"بانک ناشناخته"))</f>
        <v/>
      </c>
      <c r="G1542" s="11" t="n"/>
      <c r="H1542" s="10">
        <f>IF($G1542="","",IFERROR(VLOOKUP($G1542,CustTbl,2,0),IFERROR(VLOOKUP($G1542,SuppTbl,2,0),IFERROR(VLOOKUP($G1542,AcctTbl,2,0),IFERROR(VLOOKUP($G1542,StaffTbl,2,0),"کد ناشناخته")))))</f>
        <v/>
      </c>
      <c r="I1542" s="12" t="n"/>
      <c r="J1542" s="12" t="n"/>
      <c r="K1542" s="13" t="n"/>
      <c r="L1542" s="13" t="n"/>
      <c r="M1542" s="13" t="n"/>
      <c r="N1542" s="14">
        <f>IF(OR($C1542="",$E1542="",Calc!$H1542=""),"",IFERROR(VLOOKUP(LEFT(UPPER(TRIM($E1542)),6),BankTbl,3,0),0)+SUMIFS(CalcDep,CalcBank,LEFT(UPPER(TRIM($E1542)),6),CalcKey,"&lt;="&amp;Calc!$H1542)-SUMIFS(CalcWit,CalcBank,LEFT(UPPER(TRIM($E1542)),6),CalcKey,"&lt;="&amp;Calc!$H1542))</f>
        <v/>
      </c>
      <c r="O1542" s="10">
        <f>IF(OR($C1542="",$M1542=""),"",IF($N1542="","؟",IF(ROUND($M1542-$N1542,0)=0,"√","×")))</f>
        <v/>
      </c>
      <c r="P1542" s="12" t="n"/>
    </row>
    <row r="1543">
      <c r="A1543" s="10">
        <f>IF($C1543="","",COUNTA($C$9:$C1543))</f>
        <v/>
      </c>
      <c r="B1543" s="10">
        <f>IF($C1543="","","TXN-"&amp;RIGHT("0000"&amp;1535,4))</f>
        <v/>
      </c>
      <c r="C1543" s="11" t="n"/>
      <c r="D1543" s="11" t="n"/>
      <c r="E1543" s="12" t="n"/>
      <c r="F1543" s="10">
        <f>IF($E1543="","",IFERROR(IF(VLOOKUP(LEFT(UPPER(TRIM($E1543)),6),BankTbl,2,0)="","(بدون عنوان)",VLOOKUP(LEFT(UPPER(TRIM($E1543)),6),BankTbl,2,0)),"بانک ناشناخته"))</f>
        <v/>
      </c>
      <c r="G1543" s="11" t="n"/>
      <c r="H1543" s="10">
        <f>IF($G1543="","",IFERROR(VLOOKUP($G1543,CustTbl,2,0),IFERROR(VLOOKUP($G1543,SuppTbl,2,0),IFERROR(VLOOKUP($G1543,AcctTbl,2,0),IFERROR(VLOOKUP($G1543,StaffTbl,2,0),"کد ناشناخته")))))</f>
        <v/>
      </c>
      <c r="I1543" s="12" t="n"/>
      <c r="J1543" s="12" t="n"/>
      <c r="K1543" s="13" t="n"/>
      <c r="L1543" s="13" t="n"/>
      <c r="M1543" s="13" t="n"/>
      <c r="N1543" s="14">
        <f>IF(OR($C1543="",$E1543="",Calc!$H1543=""),"",IFERROR(VLOOKUP(LEFT(UPPER(TRIM($E1543)),6),BankTbl,3,0),0)+SUMIFS(CalcDep,CalcBank,LEFT(UPPER(TRIM($E1543)),6),CalcKey,"&lt;="&amp;Calc!$H1543)-SUMIFS(CalcWit,CalcBank,LEFT(UPPER(TRIM($E1543)),6),CalcKey,"&lt;="&amp;Calc!$H1543))</f>
        <v/>
      </c>
      <c r="O1543" s="10">
        <f>IF(OR($C1543="",$M1543=""),"",IF($N1543="","؟",IF(ROUND($M1543-$N1543,0)=0,"√","×")))</f>
        <v/>
      </c>
      <c r="P1543" s="12" t="n"/>
    </row>
    <row r="1544">
      <c r="A1544" s="10">
        <f>IF($C1544="","",COUNTA($C$9:$C1544))</f>
        <v/>
      </c>
      <c r="B1544" s="10">
        <f>IF($C1544="","","TXN-"&amp;RIGHT("0000"&amp;1536,4))</f>
        <v/>
      </c>
      <c r="C1544" s="11" t="n"/>
      <c r="D1544" s="11" t="n"/>
      <c r="E1544" s="12" t="n"/>
      <c r="F1544" s="10">
        <f>IF($E1544="","",IFERROR(IF(VLOOKUP(LEFT(UPPER(TRIM($E1544)),6),BankTbl,2,0)="","(بدون عنوان)",VLOOKUP(LEFT(UPPER(TRIM($E1544)),6),BankTbl,2,0)),"بانک ناشناخته"))</f>
        <v/>
      </c>
      <c r="G1544" s="11" t="n"/>
      <c r="H1544" s="10">
        <f>IF($G1544="","",IFERROR(VLOOKUP($G1544,CustTbl,2,0),IFERROR(VLOOKUP($G1544,SuppTbl,2,0),IFERROR(VLOOKUP($G1544,AcctTbl,2,0),IFERROR(VLOOKUP($G1544,StaffTbl,2,0),"کد ناشناخته")))))</f>
        <v/>
      </c>
      <c r="I1544" s="12" t="n"/>
      <c r="J1544" s="12" t="n"/>
      <c r="K1544" s="13" t="n"/>
      <c r="L1544" s="13" t="n"/>
      <c r="M1544" s="13" t="n"/>
      <c r="N1544" s="14">
        <f>IF(OR($C1544="",$E1544="",Calc!$H1544=""),"",IFERROR(VLOOKUP(LEFT(UPPER(TRIM($E1544)),6),BankTbl,3,0),0)+SUMIFS(CalcDep,CalcBank,LEFT(UPPER(TRIM($E1544)),6),CalcKey,"&lt;="&amp;Calc!$H1544)-SUMIFS(CalcWit,CalcBank,LEFT(UPPER(TRIM($E1544)),6),CalcKey,"&lt;="&amp;Calc!$H1544))</f>
        <v/>
      </c>
      <c r="O1544" s="10">
        <f>IF(OR($C1544="",$M1544=""),"",IF($N1544="","؟",IF(ROUND($M1544-$N1544,0)=0,"√","×")))</f>
        <v/>
      </c>
      <c r="P1544" s="12" t="n"/>
    </row>
    <row r="1545">
      <c r="A1545" s="10">
        <f>IF($C1545="","",COUNTA($C$9:$C1545))</f>
        <v/>
      </c>
      <c r="B1545" s="10">
        <f>IF($C1545="","","TXN-"&amp;RIGHT("0000"&amp;1537,4))</f>
        <v/>
      </c>
      <c r="C1545" s="11" t="n"/>
      <c r="D1545" s="11" t="n"/>
      <c r="E1545" s="12" t="n"/>
      <c r="F1545" s="10">
        <f>IF($E1545="","",IFERROR(IF(VLOOKUP(LEFT(UPPER(TRIM($E1545)),6),BankTbl,2,0)="","(بدون عنوان)",VLOOKUP(LEFT(UPPER(TRIM($E1545)),6),BankTbl,2,0)),"بانک ناشناخته"))</f>
        <v/>
      </c>
      <c r="G1545" s="11" t="n"/>
      <c r="H1545" s="10">
        <f>IF($G1545="","",IFERROR(VLOOKUP($G1545,CustTbl,2,0),IFERROR(VLOOKUP($G1545,SuppTbl,2,0),IFERROR(VLOOKUP($G1545,AcctTbl,2,0),IFERROR(VLOOKUP($G1545,StaffTbl,2,0),"کد ناشناخته")))))</f>
        <v/>
      </c>
      <c r="I1545" s="12" t="n"/>
      <c r="J1545" s="12" t="n"/>
      <c r="K1545" s="13" t="n"/>
      <c r="L1545" s="13" t="n"/>
      <c r="M1545" s="13" t="n"/>
      <c r="N1545" s="14">
        <f>IF(OR($C1545="",$E1545="",Calc!$H1545=""),"",IFERROR(VLOOKUP(LEFT(UPPER(TRIM($E1545)),6),BankTbl,3,0),0)+SUMIFS(CalcDep,CalcBank,LEFT(UPPER(TRIM($E1545)),6),CalcKey,"&lt;="&amp;Calc!$H1545)-SUMIFS(CalcWit,CalcBank,LEFT(UPPER(TRIM($E1545)),6),CalcKey,"&lt;="&amp;Calc!$H1545))</f>
        <v/>
      </c>
      <c r="O1545" s="10">
        <f>IF(OR($C1545="",$M1545=""),"",IF($N1545="","؟",IF(ROUND($M1545-$N1545,0)=0,"√","×")))</f>
        <v/>
      </c>
      <c r="P1545" s="12" t="n"/>
    </row>
    <row r="1546">
      <c r="A1546" s="10">
        <f>IF($C1546="","",COUNTA($C$9:$C1546))</f>
        <v/>
      </c>
      <c r="B1546" s="10">
        <f>IF($C1546="","","TXN-"&amp;RIGHT("0000"&amp;1538,4))</f>
        <v/>
      </c>
      <c r="C1546" s="11" t="n"/>
      <c r="D1546" s="11" t="n"/>
      <c r="E1546" s="12" t="n"/>
      <c r="F1546" s="10">
        <f>IF($E1546="","",IFERROR(IF(VLOOKUP(LEFT(UPPER(TRIM($E1546)),6),BankTbl,2,0)="","(بدون عنوان)",VLOOKUP(LEFT(UPPER(TRIM($E1546)),6),BankTbl,2,0)),"بانک ناشناخته"))</f>
        <v/>
      </c>
      <c r="G1546" s="11" t="n"/>
      <c r="H1546" s="10">
        <f>IF($G1546="","",IFERROR(VLOOKUP($G1546,CustTbl,2,0),IFERROR(VLOOKUP($G1546,SuppTbl,2,0),IFERROR(VLOOKUP($G1546,AcctTbl,2,0),IFERROR(VLOOKUP($G1546,StaffTbl,2,0),"کد ناشناخته")))))</f>
        <v/>
      </c>
      <c r="I1546" s="12" t="n"/>
      <c r="J1546" s="12" t="n"/>
      <c r="K1546" s="13" t="n"/>
      <c r="L1546" s="13" t="n"/>
      <c r="M1546" s="13" t="n"/>
      <c r="N1546" s="14">
        <f>IF(OR($C1546="",$E1546="",Calc!$H1546=""),"",IFERROR(VLOOKUP(LEFT(UPPER(TRIM($E1546)),6),BankTbl,3,0),0)+SUMIFS(CalcDep,CalcBank,LEFT(UPPER(TRIM($E1546)),6),CalcKey,"&lt;="&amp;Calc!$H1546)-SUMIFS(CalcWit,CalcBank,LEFT(UPPER(TRIM($E1546)),6),CalcKey,"&lt;="&amp;Calc!$H1546))</f>
        <v/>
      </c>
      <c r="O1546" s="10">
        <f>IF(OR($C1546="",$M1546=""),"",IF($N1546="","؟",IF(ROUND($M1546-$N1546,0)=0,"√","×")))</f>
        <v/>
      </c>
      <c r="P1546" s="12" t="n"/>
    </row>
    <row r="1547">
      <c r="A1547" s="10">
        <f>IF($C1547="","",COUNTA($C$9:$C1547))</f>
        <v/>
      </c>
      <c r="B1547" s="10">
        <f>IF($C1547="","","TXN-"&amp;RIGHT("0000"&amp;1539,4))</f>
        <v/>
      </c>
      <c r="C1547" s="11" t="n"/>
      <c r="D1547" s="11" t="n"/>
      <c r="E1547" s="12" t="n"/>
      <c r="F1547" s="10">
        <f>IF($E1547="","",IFERROR(IF(VLOOKUP(LEFT(UPPER(TRIM($E1547)),6),BankTbl,2,0)="","(بدون عنوان)",VLOOKUP(LEFT(UPPER(TRIM($E1547)),6),BankTbl,2,0)),"بانک ناشناخته"))</f>
        <v/>
      </c>
      <c r="G1547" s="11" t="n"/>
      <c r="H1547" s="10">
        <f>IF($G1547="","",IFERROR(VLOOKUP($G1547,CustTbl,2,0),IFERROR(VLOOKUP($G1547,SuppTbl,2,0),IFERROR(VLOOKUP($G1547,AcctTbl,2,0),IFERROR(VLOOKUP($G1547,StaffTbl,2,0),"کد ناشناخته")))))</f>
        <v/>
      </c>
      <c r="I1547" s="12" t="n"/>
      <c r="J1547" s="12" t="n"/>
      <c r="K1547" s="13" t="n"/>
      <c r="L1547" s="13" t="n"/>
      <c r="M1547" s="13" t="n"/>
      <c r="N1547" s="14">
        <f>IF(OR($C1547="",$E1547="",Calc!$H1547=""),"",IFERROR(VLOOKUP(LEFT(UPPER(TRIM($E1547)),6),BankTbl,3,0),0)+SUMIFS(CalcDep,CalcBank,LEFT(UPPER(TRIM($E1547)),6),CalcKey,"&lt;="&amp;Calc!$H1547)-SUMIFS(CalcWit,CalcBank,LEFT(UPPER(TRIM($E1547)),6),CalcKey,"&lt;="&amp;Calc!$H1547))</f>
        <v/>
      </c>
      <c r="O1547" s="10">
        <f>IF(OR($C1547="",$M1547=""),"",IF($N1547="","؟",IF(ROUND($M1547-$N1547,0)=0,"√","×")))</f>
        <v/>
      </c>
      <c r="P1547" s="12" t="n"/>
    </row>
    <row r="1548">
      <c r="A1548" s="10">
        <f>IF($C1548="","",COUNTA($C$9:$C1548))</f>
        <v/>
      </c>
      <c r="B1548" s="10">
        <f>IF($C1548="","","TXN-"&amp;RIGHT("0000"&amp;1540,4))</f>
        <v/>
      </c>
      <c r="C1548" s="11" t="n"/>
      <c r="D1548" s="11" t="n"/>
      <c r="E1548" s="12" t="n"/>
      <c r="F1548" s="10">
        <f>IF($E1548="","",IFERROR(IF(VLOOKUP(LEFT(UPPER(TRIM($E1548)),6),BankTbl,2,0)="","(بدون عنوان)",VLOOKUP(LEFT(UPPER(TRIM($E1548)),6),BankTbl,2,0)),"بانک ناشناخته"))</f>
        <v/>
      </c>
      <c r="G1548" s="11" t="n"/>
      <c r="H1548" s="10">
        <f>IF($G1548="","",IFERROR(VLOOKUP($G1548,CustTbl,2,0),IFERROR(VLOOKUP($G1548,SuppTbl,2,0),IFERROR(VLOOKUP($G1548,AcctTbl,2,0),IFERROR(VLOOKUP($G1548,StaffTbl,2,0),"کد ناشناخته")))))</f>
        <v/>
      </c>
      <c r="I1548" s="12" t="n"/>
      <c r="J1548" s="12" t="n"/>
      <c r="K1548" s="13" t="n"/>
      <c r="L1548" s="13" t="n"/>
      <c r="M1548" s="13" t="n"/>
      <c r="N1548" s="14">
        <f>IF(OR($C1548="",$E1548="",Calc!$H1548=""),"",IFERROR(VLOOKUP(LEFT(UPPER(TRIM($E1548)),6),BankTbl,3,0),0)+SUMIFS(CalcDep,CalcBank,LEFT(UPPER(TRIM($E1548)),6),CalcKey,"&lt;="&amp;Calc!$H1548)-SUMIFS(CalcWit,CalcBank,LEFT(UPPER(TRIM($E1548)),6),CalcKey,"&lt;="&amp;Calc!$H1548))</f>
        <v/>
      </c>
      <c r="O1548" s="10">
        <f>IF(OR($C1548="",$M1548=""),"",IF($N1548="","؟",IF(ROUND($M1548-$N1548,0)=0,"√","×")))</f>
        <v/>
      </c>
      <c r="P1548" s="12" t="n"/>
    </row>
    <row r="1549">
      <c r="A1549" s="10">
        <f>IF($C1549="","",COUNTA($C$9:$C1549))</f>
        <v/>
      </c>
      <c r="B1549" s="10">
        <f>IF($C1549="","","TXN-"&amp;RIGHT("0000"&amp;1541,4))</f>
        <v/>
      </c>
      <c r="C1549" s="11" t="n"/>
      <c r="D1549" s="11" t="n"/>
      <c r="E1549" s="12" t="n"/>
      <c r="F1549" s="10">
        <f>IF($E1549="","",IFERROR(IF(VLOOKUP(LEFT(UPPER(TRIM($E1549)),6),BankTbl,2,0)="","(بدون عنوان)",VLOOKUP(LEFT(UPPER(TRIM($E1549)),6),BankTbl,2,0)),"بانک ناشناخته"))</f>
        <v/>
      </c>
      <c r="G1549" s="11" t="n"/>
      <c r="H1549" s="10">
        <f>IF($G1549="","",IFERROR(VLOOKUP($G1549,CustTbl,2,0),IFERROR(VLOOKUP($G1549,SuppTbl,2,0),IFERROR(VLOOKUP($G1549,AcctTbl,2,0),IFERROR(VLOOKUP($G1549,StaffTbl,2,0),"کد ناشناخته")))))</f>
        <v/>
      </c>
      <c r="I1549" s="12" t="n"/>
      <c r="J1549" s="12" t="n"/>
      <c r="K1549" s="13" t="n"/>
      <c r="L1549" s="13" t="n"/>
      <c r="M1549" s="13" t="n"/>
      <c r="N1549" s="14">
        <f>IF(OR($C1549="",$E1549="",Calc!$H1549=""),"",IFERROR(VLOOKUP(LEFT(UPPER(TRIM($E1549)),6),BankTbl,3,0),0)+SUMIFS(CalcDep,CalcBank,LEFT(UPPER(TRIM($E1549)),6),CalcKey,"&lt;="&amp;Calc!$H1549)-SUMIFS(CalcWit,CalcBank,LEFT(UPPER(TRIM($E1549)),6),CalcKey,"&lt;="&amp;Calc!$H1549))</f>
        <v/>
      </c>
      <c r="O1549" s="10">
        <f>IF(OR($C1549="",$M1549=""),"",IF($N1549="","؟",IF(ROUND($M1549-$N1549,0)=0,"√","×")))</f>
        <v/>
      </c>
      <c r="P1549" s="12" t="n"/>
    </row>
    <row r="1550">
      <c r="A1550" s="10">
        <f>IF($C1550="","",COUNTA($C$9:$C1550))</f>
        <v/>
      </c>
      <c r="B1550" s="10">
        <f>IF($C1550="","","TXN-"&amp;RIGHT("0000"&amp;1542,4))</f>
        <v/>
      </c>
      <c r="C1550" s="11" t="n"/>
      <c r="D1550" s="11" t="n"/>
      <c r="E1550" s="12" t="n"/>
      <c r="F1550" s="10">
        <f>IF($E1550="","",IFERROR(IF(VLOOKUP(LEFT(UPPER(TRIM($E1550)),6),BankTbl,2,0)="","(بدون عنوان)",VLOOKUP(LEFT(UPPER(TRIM($E1550)),6),BankTbl,2,0)),"بانک ناشناخته"))</f>
        <v/>
      </c>
      <c r="G1550" s="11" t="n"/>
      <c r="H1550" s="10">
        <f>IF($G1550="","",IFERROR(VLOOKUP($G1550,CustTbl,2,0),IFERROR(VLOOKUP($G1550,SuppTbl,2,0),IFERROR(VLOOKUP($G1550,AcctTbl,2,0),IFERROR(VLOOKUP($G1550,StaffTbl,2,0),"کد ناشناخته")))))</f>
        <v/>
      </c>
      <c r="I1550" s="12" t="n"/>
      <c r="J1550" s="12" t="n"/>
      <c r="K1550" s="13" t="n"/>
      <c r="L1550" s="13" t="n"/>
      <c r="M1550" s="13" t="n"/>
      <c r="N1550" s="14">
        <f>IF(OR($C1550="",$E1550="",Calc!$H1550=""),"",IFERROR(VLOOKUP(LEFT(UPPER(TRIM($E1550)),6),BankTbl,3,0),0)+SUMIFS(CalcDep,CalcBank,LEFT(UPPER(TRIM($E1550)),6),CalcKey,"&lt;="&amp;Calc!$H1550)-SUMIFS(CalcWit,CalcBank,LEFT(UPPER(TRIM($E1550)),6),CalcKey,"&lt;="&amp;Calc!$H1550))</f>
        <v/>
      </c>
      <c r="O1550" s="10">
        <f>IF(OR($C1550="",$M1550=""),"",IF($N1550="","؟",IF(ROUND($M1550-$N1550,0)=0,"√","×")))</f>
        <v/>
      </c>
      <c r="P1550" s="12" t="n"/>
    </row>
    <row r="1551">
      <c r="A1551" s="10">
        <f>IF($C1551="","",COUNTA($C$9:$C1551))</f>
        <v/>
      </c>
      <c r="B1551" s="10">
        <f>IF($C1551="","","TXN-"&amp;RIGHT("0000"&amp;1543,4))</f>
        <v/>
      </c>
      <c r="C1551" s="11" t="n"/>
      <c r="D1551" s="11" t="n"/>
      <c r="E1551" s="12" t="n"/>
      <c r="F1551" s="10">
        <f>IF($E1551="","",IFERROR(IF(VLOOKUP(LEFT(UPPER(TRIM($E1551)),6),BankTbl,2,0)="","(بدون عنوان)",VLOOKUP(LEFT(UPPER(TRIM($E1551)),6),BankTbl,2,0)),"بانک ناشناخته"))</f>
        <v/>
      </c>
      <c r="G1551" s="11" t="n"/>
      <c r="H1551" s="10">
        <f>IF($G1551="","",IFERROR(VLOOKUP($G1551,CustTbl,2,0),IFERROR(VLOOKUP($G1551,SuppTbl,2,0),IFERROR(VLOOKUP($G1551,AcctTbl,2,0),IFERROR(VLOOKUP($G1551,StaffTbl,2,0),"کد ناشناخته")))))</f>
        <v/>
      </c>
      <c r="I1551" s="12" t="n"/>
      <c r="J1551" s="12" t="n"/>
      <c r="K1551" s="13" t="n"/>
      <c r="L1551" s="13" t="n"/>
      <c r="M1551" s="13" t="n"/>
      <c r="N1551" s="14">
        <f>IF(OR($C1551="",$E1551="",Calc!$H1551=""),"",IFERROR(VLOOKUP(LEFT(UPPER(TRIM($E1551)),6),BankTbl,3,0),0)+SUMIFS(CalcDep,CalcBank,LEFT(UPPER(TRIM($E1551)),6),CalcKey,"&lt;="&amp;Calc!$H1551)-SUMIFS(CalcWit,CalcBank,LEFT(UPPER(TRIM($E1551)),6),CalcKey,"&lt;="&amp;Calc!$H1551))</f>
        <v/>
      </c>
      <c r="O1551" s="10">
        <f>IF(OR($C1551="",$M1551=""),"",IF($N1551="","؟",IF(ROUND($M1551-$N1551,0)=0,"√","×")))</f>
        <v/>
      </c>
      <c r="P1551" s="12" t="n"/>
    </row>
    <row r="1552">
      <c r="A1552" s="10">
        <f>IF($C1552="","",COUNTA($C$9:$C1552))</f>
        <v/>
      </c>
      <c r="B1552" s="10">
        <f>IF($C1552="","","TXN-"&amp;RIGHT("0000"&amp;1544,4))</f>
        <v/>
      </c>
      <c r="C1552" s="11" t="n"/>
      <c r="D1552" s="11" t="n"/>
      <c r="E1552" s="12" t="n"/>
      <c r="F1552" s="10">
        <f>IF($E1552="","",IFERROR(IF(VLOOKUP(LEFT(UPPER(TRIM($E1552)),6),BankTbl,2,0)="","(بدون عنوان)",VLOOKUP(LEFT(UPPER(TRIM($E1552)),6),BankTbl,2,0)),"بانک ناشناخته"))</f>
        <v/>
      </c>
      <c r="G1552" s="11" t="n"/>
      <c r="H1552" s="10">
        <f>IF($G1552="","",IFERROR(VLOOKUP($G1552,CustTbl,2,0),IFERROR(VLOOKUP($G1552,SuppTbl,2,0),IFERROR(VLOOKUP($G1552,AcctTbl,2,0),IFERROR(VLOOKUP($G1552,StaffTbl,2,0),"کد ناشناخته")))))</f>
        <v/>
      </c>
      <c r="I1552" s="12" t="n"/>
      <c r="J1552" s="12" t="n"/>
      <c r="K1552" s="13" t="n"/>
      <c r="L1552" s="13" t="n"/>
      <c r="M1552" s="13" t="n"/>
      <c r="N1552" s="14">
        <f>IF(OR($C1552="",$E1552="",Calc!$H1552=""),"",IFERROR(VLOOKUP(LEFT(UPPER(TRIM($E1552)),6),BankTbl,3,0),0)+SUMIFS(CalcDep,CalcBank,LEFT(UPPER(TRIM($E1552)),6),CalcKey,"&lt;="&amp;Calc!$H1552)-SUMIFS(CalcWit,CalcBank,LEFT(UPPER(TRIM($E1552)),6),CalcKey,"&lt;="&amp;Calc!$H1552))</f>
        <v/>
      </c>
      <c r="O1552" s="10">
        <f>IF(OR($C1552="",$M1552=""),"",IF($N1552="","؟",IF(ROUND($M1552-$N1552,0)=0,"√","×")))</f>
        <v/>
      </c>
      <c r="P1552" s="12" t="n"/>
    </row>
    <row r="1553">
      <c r="A1553" s="10">
        <f>IF($C1553="","",COUNTA($C$9:$C1553))</f>
        <v/>
      </c>
      <c r="B1553" s="10">
        <f>IF($C1553="","","TXN-"&amp;RIGHT("0000"&amp;1545,4))</f>
        <v/>
      </c>
      <c r="C1553" s="11" t="n"/>
      <c r="D1553" s="11" t="n"/>
      <c r="E1553" s="12" t="n"/>
      <c r="F1553" s="10">
        <f>IF($E1553="","",IFERROR(IF(VLOOKUP(LEFT(UPPER(TRIM($E1553)),6),BankTbl,2,0)="","(بدون عنوان)",VLOOKUP(LEFT(UPPER(TRIM($E1553)),6),BankTbl,2,0)),"بانک ناشناخته"))</f>
        <v/>
      </c>
      <c r="G1553" s="11" t="n"/>
      <c r="H1553" s="10">
        <f>IF($G1553="","",IFERROR(VLOOKUP($G1553,CustTbl,2,0),IFERROR(VLOOKUP($G1553,SuppTbl,2,0),IFERROR(VLOOKUP($G1553,AcctTbl,2,0),IFERROR(VLOOKUP($G1553,StaffTbl,2,0),"کد ناشناخته")))))</f>
        <v/>
      </c>
      <c r="I1553" s="12" t="n"/>
      <c r="J1553" s="12" t="n"/>
      <c r="K1553" s="13" t="n"/>
      <c r="L1553" s="13" t="n"/>
      <c r="M1553" s="13" t="n"/>
      <c r="N1553" s="14">
        <f>IF(OR($C1553="",$E1553="",Calc!$H1553=""),"",IFERROR(VLOOKUP(LEFT(UPPER(TRIM($E1553)),6),BankTbl,3,0),0)+SUMIFS(CalcDep,CalcBank,LEFT(UPPER(TRIM($E1553)),6),CalcKey,"&lt;="&amp;Calc!$H1553)-SUMIFS(CalcWit,CalcBank,LEFT(UPPER(TRIM($E1553)),6),CalcKey,"&lt;="&amp;Calc!$H1553))</f>
        <v/>
      </c>
      <c r="O1553" s="10">
        <f>IF(OR($C1553="",$M1553=""),"",IF($N1553="","؟",IF(ROUND($M1553-$N1553,0)=0,"√","×")))</f>
        <v/>
      </c>
      <c r="P1553" s="12" t="n"/>
    </row>
    <row r="1554">
      <c r="A1554" s="10">
        <f>IF($C1554="","",COUNTA($C$9:$C1554))</f>
        <v/>
      </c>
      <c r="B1554" s="10">
        <f>IF($C1554="","","TXN-"&amp;RIGHT("0000"&amp;1546,4))</f>
        <v/>
      </c>
      <c r="C1554" s="11" t="n"/>
      <c r="D1554" s="11" t="n"/>
      <c r="E1554" s="12" t="n"/>
      <c r="F1554" s="10">
        <f>IF($E1554="","",IFERROR(IF(VLOOKUP(LEFT(UPPER(TRIM($E1554)),6),BankTbl,2,0)="","(بدون عنوان)",VLOOKUP(LEFT(UPPER(TRIM($E1554)),6),BankTbl,2,0)),"بانک ناشناخته"))</f>
        <v/>
      </c>
      <c r="G1554" s="11" t="n"/>
      <c r="H1554" s="10">
        <f>IF($G1554="","",IFERROR(VLOOKUP($G1554,CustTbl,2,0),IFERROR(VLOOKUP($G1554,SuppTbl,2,0),IFERROR(VLOOKUP($G1554,AcctTbl,2,0),IFERROR(VLOOKUP($G1554,StaffTbl,2,0),"کد ناشناخته")))))</f>
        <v/>
      </c>
      <c r="I1554" s="12" t="n"/>
      <c r="J1554" s="12" t="n"/>
      <c r="K1554" s="13" t="n"/>
      <c r="L1554" s="13" t="n"/>
      <c r="M1554" s="13" t="n"/>
      <c r="N1554" s="14">
        <f>IF(OR($C1554="",$E1554="",Calc!$H1554=""),"",IFERROR(VLOOKUP(LEFT(UPPER(TRIM($E1554)),6),BankTbl,3,0),0)+SUMIFS(CalcDep,CalcBank,LEFT(UPPER(TRIM($E1554)),6),CalcKey,"&lt;="&amp;Calc!$H1554)-SUMIFS(CalcWit,CalcBank,LEFT(UPPER(TRIM($E1554)),6),CalcKey,"&lt;="&amp;Calc!$H1554))</f>
        <v/>
      </c>
      <c r="O1554" s="10">
        <f>IF(OR($C1554="",$M1554=""),"",IF($N1554="","؟",IF(ROUND($M1554-$N1554,0)=0,"√","×")))</f>
        <v/>
      </c>
      <c r="P1554" s="12" t="n"/>
    </row>
    <row r="1555">
      <c r="A1555" s="10">
        <f>IF($C1555="","",COUNTA($C$9:$C1555))</f>
        <v/>
      </c>
      <c r="B1555" s="10">
        <f>IF($C1555="","","TXN-"&amp;RIGHT("0000"&amp;1547,4))</f>
        <v/>
      </c>
      <c r="C1555" s="11" t="n"/>
      <c r="D1555" s="11" t="n"/>
      <c r="E1555" s="12" t="n"/>
      <c r="F1555" s="10">
        <f>IF($E1555="","",IFERROR(IF(VLOOKUP(LEFT(UPPER(TRIM($E1555)),6),BankTbl,2,0)="","(بدون عنوان)",VLOOKUP(LEFT(UPPER(TRIM($E1555)),6),BankTbl,2,0)),"بانک ناشناخته"))</f>
        <v/>
      </c>
      <c r="G1555" s="11" t="n"/>
      <c r="H1555" s="10">
        <f>IF($G1555="","",IFERROR(VLOOKUP($G1555,CustTbl,2,0),IFERROR(VLOOKUP($G1555,SuppTbl,2,0),IFERROR(VLOOKUP($G1555,AcctTbl,2,0),IFERROR(VLOOKUP($G1555,StaffTbl,2,0),"کد ناشناخته")))))</f>
        <v/>
      </c>
      <c r="I1555" s="12" t="n"/>
      <c r="J1555" s="12" t="n"/>
      <c r="K1555" s="13" t="n"/>
      <c r="L1555" s="13" t="n"/>
      <c r="M1555" s="13" t="n"/>
      <c r="N1555" s="14">
        <f>IF(OR($C1555="",$E1555="",Calc!$H1555=""),"",IFERROR(VLOOKUP(LEFT(UPPER(TRIM($E1555)),6),BankTbl,3,0),0)+SUMIFS(CalcDep,CalcBank,LEFT(UPPER(TRIM($E1555)),6),CalcKey,"&lt;="&amp;Calc!$H1555)-SUMIFS(CalcWit,CalcBank,LEFT(UPPER(TRIM($E1555)),6),CalcKey,"&lt;="&amp;Calc!$H1555))</f>
        <v/>
      </c>
      <c r="O1555" s="10">
        <f>IF(OR($C1555="",$M1555=""),"",IF($N1555="","؟",IF(ROUND($M1555-$N1555,0)=0,"√","×")))</f>
        <v/>
      </c>
      <c r="P1555" s="12" t="n"/>
    </row>
    <row r="1556">
      <c r="A1556" s="10">
        <f>IF($C1556="","",COUNTA($C$9:$C1556))</f>
        <v/>
      </c>
      <c r="B1556" s="10">
        <f>IF($C1556="","","TXN-"&amp;RIGHT("0000"&amp;1548,4))</f>
        <v/>
      </c>
      <c r="C1556" s="11" t="n"/>
      <c r="D1556" s="11" t="n"/>
      <c r="E1556" s="12" t="n"/>
      <c r="F1556" s="10">
        <f>IF($E1556="","",IFERROR(IF(VLOOKUP(LEFT(UPPER(TRIM($E1556)),6),BankTbl,2,0)="","(بدون عنوان)",VLOOKUP(LEFT(UPPER(TRIM($E1556)),6),BankTbl,2,0)),"بانک ناشناخته"))</f>
        <v/>
      </c>
      <c r="G1556" s="11" t="n"/>
      <c r="H1556" s="10">
        <f>IF($G1556="","",IFERROR(VLOOKUP($G1556,CustTbl,2,0),IFERROR(VLOOKUP($G1556,SuppTbl,2,0),IFERROR(VLOOKUP($G1556,AcctTbl,2,0),IFERROR(VLOOKUP($G1556,StaffTbl,2,0),"کد ناشناخته")))))</f>
        <v/>
      </c>
      <c r="I1556" s="12" t="n"/>
      <c r="J1556" s="12" t="n"/>
      <c r="K1556" s="13" t="n"/>
      <c r="L1556" s="13" t="n"/>
      <c r="M1556" s="13" t="n"/>
      <c r="N1556" s="14">
        <f>IF(OR($C1556="",$E1556="",Calc!$H1556=""),"",IFERROR(VLOOKUP(LEFT(UPPER(TRIM($E1556)),6),BankTbl,3,0),0)+SUMIFS(CalcDep,CalcBank,LEFT(UPPER(TRIM($E1556)),6),CalcKey,"&lt;="&amp;Calc!$H1556)-SUMIFS(CalcWit,CalcBank,LEFT(UPPER(TRIM($E1556)),6),CalcKey,"&lt;="&amp;Calc!$H1556))</f>
        <v/>
      </c>
      <c r="O1556" s="10">
        <f>IF(OR($C1556="",$M1556=""),"",IF($N1556="","؟",IF(ROUND($M1556-$N1556,0)=0,"√","×")))</f>
        <v/>
      </c>
      <c r="P1556" s="12" t="n"/>
    </row>
    <row r="1557">
      <c r="A1557" s="10">
        <f>IF($C1557="","",COUNTA($C$9:$C1557))</f>
        <v/>
      </c>
      <c r="B1557" s="10">
        <f>IF($C1557="","","TXN-"&amp;RIGHT("0000"&amp;1549,4))</f>
        <v/>
      </c>
      <c r="C1557" s="11" t="n"/>
      <c r="D1557" s="11" t="n"/>
      <c r="E1557" s="12" t="n"/>
      <c r="F1557" s="10">
        <f>IF($E1557="","",IFERROR(IF(VLOOKUP(LEFT(UPPER(TRIM($E1557)),6),BankTbl,2,0)="","(بدون عنوان)",VLOOKUP(LEFT(UPPER(TRIM($E1557)),6),BankTbl,2,0)),"بانک ناشناخته"))</f>
        <v/>
      </c>
      <c r="G1557" s="11" t="n"/>
      <c r="H1557" s="10">
        <f>IF($G1557="","",IFERROR(VLOOKUP($G1557,CustTbl,2,0),IFERROR(VLOOKUP($G1557,SuppTbl,2,0),IFERROR(VLOOKUP($G1557,AcctTbl,2,0),IFERROR(VLOOKUP($G1557,StaffTbl,2,0),"کد ناشناخته")))))</f>
        <v/>
      </c>
      <c r="I1557" s="12" t="n"/>
      <c r="J1557" s="12" t="n"/>
      <c r="K1557" s="13" t="n"/>
      <c r="L1557" s="13" t="n"/>
      <c r="M1557" s="13" t="n"/>
      <c r="N1557" s="14">
        <f>IF(OR($C1557="",$E1557="",Calc!$H1557=""),"",IFERROR(VLOOKUP(LEFT(UPPER(TRIM($E1557)),6),BankTbl,3,0),0)+SUMIFS(CalcDep,CalcBank,LEFT(UPPER(TRIM($E1557)),6),CalcKey,"&lt;="&amp;Calc!$H1557)-SUMIFS(CalcWit,CalcBank,LEFT(UPPER(TRIM($E1557)),6),CalcKey,"&lt;="&amp;Calc!$H1557))</f>
        <v/>
      </c>
      <c r="O1557" s="10">
        <f>IF(OR($C1557="",$M1557=""),"",IF($N1557="","؟",IF(ROUND($M1557-$N1557,0)=0,"√","×")))</f>
        <v/>
      </c>
      <c r="P1557" s="12" t="n"/>
    </row>
    <row r="1558">
      <c r="A1558" s="10">
        <f>IF($C1558="","",COUNTA($C$9:$C1558))</f>
        <v/>
      </c>
      <c r="B1558" s="10">
        <f>IF($C1558="","","TXN-"&amp;RIGHT("0000"&amp;1550,4))</f>
        <v/>
      </c>
      <c r="C1558" s="11" t="n"/>
      <c r="D1558" s="11" t="n"/>
      <c r="E1558" s="12" t="n"/>
      <c r="F1558" s="10">
        <f>IF($E1558="","",IFERROR(IF(VLOOKUP(LEFT(UPPER(TRIM($E1558)),6),BankTbl,2,0)="","(بدون عنوان)",VLOOKUP(LEFT(UPPER(TRIM($E1558)),6),BankTbl,2,0)),"بانک ناشناخته"))</f>
        <v/>
      </c>
      <c r="G1558" s="11" t="n"/>
      <c r="H1558" s="10">
        <f>IF($G1558="","",IFERROR(VLOOKUP($G1558,CustTbl,2,0),IFERROR(VLOOKUP($G1558,SuppTbl,2,0),IFERROR(VLOOKUP($G1558,AcctTbl,2,0),IFERROR(VLOOKUP($G1558,StaffTbl,2,0),"کد ناشناخته")))))</f>
        <v/>
      </c>
      <c r="I1558" s="12" t="n"/>
      <c r="J1558" s="12" t="n"/>
      <c r="K1558" s="13" t="n"/>
      <c r="L1558" s="13" t="n"/>
      <c r="M1558" s="13" t="n"/>
      <c r="N1558" s="14">
        <f>IF(OR($C1558="",$E1558="",Calc!$H1558=""),"",IFERROR(VLOOKUP(LEFT(UPPER(TRIM($E1558)),6),BankTbl,3,0),0)+SUMIFS(CalcDep,CalcBank,LEFT(UPPER(TRIM($E1558)),6),CalcKey,"&lt;="&amp;Calc!$H1558)-SUMIFS(CalcWit,CalcBank,LEFT(UPPER(TRIM($E1558)),6),CalcKey,"&lt;="&amp;Calc!$H1558))</f>
        <v/>
      </c>
      <c r="O1558" s="10">
        <f>IF(OR($C1558="",$M1558=""),"",IF($N1558="","؟",IF(ROUND($M1558-$N1558,0)=0,"√","×")))</f>
        <v/>
      </c>
      <c r="P1558" s="12" t="n"/>
    </row>
    <row r="1559">
      <c r="A1559" s="10">
        <f>IF($C1559="","",COUNTA($C$9:$C1559))</f>
        <v/>
      </c>
      <c r="B1559" s="10">
        <f>IF($C1559="","","TXN-"&amp;RIGHT("0000"&amp;1551,4))</f>
        <v/>
      </c>
      <c r="C1559" s="11" t="n"/>
      <c r="D1559" s="11" t="n"/>
      <c r="E1559" s="12" t="n"/>
      <c r="F1559" s="10">
        <f>IF($E1559="","",IFERROR(IF(VLOOKUP(LEFT(UPPER(TRIM($E1559)),6),BankTbl,2,0)="","(بدون عنوان)",VLOOKUP(LEFT(UPPER(TRIM($E1559)),6),BankTbl,2,0)),"بانک ناشناخته"))</f>
        <v/>
      </c>
      <c r="G1559" s="11" t="n"/>
      <c r="H1559" s="10">
        <f>IF($G1559="","",IFERROR(VLOOKUP($G1559,CustTbl,2,0),IFERROR(VLOOKUP($G1559,SuppTbl,2,0),IFERROR(VLOOKUP($G1559,AcctTbl,2,0),IFERROR(VLOOKUP($G1559,StaffTbl,2,0),"کد ناشناخته")))))</f>
        <v/>
      </c>
      <c r="I1559" s="12" t="n"/>
      <c r="J1559" s="12" t="n"/>
      <c r="K1559" s="13" t="n"/>
      <c r="L1559" s="13" t="n"/>
      <c r="M1559" s="13" t="n"/>
      <c r="N1559" s="14">
        <f>IF(OR($C1559="",$E1559="",Calc!$H1559=""),"",IFERROR(VLOOKUP(LEFT(UPPER(TRIM($E1559)),6),BankTbl,3,0),0)+SUMIFS(CalcDep,CalcBank,LEFT(UPPER(TRIM($E1559)),6),CalcKey,"&lt;="&amp;Calc!$H1559)-SUMIFS(CalcWit,CalcBank,LEFT(UPPER(TRIM($E1559)),6),CalcKey,"&lt;="&amp;Calc!$H1559))</f>
        <v/>
      </c>
      <c r="O1559" s="10">
        <f>IF(OR($C1559="",$M1559=""),"",IF($N1559="","؟",IF(ROUND($M1559-$N1559,0)=0,"√","×")))</f>
        <v/>
      </c>
      <c r="P1559" s="12" t="n"/>
    </row>
    <row r="1560">
      <c r="A1560" s="10">
        <f>IF($C1560="","",COUNTA($C$9:$C1560))</f>
        <v/>
      </c>
      <c r="B1560" s="10">
        <f>IF($C1560="","","TXN-"&amp;RIGHT("0000"&amp;1552,4))</f>
        <v/>
      </c>
      <c r="C1560" s="11" t="n"/>
      <c r="D1560" s="11" t="n"/>
      <c r="E1560" s="12" t="n"/>
      <c r="F1560" s="10">
        <f>IF($E1560="","",IFERROR(IF(VLOOKUP(LEFT(UPPER(TRIM($E1560)),6),BankTbl,2,0)="","(بدون عنوان)",VLOOKUP(LEFT(UPPER(TRIM($E1560)),6),BankTbl,2,0)),"بانک ناشناخته"))</f>
        <v/>
      </c>
      <c r="G1560" s="11" t="n"/>
      <c r="H1560" s="10">
        <f>IF($G1560="","",IFERROR(VLOOKUP($G1560,CustTbl,2,0),IFERROR(VLOOKUP($G1560,SuppTbl,2,0),IFERROR(VLOOKUP($G1560,AcctTbl,2,0),IFERROR(VLOOKUP($G1560,StaffTbl,2,0),"کد ناشناخته")))))</f>
        <v/>
      </c>
      <c r="I1560" s="12" t="n"/>
      <c r="J1560" s="12" t="n"/>
      <c r="K1560" s="13" t="n"/>
      <c r="L1560" s="13" t="n"/>
      <c r="M1560" s="13" t="n"/>
      <c r="N1560" s="14">
        <f>IF(OR($C1560="",$E1560="",Calc!$H1560=""),"",IFERROR(VLOOKUP(LEFT(UPPER(TRIM($E1560)),6),BankTbl,3,0),0)+SUMIFS(CalcDep,CalcBank,LEFT(UPPER(TRIM($E1560)),6),CalcKey,"&lt;="&amp;Calc!$H1560)-SUMIFS(CalcWit,CalcBank,LEFT(UPPER(TRIM($E1560)),6),CalcKey,"&lt;="&amp;Calc!$H1560))</f>
        <v/>
      </c>
      <c r="O1560" s="10">
        <f>IF(OR($C1560="",$M1560=""),"",IF($N1560="","؟",IF(ROUND($M1560-$N1560,0)=0,"√","×")))</f>
        <v/>
      </c>
      <c r="P1560" s="12" t="n"/>
    </row>
    <row r="1561">
      <c r="A1561" s="10">
        <f>IF($C1561="","",COUNTA($C$9:$C1561))</f>
        <v/>
      </c>
      <c r="B1561" s="10">
        <f>IF($C1561="","","TXN-"&amp;RIGHT("0000"&amp;1553,4))</f>
        <v/>
      </c>
      <c r="C1561" s="11" t="n"/>
      <c r="D1561" s="11" t="n"/>
      <c r="E1561" s="12" t="n"/>
      <c r="F1561" s="10">
        <f>IF($E1561="","",IFERROR(IF(VLOOKUP(LEFT(UPPER(TRIM($E1561)),6),BankTbl,2,0)="","(بدون عنوان)",VLOOKUP(LEFT(UPPER(TRIM($E1561)),6),BankTbl,2,0)),"بانک ناشناخته"))</f>
        <v/>
      </c>
      <c r="G1561" s="11" t="n"/>
      <c r="H1561" s="10">
        <f>IF($G1561="","",IFERROR(VLOOKUP($G1561,CustTbl,2,0),IFERROR(VLOOKUP($G1561,SuppTbl,2,0),IFERROR(VLOOKUP($G1561,AcctTbl,2,0),IFERROR(VLOOKUP($G1561,StaffTbl,2,0),"کد ناشناخته")))))</f>
        <v/>
      </c>
      <c r="I1561" s="12" t="n"/>
      <c r="J1561" s="12" t="n"/>
      <c r="K1561" s="13" t="n"/>
      <c r="L1561" s="13" t="n"/>
      <c r="M1561" s="13" t="n"/>
      <c r="N1561" s="14">
        <f>IF(OR($C1561="",$E1561="",Calc!$H1561=""),"",IFERROR(VLOOKUP(LEFT(UPPER(TRIM($E1561)),6),BankTbl,3,0),0)+SUMIFS(CalcDep,CalcBank,LEFT(UPPER(TRIM($E1561)),6),CalcKey,"&lt;="&amp;Calc!$H1561)-SUMIFS(CalcWit,CalcBank,LEFT(UPPER(TRIM($E1561)),6),CalcKey,"&lt;="&amp;Calc!$H1561))</f>
        <v/>
      </c>
      <c r="O1561" s="10">
        <f>IF(OR($C1561="",$M1561=""),"",IF($N1561="","؟",IF(ROUND($M1561-$N1561,0)=0,"√","×")))</f>
        <v/>
      </c>
      <c r="P1561" s="12" t="n"/>
    </row>
    <row r="1562">
      <c r="A1562" s="10">
        <f>IF($C1562="","",COUNTA($C$9:$C1562))</f>
        <v/>
      </c>
      <c r="B1562" s="10">
        <f>IF($C1562="","","TXN-"&amp;RIGHT("0000"&amp;1554,4))</f>
        <v/>
      </c>
      <c r="C1562" s="11" t="n"/>
      <c r="D1562" s="11" t="n"/>
      <c r="E1562" s="12" t="n"/>
      <c r="F1562" s="10">
        <f>IF($E1562="","",IFERROR(IF(VLOOKUP(LEFT(UPPER(TRIM($E1562)),6),BankTbl,2,0)="","(بدون عنوان)",VLOOKUP(LEFT(UPPER(TRIM($E1562)),6),BankTbl,2,0)),"بانک ناشناخته"))</f>
        <v/>
      </c>
      <c r="G1562" s="11" t="n"/>
      <c r="H1562" s="10">
        <f>IF($G1562="","",IFERROR(VLOOKUP($G1562,CustTbl,2,0),IFERROR(VLOOKUP($G1562,SuppTbl,2,0),IFERROR(VLOOKUP($G1562,AcctTbl,2,0),IFERROR(VLOOKUP($G1562,StaffTbl,2,0),"کد ناشناخته")))))</f>
        <v/>
      </c>
      <c r="I1562" s="12" t="n"/>
      <c r="J1562" s="12" t="n"/>
      <c r="K1562" s="13" t="n"/>
      <c r="L1562" s="13" t="n"/>
      <c r="M1562" s="13" t="n"/>
      <c r="N1562" s="14">
        <f>IF(OR($C1562="",$E1562="",Calc!$H1562=""),"",IFERROR(VLOOKUP(LEFT(UPPER(TRIM($E1562)),6),BankTbl,3,0),0)+SUMIFS(CalcDep,CalcBank,LEFT(UPPER(TRIM($E1562)),6),CalcKey,"&lt;="&amp;Calc!$H1562)-SUMIFS(CalcWit,CalcBank,LEFT(UPPER(TRIM($E1562)),6),CalcKey,"&lt;="&amp;Calc!$H1562))</f>
        <v/>
      </c>
      <c r="O1562" s="10">
        <f>IF(OR($C1562="",$M1562=""),"",IF($N1562="","؟",IF(ROUND($M1562-$N1562,0)=0,"√","×")))</f>
        <v/>
      </c>
      <c r="P1562" s="12" t="n"/>
    </row>
    <row r="1563">
      <c r="A1563" s="10">
        <f>IF($C1563="","",COUNTA($C$9:$C1563))</f>
        <v/>
      </c>
      <c r="B1563" s="10">
        <f>IF($C1563="","","TXN-"&amp;RIGHT("0000"&amp;1555,4))</f>
        <v/>
      </c>
      <c r="C1563" s="11" t="n"/>
      <c r="D1563" s="11" t="n"/>
      <c r="E1563" s="12" t="n"/>
      <c r="F1563" s="10">
        <f>IF($E1563="","",IFERROR(IF(VLOOKUP(LEFT(UPPER(TRIM($E1563)),6),BankTbl,2,0)="","(بدون عنوان)",VLOOKUP(LEFT(UPPER(TRIM($E1563)),6),BankTbl,2,0)),"بانک ناشناخته"))</f>
        <v/>
      </c>
      <c r="G1563" s="11" t="n"/>
      <c r="H1563" s="10">
        <f>IF($G1563="","",IFERROR(VLOOKUP($G1563,CustTbl,2,0),IFERROR(VLOOKUP($G1563,SuppTbl,2,0),IFERROR(VLOOKUP($G1563,AcctTbl,2,0),IFERROR(VLOOKUP($G1563,StaffTbl,2,0),"کد ناشناخته")))))</f>
        <v/>
      </c>
      <c r="I1563" s="12" t="n"/>
      <c r="J1563" s="12" t="n"/>
      <c r="K1563" s="13" t="n"/>
      <c r="L1563" s="13" t="n"/>
      <c r="M1563" s="13" t="n"/>
      <c r="N1563" s="14">
        <f>IF(OR($C1563="",$E1563="",Calc!$H1563=""),"",IFERROR(VLOOKUP(LEFT(UPPER(TRIM($E1563)),6),BankTbl,3,0),0)+SUMIFS(CalcDep,CalcBank,LEFT(UPPER(TRIM($E1563)),6),CalcKey,"&lt;="&amp;Calc!$H1563)-SUMIFS(CalcWit,CalcBank,LEFT(UPPER(TRIM($E1563)),6),CalcKey,"&lt;="&amp;Calc!$H1563))</f>
        <v/>
      </c>
      <c r="O1563" s="10">
        <f>IF(OR($C1563="",$M1563=""),"",IF($N1563="","؟",IF(ROUND($M1563-$N1563,0)=0,"√","×")))</f>
        <v/>
      </c>
      <c r="P1563" s="12" t="n"/>
    </row>
    <row r="1564">
      <c r="A1564" s="10">
        <f>IF($C1564="","",COUNTA($C$9:$C1564))</f>
        <v/>
      </c>
      <c r="B1564" s="10">
        <f>IF($C1564="","","TXN-"&amp;RIGHT("0000"&amp;1556,4))</f>
        <v/>
      </c>
      <c r="C1564" s="11" t="n"/>
      <c r="D1564" s="11" t="n"/>
      <c r="E1564" s="12" t="n"/>
      <c r="F1564" s="10">
        <f>IF($E1564="","",IFERROR(IF(VLOOKUP(LEFT(UPPER(TRIM($E1564)),6),BankTbl,2,0)="","(بدون عنوان)",VLOOKUP(LEFT(UPPER(TRIM($E1564)),6),BankTbl,2,0)),"بانک ناشناخته"))</f>
        <v/>
      </c>
      <c r="G1564" s="11" t="n"/>
      <c r="H1564" s="10">
        <f>IF($G1564="","",IFERROR(VLOOKUP($G1564,CustTbl,2,0),IFERROR(VLOOKUP($G1564,SuppTbl,2,0),IFERROR(VLOOKUP($G1564,AcctTbl,2,0),IFERROR(VLOOKUP($G1564,StaffTbl,2,0),"کد ناشناخته")))))</f>
        <v/>
      </c>
      <c r="I1564" s="12" t="n"/>
      <c r="J1564" s="12" t="n"/>
      <c r="K1564" s="13" t="n"/>
      <c r="L1564" s="13" t="n"/>
      <c r="M1564" s="13" t="n"/>
      <c r="N1564" s="14">
        <f>IF(OR($C1564="",$E1564="",Calc!$H1564=""),"",IFERROR(VLOOKUP(LEFT(UPPER(TRIM($E1564)),6),BankTbl,3,0),0)+SUMIFS(CalcDep,CalcBank,LEFT(UPPER(TRIM($E1564)),6),CalcKey,"&lt;="&amp;Calc!$H1564)-SUMIFS(CalcWit,CalcBank,LEFT(UPPER(TRIM($E1564)),6),CalcKey,"&lt;="&amp;Calc!$H1564))</f>
        <v/>
      </c>
      <c r="O1564" s="10">
        <f>IF(OR($C1564="",$M1564=""),"",IF($N1564="","؟",IF(ROUND($M1564-$N1564,0)=0,"√","×")))</f>
        <v/>
      </c>
      <c r="P1564" s="12" t="n"/>
    </row>
    <row r="1565">
      <c r="A1565" s="10">
        <f>IF($C1565="","",COUNTA($C$9:$C1565))</f>
        <v/>
      </c>
      <c r="B1565" s="10">
        <f>IF($C1565="","","TXN-"&amp;RIGHT("0000"&amp;1557,4))</f>
        <v/>
      </c>
      <c r="C1565" s="11" t="n"/>
      <c r="D1565" s="11" t="n"/>
      <c r="E1565" s="12" t="n"/>
      <c r="F1565" s="10">
        <f>IF($E1565="","",IFERROR(IF(VLOOKUP(LEFT(UPPER(TRIM($E1565)),6),BankTbl,2,0)="","(بدون عنوان)",VLOOKUP(LEFT(UPPER(TRIM($E1565)),6),BankTbl,2,0)),"بانک ناشناخته"))</f>
        <v/>
      </c>
      <c r="G1565" s="11" t="n"/>
      <c r="H1565" s="10">
        <f>IF($G1565="","",IFERROR(VLOOKUP($G1565,CustTbl,2,0),IFERROR(VLOOKUP($G1565,SuppTbl,2,0),IFERROR(VLOOKUP($G1565,AcctTbl,2,0),IFERROR(VLOOKUP($G1565,StaffTbl,2,0),"کد ناشناخته")))))</f>
        <v/>
      </c>
      <c r="I1565" s="12" t="n"/>
      <c r="J1565" s="12" t="n"/>
      <c r="K1565" s="13" t="n"/>
      <c r="L1565" s="13" t="n"/>
      <c r="M1565" s="13" t="n"/>
      <c r="N1565" s="14">
        <f>IF(OR($C1565="",$E1565="",Calc!$H1565=""),"",IFERROR(VLOOKUP(LEFT(UPPER(TRIM($E1565)),6),BankTbl,3,0),0)+SUMIFS(CalcDep,CalcBank,LEFT(UPPER(TRIM($E1565)),6),CalcKey,"&lt;="&amp;Calc!$H1565)-SUMIFS(CalcWit,CalcBank,LEFT(UPPER(TRIM($E1565)),6),CalcKey,"&lt;="&amp;Calc!$H1565))</f>
        <v/>
      </c>
      <c r="O1565" s="10">
        <f>IF(OR($C1565="",$M1565=""),"",IF($N1565="","؟",IF(ROUND($M1565-$N1565,0)=0,"√","×")))</f>
        <v/>
      </c>
      <c r="P1565" s="12" t="n"/>
    </row>
    <row r="1566">
      <c r="A1566" s="10">
        <f>IF($C1566="","",COUNTA($C$9:$C1566))</f>
        <v/>
      </c>
      <c r="B1566" s="10">
        <f>IF($C1566="","","TXN-"&amp;RIGHT("0000"&amp;1558,4))</f>
        <v/>
      </c>
      <c r="C1566" s="11" t="n"/>
      <c r="D1566" s="11" t="n"/>
      <c r="E1566" s="12" t="n"/>
      <c r="F1566" s="10">
        <f>IF($E1566="","",IFERROR(IF(VLOOKUP(LEFT(UPPER(TRIM($E1566)),6),BankTbl,2,0)="","(بدون عنوان)",VLOOKUP(LEFT(UPPER(TRIM($E1566)),6),BankTbl,2,0)),"بانک ناشناخته"))</f>
        <v/>
      </c>
      <c r="G1566" s="11" t="n"/>
      <c r="H1566" s="10">
        <f>IF($G1566="","",IFERROR(VLOOKUP($G1566,CustTbl,2,0),IFERROR(VLOOKUP($G1566,SuppTbl,2,0),IFERROR(VLOOKUP($G1566,AcctTbl,2,0),IFERROR(VLOOKUP($G1566,StaffTbl,2,0),"کد ناشناخته")))))</f>
        <v/>
      </c>
      <c r="I1566" s="12" t="n"/>
      <c r="J1566" s="12" t="n"/>
      <c r="K1566" s="13" t="n"/>
      <c r="L1566" s="13" t="n"/>
      <c r="M1566" s="13" t="n"/>
      <c r="N1566" s="14">
        <f>IF(OR($C1566="",$E1566="",Calc!$H1566=""),"",IFERROR(VLOOKUP(LEFT(UPPER(TRIM($E1566)),6),BankTbl,3,0),0)+SUMIFS(CalcDep,CalcBank,LEFT(UPPER(TRIM($E1566)),6),CalcKey,"&lt;="&amp;Calc!$H1566)-SUMIFS(CalcWit,CalcBank,LEFT(UPPER(TRIM($E1566)),6),CalcKey,"&lt;="&amp;Calc!$H1566))</f>
        <v/>
      </c>
      <c r="O1566" s="10">
        <f>IF(OR($C1566="",$M1566=""),"",IF($N1566="","؟",IF(ROUND($M1566-$N1566,0)=0,"√","×")))</f>
        <v/>
      </c>
      <c r="P1566" s="12" t="n"/>
    </row>
    <row r="1567">
      <c r="A1567" s="10">
        <f>IF($C1567="","",COUNTA($C$9:$C1567))</f>
        <v/>
      </c>
      <c r="B1567" s="10">
        <f>IF($C1567="","","TXN-"&amp;RIGHT("0000"&amp;1559,4))</f>
        <v/>
      </c>
      <c r="C1567" s="11" t="n"/>
      <c r="D1567" s="11" t="n"/>
      <c r="E1567" s="12" t="n"/>
      <c r="F1567" s="10">
        <f>IF($E1567="","",IFERROR(IF(VLOOKUP(LEFT(UPPER(TRIM($E1567)),6),BankTbl,2,0)="","(بدون عنوان)",VLOOKUP(LEFT(UPPER(TRIM($E1567)),6),BankTbl,2,0)),"بانک ناشناخته"))</f>
        <v/>
      </c>
      <c r="G1567" s="11" t="n"/>
      <c r="H1567" s="10">
        <f>IF($G1567="","",IFERROR(VLOOKUP($G1567,CustTbl,2,0),IFERROR(VLOOKUP($G1567,SuppTbl,2,0),IFERROR(VLOOKUP($G1567,AcctTbl,2,0),IFERROR(VLOOKUP($G1567,StaffTbl,2,0),"کد ناشناخته")))))</f>
        <v/>
      </c>
      <c r="I1567" s="12" t="n"/>
      <c r="J1567" s="12" t="n"/>
      <c r="K1567" s="13" t="n"/>
      <c r="L1567" s="13" t="n"/>
      <c r="M1567" s="13" t="n"/>
      <c r="N1567" s="14">
        <f>IF(OR($C1567="",$E1567="",Calc!$H1567=""),"",IFERROR(VLOOKUP(LEFT(UPPER(TRIM($E1567)),6),BankTbl,3,0),0)+SUMIFS(CalcDep,CalcBank,LEFT(UPPER(TRIM($E1567)),6),CalcKey,"&lt;="&amp;Calc!$H1567)-SUMIFS(CalcWit,CalcBank,LEFT(UPPER(TRIM($E1567)),6),CalcKey,"&lt;="&amp;Calc!$H1567))</f>
        <v/>
      </c>
      <c r="O1567" s="10">
        <f>IF(OR($C1567="",$M1567=""),"",IF($N1567="","؟",IF(ROUND($M1567-$N1567,0)=0,"√","×")))</f>
        <v/>
      </c>
      <c r="P1567" s="12" t="n"/>
    </row>
    <row r="1568">
      <c r="A1568" s="10">
        <f>IF($C1568="","",COUNTA($C$9:$C1568))</f>
        <v/>
      </c>
      <c r="B1568" s="10">
        <f>IF($C1568="","","TXN-"&amp;RIGHT("0000"&amp;1560,4))</f>
        <v/>
      </c>
      <c r="C1568" s="11" t="n"/>
      <c r="D1568" s="11" t="n"/>
      <c r="E1568" s="12" t="n"/>
      <c r="F1568" s="10">
        <f>IF($E1568="","",IFERROR(IF(VLOOKUP(LEFT(UPPER(TRIM($E1568)),6),BankTbl,2,0)="","(بدون عنوان)",VLOOKUP(LEFT(UPPER(TRIM($E1568)),6),BankTbl,2,0)),"بانک ناشناخته"))</f>
        <v/>
      </c>
      <c r="G1568" s="11" t="n"/>
      <c r="H1568" s="10">
        <f>IF($G1568="","",IFERROR(VLOOKUP($G1568,CustTbl,2,0),IFERROR(VLOOKUP($G1568,SuppTbl,2,0),IFERROR(VLOOKUP($G1568,AcctTbl,2,0),IFERROR(VLOOKUP($G1568,StaffTbl,2,0),"کد ناشناخته")))))</f>
        <v/>
      </c>
      <c r="I1568" s="12" t="n"/>
      <c r="J1568" s="12" t="n"/>
      <c r="K1568" s="13" t="n"/>
      <c r="L1568" s="13" t="n"/>
      <c r="M1568" s="13" t="n"/>
      <c r="N1568" s="14">
        <f>IF(OR($C1568="",$E1568="",Calc!$H1568=""),"",IFERROR(VLOOKUP(LEFT(UPPER(TRIM($E1568)),6),BankTbl,3,0),0)+SUMIFS(CalcDep,CalcBank,LEFT(UPPER(TRIM($E1568)),6),CalcKey,"&lt;="&amp;Calc!$H1568)-SUMIFS(CalcWit,CalcBank,LEFT(UPPER(TRIM($E1568)),6),CalcKey,"&lt;="&amp;Calc!$H1568))</f>
        <v/>
      </c>
      <c r="O1568" s="10">
        <f>IF(OR($C1568="",$M1568=""),"",IF($N1568="","؟",IF(ROUND($M1568-$N1568,0)=0,"√","×")))</f>
        <v/>
      </c>
      <c r="P1568" s="12" t="n"/>
    </row>
    <row r="1569">
      <c r="A1569" s="10">
        <f>IF($C1569="","",COUNTA($C$9:$C1569))</f>
        <v/>
      </c>
      <c r="B1569" s="10">
        <f>IF($C1569="","","TXN-"&amp;RIGHT("0000"&amp;1561,4))</f>
        <v/>
      </c>
      <c r="C1569" s="11" t="n"/>
      <c r="D1569" s="11" t="n"/>
      <c r="E1569" s="12" t="n"/>
      <c r="F1569" s="10">
        <f>IF($E1569="","",IFERROR(IF(VLOOKUP(LEFT(UPPER(TRIM($E1569)),6),BankTbl,2,0)="","(بدون عنوان)",VLOOKUP(LEFT(UPPER(TRIM($E1569)),6),BankTbl,2,0)),"بانک ناشناخته"))</f>
        <v/>
      </c>
      <c r="G1569" s="11" t="n"/>
      <c r="H1569" s="10">
        <f>IF($G1569="","",IFERROR(VLOOKUP($G1569,CustTbl,2,0),IFERROR(VLOOKUP($G1569,SuppTbl,2,0),IFERROR(VLOOKUP($G1569,AcctTbl,2,0),IFERROR(VLOOKUP($G1569,StaffTbl,2,0),"کد ناشناخته")))))</f>
        <v/>
      </c>
      <c r="I1569" s="12" t="n"/>
      <c r="J1569" s="12" t="n"/>
      <c r="K1569" s="13" t="n"/>
      <c r="L1569" s="13" t="n"/>
      <c r="M1569" s="13" t="n"/>
      <c r="N1569" s="14">
        <f>IF(OR($C1569="",$E1569="",Calc!$H1569=""),"",IFERROR(VLOOKUP(LEFT(UPPER(TRIM($E1569)),6),BankTbl,3,0),0)+SUMIFS(CalcDep,CalcBank,LEFT(UPPER(TRIM($E1569)),6),CalcKey,"&lt;="&amp;Calc!$H1569)-SUMIFS(CalcWit,CalcBank,LEFT(UPPER(TRIM($E1569)),6),CalcKey,"&lt;="&amp;Calc!$H1569))</f>
        <v/>
      </c>
      <c r="O1569" s="10">
        <f>IF(OR($C1569="",$M1569=""),"",IF($N1569="","؟",IF(ROUND($M1569-$N1569,0)=0,"√","×")))</f>
        <v/>
      </c>
      <c r="P1569" s="12" t="n"/>
    </row>
    <row r="1570">
      <c r="A1570" s="10">
        <f>IF($C1570="","",COUNTA($C$9:$C1570))</f>
        <v/>
      </c>
      <c r="B1570" s="10">
        <f>IF($C1570="","","TXN-"&amp;RIGHT("0000"&amp;1562,4))</f>
        <v/>
      </c>
      <c r="C1570" s="11" t="n"/>
      <c r="D1570" s="11" t="n"/>
      <c r="E1570" s="12" t="n"/>
      <c r="F1570" s="10">
        <f>IF($E1570="","",IFERROR(IF(VLOOKUP(LEFT(UPPER(TRIM($E1570)),6),BankTbl,2,0)="","(بدون عنوان)",VLOOKUP(LEFT(UPPER(TRIM($E1570)),6),BankTbl,2,0)),"بانک ناشناخته"))</f>
        <v/>
      </c>
      <c r="G1570" s="11" t="n"/>
      <c r="H1570" s="10">
        <f>IF($G1570="","",IFERROR(VLOOKUP($G1570,CustTbl,2,0),IFERROR(VLOOKUP($G1570,SuppTbl,2,0),IFERROR(VLOOKUP($G1570,AcctTbl,2,0),IFERROR(VLOOKUP($G1570,StaffTbl,2,0),"کد ناشناخته")))))</f>
        <v/>
      </c>
      <c r="I1570" s="12" t="n"/>
      <c r="J1570" s="12" t="n"/>
      <c r="K1570" s="13" t="n"/>
      <c r="L1570" s="13" t="n"/>
      <c r="M1570" s="13" t="n"/>
      <c r="N1570" s="14">
        <f>IF(OR($C1570="",$E1570="",Calc!$H1570=""),"",IFERROR(VLOOKUP(LEFT(UPPER(TRIM($E1570)),6),BankTbl,3,0),0)+SUMIFS(CalcDep,CalcBank,LEFT(UPPER(TRIM($E1570)),6),CalcKey,"&lt;="&amp;Calc!$H1570)-SUMIFS(CalcWit,CalcBank,LEFT(UPPER(TRIM($E1570)),6),CalcKey,"&lt;="&amp;Calc!$H1570))</f>
        <v/>
      </c>
      <c r="O1570" s="10">
        <f>IF(OR($C1570="",$M1570=""),"",IF($N1570="","؟",IF(ROUND($M1570-$N1570,0)=0,"√","×")))</f>
        <v/>
      </c>
      <c r="P1570" s="12" t="n"/>
    </row>
    <row r="1571">
      <c r="A1571" s="10">
        <f>IF($C1571="","",COUNTA($C$9:$C1571))</f>
        <v/>
      </c>
      <c r="B1571" s="10">
        <f>IF($C1571="","","TXN-"&amp;RIGHT("0000"&amp;1563,4))</f>
        <v/>
      </c>
      <c r="C1571" s="11" t="n"/>
      <c r="D1571" s="11" t="n"/>
      <c r="E1571" s="12" t="n"/>
      <c r="F1571" s="10">
        <f>IF($E1571="","",IFERROR(IF(VLOOKUP(LEFT(UPPER(TRIM($E1571)),6),BankTbl,2,0)="","(بدون عنوان)",VLOOKUP(LEFT(UPPER(TRIM($E1571)),6),BankTbl,2,0)),"بانک ناشناخته"))</f>
        <v/>
      </c>
      <c r="G1571" s="11" t="n"/>
      <c r="H1571" s="10">
        <f>IF($G1571="","",IFERROR(VLOOKUP($G1571,CustTbl,2,0),IFERROR(VLOOKUP($G1571,SuppTbl,2,0),IFERROR(VLOOKUP($G1571,AcctTbl,2,0),IFERROR(VLOOKUP($G1571,StaffTbl,2,0),"کد ناشناخته")))))</f>
        <v/>
      </c>
      <c r="I1571" s="12" t="n"/>
      <c r="J1571" s="12" t="n"/>
      <c r="K1571" s="13" t="n"/>
      <c r="L1571" s="13" t="n"/>
      <c r="M1571" s="13" t="n"/>
      <c r="N1571" s="14">
        <f>IF(OR($C1571="",$E1571="",Calc!$H1571=""),"",IFERROR(VLOOKUP(LEFT(UPPER(TRIM($E1571)),6),BankTbl,3,0),0)+SUMIFS(CalcDep,CalcBank,LEFT(UPPER(TRIM($E1571)),6),CalcKey,"&lt;="&amp;Calc!$H1571)-SUMIFS(CalcWit,CalcBank,LEFT(UPPER(TRIM($E1571)),6),CalcKey,"&lt;="&amp;Calc!$H1571))</f>
        <v/>
      </c>
      <c r="O1571" s="10">
        <f>IF(OR($C1571="",$M1571=""),"",IF($N1571="","؟",IF(ROUND($M1571-$N1571,0)=0,"√","×")))</f>
        <v/>
      </c>
      <c r="P1571" s="12" t="n"/>
    </row>
    <row r="1572">
      <c r="A1572" s="10">
        <f>IF($C1572="","",COUNTA($C$9:$C1572))</f>
        <v/>
      </c>
      <c r="B1572" s="10">
        <f>IF($C1572="","","TXN-"&amp;RIGHT("0000"&amp;1564,4))</f>
        <v/>
      </c>
      <c r="C1572" s="11" t="n"/>
      <c r="D1572" s="11" t="n"/>
      <c r="E1572" s="12" t="n"/>
      <c r="F1572" s="10">
        <f>IF($E1572="","",IFERROR(IF(VLOOKUP(LEFT(UPPER(TRIM($E1572)),6),BankTbl,2,0)="","(بدون عنوان)",VLOOKUP(LEFT(UPPER(TRIM($E1572)),6),BankTbl,2,0)),"بانک ناشناخته"))</f>
        <v/>
      </c>
      <c r="G1572" s="11" t="n"/>
      <c r="H1572" s="10">
        <f>IF($G1572="","",IFERROR(VLOOKUP($G1572,CustTbl,2,0),IFERROR(VLOOKUP($G1572,SuppTbl,2,0),IFERROR(VLOOKUP($G1572,AcctTbl,2,0),IFERROR(VLOOKUP($G1572,StaffTbl,2,0),"کد ناشناخته")))))</f>
        <v/>
      </c>
      <c r="I1572" s="12" t="n"/>
      <c r="J1572" s="12" t="n"/>
      <c r="K1572" s="13" t="n"/>
      <c r="L1572" s="13" t="n"/>
      <c r="M1572" s="13" t="n"/>
      <c r="N1572" s="14">
        <f>IF(OR($C1572="",$E1572="",Calc!$H1572=""),"",IFERROR(VLOOKUP(LEFT(UPPER(TRIM($E1572)),6),BankTbl,3,0),0)+SUMIFS(CalcDep,CalcBank,LEFT(UPPER(TRIM($E1572)),6),CalcKey,"&lt;="&amp;Calc!$H1572)-SUMIFS(CalcWit,CalcBank,LEFT(UPPER(TRIM($E1572)),6),CalcKey,"&lt;="&amp;Calc!$H1572))</f>
        <v/>
      </c>
      <c r="O1572" s="10">
        <f>IF(OR($C1572="",$M1572=""),"",IF($N1572="","؟",IF(ROUND($M1572-$N1572,0)=0,"√","×")))</f>
        <v/>
      </c>
      <c r="P1572" s="12" t="n"/>
    </row>
    <row r="1573">
      <c r="A1573" s="10">
        <f>IF($C1573="","",COUNTA($C$9:$C1573))</f>
        <v/>
      </c>
      <c r="B1573" s="10">
        <f>IF($C1573="","","TXN-"&amp;RIGHT("0000"&amp;1565,4))</f>
        <v/>
      </c>
      <c r="C1573" s="11" t="n"/>
      <c r="D1573" s="11" t="n"/>
      <c r="E1573" s="12" t="n"/>
      <c r="F1573" s="10">
        <f>IF($E1573="","",IFERROR(IF(VLOOKUP(LEFT(UPPER(TRIM($E1573)),6),BankTbl,2,0)="","(بدون عنوان)",VLOOKUP(LEFT(UPPER(TRIM($E1573)),6),BankTbl,2,0)),"بانک ناشناخته"))</f>
        <v/>
      </c>
      <c r="G1573" s="11" t="n"/>
      <c r="H1573" s="10">
        <f>IF($G1573="","",IFERROR(VLOOKUP($G1573,CustTbl,2,0),IFERROR(VLOOKUP($G1573,SuppTbl,2,0),IFERROR(VLOOKUP($G1573,AcctTbl,2,0),IFERROR(VLOOKUP($G1573,StaffTbl,2,0),"کد ناشناخته")))))</f>
        <v/>
      </c>
      <c r="I1573" s="12" t="n"/>
      <c r="J1573" s="12" t="n"/>
      <c r="K1573" s="13" t="n"/>
      <c r="L1573" s="13" t="n"/>
      <c r="M1573" s="13" t="n"/>
      <c r="N1573" s="14">
        <f>IF(OR($C1573="",$E1573="",Calc!$H1573=""),"",IFERROR(VLOOKUP(LEFT(UPPER(TRIM($E1573)),6),BankTbl,3,0),0)+SUMIFS(CalcDep,CalcBank,LEFT(UPPER(TRIM($E1573)),6),CalcKey,"&lt;="&amp;Calc!$H1573)-SUMIFS(CalcWit,CalcBank,LEFT(UPPER(TRIM($E1573)),6),CalcKey,"&lt;="&amp;Calc!$H1573))</f>
        <v/>
      </c>
      <c r="O1573" s="10">
        <f>IF(OR($C1573="",$M1573=""),"",IF($N1573="","؟",IF(ROUND($M1573-$N1573,0)=0,"√","×")))</f>
        <v/>
      </c>
      <c r="P1573" s="12" t="n"/>
    </row>
    <row r="1574">
      <c r="A1574" s="10">
        <f>IF($C1574="","",COUNTA($C$9:$C1574))</f>
        <v/>
      </c>
      <c r="B1574" s="10">
        <f>IF($C1574="","","TXN-"&amp;RIGHT("0000"&amp;1566,4))</f>
        <v/>
      </c>
      <c r="C1574" s="11" t="n"/>
      <c r="D1574" s="11" t="n"/>
      <c r="E1574" s="12" t="n"/>
      <c r="F1574" s="10">
        <f>IF($E1574="","",IFERROR(IF(VLOOKUP(LEFT(UPPER(TRIM($E1574)),6),BankTbl,2,0)="","(بدون عنوان)",VLOOKUP(LEFT(UPPER(TRIM($E1574)),6),BankTbl,2,0)),"بانک ناشناخته"))</f>
        <v/>
      </c>
      <c r="G1574" s="11" t="n"/>
      <c r="H1574" s="10">
        <f>IF($G1574="","",IFERROR(VLOOKUP($G1574,CustTbl,2,0),IFERROR(VLOOKUP($G1574,SuppTbl,2,0),IFERROR(VLOOKUP($G1574,AcctTbl,2,0),IFERROR(VLOOKUP($G1574,StaffTbl,2,0),"کد ناشناخته")))))</f>
        <v/>
      </c>
      <c r="I1574" s="12" t="n"/>
      <c r="J1574" s="12" t="n"/>
      <c r="K1574" s="13" t="n"/>
      <c r="L1574" s="13" t="n"/>
      <c r="M1574" s="13" t="n"/>
      <c r="N1574" s="14">
        <f>IF(OR($C1574="",$E1574="",Calc!$H1574=""),"",IFERROR(VLOOKUP(LEFT(UPPER(TRIM($E1574)),6),BankTbl,3,0),0)+SUMIFS(CalcDep,CalcBank,LEFT(UPPER(TRIM($E1574)),6),CalcKey,"&lt;="&amp;Calc!$H1574)-SUMIFS(CalcWit,CalcBank,LEFT(UPPER(TRIM($E1574)),6),CalcKey,"&lt;="&amp;Calc!$H1574))</f>
        <v/>
      </c>
      <c r="O1574" s="10">
        <f>IF(OR($C1574="",$M1574=""),"",IF($N1574="","؟",IF(ROUND($M1574-$N1574,0)=0,"√","×")))</f>
        <v/>
      </c>
      <c r="P1574" s="12" t="n"/>
    </row>
    <row r="1575">
      <c r="A1575" s="10">
        <f>IF($C1575="","",COUNTA($C$9:$C1575))</f>
        <v/>
      </c>
      <c r="B1575" s="10">
        <f>IF($C1575="","","TXN-"&amp;RIGHT("0000"&amp;1567,4))</f>
        <v/>
      </c>
      <c r="C1575" s="11" t="n"/>
      <c r="D1575" s="11" t="n"/>
      <c r="E1575" s="12" t="n"/>
      <c r="F1575" s="10">
        <f>IF($E1575="","",IFERROR(IF(VLOOKUP(LEFT(UPPER(TRIM($E1575)),6),BankTbl,2,0)="","(بدون عنوان)",VLOOKUP(LEFT(UPPER(TRIM($E1575)),6),BankTbl,2,0)),"بانک ناشناخته"))</f>
        <v/>
      </c>
      <c r="G1575" s="11" t="n"/>
      <c r="H1575" s="10">
        <f>IF($G1575="","",IFERROR(VLOOKUP($G1575,CustTbl,2,0),IFERROR(VLOOKUP($G1575,SuppTbl,2,0),IFERROR(VLOOKUP($G1575,AcctTbl,2,0),IFERROR(VLOOKUP($G1575,StaffTbl,2,0),"کد ناشناخته")))))</f>
        <v/>
      </c>
      <c r="I1575" s="12" t="n"/>
      <c r="J1575" s="12" t="n"/>
      <c r="K1575" s="13" t="n"/>
      <c r="L1575" s="13" t="n"/>
      <c r="M1575" s="13" t="n"/>
      <c r="N1575" s="14">
        <f>IF(OR($C1575="",$E1575="",Calc!$H1575=""),"",IFERROR(VLOOKUP(LEFT(UPPER(TRIM($E1575)),6),BankTbl,3,0),0)+SUMIFS(CalcDep,CalcBank,LEFT(UPPER(TRIM($E1575)),6),CalcKey,"&lt;="&amp;Calc!$H1575)-SUMIFS(CalcWit,CalcBank,LEFT(UPPER(TRIM($E1575)),6),CalcKey,"&lt;="&amp;Calc!$H1575))</f>
        <v/>
      </c>
      <c r="O1575" s="10">
        <f>IF(OR($C1575="",$M1575=""),"",IF($N1575="","؟",IF(ROUND($M1575-$N1575,0)=0,"√","×")))</f>
        <v/>
      </c>
      <c r="P1575" s="12" t="n"/>
    </row>
    <row r="1576">
      <c r="A1576" s="10">
        <f>IF($C1576="","",COUNTA($C$9:$C1576))</f>
        <v/>
      </c>
      <c r="B1576" s="10">
        <f>IF($C1576="","","TXN-"&amp;RIGHT("0000"&amp;1568,4))</f>
        <v/>
      </c>
      <c r="C1576" s="11" t="n"/>
      <c r="D1576" s="11" t="n"/>
      <c r="E1576" s="12" t="n"/>
      <c r="F1576" s="10">
        <f>IF($E1576="","",IFERROR(IF(VLOOKUP(LEFT(UPPER(TRIM($E1576)),6),BankTbl,2,0)="","(بدون عنوان)",VLOOKUP(LEFT(UPPER(TRIM($E1576)),6),BankTbl,2,0)),"بانک ناشناخته"))</f>
        <v/>
      </c>
      <c r="G1576" s="11" t="n"/>
      <c r="H1576" s="10">
        <f>IF($G1576="","",IFERROR(VLOOKUP($G1576,CustTbl,2,0),IFERROR(VLOOKUP($G1576,SuppTbl,2,0),IFERROR(VLOOKUP($G1576,AcctTbl,2,0),IFERROR(VLOOKUP($G1576,StaffTbl,2,0),"کد ناشناخته")))))</f>
        <v/>
      </c>
      <c r="I1576" s="12" t="n"/>
      <c r="J1576" s="12" t="n"/>
      <c r="K1576" s="13" t="n"/>
      <c r="L1576" s="13" t="n"/>
      <c r="M1576" s="13" t="n"/>
      <c r="N1576" s="14">
        <f>IF(OR($C1576="",$E1576="",Calc!$H1576=""),"",IFERROR(VLOOKUP(LEFT(UPPER(TRIM($E1576)),6),BankTbl,3,0),0)+SUMIFS(CalcDep,CalcBank,LEFT(UPPER(TRIM($E1576)),6),CalcKey,"&lt;="&amp;Calc!$H1576)-SUMIFS(CalcWit,CalcBank,LEFT(UPPER(TRIM($E1576)),6),CalcKey,"&lt;="&amp;Calc!$H1576))</f>
        <v/>
      </c>
      <c r="O1576" s="10">
        <f>IF(OR($C1576="",$M1576=""),"",IF($N1576="","؟",IF(ROUND($M1576-$N1576,0)=0,"√","×")))</f>
        <v/>
      </c>
      <c r="P1576" s="12" t="n"/>
    </row>
    <row r="1577">
      <c r="A1577" s="10">
        <f>IF($C1577="","",COUNTA($C$9:$C1577))</f>
        <v/>
      </c>
      <c r="B1577" s="10">
        <f>IF($C1577="","","TXN-"&amp;RIGHT("0000"&amp;1569,4))</f>
        <v/>
      </c>
      <c r="C1577" s="11" t="n"/>
      <c r="D1577" s="11" t="n"/>
      <c r="E1577" s="12" t="n"/>
      <c r="F1577" s="10">
        <f>IF($E1577="","",IFERROR(IF(VLOOKUP(LEFT(UPPER(TRIM($E1577)),6),BankTbl,2,0)="","(بدون عنوان)",VLOOKUP(LEFT(UPPER(TRIM($E1577)),6),BankTbl,2,0)),"بانک ناشناخته"))</f>
        <v/>
      </c>
      <c r="G1577" s="11" t="n"/>
      <c r="H1577" s="10">
        <f>IF($G1577="","",IFERROR(VLOOKUP($G1577,CustTbl,2,0),IFERROR(VLOOKUP($G1577,SuppTbl,2,0),IFERROR(VLOOKUP($G1577,AcctTbl,2,0),IFERROR(VLOOKUP($G1577,StaffTbl,2,0),"کد ناشناخته")))))</f>
        <v/>
      </c>
      <c r="I1577" s="12" t="n"/>
      <c r="J1577" s="12" t="n"/>
      <c r="K1577" s="13" t="n"/>
      <c r="L1577" s="13" t="n"/>
      <c r="M1577" s="13" t="n"/>
      <c r="N1577" s="14">
        <f>IF(OR($C1577="",$E1577="",Calc!$H1577=""),"",IFERROR(VLOOKUP(LEFT(UPPER(TRIM($E1577)),6),BankTbl,3,0),0)+SUMIFS(CalcDep,CalcBank,LEFT(UPPER(TRIM($E1577)),6),CalcKey,"&lt;="&amp;Calc!$H1577)-SUMIFS(CalcWit,CalcBank,LEFT(UPPER(TRIM($E1577)),6),CalcKey,"&lt;="&amp;Calc!$H1577))</f>
        <v/>
      </c>
      <c r="O1577" s="10">
        <f>IF(OR($C1577="",$M1577=""),"",IF($N1577="","؟",IF(ROUND($M1577-$N1577,0)=0,"√","×")))</f>
        <v/>
      </c>
      <c r="P1577" s="12" t="n"/>
    </row>
    <row r="1578">
      <c r="A1578" s="10">
        <f>IF($C1578="","",COUNTA($C$9:$C1578))</f>
        <v/>
      </c>
      <c r="B1578" s="10">
        <f>IF($C1578="","","TXN-"&amp;RIGHT("0000"&amp;1570,4))</f>
        <v/>
      </c>
      <c r="C1578" s="11" t="n"/>
      <c r="D1578" s="11" t="n"/>
      <c r="E1578" s="12" t="n"/>
      <c r="F1578" s="10">
        <f>IF($E1578="","",IFERROR(IF(VLOOKUP(LEFT(UPPER(TRIM($E1578)),6),BankTbl,2,0)="","(بدون عنوان)",VLOOKUP(LEFT(UPPER(TRIM($E1578)),6),BankTbl,2,0)),"بانک ناشناخته"))</f>
        <v/>
      </c>
      <c r="G1578" s="11" t="n"/>
      <c r="H1578" s="10">
        <f>IF($G1578="","",IFERROR(VLOOKUP($G1578,CustTbl,2,0),IFERROR(VLOOKUP($G1578,SuppTbl,2,0),IFERROR(VLOOKUP($G1578,AcctTbl,2,0),IFERROR(VLOOKUP($G1578,StaffTbl,2,0),"کد ناشناخته")))))</f>
        <v/>
      </c>
      <c r="I1578" s="12" t="n"/>
      <c r="J1578" s="12" t="n"/>
      <c r="K1578" s="13" t="n"/>
      <c r="L1578" s="13" t="n"/>
      <c r="M1578" s="13" t="n"/>
      <c r="N1578" s="14">
        <f>IF(OR($C1578="",$E1578="",Calc!$H1578=""),"",IFERROR(VLOOKUP(LEFT(UPPER(TRIM($E1578)),6),BankTbl,3,0),0)+SUMIFS(CalcDep,CalcBank,LEFT(UPPER(TRIM($E1578)),6),CalcKey,"&lt;="&amp;Calc!$H1578)-SUMIFS(CalcWit,CalcBank,LEFT(UPPER(TRIM($E1578)),6),CalcKey,"&lt;="&amp;Calc!$H1578))</f>
        <v/>
      </c>
      <c r="O1578" s="10">
        <f>IF(OR($C1578="",$M1578=""),"",IF($N1578="","؟",IF(ROUND($M1578-$N1578,0)=0,"√","×")))</f>
        <v/>
      </c>
      <c r="P1578" s="12" t="n"/>
    </row>
    <row r="1579">
      <c r="A1579" s="10">
        <f>IF($C1579="","",COUNTA($C$9:$C1579))</f>
        <v/>
      </c>
      <c r="B1579" s="10">
        <f>IF($C1579="","","TXN-"&amp;RIGHT("0000"&amp;1571,4))</f>
        <v/>
      </c>
      <c r="C1579" s="11" t="n"/>
      <c r="D1579" s="11" t="n"/>
      <c r="E1579" s="12" t="n"/>
      <c r="F1579" s="10">
        <f>IF($E1579="","",IFERROR(IF(VLOOKUP(LEFT(UPPER(TRIM($E1579)),6),BankTbl,2,0)="","(بدون عنوان)",VLOOKUP(LEFT(UPPER(TRIM($E1579)),6),BankTbl,2,0)),"بانک ناشناخته"))</f>
        <v/>
      </c>
      <c r="G1579" s="11" t="n"/>
      <c r="H1579" s="10">
        <f>IF($G1579="","",IFERROR(VLOOKUP($G1579,CustTbl,2,0),IFERROR(VLOOKUP($G1579,SuppTbl,2,0),IFERROR(VLOOKUP($G1579,AcctTbl,2,0),IFERROR(VLOOKUP($G1579,StaffTbl,2,0),"کد ناشناخته")))))</f>
        <v/>
      </c>
      <c r="I1579" s="12" t="n"/>
      <c r="J1579" s="12" t="n"/>
      <c r="K1579" s="13" t="n"/>
      <c r="L1579" s="13" t="n"/>
      <c r="M1579" s="13" t="n"/>
      <c r="N1579" s="14">
        <f>IF(OR($C1579="",$E1579="",Calc!$H1579=""),"",IFERROR(VLOOKUP(LEFT(UPPER(TRIM($E1579)),6),BankTbl,3,0),0)+SUMIFS(CalcDep,CalcBank,LEFT(UPPER(TRIM($E1579)),6),CalcKey,"&lt;="&amp;Calc!$H1579)-SUMIFS(CalcWit,CalcBank,LEFT(UPPER(TRIM($E1579)),6),CalcKey,"&lt;="&amp;Calc!$H1579))</f>
        <v/>
      </c>
      <c r="O1579" s="10">
        <f>IF(OR($C1579="",$M1579=""),"",IF($N1579="","؟",IF(ROUND($M1579-$N1579,0)=0,"√","×")))</f>
        <v/>
      </c>
      <c r="P1579" s="12" t="n"/>
    </row>
    <row r="1580">
      <c r="A1580" s="10">
        <f>IF($C1580="","",COUNTA($C$9:$C1580))</f>
        <v/>
      </c>
      <c r="B1580" s="10">
        <f>IF($C1580="","","TXN-"&amp;RIGHT("0000"&amp;1572,4))</f>
        <v/>
      </c>
      <c r="C1580" s="11" t="n"/>
      <c r="D1580" s="11" t="n"/>
      <c r="E1580" s="12" t="n"/>
      <c r="F1580" s="10">
        <f>IF($E1580="","",IFERROR(IF(VLOOKUP(LEFT(UPPER(TRIM($E1580)),6),BankTbl,2,0)="","(بدون عنوان)",VLOOKUP(LEFT(UPPER(TRIM($E1580)),6),BankTbl,2,0)),"بانک ناشناخته"))</f>
        <v/>
      </c>
      <c r="G1580" s="11" t="n"/>
      <c r="H1580" s="10">
        <f>IF($G1580="","",IFERROR(VLOOKUP($G1580,CustTbl,2,0),IFERROR(VLOOKUP($G1580,SuppTbl,2,0),IFERROR(VLOOKUP($G1580,AcctTbl,2,0),IFERROR(VLOOKUP($G1580,StaffTbl,2,0),"کد ناشناخته")))))</f>
        <v/>
      </c>
      <c r="I1580" s="12" t="n"/>
      <c r="J1580" s="12" t="n"/>
      <c r="K1580" s="13" t="n"/>
      <c r="L1580" s="13" t="n"/>
      <c r="M1580" s="13" t="n"/>
      <c r="N1580" s="14">
        <f>IF(OR($C1580="",$E1580="",Calc!$H1580=""),"",IFERROR(VLOOKUP(LEFT(UPPER(TRIM($E1580)),6),BankTbl,3,0),0)+SUMIFS(CalcDep,CalcBank,LEFT(UPPER(TRIM($E1580)),6),CalcKey,"&lt;="&amp;Calc!$H1580)-SUMIFS(CalcWit,CalcBank,LEFT(UPPER(TRIM($E1580)),6),CalcKey,"&lt;="&amp;Calc!$H1580))</f>
        <v/>
      </c>
      <c r="O1580" s="10">
        <f>IF(OR($C1580="",$M1580=""),"",IF($N1580="","؟",IF(ROUND($M1580-$N1580,0)=0,"√","×")))</f>
        <v/>
      </c>
      <c r="P1580" s="12" t="n"/>
    </row>
    <row r="1581">
      <c r="A1581" s="10">
        <f>IF($C1581="","",COUNTA($C$9:$C1581))</f>
        <v/>
      </c>
      <c r="B1581" s="10">
        <f>IF($C1581="","","TXN-"&amp;RIGHT("0000"&amp;1573,4))</f>
        <v/>
      </c>
      <c r="C1581" s="11" t="n"/>
      <c r="D1581" s="11" t="n"/>
      <c r="E1581" s="12" t="n"/>
      <c r="F1581" s="10">
        <f>IF($E1581="","",IFERROR(IF(VLOOKUP(LEFT(UPPER(TRIM($E1581)),6),BankTbl,2,0)="","(بدون عنوان)",VLOOKUP(LEFT(UPPER(TRIM($E1581)),6),BankTbl,2,0)),"بانک ناشناخته"))</f>
        <v/>
      </c>
      <c r="G1581" s="11" t="n"/>
      <c r="H1581" s="10">
        <f>IF($G1581="","",IFERROR(VLOOKUP($G1581,CustTbl,2,0),IFERROR(VLOOKUP($G1581,SuppTbl,2,0),IFERROR(VLOOKUP($G1581,AcctTbl,2,0),IFERROR(VLOOKUP($G1581,StaffTbl,2,0),"کد ناشناخته")))))</f>
        <v/>
      </c>
      <c r="I1581" s="12" t="n"/>
      <c r="J1581" s="12" t="n"/>
      <c r="K1581" s="13" t="n"/>
      <c r="L1581" s="13" t="n"/>
      <c r="M1581" s="13" t="n"/>
      <c r="N1581" s="14">
        <f>IF(OR($C1581="",$E1581="",Calc!$H1581=""),"",IFERROR(VLOOKUP(LEFT(UPPER(TRIM($E1581)),6),BankTbl,3,0),0)+SUMIFS(CalcDep,CalcBank,LEFT(UPPER(TRIM($E1581)),6),CalcKey,"&lt;="&amp;Calc!$H1581)-SUMIFS(CalcWit,CalcBank,LEFT(UPPER(TRIM($E1581)),6),CalcKey,"&lt;="&amp;Calc!$H1581))</f>
        <v/>
      </c>
      <c r="O1581" s="10">
        <f>IF(OR($C1581="",$M1581=""),"",IF($N1581="","؟",IF(ROUND($M1581-$N1581,0)=0,"√","×")))</f>
        <v/>
      </c>
      <c r="P1581" s="12" t="n"/>
    </row>
    <row r="1582">
      <c r="A1582" s="10">
        <f>IF($C1582="","",COUNTA($C$9:$C1582))</f>
        <v/>
      </c>
      <c r="B1582" s="10">
        <f>IF($C1582="","","TXN-"&amp;RIGHT("0000"&amp;1574,4))</f>
        <v/>
      </c>
      <c r="C1582" s="11" t="n"/>
      <c r="D1582" s="11" t="n"/>
      <c r="E1582" s="12" t="n"/>
      <c r="F1582" s="10">
        <f>IF($E1582="","",IFERROR(IF(VLOOKUP(LEFT(UPPER(TRIM($E1582)),6),BankTbl,2,0)="","(بدون عنوان)",VLOOKUP(LEFT(UPPER(TRIM($E1582)),6),BankTbl,2,0)),"بانک ناشناخته"))</f>
        <v/>
      </c>
      <c r="G1582" s="11" t="n"/>
      <c r="H1582" s="10">
        <f>IF($G1582="","",IFERROR(VLOOKUP($G1582,CustTbl,2,0),IFERROR(VLOOKUP($G1582,SuppTbl,2,0),IFERROR(VLOOKUP($G1582,AcctTbl,2,0),IFERROR(VLOOKUP($G1582,StaffTbl,2,0),"کد ناشناخته")))))</f>
        <v/>
      </c>
      <c r="I1582" s="12" t="n"/>
      <c r="J1582" s="12" t="n"/>
      <c r="K1582" s="13" t="n"/>
      <c r="L1582" s="13" t="n"/>
      <c r="M1582" s="13" t="n"/>
      <c r="N1582" s="14">
        <f>IF(OR($C1582="",$E1582="",Calc!$H1582=""),"",IFERROR(VLOOKUP(LEFT(UPPER(TRIM($E1582)),6),BankTbl,3,0),0)+SUMIFS(CalcDep,CalcBank,LEFT(UPPER(TRIM($E1582)),6),CalcKey,"&lt;="&amp;Calc!$H1582)-SUMIFS(CalcWit,CalcBank,LEFT(UPPER(TRIM($E1582)),6),CalcKey,"&lt;="&amp;Calc!$H1582))</f>
        <v/>
      </c>
      <c r="O1582" s="10">
        <f>IF(OR($C1582="",$M1582=""),"",IF($N1582="","؟",IF(ROUND($M1582-$N1582,0)=0,"√","×")))</f>
        <v/>
      </c>
      <c r="P1582" s="12" t="n"/>
    </row>
    <row r="1583">
      <c r="A1583" s="10">
        <f>IF($C1583="","",COUNTA($C$9:$C1583))</f>
        <v/>
      </c>
      <c r="B1583" s="10">
        <f>IF($C1583="","","TXN-"&amp;RIGHT("0000"&amp;1575,4))</f>
        <v/>
      </c>
      <c r="C1583" s="11" t="n"/>
      <c r="D1583" s="11" t="n"/>
      <c r="E1583" s="12" t="n"/>
      <c r="F1583" s="10">
        <f>IF($E1583="","",IFERROR(IF(VLOOKUP(LEFT(UPPER(TRIM($E1583)),6),BankTbl,2,0)="","(بدون عنوان)",VLOOKUP(LEFT(UPPER(TRIM($E1583)),6),BankTbl,2,0)),"بانک ناشناخته"))</f>
        <v/>
      </c>
      <c r="G1583" s="11" t="n"/>
      <c r="H1583" s="10">
        <f>IF($G1583="","",IFERROR(VLOOKUP($G1583,CustTbl,2,0),IFERROR(VLOOKUP($G1583,SuppTbl,2,0),IFERROR(VLOOKUP($G1583,AcctTbl,2,0),IFERROR(VLOOKUP($G1583,StaffTbl,2,0),"کد ناشناخته")))))</f>
        <v/>
      </c>
      <c r="I1583" s="12" t="n"/>
      <c r="J1583" s="12" t="n"/>
      <c r="K1583" s="13" t="n"/>
      <c r="L1583" s="13" t="n"/>
      <c r="M1583" s="13" t="n"/>
      <c r="N1583" s="14">
        <f>IF(OR($C1583="",$E1583="",Calc!$H1583=""),"",IFERROR(VLOOKUP(LEFT(UPPER(TRIM($E1583)),6),BankTbl,3,0),0)+SUMIFS(CalcDep,CalcBank,LEFT(UPPER(TRIM($E1583)),6),CalcKey,"&lt;="&amp;Calc!$H1583)-SUMIFS(CalcWit,CalcBank,LEFT(UPPER(TRIM($E1583)),6),CalcKey,"&lt;="&amp;Calc!$H1583))</f>
        <v/>
      </c>
      <c r="O1583" s="10">
        <f>IF(OR($C1583="",$M1583=""),"",IF($N1583="","؟",IF(ROUND($M1583-$N1583,0)=0,"√","×")))</f>
        <v/>
      </c>
      <c r="P1583" s="12" t="n"/>
    </row>
    <row r="1584">
      <c r="A1584" s="10">
        <f>IF($C1584="","",COUNTA($C$9:$C1584))</f>
        <v/>
      </c>
      <c r="B1584" s="10">
        <f>IF($C1584="","","TXN-"&amp;RIGHT("0000"&amp;1576,4))</f>
        <v/>
      </c>
      <c r="C1584" s="11" t="n"/>
      <c r="D1584" s="11" t="n"/>
      <c r="E1584" s="12" t="n"/>
      <c r="F1584" s="10">
        <f>IF($E1584="","",IFERROR(IF(VLOOKUP(LEFT(UPPER(TRIM($E1584)),6),BankTbl,2,0)="","(بدون عنوان)",VLOOKUP(LEFT(UPPER(TRIM($E1584)),6),BankTbl,2,0)),"بانک ناشناخته"))</f>
        <v/>
      </c>
      <c r="G1584" s="11" t="n"/>
      <c r="H1584" s="10">
        <f>IF($G1584="","",IFERROR(VLOOKUP($G1584,CustTbl,2,0),IFERROR(VLOOKUP($G1584,SuppTbl,2,0),IFERROR(VLOOKUP($G1584,AcctTbl,2,0),IFERROR(VLOOKUP($G1584,StaffTbl,2,0),"کد ناشناخته")))))</f>
        <v/>
      </c>
      <c r="I1584" s="12" t="n"/>
      <c r="J1584" s="12" t="n"/>
      <c r="K1584" s="13" t="n"/>
      <c r="L1584" s="13" t="n"/>
      <c r="M1584" s="13" t="n"/>
      <c r="N1584" s="14">
        <f>IF(OR($C1584="",$E1584="",Calc!$H1584=""),"",IFERROR(VLOOKUP(LEFT(UPPER(TRIM($E1584)),6),BankTbl,3,0),0)+SUMIFS(CalcDep,CalcBank,LEFT(UPPER(TRIM($E1584)),6),CalcKey,"&lt;="&amp;Calc!$H1584)-SUMIFS(CalcWit,CalcBank,LEFT(UPPER(TRIM($E1584)),6),CalcKey,"&lt;="&amp;Calc!$H1584))</f>
        <v/>
      </c>
      <c r="O1584" s="10">
        <f>IF(OR($C1584="",$M1584=""),"",IF($N1584="","؟",IF(ROUND($M1584-$N1584,0)=0,"√","×")))</f>
        <v/>
      </c>
      <c r="P1584" s="12" t="n"/>
    </row>
    <row r="1585">
      <c r="A1585" s="10">
        <f>IF($C1585="","",COUNTA($C$9:$C1585))</f>
        <v/>
      </c>
      <c r="B1585" s="10">
        <f>IF($C1585="","","TXN-"&amp;RIGHT("0000"&amp;1577,4))</f>
        <v/>
      </c>
      <c r="C1585" s="11" t="n"/>
      <c r="D1585" s="11" t="n"/>
      <c r="E1585" s="12" t="n"/>
      <c r="F1585" s="10">
        <f>IF($E1585="","",IFERROR(IF(VLOOKUP(LEFT(UPPER(TRIM($E1585)),6),BankTbl,2,0)="","(بدون عنوان)",VLOOKUP(LEFT(UPPER(TRIM($E1585)),6),BankTbl,2,0)),"بانک ناشناخته"))</f>
        <v/>
      </c>
      <c r="G1585" s="11" t="n"/>
      <c r="H1585" s="10">
        <f>IF($G1585="","",IFERROR(VLOOKUP($G1585,CustTbl,2,0),IFERROR(VLOOKUP($G1585,SuppTbl,2,0),IFERROR(VLOOKUP($G1585,AcctTbl,2,0),IFERROR(VLOOKUP($G1585,StaffTbl,2,0),"کد ناشناخته")))))</f>
        <v/>
      </c>
      <c r="I1585" s="12" t="n"/>
      <c r="J1585" s="12" t="n"/>
      <c r="K1585" s="13" t="n"/>
      <c r="L1585" s="13" t="n"/>
      <c r="M1585" s="13" t="n"/>
      <c r="N1585" s="14">
        <f>IF(OR($C1585="",$E1585="",Calc!$H1585=""),"",IFERROR(VLOOKUP(LEFT(UPPER(TRIM($E1585)),6),BankTbl,3,0),0)+SUMIFS(CalcDep,CalcBank,LEFT(UPPER(TRIM($E1585)),6),CalcKey,"&lt;="&amp;Calc!$H1585)-SUMIFS(CalcWit,CalcBank,LEFT(UPPER(TRIM($E1585)),6),CalcKey,"&lt;="&amp;Calc!$H1585))</f>
        <v/>
      </c>
      <c r="O1585" s="10">
        <f>IF(OR($C1585="",$M1585=""),"",IF($N1585="","؟",IF(ROUND($M1585-$N1585,0)=0,"√","×")))</f>
        <v/>
      </c>
      <c r="P1585" s="12" t="n"/>
    </row>
    <row r="1586">
      <c r="A1586" s="10">
        <f>IF($C1586="","",COUNTA($C$9:$C1586))</f>
        <v/>
      </c>
      <c r="B1586" s="10">
        <f>IF($C1586="","","TXN-"&amp;RIGHT("0000"&amp;1578,4))</f>
        <v/>
      </c>
      <c r="C1586" s="11" t="n"/>
      <c r="D1586" s="11" t="n"/>
      <c r="E1586" s="12" t="n"/>
      <c r="F1586" s="10">
        <f>IF($E1586="","",IFERROR(IF(VLOOKUP(LEFT(UPPER(TRIM($E1586)),6),BankTbl,2,0)="","(بدون عنوان)",VLOOKUP(LEFT(UPPER(TRIM($E1586)),6),BankTbl,2,0)),"بانک ناشناخته"))</f>
        <v/>
      </c>
      <c r="G1586" s="11" t="n"/>
      <c r="H1586" s="10">
        <f>IF($G1586="","",IFERROR(VLOOKUP($G1586,CustTbl,2,0),IFERROR(VLOOKUP($G1586,SuppTbl,2,0),IFERROR(VLOOKUP($G1586,AcctTbl,2,0),IFERROR(VLOOKUP($G1586,StaffTbl,2,0),"کد ناشناخته")))))</f>
        <v/>
      </c>
      <c r="I1586" s="12" t="n"/>
      <c r="J1586" s="12" t="n"/>
      <c r="K1586" s="13" t="n"/>
      <c r="L1586" s="13" t="n"/>
      <c r="M1586" s="13" t="n"/>
      <c r="N1586" s="14">
        <f>IF(OR($C1586="",$E1586="",Calc!$H1586=""),"",IFERROR(VLOOKUP(LEFT(UPPER(TRIM($E1586)),6),BankTbl,3,0),0)+SUMIFS(CalcDep,CalcBank,LEFT(UPPER(TRIM($E1586)),6),CalcKey,"&lt;="&amp;Calc!$H1586)-SUMIFS(CalcWit,CalcBank,LEFT(UPPER(TRIM($E1586)),6),CalcKey,"&lt;="&amp;Calc!$H1586))</f>
        <v/>
      </c>
      <c r="O1586" s="10">
        <f>IF(OR($C1586="",$M1586=""),"",IF($N1586="","؟",IF(ROUND($M1586-$N1586,0)=0,"√","×")))</f>
        <v/>
      </c>
      <c r="P1586" s="12" t="n"/>
    </row>
    <row r="1587">
      <c r="A1587" s="10">
        <f>IF($C1587="","",COUNTA($C$9:$C1587))</f>
        <v/>
      </c>
      <c r="B1587" s="10">
        <f>IF($C1587="","","TXN-"&amp;RIGHT("0000"&amp;1579,4))</f>
        <v/>
      </c>
      <c r="C1587" s="11" t="n"/>
      <c r="D1587" s="11" t="n"/>
      <c r="E1587" s="12" t="n"/>
      <c r="F1587" s="10">
        <f>IF($E1587="","",IFERROR(IF(VLOOKUP(LEFT(UPPER(TRIM($E1587)),6),BankTbl,2,0)="","(بدون عنوان)",VLOOKUP(LEFT(UPPER(TRIM($E1587)),6),BankTbl,2,0)),"بانک ناشناخته"))</f>
        <v/>
      </c>
      <c r="G1587" s="11" t="n"/>
      <c r="H1587" s="10">
        <f>IF($G1587="","",IFERROR(VLOOKUP($G1587,CustTbl,2,0),IFERROR(VLOOKUP($G1587,SuppTbl,2,0),IFERROR(VLOOKUP($G1587,AcctTbl,2,0),IFERROR(VLOOKUP($G1587,StaffTbl,2,0),"کد ناشناخته")))))</f>
        <v/>
      </c>
      <c r="I1587" s="12" t="n"/>
      <c r="J1587" s="12" t="n"/>
      <c r="K1587" s="13" t="n"/>
      <c r="L1587" s="13" t="n"/>
      <c r="M1587" s="13" t="n"/>
      <c r="N1587" s="14">
        <f>IF(OR($C1587="",$E1587="",Calc!$H1587=""),"",IFERROR(VLOOKUP(LEFT(UPPER(TRIM($E1587)),6),BankTbl,3,0),0)+SUMIFS(CalcDep,CalcBank,LEFT(UPPER(TRIM($E1587)),6),CalcKey,"&lt;="&amp;Calc!$H1587)-SUMIFS(CalcWit,CalcBank,LEFT(UPPER(TRIM($E1587)),6),CalcKey,"&lt;="&amp;Calc!$H1587))</f>
        <v/>
      </c>
      <c r="O1587" s="10">
        <f>IF(OR($C1587="",$M1587=""),"",IF($N1587="","؟",IF(ROUND($M1587-$N1587,0)=0,"√","×")))</f>
        <v/>
      </c>
      <c r="P1587" s="12" t="n"/>
    </row>
    <row r="1588">
      <c r="A1588" s="10">
        <f>IF($C1588="","",COUNTA($C$9:$C1588))</f>
        <v/>
      </c>
      <c r="B1588" s="10">
        <f>IF($C1588="","","TXN-"&amp;RIGHT("0000"&amp;1580,4))</f>
        <v/>
      </c>
      <c r="C1588" s="11" t="n"/>
      <c r="D1588" s="11" t="n"/>
      <c r="E1588" s="12" t="n"/>
      <c r="F1588" s="10">
        <f>IF($E1588="","",IFERROR(IF(VLOOKUP(LEFT(UPPER(TRIM($E1588)),6),BankTbl,2,0)="","(بدون عنوان)",VLOOKUP(LEFT(UPPER(TRIM($E1588)),6),BankTbl,2,0)),"بانک ناشناخته"))</f>
        <v/>
      </c>
      <c r="G1588" s="11" t="n"/>
      <c r="H1588" s="10">
        <f>IF($G1588="","",IFERROR(VLOOKUP($G1588,CustTbl,2,0),IFERROR(VLOOKUP($G1588,SuppTbl,2,0),IFERROR(VLOOKUP($G1588,AcctTbl,2,0),IFERROR(VLOOKUP($G1588,StaffTbl,2,0),"کد ناشناخته")))))</f>
        <v/>
      </c>
      <c r="I1588" s="12" t="n"/>
      <c r="J1588" s="12" t="n"/>
      <c r="K1588" s="13" t="n"/>
      <c r="L1588" s="13" t="n"/>
      <c r="M1588" s="13" t="n"/>
      <c r="N1588" s="14">
        <f>IF(OR($C1588="",$E1588="",Calc!$H1588=""),"",IFERROR(VLOOKUP(LEFT(UPPER(TRIM($E1588)),6),BankTbl,3,0),0)+SUMIFS(CalcDep,CalcBank,LEFT(UPPER(TRIM($E1588)),6),CalcKey,"&lt;="&amp;Calc!$H1588)-SUMIFS(CalcWit,CalcBank,LEFT(UPPER(TRIM($E1588)),6),CalcKey,"&lt;="&amp;Calc!$H1588))</f>
        <v/>
      </c>
      <c r="O1588" s="10">
        <f>IF(OR($C1588="",$M1588=""),"",IF($N1588="","؟",IF(ROUND($M1588-$N1588,0)=0,"√","×")))</f>
        <v/>
      </c>
      <c r="P1588" s="12" t="n"/>
    </row>
    <row r="1589">
      <c r="A1589" s="10">
        <f>IF($C1589="","",COUNTA($C$9:$C1589))</f>
        <v/>
      </c>
      <c r="B1589" s="10">
        <f>IF($C1589="","","TXN-"&amp;RIGHT("0000"&amp;1581,4))</f>
        <v/>
      </c>
      <c r="C1589" s="11" t="n"/>
      <c r="D1589" s="11" t="n"/>
      <c r="E1589" s="12" t="n"/>
      <c r="F1589" s="10">
        <f>IF($E1589="","",IFERROR(IF(VLOOKUP(LEFT(UPPER(TRIM($E1589)),6),BankTbl,2,0)="","(بدون عنوان)",VLOOKUP(LEFT(UPPER(TRIM($E1589)),6),BankTbl,2,0)),"بانک ناشناخته"))</f>
        <v/>
      </c>
      <c r="G1589" s="11" t="n"/>
      <c r="H1589" s="10">
        <f>IF($G1589="","",IFERROR(VLOOKUP($G1589,CustTbl,2,0),IFERROR(VLOOKUP($G1589,SuppTbl,2,0),IFERROR(VLOOKUP($G1589,AcctTbl,2,0),IFERROR(VLOOKUP($G1589,StaffTbl,2,0),"کد ناشناخته")))))</f>
        <v/>
      </c>
      <c r="I1589" s="12" t="n"/>
      <c r="J1589" s="12" t="n"/>
      <c r="K1589" s="13" t="n"/>
      <c r="L1589" s="13" t="n"/>
      <c r="M1589" s="13" t="n"/>
      <c r="N1589" s="14">
        <f>IF(OR($C1589="",$E1589="",Calc!$H1589=""),"",IFERROR(VLOOKUP(LEFT(UPPER(TRIM($E1589)),6),BankTbl,3,0),0)+SUMIFS(CalcDep,CalcBank,LEFT(UPPER(TRIM($E1589)),6),CalcKey,"&lt;="&amp;Calc!$H1589)-SUMIFS(CalcWit,CalcBank,LEFT(UPPER(TRIM($E1589)),6),CalcKey,"&lt;="&amp;Calc!$H1589))</f>
        <v/>
      </c>
      <c r="O1589" s="10">
        <f>IF(OR($C1589="",$M1589=""),"",IF($N1589="","؟",IF(ROUND($M1589-$N1589,0)=0,"√","×")))</f>
        <v/>
      </c>
      <c r="P1589" s="12" t="n"/>
    </row>
    <row r="1590">
      <c r="A1590" s="10">
        <f>IF($C1590="","",COUNTA($C$9:$C1590))</f>
        <v/>
      </c>
      <c r="B1590" s="10">
        <f>IF($C1590="","","TXN-"&amp;RIGHT("0000"&amp;1582,4))</f>
        <v/>
      </c>
      <c r="C1590" s="11" t="n"/>
      <c r="D1590" s="11" t="n"/>
      <c r="E1590" s="12" t="n"/>
      <c r="F1590" s="10">
        <f>IF($E1590="","",IFERROR(IF(VLOOKUP(LEFT(UPPER(TRIM($E1590)),6),BankTbl,2,0)="","(بدون عنوان)",VLOOKUP(LEFT(UPPER(TRIM($E1590)),6),BankTbl,2,0)),"بانک ناشناخته"))</f>
        <v/>
      </c>
      <c r="G1590" s="11" t="n"/>
      <c r="H1590" s="10">
        <f>IF($G1590="","",IFERROR(VLOOKUP($G1590,CustTbl,2,0),IFERROR(VLOOKUP($G1590,SuppTbl,2,0),IFERROR(VLOOKUP($G1590,AcctTbl,2,0),IFERROR(VLOOKUP($G1590,StaffTbl,2,0),"کد ناشناخته")))))</f>
        <v/>
      </c>
      <c r="I1590" s="12" t="n"/>
      <c r="J1590" s="12" t="n"/>
      <c r="K1590" s="13" t="n"/>
      <c r="L1590" s="13" t="n"/>
      <c r="M1590" s="13" t="n"/>
      <c r="N1590" s="14">
        <f>IF(OR($C1590="",$E1590="",Calc!$H1590=""),"",IFERROR(VLOOKUP(LEFT(UPPER(TRIM($E1590)),6),BankTbl,3,0),0)+SUMIFS(CalcDep,CalcBank,LEFT(UPPER(TRIM($E1590)),6),CalcKey,"&lt;="&amp;Calc!$H1590)-SUMIFS(CalcWit,CalcBank,LEFT(UPPER(TRIM($E1590)),6),CalcKey,"&lt;="&amp;Calc!$H1590))</f>
        <v/>
      </c>
      <c r="O1590" s="10">
        <f>IF(OR($C1590="",$M1590=""),"",IF($N1590="","؟",IF(ROUND($M1590-$N1590,0)=0,"√","×")))</f>
        <v/>
      </c>
      <c r="P1590" s="12" t="n"/>
    </row>
    <row r="1591">
      <c r="A1591" s="10">
        <f>IF($C1591="","",COUNTA($C$9:$C1591))</f>
        <v/>
      </c>
      <c r="B1591" s="10">
        <f>IF($C1591="","","TXN-"&amp;RIGHT("0000"&amp;1583,4))</f>
        <v/>
      </c>
      <c r="C1591" s="11" t="n"/>
      <c r="D1591" s="11" t="n"/>
      <c r="E1591" s="12" t="n"/>
      <c r="F1591" s="10">
        <f>IF($E1591="","",IFERROR(IF(VLOOKUP(LEFT(UPPER(TRIM($E1591)),6),BankTbl,2,0)="","(بدون عنوان)",VLOOKUP(LEFT(UPPER(TRIM($E1591)),6),BankTbl,2,0)),"بانک ناشناخته"))</f>
        <v/>
      </c>
      <c r="G1591" s="11" t="n"/>
      <c r="H1591" s="10">
        <f>IF($G1591="","",IFERROR(VLOOKUP($G1591,CustTbl,2,0),IFERROR(VLOOKUP($G1591,SuppTbl,2,0),IFERROR(VLOOKUP($G1591,AcctTbl,2,0),IFERROR(VLOOKUP($G1591,StaffTbl,2,0),"کد ناشناخته")))))</f>
        <v/>
      </c>
      <c r="I1591" s="12" t="n"/>
      <c r="J1591" s="12" t="n"/>
      <c r="K1591" s="13" t="n"/>
      <c r="L1591" s="13" t="n"/>
      <c r="M1591" s="13" t="n"/>
      <c r="N1591" s="14">
        <f>IF(OR($C1591="",$E1591="",Calc!$H1591=""),"",IFERROR(VLOOKUP(LEFT(UPPER(TRIM($E1591)),6),BankTbl,3,0),0)+SUMIFS(CalcDep,CalcBank,LEFT(UPPER(TRIM($E1591)),6),CalcKey,"&lt;="&amp;Calc!$H1591)-SUMIFS(CalcWit,CalcBank,LEFT(UPPER(TRIM($E1591)),6),CalcKey,"&lt;="&amp;Calc!$H1591))</f>
        <v/>
      </c>
      <c r="O1591" s="10">
        <f>IF(OR($C1591="",$M1591=""),"",IF($N1591="","؟",IF(ROUND($M1591-$N1591,0)=0,"√","×")))</f>
        <v/>
      </c>
      <c r="P1591" s="12" t="n"/>
    </row>
    <row r="1592">
      <c r="A1592" s="10">
        <f>IF($C1592="","",COUNTA($C$9:$C1592))</f>
        <v/>
      </c>
      <c r="B1592" s="10">
        <f>IF($C1592="","","TXN-"&amp;RIGHT("0000"&amp;1584,4))</f>
        <v/>
      </c>
      <c r="C1592" s="11" t="n"/>
      <c r="D1592" s="11" t="n"/>
      <c r="E1592" s="12" t="n"/>
      <c r="F1592" s="10">
        <f>IF($E1592="","",IFERROR(IF(VLOOKUP(LEFT(UPPER(TRIM($E1592)),6),BankTbl,2,0)="","(بدون عنوان)",VLOOKUP(LEFT(UPPER(TRIM($E1592)),6),BankTbl,2,0)),"بانک ناشناخته"))</f>
        <v/>
      </c>
      <c r="G1592" s="11" t="n"/>
      <c r="H1592" s="10">
        <f>IF($G1592="","",IFERROR(VLOOKUP($G1592,CustTbl,2,0),IFERROR(VLOOKUP($G1592,SuppTbl,2,0),IFERROR(VLOOKUP($G1592,AcctTbl,2,0),IFERROR(VLOOKUP($G1592,StaffTbl,2,0),"کد ناشناخته")))))</f>
        <v/>
      </c>
      <c r="I1592" s="12" t="n"/>
      <c r="J1592" s="12" t="n"/>
      <c r="K1592" s="13" t="n"/>
      <c r="L1592" s="13" t="n"/>
      <c r="M1592" s="13" t="n"/>
      <c r="N1592" s="14">
        <f>IF(OR($C1592="",$E1592="",Calc!$H1592=""),"",IFERROR(VLOOKUP(LEFT(UPPER(TRIM($E1592)),6),BankTbl,3,0),0)+SUMIFS(CalcDep,CalcBank,LEFT(UPPER(TRIM($E1592)),6),CalcKey,"&lt;="&amp;Calc!$H1592)-SUMIFS(CalcWit,CalcBank,LEFT(UPPER(TRIM($E1592)),6),CalcKey,"&lt;="&amp;Calc!$H1592))</f>
        <v/>
      </c>
      <c r="O1592" s="10">
        <f>IF(OR($C1592="",$M1592=""),"",IF($N1592="","؟",IF(ROUND($M1592-$N1592,0)=0,"√","×")))</f>
        <v/>
      </c>
      <c r="P1592" s="12" t="n"/>
    </row>
    <row r="1593">
      <c r="A1593" s="10">
        <f>IF($C1593="","",COUNTA($C$9:$C1593))</f>
        <v/>
      </c>
      <c r="B1593" s="10">
        <f>IF($C1593="","","TXN-"&amp;RIGHT("0000"&amp;1585,4))</f>
        <v/>
      </c>
      <c r="C1593" s="11" t="n"/>
      <c r="D1593" s="11" t="n"/>
      <c r="E1593" s="12" t="n"/>
      <c r="F1593" s="10">
        <f>IF($E1593="","",IFERROR(IF(VLOOKUP(LEFT(UPPER(TRIM($E1593)),6),BankTbl,2,0)="","(بدون عنوان)",VLOOKUP(LEFT(UPPER(TRIM($E1593)),6),BankTbl,2,0)),"بانک ناشناخته"))</f>
        <v/>
      </c>
      <c r="G1593" s="11" t="n"/>
      <c r="H1593" s="10">
        <f>IF($G1593="","",IFERROR(VLOOKUP($G1593,CustTbl,2,0),IFERROR(VLOOKUP($G1593,SuppTbl,2,0),IFERROR(VLOOKUP($G1593,AcctTbl,2,0),IFERROR(VLOOKUP($G1593,StaffTbl,2,0),"کد ناشناخته")))))</f>
        <v/>
      </c>
      <c r="I1593" s="12" t="n"/>
      <c r="J1593" s="12" t="n"/>
      <c r="K1593" s="13" t="n"/>
      <c r="L1593" s="13" t="n"/>
      <c r="M1593" s="13" t="n"/>
      <c r="N1593" s="14">
        <f>IF(OR($C1593="",$E1593="",Calc!$H1593=""),"",IFERROR(VLOOKUP(LEFT(UPPER(TRIM($E1593)),6),BankTbl,3,0),0)+SUMIFS(CalcDep,CalcBank,LEFT(UPPER(TRIM($E1593)),6),CalcKey,"&lt;="&amp;Calc!$H1593)-SUMIFS(CalcWit,CalcBank,LEFT(UPPER(TRIM($E1593)),6),CalcKey,"&lt;="&amp;Calc!$H1593))</f>
        <v/>
      </c>
      <c r="O1593" s="10">
        <f>IF(OR($C1593="",$M1593=""),"",IF($N1593="","؟",IF(ROUND($M1593-$N1593,0)=0,"√","×")))</f>
        <v/>
      </c>
      <c r="P1593" s="12" t="n"/>
    </row>
    <row r="1594">
      <c r="A1594" s="10">
        <f>IF($C1594="","",COUNTA($C$9:$C1594))</f>
        <v/>
      </c>
      <c r="B1594" s="10">
        <f>IF($C1594="","","TXN-"&amp;RIGHT("0000"&amp;1586,4))</f>
        <v/>
      </c>
      <c r="C1594" s="11" t="n"/>
      <c r="D1594" s="11" t="n"/>
      <c r="E1594" s="12" t="n"/>
      <c r="F1594" s="10">
        <f>IF($E1594="","",IFERROR(IF(VLOOKUP(LEFT(UPPER(TRIM($E1594)),6),BankTbl,2,0)="","(بدون عنوان)",VLOOKUP(LEFT(UPPER(TRIM($E1594)),6),BankTbl,2,0)),"بانک ناشناخته"))</f>
        <v/>
      </c>
      <c r="G1594" s="11" t="n"/>
      <c r="H1594" s="10">
        <f>IF($G1594="","",IFERROR(VLOOKUP($G1594,CustTbl,2,0),IFERROR(VLOOKUP($G1594,SuppTbl,2,0),IFERROR(VLOOKUP($G1594,AcctTbl,2,0),IFERROR(VLOOKUP($G1594,StaffTbl,2,0),"کد ناشناخته")))))</f>
        <v/>
      </c>
      <c r="I1594" s="12" t="n"/>
      <c r="J1594" s="12" t="n"/>
      <c r="K1594" s="13" t="n"/>
      <c r="L1594" s="13" t="n"/>
      <c r="M1594" s="13" t="n"/>
      <c r="N1594" s="14">
        <f>IF(OR($C1594="",$E1594="",Calc!$H1594=""),"",IFERROR(VLOOKUP(LEFT(UPPER(TRIM($E1594)),6),BankTbl,3,0),0)+SUMIFS(CalcDep,CalcBank,LEFT(UPPER(TRIM($E1594)),6),CalcKey,"&lt;="&amp;Calc!$H1594)-SUMIFS(CalcWit,CalcBank,LEFT(UPPER(TRIM($E1594)),6),CalcKey,"&lt;="&amp;Calc!$H1594))</f>
        <v/>
      </c>
      <c r="O1594" s="10">
        <f>IF(OR($C1594="",$M1594=""),"",IF($N1594="","؟",IF(ROUND($M1594-$N1594,0)=0,"√","×")))</f>
        <v/>
      </c>
      <c r="P1594" s="12" t="n"/>
    </row>
    <row r="1595">
      <c r="A1595" s="10">
        <f>IF($C1595="","",COUNTA($C$9:$C1595))</f>
        <v/>
      </c>
      <c r="B1595" s="10">
        <f>IF($C1595="","","TXN-"&amp;RIGHT("0000"&amp;1587,4))</f>
        <v/>
      </c>
      <c r="C1595" s="11" t="n"/>
      <c r="D1595" s="11" t="n"/>
      <c r="E1595" s="12" t="n"/>
      <c r="F1595" s="10">
        <f>IF($E1595="","",IFERROR(IF(VLOOKUP(LEFT(UPPER(TRIM($E1595)),6),BankTbl,2,0)="","(بدون عنوان)",VLOOKUP(LEFT(UPPER(TRIM($E1595)),6),BankTbl,2,0)),"بانک ناشناخته"))</f>
        <v/>
      </c>
      <c r="G1595" s="11" t="n"/>
      <c r="H1595" s="10">
        <f>IF($G1595="","",IFERROR(VLOOKUP($G1595,CustTbl,2,0),IFERROR(VLOOKUP($G1595,SuppTbl,2,0),IFERROR(VLOOKUP($G1595,AcctTbl,2,0),IFERROR(VLOOKUP($G1595,StaffTbl,2,0),"کد ناشناخته")))))</f>
        <v/>
      </c>
      <c r="I1595" s="12" t="n"/>
      <c r="J1595" s="12" t="n"/>
      <c r="K1595" s="13" t="n"/>
      <c r="L1595" s="13" t="n"/>
      <c r="M1595" s="13" t="n"/>
      <c r="N1595" s="14">
        <f>IF(OR($C1595="",$E1595="",Calc!$H1595=""),"",IFERROR(VLOOKUP(LEFT(UPPER(TRIM($E1595)),6),BankTbl,3,0),0)+SUMIFS(CalcDep,CalcBank,LEFT(UPPER(TRIM($E1595)),6),CalcKey,"&lt;="&amp;Calc!$H1595)-SUMIFS(CalcWit,CalcBank,LEFT(UPPER(TRIM($E1595)),6),CalcKey,"&lt;="&amp;Calc!$H1595))</f>
        <v/>
      </c>
      <c r="O1595" s="10">
        <f>IF(OR($C1595="",$M1595=""),"",IF($N1595="","؟",IF(ROUND($M1595-$N1595,0)=0,"√","×")))</f>
        <v/>
      </c>
      <c r="P1595" s="12" t="n"/>
    </row>
    <row r="1596">
      <c r="A1596" s="10">
        <f>IF($C1596="","",COUNTA($C$9:$C1596))</f>
        <v/>
      </c>
      <c r="B1596" s="10">
        <f>IF($C1596="","","TXN-"&amp;RIGHT("0000"&amp;1588,4))</f>
        <v/>
      </c>
      <c r="C1596" s="11" t="n"/>
      <c r="D1596" s="11" t="n"/>
      <c r="E1596" s="12" t="n"/>
      <c r="F1596" s="10">
        <f>IF($E1596="","",IFERROR(IF(VLOOKUP(LEFT(UPPER(TRIM($E1596)),6),BankTbl,2,0)="","(بدون عنوان)",VLOOKUP(LEFT(UPPER(TRIM($E1596)),6),BankTbl,2,0)),"بانک ناشناخته"))</f>
        <v/>
      </c>
      <c r="G1596" s="11" t="n"/>
      <c r="H1596" s="10">
        <f>IF($G1596="","",IFERROR(VLOOKUP($G1596,CustTbl,2,0),IFERROR(VLOOKUP($G1596,SuppTbl,2,0),IFERROR(VLOOKUP($G1596,AcctTbl,2,0),IFERROR(VLOOKUP($G1596,StaffTbl,2,0),"کد ناشناخته")))))</f>
        <v/>
      </c>
      <c r="I1596" s="12" t="n"/>
      <c r="J1596" s="12" t="n"/>
      <c r="K1596" s="13" t="n"/>
      <c r="L1596" s="13" t="n"/>
      <c r="M1596" s="13" t="n"/>
      <c r="N1596" s="14">
        <f>IF(OR($C1596="",$E1596="",Calc!$H1596=""),"",IFERROR(VLOOKUP(LEFT(UPPER(TRIM($E1596)),6),BankTbl,3,0),0)+SUMIFS(CalcDep,CalcBank,LEFT(UPPER(TRIM($E1596)),6),CalcKey,"&lt;="&amp;Calc!$H1596)-SUMIFS(CalcWit,CalcBank,LEFT(UPPER(TRIM($E1596)),6),CalcKey,"&lt;="&amp;Calc!$H1596))</f>
        <v/>
      </c>
      <c r="O1596" s="10">
        <f>IF(OR($C1596="",$M1596=""),"",IF($N1596="","؟",IF(ROUND($M1596-$N1596,0)=0,"√","×")))</f>
        <v/>
      </c>
      <c r="P1596" s="12" t="n"/>
    </row>
    <row r="1597">
      <c r="A1597" s="10">
        <f>IF($C1597="","",COUNTA($C$9:$C1597))</f>
        <v/>
      </c>
      <c r="B1597" s="10">
        <f>IF($C1597="","","TXN-"&amp;RIGHT("0000"&amp;1589,4))</f>
        <v/>
      </c>
      <c r="C1597" s="11" t="n"/>
      <c r="D1597" s="11" t="n"/>
      <c r="E1597" s="12" t="n"/>
      <c r="F1597" s="10">
        <f>IF($E1597="","",IFERROR(IF(VLOOKUP(LEFT(UPPER(TRIM($E1597)),6),BankTbl,2,0)="","(بدون عنوان)",VLOOKUP(LEFT(UPPER(TRIM($E1597)),6),BankTbl,2,0)),"بانک ناشناخته"))</f>
        <v/>
      </c>
      <c r="G1597" s="11" t="n"/>
      <c r="H1597" s="10">
        <f>IF($G1597="","",IFERROR(VLOOKUP($G1597,CustTbl,2,0),IFERROR(VLOOKUP($G1597,SuppTbl,2,0),IFERROR(VLOOKUP($G1597,AcctTbl,2,0),IFERROR(VLOOKUP($G1597,StaffTbl,2,0),"کد ناشناخته")))))</f>
        <v/>
      </c>
      <c r="I1597" s="12" t="n"/>
      <c r="J1597" s="12" t="n"/>
      <c r="K1597" s="13" t="n"/>
      <c r="L1597" s="13" t="n"/>
      <c r="M1597" s="13" t="n"/>
      <c r="N1597" s="14">
        <f>IF(OR($C1597="",$E1597="",Calc!$H1597=""),"",IFERROR(VLOOKUP(LEFT(UPPER(TRIM($E1597)),6),BankTbl,3,0),0)+SUMIFS(CalcDep,CalcBank,LEFT(UPPER(TRIM($E1597)),6),CalcKey,"&lt;="&amp;Calc!$H1597)-SUMIFS(CalcWit,CalcBank,LEFT(UPPER(TRIM($E1597)),6),CalcKey,"&lt;="&amp;Calc!$H1597))</f>
        <v/>
      </c>
      <c r="O1597" s="10">
        <f>IF(OR($C1597="",$M1597=""),"",IF($N1597="","؟",IF(ROUND($M1597-$N1597,0)=0,"√","×")))</f>
        <v/>
      </c>
      <c r="P1597" s="12" t="n"/>
    </row>
    <row r="1598">
      <c r="A1598" s="10">
        <f>IF($C1598="","",COUNTA($C$9:$C1598))</f>
        <v/>
      </c>
      <c r="B1598" s="10">
        <f>IF($C1598="","","TXN-"&amp;RIGHT("0000"&amp;1590,4))</f>
        <v/>
      </c>
      <c r="C1598" s="11" t="n"/>
      <c r="D1598" s="11" t="n"/>
      <c r="E1598" s="12" t="n"/>
      <c r="F1598" s="10">
        <f>IF($E1598="","",IFERROR(IF(VLOOKUP(LEFT(UPPER(TRIM($E1598)),6),BankTbl,2,0)="","(بدون عنوان)",VLOOKUP(LEFT(UPPER(TRIM($E1598)),6),BankTbl,2,0)),"بانک ناشناخته"))</f>
        <v/>
      </c>
      <c r="G1598" s="11" t="n"/>
      <c r="H1598" s="10">
        <f>IF($G1598="","",IFERROR(VLOOKUP($G1598,CustTbl,2,0),IFERROR(VLOOKUP($G1598,SuppTbl,2,0),IFERROR(VLOOKUP($G1598,AcctTbl,2,0),IFERROR(VLOOKUP($G1598,StaffTbl,2,0),"کد ناشناخته")))))</f>
        <v/>
      </c>
      <c r="I1598" s="12" t="n"/>
      <c r="J1598" s="12" t="n"/>
      <c r="K1598" s="13" t="n"/>
      <c r="L1598" s="13" t="n"/>
      <c r="M1598" s="13" t="n"/>
      <c r="N1598" s="14">
        <f>IF(OR($C1598="",$E1598="",Calc!$H1598=""),"",IFERROR(VLOOKUP(LEFT(UPPER(TRIM($E1598)),6),BankTbl,3,0),0)+SUMIFS(CalcDep,CalcBank,LEFT(UPPER(TRIM($E1598)),6),CalcKey,"&lt;="&amp;Calc!$H1598)-SUMIFS(CalcWit,CalcBank,LEFT(UPPER(TRIM($E1598)),6),CalcKey,"&lt;="&amp;Calc!$H1598))</f>
        <v/>
      </c>
      <c r="O1598" s="10">
        <f>IF(OR($C1598="",$M1598=""),"",IF($N1598="","؟",IF(ROUND($M1598-$N1598,0)=0,"√","×")))</f>
        <v/>
      </c>
      <c r="P1598" s="12" t="n"/>
    </row>
    <row r="1599">
      <c r="A1599" s="10">
        <f>IF($C1599="","",COUNTA($C$9:$C1599))</f>
        <v/>
      </c>
      <c r="B1599" s="10">
        <f>IF($C1599="","","TXN-"&amp;RIGHT("0000"&amp;1591,4))</f>
        <v/>
      </c>
      <c r="C1599" s="11" t="n"/>
      <c r="D1599" s="11" t="n"/>
      <c r="E1599" s="12" t="n"/>
      <c r="F1599" s="10">
        <f>IF($E1599="","",IFERROR(IF(VLOOKUP(LEFT(UPPER(TRIM($E1599)),6),BankTbl,2,0)="","(بدون عنوان)",VLOOKUP(LEFT(UPPER(TRIM($E1599)),6),BankTbl,2,0)),"بانک ناشناخته"))</f>
        <v/>
      </c>
      <c r="G1599" s="11" t="n"/>
      <c r="H1599" s="10">
        <f>IF($G1599="","",IFERROR(VLOOKUP($G1599,CustTbl,2,0),IFERROR(VLOOKUP($G1599,SuppTbl,2,0),IFERROR(VLOOKUP($G1599,AcctTbl,2,0),IFERROR(VLOOKUP($G1599,StaffTbl,2,0),"کد ناشناخته")))))</f>
        <v/>
      </c>
      <c r="I1599" s="12" t="n"/>
      <c r="J1599" s="12" t="n"/>
      <c r="K1599" s="13" t="n"/>
      <c r="L1599" s="13" t="n"/>
      <c r="M1599" s="13" t="n"/>
      <c r="N1599" s="14">
        <f>IF(OR($C1599="",$E1599="",Calc!$H1599=""),"",IFERROR(VLOOKUP(LEFT(UPPER(TRIM($E1599)),6),BankTbl,3,0),0)+SUMIFS(CalcDep,CalcBank,LEFT(UPPER(TRIM($E1599)),6),CalcKey,"&lt;="&amp;Calc!$H1599)-SUMIFS(CalcWit,CalcBank,LEFT(UPPER(TRIM($E1599)),6),CalcKey,"&lt;="&amp;Calc!$H1599))</f>
        <v/>
      </c>
      <c r="O1599" s="10">
        <f>IF(OR($C1599="",$M1599=""),"",IF($N1599="","؟",IF(ROUND($M1599-$N1599,0)=0,"√","×")))</f>
        <v/>
      </c>
      <c r="P1599" s="12" t="n"/>
    </row>
    <row r="1600">
      <c r="A1600" s="10">
        <f>IF($C1600="","",COUNTA($C$9:$C1600))</f>
        <v/>
      </c>
      <c r="B1600" s="10">
        <f>IF($C1600="","","TXN-"&amp;RIGHT("0000"&amp;1592,4))</f>
        <v/>
      </c>
      <c r="C1600" s="11" t="n"/>
      <c r="D1600" s="11" t="n"/>
      <c r="E1600" s="12" t="n"/>
      <c r="F1600" s="10">
        <f>IF($E1600="","",IFERROR(IF(VLOOKUP(LEFT(UPPER(TRIM($E1600)),6),BankTbl,2,0)="","(بدون عنوان)",VLOOKUP(LEFT(UPPER(TRIM($E1600)),6),BankTbl,2,0)),"بانک ناشناخته"))</f>
        <v/>
      </c>
      <c r="G1600" s="11" t="n"/>
      <c r="H1600" s="10">
        <f>IF($G1600="","",IFERROR(VLOOKUP($G1600,CustTbl,2,0),IFERROR(VLOOKUP($G1600,SuppTbl,2,0),IFERROR(VLOOKUP($G1600,AcctTbl,2,0),IFERROR(VLOOKUP($G1600,StaffTbl,2,0),"کد ناشناخته")))))</f>
        <v/>
      </c>
      <c r="I1600" s="12" t="n"/>
      <c r="J1600" s="12" t="n"/>
      <c r="K1600" s="13" t="n"/>
      <c r="L1600" s="13" t="n"/>
      <c r="M1600" s="13" t="n"/>
      <c r="N1600" s="14">
        <f>IF(OR($C1600="",$E1600="",Calc!$H1600=""),"",IFERROR(VLOOKUP(LEFT(UPPER(TRIM($E1600)),6),BankTbl,3,0),0)+SUMIFS(CalcDep,CalcBank,LEFT(UPPER(TRIM($E1600)),6),CalcKey,"&lt;="&amp;Calc!$H1600)-SUMIFS(CalcWit,CalcBank,LEFT(UPPER(TRIM($E1600)),6),CalcKey,"&lt;="&amp;Calc!$H1600))</f>
        <v/>
      </c>
      <c r="O1600" s="10">
        <f>IF(OR($C1600="",$M1600=""),"",IF($N1600="","؟",IF(ROUND($M1600-$N1600,0)=0,"√","×")))</f>
        <v/>
      </c>
      <c r="P1600" s="12" t="n"/>
    </row>
    <row r="1601">
      <c r="A1601" s="10">
        <f>IF($C1601="","",COUNTA($C$9:$C1601))</f>
        <v/>
      </c>
      <c r="B1601" s="10">
        <f>IF($C1601="","","TXN-"&amp;RIGHT("0000"&amp;1593,4))</f>
        <v/>
      </c>
      <c r="C1601" s="11" t="n"/>
      <c r="D1601" s="11" t="n"/>
      <c r="E1601" s="12" t="n"/>
      <c r="F1601" s="10">
        <f>IF($E1601="","",IFERROR(IF(VLOOKUP(LEFT(UPPER(TRIM($E1601)),6),BankTbl,2,0)="","(بدون عنوان)",VLOOKUP(LEFT(UPPER(TRIM($E1601)),6),BankTbl,2,0)),"بانک ناشناخته"))</f>
        <v/>
      </c>
      <c r="G1601" s="11" t="n"/>
      <c r="H1601" s="10">
        <f>IF($G1601="","",IFERROR(VLOOKUP($G1601,CustTbl,2,0),IFERROR(VLOOKUP($G1601,SuppTbl,2,0),IFERROR(VLOOKUP($G1601,AcctTbl,2,0),IFERROR(VLOOKUP($G1601,StaffTbl,2,0),"کد ناشناخته")))))</f>
        <v/>
      </c>
      <c r="I1601" s="12" t="n"/>
      <c r="J1601" s="12" t="n"/>
      <c r="K1601" s="13" t="n"/>
      <c r="L1601" s="13" t="n"/>
      <c r="M1601" s="13" t="n"/>
      <c r="N1601" s="14">
        <f>IF(OR($C1601="",$E1601="",Calc!$H1601=""),"",IFERROR(VLOOKUP(LEFT(UPPER(TRIM($E1601)),6),BankTbl,3,0),0)+SUMIFS(CalcDep,CalcBank,LEFT(UPPER(TRIM($E1601)),6),CalcKey,"&lt;="&amp;Calc!$H1601)-SUMIFS(CalcWit,CalcBank,LEFT(UPPER(TRIM($E1601)),6),CalcKey,"&lt;="&amp;Calc!$H1601))</f>
        <v/>
      </c>
      <c r="O1601" s="10">
        <f>IF(OR($C1601="",$M1601=""),"",IF($N1601="","؟",IF(ROUND($M1601-$N1601,0)=0,"√","×")))</f>
        <v/>
      </c>
      <c r="P1601" s="12" t="n"/>
    </row>
    <row r="1602">
      <c r="A1602" s="10">
        <f>IF($C1602="","",COUNTA($C$9:$C1602))</f>
        <v/>
      </c>
      <c r="B1602" s="10">
        <f>IF($C1602="","","TXN-"&amp;RIGHT("0000"&amp;1594,4))</f>
        <v/>
      </c>
      <c r="C1602" s="11" t="n"/>
      <c r="D1602" s="11" t="n"/>
      <c r="E1602" s="12" t="n"/>
      <c r="F1602" s="10">
        <f>IF($E1602="","",IFERROR(IF(VLOOKUP(LEFT(UPPER(TRIM($E1602)),6),BankTbl,2,0)="","(بدون عنوان)",VLOOKUP(LEFT(UPPER(TRIM($E1602)),6),BankTbl,2,0)),"بانک ناشناخته"))</f>
        <v/>
      </c>
      <c r="G1602" s="11" t="n"/>
      <c r="H1602" s="10">
        <f>IF($G1602="","",IFERROR(VLOOKUP($G1602,CustTbl,2,0),IFERROR(VLOOKUP($G1602,SuppTbl,2,0),IFERROR(VLOOKUP($G1602,AcctTbl,2,0),IFERROR(VLOOKUP($G1602,StaffTbl,2,0),"کد ناشناخته")))))</f>
        <v/>
      </c>
      <c r="I1602" s="12" t="n"/>
      <c r="J1602" s="12" t="n"/>
      <c r="K1602" s="13" t="n"/>
      <c r="L1602" s="13" t="n"/>
      <c r="M1602" s="13" t="n"/>
      <c r="N1602" s="14">
        <f>IF(OR($C1602="",$E1602="",Calc!$H1602=""),"",IFERROR(VLOOKUP(LEFT(UPPER(TRIM($E1602)),6),BankTbl,3,0),0)+SUMIFS(CalcDep,CalcBank,LEFT(UPPER(TRIM($E1602)),6),CalcKey,"&lt;="&amp;Calc!$H1602)-SUMIFS(CalcWit,CalcBank,LEFT(UPPER(TRIM($E1602)),6),CalcKey,"&lt;="&amp;Calc!$H1602))</f>
        <v/>
      </c>
      <c r="O1602" s="10">
        <f>IF(OR($C1602="",$M1602=""),"",IF($N1602="","؟",IF(ROUND($M1602-$N1602,0)=0,"√","×")))</f>
        <v/>
      </c>
      <c r="P1602" s="12" t="n"/>
    </row>
    <row r="1603">
      <c r="A1603" s="10">
        <f>IF($C1603="","",COUNTA($C$9:$C1603))</f>
        <v/>
      </c>
      <c r="B1603" s="10">
        <f>IF($C1603="","","TXN-"&amp;RIGHT("0000"&amp;1595,4))</f>
        <v/>
      </c>
      <c r="C1603" s="11" t="n"/>
      <c r="D1603" s="11" t="n"/>
      <c r="E1603" s="12" t="n"/>
      <c r="F1603" s="10">
        <f>IF($E1603="","",IFERROR(IF(VLOOKUP(LEFT(UPPER(TRIM($E1603)),6),BankTbl,2,0)="","(بدون عنوان)",VLOOKUP(LEFT(UPPER(TRIM($E1603)),6),BankTbl,2,0)),"بانک ناشناخته"))</f>
        <v/>
      </c>
      <c r="G1603" s="11" t="n"/>
      <c r="H1603" s="10">
        <f>IF($G1603="","",IFERROR(VLOOKUP($G1603,CustTbl,2,0),IFERROR(VLOOKUP($G1603,SuppTbl,2,0),IFERROR(VLOOKUP($G1603,AcctTbl,2,0),IFERROR(VLOOKUP($G1603,StaffTbl,2,0),"کد ناشناخته")))))</f>
        <v/>
      </c>
      <c r="I1603" s="12" t="n"/>
      <c r="J1603" s="12" t="n"/>
      <c r="K1603" s="13" t="n"/>
      <c r="L1603" s="13" t="n"/>
      <c r="M1603" s="13" t="n"/>
      <c r="N1603" s="14">
        <f>IF(OR($C1603="",$E1603="",Calc!$H1603=""),"",IFERROR(VLOOKUP(LEFT(UPPER(TRIM($E1603)),6),BankTbl,3,0),0)+SUMIFS(CalcDep,CalcBank,LEFT(UPPER(TRIM($E1603)),6),CalcKey,"&lt;="&amp;Calc!$H1603)-SUMIFS(CalcWit,CalcBank,LEFT(UPPER(TRIM($E1603)),6),CalcKey,"&lt;="&amp;Calc!$H1603))</f>
        <v/>
      </c>
      <c r="O1603" s="10">
        <f>IF(OR($C1603="",$M1603=""),"",IF($N1603="","؟",IF(ROUND($M1603-$N1603,0)=0,"√","×")))</f>
        <v/>
      </c>
      <c r="P1603" s="12" t="n"/>
    </row>
    <row r="1604">
      <c r="A1604" s="10">
        <f>IF($C1604="","",COUNTA($C$9:$C1604))</f>
        <v/>
      </c>
      <c r="B1604" s="10">
        <f>IF($C1604="","","TXN-"&amp;RIGHT("0000"&amp;1596,4))</f>
        <v/>
      </c>
      <c r="C1604" s="11" t="n"/>
      <c r="D1604" s="11" t="n"/>
      <c r="E1604" s="12" t="n"/>
      <c r="F1604" s="10">
        <f>IF($E1604="","",IFERROR(IF(VLOOKUP(LEFT(UPPER(TRIM($E1604)),6),BankTbl,2,0)="","(بدون عنوان)",VLOOKUP(LEFT(UPPER(TRIM($E1604)),6),BankTbl,2,0)),"بانک ناشناخته"))</f>
        <v/>
      </c>
      <c r="G1604" s="11" t="n"/>
      <c r="H1604" s="10">
        <f>IF($G1604="","",IFERROR(VLOOKUP($G1604,CustTbl,2,0),IFERROR(VLOOKUP($G1604,SuppTbl,2,0),IFERROR(VLOOKUP($G1604,AcctTbl,2,0),IFERROR(VLOOKUP($G1604,StaffTbl,2,0),"کد ناشناخته")))))</f>
        <v/>
      </c>
      <c r="I1604" s="12" t="n"/>
      <c r="J1604" s="12" t="n"/>
      <c r="K1604" s="13" t="n"/>
      <c r="L1604" s="13" t="n"/>
      <c r="M1604" s="13" t="n"/>
      <c r="N1604" s="14">
        <f>IF(OR($C1604="",$E1604="",Calc!$H1604=""),"",IFERROR(VLOOKUP(LEFT(UPPER(TRIM($E1604)),6),BankTbl,3,0),0)+SUMIFS(CalcDep,CalcBank,LEFT(UPPER(TRIM($E1604)),6),CalcKey,"&lt;="&amp;Calc!$H1604)-SUMIFS(CalcWit,CalcBank,LEFT(UPPER(TRIM($E1604)),6),CalcKey,"&lt;="&amp;Calc!$H1604))</f>
        <v/>
      </c>
      <c r="O1604" s="10">
        <f>IF(OR($C1604="",$M1604=""),"",IF($N1604="","؟",IF(ROUND($M1604-$N1604,0)=0,"√","×")))</f>
        <v/>
      </c>
      <c r="P1604" s="12" t="n"/>
    </row>
    <row r="1605">
      <c r="A1605" s="10">
        <f>IF($C1605="","",COUNTA($C$9:$C1605))</f>
        <v/>
      </c>
      <c r="B1605" s="10">
        <f>IF($C1605="","","TXN-"&amp;RIGHT("0000"&amp;1597,4))</f>
        <v/>
      </c>
      <c r="C1605" s="11" t="n"/>
      <c r="D1605" s="11" t="n"/>
      <c r="E1605" s="12" t="n"/>
      <c r="F1605" s="10">
        <f>IF($E1605="","",IFERROR(IF(VLOOKUP(LEFT(UPPER(TRIM($E1605)),6),BankTbl,2,0)="","(بدون عنوان)",VLOOKUP(LEFT(UPPER(TRIM($E1605)),6),BankTbl,2,0)),"بانک ناشناخته"))</f>
        <v/>
      </c>
      <c r="G1605" s="11" t="n"/>
      <c r="H1605" s="10">
        <f>IF($G1605="","",IFERROR(VLOOKUP($G1605,CustTbl,2,0),IFERROR(VLOOKUP($G1605,SuppTbl,2,0),IFERROR(VLOOKUP($G1605,AcctTbl,2,0),IFERROR(VLOOKUP($G1605,StaffTbl,2,0),"کد ناشناخته")))))</f>
        <v/>
      </c>
      <c r="I1605" s="12" t="n"/>
      <c r="J1605" s="12" t="n"/>
      <c r="K1605" s="13" t="n"/>
      <c r="L1605" s="13" t="n"/>
      <c r="M1605" s="13" t="n"/>
      <c r="N1605" s="14">
        <f>IF(OR($C1605="",$E1605="",Calc!$H1605=""),"",IFERROR(VLOOKUP(LEFT(UPPER(TRIM($E1605)),6),BankTbl,3,0),0)+SUMIFS(CalcDep,CalcBank,LEFT(UPPER(TRIM($E1605)),6),CalcKey,"&lt;="&amp;Calc!$H1605)-SUMIFS(CalcWit,CalcBank,LEFT(UPPER(TRIM($E1605)),6),CalcKey,"&lt;="&amp;Calc!$H1605))</f>
        <v/>
      </c>
      <c r="O1605" s="10">
        <f>IF(OR($C1605="",$M1605=""),"",IF($N1605="","؟",IF(ROUND($M1605-$N1605,0)=0,"√","×")))</f>
        <v/>
      </c>
      <c r="P1605" s="12" t="n"/>
    </row>
    <row r="1606">
      <c r="A1606" s="10">
        <f>IF($C1606="","",COUNTA($C$9:$C1606))</f>
        <v/>
      </c>
      <c r="B1606" s="10">
        <f>IF($C1606="","","TXN-"&amp;RIGHT("0000"&amp;1598,4))</f>
        <v/>
      </c>
      <c r="C1606" s="11" t="n"/>
      <c r="D1606" s="11" t="n"/>
      <c r="E1606" s="12" t="n"/>
      <c r="F1606" s="10">
        <f>IF($E1606="","",IFERROR(IF(VLOOKUP(LEFT(UPPER(TRIM($E1606)),6),BankTbl,2,0)="","(بدون عنوان)",VLOOKUP(LEFT(UPPER(TRIM($E1606)),6),BankTbl,2,0)),"بانک ناشناخته"))</f>
        <v/>
      </c>
      <c r="G1606" s="11" t="n"/>
      <c r="H1606" s="10">
        <f>IF($G1606="","",IFERROR(VLOOKUP($G1606,CustTbl,2,0),IFERROR(VLOOKUP($G1606,SuppTbl,2,0),IFERROR(VLOOKUP($G1606,AcctTbl,2,0),IFERROR(VLOOKUP($G1606,StaffTbl,2,0),"کد ناشناخته")))))</f>
        <v/>
      </c>
      <c r="I1606" s="12" t="n"/>
      <c r="J1606" s="12" t="n"/>
      <c r="K1606" s="13" t="n"/>
      <c r="L1606" s="13" t="n"/>
      <c r="M1606" s="13" t="n"/>
      <c r="N1606" s="14">
        <f>IF(OR($C1606="",$E1606="",Calc!$H1606=""),"",IFERROR(VLOOKUP(LEFT(UPPER(TRIM($E1606)),6),BankTbl,3,0),0)+SUMIFS(CalcDep,CalcBank,LEFT(UPPER(TRIM($E1606)),6),CalcKey,"&lt;="&amp;Calc!$H1606)-SUMIFS(CalcWit,CalcBank,LEFT(UPPER(TRIM($E1606)),6),CalcKey,"&lt;="&amp;Calc!$H1606))</f>
        <v/>
      </c>
      <c r="O1606" s="10">
        <f>IF(OR($C1606="",$M1606=""),"",IF($N1606="","؟",IF(ROUND($M1606-$N1606,0)=0,"√","×")))</f>
        <v/>
      </c>
      <c r="P1606" s="12" t="n"/>
    </row>
    <row r="1607">
      <c r="A1607" s="10">
        <f>IF($C1607="","",COUNTA($C$9:$C1607))</f>
        <v/>
      </c>
      <c r="B1607" s="10">
        <f>IF($C1607="","","TXN-"&amp;RIGHT("0000"&amp;1599,4))</f>
        <v/>
      </c>
      <c r="C1607" s="11" t="n"/>
      <c r="D1607" s="11" t="n"/>
      <c r="E1607" s="12" t="n"/>
      <c r="F1607" s="10">
        <f>IF($E1607="","",IFERROR(IF(VLOOKUP(LEFT(UPPER(TRIM($E1607)),6),BankTbl,2,0)="","(بدون عنوان)",VLOOKUP(LEFT(UPPER(TRIM($E1607)),6),BankTbl,2,0)),"بانک ناشناخته"))</f>
        <v/>
      </c>
      <c r="G1607" s="11" t="n"/>
      <c r="H1607" s="10">
        <f>IF($G1607="","",IFERROR(VLOOKUP($G1607,CustTbl,2,0),IFERROR(VLOOKUP($G1607,SuppTbl,2,0),IFERROR(VLOOKUP($G1607,AcctTbl,2,0),IFERROR(VLOOKUP($G1607,StaffTbl,2,0),"کد ناشناخته")))))</f>
        <v/>
      </c>
      <c r="I1607" s="12" t="n"/>
      <c r="J1607" s="12" t="n"/>
      <c r="K1607" s="13" t="n"/>
      <c r="L1607" s="13" t="n"/>
      <c r="M1607" s="13" t="n"/>
      <c r="N1607" s="14">
        <f>IF(OR($C1607="",$E1607="",Calc!$H1607=""),"",IFERROR(VLOOKUP(LEFT(UPPER(TRIM($E1607)),6),BankTbl,3,0),0)+SUMIFS(CalcDep,CalcBank,LEFT(UPPER(TRIM($E1607)),6),CalcKey,"&lt;="&amp;Calc!$H1607)-SUMIFS(CalcWit,CalcBank,LEFT(UPPER(TRIM($E1607)),6),CalcKey,"&lt;="&amp;Calc!$H1607))</f>
        <v/>
      </c>
      <c r="O1607" s="10">
        <f>IF(OR($C1607="",$M1607=""),"",IF($N1607="","؟",IF(ROUND($M1607-$N1607,0)=0,"√","×")))</f>
        <v/>
      </c>
      <c r="P1607" s="12" t="n"/>
    </row>
    <row r="1608">
      <c r="A1608" s="10">
        <f>IF($C1608="","",COUNTA($C$9:$C1608))</f>
        <v/>
      </c>
      <c r="B1608" s="10">
        <f>IF($C1608="","","TXN-"&amp;RIGHT("0000"&amp;1600,4))</f>
        <v/>
      </c>
      <c r="C1608" s="11" t="n"/>
      <c r="D1608" s="11" t="n"/>
      <c r="E1608" s="12" t="n"/>
      <c r="F1608" s="10">
        <f>IF($E1608="","",IFERROR(IF(VLOOKUP(LEFT(UPPER(TRIM($E1608)),6),BankTbl,2,0)="","(بدون عنوان)",VLOOKUP(LEFT(UPPER(TRIM($E1608)),6),BankTbl,2,0)),"بانک ناشناخته"))</f>
        <v/>
      </c>
      <c r="G1608" s="11" t="n"/>
      <c r="H1608" s="10">
        <f>IF($G1608="","",IFERROR(VLOOKUP($G1608,CustTbl,2,0),IFERROR(VLOOKUP($G1608,SuppTbl,2,0),IFERROR(VLOOKUP($G1608,AcctTbl,2,0),IFERROR(VLOOKUP($G1608,StaffTbl,2,0),"کد ناشناخته")))))</f>
        <v/>
      </c>
      <c r="I1608" s="12" t="n"/>
      <c r="J1608" s="12" t="n"/>
      <c r="K1608" s="13" t="n"/>
      <c r="L1608" s="13" t="n"/>
      <c r="M1608" s="13" t="n"/>
      <c r="N1608" s="14">
        <f>IF(OR($C1608="",$E1608="",Calc!$H1608=""),"",IFERROR(VLOOKUP(LEFT(UPPER(TRIM($E1608)),6),BankTbl,3,0),0)+SUMIFS(CalcDep,CalcBank,LEFT(UPPER(TRIM($E1608)),6),CalcKey,"&lt;="&amp;Calc!$H1608)-SUMIFS(CalcWit,CalcBank,LEFT(UPPER(TRIM($E1608)),6),CalcKey,"&lt;="&amp;Calc!$H1608))</f>
        <v/>
      </c>
      <c r="O1608" s="10">
        <f>IF(OR($C1608="",$M1608=""),"",IF($N1608="","؟",IF(ROUND($M1608-$N1608,0)=0,"√","×")))</f>
        <v/>
      </c>
      <c r="P1608" s="12" t="n"/>
    </row>
    <row r="1609">
      <c r="A1609" s="10">
        <f>IF($C1609="","",COUNTA($C$9:$C1609))</f>
        <v/>
      </c>
      <c r="B1609" s="10">
        <f>IF($C1609="","","TXN-"&amp;RIGHT("0000"&amp;1601,4))</f>
        <v/>
      </c>
      <c r="C1609" s="11" t="n"/>
      <c r="D1609" s="11" t="n"/>
      <c r="E1609" s="12" t="n"/>
      <c r="F1609" s="10">
        <f>IF($E1609="","",IFERROR(IF(VLOOKUP(LEFT(UPPER(TRIM($E1609)),6),BankTbl,2,0)="","(بدون عنوان)",VLOOKUP(LEFT(UPPER(TRIM($E1609)),6),BankTbl,2,0)),"بانک ناشناخته"))</f>
        <v/>
      </c>
      <c r="G1609" s="11" t="n"/>
      <c r="H1609" s="10">
        <f>IF($G1609="","",IFERROR(VLOOKUP($G1609,CustTbl,2,0),IFERROR(VLOOKUP($G1609,SuppTbl,2,0),IFERROR(VLOOKUP($G1609,AcctTbl,2,0),IFERROR(VLOOKUP($G1609,StaffTbl,2,0),"کد ناشناخته")))))</f>
        <v/>
      </c>
      <c r="I1609" s="12" t="n"/>
      <c r="J1609" s="12" t="n"/>
      <c r="K1609" s="13" t="n"/>
      <c r="L1609" s="13" t="n"/>
      <c r="M1609" s="13" t="n"/>
      <c r="N1609" s="14">
        <f>IF(OR($C1609="",$E1609="",Calc!$H1609=""),"",IFERROR(VLOOKUP(LEFT(UPPER(TRIM($E1609)),6),BankTbl,3,0),0)+SUMIFS(CalcDep,CalcBank,LEFT(UPPER(TRIM($E1609)),6),CalcKey,"&lt;="&amp;Calc!$H1609)-SUMIFS(CalcWit,CalcBank,LEFT(UPPER(TRIM($E1609)),6),CalcKey,"&lt;="&amp;Calc!$H1609))</f>
        <v/>
      </c>
      <c r="O1609" s="10">
        <f>IF(OR($C1609="",$M1609=""),"",IF($N1609="","؟",IF(ROUND($M1609-$N1609,0)=0,"√","×")))</f>
        <v/>
      </c>
      <c r="P1609" s="12" t="n"/>
    </row>
    <row r="1610">
      <c r="A1610" s="10">
        <f>IF($C1610="","",COUNTA($C$9:$C1610))</f>
        <v/>
      </c>
      <c r="B1610" s="10">
        <f>IF($C1610="","","TXN-"&amp;RIGHT("0000"&amp;1602,4))</f>
        <v/>
      </c>
      <c r="C1610" s="11" t="n"/>
      <c r="D1610" s="11" t="n"/>
      <c r="E1610" s="12" t="n"/>
      <c r="F1610" s="10">
        <f>IF($E1610="","",IFERROR(IF(VLOOKUP(LEFT(UPPER(TRIM($E1610)),6),BankTbl,2,0)="","(بدون عنوان)",VLOOKUP(LEFT(UPPER(TRIM($E1610)),6),BankTbl,2,0)),"بانک ناشناخته"))</f>
        <v/>
      </c>
      <c r="G1610" s="11" t="n"/>
      <c r="H1610" s="10">
        <f>IF($G1610="","",IFERROR(VLOOKUP($G1610,CustTbl,2,0),IFERROR(VLOOKUP($G1610,SuppTbl,2,0),IFERROR(VLOOKUP($G1610,AcctTbl,2,0),IFERROR(VLOOKUP($G1610,StaffTbl,2,0),"کد ناشناخته")))))</f>
        <v/>
      </c>
      <c r="I1610" s="12" t="n"/>
      <c r="J1610" s="12" t="n"/>
      <c r="K1610" s="13" t="n"/>
      <c r="L1610" s="13" t="n"/>
      <c r="M1610" s="13" t="n"/>
      <c r="N1610" s="14">
        <f>IF(OR($C1610="",$E1610="",Calc!$H1610=""),"",IFERROR(VLOOKUP(LEFT(UPPER(TRIM($E1610)),6),BankTbl,3,0),0)+SUMIFS(CalcDep,CalcBank,LEFT(UPPER(TRIM($E1610)),6),CalcKey,"&lt;="&amp;Calc!$H1610)-SUMIFS(CalcWit,CalcBank,LEFT(UPPER(TRIM($E1610)),6),CalcKey,"&lt;="&amp;Calc!$H1610))</f>
        <v/>
      </c>
      <c r="O1610" s="10">
        <f>IF(OR($C1610="",$M1610=""),"",IF($N1610="","؟",IF(ROUND($M1610-$N1610,0)=0,"√","×")))</f>
        <v/>
      </c>
      <c r="P1610" s="12" t="n"/>
    </row>
    <row r="1611">
      <c r="A1611" s="10">
        <f>IF($C1611="","",COUNTA($C$9:$C1611))</f>
        <v/>
      </c>
      <c r="B1611" s="10">
        <f>IF($C1611="","","TXN-"&amp;RIGHT("0000"&amp;1603,4))</f>
        <v/>
      </c>
      <c r="C1611" s="11" t="n"/>
      <c r="D1611" s="11" t="n"/>
      <c r="E1611" s="12" t="n"/>
      <c r="F1611" s="10">
        <f>IF($E1611="","",IFERROR(IF(VLOOKUP(LEFT(UPPER(TRIM($E1611)),6),BankTbl,2,0)="","(بدون عنوان)",VLOOKUP(LEFT(UPPER(TRIM($E1611)),6),BankTbl,2,0)),"بانک ناشناخته"))</f>
        <v/>
      </c>
      <c r="G1611" s="11" t="n"/>
      <c r="H1611" s="10">
        <f>IF($G1611="","",IFERROR(VLOOKUP($G1611,CustTbl,2,0),IFERROR(VLOOKUP($G1611,SuppTbl,2,0),IFERROR(VLOOKUP($G1611,AcctTbl,2,0),IFERROR(VLOOKUP($G1611,StaffTbl,2,0),"کد ناشناخته")))))</f>
        <v/>
      </c>
      <c r="I1611" s="12" t="n"/>
      <c r="J1611" s="12" t="n"/>
      <c r="K1611" s="13" t="n"/>
      <c r="L1611" s="13" t="n"/>
      <c r="M1611" s="13" t="n"/>
      <c r="N1611" s="14">
        <f>IF(OR($C1611="",$E1611="",Calc!$H1611=""),"",IFERROR(VLOOKUP(LEFT(UPPER(TRIM($E1611)),6),BankTbl,3,0),0)+SUMIFS(CalcDep,CalcBank,LEFT(UPPER(TRIM($E1611)),6),CalcKey,"&lt;="&amp;Calc!$H1611)-SUMIFS(CalcWit,CalcBank,LEFT(UPPER(TRIM($E1611)),6),CalcKey,"&lt;="&amp;Calc!$H1611))</f>
        <v/>
      </c>
      <c r="O1611" s="10">
        <f>IF(OR($C1611="",$M1611=""),"",IF($N1611="","؟",IF(ROUND($M1611-$N1611,0)=0,"√","×")))</f>
        <v/>
      </c>
      <c r="P1611" s="12" t="n"/>
    </row>
    <row r="1612">
      <c r="A1612" s="10">
        <f>IF($C1612="","",COUNTA($C$9:$C1612))</f>
        <v/>
      </c>
      <c r="B1612" s="10">
        <f>IF($C1612="","","TXN-"&amp;RIGHT("0000"&amp;1604,4))</f>
        <v/>
      </c>
      <c r="C1612" s="11" t="n"/>
      <c r="D1612" s="11" t="n"/>
      <c r="E1612" s="12" t="n"/>
      <c r="F1612" s="10">
        <f>IF($E1612="","",IFERROR(IF(VLOOKUP(LEFT(UPPER(TRIM($E1612)),6),BankTbl,2,0)="","(بدون عنوان)",VLOOKUP(LEFT(UPPER(TRIM($E1612)),6),BankTbl,2,0)),"بانک ناشناخته"))</f>
        <v/>
      </c>
      <c r="G1612" s="11" t="n"/>
      <c r="H1612" s="10">
        <f>IF($G1612="","",IFERROR(VLOOKUP($G1612,CustTbl,2,0),IFERROR(VLOOKUP($G1612,SuppTbl,2,0),IFERROR(VLOOKUP($G1612,AcctTbl,2,0),IFERROR(VLOOKUP($G1612,StaffTbl,2,0),"کد ناشناخته")))))</f>
        <v/>
      </c>
      <c r="I1612" s="12" t="n"/>
      <c r="J1612" s="12" t="n"/>
      <c r="K1612" s="13" t="n"/>
      <c r="L1612" s="13" t="n"/>
      <c r="M1612" s="13" t="n"/>
      <c r="N1612" s="14">
        <f>IF(OR($C1612="",$E1612="",Calc!$H1612=""),"",IFERROR(VLOOKUP(LEFT(UPPER(TRIM($E1612)),6),BankTbl,3,0),0)+SUMIFS(CalcDep,CalcBank,LEFT(UPPER(TRIM($E1612)),6),CalcKey,"&lt;="&amp;Calc!$H1612)-SUMIFS(CalcWit,CalcBank,LEFT(UPPER(TRIM($E1612)),6),CalcKey,"&lt;="&amp;Calc!$H1612))</f>
        <v/>
      </c>
      <c r="O1612" s="10">
        <f>IF(OR($C1612="",$M1612=""),"",IF($N1612="","؟",IF(ROUND($M1612-$N1612,0)=0,"√","×")))</f>
        <v/>
      </c>
      <c r="P1612" s="12" t="n"/>
    </row>
    <row r="1613">
      <c r="A1613" s="10">
        <f>IF($C1613="","",COUNTA($C$9:$C1613))</f>
        <v/>
      </c>
      <c r="B1613" s="10">
        <f>IF($C1613="","","TXN-"&amp;RIGHT("0000"&amp;1605,4))</f>
        <v/>
      </c>
      <c r="C1613" s="11" t="n"/>
      <c r="D1613" s="11" t="n"/>
      <c r="E1613" s="12" t="n"/>
      <c r="F1613" s="10">
        <f>IF($E1613="","",IFERROR(IF(VLOOKUP(LEFT(UPPER(TRIM($E1613)),6),BankTbl,2,0)="","(بدون عنوان)",VLOOKUP(LEFT(UPPER(TRIM($E1613)),6),BankTbl,2,0)),"بانک ناشناخته"))</f>
        <v/>
      </c>
      <c r="G1613" s="11" t="n"/>
      <c r="H1613" s="10">
        <f>IF($G1613="","",IFERROR(VLOOKUP($G1613,CustTbl,2,0),IFERROR(VLOOKUP($G1613,SuppTbl,2,0),IFERROR(VLOOKUP($G1613,AcctTbl,2,0),IFERROR(VLOOKUP($G1613,StaffTbl,2,0),"کد ناشناخته")))))</f>
        <v/>
      </c>
      <c r="I1613" s="12" t="n"/>
      <c r="J1613" s="12" t="n"/>
      <c r="K1613" s="13" t="n"/>
      <c r="L1613" s="13" t="n"/>
      <c r="M1613" s="13" t="n"/>
      <c r="N1613" s="14">
        <f>IF(OR($C1613="",$E1613="",Calc!$H1613=""),"",IFERROR(VLOOKUP(LEFT(UPPER(TRIM($E1613)),6),BankTbl,3,0),0)+SUMIFS(CalcDep,CalcBank,LEFT(UPPER(TRIM($E1613)),6),CalcKey,"&lt;="&amp;Calc!$H1613)-SUMIFS(CalcWit,CalcBank,LEFT(UPPER(TRIM($E1613)),6),CalcKey,"&lt;="&amp;Calc!$H1613))</f>
        <v/>
      </c>
      <c r="O1613" s="10">
        <f>IF(OR($C1613="",$M1613=""),"",IF($N1613="","؟",IF(ROUND($M1613-$N1613,0)=0,"√","×")))</f>
        <v/>
      </c>
      <c r="P1613" s="12" t="n"/>
    </row>
    <row r="1614">
      <c r="A1614" s="10">
        <f>IF($C1614="","",COUNTA($C$9:$C1614))</f>
        <v/>
      </c>
      <c r="B1614" s="10">
        <f>IF($C1614="","","TXN-"&amp;RIGHT("0000"&amp;1606,4))</f>
        <v/>
      </c>
      <c r="C1614" s="11" t="n"/>
      <c r="D1614" s="11" t="n"/>
      <c r="E1614" s="12" t="n"/>
      <c r="F1614" s="10">
        <f>IF($E1614="","",IFERROR(IF(VLOOKUP(LEFT(UPPER(TRIM($E1614)),6),BankTbl,2,0)="","(بدون عنوان)",VLOOKUP(LEFT(UPPER(TRIM($E1614)),6),BankTbl,2,0)),"بانک ناشناخته"))</f>
        <v/>
      </c>
      <c r="G1614" s="11" t="n"/>
      <c r="H1614" s="10">
        <f>IF($G1614="","",IFERROR(VLOOKUP($G1614,CustTbl,2,0),IFERROR(VLOOKUP($G1614,SuppTbl,2,0),IFERROR(VLOOKUP($G1614,AcctTbl,2,0),IFERROR(VLOOKUP($G1614,StaffTbl,2,0),"کد ناشناخته")))))</f>
        <v/>
      </c>
      <c r="I1614" s="12" t="n"/>
      <c r="J1614" s="12" t="n"/>
      <c r="K1614" s="13" t="n"/>
      <c r="L1614" s="13" t="n"/>
      <c r="M1614" s="13" t="n"/>
      <c r="N1614" s="14">
        <f>IF(OR($C1614="",$E1614="",Calc!$H1614=""),"",IFERROR(VLOOKUP(LEFT(UPPER(TRIM($E1614)),6),BankTbl,3,0),0)+SUMIFS(CalcDep,CalcBank,LEFT(UPPER(TRIM($E1614)),6),CalcKey,"&lt;="&amp;Calc!$H1614)-SUMIFS(CalcWit,CalcBank,LEFT(UPPER(TRIM($E1614)),6),CalcKey,"&lt;="&amp;Calc!$H1614))</f>
        <v/>
      </c>
      <c r="O1614" s="10">
        <f>IF(OR($C1614="",$M1614=""),"",IF($N1614="","؟",IF(ROUND($M1614-$N1614,0)=0,"√","×")))</f>
        <v/>
      </c>
      <c r="P1614" s="12" t="n"/>
    </row>
    <row r="1615">
      <c r="A1615" s="10">
        <f>IF($C1615="","",COUNTA($C$9:$C1615))</f>
        <v/>
      </c>
      <c r="B1615" s="10">
        <f>IF($C1615="","","TXN-"&amp;RIGHT("0000"&amp;1607,4))</f>
        <v/>
      </c>
      <c r="C1615" s="11" t="n"/>
      <c r="D1615" s="11" t="n"/>
      <c r="E1615" s="12" t="n"/>
      <c r="F1615" s="10">
        <f>IF($E1615="","",IFERROR(IF(VLOOKUP(LEFT(UPPER(TRIM($E1615)),6),BankTbl,2,0)="","(بدون عنوان)",VLOOKUP(LEFT(UPPER(TRIM($E1615)),6),BankTbl,2,0)),"بانک ناشناخته"))</f>
        <v/>
      </c>
      <c r="G1615" s="11" t="n"/>
      <c r="H1615" s="10">
        <f>IF($G1615="","",IFERROR(VLOOKUP($G1615,CustTbl,2,0),IFERROR(VLOOKUP($G1615,SuppTbl,2,0),IFERROR(VLOOKUP($G1615,AcctTbl,2,0),IFERROR(VLOOKUP($G1615,StaffTbl,2,0),"کد ناشناخته")))))</f>
        <v/>
      </c>
      <c r="I1615" s="12" t="n"/>
      <c r="J1615" s="12" t="n"/>
      <c r="K1615" s="13" t="n"/>
      <c r="L1615" s="13" t="n"/>
      <c r="M1615" s="13" t="n"/>
      <c r="N1615" s="14">
        <f>IF(OR($C1615="",$E1615="",Calc!$H1615=""),"",IFERROR(VLOOKUP(LEFT(UPPER(TRIM($E1615)),6),BankTbl,3,0),0)+SUMIFS(CalcDep,CalcBank,LEFT(UPPER(TRIM($E1615)),6),CalcKey,"&lt;="&amp;Calc!$H1615)-SUMIFS(CalcWit,CalcBank,LEFT(UPPER(TRIM($E1615)),6),CalcKey,"&lt;="&amp;Calc!$H1615))</f>
        <v/>
      </c>
      <c r="O1615" s="10">
        <f>IF(OR($C1615="",$M1615=""),"",IF($N1615="","؟",IF(ROUND($M1615-$N1615,0)=0,"√","×")))</f>
        <v/>
      </c>
      <c r="P1615" s="12" t="n"/>
    </row>
    <row r="1616">
      <c r="A1616" s="10">
        <f>IF($C1616="","",COUNTA($C$9:$C1616))</f>
        <v/>
      </c>
      <c r="B1616" s="10">
        <f>IF($C1616="","","TXN-"&amp;RIGHT("0000"&amp;1608,4))</f>
        <v/>
      </c>
      <c r="C1616" s="11" t="n"/>
      <c r="D1616" s="11" t="n"/>
      <c r="E1616" s="12" t="n"/>
      <c r="F1616" s="10">
        <f>IF($E1616="","",IFERROR(IF(VLOOKUP(LEFT(UPPER(TRIM($E1616)),6),BankTbl,2,0)="","(بدون عنوان)",VLOOKUP(LEFT(UPPER(TRIM($E1616)),6),BankTbl,2,0)),"بانک ناشناخته"))</f>
        <v/>
      </c>
      <c r="G1616" s="11" t="n"/>
      <c r="H1616" s="10">
        <f>IF($G1616="","",IFERROR(VLOOKUP($G1616,CustTbl,2,0),IFERROR(VLOOKUP($G1616,SuppTbl,2,0),IFERROR(VLOOKUP($G1616,AcctTbl,2,0),IFERROR(VLOOKUP($G1616,StaffTbl,2,0),"کد ناشناخته")))))</f>
        <v/>
      </c>
      <c r="I1616" s="12" t="n"/>
      <c r="J1616" s="12" t="n"/>
      <c r="K1616" s="13" t="n"/>
      <c r="L1616" s="13" t="n"/>
      <c r="M1616" s="13" t="n"/>
      <c r="N1616" s="14">
        <f>IF(OR($C1616="",$E1616="",Calc!$H1616=""),"",IFERROR(VLOOKUP(LEFT(UPPER(TRIM($E1616)),6),BankTbl,3,0),0)+SUMIFS(CalcDep,CalcBank,LEFT(UPPER(TRIM($E1616)),6),CalcKey,"&lt;="&amp;Calc!$H1616)-SUMIFS(CalcWit,CalcBank,LEFT(UPPER(TRIM($E1616)),6),CalcKey,"&lt;="&amp;Calc!$H1616))</f>
        <v/>
      </c>
      <c r="O1616" s="10">
        <f>IF(OR($C1616="",$M1616=""),"",IF($N1616="","؟",IF(ROUND($M1616-$N1616,0)=0,"√","×")))</f>
        <v/>
      </c>
      <c r="P1616" s="12" t="n"/>
    </row>
    <row r="1617">
      <c r="A1617" s="10">
        <f>IF($C1617="","",COUNTA($C$9:$C1617))</f>
        <v/>
      </c>
      <c r="B1617" s="10">
        <f>IF($C1617="","","TXN-"&amp;RIGHT("0000"&amp;1609,4))</f>
        <v/>
      </c>
      <c r="C1617" s="11" t="n"/>
      <c r="D1617" s="11" t="n"/>
      <c r="E1617" s="12" t="n"/>
      <c r="F1617" s="10">
        <f>IF($E1617="","",IFERROR(IF(VLOOKUP(LEFT(UPPER(TRIM($E1617)),6),BankTbl,2,0)="","(بدون عنوان)",VLOOKUP(LEFT(UPPER(TRIM($E1617)),6),BankTbl,2,0)),"بانک ناشناخته"))</f>
        <v/>
      </c>
      <c r="G1617" s="11" t="n"/>
      <c r="H1617" s="10">
        <f>IF($G1617="","",IFERROR(VLOOKUP($G1617,CustTbl,2,0),IFERROR(VLOOKUP($G1617,SuppTbl,2,0),IFERROR(VLOOKUP($G1617,AcctTbl,2,0),IFERROR(VLOOKUP($G1617,StaffTbl,2,0),"کد ناشناخته")))))</f>
        <v/>
      </c>
      <c r="I1617" s="12" t="n"/>
      <c r="J1617" s="12" t="n"/>
      <c r="K1617" s="13" t="n"/>
      <c r="L1617" s="13" t="n"/>
      <c r="M1617" s="13" t="n"/>
      <c r="N1617" s="14">
        <f>IF(OR($C1617="",$E1617="",Calc!$H1617=""),"",IFERROR(VLOOKUP(LEFT(UPPER(TRIM($E1617)),6),BankTbl,3,0),0)+SUMIFS(CalcDep,CalcBank,LEFT(UPPER(TRIM($E1617)),6),CalcKey,"&lt;="&amp;Calc!$H1617)-SUMIFS(CalcWit,CalcBank,LEFT(UPPER(TRIM($E1617)),6),CalcKey,"&lt;="&amp;Calc!$H1617))</f>
        <v/>
      </c>
      <c r="O1617" s="10">
        <f>IF(OR($C1617="",$M1617=""),"",IF($N1617="","؟",IF(ROUND($M1617-$N1617,0)=0,"√","×")))</f>
        <v/>
      </c>
      <c r="P1617" s="12" t="n"/>
    </row>
    <row r="1618">
      <c r="A1618" s="10">
        <f>IF($C1618="","",COUNTA($C$9:$C1618))</f>
        <v/>
      </c>
      <c r="B1618" s="10">
        <f>IF($C1618="","","TXN-"&amp;RIGHT("0000"&amp;1610,4))</f>
        <v/>
      </c>
      <c r="C1618" s="11" t="n"/>
      <c r="D1618" s="11" t="n"/>
      <c r="E1618" s="12" t="n"/>
      <c r="F1618" s="10">
        <f>IF($E1618="","",IFERROR(IF(VLOOKUP(LEFT(UPPER(TRIM($E1618)),6),BankTbl,2,0)="","(بدون عنوان)",VLOOKUP(LEFT(UPPER(TRIM($E1618)),6),BankTbl,2,0)),"بانک ناشناخته"))</f>
        <v/>
      </c>
      <c r="G1618" s="11" t="n"/>
      <c r="H1618" s="10">
        <f>IF($G1618="","",IFERROR(VLOOKUP($G1618,CustTbl,2,0),IFERROR(VLOOKUP($G1618,SuppTbl,2,0),IFERROR(VLOOKUP($G1618,AcctTbl,2,0),IFERROR(VLOOKUP($G1618,StaffTbl,2,0),"کد ناشناخته")))))</f>
        <v/>
      </c>
      <c r="I1618" s="12" t="n"/>
      <c r="J1618" s="12" t="n"/>
      <c r="K1618" s="13" t="n"/>
      <c r="L1618" s="13" t="n"/>
      <c r="M1618" s="13" t="n"/>
      <c r="N1618" s="14">
        <f>IF(OR($C1618="",$E1618="",Calc!$H1618=""),"",IFERROR(VLOOKUP(LEFT(UPPER(TRIM($E1618)),6),BankTbl,3,0),0)+SUMIFS(CalcDep,CalcBank,LEFT(UPPER(TRIM($E1618)),6),CalcKey,"&lt;="&amp;Calc!$H1618)-SUMIFS(CalcWit,CalcBank,LEFT(UPPER(TRIM($E1618)),6),CalcKey,"&lt;="&amp;Calc!$H1618))</f>
        <v/>
      </c>
      <c r="O1618" s="10">
        <f>IF(OR($C1618="",$M1618=""),"",IF($N1618="","؟",IF(ROUND($M1618-$N1618,0)=0,"√","×")))</f>
        <v/>
      </c>
      <c r="P1618" s="12" t="n"/>
    </row>
    <row r="1619">
      <c r="A1619" s="10">
        <f>IF($C1619="","",COUNTA($C$9:$C1619))</f>
        <v/>
      </c>
      <c r="B1619" s="10">
        <f>IF($C1619="","","TXN-"&amp;RIGHT("0000"&amp;1611,4))</f>
        <v/>
      </c>
      <c r="C1619" s="11" t="n"/>
      <c r="D1619" s="11" t="n"/>
      <c r="E1619" s="12" t="n"/>
      <c r="F1619" s="10">
        <f>IF($E1619="","",IFERROR(IF(VLOOKUP(LEFT(UPPER(TRIM($E1619)),6),BankTbl,2,0)="","(بدون عنوان)",VLOOKUP(LEFT(UPPER(TRIM($E1619)),6),BankTbl,2,0)),"بانک ناشناخته"))</f>
        <v/>
      </c>
      <c r="G1619" s="11" t="n"/>
      <c r="H1619" s="10">
        <f>IF($G1619="","",IFERROR(VLOOKUP($G1619,CustTbl,2,0),IFERROR(VLOOKUP($G1619,SuppTbl,2,0),IFERROR(VLOOKUP($G1619,AcctTbl,2,0),IFERROR(VLOOKUP($G1619,StaffTbl,2,0),"کد ناشناخته")))))</f>
        <v/>
      </c>
      <c r="I1619" s="12" t="n"/>
      <c r="J1619" s="12" t="n"/>
      <c r="K1619" s="13" t="n"/>
      <c r="L1619" s="13" t="n"/>
      <c r="M1619" s="13" t="n"/>
      <c r="N1619" s="14">
        <f>IF(OR($C1619="",$E1619="",Calc!$H1619=""),"",IFERROR(VLOOKUP(LEFT(UPPER(TRIM($E1619)),6),BankTbl,3,0),0)+SUMIFS(CalcDep,CalcBank,LEFT(UPPER(TRIM($E1619)),6),CalcKey,"&lt;="&amp;Calc!$H1619)-SUMIFS(CalcWit,CalcBank,LEFT(UPPER(TRIM($E1619)),6),CalcKey,"&lt;="&amp;Calc!$H1619))</f>
        <v/>
      </c>
      <c r="O1619" s="10">
        <f>IF(OR($C1619="",$M1619=""),"",IF($N1619="","؟",IF(ROUND($M1619-$N1619,0)=0,"√","×")))</f>
        <v/>
      </c>
      <c r="P1619" s="12" t="n"/>
    </row>
    <row r="1620">
      <c r="A1620" s="10">
        <f>IF($C1620="","",COUNTA($C$9:$C1620))</f>
        <v/>
      </c>
      <c r="B1620" s="10">
        <f>IF($C1620="","","TXN-"&amp;RIGHT("0000"&amp;1612,4))</f>
        <v/>
      </c>
      <c r="C1620" s="11" t="n"/>
      <c r="D1620" s="11" t="n"/>
      <c r="E1620" s="12" t="n"/>
      <c r="F1620" s="10">
        <f>IF($E1620="","",IFERROR(IF(VLOOKUP(LEFT(UPPER(TRIM($E1620)),6),BankTbl,2,0)="","(بدون عنوان)",VLOOKUP(LEFT(UPPER(TRIM($E1620)),6),BankTbl,2,0)),"بانک ناشناخته"))</f>
        <v/>
      </c>
      <c r="G1620" s="11" t="n"/>
      <c r="H1620" s="10">
        <f>IF($G1620="","",IFERROR(VLOOKUP($G1620,CustTbl,2,0),IFERROR(VLOOKUP($G1620,SuppTbl,2,0),IFERROR(VLOOKUP($G1620,AcctTbl,2,0),IFERROR(VLOOKUP($G1620,StaffTbl,2,0),"کد ناشناخته")))))</f>
        <v/>
      </c>
      <c r="I1620" s="12" t="n"/>
      <c r="J1620" s="12" t="n"/>
      <c r="K1620" s="13" t="n"/>
      <c r="L1620" s="13" t="n"/>
      <c r="M1620" s="13" t="n"/>
      <c r="N1620" s="14">
        <f>IF(OR($C1620="",$E1620="",Calc!$H1620=""),"",IFERROR(VLOOKUP(LEFT(UPPER(TRIM($E1620)),6),BankTbl,3,0),0)+SUMIFS(CalcDep,CalcBank,LEFT(UPPER(TRIM($E1620)),6),CalcKey,"&lt;="&amp;Calc!$H1620)-SUMIFS(CalcWit,CalcBank,LEFT(UPPER(TRIM($E1620)),6),CalcKey,"&lt;="&amp;Calc!$H1620))</f>
        <v/>
      </c>
      <c r="O1620" s="10">
        <f>IF(OR($C1620="",$M1620=""),"",IF($N1620="","؟",IF(ROUND($M1620-$N1620,0)=0,"√","×")))</f>
        <v/>
      </c>
      <c r="P1620" s="12" t="n"/>
    </row>
    <row r="1621">
      <c r="A1621" s="10">
        <f>IF($C1621="","",COUNTA($C$9:$C1621))</f>
        <v/>
      </c>
      <c r="B1621" s="10">
        <f>IF($C1621="","","TXN-"&amp;RIGHT("0000"&amp;1613,4))</f>
        <v/>
      </c>
      <c r="C1621" s="11" t="n"/>
      <c r="D1621" s="11" t="n"/>
      <c r="E1621" s="12" t="n"/>
      <c r="F1621" s="10">
        <f>IF($E1621="","",IFERROR(IF(VLOOKUP(LEFT(UPPER(TRIM($E1621)),6),BankTbl,2,0)="","(بدون عنوان)",VLOOKUP(LEFT(UPPER(TRIM($E1621)),6),BankTbl,2,0)),"بانک ناشناخته"))</f>
        <v/>
      </c>
      <c r="G1621" s="11" t="n"/>
      <c r="H1621" s="10">
        <f>IF($G1621="","",IFERROR(VLOOKUP($G1621,CustTbl,2,0),IFERROR(VLOOKUP($G1621,SuppTbl,2,0),IFERROR(VLOOKUP($G1621,AcctTbl,2,0),IFERROR(VLOOKUP($G1621,StaffTbl,2,0),"کد ناشناخته")))))</f>
        <v/>
      </c>
      <c r="I1621" s="12" t="n"/>
      <c r="J1621" s="12" t="n"/>
      <c r="K1621" s="13" t="n"/>
      <c r="L1621" s="13" t="n"/>
      <c r="M1621" s="13" t="n"/>
      <c r="N1621" s="14">
        <f>IF(OR($C1621="",$E1621="",Calc!$H1621=""),"",IFERROR(VLOOKUP(LEFT(UPPER(TRIM($E1621)),6),BankTbl,3,0),0)+SUMIFS(CalcDep,CalcBank,LEFT(UPPER(TRIM($E1621)),6),CalcKey,"&lt;="&amp;Calc!$H1621)-SUMIFS(CalcWit,CalcBank,LEFT(UPPER(TRIM($E1621)),6),CalcKey,"&lt;="&amp;Calc!$H1621))</f>
        <v/>
      </c>
      <c r="O1621" s="10">
        <f>IF(OR($C1621="",$M1621=""),"",IF($N1621="","؟",IF(ROUND($M1621-$N1621,0)=0,"√","×")))</f>
        <v/>
      </c>
      <c r="P1621" s="12" t="n"/>
    </row>
    <row r="1622">
      <c r="A1622" s="10">
        <f>IF($C1622="","",COUNTA($C$9:$C1622))</f>
        <v/>
      </c>
      <c r="B1622" s="10">
        <f>IF($C1622="","","TXN-"&amp;RIGHT("0000"&amp;1614,4))</f>
        <v/>
      </c>
      <c r="C1622" s="11" t="n"/>
      <c r="D1622" s="11" t="n"/>
      <c r="E1622" s="12" t="n"/>
      <c r="F1622" s="10">
        <f>IF($E1622="","",IFERROR(IF(VLOOKUP(LEFT(UPPER(TRIM($E1622)),6),BankTbl,2,0)="","(بدون عنوان)",VLOOKUP(LEFT(UPPER(TRIM($E1622)),6),BankTbl,2,0)),"بانک ناشناخته"))</f>
        <v/>
      </c>
      <c r="G1622" s="11" t="n"/>
      <c r="H1622" s="10">
        <f>IF($G1622="","",IFERROR(VLOOKUP($G1622,CustTbl,2,0),IFERROR(VLOOKUP($G1622,SuppTbl,2,0),IFERROR(VLOOKUP($G1622,AcctTbl,2,0),IFERROR(VLOOKUP($G1622,StaffTbl,2,0),"کد ناشناخته")))))</f>
        <v/>
      </c>
      <c r="I1622" s="12" t="n"/>
      <c r="J1622" s="12" t="n"/>
      <c r="K1622" s="13" t="n"/>
      <c r="L1622" s="13" t="n"/>
      <c r="M1622" s="13" t="n"/>
      <c r="N1622" s="14">
        <f>IF(OR($C1622="",$E1622="",Calc!$H1622=""),"",IFERROR(VLOOKUP(LEFT(UPPER(TRIM($E1622)),6),BankTbl,3,0),0)+SUMIFS(CalcDep,CalcBank,LEFT(UPPER(TRIM($E1622)),6),CalcKey,"&lt;="&amp;Calc!$H1622)-SUMIFS(CalcWit,CalcBank,LEFT(UPPER(TRIM($E1622)),6),CalcKey,"&lt;="&amp;Calc!$H1622))</f>
        <v/>
      </c>
      <c r="O1622" s="10">
        <f>IF(OR($C1622="",$M1622=""),"",IF($N1622="","؟",IF(ROUND($M1622-$N1622,0)=0,"√","×")))</f>
        <v/>
      </c>
      <c r="P1622" s="12" t="n"/>
    </row>
    <row r="1623">
      <c r="A1623" s="10">
        <f>IF($C1623="","",COUNTA($C$9:$C1623))</f>
        <v/>
      </c>
      <c r="B1623" s="10">
        <f>IF($C1623="","","TXN-"&amp;RIGHT("0000"&amp;1615,4))</f>
        <v/>
      </c>
      <c r="C1623" s="11" t="n"/>
      <c r="D1623" s="11" t="n"/>
      <c r="E1623" s="12" t="n"/>
      <c r="F1623" s="10">
        <f>IF($E1623="","",IFERROR(IF(VLOOKUP(LEFT(UPPER(TRIM($E1623)),6),BankTbl,2,0)="","(بدون عنوان)",VLOOKUP(LEFT(UPPER(TRIM($E1623)),6),BankTbl,2,0)),"بانک ناشناخته"))</f>
        <v/>
      </c>
      <c r="G1623" s="11" t="n"/>
      <c r="H1623" s="10">
        <f>IF($G1623="","",IFERROR(VLOOKUP($G1623,CustTbl,2,0),IFERROR(VLOOKUP($G1623,SuppTbl,2,0),IFERROR(VLOOKUP($G1623,AcctTbl,2,0),IFERROR(VLOOKUP($G1623,StaffTbl,2,0),"کد ناشناخته")))))</f>
        <v/>
      </c>
      <c r="I1623" s="12" t="n"/>
      <c r="J1623" s="12" t="n"/>
      <c r="K1623" s="13" t="n"/>
      <c r="L1623" s="13" t="n"/>
      <c r="M1623" s="13" t="n"/>
      <c r="N1623" s="14">
        <f>IF(OR($C1623="",$E1623="",Calc!$H1623=""),"",IFERROR(VLOOKUP(LEFT(UPPER(TRIM($E1623)),6),BankTbl,3,0),0)+SUMIFS(CalcDep,CalcBank,LEFT(UPPER(TRIM($E1623)),6),CalcKey,"&lt;="&amp;Calc!$H1623)-SUMIFS(CalcWit,CalcBank,LEFT(UPPER(TRIM($E1623)),6),CalcKey,"&lt;="&amp;Calc!$H1623))</f>
        <v/>
      </c>
      <c r="O1623" s="10">
        <f>IF(OR($C1623="",$M1623=""),"",IF($N1623="","؟",IF(ROUND($M1623-$N1623,0)=0,"√","×")))</f>
        <v/>
      </c>
      <c r="P1623" s="12" t="n"/>
    </row>
    <row r="1624">
      <c r="A1624" s="10">
        <f>IF($C1624="","",COUNTA($C$9:$C1624))</f>
        <v/>
      </c>
      <c r="B1624" s="10">
        <f>IF($C1624="","","TXN-"&amp;RIGHT("0000"&amp;1616,4))</f>
        <v/>
      </c>
      <c r="C1624" s="11" t="n"/>
      <c r="D1624" s="11" t="n"/>
      <c r="E1624" s="12" t="n"/>
      <c r="F1624" s="10">
        <f>IF($E1624="","",IFERROR(IF(VLOOKUP(LEFT(UPPER(TRIM($E1624)),6),BankTbl,2,0)="","(بدون عنوان)",VLOOKUP(LEFT(UPPER(TRIM($E1624)),6),BankTbl,2,0)),"بانک ناشناخته"))</f>
        <v/>
      </c>
      <c r="G1624" s="11" t="n"/>
      <c r="H1624" s="10">
        <f>IF($G1624="","",IFERROR(VLOOKUP($G1624,CustTbl,2,0),IFERROR(VLOOKUP($G1624,SuppTbl,2,0),IFERROR(VLOOKUP($G1624,AcctTbl,2,0),IFERROR(VLOOKUP($G1624,StaffTbl,2,0),"کد ناشناخته")))))</f>
        <v/>
      </c>
      <c r="I1624" s="12" t="n"/>
      <c r="J1624" s="12" t="n"/>
      <c r="K1624" s="13" t="n"/>
      <c r="L1624" s="13" t="n"/>
      <c r="M1624" s="13" t="n"/>
      <c r="N1624" s="14">
        <f>IF(OR($C1624="",$E1624="",Calc!$H1624=""),"",IFERROR(VLOOKUP(LEFT(UPPER(TRIM($E1624)),6),BankTbl,3,0),0)+SUMIFS(CalcDep,CalcBank,LEFT(UPPER(TRIM($E1624)),6),CalcKey,"&lt;="&amp;Calc!$H1624)-SUMIFS(CalcWit,CalcBank,LEFT(UPPER(TRIM($E1624)),6),CalcKey,"&lt;="&amp;Calc!$H1624))</f>
        <v/>
      </c>
      <c r="O1624" s="10">
        <f>IF(OR($C1624="",$M1624=""),"",IF($N1624="","؟",IF(ROUND($M1624-$N1624,0)=0,"√","×")))</f>
        <v/>
      </c>
      <c r="P1624" s="12" t="n"/>
    </row>
    <row r="1625">
      <c r="A1625" s="10">
        <f>IF($C1625="","",COUNTA($C$9:$C1625))</f>
        <v/>
      </c>
      <c r="B1625" s="10">
        <f>IF($C1625="","","TXN-"&amp;RIGHT("0000"&amp;1617,4))</f>
        <v/>
      </c>
      <c r="C1625" s="11" t="n"/>
      <c r="D1625" s="11" t="n"/>
      <c r="E1625" s="12" t="n"/>
      <c r="F1625" s="10">
        <f>IF($E1625="","",IFERROR(IF(VLOOKUP(LEFT(UPPER(TRIM($E1625)),6),BankTbl,2,0)="","(بدون عنوان)",VLOOKUP(LEFT(UPPER(TRIM($E1625)),6),BankTbl,2,0)),"بانک ناشناخته"))</f>
        <v/>
      </c>
      <c r="G1625" s="11" t="n"/>
      <c r="H1625" s="10">
        <f>IF($G1625="","",IFERROR(VLOOKUP($G1625,CustTbl,2,0),IFERROR(VLOOKUP($G1625,SuppTbl,2,0),IFERROR(VLOOKUP($G1625,AcctTbl,2,0),IFERROR(VLOOKUP($G1625,StaffTbl,2,0),"کد ناشناخته")))))</f>
        <v/>
      </c>
      <c r="I1625" s="12" t="n"/>
      <c r="J1625" s="12" t="n"/>
      <c r="K1625" s="13" t="n"/>
      <c r="L1625" s="13" t="n"/>
      <c r="M1625" s="13" t="n"/>
      <c r="N1625" s="14">
        <f>IF(OR($C1625="",$E1625="",Calc!$H1625=""),"",IFERROR(VLOOKUP(LEFT(UPPER(TRIM($E1625)),6),BankTbl,3,0),0)+SUMIFS(CalcDep,CalcBank,LEFT(UPPER(TRIM($E1625)),6),CalcKey,"&lt;="&amp;Calc!$H1625)-SUMIFS(CalcWit,CalcBank,LEFT(UPPER(TRIM($E1625)),6),CalcKey,"&lt;="&amp;Calc!$H1625))</f>
        <v/>
      </c>
      <c r="O1625" s="10">
        <f>IF(OR($C1625="",$M1625=""),"",IF($N1625="","؟",IF(ROUND($M1625-$N1625,0)=0,"√","×")))</f>
        <v/>
      </c>
      <c r="P1625" s="12" t="n"/>
    </row>
    <row r="1626">
      <c r="A1626" s="10">
        <f>IF($C1626="","",COUNTA($C$9:$C1626))</f>
        <v/>
      </c>
      <c r="B1626" s="10">
        <f>IF($C1626="","","TXN-"&amp;RIGHT("0000"&amp;1618,4))</f>
        <v/>
      </c>
      <c r="C1626" s="11" t="n"/>
      <c r="D1626" s="11" t="n"/>
      <c r="E1626" s="12" t="n"/>
      <c r="F1626" s="10">
        <f>IF($E1626="","",IFERROR(IF(VLOOKUP(LEFT(UPPER(TRIM($E1626)),6),BankTbl,2,0)="","(بدون عنوان)",VLOOKUP(LEFT(UPPER(TRIM($E1626)),6),BankTbl,2,0)),"بانک ناشناخته"))</f>
        <v/>
      </c>
      <c r="G1626" s="11" t="n"/>
      <c r="H1626" s="10">
        <f>IF($G1626="","",IFERROR(VLOOKUP($G1626,CustTbl,2,0),IFERROR(VLOOKUP($G1626,SuppTbl,2,0),IFERROR(VLOOKUP($G1626,AcctTbl,2,0),IFERROR(VLOOKUP($G1626,StaffTbl,2,0),"کد ناشناخته")))))</f>
        <v/>
      </c>
      <c r="I1626" s="12" t="n"/>
      <c r="J1626" s="12" t="n"/>
      <c r="K1626" s="13" t="n"/>
      <c r="L1626" s="13" t="n"/>
      <c r="M1626" s="13" t="n"/>
      <c r="N1626" s="14">
        <f>IF(OR($C1626="",$E1626="",Calc!$H1626=""),"",IFERROR(VLOOKUP(LEFT(UPPER(TRIM($E1626)),6),BankTbl,3,0),0)+SUMIFS(CalcDep,CalcBank,LEFT(UPPER(TRIM($E1626)),6),CalcKey,"&lt;="&amp;Calc!$H1626)-SUMIFS(CalcWit,CalcBank,LEFT(UPPER(TRIM($E1626)),6),CalcKey,"&lt;="&amp;Calc!$H1626))</f>
        <v/>
      </c>
      <c r="O1626" s="10">
        <f>IF(OR($C1626="",$M1626=""),"",IF($N1626="","؟",IF(ROUND($M1626-$N1626,0)=0,"√","×")))</f>
        <v/>
      </c>
      <c r="P1626" s="12" t="n"/>
    </row>
    <row r="1627">
      <c r="A1627" s="10">
        <f>IF($C1627="","",COUNTA($C$9:$C1627))</f>
        <v/>
      </c>
      <c r="B1627" s="10">
        <f>IF($C1627="","","TXN-"&amp;RIGHT("0000"&amp;1619,4))</f>
        <v/>
      </c>
      <c r="C1627" s="11" t="n"/>
      <c r="D1627" s="11" t="n"/>
      <c r="E1627" s="12" t="n"/>
      <c r="F1627" s="10">
        <f>IF($E1627="","",IFERROR(IF(VLOOKUP(LEFT(UPPER(TRIM($E1627)),6),BankTbl,2,0)="","(بدون عنوان)",VLOOKUP(LEFT(UPPER(TRIM($E1627)),6),BankTbl,2,0)),"بانک ناشناخته"))</f>
        <v/>
      </c>
      <c r="G1627" s="11" t="n"/>
      <c r="H1627" s="10">
        <f>IF($G1627="","",IFERROR(VLOOKUP($G1627,CustTbl,2,0),IFERROR(VLOOKUP($G1627,SuppTbl,2,0),IFERROR(VLOOKUP($G1627,AcctTbl,2,0),IFERROR(VLOOKUP($G1627,StaffTbl,2,0),"کد ناشناخته")))))</f>
        <v/>
      </c>
      <c r="I1627" s="12" t="n"/>
      <c r="J1627" s="12" t="n"/>
      <c r="K1627" s="13" t="n"/>
      <c r="L1627" s="13" t="n"/>
      <c r="M1627" s="13" t="n"/>
      <c r="N1627" s="14">
        <f>IF(OR($C1627="",$E1627="",Calc!$H1627=""),"",IFERROR(VLOOKUP(LEFT(UPPER(TRIM($E1627)),6),BankTbl,3,0),0)+SUMIFS(CalcDep,CalcBank,LEFT(UPPER(TRIM($E1627)),6),CalcKey,"&lt;="&amp;Calc!$H1627)-SUMIFS(CalcWit,CalcBank,LEFT(UPPER(TRIM($E1627)),6),CalcKey,"&lt;="&amp;Calc!$H1627))</f>
        <v/>
      </c>
      <c r="O1627" s="10">
        <f>IF(OR($C1627="",$M1627=""),"",IF($N1627="","؟",IF(ROUND($M1627-$N1627,0)=0,"√","×")))</f>
        <v/>
      </c>
      <c r="P1627" s="12" t="n"/>
    </row>
    <row r="1628">
      <c r="A1628" s="10">
        <f>IF($C1628="","",COUNTA($C$9:$C1628))</f>
        <v/>
      </c>
      <c r="B1628" s="10">
        <f>IF($C1628="","","TXN-"&amp;RIGHT("0000"&amp;1620,4))</f>
        <v/>
      </c>
      <c r="C1628" s="11" t="n"/>
      <c r="D1628" s="11" t="n"/>
      <c r="E1628" s="12" t="n"/>
      <c r="F1628" s="10">
        <f>IF($E1628="","",IFERROR(IF(VLOOKUP(LEFT(UPPER(TRIM($E1628)),6),BankTbl,2,0)="","(بدون عنوان)",VLOOKUP(LEFT(UPPER(TRIM($E1628)),6),BankTbl,2,0)),"بانک ناشناخته"))</f>
        <v/>
      </c>
      <c r="G1628" s="11" t="n"/>
      <c r="H1628" s="10">
        <f>IF($G1628="","",IFERROR(VLOOKUP($G1628,CustTbl,2,0),IFERROR(VLOOKUP($G1628,SuppTbl,2,0),IFERROR(VLOOKUP($G1628,AcctTbl,2,0),IFERROR(VLOOKUP($G1628,StaffTbl,2,0),"کد ناشناخته")))))</f>
        <v/>
      </c>
      <c r="I1628" s="12" t="n"/>
      <c r="J1628" s="12" t="n"/>
      <c r="K1628" s="13" t="n"/>
      <c r="L1628" s="13" t="n"/>
      <c r="M1628" s="13" t="n"/>
      <c r="N1628" s="14">
        <f>IF(OR($C1628="",$E1628="",Calc!$H1628=""),"",IFERROR(VLOOKUP(LEFT(UPPER(TRIM($E1628)),6),BankTbl,3,0),0)+SUMIFS(CalcDep,CalcBank,LEFT(UPPER(TRIM($E1628)),6),CalcKey,"&lt;="&amp;Calc!$H1628)-SUMIFS(CalcWit,CalcBank,LEFT(UPPER(TRIM($E1628)),6),CalcKey,"&lt;="&amp;Calc!$H1628))</f>
        <v/>
      </c>
      <c r="O1628" s="10">
        <f>IF(OR($C1628="",$M1628=""),"",IF($N1628="","؟",IF(ROUND($M1628-$N1628,0)=0,"√","×")))</f>
        <v/>
      </c>
      <c r="P1628" s="12" t="n"/>
    </row>
    <row r="1629">
      <c r="A1629" s="10">
        <f>IF($C1629="","",COUNTA($C$9:$C1629))</f>
        <v/>
      </c>
      <c r="B1629" s="10">
        <f>IF($C1629="","","TXN-"&amp;RIGHT("0000"&amp;1621,4))</f>
        <v/>
      </c>
      <c r="C1629" s="11" t="n"/>
      <c r="D1629" s="11" t="n"/>
      <c r="E1629" s="12" t="n"/>
      <c r="F1629" s="10">
        <f>IF($E1629="","",IFERROR(IF(VLOOKUP(LEFT(UPPER(TRIM($E1629)),6),BankTbl,2,0)="","(بدون عنوان)",VLOOKUP(LEFT(UPPER(TRIM($E1629)),6),BankTbl,2,0)),"بانک ناشناخته"))</f>
        <v/>
      </c>
      <c r="G1629" s="11" t="n"/>
      <c r="H1629" s="10">
        <f>IF($G1629="","",IFERROR(VLOOKUP($G1629,CustTbl,2,0),IFERROR(VLOOKUP($G1629,SuppTbl,2,0),IFERROR(VLOOKUP($G1629,AcctTbl,2,0),IFERROR(VLOOKUP($G1629,StaffTbl,2,0),"کد ناشناخته")))))</f>
        <v/>
      </c>
      <c r="I1629" s="12" t="n"/>
      <c r="J1629" s="12" t="n"/>
      <c r="K1629" s="13" t="n"/>
      <c r="L1629" s="13" t="n"/>
      <c r="M1629" s="13" t="n"/>
      <c r="N1629" s="14">
        <f>IF(OR($C1629="",$E1629="",Calc!$H1629=""),"",IFERROR(VLOOKUP(LEFT(UPPER(TRIM($E1629)),6),BankTbl,3,0),0)+SUMIFS(CalcDep,CalcBank,LEFT(UPPER(TRIM($E1629)),6),CalcKey,"&lt;="&amp;Calc!$H1629)-SUMIFS(CalcWit,CalcBank,LEFT(UPPER(TRIM($E1629)),6),CalcKey,"&lt;="&amp;Calc!$H1629))</f>
        <v/>
      </c>
      <c r="O1629" s="10">
        <f>IF(OR($C1629="",$M1629=""),"",IF($N1629="","؟",IF(ROUND($M1629-$N1629,0)=0,"√","×")))</f>
        <v/>
      </c>
      <c r="P1629" s="12" t="n"/>
    </row>
    <row r="1630">
      <c r="A1630" s="10">
        <f>IF($C1630="","",COUNTA($C$9:$C1630))</f>
        <v/>
      </c>
      <c r="B1630" s="10">
        <f>IF($C1630="","","TXN-"&amp;RIGHT("0000"&amp;1622,4))</f>
        <v/>
      </c>
      <c r="C1630" s="11" t="n"/>
      <c r="D1630" s="11" t="n"/>
      <c r="E1630" s="12" t="n"/>
      <c r="F1630" s="10">
        <f>IF($E1630="","",IFERROR(IF(VLOOKUP(LEFT(UPPER(TRIM($E1630)),6),BankTbl,2,0)="","(بدون عنوان)",VLOOKUP(LEFT(UPPER(TRIM($E1630)),6),BankTbl,2,0)),"بانک ناشناخته"))</f>
        <v/>
      </c>
      <c r="G1630" s="11" t="n"/>
      <c r="H1630" s="10">
        <f>IF($G1630="","",IFERROR(VLOOKUP($G1630,CustTbl,2,0),IFERROR(VLOOKUP($G1630,SuppTbl,2,0),IFERROR(VLOOKUP($G1630,AcctTbl,2,0),IFERROR(VLOOKUP($G1630,StaffTbl,2,0),"کد ناشناخته")))))</f>
        <v/>
      </c>
      <c r="I1630" s="12" t="n"/>
      <c r="J1630" s="12" t="n"/>
      <c r="K1630" s="13" t="n"/>
      <c r="L1630" s="13" t="n"/>
      <c r="M1630" s="13" t="n"/>
      <c r="N1630" s="14">
        <f>IF(OR($C1630="",$E1630="",Calc!$H1630=""),"",IFERROR(VLOOKUP(LEFT(UPPER(TRIM($E1630)),6),BankTbl,3,0),0)+SUMIFS(CalcDep,CalcBank,LEFT(UPPER(TRIM($E1630)),6),CalcKey,"&lt;="&amp;Calc!$H1630)-SUMIFS(CalcWit,CalcBank,LEFT(UPPER(TRIM($E1630)),6),CalcKey,"&lt;="&amp;Calc!$H1630))</f>
        <v/>
      </c>
      <c r="O1630" s="10">
        <f>IF(OR($C1630="",$M1630=""),"",IF($N1630="","؟",IF(ROUND($M1630-$N1630,0)=0,"√","×")))</f>
        <v/>
      </c>
      <c r="P1630" s="12" t="n"/>
    </row>
    <row r="1631">
      <c r="A1631" s="10">
        <f>IF($C1631="","",COUNTA($C$9:$C1631))</f>
        <v/>
      </c>
      <c r="B1631" s="10">
        <f>IF($C1631="","","TXN-"&amp;RIGHT("0000"&amp;1623,4))</f>
        <v/>
      </c>
      <c r="C1631" s="11" t="n"/>
      <c r="D1631" s="11" t="n"/>
      <c r="E1631" s="12" t="n"/>
      <c r="F1631" s="10">
        <f>IF($E1631="","",IFERROR(IF(VLOOKUP(LEFT(UPPER(TRIM($E1631)),6),BankTbl,2,0)="","(بدون عنوان)",VLOOKUP(LEFT(UPPER(TRIM($E1631)),6),BankTbl,2,0)),"بانک ناشناخته"))</f>
        <v/>
      </c>
      <c r="G1631" s="11" t="n"/>
      <c r="H1631" s="10">
        <f>IF($G1631="","",IFERROR(VLOOKUP($G1631,CustTbl,2,0),IFERROR(VLOOKUP($G1631,SuppTbl,2,0),IFERROR(VLOOKUP($G1631,AcctTbl,2,0),IFERROR(VLOOKUP($G1631,StaffTbl,2,0),"کد ناشناخته")))))</f>
        <v/>
      </c>
      <c r="I1631" s="12" t="n"/>
      <c r="J1631" s="12" t="n"/>
      <c r="K1631" s="13" t="n"/>
      <c r="L1631" s="13" t="n"/>
      <c r="M1631" s="13" t="n"/>
      <c r="N1631" s="14">
        <f>IF(OR($C1631="",$E1631="",Calc!$H1631=""),"",IFERROR(VLOOKUP(LEFT(UPPER(TRIM($E1631)),6),BankTbl,3,0),0)+SUMIFS(CalcDep,CalcBank,LEFT(UPPER(TRIM($E1631)),6),CalcKey,"&lt;="&amp;Calc!$H1631)-SUMIFS(CalcWit,CalcBank,LEFT(UPPER(TRIM($E1631)),6),CalcKey,"&lt;="&amp;Calc!$H1631))</f>
        <v/>
      </c>
      <c r="O1631" s="10">
        <f>IF(OR($C1631="",$M1631=""),"",IF($N1631="","؟",IF(ROUND($M1631-$N1631,0)=0,"√","×")))</f>
        <v/>
      </c>
      <c r="P1631" s="12" t="n"/>
    </row>
    <row r="1632">
      <c r="A1632" s="10">
        <f>IF($C1632="","",COUNTA($C$9:$C1632))</f>
        <v/>
      </c>
      <c r="B1632" s="10">
        <f>IF($C1632="","","TXN-"&amp;RIGHT("0000"&amp;1624,4))</f>
        <v/>
      </c>
      <c r="C1632" s="11" t="n"/>
      <c r="D1632" s="11" t="n"/>
      <c r="E1632" s="12" t="n"/>
      <c r="F1632" s="10">
        <f>IF($E1632="","",IFERROR(IF(VLOOKUP(LEFT(UPPER(TRIM($E1632)),6),BankTbl,2,0)="","(بدون عنوان)",VLOOKUP(LEFT(UPPER(TRIM($E1632)),6),BankTbl,2,0)),"بانک ناشناخته"))</f>
        <v/>
      </c>
      <c r="G1632" s="11" t="n"/>
      <c r="H1632" s="10">
        <f>IF($G1632="","",IFERROR(VLOOKUP($G1632,CustTbl,2,0),IFERROR(VLOOKUP($G1632,SuppTbl,2,0),IFERROR(VLOOKUP($G1632,AcctTbl,2,0),IFERROR(VLOOKUP($G1632,StaffTbl,2,0),"کد ناشناخته")))))</f>
        <v/>
      </c>
      <c r="I1632" s="12" t="n"/>
      <c r="J1632" s="12" t="n"/>
      <c r="K1632" s="13" t="n"/>
      <c r="L1632" s="13" t="n"/>
      <c r="M1632" s="13" t="n"/>
      <c r="N1632" s="14">
        <f>IF(OR($C1632="",$E1632="",Calc!$H1632=""),"",IFERROR(VLOOKUP(LEFT(UPPER(TRIM($E1632)),6),BankTbl,3,0),0)+SUMIFS(CalcDep,CalcBank,LEFT(UPPER(TRIM($E1632)),6),CalcKey,"&lt;="&amp;Calc!$H1632)-SUMIFS(CalcWit,CalcBank,LEFT(UPPER(TRIM($E1632)),6),CalcKey,"&lt;="&amp;Calc!$H1632))</f>
        <v/>
      </c>
      <c r="O1632" s="10">
        <f>IF(OR($C1632="",$M1632=""),"",IF($N1632="","؟",IF(ROUND($M1632-$N1632,0)=0,"√","×")))</f>
        <v/>
      </c>
      <c r="P1632" s="12" t="n"/>
    </row>
    <row r="1633">
      <c r="A1633" s="10">
        <f>IF($C1633="","",COUNTA($C$9:$C1633))</f>
        <v/>
      </c>
      <c r="B1633" s="10">
        <f>IF($C1633="","","TXN-"&amp;RIGHT("0000"&amp;1625,4))</f>
        <v/>
      </c>
      <c r="C1633" s="11" t="n"/>
      <c r="D1633" s="11" t="n"/>
      <c r="E1633" s="12" t="n"/>
      <c r="F1633" s="10">
        <f>IF($E1633="","",IFERROR(IF(VLOOKUP(LEFT(UPPER(TRIM($E1633)),6),BankTbl,2,0)="","(بدون عنوان)",VLOOKUP(LEFT(UPPER(TRIM($E1633)),6),BankTbl,2,0)),"بانک ناشناخته"))</f>
        <v/>
      </c>
      <c r="G1633" s="11" t="n"/>
      <c r="H1633" s="10">
        <f>IF($G1633="","",IFERROR(VLOOKUP($G1633,CustTbl,2,0),IFERROR(VLOOKUP($G1633,SuppTbl,2,0),IFERROR(VLOOKUP($G1633,AcctTbl,2,0),IFERROR(VLOOKUP($G1633,StaffTbl,2,0),"کد ناشناخته")))))</f>
        <v/>
      </c>
      <c r="I1633" s="12" t="n"/>
      <c r="J1633" s="12" t="n"/>
      <c r="K1633" s="13" t="n"/>
      <c r="L1633" s="13" t="n"/>
      <c r="M1633" s="13" t="n"/>
      <c r="N1633" s="14">
        <f>IF(OR($C1633="",$E1633="",Calc!$H1633=""),"",IFERROR(VLOOKUP(LEFT(UPPER(TRIM($E1633)),6),BankTbl,3,0),0)+SUMIFS(CalcDep,CalcBank,LEFT(UPPER(TRIM($E1633)),6),CalcKey,"&lt;="&amp;Calc!$H1633)-SUMIFS(CalcWit,CalcBank,LEFT(UPPER(TRIM($E1633)),6),CalcKey,"&lt;="&amp;Calc!$H1633))</f>
        <v/>
      </c>
      <c r="O1633" s="10">
        <f>IF(OR($C1633="",$M1633=""),"",IF($N1633="","؟",IF(ROUND($M1633-$N1633,0)=0,"√","×")))</f>
        <v/>
      </c>
      <c r="P1633" s="12" t="n"/>
    </row>
    <row r="1634">
      <c r="A1634" s="10">
        <f>IF($C1634="","",COUNTA($C$9:$C1634))</f>
        <v/>
      </c>
      <c r="B1634" s="10">
        <f>IF($C1634="","","TXN-"&amp;RIGHT("0000"&amp;1626,4))</f>
        <v/>
      </c>
      <c r="C1634" s="11" t="n"/>
      <c r="D1634" s="11" t="n"/>
      <c r="E1634" s="12" t="n"/>
      <c r="F1634" s="10">
        <f>IF($E1634="","",IFERROR(IF(VLOOKUP(LEFT(UPPER(TRIM($E1634)),6),BankTbl,2,0)="","(بدون عنوان)",VLOOKUP(LEFT(UPPER(TRIM($E1634)),6),BankTbl,2,0)),"بانک ناشناخته"))</f>
        <v/>
      </c>
      <c r="G1634" s="11" t="n"/>
      <c r="H1634" s="10">
        <f>IF($G1634="","",IFERROR(VLOOKUP($G1634,CustTbl,2,0),IFERROR(VLOOKUP($G1634,SuppTbl,2,0),IFERROR(VLOOKUP($G1634,AcctTbl,2,0),IFERROR(VLOOKUP($G1634,StaffTbl,2,0),"کد ناشناخته")))))</f>
        <v/>
      </c>
      <c r="I1634" s="12" t="n"/>
      <c r="J1634" s="12" t="n"/>
      <c r="K1634" s="13" t="n"/>
      <c r="L1634" s="13" t="n"/>
      <c r="M1634" s="13" t="n"/>
      <c r="N1634" s="14">
        <f>IF(OR($C1634="",$E1634="",Calc!$H1634=""),"",IFERROR(VLOOKUP(LEFT(UPPER(TRIM($E1634)),6),BankTbl,3,0),0)+SUMIFS(CalcDep,CalcBank,LEFT(UPPER(TRIM($E1634)),6),CalcKey,"&lt;="&amp;Calc!$H1634)-SUMIFS(CalcWit,CalcBank,LEFT(UPPER(TRIM($E1634)),6),CalcKey,"&lt;="&amp;Calc!$H1634))</f>
        <v/>
      </c>
      <c r="O1634" s="10">
        <f>IF(OR($C1634="",$M1634=""),"",IF($N1634="","؟",IF(ROUND($M1634-$N1634,0)=0,"√","×")))</f>
        <v/>
      </c>
      <c r="P1634" s="12" t="n"/>
    </row>
    <row r="1635">
      <c r="A1635" s="10">
        <f>IF($C1635="","",COUNTA($C$9:$C1635))</f>
        <v/>
      </c>
      <c r="B1635" s="10">
        <f>IF($C1635="","","TXN-"&amp;RIGHT("0000"&amp;1627,4))</f>
        <v/>
      </c>
      <c r="C1635" s="11" t="n"/>
      <c r="D1635" s="11" t="n"/>
      <c r="E1635" s="12" t="n"/>
      <c r="F1635" s="10">
        <f>IF($E1635="","",IFERROR(IF(VLOOKUP(LEFT(UPPER(TRIM($E1635)),6),BankTbl,2,0)="","(بدون عنوان)",VLOOKUP(LEFT(UPPER(TRIM($E1635)),6),BankTbl,2,0)),"بانک ناشناخته"))</f>
        <v/>
      </c>
      <c r="G1635" s="11" t="n"/>
      <c r="H1635" s="10">
        <f>IF($G1635="","",IFERROR(VLOOKUP($G1635,CustTbl,2,0),IFERROR(VLOOKUP($G1635,SuppTbl,2,0),IFERROR(VLOOKUP($G1635,AcctTbl,2,0),IFERROR(VLOOKUP($G1635,StaffTbl,2,0),"کد ناشناخته")))))</f>
        <v/>
      </c>
      <c r="I1635" s="12" t="n"/>
      <c r="J1635" s="12" t="n"/>
      <c r="K1635" s="13" t="n"/>
      <c r="L1635" s="13" t="n"/>
      <c r="M1635" s="13" t="n"/>
      <c r="N1635" s="14">
        <f>IF(OR($C1635="",$E1635="",Calc!$H1635=""),"",IFERROR(VLOOKUP(LEFT(UPPER(TRIM($E1635)),6),BankTbl,3,0),0)+SUMIFS(CalcDep,CalcBank,LEFT(UPPER(TRIM($E1635)),6),CalcKey,"&lt;="&amp;Calc!$H1635)-SUMIFS(CalcWit,CalcBank,LEFT(UPPER(TRIM($E1635)),6),CalcKey,"&lt;="&amp;Calc!$H1635))</f>
        <v/>
      </c>
      <c r="O1635" s="10">
        <f>IF(OR($C1635="",$M1635=""),"",IF($N1635="","؟",IF(ROUND($M1635-$N1635,0)=0,"√","×")))</f>
        <v/>
      </c>
      <c r="P1635" s="12" t="n"/>
    </row>
    <row r="1636">
      <c r="A1636" s="10">
        <f>IF($C1636="","",COUNTA($C$9:$C1636))</f>
        <v/>
      </c>
      <c r="B1636" s="10">
        <f>IF($C1636="","","TXN-"&amp;RIGHT("0000"&amp;1628,4))</f>
        <v/>
      </c>
      <c r="C1636" s="11" t="n"/>
      <c r="D1636" s="11" t="n"/>
      <c r="E1636" s="12" t="n"/>
      <c r="F1636" s="10">
        <f>IF($E1636="","",IFERROR(IF(VLOOKUP(LEFT(UPPER(TRIM($E1636)),6),BankTbl,2,0)="","(بدون عنوان)",VLOOKUP(LEFT(UPPER(TRIM($E1636)),6),BankTbl,2,0)),"بانک ناشناخته"))</f>
        <v/>
      </c>
      <c r="G1636" s="11" t="n"/>
      <c r="H1636" s="10">
        <f>IF($G1636="","",IFERROR(VLOOKUP($G1636,CustTbl,2,0),IFERROR(VLOOKUP($G1636,SuppTbl,2,0),IFERROR(VLOOKUP($G1636,AcctTbl,2,0),IFERROR(VLOOKUP($G1636,StaffTbl,2,0),"کد ناشناخته")))))</f>
        <v/>
      </c>
      <c r="I1636" s="12" t="n"/>
      <c r="J1636" s="12" t="n"/>
      <c r="K1636" s="13" t="n"/>
      <c r="L1636" s="13" t="n"/>
      <c r="M1636" s="13" t="n"/>
      <c r="N1636" s="14">
        <f>IF(OR($C1636="",$E1636="",Calc!$H1636=""),"",IFERROR(VLOOKUP(LEFT(UPPER(TRIM($E1636)),6),BankTbl,3,0),0)+SUMIFS(CalcDep,CalcBank,LEFT(UPPER(TRIM($E1636)),6),CalcKey,"&lt;="&amp;Calc!$H1636)-SUMIFS(CalcWit,CalcBank,LEFT(UPPER(TRIM($E1636)),6),CalcKey,"&lt;="&amp;Calc!$H1636))</f>
        <v/>
      </c>
      <c r="O1636" s="10">
        <f>IF(OR($C1636="",$M1636=""),"",IF($N1636="","؟",IF(ROUND($M1636-$N1636,0)=0,"√","×")))</f>
        <v/>
      </c>
      <c r="P1636" s="12" t="n"/>
    </row>
    <row r="1637">
      <c r="A1637" s="10">
        <f>IF($C1637="","",COUNTA($C$9:$C1637))</f>
        <v/>
      </c>
      <c r="B1637" s="10">
        <f>IF($C1637="","","TXN-"&amp;RIGHT("0000"&amp;1629,4))</f>
        <v/>
      </c>
      <c r="C1637" s="11" t="n"/>
      <c r="D1637" s="11" t="n"/>
      <c r="E1637" s="12" t="n"/>
      <c r="F1637" s="10">
        <f>IF($E1637="","",IFERROR(IF(VLOOKUP(LEFT(UPPER(TRIM($E1637)),6),BankTbl,2,0)="","(بدون عنوان)",VLOOKUP(LEFT(UPPER(TRIM($E1637)),6),BankTbl,2,0)),"بانک ناشناخته"))</f>
        <v/>
      </c>
      <c r="G1637" s="11" t="n"/>
      <c r="H1637" s="10">
        <f>IF($G1637="","",IFERROR(VLOOKUP($G1637,CustTbl,2,0),IFERROR(VLOOKUP($G1637,SuppTbl,2,0),IFERROR(VLOOKUP($G1637,AcctTbl,2,0),IFERROR(VLOOKUP($G1637,StaffTbl,2,0),"کد ناشناخته")))))</f>
        <v/>
      </c>
      <c r="I1637" s="12" t="n"/>
      <c r="J1637" s="12" t="n"/>
      <c r="K1637" s="13" t="n"/>
      <c r="L1637" s="13" t="n"/>
      <c r="M1637" s="13" t="n"/>
      <c r="N1637" s="14">
        <f>IF(OR($C1637="",$E1637="",Calc!$H1637=""),"",IFERROR(VLOOKUP(LEFT(UPPER(TRIM($E1637)),6),BankTbl,3,0),0)+SUMIFS(CalcDep,CalcBank,LEFT(UPPER(TRIM($E1637)),6),CalcKey,"&lt;="&amp;Calc!$H1637)-SUMIFS(CalcWit,CalcBank,LEFT(UPPER(TRIM($E1637)),6),CalcKey,"&lt;="&amp;Calc!$H1637))</f>
        <v/>
      </c>
      <c r="O1637" s="10">
        <f>IF(OR($C1637="",$M1637=""),"",IF($N1637="","؟",IF(ROUND($M1637-$N1637,0)=0,"√","×")))</f>
        <v/>
      </c>
      <c r="P1637" s="12" t="n"/>
    </row>
    <row r="1638">
      <c r="A1638" s="10">
        <f>IF($C1638="","",COUNTA($C$9:$C1638))</f>
        <v/>
      </c>
      <c r="B1638" s="10">
        <f>IF($C1638="","","TXN-"&amp;RIGHT("0000"&amp;1630,4))</f>
        <v/>
      </c>
      <c r="C1638" s="11" t="n"/>
      <c r="D1638" s="11" t="n"/>
      <c r="E1638" s="12" t="n"/>
      <c r="F1638" s="10">
        <f>IF($E1638="","",IFERROR(IF(VLOOKUP(LEFT(UPPER(TRIM($E1638)),6),BankTbl,2,0)="","(بدون عنوان)",VLOOKUP(LEFT(UPPER(TRIM($E1638)),6),BankTbl,2,0)),"بانک ناشناخته"))</f>
        <v/>
      </c>
      <c r="G1638" s="11" t="n"/>
      <c r="H1638" s="10">
        <f>IF($G1638="","",IFERROR(VLOOKUP($G1638,CustTbl,2,0),IFERROR(VLOOKUP($G1638,SuppTbl,2,0),IFERROR(VLOOKUP($G1638,AcctTbl,2,0),IFERROR(VLOOKUP($G1638,StaffTbl,2,0),"کد ناشناخته")))))</f>
        <v/>
      </c>
      <c r="I1638" s="12" t="n"/>
      <c r="J1638" s="12" t="n"/>
      <c r="K1638" s="13" t="n"/>
      <c r="L1638" s="13" t="n"/>
      <c r="M1638" s="13" t="n"/>
      <c r="N1638" s="14">
        <f>IF(OR($C1638="",$E1638="",Calc!$H1638=""),"",IFERROR(VLOOKUP(LEFT(UPPER(TRIM($E1638)),6),BankTbl,3,0),0)+SUMIFS(CalcDep,CalcBank,LEFT(UPPER(TRIM($E1638)),6),CalcKey,"&lt;="&amp;Calc!$H1638)-SUMIFS(CalcWit,CalcBank,LEFT(UPPER(TRIM($E1638)),6),CalcKey,"&lt;="&amp;Calc!$H1638))</f>
        <v/>
      </c>
      <c r="O1638" s="10">
        <f>IF(OR($C1638="",$M1638=""),"",IF($N1638="","؟",IF(ROUND($M1638-$N1638,0)=0,"√","×")))</f>
        <v/>
      </c>
      <c r="P1638" s="12" t="n"/>
    </row>
    <row r="1639">
      <c r="A1639" s="10">
        <f>IF($C1639="","",COUNTA($C$9:$C1639))</f>
        <v/>
      </c>
      <c r="B1639" s="10">
        <f>IF($C1639="","","TXN-"&amp;RIGHT("0000"&amp;1631,4))</f>
        <v/>
      </c>
      <c r="C1639" s="11" t="n"/>
      <c r="D1639" s="11" t="n"/>
      <c r="E1639" s="12" t="n"/>
      <c r="F1639" s="10">
        <f>IF($E1639="","",IFERROR(IF(VLOOKUP(LEFT(UPPER(TRIM($E1639)),6),BankTbl,2,0)="","(بدون عنوان)",VLOOKUP(LEFT(UPPER(TRIM($E1639)),6),BankTbl,2,0)),"بانک ناشناخته"))</f>
        <v/>
      </c>
      <c r="G1639" s="11" t="n"/>
      <c r="H1639" s="10">
        <f>IF($G1639="","",IFERROR(VLOOKUP($G1639,CustTbl,2,0),IFERROR(VLOOKUP($G1639,SuppTbl,2,0),IFERROR(VLOOKUP($G1639,AcctTbl,2,0),IFERROR(VLOOKUP($G1639,StaffTbl,2,0),"کد ناشناخته")))))</f>
        <v/>
      </c>
      <c r="I1639" s="12" t="n"/>
      <c r="J1639" s="12" t="n"/>
      <c r="K1639" s="13" t="n"/>
      <c r="L1639" s="13" t="n"/>
      <c r="M1639" s="13" t="n"/>
      <c r="N1639" s="14">
        <f>IF(OR($C1639="",$E1639="",Calc!$H1639=""),"",IFERROR(VLOOKUP(LEFT(UPPER(TRIM($E1639)),6),BankTbl,3,0),0)+SUMIFS(CalcDep,CalcBank,LEFT(UPPER(TRIM($E1639)),6),CalcKey,"&lt;="&amp;Calc!$H1639)-SUMIFS(CalcWit,CalcBank,LEFT(UPPER(TRIM($E1639)),6),CalcKey,"&lt;="&amp;Calc!$H1639))</f>
        <v/>
      </c>
      <c r="O1639" s="10">
        <f>IF(OR($C1639="",$M1639=""),"",IF($N1639="","؟",IF(ROUND($M1639-$N1639,0)=0,"√","×")))</f>
        <v/>
      </c>
      <c r="P1639" s="12" t="n"/>
    </row>
    <row r="1640">
      <c r="A1640" s="10">
        <f>IF($C1640="","",COUNTA($C$9:$C1640))</f>
        <v/>
      </c>
      <c r="B1640" s="10">
        <f>IF($C1640="","","TXN-"&amp;RIGHT("0000"&amp;1632,4))</f>
        <v/>
      </c>
      <c r="C1640" s="11" t="n"/>
      <c r="D1640" s="11" t="n"/>
      <c r="E1640" s="12" t="n"/>
      <c r="F1640" s="10">
        <f>IF($E1640="","",IFERROR(IF(VLOOKUP(LEFT(UPPER(TRIM($E1640)),6),BankTbl,2,0)="","(بدون عنوان)",VLOOKUP(LEFT(UPPER(TRIM($E1640)),6),BankTbl,2,0)),"بانک ناشناخته"))</f>
        <v/>
      </c>
      <c r="G1640" s="11" t="n"/>
      <c r="H1640" s="10">
        <f>IF($G1640="","",IFERROR(VLOOKUP($G1640,CustTbl,2,0),IFERROR(VLOOKUP($G1640,SuppTbl,2,0),IFERROR(VLOOKUP($G1640,AcctTbl,2,0),IFERROR(VLOOKUP($G1640,StaffTbl,2,0),"کد ناشناخته")))))</f>
        <v/>
      </c>
      <c r="I1640" s="12" t="n"/>
      <c r="J1640" s="12" t="n"/>
      <c r="K1640" s="13" t="n"/>
      <c r="L1640" s="13" t="n"/>
      <c r="M1640" s="13" t="n"/>
      <c r="N1640" s="14">
        <f>IF(OR($C1640="",$E1640="",Calc!$H1640=""),"",IFERROR(VLOOKUP(LEFT(UPPER(TRIM($E1640)),6),BankTbl,3,0),0)+SUMIFS(CalcDep,CalcBank,LEFT(UPPER(TRIM($E1640)),6),CalcKey,"&lt;="&amp;Calc!$H1640)-SUMIFS(CalcWit,CalcBank,LEFT(UPPER(TRIM($E1640)),6),CalcKey,"&lt;="&amp;Calc!$H1640))</f>
        <v/>
      </c>
      <c r="O1640" s="10">
        <f>IF(OR($C1640="",$M1640=""),"",IF($N1640="","؟",IF(ROUND($M1640-$N1640,0)=0,"√","×")))</f>
        <v/>
      </c>
      <c r="P1640" s="12" t="n"/>
    </row>
    <row r="1641">
      <c r="A1641" s="10">
        <f>IF($C1641="","",COUNTA($C$9:$C1641))</f>
        <v/>
      </c>
      <c r="B1641" s="10">
        <f>IF($C1641="","","TXN-"&amp;RIGHT("0000"&amp;1633,4))</f>
        <v/>
      </c>
      <c r="C1641" s="11" t="n"/>
      <c r="D1641" s="11" t="n"/>
      <c r="E1641" s="12" t="n"/>
      <c r="F1641" s="10">
        <f>IF($E1641="","",IFERROR(IF(VLOOKUP(LEFT(UPPER(TRIM($E1641)),6),BankTbl,2,0)="","(بدون عنوان)",VLOOKUP(LEFT(UPPER(TRIM($E1641)),6),BankTbl,2,0)),"بانک ناشناخته"))</f>
        <v/>
      </c>
      <c r="G1641" s="11" t="n"/>
      <c r="H1641" s="10">
        <f>IF($G1641="","",IFERROR(VLOOKUP($G1641,CustTbl,2,0),IFERROR(VLOOKUP($G1641,SuppTbl,2,0),IFERROR(VLOOKUP($G1641,AcctTbl,2,0),IFERROR(VLOOKUP($G1641,StaffTbl,2,0),"کد ناشناخته")))))</f>
        <v/>
      </c>
      <c r="I1641" s="12" t="n"/>
      <c r="J1641" s="12" t="n"/>
      <c r="K1641" s="13" t="n"/>
      <c r="L1641" s="13" t="n"/>
      <c r="M1641" s="13" t="n"/>
      <c r="N1641" s="14">
        <f>IF(OR($C1641="",$E1641="",Calc!$H1641=""),"",IFERROR(VLOOKUP(LEFT(UPPER(TRIM($E1641)),6),BankTbl,3,0),0)+SUMIFS(CalcDep,CalcBank,LEFT(UPPER(TRIM($E1641)),6),CalcKey,"&lt;="&amp;Calc!$H1641)-SUMIFS(CalcWit,CalcBank,LEFT(UPPER(TRIM($E1641)),6),CalcKey,"&lt;="&amp;Calc!$H1641))</f>
        <v/>
      </c>
      <c r="O1641" s="10">
        <f>IF(OR($C1641="",$M1641=""),"",IF($N1641="","؟",IF(ROUND($M1641-$N1641,0)=0,"√","×")))</f>
        <v/>
      </c>
      <c r="P1641" s="12" t="n"/>
    </row>
    <row r="1642">
      <c r="A1642" s="10">
        <f>IF($C1642="","",COUNTA($C$9:$C1642))</f>
        <v/>
      </c>
      <c r="B1642" s="10">
        <f>IF($C1642="","","TXN-"&amp;RIGHT("0000"&amp;1634,4))</f>
        <v/>
      </c>
      <c r="C1642" s="11" t="n"/>
      <c r="D1642" s="11" t="n"/>
      <c r="E1642" s="12" t="n"/>
      <c r="F1642" s="10">
        <f>IF($E1642="","",IFERROR(IF(VLOOKUP(LEFT(UPPER(TRIM($E1642)),6),BankTbl,2,0)="","(بدون عنوان)",VLOOKUP(LEFT(UPPER(TRIM($E1642)),6),BankTbl,2,0)),"بانک ناشناخته"))</f>
        <v/>
      </c>
      <c r="G1642" s="11" t="n"/>
      <c r="H1642" s="10">
        <f>IF($G1642="","",IFERROR(VLOOKUP($G1642,CustTbl,2,0),IFERROR(VLOOKUP($G1642,SuppTbl,2,0),IFERROR(VLOOKUP($G1642,AcctTbl,2,0),IFERROR(VLOOKUP($G1642,StaffTbl,2,0),"کد ناشناخته")))))</f>
        <v/>
      </c>
      <c r="I1642" s="12" t="n"/>
      <c r="J1642" s="12" t="n"/>
      <c r="K1642" s="13" t="n"/>
      <c r="L1642" s="13" t="n"/>
      <c r="M1642" s="13" t="n"/>
      <c r="N1642" s="14">
        <f>IF(OR($C1642="",$E1642="",Calc!$H1642=""),"",IFERROR(VLOOKUP(LEFT(UPPER(TRIM($E1642)),6),BankTbl,3,0),0)+SUMIFS(CalcDep,CalcBank,LEFT(UPPER(TRIM($E1642)),6),CalcKey,"&lt;="&amp;Calc!$H1642)-SUMIFS(CalcWit,CalcBank,LEFT(UPPER(TRIM($E1642)),6),CalcKey,"&lt;="&amp;Calc!$H1642))</f>
        <v/>
      </c>
      <c r="O1642" s="10">
        <f>IF(OR($C1642="",$M1642=""),"",IF($N1642="","؟",IF(ROUND($M1642-$N1642,0)=0,"√","×")))</f>
        <v/>
      </c>
      <c r="P1642" s="12" t="n"/>
    </row>
    <row r="1643">
      <c r="A1643" s="10">
        <f>IF($C1643="","",COUNTA($C$9:$C1643))</f>
        <v/>
      </c>
      <c r="B1643" s="10">
        <f>IF($C1643="","","TXN-"&amp;RIGHT("0000"&amp;1635,4))</f>
        <v/>
      </c>
      <c r="C1643" s="11" t="n"/>
      <c r="D1643" s="11" t="n"/>
      <c r="E1643" s="12" t="n"/>
      <c r="F1643" s="10">
        <f>IF($E1643="","",IFERROR(IF(VLOOKUP(LEFT(UPPER(TRIM($E1643)),6),BankTbl,2,0)="","(بدون عنوان)",VLOOKUP(LEFT(UPPER(TRIM($E1643)),6),BankTbl,2,0)),"بانک ناشناخته"))</f>
        <v/>
      </c>
      <c r="G1643" s="11" t="n"/>
      <c r="H1643" s="10">
        <f>IF($G1643="","",IFERROR(VLOOKUP($G1643,CustTbl,2,0),IFERROR(VLOOKUP($G1643,SuppTbl,2,0),IFERROR(VLOOKUP($G1643,AcctTbl,2,0),IFERROR(VLOOKUP($G1643,StaffTbl,2,0),"کد ناشناخته")))))</f>
        <v/>
      </c>
      <c r="I1643" s="12" t="n"/>
      <c r="J1643" s="12" t="n"/>
      <c r="K1643" s="13" t="n"/>
      <c r="L1643" s="13" t="n"/>
      <c r="M1643" s="13" t="n"/>
      <c r="N1643" s="14">
        <f>IF(OR($C1643="",$E1643="",Calc!$H1643=""),"",IFERROR(VLOOKUP(LEFT(UPPER(TRIM($E1643)),6),BankTbl,3,0),0)+SUMIFS(CalcDep,CalcBank,LEFT(UPPER(TRIM($E1643)),6),CalcKey,"&lt;="&amp;Calc!$H1643)-SUMIFS(CalcWit,CalcBank,LEFT(UPPER(TRIM($E1643)),6),CalcKey,"&lt;="&amp;Calc!$H1643))</f>
        <v/>
      </c>
      <c r="O1643" s="10">
        <f>IF(OR($C1643="",$M1643=""),"",IF($N1643="","؟",IF(ROUND($M1643-$N1643,0)=0,"√","×")))</f>
        <v/>
      </c>
      <c r="P1643" s="12" t="n"/>
    </row>
    <row r="1644">
      <c r="A1644" s="10">
        <f>IF($C1644="","",COUNTA($C$9:$C1644))</f>
        <v/>
      </c>
      <c r="B1644" s="10">
        <f>IF($C1644="","","TXN-"&amp;RIGHT("0000"&amp;1636,4))</f>
        <v/>
      </c>
      <c r="C1644" s="11" t="n"/>
      <c r="D1644" s="11" t="n"/>
      <c r="E1644" s="12" t="n"/>
      <c r="F1644" s="10">
        <f>IF($E1644="","",IFERROR(IF(VLOOKUP(LEFT(UPPER(TRIM($E1644)),6),BankTbl,2,0)="","(بدون عنوان)",VLOOKUP(LEFT(UPPER(TRIM($E1644)),6),BankTbl,2,0)),"بانک ناشناخته"))</f>
        <v/>
      </c>
      <c r="G1644" s="11" t="n"/>
      <c r="H1644" s="10">
        <f>IF($G1644="","",IFERROR(VLOOKUP($G1644,CustTbl,2,0),IFERROR(VLOOKUP($G1644,SuppTbl,2,0),IFERROR(VLOOKUP($G1644,AcctTbl,2,0),IFERROR(VLOOKUP($G1644,StaffTbl,2,0),"کد ناشناخته")))))</f>
        <v/>
      </c>
      <c r="I1644" s="12" t="n"/>
      <c r="J1644" s="12" t="n"/>
      <c r="K1644" s="13" t="n"/>
      <c r="L1644" s="13" t="n"/>
      <c r="M1644" s="13" t="n"/>
      <c r="N1644" s="14">
        <f>IF(OR($C1644="",$E1644="",Calc!$H1644=""),"",IFERROR(VLOOKUP(LEFT(UPPER(TRIM($E1644)),6),BankTbl,3,0),0)+SUMIFS(CalcDep,CalcBank,LEFT(UPPER(TRIM($E1644)),6),CalcKey,"&lt;="&amp;Calc!$H1644)-SUMIFS(CalcWit,CalcBank,LEFT(UPPER(TRIM($E1644)),6),CalcKey,"&lt;="&amp;Calc!$H1644))</f>
        <v/>
      </c>
      <c r="O1644" s="10">
        <f>IF(OR($C1644="",$M1644=""),"",IF($N1644="","؟",IF(ROUND($M1644-$N1644,0)=0,"√","×")))</f>
        <v/>
      </c>
      <c r="P1644" s="12" t="n"/>
    </row>
    <row r="1645">
      <c r="A1645" s="10">
        <f>IF($C1645="","",COUNTA($C$9:$C1645))</f>
        <v/>
      </c>
      <c r="B1645" s="10">
        <f>IF($C1645="","","TXN-"&amp;RIGHT("0000"&amp;1637,4))</f>
        <v/>
      </c>
      <c r="C1645" s="11" t="n"/>
      <c r="D1645" s="11" t="n"/>
      <c r="E1645" s="12" t="n"/>
      <c r="F1645" s="10">
        <f>IF($E1645="","",IFERROR(IF(VLOOKUP(LEFT(UPPER(TRIM($E1645)),6),BankTbl,2,0)="","(بدون عنوان)",VLOOKUP(LEFT(UPPER(TRIM($E1645)),6),BankTbl,2,0)),"بانک ناشناخته"))</f>
        <v/>
      </c>
      <c r="G1645" s="11" t="n"/>
      <c r="H1645" s="10">
        <f>IF($G1645="","",IFERROR(VLOOKUP($G1645,CustTbl,2,0),IFERROR(VLOOKUP($G1645,SuppTbl,2,0),IFERROR(VLOOKUP($G1645,AcctTbl,2,0),IFERROR(VLOOKUP($G1645,StaffTbl,2,0),"کد ناشناخته")))))</f>
        <v/>
      </c>
      <c r="I1645" s="12" t="n"/>
      <c r="J1645" s="12" t="n"/>
      <c r="K1645" s="13" t="n"/>
      <c r="L1645" s="13" t="n"/>
      <c r="M1645" s="13" t="n"/>
      <c r="N1645" s="14">
        <f>IF(OR($C1645="",$E1645="",Calc!$H1645=""),"",IFERROR(VLOOKUP(LEFT(UPPER(TRIM($E1645)),6),BankTbl,3,0),0)+SUMIFS(CalcDep,CalcBank,LEFT(UPPER(TRIM($E1645)),6),CalcKey,"&lt;="&amp;Calc!$H1645)-SUMIFS(CalcWit,CalcBank,LEFT(UPPER(TRIM($E1645)),6),CalcKey,"&lt;="&amp;Calc!$H1645))</f>
        <v/>
      </c>
      <c r="O1645" s="10">
        <f>IF(OR($C1645="",$M1645=""),"",IF($N1645="","؟",IF(ROUND($M1645-$N1645,0)=0,"√","×")))</f>
        <v/>
      </c>
      <c r="P1645" s="12" t="n"/>
    </row>
    <row r="1646">
      <c r="A1646" s="10">
        <f>IF($C1646="","",COUNTA($C$9:$C1646))</f>
        <v/>
      </c>
      <c r="B1646" s="10">
        <f>IF($C1646="","","TXN-"&amp;RIGHT("0000"&amp;1638,4))</f>
        <v/>
      </c>
      <c r="C1646" s="11" t="n"/>
      <c r="D1646" s="11" t="n"/>
      <c r="E1646" s="12" t="n"/>
      <c r="F1646" s="10">
        <f>IF($E1646="","",IFERROR(IF(VLOOKUP(LEFT(UPPER(TRIM($E1646)),6),BankTbl,2,0)="","(بدون عنوان)",VLOOKUP(LEFT(UPPER(TRIM($E1646)),6),BankTbl,2,0)),"بانک ناشناخته"))</f>
        <v/>
      </c>
      <c r="G1646" s="11" t="n"/>
      <c r="H1646" s="10">
        <f>IF($G1646="","",IFERROR(VLOOKUP($G1646,CustTbl,2,0),IFERROR(VLOOKUP($G1646,SuppTbl,2,0),IFERROR(VLOOKUP($G1646,AcctTbl,2,0),IFERROR(VLOOKUP($G1646,StaffTbl,2,0),"کد ناشناخته")))))</f>
        <v/>
      </c>
      <c r="I1646" s="12" t="n"/>
      <c r="J1646" s="12" t="n"/>
      <c r="K1646" s="13" t="n"/>
      <c r="L1646" s="13" t="n"/>
      <c r="M1646" s="13" t="n"/>
      <c r="N1646" s="14">
        <f>IF(OR($C1646="",$E1646="",Calc!$H1646=""),"",IFERROR(VLOOKUP(LEFT(UPPER(TRIM($E1646)),6),BankTbl,3,0),0)+SUMIFS(CalcDep,CalcBank,LEFT(UPPER(TRIM($E1646)),6),CalcKey,"&lt;="&amp;Calc!$H1646)-SUMIFS(CalcWit,CalcBank,LEFT(UPPER(TRIM($E1646)),6),CalcKey,"&lt;="&amp;Calc!$H1646))</f>
        <v/>
      </c>
      <c r="O1646" s="10">
        <f>IF(OR($C1646="",$M1646=""),"",IF($N1646="","؟",IF(ROUND($M1646-$N1646,0)=0,"√","×")))</f>
        <v/>
      </c>
      <c r="P1646" s="12" t="n"/>
    </row>
    <row r="1647">
      <c r="A1647" s="10">
        <f>IF($C1647="","",COUNTA($C$9:$C1647))</f>
        <v/>
      </c>
      <c r="B1647" s="10">
        <f>IF($C1647="","","TXN-"&amp;RIGHT("0000"&amp;1639,4))</f>
        <v/>
      </c>
      <c r="C1647" s="11" t="n"/>
      <c r="D1647" s="11" t="n"/>
      <c r="E1647" s="12" t="n"/>
      <c r="F1647" s="10">
        <f>IF($E1647="","",IFERROR(IF(VLOOKUP(LEFT(UPPER(TRIM($E1647)),6),BankTbl,2,0)="","(بدون عنوان)",VLOOKUP(LEFT(UPPER(TRIM($E1647)),6),BankTbl,2,0)),"بانک ناشناخته"))</f>
        <v/>
      </c>
      <c r="G1647" s="11" t="n"/>
      <c r="H1647" s="10">
        <f>IF($G1647="","",IFERROR(VLOOKUP($G1647,CustTbl,2,0),IFERROR(VLOOKUP($G1647,SuppTbl,2,0),IFERROR(VLOOKUP($G1647,AcctTbl,2,0),IFERROR(VLOOKUP($G1647,StaffTbl,2,0),"کد ناشناخته")))))</f>
        <v/>
      </c>
      <c r="I1647" s="12" t="n"/>
      <c r="J1647" s="12" t="n"/>
      <c r="K1647" s="13" t="n"/>
      <c r="L1647" s="13" t="n"/>
      <c r="M1647" s="13" t="n"/>
      <c r="N1647" s="14">
        <f>IF(OR($C1647="",$E1647="",Calc!$H1647=""),"",IFERROR(VLOOKUP(LEFT(UPPER(TRIM($E1647)),6),BankTbl,3,0),0)+SUMIFS(CalcDep,CalcBank,LEFT(UPPER(TRIM($E1647)),6),CalcKey,"&lt;="&amp;Calc!$H1647)-SUMIFS(CalcWit,CalcBank,LEFT(UPPER(TRIM($E1647)),6),CalcKey,"&lt;="&amp;Calc!$H1647))</f>
        <v/>
      </c>
      <c r="O1647" s="10">
        <f>IF(OR($C1647="",$M1647=""),"",IF($N1647="","؟",IF(ROUND($M1647-$N1647,0)=0,"√","×")))</f>
        <v/>
      </c>
      <c r="P1647" s="12" t="n"/>
    </row>
    <row r="1648">
      <c r="A1648" s="10">
        <f>IF($C1648="","",COUNTA($C$9:$C1648))</f>
        <v/>
      </c>
      <c r="B1648" s="10">
        <f>IF($C1648="","","TXN-"&amp;RIGHT("0000"&amp;1640,4))</f>
        <v/>
      </c>
      <c r="C1648" s="11" t="n"/>
      <c r="D1648" s="11" t="n"/>
      <c r="E1648" s="12" t="n"/>
      <c r="F1648" s="10">
        <f>IF($E1648="","",IFERROR(IF(VLOOKUP(LEFT(UPPER(TRIM($E1648)),6),BankTbl,2,0)="","(بدون عنوان)",VLOOKUP(LEFT(UPPER(TRIM($E1648)),6),BankTbl,2,0)),"بانک ناشناخته"))</f>
        <v/>
      </c>
      <c r="G1648" s="11" t="n"/>
      <c r="H1648" s="10">
        <f>IF($G1648="","",IFERROR(VLOOKUP($G1648,CustTbl,2,0),IFERROR(VLOOKUP($G1648,SuppTbl,2,0),IFERROR(VLOOKUP($G1648,AcctTbl,2,0),IFERROR(VLOOKUP($G1648,StaffTbl,2,0),"کد ناشناخته")))))</f>
        <v/>
      </c>
      <c r="I1648" s="12" t="n"/>
      <c r="J1648" s="12" t="n"/>
      <c r="K1648" s="13" t="n"/>
      <c r="L1648" s="13" t="n"/>
      <c r="M1648" s="13" t="n"/>
      <c r="N1648" s="14">
        <f>IF(OR($C1648="",$E1648="",Calc!$H1648=""),"",IFERROR(VLOOKUP(LEFT(UPPER(TRIM($E1648)),6),BankTbl,3,0),0)+SUMIFS(CalcDep,CalcBank,LEFT(UPPER(TRIM($E1648)),6),CalcKey,"&lt;="&amp;Calc!$H1648)-SUMIFS(CalcWit,CalcBank,LEFT(UPPER(TRIM($E1648)),6),CalcKey,"&lt;="&amp;Calc!$H1648))</f>
        <v/>
      </c>
      <c r="O1648" s="10">
        <f>IF(OR($C1648="",$M1648=""),"",IF($N1648="","؟",IF(ROUND($M1648-$N1648,0)=0,"√","×")))</f>
        <v/>
      </c>
      <c r="P1648" s="12" t="n"/>
    </row>
    <row r="1649">
      <c r="A1649" s="10">
        <f>IF($C1649="","",COUNTA($C$9:$C1649))</f>
        <v/>
      </c>
      <c r="B1649" s="10">
        <f>IF($C1649="","","TXN-"&amp;RIGHT("0000"&amp;1641,4))</f>
        <v/>
      </c>
      <c r="C1649" s="11" t="n"/>
      <c r="D1649" s="11" t="n"/>
      <c r="E1649" s="12" t="n"/>
      <c r="F1649" s="10">
        <f>IF($E1649="","",IFERROR(IF(VLOOKUP(LEFT(UPPER(TRIM($E1649)),6),BankTbl,2,0)="","(بدون عنوان)",VLOOKUP(LEFT(UPPER(TRIM($E1649)),6),BankTbl,2,0)),"بانک ناشناخته"))</f>
        <v/>
      </c>
      <c r="G1649" s="11" t="n"/>
      <c r="H1649" s="10">
        <f>IF($G1649="","",IFERROR(VLOOKUP($G1649,CustTbl,2,0),IFERROR(VLOOKUP($G1649,SuppTbl,2,0),IFERROR(VLOOKUP($G1649,AcctTbl,2,0),IFERROR(VLOOKUP($G1649,StaffTbl,2,0),"کد ناشناخته")))))</f>
        <v/>
      </c>
      <c r="I1649" s="12" t="n"/>
      <c r="J1649" s="12" t="n"/>
      <c r="K1649" s="13" t="n"/>
      <c r="L1649" s="13" t="n"/>
      <c r="M1649" s="13" t="n"/>
      <c r="N1649" s="14">
        <f>IF(OR($C1649="",$E1649="",Calc!$H1649=""),"",IFERROR(VLOOKUP(LEFT(UPPER(TRIM($E1649)),6),BankTbl,3,0),0)+SUMIFS(CalcDep,CalcBank,LEFT(UPPER(TRIM($E1649)),6),CalcKey,"&lt;="&amp;Calc!$H1649)-SUMIFS(CalcWit,CalcBank,LEFT(UPPER(TRIM($E1649)),6),CalcKey,"&lt;="&amp;Calc!$H1649))</f>
        <v/>
      </c>
      <c r="O1649" s="10">
        <f>IF(OR($C1649="",$M1649=""),"",IF($N1649="","؟",IF(ROUND($M1649-$N1649,0)=0,"√","×")))</f>
        <v/>
      </c>
      <c r="P1649" s="12" t="n"/>
    </row>
    <row r="1650">
      <c r="A1650" s="10">
        <f>IF($C1650="","",COUNTA($C$9:$C1650))</f>
        <v/>
      </c>
      <c r="B1650" s="10">
        <f>IF($C1650="","","TXN-"&amp;RIGHT("0000"&amp;1642,4))</f>
        <v/>
      </c>
      <c r="C1650" s="11" t="n"/>
      <c r="D1650" s="11" t="n"/>
      <c r="E1650" s="12" t="n"/>
      <c r="F1650" s="10">
        <f>IF($E1650="","",IFERROR(IF(VLOOKUP(LEFT(UPPER(TRIM($E1650)),6),BankTbl,2,0)="","(بدون عنوان)",VLOOKUP(LEFT(UPPER(TRIM($E1650)),6),BankTbl,2,0)),"بانک ناشناخته"))</f>
        <v/>
      </c>
      <c r="G1650" s="11" t="n"/>
      <c r="H1650" s="10">
        <f>IF($G1650="","",IFERROR(VLOOKUP($G1650,CustTbl,2,0),IFERROR(VLOOKUP($G1650,SuppTbl,2,0),IFERROR(VLOOKUP($G1650,AcctTbl,2,0),IFERROR(VLOOKUP($G1650,StaffTbl,2,0),"کد ناشناخته")))))</f>
        <v/>
      </c>
      <c r="I1650" s="12" t="n"/>
      <c r="J1650" s="12" t="n"/>
      <c r="K1650" s="13" t="n"/>
      <c r="L1650" s="13" t="n"/>
      <c r="M1650" s="13" t="n"/>
      <c r="N1650" s="14">
        <f>IF(OR($C1650="",$E1650="",Calc!$H1650=""),"",IFERROR(VLOOKUP(LEFT(UPPER(TRIM($E1650)),6),BankTbl,3,0),0)+SUMIFS(CalcDep,CalcBank,LEFT(UPPER(TRIM($E1650)),6),CalcKey,"&lt;="&amp;Calc!$H1650)-SUMIFS(CalcWit,CalcBank,LEFT(UPPER(TRIM($E1650)),6),CalcKey,"&lt;="&amp;Calc!$H1650))</f>
        <v/>
      </c>
      <c r="O1650" s="10">
        <f>IF(OR($C1650="",$M1650=""),"",IF($N1650="","؟",IF(ROUND($M1650-$N1650,0)=0,"√","×")))</f>
        <v/>
      </c>
      <c r="P1650" s="12" t="n"/>
    </row>
    <row r="1651">
      <c r="A1651" s="10">
        <f>IF($C1651="","",COUNTA($C$9:$C1651))</f>
        <v/>
      </c>
      <c r="B1651" s="10">
        <f>IF($C1651="","","TXN-"&amp;RIGHT("0000"&amp;1643,4))</f>
        <v/>
      </c>
      <c r="C1651" s="11" t="n"/>
      <c r="D1651" s="11" t="n"/>
      <c r="E1651" s="12" t="n"/>
      <c r="F1651" s="10">
        <f>IF($E1651="","",IFERROR(IF(VLOOKUP(LEFT(UPPER(TRIM($E1651)),6),BankTbl,2,0)="","(بدون عنوان)",VLOOKUP(LEFT(UPPER(TRIM($E1651)),6),BankTbl,2,0)),"بانک ناشناخته"))</f>
        <v/>
      </c>
      <c r="G1651" s="11" t="n"/>
      <c r="H1651" s="10">
        <f>IF($G1651="","",IFERROR(VLOOKUP($G1651,CustTbl,2,0),IFERROR(VLOOKUP($G1651,SuppTbl,2,0),IFERROR(VLOOKUP($G1651,AcctTbl,2,0),IFERROR(VLOOKUP($G1651,StaffTbl,2,0),"کد ناشناخته")))))</f>
        <v/>
      </c>
      <c r="I1651" s="12" t="n"/>
      <c r="J1651" s="12" t="n"/>
      <c r="K1651" s="13" t="n"/>
      <c r="L1651" s="13" t="n"/>
      <c r="M1651" s="13" t="n"/>
      <c r="N1651" s="14">
        <f>IF(OR($C1651="",$E1651="",Calc!$H1651=""),"",IFERROR(VLOOKUP(LEFT(UPPER(TRIM($E1651)),6),BankTbl,3,0),0)+SUMIFS(CalcDep,CalcBank,LEFT(UPPER(TRIM($E1651)),6),CalcKey,"&lt;="&amp;Calc!$H1651)-SUMIFS(CalcWit,CalcBank,LEFT(UPPER(TRIM($E1651)),6),CalcKey,"&lt;="&amp;Calc!$H1651))</f>
        <v/>
      </c>
      <c r="O1651" s="10">
        <f>IF(OR($C1651="",$M1651=""),"",IF($N1651="","؟",IF(ROUND($M1651-$N1651,0)=0,"√","×")))</f>
        <v/>
      </c>
      <c r="P1651" s="12" t="n"/>
    </row>
    <row r="1652">
      <c r="A1652" s="10">
        <f>IF($C1652="","",COUNTA($C$9:$C1652))</f>
        <v/>
      </c>
      <c r="B1652" s="10">
        <f>IF($C1652="","","TXN-"&amp;RIGHT("0000"&amp;1644,4))</f>
        <v/>
      </c>
      <c r="C1652" s="11" t="n"/>
      <c r="D1652" s="11" t="n"/>
      <c r="E1652" s="12" t="n"/>
      <c r="F1652" s="10">
        <f>IF($E1652="","",IFERROR(IF(VLOOKUP(LEFT(UPPER(TRIM($E1652)),6),BankTbl,2,0)="","(بدون عنوان)",VLOOKUP(LEFT(UPPER(TRIM($E1652)),6),BankTbl,2,0)),"بانک ناشناخته"))</f>
        <v/>
      </c>
      <c r="G1652" s="11" t="n"/>
      <c r="H1652" s="10">
        <f>IF($G1652="","",IFERROR(VLOOKUP($G1652,CustTbl,2,0),IFERROR(VLOOKUP($G1652,SuppTbl,2,0),IFERROR(VLOOKUP($G1652,AcctTbl,2,0),IFERROR(VLOOKUP($G1652,StaffTbl,2,0),"کد ناشناخته")))))</f>
        <v/>
      </c>
      <c r="I1652" s="12" t="n"/>
      <c r="J1652" s="12" t="n"/>
      <c r="K1652" s="13" t="n"/>
      <c r="L1652" s="13" t="n"/>
      <c r="M1652" s="13" t="n"/>
      <c r="N1652" s="14">
        <f>IF(OR($C1652="",$E1652="",Calc!$H1652=""),"",IFERROR(VLOOKUP(LEFT(UPPER(TRIM($E1652)),6),BankTbl,3,0),0)+SUMIFS(CalcDep,CalcBank,LEFT(UPPER(TRIM($E1652)),6),CalcKey,"&lt;="&amp;Calc!$H1652)-SUMIFS(CalcWit,CalcBank,LEFT(UPPER(TRIM($E1652)),6),CalcKey,"&lt;="&amp;Calc!$H1652))</f>
        <v/>
      </c>
      <c r="O1652" s="10">
        <f>IF(OR($C1652="",$M1652=""),"",IF($N1652="","؟",IF(ROUND($M1652-$N1652,0)=0,"√","×")))</f>
        <v/>
      </c>
      <c r="P1652" s="12" t="n"/>
    </row>
    <row r="1653">
      <c r="A1653" s="10">
        <f>IF($C1653="","",COUNTA($C$9:$C1653))</f>
        <v/>
      </c>
      <c r="B1653" s="10">
        <f>IF($C1653="","","TXN-"&amp;RIGHT("0000"&amp;1645,4))</f>
        <v/>
      </c>
      <c r="C1653" s="11" t="n"/>
      <c r="D1653" s="11" t="n"/>
      <c r="E1653" s="12" t="n"/>
      <c r="F1653" s="10">
        <f>IF($E1653="","",IFERROR(IF(VLOOKUP(LEFT(UPPER(TRIM($E1653)),6),BankTbl,2,0)="","(بدون عنوان)",VLOOKUP(LEFT(UPPER(TRIM($E1653)),6),BankTbl,2,0)),"بانک ناشناخته"))</f>
        <v/>
      </c>
      <c r="G1653" s="11" t="n"/>
      <c r="H1653" s="10">
        <f>IF($G1653="","",IFERROR(VLOOKUP($G1653,CustTbl,2,0),IFERROR(VLOOKUP($G1653,SuppTbl,2,0),IFERROR(VLOOKUP($G1653,AcctTbl,2,0),IFERROR(VLOOKUP($G1653,StaffTbl,2,0),"کد ناشناخته")))))</f>
        <v/>
      </c>
      <c r="I1653" s="12" t="n"/>
      <c r="J1653" s="12" t="n"/>
      <c r="K1653" s="13" t="n"/>
      <c r="L1653" s="13" t="n"/>
      <c r="M1653" s="13" t="n"/>
      <c r="N1653" s="14">
        <f>IF(OR($C1653="",$E1653="",Calc!$H1653=""),"",IFERROR(VLOOKUP(LEFT(UPPER(TRIM($E1653)),6),BankTbl,3,0),0)+SUMIFS(CalcDep,CalcBank,LEFT(UPPER(TRIM($E1653)),6),CalcKey,"&lt;="&amp;Calc!$H1653)-SUMIFS(CalcWit,CalcBank,LEFT(UPPER(TRIM($E1653)),6),CalcKey,"&lt;="&amp;Calc!$H1653))</f>
        <v/>
      </c>
      <c r="O1653" s="10">
        <f>IF(OR($C1653="",$M1653=""),"",IF($N1653="","؟",IF(ROUND($M1653-$N1653,0)=0,"√","×")))</f>
        <v/>
      </c>
      <c r="P1653" s="12" t="n"/>
    </row>
    <row r="1654">
      <c r="A1654" s="10">
        <f>IF($C1654="","",COUNTA($C$9:$C1654))</f>
        <v/>
      </c>
      <c r="B1654" s="10">
        <f>IF($C1654="","","TXN-"&amp;RIGHT("0000"&amp;1646,4))</f>
        <v/>
      </c>
      <c r="C1654" s="11" t="n"/>
      <c r="D1654" s="11" t="n"/>
      <c r="E1654" s="12" t="n"/>
      <c r="F1654" s="10">
        <f>IF($E1654="","",IFERROR(IF(VLOOKUP(LEFT(UPPER(TRIM($E1654)),6),BankTbl,2,0)="","(بدون عنوان)",VLOOKUP(LEFT(UPPER(TRIM($E1654)),6),BankTbl,2,0)),"بانک ناشناخته"))</f>
        <v/>
      </c>
      <c r="G1654" s="11" t="n"/>
      <c r="H1654" s="10">
        <f>IF($G1654="","",IFERROR(VLOOKUP($G1654,CustTbl,2,0),IFERROR(VLOOKUP($G1654,SuppTbl,2,0),IFERROR(VLOOKUP($G1654,AcctTbl,2,0),IFERROR(VLOOKUP($G1654,StaffTbl,2,0),"کد ناشناخته")))))</f>
        <v/>
      </c>
      <c r="I1654" s="12" t="n"/>
      <c r="J1654" s="12" t="n"/>
      <c r="K1654" s="13" t="n"/>
      <c r="L1654" s="13" t="n"/>
      <c r="M1654" s="13" t="n"/>
      <c r="N1654" s="14">
        <f>IF(OR($C1654="",$E1654="",Calc!$H1654=""),"",IFERROR(VLOOKUP(LEFT(UPPER(TRIM($E1654)),6),BankTbl,3,0),0)+SUMIFS(CalcDep,CalcBank,LEFT(UPPER(TRIM($E1654)),6),CalcKey,"&lt;="&amp;Calc!$H1654)-SUMIFS(CalcWit,CalcBank,LEFT(UPPER(TRIM($E1654)),6),CalcKey,"&lt;="&amp;Calc!$H1654))</f>
        <v/>
      </c>
      <c r="O1654" s="10">
        <f>IF(OR($C1654="",$M1654=""),"",IF($N1654="","؟",IF(ROUND($M1654-$N1654,0)=0,"√","×")))</f>
        <v/>
      </c>
      <c r="P1654" s="12" t="n"/>
    </row>
    <row r="1655">
      <c r="A1655" s="10">
        <f>IF($C1655="","",COUNTA($C$9:$C1655))</f>
        <v/>
      </c>
      <c r="B1655" s="10">
        <f>IF($C1655="","","TXN-"&amp;RIGHT("0000"&amp;1647,4))</f>
        <v/>
      </c>
      <c r="C1655" s="11" t="n"/>
      <c r="D1655" s="11" t="n"/>
      <c r="E1655" s="12" t="n"/>
      <c r="F1655" s="10">
        <f>IF($E1655="","",IFERROR(IF(VLOOKUP(LEFT(UPPER(TRIM($E1655)),6),BankTbl,2,0)="","(بدون عنوان)",VLOOKUP(LEFT(UPPER(TRIM($E1655)),6),BankTbl,2,0)),"بانک ناشناخته"))</f>
        <v/>
      </c>
      <c r="G1655" s="11" t="n"/>
      <c r="H1655" s="10">
        <f>IF($G1655="","",IFERROR(VLOOKUP($G1655,CustTbl,2,0),IFERROR(VLOOKUP($G1655,SuppTbl,2,0),IFERROR(VLOOKUP($G1655,AcctTbl,2,0),IFERROR(VLOOKUP($G1655,StaffTbl,2,0),"کد ناشناخته")))))</f>
        <v/>
      </c>
      <c r="I1655" s="12" t="n"/>
      <c r="J1655" s="12" t="n"/>
      <c r="K1655" s="13" t="n"/>
      <c r="L1655" s="13" t="n"/>
      <c r="M1655" s="13" t="n"/>
      <c r="N1655" s="14">
        <f>IF(OR($C1655="",$E1655="",Calc!$H1655=""),"",IFERROR(VLOOKUP(LEFT(UPPER(TRIM($E1655)),6),BankTbl,3,0),0)+SUMIFS(CalcDep,CalcBank,LEFT(UPPER(TRIM($E1655)),6),CalcKey,"&lt;="&amp;Calc!$H1655)-SUMIFS(CalcWit,CalcBank,LEFT(UPPER(TRIM($E1655)),6),CalcKey,"&lt;="&amp;Calc!$H1655))</f>
        <v/>
      </c>
      <c r="O1655" s="10">
        <f>IF(OR($C1655="",$M1655=""),"",IF($N1655="","؟",IF(ROUND($M1655-$N1655,0)=0,"√","×")))</f>
        <v/>
      </c>
      <c r="P1655" s="12" t="n"/>
    </row>
    <row r="1656">
      <c r="A1656" s="10">
        <f>IF($C1656="","",COUNTA($C$9:$C1656))</f>
        <v/>
      </c>
      <c r="B1656" s="10">
        <f>IF($C1656="","","TXN-"&amp;RIGHT("0000"&amp;1648,4))</f>
        <v/>
      </c>
      <c r="C1656" s="11" t="n"/>
      <c r="D1656" s="11" t="n"/>
      <c r="E1656" s="12" t="n"/>
      <c r="F1656" s="10">
        <f>IF($E1656="","",IFERROR(IF(VLOOKUP(LEFT(UPPER(TRIM($E1656)),6),BankTbl,2,0)="","(بدون عنوان)",VLOOKUP(LEFT(UPPER(TRIM($E1656)),6),BankTbl,2,0)),"بانک ناشناخته"))</f>
        <v/>
      </c>
      <c r="G1656" s="11" t="n"/>
      <c r="H1656" s="10">
        <f>IF($G1656="","",IFERROR(VLOOKUP($G1656,CustTbl,2,0),IFERROR(VLOOKUP($G1656,SuppTbl,2,0),IFERROR(VLOOKUP($G1656,AcctTbl,2,0),IFERROR(VLOOKUP($G1656,StaffTbl,2,0),"کد ناشناخته")))))</f>
        <v/>
      </c>
      <c r="I1656" s="12" t="n"/>
      <c r="J1656" s="12" t="n"/>
      <c r="K1656" s="13" t="n"/>
      <c r="L1656" s="13" t="n"/>
      <c r="M1656" s="13" t="n"/>
      <c r="N1656" s="14">
        <f>IF(OR($C1656="",$E1656="",Calc!$H1656=""),"",IFERROR(VLOOKUP(LEFT(UPPER(TRIM($E1656)),6),BankTbl,3,0),0)+SUMIFS(CalcDep,CalcBank,LEFT(UPPER(TRIM($E1656)),6),CalcKey,"&lt;="&amp;Calc!$H1656)-SUMIFS(CalcWit,CalcBank,LEFT(UPPER(TRIM($E1656)),6),CalcKey,"&lt;="&amp;Calc!$H1656))</f>
        <v/>
      </c>
      <c r="O1656" s="10">
        <f>IF(OR($C1656="",$M1656=""),"",IF($N1656="","؟",IF(ROUND($M1656-$N1656,0)=0,"√","×")))</f>
        <v/>
      </c>
      <c r="P1656" s="12" t="n"/>
    </row>
    <row r="1657">
      <c r="A1657" s="10">
        <f>IF($C1657="","",COUNTA($C$9:$C1657))</f>
        <v/>
      </c>
      <c r="B1657" s="10">
        <f>IF($C1657="","","TXN-"&amp;RIGHT("0000"&amp;1649,4))</f>
        <v/>
      </c>
      <c r="C1657" s="11" t="n"/>
      <c r="D1657" s="11" t="n"/>
      <c r="E1657" s="12" t="n"/>
      <c r="F1657" s="10">
        <f>IF($E1657="","",IFERROR(IF(VLOOKUP(LEFT(UPPER(TRIM($E1657)),6),BankTbl,2,0)="","(بدون عنوان)",VLOOKUP(LEFT(UPPER(TRIM($E1657)),6),BankTbl,2,0)),"بانک ناشناخته"))</f>
        <v/>
      </c>
      <c r="G1657" s="11" t="n"/>
      <c r="H1657" s="10">
        <f>IF($G1657="","",IFERROR(VLOOKUP($G1657,CustTbl,2,0),IFERROR(VLOOKUP($G1657,SuppTbl,2,0),IFERROR(VLOOKUP($G1657,AcctTbl,2,0),IFERROR(VLOOKUP($G1657,StaffTbl,2,0),"کد ناشناخته")))))</f>
        <v/>
      </c>
      <c r="I1657" s="12" t="n"/>
      <c r="J1657" s="12" t="n"/>
      <c r="K1657" s="13" t="n"/>
      <c r="L1657" s="13" t="n"/>
      <c r="M1657" s="13" t="n"/>
      <c r="N1657" s="14">
        <f>IF(OR($C1657="",$E1657="",Calc!$H1657=""),"",IFERROR(VLOOKUP(LEFT(UPPER(TRIM($E1657)),6),BankTbl,3,0),0)+SUMIFS(CalcDep,CalcBank,LEFT(UPPER(TRIM($E1657)),6),CalcKey,"&lt;="&amp;Calc!$H1657)-SUMIFS(CalcWit,CalcBank,LEFT(UPPER(TRIM($E1657)),6),CalcKey,"&lt;="&amp;Calc!$H1657))</f>
        <v/>
      </c>
      <c r="O1657" s="10">
        <f>IF(OR($C1657="",$M1657=""),"",IF($N1657="","؟",IF(ROUND($M1657-$N1657,0)=0,"√","×")))</f>
        <v/>
      </c>
      <c r="P1657" s="12" t="n"/>
    </row>
    <row r="1658">
      <c r="A1658" s="10">
        <f>IF($C1658="","",COUNTA($C$9:$C1658))</f>
        <v/>
      </c>
      <c r="B1658" s="10">
        <f>IF($C1658="","","TXN-"&amp;RIGHT("0000"&amp;1650,4))</f>
        <v/>
      </c>
      <c r="C1658" s="11" t="n"/>
      <c r="D1658" s="11" t="n"/>
      <c r="E1658" s="12" t="n"/>
      <c r="F1658" s="10">
        <f>IF($E1658="","",IFERROR(IF(VLOOKUP(LEFT(UPPER(TRIM($E1658)),6),BankTbl,2,0)="","(بدون عنوان)",VLOOKUP(LEFT(UPPER(TRIM($E1658)),6),BankTbl,2,0)),"بانک ناشناخته"))</f>
        <v/>
      </c>
      <c r="G1658" s="11" t="n"/>
      <c r="H1658" s="10">
        <f>IF($G1658="","",IFERROR(VLOOKUP($G1658,CustTbl,2,0),IFERROR(VLOOKUP($G1658,SuppTbl,2,0),IFERROR(VLOOKUP($G1658,AcctTbl,2,0),IFERROR(VLOOKUP($G1658,StaffTbl,2,0),"کد ناشناخته")))))</f>
        <v/>
      </c>
      <c r="I1658" s="12" t="n"/>
      <c r="J1658" s="12" t="n"/>
      <c r="K1658" s="13" t="n"/>
      <c r="L1658" s="13" t="n"/>
      <c r="M1658" s="13" t="n"/>
      <c r="N1658" s="14">
        <f>IF(OR($C1658="",$E1658="",Calc!$H1658=""),"",IFERROR(VLOOKUP(LEFT(UPPER(TRIM($E1658)),6),BankTbl,3,0),0)+SUMIFS(CalcDep,CalcBank,LEFT(UPPER(TRIM($E1658)),6),CalcKey,"&lt;="&amp;Calc!$H1658)-SUMIFS(CalcWit,CalcBank,LEFT(UPPER(TRIM($E1658)),6),CalcKey,"&lt;="&amp;Calc!$H1658))</f>
        <v/>
      </c>
      <c r="O1658" s="10">
        <f>IF(OR($C1658="",$M1658=""),"",IF($N1658="","؟",IF(ROUND($M1658-$N1658,0)=0,"√","×")))</f>
        <v/>
      </c>
      <c r="P1658" s="12" t="n"/>
    </row>
    <row r="1659">
      <c r="A1659" s="10">
        <f>IF($C1659="","",COUNTA($C$9:$C1659))</f>
        <v/>
      </c>
      <c r="B1659" s="10">
        <f>IF($C1659="","","TXN-"&amp;RIGHT("0000"&amp;1651,4))</f>
        <v/>
      </c>
      <c r="C1659" s="11" t="n"/>
      <c r="D1659" s="11" t="n"/>
      <c r="E1659" s="12" t="n"/>
      <c r="F1659" s="10">
        <f>IF($E1659="","",IFERROR(IF(VLOOKUP(LEFT(UPPER(TRIM($E1659)),6),BankTbl,2,0)="","(بدون عنوان)",VLOOKUP(LEFT(UPPER(TRIM($E1659)),6),BankTbl,2,0)),"بانک ناشناخته"))</f>
        <v/>
      </c>
      <c r="G1659" s="11" t="n"/>
      <c r="H1659" s="10">
        <f>IF($G1659="","",IFERROR(VLOOKUP($G1659,CustTbl,2,0),IFERROR(VLOOKUP($G1659,SuppTbl,2,0),IFERROR(VLOOKUP($G1659,AcctTbl,2,0),IFERROR(VLOOKUP($G1659,StaffTbl,2,0),"کد ناشناخته")))))</f>
        <v/>
      </c>
      <c r="I1659" s="12" t="n"/>
      <c r="J1659" s="12" t="n"/>
      <c r="K1659" s="13" t="n"/>
      <c r="L1659" s="13" t="n"/>
      <c r="M1659" s="13" t="n"/>
      <c r="N1659" s="14">
        <f>IF(OR($C1659="",$E1659="",Calc!$H1659=""),"",IFERROR(VLOOKUP(LEFT(UPPER(TRIM($E1659)),6),BankTbl,3,0),0)+SUMIFS(CalcDep,CalcBank,LEFT(UPPER(TRIM($E1659)),6),CalcKey,"&lt;="&amp;Calc!$H1659)-SUMIFS(CalcWit,CalcBank,LEFT(UPPER(TRIM($E1659)),6),CalcKey,"&lt;="&amp;Calc!$H1659))</f>
        <v/>
      </c>
      <c r="O1659" s="10">
        <f>IF(OR($C1659="",$M1659=""),"",IF($N1659="","؟",IF(ROUND($M1659-$N1659,0)=0,"√","×")))</f>
        <v/>
      </c>
      <c r="P1659" s="12" t="n"/>
    </row>
    <row r="1660">
      <c r="A1660" s="10">
        <f>IF($C1660="","",COUNTA($C$9:$C1660))</f>
        <v/>
      </c>
      <c r="B1660" s="10">
        <f>IF($C1660="","","TXN-"&amp;RIGHT("0000"&amp;1652,4))</f>
        <v/>
      </c>
      <c r="C1660" s="11" t="n"/>
      <c r="D1660" s="11" t="n"/>
      <c r="E1660" s="12" t="n"/>
      <c r="F1660" s="10">
        <f>IF($E1660="","",IFERROR(IF(VLOOKUP(LEFT(UPPER(TRIM($E1660)),6),BankTbl,2,0)="","(بدون عنوان)",VLOOKUP(LEFT(UPPER(TRIM($E1660)),6),BankTbl,2,0)),"بانک ناشناخته"))</f>
        <v/>
      </c>
      <c r="G1660" s="11" t="n"/>
      <c r="H1660" s="10">
        <f>IF($G1660="","",IFERROR(VLOOKUP($G1660,CustTbl,2,0),IFERROR(VLOOKUP($G1660,SuppTbl,2,0),IFERROR(VLOOKUP($G1660,AcctTbl,2,0),IFERROR(VLOOKUP($G1660,StaffTbl,2,0),"کد ناشناخته")))))</f>
        <v/>
      </c>
      <c r="I1660" s="12" t="n"/>
      <c r="J1660" s="12" t="n"/>
      <c r="K1660" s="13" t="n"/>
      <c r="L1660" s="13" t="n"/>
      <c r="M1660" s="13" t="n"/>
      <c r="N1660" s="14">
        <f>IF(OR($C1660="",$E1660="",Calc!$H1660=""),"",IFERROR(VLOOKUP(LEFT(UPPER(TRIM($E1660)),6),BankTbl,3,0),0)+SUMIFS(CalcDep,CalcBank,LEFT(UPPER(TRIM($E1660)),6),CalcKey,"&lt;="&amp;Calc!$H1660)-SUMIFS(CalcWit,CalcBank,LEFT(UPPER(TRIM($E1660)),6),CalcKey,"&lt;="&amp;Calc!$H1660))</f>
        <v/>
      </c>
      <c r="O1660" s="10">
        <f>IF(OR($C1660="",$M1660=""),"",IF($N1660="","؟",IF(ROUND($M1660-$N1660,0)=0,"√","×")))</f>
        <v/>
      </c>
      <c r="P1660" s="12" t="n"/>
    </row>
    <row r="1661">
      <c r="A1661" s="10">
        <f>IF($C1661="","",COUNTA($C$9:$C1661))</f>
        <v/>
      </c>
      <c r="B1661" s="10">
        <f>IF($C1661="","","TXN-"&amp;RIGHT("0000"&amp;1653,4))</f>
        <v/>
      </c>
      <c r="C1661" s="11" t="n"/>
      <c r="D1661" s="11" t="n"/>
      <c r="E1661" s="12" t="n"/>
      <c r="F1661" s="10">
        <f>IF($E1661="","",IFERROR(IF(VLOOKUP(LEFT(UPPER(TRIM($E1661)),6),BankTbl,2,0)="","(بدون عنوان)",VLOOKUP(LEFT(UPPER(TRIM($E1661)),6),BankTbl,2,0)),"بانک ناشناخته"))</f>
        <v/>
      </c>
      <c r="G1661" s="11" t="n"/>
      <c r="H1661" s="10">
        <f>IF($G1661="","",IFERROR(VLOOKUP($G1661,CustTbl,2,0),IFERROR(VLOOKUP($G1661,SuppTbl,2,0),IFERROR(VLOOKUP($G1661,AcctTbl,2,0),IFERROR(VLOOKUP($G1661,StaffTbl,2,0),"کد ناشناخته")))))</f>
        <v/>
      </c>
      <c r="I1661" s="12" t="n"/>
      <c r="J1661" s="12" t="n"/>
      <c r="K1661" s="13" t="n"/>
      <c r="L1661" s="13" t="n"/>
      <c r="M1661" s="13" t="n"/>
      <c r="N1661" s="14">
        <f>IF(OR($C1661="",$E1661="",Calc!$H1661=""),"",IFERROR(VLOOKUP(LEFT(UPPER(TRIM($E1661)),6),BankTbl,3,0),0)+SUMIFS(CalcDep,CalcBank,LEFT(UPPER(TRIM($E1661)),6),CalcKey,"&lt;="&amp;Calc!$H1661)-SUMIFS(CalcWit,CalcBank,LEFT(UPPER(TRIM($E1661)),6),CalcKey,"&lt;="&amp;Calc!$H1661))</f>
        <v/>
      </c>
      <c r="O1661" s="10">
        <f>IF(OR($C1661="",$M1661=""),"",IF($N1661="","؟",IF(ROUND($M1661-$N1661,0)=0,"√","×")))</f>
        <v/>
      </c>
      <c r="P1661" s="12" t="n"/>
    </row>
    <row r="1662">
      <c r="A1662" s="10">
        <f>IF($C1662="","",COUNTA($C$9:$C1662))</f>
        <v/>
      </c>
      <c r="B1662" s="10">
        <f>IF($C1662="","","TXN-"&amp;RIGHT("0000"&amp;1654,4))</f>
        <v/>
      </c>
      <c r="C1662" s="11" t="n"/>
      <c r="D1662" s="11" t="n"/>
      <c r="E1662" s="12" t="n"/>
      <c r="F1662" s="10">
        <f>IF($E1662="","",IFERROR(IF(VLOOKUP(LEFT(UPPER(TRIM($E1662)),6),BankTbl,2,0)="","(بدون عنوان)",VLOOKUP(LEFT(UPPER(TRIM($E1662)),6),BankTbl,2,0)),"بانک ناشناخته"))</f>
        <v/>
      </c>
      <c r="G1662" s="11" t="n"/>
      <c r="H1662" s="10">
        <f>IF($G1662="","",IFERROR(VLOOKUP($G1662,CustTbl,2,0),IFERROR(VLOOKUP($G1662,SuppTbl,2,0),IFERROR(VLOOKUP($G1662,AcctTbl,2,0),IFERROR(VLOOKUP($G1662,StaffTbl,2,0),"کد ناشناخته")))))</f>
        <v/>
      </c>
      <c r="I1662" s="12" t="n"/>
      <c r="J1662" s="12" t="n"/>
      <c r="K1662" s="13" t="n"/>
      <c r="L1662" s="13" t="n"/>
      <c r="M1662" s="13" t="n"/>
      <c r="N1662" s="14">
        <f>IF(OR($C1662="",$E1662="",Calc!$H1662=""),"",IFERROR(VLOOKUP(LEFT(UPPER(TRIM($E1662)),6),BankTbl,3,0),0)+SUMIFS(CalcDep,CalcBank,LEFT(UPPER(TRIM($E1662)),6),CalcKey,"&lt;="&amp;Calc!$H1662)-SUMIFS(CalcWit,CalcBank,LEFT(UPPER(TRIM($E1662)),6),CalcKey,"&lt;="&amp;Calc!$H1662))</f>
        <v/>
      </c>
      <c r="O1662" s="10">
        <f>IF(OR($C1662="",$M1662=""),"",IF($N1662="","؟",IF(ROUND($M1662-$N1662,0)=0,"√","×")))</f>
        <v/>
      </c>
      <c r="P1662" s="12" t="n"/>
    </row>
    <row r="1663">
      <c r="A1663" s="10">
        <f>IF($C1663="","",COUNTA($C$9:$C1663))</f>
        <v/>
      </c>
      <c r="B1663" s="10">
        <f>IF($C1663="","","TXN-"&amp;RIGHT("0000"&amp;1655,4))</f>
        <v/>
      </c>
      <c r="C1663" s="11" t="n"/>
      <c r="D1663" s="11" t="n"/>
      <c r="E1663" s="12" t="n"/>
      <c r="F1663" s="10">
        <f>IF($E1663="","",IFERROR(IF(VLOOKUP(LEFT(UPPER(TRIM($E1663)),6),BankTbl,2,0)="","(بدون عنوان)",VLOOKUP(LEFT(UPPER(TRIM($E1663)),6),BankTbl,2,0)),"بانک ناشناخته"))</f>
        <v/>
      </c>
      <c r="G1663" s="11" t="n"/>
      <c r="H1663" s="10">
        <f>IF($G1663="","",IFERROR(VLOOKUP($G1663,CustTbl,2,0),IFERROR(VLOOKUP($G1663,SuppTbl,2,0),IFERROR(VLOOKUP($G1663,AcctTbl,2,0),IFERROR(VLOOKUP($G1663,StaffTbl,2,0),"کد ناشناخته")))))</f>
        <v/>
      </c>
      <c r="I1663" s="12" t="n"/>
      <c r="J1663" s="12" t="n"/>
      <c r="K1663" s="13" t="n"/>
      <c r="L1663" s="13" t="n"/>
      <c r="M1663" s="13" t="n"/>
      <c r="N1663" s="14">
        <f>IF(OR($C1663="",$E1663="",Calc!$H1663=""),"",IFERROR(VLOOKUP(LEFT(UPPER(TRIM($E1663)),6),BankTbl,3,0),0)+SUMIFS(CalcDep,CalcBank,LEFT(UPPER(TRIM($E1663)),6),CalcKey,"&lt;="&amp;Calc!$H1663)-SUMIFS(CalcWit,CalcBank,LEFT(UPPER(TRIM($E1663)),6),CalcKey,"&lt;="&amp;Calc!$H1663))</f>
        <v/>
      </c>
      <c r="O1663" s="10">
        <f>IF(OR($C1663="",$M1663=""),"",IF($N1663="","؟",IF(ROUND($M1663-$N1663,0)=0,"√","×")))</f>
        <v/>
      </c>
      <c r="P1663" s="12" t="n"/>
    </row>
    <row r="1664">
      <c r="A1664" s="10">
        <f>IF($C1664="","",COUNTA($C$9:$C1664))</f>
        <v/>
      </c>
      <c r="B1664" s="10">
        <f>IF($C1664="","","TXN-"&amp;RIGHT("0000"&amp;1656,4))</f>
        <v/>
      </c>
      <c r="C1664" s="11" t="n"/>
      <c r="D1664" s="11" t="n"/>
      <c r="E1664" s="12" t="n"/>
      <c r="F1664" s="10">
        <f>IF($E1664="","",IFERROR(IF(VLOOKUP(LEFT(UPPER(TRIM($E1664)),6),BankTbl,2,0)="","(بدون عنوان)",VLOOKUP(LEFT(UPPER(TRIM($E1664)),6),BankTbl,2,0)),"بانک ناشناخته"))</f>
        <v/>
      </c>
      <c r="G1664" s="11" t="n"/>
      <c r="H1664" s="10">
        <f>IF($G1664="","",IFERROR(VLOOKUP($G1664,CustTbl,2,0),IFERROR(VLOOKUP($G1664,SuppTbl,2,0),IFERROR(VLOOKUP($G1664,AcctTbl,2,0),IFERROR(VLOOKUP($G1664,StaffTbl,2,0),"کد ناشناخته")))))</f>
        <v/>
      </c>
      <c r="I1664" s="12" t="n"/>
      <c r="J1664" s="12" t="n"/>
      <c r="K1664" s="13" t="n"/>
      <c r="L1664" s="13" t="n"/>
      <c r="M1664" s="13" t="n"/>
      <c r="N1664" s="14">
        <f>IF(OR($C1664="",$E1664="",Calc!$H1664=""),"",IFERROR(VLOOKUP(LEFT(UPPER(TRIM($E1664)),6),BankTbl,3,0),0)+SUMIFS(CalcDep,CalcBank,LEFT(UPPER(TRIM($E1664)),6),CalcKey,"&lt;="&amp;Calc!$H1664)-SUMIFS(CalcWit,CalcBank,LEFT(UPPER(TRIM($E1664)),6),CalcKey,"&lt;="&amp;Calc!$H1664))</f>
        <v/>
      </c>
      <c r="O1664" s="10">
        <f>IF(OR($C1664="",$M1664=""),"",IF($N1664="","؟",IF(ROUND($M1664-$N1664,0)=0,"√","×")))</f>
        <v/>
      </c>
      <c r="P1664" s="12" t="n"/>
    </row>
    <row r="1665">
      <c r="A1665" s="10">
        <f>IF($C1665="","",COUNTA($C$9:$C1665))</f>
        <v/>
      </c>
      <c r="B1665" s="10">
        <f>IF($C1665="","","TXN-"&amp;RIGHT("0000"&amp;1657,4))</f>
        <v/>
      </c>
      <c r="C1665" s="11" t="n"/>
      <c r="D1665" s="11" t="n"/>
      <c r="E1665" s="12" t="n"/>
      <c r="F1665" s="10">
        <f>IF($E1665="","",IFERROR(IF(VLOOKUP(LEFT(UPPER(TRIM($E1665)),6),BankTbl,2,0)="","(بدون عنوان)",VLOOKUP(LEFT(UPPER(TRIM($E1665)),6),BankTbl,2,0)),"بانک ناشناخته"))</f>
        <v/>
      </c>
      <c r="G1665" s="11" t="n"/>
      <c r="H1665" s="10">
        <f>IF($G1665="","",IFERROR(VLOOKUP($G1665,CustTbl,2,0),IFERROR(VLOOKUP($G1665,SuppTbl,2,0),IFERROR(VLOOKUP($G1665,AcctTbl,2,0),IFERROR(VLOOKUP($G1665,StaffTbl,2,0),"کد ناشناخته")))))</f>
        <v/>
      </c>
      <c r="I1665" s="12" t="n"/>
      <c r="J1665" s="12" t="n"/>
      <c r="K1665" s="13" t="n"/>
      <c r="L1665" s="13" t="n"/>
      <c r="M1665" s="13" t="n"/>
      <c r="N1665" s="14">
        <f>IF(OR($C1665="",$E1665="",Calc!$H1665=""),"",IFERROR(VLOOKUP(LEFT(UPPER(TRIM($E1665)),6),BankTbl,3,0),0)+SUMIFS(CalcDep,CalcBank,LEFT(UPPER(TRIM($E1665)),6),CalcKey,"&lt;="&amp;Calc!$H1665)-SUMIFS(CalcWit,CalcBank,LEFT(UPPER(TRIM($E1665)),6),CalcKey,"&lt;="&amp;Calc!$H1665))</f>
        <v/>
      </c>
      <c r="O1665" s="10">
        <f>IF(OR($C1665="",$M1665=""),"",IF($N1665="","؟",IF(ROUND($M1665-$N1665,0)=0,"√","×")))</f>
        <v/>
      </c>
      <c r="P1665" s="12" t="n"/>
    </row>
    <row r="1666">
      <c r="A1666" s="10">
        <f>IF($C1666="","",COUNTA($C$9:$C1666))</f>
        <v/>
      </c>
      <c r="B1666" s="10">
        <f>IF($C1666="","","TXN-"&amp;RIGHT("0000"&amp;1658,4))</f>
        <v/>
      </c>
      <c r="C1666" s="11" t="n"/>
      <c r="D1666" s="11" t="n"/>
      <c r="E1666" s="12" t="n"/>
      <c r="F1666" s="10">
        <f>IF($E1666="","",IFERROR(IF(VLOOKUP(LEFT(UPPER(TRIM($E1666)),6),BankTbl,2,0)="","(بدون عنوان)",VLOOKUP(LEFT(UPPER(TRIM($E1666)),6),BankTbl,2,0)),"بانک ناشناخته"))</f>
        <v/>
      </c>
      <c r="G1666" s="11" t="n"/>
      <c r="H1666" s="10">
        <f>IF($G1666="","",IFERROR(VLOOKUP($G1666,CustTbl,2,0),IFERROR(VLOOKUP($G1666,SuppTbl,2,0),IFERROR(VLOOKUP($G1666,AcctTbl,2,0),IFERROR(VLOOKUP($G1666,StaffTbl,2,0),"کد ناشناخته")))))</f>
        <v/>
      </c>
      <c r="I1666" s="12" t="n"/>
      <c r="J1666" s="12" t="n"/>
      <c r="K1666" s="13" t="n"/>
      <c r="L1666" s="13" t="n"/>
      <c r="M1666" s="13" t="n"/>
      <c r="N1666" s="14">
        <f>IF(OR($C1666="",$E1666="",Calc!$H1666=""),"",IFERROR(VLOOKUP(LEFT(UPPER(TRIM($E1666)),6),BankTbl,3,0),0)+SUMIFS(CalcDep,CalcBank,LEFT(UPPER(TRIM($E1666)),6),CalcKey,"&lt;="&amp;Calc!$H1666)-SUMIFS(CalcWit,CalcBank,LEFT(UPPER(TRIM($E1666)),6),CalcKey,"&lt;="&amp;Calc!$H1666))</f>
        <v/>
      </c>
      <c r="O1666" s="10">
        <f>IF(OR($C1666="",$M1666=""),"",IF($N1666="","؟",IF(ROUND($M1666-$N1666,0)=0,"√","×")))</f>
        <v/>
      </c>
      <c r="P1666" s="12" t="n"/>
    </row>
    <row r="1667">
      <c r="A1667" s="10">
        <f>IF($C1667="","",COUNTA($C$9:$C1667))</f>
        <v/>
      </c>
      <c r="B1667" s="10">
        <f>IF($C1667="","","TXN-"&amp;RIGHT("0000"&amp;1659,4))</f>
        <v/>
      </c>
      <c r="C1667" s="11" t="n"/>
      <c r="D1667" s="11" t="n"/>
      <c r="E1667" s="12" t="n"/>
      <c r="F1667" s="10">
        <f>IF($E1667="","",IFERROR(IF(VLOOKUP(LEFT(UPPER(TRIM($E1667)),6),BankTbl,2,0)="","(بدون عنوان)",VLOOKUP(LEFT(UPPER(TRIM($E1667)),6),BankTbl,2,0)),"بانک ناشناخته"))</f>
        <v/>
      </c>
      <c r="G1667" s="11" t="n"/>
      <c r="H1667" s="10">
        <f>IF($G1667="","",IFERROR(VLOOKUP($G1667,CustTbl,2,0),IFERROR(VLOOKUP($G1667,SuppTbl,2,0),IFERROR(VLOOKUP($G1667,AcctTbl,2,0),IFERROR(VLOOKUP($G1667,StaffTbl,2,0),"کد ناشناخته")))))</f>
        <v/>
      </c>
      <c r="I1667" s="12" t="n"/>
      <c r="J1667" s="12" t="n"/>
      <c r="K1667" s="13" t="n"/>
      <c r="L1667" s="13" t="n"/>
      <c r="M1667" s="13" t="n"/>
      <c r="N1667" s="14">
        <f>IF(OR($C1667="",$E1667="",Calc!$H1667=""),"",IFERROR(VLOOKUP(LEFT(UPPER(TRIM($E1667)),6),BankTbl,3,0),0)+SUMIFS(CalcDep,CalcBank,LEFT(UPPER(TRIM($E1667)),6),CalcKey,"&lt;="&amp;Calc!$H1667)-SUMIFS(CalcWit,CalcBank,LEFT(UPPER(TRIM($E1667)),6),CalcKey,"&lt;="&amp;Calc!$H1667))</f>
        <v/>
      </c>
      <c r="O1667" s="10">
        <f>IF(OR($C1667="",$M1667=""),"",IF($N1667="","؟",IF(ROUND($M1667-$N1667,0)=0,"√","×")))</f>
        <v/>
      </c>
      <c r="P1667" s="12" t="n"/>
    </row>
    <row r="1668">
      <c r="A1668" s="10">
        <f>IF($C1668="","",COUNTA($C$9:$C1668))</f>
        <v/>
      </c>
      <c r="B1668" s="10">
        <f>IF($C1668="","","TXN-"&amp;RIGHT("0000"&amp;1660,4))</f>
        <v/>
      </c>
      <c r="C1668" s="11" t="n"/>
      <c r="D1668" s="11" t="n"/>
      <c r="E1668" s="12" t="n"/>
      <c r="F1668" s="10">
        <f>IF($E1668="","",IFERROR(IF(VLOOKUP(LEFT(UPPER(TRIM($E1668)),6),BankTbl,2,0)="","(بدون عنوان)",VLOOKUP(LEFT(UPPER(TRIM($E1668)),6),BankTbl,2,0)),"بانک ناشناخته"))</f>
        <v/>
      </c>
      <c r="G1668" s="11" t="n"/>
      <c r="H1668" s="10">
        <f>IF($G1668="","",IFERROR(VLOOKUP($G1668,CustTbl,2,0),IFERROR(VLOOKUP($G1668,SuppTbl,2,0),IFERROR(VLOOKUP($G1668,AcctTbl,2,0),IFERROR(VLOOKUP($G1668,StaffTbl,2,0),"کد ناشناخته")))))</f>
        <v/>
      </c>
      <c r="I1668" s="12" t="n"/>
      <c r="J1668" s="12" t="n"/>
      <c r="K1668" s="13" t="n"/>
      <c r="L1668" s="13" t="n"/>
      <c r="M1668" s="13" t="n"/>
      <c r="N1668" s="14">
        <f>IF(OR($C1668="",$E1668="",Calc!$H1668=""),"",IFERROR(VLOOKUP(LEFT(UPPER(TRIM($E1668)),6),BankTbl,3,0),0)+SUMIFS(CalcDep,CalcBank,LEFT(UPPER(TRIM($E1668)),6),CalcKey,"&lt;="&amp;Calc!$H1668)-SUMIFS(CalcWit,CalcBank,LEFT(UPPER(TRIM($E1668)),6),CalcKey,"&lt;="&amp;Calc!$H1668))</f>
        <v/>
      </c>
      <c r="O1668" s="10">
        <f>IF(OR($C1668="",$M1668=""),"",IF($N1668="","؟",IF(ROUND($M1668-$N1668,0)=0,"√","×")))</f>
        <v/>
      </c>
      <c r="P1668" s="12" t="n"/>
    </row>
    <row r="1669">
      <c r="A1669" s="10">
        <f>IF($C1669="","",COUNTA($C$9:$C1669))</f>
        <v/>
      </c>
      <c r="B1669" s="10">
        <f>IF($C1669="","","TXN-"&amp;RIGHT("0000"&amp;1661,4))</f>
        <v/>
      </c>
      <c r="C1669" s="11" t="n"/>
      <c r="D1669" s="11" t="n"/>
      <c r="E1669" s="12" t="n"/>
      <c r="F1669" s="10">
        <f>IF($E1669="","",IFERROR(IF(VLOOKUP(LEFT(UPPER(TRIM($E1669)),6),BankTbl,2,0)="","(بدون عنوان)",VLOOKUP(LEFT(UPPER(TRIM($E1669)),6),BankTbl,2,0)),"بانک ناشناخته"))</f>
        <v/>
      </c>
      <c r="G1669" s="11" t="n"/>
      <c r="H1669" s="10">
        <f>IF($G1669="","",IFERROR(VLOOKUP($G1669,CustTbl,2,0),IFERROR(VLOOKUP($G1669,SuppTbl,2,0),IFERROR(VLOOKUP($G1669,AcctTbl,2,0),IFERROR(VLOOKUP($G1669,StaffTbl,2,0),"کد ناشناخته")))))</f>
        <v/>
      </c>
      <c r="I1669" s="12" t="n"/>
      <c r="J1669" s="12" t="n"/>
      <c r="K1669" s="13" t="n"/>
      <c r="L1669" s="13" t="n"/>
      <c r="M1669" s="13" t="n"/>
      <c r="N1669" s="14">
        <f>IF(OR($C1669="",$E1669="",Calc!$H1669=""),"",IFERROR(VLOOKUP(LEFT(UPPER(TRIM($E1669)),6),BankTbl,3,0),0)+SUMIFS(CalcDep,CalcBank,LEFT(UPPER(TRIM($E1669)),6),CalcKey,"&lt;="&amp;Calc!$H1669)-SUMIFS(CalcWit,CalcBank,LEFT(UPPER(TRIM($E1669)),6),CalcKey,"&lt;="&amp;Calc!$H1669))</f>
        <v/>
      </c>
      <c r="O1669" s="10">
        <f>IF(OR($C1669="",$M1669=""),"",IF($N1669="","؟",IF(ROUND($M1669-$N1669,0)=0,"√","×")))</f>
        <v/>
      </c>
      <c r="P1669" s="12" t="n"/>
    </row>
    <row r="1670">
      <c r="A1670" s="10">
        <f>IF($C1670="","",COUNTA($C$9:$C1670))</f>
        <v/>
      </c>
      <c r="B1670" s="10">
        <f>IF($C1670="","","TXN-"&amp;RIGHT("0000"&amp;1662,4))</f>
        <v/>
      </c>
      <c r="C1670" s="11" t="n"/>
      <c r="D1670" s="11" t="n"/>
      <c r="E1670" s="12" t="n"/>
      <c r="F1670" s="10">
        <f>IF($E1670="","",IFERROR(IF(VLOOKUP(LEFT(UPPER(TRIM($E1670)),6),BankTbl,2,0)="","(بدون عنوان)",VLOOKUP(LEFT(UPPER(TRIM($E1670)),6),BankTbl,2,0)),"بانک ناشناخته"))</f>
        <v/>
      </c>
      <c r="G1670" s="11" t="n"/>
      <c r="H1670" s="10">
        <f>IF($G1670="","",IFERROR(VLOOKUP($G1670,CustTbl,2,0),IFERROR(VLOOKUP($G1670,SuppTbl,2,0),IFERROR(VLOOKUP($G1670,AcctTbl,2,0),IFERROR(VLOOKUP($G1670,StaffTbl,2,0),"کد ناشناخته")))))</f>
        <v/>
      </c>
      <c r="I1670" s="12" t="n"/>
      <c r="J1670" s="12" t="n"/>
      <c r="K1670" s="13" t="n"/>
      <c r="L1670" s="13" t="n"/>
      <c r="M1670" s="13" t="n"/>
      <c r="N1670" s="14">
        <f>IF(OR($C1670="",$E1670="",Calc!$H1670=""),"",IFERROR(VLOOKUP(LEFT(UPPER(TRIM($E1670)),6),BankTbl,3,0),0)+SUMIFS(CalcDep,CalcBank,LEFT(UPPER(TRIM($E1670)),6),CalcKey,"&lt;="&amp;Calc!$H1670)-SUMIFS(CalcWit,CalcBank,LEFT(UPPER(TRIM($E1670)),6),CalcKey,"&lt;="&amp;Calc!$H1670))</f>
        <v/>
      </c>
      <c r="O1670" s="10">
        <f>IF(OR($C1670="",$M1670=""),"",IF($N1670="","؟",IF(ROUND($M1670-$N1670,0)=0,"√","×")))</f>
        <v/>
      </c>
      <c r="P1670" s="12" t="n"/>
    </row>
    <row r="1671">
      <c r="A1671" s="10">
        <f>IF($C1671="","",COUNTA($C$9:$C1671))</f>
        <v/>
      </c>
      <c r="B1671" s="10">
        <f>IF($C1671="","","TXN-"&amp;RIGHT("0000"&amp;1663,4))</f>
        <v/>
      </c>
      <c r="C1671" s="11" t="n"/>
      <c r="D1671" s="11" t="n"/>
      <c r="E1671" s="12" t="n"/>
      <c r="F1671" s="10">
        <f>IF($E1671="","",IFERROR(IF(VLOOKUP(LEFT(UPPER(TRIM($E1671)),6),BankTbl,2,0)="","(بدون عنوان)",VLOOKUP(LEFT(UPPER(TRIM($E1671)),6),BankTbl,2,0)),"بانک ناشناخته"))</f>
        <v/>
      </c>
      <c r="G1671" s="11" t="n"/>
      <c r="H1671" s="10">
        <f>IF($G1671="","",IFERROR(VLOOKUP($G1671,CustTbl,2,0),IFERROR(VLOOKUP($G1671,SuppTbl,2,0),IFERROR(VLOOKUP($G1671,AcctTbl,2,0),IFERROR(VLOOKUP($G1671,StaffTbl,2,0),"کد ناشناخته")))))</f>
        <v/>
      </c>
      <c r="I1671" s="12" t="n"/>
      <c r="J1671" s="12" t="n"/>
      <c r="K1671" s="13" t="n"/>
      <c r="L1671" s="13" t="n"/>
      <c r="M1671" s="13" t="n"/>
      <c r="N1671" s="14">
        <f>IF(OR($C1671="",$E1671="",Calc!$H1671=""),"",IFERROR(VLOOKUP(LEFT(UPPER(TRIM($E1671)),6),BankTbl,3,0),0)+SUMIFS(CalcDep,CalcBank,LEFT(UPPER(TRIM($E1671)),6),CalcKey,"&lt;="&amp;Calc!$H1671)-SUMIFS(CalcWit,CalcBank,LEFT(UPPER(TRIM($E1671)),6),CalcKey,"&lt;="&amp;Calc!$H1671))</f>
        <v/>
      </c>
      <c r="O1671" s="10">
        <f>IF(OR($C1671="",$M1671=""),"",IF($N1671="","؟",IF(ROUND($M1671-$N1671,0)=0,"√","×")))</f>
        <v/>
      </c>
      <c r="P1671" s="12" t="n"/>
    </row>
    <row r="1672">
      <c r="A1672" s="10">
        <f>IF($C1672="","",COUNTA($C$9:$C1672))</f>
        <v/>
      </c>
      <c r="B1672" s="10">
        <f>IF($C1672="","","TXN-"&amp;RIGHT("0000"&amp;1664,4))</f>
        <v/>
      </c>
      <c r="C1672" s="11" t="n"/>
      <c r="D1672" s="11" t="n"/>
      <c r="E1672" s="12" t="n"/>
      <c r="F1672" s="10">
        <f>IF($E1672="","",IFERROR(IF(VLOOKUP(LEFT(UPPER(TRIM($E1672)),6),BankTbl,2,0)="","(بدون عنوان)",VLOOKUP(LEFT(UPPER(TRIM($E1672)),6),BankTbl,2,0)),"بانک ناشناخته"))</f>
        <v/>
      </c>
      <c r="G1672" s="11" t="n"/>
      <c r="H1672" s="10">
        <f>IF($G1672="","",IFERROR(VLOOKUP($G1672,CustTbl,2,0),IFERROR(VLOOKUP($G1672,SuppTbl,2,0),IFERROR(VLOOKUP($G1672,AcctTbl,2,0),IFERROR(VLOOKUP($G1672,StaffTbl,2,0),"کد ناشناخته")))))</f>
        <v/>
      </c>
      <c r="I1672" s="12" t="n"/>
      <c r="J1672" s="12" t="n"/>
      <c r="K1672" s="13" t="n"/>
      <c r="L1672" s="13" t="n"/>
      <c r="M1672" s="13" t="n"/>
      <c r="N1672" s="14">
        <f>IF(OR($C1672="",$E1672="",Calc!$H1672=""),"",IFERROR(VLOOKUP(LEFT(UPPER(TRIM($E1672)),6),BankTbl,3,0),0)+SUMIFS(CalcDep,CalcBank,LEFT(UPPER(TRIM($E1672)),6),CalcKey,"&lt;="&amp;Calc!$H1672)-SUMIFS(CalcWit,CalcBank,LEFT(UPPER(TRIM($E1672)),6),CalcKey,"&lt;="&amp;Calc!$H1672))</f>
        <v/>
      </c>
      <c r="O1672" s="10">
        <f>IF(OR($C1672="",$M1672=""),"",IF($N1672="","؟",IF(ROUND($M1672-$N1672,0)=0,"√","×")))</f>
        <v/>
      </c>
      <c r="P1672" s="12" t="n"/>
    </row>
    <row r="1673">
      <c r="A1673" s="10">
        <f>IF($C1673="","",COUNTA($C$9:$C1673))</f>
        <v/>
      </c>
      <c r="B1673" s="10">
        <f>IF($C1673="","","TXN-"&amp;RIGHT("0000"&amp;1665,4))</f>
        <v/>
      </c>
      <c r="C1673" s="11" t="n"/>
      <c r="D1673" s="11" t="n"/>
      <c r="E1673" s="12" t="n"/>
      <c r="F1673" s="10">
        <f>IF($E1673="","",IFERROR(IF(VLOOKUP(LEFT(UPPER(TRIM($E1673)),6),BankTbl,2,0)="","(بدون عنوان)",VLOOKUP(LEFT(UPPER(TRIM($E1673)),6),BankTbl,2,0)),"بانک ناشناخته"))</f>
        <v/>
      </c>
      <c r="G1673" s="11" t="n"/>
      <c r="H1673" s="10">
        <f>IF($G1673="","",IFERROR(VLOOKUP($G1673,CustTbl,2,0),IFERROR(VLOOKUP($G1673,SuppTbl,2,0),IFERROR(VLOOKUP($G1673,AcctTbl,2,0),IFERROR(VLOOKUP($G1673,StaffTbl,2,0),"کد ناشناخته")))))</f>
        <v/>
      </c>
      <c r="I1673" s="12" t="n"/>
      <c r="J1673" s="12" t="n"/>
      <c r="K1673" s="13" t="n"/>
      <c r="L1673" s="13" t="n"/>
      <c r="M1673" s="13" t="n"/>
      <c r="N1673" s="14">
        <f>IF(OR($C1673="",$E1673="",Calc!$H1673=""),"",IFERROR(VLOOKUP(LEFT(UPPER(TRIM($E1673)),6),BankTbl,3,0),0)+SUMIFS(CalcDep,CalcBank,LEFT(UPPER(TRIM($E1673)),6),CalcKey,"&lt;="&amp;Calc!$H1673)-SUMIFS(CalcWit,CalcBank,LEFT(UPPER(TRIM($E1673)),6),CalcKey,"&lt;="&amp;Calc!$H1673))</f>
        <v/>
      </c>
      <c r="O1673" s="10">
        <f>IF(OR($C1673="",$M1673=""),"",IF($N1673="","؟",IF(ROUND($M1673-$N1673,0)=0,"√","×")))</f>
        <v/>
      </c>
      <c r="P1673" s="12" t="n"/>
    </row>
    <row r="1674">
      <c r="A1674" s="10">
        <f>IF($C1674="","",COUNTA($C$9:$C1674))</f>
        <v/>
      </c>
      <c r="B1674" s="10">
        <f>IF($C1674="","","TXN-"&amp;RIGHT("0000"&amp;1666,4))</f>
        <v/>
      </c>
      <c r="C1674" s="11" t="n"/>
      <c r="D1674" s="11" t="n"/>
      <c r="E1674" s="12" t="n"/>
      <c r="F1674" s="10">
        <f>IF($E1674="","",IFERROR(IF(VLOOKUP(LEFT(UPPER(TRIM($E1674)),6),BankTbl,2,0)="","(بدون عنوان)",VLOOKUP(LEFT(UPPER(TRIM($E1674)),6),BankTbl,2,0)),"بانک ناشناخته"))</f>
        <v/>
      </c>
      <c r="G1674" s="11" t="n"/>
      <c r="H1674" s="10">
        <f>IF($G1674="","",IFERROR(VLOOKUP($G1674,CustTbl,2,0),IFERROR(VLOOKUP($G1674,SuppTbl,2,0),IFERROR(VLOOKUP($G1674,AcctTbl,2,0),IFERROR(VLOOKUP($G1674,StaffTbl,2,0),"کد ناشناخته")))))</f>
        <v/>
      </c>
      <c r="I1674" s="12" t="n"/>
      <c r="J1674" s="12" t="n"/>
      <c r="K1674" s="13" t="n"/>
      <c r="L1674" s="13" t="n"/>
      <c r="M1674" s="13" t="n"/>
      <c r="N1674" s="14">
        <f>IF(OR($C1674="",$E1674="",Calc!$H1674=""),"",IFERROR(VLOOKUP(LEFT(UPPER(TRIM($E1674)),6),BankTbl,3,0),0)+SUMIFS(CalcDep,CalcBank,LEFT(UPPER(TRIM($E1674)),6),CalcKey,"&lt;="&amp;Calc!$H1674)-SUMIFS(CalcWit,CalcBank,LEFT(UPPER(TRIM($E1674)),6),CalcKey,"&lt;="&amp;Calc!$H1674))</f>
        <v/>
      </c>
      <c r="O1674" s="10">
        <f>IF(OR($C1674="",$M1674=""),"",IF($N1674="","؟",IF(ROUND($M1674-$N1674,0)=0,"√","×")))</f>
        <v/>
      </c>
      <c r="P1674" s="12" t="n"/>
    </row>
    <row r="1675">
      <c r="A1675" s="10">
        <f>IF($C1675="","",COUNTA($C$9:$C1675))</f>
        <v/>
      </c>
      <c r="B1675" s="10">
        <f>IF($C1675="","","TXN-"&amp;RIGHT("0000"&amp;1667,4))</f>
        <v/>
      </c>
      <c r="C1675" s="11" t="n"/>
      <c r="D1675" s="11" t="n"/>
      <c r="E1675" s="12" t="n"/>
      <c r="F1675" s="10">
        <f>IF($E1675="","",IFERROR(IF(VLOOKUP(LEFT(UPPER(TRIM($E1675)),6),BankTbl,2,0)="","(بدون عنوان)",VLOOKUP(LEFT(UPPER(TRIM($E1675)),6),BankTbl,2,0)),"بانک ناشناخته"))</f>
        <v/>
      </c>
      <c r="G1675" s="11" t="n"/>
      <c r="H1675" s="10">
        <f>IF($G1675="","",IFERROR(VLOOKUP($G1675,CustTbl,2,0),IFERROR(VLOOKUP($G1675,SuppTbl,2,0),IFERROR(VLOOKUP($G1675,AcctTbl,2,0),IFERROR(VLOOKUP($G1675,StaffTbl,2,0),"کد ناشناخته")))))</f>
        <v/>
      </c>
      <c r="I1675" s="12" t="n"/>
      <c r="J1675" s="12" t="n"/>
      <c r="K1675" s="13" t="n"/>
      <c r="L1675" s="13" t="n"/>
      <c r="M1675" s="13" t="n"/>
      <c r="N1675" s="14">
        <f>IF(OR($C1675="",$E1675="",Calc!$H1675=""),"",IFERROR(VLOOKUP(LEFT(UPPER(TRIM($E1675)),6),BankTbl,3,0),0)+SUMIFS(CalcDep,CalcBank,LEFT(UPPER(TRIM($E1675)),6),CalcKey,"&lt;="&amp;Calc!$H1675)-SUMIFS(CalcWit,CalcBank,LEFT(UPPER(TRIM($E1675)),6),CalcKey,"&lt;="&amp;Calc!$H1675))</f>
        <v/>
      </c>
      <c r="O1675" s="10">
        <f>IF(OR($C1675="",$M1675=""),"",IF($N1675="","؟",IF(ROUND($M1675-$N1675,0)=0,"√","×")))</f>
        <v/>
      </c>
      <c r="P1675" s="12" t="n"/>
    </row>
    <row r="1676">
      <c r="A1676" s="10">
        <f>IF($C1676="","",COUNTA($C$9:$C1676))</f>
        <v/>
      </c>
      <c r="B1676" s="10">
        <f>IF($C1676="","","TXN-"&amp;RIGHT("0000"&amp;1668,4))</f>
        <v/>
      </c>
      <c r="C1676" s="11" t="n"/>
      <c r="D1676" s="11" t="n"/>
      <c r="E1676" s="12" t="n"/>
      <c r="F1676" s="10">
        <f>IF($E1676="","",IFERROR(IF(VLOOKUP(LEFT(UPPER(TRIM($E1676)),6),BankTbl,2,0)="","(بدون عنوان)",VLOOKUP(LEFT(UPPER(TRIM($E1676)),6),BankTbl,2,0)),"بانک ناشناخته"))</f>
        <v/>
      </c>
      <c r="G1676" s="11" t="n"/>
      <c r="H1676" s="10">
        <f>IF($G1676="","",IFERROR(VLOOKUP($G1676,CustTbl,2,0),IFERROR(VLOOKUP($G1676,SuppTbl,2,0),IFERROR(VLOOKUP($G1676,AcctTbl,2,0),IFERROR(VLOOKUP($G1676,StaffTbl,2,0),"کد ناشناخته")))))</f>
        <v/>
      </c>
      <c r="I1676" s="12" t="n"/>
      <c r="J1676" s="12" t="n"/>
      <c r="K1676" s="13" t="n"/>
      <c r="L1676" s="13" t="n"/>
      <c r="M1676" s="13" t="n"/>
      <c r="N1676" s="14">
        <f>IF(OR($C1676="",$E1676="",Calc!$H1676=""),"",IFERROR(VLOOKUP(LEFT(UPPER(TRIM($E1676)),6),BankTbl,3,0),0)+SUMIFS(CalcDep,CalcBank,LEFT(UPPER(TRIM($E1676)),6),CalcKey,"&lt;="&amp;Calc!$H1676)-SUMIFS(CalcWit,CalcBank,LEFT(UPPER(TRIM($E1676)),6),CalcKey,"&lt;="&amp;Calc!$H1676))</f>
        <v/>
      </c>
      <c r="O1676" s="10">
        <f>IF(OR($C1676="",$M1676=""),"",IF($N1676="","؟",IF(ROUND($M1676-$N1676,0)=0,"√","×")))</f>
        <v/>
      </c>
      <c r="P1676" s="12" t="n"/>
    </row>
    <row r="1677">
      <c r="A1677" s="10">
        <f>IF($C1677="","",COUNTA($C$9:$C1677))</f>
        <v/>
      </c>
      <c r="B1677" s="10">
        <f>IF($C1677="","","TXN-"&amp;RIGHT("0000"&amp;1669,4))</f>
        <v/>
      </c>
      <c r="C1677" s="11" t="n"/>
      <c r="D1677" s="11" t="n"/>
      <c r="E1677" s="12" t="n"/>
      <c r="F1677" s="10">
        <f>IF($E1677="","",IFERROR(IF(VLOOKUP(LEFT(UPPER(TRIM($E1677)),6),BankTbl,2,0)="","(بدون عنوان)",VLOOKUP(LEFT(UPPER(TRIM($E1677)),6),BankTbl,2,0)),"بانک ناشناخته"))</f>
        <v/>
      </c>
      <c r="G1677" s="11" t="n"/>
      <c r="H1677" s="10">
        <f>IF($G1677="","",IFERROR(VLOOKUP($G1677,CustTbl,2,0),IFERROR(VLOOKUP($G1677,SuppTbl,2,0),IFERROR(VLOOKUP($G1677,AcctTbl,2,0),IFERROR(VLOOKUP($G1677,StaffTbl,2,0),"کد ناشناخته")))))</f>
        <v/>
      </c>
      <c r="I1677" s="12" t="n"/>
      <c r="J1677" s="12" t="n"/>
      <c r="K1677" s="13" t="n"/>
      <c r="L1677" s="13" t="n"/>
      <c r="M1677" s="13" t="n"/>
      <c r="N1677" s="14">
        <f>IF(OR($C1677="",$E1677="",Calc!$H1677=""),"",IFERROR(VLOOKUP(LEFT(UPPER(TRIM($E1677)),6),BankTbl,3,0),0)+SUMIFS(CalcDep,CalcBank,LEFT(UPPER(TRIM($E1677)),6),CalcKey,"&lt;="&amp;Calc!$H1677)-SUMIFS(CalcWit,CalcBank,LEFT(UPPER(TRIM($E1677)),6),CalcKey,"&lt;="&amp;Calc!$H1677))</f>
        <v/>
      </c>
      <c r="O1677" s="10">
        <f>IF(OR($C1677="",$M1677=""),"",IF($N1677="","؟",IF(ROUND($M1677-$N1677,0)=0,"√","×")))</f>
        <v/>
      </c>
      <c r="P1677" s="12" t="n"/>
    </row>
    <row r="1678">
      <c r="A1678" s="10">
        <f>IF($C1678="","",COUNTA($C$9:$C1678))</f>
        <v/>
      </c>
      <c r="B1678" s="10">
        <f>IF($C1678="","","TXN-"&amp;RIGHT("0000"&amp;1670,4))</f>
        <v/>
      </c>
      <c r="C1678" s="11" t="n"/>
      <c r="D1678" s="11" t="n"/>
      <c r="E1678" s="12" t="n"/>
      <c r="F1678" s="10">
        <f>IF($E1678="","",IFERROR(IF(VLOOKUP(LEFT(UPPER(TRIM($E1678)),6),BankTbl,2,0)="","(بدون عنوان)",VLOOKUP(LEFT(UPPER(TRIM($E1678)),6),BankTbl,2,0)),"بانک ناشناخته"))</f>
        <v/>
      </c>
      <c r="G1678" s="11" t="n"/>
      <c r="H1678" s="10">
        <f>IF($G1678="","",IFERROR(VLOOKUP($G1678,CustTbl,2,0),IFERROR(VLOOKUP($G1678,SuppTbl,2,0),IFERROR(VLOOKUP($G1678,AcctTbl,2,0),IFERROR(VLOOKUP($G1678,StaffTbl,2,0),"کد ناشناخته")))))</f>
        <v/>
      </c>
      <c r="I1678" s="12" t="n"/>
      <c r="J1678" s="12" t="n"/>
      <c r="K1678" s="13" t="n"/>
      <c r="L1678" s="13" t="n"/>
      <c r="M1678" s="13" t="n"/>
      <c r="N1678" s="14">
        <f>IF(OR($C1678="",$E1678="",Calc!$H1678=""),"",IFERROR(VLOOKUP(LEFT(UPPER(TRIM($E1678)),6),BankTbl,3,0),0)+SUMIFS(CalcDep,CalcBank,LEFT(UPPER(TRIM($E1678)),6),CalcKey,"&lt;="&amp;Calc!$H1678)-SUMIFS(CalcWit,CalcBank,LEFT(UPPER(TRIM($E1678)),6),CalcKey,"&lt;="&amp;Calc!$H1678))</f>
        <v/>
      </c>
      <c r="O1678" s="10">
        <f>IF(OR($C1678="",$M1678=""),"",IF($N1678="","؟",IF(ROUND($M1678-$N1678,0)=0,"√","×")))</f>
        <v/>
      </c>
      <c r="P1678" s="12" t="n"/>
    </row>
    <row r="1679">
      <c r="A1679" s="10">
        <f>IF($C1679="","",COUNTA($C$9:$C1679))</f>
        <v/>
      </c>
      <c r="B1679" s="10">
        <f>IF($C1679="","","TXN-"&amp;RIGHT("0000"&amp;1671,4))</f>
        <v/>
      </c>
      <c r="C1679" s="11" t="n"/>
      <c r="D1679" s="11" t="n"/>
      <c r="E1679" s="12" t="n"/>
      <c r="F1679" s="10">
        <f>IF($E1679="","",IFERROR(IF(VLOOKUP(LEFT(UPPER(TRIM($E1679)),6),BankTbl,2,0)="","(بدون عنوان)",VLOOKUP(LEFT(UPPER(TRIM($E1679)),6),BankTbl,2,0)),"بانک ناشناخته"))</f>
        <v/>
      </c>
      <c r="G1679" s="11" t="n"/>
      <c r="H1679" s="10">
        <f>IF($G1679="","",IFERROR(VLOOKUP($G1679,CustTbl,2,0),IFERROR(VLOOKUP($G1679,SuppTbl,2,0),IFERROR(VLOOKUP($G1679,AcctTbl,2,0),IFERROR(VLOOKUP($G1679,StaffTbl,2,0),"کد ناشناخته")))))</f>
        <v/>
      </c>
      <c r="I1679" s="12" t="n"/>
      <c r="J1679" s="12" t="n"/>
      <c r="K1679" s="13" t="n"/>
      <c r="L1679" s="13" t="n"/>
      <c r="M1679" s="13" t="n"/>
      <c r="N1679" s="14">
        <f>IF(OR($C1679="",$E1679="",Calc!$H1679=""),"",IFERROR(VLOOKUP(LEFT(UPPER(TRIM($E1679)),6),BankTbl,3,0),0)+SUMIFS(CalcDep,CalcBank,LEFT(UPPER(TRIM($E1679)),6),CalcKey,"&lt;="&amp;Calc!$H1679)-SUMIFS(CalcWit,CalcBank,LEFT(UPPER(TRIM($E1679)),6),CalcKey,"&lt;="&amp;Calc!$H1679))</f>
        <v/>
      </c>
      <c r="O1679" s="10">
        <f>IF(OR($C1679="",$M1679=""),"",IF($N1679="","؟",IF(ROUND($M1679-$N1679,0)=0,"√","×")))</f>
        <v/>
      </c>
      <c r="P1679" s="12" t="n"/>
    </row>
    <row r="1680">
      <c r="A1680" s="10">
        <f>IF($C1680="","",COUNTA($C$9:$C1680))</f>
        <v/>
      </c>
      <c r="B1680" s="10">
        <f>IF($C1680="","","TXN-"&amp;RIGHT("0000"&amp;1672,4))</f>
        <v/>
      </c>
      <c r="C1680" s="11" t="n"/>
      <c r="D1680" s="11" t="n"/>
      <c r="E1680" s="12" t="n"/>
      <c r="F1680" s="10">
        <f>IF($E1680="","",IFERROR(IF(VLOOKUP(LEFT(UPPER(TRIM($E1680)),6),BankTbl,2,0)="","(بدون عنوان)",VLOOKUP(LEFT(UPPER(TRIM($E1680)),6),BankTbl,2,0)),"بانک ناشناخته"))</f>
        <v/>
      </c>
      <c r="G1680" s="11" t="n"/>
      <c r="H1680" s="10">
        <f>IF($G1680="","",IFERROR(VLOOKUP($G1680,CustTbl,2,0),IFERROR(VLOOKUP($G1680,SuppTbl,2,0),IFERROR(VLOOKUP($G1680,AcctTbl,2,0),IFERROR(VLOOKUP($G1680,StaffTbl,2,0),"کد ناشناخته")))))</f>
        <v/>
      </c>
      <c r="I1680" s="12" t="n"/>
      <c r="J1680" s="12" t="n"/>
      <c r="K1680" s="13" t="n"/>
      <c r="L1680" s="13" t="n"/>
      <c r="M1680" s="13" t="n"/>
      <c r="N1680" s="14">
        <f>IF(OR($C1680="",$E1680="",Calc!$H1680=""),"",IFERROR(VLOOKUP(LEFT(UPPER(TRIM($E1680)),6),BankTbl,3,0),0)+SUMIFS(CalcDep,CalcBank,LEFT(UPPER(TRIM($E1680)),6),CalcKey,"&lt;="&amp;Calc!$H1680)-SUMIFS(CalcWit,CalcBank,LEFT(UPPER(TRIM($E1680)),6),CalcKey,"&lt;="&amp;Calc!$H1680))</f>
        <v/>
      </c>
      <c r="O1680" s="10">
        <f>IF(OR($C1680="",$M1680=""),"",IF($N1680="","؟",IF(ROUND($M1680-$N1680,0)=0,"√","×")))</f>
        <v/>
      </c>
      <c r="P1680" s="12" t="n"/>
    </row>
    <row r="1681">
      <c r="A1681" s="10">
        <f>IF($C1681="","",COUNTA($C$9:$C1681))</f>
        <v/>
      </c>
      <c r="B1681" s="10">
        <f>IF($C1681="","","TXN-"&amp;RIGHT("0000"&amp;1673,4))</f>
        <v/>
      </c>
      <c r="C1681" s="11" t="n"/>
      <c r="D1681" s="11" t="n"/>
      <c r="E1681" s="12" t="n"/>
      <c r="F1681" s="10">
        <f>IF($E1681="","",IFERROR(IF(VLOOKUP(LEFT(UPPER(TRIM($E1681)),6),BankTbl,2,0)="","(بدون عنوان)",VLOOKUP(LEFT(UPPER(TRIM($E1681)),6),BankTbl,2,0)),"بانک ناشناخته"))</f>
        <v/>
      </c>
      <c r="G1681" s="11" t="n"/>
      <c r="H1681" s="10">
        <f>IF($G1681="","",IFERROR(VLOOKUP($G1681,CustTbl,2,0),IFERROR(VLOOKUP($G1681,SuppTbl,2,0),IFERROR(VLOOKUP($G1681,AcctTbl,2,0),IFERROR(VLOOKUP($G1681,StaffTbl,2,0),"کد ناشناخته")))))</f>
        <v/>
      </c>
      <c r="I1681" s="12" t="n"/>
      <c r="J1681" s="12" t="n"/>
      <c r="K1681" s="13" t="n"/>
      <c r="L1681" s="13" t="n"/>
      <c r="M1681" s="13" t="n"/>
      <c r="N1681" s="14">
        <f>IF(OR($C1681="",$E1681="",Calc!$H1681=""),"",IFERROR(VLOOKUP(LEFT(UPPER(TRIM($E1681)),6),BankTbl,3,0),0)+SUMIFS(CalcDep,CalcBank,LEFT(UPPER(TRIM($E1681)),6),CalcKey,"&lt;="&amp;Calc!$H1681)-SUMIFS(CalcWit,CalcBank,LEFT(UPPER(TRIM($E1681)),6),CalcKey,"&lt;="&amp;Calc!$H1681))</f>
        <v/>
      </c>
      <c r="O1681" s="10">
        <f>IF(OR($C1681="",$M1681=""),"",IF($N1681="","؟",IF(ROUND($M1681-$N1681,0)=0,"√","×")))</f>
        <v/>
      </c>
      <c r="P1681" s="12" t="n"/>
    </row>
    <row r="1682">
      <c r="A1682" s="10">
        <f>IF($C1682="","",COUNTA($C$9:$C1682))</f>
        <v/>
      </c>
      <c r="B1682" s="10">
        <f>IF($C1682="","","TXN-"&amp;RIGHT("0000"&amp;1674,4))</f>
        <v/>
      </c>
      <c r="C1682" s="11" t="n"/>
      <c r="D1682" s="11" t="n"/>
      <c r="E1682" s="12" t="n"/>
      <c r="F1682" s="10">
        <f>IF($E1682="","",IFERROR(IF(VLOOKUP(LEFT(UPPER(TRIM($E1682)),6),BankTbl,2,0)="","(بدون عنوان)",VLOOKUP(LEFT(UPPER(TRIM($E1682)),6),BankTbl,2,0)),"بانک ناشناخته"))</f>
        <v/>
      </c>
      <c r="G1682" s="11" t="n"/>
      <c r="H1682" s="10">
        <f>IF($G1682="","",IFERROR(VLOOKUP($G1682,CustTbl,2,0),IFERROR(VLOOKUP($G1682,SuppTbl,2,0),IFERROR(VLOOKUP($G1682,AcctTbl,2,0),IFERROR(VLOOKUP($G1682,StaffTbl,2,0),"کد ناشناخته")))))</f>
        <v/>
      </c>
      <c r="I1682" s="12" t="n"/>
      <c r="J1682" s="12" t="n"/>
      <c r="K1682" s="13" t="n"/>
      <c r="L1682" s="13" t="n"/>
      <c r="M1682" s="13" t="n"/>
      <c r="N1682" s="14">
        <f>IF(OR($C1682="",$E1682="",Calc!$H1682=""),"",IFERROR(VLOOKUP(LEFT(UPPER(TRIM($E1682)),6),BankTbl,3,0),0)+SUMIFS(CalcDep,CalcBank,LEFT(UPPER(TRIM($E1682)),6),CalcKey,"&lt;="&amp;Calc!$H1682)-SUMIFS(CalcWit,CalcBank,LEFT(UPPER(TRIM($E1682)),6),CalcKey,"&lt;="&amp;Calc!$H1682))</f>
        <v/>
      </c>
      <c r="O1682" s="10">
        <f>IF(OR($C1682="",$M1682=""),"",IF($N1682="","؟",IF(ROUND($M1682-$N1682,0)=0,"√","×")))</f>
        <v/>
      </c>
      <c r="P1682" s="12" t="n"/>
    </row>
    <row r="1683">
      <c r="A1683" s="10">
        <f>IF($C1683="","",COUNTA($C$9:$C1683))</f>
        <v/>
      </c>
      <c r="B1683" s="10">
        <f>IF($C1683="","","TXN-"&amp;RIGHT("0000"&amp;1675,4))</f>
        <v/>
      </c>
      <c r="C1683" s="11" t="n"/>
      <c r="D1683" s="11" t="n"/>
      <c r="E1683" s="12" t="n"/>
      <c r="F1683" s="10">
        <f>IF($E1683="","",IFERROR(IF(VLOOKUP(LEFT(UPPER(TRIM($E1683)),6),BankTbl,2,0)="","(بدون عنوان)",VLOOKUP(LEFT(UPPER(TRIM($E1683)),6),BankTbl,2,0)),"بانک ناشناخته"))</f>
        <v/>
      </c>
      <c r="G1683" s="11" t="n"/>
      <c r="H1683" s="10">
        <f>IF($G1683="","",IFERROR(VLOOKUP($G1683,CustTbl,2,0),IFERROR(VLOOKUP($G1683,SuppTbl,2,0),IFERROR(VLOOKUP($G1683,AcctTbl,2,0),IFERROR(VLOOKUP($G1683,StaffTbl,2,0),"کد ناشناخته")))))</f>
        <v/>
      </c>
      <c r="I1683" s="12" t="n"/>
      <c r="J1683" s="12" t="n"/>
      <c r="K1683" s="13" t="n"/>
      <c r="L1683" s="13" t="n"/>
      <c r="M1683" s="13" t="n"/>
      <c r="N1683" s="14">
        <f>IF(OR($C1683="",$E1683="",Calc!$H1683=""),"",IFERROR(VLOOKUP(LEFT(UPPER(TRIM($E1683)),6),BankTbl,3,0),0)+SUMIFS(CalcDep,CalcBank,LEFT(UPPER(TRIM($E1683)),6),CalcKey,"&lt;="&amp;Calc!$H1683)-SUMIFS(CalcWit,CalcBank,LEFT(UPPER(TRIM($E1683)),6),CalcKey,"&lt;="&amp;Calc!$H1683))</f>
        <v/>
      </c>
      <c r="O1683" s="10">
        <f>IF(OR($C1683="",$M1683=""),"",IF($N1683="","؟",IF(ROUND($M1683-$N1683,0)=0,"√","×")))</f>
        <v/>
      </c>
      <c r="P1683" s="12" t="n"/>
    </row>
    <row r="1684">
      <c r="A1684" s="10">
        <f>IF($C1684="","",COUNTA($C$9:$C1684))</f>
        <v/>
      </c>
      <c r="B1684" s="10">
        <f>IF($C1684="","","TXN-"&amp;RIGHT("0000"&amp;1676,4))</f>
        <v/>
      </c>
      <c r="C1684" s="11" t="n"/>
      <c r="D1684" s="11" t="n"/>
      <c r="E1684" s="12" t="n"/>
      <c r="F1684" s="10">
        <f>IF($E1684="","",IFERROR(IF(VLOOKUP(LEFT(UPPER(TRIM($E1684)),6),BankTbl,2,0)="","(بدون عنوان)",VLOOKUP(LEFT(UPPER(TRIM($E1684)),6),BankTbl,2,0)),"بانک ناشناخته"))</f>
        <v/>
      </c>
      <c r="G1684" s="11" t="n"/>
      <c r="H1684" s="10">
        <f>IF($G1684="","",IFERROR(VLOOKUP($G1684,CustTbl,2,0),IFERROR(VLOOKUP($G1684,SuppTbl,2,0),IFERROR(VLOOKUP($G1684,AcctTbl,2,0),IFERROR(VLOOKUP($G1684,StaffTbl,2,0),"کد ناشناخته")))))</f>
        <v/>
      </c>
      <c r="I1684" s="12" t="n"/>
      <c r="J1684" s="12" t="n"/>
      <c r="K1684" s="13" t="n"/>
      <c r="L1684" s="13" t="n"/>
      <c r="M1684" s="13" t="n"/>
      <c r="N1684" s="14">
        <f>IF(OR($C1684="",$E1684="",Calc!$H1684=""),"",IFERROR(VLOOKUP(LEFT(UPPER(TRIM($E1684)),6),BankTbl,3,0),0)+SUMIFS(CalcDep,CalcBank,LEFT(UPPER(TRIM($E1684)),6),CalcKey,"&lt;="&amp;Calc!$H1684)-SUMIFS(CalcWit,CalcBank,LEFT(UPPER(TRIM($E1684)),6),CalcKey,"&lt;="&amp;Calc!$H1684))</f>
        <v/>
      </c>
      <c r="O1684" s="10">
        <f>IF(OR($C1684="",$M1684=""),"",IF($N1684="","؟",IF(ROUND($M1684-$N1684,0)=0,"√","×")))</f>
        <v/>
      </c>
      <c r="P1684" s="12" t="n"/>
    </row>
    <row r="1685">
      <c r="A1685" s="10">
        <f>IF($C1685="","",COUNTA($C$9:$C1685))</f>
        <v/>
      </c>
      <c r="B1685" s="10">
        <f>IF($C1685="","","TXN-"&amp;RIGHT("0000"&amp;1677,4))</f>
        <v/>
      </c>
      <c r="C1685" s="11" t="n"/>
      <c r="D1685" s="11" t="n"/>
      <c r="E1685" s="12" t="n"/>
      <c r="F1685" s="10">
        <f>IF($E1685="","",IFERROR(IF(VLOOKUP(LEFT(UPPER(TRIM($E1685)),6),BankTbl,2,0)="","(بدون عنوان)",VLOOKUP(LEFT(UPPER(TRIM($E1685)),6),BankTbl,2,0)),"بانک ناشناخته"))</f>
        <v/>
      </c>
      <c r="G1685" s="11" t="n"/>
      <c r="H1685" s="10">
        <f>IF($G1685="","",IFERROR(VLOOKUP($G1685,CustTbl,2,0),IFERROR(VLOOKUP($G1685,SuppTbl,2,0),IFERROR(VLOOKUP($G1685,AcctTbl,2,0),IFERROR(VLOOKUP($G1685,StaffTbl,2,0),"کد ناشناخته")))))</f>
        <v/>
      </c>
      <c r="I1685" s="12" t="n"/>
      <c r="J1685" s="12" t="n"/>
      <c r="K1685" s="13" t="n"/>
      <c r="L1685" s="13" t="n"/>
      <c r="M1685" s="13" t="n"/>
      <c r="N1685" s="14">
        <f>IF(OR($C1685="",$E1685="",Calc!$H1685=""),"",IFERROR(VLOOKUP(LEFT(UPPER(TRIM($E1685)),6),BankTbl,3,0),0)+SUMIFS(CalcDep,CalcBank,LEFT(UPPER(TRIM($E1685)),6),CalcKey,"&lt;="&amp;Calc!$H1685)-SUMIFS(CalcWit,CalcBank,LEFT(UPPER(TRIM($E1685)),6),CalcKey,"&lt;="&amp;Calc!$H1685))</f>
        <v/>
      </c>
      <c r="O1685" s="10">
        <f>IF(OR($C1685="",$M1685=""),"",IF($N1685="","؟",IF(ROUND($M1685-$N1685,0)=0,"√","×")))</f>
        <v/>
      </c>
      <c r="P1685" s="12" t="n"/>
    </row>
    <row r="1686">
      <c r="A1686" s="10">
        <f>IF($C1686="","",COUNTA($C$9:$C1686))</f>
        <v/>
      </c>
      <c r="B1686" s="10">
        <f>IF($C1686="","","TXN-"&amp;RIGHT("0000"&amp;1678,4))</f>
        <v/>
      </c>
      <c r="C1686" s="11" t="n"/>
      <c r="D1686" s="11" t="n"/>
      <c r="E1686" s="12" t="n"/>
      <c r="F1686" s="10">
        <f>IF($E1686="","",IFERROR(IF(VLOOKUP(LEFT(UPPER(TRIM($E1686)),6),BankTbl,2,0)="","(بدون عنوان)",VLOOKUP(LEFT(UPPER(TRIM($E1686)),6),BankTbl,2,0)),"بانک ناشناخته"))</f>
        <v/>
      </c>
      <c r="G1686" s="11" t="n"/>
      <c r="H1686" s="10">
        <f>IF($G1686="","",IFERROR(VLOOKUP($G1686,CustTbl,2,0),IFERROR(VLOOKUP($G1686,SuppTbl,2,0),IFERROR(VLOOKUP($G1686,AcctTbl,2,0),IFERROR(VLOOKUP($G1686,StaffTbl,2,0),"کد ناشناخته")))))</f>
        <v/>
      </c>
      <c r="I1686" s="12" t="n"/>
      <c r="J1686" s="12" t="n"/>
      <c r="K1686" s="13" t="n"/>
      <c r="L1686" s="13" t="n"/>
      <c r="M1686" s="13" t="n"/>
      <c r="N1686" s="14">
        <f>IF(OR($C1686="",$E1686="",Calc!$H1686=""),"",IFERROR(VLOOKUP(LEFT(UPPER(TRIM($E1686)),6),BankTbl,3,0),0)+SUMIFS(CalcDep,CalcBank,LEFT(UPPER(TRIM($E1686)),6),CalcKey,"&lt;="&amp;Calc!$H1686)-SUMIFS(CalcWit,CalcBank,LEFT(UPPER(TRIM($E1686)),6),CalcKey,"&lt;="&amp;Calc!$H1686))</f>
        <v/>
      </c>
      <c r="O1686" s="10">
        <f>IF(OR($C1686="",$M1686=""),"",IF($N1686="","؟",IF(ROUND($M1686-$N1686,0)=0,"√","×")))</f>
        <v/>
      </c>
      <c r="P1686" s="12" t="n"/>
    </row>
    <row r="1687">
      <c r="A1687" s="10">
        <f>IF($C1687="","",COUNTA($C$9:$C1687))</f>
        <v/>
      </c>
      <c r="B1687" s="10">
        <f>IF($C1687="","","TXN-"&amp;RIGHT("0000"&amp;1679,4))</f>
        <v/>
      </c>
      <c r="C1687" s="11" t="n"/>
      <c r="D1687" s="11" t="n"/>
      <c r="E1687" s="12" t="n"/>
      <c r="F1687" s="10">
        <f>IF($E1687="","",IFERROR(IF(VLOOKUP(LEFT(UPPER(TRIM($E1687)),6),BankTbl,2,0)="","(بدون عنوان)",VLOOKUP(LEFT(UPPER(TRIM($E1687)),6),BankTbl,2,0)),"بانک ناشناخته"))</f>
        <v/>
      </c>
      <c r="G1687" s="11" t="n"/>
      <c r="H1687" s="10">
        <f>IF($G1687="","",IFERROR(VLOOKUP($G1687,CustTbl,2,0),IFERROR(VLOOKUP($G1687,SuppTbl,2,0),IFERROR(VLOOKUP($G1687,AcctTbl,2,0),IFERROR(VLOOKUP($G1687,StaffTbl,2,0),"کد ناشناخته")))))</f>
        <v/>
      </c>
      <c r="I1687" s="12" t="n"/>
      <c r="J1687" s="12" t="n"/>
      <c r="K1687" s="13" t="n"/>
      <c r="L1687" s="13" t="n"/>
      <c r="M1687" s="13" t="n"/>
      <c r="N1687" s="14">
        <f>IF(OR($C1687="",$E1687="",Calc!$H1687=""),"",IFERROR(VLOOKUP(LEFT(UPPER(TRIM($E1687)),6),BankTbl,3,0),0)+SUMIFS(CalcDep,CalcBank,LEFT(UPPER(TRIM($E1687)),6),CalcKey,"&lt;="&amp;Calc!$H1687)-SUMIFS(CalcWit,CalcBank,LEFT(UPPER(TRIM($E1687)),6),CalcKey,"&lt;="&amp;Calc!$H1687))</f>
        <v/>
      </c>
      <c r="O1687" s="10">
        <f>IF(OR($C1687="",$M1687=""),"",IF($N1687="","؟",IF(ROUND($M1687-$N1687,0)=0,"√","×")))</f>
        <v/>
      </c>
      <c r="P1687" s="12" t="n"/>
    </row>
    <row r="1688">
      <c r="A1688" s="10">
        <f>IF($C1688="","",COUNTA($C$9:$C1688))</f>
        <v/>
      </c>
      <c r="B1688" s="10">
        <f>IF($C1688="","","TXN-"&amp;RIGHT("0000"&amp;1680,4))</f>
        <v/>
      </c>
      <c r="C1688" s="11" t="n"/>
      <c r="D1688" s="11" t="n"/>
      <c r="E1688" s="12" t="n"/>
      <c r="F1688" s="10">
        <f>IF($E1688="","",IFERROR(IF(VLOOKUP(LEFT(UPPER(TRIM($E1688)),6),BankTbl,2,0)="","(بدون عنوان)",VLOOKUP(LEFT(UPPER(TRIM($E1688)),6),BankTbl,2,0)),"بانک ناشناخته"))</f>
        <v/>
      </c>
      <c r="G1688" s="11" t="n"/>
      <c r="H1688" s="10">
        <f>IF($G1688="","",IFERROR(VLOOKUP($G1688,CustTbl,2,0),IFERROR(VLOOKUP($G1688,SuppTbl,2,0),IFERROR(VLOOKUP($G1688,AcctTbl,2,0),IFERROR(VLOOKUP($G1688,StaffTbl,2,0),"کد ناشناخته")))))</f>
        <v/>
      </c>
      <c r="I1688" s="12" t="n"/>
      <c r="J1688" s="12" t="n"/>
      <c r="K1688" s="13" t="n"/>
      <c r="L1688" s="13" t="n"/>
      <c r="M1688" s="13" t="n"/>
      <c r="N1688" s="14">
        <f>IF(OR($C1688="",$E1688="",Calc!$H1688=""),"",IFERROR(VLOOKUP(LEFT(UPPER(TRIM($E1688)),6),BankTbl,3,0),0)+SUMIFS(CalcDep,CalcBank,LEFT(UPPER(TRIM($E1688)),6),CalcKey,"&lt;="&amp;Calc!$H1688)-SUMIFS(CalcWit,CalcBank,LEFT(UPPER(TRIM($E1688)),6),CalcKey,"&lt;="&amp;Calc!$H1688))</f>
        <v/>
      </c>
      <c r="O1688" s="10">
        <f>IF(OR($C1688="",$M1688=""),"",IF($N1688="","؟",IF(ROUND($M1688-$N1688,0)=0,"√","×")))</f>
        <v/>
      </c>
      <c r="P1688" s="12" t="n"/>
    </row>
    <row r="1689">
      <c r="A1689" s="10">
        <f>IF($C1689="","",COUNTA($C$9:$C1689))</f>
        <v/>
      </c>
      <c r="B1689" s="10">
        <f>IF($C1689="","","TXN-"&amp;RIGHT("0000"&amp;1681,4))</f>
        <v/>
      </c>
      <c r="C1689" s="11" t="n"/>
      <c r="D1689" s="11" t="n"/>
      <c r="E1689" s="12" t="n"/>
      <c r="F1689" s="10">
        <f>IF($E1689="","",IFERROR(IF(VLOOKUP(LEFT(UPPER(TRIM($E1689)),6),BankTbl,2,0)="","(بدون عنوان)",VLOOKUP(LEFT(UPPER(TRIM($E1689)),6),BankTbl,2,0)),"بانک ناشناخته"))</f>
        <v/>
      </c>
      <c r="G1689" s="11" t="n"/>
      <c r="H1689" s="10">
        <f>IF($G1689="","",IFERROR(VLOOKUP($G1689,CustTbl,2,0),IFERROR(VLOOKUP($G1689,SuppTbl,2,0),IFERROR(VLOOKUP($G1689,AcctTbl,2,0),IFERROR(VLOOKUP($G1689,StaffTbl,2,0),"کد ناشناخته")))))</f>
        <v/>
      </c>
      <c r="I1689" s="12" t="n"/>
      <c r="J1689" s="12" t="n"/>
      <c r="K1689" s="13" t="n"/>
      <c r="L1689" s="13" t="n"/>
      <c r="M1689" s="13" t="n"/>
      <c r="N1689" s="14">
        <f>IF(OR($C1689="",$E1689="",Calc!$H1689=""),"",IFERROR(VLOOKUP(LEFT(UPPER(TRIM($E1689)),6),BankTbl,3,0),0)+SUMIFS(CalcDep,CalcBank,LEFT(UPPER(TRIM($E1689)),6),CalcKey,"&lt;="&amp;Calc!$H1689)-SUMIFS(CalcWit,CalcBank,LEFT(UPPER(TRIM($E1689)),6),CalcKey,"&lt;="&amp;Calc!$H1689))</f>
        <v/>
      </c>
      <c r="O1689" s="10">
        <f>IF(OR($C1689="",$M1689=""),"",IF($N1689="","؟",IF(ROUND($M1689-$N1689,0)=0,"√","×")))</f>
        <v/>
      </c>
      <c r="P1689" s="12" t="n"/>
    </row>
    <row r="1690">
      <c r="A1690" s="10">
        <f>IF($C1690="","",COUNTA($C$9:$C1690))</f>
        <v/>
      </c>
      <c r="B1690" s="10">
        <f>IF($C1690="","","TXN-"&amp;RIGHT("0000"&amp;1682,4))</f>
        <v/>
      </c>
      <c r="C1690" s="11" t="n"/>
      <c r="D1690" s="11" t="n"/>
      <c r="E1690" s="12" t="n"/>
      <c r="F1690" s="10">
        <f>IF($E1690="","",IFERROR(IF(VLOOKUP(LEFT(UPPER(TRIM($E1690)),6),BankTbl,2,0)="","(بدون عنوان)",VLOOKUP(LEFT(UPPER(TRIM($E1690)),6),BankTbl,2,0)),"بانک ناشناخته"))</f>
        <v/>
      </c>
      <c r="G1690" s="11" t="n"/>
      <c r="H1690" s="10">
        <f>IF($G1690="","",IFERROR(VLOOKUP($G1690,CustTbl,2,0),IFERROR(VLOOKUP($G1690,SuppTbl,2,0),IFERROR(VLOOKUP($G1690,AcctTbl,2,0),IFERROR(VLOOKUP($G1690,StaffTbl,2,0),"کد ناشناخته")))))</f>
        <v/>
      </c>
      <c r="I1690" s="12" t="n"/>
      <c r="J1690" s="12" t="n"/>
      <c r="K1690" s="13" t="n"/>
      <c r="L1690" s="13" t="n"/>
      <c r="M1690" s="13" t="n"/>
      <c r="N1690" s="14">
        <f>IF(OR($C1690="",$E1690="",Calc!$H1690=""),"",IFERROR(VLOOKUP(LEFT(UPPER(TRIM($E1690)),6),BankTbl,3,0),0)+SUMIFS(CalcDep,CalcBank,LEFT(UPPER(TRIM($E1690)),6),CalcKey,"&lt;="&amp;Calc!$H1690)-SUMIFS(CalcWit,CalcBank,LEFT(UPPER(TRIM($E1690)),6),CalcKey,"&lt;="&amp;Calc!$H1690))</f>
        <v/>
      </c>
      <c r="O1690" s="10">
        <f>IF(OR($C1690="",$M1690=""),"",IF($N1690="","؟",IF(ROUND($M1690-$N1690,0)=0,"√","×")))</f>
        <v/>
      </c>
      <c r="P1690" s="12" t="n"/>
    </row>
    <row r="1691">
      <c r="A1691" s="10">
        <f>IF($C1691="","",COUNTA($C$9:$C1691))</f>
        <v/>
      </c>
      <c r="B1691" s="10">
        <f>IF($C1691="","","TXN-"&amp;RIGHT("0000"&amp;1683,4))</f>
        <v/>
      </c>
      <c r="C1691" s="11" t="n"/>
      <c r="D1691" s="11" t="n"/>
      <c r="E1691" s="12" t="n"/>
      <c r="F1691" s="10">
        <f>IF($E1691="","",IFERROR(IF(VLOOKUP(LEFT(UPPER(TRIM($E1691)),6),BankTbl,2,0)="","(بدون عنوان)",VLOOKUP(LEFT(UPPER(TRIM($E1691)),6),BankTbl,2,0)),"بانک ناشناخته"))</f>
        <v/>
      </c>
      <c r="G1691" s="11" t="n"/>
      <c r="H1691" s="10">
        <f>IF($G1691="","",IFERROR(VLOOKUP($G1691,CustTbl,2,0),IFERROR(VLOOKUP($G1691,SuppTbl,2,0),IFERROR(VLOOKUP($G1691,AcctTbl,2,0),IFERROR(VLOOKUP($G1691,StaffTbl,2,0),"کد ناشناخته")))))</f>
        <v/>
      </c>
      <c r="I1691" s="12" t="n"/>
      <c r="J1691" s="12" t="n"/>
      <c r="K1691" s="13" t="n"/>
      <c r="L1691" s="13" t="n"/>
      <c r="M1691" s="13" t="n"/>
      <c r="N1691" s="14">
        <f>IF(OR($C1691="",$E1691="",Calc!$H1691=""),"",IFERROR(VLOOKUP(LEFT(UPPER(TRIM($E1691)),6),BankTbl,3,0),0)+SUMIFS(CalcDep,CalcBank,LEFT(UPPER(TRIM($E1691)),6),CalcKey,"&lt;="&amp;Calc!$H1691)-SUMIFS(CalcWit,CalcBank,LEFT(UPPER(TRIM($E1691)),6),CalcKey,"&lt;="&amp;Calc!$H1691))</f>
        <v/>
      </c>
      <c r="O1691" s="10">
        <f>IF(OR($C1691="",$M1691=""),"",IF($N1691="","؟",IF(ROUND($M1691-$N1691,0)=0,"√","×")))</f>
        <v/>
      </c>
      <c r="P1691" s="12" t="n"/>
    </row>
    <row r="1692">
      <c r="A1692" s="10">
        <f>IF($C1692="","",COUNTA($C$9:$C1692))</f>
        <v/>
      </c>
      <c r="B1692" s="10">
        <f>IF($C1692="","","TXN-"&amp;RIGHT("0000"&amp;1684,4))</f>
        <v/>
      </c>
      <c r="C1692" s="11" t="n"/>
      <c r="D1692" s="11" t="n"/>
      <c r="E1692" s="12" t="n"/>
      <c r="F1692" s="10">
        <f>IF($E1692="","",IFERROR(IF(VLOOKUP(LEFT(UPPER(TRIM($E1692)),6),BankTbl,2,0)="","(بدون عنوان)",VLOOKUP(LEFT(UPPER(TRIM($E1692)),6),BankTbl,2,0)),"بانک ناشناخته"))</f>
        <v/>
      </c>
      <c r="G1692" s="11" t="n"/>
      <c r="H1692" s="10">
        <f>IF($G1692="","",IFERROR(VLOOKUP($G1692,CustTbl,2,0),IFERROR(VLOOKUP($G1692,SuppTbl,2,0),IFERROR(VLOOKUP($G1692,AcctTbl,2,0),IFERROR(VLOOKUP($G1692,StaffTbl,2,0),"کد ناشناخته")))))</f>
        <v/>
      </c>
      <c r="I1692" s="12" t="n"/>
      <c r="J1692" s="12" t="n"/>
      <c r="K1692" s="13" t="n"/>
      <c r="L1692" s="13" t="n"/>
      <c r="M1692" s="13" t="n"/>
      <c r="N1692" s="14">
        <f>IF(OR($C1692="",$E1692="",Calc!$H1692=""),"",IFERROR(VLOOKUP(LEFT(UPPER(TRIM($E1692)),6),BankTbl,3,0),0)+SUMIFS(CalcDep,CalcBank,LEFT(UPPER(TRIM($E1692)),6),CalcKey,"&lt;="&amp;Calc!$H1692)-SUMIFS(CalcWit,CalcBank,LEFT(UPPER(TRIM($E1692)),6),CalcKey,"&lt;="&amp;Calc!$H1692))</f>
        <v/>
      </c>
      <c r="O1692" s="10">
        <f>IF(OR($C1692="",$M1692=""),"",IF($N1692="","؟",IF(ROUND($M1692-$N1692,0)=0,"√","×")))</f>
        <v/>
      </c>
      <c r="P1692" s="12" t="n"/>
    </row>
    <row r="1693">
      <c r="A1693" s="10">
        <f>IF($C1693="","",COUNTA($C$9:$C1693))</f>
        <v/>
      </c>
      <c r="B1693" s="10">
        <f>IF($C1693="","","TXN-"&amp;RIGHT("0000"&amp;1685,4))</f>
        <v/>
      </c>
      <c r="C1693" s="11" t="n"/>
      <c r="D1693" s="11" t="n"/>
      <c r="E1693" s="12" t="n"/>
      <c r="F1693" s="10">
        <f>IF($E1693="","",IFERROR(IF(VLOOKUP(LEFT(UPPER(TRIM($E1693)),6),BankTbl,2,0)="","(بدون عنوان)",VLOOKUP(LEFT(UPPER(TRIM($E1693)),6),BankTbl,2,0)),"بانک ناشناخته"))</f>
        <v/>
      </c>
      <c r="G1693" s="11" t="n"/>
      <c r="H1693" s="10">
        <f>IF($G1693="","",IFERROR(VLOOKUP($G1693,CustTbl,2,0),IFERROR(VLOOKUP($G1693,SuppTbl,2,0),IFERROR(VLOOKUP($G1693,AcctTbl,2,0),IFERROR(VLOOKUP($G1693,StaffTbl,2,0),"کد ناشناخته")))))</f>
        <v/>
      </c>
      <c r="I1693" s="12" t="n"/>
      <c r="J1693" s="12" t="n"/>
      <c r="K1693" s="13" t="n"/>
      <c r="L1693" s="13" t="n"/>
      <c r="M1693" s="13" t="n"/>
      <c r="N1693" s="14">
        <f>IF(OR($C1693="",$E1693="",Calc!$H1693=""),"",IFERROR(VLOOKUP(LEFT(UPPER(TRIM($E1693)),6),BankTbl,3,0),0)+SUMIFS(CalcDep,CalcBank,LEFT(UPPER(TRIM($E1693)),6),CalcKey,"&lt;="&amp;Calc!$H1693)-SUMIFS(CalcWit,CalcBank,LEFT(UPPER(TRIM($E1693)),6),CalcKey,"&lt;="&amp;Calc!$H1693))</f>
        <v/>
      </c>
      <c r="O1693" s="10">
        <f>IF(OR($C1693="",$M1693=""),"",IF($N1693="","؟",IF(ROUND($M1693-$N1693,0)=0,"√","×")))</f>
        <v/>
      </c>
      <c r="P1693" s="12" t="n"/>
    </row>
    <row r="1694">
      <c r="A1694" s="10">
        <f>IF($C1694="","",COUNTA($C$9:$C1694))</f>
        <v/>
      </c>
      <c r="B1694" s="10">
        <f>IF($C1694="","","TXN-"&amp;RIGHT("0000"&amp;1686,4))</f>
        <v/>
      </c>
      <c r="C1694" s="11" t="n"/>
      <c r="D1694" s="11" t="n"/>
      <c r="E1694" s="12" t="n"/>
      <c r="F1694" s="10">
        <f>IF($E1694="","",IFERROR(IF(VLOOKUP(LEFT(UPPER(TRIM($E1694)),6),BankTbl,2,0)="","(بدون عنوان)",VLOOKUP(LEFT(UPPER(TRIM($E1694)),6),BankTbl,2,0)),"بانک ناشناخته"))</f>
        <v/>
      </c>
      <c r="G1694" s="11" t="n"/>
      <c r="H1694" s="10">
        <f>IF($G1694="","",IFERROR(VLOOKUP($G1694,CustTbl,2,0),IFERROR(VLOOKUP($G1694,SuppTbl,2,0),IFERROR(VLOOKUP($G1694,AcctTbl,2,0),IFERROR(VLOOKUP($G1694,StaffTbl,2,0),"کد ناشناخته")))))</f>
        <v/>
      </c>
      <c r="I1694" s="12" t="n"/>
      <c r="J1694" s="12" t="n"/>
      <c r="K1694" s="13" t="n"/>
      <c r="L1694" s="13" t="n"/>
      <c r="M1694" s="13" t="n"/>
      <c r="N1694" s="14">
        <f>IF(OR($C1694="",$E1694="",Calc!$H1694=""),"",IFERROR(VLOOKUP(LEFT(UPPER(TRIM($E1694)),6),BankTbl,3,0),0)+SUMIFS(CalcDep,CalcBank,LEFT(UPPER(TRIM($E1694)),6),CalcKey,"&lt;="&amp;Calc!$H1694)-SUMIFS(CalcWit,CalcBank,LEFT(UPPER(TRIM($E1694)),6),CalcKey,"&lt;="&amp;Calc!$H1694))</f>
        <v/>
      </c>
      <c r="O1694" s="10">
        <f>IF(OR($C1694="",$M1694=""),"",IF($N1694="","؟",IF(ROUND($M1694-$N1694,0)=0,"√","×")))</f>
        <v/>
      </c>
      <c r="P1694" s="12" t="n"/>
    </row>
    <row r="1695">
      <c r="A1695" s="10">
        <f>IF($C1695="","",COUNTA($C$9:$C1695))</f>
        <v/>
      </c>
      <c r="B1695" s="10">
        <f>IF($C1695="","","TXN-"&amp;RIGHT("0000"&amp;1687,4))</f>
        <v/>
      </c>
      <c r="C1695" s="11" t="n"/>
      <c r="D1695" s="11" t="n"/>
      <c r="E1695" s="12" t="n"/>
      <c r="F1695" s="10">
        <f>IF($E1695="","",IFERROR(IF(VLOOKUP(LEFT(UPPER(TRIM($E1695)),6),BankTbl,2,0)="","(بدون عنوان)",VLOOKUP(LEFT(UPPER(TRIM($E1695)),6),BankTbl,2,0)),"بانک ناشناخته"))</f>
        <v/>
      </c>
      <c r="G1695" s="11" t="n"/>
      <c r="H1695" s="10">
        <f>IF($G1695="","",IFERROR(VLOOKUP($G1695,CustTbl,2,0),IFERROR(VLOOKUP($G1695,SuppTbl,2,0),IFERROR(VLOOKUP($G1695,AcctTbl,2,0),IFERROR(VLOOKUP($G1695,StaffTbl,2,0),"کد ناشناخته")))))</f>
        <v/>
      </c>
      <c r="I1695" s="12" t="n"/>
      <c r="J1695" s="12" t="n"/>
      <c r="K1695" s="13" t="n"/>
      <c r="L1695" s="13" t="n"/>
      <c r="M1695" s="13" t="n"/>
      <c r="N1695" s="14">
        <f>IF(OR($C1695="",$E1695="",Calc!$H1695=""),"",IFERROR(VLOOKUP(LEFT(UPPER(TRIM($E1695)),6),BankTbl,3,0),0)+SUMIFS(CalcDep,CalcBank,LEFT(UPPER(TRIM($E1695)),6),CalcKey,"&lt;="&amp;Calc!$H1695)-SUMIFS(CalcWit,CalcBank,LEFT(UPPER(TRIM($E1695)),6),CalcKey,"&lt;="&amp;Calc!$H1695))</f>
        <v/>
      </c>
      <c r="O1695" s="10">
        <f>IF(OR($C1695="",$M1695=""),"",IF($N1695="","؟",IF(ROUND($M1695-$N1695,0)=0,"√","×")))</f>
        <v/>
      </c>
      <c r="P1695" s="12" t="n"/>
    </row>
    <row r="1696">
      <c r="A1696" s="10">
        <f>IF($C1696="","",COUNTA($C$9:$C1696))</f>
        <v/>
      </c>
      <c r="B1696" s="10">
        <f>IF($C1696="","","TXN-"&amp;RIGHT("0000"&amp;1688,4))</f>
        <v/>
      </c>
      <c r="C1696" s="11" t="n"/>
      <c r="D1696" s="11" t="n"/>
      <c r="E1696" s="12" t="n"/>
      <c r="F1696" s="10">
        <f>IF($E1696="","",IFERROR(IF(VLOOKUP(LEFT(UPPER(TRIM($E1696)),6),BankTbl,2,0)="","(بدون عنوان)",VLOOKUP(LEFT(UPPER(TRIM($E1696)),6),BankTbl,2,0)),"بانک ناشناخته"))</f>
        <v/>
      </c>
      <c r="G1696" s="11" t="n"/>
      <c r="H1696" s="10">
        <f>IF($G1696="","",IFERROR(VLOOKUP($G1696,CustTbl,2,0),IFERROR(VLOOKUP($G1696,SuppTbl,2,0),IFERROR(VLOOKUP($G1696,AcctTbl,2,0),IFERROR(VLOOKUP($G1696,StaffTbl,2,0),"کد ناشناخته")))))</f>
        <v/>
      </c>
      <c r="I1696" s="12" t="n"/>
      <c r="J1696" s="12" t="n"/>
      <c r="K1696" s="13" t="n"/>
      <c r="L1696" s="13" t="n"/>
      <c r="M1696" s="13" t="n"/>
      <c r="N1696" s="14">
        <f>IF(OR($C1696="",$E1696="",Calc!$H1696=""),"",IFERROR(VLOOKUP(LEFT(UPPER(TRIM($E1696)),6),BankTbl,3,0),0)+SUMIFS(CalcDep,CalcBank,LEFT(UPPER(TRIM($E1696)),6),CalcKey,"&lt;="&amp;Calc!$H1696)-SUMIFS(CalcWit,CalcBank,LEFT(UPPER(TRIM($E1696)),6),CalcKey,"&lt;="&amp;Calc!$H1696))</f>
        <v/>
      </c>
      <c r="O1696" s="10">
        <f>IF(OR($C1696="",$M1696=""),"",IF($N1696="","؟",IF(ROUND($M1696-$N1696,0)=0,"√","×")))</f>
        <v/>
      </c>
      <c r="P1696" s="12" t="n"/>
    </row>
    <row r="1697">
      <c r="A1697" s="10">
        <f>IF($C1697="","",COUNTA($C$9:$C1697))</f>
        <v/>
      </c>
      <c r="B1697" s="10">
        <f>IF($C1697="","","TXN-"&amp;RIGHT("0000"&amp;1689,4))</f>
        <v/>
      </c>
      <c r="C1697" s="11" t="n"/>
      <c r="D1697" s="11" t="n"/>
      <c r="E1697" s="12" t="n"/>
      <c r="F1697" s="10">
        <f>IF($E1697="","",IFERROR(IF(VLOOKUP(LEFT(UPPER(TRIM($E1697)),6),BankTbl,2,0)="","(بدون عنوان)",VLOOKUP(LEFT(UPPER(TRIM($E1697)),6),BankTbl,2,0)),"بانک ناشناخته"))</f>
        <v/>
      </c>
      <c r="G1697" s="11" t="n"/>
      <c r="H1697" s="10">
        <f>IF($G1697="","",IFERROR(VLOOKUP($G1697,CustTbl,2,0),IFERROR(VLOOKUP($G1697,SuppTbl,2,0),IFERROR(VLOOKUP($G1697,AcctTbl,2,0),IFERROR(VLOOKUP($G1697,StaffTbl,2,0),"کد ناشناخته")))))</f>
        <v/>
      </c>
      <c r="I1697" s="12" t="n"/>
      <c r="J1697" s="12" t="n"/>
      <c r="K1697" s="13" t="n"/>
      <c r="L1697" s="13" t="n"/>
      <c r="M1697" s="13" t="n"/>
      <c r="N1697" s="14">
        <f>IF(OR($C1697="",$E1697="",Calc!$H1697=""),"",IFERROR(VLOOKUP(LEFT(UPPER(TRIM($E1697)),6),BankTbl,3,0),0)+SUMIFS(CalcDep,CalcBank,LEFT(UPPER(TRIM($E1697)),6),CalcKey,"&lt;="&amp;Calc!$H1697)-SUMIFS(CalcWit,CalcBank,LEFT(UPPER(TRIM($E1697)),6),CalcKey,"&lt;="&amp;Calc!$H1697))</f>
        <v/>
      </c>
      <c r="O1697" s="10">
        <f>IF(OR($C1697="",$M1697=""),"",IF($N1697="","؟",IF(ROUND($M1697-$N1697,0)=0,"√","×")))</f>
        <v/>
      </c>
      <c r="P1697" s="12" t="n"/>
    </row>
    <row r="1698">
      <c r="A1698" s="10">
        <f>IF($C1698="","",COUNTA($C$9:$C1698))</f>
        <v/>
      </c>
      <c r="B1698" s="10">
        <f>IF($C1698="","","TXN-"&amp;RIGHT("0000"&amp;1690,4))</f>
        <v/>
      </c>
      <c r="C1698" s="11" t="n"/>
      <c r="D1698" s="11" t="n"/>
      <c r="E1698" s="12" t="n"/>
      <c r="F1698" s="10">
        <f>IF($E1698="","",IFERROR(IF(VLOOKUP(LEFT(UPPER(TRIM($E1698)),6),BankTbl,2,0)="","(بدون عنوان)",VLOOKUP(LEFT(UPPER(TRIM($E1698)),6),BankTbl,2,0)),"بانک ناشناخته"))</f>
        <v/>
      </c>
      <c r="G1698" s="11" t="n"/>
      <c r="H1698" s="10">
        <f>IF($G1698="","",IFERROR(VLOOKUP($G1698,CustTbl,2,0),IFERROR(VLOOKUP($G1698,SuppTbl,2,0),IFERROR(VLOOKUP($G1698,AcctTbl,2,0),IFERROR(VLOOKUP($G1698,StaffTbl,2,0),"کد ناشناخته")))))</f>
        <v/>
      </c>
      <c r="I1698" s="12" t="n"/>
      <c r="J1698" s="12" t="n"/>
      <c r="K1698" s="13" t="n"/>
      <c r="L1698" s="13" t="n"/>
      <c r="M1698" s="13" t="n"/>
      <c r="N1698" s="14">
        <f>IF(OR($C1698="",$E1698="",Calc!$H1698=""),"",IFERROR(VLOOKUP(LEFT(UPPER(TRIM($E1698)),6),BankTbl,3,0),0)+SUMIFS(CalcDep,CalcBank,LEFT(UPPER(TRIM($E1698)),6),CalcKey,"&lt;="&amp;Calc!$H1698)-SUMIFS(CalcWit,CalcBank,LEFT(UPPER(TRIM($E1698)),6),CalcKey,"&lt;="&amp;Calc!$H1698))</f>
        <v/>
      </c>
      <c r="O1698" s="10">
        <f>IF(OR($C1698="",$M1698=""),"",IF($N1698="","؟",IF(ROUND($M1698-$N1698,0)=0,"√","×")))</f>
        <v/>
      </c>
      <c r="P1698" s="12" t="n"/>
    </row>
    <row r="1699">
      <c r="A1699" s="10">
        <f>IF($C1699="","",COUNTA($C$9:$C1699))</f>
        <v/>
      </c>
      <c r="B1699" s="10">
        <f>IF($C1699="","","TXN-"&amp;RIGHT("0000"&amp;1691,4))</f>
        <v/>
      </c>
      <c r="C1699" s="11" t="n"/>
      <c r="D1699" s="11" t="n"/>
      <c r="E1699" s="12" t="n"/>
      <c r="F1699" s="10">
        <f>IF($E1699="","",IFERROR(IF(VLOOKUP(LEFT(UPPER(TRIM($E1699)),6),BankTbl,2,0)="","(بدون عنوان)",VLOOKUP(LEFT(UPPER(TRIM($E1699)),6),BankTbl,2,0)),"بانک ناشناخته"))</f>
        <v/>
      </c>
      <c r="G1699" s="11" t="n"/>
      <c r="H1699" s="10">
        <f>IF($G1699="","",IFERROR(VLOOKUP($G1699,CustTbl,2,0),IFERROR(VLOOKUP($G1699,SuppTbl,2,0),IFERROR(VLOOKUP($G1699,AcctTbl,2,0),IFERROR(VLOOKUP($G1699,StaffTbl,2,0),"کد ناشناخته")))))</f>
        <v/>
      </c>
      <c r="I1699" s="12" t="n"/>
      <c r="J1699" s="12" t="n"/>
      <c r="K1699" s="13" t="n"/>
      <c r="L1699" s="13" t="n"/>
      <c r="M1699" s="13" t="n"/>
      <c r="N1699" s="14">
        <f>IF(OR($C1699="",$E1699="",Calc!$H1699=""),"",IFERROR(VLOOKUP(LEFT(UPPER(TRIM($E1699)),6),BankTbl,3,0),0)+SUMIFS(CalcDep,CalcBank,LEFT(UPPER(TRIM($E1699)),6),CalcKey,"&lt;="&amp;Calc!$H1699)-SUMIFS(CalcWit,CalcBank,LEFT(UPPER(TRIM($E1699)),6),CalcKey,"&lt;="&amp;Calc!$H1699))</f>
        <v/>
      </c>
      <c r="O1699" s="10">
        <f>IF(OR($C1699="",$M1699=""),"",IF($N1699="","؟",IF(ROUND($M1699-$N1699,0)=0,"√","×")))</f>
        <v/>
      </c>
      <c r="P1699" s="12" t="n"/>
    </row>
    <row r="1700">
      <c r="A1700" s="10">
        <f>IF($C1700="","",COUNTA($C$9:$C1700))</f>
        <v/>
      </c>
      <c r="B1700" s="10">
        <f>IF($C1700="","","TXN-"&amp;RIGHT("0000"&amp;1692,4))</f>
        <v/>
      </c>
      <c r="C1700" s="11" t="n"/>
      <c r="D1700" s="11" t="n"/>
      <c r="E1700" s="12" t="n"/>
      <c r="F1700" s="10">
        <f>IF($E1700="","",IFERROR(IF(VLOOKUP(LEFT(UPPER(TRIM($E1700)),6),BankTbl,2,0)="","(بدون عنوان)",VLOOKUP(LEFT(UPPER(TRIM($E1700)),6),BankTbl,2,0)),"بانک ناشناخته"))</f>
        <v/>
      </c>
      <c r="G1700" s="11" t="n"/>
      <c r="H1700" s="10">
        <f>IF($G1700="","",IFERROR(VLOOKUP($G1700,CustTbl,2,0),IFERROR(VLOOKUP($G1700,SuppTbl,2,0),IFERROR(VLOOKUP($G1700,AcctTbl,2,0),IFERROR(VLOOKUP($G1700,StaffTbl,2,0),"کد ناشناخته")))))</f>
        <v/>
      </c>
      <c r="I1700" s="12" t="n"/>
      <c r="J1700" s="12" t="n"/>
      <c r="K1700" s="13" t="n"/>
      <c r="L1700" s="13" t="n"/>
      <c r="M1700" s="13" t="n"/>
      <c r="N1700" s="14">
        <f>IF(OR($C1700="",$E1700="",Calc!$H1700=""),"",IFERROR(VLOOKUP(LEFT(UPPER(TRIM($E1700)),6),BankTbl,3,0),0)+SUMIFS(CalcDep,CalcBank,LEFT(UPPER(TRIM($E1700)),6),CalcKey,"&lt;="&amp;Calc!$H1700)-SUMIFS(CalcWit,CalcBank,LEFT(UPPER(TRIM($E1700)),6),CalcKey,"&lt;="&amp;Calc!$H1700))</f>
        <v/>
      </c>
      <c r="O1700" s="10">
        <f>IF(OR($C1700="",$M1700=""),"",IF($N1700="","؟",IF(ROUND($M1700-$N1700,0)=0,"√","×")))</f>
        <v/>
      </c>
      <c r="P1700" s="12" t="n"/>
    </row>
    <row r="1701">
      <c r="A1701" s="10">
        <f>IF($C1701="","",COUNTA($C$9:$C1701))</f>
        <v/>
      </c>
      <c r="B1701" s="10">
        <f>IF($C1701="","","TXN-"&amp;RIGHT("0000"&amp;1693,4))</f>
        <v/>
      </c>
      <c r="C1701" s="11" t="n"/>
      <c r="D1701" s="11" t="n"/>
      <c r="E1701" s="12" t="n"/>
      <c r="F1701" s="10">
        <f>IF($E1701="","",IFERROR(IF(VLOOKUP(LEFT(UPPER(TRIM($E1701)),6),BankTbl,2,0)="","(بدون عنوان)",VLOOKUP(LEFT(UPPER(TRIM($E1701)),6),BankTbl,2,0)),"بانک ناشناخته"))</f>
        <v/>
      </c>
      <c r="G1701" s="11" t="n"/>
      <c r="H1701" s="10">
        <f>IF($G1701="","",IFERROR(VLOOKUP($G1701,CustTbl,2,0),IFERROR(VLOOKUP($G1701,SuppTbl,2,0),IFERROR(VLOOKUP($G1701,AcctTbl,2,0),IFERROR(VLOOKUP($G1701,StaffTbl,2,0),"کد ناشناخته")))))</f>
        <v/>
      </c>
      <c r="I1701" s="12" t="n"/>
      <c r="J1701" s="12" t="n"/>
      <c r="K1701" s="13" t="n"/>
      <c r="L1701" s="13" t="n"/>
      <c r="M1701" s="13" t="n"/>
      <c r="N1701" s="14">
        <f>IF(OR($C1701="",$E1701="",Calc!$H1701=""),"",IFERROR(VLOOKUP(LEFT(UPPER(TRIM($E1701)),6),BankTbl,3,0),0)+SUMIFS(CalcDep,CalcBank,LEFT(UPPER(TRIM($E1701)),6),CalcKey,"&lt;="&amp;Calc!$H1701)-SUMIFS(CalcWit,CalcBank,LEFT(UPPER(TRIM($E1701)),6),CalcKey,"&lt;="&amp;Calc!$H1701))</f>
        <v/>
      </c>
      <c r="O1701" s="10">
        <f>IF(OR($C1701="",$M1701=""),"",IF($N1701="","؟",IF(ROUND($M1701-$N1701,0)=0,"√","×")))</f>
        <v/>
      </c>
      <c r="P1701" s="12" t="n"/>
    </row>
    <row r="1702">
      <c r="A1702" s="10">
        <f>IF($C1702="","",COUNTA($C$9:$C1702))</f>
        <v/>
      </c>
      <c r="B1702" s="10">
        <f>IF($C1702="","","TXN-"&amp;RIGHT("0000"&amp;1694,4))</f>
        <v/>
      </c>
      <c r="C1702" s="11" t="n"/>
      <c r="D1702" s="11" t="n"/>
      <c r="E1702" s="12" t="n"/>
      <c r="F1702" s="10">
        <f>IF($E1702="","",IFERROR(IF(VLOOKUP(LEFT(UPPER(TRIM($E1702)),6),BankTbl,2,0)="","(بدون عنوان)",VLOOKUP(LEFT(UPPER(TRIM($E1702)),6),BankTbl,2,0)),"بانک ناشناخته"))</f>
        <v/>
      </c>
      <c r="G1702" s="11" t="n"/>
      <c r="H1702" s="10">
        <f>IF($G1702="","",IFERROR(VLOOKUP($G1702,CustTbl,2,0),IFERROR(VLOOKUP($G1702,SuppTbl,2,0),IFERROR(VLOOKUP($G1702,AcctTbl,2,0),IFERROR(VLOOKUP($G1702,StaffTbl,2,0),"کد ناشناخته")))))</f>
        <v/>
      </c>
      <c r="I1702" s="12" t="n"/>
      <c r="J1702" s="12" t="n"/>
      <c r="K1702" s="13" t="n"/>
      <c r="L1702" s="13" t="n"/>
      <c r="M1702" s="13" t="n"/>
      <c r="N1702" s="14">
        <f>IF(OR($C1702="",$E1702="",Calc!$H1702=""),"",IFERROR(VLOOKUP(LEFT(UPPER(TRIM($E1702)),6),BankTbl,3,0),0)+SUMIFS(CalcDep,CalcBank,LEFT(UPPER(TRIM($E1702)),6),CalcKey,"&lt;="&amp;Calc!$H1702)-SUMIFS(CalcWit,CalcBank,LEFT(UPPER(TRIM($E1702)),6),CalcKey,"&lt;="&amp;Calc!$H1702))</f>
        <v/>
      </c>
      <c r="O1702" s="10">
        <f>IF(OR($C1702="",$M1702=""),"",IF($N1702="","؟",IF(ROUND($M1702-$N1702,0)=0,"√","×")))</f>
        <v/>
      </c>
      <c r="P1702" s="12" t="n"/>
    </row>
    <row r="1703">
      <c r="A1703" s="10">
        <f>IF($C1703="","",COUNTA($C$9:$C1703))</f>
        <v/>
      </c>
      <c r="B1703" s="10">
        <f>IF($C1703="","","TXN-"&amp;RIGHT("0000"&amp;1695,4))</f>
        <v/>
      </c>
      <c r="C1703" s="11" t="n"/>
      <c r="D1703" s="11" t="n"/>
      <c r="E1703" s="12" t="n"/>
      <c r="F1703" s="10">
        <f>IF($E1703="","",IFERROR(IF(VLOOKUP(LEFT(UPPER(TRIM($E1703)),6),BankTbl,2,0)="","(بدون عنوان)",VLOOKUP(LEFT(UPPER(TRIM($E1703)),6),BankTbl,2,0)),"بانک ناشناخته"))</f>
        <v/>
      </c>
      <c r="G1703" s="11" t="n"/>
      <c r="H1703" s="10">
        <f>IF($G1703="","",IFERROR(VLOOKUP($G1703,CustTbl,2,0),IFERROR(VLOOKUP($G1703,SuppTbl,2,0),IFERROR(VLOOKUP($G1703,AcctTbl,2,0),IFERROR(VLOOKUP($G1703,StaffTbl,2,0),"کد ناشناخته")))))</f>
        <v/>
      </c>
      <c r="I1703" s="12" t="n"/>
      <c r="J1703" s="12" t="n"/>
      <c r="K1703" s="13" t="n"/>
      <c r="L1703" s="13" t="n"/>
      <c r="M1703" s="13" t="n"/>
      <c r="N1703" s="14">
        <f>IF(OR($C1703="",$E1703="",Calc!$H1703=""),"",IFERROR(VLOOKUP(LEFT(UPPER(TRIM($E1703)),6),BankTbl,3,0),0)+SUMIFS(CalcDep,CalcBank,LEFT(UPPER(TRIM($E1703)),6),CalcKey,"&lt;="&amp;Calc!$H1703)-SUMIFS(CalcWit,CalcBank,LEFT(UPPER(TRIM($E1703)),6),CalcKey,"&lt;="&amp;Calc!$H1703))</f>
        <v/>
      </c>
      <c r="O1703" s="10">
        <f>IF(OR($C1703="",$M1703=""),"",IF($N1703="","؟",IF(ROUND($M1703-$N1703,0)=0,"√","×")))</f>
        <v/>
      </c>
      <c r="P1703" s="12" t="n"/>
    </row>
    <row r="1704">
      <c r="A1704" s="10">
        <f>IF($C1704="","",COUNTA($C$9:$C1704))</f>
        <v/>
      </c>
      <c r="B1704" s="10">
        <f>IF($C1704="","","TXN-"&amp;RIGHT("0000"&amp;1696,4))</f>
        <v/>
      </c>
      <c r="C1704" s="11" t="n"/>
      <c r="D1704" s="11" t="n"/>
      <c r="E1704" s="12" t="n"/>
      <c r="F1704" s="10">
        <f>IF($E1704="","",IFERROR(IF(VLOOKUP(LEFT(UPPER(TRIM($E1704)),6),BankTbl,2,0)="","(بدون عنوان)",VLOOKUP(LEFT(UPPER(TRIM($E1704)),6),BankTbl,2,0)),"بانک ناشناخته"))</f>
        <v/>
      </c>
      <c r="G1704" s="11" t="n"/>
      <c r="H1704" s="10">
        <f>IF($G1704="","",IFERROR(VLOOKUP($G1704,CustTbl,2,0),IFERROR(VLOOKUP($G1704,SuppTbl,2,0),IFERROR(VLOOKUP($G1704,AcctTbl,2,0),IFERROR(VLOOKUP($G1704,StaffTbl,2,0),"کد ناشناخته")))))</f>
        <v/>
      </c>
      <c r="I1704" s="12" t="n"/>
      <c r="J1704" s="12" t="n"/>
      <c r="K1704" s="13" t="n"/>
      <c r="L1704" s="13" t="n"/>
      <c r="M1704" s="13" t="n"/>
      <c r="N1704" s="14">
        <f>IF(OR($C1704="",$E1704="",Calc!$H1704=""),"",IFERROR(VLOOKUP(LEFT(UPPER(TRIM($E1704)),6),BankTbl,3,0),0)+SUMIFS(CalcDep,CalcBank,LEFT(UPPER(TRIM($E1704)),6),CalcKey,"&lt;="&amp;Calc!$H1704)-SUMIFS(CalcWit,CalcBank,LEFT(UPPER(TRIM($E1704)),6),CalcKey,"&lt;="&amp;Calc!$H1704))</f>
        <v/>
      </c>
      <c r="O1704" s="10">
        <f>IF(OR($C1704="",$M1704=""),"",IF($N1704="","؟",IF(ROUND($M1704-$N1704,0)=0,"√","×")))</f>
        <v/>
      </c>
      <c r="P1704" s="12" t="n"/>
    </row>
    <row r="1705">
      <c r="A1705" s="10">
        <f>IF($C1705="","",COUNTA($C$9:$C1705))</f>
        <v/>
      </c>
      <c r="B1705" s="10">
        <f>IF($C1705="","","TXN-"&amp;RIGHT("0000"&amp;1697,4))</f>
        <v/>
      </c>
      <c r="C1705" s="11" t="n"/>
      <c r="D1705" s="11" t="n"/>
      <c r="E1705" s="12" t="n"/>
      <c r="F1705" s="10">
        <f>IF($E1705="","",IFERROR(IF(VLOOKUP(LEFT(UPPER(TRIM($E1705)),6),BankTbl,2,0)="","(بدون عنوان)",VLOOKUP(LEFT(UPPER(TRIM($E1705)),6),BankTbl,2,0)),"بانک ناشناخته"))</f>
        <v/>
      </c>
      <c r="G1705" s="11" t="n"/>
      <c r="H1705" s="10">
        <f>IF($G1705="","",IFERROR(VLOOKUP($G1705,CustTbl,2,0),IFERROR(VLOOKUP($G1705,SuppTbl,2,0),IFERROR(VLOOKUP($G1705,AcctTbl,2,0),IFERROR(VLOOKUP($G1705,StaffTbl,2,0),"کد ناشناخته")))))</f>
        <v/>
      </c>
      <c r="I1705" s="12" t="n"/>
      <c r="J1705" s="12" t="n"/>
      <c r="K1705" s="13" t="n"/>
      <c r="L1705" s="13" t="n"/>
      <c r="M1705" s="13" t="n"/>
      <c r="N1705" s="14">
        <f>IF(OR($C1705="",$E1705="",Calc!$H1705=""),"",IFERROR(VLOOKUP(LEFT(UPPER(TRIM($E1705)),6),BankTbl,3,0),0)+SUMIFS(CalcDep,CalcBank,LEFT(UPPER(TRIM($E1705)),6),CalcKey,"&lt;="&amp;Calc!$H1705)-SUMIFS(CalcWit,CalcBank,LEFT(UPPER(TRIM($E1705)),6),CalcKey,"&lt;="&amp;Calc!$H1705))</f>
        <v/>
      </c>
      <c r="O1705" s="10">
        <f>IF(OR($C1705="",$M1705=""),"",IF($N1705="","؟",IF(ROUND($M1705-$N1705,0)=0,"√","×")))</f>
        <v/>
      </c>
      <c r="P1705" s="12" t="n"/>
    </row>
    <row r="1706">
      <c r="A1706" s="10">
        <f>IF($C1706="","",COUNTA($C$9:$C1706))</f>
        <v/>
      </c>
      <c r="B1706" s="10">
        <f>IF($C1706="","","TXN-"&amp;RIGHT("0000"&amp;1698,4))</f>
        <v/>
      </c>
      <c r="C1706" s="11" t="n"/>
      <c r="D1706" s="11" t="n"/>
      <c r="E1706" s="12" t="n"/>
      <c r="F1706" s="10">
        <f>IF($E1706="","",IFERROR(IF(VLOOKUP(LEFT(UPPER(TRIM($E1706)),6),BankTbl,2,0)="","(بدون عنوان)",VLOOKUP(LEFT(UPPER(TRIM($E1706)),6),BankTbl,2,0)),"بانک ناشناخته"))</f>
        <v/>
      </c>
      <c r="G1706" s="11" t="n"/>
      <c r="H1706" s="10">
        <f>IF($G1706="","",IFERROR(VLOOKUP($G1706,CustTbl,2,0),IFERROR(VLOOKUP($G1706,SuppTbl,2,0),IFERROR(VLOOKUP($G1706,AcctTbl,2,0),IFERROR(VLOOKUP($G1706,StaffTbl,2,0),"کد ناشناخته")))))</f>
        <v/>
      </c>
      <c r="I1706" s="12" t="n"/>
      <c r="J1706" s="12" t="n"/>
      <c r="K1706" s="13" t="n"/>
      <c r="L1706" s="13" t="n"/>
      <c r="M1706" s="13" t="n"/>
      <c r="N1706" s="14">
        <f>IF(OR($C1706="",$E1706="",Calc!$H1706=""),"",IFERROR(VLOOKUP(LEFT(UPPER(TRIM($E1706)),6),BankTbl,3,0),0)+SUMIFS(CalcDep,CalcBank,LEFT(UPPER(TRIM($E1706)),6),CalcKey,"&lt;="&amp;Calc!$H1706)-SUMIFS(CalcWit,CalcBank,LEFT(UPPER(TRIM($E1706)),6),CalcKey,"&lt;="&amp;Calc!$H1706))</f>
        <v/>
      </c>
      <c r="O1706" s="10">
        <f>IF(OR($C1706="",$M1706=""),"",IF($N1706="","؟",IF(ROUND($M1706-$N1706,0)=0,"√","×")))</f>
        <v/>
      </c>
      <c r="P1706" s="12" t="n"/>
    </row>
    <row r="1707">
      <c r="A1707" s="10">
        <f>IF($C1707="","",COUNTA($C$9:$C1707))</f>
        <v/>
      </c>
      <c r="B1707" s="10">
        <f>IF($C1707="","","TXN-"&amp;RIGHT("0000"&amp;1699,4))</f>
        <v/>
      </c>
      <c r="C1707" s="11" t="n"/>
      <c r="D1707" s="11" t="n"/>
      <c r="E1707" s="12" t="n"/>
      <c r="F1707" s="10">
        <f>IF($E1707="","",IFERROR(IF(VLOOKUP(LEFT(UPPER(TRIM($E1707)),6),BankTbl,2,0)="","(بدون عنوان)",VLOOKUP(LEFT(UPPER(TRIM($E1707)),6),BankTbl,2,0)),"بانک ناشناخته"))</f>
        <v/>
      </c>
      <c r="G1707" s="11" t="n"/>
      <c r="H1707" s="10">
        <f>IF($G1707="","",IFERROR(VLOOKUP($G1707,CustTbl,2,0),IFERROR(VLOOKUP($G1707,SuppTbl,2,0),IFERROR(VLOOKUP($G1707,AcctTbl,2,0),IFERROR(VLOOKUP($G1707,StaffTbl,2,0),"کد ناشناخته")))))</f>
        <v/>
      </c>
      <c r="I1707" s="12" t="n"/>
      <c r="J1707" s="12" t="n"/>
      <c r="K1707" s="13" t="n"/>
      <c r="L1707" s="13" t="n"/>
      <c r="M1707" s="13" t="n"/>
      <c r="N1707" s="14">
        <f>IF(OR($C1707="",$E1707="",Calc!$H1707=""),"",IFERROR(VLOOKUP(LEFT(UPPER(TRIM($E1707)),6),BankTbl,3,0),0)+SUMIFS(CalcDep,CalcBank,LEFT(UPPER(TRIM($E1707)),6),CalcKey,"&lt;="&amp;Calc!$H1707)-SUMIFS(CalcWit,CalcBank,LEFT(UPPER(TRIM($E1707)),6),CalcKey,"&lt;="&amp;Calc!$H1707))</f>
        <v/>
      </c>
      <c r="O1707" s="10">
        <f>IF(OR($C1707="",$M1707=""),"",IF($N1707="","؟",IF(ROUND($M1707-$N1707,0)=0,"√","×")))</f>
        <v/>
      </c>
      <c r="P1707" s="12" t="n"/>
    </row>
    <row r="1708">
      <c r="A1708" s="10">
        <f>IF($C1708="","",COUNTA($C$9:$C1708))</f>
        <v/>
      </c>
      <c r="B1708" s="10">
        <f>IF($C1708="","","TXN-"&amp;RIGHT("0000"&amp;1700,4))</f>
        <v/>
      </c>
      <c r="C1708" s="11" t="n"/>
      <c r="D1708" s="11" t="n"/>
      <c r="E1708" s="12" t="n"/>
      <c r="F1708" s="10">
        <f>IF($E1708="","",IFERROR(IF(VLOOKUP(LEFT(UPPER(TRIM($E1708)),6),BankTbl,2,0)="","(بدون عنوان)",VLOOKUP(LEFT(UPPER(TRIM($E1708)),6),BankTbl,2,0)),"بانک ناشناخته"))</f>
        <v/>
      </c>
      <c r="G1708" s="11" t="n"/>
      <c r="H1708" s="10">
        <f>IF($G1708="","",IFERROR(VLOOKUP($G1708,CustTbl,2,0),IFERROR(VLOOKUP($G1708,SuppTbl,2,0),IFERROR(VLOOKUP($G1708,AcctTbl,2,0),IFERROR(VLOOKUP($G1708,StaffTbl,2,0),"کد ناشناخته")))))</f>
        <v/>
      </c>
      <c r="I1708" s="12" t="n"/>
      <c r="J1708" s="12" t="n"/>
      <c r="K1708" s="13" t="n"/>
      <c r="L1708" s="13" t="n"/>
      <c r="M1708" s="13" t="n"/>
      <c r="N1708" s="14">
        <f>IF(OR($C1708="",$E1708="",Calc!$H1708=""),"",IFERROR(VLOOKUP(LEFT(UPPER(TRIM($E1708)),6),BankTbl,3,0),0)+SUMIFS(CalcDep,CalcBank,LEFT(UPPER(TRIM($E1708)),6),CalcKey,"&lt;="&amp;Calc!$H1708)-SUMIFS(CalcWit,CalcBank,LEFT(UPPER(TRIM($E1708)),6),CalcKey,"&lt;="&amp;Calc!$H1708))</f>
        <v/>
      </c>
      <c r="O1708" s="10">
        <f>IF(OR($C1708="",$M1708=""),"",IF($N1708="","؟",IF(ROUND($M1708-$N1708,0)=0,"√","×")))</f>
        <v/>
      </c>
      <c r="P1708" s="12" t="n"/>
    </row>
    <row r="1709">
      <c r="A1709" s="10">
        <f>IF($C1709="","",COUNTA($C$9:$C1709))</f>
        <v/>
      </c>
      <c r="B1709" s="10">
        <f>IF($C1709="","","TXN-"&amp;RIGHT("0000"&amp;1701,4))</f>
        <v/>
      </c>
      <c r="C1709" s="11" t="n"/>
      <c r="D1709" s="11" t="n"/>
      <c r="E1709" s="12" t="n"/>
      <c r="F1709" s="10">
        <f>IF($E1709="","",IFERROR(IF(VLOOKUP(LEFT(UPPER(TRIM($E1709)),6),BankTbl,2,0)="","(بدون عنوان)",VLOOKUP(LEFT(UPPER(TRIM($E1709)),6),BankTbl,2,0)),"بانک ناشناخته"))</f>
        <v/>
      </c>
      <c r="G1709" s="11" t="n"/>
      <c r="H1709" s="10">
        <f>IF($G1709="","",IFERROR(VLOOKUP($G1709,CustTbl,2,0),IFERROR(VLOOKUP($G1709,SuppTbl,2,0),IFERROR(VLOOKUP($G1709,AcctTbl,2,0),IFERROR(VLOOKUP($G1709,StaffTbl,2,0),"کد ناشناخته")))))</f>
        <v/>
      </c>
      <c r="I1709" s="12" t="n"/>
      <c r="J1709" s="12" t="n"/>
      <c r="K1709" s="13" t="n"/>
      <c r="L1709" s="13" t="n"/>
      <c r="M1709" s="13" t="n"/>
      <c r="N1709" s="14">
        <f>IF(OR($C1709="",$E1709="",Calc!$H1709=""),"",IFERROR(VLOOKUP(LEFT(UPPER(TRIM($E1709)),6),BankTbl,3,0),0)+SUMIFS(CalcDep,CalcBank,LEFT(UPPER(TRIM($E1709)),6),CalcKey,"&lt;="&amp;Calc!$H1709)-SUMIFS(CalcWit,CalcBank,LEFT(UPPER(TRIM($E1709)),6),CalcKey,"&lt;="&amp;Calc!$H1709))</f>
        <v/>
      </c>
      <c r="O1709" s="10">
        <f>IF(OR($C1709="",$M1709=""),"",IF($N1709="","؟",IF(ROUND($M1709-$N1709,0)=0,"√","×")))</f>
        <v/>
      </c>
      <c r="P1709" s="12" t="n"/>
    </row>
    <row r="1710">
      <c r="A1710" s="10">
        <f>IF($C1710="","",COUNTA($C$9:$C1710))</f>
        <v/>
      </c>
      <c r="B1710" s="10">
        <f>IF($C1710="","","TXN-"&amp;RIGHT("0000"&amp;1702,4))</f>
        <v/>
      </c>
      <c r="C1710" s="11" t="n"/>
      <c r="D1710" s="11" t="n"/>
      <c r="E1710" s="12" t="n"/>
      <c r="F1710" s="10">
        <f>IF($E1710="","",IFERROR(IF(VLOOKUP(LEFT(UPPER(TRIM($E1710)),6),BankTbl,2,0)="","(بدون عنوان)",VLOOKUP(LEFT(UPPER(TRIM($E1710)),6),BankTbl,2,0)),"بانک ناشناخته"))</f>
        <v/>
      </c>
      <c r="G1710" s="11" t="n"/>
      <c r="H1710" s="10">
        <f>IF($G1710="","",IFERROR(VLOOKUP($G1710,CustTbl,2,0),IFERROR(VLOOKUP($G1710,SuppTbl,2,0),IFERROR(VLOOKUP($G1710,AcctTbl,2,0),IFERROR(VLOOKUP($G1710,StaffTbl,2,0),"کد ناشناخته")))))</f>
        <v/>
      </c>
      <c r="I1710" s="12" t="n"/>
      <c r="J1710" s="12" t="n"/>
      <c r="K1710" s="13" t="n"/>
      <c r="L1710" s="13" t="n"/>
      <c r="M1710" s="13" t="n"/>
      <c r="N1710" s="14">
        <f>IF(OR($C1710="",$E1710="",Calc!$H1710=""),"",IFERROR(VLOOKUP(LEFT(UPPER(TRIM($E1710)),6),BankTbl,3,0),0)+SUMIFS(CalcDep,CalcBank,LEFT(UPPER(TRIM($E1710)),6),CalcKey,"&lt;="&amp;Calc!$H1710)-SUMIFS(CalcWit,CalcBank,LEFT(UPPER(TRIM($E1710)),6),CalcKey,"&lt;="&amp;Calc!$H1710))</f>
        <v/>
      </c>
      <c r="O1710" s="10">
        <f>IF(OR($C1710="",$M1710=""),"",IF($N1710="","؟",IF(ROUND($M1710-$N1710,0)=0,"√","×")))</f>
        <v/>
      </c>
      <c r="P1710" s="12" t="n"/>
    </row>
    <row r="1711">
      <c r="A1711" s="10">
        <f>IF($C1711="","",COUNTA($C$9:$C1711))</f>
        <v/>
      </c>
      <c r="B1711" s="10">
        <f>IF($C1711="","","TXN-"&amp;RIGHT("0000"&amp;1703,4))</f>
        <v/>
      </c>
      <c r="C1711" s="11" t="n"/>
      <c r="D1711" s="11" t="n"/>
      <c r="E1711" s="12" t="n"/>
      <c r="F1711" s="10">
        <f>IF($E1711="","",IFERROR(IF(VLOOKUP(LEFT(UPPER(TRIM($E1711)),6),BankTbl,2,0)="","(بدون عنوان)",VLOOKUP(LEFT(UPPER(TRIM($E1711)),6),BankTbl,2,0)),"بانک ناشناخته"))</f>
        <v/>
      </c>
      <c r="G1711" s="11" t="n"/>
      <c r="H1711" s="10">
        <f>IF($G1711="","",IFERROR(VLOOKUP($G1711,CustTbl,2,0),IFERROR(VLOOKUP($G1711,SuppTbl,2,0),IFERROR(VLOOKUP($G1711,AcctTbl,2,0),IFERROR(VLOOKUP($G1711,StaffTbl,2,0),"کد ناشناخته")))))</f>
        <v/>
      </c>
      <c r="I1711" s="12" t="n"/>
      <c r="J1711" s="12" t="n"/>
      <c r="K1711" s="13" t="n"/>
      <c r="L1711" s="13" t="n"/>
      <c r="M1711" s="13" t="n"/>
      <c r="N1711" s="14">
        <f>IF(OR($C1711="",$E1711="",Calc!$H1711=""),"",IFERROR(VLOOKUP(LEFT(UPPER(TRIM($E1711)),6),BankTbl,3,0),0)+SUMIFS(CalcDep,CalcBank,LEFT(UPPER(TRIM($E1711)),6),CalcKey,"&lt;="&amp;Calc!$H1711)-SUMIFS(CalcWit,CalcBank,LEFT(UPPER(TRIM($E1711)),6),CalcKey,"&lt;="&amp;Calc!$H1711))</f>
        <v/>
      </c>
      <c r="O1711" s="10">
        <f>IF(OR($C1711="",$M1711=""),"",IF($N1711="","؟",IF(ROUND($M1711-$N1711,0)=0,"√","×")))</f>
        <v/>
      </c>
      <c r="P1711" s="12" t="n"/>
    </row>
    <row r="1712">
      <c r="A1712" s="10">
        <f>IF($C1712="","",COUNTA($C$9:$C1712))</f>
        <v/>
      </c>
      <c r="B1712" s="10">
        <f>IF($C1712="","","TXN-"&amp;RIGHT("0000"&amp;1704,4))</f>
        <v/>
      </c>
      <c r="C1712" s="11" t="n"/>
      <c r="D1712" s="11" t="n"/>
      <c r="E1712" s="12" t="n"/>
      <c r="F1712" s="10">
        <f>IF($E1712="","",IFERROR(IF(VLOOKUP(LEFT(UPPER(TRIM($E1712)),6),BankTbl,2,0)="","(بدون عنوان)",VLOOKUP(LEFT(UPPER(TRIM($E1712)),6),BankTbl,2,0)),"بانک ناشناخته"))</f>
        <v/>
      </c>
      <c r="G1712" s="11" t="n"/>
      <c r="H1712" s="10">
        <f>IF($G1712="","",IFERROR(VLOOKUP($G1712,CustTbl,2,0),IFERROR(VLOOKUP($G1712,SuppTbl,2,0),IFERROR(VLOOKUP($G1712,AcctTbl,2,0),IFERROR(VLOOKUP($G1712,StaffTbl,2,0),"کد ناشناخته")))))</f>
        <v/>
      </c>
      <c r="I1712" s="12" t="n"/>
      <c r="J1712" s="12" t="n"/>
      <c r="K1712" s="13" t="n"/>
      <c r="L1712" s="13" t="n"/>
      <c r="M1712" s="13" t="n"/>
      <c r="N1712" s="14">
        <f>IF(OR($C1712="",$E1712="",Calc!$H1712=""),"",IFERROR(VLOOKUP(LEFT(UPPER(TRIM($E1712)),6),BankTbl,3,0),0)+SUMIFS(CalcDep,CalcBank,LEFT(UPPER(TRIM($E1712)),6),CalcKey,"&lt;="&amp;Calc!$H1712)-SUMIFS(CalcWit,CalcBank,LEFT(UPPER(TRIM($E1712)),6),CalcKey,"&lt;="&amp;Calc!$H1712))</f>
        <v/>
      </c>
      <c r="O1712" s="10">
        <f>IF(OR($C1712="",$M1712=""),"",IF($N1712="","؟",IF(ROUND($M1712-$N1712,0)=0,"√","×")))</f>
        <v/>
      </c>
      <c r="P1712" s="12" t="n"/>
    </row>
    <row r="1713">
      <c r="A1713" s="10">
        <f>IF($C1713="","",COUNTA($C$9:$C1713))</f>
        <v/>
      </c>
      <c r="B1713" s="10">
        <f>IF($C1713="","","TXN-"&amp;RIGHT("0000"&amp;1705,4))</f>
        <v/>
      </c>
      <c r="C1713" s="11" t="n"/>
      <c r="D1713" s="11" t="n"/>
      <c r="E1713" s="12" t="n"/>
      <c r="F1713" s="10">
        <f>IF($E1713="","",IFERROR(IF(VLOOKUP(LEFT(UPPER(TRIM($E1713)),6),BankTbl,2,0)="","(بدون عنوان)",VLOOKUP(LEFT(UPPER(TRIM($E1713)),6),BankTbl,2,0)),"بانک ناشناخته"))</f>
        <v/>
      </c>
      <c r="G1713" s="11" t="n"/>
      <c r="H1713" s="10">
        <f>IF($G1713="","",IFERROR(VLOOKUP($G1713,CustTbl,2,0),IFERROR(VLOOKUP($G1713,SuppTbl,2,0),IFERROR(VLOOKUP($G1713,AcctTbl,2,0),IFERROR(VLOOKUP($G1713,StaffTbl,2,0),"کد ناشناخته")))))</f>
        <v/>
      </c>
      <c r="I1713" s="12" t="n"/>
      <c r="J1713" s="12" t="n"/>
      <c r="K1713" s="13" t="n"/>
      <c r="L1713" s="13" t="n"/>
      <c r="M1713" s="13" t="n"/>
      <c r="N1713" s="14">
        <f>IF(OR($C1713="",$E1713="",Calc!$H1713=""),"",IFERROR(VLOOKUP(LEFT(UPPER(TRIM($E1713)),6),BankTbl,3,0),0)+SUMIFS(CalcDep,CalcBank,LEFT(UPPER(TRIM($E1713)),6),CalcKey,"&lt;="&amp;Calc!$H1713)-SUMIFS(CalcWit,CalcBank,LEFT(UPPER(TRIM($E1713)),6),CalcKey,"&lt;="&amp;Calc!$H1713))</f>
        <v/>
      </c>
      <c r="O1713" s="10">
        <f>IF(OR($C1713="",$M1713=""),"",IF($N1713="","؟",IF(ROUND($M1713-$N1713,0)=0,"√","×")))</f>
        <v/>
      </c>
      <c r="P1713" s="12" t="n"/>
    </row>
    <row r="1714">
      <c r="A1714" s="10">
        <f>IF($C1714="","",COUNTA($C$9:$C1714))</f>
        <v/>
      </c>
      <c r="B1714" s="10">
        <f>IF($C1714="","","TXN-"&amp;RIGHT("0000"&amp;1706,4))</f>
        <v/>
      </c>
      <c r="C1714" s="11" t="n"/>
      <c r="D1714" s="11" t="n"/>
      <c r="E1714" s="12" t="n"/>
      <c r="F1714" s="10">
        <f>IF($E1714="","",IFERROR(IF(VLOOKUP(LEFT(UPPER(TRIM($E1714)),6),BankTbl,2,0)="","(بدون عنوان)",VLOOKUP(LEFT(UPPER(TRIM($E1714)),6),BankTbl,2,0)),"بانک ناشناخته"))</f>
        <v/>
      </c>
      <c r="G1714" s="11" t="n"/>
      <c r="H1714" s="10">
        <f>IF($G1714="","",IFERROR(VLOOKUP($G1714,CustTbl,2,0),IFERROR(VLOOKUP($G1714,SuppTbl,2,0),IFERROR(VLOOKUP($G1714,AcctTbl,2,0),IFERROR(VLOOKUP($G1714,StaffTbl,2,0),"کد ناشناخته")))))</f>
        <v/>
      </c>
      <c r="I1714" s="12" t="n"/>
      <c r="J1714" s="12" t="n"/>
      <c r="K1714" s="13" t="n"/>
      <c r="L1714" s="13" t="n"/>
      <c r="M1714" s="13" t="n"/>
      <c r="N1714" s="14">
        <f>IF(OR($C1714="",$E1714="",Calc!$H1714=""),"",IFERROR(VLOOKUP(LEFT(UPPER(TRIM($E1714)),6),BankTbl,3,0),0)+SUMIFS(CalcDep,CalcBank,LEFT(UPPER(TRIM($E1714)),6),CalcKey,"&lt;="&amp;Calc!$H1714)-SUMIFS(CalcWit,CalcBank,LEFT(UPPER(TRIM($E1714)),6),CalcKey,"&lt;="&amp;Calc!$H1714))</f>
        <v/>
      </c>
      <c r="O1714" s="10">
        <f>IF(OR($C1714="",$M1714=""),"",IF($N1714="","؟",IF(ROUND($M1714-$N1714,0)=0,"√","×")))</f>
        <v/>
      </c>
      <c r="P1714" s="12" t="n"/>
    </row>
    <row r="1715">
      <c r="A1715" s="10">
        <f>IF($C1715="","",COUNTA($C$9:$C1715))</f>
        <v/>
      </c>
      <c r="B1715" s="10">
        <f>IF($C1715="","","TXN-"&amp;RIGHT("0000"&amp;1707,4))</f>
        <v/>
      </c>
      <c r="C1715" s="11" t="n"/>
      <c r="D1715" s="11" t="n"/>
      <c r="E1715" s="12" t="n"/>
      <c r="F1715" s="10">
        <f>IF($E1715="","",IFERROR(IF(VLOOKUP(LEFT(UPPER(TRIM($E1715)),6),BankTbl,2,0)="","(بدون عنوان)",VLOOKUP(LEFT(UPPER(TRIM($E1715)),6),BankTbl,2,0)),"بانک ناشناخته"))</f>
        <v/>
      </c>
      <c r="G1715" s="11" t="n"/>
      <c r="H1715" s="10">
        <f>IF($G1715="","",IFERROR(VLOOKUP($G1715,CustTbl,2,0),IFERROR(VLOOKUP($G1715,SuppTbl,2,0),IFERROR(VLOOKUP($G1715,AcctTbl,2,0),IFERROR(VLOOKUP($G1715,StaffTbl,2,0),"کد ناشناخته")))))</f>
        <v/>
      </c>
      <c r="I1715" s="12" t="n"/>
      <c r="J1715" s="12" t="n"/>
      <c r="K1715" s="13" t="n"/>
      <c r="L1715" s="13" t="n"/>
      <c r="M1715" s="13" t="n"/>
      <c r="N1715" s="14">
        <f>IF(OR($C1715="",$E1715="",Calc!$H1715=""),"",IFERROR(VLOOKUP(LEFT(UPPER(TRIM($E1715)),6),BankTbl,3,0),0)+SUMIFS(CalcDep,CalcBank,LEFT(UPPER(TRIM($E1715)),6),CalcKey,"&lt;="&amp;Calc!$H1715)-SUMIFS(CalcWit,CalcBank,LEFT(UPPER(TRIM($E1715)),6),CalcKey,"&lt;="&amp;Calc!$H1715))</f>
        <v/>
      </c>
      <c r="O1715" s="10">
        <f>IF(OR($C1715="",$M1715=""),"",IF($N1715="","؟",IF(ROUND($M1715-$N1715,0)=0,"√","×")))</f>
        <v/>
      </c>
      <c r="P1715" s="12" t="n"/>
    </row>
    <row r="1716">
      <c r="A1716" s="10">
        <f>IF($C1716="","",COUNTA($C$9:$C1716))</f>
        <v/>
      </c>
      <c r="B1716" s="10">
        <f>IF($C1716="","","TXN-"&amp;RIGHT("0000"&amp;1708,4))</f>
        <v/>
      </c>
      <c r="C1716" s="11" t="n"/>
      <c r="D1716" s="11" t="n"/>
      <c r="E1716" s="12" t="n"/>
      <c r="F1716" s="10">
        <f>IF($E1716="","",IFERROR(IF(VLOOKUP(LEFT(UPPER(TRIM($E1716)),6),BankTbl,2,0)="","(بدون عنوان)",VLOOKUP(LEFT(UPPER(TRIM($E1716)),6),BankTbl,2,0)),"بانک ناشناخته"))</f>
        <v/>
      </c>
      <c r="G1716" s="11" t="n"/>
      <c r="H1716" s="10">
        <f>IF($G1716="","",IFERROR(VLOOKUP($G1716,CustTbl,2,0),IFERROR(VLOOKUP($G1716,SuppTbl,2,0),IFERROR(VLOOKUP($G1716,AcctTbl,2,0),IFERROR(VLOOKUP($G1716,StaffTbl,2,0),"کد ناشناخته")))))</f>
        <v/>
      </c>
      <c r="I1716" s="12" t="n"/>
      <c r="J1716" s="12" t="n"/>
      <c r="K1716" s="13" t="n"/>
      <c r="L1716" s="13" t="n"/>
      <c r="M1716" s="13" t="n"/>
      <c r="N1716" s="14">
        <f>IF(OR($C1716="",$E1716="",Calc!$H1716=""),"",IFERROR(VLOOKUP(LEFT(UPPER(TRIM($E1716)),6),BankTbl,3,0),0)+SUMIFS(CalcDep,CalcBank,LEFT(UPPER(TRIM($E1716)),6),CalcKey,"&lt;="&amp;Calc!$H1716)-SUMIFS(CalcWit,CalcBank,LEFT(UPPER(TRIM($E1716)),6),CalcKey,"&lt;="&amp;Calc!$H1716))</f>
        <v/>
      </c>
      <c r="O1716" s="10">
        <f>IF(OR($C1716="",$M1716=""),"",IF($N1716="","؟",IF(ROUND($M1716-$N1716,0)=0,"√","×")))</f>
        <v/>
      </c>
      <c r="P1716" s="12" t="n"/>
    </row>
    <row r="1717">
      <c r="A1717" s="10">
        <f>IF($C1717="","",COUNTA($C$9:$C1717))</f>
        <v/>
      </c>
      <c r="B1717" s="10">
        <f>IF($C1717="","","TXN-"&amp;RIGHT("0000"&amp;1709,4))</f>
        <v/>
      </c>
      <c r="C1717" s="11" t="n"/>
      <c r="D1717" s="11" t="n"/>
      <c r="E1717" s="12" t="n"/>
      <c r="F1717" s="10">
        <f>IF($E1717="","",IFERROR(IF(VLOOKUP(LEFT(UPPER(TRIM($E1717)),6),BankTbl,2,0)="","(بدون عنوان)",VLOOKUP(LEFT(UPPER(TRIM($E1717)),6),BankTbl,2,0)),"بانک ناشناخته"))</f>
        <v/>
      </c>
      <c r="G1717" s="11" t="n"/>
      <c r="H1717" s="10">
        <f>IF($G1717="","",IFERROR(VLOOKUP($G1717,CustTbl,2,0),IFERROR(VLOOKUP($G1717,SuppTbl,2,0),IFERROR(VLOOKUP($G1717,AcctTbl,2,0),IFERROR(VLOOKUP($G1717,StaffTbl,2,0),"کد ناشناخته")))))</f>
        <v/>
      </c>
      <c r="I1717" s="12" t="n"/>
      <c r="J1717" s="12" t="n"/>
      <c r="K1717" s="13" t="n"/>
      <c r="L1717" s="13" t="n"/>
      <c r="M1717" s="13" t="n"/>
      <c r="N1717" s="14">
        <f>IF(OR($C1717="",$E1717="",Calc!$H1717=""),"",IFERROR(VLOOKUP(LEFT(UPPER(TRIM($E1717)),6),BankTbl,3,0),0)+SUMIFS(CalcDep,CalcBank,LEFT(UPPER(TRIM($E1717)),6),CalcKey,"&lt;="&amp;Calc!$H1717)-SUMIFS(CalcWit,CalcBank,LEFT(UPPER(TRIM($E1717)),6),CalcKey,"&lt;="&amp;Calc!$H1717))</f>
        <v/>
      </c>
      <c r="O1717" s="10">
        <f>IF(OR($C1717="",$M1717=""),"",IF($N1717="","؟",IF(ROUND($M1717-$N1717,0)=0,"√","×")))</f>
        <v/>
      </c>
      <c r="P1717" s="12" t="n"/>
    </row>
    <row r="1718">
      <c r="A1718" s="10">
        <f>IF($C1718="","",COUNTA($C$9:$C1718))</f>
        <v/>
      </c>
      <c r="B1718" s="10">
        <f>IF($C1718="","","TXN-"&amp;RIGHT("0000"&amp;1710,4))</f>
        <v/>
      </c>
      <c r="C1718" s="11" t="n"/>
      <c r="D1718" s="11" t="n"/>
      <c r="E1718" s="12" t="n"/>
      <c r="F1718" s="10">
        <f>IF($E1718="","",IFERROR(IF(VLOOKUP(LEFT(UPPER(TRIM($E1718)),6),BankTbl,2,0)="","(بدون عنوان)",VLOOKUP(LEFT(UPPER(TRIM($E1718)),6),BankTbl,2,0)),"بانک ناشناخته"))</f>
        <v/>
      </c>
      <c r="G1718" s="11" t="n"/>
      <c r="H1718" s="10">
        <f>IF($G1718="","",IFERROR(VLOOKUP($G1718,CustTbl,2,0),IFERROR(VLOOKUP($G1718,SuppTbl,2,0),IFERROR(VLOOKUP($G1718,AcctTbl,2,0),IFERROR(VLOOKUP($G1718,StaffTbl,2,0),"کد ناشناخته")))))</f>
        <v/>
      </c>
      <c r="I1718" s="12" t="n"/>
      <c r="J1718" s="12" t="n"/>
      <c r="K1718" s="13" t="n"/>
      <c r="L1718" s="13" t="n"/>
      <c r="M1718" s="13" t="n"/>
      <c r="N1718" s="14">
        <f>IF(OR($C1718="",$E1718="",Calc!$H1718=""),"",IFERROR(VLOOKUP(LEFT(UPPER(TRIM($E1718)),6),BankTbl,3,0),0)+SUMIFS(CalcDep,CalcBank,LEFT(UPPER(TRIM($E1718)),6),CalcKey,"&lt;="&amp;Calc!$H1718)-SUMIFS(CalcWit,CalcBank,LEFT(UPPER(TRIM($E1718)),6),CalcKey,"&lt;="&amp;Calc!$H1718))</f>
        <v/>
      </c>
      <c r="O1718" s="10">
        <f>IF(OR($C1718="",$M1718=""),"",IF($N1718="","؟",IF(ROUND($M1718-$N1718,0)=0,"√","×")))</f>
        <v/>
      </c>
      <c r="P1718" s="12" t="n"/>
    </row>
    <row r="1719">
      <c r="A1719" s="10">
        <f>IF($C1719="","",COUNTA($C$9:$C1719))</f>
        <v/>
      </c>
      <c r="B1719" s="10">
        <f>IF($C1719="","","TXN-"&amp;RIGHT("0000"&amp;1711,4))</f>
        <v/>
      </c>
      <c r="C1719" s="11" t="n"/>
      <c r="D1719" s="11" t="n"/>
      <c r="E1719" s="12" t="n"/>
      <c r="F1719" s="10">
        <f>IF($E1719="","",IFERROR(IF(VLOOKUP(LEFT(UPPER(TRIM($E1719)),6),BankTbl,2,0)="","(بدون عنوان)",VLOOKUP(LEFT(UPPER(TRIM($E1719)),6),BankTbl,2,0)),"بانک ناشناخته"))</f>
        <v/>
      </c>
      <c r="G1719" s="11" t="n"/>
      <c r="H1719" s="10">
        <f>IF($G1719="","",IFERROR(VLOOKUP($G1719,CustTbl,2,0),IFERROR(VLOOKUP($G1719,SuppTbl,2,0),IFERROR(VLOOKUP($G1719,AcctTbl,2,0),IFERROR(VLOOKUP($G1719,StaffTbl,2,0),"کد ناشناخته")))))</f>
        <v/>
      </c>
      <c r="I1719" s="12" t="n"/>
      <c r="J1719" s="12" t="n"/>
      <c r="K1719" s="13" t="n"/>
      <c r="L1719" s="13" t="n"/>
      <c r="M1719" s="13" t="n"/>
      <c r="N1719" s="14">
        <f>IF(OR($C1719="",$E1719="",Calc!$H1719=""),"",IFERROR(VLOOKUP(LEFT(UPPER(TRIM($E1719)),6),BankTbl,3,0),0)+SUMIFS(CalcDep,CalcBank,LEFT(UPPER(TRIM($E1719)),6),CalcKey,"&lt;="&amp;Calc!$H1719)-SUMIFS(CalcWit,CalcBank,LEFT(UPPER(TRIM($E1719)),6),CalcKey,"&lt;="&amp;Calc!$H1719))</f>
        <v/>
      </c>
      <c r="O1719" s="10">
        <f>IF(OR($C1719="",$M1719=""),"",IF($N1719="","؟",IF(ROUND($M1719-$N1719,0)=0,"√","×")))</f>
        <v/>
      </c>
      <c r="P1719" s="12" t="n"/>
    </row>
    <row r="1720">
      <c r="A1720" s="10">
        <f>IF($C1720="","",COUNTA($C$9:$C1720))</f>
        <v/>
      </c>
      <c r="B1720" s="10">
        <f>IF($C1720="","","TXN-"&amp;RIGHT("0000"&amp;1712,4))</f>
        <v/>
      </c>
      <c r="C1720" s="11" t="n"/>
      <c r="D1720" s="11" t="n"/>
      <c r="E1720" s="12" t="n"/>
      <c r="F1720" s="10">
        <f>IF($E1720="","",IFERROR(IF(VLOOKUP(LEFT(UPPER(TRIM($E1720)),6),BankTbl,2,0)="","(بدون عنوان)",VLOOKUP(LEFT(UPPER(TRIM($E1720)),6),BankTbl,2,0)),"بانک ناشناخته"))</f>
        <v/>
      </c>
      <c r="G1720" s="11" t="n"/>
      <c r="H1720" s="10">
        <f>IF($G1720="","",IFERROR(VLOOKUP($G1720,CustTbl,2,0),IFERROR(VLOOKUP($G1720,SuppTbl,2,0),IFERROR(VLOOKUP($G1720,AcctTbl,2,0),IFERROR(VLOOKUP($G1720,StaffTbl,2,0),"کد ناشناخته")))))</f>
        <v/>
      </c>
      <c r="I1720" s="12" t="n"/>
      <c r="J1720" s="12" t="n"/>
      <c r="K1720" s="13" t="n"/>
      <c r="L1720" s="13" t="n"/>
      <c r="M1720" s="13" t="n"/>
      <c r="N1720" s="14">
        <f>IF(OR($C1720="",$E1720="",Calc!$H1720=""),"",IFERROR(VLOOKUP(LEFT(UPPER(TRIM($E1720)),6),BankTbl,3,0),0)+SUMIFS(CalcDep,CalcBank,LEFT(UPPER(TRIM($E1720)),6),CalcKey,"&lt;="&amp;Calc!$H1720)-SUMIFS(CalcWit,CalcBank,LEFT(UPPER(TRIM($E1720)),6),CalcKey,"&lt;="&amp;Calc!$H1720))</f>
        <v/>
      </c>
      <c r="O1720" s="10">
        <f>IF(OR($C1720="",$M1720=""),"",IF($N1720="","؟",IF(ROUND($M1720-$N1720,0)=0,"√","×")))</f>
        <v/>
      </c>
      <c r="P1720" s="12" t="n"/>
    </row>
    <row r="1721">
      <c r="A1721" s="10">
        <f>IF($C1721="","",COUNTA($C$9:$C1721))</f>
        <v/>
      </c>
      <c r="B1721" s="10">
        <f>IF($C1721="","","TXN-"&amp;RIGHT("0000"&amp;1713,4))</f>
        <v/>
      </c>
      <c r="C1721" s="11" t="n"/>
      <c r="D1721" s="11" t="n"/>
      <c r="E1721" s="12" t="n"/>
      <c r="F1721" s="10">
        <f>IF($E1721="","",IFERROR(IF(VLOOKUP(LEFT(UPPER(TRIM($E1721)),6),BankTbl,2,0)="","(بدون عنوان)",VLOOKUP(LEFT(UPPER(TRIM($E1721)),6),BankTbl,2,0)),"بانک ناشناخته"))</f>
        <v/>
      </c>
      <c r="G1721" s="11" t="n"/>
      <c r="H1721" s="10">
        <f>IF($G1721="","",IFERROR(VLOOKUP($G1721,CustTbl,2,0),IFERROR(VLOOKUP($G1721,SuppTbl,2,0),IFERROR(VLOOKUP($G1721,AcctTbl,2,0),IFERROR(VLOOKUP($G1721,StaffTbl,2,0),"کد ناشناخته")))))</f>
        <v/>
      </c>
      <c r="I1721" s="12" t="n"/>
      <c r="J1721" s="12" t="n"/>
      <c r="K1721" s="13" t="n"/>
      <c r="L1721" s="13" t="n"/>
      <c r="M1721" s="13" t="n"/>
      <c r="N1721" s="14">
        <f>IF(OR($C1721="",$E1721="",Calc!$H1721=""),"",IFERROR(VLOOKUP(LEFT(UPPER(TRIM($E1721)),6),BankTbl,3,0),0)+SUMIFS(CalcDep,CalcBank,LEFT(UPPER(TRIM($E1721)),6),CalcKey,"&lt;="&amp;Calc!$H1721)-SUMIFS(CalcWit,CalcBank,LEFT(UPPER(TRIM($E1721)),6),CalcKey,"&lt;="&amp;Calc!$H1721))</f>
        <v/>
      </c>
      <c r="O1721" s="10">
        <f>IF(OR($C1721="",$M1721=""),"",IF($N1721="","؟",IF(ROUND($M1721-$N1721,0)=0,"√","×")))</f>
        <v/>
      </c>
      <c r="P1721" s="12" t="n"/>
    </row>
    <row r="1722">
      <c r="A1722" s="10">
        <f>IF($C1722="","",COUNTA($C$9:$C1722))</f>
        <v/>
      </c>
      <c r="B1722" s="10">
        <f>IF($C1722="","","TXN-"&amp;RIGHT("0000"&amp;1714,4))</f>
        <v/>
      </c>
      <c r="C1722" s="11" t="n"/>
      <c r="D1722" s="11" t="n"/>
      <c r="E1722" s="12" t="n"/>
      <c r="F1722" s="10">
        <f>IF($E1722="","",IFERROR(IF(VLOOKUP(LEFT(UPPER(TRIM($E1722)),6),BankTbl,2,0)="","(بدون عنوان)",VLOOKUP(LEFT(UPPER(TRIM($E1722)),6),BankTbl,2,0)),"بانک ناشناخته"))</f>
        <v/>
      </c>
      <c r="G1722" s="11" t="n"/>
      <c r="H1722" s="10">
        <f>IF($G1722="","",IFERROR(VLOOKUP($G1722,CustTbl,2,0),IFERROR(VLOOKUP($G1722,SuppTbl,2,0),IFERROR(VLOOKUP($G1722,AcctTbl,2,0),IFERROR(VLOOKUP($G1722,StaffTbl,2,0),"کد ناشناخته")))))</f>
        <v/>
      </c>
      <c r="I1722" s="12" t="n"/>
      <c r="J1722" s="12" t="n"/>
      <c r="K1722" s="13" t="n"/>
      <c r="L1722" s="13" t="n"/>
      <c r="M1722" s="13" t="n"/>
      <c r="N1722" s="14">
        <f>IF(OR($C1722="",$E1722="",Calc!$H1722=""),"",IFERROR(VLOOKUP(LEFT(UPPER(TRIM($E1722)),6),BankTbl,3,0),0)+SUMIFS(CalcDep,CalcBank,LEFT(UPPER(TRIM($E1722)),6),CalcKey,"&lt;="&amp;Calc!$H1722)-SUMIFS(CalcWit,CalcBank,LEFT(UPPER(TRIM($E1722)),6),CalcKey,"&lt;="&amp;Calc!$H1722))</f>
        <v/>
      </c>
      <c r="O1722" s="10">
        <f>IF(OR($C1722="",$M1722=""),"",IF($N1722="","؟",IF(ROUND($M1722-$N1722,0)=0,"√","×")))</f>
        <v/>
      </c>
      <c r="P1722" s="12" t="n"/>
    </row>
    <row r="1723">
      <c r="A1723" s="10">
        <f>IF($C1723="","",COUNTA($C$9:$C1723))</f>
        <v/>
      </c>
      <c r="B1723" s="10">
        <f>IF($C1723="","","TXN-"&amp;RIGHT("0000"&amp;1715,4))</f>
        <v/>
      </c>
      <c r="C1723" s="11" t="n"/>
      <c r="D1723" s="11" t="n"/>
      <c r="E1723" s="12" t="n"/>
      <c r="F1723" s="10">
        <f>IF($E1723="","",IFERROR(IF(VLOOKUP(LEFT(UPPER(TRIM($E1723)),6),BankTbl,2,0)="","(بدون عنوان)",VLOOKUP(LEFT(UPPER(TRIM($E1723)),6),BankTbl,2,0)),"بانک ناشناخته"))</f>
        <v/>
      </c>
      <c r="G1723" s="11" t="n"/>
      <c r="H1723" s="10">
        <f>IF($G1723="","",IFERROR(VLOOKUP($G1723,CustTbl,2,0),IFERROR(VLOOKUP($G1723,SuppTbl,2,0),IFERROR(VLOOKUP($G1723,AcctTbl,2,0),IFERROR(VLOOKUP($G1723,StaffTbl,2,0),"کد ناشناخته")))))</f>
        <v/>
      </c>
      <c r="I1723" s="12" t="n"/>
      <c r="J1723" s="12" t="n"/>
      <c r="K1723" s="13" t="n"/>
      <c r="L1723" s="13" t="n"/>
      <c r="M1723" s="13" t="n"/>
      <c r="N1723" s="14">
        <f>IF(OR($C1723="",$E1723="",Calc!$H1723=""),"",IFERROR(VLOOKUP(LEFT(UPPER(TRIM($E1723)),6),BankTbl,3,0),0)+SUMIFS(CalcDep,CalcBank,LEFT(UPPER(TRIM($E1723)),6),CalcKey,"&lt;="&amp;Calc!$H1723)-SUMIFS(CalcWit,CalcBank,LEFT(UPPER(TRIM($E1723)),6),CalcKey,"&lt;="&amp;Calc!$H1723))</f>
        <v/>
      </c>
      <c r="O1723" s="10">
        <f>IF(OR($C1723="",$M1723=""),"",IF($N1723="","؟",IF(ROUND($M1723-$N1723,0)=0,"√","×")))</f>
        <v/>
      </c>
      <c r="P1723" s="12" t="n"/>
    </row>
    <row r="1724">
      <c r="A1724" s="10">
        <f>IF($C1724="","",COUNTA($C$9:$C1724))</f>
        <v/>
      </c>
      <c r="B1724" s="10">
        <f>IF($C1724="","","TXN-"&amp;RIGHT("0000"&amp;1716,4))</f>
        <v/>
      </c>
      <c r="C1724" s="11" t="n"/>
      <c r="D1724" s="11" t="n"/>
      <c r="E1724" s="12" t="n"/>
      <c r="F1724" s="10">
        <f>IF($E1724="","",IFERROR(IF(VLOOKUP(LEFT(UPPER(TRIM($E1724)),6),BankTbl,2,0)="","(بدون عنوان)",VLOOKUP(LEFT(UPPER(TRIM($E1724)),6),BankTbl,2,0)),"بانک ناشناخته"))</f>
        <v/>
      </c>
      <c r="G1724" s="11" t="n"/>
      <c r="H1724" s="10">
        <f>IF($G1724="","",IFERROR(VLOOKUP($G1724,CustTbl,2,0),IFERROR(VLOOKUP($G1724,SuppTbl,2,0),IFERROR(VLOOKUP($G1724,AcctTbl,2,0),IFERROR(VLOOKUP($G1724,StaffTbl,2,0),"کد ناشناخته")))))</f>
        <v/>
      </c>
      <c r="I1724" s="12" t="n"/>
      <c r="J1724" s="12" t="n"/>
      <c r="K1724" s="13" t="n"/>
      <c r="L1724" s="13" t="n"/>
      <c r="M1724" s="13" t="n"/>
      <c r="N1724" s="14">
        <f>IF(OR($C1724="",$E1724="",Calc!$H1724=""),"",IFERROR(VLOOKUP(LEFT(UPPER(TRIM($E1724)),6),BankTbl,3,0),0)+SUMIFS(CalcDep,CalcBank,LEFT(UPPER(TRIM($E1724)),6),CalcKey,"&lt;="&amp;Calc!$H1724)-SUMIFS(CalcWit,CalcBank,LEFT(UPPER(TRIM($E1724)),6),CalcKey,"&lt;="&amp;Calc!$H1724))</f>
        <v/>
      </c>
      <c r="O1724" s="10">
        <f>IF(OR($C1724="",$M1724=""),"",IF($N1724="","؟",IF(ROUND($M1724-$N1724,0)=0,"√","×")))</f>
        <v/>
      </c>
      <c r="P1724" s="12" t="n"/>
    </row>
    <row r="1725">
      <c r="A1725" s="10">
        <f>IF($C1725="","",COUNTA($C$9:$C1725))</f>
        <v/>
      </c>
      <c r="B1725" s="10">
        <f>IF($C1725="","","TXN-"&amp;RIGHT("0000"&amp;1717,4))</f>
        <v/>
      </c>
      <c r="C1725" s="11" t="n"/>
      <c r="D1725" s="11" t="n"/>
      <c r="E1725" s="12" t="n"/>
      <c r="F1725" s="10">
        <f>IF($E1725="","",IFERROR(IF(VLOOKUP(LEFT(UPPER(TRIM($E1725)),6),BankTbl,2,0)="","(بدون عنوان)",VLOOKUP(LEFT(UPPER(TRIM($E1725)),6),BankTbl,2,0)),"بانک ناشناخته"))</f>
        <v/>
      </c>
      <c r="G1725" s="11" t="n"/>
      <c r="H1725" s="10">
        <f>IF($G1725="","",IFERROR(VLOOKUP($G1725,CustTbl,2,0),IFERROR(VLOOKUP($G1725,SuppTbl,2,0),IFERROR(VLOOKUP($G1725,AcctTbl,2,0),IFERROR(VLOOKUP($G1725,StaffTbl,2,0),"کد ناشناخته")))))</f>
        <v/>
      </c>
      <c r="I1725" s="12" t="n"/>
      <c r="J1725" s="12" t="n"/>
      <c r="K1725" s="13" t="n"/>
      <c r="L1725" s="13" t="n"/>
      <c r="M1725" s="13" t="n"/>
      <c r="N1725" s="14">
        <f>IF(OR($C1725="",$E1725="",Calc!$H1725=""),"",IFERROR(VLOOKUP(LEFT(UPPER(TRIM($E1725)),6),BankTbl,3,0),0)+SUMIFS(CalcDep,CalcBank,LEFT(UPPER(TRIM($E1725)),6),CalcKey,"&lt;="&amp;Calc!$H1725)-SUMIFS(CalcWit,CalcBank,LEFT(UPPER(TRIM($E1725)),6),CalcKey,"&lt;="&amp;Calc!$H1725))</f>
        <v/>
      </c>
      <c r="O1725" s="10">
        <f>IF(OR($C1725="",$M1725=""),"",IF($N1725="","؟",IF(ROUND($M1725-$N1725,0)=0,"√","×")))</f>
        <v/>
      </c>
      <c r="P1725" s="12" t="n"/>
    </row>
    <row r="1726">
      <c r="A1726" s="10">
        <f>IF($C1726="","",COUNTA($C$9:$C1726))</f>
        <v/>
      </c>
      <c r="B1726" s="10">
        <f>IF($C1726="","","TXN-"&amp;RIGHT("0000"&amp;1718,4))</f>
        <v/>
      </c>
      <c r="C1726" s="11" t="n"/>
      <c r="D1726" s="11" t="n"/>
      <c r="E1726" s="12" t="n"/>
      <c r="F1726" s="10">
        <f>IF($E1726="","",IFERROR(IF(VLOOKUP(LEFT(UPPER(TRIM($E1726)),6),BankTbl,2,0)="","(بدون عنوان)",VLOOKUP(LEFT(UPPER(TRIM($E1726)),6),BankTbl,2,0)),"بانک ناشناخته"))</f>
        <v/>
      </c>
      <c r="G1726" s="11" t="n"/>
      <c r="H1726" s="10">
        <f>IF($G1726="","",IFERROR(VLOOKUP($G1726,CustTbl,2,0),IFERROR(VLOOKUP($G1726,SuppTbl,2,0),IFERROR(VLOOKUP($G1726,AcctTbl,2,0),IFERROR(VLOOKUP($G1726,StaffTbl,2,0),"کد ناشناخته")))))</f>
        <v/>
      </c>
      <c r="I1726" s="12" t="n"/>
      <c r="J1726" s="12" t="n"/>
      <c r="K1726" s="13" t="n"/>
      <c r="L1726" s="13" t="n"/>
      <c r="M1726" s="13" t="n"/>
      <c r="N1726" s="14">
        <f>IF(OR($C1726="",$E1726="",Calc!$H1726=""),"",IFERROR(VLOOKUP(LEFT(UPPER(TRIM($E1726)),6),BankTbl,3,0),0)+SUMIFS(CalcDep,CalcBank,LEFT(UPPER(TRIM($E1726)),6),CalcKey,"&lt;="&amp;Calc!$H1726)-SUMIFS(CalcWit,CalcBank,LEFT(UPPER(TRIM($E1726)),6),CalcKey,"&lt;="&amp;Calc!$H1726))</f>
        <v/>
      </c>
      <c r="O1726" s="10">
        <f>IF(OR($C1726="",$M1726=""),"",IF($N1726="","؟",IF(ROUND($M1726-$N1726,0)=0,"√","×")))</f>
        <v/>
      </c>
      <c r="P1726" s="12" t="n"/>
    </row>
    <row r="1727">
      <c r="A1727" s="10">
        <f>IF($C1727="","",COUNTA($C$9:$C1727))</f>
        <v/>
      </c>
      <c r="B1727" s="10">
        <f>IF($C1727="","","TXN-"&amp;RIGHT("0000"&amp;1719,4))</f>
        <v/>
      </c>
      <c r="C1727" s="11" t="n"/>
      <c r="D1727" s="11" t="n"/>
      <c r="E1727" s="12" t="n"/>
      <c r="F1727" s="10">
        <f>IF($E1727="","",IFERROR(IF(VLOOKUP(LEFT(UPPER(TRIM($E1727)),6),BankTbl,2,0)="","(بدون عنوان)",VLOOKUP(LEFT(UPPER(TRIM($E1727)),6),BankTbl,2,0)),"بانک ناشناخته"))</f>
        <v/>
      </c>
      <c r="G1727" s="11" t="n"/>
      <c r="H1727" s="10">
        <f>IF($G1727="","",IFERROR(VLOOKUP($G1727,CustTbl,2,0),IFERROR(VLOOKUP($G1727,SuppTbl,2,0),IFERROR(VLOOKUP($G1727,AcctTbl,2,0),IFERROR(VLOOKUP($G1727,StaffTbl,2,0),"کد ناشناخته")))))</f>
        <v/>
      </c>
      <c r="I1727" s="12" t="n"/>
      <c r="J1727" s="12" t="n"/>
      <c r="K1727" s="13" t="n"/>
      <c r="L1727" s="13" t="n"/>
      <c r="M1727" s="13" t="n"/>
      <c r="N1727" s="14">
        <f>IF(OR($C1727="",$E1727="",Calc!$H1727=""),"",IFERROR(VLOOKUP(LEFT(UPPER(TRIM($E1727)),6),BankTbl,3,0),0)+SUMIFS(CalcDep,CalcBank,LEFT(UPPER(TRIM($E1727)),6),CalcKey,"&lt;="&amp;Calc!$H1727)-SUMIFS(CalcWit,CalcBank,LEFT(UPPER(TRIM($E1727)),6),CalcKey,"&lt;="&amp;Calc!$H1727))</f>
        <v/>
      </c>
      <c r="O1727" s="10">
        <f>IF(OR($C1727="",$M1727=""),"",IF($N1727="","؟",IF(ROUND($M1727-$N1727,0)=0,"√","×")))</f>
        <v/>
      </c>
      <c r="P1727" s="12" t="n"/>
    </row>
    <row r="1728">
      <c r="A1728" s="10">
        <f>IF($C1728="","",COUNTA($C$9:$C1728))</f>
        <v/>
      </c>
      <c r="B1728" s="10">
        <f>IF($C1728="","","TXN-"&amp;RIGHT("0000"&amp;1720,4))</f>
        <v/>
      </c>
      <c r="C1728" s="11" t="n"/>
      <c r="D1728" s="11" t="n"/>
      <c r="E1728" s="12" t="n"/>
      <c r="F1728" s="10">
        <f>IF($E1728="","",IFERROR(IF(VLOOKUP(LEFT(UPPER(TRIM($E1728)),6),BankTbl,2,0)="","(بدون عنوان)",VLOOKUP(LEFT(UPPER(TRIM($E1728)),6),BankTbl,2,0)),"بانک ناشناخته"))</f>
        <v/>
      </c>
      <c r="G1728" s="11" t="n"/>
      <c r="H1728" s="10">
        <f>IF($G1728="","",IFERROR(VLOOKUP($G1728,CustTbl,2,0),IFERROR(VLOOKUP($G1728,SuppTbl,2,0),IFERROR(VLOOKUP($G1728,AcctTbl,2,0),IFERROR(VLOOKUP($G1728,StaffTbl,2,0),"کد ناشناخته")))))</f>
        <v/>
      </c>
      <c r="I1728" s="12" t="n"/>
      <c r="J1728" s="12" t="n"/>
      <c r="K1728" s="13" t="n"/>
      <c r="L1728" s="13" t="n"/>
      <c r="M1728" s="13" t="n"/>
      <c r="N1728" s="14">
        <f>IF(OR($C1728="",$E1728="",Calc!$H1728=""),"",IFERROR(VLOOKUP(LEFT(UPPER(TRIM($E1728)),6),BankTbl,3,0),0)+SUMIFS(CalcDep,CalcBank,LEFT(UPPER(TRIM($E1728)),6),CalcKey,"&lt;="&amp;Calc!$H1728)-SUMIFS(CalcWit,CalcBank,LEFT(UPPER(TRIM($E1728)),6),CalcKey,"&lt;="&amp;Calc!$H1728))</f>
        <v/>
      </c>
      <c r="O1728" s="10">
        <f>IF(OR($C1728="",$M1728=""),"",IF($N1728="","؟",IF(ROUND($M1728-$N1728,0)=0,"√","×")))</f>
        <v/>
      </c>
      <c r="P1728" s="12" t="n"/>
    </row>
    <row r="1729">
      <c r="A1729" s="10">
        <f>IF($C1729="","",COUNTA($C$9:$C1729))</f>
        <v/>
      </c>
      <c r="B1729" s="10">
        <f>IF($C1729="","","TXN-"&amp;RIGHT("0000"&amp;1721,4))</f>
        <v/>
      </c>
      <c r="C1729" s="11" t="n"/>
      <c r="D1729" s="11" t="n"/>
      <c r="E1729" s="12" t="n"/>
      <c r="F1729" s="10">
        <f>IF($E1729="","",IFERROR(IF(VLOOKUP(LEFT(UPPER(TRIM($E1729)),6),BankTbl,2,0)="","(بدون عنوان)",VLOOKUP(LEFT(UPPER(TRIM($E1729)),6),BankTbl,2,0)),"بانک ناشناخته"))</f>
        <v/>
      </c>
      <c r="G1729" s="11" t="n"/>
      <c r="H1729" s="10">
        <f>IF($G1729="","",IFERROR(VLOOKUP($G1729,CustTbl,2,0),IFERROR(VLOOKUP($G1729,SuppTbl,2,0),IFERROR(VLOOKUP($G1729,AcctTbl,2,0),IFERROR(VLOOKUP($G1729,StaffTbl,2,0),"کد ناشناخته")))))</f>
        <v/>
      </c>
      <c r="I1729" s="12" t="n"/>
      <c r="J1729" s="12" t="n"/>
      <c r="K1729" s="13" t="n"/>
      <c r="L1729" s="13" t="n"/>
      <c r="M1729" s="13" t="n"/>
      <c r="N1729" s="14">
        <f>IF(OR($C1729="",$E1729="",Calc!$H1729=""),"",IFERROR(VLOOKUP(LEFT(UPPER(TRIM($E1729)),6),BankTbl,3,0),0)+SUMIFS(CalcDep,CalcBank,LEFT(UPPER(TRIM($E1729)),6),CalcKey,"&lt;="&amp;Calc!$H1729)-SUMIFS(CalcWit,CalcBank,LEFT(UPPER(TRIM($E1729)),6),CalcKey,"&lt;="&amp;Calc!$H1729))</f>
        <v/>
      </c>
      <c r="O1729" s="10">
        <f>IF(OR($C1729="",$M1729=""),"",IF($N1729="","؟",IF(ROUND($M1729-$N1729,0)=0,"√","×")))</f>
        <v/>
      </c>
      <c r="P1729" s="12" t="n"/>
    </row>
    <row r="1730">
      <c r="A1730" s="10">
        <f>IF($C1730="","",COUNTA($C$9:$C1730))</f>
        <v/>
      </c>
      <c r="B1730" s="10">
        <f>IF($C1730="","","TXN-"&amp;RIGHT("0000"&amp;1722,4))</f>
        <v/>
      </c>
      <c r="C1730" s="11" t="n"/>
      <c r="D1730" s="11" t="n"/>
      <c r="E1730" s="12" t="n"/>
      <c r="F1730" s="10">
        <f>IF($E1730="","",IFERROR(IF(VLOOKUP(LEFT(UPPER(TRIM($E1730)),6),BankTbl,2,0)="","(بدون عنوان)",VLOOKUP(LEFT(UPPER(TRIM($E1730)),6),BankTbl,2,0)),"بانک ناشناخته"))</f>
        <v/>
      </c>
      <c r="G1730" s="11" t="n"/>
      <c r="H1730" s="10">
        <f>IF($G1730="","",IFERROR(VLOOKUP($G1730,CustTbl,2,0),IFERROR(VLOOKUP($G1730,SuppTbl,2,0),IFERROR(VLOOKUP($G1730,AcctTbl,2,0),IFERROR(VLOOKUP($G1730,StaffTbl,2,0),"کد ناشناخته")))))</f>
        <v/>
      </c>
      <c r="I1730" s="12" t="n"/>
      <c r="J1730" s="12" t="n"/>
      <c r="K1730" s="13" t="n"/>
      <c r="L1730" s="13" t="n"/>
      <c r="M1730" s="13" t="n"/>
      <c r="N1730" s="14">
        <f>IF(OR($C1730="",$E1730="",Calc!$H1730=""),"",IFERROR(VLOOKUP(LEFT(UPPER(TRIM($E1730)),6),BankTbl,3,0),0)+SUMIFS(CalcDep,CalcBank,LEFT(UPPER(TRIM($E1730)),6),CalcKey,"&lt;="&amp;Calc!$H1730)-SUMIFS(CalcWit,CalcBank,LEFT(UPPER(TRIM($E1730)),6),CalcKey,"&lt;="&amp;Calc!$H1730))</f>
        <v/>
      </c>
      <c r="O1730" s="10">
        <f>IF(OR($C1730="",$M1730=""),"",IF($N1730="","؟",IF(ROUND($M1730-$N1730,0)=0,"√","×")))</f>
        <v/>
      </c>
      <c r="P1730" s="12" t="n"/>
    </row>
    <row r="1731">
      <c r="A1731" s="10">
        <f>IF($C1731="","",COUNTA($C$9:$C1731))</f>
        <v/>
      </c>
      <c r="B1731" s="10">
        <f>IF($C1731="","","TXN-"&amp;RIGHT("0000"&amp;1723,4))</f>
        <v/>
      </c>
      <c r="C1731" s="11" t="n"/>
      <c r="D1731" s="11" t="n"/>
      <c r="E1731" s="12" t="n"/>
      <c r="F1731" s="10">
        <f>IF($E1731="","",IFERROR(IF(VLOOKUP(LEFT(UPPER(TRIM($E1731)),6),BankTbl,2,0)="","(بدون عنوان)",VLOOKUP(LEFT(UPPER(TRIM($E1731)),6),BankTbl,2,0)),"بانک ناشناخته"))</f>
        <v/>
      </c>
      <c r="G1731" s="11" t="n"/>
      <c r="H1731" s="10">
        <f>IF($G1731="","",IFERROR(VLOOKUP($G1731,CustTbl,2,0),IFERROR(VLOOKUP($G1731,SuppTbl,2,0),IFERROR(VLOOKUP($G1731,AcctTbl,2,0),IFERROR(VLOOKUP($G1731,StaffTbl,2,0),"کد ناشناخته")))))</f>
        <v/>
      </c>
      <c r="I1731" s="12" t="n"/>
      <c r="J1731" s="12" t="n"/>
      <c r="K1731" s="13" t="n"/>
      <c r="L1731" s="13" t="n"/>
      <c r="M1731" s="13" t="n"/>
      <c r="N1731" s="14">
        <f>IF(OR($C1731="",$E1731="",Calc!$H1731=""),"",IFERROR(VLOOKUP(LEFT(UPPER(TRIM($E1731)),6),BankTbl,3,0),0)+SUMIFS(CalcDep,CalcBank,LEFT(UPPER(TRIM($E1731)),6),CalcKey,"&lt;="&amp;Calc!$H1731)-SUMIFS(CalcWit,CalcBank,LEFT(UPPER(TRIM($E1731)),6),CalcKey,"&lt;="&amp;Calc!$H1731))</f>
        <v/>
      </c>
      <c r="O1731" s="10">
        <f>IF(OR($C1731="",$M1731=""),"",IF($N1731="","؟",IF(ROUND($M1731-$N1731,0)=0,"√","×")))</f>
        <v/>
      </c>
      <c r="P1731" s="12" t="n"/>
    </row>
    <row r="1732">
      <c r="A1732" s="10">
        <f>IF($C1732="","",COUNTA($C$9:$C1732))</f>
        <v/>
      </c>
      <c r="B1732" s="10">
        <f>IF($C1732="","","TXN-"&amp;RIGHT("0000"&amp;1724,4))</f>
        <v/>
      </c>
      <c r="C1732" s="11" t="n"/>
      <c r="D1732" s="11" t="n"/>
      <c r="E1732" s="12" t="n"/>
      <c r="F1732" s="10">
        <f>IF($E1732="","",IFERROR(IF(VLOOKUP(LEFT(UPPER(TRIM($E1732)),6),BankTbl,2,0)="","(بدون عنوان)",VLOOKUP(LEFT(UPPER(TRIM($E1732)),6),BankTbl,2,0)),"بانک ناشناخته"))</f>
        <v/>
      </c>
      <c r="G1732" s="11" t="n"/>
      <c r="H1732" s="10">
        <f>IF($G1732="","",IFERROR(VLOOKUP($G1732,CustTbl,2,0),IFERROR(VLOOKUP($G1732,SuppTbl,2,0),IFERROR(VLOOKUP($G1732,AcctTbl,2,0),IFERROR(VLOOKUP($G1732,StaffTbl,2,0),"کد ناشناخته")))))</f>
        <v/>
      </c>
      <c r="I1732" s="12" t="n"/>
      <c r="J1732" s="12" t="n"/>
      <c r="K1732" s="13" t="n"/>
      <c r="L1732" s="13" t="n"/>
      <c r="M1732" s="13" t="n"/>
      <c r="N1732" s="14">
        <f>IF(OR($C1732="",$E1732="",Calc!$H1732=""),"",IFERROR(VLOOKUP(LEFT(UPPER(TRIM($E1732)),6),BankTbl,3,0),0)+SUMIFS(CalcDep,CalcBank,LEFT(UPPER(TRIM($E1732)),6),CalcKey,"&lt;="&amp;Calc!$H1732)-SUMIFS(CalcWit,CalcBank,LEFT(UPPER(TRIM($E1732)),6),CalcKey,"&lt;="&amp;Calc!$H1732))</f>
        <v/>
      </c>
      <c r="O1732" s="10">
        <f>IF(OR($C1732="",$M1732=""),"",IF($N1732="","؟",IF(ROUND($M1732-$N1732,0)=0,"√","×")))</f>
        <v/>
      </c>
      <c r="P1732" s="12" t="n"/>
    </row>
    <row r="1733">
      <c r="A1733" s="10">
        <f>IF($C1733="","",COUNTA($C$9:$C1733))</f>
        <v/>
      </c>
      <c r="B1733" s="10">
        <f>IF($C1733="","","TXN-"&amp;RIGHT("0000"&amp;1725,4))</f>
        <v/>
      </c>
      <c r="C1733" s="11" t="n"/>
      <c r="D1733" s="11" t="n"/>
      <c r="E1733" s="12" t="n"/>
      <c r="F1733" s="10">
        <f>IF($E1733="","",IFERROR(IF(VLOOKUP(LEFT(UPPER(TRIM($E1733)),6),BankTbl,2,0)="","(بدون عنوان)",VLOOKUP(LEFT(UPPER(TRIM($E1733)),6),BankTbl,2,0)),"بانک ناشناخته"))</f>
        <v/>
      </c>
      <c r="G1733" s="11" t="n"/>
      <c r="H1733" s="10">
        <f>IF($G1733="","",IFERROR(VLOOKUP($G1733,CustTbl,2,0),IFERROR(VLOOKUP($G1733,SuppTbl,2,0),IFERROR(VLOOKUP($G1733,AcctTbl,2,0),IFERROR(VLOOKUP($G1733,StaffTbl,2,0),"کد ناشناخته")))))</f>
        <v/>
      </c>
      <c r="I1733" s="12" t="n"/>
      <c r="J1733" s="12" t="n"/>
      <c r="K1733" s="13" t="n"/>
      <c r="L1733" s="13" t="n"/>
      <c r="M1733" s="13" t="n"/>
      <c r="N1733" s="14">
        <f>IF(OR($C1733="",$E1733="",Calc!$H1733=""),"",IFERROR(VLOOKUP(LEFT(UPPER(TRIM($E1733)),6),BankTbl,3,0),0)+SUMIFS(CalcDep,CalcBank,LEFT(UPPER(TRIM($E1733)),6),CalcKey,"&lt;="&amp;Calc!$H1733)-SUMIFS(CalcWit,CalcBank,LEFT(UPPER(TRIM($E1733)),6),CalcKey,"&lt;="&amp;Calc!$H1733))</f>
        <v/>
      </c>
      <c r="O1733" s="10">
        <f>IF(OR($C1733="",$M1733=""),"",IF($N1733="","؟",IF(ROUND($M1733-$N1733,0)=0,"√","×")))</f>
        <v/>
      </c>
      <c r="P1733" s="12" t="n"/>
    </row>
    <row r="1734">
      <c r="A1734" s="10">
        <f>IF($C1734="","",COUNTA($C$9:$C1734))</f>
        <v/>
      </c>
      <c r="B1734" s="10">
        <f>IF($C1734="","","TXN-"&amp;RIGHT("0000"&amp;1726,4))</f>
        <v/>
      </c>
      <c r="C1734" s="11" t="n"/>
      <c r="D1734" s="11" t="n"/>
      <c r="E1734" s="12" t="n"/>
      <c r="F1734" s="10">
        <f>IF($E1734="","",IFERROR(IF(VLOOKUP(LEFT(UPPER(TRIM($E1734)),6),BankTbl,2,0)="","(بدون عنوان)",VLOOKUP(LEFT(UPPER(TRIM($E1734)),6),BankTbl,2,0)),"بانک ناشناخته"))</f>
        <v/>
      </c>
      <c r="G1734" s="11" t="n"/>
      <c r="H1734" s="10">
        <f>IF($G1734="","",IFERROR(VLOOKUP($G1734,CustTbl,2,0),IFERROR(VLOOKUP($G1734,SuppTbl,2,0),IFERROR(VLOOKUP($G1734,AcctTbl,2,0),IFERROR(VLOOKUP($G1734,StaffTbl,2,0),"کد ناشناخته")))))</f>
        <v/>
      </c>
      <c r="I1734" s="12" t="n"/>
      <c r="J1734" s="12" t="n"/>
      <c r="K1734" s="13" t="n"/>
      <c r="L1734" s="13" t="n"/>
      <c r="M1734" s="13" t="n"/>
      <c r="N1734" s="14">
        <f>IF(OR($C1734="",$E1734="",Calc!$H1734=""),"",IFERROR(VLOOKUP(LEFT(UPPER(TRIM($E1734)),6),BankTbl,3,0),0)+SUMIFS(CalcDep,CalcBank,LEFT(UPPER(TRIM($E1734)),6),CalcKey,"&lt;="&amp;Calc!$H1734)-SUMIFS(CalcWit,CalcBank,LEFT(UPPER(TRIM($E1734)),6),CalcKey,"&lt;="&amp;Calc!$H1734))</f>
        <v/>
      </c>
      <c r="O1734" s="10">
        <f>IF(OR($C1734="",$M1734=""),"",IF($N1734="","؟",IF(ROUND($M1734-$N1734,0)=0,"√","×")))</f>
        <v/>
      </c>
      <c r="P1734" s="12" t="n"/>
    </row>
    <row r="1735">
      <c r="A1735" s="10">
        <f>IF($C1735="","",COUNTA($C$9:$C1735))</f>
        <v/>
      </c>
      <c r="B1735" s="10">
        <f>IF($C1735="","","TXN-"&amp;RIGHT("0000"&amp;1727,4))</f>
        <v/>
      </c>
      <c r="C1735" s="11" t="n"/>
      <c r="D1735" s="11" t="n"/>
      <c r="E1735" s="12" t="n"/>
      <c r="F1735" s="10">
        <f>IF($E1735="","",IFERROR(IF(VLOOKUP(LEFT(UPPER(TRIM($E1735)),6),BankTbl,2,0)="","(بدون عنوان)",VLOOKUP(LEFT(UPPER(TRIM($E1735)),6),BankTbl,2,0)),"بانک ناشناخته"))</f>
        <v/>
      </c>
      <c r="G1735" s="11" t="n"/>
      <c r="H1735" s="10">
        <f>IF($G1735="","",IFERROR(VLOOKUP($G1735,CustTbl,2,0),IFERROR(VLOOKUP($G1735,SuppTbl,2,0),IFERROR(VLOOKUP($G1735,AcctTbl,2,0),IFERROR(VLOOKUP($G1735,StaffTbl,2,0),"کد ناشناخته")))))</f>
        <v/>
      </c>
      <c r="I1735" s="12" t="n"/>
      <c r="J1735" s="12" t="n"/>
      <c r="K1735" s="13" t="n"/>
      <c r="L1735" s="13" t="n"/>
      <c r="M1735" s="13" t="n"/>
      <c r="N1735" s="14">
        <f>IF(OR($C1735="",$E1735="",Calc!$H1735=""),"",IFERROR(VLOOKUP(LEFT(UPPER(TRIM($E1735)),6),BankTbl,3,0),0)+SUMIFS(CalcDep,CalcBank,LEFT(UPPER(TRIM($E1735)),6),CalcKey,"&lt;="&amp;Calc!$H1735)-SUMIFS(CalcWit,CalcBank,LEFT(UPPER(TRIM($E1735)),6),CalcKey,"&lt;="&amp;Calc!$H1735))</f>
        <v/>
      </c>
      <c r="O1735" s="10">
        <f>IF(OR($C1735="",$M1735=""),"",IF($N1735="","؟",IF(ROUND($M1735-$N1735,0)=0,"√","×")))</f>
        <v/>
      </c>
      <c r="P1735" s="12" t="n"/>
    </row>
    <row r="1736">
      <c r="A1736" s="10">
        <f>IF($C1736="","",COUNTA($C$9:$C1736))</f>
        <v/>
      </c>
      <c r="B1736" s="10">
        <f>IF($C1736="","","TXN-"&amp;RIGHT("0000"&amp;1728,4))</f>
        <v/>
      </c>
      <c r="C1736" s="11" t="n"/>
      <c r="D1736" s="11" t="n"/>
      <c r="E1736" s="12" t="n"/>
      <c r="F1736" s="10">
        <f>IF($E1736="","",IFERROR(IF(VLOOKUP(LEFT(UPPER(TRIM($E1736)),6),BankTbl,2,0)="","(بدون عنوان)",VLOOKUP(LEFT(UPPER(TRIM($E1736)),6),BankTbl,2,0)),"بانک ناشناخته"))</f>
        <v/>
      </c>
      <c r="G1736" s="11" t="n"/>
      <c r="H1736" s="10">
        <f>IF($G1736="","",IFERROR(VLOOKUP($G1736,CustTbl,2,0),IFERROR(VLOOKUP($G1736,SuppTbl,2,0),IFERROR(VLOOKUP($G1736,AcctTbl,2,0),IFERROR(VLOOKUP($G1736,StaffTbl,2,0),"کد ناشناخته")))))</f>
        <v/>
      </c>
      <c r="I1736" s="12" t="n"/>
      <c r="J1736" s="12" t="n"/>
      <c r="K1736" s="13" t="n"/>
      <c r="L1736" s="13" t="n"/>
      <c r="M1736" s="13" t="n"/>
      <c r="N1736" s="14">
        <f>IF(OR($C1736="",$E1736="",Calc!$H1736=""),"",IFERROR(VLOOKUP(LEFT(UPPER(TRIM($E1736)),6),BankTbl,3,0),0)+SUMIFS(CalcDep,CalcBank,LEFT(UPPER(TRIM($E1736)),6),CalcKey,"&lt;="&amp;Calc!$H1736)-SUMIFS(CalcWit,CalcBank,LEFT(UPPER(TRIM($E1736)),6),CalcKey,"&lt;="&amp;Calc!$H1736))</f>
        <v/>
      </c>
      <c r="O1736" s="10">
        <f>IF(OR($C1736="",$M1736=""),"",IF($N1736="","؟",IF(ROUND($M1736-$N1736,0)=0,"√","×")))</f>
        <v/>
      </c>
      <c r="P1736" s="12" t="n"/>
    </row>
    <row r="1737">
      <c r="A1737" s="10">
        <f>IF($C1737="","",COUNTA($C$9:$C1737))</f>
        <v/>
      </c>
      <c r="B1737" s="10">
        <f>IF($C1737="","","TXN-"&amp;RIGHT("0000"&amp;1729,4))</f>
        <v/>
      </c>
      <c r="C1737" s="11" t="n"/>
      <c r="D1737" s="11" t="n"/>
      <c r="E1737" s="12" t="n"/>
      <c r="F1737" s="10">
        <f>IF($E1737="","",IFERROR(IF(VLOOKUP(LEFT(UPPER(TRIM($E1737)),6),BankTbl,2,0)="","(بدون عنوان)",VLOOKUP(LEFT(UPPER(TRIM($E1737)),6),BankTbl,2,0)),"بانک ناشناخته"))</f>
        <v/>
      </c>
      <c r="G1737" s="11" t="n"/>
      <c r="H1737" s="10">
        <f>IF($G1737="","",IFERROR(VLOOKUP($G1737,CustTbl,2,0),IFERROR(VLOOKUP($G1737,SuppTbl,2,0),IFERROR(VLOOKUP($G1737,AcctTbl,2,0),IFERROR(VLOOKUP($G1737,StaffTbl,2,0),"کد ناشناخته")))))</f>
        <v/>
      </c>
      <c r="I1737" s="12" t="n"/>
      <c r="J1737" s="12" t="n"/>
      <c r="K1737" s="13" t="n"/>
      <c r="L1737" s="13" t="n"/>
      <c r="M1737" s="13" t="n"/>
      <c r="N1737" s="14">
        <f>IF(OR($C1737="",$E1737="",Calc!$H1737=""),"",IFERROR(VLOOKUP(LEFT(UPPER(TRIM($E1737)),6),BankTbl,3,0),0)+SUMIFS(CalcDep,CalcBank,LEFT(UPPER(TRIM($E1737)),6),CalcKey,"&lt;="&amp;Calc!$H1737)-SUMIFS(CalcWit,CalcBank,LEFT(UPPER(TRIM($E1737)),6),CalcKey,"&lt;="&amp;Calc!$H1737))</f>
        <v/>
      </c>
      <c r="O1737" s="10">
        <f>IF(OR($C1737="",$M1737=""),"",IF($N1737="","؟",IF(ROUND($M1737-$N1737,0)=0,"√","×")))</f>
        <v/>
      </c>
      <c r="P1737" s="12" t="n"/>
    </row>
    <row r="1738">
      <c r="A1738" s="10">
        <f>IF($C1738="","",COUNTA($C$9:$C1738))</f>
        <v/>
      </c>
      <c r="B1738" s="10">
        <f>IF($C1738="","","TXN-"&amp;RIGHT("0000"&amp;1730,4))</f>
        <v/>
      </c>
      <c r="C1738" s="11" t="n"/>
      <c r="D1738" s="11" t="n"/>
      <c r="E1738" s="12" t="n"/>
      <c r="F1738" s="10">
        <f>IF($E1738="","",IFERROR(IF(VLOOKUP(LEFT(UPPER(TRIM($E1738)),6),BankTbl,2,0)="","(بدون عنوان)",VLOOKUP(LEFT(UPPER(TRIM($E1738)),6),BankTbl,2,0)),"بانک ناشناخته"))</f>
        <v/>
      </c>
      <c r="G1738" s="11" t="n"/>
      <c r="H1738" s="10">
        <f>IF($G1738="","",IFERROR(VLOOKUP($G1738,CustTbl,2,0),IFERROR(VLOOKUP($G1738,SuppTbl,2,0),IFERROR(VLOOKUP($G1738,AcctTbl,2,0),IFERROR(VLOOKUP($G1738,StaffTbl,2,0),"کد ناشناخته")))))</f>
        <v/>
      </c>
      <c r="I1738" s="12" t="n"/>
      <c r="J1738" s="12" t="n"/>
      <c r="K1738" s="13" t="n"/>
      <c r="L1738" s="13" t="n"/>
      <c r="M1738" s="13" t="n"/>
      <c r="N1738" s="14">
        <f>IF(OR($C1738="",$E1738="",Calc!$H1738=""),"",IFERROR(VLOOKUP(LEFT(UPPER(TRIM($E1738)),6),BankTbl,3,0),0)+SUMIFS(CalcDep,CalcBank,LEFT(UPPER(TRIM($E1738)),6),CalcKey,"&lt;="&amp;Calc!$H1738)-SUMIFS(CalcWit,CalcBank,LEFT(UPPER(TRIM($E1738)),6),CalcKey,"&lt;="&amp;Calc!$H1738))</f>
        <v/>
      </c>
      <c r="O1738" s="10">
        <f>IF(OR($C1738="",$M1738=""),"",IF($N1738="","؟",IF(ROUND($M1738-$N1738,0)=0,"√","×")))</f>
        <v/>
      </c>
      <c r="P1738" s="12" t="n"/>
    </row>
    <row r="1739">
      <c r="A1739" s="10">
        <f>IF($C1739="","",COUNTA($C$9:$C1739))</f>
        <v/>
      </c>
      <c r="B1739" s="10">
        <f>IF($C1739="","","TXN-"&amp;RIGHT("0000"&amp;1731,4))</f>
        <v/>
      </c>
      <c r="C1739" s="11" t="n"/>
      <c r="D1739" s="11" t="n"/>
      <c r="E1739" s="12" t="n"/>
      <c r="F1739" s="10">
        <f>IF($E1739="","",IFERROR(IF(VLOOKUP(LEFT(UPPER(TRIM($E1739)),6),BankTbl,2,0)="","(بدون عنوان)",VLOOKUP(LEFT(UPPER(TRIM($E1739)),6),BankTbl,2,0)),"بانک ناشناخته"))</f>
        <v/>
      </c>
      <c r="G1739" s="11" t="n"/>
      <c r="H1739" s="10">
        <f>IF($G1739="","",IFERROR(VLOOKUP($G1739,CustTbl,2,0),IFERROR(VLOOKUP($G1739,SuppTbl,2,0),IFERROR(VLOOKUP($G1739,AcctTbl,2,0),IFERROR(VLOOKUP($G1739,StaffTbl,2,0),"کد ناشناخته")))))</f>
        <v/>
      </c>
      <c r="I1739" s="12" t="n"/>
      <c r="J1739" s="12" t="n"/>
      <c r="K1739" s="13" t="n"/>
      <c r="L1739" s="13" t="n"/>
      <c r="M1739" s="13" t="n"/>
      <c r="N1739" s="14">
        <f>IF(OR($C1739="",$E1739="",Calc!$H1739=""),"",IFERROR(VLOOKUP(LEFT(UPPER(TRIM($E1739)),6),BankTbl,3,0),0)+SUMIFS(CalcDep,CalcBank,LEFT(UPPER(TRIM($E1739)),6),CalcKey,"&lt;="&amp;Calc!$H1739)-SUMIFS(CalcWit,CalcBank,LEFT(UPPER(TRIM($E1739)),6),CalcKey,"&lt;="&amp;Calc!$H1739))</f>
        <v/>
      </c>
      <c r="O1739" s="10">
        <f>IF(OR($C1739="",$M1739=""),"",IF($N1739="","؟",IF(ROUND($M1739-$N1739,0)=0,"√","×")))</f>
        <v/>
      </c>
      <c r="P1739" s="12" t="n"/>
    </row>
    <row r="1740">
      <c r="A1740" s="10">
        <f>IF($C1740="","",COUNTA($C$9:$C1740))</f>
        <v/>
      </c>
      <c r="B1740" s="10">
        <f>IF($C1740="","","TXN-"&amp;RIGHT("0000"&amp;1732,4))</f>
        <v/>
      </c>
      <c r="C1740" s="11" t="n"/>
      <c r="D1740" s="11" t="n"/>
      <c r="E1740" s="12" t="n"/>
      <c r="F1740" s="10">
        <f>IF($E1740="","",IFERROR(IF(VLOOKUP(LEFT(UPPER(TRIM($E1740)),6),BankTbl,2,0)="","(بدون عنوان)",VLOOKUP(LEFT(UPPER(TRIM($E1740)),6),BankTbl,2,0)),"بانک ناشناخته"))</f>
        <v/>
      </c>
      <c r="G1740" s="11" t="n"/>
      <c r="H1740" s="10">
        <f>IF($G1740="","",IFERROR(VLOOKUP($G1740,CustTbl,2,0),IFERROR(VLOOKUP($G1740,SuppTbl,2,0),IFERROR(VLOOKUP($G1740,AcctTbl,2,0),IFERROR(VLOOKUP($G1740,StaffTbl,2,0),"کد ناشناخته")))))</f>
        <v/>
      </c>
      <c r="I1740" s="12" t="n"/>
      <c r="J1740" s="12" t="n"/>
      <c r="K1740" s="13" t="n"/>
      <c r="L1740" s="13" t="n"/>
      <c r="M1740" s="13" t="n"/>
      <c r="N1740" s="14">
        <f>IF(OR($C1740="",$E1740="",Calc!$H1740=""),"",IFERROR(VLOOKUP(LEFT(UPPER(TRIM($E1740)),6),BankTbl,3,0),0)+SUMIFS(CalcDep,CalcBank,LEFT(UPPER(TRIM($E1740)),6),CalcKey,"&lt;="&amp;Calc!$H1740)-SUMIFS(CalcWit,CalcBank,LEFT(UPPER(TRIM($E1740)),6),CalcKey,"&lt;="&amp;Calc!$H1740))</f>
        <v/>
      </c>
      <c r="O1740" s="10">
        <f>IF(OR($C1740="",$M1740=""),"",IF($N1740="","؟",IF(ROUND($M1740-$N1740,0)=0,"√","×")))</f>
        <v/>
      </c>
      <c r="P1740" s="12" t="n"/>
    </row>
    <row r="1741">
      <c r="A1741" s="10">
        <f>IF($C1741="","",COUNTA($C$9:$C1741))</f>
        <v/>
      </c>
      <c r="B1741" s="10">
        <f>IF($C1741="","","TXN-"&amp;RIGHT("0000"&amp;1733,4))</f>
        <v/>
      </c>
      <c r="C1741" s="11" t="n"/>
      <c r="D1741" s="11" t="n"/>
      <c r="E1741" s="12" t="n"/>
      <c r="F1741" s="10">
        <f>IF($E1741="","",IFERROR(IF(VLOOKUP(LEFT(UPPER(TRIM($E1741)),6),BankTbl,2,0)="","(بدون عنوان)",VLOOKUP(LEFT(UPPER(TRIM($E1741)),6),BankTbl,2,0)),"بانک ناشناخته"))</f>
        <v/>
      </c>
      <c r="G1741" s="11" t="n"/>
      <c r="H1741" s="10">
        <f>IF($G1741="","",IFERROR(VLOOKUP($G1741,CustTbl,2,0),IFERROR(VLOOKUP($G1741,SuppTbl,2,0),IFERROR(VLOOKUP($G1741,AcctTbl,2,0),IFERROR(VLOOKUP($G1741,StaffTbl,2,0),"کد ناشناخته")))))</f>
        <v/>
      </c>
      <c r="I1741" s="12" t="n"/>
      <c r="J1741" s="12" t="n"/>
      <c r="K1741" s="13" t="n"/>
      <c r="L1741" s="13" t="n"/>
      <c r="M1741" s="13" t="n"/>
      <c r="N1741" s="14">
        <f>IF(OR($C1741="",$E1741="",Calc!$H1741=""),"",IFERROR(VLOOKUP(LEFT(UPPER(TRIM($E1741)),6),BankTbl,3,0),0)+SUMIFS(CalcDep,CalcBank,LEFT(UPPER(TRIM($E1741)),6),CalcKey,"&lt;="&amp;Calc!$H1741)-SUMIFS(CalcWit,CalcBank,LEFT(UPPER(TRIM($E1741)),6),CalcKey,"&lt;="&amp;Calc!$H1741))</f>
        <v/>
      </c>
      <c r="O1741" s="10">
        <f>IF(OR($C1741="",$M1741=""),"",IF($N1741="","؟",IF(ROUND($M1741-$N1741,0)=0,"√","×")))</f>
        <v/>
      </c>
      <c r="P1741" s="12" t="n"/>
    </row>
    <row r="1742">
      <c r="A1742" s="10">
        <f>IF($C1742="","",COUNTA($C$9:$C1742))</f>
        <v/>
      </c>
      <c r="B1742" s="10">
        <f>IF($C1742="","","TXN-"&amp;RIGHT("0000"&amp;1734,4))</f>
        <v/>
      </c>
      <c r="C1742" s="11" t="n"/>
      <c r="D1742" s="11" t="n"/>
      <c r="E1742" s="12" t="n"/>
      <c r="F1742" s="10">
        <f>IF($E1742="","",IFERROR(IF(VLOOKUP(LEFT(UPPER(TRIM($E1742)),6),BankTbl,2,0)="","(بدون عنوان)",VLOOKUP(LEFT(UPPER(TRIM($E1742)),6),BankTbl,2,0)),"بانک ناشناخته"))</f>
        <v/>
      </c>
      <c r="G1742" s="11" t="n"/>
      <c r="H1742" s="10">
        <f>IF($G1742="","",IFERROR(VLOOKUP($G1742,CustTbl,2,0),IFERROR(VLOOKUP($G1742,SuppTbl,2,0),IFERROR(VLOOKUP($G1742,AcctTbl,2,0),IFERROR(VLOOKUP($G1742,StaffTbl,2,0),"کد ناشناخته")))))</f>
        <v/>
      </c>
      <c r="I1742" s="12" t="n"/>
      <c r="J1742" s="12" t="n"/>
      <c r="K1742" s="13" t="n"/>
      <c r="L1742" s="13" t="n"/>
      <c r="M1742" s="13" t="n"/>
      <c r="N1742" s="14">
        <f>IF(OR($C1742="",$E1742="",Calc!$H1742=""),"",IFERROR(VLOOKUP(LEFT(UPPER(TRIM($E1742)),6),BankTbl,3,0),0)+SUMIFS(CalcDep,CalcBank,LEFT(UPPER(TRIM($E1742)),6),CalcKey,"&lt;="&amp;Calc!$H1742)-SUMIFS(CalcWit,CalcBank,LEFT(UPPER(TRIM($E1742)),6),CalcKey,"&lt;="&amp;Calc!$H1742))</f>
        <v/>
      </c>
      <c r="O1742" s="10">
        <f>IF(OR($C1742="",$M1742=""),"",IF($N1742="","؟",IF(ROUND($M1742-$N1742,0)=0,"√","×")))</f>
        <v/>
      </c>
      <c r="P1742" s="12" t="n"/>
    </row>
    <row r="1743">
      <c r="A1743" s="10">
        <f>IF($C1743="","",COUNTA($C$9:$C1743))</f>
        <v/>
      </c>
      <c r="B1743" s="10">
        <f>IF($C1743="","","TXN-"&amp;RIGHT("0000"&amp;1735,4))</f>
        <v/>
      </c>
      <c r="C1743" s="11" t="n"/>
      <c r="D1743" s="11" t="n"/>
      <c r="E1743" s="12" t="n"/>
      <c r="F1743" s="10">
        <f>IF($E1743="","",IFERROR(IF(VLOOKUP(LEFT(UPPER(TRIM($E1743)),6),BankTbl,2,0)="","(بدون عنوان)",VLOOKUP(LEFT(UPPER(TRIM($E1743)),6),BankTbl,2,0)),"بانک ناشناخته"))</f>
        <v/>
      </c>
      <c r="G1743" s="11" t="n"/>
      <c r="H1743" s="10">
        <f>IF($G1743="","",IFERROR(VLOOKUP($G1743,CustTbl,2,0),IFERROR(VLOOKUP($G1743,SuppTbl,2,0),IFERROR(VLOOKUP($G1743,AcctTbl,2,0),IFERROR(VLOOKUP($G1743,StaffTbl,2,0),"کد ناشناخته")))))</f>
        <v/>
      </c>
      <c r="I1743" s="12" t="n"/>
      <c r="J1743" s="12" t="n"/>
      <c r="K1743" s="13" t="n"/>
      <c r="L1743" s="13" t="n"/>
      <c r="M1743" s="13" t="n"/>
      <c r="N1743" s="14">
        <f>IF(OR($C1743="",$E1743="",Calc!$H1743=""),"",IFERROR(VLOOKUP(LEFT(UPPER(TRIM($E1743)),6),BankTbl,3,0),0)+SUMIFS(CalcDep,CalcBank,LEFT(UPPER(TRIM($E1743)),6),CalcKey,"&lt;="&amp;Calc!$H1743)-SUMIFS(CalcWit,CalcBank,LEFT(UPPER(TRIM($E1743)),6),CalcKey,"&lt;="&amp;Calc!$H1743))</f>
        <v/>
      </c>
      <c r="O1743" s="10">
        <f>IF(OR($C1743="",$M1743=""),"",IF($N1743="","؟",IF(ROUND($M1743-$N1743,0)=0,"√","×")))</f>
        <v/>
      </c>
      <c r="P1743" s="12" t="n"/>
    </row>
    <row r="1744">
      <c r="A1744" s="10">
        <f>IF($C1744="","",COUNTA($C$9:$C1744))</f>
        <v/>
      </c>
      <c r="B1744" s="10">
        <f>IF($C1744="","","TXN-"&amp;RIGHT("0000"&amp;1736,4))</f>
        <v/>
      </c>
      <c r="C1744" s="11" t="n"/>
      <c r="D1744" s="11" t="n"/>
      <c r="E1744" s="12" t="n"/>
      <c r="F1744" s="10">
        <f>IF($E1744="","",IFERROR(IF(VLOOKUP(LEFT(UPPER(TRIM($E1744)),6),BankTbl,2,0)="","(بدون عنوان)",VLOOKUP(LEFT(UPPER(TRIM($E1744)),6),BankTbl,2,0)),"بانک ناشناخته"))</f>
        <v/>
      </c>
      <c r="G1744" s="11" t="n"/>
      <c r="H1744" s="10">
        <f>IF($G1744="","",IFERROR(VLOOKUP($G1744,CustTbl,2,0),IFERROR(VLOOKUP($G1744,SuppTbl,2,0),IFERROR(VLOOKUP($G1744,AcctTbl,2,0),IFERROR(VLOOKUP($G1744,StaffTbl,2,0),"کد ناشناخته")))))</f>
        <v/>
      </c>
      <c r="I1744" s="12" t="n"/>
      <c r="J1744" s="12" t="n"/>
      <c r="K1744" s="13" t="n"/>
      <c r="L1744" s="13" t="n"/>
      <c r="M1744" s="13" t="n"/>
      <c r="N1744" s="14">
        <f>IF(OR($C1744="",$E1744="",Calc!$H1744=""),"",IFERROR(VLOOKUP(LEFT(UPPER(TRIM($E1744)),6),BankTbl,3,0),0)+SUMIFS(CalcDep,CalcBank,LEFT(UPPER(TRIM($E1744)),6),CalcKey,"&lt;="&amp;Calc!$H1744)-SUMIFS(CalcWit,CalcBank,LEFT(UPPER(TRIM($E1744)),6),CalcKey,"&lt;="&amp;Calc!$H1744))</f>
        <v/>
      </c>
      <c r="O1744" s="10">
        <f>IF(OR($C1744="",$M1744=""),"",IF($N1744="","؟",IF(ROUND($M1744-$N1744,0)=0,"√","×")))</f>
        <v/>
      </c>
      <c r="P1744" s="12" t="n"/>
    </row>
    <row r="1745">
      <c r="A1745" s="10">
        <f>IF($C1745="","",COUNTA($C$9:$C1745))</f>
        <v/>
      </c>
      <c r="B1745" s="10">
        <f>IF($C1745="","","TXN-"&amp;RIGHT("0000"&amp;1737,4))</f>
        <v/>
      </c>
      <c r="C1745" s="11" t="n"/>
      <c r="D1745" s="11" t="n"/>
      <c r="E1745" s="12" t="n"/>
      <c r="F1745" s="10">
        <f>IF($E1745="","",IFERROR(IF(VLOOKUP(LEFT(UPPER(TRIM($E1745)),6),BankTbl,2,0)="","(بدون عنوان)",VLOOKUP(LEFT(UPPER(TRIM($E1745)),6),BankTbl,2,0)),"بانک ناشناخته"))</f>
        <v/>
      </c>
      <c r="G1745" s="11" t="n"/>
      <c r="H1745" s="10">
        <f>IF($G1745="","",IFERROR(VLOOKUP($G1745,CustTbl,2,0),IFERROR(VLOOKUP($G1745,SuppTbl,2,0),IFERROR(VLOOKUP($G1745,AcctTbl,2,0),IFERROR(VLOOKUP($G1745,StaffTbl,2,0),"کد ناشناخته")))))</f>
        <v/>
      </c>
      <c r="I1745" s="12" t="n"/>
      <c r="J1745" s="12" t="n"/>
      <c r="K1745" s="13" t="n"/>
      <c r="L1745" s="13" t="n"/>
      <c r="M1745" s="13" t="n"/>
      <c r="N1745" s="14">
        <f>IF(OR($C1745="",$E1745="",Calc!$H1745=""),"",IFERROR(VLOOKUP(LEFT(UPPER(TRIM($E1745)),6),BankTbl,3,0),0)+SUMIFS(CalcDep,CalcBank,LEFT(UPPER(TRIM($E1745)),6),CalcKey,"&lt;="&amp;Calc!$H1745)-SUMIFS(CalcWit,CalcBank,LEFT(UPPER(TRIM($E1745)),6),CalcKey,"&lt;="&amp;Calc!$H1745))</f>
        <v/>
      </c>
      <c r="O1745" s="10">
        <f>IF(OR($C1745="",$M1745=""),"",IF($N1745="","؟",IF(ROUND($M1745-$N1745,0)=0,"√","×")))</f>
        <v/>
      </c>
      <c r="P1745" s="12" t="n"/>
    </row>
    <row r="1746">
      <c r="A1746" s="10">
        <f>IF($C1746="","",COUNTA($C$9:$C1746))</f>
        <v/>
      </c>
      <c r="B1746" s="10">
        <f>IF($C1746="","","TXN-"&amp;RIGHT("0000"&amp;1738,4))</f>
        <v/>
      </c>
      <c r="C1746" s="11" t="n"/>
      <c r="D1746" s="11" t="n"/>
      <c r="E1746" s="12" t="n"/>
      <c r="F1746" s="10">
        <f>IF($E1746="","",IFERROR(IF(VLOOKUP(LEFT(UPPER(TRIM($E1746)),6),BankTbl,2,0)="","(بدون عنوان)",VLOOKUP(LEFT(UPPER(TRIM($E1746)),6),BankTbl,2,0)),"بانک ناشناخته"))</f>
        <v/>
      </c>
      <c r="G1746" s="11" t="n"/>
      <c r="H1746" s="10">
        <f>IF($G1746="","",IFERROR(VLOOKUP($G1746,CustTbl,2,0),IFERROR(VLOOKUP($G1746,SuppTbl,2,0),IFERROR(VLOOKUP($G1746,AcctTbl,2,0),IFERROR(VLOOKUP($G1746,StaffTbl,2,0),"کد ناشناخته")))))</f>
        <v/>
      </c>
      <c r="I1746" s="12" t="n"/>
      <c r="J1746" s="12" t="n"/>
      <c r="K1746" s="13" t="n"/>
      <c r="L1746" s="13" t="n"/>
      <c r="M1746" s="13" t="n"/>
      <c r="N1746" s="14">
        <f>IF(OR($C1746="",$E1746="",Calc!$H1746=""),"",IFERROR(VLOOKUP(LEFT(UPPER(TRIM($E1746)),6),BankTbl,3,0),0)+SUMIFS(CalcDep,CalcBank,LEFT(UPPER(TRIM($E1746)),6),CalcKey,"&lt;="&amp;Calc!$H1746)-SUMIFS(CalcWit,CalcBank,LEFT(UPPER(TRIM($E1746)),6),CalcKey,"&lt;="&amp;Calc!$H1746))</f>
        <v/>
      </c>
      <c r="O1746" s="10">
        <f>IF(OR($C1746="",$M1746=""),"",IF($N1746="","؟",IF(ROUND($M1746-$N1746,0)=0,"√","×")))</f>
        <v/>
      </c>
      <c r="P1746" s="12" t="n"/>
    </row>
    <row r="1747">
      <c r="A1747" s="10">
        <f>IF($C1747="","",COUNTA($C$9:$C1747))</f>
        <v/>
      </c>
      <c r="B1747" s="10">
        <f>IF($C1747="","","TXN-"&amp;RIGHT("0000"&amp;1739,4))</f>
        <v/>
      </c>
      <c r="C1747" s="11" t="n"/>
      <c r="D1747" s="11" t="n"/>
      <c r="E1747" s="12" t="n"/>
      <c r="F1747" s="10">
        <f>IF($E1747="","",IFERROR(IF(VLOOKUP(LEFT(UPPER(TRIM($E1747)),6),BankTbl,2,0)="","(بدون عنوان)",VLOOKUP(LEFT(UPPER(TRIM($E1747)),6),BankTbl,2,0)),"بانک ناشناخته"))</f>
        <v/>
      </c>
      <c r="G1747" s="11" t="n"/>
      <c r="H1747" s="10">
        <f>IF($G1747="","",IFERROR(VLOOKUP($G1747,CustTbl,2,0),IFERROR(VLOOKUP($G1747,SuppTbl,2,0),IFERROR(VLOOKUP($G1747,AcctTbl,2,0),IFERROR(VLOOKUP($G1747,StaffTbl,2,0),"کد ناشناخته")))))</f>
        <v/>
      </c>
      <c r="I1747" s="12" t="n"/>
      <c r="J1747" s="12" t="n"/>
      <c r="K1747" s="13" t="n"/>
      <c r="L1747" s="13" t="n"/>
      <c r="M1747" s="13" t="n"/>
      <c r="N1747" s="14">
        <f>IF(OR($C1747="",$E1747="",Calc!$H1747=""),"",IFERROR(VLOOKUP(LEFT(UPPER(TRIM($E1747)),6),BankTbl,3,0),0)+SUMIFS(CalcDep,CalcBank,LEFT(UPPER(TRIM($E1747)),6),CalcKey,"&lt;="&amp;Calc!$H1747)-SUMIFS(CalcWit,CalcBank,LEFT(UPPER(TRIM($E1747)),6),CalcKey,"&lt;="&amp;Calc!$H1747))</f>
        <v/>
      </c>
      <c r="O1747" s="10">
        <f>IF(OR($C1747="",$M1747=""),"",IF($N1747="","؟",IF(ROUND($M1747-$N1747,0)=0,"√","×")))</f>
        <v/>
      </c>
      <c r="P1747" s="12" t="n"/>
    </row>
    <row r="1748">
      <c r="A1748" s="10">
        <f>IF($C1748="","",COUNTA($C$9:$C1748))</f>
        <v/>
      </c>
      <c r="B1748" s="10">
        <f>IF($C1748="","","TXN-"&amp;RIGHT("0000"&amp;1740,4))</f>
        <v/>
      </c>
      <c r="C1748" s="11" t="n"/>
      <c r="D1748" s="11" t="n"/>
      <c r="E1748" s="12" t="n"/>
      <c r="F1748" s="10">
        <f>IF($E1748="","",IFERROR(IF(VLOOKUP(LEFT(UPPER(TRIM($E1748)),6),BankTbl,2,0)="","(بدون عنوان)",VLOOKUP(LEFT(UPPER(TRIM($E1748)),6),BankTbl,2,0)),"بانک ناشناخته"))</f>
        <v/>
      </c>
      <c r="G1748" s="11" t="n"/>
      <c r="H1748" s="10">
        <f>IF($G1748="","",IFERROR(VLOOKUP($G1748,CustTbl,2,0),IFERROR(VLOOKUP($G1748,SuppTbl,2,0),IFERROR(VLOOKUP($G1748,AcctTbl,2,0),IFERROR(VLOOKUP($G1748,StaffTbl,2,0),"کد ناشناخته")))))</f>
        <v/>
      </c>
      <c r="I1748" s="12" t="n"/>
      <c r="J1748" s="12" t="n"/>
      <c r="K1748" s="13" t="n"/>
      <c r="L1748" s="13" t="n"/>
      <c r="M1748" s="13" t="n"/>
      <c r="N1748" s="14">
        <f>IF(OR($C1748="",$E1748="",Calc!$H1748=""),"",IFERROR(VLOOKUP(LEFT(UPPER(TRIM($E1748)),6),BankTbl,3,0),0)+SUMIFS(CalcDep,CalcBank,LEFT(UPPER(TRIM($E1748)),6),CalcKey,"&lt;="&amp;Calc!$H1748)-SUMIFS(CalcWit,CalcBank,LEFT(UPPER(TRIM($E1748)),6),CalcKey,"&lt;="&amp;Calc!$H1748))</f>
        <v/>
      </c>
      <c r="O1748" s="10">
        <f>IF(OR($C1748="",$M1748=""),"",IF($N1748="","؟",IF(ROUND($M1748-$N1748,0)=0,"√","×")))</f>
        <v/>
      </c>
      <c r="P1748" s="12" t="n"/>
    </row>
    <row r="1749">
      <c r="A1749" s="10">
        <f>IF($C1749="","",COUNTA($C$9:$C1749))</f>
        <v/>
      </c>
      <c r="B1749" s="10">
        <f>IF($C1749="","","TXN-"&amp;RIGHT("0000"&amp;1741,4))</f>
        <v/>
      </c>
      <c r="C1749" s="11" t="n"/>
      <c r="D1749" s="11" t="n"/>
      <c r="E1749" s="12" t="n"/>
      <c r="F1749" s="10">
        <f>IF($E1749="","",IFERROR(IF(VLOOKUP(LEFT(UPPER(TRIM($E1749)),6),BankTbl,2,0)="","(بدون عنوان)",VLOOKUP(LEFT(UPPER(TRIM($E1749)),6),BankTbl,2,0)),"بانک ناشناخته"))</f>
        <v/>
      </c>
      <c r="G1749" s="11" t="n"/>
      <c r="H1749" s="10">
        <f>IF($G1749="","",IFERROR(VLOOKUP($G1749,CustTbl,2,0),IFERROR(VLOOKUP($G1749,SuppTbl,2,0),IFERROR(VLOOKUP($G1749,AcctTbl,2,0),IFERROR(VLOOKUP($G1749,StaffTbl,2,0),"کد ناشناخته")))))</f>
        <v/>
      </c>
      <c r="I1749" s="12" t="n"/>
      <c r="J1749" s="12" t="n"/>
      <c r="K1749" s="13" t="n"/>
      <c r="L1749" s="13" t="n"/>
      <c r="M1749" s="13" t="n"/>
      <c r="N1749" s="14">
        <f>IF(OR($C1749="",$E1749="",Calc!$H1749=""),"",IFERROR(VLOOKUP(LEFT(UPPER(TRIM($E1749)),6),BankTbl,3,0),0)+SUMIFS(CalcDep,CalcBank,LEFT(UPPER(TRIM($E1749)),6),CalcKey,"&lt;="&amp;Calc!$H1749)-SUMIFS(CalcWit,CalcBank,LEFT(UPPER(TRIM($E1749)),6),CalcKey,"&lt;="&amp;Calc!$H1749))</f>
        <v/>
      </c>
      <c r="O1749" s="10">
        <f>IF(OR($C1749="",$M1749=""),"",IF($N1749="","؟",IF(ROUND($M1749-$N1749,0)=0,"√","×")))</f>
        <v/>
      </c>
      <c r="P1749" s="12" t="n"/>
    </row>
    <row r="1750">
      <c r="A1750" s="10">
        <f>IF($C1750="","",COUNTA($C$9:$C1750))</f>
        <v/>
      </c>
      <c r="B1750" s="10">
        <f>IF($C1750="","","TXN-"&amp;RIGHT("0000"&amp;1742,4))</f>
        <v/>
      </c>
      <c r="C1750" s="11" t="n"/>
      <c r="D1750" s="11" t="n"/>
      <c r="E1750" s="12" t="n"/>
      <c r="F1750" s="10">
        <f>IF($E1750="","",IFERROR(IF(VLOOKUP(LEFT(UPPER(TRIM($E1750)),6),BankTbl,2,0)="","(بدون عنوان)",VLOOKUP(LEFT(UPPER(TRIM($E1750)),6),BankTbl,2,0)),"بانک ناشناخته"))</f>
        <v/>
      </c>
      <c r="G1750" s="11" t="n"/>
      <c r="H1750" s="10">
        <f>IF($G1750="","",IFERROR(VLOOKUP($G1750,CustTbl,2,0),IFERROR(VLOOKUP($G1750,SuppTbl,2,0),IFERROR(VLOOKUP($G1750,AcctTbl,2,0),IFERROR(VLOOKUP($G1750,StaffTbl,2,0),"کد ناشناخته")))))</f>
        <v/>
      </c>
      <c r="I1750" s="12" t="n"/>
      <c r="J1750" s="12" t="n"/>
      <c r="K1750" s="13" t="n"/>
      <c r="L1750" s="13" t="n"/>
      <c r="M1750" s="13" t="n"/>
      <c r="N1750" s="14">
        <f>IF(OR($C1750="",$E1750="",Calc!$H1750=""),"",IFERROR(VLOOKUP(LEFT(UPPER(TRIM($E1750)),6),BankTbl,3,0),0)+SUMIFS(CalcDep,CalcBank,LEFT(UPPER(TRIM($E1750)),6),CalcKey,"&lt;="&amp;Calc!$H1750)-SUMIFS(CalcWit,CalcBank,LEFT(UPPER(TRIM($E1750)),6),CalcKey,"&lt;="&amp;Calc!$H1750))</f>
        <v/>
      </c>
      <c r="O1750" s="10">
        <f>IF(OR($C1750="",$M1750=""),"",IF($N1750="","؟",IF(ROUND($M1750-$N1750,0)=0,"√","×")))</f>
        <v/>
      </c>
      <c r="P1750" s="12" t="n"/>
    </row>
    <row r="1751">
      <c r="A1751" s="10">
        <f>IF($C1751="","",COUNTA($C$9:$C1751))</f>
        <v/>
      </c>
      <c r="B1751" s="10">
        <f>IF($C1751="","","TXN-"&amp;RIGHT("0000"&amp;1743,4))</f>
        <v/>
      </c>
      <c r="C1751" s="11" t="n"/>
      <c r="D1751" s="11" t="n"/>
      <c r="E1751" s="12" t="n"/>
      <c r="F1751" s="10">
        <f>IF($E1751="","",IFERROR(IF(VLOOKUP(LEFT(UPPER(TRIM($E1751)),6),BankTbl,2,0)="","(بدون عنوان)",VLOOKUP(LEFT(UPPER(TRIM($E1751)),6),BankTbl,2,0)),"بانک ناشناخته"))</f>
        <v/>
      </c>
      <c r="G1751" s="11" t="n"/>
      <c r="H1751" s="10">
        <f>IF($G1751="","",IFERROR(VLOOKUP($G1751,CustTbl,2,0),IFERROR(VLOOKUP($G1751,SuppTbl,2,0),IFERROR(VLOOKUP($G1751,AcctTbl,2,0),IFERROR(VLOOKUP($G1751,StaffTbl,2,0),"کد ناشناخته")))))</f>
        <v/>
      </c>
      <c r="I1751" s="12" t="n"/>
      <c r="J1751" s="12" t="n"/>
      <c r="K1751" s="13" t="n"/>
      <c r="L1751" s="13" t="n"/>
      <c r="M1751" s="13" t="n"/>
      <c r="N1751" s="14">
        <f>IF(OR($C1751="",$E1751="",Calc!$H1751=""),"",IFERROR(VLOOKUP(LEFT(UPPER(TRIM($E1751)),6),BankTbl,3,0),0)+SUMIFS(CalcDep,CalcBank,LEFT(UPPER(TRIM($E1751)),6),CalcKey,"&lt;="&amp;Calc!$H1751)-SUMIFS(CalcWit,CalcBank,LEFT(UPPER(TRIM($E1751)),6),CalcKey,"&lt;="&amp;Calc!$H1751))</f>
        <v/>
      </c>
      <c r="O1751" s="10">
        <f>IF(OR($C1751="",$M1751=""),"",IF($N1751="","؟",IF(ROUND($M1751-$N1751,0)=0,"√","×")))</f>
        <v/>
      </c>
      <c r="P1751" s="12" t="n"/>
    </row>
    <row r="1752">
      <c r="A1752" s="10">
        <f>IF($C1752="","",COUNTA($C$9:$C1752))</f>
        <v/>
      </c>
      <c r="B1752" s="10">
        <f>IF($C1752="","","TXN-"&amp;RIGHT("0000"&amp;1744,4))</f>
        <v/>
      </c>
      <c r="C1752" s="11" t="n"/>
      <c r="D1752" s="11" t="n"/>
      <c r="E1752" s="12" t="n"/>
      <c r="F1752" s="10">
        <f>IF($E1752="","",IFERROR(IF(VLOOKUP(LEFT(UPPER(TRIM($E1752)),6),BankTbl,2,0)="","(بدون عنوان)",VLOOKUP(LEFT(UPPER(TRIM($E1752)),6),BankTbl,2,0)),"بانک ناشناخته"))</f>
        <v/>
      </c>
      <c r="G1752" s="11" t="n"/>
      <c r="H1752" s="10">
        <f>IF($G1752="","",IFERROR(VLOOKUP($G1752,CustTbl,2,0),IFERROR(VLOOKUP($G1752,SuppTbl,2,0),IFERROR(VLOOKUP($G1752,AcctTbl,2,0),IFERROR(VLOOKUP($G1752,StaffTbl,2,0),"کد ناشناخته")))))</f>
        <v/>
      </c>
      <c r="I1752" s="12" t="n"/>
      <c r="J1752" s="12" t="n"/>
      <c r="K1752" s="13" t="n"/>
      <c r="L1752" s="13" t="n"/>
      <c r="M1752" s="13" t="n"/>
      <c r="N1752" s="14">
        <f>IF(OR($C1752="",$E1752="",Calc!$H1752=""),"",IFERROR(VLOOKUP(LEFT(UPPER(TRIM($E1752)),6),BankTbl,3,0),0)+SUMIFS(CalcDep,CalcBank,LEFT(UPPER(TRIM($E1752)),6),CalcKey,"&lt;="&amp;Calc!$H1752)-SUMIFS(CalcWit,CalcBank,LEFT(UPPER(TRIM($E1752)),6),CalcKey,"&lt;="&amp;Calc!$H1752))</f>
        <v/>
      </c>
      <c r="O1752" s="10">
        <f>IF(OR($C1752="",$M1752=""),"",IF($N1752="","؟",IF(ROUND($M1752-$N1752,0)=0,"√","×")))</f>
        <v/>
      </c>
      <c r="P1752" s="12" t="n"/>
    </row>
    <row r="1753">
      <c r="A1753" s="10">
        <f>IF($C1753="","",COUNTA($C$9:$C1753))</f>
        <v/>
      </c>
      <c r="B1753" s="10">
        <f>IF($C1753="","","TXN-"&amp;RIGHT("0000"&amp;1745,4))</f>
        <v/>
      </c>
      <c r="C1753" s="11" t="n"/>
      <c r="D1753" s="11" t="n"/>
      <c r="E1753" s="12" t="n"/>
      <c r="F1753" s="10">
        <f>IF($E1753="","",IFERROR(IF(VLOOKUP(LEFT(UPPER(TRIM($E1753)),6),BankTbl,2,0)="","(بدون عنوان)",VLOOKUP(LEFT(UPPER(TRIM($E1753)),6),BankTbl,2,0)),"بانک ناشناخته"))</f>
        <v/>
      </c>
      <c r="G1753" s="11" t="n"/>
      <c r="H1753" s="10">
        <f>IF($G1753="","",IFERROR(VLOOKUP($G1753,CustTbl,2,0),IFERROR(VLOOKUP($G1753,SuppTbl,2,0),IFERROR(VLOOKUP($G1753,AcctTbl,2,0),IFERROR(VLOOKUP($G1753,StaffTbl,2,0),"کد ناشناخته")))))</f>
        <v/>
      </c>
      <c r="I1753" s="12" t="n"/>
      <c r="J1753" s="12" t="n"/>
      <c r="K1753" s="13" t="n"/>
      <c r="L1753" s="13" t="n"/>
      <c r="M1753" s="13" t="n"/>
      <c r="N1753" s="14">
        <f>IF(OR($C1753="",$E1753="",Calc!$H1753=""),"",IFERROR(VLOOKUP(LEFT(UPPER(TRIM($E1753)),6),BankTbl,3,0),0)+SUMIFS(CalcDep,CalcBank,LEFT(UPPER(TRIM($E1753)),6),CalcKey,"&lt;="&amp;Calc!$H1753)-SUMIFS(CalcWit,CalcBank,LEFT(UPPER(TRIM($E1753)),6),CalcKey,"&lt;="&amp;Calc!$H1753))</f>
        <v/>
      </c>
      <c r="O1753" s="10">
        <f>IF(OR($C1753="",$M1753=""),"",IF($N1753="","؟",IF(ROUND($M1753-$N1753,0)=0,"√","×")))</f>
        <v/>
      </c>
      <c r="P1753" s="12" t="n"/>
    </row>
    <row r="1754">
      <c r="A1754" s="10">
        <f>IF($C1754="","",COUNTA($C$9:$C1754))</f>
        <v/>
      </c>
      <c r="B1754" s="10">
        <f>IF($C1754="","","TXN-"&amp;RIGHT("0000"&amp;1746,4))</f>
        <v/>
      </c>
      <c r="C1754" s="11" t="n"/>
      <c r="D1754" s="11" t="n"/>
      <c r="E1754" s="12" t="n"/>
      <c r="F1754" s="10">
        <f>IF($E1754="","",IFERROR(IF(VLOOKUP(LEFT(UPPER(TRIM($E1754)),6),BankTbl,2,0)="","(بدون عنوان)",VLOOKUP(LEFT(UPPER(TRIM($E1754)),6),BankTbl,2,0)),"بانک ناشناخته"))</f>
        <v/>
      </c>
      <c r="G1754" s="11" t="n"/>
      <c r="H1754" s="10">
        <f>IF($G1754="","",IFERROR(VLOOKUP($G1754,CustTbl,2,0),IFERROR(VLOOKUP($G1754,SuppTbl,2,0),IFERROR(VLOOKUP($G1754,AcctTbl,2,0),IFERROR(VLOOKUP($G1754,StaffTbl,2,0),"کد ناشناخته")))))</f>
        <v/>
      </c>
      <c r="I1754" s="12" t="n"/>
      <c r="J1754" s="12" t="n"/>
      <c r="K1754" s="13" t="n"/>
      <c r="L1754" s="13" t="n"/>
      <c r="M1754" s="13" t="n"/>
      <c r="N1754" s="14">
        <f>IF(OR($C1754="",$E1754="",Calc!$H1754=""),"",IFERROR(VLOOKUP(LEFT(UPPER(TRIM($E1754)),6),BankTbl,3,0),0)+SUMIFS(CalcDep,CalcBank,LEFT(UPPER(TRIM($E1754)),6),CalcKey,"&lt;="&amp;Calc!$H1754)-SUMIFS(CalcWit,CalcBank,LEFT(UPPER(TRIM($E1754)),6),CalcKey,"&lt;="&amp;Calc!$H1754))</f>
        <v/>
      </c>
      <c r="O1754" s="10">
        <f>IF(OR($C1754="",$M1754=""),"",IF($N1754="","؟",IF(ROUND($M1754-$N1754,0)=0,"√","×")))</f>
        <v/>
      </c>
      <c r="P1754" s="12" t="n"/>
    </row>
    <row r="1755">
      <c r="A1755" s="10">
        <f>IF($C1755="","",COUNTA($C$9:$C1755))</f>
        <v/>
      </c>
      <c r="B1755" s="10">
        <f>IF($C1755="","","TXN-"&amp;RIGHT("0000"&amp;1747,4))</f>
        <v/>
      </c>
      <c r="C1755" s="11" t="n"/>
      <c r="D1755" s="11" t="n"/>
      <c r="E1755" s="12" t="n"/>
      <c r="F1755" s="10">
        <f>IF($E1755="","",IFERROR(IF(VLOOKUP(LEFT(UPPER(TRIM($E1755)),6),BankTbl,2,0)="","(بدون عنوان)",VLOOKUP(LEFT(UPPER(TRIM($E1755)),6),BankTbl,2,0)),"بانک ناشناخته"))</f>
        <v/>
      </c>
      <c r="G1755" s="11" t="n"/>
      <c r="H1755" s="10">
        <f>IF($G1755="","",IFERROR(VLOOKUP($G1755,CustTbl,2,0),IFERROR(VLOOKUP($G1755,SuppTbl,2,0),IFERROR(VLOOKUP($G1755,AcctTbl,2,0),IFERROR(VLOOKUP($G1755,StaffTbl,2,0),"کد ناشناخته")))))</f>
        <v/>
      </c>
      <c r="I1755" s="12" t="n"/>
      <c r="J1755" s="12" t="n"/>
      <c r="K1755" s="13" t="n"/>
      <c r="L1755" s="13" t="n"/>
      <c r="M1755" s="13" t="n"/>
      <c r="N1755" s="14">
        <f>IF(OR($C1755="",$E1755="",Calc!$H1755=""),"",IFERROR(VLOOKUP(LEFT(UPPER(TRIM($E1755)),6),BankTbl,3,0),0)+SUMIFS(CalcDep,CalcBank,LEFT(UPPER(TRIM($E1755)),6),CalcKey,"&lt;="&amp;Calc!$H1755)-SUMIFS(CalcWit,CalcBank,LEFT(UPPER(TRIM($E1755)),6),CalcKey,"&lt;="&amp;Calc!$H1755))</f>
        <v/>
      </c>
      <c r="O1755" s="10">
        <f>IF(OR($C1755="",$M1755=""),"",IF($N1755="","؟",IF(ROUND($M1755-$N1755,0)=0,"√","×")))</f>
        <v/>
      </c>
      <c r="P1755" s="12" t="n"/>
    </row>
    <row r="1756">
      <c r="A1756" s="10">
        <f>IF($C1756="","",COUNTA($C$9:$C1756))</f>
        <v/>
      </c>
      <c r="B1756" s="10">
        <f>IF($C1756="","","TXN-"&amp;RIGHT("0000"&amp;1748,4))</f>
        <v/>
      </c>
      <c r="C1756" s="11" t="n"/>
      <c r="D1756" s="11" t="n"/>
      <c r="E1756" s="12" t="n"/>
      <c r="F1756" s="10">
        <f>IF($E1756="","",IFERROR(IF(VLOOKUP(LEFT(UPPER(TRIM($E1756)),6),BankTbl,2,0)="","(بدون عنوان)",VLOOKUP(LEFT(UPPER(TRIM($E1756)),6),BankTbl,2,0)),"بانک ناشناخته"))</f>
        <v/>
      </c>
      <c r="G1756" s="11" t="n"/>
      <c r="H1756" s="10">
        <f>IF($G1756="","",IFERROR(VLOOKUP($G1756,CustTbl,2,0),IFERROR(VLOOKUP($G1756,SuppTbl,2,0),IFERROR(VLOOKUP($G1756,AcctTbl,2,0),IFERROR(VLOOKUP($G1756,StaffTbl,2,0),"کد ناشناخته")))))</f>
        <v/>
      </c>
      <c r="I1756" s="12" t="n"/>
      <c r="J1756" s="12" t="n"/>
      <c r="K1756" s="13" t="n"/>
      <c r="L1756" s="13" t="n"/>
      <c r="M1756" s="13" t="n"/>
      <c r="N1756" s="14">
        <f>IF(OR($C1756="",$E1756="",Calc!$H1756=""),"",IFERROR(VLOOKUP(LEFT(UPPER(TRIM($E1756)),6),BankTbl,3,0),0)+SUMIFS(CalcDep,CalcBank,LEFT(UPPER(TRIM($E1756)),6),CalcKey,"&lt;="&amp;Calc!$H1756)-SUMIFS(CalcWit,CalcBank,LEFT(UPPER(TRIM($E1756)),6),CalcKey,"&lt;="&amp;Calc!$H1756))</f>
        <v/>
      </c>
      <c r="O1756" s="10">
        <f>IF(OR($C1756="",$M1756=""),"",IF($N1756="","؟",IF(ROUND($M1756-$N1756,0)=0,"√","×")))</f>
        <v/>
      </c>
      <c r="P1756" s="12" t="n"/>
    </row>
    <row r="1757">
      <c r="A1757" s="10">
        <f>IF($C1757="","",COUNTA($C$9:$C1757))</f>
        <v/>
      </c>
      <c r="B1757" s="10">
        <f>IF($C1757="","","TXN-"&amp;RIGHT("0000"&amp;1749,4))</f>
        <v/>
      </c>
      <c r="C1757" s="11" t="n"/>
      <c r="D1757" s="11" t="n"/>
      <c r="E1757" s="12" t="n"/>
      <c r="F1757" s="10">
        <f>IF($E1757="","",IFERROR(IF(VLOOKUP(LEFT(UPPER(TRIM($E1757)),6),BankTbl,2,0)="","(بدون عنوان)",VLOOKUP(LEFT(UPPER(TRIM($E1757)),6),BankTbl,2,0)),"بانک ناشناخته"))</f>
        <v/>
      </c>
      <c r="G1757" s="11" t="n"/>
      <c r="H1757" s="10">
        <f>IF($G1757="","",IFERROR(VLOOKUP($G1757,CustTbl,2,0),IFERROR(VLOOKUP($G1757,SuppTbl,2,0),IFERROR(VLOOKUP($G1757,AcctTbl,2,0),IFERROR(VLOOKUP($G1757,StaffTbl,2,0),"کد ناشناخته")))))</f>
        <v/>
      </c>
      <c r="I1757" s="12" t="n"/>
      <c r="J1757" s="12" t="n"/>
      <c r="K1757" s="13" t="n"/>
      <c r="L1757" s="13" t="n"/>
      <c r="M1757" s="13" t="n"/>
      <c r="N1757" s="14">
        <f>IF(OR($C1757="",$E1757="",Calc!$H1757=""),"",IFERROR(VLOOKUP(LEFT(UPPER(TRIM($E1757)),6),BankTbl,3,0),0)+SUMIFS(CalcDep,CalcBank,LEFT(UPPER(TRIM($E1757)),6),CalcKey,"&lt;="&amp;Calc!$H1757)-SUMIFS(CalcWit,CalcBank,LEFT(UPPER(TRIM($E1757)),6),CalcKey,"&lt;="&amp;Calc!$H1757))</f>
        <v/>
      </c>
      <c r="O1757" s="10">
        <f>IF(OR($C1757="",$M1757=""),"",IF($N1757="","؟",IF(ROUND($M1757-$N1757,0)=0,"√","×")))</f>
        <v/>
      </c>
      <c r="P1757" s="12" t="n"/>
    </row>
    <row r="1758">
      <c r="A1758" s="10">
        <f>IF($C1758="","",COUNTA($C$9:$C1758))</f>
        <v/>
      </c>
      <c r="B1758" s="10">
        <f>IF($C1758="","","TXN-"&amp;RIGHT("0000"&amp;1750,4))</f>
        <v/>
      </c>
      <c r="C1758" s="11" t="n"/>
      <c r="D1758" s="11" t="n"/>
      <c r="E1758" s="12" t="n"/>
      <c r="F1758" s="10">
        <f>IF($E1758="","",IFERROR(IF(VLOOKUP(LEFT(UPPER(TRIM($E1758)),6),BankTbl,2,0)="","(بدون عنوان)",VLOOKUP(LEFT(UPPER(TRIM($E1758)),6),BankTbl,2,0)),"بانک ناشناخته"))</f>
        <v/>
      </c>
      <c r="G1758" s="11" t="n"/>
      <c r="H1758" s="10">
        <f>IF($G1758="","",IFERROR(VLOOKUP($G1758,CustTbl,2,0),IFERROR(VLOOKUP($G1758,SuppTbl,2,0),IFERROR(VLOOKUP($G1758,AcctTbl,2,0),IFERROR(VLOOKUP($G1758,StaffTbl,2,0),"کد ناشناخته")))))</f>
        <v/>
      </c>
      <c r="I1758" s="12" t="n"/>
      <c r="J1758" s="12" t="n"/>
      <c r="K1758" s="13" t="n"/>
      <c r="L1758" s="13" t="n"/>
      <c r="M1758" s="13" t="n"/>
      <c r="N1758" s="14">
        <f>IF(OR($C1758="",$E1758="",Calc!$H1758=""),"",IFERROR(VLOOKUP(LEFT(UPPER(TRIM($E1758)),6),BankTbl,3,0),0)+SUMIFS(CalcDep,CalcBank,LEFT(UPPER(TRIM($E1758)),6),CalcKey,"&lt;="&amp;Calc!$H1758)-SUMIFS(CalcWit,CalcBank,LEFT(UPPER(TRIM($E1758)),6),CalcKey,"&lt;="&amp;Calc!$H1758))</f>
        <v/>
      </c>
      <c r="O1758" s="10">
        <f>IF(OR($C1758="",$M1758=""),"",IF($N1758="","؟",IF(ROUND($M1758-$N1758,0)=0,"√","×")))</f>
        <v/>
      </c>
      <c r="P1758" s="12" t="n"/>
    </row>
    <row r="1759">
      <c r="A1759" s="10">
        <f>IF($C1759="","",COUNTA($C$9:$C1759))</f>
        <v/>
      </c>
      <c r="B1759" s="10">
        <f>IF($C1759="","","TXN-"&amp;RIGHT("0000"&amp;1751,4))</f>
        <v/>
      </c>
      <c r="C1759" s="11" t="n"/>
      <c r="D1759" s="11" t="n"/>
      <c r="E1759" s="12" t="n"/>
      <c r="F1759" s="10">
        <f>IF($E1759="","",IFERROR(IF(VLOOKUP(LEFT(UPPER(TRIM($E1759)),6),BankTbl,2,0)="","(بدون عنوان)",VLOOKUP(LEFT(UPPER(TRIM($E1759)),6),BankTbl,2,0)),"بانک ناشناخته"))</f>
        <v/>
      </c>
      <c r="G1759" s="11" t="n"/>
      <c r="H1759" s="10">
        <f>IF($G1759="","",IFERROR(VLOOKUP($G1759,CustTbl,2,0),IFERROR(VLOOKUP($G1759,SuppTbl,2,0),IFERROR(VLOOKUP($G1759,AcctTbl,2,0),IFERROR(VLOOKUP($G1759,StaffTbl,2,0),"کد ناشناخته")))))</f>
        <v/>
      </c>
      <c r="I1759" s="12" t="n"/>
      <c r="J1759" s="12" t="n"/>
      <c r="K1759" s="13" t="n"/>
      <c r="L1759" s="13" t="n"/>
      <c r="M1759" s="13" t="n"/>
      <c r="N1759" s="14">
        <f>IF(OR($C1759="",$E1759="",Calc!$H1759=""),"",IFERROR(VLOOKUP(LEFT(UPPER(TRIM($E1759)),6),BankTbl,3,0),0)+SUMIFS(CalcDep,CalcBank,LEFT(UPPER(TRIM($E1759)),6),CalcKey,"&lt;="&amp;Calc!$H1759)-SUMIFS(CalcWit,CalcBank,LEFT(UPPER(TRIM($E1759)),6),CalcKey,"&lt;="&amp;Calc!$H1759))</f>
        <v/>
      </c>
      <c r="O1759" s="10">
        <f>IF(OR($C1759="",$M1759=""),"",IF($N1759="","؟",IF(ROUND($M1759-$N1759,0)=0,"√","×")))</f>
        <v/>
      </c>
      <c r="P1759" s="12" t="n"/>
    </row>
    <row r="1760">
      <c r="A1760" s="10">
        <f>IF($C1760="","",COUNTA($C$9:$C1760))</f>
        <v/>
      </c>
      <c r="B1760" s="10">
        <f>IF($C1760="","","TXN-"&amp;RIGHT("0000"&amp;1752,4))</f>
        <v/>
      </c>
      <c r="C1760" s="11" t="n"/>
      <c r="D1760" s="11" t="n"/>
      <c r="E1760" s="12" t="n"/>
      <c r="F1760" s="10">
        <f>IF($E1760="","",IFERROR(IF(VLOOKUP(LEFT(UPPER(TRIM($E1760)),6),BankTbl,2,0)="","(بدون عنوان)",VLOOKUP(LEFT(UPPER(TRIM($E1760)),6),BankTbl,2,0)),"بانک ناشناخته"))</f>
        <v/>
      </c>
      <c r="G1760" s="11" t="n"/>
      <c r="H1760" s="10">
        <f>IF($G1760="","",IFERROR(VLOOKUP($G1760,CustTbl,2,0),IFERROR(VLOOKUP($G1760,SuppTbl,2,0),IFERROR(VLOOKUP($G1760,AcctTbl,2,0),IFERROR(VLOOKUP($G1760,StaffTbl,2,0),"کد ناشناخته")))))</f>
        <v/>
      </c>
      <c r="I1760" s="12" t="n"/>
      <c r="J1760" s="12" t="n"/>
      <c r="K1760" s="13" t="n"/>
      <c r="L1760" s="13" t="n"/>
      <c r="M1760" s="13" t="n"/>
      <c r="N1760" s="14">
        <f>IF(OR($C1760="",$E1760="",Calc!$H1760=""),"",IFERROR(VLOOKUP(LEFT(UPPER(TRIM($E1760)),6),BankTbl,3,0),0)+SUMIFS(CalcDep,CalcBank,LEFT(UPPER(TRIM($E1760)),6),CalcKey,"&lt;="&amp;Calc!$H1760)-SUMIFS(CalcWit,CalcBank,LEFT(UPPER(TRIM($E1760)),6),CalcKey,"&lt;="&amp;Calc!$H1760))</f>
        <v/>
      </c>
      <c r="O1760" s="10">
        <f>IF(OR($C1760="",$M1760=""),"",IF($N1760="","؟",IF(ROUND($M1760-$N1760,0)=0,"√","×")))</f>
        <v/>
      </c>
      <c r="P1760" s="12" t="n"/>
    </row>
    <row r="1761">
      <c r="A1761" s="10">
        <f>IF($C1761="","",COUNTA($C$9:$C1761))</f>
        <v/>
      </c>
      <c r="B1761" s="10">
        <f>IF($C1761="","","TXN-"&amp;RIGHT("0000"&amp;1753,4))</f>
        <v/>
      </c>
      <c r="C1761" s="11" t="n"/>
      <c r="D1761" s="11" t="n"/>
      <c r="E1761" s="12" t="n"/>
      <c r="F1761" s="10">
        <f>IF($E1761="","",IFERROR(IF(VLOOKUP(LEFT(UPPER(TRIM($E1761)),6),BankTbl,2,0)="","(بدون عنوان)",VLOOKUP(LEFT(UPPER(TRIM($E1761)),6),BankTbl,2,0)),"بانک ناشناخته"))</f>
        <v/>
      </c>
      <c r="G1761" s="11" t="n"/>
      <c r="H1761" s="10">
        <f>IF($G1761="","",IFERROR(VLOOKUP($G1761,CustTbl,2,0),IFERROR(VLOOKUP($G1761,SuppTbl,2,0),IFERROR(VLOOKUP($G1761,AcctTbl,2,0),IFERROR(VLOOKUP($G1761,StaffTbl,2,0),"کد ناشناخته")))))</f>
        <v/>
      </c>
      <c r="I1761" s="12" t="n"/>
      <c r="J1761" s="12" t="n"/>
      <c r="K1761" s="13" t="n"/>
      <c r="L1761" s="13" t="n"/>
      <c r="M1761" s="13" t="n"/>
      <c r="N1761" s="14">
        <f>IF(OR($C1761="",$E1761="",Calc!$H1761=""),"",IFERROR(VLOOKUP(LEFT(UPPER(TRIM($E1761)),6),BankTbl,3,0),0)+SUMIFS(CalcDep,CalcBank,LEFT(UPPER(TRIM($E1761)),6),CalcKey,"&lt;="&amp;Calc!$H1761)-SUMIFS(CalcWit,CalcBank,LEFT(UPPER(TRIM($E1761)),6),CalcKey,"&lt;="&amp;Calc!$H1761))</f>
        <v/>
      </c>
      <c r="O1761" s="10">
        <f>IF(OR($C1761="",$M1761=""),"",IF($N1761="","؟",IF(ROUND($M1761-$N1761,0)=0,"√","×")))</f>
        <v/>
      </c>
      <c r="P1761" s="12" t="n"/>
    </row>
    <row r="1762">
      <c r="A1762" s="10">
        <f>IF($C1762="","",COUNTA($C$9:$C1762))</f>
        <v/>
      </c>
      <c r="B1762" s="10">
        <f>IF($C1762="","","TXN-"&amp;RIGHT("0000"&amp;1754,4))</f>
        <v/>
      </c>
      <c r="C1762" s="11" t="n"/>
      <c r="D1762" s="11" t="n"/>
      <c r="E1762" s="12" t="n"/>
      <c r="F1762" s="10">
        <f>IF($E1762="","",IFERROR(IF(VLOOKUP(LEFT(UPPER(TRIM($E1762)),6),BankTbl,2,0)="","(بدون عنوان)",VLOOKUP(LEFT(UPPER(TRIM($E1762)),6),BankTbl,2,0)),"بانک ناشناخته"))</f>
        <v/>
      </c>
      <c r="G1762" s="11" t="n"/>
      <c r="H1762" s="10">
        <f>IF($G1762="","",IFERROR(VLOOKUP($G1762,CustTbl,2,0),IFERROR(VLOOKUP($G1762,SuppTbl,2,0),IFERROR(VLOOKUP($G1762,AcctTbl,2,0),IFERROR(VLOOKUP($G1762,StaffTbl,2,0),"کد ناشناخته")))))</f>
        <v/>
      </c>
      <c r="I1762" s="12" t="n"/>
      <c r="J1762" s="12" t="n"/>
      <c r="K1762" s="13" t="n"/>
      <c r="L1762" s="13" t="n"/>
      <c r="M1762" s="13" t="n"/>
      <c r="N1762" s="14">
        <f>IF(OR($C1762="",$E1762="",Calc!$H1762=""),"",IFERROR(VLOOKUP(LEFT(UPPER(TRIM($E1762)),6),BankTbl,3,0),0)+SUMIFS(CalcDep,CalcBank,LEFT(UPPER(TRIM($E1762)),6),CalcKey,"&lt;="&amp;Calc!$H1762)-SUMIFS(CalcWit,CalcBank,LEFT(UPPER(TRIM($E1762)),6),CalcKey,"&lt;="&amp;Calc!$H1762))</f>
        <v/>
      </c>
      <c r="O1762" s="10">
        <f>IF(OR($C1762="",$M1762=""),"",IF($N1762="","؟",IF(ROUND($M1762-$N1762,0)=0,"√","×")))</f>
        <v/>
      </c>
      <c r="P1762" s="12" t="n"/>
    </row>
    <row r="1763">
      <c r="A1763" s="10">
        <f>IF($C1763="","",COUNTA($C$9:$C1763))</f>
        <v/>
      </c>
      <c r="B1763" s="10">
        <f>IF($C1763="","","TXN-"&amp;RIGHT("0000"&amp;1755,4))</f>
        <v/>
      </c>
      <c r="C1763" s="11" t="n"/>
      <c r="D1763" s="11" t="n"/>
      <c r="E1763" s="12" t="n"/>
      <c r="F1763" s="10">
        <f>IF($E1763="","",IFERROR(IF(VLOOKUP(LEFT(UPPER(TRIM($E1763)),6),BankTbl,2,0)="","(بدون عنوان)",VLOOKUP(LEFT(UPPER(TRIM($E1763)),6),BankTbl,2,0)),"بانک ناشناخته"))</f>
        <v/>
      </c>
      <c r="G1763" s="11" t="n"/>
      <c r="H1763" s="10">
        <f>IF($G1763="","",IFERROR(VLOOKUP($G1763,CustTbl,2,0),IFERROR(VLOOKUP($G1763,SuppTbl,2,0),IFERROR(VLOOKUP($G1763,AcctTbl,2,0),IFERROR(VLOOKUP($G1763,StaffTbl,2,0),"کد ناشناخته")))))</f>
        <v/>
      </c>
      <c r="I1763" s="12" t="n"/>
      <c r="J1763" s="12" t="n"/>
      <c r="K1763" s="13" t="n"/>
      <c r="L1763" s="13" t="n"/>
      <c r="M1763" s="13" t="n"/>
      <c r="N1763" s="14">
        <f>IF(OR($C1763="",$E1763="",Calc!$H1763=""),"",IFERROR(VLOOKUP(LEFT(UPPER(TRIM($E1763)),6),BankTbl,3,0),0)+SUMIFS(CalcDep,CalcBank,LEFT(UPPER(TRIM($E1763)),6),CalcKey,"&lt;="&amp;Calc!$H1763)-SUMIFS(CalcWit,CalcBank,LEFT(UPPER(TRIM($E1763)),6),CalcKey,"&lt;="&amp;Calc!$H1763))</f>
        <v/>
      </c>
      <c r="O1763" s="10">
        <f>IF(OR($C1763="",$M1763=""),"",IF($N1763="","؟",IF(ROUND($M1763-$N1763,0)=0,"√","×")))</f>
        <v/>
      </c>
      <c r="P1763" s="12" t="n"/>
    </row>
    <row r="1764">
      <c r="A1764" s="10">
        <f>IF($C1764="","",COUNTA($C$9:$C1764))</f>
        <v/>
      </c>
      <c r="B1764" s="10">
        <f>IF($C1764="","","TXN-"&amp;RIGHT("0000"&amp;1756,4))</f>
        <v/>
      </c>
      <c r="C1764" s="11" t="n"/>
      <c r="D1764" s="11" t="n"/>
      <c r="E1764" s="12" t="n"/>
      <c r="F1764" s="10">
        <f>IF($E1764="","",IFERROR(IF(VLOOKUP(LEFT(UPPER(TRIM($E1764)),6),BankTbl,2,0)="","(بدون عنوان)",VLOOKUP(LEFT(UPPER(TRIM($E1764)),6),BankTbl,2,0)),"بانک ناشناخته"))</f>
        <v/>
      </c>
      <c r="G1764" s="11" t="n"/>
      <c r="H1764" s="10">
        <f>IF($G1764="","",IFERROR(VLOOKUP($G1764,CustTbl,2,0),IFERROR(VLOOKUP($G1764,SuppTbl,2,0),IFERROR(VLOOKUP($G1764,AcctTbl,2,0),IFERROR(VLOOKUP($G1764,StaffTbl,2,0),"کد ناشناخته")))))</f>
        <v/>
      </c>
      <c r="I1764" s="12" t="n"/>
      <c r="J1764" s="12" t="n"/>
      <c r="K1764" s="13" t="n"/>
      <c r="L1764" s="13" t="n"/>
      <c r="M1764" s="13" t="n"/>
      <c r="N1764" s="14">
        <f>IF(OR($C1764="",$E1764="",Calc!$H1764=""),"",IFERROR(VLOOKUP(LEFT(UPPER(TRIM($E1764)),6),BankTbl,3,0),0)+SUMIFS(CalcDep,CalcBank,LEFT(UPPER(TRIM($E1764)),6),CalcKey,"&lt;="&amp;Calc!$H1764)-SUMIFS(CalcWit,CalcBank,LEFT(UPPER(TRIM($E1764)),6),CalcKey,"&lt;="&amp;Calc!$H1764))</f>
        <v/>
      </c>
      <c r="O1764" s="10">
        <f>IF(OR($C1764="",$M1764=""),"",IF($N1764="","؟",IF(ROUND($M1764-$N1764,0)=0,"√","×")))</f>
        <v/>
      </c>
      <c r="P1764" s="12" t="n"/>
    </row>
    <row r="1765">
      <c r="A1765" s="10">
        <f>IF($C1765="","",COUNTA($C$9:$C1765))</f>
        <v/>
      </c>
      <c r="B1765" s="10">
        <f>IF($C1765="","","TXN-"&amp;RIGHT("0000"&amp;1757,4))</f>
        <v/>
      </c>
      <c r="C1765" s="11" t="n"/>
      <c r="D1765" s="11" t="n"/>
      <c r="E1765" s="12" t="n"/>
      <c r="F1765" s="10">
        <f>IF($E1765="","",IFERROR(IF(VLOOKUP(LEFT(UPPER(TRIM($E1765)),6),BankTbl,2,0)="","(بدون عنوان)",VLOOKUP(LEFT(UPPER(TRIM($E1765)),6),BankTbl,2,0)),"بانک ناشناخته"))</f>
        <v/>
      </c>
      <c r="G1765" s="11" t="n"/>
      <c r="H1765" s="10">
        <f>IF($G1765="","",IFERROR(VLOOKUP($G1765,CustTbl,2,0),IFERROR(VLOOKUP($G1765,SuppTbl,2,0),IFERROR(VLOOKUP($G1765,AcctTbl,2,0),IFERROR(VLOOKUP($G1765,StaffTbl,2,0),"کد ناشناخته")))))</f>
        <v/>
      </c>
      <c r="I1765" s="12" t="n"/>
      <c r="J1765" s="12" t="n"/>
      <c r="K1765" s="13" t="n"/>
      <c r="L1765" s="13" t="n"/>
      <c r="M1765" s="13" t="n"/>
      <c r="N1765" s="14">
        <f>IF(OR($C1765="",$E1765="",Calc!$H1765=""),"",IFERROR(VLOOKUP(LEFT(UPPER(TRIM($E1765)),6),BankTbl,3,0),0)+SUMIFS(CalcDep,CalcBank,LEFT(UPPER(TRIM($E1765)),6),CalcKey,"&lt;="&amp;Calc!$H1765)-SUMIFS(CalcWit,CalcBank,LEFT(UPPER(TRIM($E1765)),6),CalcKey,"&lt;="&amp;Calc!$H1765))</f>
        <v/>
      </c>
      <c r="O1765" s="10">
        <f>IF(OR($C1765="",$M1765=""),"",IF($N1765="","؟",IF(ROUND($M1765-$N1765,0)=0,"√","×")))</f>
        <v/>
      </c>
      <c r="P1765" s="12" t="n"/>
    </row>
    <row r="1766">
      <c r="A1766" s="10">
        <f>IF($C1766="","",COUNTA($C$9:$C1766))</f>
        <v/>
      </c>
      <c r="B1766" s="10">
        <f>IF($C1766="","","TXN-"&amp;RIGHT("0000"&amp;1758,4))</f>
        <v/>
      </c>
      <c r="C1766" s="11" t="n"/>
      <c r="D1766" s="11" t="n"/>
      <c r="E1766" s="12" t="n"/>
      <c r="F1766" s="10">
        <f>IF($E1766="","",IFERROR(IF(VLOOKUP(LEFT(UPPER(TRIM($E1766)),6),BankTbl,2,0)="","(بدون عنوان)",VLOOKUP(LEFT(UPPER(TRIM($E1766)),6),BankTbl,2,0)),"بانک ناشناخته"))</f>
        <v/>
      </c>
      <c r="G1766" s="11" t="n"/>
      <c r="H1766" s="10">
        <f>IF($G1766="","",IFERROR(VLOOKUP($G1766,CustTbl,2,0),IFERROR(VLOOKUP($G1766,SuppTbl,2,0),IFERROR(VLOOKUP($G1766,AcctTbl,2,0),IFERROR(VLOOKUP($G1766,StaffTbl,2,0),"کد ناشناخته")))))</f>
        <v/>
      </c>
      <c r="I1766" s="12" t="n"/>
      <c r="J1766" s="12" t="n"/>
      <c r="K1766" s="13" t="n"/>
      <c r="L1766" s="13" t="n"/>
      <c r="M1766" s="13" t="n"/>
      <c r="N1766" s="14">
        <f>IF(OR($C1766="",$E1766="",Calc!$H1766=""),"",IFERROR(VLOOKUP(LEFT(UPPER(TRIM($E1766)),6),BankTbl,3,0),0)+SUMIFS(CalcDep,CalcBank,LEFT(UPPER(TRIM($E1766)),6),CalcKey,"&lt;="&amp;Calc!$H1766)-SUMIFS(CalcWit,CalcBank,LEFT(UPPER(TRIM($E1766)),6),CalcKey,"&lt;="&amp;Calc!$H1766))</f>
        <v/>
      </c>
      <c r="O1766" s="10">
        <f>IF(OR($C1766="",$M1766=""),"",IF($N1766="","؟",IF(ROUND($M1766-$N1766,0)=0,"√","×")))</f>
        <v/>
      </c>
      <c r="P1766" s="12" t="n"/>
    </row>
    <row r="1767">
      <c r="A1767" s="10">
        <f>IF($C1767="","",COUNTA($C$9:$C1767))</f>
        <v/>
      </c>
      <c r="B1767" s="10">
        <f>IF($C1767="","","TXN-"&amp;RIGHT("0000"&amp;1759,4))</f>
        <v/>
      </c>
      <c r="C1767" s="11" t="n"/>
      <c r="D1767" s="11" t="n"/>
      <c r="E1767" s="12" t="n"/>
      <c r="F1767" s="10">
        <f>IF($E1767="","",IFERROR(IF(VLOOKUP(LEFT(UPPER(TRIM($E1767)),6),BankTbl,2,0)="","(بدون عنوان)",VLOOKUP(LEFT(UPPER(TRIM($E1767)),6),BankTbl,2,0)),"بانک ناشناخته"))</f>
        <v/>
      </c>
      <c r="G1767" s="11" t="n"/>
      <c r="H1767" s="10">
        <f>IF($G1767="","",IFERROR(VLOOKUP($G1767,CustTbl,2,0),IFERROR(VLOOKUP($G1767,SuppTbl,2,0),IFERROR(VLOOKUP($G1767,AcctTbl,2,0),IFERROR(VLOOKUP($G1767,StaffTbl,2,0),"کد ناشناخته")))))</f>
        <v/>
      </c>
      <c r="I1767" s="12" t="n"/>
      <c r="J1767" s="12" t="n"/>
      <c r="K1767" s="13" t="n"/>
      <c r="L1767" s="13" t="n"/>
      <c r="M1767" s="13" t="n"/>
      <c r="N1767" s="14">
        <f>IF(OR($C1767="",$E1767="",Calc!$H1767=""),"",IFERROR(VLOOKUP(LEFT(UPPER(TRIM($E1767)),6),BankTbl,3,0),0)+SUMIFS(CalcDep,CalcBank,LEFT(UPPER(TRIM($E1767)),6),CalcKey,"&lt;="&amp;Calc!$H1767)-SUMIFS(CalcWit,CalcBank,LEFT(UPPER(TRIM($E1767)),6),CalcKey,"&lt;="&amp;Calc!$H1767))</f>
        <v/>
      </c>
      <c r="O1767" s="10">
        <f>IF(OR($C1767="",$M1767=""),"",IF($N1767="","؟",IF(ROUND($M1767-$N1767,0)=0,"√","×")))</f>
        <v/>
      </c>
      <c r="P1767" s="12" t="n"/>
    </row>
    <row r="1768">
      <c r="A1768" s="10">
        <f>IF($C1768="","",COUNTA($C$9:$C1768))</f>
        <v/>
      </c>
      <c r="B1768" s="10">
        <f>IF($C1768="","","TXN-"&amp;RIGHT("0000"&amp;1760,4))</f>
        <v/>
      </c>
      <c r="C1768" s="11" t="n"/>
      <c r="D1768" s="11" t="n"/>
      <c r="E1768" s="12" t="n"/>
      <c r="F1768" s="10">
        <f>IF($E1768="","",IFERROR(IF(VLOOKUP(LEFT(UPPER(TRIM($E1768)),6),BankTbl,2,0)="","(بدون عنوان)",VLOOKUP(LEFT(UPPER(TRIM($E1768)),6),BankTbl,2,0)),"بانک ناشناخته"))</f>
        <v/>
      </c>
      <c r="G1768" s="11" t="n"/>
      <c r="H1768" s="10">
        <f>IF($G1768="","",IFERROR(VLOOKUP($G1768,CustTbl,2,0),IFERROR(VLOOKUP($G1768,SuppTbl,2,0),IFERROR(VLOOKUP($G1768,AcctTbl,2,0),IFERROR(VLOOKUP($G1768,StaffTbl,2,0),"کد ناشناخته")))))</f>
        <v/>
      </c>
      <c r="I1768" s="12" t="n"/>
      <c r="J1768" s="12" t="n"/>
      <c r="K1768" s="13" t="n"/>
      <c r="L1768" s="13" t="n"/>
      <c r="M1768" s="13" t="n"/>
      <c r="N1768" s="14">
        <f>IF(OR($C1768="",$E1768="",Calc!$H1768=""),"",IFERROR(VLOOKUP(LEFT(UPPER(TRIM($E1768)),6),BankTbl,3,0),0)+SUMIFS(CalcDep,CalcBank,LEFT(UPPER(TRIM($E1768)),6),CalcKey,"&lt;="&amp;Calc!$H1768)-SUMIFS(CalcWit,CalcBank,LEFT(UPPER(TRIM($E1768)),6),CalcKey,"&lt;="&amp;Calc!$H1768))</f>
        <v/>
      </c>
      <c r="O1768" s="10">
        <f>IF(OR($C1768="",$M1768=""),"",IF($N1768="","؟",IF(ROUND($M1768-$N1768,0)=0,"√","×")))</f>
        <v/>
      </c>
      <c r="P1768" s="12" t="n"/>
    </row>
    <row r="1769">
      <c r="A1769" s="10">
        <f>IF($C1769="","",COUNTA($C$9:$C1769))</f>
        <v/>
      </c>
      <c r="B1769" s="10">
        <f>IF($C1769="","","TXN-"&amp;RIGHT("0000"&amp;1761,4))</f>
        <v/>
      </c>
      <c r="C1769" s="11" t="n"/>
      <c r="D1769" s="11" t="n"/>
      <c r="E1769" s="12" t="n"/>
      <c r="F1769" s="10">
        <f>IF($E1769="","",IFERROR(IF(VLOOKUP(LEFT(UPPER(TRIM($E1769)),6),BankTbl,2,0)="","(بدون عنوان)",VLOOKUP(LEFT(UPPER(TRIM($E1769)),6),BankTbl,2,0)),"بانک ناشناخته"))</f>
        <v/>
      </c>
      <c r="G1769" s="11" t="n"/>
      <c r="H1769" s="10">
        <f>IF($G1769="","",IFERROR(VLOOKUP($G1769,CustTbl,2,0),IFERROR(VLOOKUP($G1769,SuppTbl,2,0),IFERROR(VLOOKUP($G1769,AcctTbl,2,0),IFERROR(VLOOKUP($G1769,StaffTbl,2,0),"کد ناشناخته")))))</f>
        <v/>
      </c>
      <c r="I1769" s="12" t="n"/>
      <c r="J1769" s="12" t="n"/>
      <c r="K1769" s="13" t="n"/>
      <c r="L1769" s="13" t="n"/>
      <c r="M1769" s="13" t="n"/>
      <c r="N1769" s="14">
        <f>IF(OR($C1769="",$E1769="",Calc!$H1769=""),"",IFERROR(VLOOKUP(LEFT(UPPER(TRIM($E1769)),6),BankTbl,3,0),0)+SUMIFS(CalcDep,CalcBank,LEFT(UPPER(TRIM($E1769)),6),CalcKey,"&lt;="&amp;Calc!$H1769)-SUMIFS(CalcWit,CalcBank,LEFT(UPPER(TRIM($E1769)),6),CalcKey,"&lt;="&amp;Calc!$H1769))</f>
        <v/>
      </c>
      <c r="O1769" s="10">
        <f>IF(OR($C1769="",$M1769=""),"",IF($N1769="","؟",IF(ROUND($M1769-$N1769,0)=0,"√","×")))</f>
        <v/>
      </c>
      <c r="P1769" s="12" t="n"/>
    </row>
    <row r="1770">
      <c r="A1770" s="10">
        <f>IF($C1770="","",COUNTA($C$9:$C1770))</f>
        <v/>
      </c>
      <c r="B1770" s="10">
        <f>IF($C1770="","","TXN-"&amp;RIGHT("0000"&amp;1762,4))</f>
        <v/>
      </c>
      <c r="C1770" s="11" t="n"/>
      <c r="D1770" s="11" t="n"/>
      <c r="E1770" s="12" t="n"/>
      <c r="F1770" s="10">
        <f>IF($E1770="","",IFERROR(IF(VLOOKUP(LEFT(UPPER(TRIM($E1770)),6),BankTbl,2,0)="","(بدون عنوان)",VLOOKUP(LEFT(UPPER(TRIM($E1770)),6),BankTbl,2,0)),"بانک ناشناخته"))</f>
        <v/>
      </c>
      <c r="G1770" s="11" t="n"/>
      <c r="H1770" s="10">
        <f>IF($G1770="","",IFERROR(VLOOKUP($G1770,CustTbl,2,0),IFERROR(VLOOKUP($G1770,SuppTbl,2,0),IFERROR(VLOOKUP($G1770,AcctTbl,2,0),IFERROR(VLOOKUP($G1770,StaffTbl,2,0),"کد ناشناخته")))))</f>
        <v/>
      </c>
      <c r="I1770" s="12" t="n"/>
      <c r="J1770" s="12" t="n"/>
      <c r="K1770" s="13" t="n"/>
      <c r="L1770" s="13" t="n"/>
      <c r="M1770" s="13" t="n"/>
      <c r="N1770" s="14">
        <f>IF(OR($C1770="",$E1770="",Calc!$H1770=""),"",IFERROR(VLOOKUP(LEFT(UPPER(TRIM($E1770)),6),BankTbl,3,0),0)+SUMIFS(CalcDep,CalcBank,LEFT(UPPER(TRIM($E1770)),6),CalcKey,"&lt;="&amp;Calc!$H1770)-SUMIFS(CalcWit,CalcBank,LEFT(UPPER(TRIM($E1770)),6),CalcKey,"&lt;="&amp;Calc!$H1770))</f>
        <v/>
      </c>
      <c r="O1770" s="10">
        <f>IF(OR($C1770="",$M1770=""),"",IF($N1770="","؟",IF(ROUND($M1770-$N1770,0)=0,"√","×")))</f>
        <v/>
      </c>
      <c r="P1770" s="12" t="n"/>
    </row>
    <row r="1771">
      <c r="A1771" s="10">
        <f>IF($C1771="","",COUNTA($C$9:$C1771))</f>
        <v/>
      </c>
      <c r="B1771" s="10">
        <f>IF($C1771="","","TXN-"&amp;RIGHT("0000"&amp;1763,4))</f>
        <v/>
      </c>
      <c r="C1771" s="11" t="n"/>
      <c r="D1771" s="11" t="n"/>
      <c r="E1771" s="12" t="n"/>
      <c r="F1771" s="10">
        <f>IF($E1771="","",IFERROR(IF(VLOOKUP(LEFT(UPPER(TRIM($E1771)),6),BankTbl,2,0)="","(بدون عنوان)",VLOOKUP(LEFT(UPPER(TRIM($E1771)),6),BankTbl,2,0)),"بانک ناشناخته"))</f>
        <v/>
      </c>
      <c r="G1771" s="11" t="n"/>
      <c r="H1771" s="10">
        <f>IF($G1771="","",IFERROR(VLOOKUP($G1771,CustTbl,2,0),IFERROR(VLOOKUP($G1771,SuppTbl,2,0),IFERROR(VLOOKUP($G1771,AcctTbl,2,0),IFERROR(VLOOKUP($G1771,StaffTbl,2,0),"کد ناشناخته")))))</f>
        <v/>
      </c>
      <c r="I1771" s="12" t="n"/>
      <c r="J1771" s="12" t="n"/>
      <c r="K1771" s="13" t="n"/>
      <c r="L1771" s="13" t="n"/>
      <c r="M1771" s="13" t="n"/>
      <c r="N1771" s="14">
        <f>IF(OR($C1771="",$E1771="",Calc!$H1771=""),"",IFERROR(VLOOKUP(LEFT(UPPER(TRIM($E1771)),6),BankTbl,3,0),0)+SUMIFS(CalcDep,CalcBank,LEFT(UPPER(TRIM($E1771)),6),CalcKey,"&lt;="&amp;Calc!$H1771)-SUMIFS(CalcWit,CalcBank,LEFT(UPPER(TRIM($E1771)),6),CalcKey,"&lt;="&amp;Calc!$H1771))</f>
        <v/>
      </c>
      <c r="O1771" s="10">
        <f>IF(OR($C1771="",$M1771=""),"",IF($N1771="","؟",IF(ROUND($M1771-$N1771,0)=0,"√","×")))</f>
        <v/>
      </c>
      <c r="P1771" s="12" t="n"/>
    </row>
    <row r="1772">
      <c r="A1772" s="10">
        <f>IF($C1772="","",COUNTA($C$9:$C1772))</f>
        <v/>
      </c>
      <c r="B1772" s="10">
        <f>IF($C1772="","","TXN-"&amp;RIGHT("0000"&amp;1764,4))</f>
        <v/>
      </c>
      <c r="C1772" s="11" t="n"/>
      <c r="D1772" s="11" t="n"/>
      <c r="E1772" s="12" t="n"/>
      <c r="F1772" s="10">
        <f>IF($E1772="","",IFERROR(IF(VLOOKUP(LEFT(UPPER(TRIM($E1772)),6),BankTbl,2,0)="","(بدون عنوان)",VLOOKUP(LEFT(UPPER(TRIM($E1772)),6),BankTbl,2,0)),"بانک ناشناخته"))</f>
        <v/>
      </c>
      <c r="G1772" s="11" t="n"/>
      <c r="H1772" s="10">
        <f>IF($G1772="","",IFERROR(VLOOKUP($G1772,CustTbl,2,0),IFERROR(VLOOKUP($G1772,SuppTbl,2,0),IFERROR(VLOOKUP($G1772,AcctTbl,2,0),IFERROR(VLOOKUP($G1772,StaffTbl,2,0),"کد ناشناخته")))))</f>
        <v/>
      </c>
      <c r="I1772" s="12" t="n"/>
      <c r="J1772" s="12" t="n"/>
      <c r="K1772" s="13" t="n"/>
      <c r="L1772" s="13" t="n"/>
      <c r="M1772" s="13" t="n"/>
      <c r="N1772" s="14">
        <f>IF(OR($C1772="",$E1772="",Calc!$H1772=""),"",IFERROR(VLOOKUP(LEFT(UPPER(TRIM($E1772)),6),BankTbl,3,0),0)+SUMIFS(CalcDep,CalcBank,LEFT(UPPER(TRIM($E1772)),6),CalcKey,"&lt;="&amp;Calc!$H1772)-SUMIFS(CalcWit,CalcBank,LEFT(UPPER(TRIM($E1772)),6),CalcKey,"&lt;="&amp;Calc!$H1772))</f>
        <v/>
      </c>
      <c r="O1772" s="10">
        <f>IF(OR($C1772="",$M1772=""),"",IF($N1772="","؟",IF(ROUND($M1772-$N1772,0)=0,"√","×")))</f>
        <v/>
      </c>
      <c r="P1772" s="12" t="n"/>
    </row>
    <row r="1773">
      <c r="A1773" s="10">
        <f>IF($C1773="","",COUNTA($C$9:$C1773))</f>
        <v/>
      </c>
      <c r="B1773" s="10">
        <f>IF($C1773="","","TXN-"&amp;RIGHT("0000"&amp;1765,4))</f>
        <v/>
      </c>
      <c r="C1773" s="11" t="n"/>
      <c r="D1773" s="11" t="n"/>
      <c r="E1773" s="12" t="n"/>
      <c r="F1773" s="10">
        <f>IF($E1773="","",IFERROR(IF(VLOOKUP(LEFT(UPPER(TRIM($E1773)),6),BankTbl,2,0)="","(بدون عنوان)",VLOOKUP(LEFT(UPPER(TRIM($E1773)),6),BankTbl,2,0)),"بانک ناشناخته"))</f>
        <v/>
      </c>
      <c r="G1773" s="11" t="n"/>
      <c r="H1773" s="10">
        <f>IF($G1773="","",IFERROR(VLOOKUP($G1773,CustTbl,2,0),IFERROR(VLOOKUP($G1773,SuppTbl,2,0),IFERROR(VLOOKUP($G1773,AcctTbl,2,0),IFERROR(VLOOKUP($G1773,StaffTbl,2,0),"کد ناشناخته")))))</f>
        <v/>
      </c>
      <c r="I1773" s="12" t="n"/>
      <c r="J1773" s="12" t="n"/>
      <c r="K1773" s="13" t="n"/>
      <c r="L1773" s="13" t="n"/>
      <c r="M1773" s="13" t="n"/>
      <c r="N1773" s="14">
        <f>IF(OR($C1773="",$E1773="",Calc!$H1773=""),"",IFERROR(VLOOKUP(LEFT(UPPER(TRIM($E1773)),6),BankTbl,3,0),0)+SUMIFS(CalcDep,CalcBank,LEFT(UPPER(TRIM($E1773)),6),CalcKey,"&lt;="&amp;Calc!$H1773)-SUMIFS(CalcWit,CalcBank,LEFT(UPPER(TRIM($E1773)),6),CalcKey,"&lt;="&amp;Calc!$H1773))</f>
        <v/>
      </c>
      <c r="O1773" s="10">
        <f>IF(OR($C1773="",$M1773=""),"",IF($N1773="","؟",IF(ROUND($M1773-$N1773,0)=0,"√","×")))</f>
        <v/>
      </c>
      <c r="P1773" s="12" t="n"/>
    </row>
    <row r="1774">
      <c r="A1774" s="10">
        <f>IF($C1774="","",COUNTA($C$9:$C1774))</f>
        <v/>
      </c>
      <c r="B1774" s="10">
        <f>IF($C1774="","","TXN-"&amp;RIGHT("0000"&amp;1766,4))</f>
        <v/>
      </c>
      <c r="C1774" s="11" t="n"/>
      <c r="D1774" s="11" t="n"/>
      <c r="E1774" s="12" t="n"/>
      <c r="F1774" s="10">
        <f>IF($E1774="","",IFERROR(IF(VLOOKUP(LEFT(UPPER(TRIM($E1774)),6),BankTbl,2,0)="","(بدون عنوان)",VLOOKUP(LEFT(UPPER(TRIM($E1774)),6),BankTbl,2,0)),"بانک ناشناخته"))</f>
        <v/>
      </c>
      <c r="G1774" s="11" t="n"/>
      <c r="H1774" s="10">
        <f>IF($G1774="","",IFERROR(VLOOKUP($G1774,CustTbl,2,0),IFERROR(VLOOKUP($G1774,SuppTbl,2,0),IFERROR(VLOOKUP($G1774,AcctTbl,2,0),IFERROR(VLOOKUP($G1774,StaffTbl,2,0),"کد ناشناخته")))))</f>
        <v/>
      </c>
      <c r="I1774" s="12" t="n"/>
      <c r="J1774" s="12" t="n"/>
      <c r="K1774" s="13" t="n"/>
      <c r="L1774" s="13" t="n"/>
      <c r="M1774" s="13" t="n"/>
      <c r="N1774" s="14">
        <f>IF(OR($C1774="",$E1774="",Calc!$H1774=""),"",IFERROR(VLOOKUP(LEFT(UPPER(TRIM($E1774)),6),BankTbl,3,0),0)+SUMIFS(CalcDep,CalcBank,LEFT(UPPER(TRIM($E1774)),6),CalcKey,"&lt;="&amp;Calc!$H1774)-SUMIFS(CalcWit,CalcBank,LEFT(UPPER(TRIM($E1774)),6),CalcKey,"&lt;="&amp;Calc!$H1774))</f>
        <v/>
      </c>
      <c r="O1774" s="10">
        <f>IF(OR($C1774="",$M1774=""),"",IF($N1774="","؟",IF(ROUND($M1774-$N1774,0)=0,"√","×")))</f>
        <v/>
      </c>
      <c r="P1774" s="12" t="n"/>
    </row>
    <row r="1775">
      <c r="A1775" s="10">
        <f>IF($C1775="","",COUNTA($C$9:$C1775))</f>
        <v/>
      </c>
      <c r="B1775" s="10">
        <f>IF($C1775="","","TXN-"&amp;RIGHT("0000"&amp;1767,4))</f>
        <v/>
      </c>
      <c r="C1775" s="11" t="n"/>
      <c r="D1775" s="11" t="n"/>
      <c r="E1775" s="12" t="n"/>
      <c r="F1775" s="10">
        <f>IF($E1775="","",IFERROR(IF(VLOOKUP(LEFT(UPPER(TRIM($E1775)),6),BankTbl,2,0)="","(بدون عنوان)",VLOOKUP(LEFT(UPPER(TRIM($E1775)),6),BankTbl,2,0)),"بانک ناشناخته"))</f>
        <v/>
      </c>
      <c r="G1775" s="11" t="n"/>
      <c r="H1775" s="10">
        <f>IF($G1775="","",IFERROR(VLOOKUP($G1775,CustTbl,2,0),IFERROR(VLOOKUP($G1775,SuppTbl,2,0),IFERROR(VLOOKUP($G1775,AcctTbl,2,0),IFERROR(VLOOKUP($G1775,StaffTbl,2,0),"کد ناشناخته")))))</f>
        <v/>
      </c>
      <c r="I1775" s="12" t="n"/>
      <c r="J1775" s="12" t="n"/>
      <c r="K1775" s="13" t="n"/>
      <c r="L1775" s="13" t="n"/>
      <c r="M1775" s="13" t="n"/>
      <c r="N1775" s="14">
        <f>IF(OR($C1775="",$E1775="",Calc!$H1775=""),"",IFERROR(VLOOKUP(LEFT(UPPER(TRIM($E1775)),6),BankTbl,3,0),0)+SUMIFS(CalcDep,CalcBank,LEFT(UPPER(TRIM($E1775)),6),CalcKey,"&lt;="&amp;Calc!$H1775)-SUMIFS(CalcWit,CalcBank,LEFT(UPPER(TRIM($E1775)),6),CalcKey,"&lt;="&amp;Calc!$H1775))</f>
        <v/>
      </c>
      <c r="O1775" s="10">
        <f>IF(OR($C1775="",$M1775=""),"",IF($N1775="","؟",IF(ROUND($M1775-$N1775,0)=0,"√","×")))</f>
        <v/>
      </c>
      <c r="P1775" s="12" t="n"/>
    </row>
    <row r="1776">
      <c r="A1776" s="10">
        <f>IF($C1776="","",COUNTA($C$9:$C1776))</f>
        <v/>
      </c>
      <c r="B1776" s="10">
        <f>IF($C1776="","","TXN-"&amp;RIGHT("0000"&amp;1768,4))</f>
        <v/>
      </c>
      <c r="C1776" s="11" t="n"/>
      <c r="D1776" s="11" t="n"/>
      <c r="E1776" s="12" t="n"/>
      <c r="F1776" s="10">
        <f>IF($E1776="","",IFERROR(IF(VLOOKUP(LEFT(UPPER(TRIM($E1776)),6),BankTbl,2,0)="","(بدون عنوان)",VLOOKUP(LEFT(UPPER(TRIM($E1776)),6),BankTbl,2,0)),"بانک ناشناخته"))</f>
        <v/>
      </c>
      <c r="G1776" s="11" t="n"/>
      <c r="H1776" s="10">
        <f>IF($G1776="","",IFERROR(VLOOKUP($G1776,CustTbl,2,0),IFERROR(VLOOKUP($G1776,SuppTbl,2,0),IFERROR(VLOOKUP($G1776,AcctTbl,2,0),IFERROR(VLOOKUP($G1776,StaffTbl,2,0),"کد ناشناخته")))))</f>
        <v/>
      </c>
      <c r="I1776" s="12" t="n"/>
      <c r="J1776" s="12" t="n"/>
      <c r="K1776" s="13" t="n"/>
      <c r="L1776" s="13" t="n"/>
      <c r="M1776" s="13" t="n"/>
      <c r="N1776" s="14">
        <f>IF(OR($C1776="",$E1776="",Calc!$H1776=""),"",IFERROR(VLOOKUP(LEFT(UPPER(TRIM($E1776)),6),BankTbl,3,0),0)+SUMIFS(CalcDep,CalcBank,LEFT(UPPER(TRIM($E1776)),6),CalcKey,"&lt;="&amp;Calc!$H1776)-SUMIFS(CalcWit,CalcBank,LEFT(UPPER(TRIM($E1776)),6),CalcKey,"&lt;="&amp;Calc!$H1776))</f>
        <v/>
      </c>
      <c r="O1776" s="10">
        <f>IF(OR($C1776="",$M1776=""),"",IF($N1776="","؟",IF(ROUND($M1776-$N1776,0)=0,"√","×")))</f>
        <v/>
      </c>
      <c r="P1776" s="12" t="n"/>
    </row>
    <row r="1777">
      <c r="A1777" s="10">
        <f>IF($C1777="","",COUNTA($C$9:$C1777))</f>
        <v/>
      </c>
      <c r="B1777" s="10">
        <f>IF($C1777="","","TXN-"&amp;RIGHT("0000"&amp;1769,4))</f>
        <v/>
      </c>
      <c r="C1777" s="11" t="n"/>
      <c r="D1777" s="11" t="n"/>
      <c r="E1777" s="12" t="n"/>
      <c r="F1777" s="10">
        <f>IF($E1777="","",IFERROR(IF(VLOOKUP(LEFT(UPPER(TRIM($E1777)),6),BankTbl,2,0)="","(بدون عنوان)",VLOOKUP(LEFT(UPPER(TRIM($E1777)),6),BankTbl,2,0)),"بانک ناشناخته"))</f>
        <v/>
      </c>
      <c r="G1777" s="11" t="n"/>
      <c r="H1777" s="10">
        <f>IF($G1777="","",IFERROR(VLOOKUP($G1777,CustTbl,2,0),IFERROR(VLOOKUP($G1777,SuppTbl,2,0),IFERROR(VLOOKUP($G1777,AcctTbl,2,0),IFERROR(VLOOKUP($G1777,StaffTbl,2,0),"کد ناشناخته")))))</f>
        <v/>
      </c>
      <c r="I1777" s="12" t="n"/>
      <c r="J1777" s="12" t="n"/>
      <c r="K1777" s="13" t="n"/>
      <c r="L1777" s="13" t="n"/>
      <c r="M1777" s="13" t="n"/>
      <c r="N1777" s="14">
        <f>IF(OR($C1777="",$E1777="",Calc!$H1777=""),"",IFERROR(VLOOKUP(LEFT(UPPER(TRIM($E1777)),6),BankTbl,3,0),0)+SUMIFS(CalcDep,CalcBank,LEFT(UPPER(TRIM($E1777)),6),CalcKey,"&lt;="&amp;Calc!$H1777)-SUMIFS(CalcWit,CalcBank,LEFT(UPPER(TRIM($E1777)),6),CalcKey,"&lt;="&amp;Calc!$H1777))</f>
        <v/>
      </c>
      <c r="O1777" s="10">
        <f>IF(OR($C1777="",$M1777=""),"",IF($N1777="","؟",IF(ROUND($M1777-$N1777,0)=0,"√","×")))</f>
        <v/>
      </c>
      <c r="P1777" s="12" t="n"/>
    </row>
    <row r="1778">
      <c r="A1778" s="10">
        <f>IF($C1778="","",COUNTA($C$9:$C1778))</f>
        <v/>
      </c>
      <c r="B1778" s="10">
        <f>IF($C1778="","","TXN-"&amp;RIGHT("0000"&amp;1770,4))</f>
        <v/>
      </c>
      <c r="C1778" s="11" t="n"/>
      <c r="D1778" s="11" t="n"/>
      <c r="E1778" s="12" t="n"/>
      <c r="F1778" s="10">
        <f>IF($E1778="","",IFERROR(IF(VLOOKUP(LEFT(UPPER(TRIM($E1778)),6),BankTbl,2,0)="","(بدون عنوان)",VLOOKUP(LEFT(UPPER(TRIM($E1778)),6),BankTbl,2,0)),"بانک ناشناخته"))</f>
        <v/>
      </c>
      <c r="G1778" s="11" t="n"/>
      <c r="H1778" s="10">
        <f>IF($G1778="","",IFERROR(VLOOKUP($G1778,CustTbl,2,0),IFERROR(VLOOKUP($G1778,SuppTbl,2,0),IFERROR(VLOOKUP($G1778,AcctTbl,2,0),IFERROR(VLOOKUP($G1778,StaffTbl,2,0),"کد ناشناخته")))))</f>
        <v/>
      </c>
      <c r="I1778" s="12" t="n"/>
      <c r="J1778" s="12" t="n"/>
      <c r="K1778" s="13" t="n"/>
      <c r="L1778" s="13" t="n"/>
      <c r="M1778" s="13" t="n"/>
      <c r="N1778" s="14">
        <f>IF(OR($C1778="",$E1778="",Calc!$H1778=""),"",IFERROR(VLOOKUP(LEFT(UPPER(TRIM($E1778)),6),BankTbl,3,0),0)+SUMIFS(CalcDep,CalcBank,LEFT(UPPER(TRIM($E1778)),6),CalcKey,"&lt;="&amp;Calc!$H1778)-SUMIFS(CalcWit,CalcBank,LEFT(UPPER(TRIM($E1778)),6),CalcKey,"&lt;="&amp;Calc!$H1778))</f>
        <v/>
      </c>
      <c r="O1778" s="10">
        <f>IF(OR($C1778="",$M1778=""),"",IF($N1778="","؟",IF(ROUND($M1778-$N1778,0)=0,"√","×")))</f>
        <v/>
      </c>
      <c r="P1778" s="12" t="n"/>
    </row>
    <row r="1779">
      <c r="A1779" s="10">
        <f>IF($C1779="","",COUNTA($C$9:$C1779))</f>
        <v/>
      </c>
      <c r="B1779" s="10">
        <f>IF($C1779="","","TXN-"&amp;RIGHT("0000"&amp;1771,4))</f>
        <v/>
      </c>
      <c r="C1779" s="11" t="n"/>
      <c r="D1779" s="11" t="n"/>
      <c r="E1779" s="12" t="n"/>
      <c r="F1779" s="10">
        <f>IF($E1779="","",IFERROR(IF(VLOOKUP(LEFT(UPPER(TRIM($E1779)),6),BankTbl,2,0)="","(بدون عنوان)",VLOOKUP(LEFT(UPPER(TRIM($E1779)),6),BankTbl,2,0)),"بانک ناشناخته"))</f>
        <v/>
      </c>
      <c r="G1779" s="11" t="n"/>
      <c r="H1779" s="10">
        <f>IF($G1779="","",IFERROR(VLOOKUP($G1779,CustTbl,2,0),IFERROR(VLOOKUP($G1779,SuppTbl,2,0),IFERROR(VLOOKUP($G1779,AcctTbl,2,0),IFERROR(VLOOKUP($G1779,StaffTbl,2,0),"کد ناشناخته")))))</f>
        <v/>
      </c>
      <c r="I1779" s="12" t="n"/>
      <c r="J1779" s="12" t="n"/>
      <c r="K1779" s="13" t="n"/>
      <c r="L1779" s="13" t="n"/>
      <c r="M1779" s="13" t="n"/>
      <c r="N1779" s="14">
        <f>IF(OR($C1779="",$E1779="",Calc!$H1779=""),"",IFERROR(VLOOKUP(LEFT(UPPER(TRIM($E1779)),6),BankTbl,3,0),0)+SUMIFS(CalcDep,CalcBank,LEFT(UPPER(TRIM($E1779)),6),CalcKey,"&lt;="&amp;Calc!$H1779)-SUMIFS(CalcWit,CalcBank,LEFT(UPPER(TRIM($E1779)),6),CalcKey,"&lt;="&amp;Calc!$H1779))</f>
        <v/>
      </c>
      <c r="O1779" s="10">
        <f>IF(OR($C1779="",$M1779=""),"",IF($N1779="","؟",IF(ROUND($M1779-$N1779,0)=0,"√","×")))</f>
        <v/>
      </c>
      <c r="P1779" s="12" t="n"/>
    </row>
    <row r="1780">
      <c r="A1780" s="10">
        <f>IF($C1780="","",COUNTA($C$9:$C1780))</f>
        <v/>
      </c>
      <c r="B1780" s="10">
        <f>IF($C1780="","","TXN-"&amp;RIGHT("0000"&amp;1772,4))</f>
        <v/>
      </c>
      <c r="C1780" s="11" t="n"/>
      <c r="D1780" s="11" t="n"/>
      <c r="E1780" s="12" t="n"/>
      <c r="F1780" s="10">
        <f>IF($E1780="","",IFERROR(IF(VLOOKUP(LEFT(UPPER(TRIM($E1780)),6),BankTbl,2,0)="","(بدون عنوان)",VLOOKUP(LEFT(UPPER(TRIM($E1780)),6),BankTbl,2,0)),"بانک ناشناخته"))</f>
        <v/>
      </c>
      <c r="G1780" s="11" t="n"/>
      <c r="H1780" s="10">
        <f>IF($G1780="","",IFERROR(VLOOKUP($G1780,CustTbl,2,0),IFERROR(VLOOKUP($G1780,SuppTbl,2,0),IFERROR(VLOOKUP($G1780,AcctTbl,2,0),IFERROR(VLOOKUP($G1780,StaffTbl,2,0),"کد ناشناخته")))))</f>
        <v/>
      </c>
      <c r="I1780" s="12" t="n"/>
      <c r="J1780" s="12" t="n"/>
      <c r="K1780" s="13" t="n"/>
      <c r="L1780" s="13" t="n"/>
      <c r="M1780" s="13" t="n"/>
      <c r="N1780" s="14">
        <f>IF(OR($C1780="",$E1780="",Calc!$H1780=""),"",IFERROR(VLOOKUP(LEFT(UPPER(TRIM($E1780)),6),BankTbl,3,0),0)+SUMIFS(CalcDep,CalcBank,LEFT(UPPER(TRIM($E1780)),6),CalcKey,"&lt;="&amp;Calc!$H1780)-SUMIFS(CalcWit,CalcBank,LEFT(UPPER(TRIM($E1780)),6),CalcKey,"&lt;="&amp;Calc!$H1780))</f>
        <v/>
      </c>
      <c r="O1780" s="10">
        <f>IF(OR($C1780="",$M1780=""),"",IF($N1780="","؟",IF(ROUND($M1780-$N1780,0)=0,"√","×")))</f>
        <v/>
      </c>
      <c r="P1780" s="12" t="n"/>
    </row>
    <row r="1781">
      <c r="A1781" s="10">
        <f>IF($C1781="","",COUNTA($C$9:$C1781))</f>
        <v/>
      </c>
      <c r="B1781" s="10">
        <f>IF($C1781="","","TXN-"&amp;RIGHT("0000"&amp;1773,4))</f>
        <v/>
      </c>
      <c r="C1781" s="11" t="n"/>
      <c r="D1781" s="11" t="n"/>
      <c r="E1781" s="12" t="n"/>
      <c r="F1781" s="10">
        <f>IF($E1781="","",IFERROR(IF(VLOOKUP(LEFT(UPPER(TRIM($E1781)),6),BankTbl,2,0)="","(بدون عنوان)",VLOOKUP(LEFT(UPPER(TRIM($E1781)),6),BankTbl,2,0)),"بانک ناشناخته"))</f>
        <v/>
      </c>
      <c r="G1781" s="11" t="n"/>
      <c r="H1781" s="10">
        <f>IF($G1781="","",IFERROR(VLOOKUP($G1781,CustTbl,2,0),IFERROR(VLOOKUP($G1781,SuppTbl,2,0),IFERROR(VLOOKUP($G1781,AcctTbl,2,0),IFERROR(VLOOKUP($G1781,StaffTbl,2,0),"کد ناشناخته")))))</f>
        <v/>
      </c>
      <c r="I1781" s="12" t="n"/>
      <c r="J1781" s="12" t="n"/>
      <c r="K1781" s="13" t="n"/>
      <c r="L1781" s="13" t="n"/>
      <c r="M1781" s="13" t="n"/>
      <c r="N1781" s="14">
        <f>IF(OR($C1781="",$E1781="",Calc!$H1781=""),"",IFERROR(VLOOKUP(LEFT(UPPER(TRIM($E1781)),6),BankTbl,3,0),0)+SUMIFS(CalcDep,CalcBank,LEFT(UPPER(TRIM($E1781)),6),CalcKey,"&lt;="&amp;Calc!$H1781)-SUMIFS(CalcWit,CalcBank,LEFT(UPPER(TRIM($E1781)),6),CalcKey,"&lt;="&amp;Calc!$H1781))</f>
        <v/>
      </c>
      <c r="O1781" s="10">
        <f>IF(OR($C1781="",$M1781=""),"",IF($N1781="","؟",IF(ROUND($M1781-$N1781,0)=0,"√","×")))</f>
        <v/>
      </c>
      <c r="P1781" s="12" t="n"/>
    </row>
    <row r="1782">
      <c r="A1782" s="10">
        <f>IF($C1782="","",COUNTA($C$9:$C1782))</f>
        <v/>
      </c>
      <c r="B1782" s="10">
        <f>IF($C1782="","","TXN-"&amp;RIGHT("0000"&amp;1774,4))</f>
        <v/>
      </c>
      <c r="C1782" s="11" t="n"/>
      <c r="D1782" s="11" t="n"/>
      <c r="E1782" s="12" t="n"/>
      <c r="F1782" s="10">
        <f>IF($E1782="","",IFERROR(IF(VLOOKUP(LEFT(UPPER(TRIM($E1782)),6),BankTbl,2,0)="","(بدون عنوان)",VLOOKUP(LEFT(UPPER(TRIM($E1782)),6),BankTbl,2,0)),"بانک ناشناخته"))</f>
        <v/>
      </c>
      <c r="G1782" s="11" t="n"/>
      <c r="H1782" s="10">
        <f>IF($G1782="","",IFERROR(VLOOKUP($G1782,CustTbl,2,0),IFERROR(VLOOKUP($G1782,SuppTbl,2,0),IFERROR(VLOOKUP($G1782,AcctTbl,2,0),IFERROR(VLOOKUP($G1782,StaffTbl,2,0),"کد ناشناخته")))))</f>
        <v/>
      </c>
      <c r="I1782" s="12" t="n"/>
      <c r="J1782" s="12" t="n"/>
      <c r="K1782" s="13" t="n"/>
      <c r="L1782" s="13" t="n"/>
      <c r="M1782" s="13" t="n"/>
      <c r="N1782" s="14">
        <f>IF(OR($C1782="",$E1782="",Calc!$H1782=""),"",IFERROR(VLOOKUP(LEFT(UPPER(TRIM($E1782)),6),BankTbl,3,0),0)+SUMIFS(CalcDep,CalcBank,LEFT(UPPER(TRIM($E1782)),6),CalcKey,"&lt;="&amp;Calc!$H1782)-SUMIFS(CalcWit,CalcBank,LEFT(UPPER(TRIM($E1782)),6),CalcKey,"&lt;="&amp;Calc!$H1782))</f>
        <v/>
      </c>
      <c r="O1782" s="10">
        <f>IF(OR($C1782="",$M1782=""),"",IF($N1782="","؟",IF(ROUND($M1782-$N1782,0)=0,"√","×")))</f>
        <v/>
      </c>
      <c r="P1782" s="12" t="n"/>
    </row>
    <row r="1783">
      <c r="A1783" s="10">
        <f>IF($C1783="","",COUNTA($C$9:$C1783))</f>
        <v/>
      </c>
      <c r="B1783" s="10">
        <f>IF($C1783="","","TXN-"&amp;RIGHT("0000"&amp;1775,4))</f>
        <v/>
      </c>
      <c r="C1783" s="11" t="n"/>
      <c r="D1783" s="11" t="n"/>
      <c r="E1783" s="12" t="n"/>
      <c r="F1783" s="10">
        <f>IF($E1783="","",IFERROR(IF(VLOOKUP(LEFT(UPPER(TRIM($E1783)),6),BankTbl,2,0)="","(بدون عنوان)",VLOOKUP(LEFT(UPPER(TRIM($E1783)),6),BankTbl,2,0)),"بانک ناشناخته"))</f>
        <v/>
      </c>
      <c r="G1783" s="11" t="n"/>
      <c r="H1783" s="10">
        <f>IF($G1783="","",IFERROR(VLOOKUP($G1783,CustTbl,2,0),IFERROR(VLOOKUP($G1783,SuppTbl,2,0),IFERROR(VLOOKUP($G1783,AcctTbl,2,0),IFERROR(VLOOKUP($G1783,StaffTbl,2,0),"کد ناشناخته")))))</f>
        <v/>
      </c>
      <c r="I1783" s="12" t="n"/>
      <c r="J1783" s="12" t="n"/>
      <c r="K1783" s="13" t="n"/>
      <c r="L1783" s="13" t="n"/>
      <c r="M1783" s="13" t="n"/>
      <c r="N1783" s="14">
        <f>IF(OR($C1783="",$E1783="",Calc!$H1783=""),"",IFERROR(VLOOKUP(LEFT(UPPER(TRIM($E1783)),6),BankTbl,3,0),0)+SUMIFS(CalcDep,CalcBank,LEFT(UPPER(TRIM($E1783)),6),CalcKey,"&lt;="&amp;Calc!$H1783)-SUMIFS(CalcWit,CalcBank,LEFT(UPPER(TRIM($E1783)),6),CalcKey,"&lt;="&amp;Calc!$H1783))</f>
        <v/>
      </c>
      <c r="O1783" s="10">
        <f>IF(OR($C1783="",$M1783=""),"",IF($N1783="","؟",IF(ROUND($M1783-$N1783,0)=0,"√","×")))</f>
        <v/>
      </c>
      <c r="P1783" s="12" t="n"/>
    </row>
    <row r="1784">
      <c r="A1784" s="10">
        <f>IF($C1784="","",COUNTA($C$9:$C1784))</f>
        <v/>
      </c>
      <c r="B1784" s="10">
        <f>IF($C1784="","","TXN-"&amp;RIGHT("0000"&amp;1776,4))</f>
        <v/>
      </c>
      <c r="C1784" s="11" t="n"/>
      <c r="D1784" s="11" t="n"/>
      <c r="E1784" s="12" t="n"/>
      <c r="F1784" s="10">
        <f>IF($E1784="","",IFERROR(IF(VLOOKUP(LEFT(UPPER(TRIM($E1784)),6),BankTbl,2,0)="","(بدون عنوان)",VLOOKUP(LEFT(UPPER(TRIM($E1784)),6),BankTbl,2,0)),"بانک ناشناخته"))</f>
        <v/>
      </c>
      <c r="G1784" s="11" t="n"/>
      <c r="H1784" s="10">
        <f>IF($G1784="","",IFERROR(VLOOKUP($G1784,CustTbl,2,0),IFERROR(VLOOKUP($G1784,SuppTbl,2,0),IFERROR(VLOOKUP($G1784,AcctTbl,2,0),IFERROR(VLOOKUP($G1784,StaffTbl,2,0),"کد ناشناخته")))))</f>
        <v/>
      </c>
      <c r="I1784" s="12" t="n"/>
      <c r="J1784" s="12" t="n"/>
      <c r="K1784" s="13" t="n"/>
      <c r="L1784" s="13" t="n"/>
      <c r="M1784" s="13" t="n"/>
      <c r="N1784" s="14">
        <f>IF(OR($C1784="",$E1784="",Calc!$H1784=""),"",IFERROR(VLOOKUP(LEFT(UPPER(TRIM($E1784)),6),BankTbl,3,0),0)+SUMIFS(CalcDep,CalcBank,LEFT(UPPER(TRIM($E1784)),6),CalcKey,"&lt;="&amp;Calc!$H1784)-SUMIFS(CalcWit,CalcBank,LEFT(UPPER(TRIM($E1784)),6),CalcKey,"&lt;="&amp;Calc!$H1784))</f>
        <v/>
      </c>
      <c r="O1784" s="10">
        <f>IF(OR($C1784="",$M1784=""),"",IF($N1784="","؟",IF(ROUND($M1784-$N1784,0)=0,"√","×")))</f>
        <v/>
      </c>
      <c r="P1784" s="12" t="n"/>
    </row>
    <row r="1785">
      <c r="A1785" s="10">
        <f>IF($C1785="","",COUNTA($C$9:$C1785))</f>
        <v/>
      </c>
      <c r="B1785" s="10">
        <f>IF($C1785="","","TXN-"&amp;RIGHT("0000"&amp;1777,4))</f>
        <v/>
      </c>
      <c r="C1785" s="11" t="n"/>
      <c r="D1785" s="11" t="n"/>
      <c r="E1785" s="12" t="n"/>
      <c r="F1785" s="10">
        <f>IF($E1785="","",IFERROR(IF(VLOOKUP(LEFT(UPPER(TRIM($E1785)),6),BankTbl,2,0)="","(بدون عنوان)",VLOOKUP(LEFT(UPPER(TRIM($E1785)),6),BankTbl,2,0)),"بانک ناشناخته"))</f>
        <v/>
      </c>
      <c r="G1785" s="11" t="n"/>
      <c r="H1785" s="10">
        <f>IF($G1785="","",IFERROR(VLOOKUP($G1785,CustTbl,2,0),IFERROR(VLOOKUP($G1785,SuppTbl,2,0),IFERROR(VLOOKUP($G1785,AcctTbl,2,0),IFERROR(VLOOKUP($G1785,StaffTbl,2,0),"کد ناشناخته")))))</f>
        <v/>
      </c>
      <c r="I1785" s="12" t="n"/>
      <c r="J1785" s="12" t="n"/>
      <c r="K1785" s="13" t="n"/>
      <c r="L1785" s="13" t="n"/>
      <c r="M1785" s="13" t="n"/>
      <c r="N1785" s="14">
        <f>IF(OR($C1785="",$E1785="",Calc!$H1785=""),"",IFERROR(VLOOKUP(LEFT(UPPER(TRIM($E1785)),6),BankTbl,3,0),0)+SUMIFS(CalcDep,CalcBank,LEFT(UPPER(TRIM($E1785)),6),CalcKey,"&lt;="&amp;Calc!$H1785)-SUMIFS(CalcWit,CalcBank,LEFT(UPPER(TRIM($E1785)),6),CalcKey,"&lt;="&amp;Calc!$H1785))</f>
        <v/>
      </c>
      <c r="O1785" s="10">
        <f>IF(OR($C1785="",$M1785=""),"",IF($N1785="","؟",IF(ROUND($M1785-$N1785,0)=0,"√","×")))</f>
        <v/>
      </c>
      <c r="P1785" s="12" t="n"/>
    </row>
    <row r="1786">
      <c r="A1786" s="10">
        <f>IF($C1786="","",COUNTA($C$9:$C1786))</f>
        <v/>
      </c>
      <c r="B1786" s="10">
        <f>IF($C1786="","","TXN-"&amp;RIGHT("0000"&amp;1778,4))</f>
        <v/>
      </c>
      <c r="C1786" s="11" t="n"/>
      <c r="D1786" s="11" t="n"/>
      <c r="E1786" s="12" t="n"/>
      <c r="F1786" s="10">
        <f>IF($E1786="","",IFERROR(IF(VLOOKUP(LEFT(UPPER(TRIM($E1786)),6),BankTbl,2,0)="","(بدون عنوان)",VLOOKUP(LEFT(UPPER(TRIM($E1786)),6),BankTbl,2,0)),"بانک ناشناخته"))</f>
        <v/>
      </c>
      <c r="G1786" s="11" t="n"/>
      <c r="H1786" s="10">
        <f>IF($G1786="","",IFERROR(VLOOKUP($G1786,CustTbl,2,0),IFERROR(VLOOKUP($G1786,SuppTbl,2,0),IFERROR(VLOOKUP($G1786,AcctTbl,2,0),IFERROR(VLOOKUP($G1786,StaffTbl,2,0),"کد ناشناخته")))))</f>
        <v/>
      </c>
      <c r="I1786" s="12" t="n"/>
      <c r="J1786" s="12" t="n"/>
      <c r="K1786" s="13" t="n"/>
      <c r="L1786" s="13" t="n"/>
      <c r="M1786" s="13" t="n"/>
      <c r="N1786" s="14">
        <f>IF(OR($C1786="",$E1786="",Calc!$H1786=""),"",IFERROR(VLOOKUP(LEFT(UPPER(TRIM($E1786)),6),BankTbl,3,0),0)+SUMIFS(CalcDep,CalcBank,LEFT(UPPER(TRIM($E1786)),6),CalcKey,"&lt;="&amp;Calc!$H1786)-SUMIFS(CalcWit,CalcBank,LEFT(UPPER(TRIM($E1786)),6),CalcKey,"&lt;="&amp;Calc!$H1786))</f>
        <v/>
      </c>
      <c r="O1786" s="10">
        <f>IF(OR($C1786="",$M1786=""),"",IF($N1786="","؟",IF(ROUND($M1786-$N1786,0)=0,"√","×")))</f>
        <v/>
      </c>
      <c r="P1786" s="12" t="n"/>
    </row>
    <row r="1787">
      <c r="A1787" s="10">
        <f>IF($C1787="","",COUNTA($C$9:$C1787))</f>
        <v/>
      </c>
      <c r="B1787" s="10">
        <f>IF($C1787="","","TXN-"&amp;RIGHT("0000"&amp;1779,4))</f>
        <v/>
      </c>
      <c r="C1787" s="11" t="n"/>
      <c r="D1787" s="11" t="n"/>
      <c r="E1787" s="12" t="n"/>
      <c r="F1787" s="10">
        <f>IF($E1787="","",IFERROR(IF(VLOOKUP(LEFT(UPPER(TRIM($E1787)),6),BankTbl,2,0)="","(بدون عنوان)",VLOOKUP(LEFT(UPPER(TRIM($E1787)),6),BankTbl,2,0)),"بانک ناشناخته"))</f>
        <v/>
      </c>
      <c r="G1787" s="11" t="n"/>
      <c r="H1787" s="10">
        <f>IF($G1787="","",IFERROR(VLOOKUP($G1787,CustTbl,2,0),IFERROR(VLOOKUP($G1787,SuppTbl,2,0),IFERROR(VLOOKUP($G1787,AcctTbl,2,0),IFERROR(VLOOKUP($G1787,StaffTbl,2,0),"کد ناشناخته")))))</f>
        <v/>
      </c>
      <c r="I1787" s="12" t="n"/>
      <c r="J1787" s="12" t="n"/>
      <c r="K1787" s="13" t="n"/>
      <c r="L1787" s="13" t="n"/>
      <c r="M1787" s="13" t="n"/>
      <c r="N1787" s="14">
        <f>IF(OR($C1787="",$E1787="",Calc!$H1787=""),"",IFERROR(VLOOKUP(LEFT(UPPER(TRIM($E1787)),6),BankTbl,3,0),0)+SUMIFS(CalcDep,CalcBank,LEFT(UPPER(TRIM($E1787)),6),CalcKey,"&lt;="&amp;Calc!$H1787)-SUMIFS(CalcWit,CalcBank,LEFT(UPPER(TRIM($E1787)),6),CalcKey,"&lt;="&amp;Calc!$H1787))</f>
        <v/>
      </c>
      <c r="O1787" s="10">
        <f>IF(OR($C1787="",$M1787=""),"",IF($N1787="","؟",IF(ROUND($M1787-$N1787,0)=0,"√","×")))</f>
        <v/>
      </c>
      <c r="P1787" s="12" t="n"/>
    </row>
    <row r="1788">
      <c r="A1788" s="10">
        <f>IF($C1788="","",COUNTA($C$9:$C1788))</f>
        <v/>
      </c>
      <c r="B1788" s="10">
        <f>IF($C1788="","","TXN-"&amp;RIGHT("0000"&amp;1780,4))</f>
        <v/>
      </c>
      <c r="C1788" s="11" t="n"/>
      <c r="D1788" s="11" t="n"/>
      <c r="E1788" s="12" t="n"/>
      <c r="F1788" s="10">
        <f>IF($E1788="","",IFERROR(IF(VLOOKUP(LEFT(UPPER(TRIM($E1788)),6),BankTbl,2,0)="","(بدون عنوان)",VLOOKUP(LEFT(UPPER(TRIM($E1788)),6),BankTbl,2,0)),"بانک ناشناخته"))</f>
        <v/>
      </c>
      <c r="G1788" s="11" t="n"/>
      <c r="H1788" s="10">
        <f>IF($G1788="","",IFERROR(VLOOKUP($G1788,CustTbl,2,0),IFERROR(VLOOKUP($G1788,SuppTbl,2,0),IFERROR(VLOOKUP($G1788,AcctTbl,2,0),IFERROR(VLOOKUP($G1788,StaffTbl,2,0),"کد ناشناخته")))))</f>
        <v/>
      </c>
      <c r="I1788" s="12" t="n"/>
      <c r="J1788" s="12" t="n"/>
      <c r="K1788" s="13" t="n"/>
      <c r="L1788" s="13" t="n"/>
      <c r="M1788" s="13" t="n"/>
      <c r="N1788" s="14">
        <f>IF(OR($C1788="",$E1788="",Calc!$H1788=""),"",IFERROR(VLOOKUP(LEFT(UPPER(TRIM($E1788)),6),BankTbl,3,0),0)+SUMIFS(CalcDep,CalcBank,LEFT(UPPER(TRIM($E1788)),6),CalcKey,"&lt;="&amp;Calc!$H1788)-SUMIFS(CalcWit,CalcBank,LEFT(UPPER(TRIM($E1788)),6),CalcKey,"&lt;="&amp;Calc!$H1788))</f>
        <v/>
      </c>
      <c r="O1788" s="10">
        <f>IF(OR($C1788="",$M1788=""),"",IF($N1788="","؟",IF(ROUND($M1788-$N1788,0)=0,"√","×")))</f>
        <v/>
      </c>
      <c r="P1788" s="12" t="n"/>
    </row>
    <row r="1789">
      <c r="A1789" s="10">
        <f>IF($C1789="","",COUNTA($C$9:$C1789))</f>
        <v/>
      </c>
      <c r="B1789" s="10">
        <f>IF($C1789="","","TXN-"&amp;RIGHT("0000"&amp;1781,4))</f>
        <v/>
      </c>
      <c r="C1789" s="11" t="n"/>
      <c r="D1789" s="11" t="n"/>
      <c r="E1789" s="12" t="n"/>
      <c r="F1789" s="10">
        <f>IF($E1789="","",IFERROR(IF(VLOOKUP(LEFT(UPPER(TRIM($E1789)),6),BankTbl,2,0)="","(بدون عنوان)",VLOOKUP(LEFT(UPPER(TRIM($E1789)),6),BankTbl,2,0)),"بانک ناشناخته"))</f>
        <v/>
      </c>
      <c r="G1789" s="11" t="n"/>
      <c r="H1789" s="10">
        <f>IF($G1789="","",IFERROR(VLOOKUP($G1789,CustTbl,2,0),IFERROR(VLOOKUP($G1789,SuppTbl,2,0),IFERROR(VLOOKUP($G1789,AcctTbl,2,0),IFERROR(VLOOKUP($G1789,StaffTbl,2,0),"کد ناشناخته")))))</f>
        <v/>
      </c>
      <c r="I1789" s="12" t="n"/>
      <c r="J1789" s="12" t="n"/>
      <c r="K1789" s="13" t="n"/>
      <c r="L1789" s="13" t="n"/>
      <c r="M1789" s="13" t="n"/>
      <c r="N1789" s="14">
        <f>IF(OR($C1789="",$E1789="",Calc!$H1789=""),"",IFERROR(VLOOKUP(LEFT(UPPER(TRIM($E1789)),6),BankTbl,3,0),0)+SUMIFS(CalcDep,CalcBank,LEFT(UPPER(TRIM($E1789)),6),CalcKey,"&lt;="&amp;Calc!$H1789)-SUMIFS(CalcWit,CalcBank,LEFT(UPPER(TRIM($E1789)),6),CalcKey,"&lt;="&amp;Calc!$H1789))</f>
        <v/>
      </c>
      <c r="O1789" s="10">
        <f>IF(OR($C1789="",$M1789=""),"",IF($N1789="","؟",IF(ROUND($M1789-$N1789,0)=0,"√","×")))</f>
        <v/>
      </c>
      <c r="P1789" s="12" t="n"/>
    </row>
    <row r="1790">
      <c r="A1790" s="10">
        <f>IF($C1790="","",COUNTA($C$9:$C1790))</f>
        <v/>
      </c>
      <c r="B1790" s="10">
        <f>IF($C1790="","","TXN-"&amp;RIGHT("0000"&amp;1782,4))</f>
        <v/>
      </c>
      <c r="C1790" s="11" t="n"/>
      <c r="D1790" s="11" t="n"/>
      <c r="E1790" s="12" t="n"/>
      <c r="F1790" s="10">
        <f>IF($E1790="","",IFERROR(IF(VLOOKUP(LEFT(UPPER(TRIM($E1790)),6),BankTbl,2,0)="","(بدون عنوان)",VLOOKUP(LEFT(UPPER(TRIM($E1790)),6),BankTbl,2,0)),"بانک ناشناخته"))</f>
        <v/>
      </c>
      <c r="G1790" s="11" t="n"/>
      <c r="H1790" s="10">
        <f>IF($G1790="","",IFERROR(VLOOKUP($G1790,CustTbl,2,0),IFERROR(VLOOKUP($G1790,SuppTbl,2,0),IFERROR(VLOOKUP($G1790,AcctTbl,2,0),IFERROR(VLOOKUP($G1790,StaffTbl,2,0),"کد ناشناخته")))))</f>
        <v/>
      </c>
      <c r="I1790" s="12" t="n"/>
      <c r="J1790" s="12" t="n"/>
      <c r="K1790" s="13" t="n"/>
      <c r="L1790" s="13" t="n"/>
      <c r="M1790" s="13" t="n"/>
      <c r="N1790" s="14">
        <f>IF(OR($C1790="",$E1790="",Calc!$H1790=""),"",IFERROR(VLOOKUP(LEFT(UPPER(TRIM($E1790)),6),BankTbl,3,0),0)+SUMIFS(CalcDep,CalcBank,LEFT(UPPER(TRIM($E1790)),6),CalcKey,"&lt;="&amp;Calc!$H1790)-SUMIFS(CalcWit,CalcBank,LEFT(UPPER(TRIM($E1790)),6),CalcKey,"&lt;="&amp;Calc!$H1790))</f>
        <v/>
      </c>
      <c r="O1790" s="10">
        <f>IF(OR($C1790="",$M1790=""),"",IF($N1790="","؟",IF(ROUND($M1790-$N1790,0)=0,"√","×")))</f>
        <v/>
      </c>
      <c r="P1790" s="12" t="n"/>
    </row>
    <row r="1791">
      <c r="A1791" s="10">
        <f>IF($C1791="","",COUNTA($C$9:$C1791))</f>
        <v/>
      </c>
      <c r="B1791" s="10">
        <f>IF($C1791="","","TXN-"&amp;RIGHT("0000"&amp;1783,4))</f>
        <v/>
      </c>
      <c r="C1791" s="11" t="n"/>
      <c r="D1791" s="11" t="n"/>
      <c r="E1791" s="12" t="n"/>
      <c r="F1791" s="10">
        <f>IF($E1791="","",IFERROR(IF(VLOOKUP(LEFT(UPPER(TRIM($E1791)),6),BankTbl,2,0)="","(بدون عنوان)",VLOOKUP(LEFT(UPPER(TRIM($E1791)),6),BankTbl,2,0)),"بانک ناشناخته"))</f>
        <v/>
      </c>
      <c r="G1791" s="11" t="n"/>
      <c r="H1791" s="10">
        <f>IF($G1791="","",IFERROR(VLOOKUP($G1791,CustTbl,2,0),IFERROR(VLOOKUP($G1791,SuppTbl,2,0),IFERROR(VLOOKUP($G1791,AcctTbl,2,0),IFERROR(VLOOKUP($G1791,StaffTbl,2,0),"کد ناشناخته")))))</f>
        <v/>
      </c>
      <c r="I1791" s="12" t="n"/>
      <c r="J1791" s="12" t="n"/>
      <c r="K1791" s="13" t="n"/>
      <c r="L1791" s="13" t="n"/>
      <c r="M1791" s="13" t="n"/>
      <c r="N1791" s="14">
        <f>IF(OR($C1791="",$E1791="",Calc!$H1791=""),"",IFERROR(VLOOKUP(LEFT(UPPER(TRIM($E1791)),6),BankTbl,3,0),0)+SUMIFS(CalcDep,CalcBank,LEFT(UPPER(TRIM($E1791)),6),CalcKey,"&lt;="&amp;Calc!$H1791)-SUMIFS(CalcWit,CalcBank,LEFT(UPPER(TRIM($E1791)),6),CalcKey,"&lt;="&amp;Calc!$H1791))</f>
        <v/>
      </c>
      <c r="O1791" s="10">
        <f>IF(OR($C1791="",$M1791=""),"",IF($N1791="","؟",IF(ROUND($M1791-$N1791,0)=0,"√","×")))</f>
        <v/>
      </c>
      <c r="P1791" s="12" t="n"/>
    </row>
    <row r="1792">
      <c r="A1792" s="10">
        <f>IF($C1792="","",COUNTA($C$9:$C1792))</f>
        <v/>
      </c>
      <c r="B1792" s="10">
        <f>IF($C1792="","","TXN-"&amp;RIGHT("0000"&amp;1784,4))</f>
        <v/>
      </c>
      <c r="C1792" s="11" t="n"/>
      <c r="D1792" s="11" t="n"/>
      <c r="E1792" s="12" t="n"/>
      <c r="F1792" s="10">
        <f>IF($E1792="","",IFERROR(IF(VLOOKUP(LEFT(UPPER(TRIM($E1792)),6),BankTbl,2,0)="","(بدون عنوان)",VLOOKUP(LEFT(UPPER(TRIM($E1792)),6),BankTbl,2,0)),"بانک ناشناخته"))</f>
        <v/>
      </c>
      <c r="G1792" s="11" t="n"/>
      <c r="H1792" s="10">
        <f>IF($G1792="","",IFERROR(VLOOKUP($G1792,CustTbl,2,0),IFERROR(VLOOKUP($G1792,SuppTbl,2,0),IFERROR(VLOOKUP($G1792,AcctTbl,2,0),IFERROR(VLOOKUP($G1792,StaffTbl,2,0),"کد ناشناخته")))))</f>
        <v/>
      </c>
      <c r="I1792" s="12" t="n"/>
      <c r="J1792" s="12" t="n"/>
      <c r="K1792" s="13" t="n"/>
      <c r="L1792" s="13" t="n"/>
      <c r="M1792" s="13" t="n"/>
      <c r="N1792" s="14">
        <f>IF(OR($C1792="",$E1792="",Calc!$H1792=""),"",IFERROR(VLOOKUP(LEFT(UPPER(TRIM($E1792)),6),BankTbl,3,0),0)+SUMIFS(CalcDep,CalcBank,LEFT(UPPER(TRIM($E1792)),6),CalcKey,"&lt;="&amp;Calc!$H1792)-SUMIFS(CalcWit,CalcBank,LEFT(UPPER(TRIM($E1792)),6),CalcKey,"&lt;="&amp;Calc!$H1792))</f>
        <v/>
      </c>
      <c r="O1792" s="10">
        <f>IF(OR($C1792="",$M1792=""),"",IF($N1792="","؟",IF(ROUND($M1792-$N1792,0)=0,"√","×")))</f>
        <v/>
      </c>
      <c r="P1792" s="12" t="n"/>
    </row>
    <row r="1793">
      <c r="A1793" s="10">
        <f>IF($C1793="","",COUNTA($C$9:$C1793))</f>
        <v/>
      </c>
      <c r="B1793" s="10">
        <f>IF($C1793="","","TXN-"&amp;RIGHT("0000"&amp;1785,4))</f>
        <v/>
      </c>
      <c r="C1793" s="11" t="n"/>
      <c r="D1793" s="11" t="n"/>
      <c r="E1793" s="12" t="n"/>
      <c r="F1793" s="10">
        <f>IF($E1793="","",IFERROR(IF(VLOOKUP(LEFT(UPPER(TRIM($E1793)),6),BankTbl,2,0)="","(بدون عنوان)",VLOOKUP(LEFT(UPPER(TRIM($E1793)),6),BankTbl,2,0)),"بانک ناشناخته"))</f>
        <v/>
      </c>
      <c r="G1793" s="11" t="n"/>
      <c r="H1793" s="10">
        <f>IF($G1793="","",IFERROR(VLOOKUP($G1793,CustTbl,2,0),IFERROR(VLOOKUP($G1793,SuppTbl,2,0),IFERROR(VLOOKUP($G1793,AcctTbl,2,0),IFERROR(VLOOKUP($G1793,StaffTbl,2,0),"کد ناشناخته")))))</f>
        <v/>
      </c>
      <c r="I1793" s="12" t="n"/>
      <c r="J1793" s="12" t="n"/>
      <c r="K1793" s="13" t="n"/>
      <c r="L1793" s="13" t="n"/>
      <c r="M1793" s="13" t="n"/>
      <c r="N1793" s="14">
        <f>IF(OR($C1793="",$E1793="",Calc!$H1793=""),"",IFERROR(VLOOKUP(LEFT(UPPER(TRIM($E1793)),6),BankTbl,3,0),0)+SUMIFS(CalcDep,CalcBank,LEFT(UPPER(TRIM($E1793)),6),CalcKey,"&lt;="&amp;Calc!$H1793)-SUMIFS(CalcWit,CalcBank,LEFT(UPPER(TRIM($E1793)),6),CalcKey,"&lt;="&amp;Calc!$H1793))</f>
        <v/>
      </c>
      <c r="O1793" s="10">
        <f>IF(OR($C1793="",$M1793=""),"",IF($N1793="","؟",IF(ROUND($M1793-$N1793,0)=0,"√","×")))</f>
        <v/>
      </c>
      <c r="P1793" s="12" t="n"/>
    </row>
    <row r="1794">
      <c r="A1794" s="10">
        <f>IF($C1794="","",COUNTA($C$9:$C1794))</f>
        <v/>
      </c>
      <c r="B1794" s="10">
        <f>IF($C1794="","","TXN-"&amp;RIGHT("0000"&amp;1786,4))</f>
        <v/>
      </c>
      <c r="C1794" s="11" t="n"/>
      <c r="D1794" s="11" t="n"/>
      <c r="E1794" s="12" t="n"/>
      <c r="F1794" s="10">
        <f>IF($E1794="","",IFERROR(IF(VLOOKUP(LEFT(UPPER(TRIM($E1794)),6),BankTbl,2,0)="","(بدون عنوان)",VLOOKUP(LEFT(UPPER(TRIM($E1794)),6),BankTbl,2,0)),"بانک ناشناخته"))</f>
        <v/>
      </c>
      <c r="G1794" s="11" t="n"/>
      <c r="H1794" s="10">
        <f>IF($G1794="","",IFERROR(VLOOKUP($G1794,CustTbl,2,0),IFERROR(VLOOKUP($G1794,SuppTbl,2,0),IFERROR(VLOOKUP($G1794,AcctTbl,2,0),IFERROR(VLOOKUP($G1794,StaffTbl,2,0),"کد ناشناخته")))))</f>
        <v/>
      </c>
      <c r="I1794" s="12" t="n"/>
      <c r="J1794" s="12" t="n"/>
      <c r="K1794" s="13" t="n"/>
      <c r="L1794" s="13" t="n"/>
      <c r="M1794" s="13" t="n"/>
      <c r="N1794" s="14">
        <f>IF(OR($C1794="",$E1794="",Calc!$H1794=""),"",IFERROR(VLOOKUP(LEFT(UPPER(TRIM($E1794)),6),BankTbl,3,0),0)+SUMIFS(CalcDep,CalcBank,LEFT(UPPER(TRIM($E1794)),6),CalcKey,"&lt;="&amp;Calc!$H1794)-SUMIFS(CalcWit,CalcBank,LEFT(UPPER(TRIM($E1794)),6),CalcKey,"&lt;="&amp;Calc!$H1794))</f>
        <v/>
      </c>
      <c r="O1794" s="10">
        <f>IF(OR($C1794="",$M1794=""),"",IF($N1794="","؟",IF(ROUND($M1794-$N1794,0)=0,"√","×")))</f>
        <v/>
      </c>
      <c r="P1794" s="12" t="n"/>
    </row>
    <row r="1795">
      <c r="A1795" s="10">
        <f>IF($C1795="","",COUNTA($C$9:$C1795))</f>
        <v/>
      </c>
      <c r="B1795" s="10">
        <f>IF($C1795="","","TXN-"&amp;RIGHT("0000"&amp;1787,4))</f>
        <v/>
      </c>
      <c r="C1795" s="11" t="n"/>
      <c r="D1795" s="11" t="n"/>
      <c r="E1795" s="12" t="n"/>
      <c r="F1795" s="10">
        <f>IF($E1795="","",IFERROR(IF(VLOOKUP(LEFT(UPPER(TRIM($E1795)),6),BankTbl,2,0)="","(بدون عنوان)",VLOOKUP(LEFT(UPPER(TRIM($E1795)),6),BankTbl,2,0)),"بانک ناشناخته"))</f>
        <v/>
      </c>
      <c r="G1795" s="11" t="n"/>
      <c r="H1795" s="10">
        <f>IF($G1795="","",IFERROR(VLOOKUP($G1795,CustTbl,2,0),IFERROR(VLOOKUP($G1795,SuppTbl,2,0),IFERROR(VLOOKUP($G1795,AcctTbl,2,0),IFERROR(VLOOKUP($G1795,StaffTbl,2,0),"کد ناشناخته")))))</f>
        <v/>
      </c>
      <c r="I1795" s="12" t="n"/>
      <c r="J1795" s="12" t="n"/>
      <c r="K1795" s="13" t="n"/>
      <c r="L1795" s="13" t="n"/>
      <c r="M1795" s="13" t="n"/>
      <c r="N1795" s="14">
        <f>IF(OR($C1795="",$E1795="",Calc!$H1795=""),"",IFERROR(VLOOKUP(LEFT(UPPER(TRIM($E1795)),6),BankTbl,3,0),0)+SUMIFS(CalcDep,CalcBank,LEFT(UPPER(TRIM($E1795)),6),CalcKey,"&lt;="&amp;Calc!$H1795)-SUMIFS(CalcWit,CalcBank,LEFT(UPPER(TRIM($E1795)),6),CalcKey,"&lt;="&amp;Calc!$H1795))</f>
        <v/>
      </c>
      <c r="O1795" s="10">
        <f>IF(OR($C1795="",$M1795=""),"",IF($N1795="","؟",IF(ROUND($M1795-$N1795,0)=0,"√","×")))</f>
        <v/>
      </c>
      <c r="P1795" s="12" t="n"/>
    </row>
    <row r="1796">
      <c r="A1796" s="10">
        <f>IF($C1796="","",COUNTA($C$9:$C1796))</f>
        <v/>
      </c>
      <c r="B1796" s="10">
        <f>IF($C1796="","","TXN-"&amp;RIGHT("0000"&amp;1788,4))</f>
        <v/>
      </c>
      <c r="C1796" s="11" t="n"/>
      <c r="D1796" s="11" t="n"/>
      <c r="E1796" s="12" t="n"/>
      <c r="F1796" s="10">
        <f>IF($E1796="","",IFERROR(IF(VLOOKUP(LEFT(UPPER(TRIM($E1796)),6),BankTbl,2,0)="","(بدون عنوان)",VLOOKUP(LEFT(UPPER(TRIM($E1796)),6),BankTbl,2,0)),"بانک ناشناخته"))</f>
        <v/>
      </c>
      <c r="G1796" s="11" t="n"/>
      <c r="H1796" s="10">
        <f>IF($G1796="","",IFERROR(VLOOKUP($G1796,CustTbl,2,0),IFERROR(VLOOKUP($G1796,SuppTbl,2,0),IFERROR(VLOOKUP($G1796,AcctTbl,2,0),IFERROR(VLOOKUP($G1796,StaffTbl,2,0),"کد ناشناخته")))))</f>
        <v/>
      </c>
      <c r="I1796" s="12" t="n"/>
      <c r="J1796" s="12" t="n"/>
      <c r="K1796" s="13" t="n"/>
      <c r="L1796" s="13" t="n"/>
      <c r="M1796" s="13" t="n"/>
      <c r="N1796" s="14">
        <f>IF(OR($C1796="",$E1796="",Calc!$H1796=""),"",IFERROR(VLOOKUP(LEFT(UPPER(TRIM($E1796)),6),BankTbl,3,0),0)+SUMIFS(CalcDep,CalcBank,LEFT(UPPER(TRIM($E1796)),6),CalcKey,"&lt;="&amp;Calc!$H1796)-SUMIFS(CalcWit,CalcBank,LEFT(UPPER(TRIM($E1796)),6),CalcKey,"&lt;="&amp;Calc!$H1796))</f>
        <v/>
      </c>
      <c r="O1796" s="10">
        <f>IF(OR($C1796="",$M1796=""),"",IF($N1796="","؟",IF(ROUND($M1796-$N1796,0)=0,"√","×")))</f>
        <v/>
      </c>
      <c r="P1796" s="12" t="n"/>
    </row>
    <row r="1797">
      <c r="A1797" s="10">
        <f>IF($C1797="","",COUNTA($C$9:$C1797))</f>
        <v/>
      </c>
      <c r="B1797" s="10">
        <f>IF($C1797="","","TXN-"&amp;RIGHT("0000"&amp;1789,4))</f>
        <v/>
      </c>
      <c r="C1797" s="11" t="n"/>
      <c r="D1797" s="11" t="n"/>
      <c r="E1797" s="12" t="n"/>
      <c r="F1797" s="10">
        <f>IF($E1797="","",IFERROR(IF(VLOOKUP(LEFT(UPPER(TRIM($E1797)),6),BankTbl,2,0)="","(بدون عنوان)",VLOOKUP(LEFT(UPPER(TRIM($E1797)),6),BankTbl,2,0)),"بانک ناشناخته"))</f>
        <v/>
      </c>
      <c r="G1797" s="11" t="n"/>
      <c r="H1797" s="10">
        <f>IF($G1797="","",IFERROR(VLOOKUP($G1797,CustTbl,2,0),IFERROR(VLOOKUP($G1797,SuppTbl,2,0),IFERROR(VLOOKUP($G1797,AcctTbl,2,0),IFERROR(VLOOKUP($G1797,StaffTbl,2,0),"کد ناشناخته")))))</f>
        <v/>
      </c>
      <c r="I1797" s="12" t="n"/>
      <c r="J1797" s="12" t="n"/>
      <c r="K1797" s="13" t="n"/>
      <c r="L1797" s="13" t="n"/>
      <c r="M1797" s="13" t="n"/>
      <c r="N1797" s="14">
        <f>IF(OR($C1797="",$E1797="",Calc!$H1797=""),"",IFERROR(VLOOKUP(LEFT(UPPER(TRIM($E1797)),6),BankTbl,3,0),0)+SUMIFS(CalcDep,CalcBank,LEFT(UPPER(TRIM($E1797)),6),CalcKey,"&lt;="&amp;Calc!$H1797)-SUMIFS(CalcWit,CalcBank,LEFT(UPPER(TRIM($E1797)),6),CalcKey,"&lt;="&amp;Calc!$H1797))</f>
        <v/>
      </c>
      <c r="O1797" s="10">
        <f>IF(OR($C1797="",$M1797=""),"",IF($N1797="","؟",IF(ROUND($M1797-$N1797,0)=0,"√","×")))</f>
        <v/>
      </c>
      <c r="P1797" s="12" t="n"/>
    </row>
    <row r="1798">
      <c r="A1798" s="10">
        <f>IF($C1798="","",COUNTA($C$9:$C1798))</f>
        <v/>
      </c>
      <c r="B1798" s="10">
        <f>IF($C1798="","","TXN-"&amp;RIGHT("0000"&amp;1790,4))</f>
        <v/>
      </c>
      <c r="C1798" s="11" t="n"/>
      <c r="D1798" s="11" t="n"/>
      <c r="E1798" s="12" t="n"/>
      <c r="F1798" s="10">
        <f>IF($E1798="","",IFERROR(IF(VLOOKUP(LEFT(UPPER(TRIM($E1798)),6),BankTbl,2,0)="","(بدون عنوان)",VLOOKUP(LEFT(UPPER(TRIM($E1798)),6),BankTbl,2,0)),"بانک ناشناخته"))</f>
        <v/>
      </c>
      <c r="G1798" s="11" t="n"/>
      <c r="H1798" s="10">
        <f>IF($G1798="","",IFERROR(VLOOKUP($G1798,CustTbl,2,0),IFERROR(VLOOKUP($G1798,SuppTbl,2,0),IFERROR(VLOOKUP($G1798,AcctTbl,2,0),IFERROR(VLOOKUP($G1798,StaffTbl,2,0),"کد ناشناخته")))))</f>
        <v/>
      </c>
      <c r="I1798" s="12" t="n"/>
      <c r="J1798" s="12" t="n"/>
      <c r="K1798" s="13" t="n"/>
      <c r="L1798" s="13" t="n"/>
      <c r="M1798" s="13" t="n"/>
      <c r="N1798" s="14">
        <f>IF(OR($C1798="",$E1798="",Calc!$H1798=""),"",IFERROR(VLOOKUP(LEFT(UPPER(TRIM($E1798)),6),BankTbl,3,0),0)+SUMIFS(CalcDep,CalcBank,LEFT(UPPER(TRIM($E1798)),6),CalcKey,"&lt;="&amp;Calc!$H1798)-SUMIFS(CalcWit,CalcBank,LEFT(UPPER(TRIM($E1798)),6),CalcKey,"&lt;="&amp;Calc!$H1798))</f>
        <v/>
      </c>
      <c r="O1798" s="10">
        <f>IF(OR($C1798="",$M1798=""),"",IF($N1798="","؟",IF(ROUND($M1798-$N1798,0)=0,"√","×")))</f>
        <v/>
      </c>
      <c r="P1798" s="12" t="n"/>
    </row>
    <row r="1799">
      <c r="A1799" s="10">
        <f>IF($C1799="","",COUNTA($C$9:$C1799))</f>
        <v/>
      </c>
      <c r="B1799" s="10">
        <f>IF($C1799="","","TXN-"&amp;RIGHT("0000"&amp;1791,4))</f>
        <v/>
      </c>
      <c r="C1799" s="11" t="n"/>
      <c r="D1799" s="11" t="n"/>
      <c r="E1799" s="12" t="n"/>
      <c r="F1799" s="10">
        <f>IF($E1799="","",IFERROR(IF(VLOOKUP(LEFT(UPPER(TRIM($E1799)),6),BankTbl,2,0)="","(بدون عنوان)",VLOOKUP(LEFT(UPPER(TRIM($E1799)),6),BankTbl,2,0)),"بانک ناشناخته"))</f>
        <v/>
      </c>
      <c r="G1799" s="11" t="n"/>
      <c r="H1799" s="10">
        <f>IF($G1799="","",IFERROR(VLOOKUP($G1799,CustTbl,2,0),IFERROR(VLOOKUP($G1799,SuppTbl,2,0),IFERROR(VLOOKUP($G1799,AcctTbl,2,0),IFERROR(VLOOKUP($G1799,StaffTbl,2,0),"کد ناشناخته")))))</f>
        <v/>
      </c>
      <c r="I1799" s="12" t="n"/>
      <c r="J1799" s="12" t="n"/>
      <c r="K1799" s="13" t="n"/>
      <c r="L1799" s="13" t="n"/>
      <c r="M1799" s="13" t="n"/>
      <c r="N1799" s="14">
        <f>IF(OR($C1799="",$E1799="",Calc!$H1799=""),"",IFERROR(VLOOKUP(LEFT(UPPER(TRIM($E1799)),6),BankTbl,3,0),0)+SUMIFS(CalcDep,CalcBank,LEFT(UPPER(TRIM($E1799)),6),CalcKey,"&lt;="&amp;Calc!$H1799)-SUMIFS(CalcWit,CalcBank,LEFT(UPPER(TRIM($E1799)),6),CalcKey,"&lt;="&amp;Calc!$H1799))</f>
        <v/>
      </c>
      <c r="O1799" s="10">
        <f>IF(OR($C1799="",$M1799=""),"",IF($N1799="","؟",IF(ROUND($M1799-$N1799,0)=0,"√","×")))</f>
        <v/>
      </c>
      <c r="P1799" s="12" t="n"/>
    </row>
    <row r="1800">
      <c r="A1800" s="10">
        <f>IF($C1800="","",COUNTA($C$9:$C1800))</f>
        <v/>
      </c>
      <c r="B1800" s="10">
        <f>IF($C1800="","","TXN-"&amp;RIGHT("0000"&amp;1792,4))</f>
        <v/>
      </c>
      <c r="C1800" s="11" t="n"/>
      <c r="D1800" s="11" t="n"/>
      <c r="E1800" s="12" t="n"/>
      <c r="F1800" s="10">
        <f>IF($E1800="","",IFERROR(IF(VLOOKUP(LEFT(UPPER(TRIM($E1800)),6),BankTbl,2,0)="","(بدون عنوان)",VLOOKUP(LEFT(UPPER(TRIM($E1800)),6),BankTbl,2,0)),"بانک ناشناخته"))</f>
        <v/>
      </c>
      <c r="G1800" s="11" t="n"/>
      <c r="H1800" s="10">
        <f>IF($G1800="","",IFERROR(VLOOKUP($G1800,CustTbl,2,0),IFERROR(VLOOKUP($G1800,SuppTbl,2,0),IFERROR(VLOOKUP($G1800,AcctTbl,2,0),IFERROR(VLOOKUP($G1800,StaffTbl,2,0),"کد ناشناخته")))))</f>
        <v/>
      </c>
      <c r="I1800" s="12" t="n"/>
      <c r="J1800" s="12" t="n"/>
      <c r="K1800" s="13" t="n"/>
      <c r="L1800" s="13" t="n"/>
      <c r="M1800" s="13" t="n"/>
      <c r="N1800" s="14">
        <f>IF(OR($C1800="",$E1800="",Calc!$H1800=""),"",IFERROR(VLOOKUP(LEFT(UPPER(TRIM($E1800)),6),BankTbl,3,0),0)+SUMIFS(CalcDep,CalcBank,LEFT(UPPER(TRIM($E1800)),6),CalcKey,"&lt;="&amp;Calc!$H1800)-SUMIFS(CalcWit,CalcBank,LEFT(UPPER(TRIM($E1800)),6),CalcKey,"&lt;="&amp;Calc!$H1800))</f>
        <v/>
      </c>
      <c r="O1800" s="10">
        <f>IF(OR($C1800="",$M1800=""),"",IF($N1800="","؟",IF(ROUND($M1800-$N1800,0)=0,"√","×")))</f>
        <v/>
      </c>
      <c r="P1800" s="12" t="n"/>
    </row>
    <row r="1801">
      <c r="A1801" s="10">
        <f>IF($C1801="","",COUNTA($C$9:$C1801))</f>
        <v/>
      </c>
      <c r="B1801" s="10">
        <f>IF($C1801="","","TXN-"&amp;RIGHT("0000"&amp;1793,4))</f>
        <v/>
      </c>
      <c r="C1801" s="11" t="n"/>
      <c r="D1801" s="11" t="n"/>
      <c r="E1801" s="12" t="n"/>
      <c r="F1801" s="10">
        <f>IF($E1801="","",IFERROR(IF(VLOOKUP(LEFT(UPPER(TRIM($E1801)),6),BankTbl,2,0)="","(بدون عنوان)",VLOOKUP(LEFT(UPPER(TRIM($E1801)),6),BankTbl,2,0)),"بانک ناشناخته"))</f>
        <v/>
      </c>
      <c r="G1801" s="11" t="n"/>
      <c r="H1801" s="10">
        <f>IF($G1801="","",IFERROR(VLOOKUP($G1801,CustTbl,2,0),IFERROR(VLOOKUP($G1801,SuppTbl,2,0),IFERROR(VLOOKUP($G1801,AcctTbl,2,0),IFERROR(VLOOKUP($G1801,StaffTbl,2,0),"کد ناشناخته")))))</f>
        <v/>
      </c>
      <c r="I1801" s="12" t="n"/>
      <c r="J1801" s="12" t="n"/>
      <c r="K1801" s="13" t="n"/>
      <c r="L1801" s="13" t="n"/>
      <c r="M1801" s="13" t="n"/>
      <c r="N1801" s="14">
        <f>IF(OR($C1801="",$E1801="",Calc!$H1801=""),"",IFERROR(VLOOKUP(LEFT(UPPER(TRIM($E1801)),6),BankTbl,3,0),0)+SUMIFS(CalcDep,CalcBank,LEFT(UPPER(TRIM($E1801)),6),CalcKey,"&lt;="&amp;Calc!$H1801)-SUMIFS(CalcWit,CalcBank,LEFT(UPPER(TRIM($E1801)),6),CalcKey,"&lt;="&amp;Calc!$H1801))</f>
        <v/>
      </c>
      <c r="O1801" s="10">
        <f>IF(OR($C1801="",$M1801=""),"",IF($N1801="","؟",IF(ROUND($M1801-$N1801,0)=0,"√","×")))</f>
        <v/>
      </c>
      <c r="P1801" s="12" t="n"/>
    </row>
    <row r="1802">
      <c r="A1802" s="10">
        <f>IF($C1802="","",COUNTA($C$9:$C1802))</f>
        <v/>
      </c>
      <c r="B1802" s="10">
        <f>IF($C1802="","","TXN-"&amp;RIGHT("0000"&amp;1794,4))</f>
        <v/>
      </c>
      <c r="C1802" s="11" t="n"/>
      <c r="D1802" s="11" t="n"/>
      <c r="E1802" s="12" t="n"/>
      <c r="F1802" s="10">
        <f>IF($E1802="","",IFERROR(IF(VLOOKUP(LEFT(UPPER(TRIM($E1802)),6),BankTbl,2,0)="","(بدون عنوان)",VLOOKUP(LEFT(UPPER(TRIM($E1802)),6),BankTbl,2,0)),"بانک ناشناخته"))</f>
        <v/>
      </c>
      <c r="G1802" s="11" t="n"/>
      <c r="H1802" s="10">
        <f>IF($G1802="","",IFERROR(VLOOKUP($G1802,CustTbl,2,0),IFERROR(VLOOKUP($G1802,SuppTbl,2,0),IFERROR(VLOOKUP($G1802,AcctTbl,2,0),IFERROR(VLOOKUP($G1802,StaffTbl,2,0),"کد ناشناخته")))))</f>
        <v/>
      </c>
      <c r="I1802" s="12" t="n"/>
      <c r="J1802" s="12" t="n"/>
      <c r="K1802" s="13" t="n"/>
      <c r="L1802" s="13" t="n"/>
      <c r="M1802" s="13" t="n"/>
      <c r="N1802" s="14">
        <f>IF(OR($C1802="",$E1802="",Calc!$H1802=""),"",IFERROR(VLOOKUP(LEFT(UPPER(TRIM($E1802)),6),BankTbl,3,0),0)+SUMIFS(CalcDep,CalcBank,LEFT(UPPER(TRIM($E1802)),6),CalcKey,"&lt;="&amp;Calc!$H1802)-SUMIFS(CalcWit,CalcBank,LEFT(UPPER(TRIM($E1802)),6),CalcKey,"&lt;="&amp;Calc!$H1802))</f>
        <v/>
      </c>
      <c r="O1802" s="10">
        <f>IF(OR($C1802="",$M1802=""),"",IF($N1802="","؟",IF(ROUND($M1802-$N1802,0)=0,"√","×")))</f>
        <v/>
      </c>
      <c r="P1802" s="12" t="n"/>
    </row>
    <row r="1803">
      <c r="A1803" s="10">
        <f>IF($C1803="","",COUNTA($C$9:$C1803))</f>
        <v/>
      </c>
      <c r="B1803" s="10">
        <f>IF($C1803="","","TXN-"&amp;RIGHT("0000"&amp;1795,4))</f>
        <v/>
      </c>
      <c r="C1803" s="11" t="n"/>
      <c r="D1803" s="11" t="n"/>
      <c r="E1803" s="12" t="n"/>
      <c r="F1803" s="10">
        <f>IF($E1803="","",IFERROR(IF(VLOOKUP(LEFT(UPPER(TRIM($E1803)),6),BankTbl,2,0)="","(بدون عنوان)",VLOOKUP(LEFT(UPPER(TRIM($E1803)),6),BankTbl,2,0)),"بانک ناشناخته"))</f>
        <v/>
      </c>
      <c r="G1803" s="11" t="n"/>
      <c r="H1803" s="10">
        <f>IF($G1803="","",IFERROR(VLOOKUP($G1803,CustTbl,2,0),IFERROR(VLOOKUP($G1803,SuppTbl,2,0),IFERROR(VLOOKUP($G1803,AcctTbl,2,0),IFERROR(VLOOKUP($G1803,StaffTbl,2,0),"کد ناشناخته")))))</f>
        <v/>
      </c>
      <c r="I1803" s="12" t="n"/>
      <c r="J1803" s="12" t="n"/>
      <c r="K1803" s="13" t="n"/>
      <c r="L1803" s="13" t="n"/>
      <c r="M1803" s="13" t="n"/>
      <c r="N1803" s="14">
        <f>IF(OR($C1803="",$E1803="",Calc!$H1803=""),"",IFERROR(VLOOKUP(LEFT(UPPER(TRIM($E1803)),6),BankTbl,3,0),0)+SUMIFS(CalcDep,CalcBank,LEFT(UPPER(TRIM($E1803)),6),CalcKey,"&lt;="&amp;Calc!$H1803)-SUMIFS(CalcWit,CalcBank,LEFT(UPPER(TRIM($E1803)),6),CalcKey,"&lt;="&amp;Calc!$H1803))</f>
        <v/>
      </c>
      <c r="O1803" s="10">
        <f>IF(OR($C1803="",$M1803=""),"",IF($N1803="","؟",IF(ROUND($M1803-$N1803,0)=0,"√","×")))</f>
        <v/>
      </c>
      <c r="P1803" s="12" t="n"/>
    </row>
    <row r="1804">
      <c r="A1804" s="10">
        <f>IF($C1804="","",COUNTA($C$9:$C1804))</f>
        <v/>
      </c>
      <c r="B1804" s="10">
        <f>IF($C1804="","","TXN-"&amp;RIGHT("0000"&amp;1796,4))</f>
        <v/>
      </c>
      <c r="C1804" s="11" t="n"/>
      <c r="D1804" s="11" t="n"/>
      <c r="E1804" s="12" t="n"/>
      <c r="F1804" s="10">
        <f>IF($E1804="","",IFERROR(IF(VLOOKUP(LEFT(UPPER(TRIM($E1804)),6),BankTbl,2,0)="","(بدون عنوان)",VLOOKUP(LEFT(UPPER(TRIM($E1804)),6),BankTbl,2,0)),"بانک ناشناخته"))</f>
        <v/>
      </c>
      <c r="G1804" s="11" t="n"/>
      <c r="H1804" s="10">
        <f>IF($G1804="","",IFERROR(VLOOKUP($G1804,CustTbl,2,0),IFERROR(VLOOKUP($G1804,SuppTbl,2,0),IFERROR(VLOOKUP($G1804,AcctTbl,2,0),IFERROR(VLOOKUP($G1804,StaffTbl,2,0),"کد ناشناخته")))))</f>
        <v/>
      </c>
      <c r="I1804" s="12" t="n"/>
      <c r="J1804" s="12" t="n"/>
      <c r="K1804" s="13" t="n"/>
      <c r="L1804" s="13" t="n"/>
      <c r="M1804" s="13" t="n"/>
      <c r="N1804" s="14">
        <f>IF(OR($C1804="",$E1804="",Calc!$H1804=""),"",IFERROR(VLOOKUP(LEFT(UPPER(TRIM($E1804)),6),BankTbl,3,0),0)+SUMIFS(CalcDep,CalcBank,LEFT(UPPER(TRIM($E1804)),6),CalcKey,"&lt;="&amp;Calc!$H1804)-SUMIFS(CalcWit,CalcBank,LEFT(UPPER(TRIM($E1804)),6),CalcKey,"&lt;="&amp;Calc!$H1804))</f>
        <v/>
      </c>
      <c r="O1804" s="10">
        <f>IF(OR($C1804="",$M1804=""),"",IF($N1804="","؟",IF(ROUND($M1804-$N1804,0)=0,"√","×")))</f>
        <v/>
      </c>
      <c r="P1804" s="12" t="n"/>
    </row>
    <row r="1805">
      <c r="A1805" s="10">
        <f>IF($C1805="","",COUNTA($C$9:$C1805))</f>
        <v/>
      </c>
      <c r="B1805" s="10">
        <f>IF($C1805="","","TXN-"&amp;RIGHT("0000"&amp;1797,4))</f>
        <v/>
      </c>
      <c r="C1805" s="11" t="n"/>
      <c r="D1805" s="11" t="n"/>
      <c r="E1805" s="12" t="n"/>
      <c r="F1805" s="10">
        <f>IF($E1805="","",IFERROR(IF(VLOOKUP(LEFT(UPPER(TRIM($E1805)),6),BankTbl,2,0)="","(بدون عنوان)",VLOOKUP(LEFT(UPPER(TRIM($E1805)),6),BankTbl,2,0)),"بانک ناشناخته"))</f>
        <v/>
      </c>
      <c r="G1805" s="11" t="n"/>
      <c r="H1805" s="10">
        <f>IF($G1805="","",IFERROR(VLOOKUP($G1805,CustTbl,2,0),IFERROR(VLOOKUP($G1805,SuppTbl,2,0),IFERROR(VLOOKUP($G1805,AcctTbl,2,0),IFERROR(VLOOKUP($G1805,StaffTbl,2,0),"کد ناشناخته")))))</f>
        <v/>
      </c>
      <c r="I1805" s="12" t="n"/>
      <c r="J1805" s="12" t="n"/>
      <c r="K1805" s="13" t="n"/>
      <c r="L1805" s="13" t="n"/>
      <c r="M1805" s="13" t="n"/>
      <c r="N1805" s="14">
        <f>IF(OR($C1805="",$E1805="",Calc!$H1805=""),"",IFERROR(VLOOKUP(LEFT(UPPER(TRIM($E1805)),6),BankTbl,3,0),0)+SUMIFS(CalcDep,CalcBank,LEFT(UPPER(TRIM($E1805)),6),CalcKey,"&lt;="&amp;Calc!$H1805)-SUMIFS(CalcWit,CalcBank,LEFT(UPPER(TRIM($E1805)),6),CalcKey,"&lt;="&amp;Calc!$H1805))</f>
        <v/>
      </c>
      <c r="O1805" s="10">
        <f>IF(OR($C1805="",$M1805=""),"",IF($N1805="","؟",IF(ROUND($M1805-$N1805,0)=0,"√","×")))</f>
        <v/>
      </c>
      <c r="P1805" s="12" t="n"/>
    </row>
    <row r="1806">
      <c r="A1806" s="10">
        <f>IF($C1806="","",COUNTA($C$9:$C1806))</f>
        <v/>
      </c>
      <c r="B1806" s="10">
        <f>IF($C1806="","","TXN-"&amp;RIGHT("0000"&amp;1798,4))</f>
        <v/>
      </c>
      <c r="C1806" s="11" t="n"/>
      <c r="D1806" s="11" t="n"/>
      <c r="E1806" s="12" t="n"/>
      <c r="F1806" s="10">
        <f>IF($E1806="","",IFERROR(IF(VLOOKUP(LEFT(UPPER(TRIM($E1806)),6),BankTbl,2,0)="","(بدون عنوان)",VLOOKUP(LEFT(UPPER(TRIM($E1806)),6),BankTbl,2,0)),"بانک ناشناخته"))</f>
        <v/>
      </c>
      <c r="G1806" s="11" t="n"/>
      <c r="H1806" s="10">
        <f>IF($G1806="","",IFERROR(VLOOKUP($G1806,CustTbl,2,0),IFERROR(VLOOKUP($G1806,SuppTbl,2,0),IFERROR(VLOOKUP($G1806,AcctTbl,2,0),IFERROR(VLOOKUP($G1806,StaffTbl,2,0),"کد ناشناخته")))))</f>
        <v/>
      </c>
      <c r="I1806" s="12" t="n"/>
      <c r="J1806" s="12" t="n"/>
      <c r="K1806" s="13" t="n"/>
      <c r="L1806" s="13" t="n"/>
      <c r="M1806" s="13" t="n"/>
      <c r="N1806" s="14">
        <f>IF(OR($C1806="",$E1806="",Calc!$H1806=""),"",IFERROR(VLOOKUP(LEFT(UPPER(TRIM($E1806)),6),BankTbl,3,0),0)+SUMIFS(CalcDep,CalcBank,LEFT(UPPER(TRIM($E1806)),6),CalcKey,"&lt;="&amp;Calc!$H1806)-SUMIFS(CalcWit,CalcBank,LEFT(UPPER(TRIM($E1806)),6),CalcKey,"&lt;="&amp;Calc!$H1806))</f>
        <v/>
      </c>
      <c r="O1806" s="10">
        <f>IF(OR($C1806="",$M1806=""),"",IF($N1806="","؟",IF(ROUND($M1806-$N1806,0)=0,"√","×")))</f>
        <v/>
      </c>
      <c r="P1806" s="12" t="n"/>
    </row>
    <row r="1807">
      <c r="A1807" s="10">
        <f>IF($C1807="","",COUNTA($C$9:$C1807))</f>
        <v/>
      </c>
      <c r="B1807" s="10">
        <f>IF($C1807="","","TXN-"&amp;RIGHT("0000"&amp;1799,4))</f>
        <v/>
      </c>
      <c r="C1807" s="11" t="n"/>
      <c r="D1807" s="11" t="n"/>
      <c r="E1807" s="12" t="n"/>
      <c r="F1807" s="10">
        <f>IF($E1807="","",IFERROR(IF(VLOOKUP(LEFT(UPPER(TRIM($E1807)),6),BankTbl,2,0)="","(بدون عنوان)",VLOOKUP(LEFT(UPPER(TRIM($E1807)),6),BankTbl,2,0)),"بانک ناشناخته"))</f>
        <v/>
      </c>
      <c r="G1807" s="11" t="n"/>
      <c r="H1807" s="10">
        <f>IF($G1807="","",IFERROR(VLOOKUP($G1807,CustTbl,2,0),IFERROR(VLOOKUP($G1807,SuppTbl,2,0),IFERROR(VLOOKUP($G1807,AcctTbl,2,0),IFERROR(VLOOKUP($G1807,StaffTbl,2,0),"کد ناشناخته")))))</f>
        <v/>
      </c>
      <c r="I1807" s="12" t="n"/>
      <c r="J1807" s="12" t="n"/>
      <c r="K1807" s="13" t="n"/>
      <c r="L1807" s="13" t="n"/>
      <c r="M1807" s="13" t="n"/>
      <c r="N1807" s="14">
        <f>IF(OR($C1807="",$E1807="",Calc!$H1807=""),"",IFERROR(VLOOKUP(LEFT(UPPER(TRIM($E1807)),6),BankTbl,3,0),0)+SUMIFS(CalcDep,CalcBank,LEFT(UPPER(TRIM($E1807)),6),CalcKey,"&lt;="&amp;Calc!$H1807)-SUMIFS(CalcWit,CalcBank,LEFT(UPPER(TRIM($E1807)),6),CalcKey,"&lt;="&amp;Calc!$H1807))</f>
        <v/>
      </c>
      <c r="O1807" s="10">
        <f>IF(OR($C1807="",$M1807=""),"",IF($N1807="","؟",IF(ROUND($M1807-$N1807,0)=0,"√","×")))</f>
        <v/>
      </c>
      <c r="P1807" s="12" t="n"/>
    </row>
    <row r="1808">
      <c r="A1808" s="10">
        <f>IF($C1808="","",COUNTA($C$9:$C1808))</f>
        <v/>
      </c>
      <c r="B1808" s="10">
        <f>IF($C1808="","","TXN-"&amp;RIGHT("0000"&amp;1800,4))</f>
        <v/>
      </c>
      <c r="C1808" s="11" t="n"/>
      <c r="D1808" s="11" t="n"/>
      <c r="E1808" s="12" t="n"/>
      <c r="F1808" s="10">
        <f>IF($E1808="","",IFERROR(IF(VLOOKUP(LEFT(UPPER(TRIM($E1808)),6),BankTbl,2,0)="","(بدون عنوان)",VLOOKUP(LEFT(UPPER(TRIM($E1808)),6),BankTbl,2,0)),"بانک ناشناخته"))</f>
        <v/>
      </c>
      <c r="G1808" s="11" t="n"/>
      <c r="H1808" s="10">
        <f>IF($G1808="","",IFERROR(VLOOKUP($G1808,CustTbl,2,0),IFERROR(VLOOKUP($G1808,SuppTbl,2,0),IFERROR(VLOOKUP($G1808,AcctTbl,2,0),IFERROR(VLOOKUP($G1808,StaffTbl,2,0),"کد ناشناخته")))))</f>
        <v/>
      </c>
      <c r="I1808" s="12" t="n"/>
      <c r="J1808" s="12" t="n"/>
      <c r="K1808" s="13" t="n"/>
      <c r="L1808" s="13" t="n"/>
      <c r="M1808" s="13" t="n"/>
      <c r="N1808" s="14">
        <f>IF(OR($C1808="",$E1808="",Calc!$H1808=""),"",IFERROR(VLOOKUP(LEFT(UPPER(TRIM($E1808)),6),BankTbl,3,0),0)+SUMIFS(CalcDep,CalcBank,LEFT(UPPER(TRIM($E1808)),6),CalcKey,"&lt;="&amp;Calc!$H1808)-SUMIFS(CalcWit,CalcBank,LEFT(UPPER(TRIM($E1808)),6),CalcKey,"&lt;="&amp;Calc!$H1808))</f>
        <v/>
      </c>
      <c r="O1808" s="10">
        <f>IF(OR($C1808="",$M1808=""),"",IF($N1808="","؟",IF(ROUND($M1808-$N1808,0)=0,"√","×")))</f>
        <v/>
      </c>
      <c r="P1808" s="12" t="n"/>
    </row>
    <row r="1809">
      <c r="A1809" s="10">
        <f>IF($C1809="","",COUNTA($C$9:$C1809))</f>
        <v/>
      </c>
      <c r="B1809" s="10">
        <f>IF($C1809="","","TXN-"&amp;RIGHT("0000"&amp;1801,4))</f>
        <v/>
      </c>
      <c r="C1809" s="11" t="n"/>
      <c r="D1809" s="11" t="n"/>
      <c r="E1809" s="12" t="n"/>
      <c r="F1809" s="10">
        <f>IF($E1809="","",IFERROR(IF(VLOOKUP(LEFT(UPPER(TRIM($E1809)),6),BankTbl,2,0)="","(بدون عنوان)",VLOOKUP(LEFT(UPPER(TRIM($E1809)),6),BankTbl,2,0)),"بانک ناشناخته"))</f>
        <v/>
      </c>
      <c r="G1809" s="11" t="n"/>
      <c r="H1809" s="10">
        <f>IF($G1809="","",IFERROR(VLOOKUP($G1809,CustTbl,2,0),IFERROR(VLOOKUP($G1809,SuppTbl,2,0),IFERROR(VLOOKUP($G1809,AcctTbl,2,0),IFERROR(VLOOKUP($G1809,StaffTbl,2,0),"کد ناشناخته")))))</f>
        <v/>
      </c>
      <c r="I1809" s="12" t="n"/>
      <c r="J1809" s="12" t="n"/>
      <c r="K1809" s="13" t="n"/>
      <c r="L1809" s="13" t="n"/>
      <c r="M1809" s="13" t="n"/>
      <c r="N1809" s="14">
        <f>IF(OR($C1809="",$E1809="",Calc!$H1809=""),"",IFERROR(VLOOKUP(LEFT(UPPER(TRIM($E1809)),6),BankTbl,3,0),0)+SUMIFS(CalcDep,CalcBank,LEFT(UPPER(TRIM($E1809)),6),CalcKey,"&lt;="&amp;Calc!$H1809)-SUMIFS(CalcWit,CalcBank,LEFT(UPPER(TRIM($E1809)),6),CalcKey,"&lt;="&amp;Calc!$H1809))</f>
        <v/>
      </c>
      <c r="O1809" s="10">
        <f>IF(OR($C1809="",$M1809=""),"",IF($N1809="","؟",IF(ROUND($M1809-$N1809,0)=0,"√","×")))</f>
        <v/>
      </c>
      <c r="P1809" s="12" t="n"/>
    </row>
    <row r="1810">
      <c r="A1810" s="10">
        <f>IF($C1810="","",COUNTA($C$9:$C1810))</f>
        <v/>
      </c>
      <c r="B1810" s="10">
        <f>IF($C1810="","","TXN-"&amp;RIGHT("0000"&amp;1802,4))</f>
        <v/>
      </c>
      <c r="C1810" s="11" t="n"/>
      <c r="D1810" s="11" t="n"/>
      <c r="E1810" s="12" t="n"/>
      <c r="F1810" s="10">
        <f>IF($E1810="","",IFERROR(IF(VLOOKUP(LEFT(UPPER(TRIM($E1810)),6),BankTbl,2,0)="","(بدون عنوان)",VLOOKUP(LEFT(UPPER(TRIM($E1810)),6),BankTbl,2,0)),"بانک ناشناخته"))</f>
        <v/>
      </c>
      <c r="G1810" s="11" t="n"/>
      <c r="H1810" s="10">
        <f>IF($G1810="","",IFERROR(VLOOKUP($G1810,CustTbl,2,0),IFERROR(VLOOKUP($G1810,SuppTbl,2,0),IFERROR(VLOOKUP($G1810,AcctTbl,2,0),IFERROR(VLOOKUP($G1810,StaffTbl,2,0),"کد ناشناخته")))))</f>
        <v/>
      </c>
      <c r="I1810" s="12" t="n"/>
      <c r="J1810" s="12" t="n"/>
      <c r="K1810" s="13" t="n"/>
      <c r="L1810" s="13" t="n"/>
      <c r="M1810" s="13" t="n"/>
      <c r="N1810" s="14">
        <f>IF(OR($C1810="",$E1810="",Calc!$H1810=""),"",IFERROR(VLOOKUP(LEFT(UPPER(TRIM($E1810)),6),BankTbl,3,0),0)+SUMIFS(CalcDep,CalcBank,LEFT(UPPER(TRIM($E1810)),6),CalcKey,"&lt;="&amp;Calc!$H1810)-SUMIFS(CalcWit,CalcBank,LEFT(UPPER(TRIM($E1810)),6),CalcKey,"&lt;="&amp;Calc!$H1810))</f>
        <v/>
      </c>
      <c r="O1810" s="10">
        <f>IF(OR($C1810="",$M1810=""),"",IF($N1810="","؟",IF(ROUND($M1810-$N1810,0)=0,"√","×")))</f>
        <v/>
      </c>
      <c r="P1810" s="12" t="n"/>
    </row>
    <row r="1811">
      <c r="A1811" s="10">
        <f>IF($C1811="","",COUNTA($C$9:$C1811))</f>
        <v/>
      </c>
      <c r="B1811" s="10">
        <f>IF($C1811="","","TXN-"&amp;RIGHT("0000"&amp;1803,4))</f>
        <v/>
      </c>
      <c r="C1811" s="11" t="n"/>
      <c r="D1811" s="11" t="n"/>
      <c r="E1811" s="12" t="n"/>
      <c r="F1811" s="10">
        <f>IF($E1811="","",IFERROR(IF(VLOOKUP(LEFT(UPPER(TRIM($E1811)),6),BankTbl,2,0)="","(بدون عنوان)",VLOOKUP(LEFT(UPPER(TRIM($E1811)),6),BankTbl,2,0)),"بانک ناشناخته"))</f>
        <v/>
      </c>
      <c r="G1811" s="11" t="n"/>
      <c r="H1811" s="10">
        <f>IF($G1811="","",IFERROR(VLOOKUP($G1811,CustTbl,2,0),IFERROR(VLOOKUP($G1811,SuppTbl,2,0),IFERROR(VLOOKUP($G1811,AcctTbl,2,0),IFERROR(VLOOKUP($G1811,StaffTbl,2,0),"کد ناشناخته")))))</f>
        <v/>
      </c>
      <c r="I1811" s="12" t="n"/>
      <c r="J1811" s="12" t="n"/>
      <c r="K1811" s="13" t="n"/>
      <c r="L1811" s="13" t="n"/>
      <c r="M1811" s="13" t="n"/>
      <c r="N1811" s="14">
        <f>IF(OR($C1811="",$E1811="",Calc!$H1811=""),"",IFERROR(VLOOKUP(LEFT(UPPER(TRIM($E1811)),6),BankTbl,3,0),0)+SUMIFS(CalcDep,CalcBank,LEFT(UPPER(TRIM($E1811)),6),CalcKey,"&lt;="&amp;Calc!$H1811)-SUMIFS(CalcWit,CalcBank,LEFT(UPPER(TRIM($E1811)),6),CalcKey,"&lt;="&amp;Calc!$H1811))</f>
        <v/>
      </c>
      <c r="O1811" s="10">
        <f>IF(OR($C1811="",$M1811=""),"",IF($N1811="","؟",IF(ROUND($M1811-$N1811,0)=0,"√","×")))</f>
        <v/>
      </c>
      <c r="P1811" s="12" t="n"/>
    </row>
    <row r="1812">
      <c r="A1812" s="10">
        <f>IF($C1812="","",COUNTA($C$9:$C1812))</f>
        <v/>
      </c>
      <c r="B1812" s="10">
        <f>IF($C1812="","","TXN-"&amp;RIGHT("0000"&amp;1804,4))</f>
        <v/>
      </c>
      <c r="C1812" s="11" t="n"/>
      <c r="D1812" s="11" t="n"/>
      <c r="E1812" s="12" t="n"/>
      <c r="F1812" s="10">
        <f>IF($E1812="","",IFERROR(IF(VLOOKUP(LEFT(UPPER(TRIM($E1812)),6),BankTbl,2,0)="","(بدون عنوان)",VLOOKUP(LEFT(UPPER(TRIM($E1812)),6),BankTbl,2,0)),"بانک ناشناخته"))</f>
        <v/>
      </c>
      <c r="G1812" s="11" t="n"/>
      <c r="H1812" s="10">
        <f>IF($G1812="","",IFERROR(VLOOKUP($G1812,CustTbl,2,0),IFERROR(VLOOKUP($G1812,SuppTbl,2,0),IFERROR(VLOOKUP($G1812,AcctTbl,2,0),IFERROR(VLOOKUP($G1812,StaffTbl,2,0),"کد ناشناخته")))))</f>
        <v/>
      </c>
      <c r="I1812" s="12" t="n"/>
      <c r="J1812" s="12" t="n"/>
      <c r="K1812" s="13" t="n"/>
      <c r="L1812" s="13" t="n"/>
      <c r="M1812" s="13" t="n"/>
      <c r="N1812" s="14">
        <f>IF(OR($C1812="",$E1812="",Calc!$H1812=""),"",IFERROR(VLOOKUP(LEFT(UPPER(TRIM($E1812)),6),BankTbl,3,0),0)+SUMIFS(CalcDep,CalcBank,LEFT(UPPER(TRIM($E1812)),6),CalcKey,"&lt;="&amp;Calc!$H1812)-SUMIFS(CalcWit,CalcBank,LEFT(UPPER(TRIM($E1812)),6),CalcKey,"&lt;="&amp;Calc!$H1812))</f>
        <v/>
      </c>
      <c r="O1812" s="10">
        <f>IF(OR($C1812="",$M1812=""),"",IF($N1812="","؟",IF(ROUND($M1812-$N1812,0)=0,"√","×")))</f>
        <v/>
      </c>
      <c r="P1812" s="12" t="n"/>
    </row>
    <row r="1813">
      <c r="A1813" s="10">
        <f>IF($C1813="","",COUNTA($C$9:$C1813))</f>
        <v/>
      </c>
      <c r="B1813" s="10">
        <f>IF($C1813="","","TXN-"&amp;RIGHT("0000"&amp;1805,4))</f>
        <v/>
      </c>
      <c r="C1813" s="11" t="n"/>
      <c r="D1813" s="11" t="n"/>
      <c r="E1813" s="12" t="n"/>
      <c r="F1813" s="10">
        <f>IF($E1813="","",IFERROR(IF(VLOOKUP(LEFT(UPPER(TRIM($E1813)),6),BankTbl,2,0)="","(بدون عنوان)",VLOOKUP(LEFT(UPPER(TRIM($E1813)),6),BankTbl,2,0)),"بانک ناشناخته"))</f>
        <v/>
      </c>
      <c r="G1813" s="11" t="n"/>
      <c r="H1813" s="10">
        <f>IF($G1813="","",IFERROR(VLOOKUP($G1813,CustTbl,2,0),IFERROR(VLOOKUP($G1813,SuppTbl,2,0),IFERROR(VLOOKUP($G1813,AcctTbl,2,0),IFERROR(VLOOKUP($G1813,StaffTbl,2,0),"کد ناشناخته")))))</f>
        <v/>
      </c>
      <c r="I1813" s="12" t="n"/>
      <c r="J1813" s="12" t="n"/>
      <c r="K1813" s="13" t="n"/>
      <c r="L1813" s="13" t="n"/>
      <c r="M1813" s="13" t="n"/>
      <c r="N1813" s="14">
        <f>IF(OR($C1813="",$E1813="",Calc!$H1813=""),"",IFERROR(VLOOKUP(LEFT(UPPER(TRIM($E1813)),6),BankTbl,3,0),0)+SUMIFS(CalcDep,CalcBank,LEFT(UPPER(TRIM($E1813)),6),CalcKey,"&lt;="&amp;Calc!$H1813)-SUMIFS(CalcWit,CalcBank,LEFT(UPPER(TRIM($E1813)),6),CalcKey,"&lt;="&amp;Calc!$H1813))</f>
        <v/>
      </c>
      <c r="O1813" s="10">
        <f>IF(OR($C1813="",$M1813=""),"",IF($N1813="","؟",IF(ROUND($M1813-$N1813,0)=0,"√","×")))</f>
        <v/>
      </c>
      <c r="P1813" s="12" t="n"/>
    </row>
    <row r="1814">
      <c r="A1814" s="10">
        <f>IF($C1814="","",COUNTA($C$9:$C1814))</f>
        <v/>
      </c>
      <c r="B1814" s="10">
        <f>IF($C1814="","","TXN-"&amp;RIGHT("0000"&amp;1806,4))</f>
        <v/>
      </c>
      <c r="C1814" s="11" t="n"/>
      <c r="D1814" s="11" t="n"/>
      <c r="E1814" s="12" t="n"/>
      <c r="F1814" s="10">
        <f>IF($E1814="","",IFERROR(IF(VLOOKUP(LEFT(UPPER(TRIM($E1814)),6),BankTbl,2,0)="","(بدون عنوان)",VLOOKUP(LEFT(UPPER(TRIM($E1814)),6),BankTbl,2,0)),"بانک ناشناخته"))</f>
        <v/>
      </c>
      <c r="G1814" s="11" t="n"/>
      <c r="H1814" s="10">
        <f>IF($G1814="","",IFERROR(VLOOKUP($G1814,CustTbl,2,0),IFERROR(VLOOKUP($G1814,SuppTbl,2,0),IFERROR(VLOOKUP($G1814,AcctTbl,2,0),IFERROR(VLOOKUP($G1814,StaffTbl,2,0),"کد ناشناخته")))))</f>
        <v/>
      </c>
      <c r="I1814" s="12" t="n"/>
      <c r="J1814" s="12" t="n"/>
      <c r="K1814" s="13" t="n"/>
      <c r="L1814" s="13" t="n"/>
      <c r="M1814" s="13" t="n"/>
      <c r="N1814" s="14">
        <f>IF(OR($C1814="",$E1814="",Calc!$H1814=""),"",IFERROR(VLOOKUP(LEFT(UPPER(TRIM($E1814)),6),BankTbl,3,0),0)+SUMIFS(CalcDep,CalcBank,LEFT(UPPER(TRIM($E1814)),6),CalcKey,"&lt;="&amp;Calc!$H1814)-SUMIFS(CalcWit,CalcBank,LEFT(UPPER(TRIM($E1814)),6),CalcKey,"&lt;="&amp;Calc!$H1814))</f>
        <v/>
      </c>
      <c r="O1814" s="10">
        <f>IF(OR($C1814="",$M1814=""),"",IF($N1814="","؟",IF(ROUND($M1814-$N1814,0)=0,"√","×")))</f>
        <v/>
      </c>
      <c r="P1814" s="12" t="n"/>
    </row>
    <row r="1815">
      <c r="A1815" s="10">
        <f>IF($C1815="","",COUNTA($C$9:$C1815))</f>
        <v/>
      </c>
      <c r="B1815" s="10">
        <f>IF($C1815="","","TXN-"&amp;RIGHT("0000"&amp;1807,4))</f>
        <v/>
      </c>
      <c r="C1815" s="11" t="n"/>
      <c r="D1815" s="11" t="n"/>
      <c r="E1815" s="12" t="n"/>
      <c r="F1815" s="10">
        <f>IF($E1815="","",IFERROR(IF(VLOOKUP(LEFT(UPPER(TRIM($E1815)),6),BankTbl,2,0)="","(بدون عنوان)",VLOOKUP(LEFT(UPPER(TRIM($E1815)),6),BankTbl,2,0)),"بانک ناشناخته"))</f>
        <v/>
      </c>
      <c r="G1815" s="11" t="n"/>
      <c r="H1815" s="10">
        <f>IF($G1815="","",IFERROR(VLOOKUP($G1815,CustTbl,2,0),IFERROR(VLOOKUP($G1815,SuppTbl,2,0),IFERROR(VLOOKUP($G1815,AcctTbl,2,0),IFERROR(VLOOKUP($G1815,StaffTbl,2,0),"کد ناشناخته")))))</f>
        <v/>
      </c>
      <c r="I1815" s="12" t="n"/>
      <c r="J1815" s="12" t="n"/>
      <c r="K1815" s="13" t="n"/>
      <c r="L1815" s="13" t="n"/>
      <c r="M1815" s="13" t="n"/>
      <c r="N1815" s="14">
        <f>IF(OR($C1815="",$E1815="",Calc!$H1815=""),"",IFERROR(VLOOKUP(LEFT(UPPER(TRIM($E1815)),6),BankTbl,3,0),0)+SUMIFS(CalcDep,CalcBank,LEFT(UPPER(TRIM($E1815)),6),CalcKey,"&lt;="&amp;Calc!$H1815)-SUMIFS(CalcWit,CalcBank,LEFT(UPPER(TRIM($E1815)),6),CalcKey,"&lt;="&amp;Calc!$H1815))</f>
        <v/>
      </c>
      <c r="O1815" s="10">
        <f>IF(OR($C1815="",$M1815=""),"",IF($N1815="","؟",IF(ROUND($M1815-$N1815,0)=0,"√","×")))</f>
        <v/>
      </c>
      <c r="P1815" s="12" t="n"/>
    </row>
    <row r="1816">
      <c r="A1816" s="10">
        <f>IF($C1816="","",COUNTA($C$9:$C1816))</f>
        <v/>
      </c>
      <c r="B1816" s="10">
        <f>IF($C1816="","","TXN-"&amp;RIGHT("0000"&amp;1808,4))</f>
        <v/>
      </c>
      <c r="C1816" s="11" t="n"/>
      <c r="D1816" s="11" t="n"/>
      <c r="E1816" s="12" t="n"/>
      <c r="F1816" s="10">
        <f>IF($E1816="","",IFERROR(IF(VLOOKUP(LEFT(UPPER(TRIM($E1816)),6),BankTbl,2,0)="","(بدون عنوان)",VLOOKUP(LEFT(UPPER(TRIM($E1816)),6),BankTbl,2,0)),"بانک ناشناخته"))</f>
        <v/>
      </c>
      <c r="G1816" s="11" t="n"/>
      <c r="H1816" s="10">
        <f>IF($G1816="","",IFERROR(VLOOKUP($G1816,CustTbl,2,0),IFERROR(VLOOKUP($G1816,SuppTbl,2,0),IFERROR(VLOOKUP($G1816,AcctTbl,2,0),IFERROR(VLOOKUP($G1816,StaffTbl,2,0),"کد ناشناخته")))))</f>
        <v/>
      </c>
      <c r="I1816" s="12" t="n"/>
      <c r="J1816" s="12" t="n"/>
      <c r="K1816" s="13" t="n"/>
      <c r="L1816" s="13" t="n"/>
      <c r="M1816" s="13" t="n"/>
      <c r="N1816" s="14">
        <f>IF(OR($C1816="",$E1816="",Calc!$H1816=""),"",IFERROR(VLOOKUP(LEFT(UPPER(TRIM($E1816)),6),BankTbl,3,0),0)+SUMIFS(CalcDep,CalcBank,LEFT(UPPER(TRIM($E1816)),6),CalcKey,"&lt;="&amp;Calc!$H1816)-SUMIFS(CalcWit,CalcBank,LEFT(UPPER(TRIM($E1816)),6),CalcKey,"&lt;="&amp;Calc!$H1816))</f>
        <v/>
      </c>
      <c r="O1816" s="10">
        <f>IF(OR($C1816="",$M1816=""),"",IF($N1816="","؟",IF(ROUND($M1816-$N1816,0)=0,"√","×")))</f>
        <v/>
      </c>
      <c r="P1816" s="12" t="n"/>
    </row>
    <row r="1817">
      <c r="A1817" s="10">
        <f>IF($C1817="","",COUNTA($C$9:$C1817))</f>
        <v/>
      </c>
      <c r="B1817" s="10">
        <f>IF($C1817="","","TXN-"&amp;RIGHT("0000"&amp;1809,4))</f>
        <v/>
      </c>
      <c r="C1817" s="11" t="n"/>
      <c r="D1817" s="11" t="n"/>
      <c r="E1817" s="12" t="n"/>
      <c r="F1817" s="10">
        <f>IF($E1817="","",IFERROR(IF(VLOOKUP(LEFT(UPPER(TRIM($E1817)),6),BankTbl,2,0)="","(بدون عنوان)",VLOOKUP(LEFT(UPPER(TRIM($E1817)),6),BankTbl,2,0)),"بانک ناشناخته"))</f>
        <v/>
      </c>
      <c r="G1817" s="11" t="n"/>
      <c r="H1817" s="10">
        <f>IF($G1817="","",IFERROR(VLOOKUP($G1817,CustTbl,2,0),IFERROR(VLOOKUP($G1817,SuppTbl,2,0),IFERROR(VLOOKUP($G1817,AcctTbl,2,0),IFERROR(VLOOKUP($G1817,StaffTbl,2,0),"کد ناشناخته")))))</f>
        <v/>
      </c>
      <c r="I1817" s="12" t="n"/>
      <c r="J1817" s="12" t="n"/>
      <c r="K1817" s="13" t="n"/>
      <c r="L1817" s="13" t="n"/>
      <c r="M1817" s="13" t="n"/>
      <c r="N1817" s="14">
        <f>IF(OR($C1817="",$E1817="",Calc!$H1817=""),"",IFERROR(VLOOKUP(LEFT(UPPER(TRIM($E1817)),6),BankTbl,3,0),0)+SUMIFS(CalcDep,CalcBank,LEFT(UPPER(TRIM($E1817)),6),CalcKey,"&lt;="&amp;Calc!$H1817)-SUMIFS(CalcWit,CalcBank,LEFT(UPPER(TRIM($E1817)),6),CalcKey,"&lt;="&amp;Calc!$H1817))</f>
        <v/>
      </c>
      <c r="O1817" s="10">
        <f>IF(OR($C1817="",$M1817=""),"",IF($N1817="","؟",IF(ROUND($M1817-$N1817,0)=0,"√","×")))</f>
        <v/>
      </c>
      <c r="P1817" s="12" t="n"/>
    </row>
    <row r="1818">
      <c r="A1818" s="10">
        <f>IF($C1818="","",COUNTA($C$9:$C1818))</f>
        <v/>
      </c>
      <c r="B1818" s="10">
        <f>IF($C1818="","","TXN-"&amp;RIGHT("0000"&amp;1810,4))</f>
        <v/>
      </c>
      <c r="C1818" s="11" t="n"/>
      <c r="D1818" s="11" t="n"/>
      <c r="E1818" s="12" t="n"/>
      <c r="F1818" s="10">
        <f>IF($E1818="","",IFERROR(IF(VLOOKUP(LEFT(UPPER(TRIM($E1818)),6),BankTbl,2,0)="","(بدون عنوان)",VLOOKUP(LEFT(UPPER(TRIM($E1818)),6),BankTbl,2,0)),"بانک ناشناخته"))</f>
        <v/>
      </c>
      <c r="G1818" s="11" t="n"/>
      <c r="H1818" s="10">
        <f>IF($G1818="","",IFERROR(VLOOKUP($G1818,CustTbl,2,0),IFERROR(VLOOKUP($G1818,SuppTbl,2,0),IFERROR(VLOOKUP($G1818,AcctTbl,2,0),IFERROR(VLOOKUP($G1818,StaffTbl,2,0),"کد ناشناخته")))))</f>
        <v/>
      </c>
      <c r="I1818" s="12" t="n"/>
      <c r="J1818" s="12" t="n"/>
      <c r="K1818" s="13" t="n"/>
      <c r="L1818" s="13" t="n"/>
      <c r="M1818" s="13" t="n"/>
      <c r="N1818" s="14">
        <f>IF(OR($C1818="",$E1818="",Calc!$H1818=""),"",IFERROR(VLOOKUP(LEFT(UPPER(TRIM($E1818)),6),BankTbl,3,0),0)+SUMIFS(CalcDep,CalcBank,LEFT(UPPER(TRIM($E1818)),6),CalcKey,"&lt;="&amp;Calc!$H1818)-SUMIFS(CalcWit,CalcBank,LEFT(UPPER(TRIM($E1818)),6),CalcKey,"&lt;="&amp;Calc!$H1818))</f>
        <v/>
      </c>
      <c r="O1818" s="10">
        <f>IF(OR($C1818="",$M1818=""),"",IF($N1818="","؟",IF(ROUND($M1818-$N1818,0)=0,"√","×")))</f>
        <v/>
      </c>
      <c r="P1818" s="12" t="n"/>
    </row>
    <row r="1819">
      <c r="A1819" s="10">
        <f>IF($C1819="","",COUNTA($C$9:$C1819))</f>
        <v/>
      </c>
      <c r="B1819" s="10">
        <f>IF($C1819="","","TXN-"&amp;RIGHT("0000"&amp;1811,4))</f>
        <v/>
      </c>
      <c r="C1819" s="11" t="n"/>
      <c r="D1819" s="11" t="n"/>
      <c r="E1819" s="12" t="n"/>
      <c r="F1819" s="10">
        <f>IF($E1819="","",IFERROR(IF(VLOOKUP(LEFT(UPPER(TRIM($E1819)),6),BankTbl,2,0)="","(بدون عنوان)",VLOOKUP(LEFT(UPPER(TRIM($E1819)),6),BankTbl,2,0)),"بانک ناشناخته"))</f>
        <v/>
      </c>
      <c r="G1819" s="11" t="n"/>
      <c r="H1819" s="10">
        <f>IF($G1819="","",IFERROR(VLOOKUP($G1819,CustTbl,2,0),IFERROR(VLOOKUP($G1819,SuppTbl,2,0),IFERROR(VLOOKUP($G1819,AcctTbl,2,0),IFERROR(VLOOKUP($G1819,StaffTbl,2,0),"کد ناشناخته")))))</f>
        <v/>
      </c>
      <c r="I1819" s="12" t="n"/>
      <c r="J1819" s="12" t="n"/>
      <c r="K1819" s="13" t="n"/>
      <c r="L1819" s="13" t="n"/>
      <c r="M1819" s="13" t="n"/>
      <c r="N1819" s="14">
        <f>IF(OR($C1819="",$E1819="",Calc!$H1819=""),"",IFERROR(VLOOKUP(LEFT(UPPER(TRIM($E1819)),6),BankTbl,3,0),0)+SUMIFS(CalcDep,CalcBank,LEFT(UPPER(TRIM($E1819)),6),CalcKey,"&lt;="&amp;Calc!$H1819)-SUMIFS(CalcWit,CalcBank,LEFT(UPPER(TRIM($E1819)),6),CalcKey,"&lt;="&amp;Calc!$H1819))</f>
        <v/>
      </c>
      <c r="O1819" s="10">
        <f>IF(OR($C1819="",$M1819=""),"",IF($N1819="","؟",IF(ROUND($M1819-$N1819,0)=0,"√","×")))</f>
        <v/>
      </c>
      <c r="P1819" s="12" t="n"/>
    </row>
    <row r="1820">
      <c r="A1820" s="10">
        <f>IF($C1820="","",COUNTA($C$9:$C1820))</f>
        <v/>
      </c>
      <c r="B1820" s="10">
        <f>IF($C1820="","","TXN-"&amp;RIGHT("0000"&amp;1812,4))</f>
        <v/>
      </c>
      <c r="C1820" s="11" t="n"/>
      <c r="D1820" s="11" t="n"/>
      <c r="E1820" s="12" t="n"/>
      <c r="F1820" s="10">
        <f>IF($E1820="","",IFERROR(IF(VLOOKUP(LEFT(UPPER(TRIM($E1820)),6),BankTbl,2,0)="","(بدون عنوان)",VLOOKUP(LEFT(UPPER(TRIM($E1820)),6),BankTbl,2,0)),"بانک ناشناخته"))</f>
        <v/>
      </c>
      <c r="G1820" s="11" t="n"/>
      <c r="H1820" s="10">
        <f>IF($G1820="","",IFERROR(VLOOKUP($G1820,CustTbl,2,0),IFERROR(VLOOKUP($G1820,SuppTbl,2,0),IFERROR(VLOOKUP($G1820,AcctTbl,2,0),IFERROR(VLOOKUP($G1820,StaffTbl,2,0),"کد ناشناخته")))))</f>
        <v/>
      </c>
      <c r="I1820" s="12" t="n"/>
      <c r="J1820" s="12" t="n"/>
      <c r="K1820" s="13" t="n"/>
      <c r="L1820" s="13" t="n"/>
      <c r="M1820" s="13" t="n"/>
      <c r="N1820" s="14">
        <f>IF(OR($C1820="",$E1820="",Calc!$H1820=""),"",IFERROR(VLOOKUP(LEFT(UPPER(TRIM($E1820)),6),BankTbl,3,0),0)+SUMIFS(CalcDep,CalcBank,LEFT(UPPER(TRIM($E1820)),6),CalcKey,"&lt;="&amp;Calc!$H1820)-SUMIFS(CalcWit,CalcBank,LEFT(UPPER(TRIM($E1820)),6),CalcKey,"&lt;="&amp;Calc!$H1820))</f>
        <v/>
      </c>
      <c r="O1820" s="10">
        <f>IF(OR($C1820="",$M1820=""),"",IF($N1820="","؟",IF(ROUND($M1820-$N1820,0)=0,"√","×")))</f>
        <v/>
      </c>
      <c r="P1820" s="12" t="n"/>
    </row>
    <row r="1821">
      <c r="A1821" s="10">
        <f>IF($C1821="","",COUNTA($C$9:$C1821))</f>
        <v/>
      </c>
      <c r="B1821" s="10">
        <f>IF($C1821="","","TXN-"&amp;RIGHT("0000"&amp;1813,4))</f>
        <v/>
      </c>
      <c r="C1821" s="11" t="n"/>
      <c r="D1821" s="11" t="n"/>
      <c r="E1821" s="12" t="n"/>
      <c r="F1821" s="10">
        <f>IF($E1821="","",IFERROR(IF(VLOOKUP(LEFT(UPPER(TRIM($E1821)),6),BankTbl,2,0)="","(بدون عنوان)",VLOOKUP(LEFT(UPPER(TRIM($E1821)),6),BankTbl,2,0)),"بانک ناشناخته"))</f>
        <v/>
      </c>
      <c r="G1821" s="11" t="n"/>
      <c r="H1821" s="10">
        <f>IF($G1821="","",IFERROR(VLOOKUP($G1821,CustTbl,2,0),IFERROR(VLOOKUP($G1821,SuppTbl,2,0),IFERROR(VLOOKUP($G1821,AcctTbl,2,0),IFERROR(VLOOKUP($G1821,StaffTbl,2,0),"کد ناشناخته")))))</f>
        <v/>
      </c>
      <c r="I1821" s="12" t="n"/>
      <c r="J1821" s="12" t="n"/>
      <c r="K1821" s="13" t="n"/>
      <c r="L1821" s="13" t="n"/>
      <c r="M1821" s="13" t="n"/>
      <c r="N1821" s="14">
        <f>IF(OR($C1821="",$E1821="",Calc!$H1821=""),"",IFERROR(VLOOKUP(LEFT(UPPER(TRIM($E1821)),6),BankTbl,3,0),0)+SUMIFS(CalcDep,CalcBank,LEFT(UPPER(TRIM($E1821)),6),CalcKey,"&lt;="&amp;Calc!$H1821)-SUMIFS(CalcWit,CalcBank,LEFT(UPPER(TRIM($E1821)),6),CalcKey,"&lt;="&amp;Calc!$H1821))</f>
        <v/>
      </c>
      <c r="O1821" s="10">
        <f>IF(OR($C1821="",$M1821=""),"",IF($N1821="","؟",IF(ROUND($M1821-$N1821,0)=0,"√","×")))</f>
        <v/>
      </c>
      <c r="P1821" s="12" t="n"/>
    </row>
    <row r="1822">
      <c r="A1822" s="10">
        <f>IF($C1822="","",COUNTA($C$9:$C1822))</f>
        <v/>
      </c>
      <c r="B1822" s="10">
        <f>IF($C1822="","","TXN-"&amp;RIGHT("0000"&amp;1814,4))</f>
        <v/>
      </c>
      <c r="C1822" s="11" t="n"/>
      <c r="D1822" s="11" t="n"/>
      <c r="E1822" s="12" t="n"/>
      <c r="F1822" s="10">
        <f>IF($E1822="","",IFERROR(IF(VLOOKUP(LEFT(UPPER(TRIM($E1822)),6),BankTbl,2,0)="","(بدون عنوان)",VLOOKUP(LEFT(UPPER(TRIM($E1822)),6),BankTbl,2,0)),"بانک ناشناخته"))</f>
        <v/>
      </c>
      <c r="G1822" s="11" t="n"/>
      <c r="H1822" s="10">
        <f>IF($G1822="","",IFERROR(VLOOKUP($G1822,CustTbl,2,0),IFERROR(VLOOKUP($G1822,SuppTbl,2,0),IFERROR(VLOOKUP($G1822,AcctTbl,2,0),IFERROR(VLOOKUP($G1822,StaffTbl,2,0),"کد ناشناخته")))))</f>
        <v/>
      </c>
      <c r="I1822" s="12" t="n"/>
      <c r="J1822" s="12" t="n"/>
      <c r="K1822" s="13" t="n"/>
      <c r="L1822" s="13" t="n"/>
      <c r="M1822" s="13" t="n"/>
      <c r="N1822" s="14">
        <f>IF(OR($C1822="",$E1822="",Calc!$H1822=""),"",IFERROR(VLOOKUP(LEFT(UPPER(TRIM($E1822)),6),BankTbl,3,0),0)+SUMIFS(CalcDep,CalcBank,LEFT(UPPER(TRIM($E1822)),6),CalcKey,"&lt;="&amp;Calc!$H1822)-SUMIFS(CalcWit,CalcBank,LEFT(UPPER(TRIM($E1822)),6),CalcKey,"&lt;="&amp;Calc!$H1822))</f>
        <v/>
      </c>
      <c r="O1822" s="10">
        <f>IF(OR($C1822="",$M1822=""),"",IF($N1822="","؟",IF(ROUND($M1822-$N1822,0)=0,"√","×")))</f>
        <v/>
      </c>
      <c r="P1822" s="12" t="n"/>
    </row>
    <row r="1823">
      <c r="A1823" s="10">
        <f>IF($C1823="","",COUNTA($C$9:$C1823))</f>
        <v/>
      </c>
      <c r="B1823" s="10">
        <f>IF($C1823="","","TXN-"&amp;RIGHT("0000"&amp;1815,4))</f>
        <v/>
      </c>
      <c r="C1823" s="11" t="n"/>
      <c r="D1823" s="11" t="n"/>
      <c r="E1823" s="12" t="n"/>
      <c r="F1823" s="10">
        <f>IF($E1823="","",IFERROR(IF(VLOOKUP(LEFT(UPPER(TRIM($E1823)),6),BankTbl,2,0)="","(بدون عنوان)",VLOOKUP(LEFT(UPPER(TRIM($E1823)),6),BankTbl,2,0)),"بانک ناشناخته"))</f>
        <v/>
      </c>
      <c r="G1823" s="11" t="n"/>
      <c r="H1823" s="10">
        <f>IF($G1823="","",IFERROR(VLOOKUP($G1823,CustTbl,2,0),IFERROR(VLOOKUP($G1823,SuppTbl,2,0),IFERROR(VLOOKUP($G1823,AcctTbl,2,0),IFERROR(VLOOKUP($G1823,StaffTbl,2,0),"کد ناشناخته")))))</f>
        <v/>
      </c>
      <c r="I1823" s="12" t="n"/>
      <c r="J1823" s="12" t="n"/>
      <c r="K1823" s="13" t="n"/>
      <c r="L1823" s="13" t="n"/>
      <c r="M1823" s="13" t="n"/>
      <c r="N1823" s="14">
        <f>IF(OR($C1823="",$E1823="",Calc!$H1823=""),"",IFERROR(VLOOKUP(LEFT(UPPER(TRIM($E1823)),6),BankTbl,3,0),0)+SUMIFS(CalcDep,CalcBank,LEFT(UPPER(TRIM($E1823)),6),CalcKey,"&lt;="&amp;Calc!$H1823)-SUMIFS(CalcWit,CalcBank,LEFT(UPPER(TRIM($E1823)),6),CalcKey,"&lt;="&amp;Calc!$H1823))</f>
        <v/>
      </c>
      <c r="O1823" s="10">
        <f>IF(OR($C1823="",$M1823=""),"",IF($N1823="","؟",IF(ROUND($M1823-$N1823,0)=0,"√","×")))</f>
        <v/>
      </c>
      <c r="P1823" s="12" t="n"/>
    </row>
    <row r="1824">
      <c r="A1824" s="10">
        <f>IF($C1824="","",COUNTA($C$9:$C1824))</f>
        <v/>
      </c>
      <c r="B1824" s="10">
        <f>IF($C1824="","","TXN-"&amp;RIGHT("0000"&amp;1816,4))</f>
        <v/>
      </c>
      <c r="C1824" s="11" t="n"/>
      <c r="D1824" s="11" t="n"/>
      <c r="E1824" s="12" t="n"/>
      <c r="F1824" s="10">
        <f>IF($E1824="","",IFERROR(IF(VLOOKUP(LEFT(UPPER(TRIM($E1824)),6),BankTbl,2,0)="","(بدون عنوان)",VLOOKUP(LEFT(UPPER(TRIM($E1824)),6),BankTbl,2,0)),"بانک ناشناخته"))</f>
        <v/>
      </c>
      <c r="G1824" s="11" t="n"/>
      <c r="H1824" s="10">
        <f>IF($G1824="","",IFERROR(VLOOKUP($G1824,CustTbl,2,0),IFERROR(VLOOKUP($G1824,SuppTbl,2,0),IFERROR(VLOOKUP($G1824,AcctTbl,2,0),IFERROR(VLOOKUP($G1824,StaffTbl,2,0),"کد ناشناخته")))))</f>
        <v/>
      </c>
      <c r="I1824" s="12" t="n"/>
      <c r="J1824" s="12" t="n"/>
      <c r="K1824" s="13" t="n"/>
      <c r="L1824" s="13" t="n"/>
      <c r="M1824" s="13" t="n"/>
      <c r="N1824" s="14">
        <f>IF(OR($C1824="",$E1824="",Calc!$H1824=""),"",IFERROR(VLOOKUP(LEFT(UPPER(TRIM($E1824)),6),BankTbl,3,0),0)+SUMIFS(CalcDep,CalcBank,LEFT(UPPER(TRIM($E1824)),6),CalcKey,"&lt;="&amp;Calc!$H1824)-SUMIFS(CalcWit,CalcBank,LEFT(UPPER(TRIM($E1824)),6),CalcKey,"&lt;="&amp;Calc!$H1824))</f>
        <v/>
      </c>
      <c r="O1824" s="10">
        <f>IF(OR($C1824="",$M1824=""),"",IF($N1824="","؟",IF(ROUND($M1824-$N1824,0)=0,"√","×")))</f>
        <v/>
      </c>
      <c r="P1824" s="12" t="n"/>
    </row>
    <row r="1825">
      <c r="A1825" s="10">
        <f>IF($C1825="","",COUNTA($C$9:$C1825))</f>
        <v/>
      </c>
      <c r="B1825" s="10">
        <f>IF($C1825="","","TXN-"&amp;RIGHT("0000"&amp;1817,4))</f>
        <v/>
      </c>
      <c r="C1825" s="11" t="n"/>
      <c r="D1825" s="11" t="n"/>
      <c r="E1825" s="12" t="n"/>
      <c r="F1825" s="10">
        <f>IF($E1825="","",IFERROR(IF(VLOOKUP(LEFT(UPPER(TRIM($E1825)),6),BankTbl,2,0)="","(بدون عنوان)",VLOOKUP(LEFT(UPPER(TRIM($E1825)),6),BankTbl,2,0)),"بانک ناشناخته"))</f>
        <v/>
      </c>
      <c r="G1825" s="11" t="n"/>
      <c r="H1825" s="10">
        <f>IF($G1825="","",IFERROR(VLOOKUP($G1825,CustTbl,2,0),IFERROR(VLOOKUP($G1825,SuppTbl,2,0),IFERROR(VLOOKUP($G1825,AcctTbl,2,0),IFERROR(VLOOKUP($G1825,StaffTbl,2,0),"کد ناشناخته")))))</f>
        <v/>
      </c>
      <c r="I1825" s="12" t="n"/>
      <c r="J1825" s="12" t="n"/>
      <c r="K1825" s="13" t="n"/>
      <c r="L1825" s="13" t="n"/>
      <c r="M1825" s="13" t="n"/>
      <c r="N1825" s="14">
        <f>IF(OR($C1825="",$E1825="",Calc!$H1825=""),"",IFERROR(VLOOKUP(LEFT(UPPER(TRIM($E1825)),6),BankTbl,3,0),0)+SUMIFS(CalcDep,CalcBank,LEFT(UPPER(TRIM($E1825)),6),CalcKey,"&lt;="&amp;Calc!$H1825)-SUMIFS(CalcWit,CalcBank,LEFT(UPPER(TRIM($E1825)),6),CalcKey,"&lt;="&amp;Calc!$H1825))</f>
        <v/>
      </c>
      <c r="O1825" s="10">
        <f>IF(OR($C1825="",$M1825=""),"",IF($N1825="","؟",IF(ROUND($M1825-$N1825,0)=0,"√","×")))</f>
        <v/>
      </c>
      <c r="P1825" s="12" t="n"/>
    </row>
    <row r="1826">
      <c r="A1826" s="10">
        <f>IF($C1826="","",COUNTA($C$9:$C1826))</f>
        <v/>
      </c>
      <c r="B1826" s="10">
        <f>IF($C1826="","","TXN-"&amp;RIGHT("0000"&amp;1818,4))</f>
        <v/>
      </c>
      <c r="C1826" s="11" t="n"/>
      <c r="D1826" s="11" t="n"/>
      <c r="E1826" s="12" t="n"/>
      <c r="F1826" s="10">
        <f>IF($E1826="","",IFERROR(IF(VLOOKUP(LEFT(UPPER(TRIM($E1826)),6),BankTbl,2,0)="","(بدون عنوان)",VLOOKUP(LEFT(UPPER(TRIM($E1826)),6),BankTbl,2,0)),"بانک ناشناخته"))</f>
        <v/>
      </c>
      <c r="G1826" s="11" t="n"/>
      <c r="H1826" s="10">
        <f>IF($G1826="","",IFERROR(VLOOKUP($G1826,CustTbl,2,0),IFERROR(VLOOKUP($G1826,SuppTbl,2,0),IFERROR(VLOOKUP($G1826,AcctTbl,2,0),IFERROR(VLOOKUP($G1826,StaffTbl,2,0),"کد ناشناخته")))))</f>
        <v/>
      </c>
      <c r="I1826" s="12" t="n"/>
      <c r="J1826" s="12" t="n"/>
      <c r="K1826" s="13" t="n"/>
      <c r="L1826" s="13" t="n"/>
      <c r="M1826" s="13" t="n"/>
      <c r="N1826" s="14">
        <f>IF(OR($C1826="",$E1826="",Calc!$H1826=""),"",IFERROR(VLOOKUP(LEFT(UPPER(TRIM($E1826)),6),BankTbl,3,0),0)+SUMIFS(CalcDep,CalcBank,LEFT(UPPER(TRIM($E1826)),6),CalcKey,"&lt;="&amp;Calc!$H1826)-SUMIFS(CalcWit,CalcBank,LEFT(UPPER(TRIM($E1826)),6),CalcKey,"&lt;="&amp;Calc!$H1826))</f>
        <v/>
      </c>
      <c r="O1826" s="10">
        <f>IF(OR($C1826="",$M1826=""),"",IF($N1826="","؟",IF(ROUND($M1826-$N1826,0)=0,"√","×")))</f>
        <v/>
      </c>
      <c r="P1826" s="12" t="n"/>
    </row>
    <row r="1827">
      <c r="A1827" s="10">
        <f>IF($C1827="","",COUNTA($C$9:$C1827))</f>
        <v/>
      </c>
      <c r="B1827" s="10">
        <f>IF($C1827="","","TXN-"&amp;RIGHT("0000"&amp;1819,4))</f>
        <v/>
      </c>
      <c r="C1827" s="11" t="n"/>
      <c r="D1827" s="11" t="n"/>
      <c r="E1827" s="12" t="n"/>
      <c r="F1827" s="10">
        <f>IF($E1827="","",IFERROR(IF(VLOOKUP(LEFT(UPPER(TRIM($E1827)),6),BankTbl,2,0)="","(بدون عنوان)",VLOOKUP(LEFT(UPPER(TRIM($E1827)),6),BankTbl,2,0)),"بانک ناشناخته"))</f>
        <v/>
      </c>
      <c r="G1827" s="11" t="n"/>
      <c r="H1827" s="10">
        <f>IF($G1827="","",IFERROR(VLOOKUP($G1827,CustTbl,2,0),IFERROR(VLOOKUP($G1827,SuppTbl,2,0),IFERROR(VLOOKUP($G1827,AcctTbl,2,0),IFERROR(VLOOKUP($G1827,StaffTbl,2,0),"کد ناشناخته")))))</f>
        <v/>
      </c>
      <c r="I1827" s="12" t="n"/>
      <c r="J1827" s="12" t="n"/>
      <c r="K1827" s="13" t="n"/>
      <c r="L1827" s="13" t="n"/>
      <c r="M1827" s="13" t="n"/>
      <c r="N1827" s="14">
        <f>IF(OR($C1827="",$E1827="",Calc!$H1827=""),"",IFERROR(VLOOKUP(LEFT(UPPER(TRIM($E1827)),6),BankTbl,3,0),0)+SUMIFS(CalcDep,CalcBank,LEFT(UPPER(TRIM($E1827)),6),CalcKey,"&lt;="&amp;Calc!$H1827)-SUMIFS(CalcWit,CalcBank,LEFT(UPPER(TRIM($E1827)),6),CalcKey,"&lt;="&amp;Calc!$H1827))</f>
        <v/>
      </c>
      <c r="O1827" s="10">
        <f>IF(OR($C1827="",$M1827=""),"",IF($N1827="","؟",IF(ROUND($M1827-$N1827,0)=0,"√","×")))</f>
        <v/>
      </c>
      <c r="P1827" s="12" t="n"/>
    </row>
    <row r="1828">
      <c r="A1828" s="10">
        <f>IF($C1828="","",COUNTA($C$9:$C1828))</f>
        <v/>
      </c>
      <c r="B1828" s="10">
        <f>IF($C1828="","","TXN-"&amp;RIGHT("0000"&amp;1820,4))</f>
        <v/>
      </c>
      <c r="C1828" s="11" t="n"/>
      <c r="D1828" s="11" t="n"/>
      <c r="E1828" s="12" t="n"/>
      <c r="F1828" s="10">
        <f>IF($E1828="","",IFERROR(IF(VLOOKUP(LEFT(UPPER(TRIM($E1828)),6),BankTbl,2,0)="","(بدون عنوان)",VLOOKUP(LEFT(UPPER(TRIM($E1828)),6),BankTbl,2,0)),"بانک ناشناخته"))</f>
        <v/>
      </c>
      <c r="G1828" s="11" t="n"/>
      <c r="H1828" s="10">
        <f>IF($G1828="","",IFERROR(VLOOKUP($G1828,CustTbl,2,0),IFERROR(VLOOKUP($G1828,SuppTbl,2,0),IFERROR(VLOOKUP($G1828,AcctTbl,2,0),IFERROR(VLOOKUP($G1828,StaffTbl,2,0),"کد ناشناخته")))))</f>
        <v/>
      </c>
      <c r="I1828" s="12" t="n"/>
      <c r="J1828" s="12" t="n"/>
      <c r="K1828" s="13" t="n"/>
      <c r="L1828" s="13" t="n"/>
      <c r="M1828" s="13" t="n"/>
      <c r="N1828" s="14">
        <f>IF(OR($C1828="",$E1828="",Calc!$H1828=""),"",IFERROR(VLOOKUP(LEFT(UPPER(TRIM($E1828)),6),BankTbl,3,0),0)+SUMIFS(CalcDep,CalcBank,LEFT(UPPER(TRIM($E1828)),6),CalcKey,"&lt;="&amp;Calc!$H1828)-SUMIFS(CalcWit,CalcBank,LEFT(UPPER(TRIM($E1828)),6),CalcKey,"&lt;="&amp;Calc!$H1828))</f>
        <v/>
      </c>
      <c r="O1828" s="10">
        <f>IF(OR($C1828="",$M1828=""),"",IF($N1828="","؟",IF(ROUND($M1828-$N1828,0)=0,"√","×")))</f>
        <v/>
      </c>
      <c r="P1828" s="12" t="n"/>
    </row>
    <row r="1829">
      <c r="A1829" s="10">
        <f>IF($C1829="","",COUNTA($C$9:$C1829))</f>
        <v/>
      </c>
      <c r="B1829" s="10">
        <f>IF($C1829="","","TXN-"&amp;RIGHT("0000"&amp;1821,4))</f>
        <v/>
      </c>
      <c r="C1829" s="11" t="n"/>
      <c r="D1829" s="11" t="n"/>
      <c r="E1829" s="12" t="n"/>
      <c r="F1829" s="10">
        <f>IF($E1829="","",IFERROR(IF(VLOOKUP(LEFT(UPPER(TRIM($E1829)),6),BankTbl,2,0)="","(بدون عنوان)",VLOOKUP(LEFT(UPPER(TRIM($E1829)),6),BankTbl,2,0)),"بانک ناشناخته"))</f>
        <v/>
      </c>
      <c r="G1829" s="11" t="n"/>
      <c r="H1829" s="10">
        <f>IF($G1829="","",IFERROR(VLOOKUP($G1829,CustTbl,2,0),IFERROR(VLOOKUP($G1829,SuppTbl,2,0),IFERROR(VLOOKUP($G1829,AcctTbl,2,0),IFERROR(VLOOKUP($G1829,StaffTbl,2,0),"کد ناشناخته")))))</f>
        <v/>
      </c>
      <c r="I1829" s="12" t="n"/>
      <c r="J1829" s="12" t="n"/>
      <c r="K1829" s="13" t="n"/>
      <c r="L1829" s="13" t="n"/>
      <c r="M1829" s="13" t="n"/>
      <c r="N1829" s="14">
        <f>IF(OR($C1829="",$E1829="",Calc!$H1829=""),"",IFERROR(VLOOKUP(LEFT(UPPER(TRIM($E1829)),6),BankTbl,3,0),0)+SUMIFS(CalcDep,CalcBank,LEFT(UPPER(TRIM($E1829)),6),CalcKey,"&lt;="&amp;Calc!$H1829)-SUMIFS(CalcWit,CalcBank,LEFT(UPPER(TRIM($E1829)),6),CalcKey,"&lt;="&amp;Calc!$H1829))</f>
        <v/>
      </c>
      <c r="O1829" s="10">
        <f>IF(OR($C1829="",$M1829=""),"",IF($N1829="","؟",IF(ROUND($M1829-$N1829,0)=0,"√","×")))</f>
        <v/>
      </c>
      <c r="P1829" s="12" t="n"/>
    </row>
    <row r="1830">
      <c r="A1830" s="10">
        <f>IF($C1830="","",COUNTA($C$9:$C1830))</f>
        <v/>
      </c>
      <c r="B1830" s="10">
        <f>IF($C1830="","","TXN-"&amp;RIGHT("0000"&amp;1822,4))</f>
        <v/>
      </c>
      <c r="C1830" s="11" t="n"/>
      <c r="D1830" s="11" t="n"/>
      <c r="E1830" s="12" t="n"/>
      <c r="F1830" s="10">
        <f>IF($E1830="","",IFERROR(IF(VLOOKUP(LEFT(UPPER(TRIM($E1830)),6),BankTbl,2,0)="","(بدون عنوان)",VLOOKUP(LEFT(UPPER(TRIM($E1830)),6),BankTbl,2,0)),"بانک ناشناخته"))</f>
        <v/>
      </c>
      <c r="G1830" s="11" t="n"/>
      <c r="H1830" s="10">
        <f>IF($G1830="","",IFERROR(VLOOKUP($G1830,CustTbl,2,0),IFERROR(VLOOKUP($G1830,SuppTbl,2,0),IFERROR(VLOOKUP($G1830,AcctTbl,2,0),IFERROR(VLOOKUP($G1830,StaffTbl,2,0),"کد ناشناخته")))))</f>
        <v/>
      </c>
      <c r="I1830" s="12" t="n"/>
      <c r="J1830" s="12" t="n"/>
      <c r="K1830" s="13" t="n"/>
      <c r="L1830" s="13" t="n"/>
      <c r="M1830" s="13" t="n"/>
      <c r="N1830" s="14">
        <f>IF(OR($C1830="",$E1830="",Calc!$H1830=""),"",IFERROR(VLOOKUP(LEFT(UPPER(TRIM($E1830)),6),BankTbl,3,0),0)+SUMIFS(CalcDep,CalcBank,LEFT(UPPER(TRIM($E1830)),6),CalcKey,"&lt;="&amp;Calc!$H1830)-SUMIFS(CalcWit,CalcBank,LEFT(UPPER(TRIM($E1830)),6),CalcKey,"&lt;="&amp;Calc!$H1830))</f>
        <v/>
      </c>
      <c r="O1830" s="10">
        <f>IF(OR($C1830="",$M1830=""),"",IF($N1830="","؟",IF(ROUND($M1830-$N1830,0)=0,"√","×")))</f>
        <v/>
      </c>
      <c r="P1830" s="12" t="n"/>
    </row>
    <row r="1831">
      <c r="A1831" s="10">
        <f>IF($C1831="","",COUNTA($C$9:$C1831))</f>
        <v/>
      </c>
      <c r="B1831" s="10">
        <f>IF($C1831="","","TXN-"&amp;RIGHT("0000"&amp;1823,4))</f>
        <v/>
      </c>
      <c r="C1831" s="11" t="n"/>
      <c r="D1831" s="11" t="n"/>
      <c r="E1831" s="12" t="n"/>
      <c r="F1831" s="10">
        <f>IF($E1831="","",IFERROR(IF(VLOOKUP(LEFT(UPPER(TRIM($E1831)),6),BankTbl,2,0)="","(بدون عنوان)",VLOOKUP(LEFT(UPPER(TRIM($E1831)),6),BankTbl,2,0)),"بانک ناشناخته"))</f>
        <v/>
      </c>
      <c r="G1831" s="11" t="n"/>
      <c r="H1831" s="10">
        <f>IF($G1831="","",IFERROR(VLOOKUP($G1831,CustTbl,2,0),IFERROR(VLOOKUP($G1831,SuppTbl,2,0),IFERROR(VLOOKUP($G1831,AcctTbl,2,0),IFERROR(VLOOKUP($G1831,StaffTbl,2,0),"کد ناشناخته")))))</f>
        <v/>
      </c>
      <c r="I1831" s="12" t="n"/>
      <c r="J1831" s="12" t="n"/>
      <c r="K1831" s="13" t="n"/>
      <c r="L1831" s="13" t="n"/>
      <c r="M1831" s="13" t="n"/>
      <c r="N1831" s="14">
        <f>IF(OR($C1831="",$E1831="",Calc!$H1831=""),"",IFERROR(VLOOKUP(LEFT(UPPER(TRIM($E1831)),6),BankTbl,3,0),0)+SUMIFS(CalcDep,CalcBank,LEFT(UPPER(TRIM($E1831)),6),CalcKey,"&lt;="&amp;Calc!$H1831)-SUMIFS(CalcWit,CalcBank,LEFT(UPPER(TRIM($E1831)),6),CalcKey,"&lt;="&amp;Calc!$H1831))</f>
        <v/>
      </c>
      <c r="O1831" s="10">
        <f>IF(OR($C1831="",$M1831=""),"",IF($N1831="","؟",IF(ROUND($M1831-$N1831,0)=0,"√","×")))</f>
        <v/>
      </c>
      <c r="P1831" s="12" t="n"/>
    </row>
    <row r="1832">
      <c r="A1832" s="10">
        <f>IF($C1832="","",COUNTA($C$9:$C1832))</f>
        <v/>
      </c>
      <c r="B1832" s="10">
        <f>IF($C1832="","","TXN-"&amp;RIGHT("0000"&amp;1824,4))</f>
        <v/>
      </c>
      <c r="C1832" s="11" t="n"/>
      <c r="D1832" s="11" t="n"/>
      <c r="E1832" s="12" t="n"/>
      <c r="F1832" s="10">
        <f>IF($E1832="","",IFERROR(IF(VLOOKUP(LEFT(UPPER(TRIM($E1832)),6),BankTbl,2,0)="","(بدون عنوان)",VLOOKUP(LEFT(UPPER(TRIM($E1832)),6),BankTbl,2,0)),"بانک ناشناخته"))</f>
        <v/>
      </c>
      <c r="G1832" s="11" t="n"/>
      <c r="H1832" s="10">
        <f>IF($G1832="","",IFERROR(VLOOKUP($G1832,CustTbl,2,0),IFERROR(VLOOKUP($G1832,SuppTbl,2,0),IFERROR(VLOOKUP($G1832,AcctTbl,2,0),IFERROR(VLOOKUP($G1832,StaffTbl,2,0),"کد ناشناخته")))))</f>
        <v/>
      </c>
      <c r="I1832" s="12" t="n"/>
      <c r="J1832" s="12" t="n"/>
      <c r="K1832" s="13" t="n"/>
      <c r="L1832" s="13" t="n"/>
      <c r="M1832" s="13" t="n"/>
      <c r="N1832" s="14">
        <f>IF(OR($C1832="",$E1832="",Calc!$H1832=""),"",IFERROR(VLOOKUP(LEFT(UPPER(TRIM($E1832)),6),BankTbl,3,0),0)+SUMIFS(CalcDep,CalcBank,LEFT(UPPER(TRIM($E1832)),6),CalcKey,"&lt;="&amp;Calc!$H1832)-SUMIFS(CalcWit,CalcBank,LEFT(UPPER(TRIM($E1832)),6),CalcKey,"&lt;="&amp;Calc!$H1832))</f>
        <v/>
      </c>
      <c r="O1832" s="10">
        <f>IF(OR($C1832="",$M1832=""),"",IF($N1832="","؟",IF(ROUND($M1832-$N1832,0)=0,"√","×")))</f>
        <v/>
      </c>
      <c r="P1832" s="12" t="n"/>
    </row>
    <row r="1833">
      <c r="A1833" s="10">
        <f>IF($C1833="","",COUNTA($C$9:$C1833))</f>
        <v/>
      </c>
      <c r="B1833" s="10">
        <f>IF($C1833="","","TXN-"&amp;RIGHT("0000"&amp;1825,4))</f>
        <v/>
      </c>
      <c r="C1833" s="11" t="n"/>
      <c r="D1833" s="11" t="n"/>
      <c r="E1833" s="12" t="n"/>
      <c r="F1833" s="10">
        <f>IF($E1833="","",IFERROR(IF(VLOOKUP(LEFT(UPPER(TRIM($E1833)),6),BankTbl,2,0)="","(بدون عنوان)",VLOOKUP(LEFT(UPPER(TRIM($E1833)),6),BankTbl,2,0)),"بانک ناشناخته"))</f>
        <v/>
      </c>
      <c r="G1833" s="11" t="n"/>
      <c r="H1833" s="10">
        <f>IF($G1833="","",IFERROR(VLOOKUP($G1833,CustTbl,2,0),IFERROR(VLOOKUP($G1833,SuppTbl,2,0),IFERROR(VLOOKUP($G1833,AcctTbl,2,0),IFERROR(VLOOKUP($G1833,StaffTbl,2,0),"کد ناشناخته")))))</f>
        <v/>
      </c>
      <c r="I1833" s="12" t="n"/>
      <c r="J1833" s="12" t="n"/>
      <c r="K1833" s="13" t="n"/>
      <c r="L1833" s="13" t="n"/>
      <c r="M1833" s="13" t="n"/>
      <c r="N1833" s="14">
        <f>IF(OR($C1833="",$E1833="",Calc!$H1833=""),"",IFERROR(VLOOKUP(LEFT(UPPER(TRIM($E1833)),6),BankTbl,3,0),0)+SUMIFS(CalcDep,CalcBank,LEFT(UPPER(TRIM($E1833)),6),CalcKey,"&lt;="&amp;Calc!$H1833)-SUMIFS(CalcWit,CalcBank,LEFT(UPPER(TRIM($E1833)),6),CalcKey,"&lt;="&amp;Calc!$H1833))</f>
        <v/>
      </c>
      <c r="O1833" s="10">
        <f>IF(OR($C1833="",$M1833=""),"",IF($N1833="","؟",IF(ROUND($M1833-$N1833,0)=0,"√","×")))</f>
        <v/>
      </c>
      <c r="P1833" s="12" t="n"/>
    </row>
    <row r="1834">
      <c r="A1834" s="10">
        <f>IF($C1834="","",COUNTA($C$9:$C1834))</f>
        <v/>
      </c>
      <c r="B1834" s="10">
        <f>IF($C1834="","","TXN-"&amp;RIGHT("0000"&amp;1826,4))</f>
        <v/>
      </c>
      <c r="C1834" s="11" t="n"/>
      <c r="D1834" s="11" t="n"/>
      <c r="E1834" s="12" t="n"/>
      <c r="F1834" s="10">
        <f>IF($E1834="","",IFERROR(IF(VLOOKUP(LEFT(UPPER(TRIM($E1834)),6),BankTbl,2,0)="","(بدون عنوان)",VLOOKUP(LEFT(UPPER(TRIM($E1834)),6),BankTbl,2,0)),"بانک ناشناخته"))</f>
        <v/>
      </c>
      <c r="G1834" s="11" t="n"/>
      <c r="H1834" s="10">
        <f>IF($G1834="","",IFERROR(VLOOKUP($G1834,CustTbl,2,0),IFERROR(VLOOKUP($G1834,SuppTbl,2,0),IFERROR(VLOOKUP($G1834,AcctTbl,2,0),IFERROR(VLOOKUP($G1834,StaffTbl,2,0),"کد ناشناخته")))))</f>
        <v/>
      </c>
      <c r="I1834" s="12" t="n"/>
      <c r="J1834" s="12" t="n"/>
      <c r="K1834" s="13" t="n"/>
      <c r="L1834" s="13" t="n"/>
      <c r="M1834" s="13" t="n"/>
      <c r="N1834" s="14">
        <f>IF(OR($C1834="",$E1834="",Calc!$H1834=""),"",IFERROR(VLOOKUP(LEFT(UPPER(TRIM($E1834)),6),BankTbl,3,0),0)+SUMIFS(CalcDep,CalcBank,LEFT(UPPER(TRIM($E1834)),6),CalcKey,"&lt;="&amp;Calc!$H1834)-SUMIFS(CalcWit,CalcBank,LEFT(UPPER(TRIM($E1834)),6),CalcKey,"&lt;="&amp;Calc!$H1834))</f>
        <v/>
      </c>
      <c r="O1834" s="10">
        <f>IF(OR($C1834="",$M1834=""),"",IF($N1834="","؟",IF(ROUND($M1834-$N1834,0)=0,"√","×")))</f>
        <v/>
      </c>
      <c r="P1834" s="12" t="n"/>
    </row>
    <row r="1835">
      <c r="A1835" s="10">
        <f>IF($C1835="","",COUNTA($C$9:$C1835))</f>
        <v/>
      </c>
      <c r="B1835" s="10">
        <f>IF($C1835="","","TXN-"&amp;RIGHT("0000"&amp;1827,4))</f>
        <v/>
      </c>
      <c r="C1835" s="11" t="n"/>
      <c r="D1835" s="11" t="n"/>
      <c r="E1835" s="12" t="n"/>
      <c r="F1835" s="10">
        <f>IF($E1835="","",IFERROR(IF(VLOOKUP(LEFT(UPPER(TRIM($E1835)),6),BankTbl,2,0)="","(بدون عنوان)",VLOOKUP(LEFT(UPPER(TRIM($E1835)),6),BankTbl,2,0)),"بانک ناشناخته"))</f>
        <v/>
      </c>
      <c r="G1835" s="11" t="n"/>
      <c r="H1835" s="10">
        <f>IF($G1835="","",IFERROR(VLOOKUP($G1835,CustTbl,2,0),IFERROR(VLOOKUP($G1835,SuppTbl,2,0),IFERROR(VLOOKUP($G1835,AcctTbl,2,0),IFERROR(VLOOKUP($G1835,StaffTbl,2,0),"کد ناشناخته")))))</f>
        <v/>
      </c>
      <c r="I1835" s="12" t="n"/>
      <c r="J1835" s="12" t="n"/>
      <c r="K1835" s="13" t="n"/>
      <c r="L1835" s="13" t="n"/>
      <c r="M1835" s="13" t="n"/>
      <c r="N1835" s="14">
        <f>IF(OR($C1835="",$E1835="",Calc!$H1835=""),"",IFERROR(VLOOKUP(LEFT(UPPER(TRIM($E1835)),6),BankTbl,3,0),0)+SUMIFS(CalcDep,CalcBank,LEFT(UPPER(TRIM($E1835)),6),CalcKey,"&lt;="&amp;Calc!$H1835)-SUMIFS(CalcWit,CalcBank,LEFT(UPPER(TRIM($E1835)),6),CalcKey,"&lt;="&amp;Calc!$H1835))</f>
        <v/>
      </c>
      <c r="O1835" s="10">
        <f>IF(OR($C1835="",$M1835=""),"",IF($N1835="","؟",IF(ROUND($M1835-$N1835,0)=0,"√","×")))</f>
        <v/>
      </c>
      <c r="P1835" s="12" t="n"/>
    </row>
    <row r="1836">
      <c r="A1836" s="10">
        <f>IF($C1836="","",COUNTA($C$9:$C1836))</f>
        <v/>
      </c>
      <c r="B1836" s="10">
        <f>IF($C1836="","","TXN-"&amp;RIGHT("0000"&amp;1828,4))</f>
        <v/>
      </c>
      <c r="C1836" s="11" t="n"/>
      <c r="D1836" s="11" t="n"/>
      <c r="E1836" s="12" t="n"/>
      <c r="F1836" s="10">
        <f>IF($E1836="","",IFERROR(IF(VLOOKUP(LEFT(UPPER(TRIM($E1836)),6),BankTbl,2,0)="","(بدون عنوان)",VLOOKUP(LEFT(UPPER(TRIM($E1836)),6),BankTbl,2,0)),"بانک ناشناخته"))</f>
        <v/>
      </c>
      <c r="G1836" s="11" t="n"/>
      <c r="H1836" s="10">
        <f>IF($G1836="","",IFERROR(VLOOKUP($G1836,CustTbl,2,0),IFERROR(VLOOKUP($G1836,SuppTbl,2,0),IFERROR(VLOOKUP($G1836,AcctTbl,2,0),IFERROR(VLOOKUP($G1836,StaffTbl,2,0),"کد ناشناخته")))))</f>
        <v/>
      </c>
      <c r="I1836" s="12" t="n"/>
      <c r="J1836" s="12" t="n"/>
      <c r="K1836" s="13" t="n"/>
      <c r="L1836" s="13" t="n"/>
      <c r="M1836" s="13" t="n"/>
      <c r="N1836" s="14">
        <f>IF(OR($C1836="",$E1836="",Calc!$H1836=""),"",IFERROR(VLOOKUP(LEFT(UPPER(TRIM($E1836)),6),BankTbl,3,0),0)+SUMIFS(CalcDep,CalcBank,LEFT(UPPER(TRIM($E1836)),6),CalcKey,"&lt;="&amp;Calc!$H1836)-SUMIFS(CalcWit,CalcBank,LEFT(UPPER(TRIM($E1836)),6),CalcKey,"&lt;="&amp;Calc!$H1836))</f>
        <v/>
      </c>
      <c r="O1836" s="10">
        <f>IF(OR($C1836="",$M1836=""),"",IF($N1836="","؟",IF(ROUND($M1836-$N1836,0)=0,"√","×")))</f>
        <v/>
      </c>
      <c r="P1836" s="12" t="n"/>
    </row>
    <row r="1837">
      <c r="A1837" s="10">
        <f>IF($C1837="","",COUNTA($C$9:$C1837))</f>
        <v/>
      </c>
      <c r="B1837" s="10">
        <f>IF($C1837="","","TXN-"&amp;RIGHT("0000"&amp;1829,4))</f>
        <v/>
      </c>
      <c r="C1837" s="11" t="n"/>
      <c r="D1837" s="11" t="n"/>
      <c r="E1837" s="12" t="n"/>
      <c r="F1837" s="10">
        <f>IF($E1837="","",IFERROR(IF(VLOOKUP(LEFT(UPPER(TRIM($E1837)),6),BankTbl,2,0)="","(بدون عنوان)",VLOOKUP(LEFT(UPPER(TRIM($E1837)),6),BankTbl,2,0)),"بانک ناشناخته"))</f>
        <v/>
      </c>
      <c r="G1837" s="11" t="n"/>
      <c r="H1837" s="10">
        <f>IF($G1837="","",IFERROR(VLOOKUP($G1837,CustTbl,2,0),IFERROR(VLOOKUP($G1837,SuppTbl,2,0),IFERROR(VLOOKUP($G1837,AcctTbl,2,0),IFERROR(VLOOKUP($G1837,StaffTbl,2,0),"کد ناشناخته")))))</f>
        <v/>
      </c>
      <c r="I1837" s="12" t="n"/>
      <c r="J1837" s="12" t="n"/>
      <c r="K1837" s="13" t="n"/>
      <c r="L1837" s="13" t="n"/>
      <c r="M1837" s="13" t="n"/>
      <c r="N1837" s="14">
        <f>IF(OR($C1837="",$E1837="",Calc!$H1837=""),"",IFERROR(VLOOKUP(LEFT(UPPER(TRIM($E1837)),6),BankTbl,3,0),0)+SUMIFS(CalcDep,CalcBank,LEFT(UPPER(TRIM($E1837)),6),CalcKey,"&lt;="&amp;Calc!$H1837)-SUMIFS(CalcWit,CalcBank,LEFT(UPPER(TRIM($E1837)),6),CalcKey,"&lt;="&amp;Calc!$H1837))</f>
        <v/>
      </c>
      <c r="O1837" s="10">
        <f>IF(OR($C1837="",$M1837=""),"",IF($N1837="","؟",IF(ROUND($M1837-$N1837,0)=0,"√","×")))</f>
        <v/>
      </c>
      <c r="P1837" s="12" t="n"/>
    </row>
    <row r="1838">
      <c r="A1838" s="10">
        <f>IF($C1838="","",COUNTA($C$9:$C1838))</f>
        <v/>
      </c>
      <c r="B1838" s="10">
        <f>IF($C1838="","","TXN-"&amp;RIGHT("0000"&amp;1830,4))</f>
        <v/>
      </c>
      <c r="C1838" s="11" t="n"/>
      <c r="D1838" s="11" t="n"/>
      <c r="E1838" s="12" t="n"/>
      <c r="F1838" s="10">
        <f>IF($E1838="","",IFERROR(IF(VLOOKUP(LEFT(UPPER(TRIM($E1838)),6),BankTbl,2,0)="","(بدون عنوان)",VLOOKUP(LEFT(UPPER(TRIM($E1838)),6),BankTbl,2,0)),"بانک ناشناخته"))</f>
        <v/>
      </c>
      <c r="G1838" s="11" t="n"/>
      <c r="H1838" s="10">
        <f>IF($G1838="","",IFERROR(VLOOKUP($G1838,CustTbl,2,0),IFERROR(VLOOKUP($G1838,SuppTbl,2,0),IFERROR(VLOOKUP($G1838,AcctTbl,2,0),IFERROR(VLOOKUP($G1838,StaffTbl,2,0),"کد ناشناخته")))))</f>
        <v/>
      </c>
      <c r="I1838" s="12" t="n"/>
      <c r="J1838" s="12" t="n"/>
      <c r="K1838" s="13" t="n"/>
      <c r="L1838" s="13" t="n"/>
      <c r="M1838" s="13" t="n"/>
      <c r="N1838" s="14">
        <f>IF(OR($C1838="",$E1838="",Calc!$H1838=""),"",IFERROR(VLOOKUP(LEFT(UPPER(TRIM($E1838)),6),BankTbl,3,0),0)+SUMIFS(CalcDep,CalcBank,LEFT(UPPER(TRIM($E1838)),6),CalcKey,"&lt;="&amp;Calc!$H1838)-SUMIFS(CalcWit,CalcBank,LEFT(UPPER(TRIM($E1838)),6),CalcKey,"&lt;="&amp;Calc!$H1838))</f>
        <v/>
      </c>
      <c r="O1838" s="10">
        <f>IF(OR($C1838="",$M1838=""),"",IF($N1838="","؟",IF(ROUND($M1838-$N1838,0)=0,"√","×")))</f>
        <v/>
      </c>
      <c r="P1838" s="12" t="n"/>
    </row>
    <row r="1839">
      <c r="A1839" s="10">
        <f>IF($C1839="","",COUNTA($C$9:$C1839))</f>
        <v/>
      </c>
      <c r="B1839" s="10">
        <f>IF($C1839="","","TXN-"&amp;RIGHT("0000"&amp;1831,4))</f>
        <v/>
      </c>
      <c r="C1839" s="11" t="n"/>
      <c r="D1839" s="11" t="n"/>
      <c r="E1839" s="12" t="n"/>
      <c r="F1839" s="10">
        <f>IF($E1839="","",IFERROR(IF(VLOOKUP(LEFT(UPPER(TRIM($E1839)),6),BankTbl,2,0)="","(بدون عنوان)",VLOOKUP(LEFT(UPPER(TRIM($E1839)),6),BankTbl,2,0)),"بانک ناشناخته"))</f>
        <v/>
      </c>
      <c r="G1839" s="11" t="n"/>
      <c r="H1839" s="10">
        <f>IF($G1839="","",IFERROR(VLOOKUP($G1839,CustTbl,2,0),IFERROR(VLOOKUP($G1839,SuppTbl,2,0),IFERROR(VLOOKUP($G1839,AcctTbl,2,0),IFERROR(VLOOKUP($G1839,StaffTbl,2,0),"کد ناشناخته")))))</f>
        <v/>
      </c>
      <c r="I1839" s="12" t="n"/>
      <c r="J1839" s="12" t="n"/>
      <c r="K1839" s="13" t="n"/>
      <c r="L1839" s="13" t="n"/>
      <c r="M1839" s="13" t="n"/>
      <c r="N1839" s="14">
        <f>IF(OR($C1839="",$E1839="",Calc!$H1839=""),"",IFERROR(VLOOKUP(LEFT(UPPER(TRIM($E1839)),6),BankTbl,3,0),0)+SUMIFS(CalcDep,CalcBank,LEFT(UPPER(TRIM($E1839)),6),CalcKey,"&lt;="&amp;Calc!$H1839)-SUMIFS(CalcWit,CalcBank,LEFT(UPPER(TRIM($E1839)),6),CalcKey,"&lt;="&amp;Calc!$H1839))</f>
        <v/>
      </c>
      <c r="O1839" s="10">
        <f>IF(OR($C1839="",$M1839=""),"",IF($N1839="","؟",IF(ROUND($M1839-$N1839,0)=0,"√","×")))</f>
        <v/>
      </c>
      <c r="P1839" s="12" t="n"/>
    </row>
    <row r="1840">
      <c r="A1840" s="10">
        <f>IF($C1840="","",COUNTA($C$9:$C1840))</f>
        <v/>
      </c>
      <c r="B1840" s="10">
        <f>IF($C1840="","","TXN-"&amp;RIGHT("0000"&amp;1832,4))</f>
        <v/>
      </c>
      <c r="C1840" s="11" t="n"/>
      <c r="D1840" s="11" t="n"/>
      <c r="E1840" s="12" t="n"/>
      <c r="F1840" s="10">
        <f>IF($E1840="","",IFERROR(IF(VLOOKUP(LEFT(UPPER(TRIM($E1840)),6),BankTbl,2,0)="","(بدون عنوان)",VLOOKUP(LEFT(UPPER(TRIM($E1840)),6),BankTbl,2,0)),"بانک ناشناخته"))</f>
        <v/>
      </c>
      <c r="G1840" s="11" t="n"/>
      <c r="H1840" s="10">
        <f>IF($G1840="","",IFERROR(VLOOKUP($G1840,CustTbl,2,0),IFERROR(VLOOKUP($G1840,SuppTbl,2,0),IFERROR(VLOOKUP($G1840,AcctTbl,2,0),IFERROR(VLOOKUP($G1840,StaffTbl,2,0),"کد ناشناخته")))))</f>
        <v/>
      </c>
      <c r="I1840" s="12" t="n"/>
      <c r="J1840" s="12" t="n"/>
      <c r="K1840" s="13" t="n"/>
      <c r="L1840" s="13" t="n"/>
      <c r="M1840" s="13" t="n"/>
      <c r="N1840" s="14">
        <f>IF(OR($C1840="",$E1840="",Calc!$H1840=""),"",IFERROR(VLOOKUP(LEFT(UPPER(TRIM($E1840)),6),BankTbl,3,0),0)+SUMIFS(CalcDep,CalcBank,LEFT(UPPER(TRIM($E1840)),6),CalcKey,"&lt;="&amp;Calc!$H1840)-SUMIFS(CalcWit,CalcBank,LEFT(UPPER(TRIM($E1840)),6),CalcKey,"&lt;="&amp;Calc!$H1840))</f>
        <v/>
      </c>
      <c r="O1840" s="10">
        <f>IF(OR($C1840="",$M1840=""),"",IF($N1840="","؟",IF(ROUND($M1840-$N1840,0)=0,"√","×")))</f>
        <v/>
      </c>
      <c r="P1840" s="12" t="n"/>
    </row>
    <row r="1841">
      <c r="A1841" s="10">
        <f>IF($C1841="","",COUNTA($C$9:$C1841))</f>
        <v/>
      </c>
      <c r="B1841" s="10">
        <f>IF($C1841="","","TXN-"&amp;RIGHT("0000"&amp;1833,4))</f>
        <v/>
      </c>
      <c r="C1841" s="11" t="n"/>
      <c r="D1841" s="11" t="n"/>
      <c r="E1841" s="12" t="n"/>
      <c r="F1841" s="10">
        <f>IF($E1841="","",IFERROR(IF(VLOOKUP(LEFT(UPPER(TRIM($E1841)),6),BankTbl,2,0)="","(بدون عنوان)",VLOOKUP(LEFT(UPPER(TRIM($E1841)),6),BankTbl,2,0)),"بانک ناشناخته"))</f>
        <v/>
      </c>
      <c r="G1841" s="11" t="n"/>
      <c r="H1841" s="10">
        <f>IF($G1841="","",IFERROR(VLOOKUP($G1841,CustTbl,2,0),IFERROR(VLOOKUP($G1841,SuppTbl,2,0),IFERROR(VLOOKUP($G1841,AcctTbl,2,0),IFERROR(VLOOKUP($G1841,StaffTbl,2,0),"کد ناشناخته")))))</f>
        <v/>
      </c>
      <c r="I1841" s="12" t="n"/>
      <c r="J1841" s="12" t="n"/>
      <c r="K1841" s="13" t="n"/>
      <c r="L1841" s="13" t="n"/>
      <c r="M1841" s="13" t="n"/>
      <c r="N1841" s="14">
        <f>IF(OR($C1841="",$E1841="",Calc!$H1841=""),"",IFERROR(VLOOKUP(LEFT(UPPER(TRIM($E1841)),6),BankTbl,3,0),0)+SUMIFS(CalcDep,CalcBank,LEFT(UPPER(TRIM($E1841)),6),CalcKey,"&lt;="&amp;Calc!$H1841)-SUMIFS(CalcWit,CalcBank,LEFT(UPPER(TRIM($E1841)),6),CalcKey,"&lt;="&amp;Calc!$H1841))</f>
        <v/>
      </c>
      <c r="O1841" s="10">
        <f>IF(OR($C1841="",$M1841=""),"",IF($N1841="","؟",IF(ROUND($M1841-$N1841,0)=0,"√","×")))</f>
        <v/>
      </c>
      <c r="P1841" s="12" t="n"/>
    </row>
    <row r="1842">
      <c r="A1842" s="10">
        <f>IF($C1842="","",COUNTA($C$9:$C1842))</f>
        <v/>
      </c>
      <c r="B1842" s="10">
        <f>IF($C1842="","","TXN-"&amp;RIGHT("0000"&amp;1834,4))</f>
        <v/>
      </c>
      <c r="C1842" s="11" t="n"/>
      <c r="D1842" s="11" t="n"/>
      <c r="E1842" s="12" t="n"/>
      <c r="F1842" s="10">
        <f>IF($E1842="","",IFERROR(IF(VLOOKUP(LEFT(UPPER(TRIM($E1842)),6),BankTbl,2,0)="","(بدون عنوان)",VLOOKUP(LEFT(UPPER(TRIM($E1842)),6),BankTbl,2,0)),"بانک ناشناخته"))</f>
        <v/>
      </c>
      <c r="G1842" s="11" t="n"/>
      <c r="H1842" s="10">
        <f>IF($G1842="","",IFERROR(VLOOKUP($G1842,CustTbl,2,0),IFERROR(VLOOKUP($G1842,SuppTbl,2,0),IFERROR(VLOOKUP($G1842,AcctTbl,2,0),IFERROR(VLOOKUP($G1842,StaffTbl,2,0),"کد ناشناخته")))))</f>
        <v/>
      </c>
      <c r="I1842" s="12" t="n"/>
      <c r="J1842" s="12" t="n"/>
      <c r="K1842" s="13" t="n"/>
      <c r="L1842" s="13" t="n"/>
      <c r="M1842" s="13" t="n"/>
      <c r="N1842" s="14">
        <f>IF(OR($C1842="",$E1842="",Calc!$H1842=""),"",IFERROR(VLOOKUP(LEFT(UPPER(TRIM($E1842)),6),BankTbl,3,0),0)+SUMIFS(CalcDep,CalcBank,LEFT(UPPER(TRIM($E1842)),6),CalcKey,"&lt;="&amp;Calc!$H1842)-SUMIFS(CalcWit,CalcBank,LEFT(UPPER(TRIM($E1842)),6),CalcKey,"&lt;="&amp;Calc!$H1842))</f>
        <v/>
      </c>
      <c r="O1842" s="10">
        <f>IF(OR($C1842="",$M1842=""),"",IF($N1842="","؟",IF(ROUND($M1842-$N1842,0)=0,"√","×")))</f>
        <v/>
      </c>
      <c r="P1842" s="12" t="n"/>
    </row>
    <row r="1843">
      <c r="A1843" s="10">
        <f>IF($C1843="","",COUNTA($C$9:$C1843))</f>
        <v/>
      </c>
      <c r="B1843" s="10">
        <f>IF($C1843="","","TXN-"&amp;RIGHT("0000"&amp;1835,4))</f>
        <v/>
      </c>
      <c r="C1843" s="11" t="n"/>
      <c r="D1843" s="11" t="n"/>
      <c r="E1843" s="12" t="n"/>
      <c r="F1843" s="10">
        <f>IF($E1843="","",IFERROR(IF(VLOOKUP(LEFT(UPPER(TRIM($E1843)),6),BankTbl,2,0)="","(بدون عنوان)",VLOOKUP(LEFT(UPPER(TRIM($E1843)),6),BankTbl,2,0)),"بانک ناشناخته"))</f>
        <v/>
      </c>
      <c r="G1843" s="11" t="n"/>
      <c r="H1843" s="10">
        <f>IF($G1843="","",IFERROR(VLOOKUP($G1843,CustTbl,2,0),IFERROR(VLOOKUP($G1843,SuppTbl,2,0),IFERROR(VLOOKUP($G1843,AcctTbl,2,0),IFERROR(VLOOKUP($G1843,StaffTbl,2,0),"کد ناشناخته")))))</f>
        <v/>
      </c>
      <c r="I1843" s="12" t="n"/>
      <c r="J1843" s="12" t="n"/>
      <c r="K1843" s="13" t="n"/>
      <c r="L1843" s="13" t="n"/>
      <c r="M1843" s="13" t="n"/>
      <c r="N1843" s="14">
        <f>IF(OR($C1843="",$E1843="",Calc!$H1843=""),"",IFERROR(VLOOKUP(LEFT(UPPER(TRIM($E1843)),6),BankTbl,3,0),0)+SUMIFS(CalcDep,CalcBank,LEFT(UPPER(TRIM($E1843)),6),CalcKey,"&lt;="&amp;Calc!$H1843)-SUMIFS(CalcWit,CalcBank,LEFT(UPPER(TRIM($E1843)),6),CalcKey,"&lt;="&amp;Calc!$H1843))</f>
        <v/>
      </c>
      <c r="O1843" s="10">
        <f>IF(OR($C1843="",$M1843=""),"",IF($N1843="","؟",IF(ROUND($M1843-$N1843,0)=0,"√","×")))</f>
        <v/>
      </c>
      <c r="P1843" s="12" t="n"/>
    </row>
    <row r="1844">
      <c r="A1844" s="10">
        <f>IF($C1844="","",COUNTA($C$9:$C1844))</f>
        <v/>
      </c>
      <c r="B1844" s="10">
        <f>IF($C1844="","","TXN-"&amp;RIGHT("0000"&amp;1836,4))</f>
        <v/>
      </c>
      <c r="C1844" s="11" t="n"/>
      <c r="D1844" s="11" t="n"/>
      <c r="E1844" s="12" t="n"/>
      <c r="F1844" s="10">
        <f>IF($E1844="","",IFERROR(IF(VLOOKUP(LEFT(UPPER(TRIM($E1844)),6),BankTbl,2,0)="","(بدون عنوان)",VLOOKUP(LEFT(UPPER(TRIM($E1844)),6),BankTbl,2,0)),"بانک ناشناخته"))</f>
        <v/>
      </c>
      <c r="G1844" s="11" t="n"/>
      <c r="H1844" s="10">
        <f>IF($G1844="","",IFERROR(VLOOKUP($G1844,CustTbl,2,0),IFERROR(VLOOKUP($G1844,SuppTbl,2,0),IFERROR(VLOOKUP($G1844,AcctTbl,2,0),IFERROR(VLOOKUP($G1844,StaffTbl,2,0),"کد ناشناخته")))))</f>
        <v/>
      </c>
      <c r="I1844" s="12" t="n"/>
      <c r="J1844" s="12" t="n"/>
      <c r="K1844" s="13" t="n"/>
      <c r="L1844" s="13" t="n"/>
      <c r="M1844" s="13" t="n"/>
      <c r="N1844" s="14">
        <f>IF(OR($C1844="",$E1844="",Calc!$H1844=""),"",IFERROR(VLOOKUP(LEFT(UPPER(TRIM($E1844)),6),BankTbl,3,0),0)+SUMIFS(CalcDep,CalcBank,LEFT(UPPER(TRIM($E1844)),6),CalcKey,"&lt;="&amp;Calc!$H1844)-SUMIFS(CalcWit,CalcBank,LEFT(UPPER(TRIM($E1844)),6),CalcKey,"&lt;="&amp;Calc!$H1844))</f>
        <v/>
      </c>
      <c r="O1844" s="10">
        <f>IF(OR($C1844="",$M1844=""),"",IF($N1844="","؟",IF(ROUND($M1844-$N1844,0)=0,"√","×")))</f>
        <v/>
      </c>
      <c r="P1844" s="12" t="n"/>
    </row>
    <row r="1845">
      <c r="A1845" s="10">
        <f>IF($C1845="","",COUNTA($C$9:$C1845))</f>
        <v/>
      </c>
      <c r="B1845" s="10">
        <f>IF($C1845="","","TXN-"&amp;RIGHT("0000"&amp;1837,4))</f>
        <v/>
      </c>
      <c r="C1845" s="11" t="n"/>
      <c r="D1845" s="11" t="n"/>
      <c r="E1845" s="12" t="n"/>
      <c r="F1845" s="10">
        <f>IF($E1845="","",IFERROR(IF(VLOOKUP(LEFT(UPPER(TRIM($E1845)),6),BankTbl,2,0)="","(بدون عنوان)",VLOOKUP(LEFT(UPPER(TRIM($E1845)),6),BankTbl,2,0)),"بانک ناشناخته"))</f>
        <v/>
      </c>
      <c r="G1845" s="11" t="n"/>
      <c r="H1845" s="10">
        <f>IF($G1845="","",IFERROR(VLOOKUP($G1845,CustTbl,2,0),IFERROR(VLOOKUP($G1845,SuppTbl,2,0),IFERROR(VLOOKUP($G1845,AcctTbl,2,0),IFERROR(VLOOKUP($G1845,StaffTbl,2,0),"کد ناشناخته")))))</f>
        <v/>
      </c>
      <c r="I1845" s="12" t="n"/>
      <c r="J1845" s="12" t="n"/>
      <c r="K1845" s="13" t="n"/>
      <c r="L1845" s="13" t="n"/>
      <c r="M1845" s="13" t="n"/>
      <c r="N1845" s="14">
        <f>IF(OR($C1845="",$E1845="",Calc!$H1845=""),"",IFERROR(VLOOKUP(LEFT(UPPER(TRIM($E1845)),6),BankTbl,3,0),0)+SUMIFS(CalcDep,CalcBank,LEFT(UPPER(TRIM($E1845)),6),CalcKey,"&lt;="&amp;Calc!$H1845)-SUMIFS(CalcWit,CalcBank,LEFT(UPPER(TRIM($E1845)),6),CalcKey,"&lt;="&amp;Calc!$H1845))</f>
        <v/>
      </c>
      <c r="O1845" s="10">
        <f>IF(OR($C1845="",$M1845=""),"",IF($N1845="","؟",IF(ROUND($M1845-$N1845,0)=0,"√","×")))</f>
        <v/>
      </c>
      <c r="P1845" s="12" t="n"/>
    </row>
    <row r="1846">
      <c r="A1846" s="10">
        <f>IF($C1846="","",COUNTA($C$9:$C1846))</f>
        <v/>
      </c>
      <c r="B1846" s="10">
        <f>IF($C1846="","","TXN-"&amp;RIGHT("0000"&amp;1838,4))</f>
        <v/>
      </c>
      <c r="C1846" s="11" t="n"/>
      <c r="D1846" s="11" t="n"/>
      <c r="E1846" s="12" t="n"/>
      <c r="F1846" s="10">
        <f>IF($E1846="","",IFERROR(IF(VLOOKUP(LEFT(UPPER(TRIM($E1846)),6),BankTbl,2,0)="","(بدون عنوان)",VLOOKUP(LEFT(UPPER(TRIM($E1846)),6),BankTbl,2,0)),"بانک ناشناخته"))</f>
        <v/>
      </c>
      <c r="G1846" s="11" t="n"/>
      <c r="H1846" s="10">
        <f>IF($G1846="","",IFERROR(VLOOKUP($G1846,CustTbl,2,0),IFERROR(VLOOKUP($G1846,SuppTbl,2,0),IFERROR(VLOOKUP($G1846,AcctTbl,2,0),IFERROR(VLOOKUP($G1846,StaffTbl,2,0),"کد ناشناخته")))))</f>
        <v/>
      </c>
      <c r="I1846" s="12" t="n"/>
      <c r="J1846" s="12" t="n"/>
      <c r="K1846" s="13" t="n"/>
      <c r="L1846" s="13" t="n"/>
      <c r="M1846" s="13" t="n"/>
      <c r="N1846" s="14">
        <f>IF(OR($C1846="",$E1846="",Calc!$H1846=""),"",IFERROR(VLOOKUP(LEFT(UPPER(TRIM($E1846)),6),BankTbl,3,0),0)+SUMIFS(CalcDep,CalcBank,LEFT(UPPER(TRIM($E1846)),6),CalcKey,"&lt;="&amp;Calc!$H1846)-SUMIFS(CalcWit,CalcBank,LEFT(UPPER(TRIM($E1846)),6),CalcKey,"&lt;="&amp;Calc!$H1846))</f>
        <v/>
      </c>
      <c r="O1846" s="10">
        <f>IF(OR($C1846="",$M1846=""),"",IF($N1846="","؟",IF(ROUND($M1846-$N1846,0)=0,"√","×")))</f>
        <v/>
      </c>
      <c r="P1846" s="12" t="n"/>
    </row>
    <row r="1847">
      <c r="A1847" s="10">
        <f>IF($C1847="","",COUNTA($C$9:$C1847))</f>
        <v/>
      </c>
      <c r="B1847" s="10">
        <f>IF($C1847="","","TXN-"&amp;RIGHT("0000"&amp;1839,4))</f>
        <v/>
      </c>
      <c r="C1847" s="11" t="n"/>
      <c r="D1847" s="11" t="n"/>
      <c r="E1847" s="12" t="n"/>
      <c r="F1847" s="10">
        <f>IF($E1847="","",IFERROR(IF(VLOOKUP(LEFT(UPPER(TRIM($E1847)),6),BankTbl,2,0)="","(بدون عنوان)",VLOOKUP(LEFT(UPPER(TRIM($E1847)),6),BankTbl,2,0)),"بانک ناشناخته"))</f>
        <v/>
      </c>
      <c r="G1847" s="11" t="n"/>
      <c r="H1847" s="10">
        <f>IF($G1847="","",IFERROR(VLOOKUP($G1847,CustTbl,2,0),IFERROR(VLOOKUP($G1847,SuppTbl,2,0),IFERROR(VLOOKUP($G1847,AcctTbl,2,0),IFERROR(VLOOKUP($G1847,StaffTbl,2,0),"کد ناشناخته")))))</f>
        <v/>
      </c>
      <c r="I1847" s="12" t="n"/>
      <c r="J1847" s="12" t="n"/>
      <c r="K1847" s="13" t="n"/>
      <c r="L1847" s="13" t="n"/>
      <c r="M1847" s="13" t="n"/>
      <c r="N1847" s="14">
        <f>IF(OR($C1847="",$E1847="",Calc!$H1847=""),"",IFERROR(VLOOKUP(LEFT(UPPER(TRIM($E1847)),6),BankTbl,3,0),0)+SUMIFS(CalcDep,CalcBank,LEFT(UPPER(TRIM($E1847)),6),CalcKey,"&lt;="&amp;Calc!$H1847)-SUMIFS(CalcWit,CalcBank,LEFT(UPPER(TRIM($E1847)),6),CalcKey,"&lt;="&amp;Calc!$H1847))</f>
        <v/>
      </c>
      <c r="O1847" s="10">
        <f>IF(OR($C1847="",$M1847=""),"",IF($N1847="","؟",IF(ROUND($M1847-$N1847,0)=0,"√","×")))</f>
        <v/>
      </c>
      <c r="P1847" s="12" t="n"/>
    </row>
    <row r="1848">
      <c r="A1848" s="10">
        <f>IF($C1848="","",COUNTA($C$9:$C1848))</f>
        <v/>
      </c>
      <c r="B1848" s="10">
        <f>IF($C1848="","","TXN-"&amp;RIGHT("0000"&amp;1840,4))</f>
        <v/>
      </c>
      <c r="C1848" s="11" t="n"/>
      <c r="D1848" s="11" t="n"/>
      <c r="E1848" s="12" t="n"/>
      <c r="F1848" s="10">
        <f>IF($E1848="","",IFERROR(IF(VLOOKUP(LEFT(UPPER(TRIM($E1848)),6),BankTbl,2,0)="","(بدون عنوان)",VLOOKUP(LEFT(UPPER(TRIM($E1848)),6),BankTbl,2,0)),"بانک ناشناخته"))</f>
        <v/>
      </c>
      <c r="G1848" s="11" t="n"/>
      <c r="H1848" s="10">
        <f>IF($G1848="","",IFERROR(VLOOKUP($G1848,CustTbl,2,0),IFERROR(VLOOKUP($G1848,SuppTbl,2,0),IFERROR(VLOOKUP($G1848,AcctTbl,2,0),IFERROR(VLOOKUP($G1848,StaffTbl,2,0),"کد ناشناخته")))))</f>
        <v/>
      </c>
      <c r="I1848" s="12" t="n"/>
      <c r="J1848" s="12" t="n"/>
      <c r="K1848" s="13" t="n"/>
      <c r="L1848" s="13" t="n"/>
      <c r="M1848" s="13" t="n"/>
      <c r="N1848" s="14">
        <f>IF(OR($C1848="",$E1848="",Calc!$H1848=""),"",IFERROR(VLOOKUP(LEFT(UPPER(TRIM($E1848)),6),BankTbl,3,0),0)+SUMIFS(CalcDep,CalcBank,LEFT(UPPER(TRIM($E1848)),6),CalcKey,"&lt;="&amp;Calc!$H1848)-SUMIFS(CalcWit,CalcBank,LEFT(UPPER(TRIM($E1848)),6),CalcKey,"&lt;="&amp;Calc!$H1848))</f>
        <v/>
      </c>
      <c r="O1848" s="10">
        <f>IF(OR($C1848="",$M1848=""),"",IF($N1848="","؟",IF(ROUND($M1848-$N1848,0)=0,"√","×")))</f>
        <v/>
      </c>
      <c r="P1848" s="12" t="n"/>
    </row>
    <row r="1849">
      <c r="A1849" s="10">
        <f>IF($C1849="","",COUNTA($C$9:$C1849))</f>
        <v/>
      </c>
      <c r="B1849" s="10">
        <f>IF($C1849="","","TXN-"&amp;RIGHT("0000"&amp;1841,4))</f>
        <v/>
      </c>
      <c r="C1849" s="11" t="n"/>
      <c r="D1849" s="11" t="n"/>
      <c r="E1849" s="12" t="n"/>
      <c r="F1849" s="10">
        <f>IF($E1849="","",IFERROR(IF(VLOOKUP(LEFT(UPPER(TRIM($E1849)),6),BankTbl,2,0)="","(بدون عنوان)",VLOOKUP(LEFT(UPPER(TRIM($E1849)),6),BankTbl,2,0)),"بانک ناشناخته"))</f>
        <v/>
      </c>
      <c r="G1849" s="11" t="n"/>
      <c r="H1849" s="10">
        <f>IF($G1849="","",IFERROR(VLOOKUP($G1849,CustTbl,2,0),IFERROR(VLOOKUP($G1849,SuppTbl,2,0),IFERROR(VLOOKUP($G1849,AcctTbl,2,0),IFERROR(VLOOKUP($G1849,StaffTbl,2,0),"کد ناشناخته")))))</f>
        <v/>
      </c>
      <c r="I1849" s="12" t="n"/>
      <c r="J1849" s="12" t="n"/>
      <c r="K1849" s="13" t="n"/>
      <c r="L1849" s="13" t="n"/>
      <c r="M1849" s="13" t="n"/>
      <c r="N1849" s="14">
        <f>IF(OR($C1849="",$E1849="",Calc!$H1849=""),"",IFERROR(VLOOKUP(LEFT(UPPER(TRIM($E1849)),6),BankTbl,3,0),0)+SUMIFS(CalcDep,CalcBank,LEFT(UPPER(TRIM($E1849)),6),CalcKey,"&lt;="&amp;Calc!$H1849)-SUMIFS(CalcWit,CalcBank,LEFT(UPPER(TRIM($E1849)),6),CalcKey,"&lt;="&amp;Calc!$H1849))</f>
        <v/>
      </c>
      <c r="O1849" s="10">
        <f>IF(OR($C1849="",$M1849=""),"",IF($N1849="","؟",IF(ROUND($M1849-$N1849,0)=0,"√","×")))</f>
        <v/>
      </c>
      <c r="P1849" s="12" t="n"/>
    </row>
    <row r="1850">
      <c r="A1850" s="10">
        <f>IF($C1850="","",COUNTA($C$9:$C1850))</f>
        <v/>
      </c>
      <c r="B1850" s="10">
        <f>IF($C1850="","","TXN-"&amp;RIGHT("0000"&amp;1842,4))</f>
        <v/>
      </c>
      <c r="C1850" s="11" t="n"/>
      <c r="D1850" s="11" t="n"/>
      <c r="E1850" s="12" t="n"/>
      <c r="F1850" s="10">
        <f>IF($E1850="","",IFERROR(IF(VLOOKUP(LEFT(UPPER(TRIM($E1850)),6),BankTbl,2,0)="","(بدون عنوان)",VLOOKUP(LEFT(UPPER(TRIM($E1850)),6),BankTbl,2,0)),"بانک ناشناخته"))</f>
        <v/>
      </c>
      <c r="G1850" s="11" t="n"/>
      <c r="H1850" s="10">
        <f>IF($G1850="","",IFERROR(VLOOKUP($G1850,CustTbl,2,0),IFERROR(VLOOKUP($G1850,SuppTbl,2,0),IFERROR(VLOOKUP($G1850,AcctTbl,2,0),IFERROR(VLOOKUP($G1850,StaffTbl,2,0),"کد ناشناخته")))))</f>
        <v/>
      </c>
      <c r="I1850" s="12" t="n"/>
      <c r="J1850" s="12" t="n"/>
      <c r="K1850" s="13" t="n"/>
      <c r="L1850" s="13" t="n"/>
      <c r="M1850" s="13" t="n"/>
      <c r="N1850" s="14">
        <f>IF(OR($C1850="",$E1850="",Calc!$H1850=""),"",IFERROR(VLOOKUP(LEFT(UPPER(TRIM($E1850)),6),BankTbl,3,0),0)+SUMIFS(CalcDep,CalcBank,LEFT(UPPER(TRIM($E1850)),6),CalcKey,"&lt;="&amp;Calc!$H1850)-SUMIFS(CalcWit,CalcBank,LEFT(UPPER(TRIM($E1850)),6),CalcKey,"&lt;="&amp;Calc!$H1850))</f>
        <v/>
      </c>
      <c r="O1850" s="10">
        <f>IF(OR($C1850="",$M1850=""),"",IF($N1850="","؟",IF(ROUND($M1850-$N1850,0)=0,"√","×")))</f>
        <v/>
      </c>
      <c r="P1850" s="12" t="n"/>
    </row>
    <row r="1851">
      <c r="A1851" s="10">
        <f>IF($C1851="","",COUNTA($C$9:$C1851))</f>
        <v/>
      </c>
      <c r="B1851" s="10">
        <f>IF($C1851="","","TXN-"&amp;RIGHT("0000"&amp;1843,4))</f>
        <v/>
      </c>
      <c r="C1851" s="11" t="n"/>
      <c r="D1851" s="11" t="n"/>
      <c r="E1851" s="12" t="n"/>
      <c r="F1851" s="10">
        <f>IF($E1851="","",IFERROR(IF(VLOOKUP(LEFT(UPPER(TRIM($E1851)),6),BankTbl,2,0)="","(بدون عنوان)",VLOOKUP(LEFT(UPPER(TRIM($E1851)),6),BankTbl,2,0)),"بانک ناشناخته"))</f>
        <v/>
      </c>
      <c r="G1851" s="11" t="n"/>
      <c r="H1851" s="10">
        <f>IF($G1851="","",IFERROR(VLOOKUP($G1851,CustTbl,2,0),IFERROR(VLOOKUP($G1851,SuppTbl,2,0),IFERROR(VLOOKUP($G1851,AcctTbl,2,0),IFERROR(VLOOKUP($G1851,StaffTbl,2,0),"کد ناشناخته")))))</f>
        <v/>
      </c>
      <c r="I1851" s="12" t="n"/>
      <c r="J1851" s="12" t="n"/>
      <c r="K1851" s="13" t="n"/>
      <c r="L1851" s="13" t="n"/>
      <c r="M1851" s="13" t="n"/>
      <c r="N1851" s="14">
        <f>IF(OR($C1851="",$E1851="",Calc!$H1851=""),"",IFERROR(VLOOKUP(LEFT(UPPER(TRIM($E1851)),6),BankTbl,3,0),0)+SUMIFS(CalcDep,CalcBank,LEFT(UPPER(TRIM($E1851)),6),CalcKey,"&lt;="&amp;Calc!$H1851)-SUMIFS(CalcWit,CalcBank,LEFT(UPPER(TRIM($E1851)),6),CalcKey,"&lt;="&amp;Calc!$H1851))</f>
        <v/>
      </c>
      <c r="O1851" s="10">
        <f>IF(OR($C1851="",$M1851=""),"",IF($N1851="","؟",IF(ROUND($M1851-$N1851,0)=0,"√","×")))</f>
        <v/>
      </c>
      <c r="P1851" s="12" t="n"/>
    </row>
    <row r="1852">
      <c r="A1852" s="10">
        <f>IF($C1852="","",COUNTA($C$9:$C1852))</f>
        <v/>
      </c>
      <c r="B1852" s="10">
        <f>IF($C1852="","","TXN-"&amp;RIGHT("0000"&amp;1844,4))</f>
        <v/>
      </c>
      <c r="C1852" s="11" t="n"/>
      <c r="D1852" s="11" t="n"/>
      <c r="E1852" s="12" t="n"/>
      <c r="F1852" s="10">
        <f>IF($E1852="","",IFERROR(IF(VLOOKUP(LEFT(UPPER(TRIM($E1852)),6),BankTbl,2,0)="","(بدون عنوان)",VLOOKUP(LEFT(UPPER(TRIM($E1852)),6),BankTbl,2,0)),"بانک ناشناخته"))</f>
        <v/>
      </c>
      <c r="G1852" s="11" t="n"/>
      <c r="H1852" s="10">
        <f>IF($G1852="","",IFERROR(VLOOKUP($G1852,CustTbl,2,0),IFERROR(VLOOKUP($G1852,SuppTbl,2,0),IFERROR(VLOOKUP($G1852,AcctTbl,2,0),IFERROR(VLOOKUP($G1852,StaffTbl,2,0),"کد ناشناخته")))))</f>
        <v/>
      </c>
      <c r="I1852" s="12" t="n"/>
      <c r="J1852" s="12" t="n"/>
      <c r="K1852" s="13" t="n"/>
      <c r="L1852" s="13" t="n"/>
      <c r="M1852" s="13" t="n"/>
      <c r="N1852" s="14">
        <f>IF(OR($C1852="",$E1852="",Calc!$H1852=""),"",IFERROR(VLOOKUP(LEFT(UPPER(TRIM($E1852)),6),BankTbl,3,0),0)+SUMIFS(CalcDep,CalcBank,LEFT(UPPER(TRIM($E1852)),6),CalcKey,"&lt;="&amp;Calc!$H1852)-SUMIFS(CalcWit,CalcBank,LEFT(UPPER(TRIM($E1852)),6),CalcKey,"&lt;="&amp;Calc!$H1852))</f>
        <v/>
      </c>
      <c r="O1852" s="10">
        <f>IF(OR($C1852="",$M1852=""),"",IF($N1852="","؟",IF(ROUND($M1852-$N1852,0)=0,"√","×")))</f>
        <v/>
      </c>
      <c r="P1852" s="12" t="n"/>
    </row>
    <row r="1853">
      <c r="A1853" s="10">
        <f>IF($C1853="","",COUNTA($C$9:$C1853))</f>
        <v/>
      </c>
      <c r="B1853" s="10">
        <f>IF($C1853="","","TXN-"&amp;RIGHT("0000"&amp;1845,4))</f>
        <v/>
      </c>
      <c r="C1853" s="11" t="n"/>
      <c r="D1853" s="11" t="n"/>
      <c r="E1853" s="12" t="n"/>
      <c r="F1853" s="10">
        <f>IF($E1853="","",IFERROR(IF(VLOOKUP(LEFT(UPPER(TRIM($E1853)),6),BankTbl,2,0)="","(بدون عنوان)",VLOOKUP(LEFT(UPPER(TRIM($E1853)),6),BankTbl,2,0)),"بانک ناشناخته"))</f>
        <v/>
      </c>
      <c r="G1853" s="11" t="n"/>
      <c r="H1853" s="10">
        <f>IF($G1853="","",IFERROR(VLOOKUP($G1853,CustTbl,2,0),IFERROR(VLOOKUP($G1853,SuppTbl,2,0),IFERROR(VLOOKUP($G1853,AcctTbl,2,0),IFERROR(VLOOKUP($G1853,StaffTbl,2,0),"کد ناشناخته")))))</f>
        <v/>
      </c>
      <c r="I1853" s="12" t="n"/>
      <c r="J1853" s="12" t="n"/>
      <c r="K1853" s="13" t="n"/>
      <c r="L1853" s="13" t="n"/>
      <c r="M1853" s="13" t="n"/>
      <c r="N1853" s="14">
        <f>IF(OR($C1853="",$E1853="",Calc!$H1853=""),"",IFERROR(VLOOKUP(LEFT(UPPER(TRIM($E1853)),6),BankTbl,3,0),0)+SUMIFS(CalcDep,CalcBank,LEFT(UPPER(TRIM($E1853)),6),CalcKey,"&lt;="&amp;Calc!$H1853)-SUMIFS(CalcWit,CalcBank,LEFT(UPPER(TRIM($E1853)),6),CalcKey,"&lt;="&amp;Calc!$H1853))</f>
        <v/>
      </c>
      <c r="O1853" s="10">
        <f>IF(OR($C1853="",$M1853=""),"",IF($N1853="","؟",IF(ROUND($M1853-$N1853,0)=0,"√","×")))</f>
        <v/>
      </c>
      <c r="P1853" s="12" t="n"/>
    </row>
    <row r="1854">
      <c r="A1854" s="10">
        <f>IF($C1854="","",COUNTA($C$9:$C1854))</f>
        <v/>
      </c>
      <c r="B1854" s="10">
        <f>IF($C1854="","","TXN-"&amp;RIGHT("0000"&amp;1846,4))</f>
        <v/>
      </c>
      <c r="C1854" s="11" t="n"/>
      <c r="D1854" s="11" t="n"/>
      <c r="E1854" s="12" t="n"/>
      <c r="F1854" s="10">
        <f>IF($E1854="","",IFERROR(IF(VLOOKUP(LEFT(UPPER(TRIM($E1854)),6),BankTbl,2,0)="","(بدون عنوان)",VLOOKUP(LEFT(UPPER(TRIM($E1854)),6),BankTbl,2,0)),"بانک ناشناخته"))</f>
        <v/>
      </c>
      <c r="G1854" s="11" t="n"/>
      <c r="H1854" s="10">
        <f>IF($G1854="","",IFERROR(VLOOKUP($G1854,CustTbl,2,0),IFERROR(VLOOKUP($G1854,SuppTbl,2,0),IFERROR(VLOOKUP($G1854,AcctTbl,2,0),IFERROR(VLOOKUP($G1854,StaffTbl,2,0),"کد ناشناخته")))))</f>
        <v/>
      </c>
      <c r="I1854" s="12" t="n"/>
      <c r="J1854" s="12" t="n"/>
      <c r="K1854" s="13" t="n"/>
      <c r="L1854" s="13" t="n"/>
      <c r="M1854" s="13" t="n"/>
      <c r="N1854" s="14">
        <f>IF(OR($C1854="",$E1854="",Calc!$H1854=""),"",IFERROR(VLOOKUP(LEFT(UPPER(TRIM($E1854)),6),BankTbl,3,0),0)+SUMIFS(CalcDep,CalcBank,LEFT(UPPER(TRIM($E1854)),6),CalcKey,"&lt;="&amp;Calc!$H1854)-SUMIFS(CalcWit,CalcBank,LEFT(UPPER(TRIM($E1854)),6),CalcKey,"&lt;="&amp;Calc!$H1854))</f>
        <v/>
      </c>
      <c r="O1854" s="10">
        <f>IF(OR($C1854="",$M1854=""),"",IF($N1854="","؟",IF(ROUND($M1854-$N1854,0)=0,"√","×")))</f>
        <v/>
      </c>
      <c r="P1854" s="12" t="n"/>
    </row>
    <row r="1855">
      <c r="A1855" s="10">
        <f>IF($C1855="","",COUNTA($C$9:$C1855))</f>
        <v/>
      </c>
      <c r="B1855" s="10">
        <f>IF($C1855="","","TXN-"&amp;RIGHT("0000"&amp;1847,4))</f>
        <v/>
      </c>
      <c r="C1855" s="11" t="n"/>
      <c r="D1855" s="11" t="n"/>
      <c r="E1855" s="12" t="n"/>
      <c r="F1855" s="10">
        <f>IF($E1855="","",IFERROR(IF(VLOOKUP(LEFT(UPPER(TRIM($E1855)),6),BankTbl,2,0)="","(بدون عنوان)",VLOOKUP(LEFT(UPPER(TRIM($E1855)),6),BankTbl,2,0)),"بانک ناشناخته"))</f>
        <v/>
      </c>
      <c r="G1855" s="11" t="n"/>
      <c r="H1855" s="10">
        <f>IF($G1855="","",IFERROR(VLOOKUP($G1855,CustTbl,2,0),IFERROR(VLOOKUP($G1855,SuppTbl,2,0),IFERROR(VLOOKUP($G1855,AcctTbl,2,0),IFERROR(VLOOKUP($G1855,StaffTbl,2,0),"کد ناشناخته")))))</f>
        <v/>
      </c>
      <c r="I1855" s="12" t="n"/>
      <c r="J1855" s="12" t="n"/>
      <c r="K1855" s="13" t="n"/>
      <c r="L1855" s="13" t="n"/>
      <c r="M1855" s="13" t="n"/>
      <c r="N1855" s="14">
        <f>IF(OR($C1855="",$E1855="",Calc!$H1855=""),"",IFERROR(VLOOKUP(LEFT(UPPER(TRIM($E1855)),6),BankTbl,3,0),0)+SUMIFS(CalcDep,CalcBank,LEFT(UPPER(TRIM($E1855)),6),CalcKey,"&lt;="&amp;Calc!$H1855)-SUMIFS(CalcWit,CalcBank,LEFT(UPPER(TRIM($E1855)),6),CalcKey,"&lt;="&amp;Calc!$H1855))</f>
        <v/>
      </c>
      <c r="O1855" s="10">
        <f>IF(OR($C1855="",$M1855=""),"",IF($N1855="","؟",IF(ROUND($M1855-$N1855,0)=0,"√","×")))</f>
        <v/>
      </c>
      <c r="P1855" s="12" t="n"/>
    </row>
    <row r="1856">
      <c r="A1856" s="10">
        <f>IF($C1856="","",COUNTA($C$9:$C1856))</f>
        <v/>
      </c>
      <c r="B1856" s="10">
        <f>IF($C1856="","","TXN-"&amp;RIGHT("0000"&amp;1848,4))</f>
        <v/>
      </c>
      <c r="C1856" s="11" t="n"/>
      <c r="D1856" s="11" t="n"/>
      <c r="E1856" s="12" t="n"/>
      <c r="F1856" s="10">
        <f>IF($E1856="","",IFERROR(IF(VLOOKUP(LEFT(UPPER(TRIM($E1856)),6),BankTbl,2,0)="","(بدون عنوان)",VLOOKUP(LEFT(UPPER(TRIM($E1856)),6),BankTbl,2,0)),"بانک ناشناخته"))</f>
        <v/>
      </c>
      <c r="G1856" s="11" t="n"/>
      <c r="H1856" s="10">
        <f>IF($G1856="","",IFERROR(VLOOKUP($G1856,CustTbl,2,0),IFERROR(VLOOKUP($G1856,SuppTbl,2,0),IFERROR(VLOOKUP($G1856,AcctTbl,2,0),IFERROR(VLOOKUP($G1856,StaffTbl,2,0),"کد ناشناخته")))))</f>
        <v/>
      </c>
      <c r="I1856" s="12" t="n"/>
      <c r="J1856" s="12" t="n"/>
      <c r="K1856" s="13" t="n"/>
      <c r="L1856" s="13" t="n"/>
      <c r="M1856" s="13" t="n"/>
      <c r="N1856" s="14">
        <f>IF(OR($C1856="",$E1856="",Calc!$H1856=""),"",IFERROR(VLOOKUP(LEFT(UPPER(TRIM($E1856)),6),BankTbl,3,0),0)+SUMIFS(CalcDep,CalcBank,LEFT(UPPER(TRIM($E1856)),6),CalcKey,"&lt;="&amp;Calc!$H1856)-SUMIFS(CalcWit,CalcBank,LEFT(UPPER(TRIM($E1856)),6),CalcKey,"&lt;="&amp;Calc!$H1856))</f>
        <v/>
      </c>
      <c r="O1856" s="10">
        <f>IF(OR($C1856="",$M1856=""),"",IF($N1856="","؟",IF(ROUND($M1856-$N1856,0)=0,"√","×")))</f>
        <v/>
      </c>
      <c r="P1856" s="12" t="n"/>
    </row>
    <row r="1857">
      <c r="A1857" s="10">
        <f>IF($C1857="","",COUNTA($C$9:$C1857))</f>
        <v/>
      </c>
      <c r="B1857" s="10">
        <f>IF($C1857="","","TXN-"&amp;RIGHT("0000"&amp;1849,4))</f>
        <v/>
      </c>
      <c r="C1857" s="11" t="n"/>
      <c r="D1857" s="11" t="n"/>
      <c r="E1857" s="12" t="n"/>
      <c r="F1857" s="10">
        <f>IF($E1857="","",IFERROR(IF(VLOOKUP(LEFT(UPPER(TRIM($E1857)),6),BankTbl,2,0)="","(بدون عنوان)",VLOOKUP(LEFT(UPPER(TRIM($E1857)),6),BankTbl,2,0)),"بانک ناشناخته"))</f>
        <v/>
      </c>
      <c r="G1857" s="11" t="n"/>
      <c r="H1857" s="10">
        <f>IF($G1857="","",IFERROR(VLOOKUP($G1857,CustTbl,2,0),IFERROR(VLOOKUP($G1857,SuppTbl,2,0),IFERROR(VLOOKUP($G1857,AcctTbl,2,0),IFERROR(VLOOKUP($G1857,StaffTbl,2,0),"کد ناشناخته")))))</f>
        <v/>
      </c>
      <c r="I1857" s="12" t="n"/>
      <c r="J1857" s="12" t="n"/>
      <c r="K1857" s="13" t="n"/>
      <c r="L1857" s="13" t="n"/>
      <c r="M1857" s="13" t="n"/>
      <c r="N1857" s="14">
        <f>IF(OR($C1857="",$E1857="",Calc!$H1857=""),"",IFERROR(VLOOKUP(LEFT(UPPER(TRIM($E1857)),6),BankTbl,3,0),0)+SUMIFS(CalcDep,CalcBank,LEFT(UPPER(TRIM($E1857)),6),CalcKey,"&lt;="&amp;Calc!$H1857)-SUMIFS(CalcWit,CalcBank,LEFT(UPPER(TRIM($E1857)),6),CalcKey,"&lt;="&amp;Calc!$H1857))</f>
        <v/>
      </c>
      <c r="O1857" s="10">
        <f>IF(OR($C1857="",$M1857=""),"",IF($N1857="","؟",IF(ROUND($M1857-$N1857,0)=0,"√","×")))</f>
        <v/>
      </c>
      <c r="P1857" s="12" t="n"/>
    </row>
    <row r="1858">
      <c r="A1858" s="10">
        <f>IF($C1858="","",COUNTA($C$9:$C1858))</f>
        <v/>
      </c>
      <c r="B1858" s="10">
        <f>IF($C1858="","","TXN-"&amp;RIGHT("0000"&amp;1850,4))</f>
        <v/>
      </c>
      <c r="C1858" s="11" t="n"/>
      <c r="D1858" s="11" t="n"/>
      <c r="E1858" s="12" t="n"/>
      <c r="F1858" s="10">
        <f>IF($E1858="","",IFERROR(IF(VLOOKUP(LEFT(UPPER(TRIM($E1858)),6),BankTbl,2,0)="","(بدون عنوان)",VLOOKUP(LEFT(UPPER(TRIM($E1858)),6),BankTbl,2,0)),"بانک ناشناخته"))</f>
        <v/>
      </c>
      <c r="G1858" s="11" t="n"/>
      <c r="H1858" s="10">
        <f>IF($G1858="","",IFERROR(VLOOKUP($G1858,CustTbl,2,0),IFERROR(VLOOKUP($G1858,SuppTbl,2,0),IFERROR(VLOOKUP($G1858,AcctTbl,2,0),IFERROR(VLOOKUP($G1858,StaffTbl,2,0),"کد ناشناخته")))))</f>
        <v/>
      </c>
      <c r="I1858" s="12" t="n"/>
      <c r="J1858" s="12" t="n"/>
      <c r="K1858" s="13" t="n"/>
      <c r="L1858" s="13" t="n"/>
      <c r="M1858" s="13" t="n"/>
      <c r="N1858" s="14">
        <f>IF(OR($C1858="",$E1858="",Calc!$H1858=""),"",IFERROR(VLOOKUP(LEFT(UPPER(TRIM($E1858)),6),BankTbl,3,0),0)+SUMIFS(CalcDep,CalcBank,LEFT(UPPER(TRIM($E1858)),6),CalcKey,"&lt;="&amp;Calc!$H1858)-SUMIFS(CalcWit,CalcBank,LEFT(UPPER(TRIM($E1858)),6),CalcKey,"&lt;="&amp;Calc!$H1858))</f>
        <v/>
      </c>
      <c r="O1858" s="10">
        <f>IF(OR($C1858="",$M1858=""),"",IF($N1858="","؟",IF(ROUND($M1858-$N1858,0)=0,"√","×")))</f>
        <v/>
      </c>
      <c r="P1858" s="12" t="n"/>
    </row>
    <row r="1859">
      <c r="A1859" s="10">
        <f>IF($C1859="","",COUNTA($C$9:$C1859))</f>
        <v/>
      </c>
      <c r="B1859" s="10">
        <f>IF($C1859="","","TXN-"&amp;RIGHT("0000"&amp;1851,4))</f>
        <v/>
      </c>
      <c r="C1859" s="11" t="n"/>
      <c r="D1859" s="11" t="n"/>
      <c r="E1859" s="12" t="n"/>
      <c r="F1859" s="10">
        <f>IF($E1859="","",IFERROR(IF(VLOOKUP(LEFT(UPPER(TRIM($E1859)),6),BankTbl,2,0)="","(بدون عنوان)",VLOOKUP(LEFT(UPPER(TRIM($E1859)),6),BankTbl,2,0)),"بانک ناشناخته"))</f>
        <v/>
      </c>
      <c r="G1859" s="11" t="n"/>
      <c r="H1859" s="10">
        <f>IF($G1859="","",IFERROR(VLOOKUP($G1859,CustTbl,2,0),IFERROR(VLOOKUP($G1859,SuppTbl,2,0),IFERROR(VLOOKUP($G1859,AcctTbl,2,0),IFERROR(VLOOKUP($G1859,StaffTbl,2,0),"کد ناشناخته")))))</f>
        <v/>
      </c>
      <c r="I1859" s="12" t="n"/>
      <c r="J1859" s="12" t="n"/>
      <c r="K1859" s="13" t="n"/>
      <c r="L1859" s="13" t="n"/>
      <c r="M1859" s="13" t="n"/>
      <c r="N1859" s="14">
        <f>IF(OR($C1859="",$E1859="",Calc!$H1859=""),"",IFERROR(VLOOKUP(LEFT(UPPER(TRIM($E1859)),6),BankTbl,3,0),0)+SUMIFS(CalcDep,CalcBank,LEFT(UPPER(TRIM($E1859)),6),CalcKey,"&lt;="&amp;Calc!$H1859)-SUMIFS(CalcWit,CalcBank,LEFT(UPPER(TRIM($E1859)),6),CalcKey,"&lt;="&amp;Calc!$H1859))</f>
        <v/>
      </c>
      <c r="O1859" s="10">
        <f>IF(OR($C1859="",$M1859=""),"",IF($N1859="","؟",IF(ROUND($M1859-$N1859,0)=0,"√","×")))</f>
        <v/>
      </c>
      <c r="P1859" s="12" t="n"/>
    </row>
    <row r="1860">
      <c r="A1860" s="10">
        <f>IF($C1860="","",COUNTA($C$9:$C1860))</f>
        <v/>
      </c>
      <c r="B1860" s="10">
        <f>IF($C1860="","","TXN-"&amp;RIGHT("0000"&amp;1852,4))</f>
        <v/>
      </c>
      <c r="C1860" s="11" t="n"/>
      <c r="D1860" s="11" t="n"/>
      <c r="E1860" s="12" t="n"/>
      <c r="F1860" s="10">
        <f>IF($E1860="","",IFERROR(IF(VLOOKUP(LEFT(UPPER(TRIM($E1860)),6),BankTbl,2,0)="","(بدون عنوان)",VLOOKUP(LEFT(UPPER(TRIM($E1860)),6),BankTbl,2,0)),"بانک ناشناخته"))</f>
        <v/>
      </c>
      <c r="G1860" s="11" t="n"/>
      <c r="H1860" s="10">
        <f>IF($G1860="","",IFERROR(VLOOKUP($G1860,CustTbl,2,0),IFERROR(VLOOKUP($G1860,SuppTbl,2,0),IFERROR(VLOOKUP($G1860,AcctTbl,2,0),IFERROR(VLOOKUP($G1860,StaffTbl,2,0),"کد ناشناخته")))))</f>
        <v/>
      </c>
      <c r="I1860" s="12" t="n"/>
      <c r="J1860" s="12" t="n"/>
      <c r="K1860" s="13" t="n"/>
      <c r="L1860" s="13" t="n"/>
      <c r="M1860" s="13" t="n"/>
      <c r="N1860" s="14">
        <f>IF(OR($C1860="",$E1860="",Calc!$H1860=""),"",IFERROR(VLOOKUP(LEFT(UPPER(TRIM($E1860)),6),BankTbl,3,0),0)+SUMIFS(CalcDep,CalcBank,LEFT(UPPER(TRIM($E1860)),6),CalcKey,"&lt;="&amp;Calc!$H1860)-SUMIFS(CalcWit,CalcBank,LEFT(UPPER(TRIM($E1860)),6),CalcKey,"&lt;="&amp;Calc!$H1860))</f>
        <v/>
      </c>
      <c r="O1860" s="10">
        <f>IF(OR($C1860="",$M1860=""),"",IF($N1860="","؟",IF(ROUND($M1860-$N1860,0)=0,"√","×")))</f>
        <v/>
      </c>
      <c r="P1860" s="12" t="n"/>
    </row>
    <row r="1861">
      <c r="A1861" s="10">
        <f>IF($C1861="","",COUNTA($C$9:$C1861))</f>
        <v/>
      </c>
      <c r="B1861" s="10">
        <f>IF($C1861="","","TXN-"&amp;RIGHT("0000"&amp;1853,4))</f>
        <v/>
      </c>
      <c r="C1861" s="11" t="n"/>
      <c r="D1861" s="11" t="n"/>
      <c r="E1861" s="12" t="n"/>
      <c r="F1861" s="10">
        <f>IF($E1861="","",IFERROR(IF(VLOOKUP(LEFT(UPPER(TRIM($E1861)),6),BankTbl,2,0)="","(بدون عنوان)",VLOOKUP(LEFT(UPPER(TRIM($E1861)),6),BankTbl,2,0)),"بانک ناشناخته"))</f>
        <v/>
      </c>
      <c r="G1861" s="11" t="n"/>
      <c r="H1861" s="10">
        <f>IF($G1861="","",IFERROR(VLOOKUP($G1861,CustTbl,2,0),IFERROR(VLOOKUP($G1861,SuppTbl,2,0),IFERROR(VLOOKUP($G1861,AcctTbl,2,0),IFERROR(VLOOKUP($G1861,StaffTbl,2,0),"کد ناشناخته")))))</f>
        <v/>
      </c>
      <c r="I1861" s="12" t="n"/>
      <c r="J1861" s="12" t="n"/>
      <c r="K1861" s="13" t="n"/>
      <c r="L1861" s="13" t="n"/>
      <c r="M1861" s="13" t="n"/>
      <c r="N1861" s="14">
        <f>IF(OR($C1861="",$E1861="",Calc!$H1861=""),"",IFERROR(VLOOKUP(LEFT(UPPER(TRIM($E1861)),6),BankTbl,3,0),0)+SUMIFS(CalcDep,CalcBank,LEFT(UPPER(TRIM($E1861)),6),CalcKey,"&lt;="&amp;Calc!$H1861)-SUMIFS(CalcWit,CalcBank,LEFT(UPPER(TRIM($E1861)),6),CalcKey,"&lt;="&amp;Calc!$H1861))</f>
        <v/>
      </c>
      <c r="O1861" s="10">
        <f>IF(OR($C1861="",$M1861=""),"",IF($N1861="","؟",IF(ROUND($M1861-$N1861,0)=0,"√","×")))</f>
        <v/>
      </c>
      <c r="P1861" s="12" t="n"/>
    </row>
    <row r="1862">
      <c r="A1862" s="10">
        <f>IF($C1862="","",COUNTA($C$9:$C1862))</f>
        <v/>
      </c>
      <c r="B1862" s="10">
        <f>IF($C1862="","","TXN-"&amp;RIGHT("0000"&amp;1854,4))</f>
        <v/>
      </c>
      <c r="C1862" s="11" t="n"/>
      <c r="D1862" s="11" t="n"/>
      <c r="E1862" s="12" t="n"/>
      <c r="F1862" s="10">
        <f>IF($E1862="","",IFERROR(IF(VLOOKUP(LEFT(UPPER(TRIM($E1862)),6),BankTbl,2,0)="","(بدون عنوان)",VLOOKUP(LEFT(UPPER(TRIM($E1862)),6),BankTbl,2,0)),"بانک ناشناخته"))</f>
        <v/>
      </c>
      <c r="G1862" s="11" t="n"/>
      <c r="H1862" s="10">
        <f>IF($G1862="","",IFERROR(VLOOKUP($G1862,CustTbl,2,0),IFERROR(VLOOKUP($G1862,SuppTbl,2,0),IFERROR(VLOOKUP($G1862,AcctTbl,2,0),IFERROR(VLOOKUP($G1862,StaffTbl,2,0),"کد ناشناخته")))))</f>
        <v/>
      </c>
      <c r="I1862" s="12" t="n"/>
      <c r="J1862" s="12" t="n"/>
      <c r="K1862" s="13" t="n"/>
      <c r="L1862" s="13" t="n"/>
      <c r="M1862" s="13" t="n"/>
      <c r="N1862" s="14">
        <f>IF(OR($C1862="",$E1862="",Calc!$H1862=""),"",IFERROR(VLOOKUP(LEFT(UPPER(TRIM($E1862)),6),BankTbl,3,0),0)+SUMIFS(CalcDep,CalcBank,LEFT(UPPER(TRIM($E1862)),6),CalcKey,"&lt;="&amp;Calc!$H1862)-SUMIFS(CalcWit,CalcBank,LEFT(UPPER(TRIM($E1862)),6),CalcKey,"&lt;="&amp;Calc!$H1862))</f>
        <v/>
      </c>
      <c r="O1862" s="10">
        <f>IF(OR($C1862="",$M1862=""),"",IF($N1862="","؟",IF(ROUND($M1862-$N1862,0)=0,"√","×")))</f>
        <v/>
      </c>
      <c r="P1862" s="12" t="n"/>
    </row>
    <row r="1863">
      <c r="A1863" s="10">
        <f>IF($C1863="","",COUNTA($C$9:$C1863))</f>
        <v/>
      </c>
      <c r="B1863" s="10">
        <f>IF($C1863="","","TXN-"&amp;RIGHT("0000"&amp;1855,4))</f>
        <v/>
      </c>
      <c r="C1863" s="11" t="n"/>
      <c r="D1863" s="11" t="n"/>
      <c r="E1863" s="12" t="n"/>
      <c r="F1863" s="10">
        <f>IF($E1863="","",IFERROR(IF(VLOOKUP(LEFT(UPPER(TRIM($E1863)),6),BankTbl,2,0)="","(بدون عنوان)",VLOOKUP(LEFT(UPPER(TRIM($E1863)),6),BankTbl,2,0)),"بانک ناشناخته"))</f>
        <v/>
      </c>
      <c r="G1863" s="11" t="n"/>
      <c r="H1863" s="10">
        <f>IF($G1863="","",IFERROR(VLOOKUP($G1863,CustTbl,2,0),IFERROR(VLOOKUP($G1863,SuppTbl,2,0),IFERROR(VLOOKUP($G1863,AcctTbl,2,0),IFERROR(VLOOKUP($G1863,StaffTbl,2,0),"کد ناشناخته")))))</f>
        <v/>
      </c>
      <c r="I1863" s="12" t="n"/>
      <c r="J1863" s="12" t="n"/>
      <c r="K1863" s="13" t="n"/>
      <c r="L1863" s="13" t="n"/>
      <c r="M1863" s="13" t="n"/>
      <c r="N1863" s="14">
        <f>IF(OR($C1863="",$E1863="",Calc!$H1863=""),"",IFERROR(VLOOKUP(LEFT(UPPER(TRIM($E1863)),6),BankTbl,3,0),0)+SUMIFS(CalcDep,CalcBank,LEFT(UPPER(TRIM($E1863)),6),CalcKey,"&lt;="&amp;Calc!$H1863)-SUMIFS(CalcWit,CalcBank,LEFT(UPPER(TRIM($E1863)),6),CalcKey,"&lt;="&amp;Calc!$H1863))</f>
        <v/>
      </c>
      <c r="O1863" s="10">
        <f>IF(OR($C1863="",$M1863=""),"",IF($N1863="","؟",IF(ROUND($M1863-$N1863,0)=0,"√","×")))</f>
        <v/>
      </c>
      <c r="P1863" s="12" t="n"/>
    </row>
    <row r="1864">
      <c r="A1864" s="10">
        <f>IF($C1864="","",COUNTA($C$9:$C1864))</f>
        <v/>
      </c>
      <c r="B1864" s="10">
        <f>IF($C1864="","","TXN-"&amp;RIGHT("0000"&amp;1856,4))</f>
        <v/>
      </c>
      <c r="C1864" s="11" t="n"/>
      <c r="D1864" s="11" t="n"/>
      <c r="E1864" s="12" t="n"/>
      <c r="F1864" s="10">
        <f>IF($E1864="","",IFERROR(IF(VLOOKUP(LEFT(UPPER(TRIM($E1864)),6),BankTbl,2,0)="","(بدون عنوان)",VLOOKUP(LEFT(UPPER(TRIM($E1864)),6),BankTbl,2,0)),"بانک ناشناخته"))</f>
        <v/>
      </c>
      <c r="G1864" s="11" t="n"/>
      <c r="H1864" s="10">
        <f>IF($G1864="","",IFERROR(VLOOKUP($G1864,CustTbl,2,0),IFERROR(VLOOKUP($G1864,SuppTbl,2,0),IFERROR(VLOOKUP($G1864,AcctTbl,2,0),IFERROR(VLOOKUP($G1864,StaffTbl,2,0),"کد ناشناخته")))))</f>
        <v/>
      </c>
      <c r="I1864" s="12" t="n"/>
      <c r="J1864" s="12" t="n"/>
      <c r="K1864" s="13" t="n"/>
      <c r="L1864" s="13" t="n"/>
      <c r="M1864" s="13" t="n"/>
      <c r="N1864" s="14">
        <f>IF(OR($C1864="",$E1864="",Calc!$H1864=""),"",IFERROR(VLOOKUP(LEFT(UPPER(TRIM($E1864)),6),BankTbl,3,0),0)+SUMIFS(CalcDep,CalcBank,LEFT(UPPER(TRIM($E1864)),6),CalcKey,"&lt;="&amp;Calc!$H1864)-SUMIFS(CalcWit,CalcBank,LEFT(UPPER(TRIM($E1864)),6),CalcKey,"&lt;="&amp;Calc!$H1864))</f>
        <v/>
      </c>
      <c r="O1864" s="10">
        <f>IF(OR($C1864="",$M1864=""),"",IF($N1864="","؟",IF(ROUND($M1864-$N1864,0)=0,"√","×")))</f>
        <v/>
      </c>
      <c r="P1864" s="12" t="n"/>
    </row>
    <row r="1865">
      <c r="A1865" s="10">
        <f>IF($C1865="","",COUNTA($C$9:$C1865))</f>
        <v/>
      </c>
      <c r="B1865" s="10">
        <f>IF($C1865="","","TXN-"&amp;RIGHT("0000"&amp;1857,4))</f>
        <v/>
      </c>
      <c r="C1865" s="11" t="n"/>
      <c r="D1865" s="11" t="n"/>
      <c r="E1865" s="12" t="n"/>
      <c r="F1865" s="10">
        <f>IF($E1865="","",IFERROR(IF(VLOOKUP(LEFT(UPPER(TRIM($E1865)),6),BankTbl,2,0)="","(بدون عنوان)",VLOOKUP(LEFT(UPPER(TRIM($E1865)),6),BankTbl,2,0)),"بانک ناشناخته"))</f>
        <v/>
      </c>
      <c r="G1865" s="11" t="n"/>
      <c r="H1865" s="10">
        <f>IF($G1865="","",IFERROR(VLOOKUP($G1865,CustTbl,2,0),IFERROR(VLOOKUP($G1865,SuppTbl,2,0),IFERROR(VLOOKUP($G1865,AcctTbl,2,0),IFERROR(VLOOKUP($G1865,StaffTbl,2,0),"کد ناشناخته")))))</f>
        <v/>
      </c>
      <c r="I1865" s="12" t="n"/>
      <c r="J1865" s="12" t="n"/>
      <c r="K1865" s="13" t="n"/>
      <c r="L1865" s="13" t="n"/>
      <c r="M1865" s="13" t="n"/>
      <c r="N1865" s="14">
        <f>IF(OR($C1865="",$E1865="",Calc!$H1865=""),"",IFERROR(VLOOKUP(LEFT(UPPER(TRIM($E1865)),6),BankTbl,3,0),0)+SUMIFS(CalcDep,CalcBank,LEFT(UPPER(TRIM($E1865)),6),CalcKey,"&lt;="&amp;Calc!$H1865)-SUMIFS(CalcWit,CalcBank,LEFT(UPPER(TRIM($E1865)),6),CalcKey,"&lt;="&amp;Calc!$H1865))</f>
        <v/>
      </c>
      <c r="O1865" s="10">
        <f>IF(OR($C1865="",$M1865=""),"",IF($N1865="","؟",IF(ROUND($M1865-$N1865,0)=0,"√","×")))</f>
        <v/>
      </c>
      <c r="P1865" s="12" t="n"/>
    </row>
    <row r="1866">
      <c r="A1866" s="10">
        <f>IF($C1866="","",COUNTA($C$9:$C1866))</f>
        <v/>
      </c>
      <c r="B1866" s="10">
        <f>IF($C1866="","","TXN-"&amp;RIGHT("0000"&amp;1858,4))</f>
        <v/>
      </c>
      <c r="C1866" s="11" t="n"/>
      <c r="D1866" s="11" t="n"/>
      <c r="E1866" s="12" t="n"/>
      <c r="F1866" s="10">
        <f>IF($E1866="","",IFERROR(IF(VLOOKUP(LEFT(UPPER(TRIM($E1866)),6),BankTbl,2,0)="","(بدون عنوان)",VLOOKUP(LEFT(UPPER(TRIM($E1866)),6),BankTbl,2,0)),"بانک ناشناخته"))</f>
        <v/>
      </c>
      <c r="G1866" s="11" t="n"/>
      <c r="H1866" s="10">
        <f>IF($G1866="","",IFERROR(VLOOKUP($G1866,CustTbl,2,0),IFERROR(VLOOKUP($G1866,SuppTbl,2,0),IFERROR(VLOOKUP($G1866,AcctTbl,2,0),IFERROR(VLOOKUP($G1866,StaffTbl,2,0),"کد ناشناخته")))))</f>
        <v/>
      </c>
      <c r="I1866" s="12" t="n"/>
      <c r="J1866" s="12" t="n"/>
      <c r="K1866" s="13" t="n"/>
      <c r="L1866" s="13" t="n"/>
      <c r="M1866" s="13" t="n"/>
      <c r="N1866" s="14">
        <f>IF(OR($C1866="",$E1866="",Calc!$H1866=""),"",IFERROR(VLOOKUP(LEFT(UPPER(TRIM($E1866)),6),BankTbl,3,0),0)+SUMIFS(CalcDep,CalcBank,LEFT(UPPER(TRIM($E1866)),6),CalcKey,"&lt;="&amp;Calc!$H1866)-SUMIFS(CalcWit,CalcBank,LEFT(UPPER(TRIM($E1866)),6),CalcKey,"&lt;="&amp;Calc!$H1866))</f>
        <v/>
      </c>
      <c r="O1866" s="10">
        <f>IF(OR($C1866="",$M1866=""),"",IF($N1866="","؟",IF(ROUND($M1866-$N1866,0)=0,"√","×")))</f>
        <v/>
      </c>
      <c r="P1866" s="12" t="n"/>
    </row>
    <row r="1867">
      <c r="A1867" s="10">
        <f>IF($C1867="","",COUNTA($C$9:$C1867))</f>
        <v/>
      </c>
      <c r="B1867" s="10">
        <f>IF($C1867="","","TXN-"&amp;RIGHT("0000"&amp;1859,4))</f>
        <v/>
      </c>
      <c r="C1867" s="11" t="n"/>
      <c r="D1867" s="11" t="n"/>
      <c r="E1867" s="12" t="n"/>
      <c r="F1867" s="10">
        <f>IF($E1867="","",IFERROR(IF(VLOOKUP(LEFT(UPPER(TRIM($E1867)),6),BankTbl,2,0)="","(بدون عنوان)",VLOOKUP(LEFT(UPPER(TRIM($E1867)),6),BankTbl,2,0)),"بانک ناشناخته"))</f>
        <v/>
      </c>
      <c r="G1867" s="11" t="n"/>
      <c r="H1867" s="10">
        <f>IF($G1867="","",IFERROR(VLOOKUP($G1867,CustTbl,2,0),IFERROR(VLOOKUP($G1867,SuppTbl,2,0),IFERROR(VLOOKUP($G1867,AcctTbl,2,0),IFERROR(VLOOKUP($G1867,StaffTbl,2,0),"کد ناشناخته")))))</f>
        <v/>
      </c>
      <c r="I1867" s="12" t="n"/>
      <c r="J1867" s="12" t="n"/>
      <c r="K1867" s="13" t="n"/>
      <c r="L1867" s="13" t="n"/>
      <c r="M1867" s="13" t="n"/>
      <c r="N1867" s="14">
        <f>IF(OR($C1867="",$E1867="",Calc!$H1867=""),"",IFERROR(VLOOKUP(LEFT(UPPER(TRIM($E1867)),6),BankTbl,3,0),0)+SUMIFS(CalcDep,CalcBank,LEFT(UPPER(TRIM($E1867)),6),CalcKey,"&lt;="&amp;Calc!$H1867)-SUMIFS(CalcWit,CalcBank,LEFT(UPPER(TRIM($E1867)),6),CalcKey,"&lt;="&amp;Calc!$H1867))</f>
        <v/>
      </c>
      <c r="O1867" s="10">
        <f>IF(OR($C1867="",$M1867=""),"",IF($N1867="","؟",IF(ROUND($M1867-$N1867,0)=0,"√","×")))</f>
        <v/>
      </c>
      <c r="P1867" s="12" t="n"/>
    </row>
    <row r="1868">
      <c r="A1868" s="10">
        <f>IF($C1868="","",COUNTA($C$9:$C1868))</f>
        <v/>
      </c>
      <c r="B1868" s="10">
        <f>IF($C1868="","","TXN-"&amp;RIGHT("0000"&amp;1860,4))</f>
        <v/>
      </c>
      <c r="C1868" s="11" t="n"/>
      <c r="D1868" s="11" t="n"/>
      <c r="E1868" s="12" t="n"/>
      <c r="F1868" s="10">
        <f>IF($E1868="","",IFERROR(IF(VLOOKUP(LEFT(UPPER(TRIM($E1868)),6),BankTbl,2,0)="","(بدون عنوان)",VLOOKUP(LEFT(UPPER(TRIM($E1868)),6),BankTbl,2,0)),"بانک ناشناخته"))</f>
        <v/>
      </c>
      <c r="G1868" s="11" t="n"/>
      <c r="H1868" s="10">
        <f>IF($G1868="","",IFERROR(VLOOKUP($G1868,CustTbl,2,0),IFERROR(VLOOKUP($G1868,SuppTbl,2,0),IFERROR(VLOOKUP($G1868,AcctTbl,2,0),IFERROR(VLOOKUP($G1868,StaffTbl,2,0),"کد ناشناخته")))))</f>
        <v/>
      </c>
      <c r="I1868" s="12" t="n"/>
      <c r="J1868" s="12" t="n"/>
      <c r="K1868" s="13" t="n"/>
      <c r="L1868" s="13" t="n"/>
      <c r="M1868" s="13" t="n"/>
      <c r="N1868" s="14">
        <f>IF(OR($C1868="",$E1868="",Calc!$H1868=""),"",IFERROR(VLOOKUP(LEFT(UPPER(TRIM($E1868)),6),BankTbl,3,0),0)+SUMIFS(CalcDep,CalcBank,LEFT(UPPER(TRIM($E1868)),6),CalcKey,"&lt;="&amp;Calc!$H1868)-SUMIFS(CalcWit,CalcBank,LEFT(UPPER(TRIM($E1868)),6),CalcKey,"&lt;="&amp;Calc!$H1868))</f>
        <v/>
      </c>
      <c r="O1868" s="10">
        <f>IF(OR($C1868="",$M1868=""),"",IF($N1868="","؟",IF(ROUND($M1868-$N1868,0)=0,"√","×")))</f>
        <v/>
      </c>
      <c r="P1868" s="12" t="n"/>
    </row>
    <row r="1869">
      <c r="A1869" s="10">
        <f>IF($C1869="","",COUNTA($C$9:$C1869))</f>
        <v/>
      </c>
      <c r="B1869" s="10">
        <f>IF($C1869="","","TXN-"&amp;RIGHT("0000"&amp;1861,4))</f>
        <v/>
      </c>
      <c r="C1869" s="11" t="n"/>
      <c r="D1869" s="11" t="n"/>
      <c r="E1869" s="12" t="n"/>
      <c r="F1869" s="10">
        <f>IF($E1869="","",IFERROR(IF(VLOOKUP(LEFT(UPPER(TRIM($E1869)),6),BankTbl,2,0)="","(بدون عنوان)",VLOOKUP(LEFT(UPPER(TRIM($E1869)),6),BankTbl,2,0)),"بانک ناشناخته"))</f>
        <v/>
      </c>
      <c r="G1869" s="11" t="n"/>
      <c r="H1869" s="10">
        <f>IF($G1869="","",IFERROR(VLOOKUP($G1869,CustTbl,2,0),IFERROR(VLOOKUP($G1869,SuppTbl,2,0),IFERROR(VLOOKUP($G1869,AcctTbl,2,0),IFERROR(VLOOKUP($G1869,StaffTbl,2,0),"کد ناشناخته")))))</f>
        <v/>
      </c>
      <c r="I1869" s="12" t="n"/>
      <c r="J1869" s="12" t="n"/>
      <c r="K1869" s="13" t="n"/>
      <c r="L1869" s="13" t="n"/>
      <c r="M1869" s="13" t="n"/>
      <c r="N1869" s="14">
        <f>IF(OR($C1869="",$E1869="",Calc!$H1869=""),"",IFERROR(VLOOKUP(LEFT(UPPER(TRIM($E1869)),6),BankTbl,3,0),0)+SUMIFS(CalcDep,CalcBank,LEFT(UPPER(TRIM($E1869)),6),CalcKey,"&lt;="&amp;Calc!$H1869)-SUMIFS(CalcWit,CalcBank,LEFT(UPPER(TRIM($E1869)),6),CalcKey,"&lt;="&amp;Calc!$H1869))</f>
        <v/>
      </c>
      <c r="O1869" s="10">
        <f>IF(OR($C1869="",$M1869=""),"",IF($N1869="","؟",IF(ROUND($M1869-$N1869,0)=0,"√","×")))</f>
        <v/>
      </c>
      <c r="P1869" s="12" t="n"/>
    </row>
    <row r="1870">
      <c r="A1870" s="10">
        <f>IF($C1870="","",COUNTA($C$9:$C1870))</f>
        <v/>
      </c>
      <c r="B1870" s="10">
        <f>IF($C1870="","","TXN-"&amp;RIGHT("0000"&amp;1862,4))</f>
        <v/>
      </c>
      <c r="C1870" s="11" t="n"/>
      <c r="D1870" s="11" t="n"/>
      <c r="E1870" s="12" t="n"/>
      <c r="F1870" s="10">
        <f>IF($E1870="","",IFERROR(IF(VLOOKUP(LEFT(UPPER(TRIM($E1870)),6),BankTbl,2,0)="","(بدون عنوان)",VLOOKUP(LEFT(UPPER(TRIM($E1870)),6),BankTbl,2,0)),"بانک ناشناخته"))</f>
        <v/>
      </c>
      <c r="G1870" s="11" t="n"/>
      <c r="H1870" s="10">
        <f>IF($G1870="","",IFERROR(VLOOKUP($G1870,CustTbl,2,0),IFERROR(VLOOKUP($G1870,SuppTbl,2,0),IFERROR(VLOOKUP($G1870,AcctTbl,2,0),IFERROR(VLOOKUP($G1870,StaffTbl,2,0),"کد ناشناخته")))))</f>
        <v/>
      </c>
      <c r="I1870" s="12" t="n"/>
      <c r="J1870" s="12" t="n"/>
      <c r="K1870" s="13" t="n"/>
      <c r="L1870" s="13" t="n"/>
      <c r="M1870" s="13" t="n"/>
      <c r="N1870" s="14">
        <f>IF(OR($C1870="",$E1870="",Calc!$H1870=""),"",IFERROR(VLOOKUP(LEFT(UPPER(TRIM($E1870)),6),BankTbl,3,0),0)+SUMIFS(CalcDep,CalcBank,LEFT(UPPER(TRIM($E1870)),6),CalcKey,"&lt;="&amp;Calc!$H1870)-SUMIFS(CalcWit,CalcBank,LEFT(UPPER(TRIM($E1870)),6),CalcKey,"&lt;="&amp;Calc!$H1870))</f>
        <v/>
      </c>
      <c r="O1870" s="10">
        <f>IF(OR($C1870="",$M1870=""),"",IF($N1870="","؟",IF(ROUND($M1870-$N1870,0)=0,"√","×")))</f>
        <v/>
      </c>
      <c r="P1870" s="12" t="n"/>
    </row>
    <row r="1871">
      <c r="A1871" s="10">
        <f>IF($C1871="","",COUNTA($C$9:$C1871))</f>
        <v/>
      </c>
      <c r="B1871" s="10">
        <f>IF($C1871="","","TXN-"&amp;RIGHT("0000"&amp;1863,4))</f>
        <v/>
      </c>
      <c r="C1871" s="11" t="n"/>
      <c r="D1871" s="11" t="n"/>
      <c r="E1871" s="12" t="n"/>
      <c r="F1871" s="10">
        <f>IF($E1871="","",IFERROR(IF(VLOOKUP(LEFT(UPPER(TRIM($E1871)),6),BankTbl,2,0)="","(بدون عنوان)",VLOOKUP(LEFT(UPPER(TRIM($E1871)),6),BankTbl,2,0)),"بانک ناشناخته"))</f>
        <v/>
      </c>
      <c r="G1871" s="11" t="n"/>
      <c r="H1871" s="10">
        <f>IF($G1871="","",IFERROR(VLOOKUP($G1871,CustTbl,2,0),IFERROR(VLOOKUP($G1871,SuppTbl,2,0),IFERROR(VLOOKUP($G1871,AcctTbl,2,0),IFERROR(VLOOKUP($G1871,StaffTbl,2,0),"کد ناشناخته")))))</f>
        <v/>
      </c>
      <c r="I1871" s="12" t="n"/>
      <c r="J1871" s="12" t="n"/>
      <c r="K1871" s="13" t="n"/>
      <c r="L1871" s="13" t="n"/>
      <c r="M1871" s="13" t="n"/>
      <c r="N1871" s="14">
        <f>IF(OR($C1871="",$E1871="",Calc!$H1871=""),"",IFERROR(VLOOKUP(LEFT(UPPER(TRIM($E1871)),6),BankTbl,3,0),0)+SUMIFS(CalcDep,CalcBank,LEFT(UPPER(TRIM($E1871)),6),CalcKey,"&lt;="&amp;Calc!$H1871)-SUMIFS(CalcWit,CalcBank,LEFT(UPPER(TRIM($E1871)),6),CalcKey,"&lt;="&amp;Calc!$H1871))</f>
        <v/>
      </c>
      <c r="O1871" s="10">
        <f>IF(OR($C1871="",$M1871=""),"",IF($N1871="","؟",IF(ROUND($M1871-$N1871,0)=0,"√","×")))</f>
        <v/>
      </c>
      <c r="P1871" s="12" t="n"/>
    </row>
    <row r="1872">
      <c r="A1872" s="10">
        <f>IF($C1872="","",COUNTA($C$9:$C1872))</f>
        <v/>
      </c>
      <c r="B1872" s="10">
        <f>IF($C1872="","","TXN-"&amp;RIGHT("0000"&amp;1864,4))</f>
        <v/>
      </c>
      <c r="C1872" s="11" t="n"/>
      <c r="D1872" s="11" t="n"/>
      <c r="E1872" s="12" t="n"/>
      <c r="F1872" s="10">
        <f>IF($E1872="","",IFERROR(IF(VLOOKUP(LEFT(UPPER(TRIM($E1872)),6),BankTbl,2,0)="","(بدون عنوان)",VLOOKUP(LEFT(UPPER(TRIM($E1872)),6),BankTbl,2,0)),"بانک ناشناخته"))</f>
        <v/>
      </c>
      <c r="G1872" s="11" t="n"/>
      <c r="H1872" s="10">
        <f>IF($G1872="","",IFERROR(VLOOKUP($G1872,CustTbl,2,0),IFERROR(VLOOKUP($G1872,SuppTbl,2,0),IFERROR(VLOOKUP($G1872,AcctTbl,2,0),IFERROR(VLOOKUP($G1872,StaffTbl,2,0),"کد ناشناخته")))))</f>
        <v/>
      </c>
      <c r="I1872" s="12" t="n"/>
      <c r="J1872" s="12" t="n"/>
      <c r="K1872" s="13" t="n"/>
      <c r="L1872" s="13" t="n"/>
      <c r="M1872" s="13" t="n"/>
      <c r="N1872" s="14">
        <f>IF(OR($C1872="",$E1872="",Calc!$H1872=""),"",IFERROR(VLOOKUP(LEFT(UPPER(TRIM($E1872)),6),BankTbl,3,0),0)+SUMIFS(CalcDep,CalcBank,LEFT(UPPER(TRIM($E1872)),6),CalcKey,"&lt;="&amp;Calc!$H1872)-SUMIFS(CalcWit,CalcBank,LEFT(UPPER(TRIM($E1872)),6),CalcKey,"&lt;="&amp;Calc!$H1872))</f>
        <v/>
      </c>
      <c r="O1872" s="10">
        <f>IF(OR($C1872="",$M1872=""),"",IF($N1872="","؟",IF(ROUND($M1872-$N1872,0)=0,"√","×")))</f>
        <v/>
      </c>
      <c r="P1872" s="12" t="n"/>
    </row>
    <row r="1873">
      <c r="A1873" s="10">
        <f>IF($C1873="","",COUNTA($C$9:$C1873))</f>
        <v/>
      </c>
      <c r="B1873" s="10">
        <f>IF($C1873="","","TXN-"&amp;RIGHT("0000"&amp;1865,4))</f>
        <v/>
      </c>
      <c r="C1873" s="11" t="n"/>
      <c r="D1873" s="11" t="n"/>
      <c r="E1873" s="12" t="n"/>
      <c r="F1873" s="10">
        <f>IF($E1873="","",IFERROR(IF(VLOOKUP(LEFT(UPPER(TRIM($E1873)),6),BankTbl,2,0)="","(بدون عنوان)",VLOOKUP(LEFT(UPPER(TRIM($E1873)),6),BankTbl,2,0)),"بانک ناشناخته"))</f>
        <v/>
      </c>
      <c r="G1873" s="11" t="n"/>
      <c r="H1873" s="10">
        <f>IF($G1873="","",IFERROR(VLOOKUP($G1873,CustTbl,2,0),IFERROR(VLOOKUP($G1873,SuppTbl,2,0),IFERROR(VLOOKUP($G1873,AcctTbl,2,0),IFERROR(VLOOKUP($G1873,StaffTbl,2,0),"کد ناشناخته")))))</f>
        <v/>
      </c>
      <c r="I1873" s="12" t="n"/>
      <c r="J1873" s="12" t="n"/>
      <c r="K1873" s="13" t="n"/>
      <c r="L1873" s="13" t="n"/>
      <c r="M1873" s="13" t="n"/>
      <c r="N1873" s="14">
        <f>IF(OR($C1873="",$E1873="",Calc!$H1873=""),"",IFERROR(VLOOKUP(LEFT(UPPER(TRIM($E1873)),6),BankTbl,3,0),0)+SUMIFS(CalcDep,CalcBank,LEFT(UPPER(TRIM($E1873)),6),CalcKey,"&lt;="&amp;Calc!$H1873)-SUMIFS(CalcWit,CalcBank,LEFT(UPPER(TRIM($E1873)),6),CalcKey,"&lt;="&amp;Calc!$H1873))</f>
        <v/>
      </c>
      <c r="O1873" s="10">
        <f>IF(OR($C1873="",$M1873=""),"",IF($N1873="","؟",IF(ROUND($M1873-$N1873,0)=0,"√","×")))</f>
        <v/>
      </c>
      <c r="P1873" s="12" t="n"/>
    </row>
    <row r="1874">
      <c r="A1874" s="10">
        <f>IF($C1874="","",COUNTA($C$9:$C1874))</f>
        <v/>
      </c>
      <c r="B1874" s="10">
        <f>IF($C1874="","","TXN-"&amp;RIGHT("0000"&amp;1866,4))</f>
        <v/>
      </c>
      <c r="C1874" s="11" t="n"/>
      <c r="D1874" s="11" t="n"/>
      <c r="E1874" s="12" t="n"/>
      <c r="F1874" s="10">
        <f>IF($E1874="","",IFERROR(IF(VLOOKUP(LEFT(UPPER(TRIM($E1874)),6),BankTbl,2,0)="","(بدون عنوان)",VLOOKUP(LEFT(UPPER(TRIM($E1874)),6),BankTbl,2,0)),"بانک ناشناخته"))</f>
        <v/>
      </c>
      <c r="G1874" s="11" t="n"/>
      <c r="H1874" s="10">
        <f>IF($G1874="","",IFERROR(VLOOKUP($G1874,CustTbl,2,0),IFERROR(VLOOKUP($G1874,SuppTbl,2,0),IFERROR(VLOOKUP($G1874,AcctTbl,2,0),IFERROR(VLOOKUP($G1874,StaffTbl,2,0),"کد ناشناخته")))))</f>
        <v/>
      </c>
      <c r="I1874" s="12" t="n"/>
      <c r="J1874" s="12" t="n"/>
      <c r="K1874" s="13" t="n"/>
      <c r="L1874" s="13" t="n"/>
      <c r="M1874" s="13" t="n"/>
      <c r="N1874" s="14">
        <f>IF(OR($C1874="",$E1874="",Calc!$H1874=""),"",IFERROR(VLOOKUP(LEFT(UPPER(TRIM($E1874)),6),BankTbl,3,0),0)+SUMIFS(CalcDep,CalcBank,LEFT(UPPER(TRIM($E1874)),6),CalcKey,"&lt;="&amp;Calc!$H1874)-SUMIFS(CalcWit,CalcBank,LEFT(UPPER(TRIM($E1874)),6),CalcKey,"&lt;="&amp;Calc!$H1874))</f>
        <v/>
      </c>
      <c r="O1874" s="10">
        <f>IF(OR($C1874="",$M1874=""),"",IF($N1874="","؟",IF(ROUND($M1874-$N1874,0)=0,"√","×")))</f>
        <v/>
      </c>
      <c r="P1874" s="12" t="n"/>
    </row>
    <row r="1875">
      <c r="A1875" s="10">
        <f>IF($C1875="","",COUNTA($C$9:$C1875))</f>
        <v/>
      </c>
      <c r="B1875" s="10">
        <f>IF($C1875="","","TXN-"&amp;RIGHT("0000"&amp;1867,4))</f>
        <v/>
      </c>
      <c r="C1875" s="11" t="n"/>
      <c r="D1875" s="11" t="n"/>
      <c r="E1875" s="12" t="n"/>
      <c r="F1875" s="10">
        <f>IF($E1875="","",IFERROR(IF(VLOOKUP(LEFT(UPPER(TRIM($E1875)),6),BankTbl,2,0)="","(بدون عنوان)",VLOOKUP(LEFT(UPPER(TRIM($E1875)),6),BankTbl,2,0)),"بانک ناشناخته"))</f>
        <v/>
      </c>
      <c r="G1875" s="11" t="n"/>
      <c r="H1875" s="10">
        <f>IF($G1875="","",IFERROR(VLOOKUP($G1875,CustTbl,2,0),IFERROR(VLOOKUP($G1875,SuppTbl,2,0),IFERROR(VLOOKUP($G1875,AcctTbl,2,0),IFERROR(VLOOKUP($G1875,StaffTbl,2,0),"کد ناشناخته")))))</f>
        <v/>
      </c>
      <c r="I1875" s="12" t="n"/>
      <c r="J1875" s="12" t="n"/>
      <c r="K1875" s="13" t="n"/>
      <c r="L1875" s="13" t="n"/>
      <c r="M1875" s="13" t="n"/>
      <c r="N1875" s="14">
        <f>IF(OR($C1875="",$E1875="",Calc!$H1875=""),"",IFERROR(VLOOKUP(LEFT(UPPER(TRIM($E1875)),6),BankTbl,3,0),0)+SUMIFS(CalcDep,CalcBank,LEFT(UPPER(TRIM($E1875)),6),CalcKey,"&lt;="&amp;Calc!$H1875)-SUMIFS(CalcWit,CalcBank,LEFT(UPPER(TRIM($E1875)),6),CalcKey,"&lt;="&amp;Calc!$H1875))</f>
        <v/>
      </c>
      <c r="O1875" s="10">
        <f>IF(OR($C1875="",$M1875=""),"",IF($N1875="","؟",IF(ROUND($M1875-$N1875,0)=0,"√","×")))</f>
        <v/>
      </c>
      <c r="P1875" s="12" t="n"/>
    </row>
    <row r="1876">
      <c r="A1876" s="10">
        <f>IF($C1876="","",COUNTA($C$9:$C1876))</f>
        <v/>
      </c>
      <c r="B1876" s="10">
        <f>IF($C1876="","","TXN-"&amp;RIGHT("0000"&amp;1868,4))</f>
        <v/>
      </c>
      <c r="C1876" s="11" t="n"/>
      <c r="D1876" s="11" t="n"/>
      <c r="E1876" s="12" t="n"/>
      <c r="F1876" s="10">
        <f>IF($E1876="","",IFERROR(IF(VLOOKUP(LEFT(UPPER(TRIM($E1876)),6),BankTbl,2,0)="","(بدون عنوان)",VLOOKUP(LEFT(UPPER(TRIM($E1876)),6),BankTbl,2,0)),"بانک ناشناخته"))</f>
        <v/>
      </c>
      <c r="G1876" s="11" t="n"/>
      <c r="H1876" s="10">
        <f>IF($G1876="","",IFERROR(VLOOKUP($G1876,CustTbl,2,0),IFERROR(VLOOKUP($G1876,SuppTbl,2,0),IFERROR(VLOOKUP($G1876,AcctTbl,2,0),IFERROR(VLOOKUP($G1876,StaffTbl,2,0),"کد ناشناخته")))))</f>
        <v/>
      </c>
      <c r="I1876" s="12" t="n"/>
      <c r="J1876" s="12" t="n"/>
      <c r="K1876" s="13" t="n"/>
      <c r="L1876" s="13" t="n"/>
      <c r="M1876" s="13" t="n"/>
      <c r="N1876" s="14">
        <f>IF(OR($C1876="",$E1876="",Calc!$H1876=""),"",IFERROR(VLOOKUP(LEFT(UPPER(TRIM($E1876)),6),BankTbl,3,0),0)+SUMIFS(CalcDep,CalcBank,LEFT(UPPER(TRIM($E1876)),6),CalcKey,"&lt;="&amp;Calc!$H1876)-SUMIFS(CalcWit,CalcBank,LEFT(UPPER(TRIM($E1876)),6),CalcKey,"&lt;="&amp;Calc!$H1876))</f>
        <v/>
      </c>
      <c r="O1876" s="10">
        <f>IF(OR($C1876="",$M1876=""),"",IF($N1876="","؟",IF(ROUND($M1876-$N1876,0)=0,"√","×")))</f>
        <v/>
      </c>
      <c r="P1876" s="12" t="n"/>
    </row>
    <row r="1877">
      <c r="A1877" s="10">
        <f>IF($C1877="","",COUNTA($C$9:$C1877))</f>
        <v/>
      </c>
      <c r="B1877" s="10">
        <f>IF($C1877="","","TXN-"&amp;RIGHT("0000"&amp;1869,4))</f>
        <v/>
      </c>
      <c r="C1877" s="11" t="n"/>
      <c r="D1877" s="11" t="n"/>
      <c r="E1877" s="12" t="n"/>
      <c r="F1877" s="10">
        <f>IF($E1877="","",IFERROR(IF(VLOOKUP(LEFT(UPPER(TRIM($E1877)),6),BankTbl,2,0)="","(بدون عنوان)",VLOOKUP(LEFT(UPPER(TRIM($E1877)),6),BankTbl,2,0)),"بانک ناشناخته"))</f>
        <v/>
      </c>
      <c r="G1877" s="11" t="n"/>
      <c r="H1877" s="10">
        <f>IF($G1877="","",IFERROR(VLOOKUP($G1877,CustTbl,2,0),IFERROR(VLOOKUP($G1877,SuppTbl,2,0),IFERROR(VLOOKUP($G1877,AcctTbl,2,0),IFERROR(VLOOKUP($G1877,StaffTbl,2,0),"کد ناشناخته")))))</f>
        <v/>
      </c>
      <c r="I1877" s="12" t="n"/>
      <c r="J1877" s="12" t="n"/>
      <c r="K1877" s="13" t="n"/>
      <c r="L1877" s="13" t="n"/>
      <c r="M1877" s="13" t="n"/>
      <c r="N1877" s="14">
        <f>IF(OR($C1877="",$E1877="",Calc!$H1877=""),"",IFERROR(VLOOKUP(LEFT(UPPER(TRIM($E1877)),6),BankTbl,3,0),0)+SUMIFS(CalcDep,CalcBank,LEFT(UPPER(TRIM($E1877)),6),CalcKey,"&lt;="&amp;Calc!$H1877)-SUMIFS(CalcWit,CalcBank,LEFT(UPPER(TRIM($E1877)),6),CalcKey,"&lt;="&amp;Calc!$H1877))</f>
        <v/>
      </c>
      <c r="O1877" s="10">
        <f>IF(OR($C1877="",$M1877=""),"",IF($N1877="","؟",IF(ROUND($M1877-$N1877,0)=0,"√","×")))</f>
        <v/>
      </c>
      <c r="P1877" s="12" t="n"/>
    </row>
    <row r="1878">
      <c r="A1878" s="10">
        <f>IF($C1878="","",COUNTA($C$9:$C1878))</f>
        <v/>
      </c>
      <c r="B1878" s="10">
        <f>IF($C1878="","","TXN-"&amp;RIGHT("0000"&amp;1870,4))</f>
        <v/>
      </c>
      <c r="C1878" s="11" t="n"/>
      <c r="D1878" s="11" t="n"/>
      <c r="E1878" s="12" t="n"/>
      <c r="F1878" s="10">
        <f>IF($E1878="","",IFERROR(IF(VLOOKUP(LEFT(UPPER(TRIM($E1878)),6),BankTbl,2,0)="","(بدون عنوان)",VLOOKUP(LEFT(UPPER(TRIM($E1878)),6),BankTbl,2,0)),"بانک ناشناخته"))</f>
        <v/>
      </c>
      <c r="G1878" s="11" t="n"/>
      <c r="H1878" s="10">
        <f>IF($G1878="","",IFERROR(VLOOKUP($G1878,CustTbl,2,0),IFERROR(VLOOKUP($G1878,SuppTbl,2,0),IFERROR(VLOOKUP($G1878,AcctTbl,2,0),IFERROR(VLOOKUP($G1878,StaffTbl,2,0),"کد ناشناخته")))))</f>
        <v/>
      </c>
      <c r="I1878" s="12" t="n"/>
      <c r="J1878" s="12" t="n"/>
      <c r="K1878" s="13" t="n"/>
      <c r="L1878" s="13" t="n"/>
      <c r="M1878" s="13" t="n"/>
      <c r="N1878" s="14">
        <f>IF(OR($C1878="",$E1878="",Calc!$H1878=""),"",IFERROR(VLOOKUP(LEFT(UPPER(TRIM($E1878)),6),BankTbl,3,0),0)+SUMIFS(CalcDep,CalcBank,LEFT(UPPER(TRIM($E1878)),6),CalcKey,"&lt;="&amp;Calc!$H1878)-SUMIFS(CalcWit,CalcBank,LEFT(UPPER(TRIM($E1878)),6),CalcKey,"&lt;="&amp;Calc!$H1878))</f>
        <v/>
      </c>
      <c r="O1878" s="10">
        <f>IF(OR($C1878="",$M1878=""),"",IF($N1878="","؟",IF(ROUND($M1878-$N1878,0)=0,"√","×")))</f>
        <v/>
      </c>
      <c r="P1878" s="12" t="n"/>
    </row>
    <row r="1879">
      <c r="A1879" s="10">
        <f>IF($C1879="","",COUNTA($C$9:$C1879))</f>
        <v/>
      </c>
      <c r="B1879" s="10">
        <f>IF($C1879="","","TXN-"&amp;RIGHT("0000"&amp;1871,4))</f>
        <v/>
      </c>
      <c r="C1879" s="11" t="n"/>
      <c r="D1879" s="11" t="n"/>
      <c r="E1879" s="12" t="n"/>
      <c r="F1879" s="10">
        <f>IF($E1879="","",IFERROR(IF(VLOOKUP(LEFT(UPPER(TRIM($E1879)),6),BankTbl,2,0)="","(بدون عنوان)",VLOOKUP(LEFT(UPPER(TRIM($E1879)),6),BankTbl,2,0)),"بانک ناشناخته"))</f>
        <v/>
      </c>
      <c r="G1879" s="11" t="n"/>
      <c r="H1879" s="10">
        <f>IF($G1879="","",IFERROR(VLOOKUP($G1879,CustTbl,2,0),IFERROR(VLOOKUP($G1879,SuppTbl,2,0),IFERROR(VLOOKUP($G1879,AcctTbl,2,0),IFERROR(VLOOKUP($G1879,StaffTbl,2,0),"کد ناشناخته")))))</f>
        <v/>
      </c>
      <c r="I1879" s="12" t="n"/>
      <c r="J1879" s="12" t="n"/>
      <c r="K1879" s="13" t="n"/>
      <c r="L1879" s="13" t="n"/>
      <c r="M1879" s="13" t="n"/>
      <c r="N1879" s="14">
        <f>IF(OR($C1879="",$E1879="",Calc!$H1879=""),"",IFERROR(VLOOKUP(LEFT(UPPER(TRIM($E1879)),6),BankTbl,3,0),0)+SUMIFS(CalcDep,CalcBank,LEFT(UPPER(TRIM($E1879)),6),CalcKey,"&lt;="&amp;Calc!$H1879)-SUMIFS(CalcWit,CalcBank,LEFT(UPPER(TRIM($E1879)),6),CalcKey,"&lt;="&amp;Calc!$H1879))</f>
        <v/>
      </c>
      <c r="O1879" s="10">
        <f>IF(OR($C1879="",$M1879=""),"",IF($N1879="","؟",IF(ROUND($M1879-$N1879,0)=0,"√","×")))</f>
        <v/>
      </c>
      <c r="P1879" s="12" t="n"/>
    </row>
    <row r="1880">
      <c r="A1880" s="10">
        <f>IF($C1880="","",COUNTA($C$9:$C1880))</f>
        <v/>
      </c>
      <c r="B1880" s="10">
        <f>IF($C1880="","","TXN-"&amp;RIGHT("0000"&amp;1872,4))</f>
        <v/>
      </c>
      <c r="C1880" s="11" t="n"/>
      <c r="D1880" s="11" t="n"/>
      <c r="E1880" s="12" t="n"/>
      <c r="F1880" s="10">
        <f>IF($E1880="","",IFERROR(IF(VLOOKUP(LEFT(UPPER(TRIM($E1880)),6),BankTbl,2,0)="","(بدون عنوان)",VLOOKUP(LEFT(UPPER(TRIM($E1880)),6),BankTbl,2,0)),"بانک ناشناخته"))</f>
        <v/>
      </c>
      <c r="G1880" s="11" t="n"/>
      <c r="H1880" s="10">
        <f>IF($G1880="","",IFERROR(VLOOKUP($G1880,CustTbl,2,0),IFERROR(VLOOKUP($G1880,SuppTbl,2,0),IFERROR(VLOOKUP($G1880,AcctTbl,2,0),IFERROR(VLOOKUP($G1880,StaffTbl,2,0),"کد ناشناخته")))))</f>
        <v/>
      </c>
      <c r="I1880" s="12" t="n"/>
      <c r="J1880" s="12" t="n"/>
      <c r="K1880" s="13" t="n"/>
      <c r="L1880" s="13" t="n"/>
      <c r="M1880" s="13" t="n"/>
      <c r="N1880" s="14">
        <f>IF(OR($C1880="",$E1880="",Calc!$H1880=""),"",IFERROR(VLOOKUP(LEFT(UPPER(TRIM($E1880)),6),BankTbl,3,0),0)+SUMIFS(CalcDep,CalcBank,LEFT(UPPER(TRIM($E1880)),6),CalcKey,"&lt;="&amp;Calc!$H1880)-SUMIFS(CalcWit,CalcBank,LEFT(UPPER(TRIM($E1880)),6),CalcKey,"&lt;="&amp;Calc!$H1880))</f>
        <v/>
      </c>
      <c r="O1880" s="10">
        <f>IF(OR($C1880="",$M1880=""),"",IF($N1880="","؟",IF(ROUND($M1880-$N1880,0)=0,"√","×")))</f>
        <v/>
      </c>
      <c r="P1880" s="12" t="n"/>
    </row>
    <row r="1881">
      <c r="A1881" s="10">
        <f>IF($C1881="","",COUNTA($C$9:$C1881))</f>
        <v/>
      </c>
      <c r="B1881" s="10">
        <f>IF($C1881="","","TXN-"&amp;RIGHT("0000"&amp;1873,4))</f>
        <v/>
      </c>
      <c r="C1881" s="11" t="n"/>
      <c r="D1881" s="11" t="n"/>
      <c r="E1881" s="12" t="n"/>
      <c r="F1881" s="10">
        <f>IF($E1881="","",IFERROR(IF(VLOOKUP(LEFT(UPPER(TRIM($E1881)),6),BankTbl,2,0)="","(بدون عنوان)",VLOOKUP(LEFT(UPPER(TRIM($E1881)),6),BankTbl,2,0)),"بانک ناشناخته"))</f>
        <v/>
      </c>
      <c r="G1881" s="11" t="n"/>
      <c r="H1881" s="10">
        <f>IF($G1881="","",IFERROR(VLOOKUP($G1881,CustTbl,2,0),IFERROR(VLOOKUP($G1881,SuppTbl,2,0),IFERROR(VLOOKUP($G1881,AcctTbl,2,0),IFERROR(VLOOKUP($G1881,StaffTbl,2,0),"کد ناشناخته")))))</f>
        <v/>
      </c>
      <c r="I1881" s="12" t="n"/>
      <c r="J1881" s="12" t="n"/>
      <c r="K1881" s="13" t="n"/>
      <c r="L1881" s="13" t="n"/>
      <c r="M1881" s="13" t="n"/>
      <c r="N1881" s="14">
        <f>IF(OR($C1881="",$E1881="",Calc!$H1881=""),"",IFERROR(VLOOKUP(LEFT(UPPER(TRIM($E1881)),6),BankTbl,3,0),0)+SUMIFS(CalcDep,CalcBank,LEFT(UPPER(TRIM($E1881)),6),CalcKey,"&lt;="&amp;Calc!$H1881)-SUMIFS(CalcWit,CalcBank,LEFT(UPPER(TRIM($E1881)),6),CalcKey,"&lt;="&amp;Calc!$H1881))</f>
        <v/>
      </c>
      <c r="O1881" s="10">
        <f>IF(OR($C1881="",$M1881=""),"",IF($N1881="","؟",IF(ROUND($M1881-$N1881,0)=0,"√","×")))</f>
        <v/>
      </c>
      <c r="P1881" s="12" t="n"/>
    </row>
    <row r="1882">
      <c r="A1882" s="10">
        <f>IF($C1882="","",COUNTA($C$9:$C1882))</f>
        <v/>
      </c>
      <c r="B1882" s="10">
        <f>IF($C1882="","","TXN-"&amp;RIGHT("0000"&amp;1874,4))</f>
        <v/>
      </c>
      <c r="C1882" s="11" t="n"/>
      <c r="D1882" s="11" t="n"/>
      <c r="E1882" s="12" t="n"/>
      <c r="F1882" s="10">
        <f>IF($E1882="","",IFERROR(IF(VLOOKUP(LEFT(UPPER(TRIM($E1882)),6),BankTbl,2,0)="","(بدون عنوان)",VLOOKUP(LEFT(UPPER(TRIM($E1882)),6),BankTbl,2,0)),"بانک ناشناخته"))</f>
        <v/>
      </c>
      <c r="G1882" s="11" t="n"/>
      <c r="H1882" s="10">
        <f>IF($G1882="","",IFERROR(VLOOKUP($G1882,CustTbl,2,0),IFERROR(VLOOKUP($G1882,SuppTbl,2,0),IFERROR(VLOOKUP($G1882,AcctTbl,2,0),IFERROR(VLOOKUP($G1882,StaffTbl,2,0),"کد ناشناخته")))))</f>
        <v/>
      </c>
      <c r="I1882" s="12" t="n"/>
      <c r="J1882" s="12" t="n"/>
      <c r="K1882" s="13" t="n"/>
      <c r="L1882" s="13" t="n"/>
      <c r="M1882" s="13" t="n"/>
      <c r="N1882" s="14">
        <f>IF(OR($C1882="",$E1882="",Calc!$H1882=""),"",IFERROR(VLOOKUP(LEFT(UPPER(TRIM($E1882)),6),BankTbl,3,0),0)+SUMIFS(CalcDep,CalcBank,LEFT(UPPER(TRIM($E1882)),6),CalcKey,"&lt;="&amp;Calc!$H1882)-SUMIFS(CalcWit,CalcBank,LEFT(UPPER(TRIM($E1882)),6),CalcKey,"&lt;="&amp;Calc!$H1882))</f>
        <v/>
      </c>
      <c r="O1882" s="10">
        <f>IF(OR($C1882="",$M1882=""),"",IF($N1882="","؟",IF(ROUND($M1882-$N1882,0)=0,"√","×")))</f>
        <v/>
      </c>
      <c r="P1882" s="12" t="n"/>
    </row>
    <row r="1883">
      <c r="A1883" s="10">
        <f>IF($C1883="","",COUNTA($C$9:$C1883))</f>
        <v/>
      </c>
      <c r="B1883" s="10">
        <f>IF($C1883="","","TXN-"&amp;RIGHT("0000"&amp;1875,4))</f>
        <v/>
      </c>
      <c r="C1883" s="11" t="n"/>
      <c r="D1883" s="11" t="n"/>
      <c r="E1883" s="12" t="n"/>
      <c r="F1883" s="10">
        <f>IF($E1883="","",IFERROR(IF(VLOOKUP(LEFT(UPPER(TRIM($E1883)),6),BankTbl,2,0)="","(بدون عنوان)",VLOOKUP(LEFT(UPPER(TRIM($E1883)),6),BankTbl,2,0)),"بانک ناشناخته"))</f>
        <v/>
      </c>
      <c r="G1883" s="11" t="n"/>
      <c r="H1883" s="10">
        <f>IF($G1883="","",IFERROR(VLOOKUP($G1883,CustTbl,2,0),IFERROR(VLOOKUP($G1883,SuppTbl,2,0),IFERROR(VLOOKUP($G1883,AcctTbl,2,0),IFERROR(VLOOKUP($G1883,StaffTbl,2,0),"کد ناشناخته")))))</f>
        <v/>
      </c>
      <c r="I1883" s="12" t="n"/>
      <c r="J1883" s="12" t="n"/>
      <c r="K1883" s="13" t="n"/>
      <c r="L1883" s="13" t="n"/>
      <c r="M1883" s="13" t="n"/>
      <c r="N1883" s="14">
        <f>IF(OR($C1883="",$E1883="",Calc!$H1883=""),"",IFERROR(VLOOKUP(LEFT(UPPER(TRIM($E1883)),6),BankTbl,3,0),0)+SUMIFS(CalcDep,CalcBank,LEFT(UPPER(TRIM($E1883)),6),CalcKey,"&lt;="&amp;Calc!$H1883)-SUMIFS(CalcWit,CalcBank,LEFT(UPPER(TRIM($E1883)),6),CalcKey,"&lt;="&amp;Calc!$H1883))</f>
        <v/>
      </c>
      <c r="O1883" s="10">
        <f>IF(OR($C1883="",$M1883=""),"",IF($N1883="","؟",IF(ROUND($M1883-$N1883,0)=0,"√","×")))</f>
        <v/>
      </c>
      <c r="P1883" s="12" t="n"/>
    </row>
    <row r="1884">
      <c r="A1884" s="10">
        <f>IF($C1884="","",COUNTA($C$9:$C1884))</f>
        <v/>
      </c>
      <c r="B1884" s="10">
        <f>IF($C1884="","","TXN-"&amp;RIGHT("0000"&amp;1876,4))</f>
        <v/>
      </c>
      <c r="C1884" s="11" t="n"/>
      <c r="D1884" s="11" t="n"/>
      <c r="E1884" s="12" t="n"/>
      <c r="F1884" s="10">
        <f>IF($E1884="","",IFERROR(IF(VLOOKUP(LEFT(UPPER(TRIM($E1884)),6),BankTbl,2,0)="","(بدون عنوان)",VLOOKUP(LEFT(UPPER(TRIM($E1884)),6),BankTbl,2,0)),"بانک ناشناخته"))</f>
        <v/>
      </c>
      <c r="G1884" s="11" t="n"/>
      <c r="H1884" s="10">
        <f>IF($G1884="","",IFERROR(VLOOKUP($G1884,CustTbl,2,0),IFERROR(VLOOKUP($G1884,SuppTbl,2,0),IFERROR(VLOOKUP($G1884,AcctTbl,2,0),IFERROR(VLOOKUP($G1884,StaffTbl,2,0),"کد ناشناخته")))))</f>
        <v/>
      </c>
      <c r="I1884" s="12" t="n"/>
      <c r="J1884" s="12" t="n"/>
      <c r="K1884" s="13" t="n"/>
      <c r="L1884" s="13" t="n"/>
      <c r="M1884" s="13" t="n"/>
      <c r="N1884" s="14">
        <f>IF(OR($C1884="",$E1884="",Calc!$H1884=""),"",IFERROR(VLOOKUP(LEFT(UPPER(TRIM($E1884)),6),BankTbl,3,0),0)+SUMIFS(CalcDep,CalcBank,LEFT(UPPER(TRIM($E1884)),6),CalcKey,"&lt;="&amp;Calc!$H1884)-SUMIFS(CalcWit,CalcBank,LEFT(UPPER(TRIM($E1884)),6),CalcKey,"&lt;="&amp;Calc!$H1884))</f>
        <v/>
      </c>
      <c r="O1884" s="10">
        <f>IF(OR($C1884="",$M1884=""),"",IF($N1884="","؟",IF(ROUND($M1884-$N1884,0)=0,"√","×")))</f>
        <v/>
      </c>
      <c r="P1884" s="12" t="n"/>
    </row>
    <row r="1885">
      <c r="A1885" s="10">
        <f>IF($C1885="","",COUNTA($C$9:$C1885))</f>
        <v/>
      </c>
      <c r="B1885" s="10">
        <f>IF($C1885="","","TXN-"&amp;RIGHT("0000"&amp;1877,4))</f>
        <v/>
      </c>
      <c r="C1885" s="11" t="n"/>
      <c r="D1885" s="11" t="n"/>
      <c r="E1885" s="12" t="n"/>
      <c r="F1885" s="10">
        <f>IF($E1885="","",IFERROR(IF(VLOOKUP(LEFT(UPPER(TRIM($E1885)),6),BankTbl,2,0)="","(بدون عنوان)",VLOOKUP(LEFT(UPPER(TRIM($E1885)),6),BankTbl,2,0)),"بانک ناشناخته"))</f>
        <v/>
      </c>
      <c r="G1885" s="11" t="n"/>
      <c r="H1885" s="10">
        <f>IF($G1885="","",IFERROR(VLOOKUP($G1885,CustTbl,2,0),IFERROR(VLOOKUP($G1885,SuppTbl,2,0),IFERROR(VLOOKUP($G1885,AcctTbl,2,0),IFERROR(VLOOKUP($G1885,StaffTbl,2,0),"کد ناشناخته")))))</f>
        <v/>
      </c>
      <c r="I1885" s="12" t="n"/>
      <c r="J1885" s="12" t="n"/>
      <c r="K1885" s="13" t="n"/>
      <c r="L1885" s="13" t="n"/>
      <c r="M1885" s="13" t="n"/>
      <c r="N1885" s="14">
        <f>IF(OR($C1885="",$E1885="",Calc!$H1885=""),"",IFERROR(VLOOKUP(LEFT(UPPER(TRIM($E1885)),6),BankTbl,3,0),0)+SUMIFS(CalcDep,CalcBank,LEFT(UPPER(TRIM($E1885)),6),CalcKey,"&lt;="&amp;Calc!$H1885)-SUMIFS(CalcWit,CalcBank,LEFT(UPPER(TRIM($E1885)),6),CalcKey,"&lt;="&amp;Calc!$H1885))</f>
        <v/>
      </c>
      <c r="O1885" s="10">
        <f>IF(OR($C1885="",$M1885=""),"",IF($N1885="","؟",IF(ROUND($M1885-$N1885,0)=0,"√","×")))</f>
        <v/>
      </c>
      <c r="P1885" s="12" t="n"/>
    </row>
    <row r="1886">
      <c r="A1886" s="10">
        <f>IF($C1886="","",COUNTA($C$9:$C1886))</f>
        <v/>
      </c>
      <c r="B1886" s="10">
        <f>IF($C1886="","","TXN-"&amp;RIGHT("0000"&amp;1878,4))</f>
        <v/>
      </c>
      <c r="C1886" s="11" t="n"/>
      <c r="D1886" s="11" t="n"/>
      <c r="E1886" s="12" t="n"/>
      <c r="F1886" s="10">
        <f>IF($E1886="","",IFERROR(IF(VLOOKUP(LEFT(UPPER(TRIM($E1886)),6),BankTbl,2,0)="","(بدون عنوان)",VLOOKUP(LEFT(UPPER(TRIM($E1886)),6),BankTbl,2,0)),"بانک ناشناخته"))</f>
        <v/>
      </c>
      <c r="G1886" s="11" t="n"/>
      <c r="H1886" s="10">
        <f>IF($G1886="","",IFERROR(VLOOKUP($G1886,CustTbl,2,0),IFERROR(VLOOKUP($G1886,SuppTbl,2,0),IFERROR(VLOOKUP($G1886,AcctTbl,2,0),IFERROR(VLOOKUP($G1886,StaffTbl,2,0),"کد ناشناخته")))))</f>
        <v/>
      </c>
      <c r="I1886" s="12" t="n"/>
      <c r="J1886" s="12" t="n"/>
      <c r="K1886" s="13" t="n"/>
      <c r="L1886" s="13" t="n"/>
      <c r="M1886" s="13" t="n"/>
      <c r="N1886" s="14">
        <f>IF(OR($C1886="",$E1886="",Calc!$H1886=""),"",IFERROR(VLOOKUP(LEFT(UPPER(TRIM($E1886)),6),BankTbl,3,0),0)+SUMIFS(CalcDep,CalcBank,LEFT(UPPER(TRIM($E1886)),6),CalcKey,"&lt;="&amp;Calc!$H1886)-SUMIFS(CalcWit,CalcBank,LEFT(UPPER(TRIM($E1886)),6),CalcKey,"&lt;="&amp;Calc!$H1886))</f>
        <v/>
      </c>
      <c r="O1886" s="10">
        <f>IF(OR($C1886="",$M1886=""),"",IF($N1886="","؟",IF(ROUND($M1886-$N1886,0)=0,"√","×")))</f>
        <v/>
      </c>
      <c r="P1886" s="12" t="n"/>
    </row>
    <row r="1887">
      <c r="A1887" s="10">
        <f>IF($C1887="","",COUNTA($C$9:$C1887))</f>
        <v/>
      </c>
      <c r="B1887" s="10">
        <f>IF($C1887="","","TXN-"&amp;RIGHT("0000"&amp;1879,4))</f>
        <v/>
      </c>
      <c r="C1887" s="11" t="n"/>
      <c r="D1887" s="11" t="n"/>
      <c r="E1887" s="12" t="n"/>
      <c r="F1887" s="10">
        <f>IF($E1887="","",IFERROR(IF(VLOOKUP(LEFT(UPPER(TRIM($E1887)),6),BankTbl,2,0)="","(بدون عنوان)",VLOOKUP(LEFT(UPPER(TRIM($E1887)),6),BankTbl,2,0)),"بانک ناشناخته"))</f>
        <v/>
      </c>
      <c r="G1887" s="11" t="n"/>
      <c r="H1887" s="10">
        <f>IF($G1887="","",IFERROR(VLOOKUP($G1887,CustTbl,2,0),IFERROR(VLOOKUP($G1887,SuppTbl,2,0),IFERROR(VLOOKUP($G1887,AcctTbl,2,0),IFERROR(VLOOKUP($G1887,StaffTbl,2,0),"کد ناشناخته")))))</f>
        <v/>
      </c>
      <c r="I1887" s="12" t="n"/>
      <c r="J1887" s="12" t="n"/>
      <c r="K1887" s="13" t="n"/>
      <c r="L1887" s="13" t="n"/>
      <c r="M1887" s="13" t="n"/>
      <c r="N1887" s="14">
        <f>IF(OR($C1887="",$E1887="",Calc!$H1887=""),"",IFERROR(VLOOKUP(LEFT(UPPER(TRIM($E1887)),6),BankTbl,3,0),0)+SUMIFS(CalcDep,CalcBank,LEFT(UPPER(TRIM($E1887)),6),CalcKey,"&lt;="&amp;Calc!$H1887)-SUMIFS(CalcWit,CalcBank,LEFT(UPPER(TRIM($E1887)),6),CalcKey,"&lt;="&amp;Calc!$H1887))</f>
        <v/>
      </c>
      <c r="O1887" s="10">
        <f>IF(OR($C1887="",$M1887=""),"",IF($N1887="","؟",IF(ROUND($M1887-$N1887,0)=0,"√","×")))</f>
        <v/>
      </c>
      <c r="P1887" s="12" t="n"/>
    </row>
    <row r="1888">
      <c r="A1888" s="10">
        <f>IF($C1888="","",COUNTA($C$9:$C1888))</f>
        <v/>
      </c>
      <c r="B1888" s="10">
        <f>IF($C1888="","","TXN-"&amp;RIGHT("0000"&amp;1880,4))</f>
        <v/>
      </c>
      <c r="C1888" s="11" t="n"/>
      <c r="D1888" s="11" t="n"/>
      <c r="E1888" s="12" t="n"/>
      <c r="F1888" s="10">
        <f>IF($E1888="","",IFERROR(IF(VLOOKUP(LEFT(UPPER(TRIM($E1888)),6),BankTbl,2,0)="","(بدون عنوان)",VLOOKUP(LEFT(UPPER(TRIM($E1888)),6),BankTbl,2,0)),"بانک ناشناخته"))</f>
        <v/>
      </c>
      <c r="G1888" s="11" t="n"/>
      <c r="H1888" s="10">
        <f>IF($G1888="","",IFERROR(VLOOKUP($G1888,CustTbl,2,0),IFERROR(VLOOKUP($G1888,SuppTbl,2,0),IFERROR(VLOOKUP($G1888,AcctTbl,2,0),IFERROR(VLOOKUP($G1888,StaffTbl,2,0),"کد ناشناخته")))))</f>
        <v/>
      </c>
      <c r="I1888" s="12" t="n"/>
      <c r="J1888" s="12" t="n"/>
      <c r="K1888" s="13" t="n"/>
      <c r="L1888" s="13" t="n"/>
      <c r="M1888" s="13" t="n"/>
      <c r="N1888" s="14">
        <f>IF(OR($C1888="",$E1888="",Calc!$H1888=""),"",IFERROR(VLOOKUP(LEFT(UPPER(TRIM($E1888)),6),BankTbl,3,0),0)+SUMIFS(CalcDep,CalcBank,LEFT(UPPER(TRIM($E1888)),6),CalcKey,"&lt;="&amp;Calc!$H1888)-SUMIFS(CalcWit,CalcBank,LEFT(UPPER(TRIM($E1888)),6),CalcKey,"&lt;="&amp;Calc!$H1888))</f>
        <v/>
      </c>
      <c r="O1888" s="10">
        <f>IF(OR($C1888="",$M1888=""),"",IF($N1888="","؟",IF(ROUND($M1888-$N1888,0)=0,"√","×")))</f>
        <v/>
      </c>
      <c r="P1888" s="12" t="n"/>
    </row>
    <row r="1889">
      <c r="A1889" s="10">
        <f>IF($C1889="","",COUNTA($C$9:$C1889))</f>
        <v/>
      </c>
      <c r="B1889" s="10">
        <f>IF($C1889="","","TXN-"&amp;RIGHT("0000"&amp;1881,4))</f>
        <v/>
      </c>
      <c r="C1889" s="11" t="n"/>
      <c r="D1889" s="11" t="n"/>
      <c r="E1889" s="12" t="n"/>
      <c r="F1889" s="10">
        <f>IF($E1889="","",IFERROR(IF(VLOOKUP(LEFT(UPPER(TRIM($E1889)),6),BankTbl,2,0)="","(بدون عنوان)",VLOOKUP(LEFT(UPPER(TRIM($E1889)),6),BankTbl,2,0)),"بانک ناشناخته"))</f>
        <v/>
      </c>
      <c r="G1889" s="11" t="n"/>
      <c r="H1889" s="10">
        <f>IF($G1889="","",IFERROR(VLOOKUP($G1889,CustTbl,2,0),IFERROR(VLOOKUP($G1889,SuppTbl,2,0),IFERROR(VLOOKUP($G1889,AcctTbl,2,0),IFERROR(VLOOKUP($G1889,StaffTbl,2,0),"کد ناشناخته")))))</f>
        <v/>
      </c>
      <c r="I1889" s="12" t="n"/>
      <c r="J1889" s="12" t="n"/>
      <c r="K1889" s="13" t="n"/>
      <c r="L1889" s="13" t="n"/>
      <c r="M1889" s="13" t="n"/>
      <c r="N1889" s="14">
        <f>IF(OR($C1889="",$E1889="",Calc!$H1889=""),"",IFERROR(VLOOKUP(LEFT(UPPER(TRIM($E1889)),6),BankTbl,3,0),0)+SUMIFS(CalcDep,CalcBank,LEFT(UPPER(TRIM($E1889)),6),CalcKey,"&lt;="&amp;Calc!$H1889)-SUMIFS(CalcWit,CalcBank,LEFT(UPPER(TRIM($E1889)),6),CalcKey,"&lt;="&amp;Calc!$H1889))</f>
        <v/>
      </c>
      <c r="O1889" s="10">
        <f>IF(OR($C1889="",$M1889=""),"",IF($N1889="","؟",IF(ROUND($M1889-$N1889,0)=0,"√","×")))</f>
        <v/>
      </c>
      <c r="P1889" s="12" t="n"/>
    </row>
    <row r="1890">
      <c r="A1890" s="10">
        <f>IF($C1890="","",COUNTA($C$9:$C1890))</f>
        <v/>
      </c>
      <c r="B1890" s="10">
        <f>IF($C1890="","","TXN-"&amp;RIGHT("0000"&amp;1882,4))</f>
        <v/>
      </c>
      <c r="C1890" s="11" t="n"/>
      <c r="D1890" s="11" t="n"/>
      <c r="E1890" s="12" t="n"/>
      <c r="F1890" s="10">
        <f>IF($E1890="","",IFERROR(IF(VLOOKUP(LEFT(UPPER(TRIM($E1890)),6),BankTbl,2,0)="","(بدون عنوان)",VLOOKUP(LEFT(UPPER(TRIM($E1890)),6),BankTbl,2,0)),"بانک ناشناخته"))</f>
        <v/>
      </c>
      <c r="G1890" s="11" t="n"/>
      <c r="H1890" s="10">
        <f>IF($G1890="","",IFERROR(VLOOKUP($G1890,CustTbl,2,0),IFERROR(VLOOKUP($G1890,SuppTbl,2,0),IFERROR(VLOOKUP($G1890,AcctTbl,2,0),IFERROR(VLOOKUP($G1890,StaffTbl,2,0),"کد ناشناخته")))))</f>
        <v/>
      </c>
      <c r="I1890" s="12" t="n"/>
      <c r="J1890" s="12" t="n"/>
      <c r="K1890" s="13" t="n"/>
      <c r="L1890" s="13" t="n"/>
      <c r="M1890" s="13" t="n"/>
      <c r="N1890" s="14">
        <f>IF(OR($C1890="",$E1890="",Calc!$H1890=""),"",IFERROR(VLOOKUP(LEFT(UPPER(TRIM($E1890)),6),BankTbl,3,0),0)+SUMIFS(CalcDep,CalcBank,LEFT(UPPER(TRIM($E1890)),6),CalcKey,"&lt;="&amp;Calc!$H1890)-SUMIFS(CalcWit,CalcBank,LEFT(UPPER(TRIM($E1890)),6),CalcKey,"&lt;="&amp;Calc!$H1890))</f>
        <v/>
      </c>
      <c r="O1890" s="10">
        <f>IF(OR($C1890="",$M1890=""),"",IF($N1890="","؟",IF(ROUND($M1890-$N1890,0)=0,"√","×")))</f>
        <v/>
      </c>
      <c r="P1890" s="12" t="n"/>
    </row>
    <row r="1891">
      <c r="A1891" s="10">
        <f>IF($C1891="","",COUNTA($C$9:$C1891))</f>
        <v/>
      </c>
      <c r="B1891" s="10">
        <f>IF($C1891="","","TXN-"&amp;RIGHT("0000"&amp;1883,4))</f>
        <v/>
      </c>
      <c r="C1891" s="11" t="n"/>
      <c r="D1891" s="11" t="n"/>
      <c r="E1891" s="12" t="n"/>
      <c r="F1891" s="10">
        <f>IF($E1891="","",IFERROR(IF(VLOOKUP(LEFT(UPPER(TRIM($E1891)),6),BankTbl,2,0)="","(بدون عنوان)",VLOOKUP(LEFT(UPPER(TRIM($E1891)),6),BankTbl,2,0)),"بانک ناشناخته"))</f>
        <v/>
      </c>
      <c r="G1891" s="11" t="n"/>
      <c r="H1891" s="10">
        <f>IF($G1891="","",IFERROR(VLOOKUP($G1891,CustTbl,2,0),IFERROR(VLOOKUP($G1891,SuppTbl,2,0),IFERROR(VLOOKUP($G1891,AcctTbl,2,0),IFERROR(VLOOKUP($G1891,StaffTbl,2,0),"کد ناشناخته")))))</f>
        <v/>
      </c>
      <c r="I1891" s="12" t="n"/>
      <c r="J1891" s="12" t="n"/>
      <c r="K1891" s="13" t="n"/>
      <c r="L1891" s="13" t="n"/>
      <c r="M1891" s="13" t="n"/>
      <c r="N1891" s="14">
        <f>IF(OR($C1891="",$E1891="",Calc!$H1891=""),"",IFERROR(VLOOKUP(LEFT(UPPER(TRIM($E1891)),6),BankTbl,3,0),0)+SUMIFS(CalcDep,CalcBank,LEFT(UPPER(TRIM($E1891)),6),CalcKey,"&lt;="&amp;Calc!$H1891)-SUMIFS(CalcWit,CalcBank,LEFT(UPPER(TRIM($E1891)),6),CalcKey,"&lt;="&amp;Calc!$H1891))</f>
        <v/>
      </c>
      <c r="O1891" s="10">
        <f>IF(OR($C1891="",$M1891=""),"",IF($N1891="","؟",IF(ROUND($M1891-$N1891,0)=0,"√","×")))</f>
        <v/>
      </c>
      <c r="P1891" s="12" t="n"/>
    </row>
    <row r="1892">
      <c r="A1892" s="10">
        <f>IF($C1892="","",COUNTA($C$9:$C1892))</f>
        <v/>
      </c>
      <c r="B1892" s="10">
        <f>IF($C1892="","","TXN-"&amp;RIGHT("0000"&amp;1884,4))</f>
        <v/>
      </c>
      <c r="C1892" s="11" t="n"/>
      <c r="D1892" s="11" t="n"/>
      <c r="E1892" s="12" t="n"/>
      <c r="F1892" s="10">
        <f>IF($E1892="","",IFERROR(IF(VLOOKUP(LEFT(UPPER(TRIM($E1892)),6),BankTbl,2,0)="","(بدون عنوان)",VLOOKUP(LEFT(UPPER(TRIM($E1892)),6),BankTbl,2,0)),"بانک ناشناخته"))</f>
        <v/>
      </c>
      <c r="G1892" s="11" t="n"/>
      <c r="H1892" s="10">
        <f>IF($G1892="","",IFERROR(VLOOKUP($G1892,CustTbl,2,0),IFERROR(VLOOKUP($G1892,SuppTbl,2,0),IFERROR(VLOOKUP($G1892,AcctTbl,2,0),IFERROR(VLOOKUP($G1892,StaffTbl,2,0),"کد ناشناخته")))))</f>
        <v/>
      </c>
      <c r="I1892" s="12" t="n"/>
      <c r="J1892" s="12" t="n"/>
      <c r="K1892" s="13" t="n"/>
      <c r="L1892" s="13" t="n"/>
      <c r="M1892" s="13" t="n"/>
      <c r="N1892" s="14">
        <f>IF(OR($C1892="",$E1892="",Calc!$H1892=""),"",IFERROR(VLOOKUP(LEFT(UPPER(TRIM($E1892)),6),BankTbl,3,0),0)+SUMIFS(CalcDep,CalcBank,LEFT(UPPER(TRIM($E1892)),6),CalcKey,"&lt;="&amp;Calc!$H1892)-SUMIFS(CalcWit,CalcBank,LEFT(UPPER(TRIM($E1892)),6),CalcKey,"&lt;="&amp;Calc!$H1892))</f>
        <v/>
      </c>
      <c r="O1892" s="10">
        <f>IF(OR($C1892="",$M1892=""),"",IF($N1892="","؟",IF(ROUND($M1892-$N1892,0)=0,"√","×")))</f>
        <v/>
      </c>
      <c r="P1892" s="12" t="n"/>
    </row>
    <row r="1893">
      <c r="A1893" s="10">
        <f>IF($C1893="","",COUNTA($C$9:$C1893))</f>
        <v/>
      </c>
      <c r="B1893" s="10">
        <f>IF($C1893="","","TXN-"&amp;RIGHT("0000"&amp;1885,4))</f>
        <v/>
      </c>
      <c r="C1893" s="11" t="n"/>
      <c r="D1893" s="11" t="n"/>
      <c r="E1893" s="12" t="n"/>
      <c r="F1893" s="10">
        <f>IF($E1893="","",IFERROR(IF(VLOOKUP(LEFT(UPPER(TRIM($E1893)),6),BankTbl,2,0)="","(بدون عنوان)",VLOOKUP(LEFT(UPPER(TRIM($E1893)),6),BankTbl,2,0)),"بانک ناشناخته"))</f>
        <v/>
      </c>
      <c r="G1893" s="11" t="n"/>
      <c r="H1893" s="10">
        <f>IF($G1893="","",IFERROR(VLOOKUP($G1893,CustTbl,2,0),IFERROR(VLOOKUP($G1893,SuppTbl,2,0),IFERROR(VLOOKUP($G1893,AcctTbl,2,0),IFERROR(VLOOKUP($G1893,StaffTbl,2,0),"کد ناشناخته")))))</f>
        <v/>
      </c>
      <c r="I1893" s="12" t="n"/>
      <c r="J1893" s="12" t="n"/>
      <c r="K1893" s="13" t="n"/>
      <c r="L1893" s="13" t="n"/>
      <c r="M1893" s="13" t="n"/>
      <c r="N1893" s="14">
        <f>IF(OR($C1893="",$E1893="",Calc!$H1893=""),"",IFERROR(VLOOKUP(LEFT(UPPER(TRIM($E1893)),6),BankTbl,3,0),0)+SUMIFS(CalcDep,CalcBank,LEFT(UPPER(TRIM($E1893)),6),CalcKey,"&lt;="&amp;Calc!$H1893)-SUMIFS(CalcWit,CalcBank,LEFT(UPPER(TRIM($E1893)),6),CalcKey,"&lt;="&amp;Calc!$H1893))</f>
        <v/>
      </c>
      <c r="O1893" s="10">
        <f>IF(OR($C1893="",$M1893=""),"",IF($N1893="","؟",IF(ROUND($M1893-$N1893,0)=0,"√","×")))</f>
        <v/>
      </c>
      <c r="P1893" s="12" t="n"/>
    </row>
    <row r="1894">
      <c r="A1894" s="10">
        <f>IF($C1894="","",COUNTA($C$9:$C1894))</f>
        <v/>
      </c>
      <c r="B1894" s="10">
        <f>IF($C1894="","","TXN-"&amp;RIGHT("0000"&amp;1886,4))</f>
        <v/>
      </c>
      <c r="C1894" s="11" t="n"/>
      <c r="D1894" s="11" t="n"/>
      <c r="E1894" s="12" t="n"/>
      <c r="F1894" s="10">
        <f>IF($E1894="","",IFERROR(IF(VLOOKUP(LEFT(UPPER(TRIM($E1894)),6),BankTbl,2,0)="","(بدون عنوان)",VLOOKUP(LEFT(UPPER(TRIM($E1894)),6),BankTbl,2,0)),"بانک ناشناخته"))</f>
        <v/>
      </c>
      <c r="G1894" s="11" t="n"/>
      <c r="H1894" s="10">
        <f>IF($G1894="","",IFERROR(VLOOKUP($G1894,CustTbl,2,0),IFERROR(VLOOKUP($G1894,SuppTbl,2,0),IFERROR(VLOOKUP($G1894,AcctTbl,2,0),IFERROR(VLOOKUP($G1894,StaffTbl,2,0),"کد ناشناخته")))))</f>
        <v/>
      </c>
      <c r="I1894" s="12" t="n"/>
      <c r="J1894" s="12" t="n"/>
      <c r="K1894" s="13" t="n"/>
      <c r="L1894" s="13" t="n"/>
      <c r="M1894" s="13" t="n"/>
      <c r="N1894" s="14">
        <f>IF(OR($C1894="",$E1894="",Calc!$H1894=""),"",IFERROR(VLOOKUP(LEFT(UPPER(TRIM($E1894)),6),BankTbl,3,0),0)+SUMIFS(CalcDep,CalcBank,LEFT(UPPER(TRIM($E1894)),6),CalcKey,"&lt;="&amp;Calc!$H1894)-SUMIFS(CalcWit,CalcBank,LEFT(UPPER(TRIM($E1894)),6),CalcKey,"&lt;="&amp;Calc!$H1894))</f>
        <v/>
      </c>
      <c r="O1894" s="10">
        <f>IF(OR($C1894="",$M1894=""),"",IF($N1894="","؟",IF(ROUND($M1894-$N1894,0)=0,"√","×")))</f>
        <v/>
      </c>
      <c r="P1894" s="12" t="n"/>
    </row>
    <row r="1895">
      <c r="A1895" s="10">
        <f>IF($C1895="","",COUNTA($C$9:$C1895))</f>
        <v/>
      </c>
      <c r="B1895" s="10">
        <f>IF($C1895="","","TXN-"&amp;RIGHT("0000"&amp;1887,4))</f>
        <v/>
      </c>
      <c r="C1895" s="11" t="n"/>
      <c r="D1895" s="11" t="n"/>
      <c r="E1895" s="12" t="n"/>
      <c r="F1895" s="10">
        <f>IF($E1895="","",IFERROR(IF(VLOOKUP(LEFT(UPPER(TRIM($E1895)),6),BankTbl,2,0)="","(بدون عنوان)",VLOOKUP(LEFT(UPPER(TRIM($E1895)),6),BankTbl,2,0)),"بانک ناشناخته"))</f>
        <v/>
      </c>
      <c r="G1895" s="11" t="n"/>
      <c r="H1895" s="10">
        <f>IF($G1895="","",IFERROR(VLOOKUP($G1895,CustTbl,2,0),IFERROR(VLOOKUP($G1895,SuppTbl,2,0),IFERROR(VLOOKUP($G1895,AcctTbl,2,0),IFERROR(VLOOKUP($G1895,StaffTbl,2,0),"کد ناشناخته")))))</f>
        <v/>
      </c>
      <c r="I1895" s="12" t="n"/>
      <c r="J1895" s="12" t="n"/>
      <c r="K1895" s="13" t="n"/>
      <c r="L1895" s="13" t="n"/>
      <c r="M1895" s="13" t="n"/>
      <c r="N1895" s="14">
        <f>IF(OR($C1895="",$E1895="",Calc!$H1895=""),"",IFERROR(VLOOKUP(LEFT(UPPER(TRIM($E1895)),6),BankTbl,3,0),0)+SUMIFS(CalcDep,CalcBank,LEFT(UPPER(TRIM($E1895)),6),CalcKey,"&lt;="&amp;Calc!$H1895)-SUMIFS(CalcWit,CalcBank,LEFT(UPPER(TRIM($E1895)),6),CalcKey,"&lt;="&amp;Calc!$H1895))</f>
        <v/>
      </c>
      <c r="O1895" s="10">
        <f>IF(OR($C1895="",$M1895=""),"",IF($N1895="","؟",IF(ROUND($M1895-$N1895,0)=0,"√","×")))</f>
        <v/>
      </c>
      <c r="P1895" s="12" t="n"/>
    </row>
    <row r="1896">
      <c r="A1896" s="10">
        <f>IF($C1896="","",COUNTA($C$9:$C1896))</f>
        <v/>
      </c>
      <c r="B1896" s="10">
        <f>IF($C1896="","","TXN-"&amp;RIGHT("0000"&amp;1888,4))</f>
        <v/>
      </c>
      <c r="C1896" s="11" t="n"/>
      <c r="D1896" s="11" t="n"/>
      <c r="E1896" s="12" t="n"/>
      <c r="F1896" s="10">
        <f>IF($E1896="","",IFERROR(IF(VLOOKUP(LEFT(UPPER(TRIM($E1896)),6),BankTbl,2,0)="","(بدون عنوان)",VLOOKUP(LEFT(UPPER(TRIM($E1896)),6),BankTbl,2,0)),"بانک ناشناخته"))</f>
        <v/>
      </c>
      <c r="G1896" s="11" t="n"/>
      <c r="H1896" s="10">
        <f>IF($G1896="","",IFERROR(VLOOKUP($G1896,CustTbl,2,0),IFERROR(VLOOKUP($G1896,SuppTbl,2,0),IFERROR(VLOOKUP($G1896,AcctTbl,2,0),IFERROR(VLOOKUP($G1896,StaffTbl,2,0),"کد ناشناخته")))))</f>
        <v/>
      </c>
      <c r="I1896" s="12" t="n"/>
      <c r="J1896" s="12" t="n"/>
      <c r="K1896" s="13" t="n"/>
      <c r="L1896" s="13" t="n"/>
      <c r="M1896" s="13" t="n"/>
      <c r="N1896" s="14">
        <f>IF(OR($C1896="",$E1896="",Calc!$H1896=""),"",IFERROR(VLOOKUP(LEFT(UPPER(TRIM($E1896)),6),BankTbl,3,0),0)+SUMIFS(CalcDep,CalcBank,LEFT(UPPER(TRIM($E1896)),6),CalcKey,"&lt;="&amp;Calc!$H1896)-SUMIFS(CalcWit,CalcBank,LEFT(UPPER(TRIM($E1896)),6),CalcKey,"&lt;="&amp;Calc!$H1896))</f>
        <v/>
      </c>
      <c r="O1896" s="10">
        <f>IF(OR($C1896="",$M1896=""),"",IF($N1896="","؟",IF(ROUND($M1896-$N1896,0)=0,"√","×")))</f>
        <v/>
      </c>
      <c r="P1896" s="12" t="n"/>
    </row>
    <row r="1897">
      <c r="A1897" s="10">
        <f>IF($C1897="","",COUNTA($C$9:$C1897))</f>
        <v/>
      </c>
      <c r="B1897" s="10">
        <f>IF($C1897="","","TXN-"&amp;RIGHT("0000"&amp;1889,4))</f>
        <v/>
      </c>
      <c r="C1897" s="11" t="n"/>
      <c r="D1897" s="11" t="n"/>
      <c r="E1897" s="12" t="n"/>
      <c r="F1897" s="10">
        <f>IF($E1897="","",IFERROR(IF(VLOOKUP(LEFT(UPPER(TRIM($E1897)),6),BankTbl,2,0)="","(بدون عنوان)",VLOOKUP(LEFT(UPPER(TRIM($E1897)),6),BankTbl,2,0)),"بانک ناشناخته"))</f>
        <v/>
      </c>
      <c r="G1897" s="11" t="n"/>
      <c r="H1897" s="10">
        <f>IF($G1897="","",IFERROR(VLOOKUP($G1897,CustTbl,2,0),IFERROR(VLOOKUP($G1897,SuppTbl,2,0),IFERROR(VLOOKUP($G1897,AcctTbl,2,0),IFERROR(VLOOKUP($G1897,StaffTbl,2,0),"کد ناشناخته")))))</f>
        <v/>
      </c>
      <c r="I1897" s="12" t="n"/>
      <c r="J1897" s="12" t="n"/>
      <c r="K1897" s="13" t="n"/>
      <c r="L1897" s="13" t="n"/>
      <c r="M1897" s="13" t="n"/>
      <c r="N1897" s="14">
        <f>IF(OR($C1897="",$E1897="",Calc!$H1897=""),"",IFERROR(VLOOKUP(LEFT(UPPER(TRIM($E1897)),6),BankTbl,3,0),0)+SUMIFS(CalcDep,CalcBank,LEFT(UPPER(TRIM($E1897)),6),CalcKey,"&lt;="&amp;Calc!$H1897)-SUMIFS(CalcWit,CalcBank,LEFT(UPPER(TRIM($E1897)),6),CalcKey,"&lt;="&amp;Calc!$H1897))</f>
        <v/>
      </c>
      <c r="O1897" s="10">
        <f>IF(OR($C1897="",$M1897=""),"",IF($N1897="","؟",IF(ROUND($M1897-$N1897,0)=0,"√","×")))</f>
        <v/>
      </c>
      <c r="P1897" s="12" t="n"/>
    </row>
    <row r="1898">
      <c r="A1898" s="10">
        <f>IF($C1898="","",COUNTA($C$9:$C1898))</f>
        <v/>
      </c>
      <c r="B1898" s="10">
        <f>IF($C1898="","","TXN-"&amp;RIGHT("0000"&amp;1890,4))</f>
        <v/>
      </c>
      <c r="C1898" s="11" t="n"/>
      <c r="D1898" s="11" t="n"/>
      <c r="E1898" s="12" t="n"/>
      <c r="F1898" s="10">
        <f>IF($E1898="","",IFERROR(IF(VLOOKUP(LEFT(UPPER(TRIM($E1898)),6),BankTbl,2,0)="","(بدون عنوان)",VLOOKUP(LEFT(UPPER(TRIM($E1898)),6),BankTbl,2,0)),"بانک ناشناخته"))</f>
        <v/>
      </c>
      <c r="G1898" s="11" t="n"/>
      <c r="H1898" s="10">
        <f>IF($G1898="","",IFERROR(VLOOKUP($G1898,CustTbl,2,0),IFERROR(VLOOKUP($G1898,SuppTbl,2,0),IFERROR(VLOOKUP($G1898,AcctTbl,2,0),IFERROR(VLOOKUP($G1898,StaffTbl,2,0),"کد ناشناخته")))))</f>
        <v/>
      </c>
      <c r="I1898" s="12" t="n"/>
      <c r="J1898" s="12" t="n"/>
      <c r="K1898" s="13" t="n"/>
      <c r="L1898" s="13" t="n"/>
      <c r="M1898" s="13" t="n"/>
      <c r="N1898" s="14">
        <f>IF(OR($C1898="",$E1898="",Calc!$H1898=""),"",IFERROR(VLOOKUP(LEFT(UPPER(TRIM($E1898)),6),BankTbl,3,0),0)+SUMIFS(CalcDep,CalcBank,LEFT(UPPER(TRIM($E1898)),6),CalcKey,"&lt;="&amp;Calc!$H1898)-SUMIFS(CalcWit,CalcBank,LEFT(UPPER(TRIM($E1898)),6),CalcKey,"&lt;="&amp;Calc!$H1898))</f>
        <v/>
      </c>
      <c r="O1898" s="10">
        <f>IF(OR($C1898="",$M1898=""),"",IF($N1898="","؟",IF(ROUND($M1898-$N1898,0)=0,"√","×")))</f>
        <v/>
      </c>
      <c r="P1898" s="12" t="n"/>
    </row>
    <row r="1899">
      <c r="A1899" s="10">
        <f>IF($C1899="","",COUNTA($C$9:$C1899))</f>
        <v/>
      </c>
      <c r="B1899" s="10">
        <f>IF($C1899="","","TXN-"&amp;RIGHT("0000"&amp;1891,4))</f>
        <v/>
      </c>
      <c r="C1899" s="11" t="n"/>
      <c r="D1899" s="11" t="n"/>
      <c r="E1899" s="12" t="n"/>
      <c r="F1899" s="10">
        <f>IF($E1899="","",IFERROR(IF(VLOOKUP(LEFT(UPPER(TRIM($E1899)),6),BankTbl,2,0)="","(بدون عنوان)",VLOOKUP(LEFT(UPPER(TRIM($E1899)),6),BankTbl,2,0)),"بانک ناشناخته"))</f>
        <v/>
      </c>
      <c r="G1899" s="11" t="n"/>
      <c r="H1899" s="10">
        <f>IF($G1899="","",IFERROR(VLOOKUP($G1899,CustTbl,2,0),IFERROR(VLOOKUP($G1899,SuppTbl,2,0),IFERROR(VLOOKUP($G1899,AcctTbl,2,0),IFERROR(VLOOKUP($G1899,StaffTbl,2,0),"کد ناشناخته")))))</f>
        <v/>
      </c>
      <c r="I1899" s="12" t="n"/>
      <c r="J1899" s="12" t="n"/>
      <c r="K1899" s="13" t="n"/>
      <c r="L1899" s="13" t="n"/>
      <c r="M1899" s="13" t="n"/>
      <c r="N1899" s="14">
        <f>IF(OR($C1899="",$E1899="",Calc!$H1899=""),"",IFERROR(VLOOKUP(LEFT(UPPER(TRIM($E1899)),6),BankTbl,3,0),0)+SUMIFS(CalcDep,CalcBank,LEFT(UPPER(TRIM($E1899)),6),CalcKey,"&lt;="&amp;Calc!$H1899)-SUMIFS(CalcWit,CalcBank,LEFT(UPPER(TRIM($E1899)),6),CalcKey,"&lt;="&amp;Calc!$H1899))</f>
        <v/>
      </c>
      <c r="O1899" s="10">
        <f>IF(OR($C1899="",$M1899=""),"",IF($N1899="","؟",IF(ROUND($M1899-$N1899,0)=0,"√","×")))</f>
        <v/>
      </c>
      <c r="P1899" s="12" t="n"/>
    </row>
    <row r="1900">
      <c r="A1900" s="10">
        <f>IF($C1900="","",COUNTA($C$9:$C1900))</f>
        <v/>
      </c>
      <c r="B1900" s="10">
        <f>IF($C1900="","","TXN-"&amp;RIGHT("0000"&amp;1892,4))</f>
        <v/>
      </c>
      <c r="C1900" s="11" t="n"/>
      <c r="D1900" s="11" t="n"/>
      <c r="E1900" s="12" t="n"/>
      <c r="F1900" s="10">
        <f>IF($E1900="","",IFERROR(IF(VLOOKUP(LEFT(UPPER(TRIM($E1900)),6),BankTbl,2,0)="","(بدون عنوان)",VLOOKUP(LEFT(UPPER(TRIM($E1900)),6),BankTbl,2,0)),"بانک ناشناخته"))</f>
        <v/>
      </c>
      <c r="G1900" s="11" t="n"/>
      <c r="H1900" s="10">
        <f>IF($G1900="","",IFERROR(VLOOKUP($G1900,CustTbl,2,0),IFERROR(VLOOKUP($G1900,SuppTbl,2,0),IFERROR(VLOOKUP($G1900,AcctTbl,2,0),IFERROR(VLOOKUP($G1900,StaffTbl,2,0),"کد ناشناخته")))))</f>
        <v/>
      </c>
      <c r="I1900" s="12" t="n"/>
      <c r="J1900" s="12" t="n"/>
      <c r="K1900" s="13" t="n"/>
      <c r="L1900" s="13" t="n"/>
      <c r="M1900" s="13" t="n"/>
      <c r="N1900" s="14">
        <f>IF(OR($C1900="",$E1900="",Calc!$H1900=""),"",IFERROR(VLOOKUP(LEFT(UPPER(TRIM($E1900)),6),BankTbl,3,0),0)+SUMIFS(CalcDep,CalcBank,LEFT(UPPER(TRIM($E1900)),6),CalcKey,"&lt;="&amp;Calc!$H1900)-SUMIFS(CalcWit,CalcBank,LEFT(UPPER(TRIM($E1900)),6),CalcKey,"&lt;="&amp;Calc!$H1900))</f>
        <v/>
      </c>
      <c r="O1900" s="10">
        <f>IF(OR($C1900="",$M1900=""),"",IF($N1900="","؟",IF(ROUND($M1900-$N1900,0)=0,"√","×")))</f>
        <v/>
      </c>
      <c r="P1900" s="12" t="n"/>
    </row>
    <row r="1901">
      <c r="A1901" s="10">
        <f>IF($C1901="","",COUNTA($C$9:$C1901))</f>
        <v/>
      </c>
      <c r="B1901" s="10">
        <f>IF($C1901="","","TXN-"&amp;RIGHT("0000"&amp;1893,4))</f>
        <v/>
      </c>
      <c r="C1901" s="11" t="n"/>
      <c r="D1901" s="11" t="n"/>
      <c r="E1901" s="12" t="n"/>
      <c r="F1901" s="10">
        <f>IF($E1901="","",IFERROR(IF(VLOOKUP(LEFT(UPPER(TRIM($E1901)),6),BankTbl,2,0)="","(بدون عنوان)",VLOOKUP(LEFT(UPPER(TRIM($E1901)),6),BankTbl,2,0)),"بانک ناشناخته"))</f>
        <v/>
      </c>
      <c r="G1901" s="11" t="n"/>
      <c r="H1901" s="10">
        <f>IF($G1901="","",IFERROR(VLOOKUP($G1901,CustTbl,2,0),IFERROR(VLOOKUP($G1901,SuppTbl,2,0),IFERROR(VLOOKUP($G1901,AcctTbl,2,0),IFERROR(VLOOKUP($G1901,StaffTbl,2,0),"کد ناشناخته")))))</f>
        <v/>
      </c>
      <c r="I1901" s="12" t="n"/>
      <c r="J1901" s="12" t="n"/>
      <c r="K1901" s="13" t="n"/>
      <c r="L1901" s="13" t="n"/>
      <c r="M1901" s="13" t="n"/>
      <c r="N1901" s="14">
        <f>IF(OR($C1901="",$E1901="",Calc!$H1901=""),"",IFERROR(VLOOKUP(LEFT(UPPER(TRIM($E1901)),6),BankTbl,3,0),0)+SUMIFS(CalcDep,CalcBank,LEFT(UPPER(TRIM($E1901)),6),CalcKey,"&lt;="&amp;Calc!$H1901)-SUMIFS(CalcWit,CalcBank,LEFT(UPPER(TRIM($E1901)),6),CalcKey,"&lt;="&amp;Calc!$H1901))</f>
        <v/>
      </c>
      <c r="O1901" s="10">
        <f>IF(OR($C1901="",$M1901=""),"",IF($N1901="","؟",IF(ROUND($M1901-$N1901,0)=0,"√","×")))</f>
        <v/>
      </c>
      <c r="P1901" s="12" t="n"/>
    </row>
    <row r="1902">
      <c r="A1902" s="10">
        <f>IF($C1902="","",COUNTA($C$9:$C1902))</f>
        <v/>
      </c>
      <c r="B1902" s="10">
        <f>IF($C1902="","","TXN-"&amp;RIGHT("0000"&amp;1894,4))</f>
        <v/>
      </c>
      <c r="C1902" s="11" t="n"/>
      <c r="D1902" s="11" t="n"/>
      <c r="E1902" s="12" t="n"/>
      <c r="F1902" s="10">
        <f>IF($E1902="","",IFERROR(IF(VLOOKUP(LEFT(UPPER(TRIM($E1902)),6),BankTbl,2,0)="","(بدون عنوان)",VLOOKUP(LEFT(UPPER(TRIM($E1902)),6),BankTbl,2,0)),"بانک ناشناخته"))</f>
        <v/>
      </c>
      <c r="G1902" s="11" t="n"/>
      <c r="H1902" s="10">
        <f>IF($G1902="","",IFERROR(VLOOKUP($G1902,CustTbl,2,0),IFERROR(VLOOKUP($G1902,SuppTbl,2,0),IFERROR(VLOOKUP($G1902,AcctTbl,2,0),IFERROR(VLOOKUP($G1902,StaffTbl,2,0),"کد ناشناخته")))))</f>
        <v/>
      </c>
      <c r="I1902" s="12" t="n"/>
      <c r="J1902" s="12" t="n"/>
      <c r="K1902" s="13" t="n"/>
      <c r="L1902" s="13" t="n"/>
      <c r="M1902" s="13" t="n"/>
      <c r="N1902" s="14">
        <f>IF(OR($C1902="",$E1902="",Calc!$H1902=""),"",IFERROR(VLOOKUP(LEFT(UPPER(TRIM($E1902)),6),BankTbl,3,0),0)+SUMIFS(CalcDep,CalcBank,LEFT(UPPER(TRIM($E1902)),6),CalcKey,"&lt;="&amp;Calc!$H1902)-SUMIFS(CalcWit,CalcBank,LEFT(UPPER(TRIM($E1902)),6),CalcKey,"&lt;="&amp;Calc!$H1902))</f>
        <v/>
      </c>
      <c r="O1902" s="10">
        <f>IF(OR($C1902="",$M1902=""),"",IF($N1902="","؟",IF(ROUND($M1902-$N1902,0)=0,"√","×")))</f>
        <v/>
      </c>
      <c r="P1902" s="12" t="n"/>
    </row>
    <row r="1903">
      <c r="A1903" s="10">
        <f>IF($C1903="","",COUNTA($C$9:$C1903))</f>
        <v/>
      </c>
      <c r="B1903" s="10">
        <f>IF($C1903="","","TXN-"&amp;RIGHT("0000"&amp;1895,4))</f>
        <v/>
      </c>
      <c r="C1903" s="11" t="n"/>
      <c r="D1903" s="11" t="n"/>
      <c r="E1903" s="12" t="n"/>
      <c r="F1903" s="10">
        <f>IF($E1903="","",IFERROR(IF(VLOOKUP(LEFT(UPPER(TRIM($E1903)),6),BankTbl,2,0)="","(بدون عنوان)",VLOOKUP(LEFT(UPPER(TRIM($E1903)),6),BankTbl,2,0)),"بانک ناشناخته"))</f>
        <v/>
      </c>
      <c r="G1903" s="11" t="n"/>
      <c r="H1903" s="10">
        <f>IF($G1903="","",IFERROR(VLOOKUP($G1903,CustTbl,2,0),IFERROR(VLOOKUP($G1903,SuppTbl,2,0),IFERROR(VLOOKUP($G1903,AcctTbl,2,0),IFERROR(VLOOKUP($G1903,StaffTbl,2,0),"کد ناشناخته")))))</f>
        <v/>
      </c>
      <c r="I1903" s="12" t="n"/>
      <c r="J1903" s="12" t="n"/>
      <c r="K1903" s="13" t="n"/>
      <c r="L1903" s="13" t="n"/>
      <c r="M1903" s="13" t="n"/>
      <c r="N1903" s="14">
        <f>IF(OR($C1903="",$E1903="",Calc!$H1903=""),"",IFERROR(VLOOKUP(LEFT(UPPER(TRIM($E1903)),6),BankTbl,3,0),0)+SUMIFS(CalcDep,CalcBank,LEFT(UPPER(TRIM($E1903)),6),CalcKey,"&lt;="&amp;Calc!$H1903)-SUMIFS(CalcWit,CalcBank,LEFT(UPPER(TRIM($E1903)),6),CalcKey,"&lt;="&amp;Calc!$H1903))</f>
        <v/>
      </c>
      <c r="O1903" s="10">
        <f>IF(OR($C1903="",$M1903=""),"",IF($N1903="","؟",IF(ROUND($M1903-$N1903,0)=0,"√","×")))</f>
        <v/>
      </c>
      <c r="P1903" s="12" t="n"/>
    </row>
    <row r="1904">
      <c r="A1904" s="10">
        <f>IF($C1904="","",COUNTA($C$9:$C1904))</f>
        <v/>
      </c>
      <c r="B1904" s="10">
        <f>IF($C1904="","","TXN-"&amp;RIGHT("0000"&amp;1896,4))</f>
        <v/>
      </c>
      <c r="C1904" s="11" t="n"/>
      <c r="D1904" s="11" t="n"/>
      <c r="E1904" s="12" t="n"/>
      <c r="F1904" s="10">
        <f>IF($E1904="","",IFERROR(IF(VLOOKUP(LEFT(UPPER(TRIM($E1904)),6),BankTbl,2,0)="","(بدون عنوان)",VLOOKUP(LEFT(UPPER(TRIM($E1904)),6),BankTbl,2,0)),"بانک ناشناخته"))</f>
        <v/>
      </c>
      <c r="G1904" s="11" t="n"/>
      <c r="H1904" s="10">
        <f>IF($G1904="","",IFERROR(VLOOKUP($G1904,CustTbl,2,0),IFERROR(VLOOKUP($G1904,SuppTbl,2,0),IFERROR(VLOOKUP($G1904,AcctTbl,2,0),IFERROR(VLOOKUP($G1904,StaffTbl,2,0),"کد ناشناخته")))))</f>
        <v/>
      </c>
      <c r="I1904" s="12" t="n"/>
      <c r="J1904" s="12" t="n"/>
      <c r="K1904" s="13" t="n"/>
      <c r="L1904" s="13" t="n"/>
      <c r="M1904" s="13" t="n"/>
      <c r="N1904" s="14">
        <f>IF(OR($C1904="",$E1904="",Calc!$H1904=""),"",IFERROR(VLOOKUP(LEFT(UPPER(TRIM($E1904)),6),BankTbl,3,0),0)+SUMIFS(CalcDep,CalcBank,LEFT(UPPER(TRIM($E1904)),6),CalcKey,"&lt;="&amp;Calc!$H1904)-SUMIFS(CalcWit,CalcBank,LEFT(UPPER(TRIM($E1904)),6),CalcKey,"&lt;="&amp;Calc!$H1904))</f>
        <v/>
      </c>
      <c r="O1904" s="10">
        <f>IF(OR($C1904="",$M1904=""),"",IF($N1904="","؟",IF(ROUND($M1904-$N1904,0)=0,"√","×")))</f>
        <v/>
      </c>
      <c r="P1904" s="12" t="n"/>
    </row>
    <row r="1905">
      <c r="A1905" s="10">
        <f>IF($C1905="","",COUNTA($C$9:$C1905))</f>
        <v/>
      </c>
      <c r="B1905" s="10">
        <f>IF($C1905="","","TXN-"&amp;RIGHT("0000"&amp;1897,4))</f>
        <v/>
      </c>
      <c r="C1905" s="11" t="n"/>
      <c r="D1905" s="11" t="n"/>
      <c r="E1905" s="12" t="n"/>
      <c r="F1905" s="10">
        <f>IF($E1905="","",IFERROR(IF(VLOOKUP(LEFT(UPPER(TRIM($E1905)),6),BankTbl,2,0)="","(بدون عنوان)",VLOOKUP(LEFT(UPPER(TRIM($E1905)),6),BankTbl,2,0)),"بانک ناشناخته"))</f>
        <v/>
      </c>
      <c r="G1905" s="11" t="n"/>
      <c r="H1905" s="10">
        <f>IF($G1905="","",IFERROR(VLOOKUP($G1905,CustTbl,2,0),IFERROR(VLOOKUP($G1905,SuppTbl,2,0),IFERROR(VLOOKUP($G1905,AcctTbl,2,0),IFERROR(VLOOKUP($G1905,StaffTbl,2,0),"کد ناشناخته")))))</f>
        <v/>
      </c>
      <c r="I1905" s="12" t="n"/>
      <c r="J1905" s="12" t="n"/>
      <c r="K1905" s="13" t="n"/>
      <c r="L1905" s="13" t="n"/>
      <c r="M1905" s="13" t="n"/>
      <c r="N1905" s="14">
        <f>IF(OR($C1905="",$E1905="",Calc!$H1905=""),"",IFERROR(VLOOKUP(LEFT(UPPER(TRIM($E1905)),6),BankTbl,3,0),0)+SUMIFS(CalcDep,CalcBank,LEFT(UPPER(TRIM($E1905)),6),CalcKey,"&lt;="&amp;Calc!$H1905)-SUMIFS(CalcWit,CalcBank,LEFT(UPPER(TRIM($E1905)),6),CalcKey,"&lt;="&amp;Calc!$H1905))</f>
        <v/>
      </c>
      <c r="O1905" s="10">
        <f>IF(OR($C1905="",$M1905=""),"",IF($N1905="","؟",IF(ROUND($M1905-$N1905,0)=0,"√","×")))</f>
        <v/>
      </c>
      <c r="P1905" s="12" t="n"/>
    </row>
    <row r="1906">
      <c r="A1906" s="10">
        <f>IF($C1906="","",COUNTA($C$9:$C1906))</f>
        <v/>
      </c>
      <c r="B1906" s="10">
        <f>IF($C1906="","","TXN-"&amp;RIGHT("0000"&amp;1898,4))</f>
        <v/>
      </c>
      <c r="C1906" s="11" t="n"/>
      <c r="D1906" s="11" t="n"/>
      <c r="E1906" s="12" t="n"/>
      <c r="F1906" s="10">
        <f>IF($E1906="","",IFERROR(IF(VLOOKUP(LEFT(UPPER(TRIM($E1906)),6),BankTbl,2,0)="","(بدون عنوان)",VLOOKUP(LEFT(UPPER(TRIM($E1906)),6),BankTbl,2,0)),"بانک ناشناخته"))</f>
        <v/>
      </c>
      <c r="G1906" s="11" t="n"/>
      <c r="H1906" s="10">
        <f>IF($G1906="","",IFERROR(VLOOKUP($G1906,CustTbl,2,0),IFERROR(VLOOKUP($G1906,SuppTbl,2,0),IFERROR(VLOOKUP($G1906,AcctTbl,2,0),IFERROR(VLOOKUP($G1906,StaffTbl,2,0),"کد ناشناخته")))))</f>
        <v/>
      </c>
      <c r="I1906" s="12" t="n"/>
      <c r="J1906" s="12" t="n"/>
      <c r="K1906" s="13" t="n"/>
      <c r="L1906" s="13" t="n"/>
      <c r="M1906" s="13" t="n"/>
      <c r="N1906" s="14">
        <f>IF(OR($C1906="",$E1906="",Calc!$H1906=""),"",IFERROR(VLOOKUP(LEFT(UPPER(TRIM($E1906)),6),BankTbl,3,0),0)+SUMIFS(CalcDep,CalcBank,LEFT(UPPER(TRIM($E1906)),6),CalcKey,"&lt;="&amp;Calc!$H1906)-SUMIFS(CalcWit,CalcBank,LEFT(UPPER(TRIM($E1906)),6),CalcKey,"&lt;="&amp;Calc!$H1906))</f>
        <v/>
      </c>
      <c r="O1906" s="10">
        <f>IF(OR($C1906="",$M1906=""),"",IF($N1906="","؟",IF(ROUND($M1906-$N1906,0)=0,"√","×")))</f>
        <v/>
      </c>
      <c r="P1906" s="12" t="n"/>
    </row>
    <row r="1907">
      <c r="A1907" s="10">
        <f>IF($C1907="","",COUNTA($C$9:$C1907))</f>
        <v/>
      </c>
      <c r="B1907" s="10">
        <f>IF($C1907="","","TXN-"&amp;RIGHT("0000"&amp;1899,4))</f>
        <v/>
      </c>
      <c r="C1907" s="11" t="n"/>
      <c r="D1907" s="11" t="n"/>
      <c r="E1907" s="12" t="n"/>
      <c r="F1907" s="10">
        <f>IF($E1907="","",IFERROR(IF(VLOOKUP(LEFT(UPPER(TRIM($E1907)),6),BankTbl,2,0)="","(بدون عنوان)",VLOOKUP(LEFT(UPPER(TRIM($E1907)),6),BankTbl,2,0)),"بانک ناشناخته"))</f>
        <v/>
      </c>
      <c r="G1907" s="11" t="n"/>
      <c r="H1907" s="10">
        <f>IF($G1907="","",IFERROR(VLOOKUP($G1907,CustTbl,2,0),IFERROR(VLOOKUP($G1907,SuppTbl,2,0),IFERROR(VLOOKUP($G1907,AcctTbl,2,0),IFERROR(VLOOKUP($G1907,StaffTbl,2,0),"کد ناشناخته")))))</f>
        <v/>
      </c>
      <c r="I1907" s="12" t="n"/>
      <c r="J1907" s="12" t="n"/>
      <c r="K1907" s="13" t="n"/>
      <c r="L1907" s="13" t="n"/>
      <c r="M1907" s="13" t="n"/>
      <c r="N1907" s="14">
        <f>IF(OR($C1907="",$E1907="",Calc!$H1907=""),"",IFERROR(VLOOKUP(LEFT(UPPER(TRIM($E1907)),6),BankTbl,3,0),0)+SUMIFS(CalcDep,CalcBank,LEFT(UPPER(TRIM($E1907)),6),CalcKey,"&lt;="&amp;Calc!$H1907)-SUMIFS(CalcWit,CalcBank,LEFT(UPPER(TRIM($E1907)),6),CalcKey,"&lt;="&amp;Calc!$H1907))</f>
        <v/>
      </c>
      <c r="O1907" s="10">
        <f>IF(OR($C1907="",$M1907=""),"",IF($N1907="","؟",IF(ROUND($M1907-$N1907,0)=0,"√","×")))</f>
        <v/>
      </c>
      <c r="P1907" s="12" t="n"/>
    </row>
    <row r="1908">
      <c r="A1908" s="10">
        <f>IF($C1908="","",COUNTA($C$9:$C1908))</f>
        <v/>
      </c>
      <c r="B1908" s="10">
        <f>IF($C1908="","","TXN-"&amp;RIGHT("0000"&amp;1900,4))</f>
        <v/>
      </c>
      <c r="C1908" s="11" t="n"/>
      <c r="D1908" s="11" t="n"/>
      <c r="E1908" s="12" t="n"/>
      <c r="F1908" s="10">
        <f>IF($E1908="","",IFERROR(IF(VLOOKUP(LEFT(UPPER(TRIM($E1908)),6),BankTbl,2,0)="","(بدون عنوان)",VLOOKUP(LEFT(UPPER(TRIM($E1908)),6),BankTbl,2,0)),"بانک ناشناخته"))</f>
        <v/>
      </c>
      <c r="G1908" s="11" t="n"/>
      <c r="H1908" s="10">
        <f>IF($G1908="","",IFERROR(VLOOKUP($G1908,CustTbl,2,0),IFERROR(VLOOKUP($G1908,SuppTbl,2,0),IFERROR(VLOOKUP($G1908,AcctTbl,2,0),IFERROR(VLOOKUP($G1908,StaffTbl,2,0),"کد ناشناخته")))))</f>
        <v/>
      </c>
      <c r="I1908" s="12" t="n"/>
      <c r="J1908" s="12" t="n"/>
      <c r="K1908" s="13" t="n"/>
      <c r="L1908" s="13" t="n"/>
      <c r="M1908" s="13" t="n"/>
      <c r="N1908" s="14">
        <f>IF(OR($C1908="",$E1908="",Calc!$H1908=""),"",IFERROR(VLOOKUP(LEFT(UPPER(TRIM($E1908)),6),BankTbl,3,0),0)+SUMIFS(CalcDep,CalcBank,LEFT(UPPER(TRIM($E1908)),6),CalcKey,"&lt;="&amp;Calc!$H1908)-SUMIFS(CalcWit,CalcBank,LEFT(UPPER(TRIM($E1908)),6),CalcKey,"&lt;="&amp;Calc!$H1908))</f>
        <v/>
      </c>
      <c r="O1908" s="10">
        <f>IF(OR($C1908="",$M1908=""),"",IF($N1908="","؟",IF(ROUND($M1908-$N1908,0)=0,"√","×")))</f>
        <v/>
      </c>
      <c r="P1908" s="12" t="n"/>
    </row>
    <row r="1909">
      <c r="A1909" s="10">
        <f>IF($C1909="","",COUNTA($C$9:$C1909))</f>
        <v/>
      </c>
      <c r="B1909" s="10">
        <f>IF($C1909="","","TXN-"&amp;RIGHT("0000"&amp;1901,4))</f>
        <v/>
      </c>
      <c r="C1909" s="11" t="n"/>
      <c r="D1909" s="11" t="n"/>
      <c r="E1909" s="12" t="n"/>
      <c r="F1909" s="10">
        <f>IF($E1909="","",IFERROR(IF(VLOOKUP(LEFT(UPPER(TRIM($E1909)),6),BankTbl,2,0)="","(بدون عنوان)",VLOOKUP(LEFT(UPPER(TRIM($E1909)),6),BankTbl,2,0)),"بانک ناشناخته"))</f>
        <v/>
      </c>
      <c r="G1909" s="11" t="n"/>
      <c r="H1909" s="10">
        <f>IF($G1909="","",IFERROR(VLOOKUP($G1909,CustTbl,2,0),IFERROR(VLOOKUP($G1909,SuppTbl,2,0),IFERROR(VLOOKUP($G1909,AcctTbl,2,0),IFERROR(VLOOKUP($G1909,StaffTbl,2,0),"کد ناشناخته")))))</f>
        <v/>
      </c>
      <c r="I1909" s="12" t="n"/>
      <c r="J1909" s="12" t="n"/>
      <c r="K1909" s="13" t="n"/>
      <c r="L1909" s="13" t="n"/>
      <c r="M1909" s="13" t="n"/>
      <c r="N1909" s="14">
        <f>IF(OR($C1909="",$E1909="",Calc!$H1909=""),"",IFERROR(VLOOKUP(LEFT(UPPER(TRIM($E1909)),6),BankTbl,3,0),0)+SUMIFS(CalcDep,CalcBank,LEFT(UPPER(TRIM($E1909)),6),CalcKey,"&lt;="&amp;Calc!$H1909)-SUMIFS(CalcWit,CalcBank,LEFT(UPPER(TRIM($E1909)),6),CalcKey,"&lt;="&amp;Calc!$H1909))</f>
        <v/>
      </c>
      <c r="O1909" s="10">
        <f>IF(OR($C1909="",$M1909=""),"",IF($N1909="","؟",IF(ROUND($M1909-$N1909,0)=0,"√","×")))</f>
        <v/>
      </c>
      <c r="P1909" s="12" t="n"/>
    </row>
    <row r="1910">
      <c r="A1910" s="10">
        <f>IF($C1910="","",COUNTA($C$9:$C1910))</f>
        <v/>
      </c>
      <c r="B1910" s="10">
        <f>IF($C1910="","","TXN-"&amp;RIGHT("0000"&amp;1902,4))</f>
        <v/>
      </c>
      <c r="C1910" s="11" t="n"/>
      <c r="D1910" s="11" t="n"/>
      <c r="E1910" s="12" t="n"/>
      <c r="F1910" s="10">
        <f>IF($E1910="","",IFERROR(IF(VLOOKUP(LEFT(UPPER(TRIM($E1910)),6),BankTbl,2,0)="","(بدون عنوان)",VLOOKUP(LEFT(UPPER(TRIM($E1910)),6),BankTbl,2,0)),"بانک ناشناخته"))</f>
        <v/>
      </c>
      <c r="G1910" s="11" t="n"/>
      <c r="H1910" s="10">
        <f>IF($G1910="","",IFERROR(VLOOKUP($G1910,CustTbl,2,0),IFERROR(VLOOKUP($G1910,SuppTbl,2,0),IFERROR(VLOOKUP($G1910,AcctTbl,2,0),IFERROR(VLOOKUP($G1910,StaffTbl,2,0),"کد ناشناخته")))))</f>
        <v/>
      </c>
      <c r="I1910" s="12" t="n"/>
      <c r="J1910" s="12" t="n"/>
      <c r="K1910" s="13" t="n"/>
      <c r="L1910" s="13" t="n"/>
      <c r="M1910" s="13" t="n"/>
      <c r="N1910" s="14">
        <f>IF(OR($C1910="",$E1910="",Calc!$H1910=""),"",IFERROR(VLOOKUP(LEFT(UPPER(TRIM($E1910)),6),BankTbl,3,0),0)+SUMIFS(CalcDep,CalcBank,LEFT(UPPER(TRIM($E1910)),6),CalcKey,"&lt;="&amp;Calc!$H1910)-SUMIFS(CalcWit,CalcBank,LEFT(UPPER(TRIM($E1910)),6),CalcKey,"&lt;="&amp;Calc!$H1910))</f>
        <v/>
      </c>
      <c r="O1910" s="10">
        <f>IF(OR($C1910="",$M1910=""),"",IF($N1910="","؟",IF(ROUND($M1910-$N1910,0)=0,"√","×")))</f>
        <v/>
      </c>
      <c r="P1910" s="12" t="n"/>
    </row>
    <row r="1911">
      <c r="A1911" s="10">
        <f>IF($C1911="","",COUNTA($C$9:$C1911))</f>
        <v/>
      </c>
      <c r="B1911" s="10">
        <f>IF($C1911="","","TXN-"&amp;RIGHT("0000"&amp;1903,4))</f>
        <v/>
      </c>
      <c r="C1911" s="11" t="n"/>
      <c r="D1911" s="11" t="n"/>
      <c r="E1911" s="12" t="n"/>
      <c r="F1911" s="10">
        <f>IF($E1911="","",IFERROR(IF(VLOOKUP(LEFT(UPPER(TRIM($E1911)),6),BankTbl,2,0)="","(بدون عنوان)",VLOOKUP(LEFT(UPPER(TRIM($E1911)),6),BankTbl,2,0)),"بانک ناشناخته"))</f>
        <v/>
      </c>
      <c r="G1911" s="11" t="n"/>
      <c r="H1911" s="10">
        <f>IF($G1911="","",IFERROR(VLOOKUP($G1911,CustTbl,2,0),IFERROR(VLOOKUP($G1911,SuppTbl,2,0),IFERROR(VLOOKUP($G1911,AcctTbl,2,0),IFERROR(VLOOKUP($G1911,StaffTbl,2,0),"کد ناشناخته")))))</f>
        <v/>
      </c>
      <c r="I1911" s="12" t="n"/>
      <c r="J1911" s="12" t="n"/>
      <c r="K1911" s="13" t="n"/>
      <c r="L1911" s="13" t="n"/>
      <c r="M1911" s="13" t="n"/>
      <c r="N1911" s="14">
        <f>IF(OR($C1911="",$E1911="",Calc!$H1911=""),"",IFERROR(VLOOKUP(LEFT(UPPER(TRIM($E1911)),6),BankTbl,3,0),0)+SUMIFS(CalcDep,CalcBank,LEFT(UPPER(TRIM($E1911)),6),CalcKey,"&lt;="&amp;Calc!$H1911)-SUMIFS(CalcWit,CalcBank,LEFT(UPPER(TRIM($E1911)),6),CalcKey,"&lt;="&amp;Calc!$H1911))</f>
        <v/>
      </c>
      <c r="O1911" s="10">
        <f>IF(OR($C1911="",$M1911=""),"",IF($N1911="","؟",IF(ROUND($M1911-$N1911,0)=0,"√","×")))</f>
        <v/>
      </c>
      <c r="P1911" s="12" t="n"/>
    </row>
    <row r="1912">
      <c r="A1912" s="10">
        <f>IF($C1912="","",COUNTA($C$9:$C1912))</f>
        <v/>
      </c>
      <c r="B1912" s="10">
        <f>IF($C1912="","","TXN-"&amp;RIGHT("0000"&amp;1904,4))</f>
        <v/>
      </c>
      <c r="C1912" s="11" t="n"/>
      <c r="D1912" s="11" t="n"/>
      <c r="E1912" s="12" t="n"/>
      <c r="F1912" s="10">
        <f>IF($E1912="","",IFERROR(IF(VLOOKUP(LEFT(UPPER(TRIM($E1912)),6),BankTbl,2,0)="","(بدون عنوان)",VLOOKUP(LEFT(UPPER(TRIM($E1912)),6),BankTbl,2,0)),"بانک ناشناخته"))</f>
        <v/>
      </c>
      <c r="G1912" s="11" t="n"/>
      <c r="H1912" s="10">
        <f>IF($G1912="","",IFERROR(VLOOKUP($G1912,CustTbl,2,0),IFERROR(VLOOKUP($G1912,SuppTbl,2,0),IFERROR(VLOOKUP($G1912,AcctTbl,2,0),IFERROR(VLOOKUP($G1912,StaffTbl,2,0),"کد ناشناخته")))))</f>
        <v/>
      </c>
      <c r="I1912" s="12" t="n"/>
      <c r="J1912" s="12" t="n"/>
      <c r="K1912" s="13" t="n"/>
      <c r="L1912" s="13" t="n"/>
      <c r="M1912" s="13" t="n"/>
      <c r="N1912" s="14">
        <f>IF(OR($C1912="",$E1912="",Calc!$H1912=""),"",IFERROR(VLOOKUP(LEFT(UPPER(TRIM($E1912)),6),BankTbl,3,0),0)+SUMIFS(CalcDep,CalcBank,LEFT(UPPER(TRIM($E1912)),6),CalcKey,"&lt;="&amp;Calc!$H1912)-SUMIFS(CalcWit,CalcBank,LEFT(UPPER(TRIM($E1912)),6),CalcKey,"&lt;="&amp;Calc!$H1912))</f>
        <v/>
      </c>
      <c r="O1912" s="10">
        <f>IF(OR($C1912="",$M1912=""),"",IF($N1912="","؟",IF(ROUND($M1912-$N1912,0)=0,"√","×")))</f>
        <v/>
      </c>
      <c r="P1912" s="12" t="n"/>
    </row>
    <row r="1913">
      <c r="A1913" s="10">
        <f>IF($C1913="","",COUNTA($C$9:$C1913))</f>
        <v/>
      </c>
      <c r="B1913" s="10">
        <f>IF($C1913="","","TXN-"&amp;RIGHT("0000"&amp;1905,4))</f>
        <v/>
      </c>
      <c r="C1913" s="11" t="n"/>
      <c r="D1913" s="11" t="n"/>
      <c r="E1913" s="12" t="n"/>
      <c r="F1913" s="10">
        <f>IF($E1913="","",IFERROR(IF(VLOOKUP(LEFT(UPPER(TRIM($E1913)),6),BankTbl,2,0)="","(بدون عنوان)",VLOOKUP(LEFT(UPPER(TRIM($E1913)),6),BankTbl,2,0)),"بانک ناشناخته"))</f>
        <v/>
      </c>
      <c r="G1913" s="11" t="n"/>
      <c r="H1913" s="10">
        <f>IF($G1913="","",IFERROR(VLOOKUP($G1913,CustTbl,2,0),IFERROR(VLOOKUP($G1913,SuppTbl,2,0),IFERROR(VLOOKUP($G1913,AcctTbl,2,0),IFERROR(VLOOKUP($G1913,StaffTbl,2,0),"کد ناشناخته")))))</f>
        <v/>
      </c>
      <c r="I1913" s="12" t="n"/>
      <c r="J1913" s="12" t="n"/>
      <c r="K1913" s="13" t="n"/>
      <c r="L1913" s="13" t="n"/>
      <c r="M1913" s="13" t="n"/>
      <c r="N1913" s="14">
        <f>IF(OR($C1913="",$E1913="",Calc!$H1913=""),"",IFERROR(VLOOKUP(LEFT(UPPER(TRIM($E1913)),6),BankTbl,3,0),0)+SUMIFS(CalcDep,CalcBank,LEFT(UPPER(TRIM($E1913)),6),CalcKey,"&lt;="&amp;Calc!$H1913)-SUMIFS(CalcWit,CalcBank,LEFT(UPPER(TRIM($E1913)),6),CalcKey,"&lt;="&amp;Calc!$H1913))</f>
        <v/>
      </c>
      <c r="O1913" s="10">
        <f>IF(OR($C1913="",$M1913=""),"",IF($N1913="","؟",IF(ROUND($M1913-$N1913,0)=0,"√","×")))</f>
        <v/>
      </c>
      <c r="P1913" s="12" t="n"/>
    </row>
    <row r="1914">
      <c r="A1914" s="10">
        <f>IF($C1914="","",COUNTA($C$9:$C1914))</f>
        <v/>
      </c>
      <c r="B1914" s="10">
        <f>IF($C1914="","","TXN-"&amp;RIGHT("0000"&amp;1906,4))</f>
        <v/>
      </c>
      <c r="C1914" s="11" t="n"/>
      <c r="D1914" s="11" t="n"/>
      <c r="E1914" s="12" t="n"/>
      <c r="F1914" s="10">
        <f>IF($E1914="","",IFERROR(IF(VLOOKUP(LEFT(UPPER(TRIM($E1914)),6),BankTbl,2,0)="","(بدون عنوان)",VLOOKUP(LEFT(UPPER(TRIM($E1914)),6),BankTbl,2,0)),"بانک ناشناخته"))</f>
        <v/>
      </c>
      <c r="G1914" s="11" t="n"/>
      <c r="H1914" s="10">
        <f>IF($G1914="","",IFERROR(VLOOKUP($G1914,CustTbl,2,0),IFERROR(VLOOKUP($G1914,SuppTbl,2,0),IFERROR(VLOOKUP($G1914,AcctTbl,2,0),IFERROR(VLOOKUP($G1914,StaffTbl,2,0),"کد ناشناخته")))))</f>
        <v/>
      </c>
      <c r="I1914" s="12" t="n"/>
      <c r="J1914" s="12" t="n"/>
      <c r="K1914" s="13" t="n"/>
      <c r="L1914" s="13" t="n"/>
      <c r="M1914" s="13" t="n"/>
      <c r="N1914" s="14">
        <f>IF(OR($C1914="",$E1914="",Calc!$H1914=""),"",IFERROR(VLOOKUP(LEFT(UPPER(TRIM($E1914)),6),BankTbl,3,0),0)+SUMIFS(CalcDep,CalcBank,LEFT(UPPER(TRIM($E1914)),6),CalcKey,"&lt;="&amp;Calc!$H1914)-SUMIFS(CalcWit,CalcBank,LEFT(UPPER(TRIM($E1914)),6),CalcKey,"&lt;="&amp;Calc!$H1914))</f>
        <v/>
      </c>
      <c r="O1914" s="10">
        <f>IF(OR($C1914="",$M1914=""),"",IF($N1914="","؟",IF(ROUND($M1914-$N1914,0)=0,"√","×")))</f>
        <v/>
      </c>
      <c r="P1914" s="12" t="n"/>
    </row>
    <row r="1915">
      <c r="A1915" s="10">
        <f>IF($C1915="","",COUNTA($C$9:$C1915))</f>
        <v/>
      </c>
      <c r="B1915" s="10">
        <f>IF($C1915="","","TXN-"&amp;RIGHT("0000"&amp;1907,4))</f>
        <v/>
      </c>
      <c r="C1915" s="11" t="n"/>
      <c r="D1915" s="11" t="n"/>
      <c r="E1915" s="12" t="n"/>
      <c r="F1915" s="10">
        <f>IF($E1915="","",IFERROR(IF(VLOOKUP(LEFT(UPPER(TRIM($E1915)),6),BankTbl,2,0)="","(بدون عنوان)",VLOOKUP(LEFT(UPPER(TRIM($E1915)),6),BankTbl,2,0)),"بانک ناشناخته"))</f>
        <v/>
      </c>
      <c r="G1915" s="11" t="n"/>
      <c r="H1915" s="10">
        <f>IF($G1915="","",IFERROR(VLOOKUP($G1915,CustTbl,2,0),IFERROR(VLOOKUP($G1915,SuppTbl,2,0),IFERROR(VLOOKUP($G1915,AcctTbl,2,0),IFERROR(VLOOKUP($G1915,StaffTbl,2,0),"کد ناشناخته")))))</f>
        <v/>
      </c>
      <c r="I1915" s="12" t="n"/>
      <c r="J1915" s="12" t="n"/>
      <c r="K1915" s="13" t="n"/>
      <c r="L1915" s="13" t="n"/>
      <c r="M1915" s="13" t="n"/>
      <c r="N1915" s="14">
        <f>IF(OR($C1915="",$E1915="",Calc!$H1915=""),"",IFERROR(VLOOKUP(LEFT(UPPER(TRIM($E1915)),6),BankTbl,3,0),0)+SUMIFS(CalcDep,CalcBank,LEFT(UPPER(TRIM($E1915)),6),CalcKey,"&lt;="&amp;Calc!$H1915)-SUMIFS(CalcWit,CalcBank,LEFT(UPPER(TRIM($E1915)),6),CalcKey,"&lt;="&amp;Calc!$H1915))</f>
        <v/>
      </c>
      <c r="O1915" s="10">
        <f>IF(OR($C1915="",$M1915=""),"",IF($N1915="","؟",IF(ROUND($M1915-$N1915,0)=0,"√","×")))</f>
        <v/>
      </c>
      <c r="P1915" s="12" t="n"/>
    </row>
    <row r="1916">
      <c r="A1916" s="10">
        <f>IF($C1916="","",COUNTA($C$9:$C1916))</f>
        <v/>
      </c>
      <c r="B1916" s="10">
        <f>IF($C1916="","","TXN-"&amp;RIGHT("0000"&amp;1908,4))</f>
        <v/>
      </c>
      <c r="C1916" s="11" t="n"/>
      <c r="D1916" s="11" t="n"/>
      <c r="E1916" s="12" t="n"/>
      <c r="F1916" s="10">
        <f>IF($E1916="","",IFERROR(IF(VLOOKUP(LEFT(UPPER(TRIM($E1916)),6),BankTbl,2,0)="","(بدون عنوان)",VLOOKUP(LEFT(UPPER(TRIM($E1916)),6),BankTbl,2,0)),"بانک ناشناخته"))</f>
        <v/>
      </c>
      <c r="G1916" s="11" t="n"/>
      <c r="H1916" s="10">
        <f>IF($G1916="","",IFERROR(VLOOKUP($G1916,CustTbl,2,0),IFERROR(VLOOKUP($G1916,SuppTbl,2,0),IFERROR(VLOOKUP($G1916,AcctTbl,2,0),IFERROR(VLOOKUP($G1916,StaffTbl,2,0),"کد ناشناخته")))))</f>
        <v/>
      </c>
      <c r="I1916" s="12" t="n"/>
      <c r="J1916" s="12" t="n"/>
      <c r="K1916" s="13" t="n"/>
      <c r="L1916" s="13" t="n"/>
      <c r="M1916" s="13" t="n"/>
      <c r="N1916" s="14">
        <f>IF(OR($C1916="",$E1916="",Calc!$H1916=""),"",IFERROR(VLOOKUP(LEFT(UPPER(TRIM($E1916)),6),BankTbl,3,0),0)+SUMIFS(CalcDep,CalcBank,LEFT(UPPER(TRIM($E1916)),6),CalcKey,"&lt;="&amp;Calc!$H1916)-SUMIFS(CalcWit,CalcBank,LEFT(UPPER(TRIM($E1916)),6),CalcKey,"&lt;="&amp;Calc!$H1916))</f>
        <v/>
      </c>
      <c r="O1916" s="10">
        <f>IF(OR($C1916="",$M1916=""),"",IF($N1916="","؟",IF(ROUND($M1916-$N1916,0)=0,"√","×")))</f>
        <v/>
      </c>
      <c r="P1916" s="12" t="n"/>
    </row>
    <row r="1917">
      <c r="A1917" s="10">
        <f>IF($C1917="","",COUNTA($C$9:$C1917))</f>
        <v/>
      </c>
      <c r="B1917" s="10">
        <f>IF($C1917="","","TXN-"&amp;RIGHT("0000"&amp;1909,4))</f>
        <v/>
      </c>
      <c r="C1917" s="11" t="n"/>
      <c r="D1917" s="11" t="n"/>
      <c r="E1917" s="12" t="n"/>
      <c r="F1917" s="10">
        <f>IF($E1917="","",IFERROR(IF(VLOOKUP(LEFT(UPPER(TRIM($E1917)),6),BankTbl,2,0)="","(بدون عنوان)",VLOOKUP(LEFT(UPPER(TRIM($E1917)),6),BankTbl,2,0)),"بانک ناشناخته"))</f>
        <v/>
      </c>
      <c r="G1917" s="11" t="n"/>
      <c r="H1917" s="10">
        <f>IF($G1917="","",IFERROR(VLOOKUP($G1917,CustTbl,2,0),IFERROR(VLOOKUP($G1917,SuppTbl,2,0),IFERROR(VLOOKUP($G1917,AcctTbl,2,0),IFERROR(VLOOKUP($G1917,StaffTbl,2,0),"کد ناشناخته")))))</f>
        <v/>
      </c>
      <c r="I1917" s="12" t="n"/>
      <c r="J1917" s="12" t="n"/>
      <c r="K1917" s="13" t="n"/>
      <c r="L1917" s="13" t="n"/>
      <c r="M1917" s="13" t="n"/>
      <c r="N1917" s="14">
        <f>IF(OR($C1917="",$E1917="",Calc!$H1917=""),"",IFERROR(VLOOKUP(LEFT(UPPER(TRIM($E1917)),6),BankTbl,3,0),0)+SUMIFS(CalcDep,CalcBank,LEFT(UPPER(TRIM($E1917)),6),CalcKey,"&lt;="&amp;Calc!$H1917)-SUMIFS(CalcWit,CalcBank,LEFT(UPPER(TRIM($E1917)),6),CalcKey,"&lt;="&amp;Calc!$H1917))</f>
        <v/>
      </c>
      <c r="O1917" s="10">
        <f>IF(OR($C1917="",$M1917=""),"",IF($N1917="","؟",IF(ROUND($M1917-$N1917,0)=0,"√","×")))</f>
        <v/>
      </c>
      <c r="P1917" s="12" t="n"/>
    </row>
    <row r="1918">
      <c r="A1918" s="10">
        <f>IF($C1918="","",COUNTA($C$9:$C1918))</f>
        <v/>
      </c>
      <c r="B1918" s="10">
        <f>IF($C1918="","","TXN-"&amp;RIGHT("0000"&amp;1910,4))</f>
        <v/>
      </c>
      <c r="C1918" s="11" t="n"/>
      <c r="D1918" s="11" t="n"/>
      <c r="E1918" s="12" t="n"/>
      <c r="F1918" s="10">
        <f>IF($E1918="","",IFERROR(IF(VLOOKUP(LEFT(UPPER(TRIM($E1918)),6),BankTbl,2,0)="","(بدون عنوان)",VLOOKUP(LEFT(UPPER(TRIM($E1918)),6),BankTbl,2,0)),"بانک ناشناخته"))</f>
        <v/>
      </c>
      <c r="G1918" s="11" t="n"/>
      <c r="H1918" s="10">
        <f>IF($G1918="","",IFERROR(VLOOKUP($G1918,CustTbl,2,0),IFERROR(VLOOKUP($G1918,SuppTbl,2,0),IFERROR(VLOOKUP($G1918,AcctTbl,2,0),IFERROR(VLOOKUP($G1918,StaffTbl,2,0),"کد ناشناخته")))))</f>
        <v/>
      </c>
      <c r="I1918" s="12" t="n"/>
      <c r="J1918" s="12" t="n"/>
      <c r="K1918" s="13" t="n"/>
      <c r="L1918" s="13" t="n"/>
      <c r="M1918" s="13" t="n"/>
      <c r="N1918" s="14">
        <f>IF(OR($C1918="",$E1918="",Calc!$H1918=""),"",IFERROR(VLOOKUP(LEFT(UPPER(TRIM($E1918)),6),BankTbl,3,0),0)+SUMIFS(CalcDep,CalcBank,LEFT(UPPER(TRIM($E1918)),6),CalcKey,"&lt;="&amp;Calc!$H1918)-SUMIFS(CalcWit,CalcBank,LEFT(UPPER(TRIM($E1918)),6),CalcKey,"&lt;="&amp;Calc!$H1918))</f>
        <v/>
      </c>
      <c r="O1918" s="10">
        <f>IF(OR($C1918="",$M1918=""),"",IF($N1918="","؟",IF(ROUND($M1918-$N1918,0)=0,"√","×")))</f>
        <v/>
      </c>
      <c r="P1918" s="12" t="n"/>
    </row>
    <row r="1919">
      <c r="A1919" s="10">
        <f>IF($C1919="","",COUNTA($C$9:$C1919))</f>
        <v/>
      </c>
      <c r="B1919" s="10">
        <f>IF($C1919="","","TXN-"&amp;RIGHT("0000"&amp;1911,4))</f>
        <v/>
      </c>
      <c r="C1919" s="11" t="n"/>
      <c r="D1919" s="11" t="n"/>
      <c r="E1919" s="12" t="n"/>
      <c r="F1919" s="10">
        <f>IF($E1919="","",IFERROR(IF(VLOOKUP(LEFT(UPPER(TRIM($E1919)),6),BankTbl,2,0)="","(بدون عنوان)",VLOOKUP(LEFT(UPPER(TRIM($E1919)),6),BankTbl,2,0)),"بانک ناشناخته"))</f>
        <v/>
      </c>
      <c r="G1919" s="11" t="n"/>
      <c r="H1919" s="10">
        <f>IF($G1919="","",IFERROR(VLOOKUP($G1919,CustTbl,2,0),IFERROR(VLOOKUP($G1919,SuppTbl,2,0),IFERROR(VLOOKUP($G1919,AcctTbl,2,0),IFERROR(VLOOKUP($G1919,StaffTbl,2,0),"کد ناشناخته")))))</f>
        <v/>
      </c>
      <c r="I1919" s="12" t="n"/>
      <c r="J1919" s="12" t="n"/>
      <c r="K1919" s="13" t="n"/>
      <c r="L1919" s="13" t="n"/>
      <c r="M1919" s="13" t="n"/>
      <c r="N1919" s="14">
        <f>IF(OR($C1919="",$E1919="",Calc!$H1919=""),"",IFERROR(VLOOKUP(LEFT(UPPER(TRIM($E1919)),6),BankTbl,3,0),0)+SUMIFS(CalcDep,CalcBank,LEFT(UPPER(TRIM($E1919)),6),CalcKey,"&lt;="&amp;Calc!$H1919)-SUMIFS(CalcWit,CalcBank,LEFT(UPPER(TRIM($E1919)),6),CalcKey,"&lt;="&amp;Calc!$H1919))</f>
        <v/>
      </c>
      <c r="O1919" s="10">
        <f>IF(OR($C1919="",$M1919=""),"",IF($N1919="","؟",IF(ROUND($M1919-$N1919,0)=0,"√","×")))</f>
        <v/>
      </c>
      <c r="P1919" s="12" t="n"/>
    </row>
    <row r="1920">
      <c r="A1920" s="10">
        <f>IF($C1920="","",COUNTA($C$9:$C1920))</f>
        <v/>
      </c>
      <c r="B1920" s="10">
        <f>IF($C1920="","","TXN-"&amp;RIGHT("0000"&amp;1912,4))</f>
        <v/>
      </c>
      <c r="C1920" s="11" t="n"/>
      <c r="D1920" s="11" t="n"/>
      <c r="E1920" s="12" t="n"/>
      <c r="F1920" s="10">
        <f>IF($E1920="","",IFERROR(IF(VLOOKUP(LEFT(UPPER(TRIM($E1920)),6),BankTbl,2,0)="","(بدون عنوان)",VLOOKUP(LEFT(UPPER(TRIM($E1920)),6),BankTbl,2,0)),"بانک ناشناخته"))</f>
        <v/>
      </c>
      <c r="G1920" s="11" t="n"/>
      <c r="H1920" s="10">
        <f>IF($G1920="","",IFERROR(VLOOKUP($G1920,CustTbl,2,0),IFERROR(VLOOKUP($G1920,SuppTbl,2,0),IFERROR(VLOOKUP($G1920,AcctTbl,2,0),IFERROR(VLOOKUP($G1920,StaffTbl,2,0),"کد ناشناخته")))))</f>
        <v/>
      </c>
      <c r="I1920" s="12" t="n"/>
      <c r="J1920" s="12" t="n"/>
      <c r="K1920" s="13" t="n"/>
      <c r="L1920" s="13" t="n"/>
      <c r="M1920" s="13" t="n"/>
      <c r="N1920" s="14">
        <f>IF(OR($C1920="",$E1920="",Calc!$H1920=""),"",IFERROR(VLOOKUP(LEFT(UPPER(TRIM($E1920)),6),BankTbl,3,0),0)+SUMIFS(CalcDep,CalcBank,LEFT(UPPER(TRIM($E1920)),6),CalcKey,"&lt;="&amp;Calc!$H1920)-SUMIFS(CalcWit,CalcBank,LEFT(UPPER(TRIM($E1920)),6),CalcKey,"&lt;="&amp;Calc!$H1920))</f>
        <v/>
      </c>
      <c r="O1920" s="10">
        <f>IF(OR($C1920="",$M1920=""),"",IF($N1920="","؟",IF(ROUND($M1920-$N1920,0)=0,"√","×")))</f>
        <v/>
      </c>
      <c r="P1920" s="12" t="n"/>
    </row>
    <row r="1921">
      <c r="A1921" s="10">
        <f>IF($C1921="","",COUNTA($C$9:$C1921))</f>
        <v/>
      </c>
      <c r="B1921" s="10">
        <f>IF($C1921="","","TXN-"&amp;RIGHT("0000"&amp;1913,4))</f>
        <v/>
      </c>
      <c r="C1921" s="11" t="n"/>
      <c r="D1921" s="11" t="n"/>
      <c r="E1921" s="12" t="n"/>
      <c r="F1921" s="10">
        <f>IF($E1921="","",IFERROR(IF(VLOOKUP(LEFT(UPPER(TRIM($E1921)),6),BankTbl,2,0)="","(بدون عنوان)",VLOOKUP(LEFT(UPPER(TRIM($E1921)),6),BankTbl,2,0)),"بانک ناشناخته"))</f>
        <v/>
      </c>
      <c r="G1921" s="11" t="n"/>
      <c r="H1921" s="10">
        <f>IF($G1921="","",IFERROR(VLOOKUP($G1921,CustTbl,2,0),IFERROR(VLOOKUP($G1921,SuppTbl,2,0),IFERROR(VLOOKUP($G1921,AcctTbl,2,0),IFERROR(VLOOKUP($G1921,StaffTbl,2,0),"کد ناشناخته")))))</f>
        <v/>
      </c>
      <c r="I1921" s="12" t="n"/>
      <c r="J1921" s="12" t="n"/>
      <c r="K1921" s="13" t="n"/>
      <c r="L1921" s="13" t="n"/>
      <c r="M1921" s="13" t="n"/>
      <c r="N1921" s="14">
        <f>IF(OR($C1921="",$E1921="",Calc!$H1921=""),"",IFERROR(VLOOKUP(LEFT(UPPER(TRIM($E1921)),6),BankTbl,3,0),0)+SUMIFS(CalcDep,CalcBank,LEFT(UPPER(TRIM($E1921)),6),CalcKey,"&lt;="&amp;Calc!$H1921)-SUMIFS(CalcWit,CalcBank,LEFT(UPPER(TRIM($E1921)),6),CalcKey,"&lt;="&amp;Calc!$H1921))</f>
        <v/>
      </c>
      <c r="O1921" s="10">
        <f>IF(OR($C1921="",$M1921=""),"",IF($N1921="","؟",IF(ROUND($M1921-$N1921,0)=0,"√","×")))</f>
        <v/>
      </c>
      <c r="P1921" s="12" t="n"/>
    </row>
    <row r="1922">
      <c r="A1922" s="10">
        <f>IF($C1922="","",COUNTA($C$9:$C1922))</f>
        <v/>
      </c>
      <c r="B1922" s="10">
        <f>IF($C1922="","","TXN-"&amp;RIGHT("0000"&amp;1914,4))</f>
        <v/>
      </c>
      <c r="C1922" s="11" t="n"/>
      <c r="D1922" s="11" t="n"/>
      <c r="E1922" s="12" t="n"/>
      <c r="F1922" s="10">
        <f>IF($E1922="","",IFERROR(IF(VLOOKUP(LEFT(UPPER(TRIM($E1922)),6),BankTbl,2,0)="","(بدون عنوان)",VLOOKUP(LEFT(UPPER(TRIM($E1922)),6),BankTbl,2,0)),"بانک ناشناخته"))</f>
        <v/>
      </c>
      <c r="G1922" s="11" t="n"/>
      <c r="H1922" s="10">
        <f>IF($G1922="","",IFERROR(VLOOKUP($G1922,CustTbl,2,0),IFERROR(VLOOKUP($G1922,SuppTbl,2,0),IFERROR(VLOOKUP($G1922,AcctTbl,2,0),IFERROR(VLOOKUP($G1922,StaffTbl,2,0),"کد ناشناخته")))))</f>
        <v/>
      </c>
      <c r="I1922" s="12" t="n"/>
      <c r="J1922" s="12" t="n"/>
      <c r="K1922" s="13" t="n"/>
      <c r="L1922" s="13" t="n"/>
      <c r="M1922" s="13" t="n"/>
      <c r="N1922" s="14">
        <f>IF(OR($C1922="",$E1922="",Calc!$H1922=""),"",IFERROR(VLOOKUP(LEFT(UPPER(TRIM($E1922)),6),BankTbl,3,0),0)+SUMIFS(CalcDep,CalcBank,LEFT(UPPER(TRIM($E1922)),6),CalcKey,"&lt;="&amp;Calc!$H1922)-SUMIFS(CalcWit,CalcBank,LEFT(UPPER(TRIM($E1922)),6),CalcKey,"&lt;="&amp;Calc!$H1922))</f>
        <v/>
      </c>
      <c r="O1922" s="10">
        <f>IF(OR($C1922="",$M1922=""),"",IF($N1922="","؟",IF(ROUND($M1922-$N1922,0)=0,"√","×")))</f>
        <v/>
      </c>
      <c r="P1922" s="12" t="n"/>
    </row>
    <row r="1923">
      <c r="A1923" s="10">
        <f>IF($C1923="","",COUNTA($C$9:$C1923))</f>
        <v/>
      </c>
      <c r="B1923" s="10">
        <f>IF($C1923="","","TXN-"&amp;RIGHT("0000"&amp;1915,4))</f>
        <v/>
      </c>
      <c r="C1923" s="11" t="n"/>
      <c r="D1923" s="11" t="n"/>
      <c r="E1923" s="12" t="n"/>
      <c r="F1923" s="10">
        <f>IF($E1923="","",IFERROR(IF(VLOOKUP(LEFT(UPPER(TRIM($E1923)),6),BankTbl,2,0)="","(بدون عنوان)",VLOOKUP(LEFT(UPPER(TRIM($E1923)),6),BankTbl,2,0)),"بانک ناشناخته"))</f>
        <v/>
      </c>
      <c r="G1923" s="11" t="n"/>
      <c r="H1923" s="10">
        <f>IF($G1923="","",IFERROR(VLOOKUP($G1923,CustTbl,2,0),IFERROR(VLOOKUP($G1923,SuppTbl,2,0),IFERROR(VLOOKUP($G1923,AcctTbl,2,0),IFERROR(VLOOKUP($G1923,StaffTbl,2,0),"کد ناشناخته")))))</f>
        <v/>
      </c>
      <c r="I1923" s="12" t="n"/>
      <c r="J1923" s="12" t="n"/>
      <c r="K1923" s="13" t="n"/>
      <c r="L1923" s="13" t="n"/>
      <c r="M1923" s="13" t="n"/>
      <c r="N1923" s="14">
        <f>IF(OR($C1923="",$E1923="",Calc!$H1923=""),"",IFERROR(VLOOKUP(LEFT(UPPER(TRIM($E1923)),6),BankTbl,3,0),0)+SUMIFS(CalcDep,CalcBank,LEFT(UPPER(TRIM($E1923)),6),CalcKey,"&lt;="&amp;Calc!$H1923)-SUMIFS(CalcWit,CalcBank,LEFT(UPPER(TRIM($E1923)),6),CalcKey,"&lt;="&amp;Calc!$H1923))</f>
        <v/>
      </c>
      <c r="O1923" s="10">
        <f>IF(OR($C1923="",$M1923=""),"",IF($N1923="","؟",IF(ROUND($M1923-$N1923,0)=0,"√","×")))</f>
        <v/>
      </c>
      <c r="P1923" s="12" t="n"/>
    </row>
    <row r="1924">
      <c r="A1924" s="10">
        <f>IF($C1924="","",COUNTA($C$9:$C1924))</f>
        <v/>
      </c>
      <c r="B1924" s="10">
        <f>IF($C1924="","","TXN-"&amp;RIGHT("0000"&amp;1916,4))</f>
        <v/>
      </c>
      <c r="C1924" s="11" t="n"/>
      <c r="D1924" s="11" t="n"/>
      <c r="E1924" s="12" t="n"/>
      <c r="F1924" s="10">
        <f>IF($E1924="","",IFERROR(IF(VLOOKUP(LEFT(UPPER(TRIM($E1924)),6),BankTbl,2,0)="","(بدون عنوان)",VLOOKUP(LEFT(UPPER(TRIM($E1924)),6),BankTbl,2,0)),"بانک ناشناخته"))</f>
        <v/>
      </c>
      <c r="G1924" s="11" t="n"/>
      <c r="H1924" s="10">
        <f>IF($G1924="","",IFERROR(VLOOKUP($G1924,CustTbl,2,0),IFERROR(VLOOKUP($G1924,SuppTbl,2,0),IFERROR(VLOOKUP($G1924,AcctTbl,2,0),IFERROR(VLOOKUP($G1924,StaffTbl,2,0),"کد ناشناخته")))))</f>
        <v/>
      </c>
      <c r="I1924" s="12" t="n"/>
      <c r="J1924" s="12" t="n"/>
      <c r="K1924" s="13" t="n"/>
      <c r="L1924" s="13" t="n"/>
      <c r="M1924" s="13" t="n"/>
      <c r="N1924" s="14">
        <f>IF(OR($C1924="",$E1924="",Calc!$H1924=""),"",IFERROR(VLOOKUP(LEFT(UPPER(TRIM($E1924)),6),BankTbl,3,0),0)+SUMIFS(CalcDep,CalcBank,LEFT(UPPER(TRIM($E1924)),6),CalcKey,"&lt;="&amp;Calc!$H1924)-SUMIFS(CalcWit,CalcBank,LEFT(UPPER(TRIM($E1924)),6),CalcKey,"&lt;="&amp;Calc!$H1924))</f>
        <v/>
      </c>
      <c r="O1924" s="10">
        <f>IF(OR($C1924="",$M1924=""),"",IF($N1924="","؟",IF(ROUND($M1924-$N1924,0)=0,"√","×")))</f>
        <v/>
      </c>
      <c r="P1924" s="12" t="n"/>
    </row>
    <row r="1925">
      <c r="A1925" s="10">
        <f>IF($C1925="","",COUNTA($C$9:$C1925))</f>
        <v/>
      </c>
      <c r="B1925" s="10">
        <f>IF($C1925="","","TXN-"&amp;RIGHT("0000"&amp;1917,4))</f>
        <v/>
      </c>
      <c r="C1925" s="11" t="n"/>
      <c r="D1925" s="11" t="n"/>
      <c r="E1925" s="12" t="n"/>
      <c r="F1925" s="10">
        <f>IF($E1925="","",IFERROR(IF(VLOOKUP(LEFT(UPPER(TRIM($E1925)),6),BankTbl,2,0)="","(بدون عنوان)",VLOOKUP(LEFT(UPPER(TRIM($E1925)),6),BankTbl,2,0)),"بانک ناشناخته"))</f>
        <v/>
      </c>
      <c r="G1925" s="11" t="n"/>
      <c r="H1925" s="10">
        <f>IF($G1925="","",IFERROR(VLOOKUP($G1925,CustTbl,2,0),IFERROR(VLOOKUP($G1925,SuppTbl,2,0),IFERROR(VLOOKUP($G1925,AcctTbl,2,0),IFERROR(VLOOKUP($G1925,StaffTbl,2,0),"کد ناشناخته")))))</f>
        <v/>
      </c>
      <c r="I1925" s="12" t="n"/>
      <c r="J1925" s="12" t="n"/>
      <c r="K1925" s="13" t="n"/>
      <c r="L1925" s="13" t="n"/>
      <c r="M1925" s="13" t="n"/>
      <c r="N1925" s="14">
        <f>IF(OR($C1925="",$E1925="",Calc!$H1925=""),"",IFERROR(VLOOKUP(LEFT(UPPER(TRIM($E1925)),6),BankTbl,3,0),0)+SUMIFS(CalcDep,CalcBank,LEFT(UPPER(TRIM($E1925)),6),CalcKey,"&lt;="&amp;Calc!$H1925)-SUMIFS(CalcWit,CalcBank,LEFT(UPPER(TRIM($E1925)),6),CalcKey,"&lt;="&amp;Calc!$H1925))</f>
        <v/>
      </c>
      <c r="O1925" s="10">
        <f>IF(OR($C1925="",$M1925=""),"",IF($N1925="","؟",IF(ROUND($M1925-$N1925,0)=0,"√","×")))</f>
        <v/>
      </c>
      <c r="P1925" s="12" t="n"/>
    </row>
    <row r="1926">
      <c r="A1926" s="10">
        <f>IF($C1926="","",COUNTA($C$9:$C1926))</f>
        <v/>
      </c>
      <c r="B1926" s="10">
        <f>IF($C1926="","","TXN-"&amp;RIGHT("0000"&amp;1918,4))</f>
        <v/>
      </c>
      <c r="C1926" s="11" t="n"/>
      <c r="D1926" s="11" t="n"/>
      <c r="E1926" s="12" t="n"/>
      <c r="F1926" s="10">
        <f>IF($E1926="","",IFERROR(IF(VLOOKUP(LEFT(UPPER(TRIM($E1926)),6),BankTbl,2,0)="","(بدون عنوان)",VLOOKUP(LEFT(UPPER(TRIM($E1926)),6),BankTbl,2,0)),"بانک ناشناخته"))</f>
        <v/>
      </c>
      <c r="G1926" s="11" t="n"/>
      <c r="H1926" s="10">
        <f>IF($G1926="","",IFERROR(VLOOKUP($G1926,CustTbl,2,0),IFERROR(VLOOKUP($G1926,SuppTbl,2,0),IFERROR(VLOOKUP($G1926,AcctTbl,2,0),IFERROR(VLOOKUP($G1926,StaffTbl,2,0),"کد ناشناخته")))))</f>
        <v/>
      </c>
      <c r="I1926" s="12" t="n"/>
      <c r="J1926" s="12" t="n"/>
      <c r="K1926" s="13" t="n"/>
      <c r="L1926" s="13" t="n"/>
      <c r="M1926" s="13" t="n"/>
      <c r="N1926" s="14">
        <f>IF(OR($C1926="",$E1926="",Calc!$H1926=""),"",IFERROR(VLOOKUP(LEFT(UPPER(TRIM($E1926)),6),BankTbl,3,0),0)+SUMIFS(CalcDep,CalcBank,LEFT(UPPER(TRIM($E1926)),6),CalcKey,"&lt;="&amp;Calc!$H1926)-SUMIFS(CalcWit,CalcBank,LEFT(UPPER(TRIM($E1926)),6),CalcKey,"&lt;="&amp;Calc!$H1926))</f>
        <v/>
      </c>
      <c r="O1926" s="10">
        <f>IF(OR($C1926="",$M1926=""),"",IF($N1926="","؟",IF(ROUND($M1926-$N1926,0)=0,"√","×")))</f>
        <v/>
      </c>
      <c r="P1926" s="12" t="n"/>
    </row>
    <row r="1927">
      <c r="A1927" s="10">
        <f>IF($C1927="","",COUNTA($C$9:$C1927))</f>
        <v/>
      </c>
      <c r="B1927" s="10">
        <f>IF($C1927="","","TXN-"&amp;RIGHT("0000"&amp;1919,4))</f>
        <v/>
      </c>
      <c r="C1927" s="11" t="n"/>
      <c r="D1927" s="11" t="n"/>
      <c r="E1927" s="12" t="n"/>
      <c r="F1927" s="10">
        <f>IF($E1927="","",IFERROR(IF(VLOOKUP(LEFT(UPPER(TRIM($E1927)),6),BankTbl,2,0)="","(بدون عنوان)",VLOOKUP(LEFT(UPPER(TRIM($E1927)),6),BankTbl,2,0)),"بانک ناشناخته"))</f>
        <v/>
      </c>
      <c r="G1927" s="11" t="n"/>
      <c r="H1927" s="10">
        <f>IF($G1927="","",IFERROR(VLOOKUP($G1927,CustTbl,2,0),IFERROR(VLOOKUP($G1927,SuppTbl,2,0),IFERROR(VLOOKUP($G1927,AcctTbl,2,0),IFERROR(VLOOKUP($G1927,StaffTbl,2,0),"کد ناشناخته")))))</f>
        <v/>
      </c>
      <c r="I1927" s="12" t="n"/>
      <c r="J1927" s="12" t="n"/>
      <c r="K1927" s="13" t="n"/>
      <c r="L1927" s="13" t="n"/>
      <c r="M1927" s="13" t="n"/>
      <c r="N1927" s="14">
        <f>IF(OR($C1927="",$E1927="",Calc!$H1927=""),"",IFERROR(VLOOKUP(LEFT(UPPER(TRIM($E1927)),6),BankTbl,3,0),0)+SUMIFS(CalcDep,CalcBank,LEFT(UPPER(TRIM($E1927)),6),CalcKey,"&lt;="&amp;Calc!$H1927)-SUMIFS(CalcWit,CalcBank,LEFT(UPPER(TRIM($E1927)),6),CalcKey,"&lt;="&amp;Calc!$H1927))</f>
        <v/>
      </c>
      <c r="O1927" s="10">
        <f>IF(OR($C1927="",$M1927=""),"",IF($N1927="","؟",IF(ROUND($M1927-$N1927,0)=0,"√","×")))</f>
        <v/>
      </c>
      <c r="P1927" s="12" t="n"/>
    </row>
    <row r="1928">
      <c r="A1928" s="10">
        <f>IF($C1928="","",COUNTA($C$9:$C1928))</f>
        <v/>
      </c>
      <c r="B1928" s="10">
        <f>IF($C1928="","","TXN-"&amp;RIGHT("0000"&amp;1920,4))</f>
        <v/>
      </c>
      <c r="C1928" s="11" t="n"/>
      <c r="D1928" s="11" t="n"/>
      <c r="E1928" s="12" t="n"/>
      <c r="F1928" s="10">
        <f>IF($E1928="","",IFERROR(IF(VLOOKUP(LEFT(UPPER(TRIM($E1928)),6),BankTbl,2,0)="","(بدون عنوان)",VLOOKUP(LEFT(UPPER(TRIM($E1928)),6),BankTbl,2,0)),"بانک ناشناخته"))</f>
        <v/>
      </c>
      <c r="G1928" s="11" t="n"/>
      <c r="H1928" s="10">
        <f>IF($G1928="","",IFERROR(VLOOKUP($G1928,CustTbl,2,0),IFERROR(VLOOKUP($G1928,SuppTbl,2,0),IFERROR(VLOOKUP($G1928,AcctTbl,2,0),IFERROR(VLOOKUP($G1928,StaffTbl,2,0),"کد ناشناخته")))))</f>
        <v/>
      </c>
      <c r="I1928" s="12" t="n"/>
      <c r="J1928" s="12" t="n"/>
      <c r="K1928" s="13" t="n"/>
      <c r="L1928" s="13" t="n"/>
      <c r="M1928" s="13" t="n"/>
      <c r="N1928" s="14">
        <f>IF(OR($C1928="",$E1928="",Calc!$H1928=""),"",IFERROR(VLOOKUP(LEFT(UPPER(TRIM($E1928)),6),BankTbl,3,0),0)+SUMIFS(CalcDep,CalcBank,LEFT(UPPER(TRIM($E1928)),6),CalcKey,"&lt;="&amp;Calc!$H1928)-SUMIFS(CalcWit,CalcBank,LEFT(UPPER(TRIM($E1928)),6),CalcKey,"&lt;="&amp;Calc!$H1928))</f>
        <v/>
      </c>
      <c r="O1928" s="10">
        <f>IF(OR($C1928="",$M1928=""),"",IF($N1928="","؟",IF(ROUND($M1928-$N1928,0)=0,"√","×")))</f>
        <v/>
      </c>
      <c r="P1928" s="12" t="n"/>
    </row>
    <row r="1929">
      <c r="A1929" s="10">
        <f>IF($C1929="","",COUNTA($C$9:$C1929))</f>
        <v/>
      </c>
      <c r="B1929" s="10">
        <f>IF($C1929="","","TXN-"&amp;RIGHT("0000"&amp;1921,4))</f>
        <v/>
      </c>
      <c r="C1929" s="11" t="n"/>
      <c r="D1929" s="11" t="n"/>
      <c r="E1929" s="12" t="n"/>
      <c r="F1929" s="10">
        <f>IF($E1929="","",IFERROR(IF(VLOOKUP(LEFT(UPPER(TRIM($E1929)),6),BankTbl,2,0)="","(بدون عنوان)",VLOOKUP(LEFT(UPPER(TRIM($E1929)),6),BankTbl,2,0)),"بانک ناشناخته"))</f>
        <v/>
      </c>
      <c r="G1929" s="11" t="n"/>
      <c r="H1929" s="10">
        <f>IF($G1929="","",IFERROR(VLOOKUP($G1929,CustTbl,2,0),IFERROR(VLOOKUP($G1929,SuppTbl,2,0),IFERROR(VLOOKUP($G1929,AcctTbl,2,0),IFERROR(VLOOKUP($G1929,StaffTbl,2,0),"کد ناشناخته")))))</f>
        <v/>
      </c>
      <c r="I1929" s="12" t="n"/>
      <c r="J1929" s="12" t="n"/>
      <c r="K1929" s="13" t="n"/>
      <c r="L1929" s="13" t="n"/>
      <c r="M1929" s="13" t="n"/>
      <c r="N1929" s="14">
        <f>IF(OR($C1929="",$E1929="",Calc!$H1929=""),"",IFERROR(VLOOKUP(LEFT(UPPER(TRIM($E1929)),6),BankTbl,3,0),0)+SUMIFS(CalcDep,CalcBank,LEFT(UPPER(TRIM($E1929)),6),CalcKey,"&lt;="&amp;Calc!$H1929)-SUMIFS(CalcWit,CalcBank,LEFT(UPPER(TRIM($E1929)),6),CalcKey,"&lt;="&amp;Calc!$H1929))</f>
        <v/>
      </c>
      <c r="O1929" s="10">
        <f>IF(OR($C1929="",$M1929=""),"",IF($N1929="","؟",IF(ROUND($M1929-$N1929,0)=0,"√","×")))</f>
        <v/>
      </c>
      <c r="P1929" s="12" t="n"/>
    </row>
    <row r="1930">
      <c r="A1930" s="10">
        <f>IF($C1930="","",COUNTA($C$9:$C1930))</f>
        <v/>
      </c>
      <c r="B1930" s="10">
        <f>IF($C1930="","","TXN-"&amp;RIGHT("0000"&amp;1922,4))</f>
        <v/>
      </c>
      <c r="C1930" s="11" t="n"/>
      <c r="D1930" s="11" t="n"/>
      <c r="E1930" s="12" t="n"/>
      <c r="F1930" s="10">
        <f>IF($E1930="","",IFERROR(IF(VLOOKUP(LEFT(UPPER(TRIM($E1930)),6),BankTbl,2,0)="","(بدون عنوان)",VLOOKUP(LEFT(UPPER(TRIM($E1930)),6),BankTbl,2,0)),"بانک ناشناخته"))</f>
        <v/>
      </c>
      <c r="G1930" s="11" t="n"/>
      <c r="H1930" s="10">
        <f>IF($G1930="","",IFERROR(VLOOKUP($G1930,CustTbl,2,0),IFERROR(VLOOKUP($G1930,SuppTbl,2,0),IFERROR(VLOOKUP($G1930,AcctTbl,2,0),IFERROR(VLOOKUP($G1930,StaffTbl,2,0),"کد ناشناخته")))))</f>
        <v/>
      </c>
      <c r="I1930" s="12" t="n"/>
      <c r="J1930" s="12" t="n"/>
      <c r="K1930" s="13" t="n"/>
      <c r="L1930" s="13" t="n"/>
      <c r="M1930" s="13" t="n"/>
      <c r="N1930" s="14">
        <f>IF(OR($C1930="",$E1930="",Calc!$H1930=""),"",IFERROR(VLOOKUP(LEFT(UPPER(TRIM($E1930)),6),BankTbl,3,0),0)+SUMIFS(CalcDep,CalcBank,LEFT(UPPER(TRIM($E1930)),6),CalcKey,"&lt;="&amp;Calc!$H1930)-SUMIFS(CalcWit,CalcBank,LEFT(UPPER(TRIM($E1930)),6),CalcKey,"&lt;="&amp;Calc!$H1930))</f>
        <v/>
      </c>
      <c r="O1930" s="10">
        <f>IF(OR($C1930="",$M1930=""),"",IF($N1930="","؟",IF(ROUND($M1930-$N1930,0)=0,"√","×")))</f>
        <v/>
      </c>
      <c r="P1930" s="12" t="n"/>
    </row>
    <row r="1931">
      <c r="A1931" s="10">
        <f>IF($C1931="","",COUNTA($C$9:$C1931))</f>
        <v/>
      </c>
      <c r="B1931" s="10">
        <f>IF($C1931="","","TXN-"&amp;RIGHT("0000"&amp;1923,4))</f>
        <v/>
      </c>
      <c r="C1931" s="11" t="n"/>
      <c r="D1931" s="11" t="n"/>
      <c r="E1931" s="12" t="n"/>
      <c r="F1931" s="10">
        <f>IF($E1931="","",IFERROR(IF(VLOOKUP(LEFT(UPPER(TRIM($E1931)),6),BankTbl,2,0)="","(بدون عنوان)",VLOOKUP(LEFT(UPPER(TRIM($E1931)),6),BankTbl,2,0)),"بانک ناشناخته"))</f>
        <v/>
      </c>
      <c r="G1931" s="11" t="n"/>
      <c r="H1931" s="10">
        <f>IF($G1931="","",IFERROR(VLOOKUP($G1931,CustTbl,2,0),IFERROR(VLOOKUP($G1931,SuppTbl,2,0),IFERROR(VLOOKUP($G1931,AcctTbl,2,0),IFERROR(VLOOKUP($G1931,StaffTbl,2,0),"کد ناشناخته")))))</f>
        <v/>
      </c>
      <c r="I1931" s="12" t="n"/>
      <c r="J1931" s="12" t="n"/>
      <c r="K1931" s="13" t="n"/>
      <c r="L1931" s="13" t="n"/>
      <c r="M1931" s="13" t="n"/>
      <c r="N1931" s="14">
        <f>IF(OR($C1931="",$E1931="",Calc!$H1931=""),"",IFERROR(VLOOKUP(LEFT(UPPER(TRIM($E1931)),6),BankTbl,3,0),0)+SUMIFS(CalcDep,CalcBank,LEFT(UPPER(TRIM($E1931)),6),CalcKey,"&lt;="&amp;Calc!$H1931)-SUMIFS(CalcWit,CalcBank,LEFT(UPPER(TRIM($E1931)),6),CalcKey,"&lt;="&amp;Calc!$H1931))</f>
        <v/>
      </c>
      <c r="O1931" s="10">
        <f>IF(OR($C1931="",$M1931=""),"",IF($N1931="","؟",IF(ROUND($M1931-$N1931,0)=0,"√","×")))</f>
        <v/>
      </c>
      <c r="P1931" s="12" t="n"/>
    </row>
    <row r="1932">
      <c r="A1932" s="10">
        <f>IF($C1932="","",COUNTA($C$9:$C1932))</f>
        <v/>
      </c>
      <c r="B1932" s="10">
        <f>IF($C1932="","","TXN-"&amp;RIGHT("0000"&amp;1924,4))</f>
        <v/>
      </c>
      <c r="C1932" s="11" t="n"/>
      <c r="D1932" s="11" t="n"/>
      <c r="E1932" s="12" t="n"/>
      <c r="F1932" s="10">
        <f>IF($E1932="","",IFERROR(IF(VLOOKUP(LEFT(UPPER(TRIM($E1932)),6),BankTbl,2,0)="","(بدون عنوان)",VLOOKUP(LEFT(UPPER(TRIM($E1932)),6),BankTbl,2,0)),"بانک ناشناخته"))</f>
        <v/>
      </c>
      <c r="G1932" s="11" t="n"/>
      <c r="H1932" s="10">
        <f>IF($G1932="","",IFERROR(VLOOKUP($G1932,CustTbl,2,0),IFERROR(VLOOKUP($G1932,SuppTbl,2,0),IFERROR(VLOOKUP($G1932,AcctTbl,2,0),IFERROR(VLOOKUP($G1932,StaffTbl,2,0),"کد ناشناخته")))))</f>
        <v/>
      </c>
      <c r="I1932" s="12" t="n"/>
      <c r="J1932" s="12" t="n"/>
      <c r="K1932" s="13" t="n"/>
      <c r="L1932" s="13" t="n"/>
      <c r="M1932" s="13" t="n"/>
      <c r="N1932" s="14">
        <f>IF(OR($C1932="",$E1932="",Calc!$H1932=""),"",IFERROR(VLOOKUP(LEFT(UPPER(TRIM($E1932)),6),BankTbl,3,0),0)+SUMIFS(CalcDep,CalcBank,LEFT(UPPER(TRIM($E1932)),6),CalcKey,"&lt;="&amp;Calc!$H1932)-SUMIFS(CalcWit,CalcBank,LEFT(UPPER(TRIM($E1932)),6),CalcKey,"&lt;="&amp;Calc!$H1932))</f>
        <v/>
      </c>
      <c r="O1932" s="10">
        <f>IF(OR($C1932="",$M1932=""),"",IF($N1932="","؟",IF(ROUND($M1932-$N1932,0)=0,"√","×")))</f>
        <v/>
      </c>
      <c r="P1932" s="12" t="n"/>
    </row>
    <row r="1933">
      <c r="A1933" s="10">
        <f>IF($C1933="","",COUNTA($C$9:$C1933))</f>
        <v/>
      </c>
      <c r="B1933" s="10">
        <f>IF($C1933="","","TXN-"&amp;RIGHT("0000"&amp;1925,4))</f>
        <v/>
      </c>
      <c r="C1933" s="11" t="n"/>
      <c r="D1933" s="11" t="n"/>
      <c r="E1933" s="12" t="n"/>
      <c r="F1933" s="10">
        <f>IF($E1933="","",IFERROR(IF(VLOOKUP(LEFT(UPPER(TRIM($E1933)),6),BankTbl,2,0)="","(بدون عنوان)",VLOOKUP(LEFT(UPPER(TRIM($E1933)),6),BankTbl,2,0)),"بانک ناشناخته"))</f>
        <v/>
      </c>
      <c r="G1933" s="11" t="n"/>
      <c r="H1933" s="10">
        <f>IF($G1933="","",IFERROR(VLOOKUP($G1933,CustTbl,2,0),IFERROR(VLOOKUP($G1933,SuppTbl,2,0),IFERROR(VLOOKUP($G1933,AcctTbl,2,0),IFERROR(VLOOKUP($G1933,StaffTbl,2,0),"کد ناشناخته")))))</f>
        <v/>
      </c>
      <c r="I1933" s="12" t="n"/>
      <c r="J1933" s="12" t="n"/>
      <c r="K1933" s="13" t="n"/>
      <c r="L1933" s="13" t="n"/>
      <c r="M1933" s="13" t="n"/>
      <c r="N1933" s="14">
        <f>IF(OR($C1933="",$E1933="",Calc!$H1933=""),"",IFERROR(VLOOKUP(LEFT(UPPER(TRIM($E1933)),6),BankTbl,3,0),0)+SUMIFS(CalcDep,CalcBank,LEFT(UPPER(TRIM($E1933)),6),CalcKey,"&lt;="&amp;Calc!$H1933)-SUMIFS(CalcWit,CalcBank,LEFT(UPPER(TRIM($E1933)),6),CalcKey,"&lt;="&amp;Calc!$H1933))</f>
        <v/>
      </c>
      <c r="O1933" s="10">
        <f>IF(OR($C1933="",$M1933=""),"",IF($N1933="","؟",IF(ROUND($M1933-$N1933,0)=0,"√","×")))</f>
        <v/>
      </c>
      <c r="P1933" s="12" t="n"/>
    </row>
    <row r="1934">
      <c r="A1934" s="10">
        <f>IF($C1934="","",COUNTA($C$9:$C1934))</f>
        <v/>
      </c>
      <c r="B1934" s="10">
        <f>IF($C1934="","","TXN-"&amp;RIGHT("0000"&amp;1926,4))</f>
        <v/>
      </c>
      <c r="C1934" s="11" t="n"/>
      <c r="D1934" s="11" t="n"/>
      <c r="E1934" s="12" t="n"/>
      <c r="F1934" s="10">
        <f>IF($E1934="","",IFERROR(IF(VLOOKUP(LEFT(UPPER(TRIM($E1934)),6),BankTbl,2,0)="","(بدون عنوان)",VLOOKUP(LEFT(UPPER(TRIM($E1934)),6),BankTbl,2,0)),"بانک ناشناخته"))</f>
        <v/>
      </c>
      <c r="G1934" s="11" t="n"/>
      <c r="H1934" s="10">
        <f>IF($G1934="","",IFERROR(VLOOKUP($G1934,CustTbl,2,0),IFERROR(VLOOKUP($G1934,SuppTbl,2,0),IFERROR(VLOOKUP($G1934,AcctTbl,2,0),IFERROR(VLOOKUP($G1934,StaffTbl,2,0),"کد ناشناخته")))))</f>
        <v/>
      </c>
      <c r="I1934" s="12" t="n"/>
      <c r="J1934" s="12" t="n"/>
      <c r="K1934" s="13" t="n"/>
      <c r="L1934" s="13" t="n"/>
      <c r="M1934" s="13" t="n"/>
      <c r="N1934" s="14">
        <f>IF(OR($C1934="",$E1934="",Calc!$H1934=""),"",IFERROR(VLOOKUP(LEFT(UPPER(TRIM($E1934)),6),BankTbl,3,0),0)+SUMIFS(CalcDep,CalcBank,LEFT(UPPER(TRIM($E1934)),6),CalcKey,"&lt;="&amp;Calc!$H1934)-SUMIFS(CalcWit,CalcBank,LEFT(UPPER(TRIM($E1934)),6),CalcKey,"&lt;="&amp;Calc!$H1934))</f>
        <v/>
      </c>
      <c r="O1934" s="10">
        <f>IF(OR($C1934="",$M1934=""),"",IF($N1934="","؟",IF(ROUND($M1934-$N1934,0)=0,"√","×")))</f>
        <v/>
      </c>
      <c r="P1934" s="12" t="n"/>
    </row>
    <row r="1935">
      <c r="A1935" s="10">
        <f>IF($C1935="","",COUNTA($C$9:$C1935))</f>
        <v/>
      </c>
      <c r="B1935" s="10">
        <f>IF($C1935="","","TXN-"&amp;RIGHT("0000"&amp;1927,4))</f>
        <v/>
      </c>
      <c r="C1935" s="11" t="n"/>
      <c r="D1935" s="11" t="n"/>
      <c r="E1935" s="12" t="n"/>
      <c r="F1935" s="10">
        <f>IF($E1935="","",IFERROR(IF(VLOOKUP(LEFT(UPPER(TRIM($E1935)),6),BankTbl,2,0)="","(بدون عنوان)",VLOOKUP(LEFT(UPPER(TRIM($E1935)),6),BankTbl,2,0)),"بانک ناشناخته"))</f>
        <v/>
      </c>
      <c r="G1935" s="11" t="n"/>
      <c r="H1935" s="10">
        <f>IF($G1935="","",IFERROR(VLOOKUP($G1935,CustTbl,2,0),IFERROR(VLOOKUP($G1935,SuppTbl,2,0),IFERROR(VLOOKUP($G1935,AcctTbl,2,0),IFERROR(VLOOKUP($G1935,StaffTbl,2,0),"کد ناشناخته")))))</f>
        <v/>
      </c>
      <c r="I1935" s="12" t="n"/>
      <c r="J1935" s="12" t="n"/>
      <c r="K1935" s="13" t="n"/>
      <c r="L1935" s="13" t="n"/>
      <c r="M1935" s="13" t="n"/>
      <c r="N1935" s="14">
        <f>IF(OR($C1935="",$E1935="",Calc!$H1935=""),"",IFERROR(VLOOKUP(LEFT(UPPER(TRIM($E1935)),6),BankTbl,3,0),0)+SUMIFS(CalcDep,CalcBank,LEFT(UPPER(TRIM($E1935)),6),CalcKey,"&lt;="&amp;Calc!$H1935)-SUMIFS(CalcWit,CalcBank,LEFT(UPPER(TRIM($E1935)),6),CalcKey,"&lt;="&amp;Calc!$H1935))</f>
        <v/>
      </c>
      <c r="O1935" s="10">
        <f>IF(OR($C1935="",$M1935=""),"",IF($N1935="","؟",IF(ROUND($M1935-$N1935,0)=0,"√","×")))</f>
        <v/>
      </c>
      <c r="P1935" s="12" t="n"/>
    </row>
    <row r="1936">
      <c r="A1936" s="10">
        <f>IF($C1936="","",COUNTA($C$9:$C1936))</f>
        <v/>
      </c>
      <c r="B1936" s="10">
        <f>IF($C1936="","","TXN-"&amp;RIGHT("0000"&amp;1928,4))</f>
        <v/>
      </c>
      <c r="C1936" s="11" t="n"/>
      <c r="D1936" s="11" t="n"/>
      <c r="E1936" s="12" t="n"/>
      <c r="F1936" s="10">
        <f>IF($E1936="","",IFERROR(IF(VLOOKUP(LEFT(UPPER(TRIM($E1936)),6),BankTbl,2,0)="","(بدون عنوان)",VLOOKUP(LEFT(UPPER(TRIM($E1936)),6),BankTbl,2,0)),"بانک ناشناخته"))</f>
        <v/>
      </c>
      <c r="G1936" s="11" t="n"/>
      <c r="H1936" s="10">
        <f>IF($G1936="","",IFERROR(VLOOKUP($G1936,CustTbl,2,0),IFERROR(VLOOKUP($G1936,SuppTbl,2,0),IFERROR(VLOOKUP($G1936,AcctTbl,2,0),IFERROR(VLOOKUP($G1936,StaffTbl,2,0),"کد ناشناخته")))))</f>
        <v/>
      </c>
      <c r="I1936" s="12" t="n"/>
      <c r="J1936" s="12" t="n"/>
      <c r="K1936" s="13" t="n"/>
      <c r="L1936" s="13" t="n"/>
      <c r="M1936" s="13" t="n"/>
      <c r="N1936" s="14">
        <f>IF(OR($C1936="",$E1936="",Calc!$H1936=""),"",IFERROR(VLOOKUP(LEFT(UPPER(TRIM($E1936)),6),BankTbl,3,0),0)+SUMIFS(CalcDep,CalcBank,LEFT(UPPER(TRIM($E1936)),6),CalcKey,"&lt;="&amp;Calc!$H1936)-SUMIFS(CalcWit,CalcBank,LEFT(UPPER(TRIM($E1936)),6),CalcKey,"&lt;="&amp;Calc!$H1936))</f>
        <v/>
      </c>
      <c r="O1936" s="10">
        <f>IF(OR($C1936="",$M1936=""),"",IF($N1936="","؟",IF(ROUND($M1936-$N1936,0)=0,"√","×")))</f>
        <v/>
      </c>
      <c r="P1936" s="12" t="n"/>
    </row>
    <row r="1937">
      <c r="A1937" s="10">
        <f>IF($C1937="","",COUNTA($C$9:$C1937))</f>
        <v/>
      </c>
      <c r="B1937" s="10">
        <f>IF($C1937="","","TXN-"&amp;RIGHT("0000"&amp;1929,4))</f>
        <v/>
      </c>
      <c r="C1937" s="11" t="n"/>
      <c r="D1937" s="11" t="n"/>
      <c r="E1937" s="12" t="n"/>
      <c r="F1937" s="10">
        <f>IF($E1937="","",IFERROR(IF(VLOOKUP(LEFT(UPPER(TRIM($E1937)),6),BankTbl,2,0)="","(بدون عنوان)",VLOOKUP(LEFT(UPPER(TRIM($E1937)),6),BankTbl,2,0)),"بانک ناشناخته"))</f>
        <v/>
      </c>
      <c r="G1937" s="11" t="n"/>
      <c r="H1937" s="10">
        <f>IF($G1937="","",IFERROR(VLOOKUP($G1937,CustTbl,2,0),IFERROR(VLOOKUP($G1937,SuppTbl,2,0),IFERROR(VLOOKUP($G1937,AcctTbl,2,0),IFERROR(VLOOKUP($G1937,StaffTbl,2,0),"کد ناشناخته")))))</f>
        <v/>
      </c>
      <c r="I1937" s="12" t="n"/>
      <c r="J1937" s="12" t="n"/>
      <c r="K1937" s="13" t="n"/>
      <c r="L1937" s="13" t="n"/>
      <c r="M1937" s="13" t="n"/>
      <c r="N1937" s="14">
        <f>IF(OR($C1937="",$E1937="",Calc!$H1937=""),"",IFERROR(VLOOKUP(LEFT(UPPER(TRIM($E1937)),6),BankTbl,3,0),0)+SUMIFS(CalcDep,CalcBank,LEFT(UPPER(TRIM($E1937)),6),CalcKey,"&lt;="&amp;Calc!$H1937)-SUMIFS(CalcWit,CalcBank,LEFT(UPPER(TRIM($E1937)),6),CalcKey,"&lt;="&amp;Calc!$H1937))</f>
        <v/>
      </c>
      <c r="O1937" s="10">
        <f>IF(OR($C1937="",$M1937=""),"",IF($N1937="","؟",IF(ROUND($M1937-$N1937,0)=0,"√","×")))</f>
        <v/>
      </c>
      <c r="P1937" s="12" t="n"/>
    </row>
    <row r="1938">
      <c r="A1938" s="10">
        <f>IF($C1938="","",COUNTA($C$9:$C1938))</f>
        <v/>
      </c>
      <c r="B1938" s="10">
        <f>IF($C1938="","","TXN-"&amp;RIGHT("0000"&amp;1930,4))</f>
        <v/>
      </c>
      <c r="C1938" s="11" t="n"/>
      <c r="D1938" s="11" t="n"/>
      <c r="E1938" s="12" t="n"/>
      <c r="F1938" s="10">
        <f>IF($E1938="","",IFERROR(IF(VLOOKUP(LEFT(UPPER(TRIM($E1938)),6),BankTbl,2,0)="","(بدون عنوان)",VLOOKUP(LEFT(UPPER(TRIM($E1938)),6),BankTbl,2,0)),"بانک ناشناخته"))</f>
        <v/>
      </c>
      <c r="G1938" s="11" t="n"/>
      <c r="H1938" s="10">
        <f>IF($G1938="","",IFERROR(VLOOKUP($G1938,CustTbl,2,0),IFERROR(VLOOKUP($G1938,SuppTbl,2,0),IFERROR(VLOOKUP($G1938,AcctTbl,2,0),IFERROR(VLOOKUP($G1938,StaffTbl,2,0),"کد ناشناخته")))))</f>
        <v/>
      </c>
      <c r="I1938" s="12" t="n"/>
      <c r="J1938" s="12" t="n"/>
      <c r="K1938" s="13" t="n"/>
      <c r="L1938" s="13" t="n"/>
      <c r="M1938" s="13" t="n"/>
      <c r="N1938" s="14">
        <f>IF(OR($C1938="",$E1938="",Calc!$H1938=""),"",IFERROR(VLOOKUP(LEFT(UPPER(TRIM($E1938)),6),BankTbl,3,0),0)+SUMIFS(CalcDep,CalcBank,LEFT(UPPER(TRIM($E1938)),6),CalcKey,"&lt;="&amp;Calc!$H1938)-SUMIFS(CalcWit,CalcBank,LEFT(UPPER(TRIM($E1938)),6),CalcKey,"&lt;="&amp;Calc!$H1938))</f>
        <v/>
      </c>
      <c r="O1938" s="10">
        <f>IF(OR($C1938="",$M1938=""),"",IF($N1938="","؟",IF(ROUND($M1938-$N1938,0)=0,"√","×")))</f>
        <v/>
      </c>
      <c r="P1938" s="12" t="n"/>
    </row>
    <row r="1939">
      <c r="A1939" s="10">
        <f>IF($C1939="","",COUNTA($C$9:$C1939))</f>
        <v/>
      </c>
      <c r="B1939" s="10">
        <f>IF($C1939="","","TXN-"&amp;RIGHT("0000"&amp;1931,4))</f>
        <v/>
      </c>
      <c r="C1939" s="11" t="n"/>
      <c r="D1939" s="11" t="n"/>
      <c r="E1939" s="12" t="n"/>
      <c r="F1939" s="10">
        <f>IF($E1939="","",IFERROR(IF(VLOOKUP(LEFT(UPPER(TRIM($E1939)),6),BankTbl,2,0)="","(بدون عنوان)",VLOOKUP(LEFT(UPPER(TRIM($E1939)),6),BankTbl,2,0)),"بانک ناشناخته"))</f>
        <v/>
      </c>
      <c r="G1939" s="11" t="n"/>
      <c r="H1939" s="10">
        <f>IF($G1939="","",IFERROR(VLOOKUP($G1939,CustTbl,2,0),IFERROR(VLOOKUP($G1939,SuppTbl,2,0),IFERROR(VLOOKUP($G1939,AcctTbl,2,0),IFERROR(VLOOKUP($G1939,StaffTbl,2,0),"کد ناشناخته")))))</f>
        <v/>
      </c>
      <c r="I1939" s="12" t="n"/>
      <c r="J1939" s="12" t="n"/>
      <c r="K1939" s="13" t="n"/>
      <c r="L1939" s="13" t="n"/>
      <c r="M1939" s="13" t="n"/>
      <c r="N1939" s="14">
        <f>IF(OR($C1939="",$E1939="",Calc!$H1939=""),"",IFERROR(VLOOKUP(LEFT(UPPER(TRIM($E1939)),6),BankTbl,3,0),0)+SUMIFS(CalcDep,CalcBank,LEFT(UPPER(TRIM($E1939)),6),CalcKey,"&lt;="&amp;Calc!$H1939)-SUMIFS(CalcWit,CalcBank,LEFT(UPPER(TRIM($E1939)),6),CalcKey,"&lt;="&amp;Calc!$H1939))</f>
        <v/>
      </c>
      <c r="O1939" s="10">
        <f>IF(OR($C1939="",$M1939=""),"",IF($N1939="","؟",IF(ROUND($M1939-$N1939,0)=0,"√","×")))</f>
        <v/>
      </c>
      <c r="P1939" s="12" t="n"/>
    </row>
    <row r="1940">
      <c r="A1940" s="10">
        <f>IF($C1940="","",COUNTA($C$9:$C1940))</f>
        <v/>
      </c>
      <c r="B1940" s="10">
        <f>IF($C1940="","","TXN-"&amp;RIGHT("0000"&amp;1932,4))</f>
        <v/>
      </c>
      <c r="C1940" s="11" t="n"/>
      <c r="D1940" s="11" t="n"/>
      <c r="E1940" s="12" t="n"/>
      <c r="F1940" s="10">
        <f>IF($E1940="","",IFERROR(IF(VLOOKUP(LEFT(UPPER(TRIM($E1940)),6),BankTbl,2,0)="","(بدون عنوان)",VLOOKUP(LEFT(UPPER(TRIM($E1940)),6),BankTbl,2,0)),"بانک ناشناخته"))</f>
        <v/>
      </c>
      <c r="G1940" s="11" t="n"/>
      <c r="H1940" s="10">
        <f>IF($G1940="","",IFERROR(VLOOKUP($G1940,CustTbl,2,0),IFERROR(VLOOKUP($G1940,SuppTbl,2,0),IFERROR(VLOOKUP($G1940,AcctTbl,2,0),IFERROR(VLOOKUP($G1940,StaffTbl,2,0),"کد ناشناخته")))))</f>
        <v/>
      </c>
      <c r="I1940" s="12" t="n"/>
      <c r="J1940" s="12" t="n"/>
      <c r="K1940" s="13" t="n"/>
      <c r="L1940" s="13" t="n"/>
      <c r="M1940" s="13" t="n"/>
      <c r="N1940" s="14">
        <f>IF(OR($C1940="",$E1940="",Calc!$H1940=""),"",IFERROR(VLOOKUP(LEFT(UPPER(TRIM($E1940)),6),BankTbl,3,0),0)+SUMIFS(CalcDep,CalcBank,LEFT(UPPER(TRIM($E1940)),6),CalcKey,"&lt;="&amp;Calc!$H1940)-SUMIFS(CalcWit,CalcBank,LEFT(UPPER(TRIM($E1940)),6),CalcKey,"&lt;="&amp;Calc!$H1940))</f>
        <v/>
      </c>
      <c r="O1940" s="10">
        <f>IF(OR($C1940="",$M1940=""),"",IF($N1940="","؟",IF(ROUND($M1940-$N1940,0)=0,"√","×")))</f>
        <v/>
      </c>
      <c r="P1940" s="12" t="n"/>
    </row>
    <row r="1941">
      <c r="A1941" s="10">
        <f>IF($C1941="","",COUNTA($C$9:$C1941))</f>
        <v/>
      </c>
      <c r="B1941" s="10">
        <f>IF($C1941="","","TXN-"&amp;RIGHT("0000"&amp;1933,4))</f>
        <v/>
      </c>
      <c r="C1941" s="11" t="n"/>
      <c r="D1941" s="11" t="n"/>
      <c r="E1941" s="12" t="n"/>
      <c r="F1941" s="10">
        <f>IF($E1941="","",IFERROR(IF(VLOOKUP(LEFT(UPPER(TRIM($E1941)),6),BankTbl,2,0)="","(بدون عنوان)",VLOOKUP(LEFT(UPPER(TRIM($E1941)),6),BankTbl,2,0)),"بانک ناشناخته"))</f>
        <v/>
      </c>
      <c r="G1941" s="11" t="n"/>
      <c r="H1941" s="10">
        <f>IF($G1941="","",IFERROR(VLOOKUP($G1941,CustTbl,2,0),IFERROR(VLOOKUP($G1941,SuppTbl,2,0),IFERROR(VLOOKUP($G1941,AcctTbl,2,0),IFERROR(VLOOKUP($G1941,StaffTbl,2,0),"کد ناشناخته")))))</f>
        <v/>
      </c>
      <c r="I1941" s="12" t="n"/>
      <c r="J1941" s="12" t="n"/>
      <c r="K1941" s="13" t="n"/>
      <c r="L1941" s="13" t="n"/>
      <c r="M1941" s="13" t="n"/>
      <c r="N1941" s="14">
        <f>IF(OR($C1941="",$E1941="",Calc!$H1941=""),"",IFERROR(VLOOKUP(LEFT(UPPER(TRIM($E1941)),6),BankTbl,3,0),0)+SUMIFS(CalcDep,CalcBank,LEFT(UPPER(TRIM($E1941)),6),CalcKey,"&lt;="&amp;Calc!$H1941)-SUMIFS(CalcWit,CalcBank,LEFT(UPPER(TRIM($E1941)),6),CalcKey,"&lt;="&amp;Calc!$H1941))</f>
        <v/>
      </c>
      <c r="O1941" s="10">
        <f>IF(OR($C1941="",$M1941=""),"",IF($N1941="","؟",IF(ROUND($M1941-$N1941,0)=0,"√","×")))</f>
        <v/>
      </c>
      <c r="P1941" s="12" t="n"/>
    </row>
    <row r="1942">
      <c r="A1942" s="10">
        <f>IF($C1942="","",COUNTA($C$9:$C1942))</f>
        <v/>
      </c>
      <c r="B1942" s="10">
        <f>IF($C1942="","","TXN-"&amp;RIGHT("0000"&amp;1934,4))</f>
        <v/>
      </c>
      <c r="C1942" s="11" t="n"/>
      <c r="D1942" s="11" t="n"/>
      <c r="E1942" s="12" t="n"/>
      <c r="F1942" s="10">
        <f>IF($E1942="","",IFERROR(IF(VLOOKUP(LEFT(UPPER(TRIM($E1942)),6),BankTbl,2,0)="","(بدون عنوان)",VLOOKUP(LEFT(UPPER(TRIM($E1942)),6),BankTbl,2,0)),"بانک ناشناخته"))</f>
        <v/>
      </c>
      <c r="G1942" s="11" t="n"/>
      <c r="H1942" s="10">
        <f>IF($G1942="","",IFERROR(VLOOKUP($G1942,CustTbl,2,0),IFERROR(VLOOKUP($G1942,SuppTbl,2,0),IFERROR(VLOOKUP($G1942,AcctTbl,2,0),IFERROR(VLOOKUP($G1942,StaffTbl,2,0),"کد ناشناخته")))))</f>
        <v/>
      </c>
      <c r="I1942" s="12" t="n"/>
      <c r="J1942" s="12" t="n"/>
      <c r="K1942" s="13" t="n"/>
      <c r="L1942" s="13" t="n"/>
      <c r="M1942" s="13" t="n"/>
      <c r="N1942" s="14">
        <f>IF(OR($C1942="",$E1942="",Calc!$H1942=""),"",IFERROR(VLOOKUP(LEFT(UPPER(TRIM($E1942)),6),BankTbl,3,0),0)+SUMIFS(CalcDep,CalcBank,LEFT(UPPER(TRIM($E1942)),6),CalcKey,"&lt;="&amp;Calc!$H1942)-SUMIFS(CalcWit,CalcBank,LEFT(UPPER(TRIM($E1942)),6),CalcKey,"&lt;="&amp;Calc!$H1942))</f>
        <v/>
      </c>
      <c r="O1942" s="10">
        <f>IF(OR($C1942="",$M1942=""),"",IF($N1942="","؟",IF(ROUND($M1942-$N1942,0)=0,"√","×")))</f>
        <v/>
      </c>
      <c r="P1942" s="12" t="n"/>
    </row>
    <row r="1943">
      <c r="A1943" s="10">
        <f>IF($C1943="","",COUNTA($C$9:$C1943))</f>
        <v/>
      </c>
      <c r="B1943" s="10">
        <f>IF($C1943="","","TXN-"&amp;RIGHT("0000"&amp;1935,4))</f>
        <v/>
      </c>
      <c r="C1943" s="11" t="n"/>
      <c r="D1943" s="11" t="n"/>
      <c r="E1943" s="12" t="n"/>
      <c r="F1943" s="10">
        <f>IF($E1943="","",IFERROR(IF(VLOOKUP(LEFT(UPPER(TRIM($E1943)),6),BankTbl,2,0)="","(بدون عنوان)",VLOOKUP(LEFT(UPPER(TRIM($E1943)),6),BankTbl,2,0)),"بانک ناشناخته"))</f>
        <v/>
      </c>
      <c r="G1943" s="11" t="n"/>
      <c r="H1943" s="10">
        <f>IF($G1943="","",IFERROR(VLOOKUP($G1943,CustTbl,2,0),IFERROR(VLOOKUP($G1943,SuppTbl,2,0),IFERROR(VLOOKUP($G1943,AcctTbl,2,0),IFERROR(VLOOKUP($G1943,StaffTbl,2,0),"کد ناشناخته")))))</f>
        <v/>
      </c>
      <c r="I1943" s="12" t="n"/>
      <c r="J1943" s="12" t="n"/>
      <c r="K1943" s="13" t="n"/>
      <c r="L1943" s="13" t="n"/>
      <c r="M1943" s="13" t="n"/>
      <c r="N1943" s="14">
        <f>IF(OR($C1943="",$E1943="",Calc!$H1943=""),"",IFERROR(VLOOKUP(LEFT(UPPER(TRIM($E1943)),6),BankTbl,3,0),0)+SUMIFS(CalcDep,CalcBank,LEFT(UPPER(TRIM($E1943)),6),CalcKey,"&lt;="&amp;Calc!$H1943)-SUMIFS(CalcWit,CalcBank,LEFT(UPPER(TRIM($E1943)),6),CalcKey,"&lt;="&amp;Calc!$H1943))</f>
        <v/>
      </c>
      <c r="O1943" s="10">
        <f>IF(OR($C1943="",$M1943=""),"",IF($N1943="","؟",IF(ROUND($M1943-$N1943,0)=0,"√","×")))</f>
        <v/>
      </c>
      <c r="P1943" s="12" t="n"/>
    </row>
    <row r="1944">
      <c r="A1944" s="10">
        <f>IF($C1944="","",COUNTA($C$9:$C1944))</f>
        <v/>
      </c>
      <c r="B1944" s="10">
        <f>IF($C1944="","","TXN-"&amp;RIGHT("0000"&amp;1936,4))</f>
        <v/>
      </c>
      <c r="C1944" s="11" t="n"/>
      <c r="D1944" s="11" t="n"/>
      <c r="E1944" s="12" t="n"/>
      <c r="F1944" s="10">
        <f>IF($E1944="","",IFERROR(IF(VLOOKUP(LEFT(UPPER(TRIM($E1944)),6),BankTbl,2,0)="","(بدون عنوان)",VLOOKUP(LEFT(UPPER(TRIM($E1944)),6),BankTbl,2,0)),"بانک ناشناخته"))</f>
        <v/>
      </c>
      <c r="G1944" s="11" t="n"/>
      <c r="H1944" s="10">
        <f>IF($G1944="","",IFERROR(VLOOKUP($G1944,CustTbl,2,0),IFERROR(VLOOKUP($G1944,SuppTbl,2,0),IFERROR(VLOOKUP($G1944,AcctTbl,2,0),IFERROR(VLOOKUP($G1944,StaffTbl,2,0),"کد ناشناخته")))))</f>
        <v/>
      </c>
      <c r="I1944" s="12" t="n"/>
      <c r="J1944" s="12" t="n"/>
      <c r="K1944" s="13" t="n"/>
      <c r="L1944" s="13" t="n"/>
      <c r="M1944" s="13" t="n"/>
      <c r="N1944" s="14">
        <f>IF(OR($C1944="",$E1944="",Calc!$H1944=""),"",IFERROR(VLOOKUP(LEFT(UPPER(TRIM($E1944)),6),BankTbl,3,0),0)+SUMIFS(CalcDep,CalcBank,LEFT(UPPER(TRIM($E1944)),6),CalcKey,"&lt;="&amp;Calc!$H1944)-SUMIFS(CalcWit,CalcBank,LEFT(UPPER(TRIM($E1944)),6),CalcKey,"&lt;="&amp;Calc!$H1944))</f>
        <v/>
      </c>
      <c r="O1944" s="10">
        <f>IF(OR($C1944="",$M1944=""),"",IF($N1944="","؟",IF(ROUND($M1944-$N1944,0)=0,"√","×")))</f>
        <v/>
      </c>
      <c r="P1944" s="12" t="n"/>
    </row>
    <row r="1945">
      <c r="A1945" s="10">
        <f>IF($C1945="","",COUNTA($C$9:$C1945))</f>
        <v/>
      </c>
      <c r="B1945" s="10">
        <f>IF($C1945="","","TXN-"&amp;RIGHT("0000"&amp;1937,4))</f>
        <v/>
      </c>
      <c r="C1945" s="11" t="n"/>
      <c r="D1945" s="11" t="n"/>
      <c r="E1945" s="12" t="n"/>
      <c r="F1945" s="10">
        <f>IF($E1945="","",IFERROR(IF(VLOOKUP(LEFT(UPPER(TRIM($E1945)),6),BankTbl,2,0)="","(بدون عنوان)",VLOOKUP(LEFT(UPPER(TRIM($E1945)),6),BankTbl,2,0)),"بانک ناشناخته"))</f>
        <v/>
      </c>
      <c r="G1945" s="11" t="n"/>
      <c r="H1945" s="10">
        <f>IF($G1945="","",IFERROR(VLOOKUP($G1945,CustTbl,2,0),IFERROR(VLOOKUP($G1945,SuppTbl,2,0),IFERROR(VLOOKUP($G1945,AcctTbl,2,0),IFERROR(VLOOKUP($G1945,StaffTbl,2,0),"کد ناشناخته")))))</f>
        <v/>
      </c>
      <c r="I1945" s="12" t="n"/>
      <c r="J1945" s="12" t="n"/>
      <c r="K1945" s="13" t="n"/>
      <c r="L1945" s="13" t="n"/>
      <c r="M1945" s="13" t="n"/>
      <c r="N1945" s="14">
        <f>IF(OR($C1945="",$E1945="",Calc!$H1945=""),"",IFERROR(VLOOKUP(LEFT(UPPER(TRIM($E1945)),6),BankTbl,3,0),0)+SUMIFS(CalcDep,CalcBank,LEFT(UPPER(TRIM($E1945)),6),CalcKey,"&lt;="&amp;Calc!$H1945)-SUMIFS(CalcWit,CalcBank,LEFT(UPPER(TRIM($E1945)),6),CalcKey,"&lt;="&amp;Calc!$H1945))</f>
        <v/>
      </c>
      <c r="O1945" s="10">
        <f>IF(OR($C1945="",$M1945=""),"",IF($N1945="","؟",IF(ROUND($M1945-$N1945,0)=0,"√","×")))</f>
        <v/>
      </c>
      <c r="P1945" s="12" t="n"/>
    </row>
    <row r="1946">
      <c r="A1946" s="10">
        <f>IF($C1946="","",COUNTA($C$9:$C1946))</f>
        <v/>
      </c>
      <c r="B1946" s="10">
        <f>IF($C1946="","","TXN-"&amp;RIGHT("0000"&amp;1938,4))</f>
        <v/>
      </c>
      <c r="C1946" s="11" t="n"/>
      <c r="D1946" s="11" t="n"/>
      <c r="E1946" s="12" t="n"/>
      <c r="F1946" s="10">
        <f>IF($E1946="","",IFERROR(IF(VLOOKUP(LEFT(UPPER(TRIM($E1946)),6),BankTbl,2,0)="","(بدون عنوان)",VLOOKUP(LEFT(UPPER(TRIM($E1946)),6),BankTbl,2,0)),"بانک ناشناخته"))</f>
        <v/>
      </c>
      <c r="G1946" s="11" t="n"/>
      <c r="H1946" s="10">
        <f>IF($G1946="","",IFERROR(VLOOKUP($G1946,CustTbl,2,0),IFERROR(VLOOKUP($G1946,SuppTbl,2,0),IFERROR(VLOOKUP($G1946,AcctTbl,2,0),IFERROR(VLOOKUP($G1946,StaffTbl,2,0),"کد ناشناخته")))))</f>
        <v/>
      </c>
      <c r="I1946" s="12" t="n"/>
      <c r="J1946" s="12" t="n"/>
      <c r="K1946" s="13" t="n"/>
      <c r="L1946" s="13" t="n"/>
      <c r="M1946" s="13" t="n"/>
      <c r="N1946" s="14">
        <f>IF(OR($C1946="",$E1946="",Calc!$H1946=""),"",IFERROR(VLOOKUP(LEFT(UPPER(TRIM($E1946)),6),BankTbl,3,0),0)+SUMIFS(CalcDep,CalcBank,LEFT(UPPER(TRIM($E1946)),6),CalcKey,"&lt;="&amp;Calc!$H1946)-SUMIFS(CalcWit,CalcBank,LEFT(UPPER(TRIM($E1946)),6),CalcKey,"&lt;="&amp;Calc!$H1946))</f>
        <v/>
      </c>
      <c r="O1946" s="10">
        <f>IF(OR($C1946="",$M1946=""),"",IF($N1946="","؟",IF(ROUND($M1946-$N1946,0)=0,"√","×")))</f>
        <v/>
      </c>
      <c r="P1946" s="12" t="n"/>
    </row>
    <row r="1947">
      <c r="A1947" s="10">
        <f>IF($C1947="","",COUNTA($C$9:$C1947))</f>
        <v/>
      </c>
      <c r="B1947" s="10">
        <f>IF($C1947="","","TXN-"&amp;RIGHT("0000"&amp;1939,4))</f>
        <v/>
      </c>
      <c r="C1947" s="11" t="n"/>
      <c r="D1947" s="11" t="n"/>
      <c r="E1947" s="12" t="n"/>
      <c r="F1947" s="10">
        <f>IF($E1947="","",IFERROR(IF(VLOOKUP(LEFT(UPPER(TRIM($E1947)),6),BankTbl,2,0)="","(بدون عنوان)",VLOOKUP(LEFT(UPPER(TRIM($E1947)),6),BankTbl,2,0)),"بانک ناشناخته"))</f>
        <v/>
      </c>
      <c r="G1947" s="11" t="n"/>
      <c r="H1947" s="10">
        <f>IF($G1947="","",IFERROR(VLOOKUP($G1947,CustTbl,2,0),IFERROR(VLOOKUP($G1947,SuppTbl,2,0),IFERROR(VLOOKUP($G1947,AcctTbl,2,0),IFERROR(VLOOKUP($G1947,StaffTbl,2,0),"کد ناشناخته")))))</f>
        <v/>
      </c>
      <c r="I1947" s="12" t="n"/>
      <c r="J1947" s="12" t="n"/>
      <c r="K1947" s="13" t="n"/>
      <c r="L1947" s="13" t="n"/>
      <c r="M1947" s="13" t="n"/>
      <c r="N1947" s="14">
        <f>IF(OR($C1947="",$E1947="",Calc!$H1947=""),"",IFERROR(VLOOKUP(LEFT(UPPER(TRIM($E1947)),6),BankTbl,3,0),0)+SUMIFS(CalcDep,CalcBank,LEFT(UPPER(TRIM($E1947)),6),CalcKey,"&lt;="&amp;Calc!$H1947)-SUMIFS(CalcWit,CalcBank,LEFT(UPPER(TRIM($E1947)),6),CalcKey,"&lt;="&amp;Calc!$H1947))</f>
        <v/>
      </c>
      <c r="O1947" s="10">
        <f>IF(OR($C1947="",$M1947=""),"",IF($N1947="","؟",IF(ROUND($M1947-$N1947,0)=0,"√","×")))</f>
        <v/>
      </c>
      <c r="P1947" s="12" t="n"/>
    </row>
    <row r="1948">
      <c r="A1948" s="10">
        <f>IF($C1948="","",COUNTA($C$9:$C1948))</f>
        <v/>
      </c>
      <c r="B1948" s="10">
        <f>IF($C1948="","","TXN-"&amp;RIGHT("0000"&amp;1940,4))</f>
        <v/>
      </c>
      <c r="C1948" s="11" t="n"/>
      <c r="D1948" s="11" t="n"/>
      <c r="E1948" s="12" t="n"/>
      <c r="F1948" s="10">
        <f>IF($E1948="","",IFERROR(IF(VLOOKUP(LEFT(UPPER(TRIM($E1948)),6),BankTbl,2,0)="","(بدون عنوان)",VLOOKUP(LEFT(UPPER(TRIM($E1948)),6),BankTbl,2,0)),"بانک ناشناخته"))</f>
        <v/>
      </c>
      <c r="G1948" s="11" t="n"/>
      <c r="H1948" s="10">
        <f>IF($G1948="","",IFERROR(VLOOKUP($G1948,CustTbl,2,0),IFERROR(VLOOKUP($G1948,SuppTbl,2,0),IFERROR(VLOOKUP($G1948,AcctTbl,2,0),IFERROR(VLOOKUP($G1948,StaffTbl,2,0),"کد ناشناخته")))))</f>
        <v/>
      </c>
      <c r="I1948" s="12" t="n"/>
      <c r="J1948" s="12" t="n"/>
      <c r="K1948" s="13" t="n"/>
      <c r="L1948" s="13" t="n"/>
      <c r="M1948" s="13" t="n"/>
      <c r="N1948" s="14">
        <f>IF(OR($C1948="",$E1948="",Calc!$H1948=""),"",IFERROR(VLOOKUP(LEFT(UPPER(TRIM($E1948)),6),BankTbl,3,0),0)+SUMIFS(CalcDep,CalcBank,LEFT(UPPER(TRIM($E1948)),6),CalcKey,"&lt;="&amp;Calc!$H1948)-SUMIFS(CalcWit,CalcBank,LEFT(UPPER(TRIM($E1948)),6),CalcKey,"&lt;="&amp;Calc!$H1948))</f>
        <v/>
      </c>
      <c r="O1948" s="10">
        <f>IF(OR($C1948="",$M1948=""),"",IF($N1948="","؟",IF(ROUND($M1948-$N1948,0)=0,"√","×")))</f>
        <v/>
      </c>
      <c r="P1948" s="12" t="n"/>
    </row>
    <row r="1949">
      <c r="A1949" s="10">
        <f>IF($C1949="","",COUNTA($C$9:$C1949))</f>
        <v/>
      </c>
      <c r="B1949" s="10">
        <f>IF($C1949="","","TXN-"&amp;RIGHT("0000"&amp;1941,4))</f>
        <v/>
      </c>
      <c r="C1949" s="11" t="n"/>
      <c r="D1949" s="11" t="n"/>
      <c r="E1949" s="12" t="n"/>
      <c r="F1949" s="10">
        <f>IF($E1949="","",IFERROR(IF(VLOOKUP(LEFT(UPPER(TRIM($E1949)),6),BankTbl,2,0)="","(بدون عنوان)",VLOOKUP(LEFT(UPPER(TRIM($E1949)),6),BankTbl,2,0)),"بانک ناشناخته"))</f>
        <v/>
      </c>
      <c r="G1949" s="11" t="n"/>
      <c r="H1949" s="10">
        <f>IF($G1949="","",IFERROR(VLOOKUP($G1949,CustTbl,2,0),IFERROR(VLOOKUP($G1949,SuppTbl,2,0),IFERROR(VLOOKUP($G1949,AcctTbl,2,0),IFERROR(VLOOKUP($G1949,StaffTbl,2,0),"کد ناشناخته")))))</f>
        <v/>
      </c>
      <c r="I1949" s="12" t="n"/>
      <c r="J1949" s="12" t="n"/>
      <c r="K1949" s="13" t="n"/>
      <c r="L1949" s="13" t="n"/>
      <c r="M1949" s="13" t="n"/>
      <c r="N1949" s="14">
        <f>IF(OR($C1949="",$E1949="",Calc!$H1949=""),"",IFERROR(VLOOKUP(LEFT(UPPER(TRIM($E1949)),6),BankTbl,3,0),0)+SUMIFS(CalcDep,CalcBank,LEFT(UPPER(TRIM($E1949)),6),CalcKey,"&lt;="&amp;Calc!$H1949)-SUMIFS(CalcWit,CalcBank,LEFT(UPPER(TRIM($E1949)),6),CalcKey,"&lt;="&amp;Calc!$H1949))</f>
        <v/>
      </c>
      <c r="O1949" s="10">
        <f>IF(OR($C1949="",$M1949=""),"",IF($N1949="","؟",IF(ROUND($M1949-$N1949,0)=0,"√","×")))</f>
        <v/>
      </c>
      <c r="P1949" s="12" t="n"/>
    </row>
    <row r="1950">
      <c r="A1950" s="10">
        <f>IF($C1950="","",COUNTA($C$9:$C1950))</f>
        <v/>
      </c>
      <c r="B1950" s="10">
        <f>IF($C1950="","","TXN-"&amp;RIGHT("0000"&amp;1942,4))</f>
        <v/>
      </c>
      <c r="C1950" s="11" t="n"/>
      <c r="D1950" s="11" t="n"/>
      <c r="E1950" s="12" t="n"/>
      <c r="F1950" s="10">
        <f>IF($E1950="","",IFERROR(IF(VLOOKUP(LEFT(UPPER(TRIM($E1950)),6),BankTbl,2,0)="","(بدون عنوان)",VLOOKUP(LEFT(UPPER(TRIM($E1950)),6),BankTbl,2,0)),"بانک ناشناخته"))</f>
        <v/>
      </c>
      <c r="G1950" s="11" t="n"/>
      <c r="H1950" s="10">
        <f>IF($G1950="","",IFERROR(VLOOKUP($G1950,CustTbl,2,0),IFERROR(VLOOKUP($G1950,SuppTbl,2,0),IFERROR(VLOOKUP($G1950,AcctTbl,2,0),IFERROR(VLOOKUP($G1950,StaffTbl,2,0),"کد ناشناخته")))))</f>
        <v/>
      </c>
      <c r="I1950" s="12" t="n"/>
      <c r="J1950" s="12" t="n"/>
      <c r="K1950" s="13" t="n"/>
      <c r="L1950" s="13" t="n"/>
      <c r="M1950" s="13" t="n"/>
      <c r="N1950" s="14">
        <f>IF(OR($C1950="",$E1950="",Calc!$H1950=""),"",IFERROR(VLOOKUP(LEFT(UPPER(TRIM($E1950)),6),BankTbl,3,0),0)+SUMIFS(CalcDep,CalcBank,LEFT(UPPER(TRIM($E1950)),6),CalcKey,"&lt;="&amp;Calc!$H1950)-SUMIFS(CalcWit,CalcBank,LEFT(UPPER(TRIM($E1950)),6),CalcKey,"&lt;="&amp;Calc!$H1950))</f>
        <v/>
      </c>
      <c r="O1950" s="10">
        <f>IF(OR($C1950="",$M1950=""),"",IF($N1950="","؟",IF(ROUND($M1950-$N1950,0)=0,"√","×")))</f>
        <v/>
      </c>
      <c r="P1950" s="12" t="n"/>
    </row>
    <row r="1951">
      <c r="A1951" s="10">
        <f>IF($C1951="","",COUNTA($C$9:$C1951))</f>
        <v/>
      </c>
      <c r="B1951" s="10">
        <f>IF($C1951="","","TXN-"&amp;RIGHT("0000"&amp;1943,4))</f>
        <v/>
      </c>
      <c r="C1951" s="11" t="n"/>
      <c r="D1951" s="11" t="n"/>
      <c r="E1951" s="12" t="n"/>
      <c r="F1951" s="10">
        <f>IF($E1951="","",IFERROR(IF(VLOOKUP(LEFT(UPPER(TRIM($E1951)),6),BankTbl,2,0)="","(بدون عنوان)",VLOOKUP(LEFT(UPPER(TRIM($E1951)),6),BankTbl,2,0)),"بانک ناشناخته"))</f>
        <v/>
      </c>
      <c r="G1951" s="11" t="n"/>
      <c r="H1951" s="10">
        <f>IF($G1951="","",IFERROR(VLOOKUP($G1951,CustTbl,2,0),IFERROR(VLOOKUP($G1951,SuppTbl,2,0),IFERROR(VLOOKUP($G1951,AcctTbl,2,0),IFERROR(VLOOKUP($G1951,StaffTbl,2,0),"کد ناشناخته")))))</f>
        <v/>
      </c>
      <c r="I1951" s="12" t="n"/>
      <c r="J1951" s="12" t="n"/>
      <c r="K1951" s="13" t="n"/>
      <c r="L1951" s="13" t="n"/>
      <c r="M1951" s="13" t="n"/>
      <c r="N1951" s="14">
        <f>IF(OR($C1951="",$E1951="",Calc!$H1951=""),"",IFERROR(VLOOKUP(LEFT(UPPER(TRIM($E1951)),6),BankTbl,3,0),0)+SUMIFS(CalcDep,CalcBank,LEFT(UPPER(TRIM($E1951)),6),CalcKey,"&lt;="&amp;Calc!$H1951)-SUMIFS(CalcWit,CalcBank,LEFT(UPPER(TRIM($E1951)),6),CalcKey,"&lt;="&amp;Calc!$H1951))</f>
        <v/>
      </c>
      <c r="O1951" s="10">
        <f>IF(OR($C1951="",$M1951=""),"",IF($N1951="","؟",IF(ROUND($M1951-$N1951,0)=0,"√","×")))</f>
        <v/>
      </c>
      <c r="P1951" s="12" t="n"/>
    </row>
    <row r="1952">
      <c r="A1952" s="10">
        <f>IF($C1952="","",COUNTA($C$9:$C1952))</f>
        <v/>
      </c>
      <c r="B1952" s="10">
        <f>IF($C1952="","","TXN-"&amp;RIGHT("0000"&amp;1944,4))</f>
        <v/>
      </c>
      <c r="C1952" s="11" t="n"/>
      <c r="D1952" s="11" t="n"/>
      <c r="E1952" s="12" t="n"/>
      <c r="F1952" s="10">
        <f>IF($E1952="","",IFERROR(IF(VLOOKUP(LEFT(UPPER(TRIM($E1952)),6),BankTbl,2,0)="","(بدون عنوان)",VLOOKUP(LEFT(UPPER(TRIM($E1952)),6),BankTbl,2,0)),"بانک ناشناخته"))</f>
        <v/>
      </c>
      <c r="G1952" s="11" t="n"/>
      <c r="H1952" s="10">
        <f>IF($G1952="","",IFERROR(VLOOKUP($G1952,CustTbl,2,0),IFERROR(VLOOKUP($G1952,SuppTbl,2,0),IFERROR(VLOOKUP($G1952,AcctTbl,2,0),IFERROR(VLOOKUP($G1952,StaffTbl,2,0),"کد ناشناخته")))))</f>
        <v/>
      </c>
      <c r="I1952" s="12" t="n"/>
      <c r="J1952" s="12" t="n"/>
      <c r="K1952" s="13" t="n"/>
      <c r="L1952" s="13" t="n"/>
      <c r="M1952" s="13" t="n"/>
      <c r="N1952" s="14">
        <f>IF(OR($C1952="",$E1952="",Calc!$H1952=""),"",IFERROR(VLOOKUP(LEFT(UPPER(TRIM($E1952)),6),BankTbl,3,0),0)+SUMIFS(CalcDep,CalcBank,LEFT(UPPER(TRIM($E1952)),6),CalcKey,"&lt;="&amp;Calc!$H1952)-SUMIFS(CalcWit,CalcBank,LEFT(UPPER(TRIM($E1952)),6),CalcKey,"&lt;="&amp;Calc!$H1952))</f>
        <v/>
      </c>
      <c r="O1952" s="10">
        <f>IF(OR($C1952="",$M1952=""),"",IF($N1952="","؟",IF(ROUND($M1952-$N1952,0)=0,"√","×")))</f>
        <v/>
      </c>
      <c r="P1952" s="12" t="n"/>
    </row>
    <row r="1953">
      <c r="A1953" s="10">
        <f>IF($C1953="","",COUNTA($C$9:$C1953))</f>
        <v/>
      </c>
      <c r="B1953" s="10">
        <f>IF($C1953="","","TXN-"&amp;RIGHT("0000"&amp;1945,4))</f>
        <v/>
      </c>
      <c r="C1953" s="11" t="n"/>
      <c r="D1953" s="11" t="n"/>
      <c r="E1953" s="12" t="n"/>
      <c r="F1953" s="10">
        <f>IF($E1953="","",IFERROR(IF(VLOOKUP(LEFT(UPPER(TRIM($E1953)),6),BankTbl,2,0)="","(بدون عنوان)",VLOOKUP(LEFT(UPPER(TRIM($E1953)),6),BankTbl,2,0)),"بانک ناشناخته"))</f>
        <v/>
      </c>
      <c r="G1953" s="11" t="n"/>
      <c r="H1953" s="10">
        <f>IF($G1953="","",IFERROR(VLOOKUP($G1953,CustTbl,2,0),IFERROR(VLOOKUP($G1953,SuppTbl,2,0),IFERROR(VLOOKUP($G1953,AcctTbl,2,0),IFERROR(VLOOKUP($G1953,StaffTbl,2,0),"کد ناشناخته")))))</f>
        <v/>
      </c>
      <c r="I1953" s="12" t="n"/>
      <c r="J1953" s="12" t="n"/>
      <c r="K1953" s="13" t="n"/>
      <c r="L1953" s="13" t="n"/>
      <c r="M1953" s="13" t="n"/>
      <c r="N1953" s="14">
        <f>IF(OR($C1953="",$E1953="",Calc!$H1953=""),"",IFERROR(VLOOKUP(LEFT(UPPER(TRIM($E1953)),6),BankTbl,3,0),0)+SUMIFS(CalcDep,CalcBank,LEFT(UPPER(TRIM($E1953)),6),CalcKey,"&lt;="&amp;Calc!$H1953)-SUMIFS(CalcWit,CalcBank,LEFT(UPPER(TRIM($E1953)),6),CalcKey,"&lt;="&amp;Calc!$H1953))</f>
        <v/>
      </c>
      <c r="O1953" s="10">
        <f>IF(OR($C1953="",$M1953=""),"",IF($N1953="","؟",IF(ROUND($M1953-$N1953,0)=0,"√","×")))</f>
        <v/>
      </c>
      <c r="P1953" s="12" t="n"/>
    </row>
    <row r="1954">
      <c r="A1954" s="10">
        <f>IF($C1954="","",COUNTA($C$9:$C1954))</f>
        <v/>
      </c>
      <c r="B1954" s="10">
        <f>IF($C1954="","","TXN-"&amp;RIGHT("0000"&amp;1946,4))</f>
        <v/>
      </c>
      <c r="C1954" s="11" t="n"/>
      <c r="D1954" s="11" t="n"/>
      <c r="E1954" s="12" t="n"/>
      <c r="F1954" s="10">
        <f>IF($E1954="","",IFERROR(IF(VLOOKUP(LEFT(UPPER(TRIM($E1954)),6),BankTbl,2,0)="","(بدون عنوان)",VLOOKUP(LEFT(UPPER(TRIM($E1954)),6),BankTbl,2,0)),"بانک ناشناخته"))</f>
        <v/>
      </c>
      <c r="G1954" s="11" t="n"/>
      <c r="H1954" s="10">
        <f>IF($G1954="","",IFERROR(VLOOKUP($G1954,CustTbl,2,0),IFERROR(VLOOKUP($G1954,SuppTbl,2,0),IFERROR(VLOOKUP($G1954,AcctTbl,2,0),IFERROR(VLOOKUP($G1954,StaffTbl,2,0),"کد ناشناخته")))))</f>
        <v/>
      </c>
      <c r="I1954" s="12" t="n"/>
      <c r="J1954" s="12" t="n"/>
      <c r="K1954" s="13" t="n"/>
      <c r="L1954" s="13" t="n"/>
      <c r="M1954" s="13" t="n"/>
      <c r="N1954" s="14">
        <f>IF(OR($C1954="",$E1954="",Calc!$H1954=""),"",IFERROR(VLOOKUP(LEFT(UPPER(TRIM($E1954)),6),BankTbl,3,0),0)+SUMIFS(CalcDep,CalcBank,LEFT(UPPER(TRIM($E1954)),6),CalcKey,"&lt;="&amp;Calc!$H1954)-SUMIFS(CalcWit,CalcBank,LEFT(UPPER(TRIM($E1954)),6),CalcKey,"&lt;="&amp;Calc!$H1954))</f>
        <v/>
      </c>
      <c r="O1954" s="10">
        <f>IF(OR($C1954="",$M1954=""),"",IF($N1954="","؟",IF(ROUND($M1954-$N1954,0)=0,"√","×")))</f>
        <v/>
      </c>
      <c r="P1954" s="12" t="n"/>
    </row>
    <row r="1955">
      <c r="A1955" s="10">
        <f>IF($C1955="","",COUNTA($C$9:$C1955))</f>
        <v/>
      </c>
      <c r="B1955" s="10">
        <f>IF($C1955="","","TXN-"&amp;RIGHT("0000"&amp;1947,4))</f>
        <v/>
      </c>
      <c r="C1955" s="11" t="n"/>
      <c r="D1955" s="11" t="n"/>
      <c r="E1955" s="12" t="n"/>
      <c r="F1955" s="10">
        <f>IF($E1955="","",IFERROR(IF(VLOOKUP(LEFT(UPPER(TRIM($E1955)),6),BankTbl,2,0)="","(بدون عنوان)",VLOOKUP(LEFT(UPPER(TRIM($E1955)),6),BankTbl,2,0)),"بانک ناشناخته"))</f>
        <v/>
      </c>
      <c r="G1955" s="11" t="n"/>
      <c r="H1955" s="10">
        <f>IF($G1955="","",IFERROR(VLOOKUP($G1955,CustTbl,2,0),IFERROR(VLOOKUP($G1955,SuppTbl,2,0),IFERROR(VLOOKUP($G1955,AcctTbl,2,0),IFERROR(VLOOKUP($G1955,StaffTbl,2,0),"کد ناشناخته")))))</f>
        <v/>
      </c>
      <c r="I1955" s="12" t="n"/>
      <c r="J1955" s="12" t="n"/>
      <c r="K1955" s="13" t="n"/>
      <c r="L1955" s="13" t="n"/>
      <c r="M1955" s="13" t="n"/>
      <c r="N1955" s="14">
        <f>IF(OR($C1955="",$E1955="",Calc!$H1955=""),"",IFERROR(VLOOKUP(LEFT(UPPER(TRIM($E1955)),6),BankTbl,3,0),0)+SUMIFS(CalcDep,CalcBank,LEFT(UPPER(TRIM($E1955)),6),CalcKey,"&lt;="&amp;Calc!$H1955)-SUMIFS(CalcWit,CalcBank,LEFT(UPPER(TRIM($E1955)),6),CalcKey,"&lt;="&amp;Calc!$H1955))</f>
        <v/>
      </c>
      <c r="O1955" s="10">
        <f>IF(OR($C1955="",$M1955=""),"",IF($N1955="","؟",IF(ROUND($M1955-$N1955,0)=0,"√","×")))</f>
        <v/>
      </c>
      <c r="P1955" s="12" t="n"/>
    </row>
    <row r="1956">
      <c r="A1956" s="10">
        <f>IF($C1956="","",COUNTA($C$9:$C1956))</f>
        <v/>
      </c>
      <c r="B1956" s="10">
        <f>IF($C1956="","","TXN-"&amp;RIGHT("0000"&amp;1948,4))</f>
        <v/>
      </c>
      <c r="C1956" s="11" t="n"/>
      <c r="D1956" s="11" t="n"/>
      <c r="E1956" s="12" t="n"/>
      <c r="F1956" s="10">
        <f>IF($E1956="","",IFERROR(IF(VLOOKUP(LEFT(UPPER(TRIM($E1956)),6),BankTbl,2,0)="","(بدون عنوان)",VLOOKUP(LEFT(UPPER(TRIM($E1956)),6),BankTbl,2,0)),"بانک ناشناخته"))</f>
        <v/>
      </c>
      <c r="G1956" s="11" t="n"/>
      <c r="H1956" s="10">
        <f>IF($G1956="","",IFERROR(VLOOKUP($G1956,CustTbl,2,0),IFERROR(VLOOKUP($G1956,SuppTbl,2,0),IFERROR(VLOOKUP($G1956,AcctTbl,2,0),IFERROR(VLOOKUP($G1956,StaffTbl,2,0),"کد ناشناخته")))))</f>
        <v/>
      </c>
      <c r="I1956" s="12" t="n"/>
      <c r="J1956" s="12" t="n"/>
      <c r="K1956" s="13" t="n"/>
      <c r="L1956" s="13" t="n"/>
      <c r="M1956" s="13" t="n"/>
      <c r="N1956" s="14">
        <f>IF(OR($C1956="",$E1956="",Calc!$H1956=""),"",IFERROR(VLOOKUP(LEFT(UPPER(TRIM($E1956)),6),BankTbl,3,0),0)+SUMIFS(CalcDep,CalcBank,LEFT(UPPER(TRIM($E1956)),6),CalcKey,"&lt;="&amp;Calc!$H1956)-SUMIFS(CalcWit,CalcBank,LEFT(UPPER(TRIM($E1956)),6),CalcKey,"&lt;="&amp;Calc!$H1956))</f>
        <v/>
      </c>
      <c r="O1956" s="10">
        <f>IF(OR($C1956="",$M1956=""),"",IF($N1956="","؟",IF(ROUND($M1956-$N1956,0)=0,"√","×")))</f>
        <v/>
      </c>
      <c r="P1956" s="12" t="n"/>
    </row>
    <row r="1957">
      <c r="A1957" s="10">
        <f>IF($C1957="","",COUNTA($C$9:$C1957))</f>
        <v/>
      </c>
      <c r="B1957" s="10">
        <f>IF($C1957="","","TXN-"&amp;RIGHT("0000"&amp;1949,4))</f>
        <v/>
      </c>
      <c r="C1957" s="11" t="n"/>
      <c r="D1957" s="11" t="n"/>
      <c r="E1957" s="12" t="n"/>
      <c r="F1957" s="10">
        <f>IF($E1957="","",IFERROR(IF(VLOOKUP(LEFT(UPPER(TRIM($E1957)),6),BankTbl,2,0)="","(بدون عنوان)",VLOOKUP(LEFT(UPPER(TRIM($E1957)),6),BankTbl,2,0)),"بانک ناشناخته"))</f>
        <v/>
      </c>
      <c r="G1957" s="11" t="n"/>
      <c r="H1957" s="10">
        <f>IF($G1957="","",IFERROR(VLOOKUP($G1957,CustTbl,2,0),IFERROR(VLOOKUP($G1957,SuppTbl,2,0),IFERROR(VLOOKUP($G1957,AcctTbl,2,0),IFERROR(VLOOKUP($G1957,StaffTbl,2,0),"کد ناشناخته")))))</f>
        <v/>
      </c>
      <c r="I1957" s="12" t="n"/>
      <c r="J1957" s="12" t="n"/>
      <c r="K1957" s="13" t="n"/>
      <c r="L1957" s="13" t="n"/>
      <c r="M1957" s="13" t="n"/>
      <c r="N1957" s="14">
        <f>IF(OR($C1957="",$E1957="",Calc!$H1957=""),"",IFERROR(VLOOKUP(LEFT(UPPER(TRIM($E1957)),6),BankTbl,3,0),0)+SUMIFS(CalcDep,CalcBank,LEFT(UPPER(TRIM($E1957)),6),CalcKey,"&lt;="&amp;Calc!$H1957)-SUMIFS(CalcWit,CalcBank,LEFT(UPPER(TRIM($E1957)),6),CalcKey,"&lt;="&amp;Calc!$H1957))</f>
        <v/>
      </c>
      <c r="O1957" s="10">
        <f>IF(OR($C1957="",$M1957=""),"",IF($N1957="","؟",IF(ROUND($M1957-$N1957,0)=0,"√","×")))</f>
        <v/>
      </c>
      <c r="P1957" s="12" t="n"/>
    </row>
    <row r="1958">
      <c r="A1958" s="10">
        <f>IF($C1958="","",COUNTA($C$9:$C1958))</f>
        <v/>
      </c>
      <c r="B1958" s="10">
        <f>IF($C1958="","","TXN-"&amp;RIGHT("0000"&amp;1950,4))</f>
        <v/>
      </c>
      <c r="C1958" s="11" t="n"/>
      <c r="D1958" s="11" t="n"/>
      <c r="E1958" s="12" t="n"/>
      <c r="F1958" s="10">
        <f>IF($E1958="","",IFERROR(IF(VLOOKUP(LEFT(UPPER(TRIM($E1958)),6),BankTbl,2,0)="","(بدون عنوان)",VLOOKUP(LEFT(UPPER(TRIM($E1958)),6),BankTbl,2,0)),"بانک ناشناخته"))</f>
        <v/>
      </c>
      <c r="G1958" s="11" t="n"/>
      <c r="H1958" s="10">
        <f>IF($G1958="","",IFERROR(VLOOKUP($G1958,CustTbl,2,0),IFERROR(VLOOKUP($G1958,SuppTbl,2,0),IFERROR(VLOOKUP($G1958,AcctTbl,2,0),IFERROR(VLOOKUP($G1958,StaffTbl,2,0),"کد ناشناخته")))))</f>
        <v/>
      </c>
      <c r="I1958" s="12" t="n"/>
      <c r="J1958" s="12" t="n"/>
      <c r="K1958" s="13" t="n"/>
      <c r="L1958" s="13" t="n"/>
      <c r="M1958" s="13" t="n"/>
      <c r="N1958" s="14">
        <f>IF(OR($C1958="",$E1958="",Calc!$H1958=""),"",IFERROR(VLOOKUP(LEFT(UPPER(TRIM($E1958)),6),BankTbl,3,0),0)+SUMIFS(CalcDep,CalcBank,LEFT(UPPER(TRIM($E1958)),6),CalcKey,"&lt;="&amp;Calc!$H1958)-SUMIFS(CalcWit,CalcBank,LEFT(UPPER(TRIM($E1958)),6),CalcKey,"&lt;="&amp;Calc!$H1958))</f>
        <v/>
      </c>
      <c r="O1958" s="10">
        <f>IF(OR($C1958="",$M1958=""),"",IF($N1958="","؟",IF(ROUND($M1958-$N1958,0)=0,"√","×")))</f>
        <v/>
      </c>
      <c r="P1958" s="12" t="n"/>
    </row>
    <row r="1959">
      <c r="A1959" s="10">
        <f>IF($C1959="","",COUNTA($C$9:$C1959))</f>
        <v/>
      </c>
      <c r="B1959" s="10">
        <f>IF($C1959="","","TXN-"&amp;RIGHT("0000"&amp;1951,4))</f>
        <v/>
      </c>
      <c r="C1959" s="11" t="n"/>
      <c r="D1959" s="11" t="n"/>
      <c r="E1959" s="12" t="n"/>
      <c r="F1959" s="10">
        <f>IF($E1959="","",IFERROR(IF(VLOOKUP(LEFT(UPPER(TRIM($E1959)),6),BankTbl,2,0)="","(بدون عنوان)",VLOOKUP(LEFT(UPPER(TRIM($E1959)),6),BankTbl,2,0)),"بانک ناشناخته"))</f>
        <v/>
      </c>
      <c r="G1959" s="11" t="n"/>
      <c r="H1959" s="10">
        <f>IF($G1959="","",IFERROR(VLOOKUP($G1959,CustTbl,2,0),IFERROR(VLOOKUP($G1959,SuppTbl,2,0),IFERROR(VLOOKUP($G1959,AcctTbl,2,0),IFERROR(VLOOKUP($G1959,StaffTbl,2,0),"کد ناشناخته")))))</f>
        <v/>
      </c>
      <c r="I1959" s="12" t="n"/>
      <c r="J1959" s="12" t="n"/>
      <c r="K1959" s="13" t="n"/>
      <c r="L1959" s="13" t="n"/>
      <c r="M1959" s="13" t="n"/>
      <c r="N1959" s="14">
        <f>IF(OR($C1959="",$E1959="",Calc!$H1959=""),"",IFERROR(VLOOKUP(LEFT(UPPER(TRIM($E1959)),6),BankTbl,3,0),0)+SUMIFS(CalcDep,CalcBank,LEFT(UPPER(TRIM($E1959)),6),CalcKey,"&lt;="&amp;Calc!$H1959)-SUMIFS(CalcWit,CalcBank,LEFT(UPPER(TRIM($E1959)),6),CalcKey,"&lt;="&amp;Calc!$H1959))</f>
        <v/>
      </c>
      <c r="O1959" s="10">
        <f>IF(OR($C1959="",$M1959=""),"",IF($N1959="","؟",IF(ROUND($M1959-$N1959,0)=0,"√","×")))</f>
        <v/>
      </c>
      <c r="P1959" s="12" t="n"/>
    </row>
    <row r="1960">
      <c r="A1960" s="10">
        <f>IF($C1960="","",COUNTA($C$9:$C1960))</f>
        <v/>
      </c>
      <c r="B1960" s="10">
        <f>IF($C1960="","","TXN-"&amp;RIGHT("0000"&amp;1952,4))</f>
        <v/>
      </c>
      <c r="C1960" s="11" t="n"/>
      <c r="D1960" s="11" t="n"/>
      <c r="E1960" s="12" t="n"/>
      <c r="F1960" s="10">
        <f>IF($E1960="","",IFERROR(IF(VLOOKUP(LEFT(UPPER(TRIM($E1960)),6),BankTbl,2,0)="","(بدون عنوان)",VLOOKUP(LEFT(UPPER(TRIM($E1960)),6),BankTbl,2,0)),"بانک ناشناخته"))</f>
        <v/>
      </c>
      <c r="G1960" s="11" t="n"/>
      <c r="H1960" s="10">
        <f>IF($G1960="","",IFERROR(VLOOKUP($G1960,CustTbl,2,0),IFERROR(VLOOKUP($G1960,SuppTbl,2,0),IFERROR(VLOOKUP($G1960,AcctTbl,2,0),IFERROR(VLOOKUP($G1960,StaffTbl,2,0),"کد ناشناخته")))))</f>
        <v/>
      </c>
      <c r="I1960" s="12" t="n"/>
      <c r="J1960" s="12" t="n"/>
      <c r="K1960" s="13" t="n"/>
      <c r="L1960" s="13" t="n"/>
      <c r="M1960" s="13" t="n"/>
      <c r="N1960" s="14">
        <f>IF(OR($C1960="",$E1960="",Calc!$H1960=""),"",IFERROR(VLOOKUP(LEFT(UPPER(TRIM($E1960)),6),BankTbl,3,0),0)+SUMIFS(CalcDep,CalcBank,LEFT(UPPER(TRIM($E1960)),6),CalcKey,"&lt;="&amp;Calc!$H1960)-SUMIFS(CalcWit,CalcBank,LEFT(UPPER(TRIM($E1960)),6),CalcKey,"&lt;="&amp;Calc!$H1960))</f>
        <v/>
      </c>
      <c r="O1960" s="10">
        <f>IF(OR($C1960="",$M1960=""),"",IF($N1960="","؟",IF(ROUND($M1960-$N1960,0)=0,"√","×")))</f>
        <v/>
      </c>
      <c r="P1960" s="12" t="n"/>
    </row>
    <row r="1961">
      <c r="A1961" s="10">
        <f>IF($C1961="","",COUNTA($C$9:$C1961))</f>
        <v/>
      </c>
      <c r="B1961" s="10">
        <f>IF($C1961="","","TXN-"&amp;RIGHT("0000"&amp;1953,4))</f>
        <v/>
      </c>
      <c r="C1961" s="11" t="n"/>
      <c r="D1961" s="11" t="n"/>
      <c r="E1961" s="12" t="n"/>
      <c r="F1961" s="10">
        <f>IF($E1961="","",IFERROR(IF(VLOOKUP(LEFT(UPPER(TRIM($E1961)),6),BankTbl,2,0)="","(بدون عنوان)",VLOOKUP(LEFT(UPPER(TRIM($E1961)),6),BankTbl,2,0)),"بانک ناشناخته"))</f>
        <v/>
      </c>
      <c r="G1961" s="11" t="n"/>
      <c r="H1961" s="10">
        <f>IF($G1961="","",IFERROR(VLOOKUP($G1961,CustTbl,2,0),IFERROR(VLOOKUP($G1961,SuppTbl,2,0),IFERROR(VLOOKUP($G1961,AcctTbl,2,0),IFERROR(VLOOKUP($G1961,StaffTbl,2,0),"کد ناشناخته")))))</f>
        <v/>
      </c>
      <c r="I1961" s="12" t="n"/>
      <c r="J1961" s="12" t="n"/>
      <c r="K1961" s="13" t="n"/>
      <c r="L1961" s="13" t="n"/>
      <c r="M1961" s="13" t="n"/>
      <c r="N1961" s="14">
        <f>IF(OR($C1961="",$E1961="",Calc!$H1961=""),"",IFERROR(VLOOKUP(LEFT(UPPER(TRIM($E1961)),6),BankTbl,3,0),0)+SUMIFS(CalcDep,CalcBank,LEFT(UPPER(TRIM($E1961)),6),CalcKey,"&lt;="&amp;Calc!$H1961)-SUMIFS(CalcWit,CalcBank,LEFT(UPPER(TRIM($E1961)),6),CalcKey,"&lt;="&amp;Calc!$H1961))</f>
        <v/>
      </c>
      <c r="O1961" s="10">
        <f>IF(OR($C1961="",$M1961=""),"",IF($N1961="","؟",IF(ROUND($M1961-$N1961,0)=0,"√","×")))</f>
        <v/>
      </c>
      <c r="P1961" s="12" t="n"/>
    </row>
    <row r="1962">
      <c r="A1962" s="10">
        <f>IF($C1962="","",COUNTA($C$9:$C1962))</f>
        <v/>
      </c>
      <c r="B1962" s="10">
        <f>IF($C1962="","","TXN-"&amp;RIGHT("0000"&amp;1954,4))</f>
        <v/>
      </c>
      <c r="C1962" s="11" t="n"/>
      <c r="D1962" s="11" t="n"/>
      <c r="E1962" s="12" t="n"/>
      <c r="F1962" s="10">
        <f>IF($E1962="","",IFERROR(IF(VLOOKUP(LEFT(UPPER(TRIM($E1962)),6),BankTbl,2,0)="","(بدون عنوان)",VLOOKUP(LEFT(UPPER(TRIM($E1962)),6),BankTbl,2,0)),"بانک ناشناخته"))</f>
        <v/>
      </c>
      <c r="G1962" s="11" t="n"/>
      <c r="H1962" s="10">
        <f>IF($G1962="","",IFERROR(VLOOKUP($G1962,CustTbl,2,0),IFERROR(VLOOKUP($G1962,SuppTbl,2,0),IFERROR(VLOOKUP($G1962,AcctTbl,2,0),IFERROR(VLOOKUP($G1962,StaffTbl,2,0),"کد ناشناخته")))))</f>
        <v/>
      </c>
      <c r="I1962" s="12" t="n"/>
      <c r="J1962" s="12" t="n"/>
      <c r="K1962" s="13" t="n"/>
      <c r="L1962" s="13" t="n"/>
      <c r="M1962" s="13" t="n"/>
      <c r="N1962" s="14">
        <f>IF(OR($C1962="",$E1962="",Calc!$H1962=""),"",IFERROR(VLOOKUP(LEFT(UPPER(TRIM($E1962)),6),BankTbl,3,0),0)+SUMIFS(CalcDep,CalcBank,LEFT(UPPER(TRIM($E1962)),6),CalcKey,"&lt;="&amp;Calc!$H1962)-SUMIFS(CalcWit,CalcBank,LEFT(UPPER(TRIM($E1962)),6),CalcKey,"&lt;="&amp;Calc!$H1962))</f>
        <v/>
      </c>
      <c r="O1962" s="10">
        <f>IF(OR($C1962="",$M1962=""),"",IF($N1962="","؟",IF(ROUND($M1962-$N1962,0)=0,"√","×")))</f>
        <v/>
      </c>
      <c r="P1962" s="12" t="n"/>
    </row>
    <row r="1963">
      <c r="A1963" s="10">
        <f>IF($C1963="","",COUNTA($C$9:$C1963))</f>
        <v/>
      </c>
      <c r="B1963" s="10">
        <f>IF($C1963="","","TXN-"&amp;RIGHT("0000"&amp;1955,4))</f>
        <v/>
      </c>
      <c r="C1963" s="11" t="n"/>
      <c r="D1963" s="11" t="n"/>
      <c r="E1963" s="12" t="n"/>
      <c r="F1963" s="10">
        <f>IF($E1963="","",IFERROR(IF(VLOOKUP(LEFT(UPPER(TRIM($E1963)),6),BankTbl,2,0)="","(بدون عنوان)",VLOOKUP(LEFT(UPPER(TRIM($E1963)),6),BankTbl,2,0)),"بانک ناشناخته"))</f>
        <v/>
      </c>
      <c r="G1963" s="11" t="n"/>
      <c r="H1963" s="10">
        <f>IF($G1963="","",IFERROR(VLOOKUP($G1963,CustTbl,2,0),IFERROR(VLOOKUP($G1963,SuppTbl,2,0),IFERROR(VLOOKUP($G1963,AcctTbl,2,0),IFERROR(VLOOKUP($G1963,StaffTbl,2,0),"کد ناشناخته")))))</f>
        <v/>
      </c>
      <c r="I1963" s="12" t="n"/>
      <c r="J1963" s="12" t="n"/>
      <c r="K1963" s="13" t="n"/>
      <c r="L1963" s="13" t="n"/>
      <c r="M1963" s="13" t="n"/>
      <c r="N1963" s="14">
        <f>IF(OR($C1963="",$E1963="",Calc!$H1963=""),"",IFERROR(VLOOKUP(LEFT(UPPER(TRIM($E1963)),6),BankTbl,3,0),0)+SUMIFS(CalcDep,CalcBank,LEFT(UPPER(TRIM($E1963)),6),CalcKey,"&lt;="&amp;Calc!$H1963)-SUMIFS(CalcWit,CalcBank,LEFT(UPPER(TRIM($E1963)),6),CalcKey,"&lt;="&amp;Calc!$H1963))</f>
        <v/>
      </c>
      <c r="O1963" s="10">
        <f>IF(OR($C1963="",$M1963=""),"",IF($N1963="","؟",IF(ROUND($M1963-$N1963,0)=0,"√","×")))</f>
        <v/>
      </c>
      <c r="P1963" s="12" t="n"/>
    </row>
    <row r="1964">
      <c r="A1964" s="10">
        <f>IF($C1964="","",COUNTA($C$9:$C1964))</f>
        <v/>
      </c>
      <c r="B1964" s="10">
        <f>IF($C1964="","","TXN-"&amp;RIGHT("0000"&amp;1956,4))</f>
        <v/>
      </c>
      <c r="C1964" s="11" t="n"/>
      <c r="D1964" s="11" t="n"/>
      <c r="E1964" s="12" t="n"/>
      <c r="F1964" s="10">
        <f>IF($E1964="","",IFERROR(IF(VLOOKUP(LEFT(UPPER(TRIM($E1964)),6),BankTbl,2,0)="","(بدون عنوان)",VLOOKUP(LEFT(UPPER(TRIM($E1964)),6),BankTbl,2,0)),"بانک ناشناخته"))</f>
        <v/>
      </c>
      <c r="G1964" s="11" t="n"/>
      <c r="H1964" s="10">
        <f>IF($G1964="","",IFERROR(VLOOKUP($G1964,CustTbl,2,0),IFERROR(VLOOKUP($G1964,SuppTbl,2,0),IFERROR(VLOOKUP($G1964,AcctTbl,2,0),IFERROR(VLOOKUP($G1964,StaffTbl,2,0),"کد ناشناخته")))))</f>
        <v/>
      </c>
      <c r="I1964" s="12" t="n"/>
      <c r="J1964" s="12" t="n"/>
      <c r="K1964" s="13" t="n"/>
      <c r="L1964" s="13" t="n"/>
      <c r="M1964" s="13" t="n"/>
      <c r="N1964" s="14">
        <f>IF(OR($C1964="",$E1964="",Calc!$H1964=""),"",IFERROR(VLOOKUP(LEFT(UPPER(TRIM($E1964)),6),BankTbl,3,0),0)+SUMIFS(CalcDep,CalcBank,LEFT(UPPER(TRIM($E1964)),6),CalcKey,"&lt;="&amp;Calc!$H1964)-SUMIFS(CalcWit,CalcBank,LEFT(UPPER(TRIM($E1964)),6),CalcKey,"&lt;="&amp;Calc!$H1964))</f>
        <v/>
      </c>
      <c r="O1964" s="10">
        <f>IF(OR($C1964="",$M1964=""),"",IF($N1964="","؟",IF(ROUND($M1964-$N1964,0)=0,"√","×")))</f>
        <v/>
      </c>
      <c r="P1964" s="12" t="n"/>
    </row>
    <row r="1965">
      <c r="A1965" s="10">
        <f>IF($C1965="","",COUNTA($C$9:$C1965))</f>
        <v/>
      </c>
      <c r="B1965" s="10">
        <f>IF($C1965="","","TXN-"&amp;RIGHT("0000"&amp;1957,4))</f>
        <v/>
      </c>
      <c r="C1965" s="11" t="n"/>
      <c r="D1965" s="11" t="n"/>
      <c r="E1965" s="12" t="n"/>
      <c r="F1965" s="10">
        <f>IF($E1965="","",IFERROR(IF(VLOOKUP(LEFT(UPPER(TRIM($E1965)),6),BankTbl,2,0)="","(بدون عنوان)",VLOOKUP(LEFT(UPPER(TRIM($E1965)),6),BankTbl,2,0)),"بانک ناشناخته"))</f>
        <v/>
      </c>
      <c r="G1965" s="11" t="n"/>
      <c r="H1965" s="10">
        <f>IF($G1965="","",IFERROR(VLOOKUP($G1965,CustTbl,2,0),IFERROR(VLOOKUP($G1965,SuppTbl,2,0),IFERROR(VLOOKUP($G1965,AcctTbl,2,0),IFERROR(VLOOKUP($G1965,StaffTbl,2,0),"کد ناشناخته")))))</f>
        <v/>
      </c>
      <c r="I1965" s="12" t="n"/>
      <c r="J1965" s="12" t="n"/>
      <c r="K1965" s="13" t="n"/>
      <c r="L1965" s="13" t="n"/>
      <c r="M1965" s="13" t="n"/>
      <c r="N1965" s="14">
        <f>IF(OR($C1965="",$E1965="",Calc!$H1965=""),"",IFERROR(VLOOKUP(LEFT(UPPER(TRIM($E1965)),6),BankTbl,3,0),0)+SUMIFS(CalcDep,CalcBank,LEFT(UPPER(TRIM($E1965)),6),CalcKey,"&lt;="&amp;Calc!$H1965)-SUMIFS(CalcWit,CalcBank,LEFT(UPPER(TRIM($E1965)),6),CalcKey,"&lt;="&amp;Calc!$H1965))</f>
        <v/>
      </c>
      <c r="O1965" s="10">
        <f>IF(OR($C1965="",$M1965=""),"",IF($N1965="","؟",IF(ROUND($M1965-$N1965,0)=0,"√","×")))</f>
        <v/>
      </c>
      <c r="P1965" s="12" t="n"/>
    </row>
    <row r="1966">
      <c r="A1966" s="10">
        <f>IF($C1966="","",COUNTA($C$9:$C1966))</f>
        <v/>
      </c>
      <c r="B1966" s="10">
        <f>IF($C1966="","","TXN-"&amp;RIGHT("0000"&amp;1958,4))</f>
        <v/>
      </c>
      <c r="C1966" s="11" t="n"/>
      <c r="D1966" s="11" t="n"/>
      <c r="E1966" s="12" t="n"/>
      <c r="F1966" s="10">
        <f>IF($E1966="","",IFERROR(IF(VLOOKUP(LEFT(UPPER(TRIM($E1966)),6),BankTbl,2,0)="","(بدون عنوان)",VLOOKUP(LEFT(UPPER(TRIM($E1966)),6),BankTbl,2,0)),"بانک ناشناخته"))</f>
        <v/>
      </c>
      <c r="G1966" s="11" t="n"/>
      <c r="H1966" s="10">
        <f>IF($G1966="","",IFERROR(VLOOKUP($G1966,CustTbl,2,0),IFERROR(VLOOKUP($G1966,SuppTbl,2,0),IFERROR(VLOOKUP($G1966,AcctTbl,2,0),IFERROR(VLOOKUP($G1966,StaffTbl,2,0),"کد ناشناخته")))))</f>
        <v/>
      </c>
      <c r="I1966" s="12" t="n"/>
      <c r="J1966" s="12" t="n"/>
      <c r="K1966" s="13" t="n"/>
      <c r="L1966" s="13" t="n"/>
      <c r="M1966" s="13" t="n"/>
      <c r="N1966" s="14">
        <f>IF(OR($C1966="",$E1966="",Calc!$H1966=""),"",IFERROR(VLOOKUP(LEFT(UPPER(TRIM($E1966)),6),BankTbl,3,0),0)+SUMIFS(CalcDep,CalcBank,LEFT(UPPER(TRIM($E1966)),6),CalcKey,"&lt;="&amp;Calc!$H1966)-SUMIFS(CalcWit,CalcBank,LEFT(UPPER(TRIM($E1966)),6),CalcKey,"&lt;="&amp;Calc!$H1966))</f>
        <v/>
      </c>
      <c r="O1966" s="10">
        <f>IF(OR($C1966="",$M1966=""),"",IF($N1966="","؟",IF(ROUND($M1966-$N1966,0)=0,"√","×")))</f>
        <v/>
      </c>
      <c r="P1966" s="12" t="n"/>
    </row>
    <row r="1967">
      <c r="A1967" s="10">
        <f>IF($C1967="","",COUNTA($C$9:$C1967))</f>
        <v/>
      </c>
      <c r="B1967" s="10">
        <f>IF($C1967="","","TXN-"&amp;RIGHT("0000"&amp;1959,4))</f>
        <v/>
      </c>
      <c r="C1967" s="11" t="n"/>
      <c r="D1967" s="11" t="n"/>
      <c r="E1967" s="12" t="n"/>
      <c r="F1967" s="10">
        <f>IF($E1967="","",IFERROR(IF(VLOOKUP(LEFT(UPPER(TRIM($E1967)),6),BankTbl,2,0)="","(بدون عنوان)",VLOOKUP(LEFT(UPPER(TRIM($E1967)),6),BankTbl,2,0)),"بانک ناشناخته"))</f>
        <v/>
      </c>
      <c r="G1967" s="11" t="n"/>
      <c r="H1967" s="10">
        <f>IF($G1967="","",IFERROR(VLOOKUP($G1967,CustTbl,2,0),IFERROR(VLOOKUP($G1967,SuppTbl,2,0),IFERROR(VLOOKUP($G1967,AcctTbl,2,0),IFERROR(VLOOKUP($G1967,StaffTbl,2,0),"کد ناشناخته")))))</f>
        <v/>
      </c>
      <c r="I1967" s="12" t="n"/>
      <c r="J1967" s="12" t="n"/>
      <c r="K1967" s="13" t="n"/>
      <c r="L1967" s="13" t="n"/>
      <c r="M1967" s="13" t="n"/>
      <c r="N1967" s="14">
        <f>IF(OR($C1967="",$E1967="",Calc!$H1967=""),"",IFERROR(VLOOKUP(LEFT(UPPER(TRIM($E1967)),6),BankTbl,3,0),0)+SUMIFS(CalcDep,CalcBank,LEFT(UPPER(TRIM($E1967)),6),CalcKey,"&lt;="&amp;Calc!$H1967)-SUMIFS(CalcWit,CalcBank,LEFT(UPPER(TRIM($E1967)),6),CalcKey,"&lt;="&amp;Calc!$H1967))</f>
        <v/>
      </c>
      <c r="O1967" s="10">
        <f>IF(OR($C1967="",$M1967=""),"",IF($N1967="","؟",IF(ROUND($M1967-$N1967,0)=0,"√","×")))</f>
        <v/>
      </c>
      <c r="P1967" s="12" t="n"/>
    </row>
    <row r="1968">
      <c r="A1968" s="10">
        <f>IF($C1968="","",COUNTA($C$9:$C1968))</f>
        <v/>
      </c>
      <c r="B1968" s="10">
        <f>IF($C1968="","","TXN-"&amp;RIGHT("0000"&amp;1960,4))</f>
        <v/>
      </c>
      <c r="C1968" s="11" t="n"/>
      <c r="D1968" s="11" t="n"/>
      <c r="E1968" s="12" t="n"/>
      <c r="F1968" s="10">
        <f>IF($E1968="","",IFERROR(IF(VLOOKUP(LEFT(UPPER(TRIM($E1968)),6),BankTbl,2,0)="","(بدون عنوان)",VLOOKUP(LEFT(UPPER(TRIM($E1968)),6),BankTbl,2,0)),"بانک ناشناخته"))</f>
        <v/>
      </c>
      <c r="G1968" s="11" t="n"/>
      <c r="H1968" s="10">
        <f>IF($G1968="","",IFERROR(VLOOKUP($G1968,CustTbl,2,0),IFERROR(VLOOKUP($G1968,SuppTbl,2,0),IFERROR(VLOOKUP($G1968,AcctTbl,2,0),IFERROR(VLOOKUP($G1968,StaffTbl,2,0),"کد ناشناخته")))))</f>
        <v/>
      </c>
      <c r="I1968" s="12" t="n"/>
      <c r="J1968" s="12" t="n"/>
      <c r="K1968" s="13" t="n"/>
      <c r="L1968" s="13" t="n"/>
      <c r="M1968" s="13" t="n"/>
      <c r="N1968" s="14">
        <f>IF(OR($C1968="",$E1968="",Calc!$H1968=""),"",IFERROR(VLOOKUP(LEFT(UPPER(TRIM($E1968)),6),BankTbl,3,0),0)+SUMIFS(CalcDep,CalcBank,LEFT(UPPER(TRIM($E1968)),6),CalcKey,"&lt;="&amp;Calc!$H1968)-SUMIFS(CalcWit,CalcBank,LEFT(UPPER(TRIM($E1968)),6),CalcKey,"&lt;="&amp;Calc!$H1968))</f>
        <v/>
      </c>
      <c r="O1968" s="10">
        <f>IF(OR($C1968="",$M1968=""),"",IF($N1968="","؟",IF(ROUND($M1968-$N1968,0)=0,"√","×")))</f>
        <v/>
      </c>
      <c r="P1968" s="12" t="n"/>
    </row>
    <row r="1969">
      <c r="A1969" s="10">
        <f>IF($C1969="","",COUNTA($C$9:$C1969))</f>
        <v/>
      </c>
      <c r="B1969" s="10">
        <f>IF($C1969="","","TXN-"&amp;RIGHT("0000"&amp;1961,4))</f>
        <v/>
      </c>
      <c r="C1969" s="11" t="n"/>
      <c r="D1969" s="11" t="n"/>
      <c r="E1969" s="12" t="n"/>
      <c r="F1969" s="10">
        <f>IF($E1969="","",IFERROR(IF(VLOOKUP(LEFT(UPPER(TRIM($E1969)),6),BankTbl,2,0)="","(بدون عنوان)",VLOOKUP(LEFT(UPPER(TRIM($E1969)),6),BankTbl,2,0)),"بانک ناشناخته"))</f>
        <v/>
      </c>
      <c r="G1969" s="11" t="n"/>
      <c r="H1969" s="10">
        <f>IF($G1969="","",IFERROR(VLOOKUP($G1969,CustTbl,2,0),IFERROR(VLOOKUP($G1969,SuppTbl,2,0),IFERROR(VLOOKUP($G1969,AcctTbl,2,0),IFERROR(VLOOKUP($G1969,StaffTbl,2,0),"کد ناشناخته")))))</f>
        <v/>
      </c>
      <c r="I1969" s="12" t="n"/>
      <c r="J1969" s="12" t="n"/>
      <c r="K1969" s="13" t="n"/>
      <c r="L1969" s="13" t="n"/>
      <c r="M1969" s="13" t="n"/>
      <c r="N1969" s="14">
        <f>IF(OR($C1969="",$E1969="",Calc!$H1969=""),"",IFERROR(VLOOKUP(LEFT(UPPER(TRIM($E1969)),6),BankTbl,3,0),0)+SUMIFS(CalcDep,CalcBank,LEFT(UPPER(TRIM($E1969)),6),CalcKey,"&lt;="&amp;Calc!$H1969)-SUMIFS(CalcWit,CalcBank,LEFT(UPPER(TRIM($E1969)),6),CalcKey,"&lt;="&amp;Calc!$H1969))</f>
        <v/>
      </c>
      <c r="O1969" s="10">
        <f>IF(OR($C1969="",$M1969=""),"",IF($N1969="","؟",IF(ROUND($M1969-$N1969,0)=0,"√","×")))</f>
        <v/>
      </c>
      <c r="P1969" s="12" t="n"/>
    </row>
    <row r="1970">
      <c r="A1970" s="10">
        <f>IF($C1970="","",COUNTA($C$9:$C1970))</f>
        <v/>
      </c>
      <c r="B1970" s="10">
        <f>IF($C1970="","","TXN-"&amp;RIGHT("0000"&amp;1962,4))</f>
        <v/>
      </c>
      <c r="C1970" s="11" t="n"/>
      <c r="D1970" s="11" t="n"/>
      <c r="E1970" s="12" t="n"/>
      <c r="F1970" s="10">
        <f>IF($E1970="","",IFERROR(IF(VLOOKUP(LEFT(UPPER(TRIM($E1970)),6),BankTbl,2,0)="","(بدون عنوان)",VLOOKUP(LEFT(UPPER(TRIM($E1970)),6),BankTbl,2,0)),"بانک ناشناخته"))</f>
        <v/>
      </c>
      <c r="G1970" s="11" t="n"/>
      <c r="H1970" s="10">
        <f>IF($G1970="","",IFERROR(VLOOKUP($G1970,CustTbl,2,0),IFERROR(VLOOKUP($G1970,SuppTbl,2,0),IFERROR(VLOOKUP($G1970,AcctTbl,2,0),IFERROR(VLOOKUP($G1970,StaffTbl,2,0),"کد ناشناخته")))))</f>
        <v/>
      </c>
      <c r="I1970" s="12" t="n"/>
      <c r="J1970" s="12" t="n"/>
      <c r="K1970" s="13" t="n"/>
      <c r="L1970" s="13" t="n"/>
      <c r="M1970" s="13" t="n"/>
      <c r="N1970" s="14">
        <f>IF(OR($C1970="",$E1970="",Calc!$H1970=""),"",IFERROR(VLOOKUP(LEFT(UPPER(TRIM($E1970)),6),BankTbl,3,0),0)+SUMIFS(CalcDep,CalcBank,LEFT(UPPER(TRIM($E1970)),6),CalcKey,"&lt;="&amp;Calc!$H1970)-SUMIFS(CalcWit,CalcBank,LEFT(UPPER(TRIM($E1970)),6),CalcKey,"&lt;="&amp;Calc!$H1970))</f>
        <v/>
      </c>
      <c r="O1970" s="10">
        <f>IF(OR($C1970="",$M1970=""),"",IF($N1970="","؟",IF(ROUND($M1970-$N1970,0)=0,"√","×")))</f>
        <v/>
      </c>
      <c r="P1970" s="12" t="n"/>
    </row>
    <row r="1971">
      <c r="A1971" s="10">
        <f>IF($C1971="","",COUNTA($C$9:$C1971))</f>
        <v/>
      </c>
      <c r="B1971" s="10">
        <f>IF($C1971="","","TXN-"&amp;RIGHT("0000"&amp;1963,4))</f>
        <v/>
      </c>
      <c r="C1971" s="11" t="n"/>
      <c r="D1971" s="11" t="n"/>
      <c r="E1971" s="12" t="n"/>
      <c r="F1971" s="10">
        <f>IF($E1971="","",IFERROR(IF(VLOOKUP(LEFT(UPPER(TRIM($E1971)),6),BankTbl,2,0)="","(بدون عنوان)",VLOOKUP(LEFT(UPPER(TRIM($E1971)),6),BankTbl,2,0)),"بانک ناشناخته"))</f>
        <v/>
      </c>
      <c r="G1971" s="11" t="n"/>
      <c r="H1971" s="10">
        <f>IF($G1971="","",IFERROR(VLOOKUP($G1971,CustTbl,2,0),IFERROR(VLOOKUP($G1971,SuppTbl,2,0),IFERROR(VLOOKUP($G1971,AcctTbl,2,0),IFERROR(VLOOKUP($G1971,StaffTbl,2,0),"کد ناشناخته")))))</f>
        <v/>
      </c>
      <c r="I1971" s="12" t="n"/>
      <c r="J1971" s="12" t="n"/>
      <c r="K1971" s="13" t="n"/>
      <c r="L1971" s="13" t="n"/>
      <c r="M1971" s="13" t="n"/>
      <c r="N1971" s="14">
        <f>IF(OR($C1971="",$E1971="",Calc!$H1971=""),"",IFERROR(VLOOKUP(LEFT(UPPER(TRIM($E1971)),6),BankTbl,3,0),0)+SUMIFS(CalcDep,CalcBank,LEFT(UPPER(TRIM($E1971)),6),CalcKey,"&lt;="&amp;Calc!$H1971)-SUMIFS(CalcWit,CalcBank,LEFT(UPPER(TRIM($E1971)),6),CalcKey,"&lt;="&amp;Calc!$H1971))</f>
        <v/>
      </c>
      <c r="O1971" s="10">
        <f>IF(OR($C1971="",$M1971=""),"",IF($N1971="","؟",IF(ROUND($M1971-$N1971,0)=0,"√","×")))</f>
        <v/>
      </c>
      <c r="P1971" s="12" t="n"/>
    </row>
    <row r="1972">
      <c r="A1972" s="10">
        <f>IF($C1972="","",COUNTA($C$9:$C1972))</f>
        <v/>
      </c>
      <c r="B1972" s="10">
        <f>IF($C1972="","","TXN-"&amp;RIGHT("0000"&amp;1964,4))</f>
        <v/>
      </c>
      <c r="C1972" s="11" t="n"/>
      <c r="D1972" s="11" t="n"/>
      <c r="E1972" s="12" t="n"/>
      <c r="F1972" s="10">
        <f>IF($E1972="","",IFERROR(IF(VLOOKUP(LEFT(UPPER(TRIM($E1972)),6),BankTbl,2,0)="","(بدون عنوان)",VLOOKUP(LEFT(UPPER(TRIM($E1972)),6),BankTbl,2,0)),"بانک ناشناخته"))</f>
        <v/>
      </c>
      <c r="G1972" s="11" t="n"/>
      <c r="H1972" s="10">
        <f>IF($G1972="","",IFERROR(VLOOKUP($G1972,CustTbl,2,0),IFERROR(VLOOKUP($G1972,SuppTbl,2,0),IFERROR(VLOOKUP($G1972,AcctTbl,2,0),IFERROR(VLOOKUP($G1972,StaffTbl,2,0),"کد ناشناخته")))))</f>
        <v/>
      </c>
      <c r="I1972" s="12" t="n"/>
      <c r="J1972" s="12" t="n"/>
      <c r="K1972" s="13" t="n"/>
      <c r="L1972" s="13" t="n"/>
      <c r="M1972" s="13" t="n"/>
      <c r="N1972" s="14">
        <f>IF(OR($C1972="",$E1972="",Calc!$H1972=""),"",IFERROR(VLOOKUP(LEFT(UPPER(TRIM($E1972)),6),BankTbl,3,0),0)+SUMIFS(CalcDep,CalcBank,LEFT(UPPER(TRIM($E1972)),6),CalcKey,"&lt;="&amp;Calc!$H1972)-SUMIFS(CalcWit,CalcBank,LEFT(UPPER(TRIM($E1972)),6),CalcKey,"&lt;="&amp;Calc!$H1972))</f>
        <v/>
      </c>
      <c r="O1972" s="10">
        <f>IF(OR($C1972="",$M1972=""),"",IF($N1972="","؟",IF(ROUND($M1972-$N1972,0)=0,"√","×")))</f>
        <v/>
      </c>
      <c r="P1972" s="12" t="n"/>
    </row>
    <row r="1973">
      <c r="A1973" s="10">
        <f>IF($C1973="","",COUNTA($C$9:$C1973))</f>
        <v/>
      </c>
      <c r="B1973" s="10">
        <f>IF($C1973="","","TXN-"&amp;RIGHT("0000"&amp;1965,4))</f>
        <v/>
      </c>
      <c r="C1973" s="11" t="n"/>
      <c r="D1973" s="11" t="n"/>
      <c r="E1973" s="12" t="n"/>
      <c r="F1973" s="10">
        <f>IF($E1973="","",IFERROR(IF(VLOOKUP(LEFT(UPPER(TRIM($E1973)),6),BankTbl,2,0)="","(بدون عنوان)",VLOOKUP(LEFT(UPPER(TRIM($E1973)),6),BankTbl,2,0)),"بانک ناشناخته"))</f>
        <v/>
      </c>
      <c r="G1973" s="11" t="n"/>
      <c r="H1973" s="10">
        <f>IF($G1973="","",IFERROR(VLOOKUP($G1973,CustTbl,2,0),IFERROR(VLOOKUP($G1973,SuppTbl,2,0),IFERROR(VLOOKUP($G1973,AcctTbl,2,0),IFERROR(VLOOKUP($G1973,StaffTbl,2,0),"کد ناشناخته")))))</f>
        <v/>
      </c>
      <c r="I1973" s="12" t="n"/>
      <c r="J1973" s="12" t="n"/>
      <c r="K1973" s="13" t="n"/>
      <c r="L1973" s="13" t="n"/>
      <c r="M1973" s="13" t="n"/>
      <c r="N1973" s="14">
        <f>IF(OR($C1973="",$E1973="",Calc!$H1973=""),"",IFERROR(VLOOKUP(LEFT(UPPER(TRIM($E1973)),6),BankTbl,3,0),0)+SUMIFS(CalcDep,CalcBank,LEFT(UPPER(TRIM($E1973)),6),CalcKey,"&lt;="&amp;Calc!$H1973)-SUMIFS(CalcWit,CalcBank,LEFT(UPPER(TRIM($E1973)),6),CalcKey,"&lt;="&amp;Calc!$H1973))</f>
        <v/>
      </c>
      <c r="O1973" s="10">
        <f>IF(OR($C1973="",$M1973=""),"",IF($N1973="","؟",IF(ROUND($M1973-$N1973,0)=0,"√","×")))</f>
        <v/>
      </c>
      <c r="P1973" s="12" t="n"/>
    </row>
    <row r="1974">
      <c r="A1974" s="10">
        <f>IF($C1974="","",COUNTA($C$9:$C1974))</f>
        <v/>
      </c>
      <c r="B1974" s="10">
        <f>IF($C1974="","","TXN-"&amp;RIGHT("0000"&amp;1966,4))</f>
        <v/>
      </c>
      <c r="C1974" s="11" t="n"/>
      <c r="D1974" s="11" t="n"/>
      <c r="E1974" s="12" t="n"/>
      <c r="F1974" s="10">
        <f>IF($E1974="","",IFERROR(IF(VLOOKUP(LEFT(UPPER(TRIM($E1974)),6),BankTbl,2,0)="","(بدون عنوان)",VLOOKUP(LEFT(UPPER(TRIM($E1974)),6),BankTbl,2,0)),"بانک ناشناخته"))</f>
        <v/>
      </c>
      <c r="G1974" s="11" t="n"/>
      <c r="H1974" s="10">
        <f>IF($G1974="","",IFERROR(VLOOKUP($G1974,CustTbl,2,0),IFERROR(VLOOKUP($G1974,SuppTbl,2,0),IFERROR(VLOOKUP($G1974,AcctTbl,2,0),IFERROR(VLOOKUP($G1974,StaffTbl,2,0),"کد ناشناخته")))))</f>
        <v/>
      </c>
      <c r="I1974" s="12" t="n"/>
      <c r="J1974" s="12" t="n"/>
      <c r="K1974" s="13" t="n"/>
      <c r="L1974" s="13" t="n"/>
      <c r="M1974" s="13" t="n"/>
      <c r="N1974" s="14">
        <f>IF(OR($C1974="",$E1974="",Calc!$H1974=""),"",IFERROR(VLOOKUP(LEFT(UPPER(TRIM($E1974)),6),BankTbl,3,0),0)+SUMIFS(CalcDep,CalcBank,LEFT(UPPER(TRIM($E1974)),6),CalcKey,"&lt;="&amp;Calc!$H1974)-SUMIFS(CalcWit,CalcBank,LEFT(UPPER(TRIM($E1974)),6),CalcKey,"&lt;="&amp;Calc!$H1974))</f>
        <v/>
      </c>
      <c r="O1974" s="10">
        <f>IF(OR($C1974="",$M1974=""),"",IF($N1974="","؟",IF(ROUND($M1974-$N1974,0)=0,"√","×")))</f>
        <v/>
      </c>
      <c r="P1974" s="12" t="n"/>
    </row>
    <row r="1975">
      <c r="A1975" s="10">
        <f>IF($C1975="","",COUNTA($C$9:$C1975))</f>
        <v/>
      </c>
      <c r="B1975" s="10">
        <f>IF($C1975="","","TXN-"&amp;RIGHT("0000"&amp;1967,4))</f>
        <v/>
      </c>
      <c r="C1975" s="11" t="n"/>
      <c r="D1975" s="11" t="n"/>
      <c r="E1975" s="12" t="n"/>
      <c r="F1975" s="10">
        <f>IF($E1975="","",IFERROR(IF(VLOOKUP(LEFT(UPPER(TRIM($E1975)),6),BankTbl,2,0)="","(بدون عنوان)",VLOOKUP(LEFT(UPPER(TRIM($E1975)),6),BankTbl,2,0)),"بانک ناشناخته"))</f>
        <v/>
      </c>
      <c r="G1975" s="11" t="n"/>
      <c r="H1975" s="10">
        <f>IF($G1975="","",IFERROR(VLOOKUP($G1975,CustTbl,2,0),IFERROR(VLOOKUP($G1975,SuppTbl,2,0),IFERROR(VLOOKUP($G1975,AcctTbl,2,0),IFERROR(VLOOKUP($G1975,StaffTbl,2,0),"کد ناشناخته")))))</f>
        <v/>
      </c>
      <c r="I1975" s="12" t="n"/>
      <c r="J1975" s="12" t="n"/>
      <c r="K1975" s="13" t="n"/>
      <c r="L1975" s="13" t="n"/>
      <c r="M1975" s="13" t="n"/>
      <c r="N1975" s="14">
        <f>IF(OR($C1975="",$E1975="",Calc!$H1975=""),"",IFERROR(VLOOKUP(LEFT(UPPER(TRIM($E1975)),6),BankTbl,3,0),0)+SUMIFS(CalcDep,CalcBank,LEFT(UPPER(TRIM($E1975)),6),CalcKey,"&lt;="&amp;Calc!$H1975)-SUMIFS(CalcWit,CalcBank,LEFT(UPPER(TRIM($E1975)),6),CalcKey,"&lt;="&amp;Calc!$H1975))</f>
        <v/>
      </c>
      <c r="O1975" s="10">
        <f>IF(OR($C1975="",$M1975=""),"",IF($N1975="","؟",IF(ROUND($M1975-$N1975,0)=0,"√","×")))</f>
        <v/>
      </c>
      <c r="P1975" s="12" t="n"/>
    </row>
    <row r="1976">
      <c r="A1976" s="10">
        <f>IF($C1976="","",COUNTA($C$9:$C1976))</f>
        <v/>
      </c>
      <c r="B1976" s="10">
        <f>IF($C1976="","","TXN-"&amp;RIGHT("0000"&amp;1968,4))</f>
        <v/>
      </c>
      <c r="C1976" s="11" t="n"/>
      <c r="D1976" s="11" t="n"/>
      <c r="E1976" s="12" t="n"/>
      <c r="F1976" s="10">
        <f>IF($E1976="","",IFERROR(IF(VLOOKUP(LEFT(UPPER(TRIM($E1976)),6),BankTbl,2,0)="","(بدون عنوان)",VLOOKUP(LEFT(UPPER(TRIM($E1976)),6),BankTbl,2,0)),"بانک ناشناخته"))</f>
        <v/>
      </c>
      <c r="G1976" s="11" t="n"/>
      <c r="H1976" s="10">
        <f>IF($G1976="","",IFERROR(VLOOKUP($G1976,CustTbl,2,0),IFERROR(VLOOKUP($G1976,SuppTbl,2,0),IFERROR(VLOOKUP($G1976,AcctTbl,2,0),IFERROR(VLOOKUP($G1976,StaffTbl,2,0),"کد ناشناخته")))))</f>
        <v/>
      </c>
      <c r="I1976" s="12" t="n"/>
      <c r="J1976" s="12" t="n"/>
      <c r="K1976" s="13" t="n"/>
      <c r="L1976" s="13" t="n"/>
      <c r="M1976" s="13" t="n"/>
      <c r="N1976" s="14">
        <f>IF(OR($C1976="",$E1976="",Calc!$H1976=""),"",IFERROR(VLOOKUP(LEFT(UPPER(TRIM($E1976)),6),BankTbl,3,0),0)+SUMIFS(CalcDep,CalcBank,LEFT(UPPER(TRIM($E1976)),6),CalcKey,"&lt;="&amp;Calc!$H1976)-SUMIFS(CalcWit,CalcBank,LEFT(UPPER(TRIM($E1976)),6),CalcKey,"&lt;="&amp;Calc!$H1976))</f>
        <v/>
      </c>
      <c r="O1976" s="10">
        <f>IF(OR($C1976="",$M1976=""),"",IF($N1976="","؟",IF(ROUND($M1976-$N1976,0)=0,"√","×")))</f>
        <v/>
      </c>
      <c r="P1976" s="12" t="n"/>
    </row>
    <row r="1977">
      <c r="A1977" s="10">
        <f>IF($C1977="","",COUNTA($C$9:$C1977))</f>
        <v/>
      </c>
      <c r="B1977" s="10">
        <f>IF($C1977="","","TXN-"&amp;RIGHT("0000"&amp;1969,4))</f>
        <v/>
      </c>
      <c r="C1977" s="11" t="n"/>
      <c r="D1977" s="11" t="n"/>
      <c r="E1977" s="12" t="n"/>
      <c r="F1977" s="10">
        <f>IF($E1977="","",IFERROR(IF(VLOOKUP(LEFT(UPPER(TRIM($E1977)),6),BankTbl,2,0)="","(بدون عنوان)",VLOOKUP(LEFT(UPPER(TRIM($E1977)),6),BankTbl,2,0)),"بانک ناشناخته"))</f>
        <v/>
      </c>
      <c r="G1977" s="11" t="n"/>
      <c r="H1977" s="10">
        <f>IF($G1977="","",IFERROR(VLOOKUP($G1977,CustTbl,2,0),IFERROR(VLOOKUP($G1977,SuppTbl,2,0),IFERROR(VLOOKUP($G1977,AcctTbl,2,0),IFERROR(VLOOKUP($G1977,StaffTbl,2,0),"کد ناشناخته")))))</f>
        <v/>
      </c>
      <c r="I1977" s="12" t="n"/>
      <c r="J1977" s="12" t="n"/>
      <c r="K1977" s="13" t="n"/>
      <c r="L1977" s="13" t="n"/>
      <c r="M1977" s="13" t="n"/>
      <c r="N1977" s="14">
        <f>IF(OR($C1977="",$E1977="",Calc!$H1977=""),"",IFERROR(VLOOKUP(LEFT(UPPER(TRIM($E1977)),6),BankTbl,3,0),0)+SUMIFS(CalcDep,CalcBank,LEFT(UPPER(TRIM($E1977)),6),CalcKey,"&lt;="&amp;Calc!$H1977)-SUMIFS(CalcWit,CalcBank,LEFT(UPPER(TRIM($E1977)),6),CalcKey,"&lt;="&amp;Calc!$H1977))</f>
        <v/>
      </c>
      <c r="O1977" s="10">
        <f>IF(OR($C1977="",$M1977=""),"",IF($N1977="","؟",IF(ROUND($M1977-$N1977,0)=0,"√","×")))</f>
        <v/>
      </c>
      <c r="P1977" s="12" t="n"/>
    </row>
    <row r="1978">
      <c r="A1978" s="10">
        <f>IF($C1978="","",COUNTA($C$9:$C1978))</f>
        <v/>
      </c>
      <c r="B1978" s="10">
        <f>IF($C1978="","","TXN-"&amp;RIGHT("0000"&amp;1970,4))</f>
        <v/>
      </c>
      <c r="C1978" s="11" t="n"/>
      <c r="D1978" s="11" t="n"/>
      <c r="E1978" s="12" t="n"/>
      <c r="F1978" s="10">
        <f>IF($E1978="","",IFERROR(IF(VLOOKUP(LEFT(UPPER(TRIM($E1978)),6),BankTbl,2,0)="","(بدون عنوان)",VLOOKUP(LEFT(UPPER(TRIM($E1978)),6),BankTbl,2,0)),"بانک ناشناخته"))</f>
        <v/>
      </c>
      <c r="G1978" s="11" t="n"/>
      <c r="H1978" s="10">
        <f>IF($G1978="","",IFERROR(VLOOKUP($G1978,CustTbl,2,0),IFERROR(VLOOKUP($G1978,SuppTbl,2,0),IFERROR(VLOOKUP($G1978,AcctTbl,2,0),IFERROR(VLOOKUP($G1978,StaffTbl,2,0),"کد ناشناخته")))))</f>
        <v/>
      </c>
      <c r="I1978" s="12" t="n"/>
      <c r="J1978" s="12" t="n"/>
      <c r="K1978" s="13" t="n"/>
      <c r="L1978" s="13" t="n"/>
      <c r="M1978" s="13" t="n"/>
      <c r="N1978" s="14">
        <f>IF(OR($C1978="",$E1978="",Calc!$H1978=""),"",IFERROR(VLOOKUP(LEFT(UPPER(TRIM($E1978)),6),BankTbl,3,0),0)+SUMIFS(CalcDep,CalcBank,LEFT(UPPER(TRIM($E1978)),6),CalcKey,"&lt;="&amp;Calc!$H1978)-SUMIFS(CalcWit,CalcBank,LEFT(UPPER(TRIM($E1978)),6),CalcKey,"&lt;="&amp;Calc!$H1978))</f>
        <v/>
      </c>
      <c r="O1978" s="10">
        <f>IF(OR($C1978="",$M1978=""),"",IF($N1978="","؟",IF(ROUND($M1978-$N1978,0)=0,"√","×")))</f>
        <v/>
      </c>
      <c r="P1978" s="12" t="n"/>
    </row>
    <row r="1979">
      <c r="A1979" s="10">
        <f>IF($C1979="","",COUNTA($C$9:$C1979))</f>
        <v/>
      </c>
      <c r="B1979" s="10">
        <f>IF($C1979="","","TXN-"&amp;RIGHT("0000"&amp;1971,4))</f>
        <v/>
      </c>
      <c r="C1979" s="11" t="n"/>
      <c r="D1979" s="11" t="n"/>
      <c r="E1979" s="12" t="n"/>
      <c r="F1979" s="10">
        <f>IF($E1979="","",IFERROR(IF(VLOOKUP(LEFT(UPPER(TRIM($E1979)),6),BankTbl,2,0)="","(بدون عنوان)",VLOOKUP(LEFT(UPPER(TRIM($E1979)),6),BankTbl,2,0)),"بانک ناشناخته"))</f>
        <v/>
      </c>
      <c r="G1979" s="11" t="n"/>
      <c r="H1979" s="10">
        <f>IF($G1979="","",IFERROR(VLOOKUP($G1979,CustTbl,2,0),IFERROR(VLOOKUP($G1979,SuppTbl,2,0),IFERROR(VLOOKUP($G1979,AcctTbl,2,0),IFERROR(VLOOKUP($G1979,StaffTbl,2,0),"کد ناشناخته")))))</f>
        <v/>
      </c>
      <c r="I1979" s="12" t="n"/>
      <c r="J1979" s="12" t="n"/>
      <c r="K1979" s="13" t="n"/>
      <c r="L1979" s="13" t="n"/>
      <c r="M1979" s="13" t="n"/>
      <c r="N1979" s="14">
        <f>IF(OR($C1979="",$E1979="",Calc!$H1979=""),"",IFERROR(VLOOKUP(LEFT(UPPER(TRIM($E1979)),6),BankTbl,3,0),0)+SUMIFS(CalcDep,CalcBank,LEFT(UPPER(TRIM($E1979)),6),CalcKey,"&lt;="&amp;Calc!$H1979)-SUMIFS(CalcWit,CalcBank,LEFT(UPPER(TRIM($E1979)),6),CalcKey,"&lt;="&amp;Calc!$H1979))</f>
        <v/>
      </c>
      <c r="O1979" s="10">
        <f>IF(OR($C1979="",$M1979=""),"",IF($N1979="","؟",IF(ROUND($M1979-$N1979,0)=0,"√","×")))</f>
        <v/>
      </c>
      <c r="P1979" s="12" t="n"/>
    </row>
    <row r="1980">
      <c r="A1980" s="10">
        <f>IF($C1980="","",COUNTA($C$9:$C1980))</f>
        <v/>
      </c>
      <c r="B1980" s="10">
        <f>IF($C1980="","","TXN-"&amp;RIGHT("0000"&amp;1972,4))</f>
        <v/>
      </c>
      <c r="C1980" s="11" t="n"/>
      <c r="D1980" s="11" t="n"/>
      <c r="E1980" s="12" t="n"/>
      <c r="F1980" s="10">
        <f>IF($E1980="","",IFERROR(IF(VLOOKUP(LEFT(UPPER(TRIM($E1980)),6),BankTbl,2,0)="","(بدون عنوان)",VLOOKUP(LEFT(UPPER(TRIM($E1980)),6),BankTbl,2,0)),"بانک ناشناخته"))</f>
        <v/>
      </c>
      <c r="G1980" s="11" t="n"/>
      <c r="H1980" s="10">
        <f>IF($G1980="","",IFERROR(VLOOKUP($G1980,CustTbl,2,0),IFERROR(VLOOKUP($G1980,SuppTbl,2,0),IFERROR(VLOOKUP($G1980,AcctTbl,2,0),IFERROR(VLOOKUP($G1980,StaffTbl,2,0),"کد ناشناخته")))))</f>
        <v/>
      </c>
      <c r="I1980" s="12" t="n"/>
      <c r="J1980" s="12" t="n"/>
      <c r="K1980" s="13" t="n"/>
      <c r="L1980" s="13" t="n"/>
      <c r="M1980" s="13" t="n"/>
      <c r="N1980" s="14">
        <f>IF(OR($C1980="",$E1980="",Calc!$H1980=""),"",IFERROR(VLOOKUP(LEFT(UPPER(TRIM($E1980)),6),BankTbl,3,0),0)+SUMIFS(CalcDep,CalcBank,LEFT(UPPER(TRIM($E1980)),6),CalcKey,"&lt;="&amp;Calc!$H1980)-SUMIFS(CalcWit,CalcBank,LEFT(UPPER(TRIM($E1980)),6),CalcKey,"&lt;="&amp;Calc!$H1980))</f>
        <v/>
      </c>
      <c r="O1980" s="10">
        <f>IF(OR($C1980="",$M1980=""),"",IF($N1980="","؟",IF(ROUND($M1980-$N1980,0)=0,"√","×")))</f>
        <v/>
      </c>
      <c r="P1980" s="12" t="n"/>
    </row>
    <row r="1981">
      <c r="A1981" s="10">
        <f>IF($C1981="","",COUNTA($C$9:$C1981))</f>
        <v/>
      </c>
      <c r="B1981" s="10">
        <f>IF($C1981="","","TXN-"&amp;RIGHT("0000"&amp;1973,4))</f>
        <v/>
      </c>
      <c r="C1981" s="11" t="n"/>
      <c r="D1981" s="11" t="n"/>
      <c r="E1981" s="12" t="n"/>
      <c r="F1981" s="10">
        <f>IF($E1981="","",IFERROR(IF(VLOOKUP(LEFT(UPPER(TRIM($E1981)),6),BankTbl,2,0)="","(بدون عنوان)",VLOOKUP(LEFT(UPPER(TRIM($E1981)),6),BankTbl,2,0)),"بانک ناشناخته"))</f>
        <v/>
      </c>
      <c r="G1981" s="11" t="n"/>
      <c r="H1981" s="10">
        <f>IF($G1981="","",IFERROR(VLOOKUP($G1981,CustTbl,2,0),IFERROR(VLOOKUP($G1981,SuppTbl,2,0),IFERROR(VLOOKUP($G1981,AcctTbl,2,0),IFERROR(VLOOKUP($G1981,StaffTbl,2,0),"کد ناشناخته")))))</f>
        <v/>
      </c>
      <c r="I1981" s="12" t="n"/>
      <c r="J1981" s="12" t="n"/>
      <c r="K1981" s="13" t="n"/>
      <c r="L1981" s="13" t="n"/>
      <c r="M1981" s="13" t="n"/>
      <c r="N1981" s="14">
        <f>IF(OR($C1981="",$E1981="",Calc!$H1981=""),"",IFERROR(VLOOKUP(LEFT(UPPER(TRIM($E1981)),6),BankTbl,3,0),0)+SUMIFS(CalcDep,CalcBank,LEFT(UPPER(TRIM($E1981)),6),CalcKey,"&lt;="&amp;Calc!$H1981)-SUMIFS(CalcWit,CalcBank,LEFT(UPPER(TRIM($E1981)),6),CalcKey,"&lt;="&amp;Calc!$H1981))</f>
        <v/>
      </c>
      <c r="O1981" s="10">
        <f>IF(OR($C1981="",$M1981=""),"",IF($N1981="","؟",IF(ROUND($M1981-$N1981,0)=0,"√","×")))</f>
        <v/>
      </c>
      <c r="P1981" s="12" t="n"/>
    </row>
    <row r="1982">
      <c r="A1982" s="10">
        <f>IF($C1982="","",COUNTA($C$9:$C1982))</f>
        <v/>
      </c>
      <c r="B1982" s="10">
        <f>IF($C1982="","","TXN-"&amp;RIGHT("0000"&amp;1974,4))</f>
        <v/>
      </c>
      <c r="C1982" s="11" t="n"/>
      <c r="D1982" s="11" t="n"/>
      <c r="E1982" s="12" t="n"/>
      <c r="F1982" s="10">
        <f>IF($E1982="","",IFERROR(IF(VLOOKUP(LEFT(UPPER(TRIM($E1982)),6),BankTbl,2,0)="","(بدون عنوان)",VLOOKUP(LEFT(UPPER(TRIM($E1982)),6),BankTbl,2,0)),"بانک ناشناخته"))</f>
        <v/>
      </c>
      <c r="G1982" s="11" t="n"/>
      <c r="H1982" s="10">
        <f>IF($G1982="","",IFERROR(VLOOKUP($G1982,CustTbl,2,0),IFERROR(VLOOKUP($G1982,SuppTbl,2,0),IFERROR(VLOOKUP($G1982,AcctTbl,2,0),IFERROR(VLOOKUP($G1982,StaffTbl,2,0),"کد ناشناخته")))))</f>
        <v/>
      </c>
      <c r="I1982" s="12" t="n"/>
      <c r="J1982" s="12" t="n"/>
      <c r="K1982" s="13" t="n"/>
      <c r="L1982" s="13" t="n"/>
      <c r="M1982" s="13" t="n"/>
      <c r="N1982" s="14">
        <f>IF(OR($C1982="",$E1982="",Calc!$H1982=""),"",IFERROR(VLOOKUP(LEFT(UPPER(TRIM($E1982)),6),BankTbl,3,0),0)+SUMIFS(CalcDep,CalcBank,LEFT(UPPER(TRIM($E1982)),6),CalcKey,"&lt;="&amp;Calc!$H1982)-SUMIFS(CalcWit,CalcBank,LEFT(UPPER(TRIM($E1982)),6),CalcKey,"&lt;="&amp;Calc!$H1982))</f>
        <v/>
      </c>
      <c r="O1982" s="10">
        <f>IF(OR($C1982="",$M1982=""),"",IF($N1982="","؟",IF(ROUND($M1982-$N1982,0)=0,"√","×")))</f>
        <v/>
      </c>
      <c r="P1982" s="12" t="n"/>
    </row>
    <row r="1983">
      <c r="A1983" s="10">
        <f>IF($C1983="","",COUNTA($C$9:$C1983))</f>
        <v/>
      </c>
      <c r="B1983" s="10">
        <f>IF($C1983="","","TXN-"&amp;RIGHT("0000"&amp;1975,4))</f>
        <v/>
      </c>
      <c r="C1983" s="11" t="n"/>
      <c r="D1983" s="11" t="n"/>
      <c r="E1983" s="12" t="n"/>
      <c r="F1983" s="10">
        <f>IF($E1983="","",IFERROR(IF(VLOOKUP(LEFT(UPPER(TRIM($E1983)),6),BankTbl,2,0)="","(بدون عنوان)",VLOOKUP(LEFT(UPPER(TRIM($E1983)),6),BankTbl,2,0)),"بانک ناشناخته"))</f>
        <v/>
      </c>
      <c r="G1983" s="11" t="n"/>
      <c r="H1983" s="10">
        <f>IF($G1983="","",IFERROR(VLOOKUP($G1983,CustTbl,2,0),IFERROR(VLOOKUP($G1983,SuppTbl,2,0),IFERROR(VLOOKUP($G1983,AcctTbl,2,0),IFERROR(VLOOKUP($G1983,StaffTbl,2,0),"کد ناشناخته")))))</f>
        <v/>
      </c>
      <c r="I1983" s="12" t="n"/>
      <c r="J1983" s="12" t="n"/>
      <c r="K1983" s="13" t="n"/>
      <c r="L1983" s="13" t="n"/>
      <c r="M1983" s="13" t="n"/>
      <c r="N1983" s="14">
        <f>IF(OR($C1983="",$E1983="",Calc!$H1983=""),"",IFERROR(VLOOKUP(LEFT(UPPER(TRIM($E1983)),6),BankTbl,3,0),0)+SUMIFS(CalcDep,CalcBank,LEFT(UPPER(TRIM($E1983)),6),CalcKey,"&lt;="&amp;Calc!$H1983)-SUMIFS(CalcWit,CalcBank,LEFT(UPPER(TRIM($E1983)),6),CalcKey,"&lt;="&amp;Calc!$H1983))</f>
        <v/>
      </c>
      <c r="O1983" s="10">
        <f>IF(OR($C1983="",$M1983=""),"",IF($N1983="","؟",IF(ROUND($M1983-$N1983,0)=0,"√","×")))</f>
        <v/>
      </c>
      <c r="P1983" s="12" t="n"/>
    </row>
    <row r="1984">
      <c r="A1984" s="10">
        <f>IF($C1984="","",COUNTA($C$9:$C1984))</f>
        <v/>
      </c>
      <c r="B1984" s="10">
        <f>IF($C1984="","","TXN-"&amp;RIGHT("0000"&amp;1976,4))</f>
        <v/>
      </c>
      <c r="C1984" s="11" t="n"/>
      <c r="D1984" s="11" t="n"/>
      <c r="E1984" s="12" t="n"/>
      <c r="F1984" s="10">
        <f>IF($E1984="","",IFERROR(IF(VLOOKUP(LEFT(UPPER(TRIM($E1984)),6),BankTbl,2,0)="","(بدون عنوان)",VLOOKUP(LEFT(UPPER(TRIM($E1984)),6),BankTbl,2,0)),"بانک ناشناخته"))</f>
        <v/>
      </c>
      <c r="G1984" s="11" t="n"/>
      <c r="H1984" s="10">
        <f>IF($G1984="","",IFERROR(VLOOKUP($G1984,CustTbl,2,0),IFERROR(VLOOKUP($G1984,SuppTbl,2,0),IFERROR(VLOOKUP($G1984,AcctTbl,2,0),IFERROR(VLOOKUP($G1984,StaffTbl,2,0),"کد ناشناخته")))))</f>
        <v/>
      </c>
      <c r="I1984" s="12" t="n"/>
      <c r="J1984" s="12" t="n"/>
      <c r="K1984" s="13" t="n"/>
      <c r="L1984" s="13" t="n"/>
      <c r="M1984" s="13" t="n"/>
      <c r="N1984" s="14">
        <f>IF(OR($C1984="",$E1984="",Calc!$H1984=""),"",IFERROR(VLOOKUP(LEFT(UPPER(TRIM($E1984)),6),BankTbl,3,0),0)+SUMIFS(CalcDep,CalcBank,LEFT(UPPER(TRIM($E1984)),6),CalcKey,"&lt;="&amp;Calc!$H1984)-SUMIFS(CalcWit,CalcBank,LEFT(UPPER(TRIM($E1984)),6),CalcKey,"&lt;="&amp;Calc!$H1984))</f>
        <v/>
      </c>
      <c r="O1984" s="10">
        <f>IF(OR($C1984="",$M1984=""),"",IF($N1984="","؟",IF(ROUND($M1984-$N1984,0)=0,"√","×")))</f>
        <v/>
      </c>
      <c r="P1984" s="12" t="n"/>
    </row>
    <row r="1985">
      <c r="A1985" s="10">
        <f>IF($C1985="","",COUNTA($C$9:$C1985))</f>
        <v/>
      </c>
      <c r="B1985" s="10">
        <f>IF($C1985="","","TXN-"&amp;RIGHT("0000"&amp;1977,4))</f>
        <v/>
      </c>
      <c r="C1985" s="11" t="n"/>
      <c r="D1985" s="11" t="n"/>
      <c r="E1985" s="12" t="n"/>
      <c r="F1985" s="10">
        <f>IF($E1985="","",IFERROR(IF(VLOOKUP(LEFT(UPPER(TRIM($E1985)),6),BankTbl,2,0)="","(بدون عنوان)",VLOOKUP(LEFT(UPPER(TRIM($E1985)),6),BankTbl,2,0)),"بانک ناشناخته"))</f>
        <v/>
      </c>
      <c r="G1985" s="11" t="n"/>
      <c r="H1985" s="10">
        <f>IF($G1985="","",IFERROR(VLOOKUP($G1985,CustTbl,2,0),IFERROR(VLOOKUP($G1985,SuppTbl,2,0),IFERROR(VLOOKUP($G1985,AcctTbl,2,0),IFERROR(VLOOKUP($G1985,StaffTbl,2,0),"کد ناشناخته")))))</f>
        <v/>
      </c>
      <c r="I1985" s="12" t="n"/>
      <c r="J1985" s="12" t="n"/>
      <c r="K1985" s="13" t="n"/>
      <c r="L1985" s="13" t="n"/>
      <c r="M1985" s="13" t="n"/>
      <c r="N1985" s="14">
        <f>IF(OR($C1985="",$E1985="",Calc!$H1985=""),"",IFERROR(VLOOKUP(LEFT(UPPER(TRIM($E1985)),6),BankTbl,3,0),0)+SUMIFS(CalcDep,CalcBank,LEFT(UPPER(TRIM($E1985)),6),CalcKey,"&lt;="&amp;Calc!$H1985)-SUMIFS(CalcWit,CalcBank,LEFT(UPPER(TRIM($E1985)),6),CalcKey,"&lt;="&amp;Calc!$H1985))</f>
        <v/>
      </c>
      <c r="O1985" s="10">
        <f>IF(OR($C1985="",$M1985=""),"",IF($N1985="","؟",IF(ROUND($M1985-$N1985,0)=0,"√","×")))</f>
        <v/>
      </c>
      <c r="P1985" s="12" t="n"/>
    </row>
    <row r="1986">
      <c r="A1986" s="10">
        <f>IF($C1986="","",COUNTA($C$9:$C1986))</f>
        <v/>
      </c>
      <c r="B1986" s="10">
        <f>IF($C1986="","","TXN-"&amp;RIGHT("0000"&amp;1978,4))</f>
        <v/>
      </c>
      <c r="C1986" s="11" t="n"/>
      <c r="D1986" s="11" t="n"/>
      <c r="E1986" s="12" t="n"/>
      <c r="F1986" s="10">
        <f>IF($E1986="","",IFERROR(IF(VLOOKUP(LEFT(UPPER(TRIM($E1986)),6),BankTbl,2,0)="","(بدون عنوان)",VLOOKUP(LEFT(UPPER(TRIM($E1986)),6),BankTbl,2,0)),"بانک ناشناخته"))</f>
        <v/>
      </c>
      <c r="G1986" s="11" t="n"/>
      <c r="H1986" s="10">
        <f>IF($G1986="","",IFERROR(VLOOKUP($G1986,CustTbl,2,0),IFERROR(VLOOKUP($G1986,SuppTbl,2,0),IFERROR(VLOOKUP($G1986,AcctTbl,2,0),IFERROR(VLOOKUP($G1986,StaffTbl,2,0),"کد ناشناخته")))))</f>
        <v/>
      </c>
      <c r="I1986" s="12" t="n"/>
      <c r="J1986" s="12" t="n"/>
      <c r="K1986" s="13" t="n"/>
      <c r="L1986" s="13" t="n"/>
      <c r="M1986" s="13" t="n"/>
      <c r="N1986" s="14">
        <f>IF(OR($C1986="",$E1986="",Calc!$H1986=""),"",IFERROR(VLOOKUP(LEFT(UPPER(TRIM($E1986)),6),BankTbl,3,0),0)+SUMIFS(CalcDep,CalcBank,LEFT(UPPER(TRIM($E1986)),6),CalcKey,"&lt;="&amp;Calc!$H1986)-SUMIFS(CalcWit,CalcBank,LEFT(UPPER(TRIM($E1986)),6),CalcKey,"&lt;="&amp;Calc!$H1986))</f>
        <v/>
      </c>
      <c r="O1986" s="10">
        <f>IF(OR($C1986="",$M1986=""),"",IF($N1986="","؟",IF(ROUND($M1986-$N1986,0)=0,"√","×")))</f>
        <v/>
      </c>
      <c r="P1986" s="12" t="n"/>
    </row>
    <row r="1987">
      <c r="A1987" s="10">
        <f>IF($C1987="","",COUNTA($C$9:$C1987))</f>
        <v/>
      </c>
      <c r="B1987" s="10">
        <f>IF($C1987="","","TXN-"&amp;RIGHT("0000"&amp;1979,4))</f>
        <v/>
      </c>
      <c r="C1987" s="11" t="n"/>
      <c r="D1987" s="11" t="n"/>
      <c r="E1987" s="12" t="n"/>
      <c r="F1987" s="10">
        <f>IF($E1987="","",IFERROR(IF(VLOOKUP(LEFT(UPPER(TRIM($E1987)),6),BankTbl,2,0)="","(بدون عنوان)",VLOOKUP(LEFT(UPPER(TRIM($E1987)),6),BankTbl,2,0)),"بانک ناشناخته"))</f>
        <v/>
      </c>
      <c r="G1987" s="11" t="n"/>
      <c r="H1987" s="10">
        <f>IF($G1987="","",IFERROR(VLOOKUP($G1987,CustTbl,2,0),IFERROR(VLOOKUP($G1987,SuppTbl,2,0),IFERROR(VLOOKUP($G1987,AcctTbl,2,0),IFERROR(VLOOKUP($G1987,StaffTbl,2,0),"کد ناشناخته")))))</f>
        <v/>
      </c>
      <c r="I1987" s="12" t="n"/>
      <c r="J1987" s="12" t="n"/>
      <c r="K1987" s="13" t="n"/>
      <c r="L1987" s="13" t="n"/>
      <c r="M1987" s="13" t="n"/>
      <c r="N1987" s="14">
        <f>IF(OR($C1987="",$E1987="",Calc!$H1987=""),"",IFERROR(VLOOKUP(LEFT(UPPER(TRIM($E1987)),6),BankTbl,3,0),0)+SUMIFS(CalcDep,CalcBank,LEFT(UPPER(TRIM($E1987)),6),CalcKey,"&lt;="&amp;Calc!$H1987)-SUMIFS(CalcWit,CalcBank,LEFT(UPPER(TRIM($E1987)),6),CalcKey,"&lt;="&amp;Calc!$H1987))</f>
        <v/>
      </c>
      <c r="O1987" s="10">
        <f>IF(OR($C1987="",$M1987=""),"",IF($N1987="","؟",IF(ROUND($M1987-$N1987,0)=0,"√","×")))</f>
        <v/>
      </c>
      <c r="P1987" s="12" t="n"/>
    </row>
    <row r="1988">
      <c r="A1988" s="10">
        <f>IF($C1988="","",COUNTA($C$9:$C1988))</f>
        <v/>
      </c>
      <c r="B1988" s="10">
        <f>IF($C1988="","","TXN-"&amp;RIGHT("0000"&amp;1980,4))</f>
        <v/>
      </c>
      <c r="C1988" s="11" t="n"/>
      <c r="D1988" s="11" t="n"/>
      <c r="E1988" s="12" t="n"/>
      <c r="F1988" s="10">
        <f>IF($E1988="","",IFERROR(IF(VLOOKUP(LEFT(UPPER(TRIM($E1988)),6),BankTbl,2,0)="","(بدون عنوان)",VLOOKUP(LEFT(UPPER(TRIM($E1988)),6),BankTbl,2,0)),"بانک ناشناخته"))</f>
        <v/>
      </c>
      <c r="G1988" s="11" t="n"/>
      <c r="H1988" s="10">
        <f>IF($G1988="","",IFERROR(VLOOKUP($G1988,CustTbl,2,0),IFERROR(VLOOKUP($G1988,SuppTbl,2,0),IFERROR(VLOOKUP($G1988,AcctTbl,2,0),IFERROR(VLOOKUP($G1988,StaffTbl,2,0),"کد ناشناخته")))))</f>
        <v/>
      </c>
      <c r="I1988" s="12" t="n"/>
      <c r="J1988" s="12" t="n"/>
      <c r="K1988" s="13" t="n"/>
      <c r="L1988" s="13" t="n"/>
      <c r="M1988" s="13" t="n"/>
      <c r="N1988" s="14">
        <f>IF(OR($C1988="",$E1988="",Calc!$H1988=""),"",IFERROR(VLOOKUP(LEFT(UPPER(TRIM($E1988)),6),BankTbl,3,0),0)+SUMIFS(CalcDep,CalcBank,LEFT(UPPER(TRIM($E1988)),6),CalcKey,"&lt;="&amp;Calc!$H1988)-SUMIFS(CalcWit,CalcBank,LEFT(UPPER(TRIM($E1988)),6),CalcKey,"&lt;="&amp;Calc!$H1988))</f>
        <v/>
      </c>
      <c r="O1988" s="10">
        <f>IF(OR($C1988="",$M1988=""),"",IF($N1988="","؟",IF(ROUND($M1988-$N1988,0)=0,"√","×")))</f>
        <v/>
      </c>
      <c r="P1988" s="12" t="n"/>
    </row>
    <row r="1989">
      <c r="A1989" s="10">
        <f>IF($C1989="","",COUNTA($C$9:$C1989))</f>
        <v/>
      </c>
      <c r="B1989" s="10">
        <f>IF($C1989="","","TXN-"&amp;RIGHT("0000"&amp;1981,4))</f>
        <v/>
      </c>
      <c r="C1989" s="11" t="n"/>
      <c r="D1989" s="11" t="n"/>
      <c r="E1989" s="12" t="n"/>
      <c r="F1989" s="10">
        <f>IF($E1989="","",IFERROR(IF(VLOOKUP(LEFT(UPPER(TRIM($E1989)),6),BankTbl,2,0)="","(بدون عنوان)",VLOOKUP(LEFT(UPPER(TRIM($E1989)),6),BankTbl,2,0)),"بانک ناشناخته"))</f>
        <v/>
      </c>
      <c r="G1989" s="11" t="n"/>
      <c r="H1989" s="10">
        <f>IF($G1989="","",IFERROR(VLOOKUP($G1989,CustTbl,2,0),IFERROR(VLOOKUP($G1989,SuppTbl,2,0),IFERROR(VLOOKUP($G1989,AcctTbl,2,0),IFERROR(VLOOKUP($G1989,StaffTbl,2,0),"کد ناشناخته")))))</f>
        <v/>
      </c>
      <c r="I1989" s="12" t="n"/>
      <c r="J1989" s="12" t="n"/>
      <c r="K1989" s="13" t="n"/>
      <c r="L1989" s="13" t="n"/>
      <c r="M1989" s="13" t="n"/>
      <c r="N1989" s="14">
        <f>IF(OR($C1989="",$E1989="",Calc!$H1989=""),"",IFERROR(VLOOKUP(LEFT(UPPER(TRIM($E1989)),6),BankTbl,3,0),0)+SUMIFS(CalcDep,CalcBank,LEFT(UPPER(TRIM($E1989)),6),CalcKey,"&lt;="&amp;Calc!$H1989)-SUMIFS(CalcWit,CalcBank,LEFT(UPPER(TRIM($E1989)),6),CalcKey,"&lt;="&amp;Calc!$H1989))</f>
        <v/>
      </c>
      <c r="O1989" s="10">
        <f>IF(OR($C1989="",$M1989=""),"",IF($N1989="","؟",IF(ROUND($M1989-$N1989,0)=0,"√","×")))</f>
        <v/>
      </c>
      <c r="P1989" s="12" t="n"/>
    </row>
    <row r="1990">
      <c r="A1990" s="10">
        <f>IF($C1990="","",COUNTA($C$9:$C1990))</f>
        <v/>
      </c>
      <c r="B1990" s="10">
        <f>IF($C1990="","","TXN-"&amp;RIGHT("0000"&amp;1982,4))</f>
        <v/>
      </c>
      <c r="C1990" s="11" t="n"/>
      <c r="D1990" s="11" t="n"/>
      <c r="E1990" s="12" t="n"/>
      <c r="F1990" s="10">
        <f>IF($E1990="","",IFERROR(IF(VLOOKUP(LEFT(UPPER(TRIM($E1990)),6),BankTbl,2,0)="","(بدون عنوان)",VLOOKUP(LEFT(UPPER(TRIM($E1990)),6),BankTbl,2,0)),"بانک ناشناخته"))</f>
        <v/>
      </c>
      <c r="G1990" s="11" t="n"/>
      <c r="H1990" s="10">
        <f>IF($G1990="","",IFERROR(VLOOKUP($G1990,CustTbl,2,0),IFERROR(VLOOKUP($G1990,SuppTbl,2,0),IFERROR(VLOOKUP($G1990,AcctTbl,2,0),IFERROR(VLOOKUP($G1990,StaffTbl,2,0),"کد ناشناخته")))))</f>
        <v/>
      </c>
      <c r="I1990" s="12" t="n"/>
      <c r="J1990" s="12" t="n"/>
      <c r="K1990" s="13" t="n"/>
      <c r="L1990" s="13" t="n"/>
      <c r="M1990" s="13" t="n"/>
      <c r="N1990" s="14">
        <f>IF(OR($C1990="",$E1990="",Calc!$H1990=""),"",IFERROR(VLOOKUP(LEFT(UPPER(TRIM($E1990)),6),BankTbl,3,0),0)+SUMIFS(CalcDep,CalcBank,LEFT(UPPER(TRIM($E1990)),6),CalcKey,"&lt;="&amp;Calc!$H1990)-SUMIFS(CalcWit,CalcBank,LEFT(UPPER(TRIM($E1990)),6),CalcKey,"&lt;="&amp;Calc!$H1990))</f>
        <v/>
      </c>
      <c r="O1990" s="10">
        <f>IF(OR($C1990="",$M1990=""),"",IF($N1990="","؟",IF(ROUND($M1990-$N1990,0)=0,"√","×")))</f>
        <v/>
      </c>
      <c r="P1990" s="12" t="n"/>
    </row>
    <row r="1991">
      <c r="A1991" s="10">
        <f>IF($C1991="","",COUNTA($C$9:$C1991))</f>
        <v/>
      </c>
      <c r="B1991" s="10">
        <f>IF($C1991="","","TXN-"&amp;RIGHT("0000"&amp;1983,4))</f>
        <v/>
      </c>
      <c r="C1991" s="11" t="n"/>
      <c r="D1991" s="11" t="n"/>
      <c r="E1991" s="12" t="n"/>
      <c r="F1991" s="10">
        <f>IF($E1991="","",IFERROR(IF(VLOOKUP(LEFT(UPPER(TRIM($E1991)),6),BankTbl,2,0)="","(بدون عنوان)",VLOOKUP(LEFT(UPPER(TRIM($E1991)),6),BankTbl,2,0)),"بانک ناشناخته"))</f>
        <v/>
      </c>
      <c r="G1991" s="11" t="n"/>
      <c r="H1991" s="10">
        <f>IF($G1991="","",IFERROR(VLOOKUP($G1991,CustTbl,2,0),IFERROR(VLOOKUP($G1991,SuppTbl,2,0),IFERROR(VLOOKUP($G1991,AcctTbl,2,0),IFERROR(VLOOKUP($G1991,StaffTbl,2,0),"کد ناشناخته")))))</f>
        <v/>
      </c>
      <c r="I1991" s="12" t="n"/>
      <c r="J1991" s="12" t="n"/>
      <c r="K1991" s="13" t="n"/>
      <c r="L1991" s="13" t="n"/>
      <c r="M1991" s="13" t="n"/>
      <c r="N1991" s="14">
        <f>IF(OR($C1991="",$E1991="",Calc!$H1991=""),"",IFERROR(VLOOKUP(LEFT(UPPER(TRIM($E1991)),6),BankTbl,3,0),0)+SUMIFS(CalcDep,CalcBank,LEFT(UPPER(TRIM($E1991)),6),CalcKey,"&lt;="&amp;Calc!$H1991)-SUMIFS(CalcWit,CalcBank,LEFT(UPPER(TRIM($E1991)),6),CalcKey,"&lt;="&amp;Calc!$H1991))</f>
        <v/>
      </c>
      <c r="O1991" s="10">
        <f>IF(OR($C1991="",$M1991=""),"",IF($N1991="","؟",IF(ROUND($M1991-$N1991,0)=0,"√","×")))</f>
        <v/>
      </c>
      <c r="P1991" s="12" t="n"/>
    </row>
    <row r="1992">
      <c r="A1992" s="10">
        <f>IF($C1992="","",COUNTA($C$9:$C1992))</f>
        <v/>
      </c>
      <c r="B1992" s="10">
        <f>IF($C1992="","","TXN-"&amp;RIGHT("0000"&amp;1984,4))</f>
        <v/>
      </c>
      <c r="C1992" s="11" t="n"/>
      <c r="D1992" s="11" t="n"/>
      <c r="E1992" s="12" t="n"/>
      <c r="F1992" s="10">
        <f>IF($E1992="","",IFERROR(IF(VLOOKUP(LEFT(UPPER(TRIM($E1992)),6),BankTbl,2,0)="","(بدون عنوان)",VLOOKUP(LEFT(UPPER(TRIM($E1992)),6),BankTbl,2,0)),"بانک ناشناخته"))</f>
        <v/>
      </c>
      <c r="G1992" s="11" t="n"/>
      <c r="H1992" s="10">
        <f>IF($G1992="","",IFERROR(VLOOKUP($G1992,CustTbl,2,0),IFERROR(VLOOKUP($G1992,SuppTbl,2,0),IFERROR(VLOOKUP($G1992,AcctTbl,2,0),IFERROR(VLOOKUP($G1992,StaffTbl,2,0),"کد ناشناخته")))))</f>
        <v/>
      </c>
      <c r="I1992" s="12" t="n"/>
      <c r="J1992" s="12" t="n"/>
      <c r="K1992" s="13" t="n"/>
      <c r="L1992" s="13" t="n"/>
      <c r="M1992" s="13" t="n"/>
      <c r="N1992" s="14">
        <f>IF(OR($C1992="",$E1992="",Calc!$H1992=""),"",IFERROR(VLOOKUP(LEFT(UPPER(TRIM($E1992)),6),BankTbl,3,0),0)+SUMIFS(CalcDep,CalcBank,LEFT(UPPER(TRIM($E1992)),6),CalcKey,"&lt;="&amp;Calc!$H1992)-SUMIFS(CalcWit,CalcBank,LEFT(UPPER(TRIM($E1992)),6),CalcKey,"&lt;="&amp;Calc!$H1992))</f>
        <v/>
      </c>
      <c r="O1992" s="10">
        <f>IF(OR($C1992="",$M1992=""),"",IF($N1992="","؟",IF(ROUND($M1992-$N1992,0)=0,"√","×")))</f>
        <v/>
      </c>
      <c r="P1992" s="12" t="n"/>
    </row>
    <row r="1993">
      <c r="A1993" s="10">
        <f>IF($C1993="","",COUNTA($C$9:$C1993))</f>
        <v/>
      </c>
      <c r="B1993" s="10">
        <f>IF($C1993="","","TXN-"&amp;RIGHT("0000"&amp;1985,4))</f>
        <v/>
      </c>
      <c r="C1993" s="11" t="n"/>
      <c r="D1993" s="11" t="n"/>
      <c r="E1993" s="12" t="n"/>
      <c r="F1993" s="10">
        <f>IF($E1993="","",IFERROR(IF(VLOOKUP(LEFT(UPPER(TRIM($E1993)),6),BankTbl,2,0)="","(بدون عنوان)",VLOOKUP(LEFT(UPPER(TRIM($E1993)),6),BankTbl,2,0)),"بانک ناشناخته"))</f>
        <v/>
      </c>
      <c r="G1993" s="11" t="n"/>
      <c r="H1993" s="10">
        <f>IF($G1993="","",IFERROR(VLOOKUP($G1993,CustTbl,2,0),IFERROR(VLOOKUP($G1993,SuppTbl,2,0),IFERROR(VLOOKUP($G1993,AcctTbl,2,0),IFERROR(VLOOKUP($G1993,StaffTbl,2,0),"کد ناشناخته")))))</f>
        <v/>
      </c>
      <c r="I1993" s="12" t="n"/>
      <c r="J1993" s="12" t="n"/>
      <c r="K1993" s="13" t="n"/>
      <c r="L1993" s="13" t="n"/>
      <c r="M1993" s="13" t="n"/>
      <c r="N1993" s="14">
        <f>IF(OR($C1993="",$E1993="",Calc!$H1993=""),"",IFERROR(VLOOKUP(LEFT(UPPER(TRIM($E1993)),6),BankTbl,3,0),0)+SUMIFS(CalcDep,CalcBank,LEFT(UPPER(TRIM($E1993)),6),CalcKey,"&lt;="&amp;Calc!$H1993)-SUMIFS(CalcWit,CalcBank,LEFT(UPPER(TRIM($E1993)),6),CalcKey,"&lt;="&amp;Calc!$H1993))</f>
        <v/>
      </c>
      <c r="O1993" s="10">
        <f>IF(OR($C1993="",$M1993=""),"",IF($N1993="","؟",IF(ROUND($M1993-$N1993,0)=0,"√","×")))</f>
        <v/>
      </c>
      <c r="P1993" s="12" t="n"/>
    </row>
    <row r="1994">
      <c r="A1994" s="10">
        <f>IF($C1994="","",COUNTA($C$9:$C1994))</f>
        <v/>
      </c>
      <c r="B1994" s="10">
        <f>IF($C1994="","","TXN-"&amp;RIGHT("0000"&amp;1986,4))</f>
        <v/>
      </c>
      <c r="C1994" s="11" t="n"/>
      <c r="D1994" s="11" t="n"/>
      <c r="E1994" s="12" t="n"/>
      <c r="F1994" s="10">
        <f>IF($E1994="","",IFERROR(IF(VLOOKUP(LEFT(UPPER(TRIM($E1994)),6),BankTbl,2,0)="","(بدون عنوان)",VLOOKUP(LEFT(UPPER(TRIM($E1994)),6),BankTbl,2,0)),"بانک ناشناخته"))</f>
        <v/>
      </c>
      <c r="G1994" s="11" t="n"/>
      <c r="H1994" s="10">
        <f>IF($G1994="","",IFERROR(VLOOKUP($G1994,CustTbl,2,0),IFERROR(VLOOKUP($G1994,SuppTbl,2,0),IFERROR(VLOOKUP($G1994,AcctTbl,2,0),IFERROR(VLOOKUP($G1994,StaffTbl,2,0),"کد ناشناخته")))))</f>
        <v/>
      </c>
      <c r="I1994" s="12" t="n"/>
      <c r="J1994" s="12" t="n"/>
      <c r="K1994" s="13" t="n"/>
      <c r="L1994" s="13" t="n"/>
      <c r="M1994" s="13" t="n"/>
      <c r="N1994" s="14">
        <f>IF(OR($C1994="",$E1994="",Calc!$H1994=""),"",IFERROR(VLOOKUP(LEFT(UPPER(TRIM($E1994)),6),BankTbl,3,0),0)+SUMIFS(CalcDep,CalcBank,LEFT(UPPER(TRIM($E1994)),6),CalcKey,"&lt;="&amp;Calc!$H1994)-SUMIFS(CalcWit,CalcBank,LEFT(UPPER(TRIM($E1994)),6),CalcKey,"&lt;="&amp;Calc!$H1994))</f>
        <v/>
      </c>
      <c r="O1994" s="10">
        <f>IF(OR($C1994="",$M1994=""),"",IF($N1994="","؟",IF(ROUND($M1994-$N1994,0)=0,"√","×")))</f>
        <v/>
      </c>
      <c r="P1994" s="12" t="n"/>
    </row>
    <row r="1995">
      <c r="A1995" s="10">
        <f>IF($C1995="","",COUNTA($C$9:$C1995))</f>
        <v/>
      </c>
      <c r="B1995" s="10">
        <f>IF($C1995="","","TXN-"&amp;RIGHT("0000"&amp;1987,4))</f>
        <v/>
      </c>
      <c r="C1995" s="11" t="n"/>
      <c r="D1995" s="11" t="n"/>
      <c r="E1995" s="12" t="n"/>
      <c r="F1995" s="10">
        <f>IF($E1995="","",IFERROR(IF(VLOOKUP(LEFT(UPPER(TRIM($E1995)),6),BankTbl,2,0)="","(بدون عنوان)",VLOOKUP(LEFT(UPPER(TRIM($E1995)),6),BankTbl,2,0)),"بانک ناشناخته"))</f>
        <v/>
      </c>
      <c r="G1995" s="11" t="n"/>
      <c r="H1995" s="10">
        <f>IF($G1995="","",IFERROR(VLOOKUP($G1995,CustTbl,2,0),IFERROR(VLOOKUP($G1995,SuppTbl,2,0),IFERROR(VLOOKUP($G1995,AcctTbl,2,0),IFERROR(VLOOKUP($G1995,StaffTbl,2,0),"کد ناشناخته")))))</f>
        <v/>
      </c>
      <c r="I1995" s="12" t="n"/>
      <c r="J1995" s="12" t="n"/>
      <c r="K1995" s="13" t="n"/>
      <c r="L1995" s="13" t="n"/>
      <c r="M1995" s="13" t="n"/>
      <c r="N1995" s="14">
        <f>IF(OR($C1995="",$E1995="",Calc!$H1995=""),"",IFERROR(VLOOKUP(LEFT(UPPER(TRIM($E1995)),6),BankTbl,3,0),0)+SUMIFS(CalcDep,CalcBank,LEFT(UPPER(TRIM($E1995)),6),CalcKey,"&lt;="&amp;Calc!$H1995)-SUMIFS(CalcWit,CalcBank,LEFT(UPPER(TRIM($E1995)),6),CalcKey,"&lt;="&amp;Calc!$H1995))</f>
        <v/>
      </c>
      <c r="O1995" s="10">
        <f>IF(OR($C1995="",$M1995=""),"",IF($N1995="","؟",IF(ROUND($M1995-$N1995,0)=0,"√","×")))</f>
        <v/>
      </c>
      <c r="P1995" s="12" t="n"/>
    </row>
    <row r="1996">
      <c r="A1996" s="10">
        <f>IF($C1996="","",COUNTA($C$9:$C1996))</f>
        <v/>
      </c>
      <c r="B1996" s="10">
        <f>IF($C1996="","","TXN-"&amp;RIGHT("0000"&amp;1988,4))</f>
        <v/>
      </c>
      <c r="C1996" s="11" t="n"/>
      <c r="D1996" s="11" t="n"/>
      <c r="E1996" s="12" t="n"/>
      <c r="F1996" s="10">
        <f>IF($E1996="","",IFERROR(IF(VLOOKUP(LEFT(UPPER(TRIM($E1996)),6),BankTbl,2,0)="","(بدون عنوان)",VLOOKUP(LEFT(UPPER(TRIM($E1996)),6),BankTbl,2,0)),"بانک ناشناخته"))</f>
        <v/>
      </c>
      <c r="G1996" s="11" t="n"/>
      <c r="H1996" s="10">
        <f>IF($G1996="","",IFERROR(VLOOKUP($G1996,CustTbl,2,0),IFERROR(VLOOKUP($G1996,SuppTbl,2,0),IFERROR(VLOOKUP($G1996,AcctTbl,2,0),IFERROR(VLOOKUP($G1996,StaffTbl,2,0),"کد ناشناخته")))))</f>
        <v/>
      </c>
      <c r="I1996" s="12" t="n"/>
      <c r="J1996" s="12" t="n"/>
      <c r="K1996" s="13" t="n"/>
      <c r="L1996" s="13" t="n"/>
      <c r="M1996" s="13" t="n"/>
      <c r="N1996" s="14">
        <f>IF(OR($C1996="",$E1996="",Calc!$H1996=""),"",IFERROR(VLOOKUP(LEFT(UPPER(TRIM($E1996)),6),BankTbl,3,0),0)+SUMIFS(CalcDep,CalcBank,LEFT(UPPER(TRIM($E1996)),6),CalcKey,"&lt;="&amp;Calc!$H1996)-SUMIFS(CalcWit,CalcBank,LEFT(UPPER(TRIM($E1996)),6),CalcKey,"&lt;="&amp;Calc!$H1996))</f>
        <v/>
      </c>
      <c r="O1996" s="10">
        <f>IF(OR($C1996="",$M1996=""),"",IF($N1996="","؟",IF(ROUND($M1996-$N1996,0)=0,"√","×")))</f>
        <v/>
      </c>
      <c r="P1996" s="12" t="n"/>
    </row>
    <row r="1997">
      <c r="A1997" s="10">
        <f>IF($C1997="","",COUNTA($C$9:$C1997))</f>
        <v/>
      </c>
      <c r="B1997" s="10">
        <f>IF($C1997="","","TXN-"&amp;RIGHT("0000"&amp;1989,4))</f>
        <v/>
      </c>
      <c r="C1997" s="11" t="n"/>
      <c r="D1997" s="11" t="n"/>
      <c r="E1997" s="12" t="n"/>
      <c r="F1997" s="10">
        <f>IF($E1997="","",IFERROR(IF(VLOOKUP(LEFT(UPPER(TRIM($E1997)),6),BankTbl,2,0)="","(بدون عنوان)",VLOOKUP(LEFT(UPPER(TRIM($E1997)),6),BankTbl,2,0)),"بانک ناشناخته"))</f>
        <v/>
      </c>
      <c r="G1997" s="11" t="n"/>
      <c r="H1997" s="10">
        <f>IF($G1997="","",IFERROR(VLOOKUP($G1997,CustTbl,2,0),IFERROR(VLOOKUP($G1997,SuppTbl,2,0),IFERROR(VLOOKUP($G1997,AcctTbl,2,0),IFERROR(VLOOKUP($G1997,StaffTbl,2,0),"کد ناشناخته")))))</f>
        <v/>
      </c>
      <c r="I1997" s="12" t="n"/>
      <c r="J1997" s="12" t="n"/>
      <c r="K1997" s="13" t="n"/>
      <c r="L1997" s="13" t="n"/>
      <c r="M1997" s="13" t="n"/>
      <c r="N1997" s="14">
        <f>IF(OR($C1997="",$E1997="",Calc!$H1997=""),"",IFERROR(VLOOKUP(LEFT(UPPER(TRIM($E1997)),6),BankTbl,3,0),0)+SUMIFS(CalcDep,CalcBank,LEFT(UPPER(TRIM($E1997)),6),CalcKey,"&lt;="&amp;Calc!$H1997)-SUMIFS(CalcWit,CalcBank,LEFT(UPPER(TRIM($E1997)),6),CalcKey,"&lt;="&amp;Calc!$H1997))</f>
        <v/>
      </c>
      <c r="O1997" s="10">
        <f>IF(OR($C1997="",$M1997=""),"",IF($N1997="","؟",IF(ROUND($M1997-$N1997,0)=0,"√","×")))</f>
        <v/>
      </c>
      <c r="P1997" s="12" t="n"/>
    </row>
    <row r="1998">
      <c r="A1998" s="10">
        <f>IF($C1998="","",COUNTA($C$9:$C1998))</f>
        <v/>
      </c>
      <c r="B1998" s="10">
        <f>IF($C1998="","","TXN-"&amp;RIGHT("0000"&amp;1990,4))</f>
        <v/>
      </c>
      <c r="C1998" s="11" t="n"/>
      <c r="D1998" s="11" t="n"/>
      <c r="E1998" s="12" t="n"/>
      <c r="F1998" s="10">
        <f>IF($E1998="","",IFERROR(IF(VLOOKUP(LEFT(UPPER(TRIM($E1998)),6),BankTbl,2,0)="","(بدون عنوان)",VLOOKUP(LEFT(UPPER(TRIM($E1998)),6),BankTbl,2,0)),"بانک ناشناخته"))</f>
        <v/>
      </c>
      <c r="G1998" s="11" t="n"/>
      <c r="H1998" s="10">
        <f>IF($G1998="","",IFERROR(VLOOKUP($G1998,CustTbl,2,0),IFERROR(VLOOKUP($G1998,SuppTbl,2,0),IFERROR(VLOOKUP($G1998,AcctTbl,2,0),IFERROR(VLOOKUP($G1998,StaffTbl,2,0),"کد ناشناخته")))))</f>
        <v/>
      </c>
      <c r="I1998" s="12" t="n"/>
      <c r="J1998" s="12" t="n"/>
      <c r="K1998" s="13" t="n"/>
      <c r="L1998" s="13" t="n"/>
      <c r="M1998" s="13" t="n"/>
      <c r="N1998" s="14">
        <f>IF(OR($C1998="",$E1998="",Calc!$H1998=""),"",IFERROR(VLOOKUP(LEFT(UPPER(TRIM($E1998)),6),BankTbl,3,0),0)+SUMIFS(CalcDep,CalcBank,LEFT(UPPER(TRIM($E1998)),6),CalcKey,"&lt;="&amp;Calc!$H1998)-SUMIFS(CalcWit,CalcBank,LEFT(UPPER(TRIM($E1998)),6),CalcKey,"&lt;="&amp;Calc!$H1998))</f>
        <v/>
      </c>
      <c r="O1998" s="10">
        <f>IF(OR($C1998="",$M1998=""),"",IF($N1998="","؟",IF(ROUND($M1998-$N1998,0)=0,"√","×")))</f>
        <v/>
      </c>
      <c r="P1998" s="12" t="n"/>
    </row>
    <row r="1999">
      <c r="A1999" s="10">
        <f>IF($C1999="","",COUNTA($C$9:$C1999))</f>
        <v/>
      </c>
      <c r="B1999" s="10">
        <f>IF($C1999="","","TXN-"&amp;RIGHT("0000"&amp;1991,4))</f>
        <v/>
      </c>
      <c r="C1999" s="11" t="n"/>
      <c r="D1999" s="11" t="n"/>
      <c r="E1999" s="12" t="n"/>
      <c r="F1999" s="10">
        <f>IF($E1999="","",IFERROR(IF(VLOOKUP(LEFT(UPPER(TRIM($E1999)),6),BankTbl,2,0)="","(بدون عنوان)",VLOOKUP(LEFT(UPPER(TRIM($E1999)),6),BankTbl,2,0)),"بانک ناشناخته"))</f>
        <v/>
      </c>
      <c r="G1999" s="11" t="n"/>
      <c r="H1999" s="10">
        <f>IF($G1999="","",IFERROR(VLOOKUP($G1999,CustTbl,2,0),IFERROR(VLOOKUP($G1999,SuppTbl,2,0),IFERROR(VLOOKUP($G1999,AcctTbl,2,0),IFERROR(VLOOKUP($G1999,StaffTbl,2,0),"کد ناشناخته")))))</f>
        <v/>
      </c>
      <c r="I1999" s="12" t="n"/>
      <c r="J1999" s="12" t="n"/>
      <c r="K1999" s="13" t="n"/>
      <c r="L1999" s="13" t="n"/>
      <c r="M1999" s="13" t="n"/>
      <c r="N1999" s="14">
        <f>IF(OR($C1999="",$E1999="",Calc!$H1999=""),"",IFERROR(VLOOKUP(LEFT(UPPER(TRIM($E1999)),6),BankTbl,3,0),0)+SUMIFS(CalcDep,CalcBank,LEFT(UPPER(TRIM($E1999)),6),CalcKey,"&lt;="&amp;Calc!$H1999)-SUMIFS(CalcWit,CalcBank,LEFT(UPPER(TRIM($E1999)),6),CalcKey,"&lt;="&amp;Calc!$H1999))</f>
        <v/>
      </c>
      <c r="O1999" s="10">
        <f>IF(OR($C1999="",$M1999=""),"",IF($N1999="","؟",IF(ROUND($M1999-$N1999,0)=0,"√","×")))</f>
        <v/>
      </c>
      <c r="P1999" s="12" t="n"/>
    </row>
    <row r="2000">
      <c r="A2000" s="10">
        <f>IF($C2000="","",COUNTA($C$9:$C2000))</f>
        <v/>
      </c>
      <c r="B2000" s="10">
        <f>IF($C2000="","","TXN-"&amp;RIGHT("0000"&amp;1992,4))</f>
        <v/>
      </c>
      <c r="C2000" s="11" t="n"/>
      <c r="D2000" s="11" t="n"/>
      <c r="E2000" s="12" t="n"/>
      <c r="F2000" s="10">
        <f>IF($E2000="","",IFERROR(IF(VLOOKUP(LEFT(UPPER(TRIM($E2000)),6),BankTbl,2,0)="","(بدون عنوان)",VLOOKUP(LEFT(UPPER(TRIM($E2000)),6),BankTbl,2,0)),"بانک ناشناخته"))</f>
        <v/>
      </c>
      <c r="G2000" s="11" t="n"/>
      <c r="H2000" s="10">
        <f>IF($G2000="","",IFERROR(VLOOKUP($G2000,CustTbl,2,0),IFERROR(VLOOKUP($G2000,SuppTbl,2,0),IFERROR(VLOOKUP($G2000,AcctTbl,2,0),IFERROR(VLOOKUP($G2000,StaffTbl,2,0),"کد ناشناخته")))))</f>
        <v/>
      </c>
      <c r="I2000" s="12" t="n"/>
      <c r="J2000" s="12" t="n"/>
      <c r="K2000" s="13" t="n"/>
      <c r="L2000" s="13" t="n"/>
      <c r="M2000" s="13" t="n"/>
      <c r="N2000" s="14">
        <f>IF(OR($C2000="",$E2000="",Calc!$H2000=""),"",IFERROR(VLOOKUP(LEFT(UPPER(TRIM($E2000)),6),BankTbl,3,0),0)+SUMIFS(CalcDep,CalcBank,LEFT(UPPER(TRIM($E2000)),6),CalcKey,"&lt;="&amp;Calc!$H2000)-SUMIFS(CalcWit,CalcBank,LEFT(UPPER(TRIM($E2000)),6),CalcKey,"&lt;="&amp;Calc!$H2000))</f>
        <v/>
      </c>
      <c r="O2000" s="10">
        <f>IF(OR($C2000="",$M2000=""),"",IF($N2000="","؟",IF(ROUND($M2000-$N2000,0)=0,"√","×")))</f>
        <v/>
      </c>
      <c r="P2000" s="12" t="n"/>
    </row>
    <row r="2001">
      <c r="A2001" s="10">
        <f>IF($C2001="","",COUNTA($C$9:$C2001))</f>
        <v/>
      </c>
      <c r="B2001" s="10">
        <f>IF($C2001="","","TXN-"&amp;RIGHT("0000"&amp;1993,4))</f>
        <v/>
      </c>
      <c r="C2001" s="11" t="n"/>
      <c r="D2001" s="11" t="n"/>
      <c r="E2001" s="12" t="n"/>
      <c r="F2001" s="10">
        <f>IF($E2001="","",IFERROR(IF(VLOOKUP(LEFT(UPPER(TRIM($E2001)),6),BankTbl,2,0)="","(بدون عنوان)",VLOOKUP(LEFT(UPPER(TRIM($E2001)),6),BankTbl,2,0)),"بانک ناشناخته"))</f>
        <v/>
      </c>
      <c r="G2001" s="11" t="n"/>
      <c r="H2001" s="10">
        <f>IF($G2001="","",IFERROR(VLOOKUP($G2001,CustTbl,2,0),IFERROR(VLOOKUP($G2001,SuppTbl,2,0),IFERROR(VLOOKUP($G2001,AcctTbl,2,0),IFERROR(VLOOKUP($G2001,StaffTbl,2,0),"کد ناشناخته")))))</f>
        <v/>
      </c>
      <c r="I2001" s="12" t="n"/>
      <c r="J2001" s="12" t="n"/>
      <c r="K2001" s="13" t="n"/>
      <c r="L2001" s="13" t="n"/>
      <c r="M2001" s="13" t="n"/>
      <c r="N2001" s="14">
        <f>IF(OR($C2001="",$E2001="",Calc!$H2001=""),"",IFERROR(VLOOKUP(LEFT(UPPER(TRIM($E2001)),6),BankTbl,3,0),0)+SUMIFS(CalcDep,CalcBank,LEFT(UPPER(TRIM($E2001)),6),CalcKey,"&lt;="&amp;Calc!$H2001)-SUMIFS(CalcWit,CalcBank,LEFT(UPPER(TRIM($E2001)),6),CalcKey,"&lt;="&amp;Calc!$H2001))</f>
        <v/>
      </c>
      <c r="O2001" s="10">
        <f>IF(OR($C2001="",$M2001=""),"",IF($N2001="","؟",IF(ROUND($M2001-$N2001,0)=0,"√","×")))</f>
        <v/>
      </c>
      <c r="P2001" s="12" t="n"/>
    </row>
    <row r="2002">
      <c r="A2002" s="10">
        <f>IF($C2002="","",COUNTA($C$9:$C2002))</f>
        <v/>
      </c>
      <c r="B2002" s="10">
        <f>IF($C2002="","","TXN-"&amp;RIGHT("0000"&amp;1994,4))</f>
        <v/>
      </c>
      <c r="C2002" s="11" t="n"/>
      <c r="D2002" s="11" t="n"/>
      <c r="E2002" s="12" t="n"/>
      <c r="F2002" s="10">
        <f>IF($E2002="","",IFERROR(IF(VLOOKUP(LEFT(UPPER(TRIM($E2002)),6),BankTbl,2,0)="","(بدون عنوان)",VLOOKUP(LEFT(UPPER(TRIM($E2002)),6),BankTbl,2,0)),"بانک ناشناخته"))</f>
        <v/>
      </c>
      <c r="G2002" s="11" t="n"/>
      <c r="H2002" s="10">
        <f>IF($G2002="","",IFERROR(VLOOKUP($G2002,CustTbl,2,0),IFERROR(VLOOKUP($G2002,SuppTbl,2,0),IFERROR(VLOOKUP($G2002,AcctTbl,2,0),IFERROR(VLOOKUP($G2002,StaffTbl,2,0),"کد ناشناخته")))))</f>
        <v/>
      </c>
      <c r="I2002" s="12" t="n"/>
      <c r="J2002" s="12" t="n"/>
      <c r="K2002" s="13" t="n"/>
      <c r="L2002" s="13" t="n"/>
      <c r="M2002" s="13" t="n"/>
      <c r="N2002" s="14">
        <f>IF(OR($C2002="",$E2002="",Calc!$H2002=""),"",IFERROR(VLOOKUP(LEFT(UPPER(TRIM($E2002)),6),BankTbl,3,0),0)+SUMIFS(CalcDep,CalcBank,LEFT(UPPER(TRIM($E2002)),6),CalcKey,"&lt;="&amp;Calc!$H2002)-SUMIFS(CalcWit,CalcBank,LEFT(UPPER(TRIM($E2002)),6),CalcKey,"&lt;="&amp;Calc!$H2002))</f>
        <v/>
      </c>
      <c r="O2002" s="10">
        <f>IF(OR($C2002="",$M2002=""),"",IF($N2002="","؟",IF(ROUND($M2002-$N2002,0)=0,"√","×")))</f>
        <v/>
      </c>
      <c r="P2002" s="12" t="n"/>
    </row>
    <row r="2003">
      <c r="A2003" s="10">
        <f>IF($C2003="","",COUNTA($C$9:$C2003))</f>
        <v/>
      </c>
      <c r="B2003" s="10">
        <f>IF($C2003="","","TXN-"&amp;RIGHT("0000"&amp;1995,4))</f>
        <v/>
      </c>
      <c r="C2003" s="11" t="n"/>
      <c r="D2003" s="11" t="n"/>
      <c r="E2003" s="12" t="n"/>
      <c r="F2003" s="10">
        <f>IF($E2003="","",IFERROR(IF(VLOOKUP(LEFT(UPPER(TRIM($E2003)),6),BankTbl,2,0)="","(بدون عنوان)",VLOOKUP(LEFT(UPPER(TRIM($E2003)),6),BankTbl,2,0)),"بانک ناشناخته"))</f>
        <v/>
      </c>
      <c r="G2003" s="11" t="n"/>
      <c r="H2003" s="10">
        <f>IF($G2003="","",IFERROR(VLOOKUP($G2003,CustTbl,2,0),IFERROR(VLOOKUP($G2003,SuppTbl,2,0),IFERROR(VLOOKUP($G2003,AcctTbl,2,0),IFERROR(VLOOKUP($G2003,StaffTbl,2,0),"کد ناشناخته")))))</f>
        <v/>
      </c>
      <c r="I2003" s="12" t="n"/>
      <c r="J2003" s="12" t="n"/>
      <c r="K2003" s="13" t="n"/>
      <c r="L2003" s="13" t="n"/>
      <c r="M2003" s="13" t="n"/>
      <c r="N2003" s="14">
        <f>IF(OR($C2003="",$E2003="",Calc!$H2003=""),"",IFERROR(VLOOKUP(LEFT(UPPER(TRIM($E2003)),6),BankTbl,3,0),0)+SUMIFS(CalcDep,CalcBank,LEFT(UPPER(TRIM($E2003)),6),CalcKey,"&lt;="&amp;Calc!$H2003)-SUMIFS(CalcWit,CalcBank,LEFT(UPPER(TRIM($E2003)),6),CalcKey,"&lt;="&amp;Calc!$H2003))</f>
        <v/>
      </c>
      <c r="O2003" s="10">
        <f>IF(OR($C2003="",$M2003=""),"",IF($N2003="","؟",IF(ROUND($M2003-$N2003,0)=0,"√","×")))</f>
        <v/>
      </c>
      <c r="P2003" s="12" t="n"/>
    </row>
    <row r="2004">
      <c r="A2004" s="10">
        <f>IF($C2004="","",COUNTA($C$9:$C2004))</f>
        <v/>
      </c>
      <c r="B2004" s="10">
        <f>IF($C2004="","","TXN-"&amp;RIGHT("0000"&amp;1996,4))</f>
        <v/>
      </c>
      <c r="C2004" s="11" t="n"/>
      <c r="D2004" s="11" t="n"/>
      <c r="E2004" s="12" t="n"/>
      <c r="F2004" s="10">
        <f>IF($E2004="","",IFERROR(IF(VLOOKUP(LEFT(UPPER(TRIM($E2004)),6),BankTbl,2,0)="","(بدون عنوان)",VLOOKUP(LEFT(UPPER(TRIM($E2004)),6),BankTbl,2,0)),"بانک ناشناخته"))</f>
        <v/>
      </c>
      <c r="G2004" s="11" t="n"/>
      <c r="H2004" s="10">
        <f>IF($G2004="","",IFERROR(VLOOKUP($G2004,CustTbl,2,0),IFERROR(VLOOKUP($G2004,SuppTbl,2,0),IFERROR(VLOOKUP($G2004,AcctTbl,2,0),IFERROR(VLOOKUP($G2004,StaffTbl,2,0),"کد ناشناخته")))))</f>
        <v/>
      </c>
      <c r="I2004" s="12" t="n"/>
      <c r="J2004" s="12" t="n"/>
      <c r="K2004" s="13" t="n"/>
      <c r="L2004" s="13" t="n"/>
      <c r="M2004" s="13" t="n"/>
      <c r="N2004" s="14">
        <f>IF(OR($C2004="",$E2004="",Calc!$H2004=""),"",IFERROR(VLOOKUP(LEFT(UPPER(TRIM($E2004)),6),BankTbl,3,0),0)+SUMIFS(CalcDep,CalcBank,LEFT(UPPER(TRIM($E2004)),6),CalcKey,"&lt;="&amp;Calc!$H2004)-SUMIFS(CalcWit,CalcBank,LEFT(UPPER(TRIM($E2004)),6),CalcKey,"&lt;="&amp;Calc!$H2004))</f>
        <v/>
      </c>
      <c r="O2004" s="10">
        <f>IF(OR($C2004="",$M2004=""),"",IF($N2004="","؟",IF(ROUND($M2004-$N2004,0)=0,"√","×")))</f>
        <v/>
      </c>
      <c r="P2004" s="12" t="n"/>
    </row>
    <row r="2005">
      <c r="A2005" s="10">
        <f>IF($C2005="","",COUNTA($C$9:$C2005))</f>
        <v/>
      </c>
      <c r="B2005" s="10">
        <f>IF($C2005="","","TXN-"&amp;RIGHT("0000"&amp;1997,4))</f>
        <v/>
      </c>
      <c r="C2005" s="11" t="n"/>
      <c r="D2005" s="11" t="n"/>
      <c r="E2005" s="12" t="n"/>
      <c r="F2005" s="10">
        <f>IF($E2005="","",IFERROR(IF(VLOOKUP(LEFT(UPPER(TRIM($E2005)),6),BankTbl,2,0)="","(بدون عنوان)",VLOOKUP(LEFT(UPPER(TRIM($E2005)),6),BankTbl,2,0)),"بانک ناشناخته"))</f>
        <v/>
      </c>
      <c r="G2005" s="11" t="n"/>
      <c r="H2005" s="10">
        <f>IF($G2005="","",IFERROR(VLOOKUP($G2005,CustTbl,2,0),IFERROR(VLOOKUP($G2005,SuppTbl,2,0),IFERROR(VLOOKUP($G2005,AcctTbl,2,0),IFERROR(VLOOKUP($G2005,StaffTbl,2,0),"کد ناشناخته")))))</f>
        <v/>
      </c>
      <c r="I2005" s="12" t="n"/>
      <c r="J2005" s="12" t="n"/>
      <c r="K2005" s="13" t="n"/>
      <c r="L2005" s="13" t="n"/>
      <c r="M2005" s="13" t="n"/>
      <c r="N2005" s="14">
        <f>IF(OR($C2005="",$E2005="",Calc!$H2005=""),"",IFERROR(VLOOKUP(LEFT(UPPER(TRIM($E2005)),6),BankTbl,3,0),0)+SUMIFS(CalcDep,CalcBank,LEFT(UPPER(TRIM($E2005)),6),CalcKey,"&lt;="&amp;Calc!$H2005)-SUMIFS(CalcWit,CalcBank,LEFT(UPPER(TRIM($E2005)),6),CalcKey,"&lt;="&amp;Calc!$H2005))</f>
        <v/>
      </c>
      <c r="O2005" s="10">
        <f>IF(OR($C2005="",$M2005=""),"",IF($N2005="","؟",IF(ROUND($M2005-$N2005,0)=0,"√","×")))</f>
        <v/>
      </c>
      <c r="P2005" s="12" t="n"/>
    </row>
    <row r="2006">
      <c r="A2006" s="10">
        <f>IF($C2006="","",COUNTA($C$9:$C2006))</f>
        <v/>
      </c>
      <c r="B2006" s="10">
        <f>IF($C2006="","","TXN-"&amp;RIGHT("0000"&amp;1998,4))</f>
        <v/>
      </c>
      <c r="C2006" s="11" t="n"/>
      <c r="D2006" s="11" t="n"/>
      <c r="E2006" s="12" t="n"/>
      <c r="F2006" s="10">
        <f>IF($E2006="","",IFERROR(IF(VLOOKUP(LEFT(UPPER(TRIM($E2006)),6),BankTbl,2,0)="","(بدون عنوان)",VLOOKUP(LEFT(UPPER(TRIM($E2006)),6),BankTbl,2,0)),"بانک ناشناخته"))</f>
        <v/>
      </c>
      <c r="G2006" s="11" t="n"/>
      <c r="H2006" s="10">
        <f>IF($G2006="","",IFERROR(VLOOKUP($G2006,CustTbl,2,0),IFERROR(VLOOKUP($G2006,SuppTbl,2,0),IFERROR(VLOOKUP($G2006,AcctTbl,2,0),IFERROR(VLOOKUP($G2006,StaffTbl,2,0),"کد ناشناخته")))))</f>
        <v/>
      </c>
      <c r="I2006" s="12" t="n"/>
      <c r="J2006" s="12" t="n"/>
      <c r="K2006" s="13" t="n"/>
      <c r="L2006" s="13" t="n"/>
      <c r="M2006" s="13" t="n"/>
      <c r="N2006" s="14">
        <f>IF(OR($C2006="",$E2006="",Calc!$H2006=""),"",IFERROR(VLOOKUP(LEFT(UPPER(TRIM($E2006)),6),BankTbl,3,0),0)+SUMIFS(CalcDep,CalcBank,LEFT(UPPER(TRIM($E2006)),6),CalcKey,"&lt;="&amp;Calc!$H2006)-SUMIFS(CalcWit,CalcBank,LEFT(UPPER(TRIM($E2006)),6),CalcKey,"&lt;="&amp;Calc!$H2006))</f>
        <v/>
      </c>
      <c r="O2006" s="10">
        <f>IF(OR($C2006="",$M2006=""),"",IF($N2006="","؟",IF(ROUND($M2006-$N2006,0)=0,"√","×")))</f>
        <v/>
      </c>
      <c r="P2006" s="12" t="n"/>
    </row>
    <row r="2007">
      <c r="A2007" s="10">
        <f>IF($C2007="","",COUNTA($C$9:$C2007))</f>
        <v/>
      </c>
      <c r="B2007" s="10">
        <f>IF($C2007="","","TXN-"&amp;RIGHT("0000"&amp;1999,4))</f>
        <v/>
      </c>
      <c r="C2007" s="11" t="n"/>
      <c r="D2007" s="11" t="n"/>
      <c r="E2007" s="12" t="n"/>
      <c r="F2007" s="10">
        <f>IF($E2007="","",IFERROR(IF(VLOOKUP(LEFT(UPPER(TRIM($E2007)),6),BankTbl,2,0)="","(بدون عنوان)",VLOOKUP(LEFT(UPPER(TRIM($E2007)),6),BankTbl,2,0)),"بانک ناشناخته"))</f>
        <v/>
      </c>
      <c r="G2007" s="11" t="n"/>
      <c r="H2007" s="10">
        <f>IF($G2007="","",IFERROR(VLOOKUP($G2007,CustTbl,2,0),IFERROR(VLOOKUP($G2007,SuppTbl,2,0),IFERROR(VLOOKUP($G2007,AcctTbl,2,0),IFERROR(VLOOKUP($G2007,StaffTbl,2,0),"کد ناشناخته")))))</f>
        <v/>
      </c>
      <c r="I2007" s="12" t="n"/>
      <c r="J2007" s="12" t="n"/>
      <c r="K2007" s="13" t="n"/>
      <c r="L2007" s="13" t="n"/>
      <c r="M2007" s="13" t="n"/>
      <c r="N2007" s="14">
        <f>IF(OR($C2007="",$E2007="",Calc!$H2007=""),"",IFERROR(VLOOKUP(LEFT(UPPER(TRIM($E2007)),6),BankTbl,3,0),0)+SUMIFS(CalcDep,CalcBank,LEFT(UPPER(TRIM($E2007)),6),CalcKey,"&lt;="&amp;Calc!$H2007)-SUMIFS(CalcWit,CalcBank,LEFT(UPPER(TRIM($E2007)),6),CalcKey,"&lt;="&amp;Calc!$H2007))</f>
        <v/>
      </c>
      <c r="O2007" s="10">
        <f>IF(OR($C2007="",$M2007=""),"",IF($N2007="","؟",IF(ROUND($M2007-$N2007,0)=0,"√","×")))</f>
        <v/>
      </c>
      <c r="P2007" s="12" t="n"/>
    </row>
    <row r="2008">
      <c r="A2008" s="10">
        <f>IF($C2008="","",COUNTA($C$9:$C2008))</f>
        <v/>
      </c>
      <c r="B2008" s="10">
        <f>IF($C2008="","","TXN-"&amp;RIGHT("0000"&amp;2000,4))</f>
        <v/>
      </c>
      <c r="C2008" s="11" t="n"/>
      <c r="D2008" s="11" t="n"/>
      <c r="E2008" s="12" t="n"/>
      <c r="F2008" s="10">
        <f>IF($E2008="","",IFERROR(IF(VLOOKUP(LEFT(UPPER(TRIM($E2008)),6),BankTbl,2,0)="","(بدون عنوان)",VLOOKUP(LEFT(UPPER(TRIM($E2008)),6),BankTbl,2,0)),"بانک ناشناخته"))</f>
        <v/>
      </c>
      <c r="G2008" s="11" t="n"/>
      <c r="H2008" s="10">
        <f>IF($G2008="","",IFERROR(VLOOKUP($G2008,CustTbl,2,0),IFERROR(VLOOKUP($G2008,SuppTbl,2,0),IFERROR(VLOOKUP($G2008,AcctTbl,2,0),IFERROR(VLOOKUP($G2008,StaffTbl,2,0),"کد ناشناخته")))))</f>
        <v/>
      </c>
      <c r="I2008" s="12" t="n"/>
      <c r="J2008" s="12" t="n"/>
      <c r="K2008" s="13" t="n"/>
      <c r="L2008" s="13" t="n"/>
      <c r="M2008" s="13" t="n"/>
      <c r="N2008" s="14">
        <f>IF(OR($C2008="",$E2008="",Calc!$H2008=""),"",IFERROR(VLOOKUP(LEFT(UPPER(TRIM($E2008)),6),BankTbl,3,0),0)+SUMIFS(CalcDep,CalcBank,LEFT(UPPER(TRIM($E2008)),6),CalcKey,"&lt;="&amp;Calc!$H2008)-SUMIFS(CalcWit,CalcBank,LEFT(UPPER(TRIM($E2008)),6),CalcKey,"&lt;="&amp;Calc!$H2008))</f>
        <v/>
      </c>
      <c r="O2008" s="10">
        <f>IF(OR($C2008="",$M2008=""),"",IF($N2008="","؟",IF(ROUND($M2008-$N2008,0)=0,"√","×")))</f>
        <v/>
      </c>
      <c r="P2008" s="12" t="n"/>
    </row>
  </sheetData>
  <mergeCells count="16">
    <mergeCell ref="D5:F5"/>
    <mergeCell ref="A5:C5"/>
    <mergeCell ref="G5:I5"/>
    <mergeCell ref="A1:P1"/>
    <mergeCell ref="G6:I6"/>
    <mergeCell ref="J5:K5"/>
    <mergeCell ref="J6:K6"/>
    <mergeCell ref="A6:C6"/>
    <mergeCell ref="L6:M6"/>
    <mergeCell ref="N5:P5"/>
    <mergeCell ref="A4:P4"/>
    <mergeCell ref="L5:M5"/>
    <mergeCell ref="A3:P3"/>
    <mergeCell ref="D6:F6"/>
    <mergeCell ref="N6:P6"/>
    <mergeCell ref="A2:P2"/>
  </mergeCells>
  <conditionalFormatting sqref="O9:O2008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2">
      <formula>"؟"</formula>
    </cfRule>
  </conditionalFormatting>
  <conditionalFormatting sqref="F9:F2008">
    <cfRule type="expression" priority="4" dxfId="2">
      <formula>OR(ISNUMBER(SEARCH("ناشناخته",F9)),ISNUMBER(SEARCH("بدون عنوان",F9)))</formula>
    </cfRule>
  </conditionalFormatting>
  <conditionalFormatting sqref="H9:H2008">
    <cfRule type="expression" priority="5" dxfId="2">
      <formula>OR(ISNUMBER(SEARCH("ناشناخته",H9)),ISNUMBER(SEARCH("بدون عنوان",H9)))</formula>
    </cfRule>
  </conditionalFormatting>
  <conditionalFormatting sqref="K9:K2008">
    <cfRule type="dataBar" priority="6">
      <dataBar showValue="1">
        <cfvo type="num" val="0"/>
        <cfvo type="max"/>
        <color rgb="0081C784"/>
      </dataBar>
    </cfRule>
  </conditionalFormatting>
  <conditionalFormatting sqref="L9:L2008">
    <cfRule type="dataBar" priority="7">
      <dataBar showValue="1">
        <cfvo type="num" val="0"/>
        <cfvo type="max"/>
        <color rgb="00FF8A65"/>
      </dataBar>
    </cfRule>
  </conditionalFormatting>
  <dataValidations count="8">
    <dataValidation sqref="E9:E2008" showDropDown="0" showInputMessage="1" showErrorMessage="1" allowBlank="1" promptTitle="بانک" prompt="از فهرست انتخاب کنید یا کد (مثل BANK03) را تایپ کنید." type="list">
      <formula1>ListBanks</formula1>
    </dataValidation>
    <dataValidation sqref="G9:G2008" showDropDown="0" showInputMessage="1" showErrorMessage="1" allowBlank="1" errorTitle="کد ناشناخته" error="این کد در فایل INFO یافت نشد (C… مشتری، S… تأمین‌کننده، X… سایر حساب‌ها، E… کارمند)." promptTitle="کد طرف حساب" prompt="کد را از فایل INFO تایپ کنید؛ نام به‌صورت خودکار می‌آید." type="custom" errorStyle="warning">
      <formula1>OR($G9="",COUNTIF(CustCodes,$G9)&gt;0,COUNTIF(SuppCodes,$G9)&gt;0,COUNTIF(AcctCodes,$G9)&gt;0,COUNTIF(StaffCodes,$G9)&gt;0)</formula1>
    </dataValidation>
    <dataValidation sqref="I9:I2008" showDropDown="0" showInputMessage="0" showErrorMessage="1" allowBlank="1" type="list">
      <formula1>ListPartyTypes</formula1>
    </dataValidation>
    <dataValidation sqref="J9:J2008" showDropDown="0" showInputMessage="0" showErrorMessage="1" allowBlank="1" type="list">
      <formula1>ListTxnTypes</formula1>
    </dataValidation>
    <dataValidation sqref="C9:C2008" showDropDown="0" showInputMessage="0" showErrorMessage="1" allowBlank="1" errorTitle="قالب تاریخ" error="تاریخ شمسی با قالب 1405/07/10 یا 14050710 وارد کنید (ارقام لاتین)." type="custom" errorStyle="warning">
      <formula1>AND(LEN($C9)=10,MID($C9,5,1)="/",MID($C9,8,1)="/",ISNUMBER(VALUE(LEFT($C9,4))),ISNUMBER(VALUE(MID($C9,6,2))),ISNUMBER(VALUE(MID($C9,9,2)))),AND(ISNUMBER($C9),LEN($C9)=8))</formula1>
    </dataValidation>
    <dataValidation sqref="D9:D2008" showDropDown="0" showInputMessage="0" showErrorMessage="1" allowBlank="1" errorTitle="قالب ساعت" error="ساعت را با قالب 24 ساعته 09:30 یا 9:30 وارد کنید." type="custom" errorStyle="warning">
      <formula1>OR(AND(ISNUMBER($D9),$D9&gt;=0,$D9&lt;1),AND(LEN($D9)=5,MID($D9,3,1)=":",ISNUMBER(VALUE(LEFT($D9,2))),ISNUMBER(VALUE(MID($D9,4,2)))))</formula1>
    </dataValidation>
    <dataValidation sqref="K9:K2008" showDropDown="0" showInputMessage="0" showErrorMessage="1" allowBlank="1" errorTitle="واریز/برداشت" error="در هر ردیف فقط یکی از ستون‌های واریز یا برداشت پر شود." type="custom" errorStyle="warning">
      <formula1>OR($K9="",AND(ISNUMBER($K9),$K9&gt;=0,$L9=""))</formula1>
    </dataValidation>
    <dataValidation sqref="L9:L2008" showDropDown="0" showInputMessage="0" showErrorMessage="1" allowBlank="1" errorTitle="واریز/برداشت" error="در هر ردیف فقط یکی از ستون‌های واریز یا برداشت پر شود." type="custom" errorStyle="warning">
      <formula1>OR($L9="",AND(ISNUMBER($L9),$L9&gt;=0,$K9=""))</formula1>
    </dataValidation>
  </dataValidations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ثبت تراکنش‌های بانکی — Entry&amp;R&amp;"Tahoma"&amp;8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P5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.5" customWidth="1" min="3" max="3"/>
    <col width="10" customWidth="1" min="4" max="4"/>
    <col width="2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0" customWidth="1" min="13" max="13"/>
    <col width="27" customWidth="1" min="14" max="14"/>
    <col width="11" customWidth="1" min="15" max="15"/>
    <col hidden="1" width="6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15">
        <f>IFERROR("صورت حساب بانکی — "&amp;IF(VLOOKUP("BANK01",BankTbl,2,0)="","(بدون عنوان)",VLOOKUP("BANK01",BankTbl,2,0)),"صورت حساب بانکی")</f>
        <v/>
      </c>
      <c r="B3" s="15" t="n"/>
      <c r="C3" s="15" t="n"/>
      <c r="D3" s="15" t="n"/>
      <c r="E3" s="15" t="n"/>
      <c r="F3" s="15" t="n"/>
      <c r="G3" s="15" t="n"/>
      <c r="H3" s="15" t="n"/>
      <c r="I3" s="16">
        <f>"کد حساب: BANK01"</f>
        <v/>
      </c>
      <c r="J3" s="16" t="n"/>
      <c r="K3" s="16" t="n"/>
      <c r="L3" s="16" t="n"/>
      <c r="M3" s="16" t="n"/>
      <c r="N3" s="16" t="n"/>
      <c r="O3" s="16" t="n"/>
    </row>
    <row r="4" ht="14" customHeight="1">
      <c r="A4" s="17">
        <f>IF(COUNTIFS(CalcBank,"BANK01")&gt;500,"× ظرفیت 500 ردیف این برگه پر شده — آخرین ردیف را به پایین کپی کنید","")</f>
        <v/>
      </c>
      <c r="B4" s="17" t="n"/>
      <c r="C4" s="17" t="n"/>
      <c r="D4" s="17" t="n"/>
      <c r="E4" s="17" t="n"/>
      <c r="F4" s="17" t="n"/>
      <c r="G4" s="17" t="n"/>
      <c r="H4" s="17" t="n"/>
      <c r="I4" s="18" t="inlineStr">
        <is>
          <t>مشخصات رسمی زیر، دستی وارد می‌شود (زردرنگ).</t>
        </is>
      </c>
      <c r="J4" s="18" t="n"/>
      <c r="K4" s="18" t="n"/>
      <c r="L4" s="18" t="n"/>
      <c r="M4" s="18" t="n"/>
      <c r="N4" s="18" t="n"/>
      <c r="O4" s="18" t="n"/>
    </row>
    <row r="5" ht="18" customHeight="1">
      <c r="A5" s="19" t="inlineStr">
        <is>
          <t>کد حساب:</t>
        </is>
      </c>
      <c r="B5" s="19" t="n"/>
      <c r="C5" s="20" t="inlineStr">
        <is>
          <t>BANK01</t>
        </is>
      </c>
      <c r="D5" s="20" t="n"/>
      <c r="E5" s="20" t="n"/>
      <c r="H5" s="19" t="inlineStr">
        <is>
          <t>نام رسمی بانک:</t>
        </is>
      </c>
      <c r="I5" s="19" t="n"/>
      <c r="J5" s="21" t="n"/>
      <c r="K5" s="21" t="n"/>
      <c r="L5" s="21" t="n"/>
      <c r="M5" s="21" t="n"/>
      <c r="N5" s="21" t="n"/>
      <c r="O5" s="21" t="n"/>
    </row>
    <row r="6" ht="18" customHeight="1">
      <c r="A6" s="19" t="inlineStr">
        <is>
          <t>عنوان نمایشی:</t>
        </is>
      </c>
      <c r="B6" s="19" t="n"/>
      <c r="C6" s="22">
        <f>IFERROR(IF(VLOOKUP("BANK01",BankTbl,2,0)="","(بدون عنوان)",VLOOKUP("BANK01",BankTbl,2,0)),"—")</f>
        <v/>
      </c>
      <c r="D6" s="22" t="n"/>
      <c r="E6" s="22" t="n"/>
      <c r="H6" s="19" t="inlineStr">
        <is>
          <t>شعبه:</t>
        </is>
      </c>
      <c r="I6" s="19" t="n"/>
      <c r="J6" s="21" t="n"/>
      <c r="K6" s="21" t="n"/>
      <c r="L6" s="21" t="n"/>
      <c r="M6" s="21" t="n"/>
      <c r="N6" s="21" t="n"/>
      <c r="O6" s="21" t="n"/>
    </row>
    <row r="7" ht="18" customHeight="1">
      <c r="A7" s="19" t="inlineStr">
        <is>
          <t>مانده اولیه (ریال):</t>
        </is>
      </c>
      <c r="B7" s="19" t="n"/>
      <c r="C7" s="23">
        <f>IFERROR(VLOOKUP("BANK01",BankTbl,3,0),0)</f>
        <v/>
      </c>
      <c r="D7" s="23" t="n"/>
      <c r="E7" s="23" t="n"/>
      <c r="H7" s="19" t="inlineStr">
        <is>
          <t>شماره حساب:</t>
        </is>
      </c>
      <c r="I7" s="19" t="n"/>
      <c r="J7" s="24" t="n"/>
      <c r="K7" s="24" t="n"/>
      <c r="L7" s="24" t="n"/>
      <c r="M7" s="24" t="n"/>
      <c r="N7" s="24" t="n"/>
      <c r="O7" s="24" t="n"/>
    </row>
    <row r="8" ht="18" customHeight="1">
      <c r="A8" s="19" t="inlineStr">
        <is>
          <t>وضعیت فعال:</t>
        </is>
      </c>
      <c r="B8" s="19" t="n"/>
      <c r="C8" s="10">
        <f>IFERROR(IF(VLOOKUP("BANK01",BankTbl,4,0)=0,"—",VLOOKUP("BANK01",BankTbl,4,0)),"—")</f>
        <v/>
      </c>
      <c r="D8" s="10" t="n"/>
      <c r="E8" s="10" t="n"/>
      <c r="H8" s="19" t="inlineStr">
        <is>
          <t>شماره شبا (۲۴ رقم):</t>
        </is>
      </c>
      <c r="I8" s="19" t="n"/>
      <c r="J8" s="24" t="n"/>
      <c r="K8" s="24" t="n"/>
      <c r="L8" s="24" t="n"/>
      <c r="M8" s="24" t="n"/>
      <c r="N8" s="24" t="n"/>
      <c r="O8" s="24" t="n"/>
    </row>
    <row r="9" ht="18" customHeight="1">
      <c r="A9" s="25" t="inlineStr">
        <is>
          <t>این چهار سلول از فایل مادر خوانده می‌شوند؛ برای تغییر: Mazandasht_INFO.xlsx ← شیت Banks. مشخصات رسمی (زردرنگ) دستی وارد می‌شود.</t>
        </is>
      </c>
      <c r="B9" s="25" t="n"/>
      <c r="C9" s="25" t="n"/>
      <c r="D9" s="25" t="n"/>
      <c r="E9" s="25" t="n"/>
      <c r="H9" s="19" t="inlineStr">
        <is>
          <t>صاحب حساب:</t>
        </is>
      </c>
      <c r="I9" s="19" t="n"/>
      <c r="J9" s="21" t="n"/>
      <c r="K9" s="21" t="n"/>
      <c r="L9" s="21" t="n"/>
      <c r="M9" s="21" t="n"/>
      <c r="N9" s="21" t="n"/>
      <c r="O9" s="21" t="n"/>
    </row>
    <row r="10" ht="18" customHeight="1">
      <c r="A10" s="25" t="n"/>
      <c r="B10" s="25" t="n"/>
      <c r="C10" s="25" t="n"/>
      <c r="D10" s="25" t="n"/>
      <c r="E10" s="25" t="n"/>
      <c r="H10" s="19" t="inlineStr">
        <is>
          <t>تلفن شعبه:</t>
        </is>
      </c>
      <c r="I10" s="19" t="n"/>
      <c r="J10" s="21" t="n"/>
      <c r="K10" s="21" t="n"/>
      <c r="L10" s="21" t="n"/>
      <c r="M10" s="21" t="n"/>
      <c r="N10" s="21" t="n"/>
      <c r="O10" s="21" t="n"/>
    </row>
    <row r="12" ht="13" customHeight="1">
      <c r="A12" s="5" t="inlineStr">
        <is>
          <t>جمع واریز (ریال)</t>
        </is>
      </c>
      <c r="B12" s="5" t="n"/>
      <c r="C12" s="5" t="inlineStr">
        <is>
          <t>جمع برداشت (ریال)</t>
        </is>
      </c>
      <c r="D12" s="5" t="n"/>
      <c r="E12" s="5" t="inlineStr">
        <is>
          <t>مانده نهایی سیستم</t>
        </is>
      </c>
      <c r="F12" s="5" t="n"/>
      <c r="G12" s="5" t="inlineStr">
        <is>
          <t>آخرین موجودی بانک</t>
        </is>
      </c>
      <c r="H12" s="5" t="n"/>
      <c r="I12" s="5" t="inlineStr">
        <is>
          <t>وضعیت مغایرت</t>
        </is>
      </c>
      <c r="J12" s="5" t="n"/>
      <c r="K12" s="5" t="inlineStr">
        <is>
          <t>تعداد تراکنش</t>
        </is>
      </c>
      <c r="L12" s="5" t="n"/>
      <c r="M12" s="5" t="inlineStr">
        <is>
          <t>ردیف تکراری</t>
        </is>
      </c>
      <c r="N12" s="5" t="n"/>
      <c r="O12" s="5" t="inlineStr">
        <is>
          <t>آخرین تاریخ</t>
        </is>
      </c>
    </row>
    <row r="13" ht="22" customHeight="1">
      <c r="A13" s="7">
        <f>SUM($H$17:$H$516)</f>
        <v/>
      </c>
      <c r="B13" s="7" t="n"/>
      <c r="C13" s="7">
        <f>SUM($I$17:$I$516)</f>
        <v/>
      </c>
      <c r="D13" s="7" t="n"/>
      <c r="E13" s="7">
        <f>IFERROR(LOOKUP(9.99E+307,$J$17:$J$516),$C$7)</f>
        <v/>
      </c>
      <c r="F13" s="7" t="n"/>
      <c r="G13" s="7">
        <f>IFERROR(LOOKUP(9.99E+307,$K$17:$K$516),"—")</f>
        <v/>
      </c>
      <c r="H13" s="7" t="n"/>
      <c r="I13" s="7">
        <f>IF(NOT(ISNUMBER($G$13)),"— بدون کنترل",IF(ROUND($G$13-$E$13,0)=0,"√ منطبق","× مغایرت ("&amp;TEXT(ROUND($G$13-$E$13,0),"#,##0")&amp;" ریال)"))</f>
        <v/>
      </c>
      <c r="J13" s="7" t="n"/>
      <c r="K13" s="7">
        <f>COUNT($A$17:$A$516)</f>
        <v/>
      </c>
      <c r="L13" s="7" t="n"/>
      <c r="M13" s="7">
        <f>COUNTIF($M$17:$M$516,"تکرار")</f>
        <v/>
      </c>
      <c r="N13" s="7" t="n"/>
      <c r="O13" s="7">
        <f>IF(COUNT($A$17:$A$516)=0,"—",INDEX($B$17:$B$516,COUNT($A$17:$A$516)))</f>
        <v/>
      </c>
    </row>
    <row r="14" ht="6" customHeight="1"/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ساعت</t>
        </is>
      </c>
      <c r="D15" s="8" t="inlineStr">
        <is>
          <t>کد طرف</t>
        </is>
      </c>
      <c r="E15" s="8" t="inlineStr">
        <is>
          <t>طرف حساب</t>
        </is>
      </c>
      <c r="F15" s="8" t="inlineStr">
        <is>
          <t>نوع طرف حساب</t>
        </is>
      </c>
      <c r="G15" s="8" t="inlineStr">
        <is>
          <t>نوع تراکنش</t>
        </is>
      </c>
      <c r="H15" s="8" t="inlineStr">
        <is>
          <t>واریز (ریال)</t>
        </is>
      </c>
      <c r="I15" s="8" t="inlineStr">
        <is>
          <t>برداشت (ریال)</t>
        </is>
      </c>
      <c r="J15" s="8" t="inlineStr">
        <is>
          <t>مانده سیستم (ریال)</t>
        </is>
      </c>
      <c r="K15" s="8" t="inlineStr">
        <is>
          <t>موجودی بانک (ریال)</t>
        </is>
      </c>
      <c r="L15" s="8" t="inlineStr">
        <is>
          <t>وضعیت</t>
        </is>
      </c>
      <c r="M15" s="8" t="inlineStr">
        <is>
          <t>کنترل تکرار</t>
        </is>
      </c>
      <c r="N15" s="8" t="inlineStr">
        <is>
          <t>توضیحات</t>
        </is>
      </c>
      <c r="O15" s="8" t="inlineStr">
        <is>
          <t>شناسه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Time</t>
        </is>
      </c>
      <c r="D16" s="9" t="inlineStr">
        <is>
          <t>Party Code</t>
        </is>
      </c>
      <c r="E16" s="9" t="inlineStr">
        <is>
          <t>Party</t>
        </is>
      </c>
      <c r="F16" s="9" t="inlineStr">
        <is>
          <t>Party Type</t>
        </is>
      </c>
      <c r="G16" s="9" t="inlineStr">
        <is>
          <t>Txn Type</t>
        </is>
      </c>
      <c r="H16" s="9" t="inlineStr">
        <is>
          <t>Deposit</t>
        </is>
      </c>
      <c r="I16" s="9" t="inlineStr">
        <is>
          <t>Withdrawal</t>
        </is>
      </c>
      <c r="J16" s="9" t="inlineStr">
        <is>
          <t>System Balance</t>
        </is>
      </c>
      <c r="K16" s="9" t="inlineStr">
        <is>
          <t>Bank Balance</t>
        </is>
      </c>
      <c r="L16" s="9" t="inlineStr">
        <is>
          <t>Status</t>
        </is>
      </c>
      <c r="M16" s="9" t="inlineStr">
        <is>
          <t>Dup Check</t>
        </is>
      </c>
      <c r="N16" s="9" t="inlineStr">
        <is>
          <t>Notes</t>
        </is>
      </c>
      <c r="O16" s="9" t="inlineStr">
        <is>
          <t>TxnID</t>
        </is>
      </c>
    </row>
    <row r="17">
      <c r="A17" s="26">
        <f>IF($B17="","",1)</f>
        <v/>
      </c>
      <c r="B17" s="26">
        <f>IF($P17="","",IF(INDEX(CalcNormDate,$P17)=0,"",INDEX(CalcNormDate,$P17)))</f>
        <v/>
      </c>
      <c r="C17" s="26">
        <f>IF($P17="","",IF(INDEX(CalcTime,$P17)=0,"",INDEX(CalcTime,$P17)))</f>
        <v/>
      </c>
      <c r="D17" s="26">
        <f>IF($P17="","",IF(INDEX(EntryParty,$P17)=0,"",INDEX(EntryParty,$P17)))</f>
        <v/>
      </c>
      <c r="E17" s="26">
        <f>IF($P17="","",IF(INDEX(EntryPartyName,$P17)=0,"",INDEX(EntryPartyName,$P17)))</f>
        <v/>
      </c>
      <c r="F17" s="26">
        <f>IF($P17="","",IF(INDEX(EntryPartyType,$P17)=0,"",INDEX(EntryPartyType,$P17)))</f>
        <v/>
      </c>
      <c r="G17" s="26">
        <f>IF($P17="","",IF(INDEX(EntryTxnType,$P17)=0,"",INDEX(EntryTxnType,$P17)))</f>
        <v/>
      </c>
      <c r="H17" s="27">
        <f>IF($P17="","",IF(INDEX(EntryDep,$P17)=0,"",INDEX(EntryDep,$P17)))</f>
        <v/>
      </c>
      <c r="I17" s="27">
        <f>IF($P17="","",IF(INDEX(EntryWit,$P17)=0,"",INDEX(EntryWit,$P17)))</f>
        <v/>
      </c>
      <c r="J17" s="27">
        <f>IF($B17="","",IF($A17=1,$C$7,IF(J16="",0,J16))+IF($H17="",0,$H17)-IF($I17="",0,$I17))</f>
        <v/>
      </c>
      <c r="K17" s="27">
        <f>IF($P17="","",IF(INDEX(EntryMan,$P17)=0,"",INDEX(EntryMan,$P17)))</f>
        <v/>
      </c>
      <c r="L17" s="26">
        <f>IF($B17="","",IF($K17="","—",IF(ROUND($K17-$J17,0)=0,"√","×")))</f>
        <v/>
      </c>
      <c r="M17" s="26">
        <f>IF($B17="","",IF(COUNTIFS(EntryDates,$B17,CalcTime,$C17,CalcBank,$C$5,EntryParty,$D17,EntryDep,$H17,EntryWit,$I17)&gt;1,"تکرار",""))</f>
        <v/>
      </c>
      <c r="N17" s="26">
        <f>IF($P17="","",IF(INDEX(EntryNotes,$P17)=0,"",INDEX(EntryNotes,$P17)))</f>
        <v/>
      </c>
      <c r="O17" s="26">
        <f>IF($P17="","",IF(INDEX(EntryTxnID,$P17)=0,"",INDEX(EntryTxnID,$P17)))</f>
        <v/>
      </c>
      <c r="P17" s="26">
        <f>IFERROR(MATCH($C$5&amp;"|"&amp;RIGHT("000000"&amp;1,6),CalcRankKey,0),"")</f>
        <v/>
      </c>
    </row>
    <row r="18">
      <c r="A18" s="28">
        <f>IF($B18="","",2)</f>
        <v/>
      </c>
      <c r="B18" s="28">
        <f>IF($P18="","",IF(INDEX(CalcNormDate,$P18)=0,"",INDEX(CalcNormDate,$P18)))</f>
        <v/>
      </c>
      <c r="C18" s="28">
        <f>IF($P18="","",IF(INDEX(CalcTime,$P18)=0,"",INDEX(CalcTime,$P18)))</f>
        <v/>
      </c>
      <c r="D18" s="28">
        <f>IF($P18="","",IF(INDEX(EntryParty,$P18)=0,"",INDEX(EntryParty,$P18)))</f>
        <v/>
      </c>
      <c r="E18" s="28">
        <f>IF($P18="","",IF(INDEX(EntryPartyName,$P18)=0,"",INDEX(EntryPartyName,$P18)))</f>
        <v/>
      </c>
      <c r="F18" s="28">
        <f>IF($P18="","",IF(INDEX(EntryPartyType,$P18)=0,"",INDEX(EntryPartyType,$P18)))</f>
        <v/>
      </c>
      <c r="G18" s="28">
        <f>IF($P18="","",IF(INDEX(EntryTxnType,$P18)=0,"",INDEX(EntryTxnType,$P18)))</f>
        <v/>
      </c>
      <c r="H18" s="29">
        <f>IF($P18="","",IF(INDEX(EntryDep,$P18)=0,"",INDEX(EntryDep,$P18)))</f>
        <v/>
      </c>
      <c r="I18" s="29">
        <f>IF($P18="","",IF(INDEX(EntryWit,$P18)=0,"",INDEX(EntryWit,$P18)))</f>
        <v/>
      </c>
      <c r="J18" s="29">
        <f>IF($B18="","",IF($A18=1,$C$7,IF(J17="",0,J17))+IF($H18="",0,$H18)-IF($I18="",0,$I18))</f>
        <v/>
      </c>
      <c r="K18" s="29">
        <f>IF($P18="","",IF(INDEX(EntryMan,$P18)=0,"",INDEX(EntryMan,$P18)))</f>
        <v/>
      </c>
      <c r="L18" s="28">
        <f>IF($B18="","",IF($K18="","—",IF(ROUND($K18-$J18,0)=0,"√","×")))</f>
        <v/>
      </c>
      <c r="M18" s="28">
        <f>IF($B18="","",IF(COUNTIFS(EntryDates,$B18,CalcTime,$C18,CalcBank,$C$5,EntryParty,$D18,EntryDep,$H18,EntryWit,$I18)&gt;1,"تکرار",""))</f>
        <v/>
      </c>
      <c r="N18" s="28">
        <f>IF($P18="","",IF(INDEX(EntryNotes,$P18)=0,"",INDEX(EntryNotes,$P18)))</f>
        <v/>
      </c>
      <c r="O18" s="28">
        <f>IF($P18="","",IF(INDEX(EntryTxnID,$P18)=0,"",INDEX(EntryTxnID,$P18)))</f>
        <v/>
      </c>
      <c r="P18" s="28">
        <f>IFERROR(MATCH($C$5&amp;"|"&amp;RIGHT("000000"&amp;2,6),CalcRankKey,0),"")</f>
        <v/>
      </c>
    </row>
    <row r="19">
      <c r="A19" s="26">
        <f>IF($B19="","",3)</f>
        <v/>
      </c>
      <c r="B19" s="26">
        <f>IF($P19="","",IF(INDEX(CalcNormDate,$P19)=0,"",INDEX(CalcNormDate,$P19)))</f>
        <v/>
      </c>
      <c r="C19" s="26">
        <f>IF($P19="","",IF(INDEX(CalcTime,$P19)=0,"",INDEX(CalcTime,$P19)))</f>
        <v/>
      </c>
      <c r="D19" s="26">
        <f>IF($P19="","",IF(INDEX(EntryParty,$P19)=0,"",INDEX(EntryParty,$P19)))</f>
        <v/>
      </c>
      <c r="E19" s="26">
        <f>IF($P19="","",IF(INDEX(EntryPartyName,$P19)=0,"",INDEX(EntryPartyName,$P19)))</f>
        <v/>
      </c>
      <c r="F19" s="26">
        <f>IF($P19="","",IF(INDEX(EntryPartyType,$P19)=0,"",INDEX(EntryPartyType,$P19)))</f>
        <v/>
      </c>
      <c r="G19" s="26">
        <f>IF($P19="","",IF(INDEX(EntryTxnType,$P19)=0,"",INDEX(EntryTxnType,$P19)))</f>
        <v/>
      </c>
      <c r="H19" s="27">
        <f>IF($P19="","",IF(INDEX(EntryDep,$P19)=0,"",INDEX(EntryDep,$P19)))</f>
        <v/>
      </c>
      <c r="I19" s="27">
        <f>IF($P19="","",IF(INDEX(EntryWit,$P19)=0,"",INDEX(EntryWit,$P19)))</f>
        <v/>
      </c>
      <c r="J19" s="27">
        <f>IF($B19="","",IF($A19=1,$C$7,IF(J18="",0,J18))+IF($H19="",0,$H19)-IF($I19="",0,$I19))</f>
        <v/>
      </c>
      <c r="K19" s="27">
        <f>IF($P19="","",IF(INDEX(EntryMan,$P19)=0,"",INDEX(EntryMan,$P19)))</f>
        <v/>
      </c>
      <c r="L19" s="26">
        <f>IF($B19="","",IF($K19="","—",IF(ROUND($K19-$J19,0)=0,"√","×")))</f>
        <v/>
      </c>
      <c r="M19" s="26">
        <f>IF($B19="","",IF(COUNTIFS(EntryDates,$B19,CalcTime,$C19,CalcBank,$C$5,EntryParty,$D19,EntryDep,$H19,EntryWit,$I19)&gt;1,"تکرار",""))</f>
        <v/>
      </c>
      <c r="N19" s="26">
        <f>IF($P19="","",IF(INDEX(EntryNotes,$P19)=0,"",INDEX(EntryNotes,$P19)))</f>
        <v/>
      </c>
      <c r="O19" s="26">
        <f>IF($P19="","",IF(INDEX(EntryTxnID,$P19)=0,"",INDEX(EntryTxnID,$P19)))</f>
        <v/>
      </c>
      <c r="P19" s="26">
        <f>IFERROR(MATCH($C$5&amp;"|"&amp;RIGHT("000000"&amp;3,6),CalcRankKey,0),"")</f>
        <v/>
      </c>
    </row>
    <row r="20">
      <c r="A20" s="28">
        <f>IF($B20="","",4)</f>
        <v/>
      </c>
      <c r="B20" s="28">
        <f>IF($P20="","",IF(INDEX(CalcNormDate,$P20)=0,"",INDEX(CalcNormDate,$P20)))</f>
        <v/>
      </c>
      <c r="C20" s="28">
        <f>IF($P20="","",IF(INDEX(CalcTime,$P20)=0,"",INDEX(CalcTime,$P20)))</f>
        <v/>
      </c>
      <c r="D20" s="28">
        <f>IF($P20="","",IF(INDEX(EntryParty,$P20)=0,"",INDEX(EntryParty,$P20)))</f>
        <v/>
      </c>
      <c r="E20" s="28">
        <f>IF($P20="","",IF(INDEX(EntryPartyName,$P20)=0,"",INDEX(EntryPartyName,$P20)))</f>
        <v/>
      </c>
      <c r="F20" s="28">
        <f>IF($P20="","",IF(INDEX(EntryPartyType,$P20)=0,"",INDEX(EntryPartyType,$P20)))</f>
        <v/>
      </c>
      <c r="G20" s="28">
        <f>IF($P20="","",IF(INDEX(EntryTxnType,$P20)=0,"",INDEX(EntryTxnType,$P20)))</f>
        <v/>
      </c>
      <c r="H20" s="29">
        <f>IF($P20="","",IF(INDEX(EntryDep,$P20)=0,"",INDEX(EntryDep,$P20)))</f>
        <v/>
      </c>
      <c r="I20" s="29">
        <f>IF($P20="","",IF(INDEX(EntryWit,$P20)=0,"",INDEX(EntryWit,$P20)))</f>
        <v/>
      </c>
      <c r="J20" s="29">
        <f>IF($B20="","",IF($A20=1,$C$7,IF(J19="",0,J19))+IF($H20="",0,$H20)-IF($I20="",0,$I20))</f>
        <v/>
      </c>
      <c r="K20" s="29">
        <f>IF($P20="","",IF(INDEX(EntryMan,$P20)=0,"",INDEX(EntryMan,$P20)))</f>
        <v/>
      </c>
      <c r="L20" s="28">
        <f>IF($B20="","",IF($K20="","—",IF(ROUND($K20-$J20,0)=0,"√","×")))</f>
        <v/>
      </c>
      <c r="M20" s="28">
        <f>IF($B20="","",IF(COUNTIFS(EntryDates,$B20,CalcTime,$C20,CalcBank,$C$5,EntryParty,$D20,EntryDep,$H20,EntryWit,$I20)&gt;1,"تکرار",""))</f>
        <v/>
      </c>
      <c r="N20" s="28">
        <f>IF($P20="","",IF(INDEX(EntryNotes,$P20)=0,"",INDEX(EntryNotes,$P20)))</f>
        <v/>
      </c>
      <c r="O20" s="28">
        <f>IF($P20="","",IF(INDEX(EntryTxnID,$P20)=0,"",INDEX(EntryTxnID,$P20)))</f>
        <v/>
      </c>
      <c r="P20" s="28">
        <f>IFERROR(MATCH($C$5&amp;"|"&amp;RIGHT("000000"&amp;4,6),CalcRankKey,0),"")</f>
        <v/>
      </c>
    </row>
    <row r="21">
      <c r="A21" s="26">
        <f>IF($B21="","",5)</f>
        <v/>
      </c>
      <c r="B21" s="26">
        <f>IF($P21="","",IF(INDEX(CalcNormDate,$P21)=0,"",INDEX(CalcNormDate,$P21)))</f>
        <v/>
      </c>
      <c r="C21" s="26">
        <f>IF($P21="","",IF(INDEX(CalcTime,$P21)=0,"",INDEX(CalcTime,$P21)))</f>
        <v/>
      </c>
      <c r="D21" s="26">
        <f>IF($P21="","",IF(INDEX(EntryParty,$P21)=0,"",INDEX(EntryParty,$P21)))</f>
        <v/>
      </c>
      <c r="E21" s="26">
        <f>IF($P21="","",IF(INDEX(EntryPartyName,$P21)=0,"",INDEX(EntryPartyName,$P21)))</f>
        <v/>
      </c>
      <c r="F21" s="26">
        <f>IF($P21="","",IF(INDEX(EntryPartyType,$P21)=0,"",INDEX(EntryPartyType,$P21)))</f>
        <v/>
      </c>
      <c r="G21" s="26">
        <f>IF($P21="","",IF(INDEX(EntryTxnType,$P21)=0,"",INDEX(EntryTxnType,$P21)))</f>
        <v/>
      </c>
      <c r="H21" s="27">
        <f>IF($P21="","",IF(INDEX(EntryDep,$P21)=0,"",INDEX(EntryDep,$P21)))</f>
        <v/>
      </c>
      <c r="I21" s="27">
        <f>IF($P21="","",IF(INDEX(EntryWit,$P21)=0,"",INDEX(EntryWit,$P21)))</f>
        <v/>
      </c>
      <c r="J21" s="27">
        <f>IF($B21="","",IF($A21=1,$C$7,IF(J20="",0,J20))+IF($H21="",0,$H21)-IF($I21="",0,$I21))</f>
        <v/>
      </c>
      <c r="K21" s="27">
        <f>IF($P21="","",IF(INDEX(EntryMan,$P21)=0,"",INDEX(EntryMan,$P21)))</f>
        <v/>
      </c>
      <c r="L21" s="26">
        <f>IF($B21="","",IF($K21="","—",IF(ROUND($K21-$J21,0)=0,"√","×")))</f>
        <v/>
      </c>
      <c r="M21" s="26">
        <f>IF($B21="","",IF(COUNTIFS(EntryDates,$B21,CalcTime,$C21,CalcBank,$C$5,EntryParty,$D21,EntryDep,$H21,EntryWit,$I21)&gt;1,"تکرار",""))</f>
        <v/>
      </c>
      <c r="N21" s="26">
        <f>IF($P21="","",IF(INDEX(EntryNotes,$P21)=0,"",INDEX(EntryNotes,$P21)))</f>
        <v/>
      </c>
      <c r="O21" s="26">
        <f>IF($P21="","",IF(INDEX(EntryTxnID,$P21)=0,"",INDEX(EntryTxnID,$P21)))</f>
        <v/>
      </c>
      <c r="P21" s="26">
        <f>IFERROR(MATCH($C$5&amp;"|"&amp;RIGHT("000000"&amp;5,6),CalcRankKey,0),"")</f>
        <v/>
      </c>
    </row>
    <row r="22">
      <c r="A22" s="28">
        <f>IF($B22="","",6)</f>
        <v/>
      </c>
      <c r="B22" s="28">
        <f>IF($P22="","",IF(INDEX(CalcNormDate,$P22)=0,"",INDEX(CalcNormDate,$P22)))</f>
        <v/>
      </c>
      <c r="C22" s="28">
        <f>IF($P22="","",IF(INDEX(CalcTime,$P22)=0,"",INDEX(CalcTime,$P22)))</f>
        <v/>
      </c>
      <c r="D22" s="28">
        <f>IF($P22="","",IF(INDEX(EntryParty,$P22)=0,"",INDEX(EntryParty,$P22)))</f>
        <v/>
      </c>
      <c r="E22" s="28">
        <f>IF($P22="","",IF(INDEX(EntryPartyName,$P22)=0,"",INDEX(EntryPartyName,$P22)))</f>
        <v/>
      </c>
      <c r="F22" s="28">
        <f>IF($P22="","",IF(INDEX(EntryPartyType,$P22)=0,"",INDEX(EntryPartyType,$P22)))</f>
        <v/>
      </c>
      <c r="G22" s="28">
        <f>IF($P22="","",IF(INDEX(EntryTxnType,$P22)=0,"",INDEX(EntryTxnType,$P22)))</f>
        <v/>
      </c>
      <c r="H22" s="29">
        <f>IF($P22="","",IF(INDEX(EntryDep,$P22)=0,"",INDEX(EntryDep,$P22)))</f>
        <v/>
      </c>
      <c r="I22" s="29">
        <f>IF($P22="","",IF(INDEX(EntryWit,$P22)=0,"",INDEX(EntryWit,$P22)))</f>
        <v/>
      </c>
      <c r="J22" s="29">
        <f>IF($B22="","",IF($A22=1,$C$7,IF(J21="",0,J21))+IF($H22="",0,$H22)-IF($I22="",0,$I22))</f>
        <v/>
      </c>
      <c r="K22" s="29">
        <f>IF($P22="","",IF(INDEX(EntryMan,$P22)=0,"",INDEX(EntryMan,$P22)))</f>
        <v/>
      </c>
      <c r="L22" s="28">
        <f>IF($B22="","",IF($K22="","—",IF(ROUND($K22-$J22,0)=0,"√","×")))</f>
        <v/>
      </c>
      <c r="M22" s="28">
        <f>IF($B22="","",IF(COUNTIFS(EntryDates,$B22,CalcTime,$C22,CalcBank,$C$5,EntryParty,$D22,EntryDep,$H22,EntryWit,$I22)&gt;1,"تکرار",""))</f>
        <v/>
      </c>
      <c r="N22" s="28">
        <f>IF($P22="","",IF(INDEX(EntryNotes,$P22)=0,"",INDEX(EntryNotes,$P22)))</f>
        <v/>
      </c>
      <c r="O22" s="28">
        <f>IF($P22="","",IF(INDEX(EntryTxnID,$P22)=0,"",INDEX(EntryTxnID,$P22)))</f>
        <v/>
      </c>
      <c r="P22" s="28">
        <f>IFERROR(MATCH($C$5&amp;"|"&amp;RIGHT("000000"&amp;6,6),CalcRankKey,0),"")</f>
        <v/>
      </c>
    </row>
    <row r="23">
      <c r="A23" s="26">
        <f>IF($B23="","",7)</f>
        <v/>
      </c>
      <c r="B23" s="26">
        <f>IF($P23="","",IF(INDEX(CalcNormDate,$P23)=0,"",INDEX(CalcNormDate,$P23)))</f>
        <v/>
      </c>
      <c r="C23" s="26">
        <f>IF($P23="","",IF(INDEX(CalcTime,$P23)=0,"",INDEX(CalcTime,$P23)))</f>
        <v/>
      </c>
      <c r="D23" s="26">
        <f>IF($P23="","",IF(INDEX(EntryParty,$P23)=0,"",INDEX(EntryParty,$P23)))</f>
        <v/>
      </c>
      <c r="E23" s="26">
        <f>IF($P23="","",IF(INDEX(EntryPartyName,$P23)=0,"",INDEX(EntryPartyName,$P23)))</f>
        <v/>
      </c>
      <c r="F23" s="26">
        <f>IF($P23="","",IF(INDEX(EntryPartyType,$P23)=0,"",INDEX(EntryPartyType,$P23)))</f>
        <v/>
      </c>
      <c r="G23" s="26">
        <f>IF($P23="","",IF(INDEX(EntryTxnType,$P23)=0,"",INDEX(EntryTxnType,$P23)))</f>
        <v/>
      </c>
      <c r="H23" s="27">
        <f>IF($P23="","",IF(INDEX(EntryDep,$P23)=0,"",INDEX(EntryDep,$P23)))</f>
        <v/>
      </c>
      <c r="I23" s="27">
        <f>IF($P23="","",IF(INDEX(EntryWit,$P23)=0,"",INDEX(EntryWit,$P23)))</f>
        <v/>
      </c>
      <c r="J23" s="27">
        <f>IF($B23="","",IF($A23=1,$C$7,IF(J22="",0,J22))+IF($H23="",0,$H23)-IF($I23="",0,$I23))</f>
        <v/>
      </c>
      <c r="K23" s="27">
        <f>IF($P23="","",IF(INDEX(EntryMan,$P23)=0,"",INDEX(EntryMan,$P23)))</f>
        <v/>
      </c>
      <c r="L23" s="26">
        <f>IF($B23="","",IF($K23="","—",IF(ROUND($K23-$J23,0)=0,"√","×")))</f>
        <v/>
      </c>
      <c r="M23" s="26">
        <f>IF($B23="","",IF(COUNTIFS(EntryDates,$B23,CalcTime,$C23,CalcBank,$C$5,EntryParty,$D23,EntryDep,$H23,EntryWit,$I23)&gt;1,"تکرار",""))</f>
        <v/>
      </c>
      <c r="N23" s="26">
        <f>IF($P23="","",IF(INDEX(EntryNotes,$P23)=0,"",INDEX(EntryNotes,$P23)))</f>
        <v/>
      </c>
      <c r="O23" s="26">
        <f>IF($P23="","",IF(INDEX(EntryTxnID,$P23)=0,"",INDEX(EntryTxnID,$P23)))</f>
        <v/>
      </c>
      <c r="P23" s="26">
        <f>IFERROR(MATCH($C$5&amp;"|"&amp;RIGHT("000000"&amp;7,6),CalcRankKey,0),"")</f>
        <v/>
      </c>
    </row>
    <row r="24">
      <c r="A24" s="28">
        <f>IF($B24="","",8)</f>
        <v/>
      </c>
      <c r="B24" s="28">
        <f>IF($P24="","",IF(INDEX(CalcNormDate,$P24)=0,"",INDEX(CalcNormDate,$P24)))</f>
        <v/>
      </c>
      <c r="C24" s="28">
        <f>IF($P24="","",IF(INDEX(CalcTime,$P24)=0,"",INDEX(CalcTime,$P24)))</f>
        <v/>
      </c>
      <c r="D24" s="28">
        <f>IF($P24="","",IF(INDEX(EntryParty,$P24)=0,"",INDEX(EntryParty,$P24)))</f>
        <v/>
      </c>
      <c r="E24" s="28">
        <f>IF($P24="","",IF(INDEX(EntryPartyName,$P24)=0,"",INDEX(EntryPartyName,$P24)))</f>
        <v/>
      </c>
      <c r="F24" s="28">
        <f>IF($P24="","",IF(INDEX(EntryPartyType,$P24)=0,"",INDEX(EntryPartyType,$P24)))</f>
        <v/>
      </c>
      <c r="G24" s="28">
        <f>IF($P24="","",IF(INDEX(EntryTxnType,$P24)=0,"",INDEX(EntryTxnType,$P24)))</f>
        <v/>
      </c>
      <c r="H24" s="29">
        <f>IF($P24="","",IF(INDEX(EntryDep,$P24)=0,"",INDEX(EntryDep,$P24)))</f>
        <v/>
      </c>
      <c r="I24" s="29">
        <f>IF($P24="","",IF(INDEX(EntryWit,$P24)=0,"",INDEX(EntryWit,$P24)))</f>
        <v/>
      </c>
      <c r="J24" s="29">
        <f>IF($B24="","",IF($A24=1,$C$7,IF(J23="",0,J23))+IF($H24="",0,$H24)-IF($I24="",0,$I24))</f>
        <v/>
      </c>
      <c r="K24" s="29">
        <f>IF($P24="","",IF(INDEX(EntryMan,$P24)=0,"",INDEX(EntryMan,$P24)))</f>
        <v/>
      </c>
      <c r="L24" s="28">
        <f>IF($B24="","",IF($K24="","—",IF(ROUND($K24-$J24,0)=0,"√","×")))</f>
        <v/>
      </c>
      <c r="M24" s="28">
        <f>IF($B24="","",IF(COUNTIFS(EntryDates,$B24,CalcTime,$C24,CalcBank,$C$5,EntryParty,$D24,EntryDep,$H24,EntryWit,$I24)&gt;1,"تکرار",""))</f>
        <v/>
      </c>
      <c r="N24" s="28">
        <f>IF($P24="","",IF(INDEX(EntryNotes,$P24)=0,"",INDEX(EntryNotes,$P24)))</f>
        <v/>
      </c>
      <c r="O24" s="28">
        <f>IF($P24="","",IF(INDEX(EntryTxnID,$P24)=0,"",INDEX(EntryTxnID,$P24)))</f>
        <v/>
      </c>
      <c r="P24" s="28">
        <f>IFERROR(MATCH($C$5&amp;"|"&amp;RIGHT("000000"&amp;8,6),CalcRankKey,0),"")</f>
        <v/>
      </c>
    </row>
    <row r="25">
      <c r="A25" s="26">
        <f>IF($B25="","",9)</f>
        <v/>
      </c>
      <c r="B25" s="26">
        <f>IF($P25="","",IF(INDEX(CalcNormDate,$P25)=0,"",INDEX(CalcNormDate,$P25)))</f>
        <v/>
      </c>
      <c r="C25" s="26">
        <f>IF($P25="","",IF(INDEX(CalcTime,$P25)=0,"",INDEX(CalcTime,$P25)))</f>
        <v/>
      </c>
      <c r="D25" s="26">
        <f>IF($P25="","",IF(INDEX(EntryParty,$P25)=0,"",INDEX(EntryParty,$P25)))</f>
        <v/>
      </c>
      <c r="E25" s="26">
        <f>IF($P25="","",IF(INDEX(EntryPartyName,$P25)=0,"",INDEX(EntryPartyName,$P25)))</f>
        <v/>
      </c>
      <c r="F25" s="26">
        <f>IF($P25="","",IF(INDEX(EntryPartyType,$P25)=0,"",INDEX(EntryPartyType,$P25)))</f>
        <v/>
      </c>
      <c r="G25" s="26">
        <f>IF($P25="","",IF(INDEX(EntryTxnType,$P25)=0,"",INDEX(EntryTxnType,$P25)))</f>
        <v/>
      </c>
      <c r="H25" s="27">
        <f>IF($P25="","",IF(INDEX(EntryDep,$P25)=0,"",INDEX(EntryDep,$P25)))</f>
        <v/>
      </c>
      <c r="I25" s="27">
        <f>IF($P25="","",IF(INDEX(EntryWit,$P25)=0,"",INDEX(EntryWit,$P25)))</f>
        <v/>
      </c>
      <c r="J25" s="27">
        <f>IF($B25="","",IF($A25=1,$C$7,IF(J24="",0,J24))+IF($H25="",0,$H25)-IF($I25="",0,$I25))</f>
        <v/>
      </c>
      <c r="K25" s="27">
        <f>IF($P25="","",IF(INDEX(EntryMan,$P25)=0,"",INDEX(EntryMan,$P25)))</f>
        <v/>
      </c>
      <c r="L25" s="26">
        <f>IF($B25="","",IF($K25="","—",IF(ROUND($K25-$J25,0)=0,"√","×")))</f>
        <v/>
      </c>
      <c r="M25" s="26">
        <f>IF($B25="","",IF(COUNTIFS(EntryDates,$B25,CalcTime,$C25,CalcBank,$C$5,EntryParty,$D25,EntryDep,$H25,EntryWit,$I25)&gt;1,"تکرار",""))</f>
        <v/>
      </c>
      <c r="N25" s="26">
        <f>IF($P25="","",IF(INDEX(EntryNotes,$P25)=0,"",INDEX(EntryNotes,$P25)))</f>
        <v/>
      </c>
      <c r="O25" s="26">
        <f>IF($P25="","",IF(INDEX(EntryTxnID,$P25)=0,"",INDEX(EntryTxnID,$P25)))</f>
        <v/>
      </c>
      <c r="P25" s="26">
        <f>IFERROR(MATCH($C$5&amp;"|"&amp;RIGHT("000000"&amp;9,6),CalcRankKey,0),"")</f>
        <v/>
      </c>
    </row>
    <row r="26">
      <c r="A26" s="28">
        <f>IF($B26="","",10)</f>
        <v/>
      </c>
      <c r="B26" s="28">
        <f>IF($P26="","",IF(INDEX(CalcNormDate,$P26)=0,"",INDEX(CalcNormDate,$P26)))</f>
        <v/>
      </c>
      <c r="C26" s="28">
        <f>IF($P26="","",IF(INDEX(CalcTime,$P26)=0,"",INDEX(CalcTime,$P26)))</f>
        <v/>
      </c>
      <c r="D26" s="28">
        <f>IF($P26="","",IF(INDEX(EntryParty,$P26)=0,"",INDEX(EntryParty,$P26)))</f>
        <v/>
      </c>
      <c r="E26" s="28">
        <f>IF($P26="","",IF(INDEX(EntryPartyName,$P26)=0,"",INDEX(EntryPartyName,$P26)))</f>
        <v/>
      </c>
      <c r="F26" s="28">
        <f>IF($P26="","",IF(INDEX(EntryPartyType,$P26)=0,"",INDEX(EntryPartyType,$P26)))</f>
        <v/>
      </c>
      <c r="G26" s="28">
        <f>IF($P26="","",IF(INDEX(EntryTxnType,$P26)=0,"",INDEX(EntryTxnType,$P26)))</f>
        <v/>
      </c>
      <c r="H26" s="29">
        <f>IF($P26="","",IF(INDEX(EntryDep,$P26)=0,"",INDEX(EntryDep,$P26)))</f>
        <v/>
      </c>
      <c r="I26" s="29">
        <f>IF($P26="","",IF(INDEX(EntryWit,$P26)=0,"",INDEX(EntryWit,$P26)))</f>
        <v/>
      </c>
      <c r="J26" s="29">
        <f>IF($B26="","",IF($A26=1,$C$7,IF(J25="",0,J25))+IF($H26="",0,$H26)-IF($I26="",0,$I26))</f>
        <v/>
      </c>
      <c r="K26" s="29">
        <f>IF($P26="","",IF(INDEX(EntryMan,$P26)=0,"",INDEX(EntryMan,$P26)))</f>
        <v/>
      </c>
      <c r="L26" s="28">
        <f>IF($B26="","",IF($K26="","—",IF(ROUND($K26-$J26,0)=0,"√","×")))</f>
        <v/>
      </c>
      <c r="M26" s="28">
        <f>IF($B26="","",IF(COUNTIFS(EntryDates,$B26,CalcTime,$C26,CalcBank,$C$5,EntryParty,$D26,EntryDep,$H26,EntryWit,$I26)&gt;1,"تکرار",""))</f>
        <v/>
      </c>
      <c r="N26" s="28">
        <f>IF($P26="","",IF(INDEX(EntryNotes,$P26)=0,"",INDEX(EntryNotes,$P26)))</f>
        <v/>
      </c>
      <c r="O26" s="28">
        <f>IF($P26="","",IF(INDEX(EntryTxnID,$P26)=0,"",INDEX(EntryTxnID,$P26)))</f>
        <v/>
      </c>
      <c r="P26" s="28">
        <f>IFERROR(MATCH($C$5&amp;"|"&amp;RIGHT("000000"&amp;10,6),CalcRankKey,0),"")</f>
        <v/>
      </c>
    </row>
    <row r="27">
      <c r="A27" s="26">
        <f>IF($B27="","",11)</f>
        <v/>
      </c>
      <c r="B27" s="26">
        <f>IF($P27="","",IF(INDEX(CalcNormDate,$P27)=0,"",INDEX(CalcNormDate,$P27)))</f>
        <v/>
      </c>
      <c r="C27" s="26">
        <f>IF($P27="","",IF(INDEX(CalcTime,$P27)=0,"",INDEX(CalcTime,$P27)))</f>
        <v/>
      </c>
      <c r="D27" s="26">
        <f>IF($P27="","",IF(INDEX(EntryParty,$P27)=0,"",INDEX(EntryParty,$P27)))</f>
        <v/>
      </c>
      <c r="E27" s="26">
        <f>IF($P27="","",IF(INDEX(EntryPartyName,$P27)=0,"",INDEX(EntryPartyName,$P27)))</f>
        <v/>
      </c>
      <c r="F27" s="26">
        <f>IF($P27="","",IF(INDEX(EntryPartyType,$P27)=0,"",INDEX(EntryPartyType,$P27)))</f>
        <v/>
      </c>
      <c r="G27" s="26">
        <f>IF($P27="","",IF(INDEX(EntryTxnType,$P27)=0,"",INDEX(EntryTxnType,$P27)))</f>
        <v/>
      </c>
      <c r="H27" s="27">
        <f>IF($P27="","",IF(INDEX(EntryDep,$P27)=0,"",INDEX(EntryDep,$P27)))</f>
        <v/>
      </c>
      <c r="I27" s="27">
        <f>IF($P27="","",IF(INDEX(EntryWit,$P27)=0,"",INDEX(EntryWit,$P27)))</f>
        <v/>
      </c>
      <c r="J27" s="27">
        <f>IF($B27="","",IF($A27=1,$C$7,IF(J26="",0,J26))+IF($H27="",0,$H27)-IF($I27="",0,$I27))</f>
        <v/>
      </c>
      <c r="K27" s="27">
        <f>IF($P27="","",IF(INDEX(EntryMan,$P27)=0,"",INDEX(EntryMan,$P27)))</f>
        <v/>
      </c>
      <c r="L27" s="26">
        <f>IF($B27="","",IF($K27="","—",IF(ROUND($K27-$J27,0)=0,"√","×")))</f>
        <v/>
      </c>
      <c r="M27" s="26">
        <f>IF($B27="","",IF(COUNTIFS(EntryDates,$B27,CalcTime,$C27,CalcBank,$C$5,EntryParty,$D27,EntryDep,$H27,EntryWit,$I27)&gt;1,"تکرار",""))</f>
        <v/>
      </c>
      <c r="N27" s="26">
        <f>IF($P27="","",IF(INDEX(EntryNotes,$P27)=0,"",INDEX(EntryNotes,$P27)))</f>
        <v/>
      </c>
      <c r="O27" s="26">
        <f>IF($P27="","",IF(INDEX(EntryTxnID,$P27)=0,"",INDEX(EntryTxnID,$P27)))</f>
        <v/>
      </c>
      <c r="P27" s="26">
        <f>IFERROR(MATCH($C$5&amp;"|"&amp;RIGHT("000000"&amp;11,6),CalcRankKey,0),"")</f>
        <v/>
      </c>
    </row>
    <row r="28">
      <c r="A28" s="28">
        <f>IF($B28="","",12)</f>
        <v/>
      </c>
      <c r="B28" s="28">
        <f>IF($P28="","",IF(INDEX(CalcNormDate,$P28)=0,"",INDEX(CalcNormDate,$P28)))</f>
        <v/>
      </c>
      <c r="C28" s="28">
        <f>IF($P28="","",IF(INDEX(CalcTime,$P28)=0,"",INDEX(CalcTime,$P28)))</f>
        <v/>
      </c>
      <c r="D28" s="28">
        <f>IF($P28="","",IF(INDEX(EntryParty,$P28)=0,"",INDEX(EntryParty,$P28)))</f>
        <v/>
      </c>
      <c r="E28" s="28">
        <f>IF($P28="","",IF(INDEX(EntryPartyName,$P28)=0,"",INDEX(EntryPartyName,$P28)))</f>
        <v/>
      </c>
      <c r="F28" s="28">
        <f>IF($P28="","",IF(INDEX(EntryPartyType,$P28)=0,"",INDEX(EntryPartyType,$P28)))</f>
        <v/>
      </c>
      <c r="G28" s="28">
        <f>IF($P28="","",IF(INDEX(EntryTxnType,$P28)=0,"",INDEX(EntryTxnType,$P28)))</f>
        <v/>
      </c>
      <c r="H28" s="29">
        <f>IF($P28="","",IF(INDEX(EntryDep,$P28)=0,"",INDEX(EntryDep,$P28)))</f>
        <v/>
      </c>
      <c r="I28" s="29">
        <f>IF($P28="","",IF(INDEX(EntryWit,$P28)=0,"",INDEX(EntryWit,$P28)))</f>
        <v/>
      </c>
      <c r="J28" s="29">
        <f>IF($B28="","",IF($A28=1,$C$7,IF(J27="",0,J27))+IF($H28="",0,$H28)-IF($I28="",0,$I28))</f>
        <v/>
      </c>
      <c r="K28" s="29">
        <f>IF($P28="","",IF(INDEX(EntryMan,$P28)=0,"",INDEX(EntryMan,$P28)))</f>
        <v/>
      </c>
      <c r="L28" s="28">
        <f>IF($B28="","",IF($K28="","—",IF(ROUND($K28-$J28,0)=0,"√","×")))</f>
        <v/>
      </c>
      <c r="M28" s="28">
        <f>IF($B28="","",IF(COUNTIFS(EntryDates,$B28,CalcTime,$C28,CalcBank,$C$5,EntryParty,$D28,EntryDep,$H28,EntryWit,$I28)&gt;1,"تکرار",""))</f>
        <v/>
      </c>
      <c r="N28" s="28">
        <f>IF($P28="","",IF(INDEX(EntryNotes,$P28)=0,"",INDEX(EntryNotes,$P28)))</f>
        <v/>
      </c>
      <c r="O28" s="28">
        <f>IF($P28="","",IF(INDEX(EntryTxnID,$P28)=0,"",INDEX(EntryTxnID,$P28)))</f>
        <v/>
      </c>
      <c r="P28" s="28">
        <f>IFERROR(MATCH($C$5&amp;"|"&amp;RIGHT("000000"&amp;12,6),CalcRankKey,0),"")</f>
        <v/>
      </c>
    </row>
    <row r="29">
      <c r="A29" s="26">
        <f>IF($B29="","",13)</f>
        <v/>
      </c>
      <c r="B29" s="26">
        <f>IF($P29="","",IF(INDEX(CalcNormDate,$P29)=0,"",INDEX(CalcNormDate,$P29)))</f>
        <v/>
      </c>
      <c r="C29" s="26">
        <f>IF($P29="","",IF(INDEX(CalcTime,$P29)=0,"",INDEX(CalcTime,$P29)))</f>
        <v/>
      </c>
      <c r="D29" s="26">
        <f>IF($P29="","",IF(INDEX(EntryParty,$P29)=0,"",INDEX(EntryParty,$P29)))</f>
        <v/>
      </c>
      <c r="E29" s="26">
        <f>IF($P29="","",IF(INDEX(EntryPartyName,$P29)=0,"",INDEX(EntryPartyName,$P29)))</f>
        <v/>
      </c>
      <c r="F29" s="26">
        <f>IF($P29="","",IF(INDEX(EntryPartyType,$P29)=0,"",INDEX(EntryPartyType,$P29)))</f>
        <v/>
      </c>
      <c r="G29" s="26">
        <f>IF($P29="","",IF(INDEX(EntryTxnType,$P29)=0,"",INDEX(EntryTxnType,$P29)))</f>
        <v/>
      </c>
      <c r="H29" s="27">
        <f>IF($P29="","",IF(INDEX(EntryDep,$P29)=0,"",INDEX(EntryDep,$P29)))</f>
        <v/>
      </c>
      <c r="I29" s="27">
        <f>IF($P29="","",IF(INDEX(EntryWit,$P29)=0,"",INDEX(EntryWit,$P29)))</f>
        <v/>
      </c>
      <c r="J29" s="27">
        <f>IF($B29="","",IF($A29=1,$C$7,IF(J28="",0,J28))+IF($H29="",0,$H29)-IF($I29="",0,$I29))</f>
        <v/>
      </c>
      <c r="K29" s="27">
        <f>IF($P29="","",IF(INDEX(EntryMan,$P29)=0,"",INDEX(EntryMan,$P29)))</f>
        <v/>
      </c>
      <c r="L29" s="26">
        <f>IF($B29="","",IF($K29="","—",IF(ROUND($K29-$J29,0)=0,"√","×")))</f>
        <v/>
      </c>
      <c r="M29" s="26">
        <f>IF($B29="","",IF(COUNTIFS(EntryDates,$B29,CalcTime,$C29,CalcBank,$C$5,EntryParty,$D29,EntryDep,$H29,EntryWit,$I29)&gt;1,"تکرار",""))</f>
        <v/>
      </c>
      <c r="N29" s="26">
        <f>IF($P29="","",IF(INDEX(EntryNotes,$P29)=0,"",INDEX(EntryNotes,$P29)))</f>
        <v/>
      </c>
      <c r="O29" s="26">
        <f>IF($P29="","",IF(INDEX(EntryTxnID,$P29)=0,"",INDEX(EntryTxnID,$P29)))</f>
        <v/>
      </c>
      <c r="P29" s="26">
        <f>IFERROR(MATCH($C$5&amp;"|"&amp;RIGHT("000000"&amp;13,6),CalcRankKey,0),"")</f>
        <v/>
      </c>
    </row>
    <row r="30">
      <c r="A30" s="28">
        <f>IF($B30="","",14)</f>
        <v/>
      </c>
      <c r="B30" s="28">
        <f>IF($P30="","",IF(INDEX(CalcNormDate,$P30)=0,"",INDEX(CalcNormDate,$P30)))</f>
        <v/>
      </c>
      <c r="C30" s="28">
        <f>IF($P30="","",IF(INDEX(CalcTime,$P30)=0,"",INDEX(CalcTime,$P30)))</f>
        <v/>
      </c>
      <c r="D30" s="28">
        <f>IF($P30="","",IF(INDEX(EntryParty,$P30)=0,"",INDEX(EntryParty,$P30)))</f>
        <v/>
      </c>
      <c r="E30" s="28">
        <f>IF($P30="","",IF(INDEX(EntryPartyName,$P30)=0,"",INDEX(EntryPartyName,$P30)))</f>
        <v/>
      </c>
      <c r="F30" s="28">
        <f>IF($P30="","",IF(INDEX(EntryPartyType,$P30)=0,"",INDEX(EntryPartyType,$P30)))</f>
        <v/>
      </c>
      <c r="G30" s="28">
        <f>IF($P30="","",IF(INDEX(EntryTxnType,$P30)=0,"",INDEX(EntryTxnType,$P30)))</f>
        <v/>
      </c>
      <c r="H30" s="29">
        <f>IF($P30="","",IF(INDEX(EntryDep,$P30)=0,"",INDEX(EntryDep,$P30)))</f>
        <v/>
      </c>
      <c r="I30" s="29">
        <f>IF($P30="","",IF(INDEX(EntryWit,$P30)=0,"",INDEX(EntryWit,$P30)))</f>
        <v/>
      </c>
      <c r="J30" s="29">
        <f>IF($B30="","",IF($A30=1,$C$7,IF(J29="",0,J29))+IF($H30="",0,$H30)-IF($I30="",0,$I30))</f>
        <v/>
      </c>
      <c r="K30" s="29">
        <f>IF($P30="","",IF(INDEX(EntryMan,$P30)=0,"",INDEX(EntryMan,$P30)))</f>
        <v/>
      </c>
      <c r="L30" s="28">
        <f>IF($B30="","",IF($K30="","—",IF(ROUND($K30-$J30,0)=0,"√","×")))</f>
        <v/>
      </c>
      <c r="M30" s="28">
        <f>IF($B30="","",IF(COUNTIFS(EntryDates,$B30,CalcTime,$C30,CalcBank,$C$5,EntryParty,$D30,EntryDep,$H30,EntryWit,$I30)&gt;1,"تکرار",""))</f>
        <v/>
      </c>
      <c r="N30" s="28">
        <f>IF($P30="","",IF(INDEX(EntryNotes,$P30)=0,"",INDEX(EntryNotes,$P30)))</f>
        <v/>
      </c>
      <c r="O30" s="28">
        <f>IF($P30="","",IF(INDEX(EntryTxnID,$P30)=0,"",INDEX(EntryTxnID,$P30)))</f>
        <v/>
      </c>
      <c r="P30" s="28">
        <f>IFERROR(MATCH($C$5&amp;"|"&amp;RIGHT("000000"&amp;14,6),CalcRankKey,0),"")</f>
        <v/>
      </c>
    </row>
    <row r="31">
      <c r="A31" s="26">
        <f>IF($B31="","",15)</f>
        <v/>
      </c>
      <c r="B31" s="26">
        <f>IF($P31="","",IF(INDEX(CalcNormDate,$P31)=0,"",INDEX(CalcNormDate,$P31)))</f>
        <v/>
      </c>
      <c r="C31" s="26">
        <f>IF($P31="","",IF(INDEX(CalcTime,$P31)=0,"",INDEX(CalcTime,$P31)))</f>
        <v/>
      </c>
      <c r="D31" s="26">
        <f>IF($P31="","",IF(INDEX(EntryParty,$P31)=0,"",INDEX(EntryParty,$P31)))</f>
        <v/>
      </c>
      <c r="E31" s="26">
        <f>IF($P31="","",IF(INDEX(EntryPartyName,$P31)=0,"",INDEX(EntryPartyName,$P31)))</f>
        <v/>
      </c>
      <c r="F31" s="26">
        <f>IF($P31="","",IF(INDEX(EntryPartyType,$P31)=0,"",INDEX(EntryPartyType,$P31)))</f>
        <v/>
      </c>
      <c r="G31" s="26">
        <f>IF($P31="","",IF(INDEX(EntryTxnType,$P31)=0,"",INDEX(EntryTxnType,$P31)))</f>
        <v/>
      </c>
      <c r="H31" s="27">
        <f>IF($P31="","",IF(INDEX(EntryDep,$P31)=0,"",INDEX(EntryDep,$P31)))</f>
        <v/>
      </c>
      <c r="I31" s="27">
        <f>IF($P31="","",IF(INDEX(EntryWit,$P31)=0,"",INDEX(EntryWit,$P31)))</f>
        <v/>
      </c>
      <c r="J31" s="27">
        <f>IF($B31="","",IF($A31=1,$C$7,IF(J30="",0,J30))+IF($H31="",0,$H31)-IF($I31="",0,$I31))</f>
        <v/>
      </c>
      <c r="K31" s="27">
        <f>IF($P31="","",IF(INDEX(EntryMan,$P31)=0,"",INDEX(EntryMan,$P31)))</f>
        <v/>
      </c>
      <c r="L31" s="26">
        <f>IF($B31="","",IF($K31="","—",IF(ROUND($K31-$J31,0)=0,"√","×")))</f>
        <v/>
      </c>
      <c r="M31" s="26">
        <f>IF($B31="","",IF(COUNTIFS(EntryDates,$B31,CalcTime,$C31,CalcBank,$C$5,EntryParty,$D31,EntryDep,$H31,EntryWit,$I31)&gt;1,"تکرار",""))</f>
        <v/>
      </c>
      <c r="N31" s="26">
        <f>IF($P31="","",IF(INDEX(EntryNotes,$P31)=0,"",INDEX(EntryNotes,$P31)))</f>
        <v/>
      </c>
      <c r="O31" s="26">
        <f>IF($P31="","",IF(INDEX(EntryTxnID,$P31)=0,"",INDEX(EntryTxnID,$P31)))</f>
        <v/>
      </c>
      <c r="P31" s="26">
        <f>IFERROR(MATCH($C$5&amp;"|"&amp;RIGHT("000000"&amp;15,6),CalcRankKey,0),"")</f>
        <v/>
      </c>
    </row>
    <row r="32">
      <c r="A32" s="28">
        <f>IF($B32="","",16)</f>
        <v/>
      </c>
      <c r="B32" s="28">
        <f>IF($P32="","",IF(INDEX(CalcNormDate,$P32)=0,"",INDEX(CalcNormDate,$P32)))</f>
        <v/>
      </c>
      <c r="C32" s="28">
        <f>IF($P32="","",IF(INDEX(CalcTime,$P32)=0,"",INDEX(CalcTime,$P32)))</f>
        <v/>
      </c>
      <c r="D32" s="28">
        <f>IF($P32="","",IF(INDEX(EntryParty,$P32)=0,"",INDEX(EntryParty,$P32)))</f>
        <v/>
      </c>
      <c r="E32" s="28">
        <f>IF($P32="","",IF(INDEX(EntryPartyName,$P32)=0,"",INDEX(EntryPartyName,$P32)))</f>
        <v/>
      </c>
      <c r="F32" s="28">
        <f>IF($P32="","",IF(INDEX(EntryPartyType,$P32)=0,"",INDEX(EntryPartyType,$P32)))</f>
        <v/>
      </c>
      <c r="G32" s="28">
        <f>IF($P32="","",IF(INDEX(EntryTxnType,$P32)=0,"",INDEX(EntryTxnType,$P32)))</f>
        <v/>
      </c>
      <c r="H32" s="29">
        <f>IF($P32="","",IF(INDEX(EntryDep,$P32)=0,"",INDEX(EntryDep,$P32)))</f>
        <v/>
      </c>
      <c r="I32" s="29">
        <f>IF($P32="","",IF(INDEX(EntryWit,$P32)=0,"",INDEX(EntryWit,$P32)))</f>
        <v/>
      </c>
      <c r="J32" s="29">
        <f>IF($B32="","",IF($A32=1,$C$7,IF(J31="",0,J31))+IF($H32="",0,$H32)-IF($I32="",0,$I32))</f>
        <v/>
      </c>
      <c r="K32" s="29">
        <f>IF($P32="","",IF(INDEX(EntryMan,$P32)=0,"",INDEX(EntryMan,$P32)))</f>
        <v/>
      </c>
      <c r="L32" s="28">
        <f>IF($B32="","",IF($K32="","—",IF(ROUND($K32-$J32,0)=0,"√","×")))</f>
        <v/>
      </c>
      <c r="M32" s="28">
        <f>IF($B32="","",IF(COUNTIFS(EntryDates,$B32,CalcTime,$C32,CalcBank,$C$5,EntryParty,$D32,EntryDep,$H32,EntryWit,$I32)&gt;1,"تکرار",""))</f>
        <v/>
      </c>
      <c r="N32" s="28">
        <f>IF($P32="","",IF(INDEX(EntryNotes,$P32)=0,"",INDEX(EntryNotes,$P32)))</f>
        <v/>
      </c>
      <c r="O32" s="28">
        <f>IF($P32="","",IF(INDEX(EntryTxnID,$P32)=0,"",INDEX(EntryTxnID,$P32)))</f>
        <v/>
      </c>
      <c r="P32" s="28">
        <f>IFERROR(MATCH($C$5&amp;"|"&amp;RIGHT("000000"&amp;16,6),CalcRankKey,0),"")</f>
        <v/>
      </c>
    </row>
    <row r="33">
      <c r="A33" s="26">
        <f>IF($B33="","",17)</f>
        <v/>
      </c>
      <c r="B33" s="26">
        <f>IF($P33="","",IF(INDEX(CalcNormDate,$P33)=0,"",INDEX(CalcNormDate,$P33)))</f>
        <v/>
      </c>
      <c r="C33" s="26">
        <f>IF($P33="","",IF(INDEX(CalcTime,$P33)=0,"",INDEX(CalcTime,$P33)))</f>
        <v/>
      </c>
      <c r="D33" s="26">
        <f>IF($P33="","",IF(INDEX(EntryParty,$P33)=0,"",INDEX(EntryParty,$P33)))</f>
        <v/>
      </c>
      <c r="E33" s="26">
        <f>IF($P33="","",IF(INDEX(EntryPartyName,$P33)=0,"",INDEX(EntryPartyName,$P33)))</f>
        <v/>
      </c>
      <c r="F33" s="26">
        <f>IF($P33="","",IF(INDEX(EntryPartyType,$P33)=0,"",INDEX(EntryPartyType,$P33)))</f>
        <v/>
      </c>
      <c r="G33" s="26">
        <f>IF($P33="","",IF(INDEX(EntryTxnType,$P33)=0,"",INDEX(EntryTxnType,$P33)))</f>
        <v/>
      </c>
      <c r="H33" s="27">
        <f>IF($P33="","",IF(INDEX(EntryDep,$P33)=0,"",INDEX(EntryDep,$P33)))</f>
        <v/>
      </c>
      <c r="I33" s="27">
        <f>IF($P33="","",IF(INDEX(EntryWit,$P33)=0,"",INDEX(EntryWit,$P33)))</f>
        <v/>
      </c>
      <c r="J33" s="27">
        <f>IF($B33="","",IF($A33=1,$C$7,IF(J32="",0,J32))+IF($H33="",0,$H33)-IF($I33="",0,$I33))</f>
        <v/>
      </c>
      <c r="K33" s="27">
        <f>IF($P33="","",IF(INDEX(EntryMan,$P33)=0,"",INDEX(EntryMan,$P33)))</f>
        <v/>
      </c>
      <c r="L33" s="26">
        <f>IF($B33="","",IF($K33="","—",IF(ROUND($K33-$J33,0)=0,"√","×")))</f>
        <v/>
      </c>
      <c r="M33" s="26">
        <f>IF($B33="","",IF(COUNTIFS(EntryDates,$B33,CalcTime,$C33,CalcBank,$C$5,EntryParty,$D33,EntryDep,$H33,EntryWit,$I33)&gt;1,"تکرار",""))</f>
        <v/>
      </c>
      <c r="N33" s="26">
        <f>IF($P33="","",IF(INDEX(EntryNotes,$P33)=0,"",INDEX(EntryNotes,$P33)))</f>
        <v/>
      </c>
      <c r="O33" s="26">
        <f>IF($P33="","",IF(INDEX(EntryTxnID,$P33)=0,"",INDEX(EntryTxnID,$P33)))</f>
        <v/>
      </c>
      <c r="P33" s="26">
        <f>IFERROR(MATCH($C$5&amp;"|"&amp;RIGHT("000000"&amp;17,6),CalcRankKey,0),"")</f>
        <v/>
      </c>
    </row>
    <row r="34">
      <c r="A34" s="28">
        <f>IF($B34="","",18)</f>
        <v/>
      </c>
      <c r="B34" s="28">
        <f>IF($P34="","",IF(INDEX(CalcNormDate,$P34)=0,"",INDEX(CalcNormDate,$P34)))</f>
        <v/>
      </c>
      <c r="C34" s="28">
        <f>IF($P34="","",IF(INDEX(CalcTime,$P34)=0,"",INDEX(CalcTime,$P34)))</f>
        <v/>
      </c>
      <c r="D34" s="28">
        <f>IF($P34="","",IF(INDEX(EntryParty,$P34)=0,"",INDEX(EntryParty,$P34)))</f>
        <v/>
      </c>
      <c r="E34" s="28">
        <f>IF($P34="","",IF(INDEX(EntryPartyName,$P34)=0,"",INDEX(EntryPartyName,$P34)))</f>
        <v/>
      </c>
      <c r="F34" s="28">
        <f>IF($P34="","",IF(INDEX(EntryPartyType,$P34)=0,"",INDEX(EntryPartyType,$P34)))</f>
        <v/>
      </c>
      <c r="G34" s="28">
        <f>IF($P34="","",IF(INDEX(EntryTxnType,$P34)=0,"",INDEX(EntryTxnType,$P34)))</f>
        <v/>
      </c>
      <c r="H34" s="29">
        <f>IF($P34="","",IF(INDEX(EntryDep,$P34)=0,"",INDEX(EntryDep,$P34)))</f>
        <v/>
      </c>
      <c r="I34" s="29">
        <f>IF($P34="","",IF(INDEX(EntryWit,$P34)=0,"",INDEX(EntryWit,$P34)))</f>
        <v/>
      </c>
      <c r="J34" s="29">
        <f>IF($B34="","",IF($A34=1,$C$7,IF(J33="",0,J33))+IF($H34="",0,$H34)-IF($I34="",0,$I34))</f>
        <v/>
      </c>
      <c r="K34" s="29">
        <f>IF($P34="","",IF(INDEX(EntryMan,$P34)=0,"",INDEX(EntryMan,$P34)))</f>
        <v/>
      </c>
      <c r="L34" s="28">
        <f>IF($B34="","",IF($K34="","—",IF(ROUND($K34-$J34,0)=0,"√","×")))</f>
        <v/>
      </c>
      <c r="M34" s="28">
        <f>IF($B34="","",IF(COUNTIFS(EntryDates,$B34,CalcTime,$C34,CalcBank,$C$5,EntryParty,$D34,EntryDep,$H34,EntryWit,$I34)&gt;1,"تکرار",""))</f>
        <v/>
      </c>
      <c r="N34" s="28">
        <f>IF($P34="","",IF(INDEX(EntryNotes,$P34)=0,"",INDEX(EntryNotes,$P34)))</f>
        <v/>
      </c>
      <c r="O34" s="28">
        <f>IF($P34="","",IF(INDEX(EntryTxnID,$P34)=0,"",INDEX(EntryTxnID,$P34)))</f>
        <v/>
      </c>
      <c r="P34" s="28">
        <f>IFERROR(MATCH($C$5&amp;"|"&amp;RIGHT("000000"&amp;18,6),CalcRankKey,0),"")</f>
        <v/>
      </c>
    </row>
    <row r="35">
      <c r="A35" s="26">
        <f>IF($B35="","",19)</f>
        <v/>
      </c>
      <c r="B35" s="26">
        <f>IF($P35="","",IF(INDEX(CalcNormDate,$P35)=0,"",INDEX(CalcNormDate,$P35)))</f>
        <v/>
      </c>
      <c r="C35" s="26">
        <f>IF($P35="","",IF(INDEX(CalcTime,$P35)=0,"",INDEX(CalcTime,$P35)))</f>
        <v/>
      </c>
      <c r="D35" s="26">
        <f>IF($P35="","",IF(INDEX(EntryParty,$P35)=0,"",INDEX(EntryParty,$P35)))</f>
        <v/>
      </c>
      <c r="E35" s="26">
        <f>IF($P35="","",IF(INDEX(EntryPartyName,$P35)=0,"",INDEX(EntryPartyName,$P35)))</f>
        <v/>
      </c>
      <c r="F35" s="26">
        <f>IF($P35="","",IF(INDEX(EntryPartyType,$P35)=0,"",INDEX(EntryPartyType,$P35)))</f>
        <v/>
      </c>
      <c r="G35" s="26">
        <f>IF($P35="","",IF(INDEX(EntryTxnType,$P35)=0,"",INDEX(EntryTxnType,$P35)))</f>
        <v/>
      </c>
      <c r="H35" s="27">
        <f>IF($P35="","",IF(INDEX(EntryDep,$P35)=0,"",INDEX(EntryDep,$P35)))</f>
        <v/>
      </c>
      <c r="I35" s="27">
        <f>IF($P35="","",IF(INDEX(EntryWit,$P35)=0,"",INDEX(EntryWit,$P35)))</f>
        <v/>
      </c>
      <c r="J35" s="27">
        <f>IF($B35="","",IF($A35=1,$C$7,IF(J34="",0,J34))+IF($H35="",0,$H35)-IF($I35="",0,$I35))</f>
        <v/>
      </c>
      <c r="K35" s="27">
        <f>IF($P35="","",IF(INDEX(EntryMan,$P35)=0,"",INDEX(EntryMan,$P35)))</f>
        <v/>
      </c>
      <c r="L35" s="26">
        <f>IF($B35="","",IF($K35="","—",IF(ROUND($K35-$J35,0)=0,"√","×")))</f>
        <v/>
      </c>
      <c r="M35" s="26">
        <f>IF($B35="","",IF(COUNTIFS(EntryDates,$B35,CalcTime,$C35,CalcBank,$C$5,EntryParty,$D35,EntryDep,$H35,EntryWit,$I35)&gt;1,"تکرار",""))</f>
        <v/>
      </c>
      <c r="N35" s="26">
        <f>IF($P35="","",IF(INDEX(EntryNotes,$P35)=0,"",INDEX(EntryNotes,$P35)))</f>
        <v/>
      </c>
      <c r="O35" s="26">
        <f>IF($P35="","",IF(INDEX(EntryTxnID,$P35)=0,"",INDEX(EntryTxnID,$P35)))</f>
        <v/>
      </c>
      <c r="P35" s="26">
        <f>IFERROR(MATCH($C$5&amp;"|"&amp;RIGHT("000000"&amp;19,6),CalcRankKey,0),"")</f>
        <v/>
      </c>
    </row>
    <row r="36">
      <c r="A36" s="28">
        <f>IF($B36="","",20)</f>
        <v/>
      </c>
      <c r="B36" s="28">
        <f>IF($P36="","",IF(INDEX(CalcNormDate,$P36)=0,"",INDEX(CalcNormDate,$P36)))</f>
        <v/>
      </c>
      <c r="C36" s="28">
        <f>IF($P36="","",IF(INDEX(CalcTime,$P36)=0,"",INDEX(CalcTime,$P36)))</f>
        <v/>
      </c>
      <c r="D36" s="28">
        <f>IF($P36="","",IF(INDEX(EntryParty,$P36)=0,"",INDEX(EntryParty,$P36)))</f>
        <v/>
      </c>
      <c r="E36" s="28">
        <f>IF($P36="","",IF(INDEX(EntryPartyName,$P36)=0,"",INDEX(EntryPartyName,$P36)))</f>
        <v/>
      </c>
      <c r="F36" s="28">
        <f>IF($P36="","",IF(INDEX(EntryPartyType,$P36)=0,"",INDEX(EntryPartyType,$P36)))</f>
        <v/>
      </c>
      <c r="G36" s="28">
        <f>IF($P36="","",IF(INDEX(EntryTxnType,$P36)=0,"",INDEX(EntryTxnType,$P36)))</f>
        <v/>
      </c>
      <c r="H36" s="29">
        <f>IF($P36="","",IF(INDEX(EntryDep,$P36)=0,"",INDEX(EntryDep,$P36)))</f>
        <v/>
      </c>
      <c r="I36" s="29">
        <f>IF($P36="","",IF(INDEX(EntryWit,$P36)=0,"",INDEX(EntryWit,$P36)))</f>
        <v/>
      </c>
      <c r="J36" s="29">
        <f>IF($B36="","",IF($A36=1,$C$7,IF(J35="",0,J35))+IF($H36="",0,$H36)-IF($I36="",0,$I36))</f>
        <v/>
      </c>
      <c r="K36" s="29">
        <f>IF($P36="","",IF(INDEX(EntryMan,$P36)=0,"",INDEX(EntryMan,$P36)))</f>
        <v/>
      </c>
      <c r="L36" s="28">
        <f>IF($B36="","",IF($K36="","—",IF(ROUND($K36-$J36,0)=0,"√","×")))</f>
        <v/>
      </c>
      <c r="M36" s="28">
        <f>IF($B36="","",IF(COUNTIFS(EntryDates,$B36,CalcTime,$C36,CalcBank,$C$5,EntryParty,$D36,EntryDep,$H36,EntryWit,$I36)&gt;1,"تکرار",""))</f>
        <v/>
      </c>
      <c r="N36" s="28">
        <f>IF($P36="","",IF(INDEX(EntryNotes,$P36)=0,"",INDEX(EntryNotes,$P36)))</f>
        <v/>
      </c>
      <c r="O36" s="28">
        <f>IF($P36="","",IF(INDEX(EntryTxnID,$P36)=0,"",INDEX(EntryTxnID,$P36)))</f>
        <v/>
      </c>
      <c r="P36" s="28">
        <f>IFERROR(MATCH($C$5&amp;"|"&amp;RIGHT("000000"&amp;20,6),CalcRankKey,0),"")</f>
        <v/>
      </c>
    </row>
    <row r="37">
      <c r="A37" s="26">
        <f>IF($B37="","",21)</f>
        <v/>
      </c>
      <c r="B37" s="26">
        <f>IF($P37="","",IF(INDEX(CalcNormDate,$P37)=0,"",INDEX(CalcNormDate,$P37)))</f>
        <v/>
      </c>
      <c r="C37" s="26">
        <f>IF($P37="","",IF(INDEX(CalcTime,$P37)=0,"",INDEX(CalcTime,$P37)))</f>
        <v/>
      </c>
      <c r="D37" s="26">
        <f>IF($P37="","",IF(INDEX(EntryParty,$P37)=0,"",INDEX(EntryParty,$P37)))</f>
        <v/>
      </c>
      <c r="E37" s="26">
        <f>IF($P37="","",IF(INDEX(EntryPartyName,$P37)=0,"",INDEX(EntryPartyName,$P37)))</f>
        <v/>
      </c>
      <c r="F37" s="26">
        <f>IF($P37="","",IF(INDEX(EntryPartyType,$P37)=0,"",INDEX(EntryPartyType,$P37)))</f>
        <v/>
      </c>
      <c r="G37" s="26">
        <f>IF($P37="","",IF(INDEX(EntryTxnType,$P37)=0,"",INDEX(EntryTxnType,$P37)))</f>
        <v/>
      </c>
      <c r="H37" s="27">
        <f>IF($P37="","",IF(INDEX(EntryDep,$P37)=0,"",INDEX(EntryDep,$P37)))</f>
        <v/>
      </c>
      <c r="I37" s="27">
        <f>IF($P37="","",IF(INDEX(EntryWit,$P37)=0,"",INDEX(EntryWit,$P37)))</f>
        <v/>
      </c>
      <c r="J37" s="27">
        <f>IF($B37="","",IF($A37=1,$C$7,IF(J36="",0,J36))+IF($H37="",0,$H37)-IF($I37="",0,$I37))</f>
        <v/>
      </c>
      <c r="K37" s="27">
        <f>IF($P37="","",IF(INDEX(EntryMan,$P37)=0,"",INDEX(EntryMan,$P37)))</f>
        <v/>
      </c>
      <c r="L37" s="26">
        <f>IF($B37="","",IF($K37="","—",IF(ROUND($K37-$J37,0)=0,"√","×")))</f>
        <v/>
      </c>
      <c r="M37" s="26">
        <f>IF($B37="","",IF(COUNTIFS(EntryDates,$B37,CalcTime,$C37,CalcBank,$C$5,EntryParty,$D37,EntryDep,$H37,EntryWit,$I37)&gt;1,"تکرار",""))</f>
        <v/>
      </c>
      <c r="N37" s="26">
        <f>IF($P37="","",IF(INDEX(EntryNotes,$P37)=0,"",INDEX(EntryNotes,$P37)))</f>
        <v/>
      </c>
      <c r="O37" s="26">
        <f>IF($P37="","",IF(INDEX(EntryTxnID,$P37)=0,"",INDEX(EntryTxnID,$P37)))</f>
        <v/>
      </c>
      <c r="P37" s="26">
        <f>IFERROR(MATCH($C$5&amp;"|"&amp;RIGHT("000000"&amp;21,6),CalcRankKey,0),"")</f>
        <v/>
      </c>
    </row>
    <row r="38">
      <c r="A38" s="28">
        <f>IF($B38="","",22)</f>
        <v/>
      </c>
      <c r="B38" s="28">
        <f>IF($P38="","",IF(INDEX(CalcNormDate,$P38)=0,"",INDEX(CalcNormDate,$P38)))</f>
        <v/>
      </c>
      <c r="C38" s="28">
        <f>IF($P38="","",IF(INDEX(CalcTime,$P38)=0,"",INDEX(CalcTime,$P38)))</f>
        <v/>
      </c>
      <c r="D38" s="28">
        <f>IF($P38="","",IF(INDEX(EntryParty,$P38)=0,"",INDEX(EntryParty,$P38)))</f>
        <v/>
      </c>
      <c r="E38" s="28">
        <f>IF($P38="","",IF(INDEX(EntryPartyName,$P38)=0,"",INDEX(EntryPartyName,$P38)))</f>
        <v/>
      </c>
      <c r="F38" s="28">
        <f>IF($P38="","",IF(INDEX(EntryPartyType,$P38)=0,"",INDEX(EntryPartyType,$P38)))</f>
        <v/>
      </c>
      <c r="G38" s="28">
        <f>IF($P38="","",IF(INDEX(EntryTxnType,$P38)=0,"",INDEX(EntryTxnType,$P38)))</f>
        <v/>
      </c>
      <c r="H38" s="29">
        <f>IF($P38="","",IF(INDEX(EntryDep,$P38)=0,"",INDEX(EntryDep,$P38)))</f>
        <v/>
      </c>
      <c r="I38" s="29">
        <f>IF($P38="","",IF(INDEX(EntryWit,$P38)=0,"",INDEX(EntryWit,$P38)))</f>
        <v/>
      </c>
      <c r="J38" s="29">
        <f>IF($B38="","",IF($A38=1,$C$7,IF(J37="",0,J37))+IF($H38="",0,$H38)-IF($I38="",0,$I38))</f>
        <v/>
      </c>
      <c r="K38" s="29">
        <f>IF($P38="","",IF(INDEX(EntryMan,$P38)=0,"",INDEX(EntryMan,$P38)))</f>
        <v/>
      </c>
      <c r="L38" s="28">
        <f>IF($B38="","",IF($K38="","—",IF(ROUND($K38-$J38,0)=0,"√","×")))</f>
        <v/>
      </c>
      <c r="M38" s="28">
        <f>IF($B38="","",IF(COUNTIFS(EntryDates,$B38,CalcTime,$C38,CalcBank,$C$5,EntryParty,$D38,EntryDep,$H38,EntryWit,$I38)&gt;1,"تکرار",""))</f>
        <v/>
      </c>
      <c r="N38" s="28">
        <f>IF($P38="","",IF(INDEX(EntryNotes,$P38)=0,"",INDEX(EntryNotes,$P38)))</f>
        <v/>
      </c>
      <c r="O38" s="28">
        <f>IF($P38="","",IF(INDEX(EntryTxnID,$P38)=0,"",INDEX(EntryTxnID,$P38)))</f>
        <v/>
      </c>
      <c r="P38" s="28">
        <f>IFERROR(MATCH($C$5&amp;"|"&amp;RIGHT("000000"&amp;22,6),CalcRankKey,0),"")</f>
        <v/>
      </c>
    </row>
    <row r="39">
      <c r="A39" s="26">
        <f>IF($B39="","",23)</f>
        <v/>
      </c>
      <c r="B39" s="26">
        <f>IF($P39="","",IF(INDEX(CalcNormDate,$P39)=0,"",INDEX(CalcNormDate,$P39)))</f>
        <v/>
      </c>
      <c r="C39" s="26">
        <f>IF($P39="","",IF(INDEX(CalcTime,$P39)=0,"",INDEX(CalcTime,$P39)))</f>
        <v/>
      </c>
      <c r="D39" s="26">
        <f>IF($P39="","",IF(INDEX(EntryParty,$P39)=0,"",INDEX(EntryParty,$P39)))</f>
        <v/>
      </c>
      <c r="E39" s="26">
        <f>IF($P39="","",IF(INDEX(EntryPartyName,$P39)=0,"",INDEX(EntryPartyName,$P39)))</f>
        <v/>
      </c>
      <c r="F39" s="26">
        <f>IF($P39="","",IF(INDEX(EntryPartyType,$P39)=0,"",INDEX(EntryPartyType,$P39)))</f>
        <v/>
      </c>
      <c r="G39" s="26">
        <f>IF($P39="","",IF(INDEX(EntryTxnType,$P39)=0,"",INDEX(EntryTxnType,$P39)))</f>
        <v/>
      </c>
      <c r="H39" s="27">
        <f>IF($P39="","",IF(INDEX(EntryDep,$P39)=0,"",INDEX(EntryDep,$P39)))</f>
        <v/>
      </c>
      <c r="I39" s="27">
        <f>IF($P39="","",IF(INDEX(EntryWit,$P39)=0,"",INDEX(EntryWit,$P39)))</f>
        <v/>
      </c>
      <c r="J39" s="27">
        <f>IF($B39="","",IF($A39=1,$C$7,IF(J38="",0,J38))+IF($H39="",0,$H39)-IF($I39="",0,$I39))</f>
        <v/>
      </c>
      <c r="K39" s="27">
        <f>IF($P39="","",IF(INDEX(EntryMan,$P39)=0,"",INDEX(EntryMan,$P39)))</f>
        <v/>
      </c>
      <c r="L39" s="26">
        <f>IF($B39="","",IF($K39="","—",IF(ROUND($K39-$J39,0)=0,"√","×")))</f>
        <v/>
      </c>
      <c r="M39" s="26">
        <f>IF($B39="","",IF(COUNTIFS(EntryDates,$B39,CalcTime,$C39,CalcBank,$C$5,EntryParty,$D39,EntryDep,$H39,EntryWit,$I39)&gt;1,"تکرار",""))</f>
        <v/>
      </c>
      <c r="N39" s="26">
        <f>IF($P39="","",IF(INDEX(EntryNotes,$P39)=0,"",INDEX(EntryNotes,$P39)))</f>
        <v/>
      </c>
      <c r="O39" s="26">
        <f>IF($P39="","",IF(INDEX(EntryTxnID,$P39)=0,"",INDEX(EntryTxnID,$P39)))</f>
        <v/>
      </c>
      <c r="P39" s="26">
        <f>IFERROR(MATCH($C$5&amp;"|"&amp;RIGHT("000000"&amp;23,6),CalcRankKey,0),"")</f>
        <v/>
      </c>
    </row>
    <row r="40">
      <c r="A40" s="28">
        <f>IF($B40="","",24)</f>
        <v/>
      </c>
      <c r="B40" s="28">
        <f>IF($P40="","",IF(INDEX(CalcNormDate,$P40)=0,"",INDEX(CalcNormDate,$P40)))</f>
        <v/>
      </c>
      <c r="C40" s="28">
        <f>IF($P40="","",IF(INDEX(CalcTime,$P40)=0,"",INDEX(CalcTime,$P40)))</f>
        <v/>
      </c>
      <c r="D40" s="28">
        <f>IF($P40="","",IF(INDEX(EntryParty,$P40)=0,"",INDEX(EntryParty,$P40)))</f>
        <v/>
      </c>
      <c r="E40" s="28">
        <f>IF($P40="","",IF(INDEX(EntryPartyName,$P40)=0,"",INDEX(EntryPartyName,$P40)))</f>
        <v/>
      </c>
      <c r="F40" s="28">
        <f>IF($P40="","",IF(INDEX(EntryPartyType,$P40)=0,"",INDEX(EntryPartyType,$P40)))</f>
        <v/>
      </c>
      <c r="G40" s="28">
        <f>IF($P40="","",IF(INDEX(EntryTxnType,$P40)=0,"",INDEX(EntryTxnType,$P40)))</f>
        <v/>
      </c>
      <c r="H40" s="29">
        <f>IF($P40="","",IF(INDEX(EntryDep,$P40)=0,"",INDEX(EntryDep,$P40)))</f>
        <v/>
      </c>
      <c r="I40" s="29">
        <f>IF($P40="","",IF(INDEX(EntryWit,$P40)=0,"",INDEX(EntryWit,$P40)))</f>
        <v/>
      </c>
      <c r="J40" s="29">
        <f>IF($B40="","",IF($A40=1,$C$7,IF(J39="",0,J39))+IF($H40="",0,$H40)-IF($I40="",0,$I40))</f>
        <v/>
      </c>
      <c r="K40" s="29">
        <f>IF($P40="","",IF(INDEX(EntryMan,$P40)=0,"",INDEX(EntryMan,$P40)))</f>
        <v/>
      </c>
      <c r="L40" s="28">
        <f>IF($B40="","",IF($K40="","—",IF(ROUND($K40-$J40,0)=0,"√","×")))</f>
        <v/>
      </c>
      <c r="M40" s="28">
        <f>IF($B40="","",IF(COUNTIFS(EntryDates,$B40,CalcTime,$C40,CalcBank,$C$5,EntryParty,$D40,EntryDep,$H40,EntryWit,$I40)&gt;1,"تکرار",""))</f>
        <v/>
      </c>
      <c r="N40" s="28">
        <f>IF($P40="","",IF(INDEX(EntryNotes,$P40)=0,"",INDEX(EntryNotes,$P40)))</f>
        <v/>
      </c>
      <c r="O40" s="28">
        <f>IF($P40="","",IF(INDEX(EntryTxnID,$P40)=0,"",INDEX(EntryTxnID,$P40)))</f>
        <v/>
      </c>
      <c r="P40" s="28">
        <f>IFERROR(MATCH($C$5&amp;"|"&amp;RIGHT("000000"&amp;24,6),CalcRankKey,0),"")</f>
        <v/>
      </c>
    </row>
    <row r="41">
      <c r="A41" s="26">
        <f>IF($B41="","",25)</f>
        <v/>
      </c>
      <c r="B41" s="26">
        <f>IF($P41="","",IF(INDEX(CalcNormDate,$P41)=0,"",INDEX(CalcNormDate,$P41)))</f>
        <v/>
      </c>
      <c r="C41" s="26">
        <f>IF($P41="","",IF(INDEX(CalcTime,$P41)=0,"",INDEX(CalcTime,$P41)))</f>
        <v/>
      </c>
      <c r="D41" s="26">
        <f>IF($P41="","",IF(INDEX(EntryParty,$P41)=0,"",INDEX(EntryParty,$P41)))</f>
        <v/>
      </c>
      <c r="E41" s="26">
        <f>IF($P41="","",IF(INDEX(EntryPartyName,$P41)=0,"",INDEX(EntryPartyName,$P41)))</f>
        <v/>
      </c>
      <c r="F41" s="26">
        <f>IF($P41="","",IF(INDEX(EntryPartyType,$P41)=0,"",INDEX(EntryPartyType,$P41)))</f>
        <v/>
      </c>
      <c r="G41" s="26">
        <f>IF($P41="","",IF(INDEX(EntryTxnType,$P41)=0,"",INDEX(EntryTxnType,$P41)))</f>
        <v/>
      </c>
      <c r="H41" s="27">
        <f>IF($P41="","",IF(INDEX(EntryDep,$P41)=0,"",INDEX(EntryDep,$P41)))</f>
        <v/>
      </c>
      <c r="I41" s="27">
        <f>IF($P41="","",IF(INDEX(EntryWit,$P41)=0,"",INDEX(EntryWit,$P41)))</f>
        <v/>
      </c>
      <c r="J41" s="27">
        <f>IF($B41="","",IF($A41=1,$C$7,IF(J40="",0,J40))+IF($H41="",0,$H41)-IF($I41="",0,$I41))</f>
        <v/>
      </c>
      <c r="K41" s="27">
        <f>IF($P41="","",IF(INDEX(EntryMan,$P41)=0,"",INDEX(EntryMan,$P41)))</f>
        <v/>
      </c>
      <c r="L41" s="26">
        <f>IF($B41="","",IF($K41="","—",IF(ROUND($K41-$J41,0)=0,"√","×")))</f>
        <v/>
      </c>
      <c r="M41" s="26">
        <f>IF($B41="","",IF(COUNTIFS(EntryDates,$B41,CalcTime,$C41,CalcBank,$C$5,EntryParty,$D41,EntryDep,$H41,EntryWit,$I41)&gt;1,"تکرار",""))</f>
        <v/>
      </c>
      <c r="N41" s="26">
        <f>IF($P41="","",IF(INDEX(EntryNotes,$P41)=0,"",INDEX(EntryNotes,$P41)))</f>
        <v/>
      </c>
      <c r="O41" s="26">
        <f>IF($P41="","",IF(INDEX(EntryTxnID,$P41)=0,"",INDEX(EntryTxnID,$P41)))</f>
        <v/>
      </c>
      <c r="P41" s="26">
        <f>IFERROR(MATCH($C$5&amp;"|"&amp;RIGHT("000000"&amp;25,6),CalcRankKey,0),"")</f>
        <v/>
      </c>
    </row>
    <row r="42">
      <c r="A42" s="28">
        <f>IF($B42="","",26)</f>
        <v/>
      </c>
      <c r="B42" s="28">
        <f>IF($P42="","",IF(INDEX(CalcNormDate,$P42)=0,"",INDEX(CalcNormDate,$P42)))</f>
        <v/>
      </c>
      <c r="C42" s="28">
        <f>IF($P42="","",IF(INDEX(CalcTime,$P42)=0,"",INDEX(CalcTime,$P42)))</f>
        <v/>
      </c>
      <c r="D42" s="28">
        <f>IF($P42="","",IF(INDEX(EntryParty,$P42)=0,"",INDEX(EntryParty,$P42)))</f>
        <v/>
      </c>
      <c r="E42" s="28">
        <f>IF($P42="","",IF(INDEX(EntryPartyName,$P42)=0,"",INDEX(EntryPartyName,$P42)))</f>
        <v/>
      </c>
      <c r="F42" s="28">
        <f>IF($P42="","",IF(INDEX(EntryPartyType,$P42)=0,"",INDEX(EntryPartyType,$P42)))</f>
        <v/>
      </c>
      <c r="G42" s="28">
        <f>IF($P42="","",IF(INDEX(EntryTxnType,$P42)=0,"",INDEX(EntryTxnType,$P42)))</f>
        <v/>
      </c>
      <c r="H42" s="29">
        <f>IF($P42="","",IF(INDEX(EntryDep,$P42)=0,"",INDEX(EntryDep,$P42)))</f>
        <v/>
      </c>
      <c r="I42" s="29">
        <f>IF($P42="","",IF(INDEX(EntryWit,$P42)=0,"",INDEX(EntryWit,$P42)))</f>
        <v/>
      </c>
      <c r="J42" s="29">
        <f>IF($B42="","",IF($A42=1,$C$7,IF(J41="",0,J41))+IF($H42="",0,$H42)-IF($I42="",0,$I42))</f>
        <v/>
      </c>
      <c r="K42" s="29">
        <f>IF($P42="","",IF(INDEX(EntryMan,$P42)=0,"",INDEX(EntryMan,$P42)))</f>
        <v/>
      </c>
      <c r="L42" s="28">
        <f>IF($B42="","",IF($K42="","—",IF(ROUND($K42-$J42,0)=0,"√","×")))</f>
        <v/>
      </c>
      <c r="M42" s="28">
        <f>IF($B42="","",IF(COUNTIFS(EntryDates,$B42,CalcTime,$C42,CalcBank,$C$5,EntryParty,$D42,EntryDep,$H42,EntryWit,$I42)&gt;1,"تکرار",""))</f>
        <v/>
      </c>
      <c r="N42" s="28">
        <f>IF($P42="","",IF(INDEX(EntryNotes,$P42)=0,"",INDEX(EntryNotes,$P42)))</f>
        <v/>
      </c>
      <c r="O42" s="28">
        <f>IF($P42="","",IF(INDEX(EntryTxnID,$P42)=0,"",INDEX(EntryTxnID,$P42)))</f>
        <v/>
      </c>
      <c r="P42" s="28">
        <f>IFERROR(MATCH($C$5&amp;"|"&amp;RIGHT("000000"&amp;26,6),CalcRankKey,0),"")</f>
        <v/>
      </c>
    </row>
    <row r="43">
      <c r="A43" s="26">
        <f>IF($B43="","",27)</f>
        <v/>
      </c>
      <c r="B43" s="26">
        <f>IF($P43="","",IF(INDEX(CalcNormDate,$P43)=0,"",INDEX(CalcNormDate,$P43)))</f>
        <v/>
      </c>
      <c r="C43" s="26">
        <f>IF($P43="","",IF(INDEX(CalcTime,$P43)=0,"",INDEX(CalcTime,$P43)))</f>
        <v/>
      </c>
      <c r="D43" s="26">
        <f>IF($P43="","",IF(INDEX(EntryParty,$P43)=0,"",INDEX(EntryParty,$P43)))</f>
        <v/>
      </c>
      <c r="E43" s="26">
        <f>IF($P43="","",IF(INDEX(EntryPartyName,$P43)=0,"",INDEX(EntryPartyName,$P43)))</f>
        <v/>
      </c>
      <c r="F43" s="26">
        <f>IF($P43="","",IF(INDEX(EntryPartyType,$P43)=0,"",INDEX(EntryPartyType,$P43)))</f>
        <v/>
      </c>
      <c r="G43" s="26">
        <f>IF($P43="","",IF(INDEX(EntryTxnType,$P43)=0,"",INDEX(EntryTxnType,$P43)))</f>
        <v/>
      </c>
      <c r="H43" s="27">
        <f>IF($P43="","",IF(INDEX(EntryDep,$P43)=0,"",INDEX(EntryDep,$P43)))</f>
        <v/>
      </c>
      <c r="I43" s="27">
        <f>IF($P43="","",IF(INDEX(EntryWit,$P43)=0,"",INDEX(EntryWit,$P43)))</f>
        <v/>
      </c>
      <c r="J43" s="27">
        <f>IF($B43="","",IF($A43=1,$C$7,IF(J42="",0,J42))+IF($H43="",0,$H43)-IF($I43="",0,$I43))</f>
        <v/>
      </c>
      <c r="K43" s="27">
        <f>IF($P43="","",IF(INDEX(EntryMan,$P43)=0,"",INDEX(EntryMan,$P43)))</f>
        <v/>
      </c>
      <c r="L43" s="26">
        <f>IF($B43="","",IF($K43="","—",IF(ROUND($K43-$J43,0)=0,"√","×")))</f>
        <v/>
      </c>
      <c r="M43" s="26">
        <f>IF($B43="","",IF(COUNTIFS(EntryDates,$B43,CalcTime,$C43,CalcBank,$C$5,EntryParty,$D43,EntryDep,$H43,EntryWit,$I43)&gt;1,"تکرار",""))</f>
        <v/>
      </c>
      <c r="N43" s="26">
        <f>IF($P43="","",IF(INDEX(EntryNotes,$P43)=0,"",INDEX(EntryNotes,$P43)))</f>
        <v/>
      </c>
      <c r="O43" s="26">
        <f>IF($P43="","",IF(INDEX(EntryTxnID,$P43)=0,"",INDEX(EntryTxnID,$P43)))</f>
        <v/>
      </c>
      <c r="P43" s="26">
        <f>IFERROR(MATCH($C$5&amp;"|"&amp;RIGHT("000000"&amp;27,6),CalcRankKey,0),"")</f>
        <v/>
      </c>
    </row>
    <row r="44">
      <c r="A44" s="28">
        <f>IF($B44="","",28)</f>
        <v/>
      </c>
      <c r="B44" s="28">
        <f>IF($P44="","",IF(INDEX(CalcNormDate,$P44)=0,"",INDEX(CalcNormDate,$P44)))</f>
        <v/>
      </c>
      <c r="C44" s="28">
        <f>IF($P44="","",IF(INDEX(CalcTime,$P44)=0,"",INDEX(CalcTime,$P44)))</f>
        <v/>
      </c>
      <c r="D44" s="28">
        <f>IF($P44="","",IF(INDEX(EntryParty,$P44)=0,"",INDEX(EntryParty,$P44)))</f>
        <v/>
      </c>
      <c r="E44" s="28">
        <f>IF($P44="","",IF(INDEX(EntryPartyName,$P44)=0,"",INDEX(EntryPartyName,$P44)))</f>
        <v/>
      </c>
      <c r="F44" s="28">
        <f>IF($P44="","",IF(INDEX(EntryPartyType,$P44)=0,"",INDEX(EntryPartyType,$P44)))</f>
        <v/>
      </c>
      <c r="G44" s="28">
        <f>IF($P44="","",IF(INDEX(EntryTxnType,$P44)=0,"",INDEX(EntryTxnType,$P44)))</f>
        <v/>
      </c>
      <c r="H44" s="29">
        <f>IF($P44="","",IF(INDEX(EntryDep,$P44)=0,"",INDEX(EntryDep,$P44)))</f>
        <v/>
      </c>
      <c r="I44" s="29">
        <f>IF($P44="","",IF(INDEX(EntryWit,$P44)=0,"",INDEX(EntryWit,$P44)))</f>
        <v/>
      </c>
      <c r="J44" s="29">
        <f>IF($B44="","",IF($A44=1,$C$7,IF(J43="",0,J43))+IF($H44="",0,$H44)-IF($I44="",0,$I44))</f>
        <v/>
      </c>
      <c r="K44" s="29">
        <f>IF($P44="","",IF(INDEX(EntryMan,$P44)=0,"",INDEX(EntryMan,$P44)))</f>
        <v/>
      </c>
      <c r="L44" s="28">
        <f>IF($B44="","",IF($K44="","—",IF(ROUND($K44-$J44,0)=0,"√","×")))</f>
        <v/>
      </c>
      <c r="M44" s="28">
        <f>IF($B44="","",IF(COUNTIFS(EntryDates,$B44,CalcTime,$C44,CalcBank,$C$5,EntryParty,$D44,EntryDep,$H44,EntryWit,$I44)&gt;1,"تکرار",""))</f>
        <v/>
      </c>
      <c r="N44" s="28">
        <f>IF($P44="","",IF(INDEX(EntryNotes,$P44)=0,"",INDEX(EntryNotes,$P44)))</f>
        <v/>
      </c>
      <c r="O44" s="28">
        <f>IF($P44="","",IF(INDEX(EntryTxnID,$P44)=0,"",INDEX(EntryTxnID,$P44)))</f>
        <v/>
      </c>
      <c r="P44" s="28">
        <f>IFERROR(MATCH($C$5&amp;"|"&amp;RIGHT("000000"&amp;28,6),CalcRankKey,0),"")</f>
        <v/>
      </c>
    </row>
    <row r="45">
      <c r="A45" s="26">
        <f>IF($B45="","",29)</f>
        <v/>
      </c>
      <c r="B45" s="26">
        <f>IF($P45="","",IF(INDEX(CalcNormDate,$P45)=0,"",INDEX(CalcNormDate,$P45)))</f>
        <v/>
      </c>
      <c r="C45" s="26">
        <f>IF($P45="","",IF(INDEX(CalcTime,$P45)=0,"",INDEX(CalcTime,$P45)))</f>
        <v/>
      </c>
      <c r="D45" s="26">
        <f>IF($P45="","",IF(INDEX(EntryParty,$P45)=0,"",INDEX(EntryParty,$P45)))</f>
        <v/>
      </c>
      <c r="E45" s="26">
        <f>IF($P45="","",IF(INDEX(EntryPartyName,$P45)=0,"",INDEX(EntryPartyName,$P45)))</f>
        <v/>
      </c>
      <c r="F45" s="26">
        <f>IF($P45="","",IF(INDEX(EntryPartyType,$P45)=0,"",INDEX(EntryPartyType,$P45)))</f>
        <v/>
      </c>
      <c r="G45" s="26">
        <f>IF($P45="","",IF(INDEX(EntryTxnType,$P45)=0,"",INDEX(EntryTxnType,$P45)))</f>
        <v/>
      </c>
      <c r="H45" s="27">
        <f>IF($P45="","",IF(INDEX(EntryDep,$P45)=0,"",INDEX(EntryDep,$P45)))</f>
        <v/>
      </c>
      <c r="I45" s="27">
        <f>IF($P45="","",IF(INDEX(EntryWit,$P45)=0,"",INDEX(EntryWit,$P45)))</f>
        <v/>
      </c>
      <c r="J45" s="27">
        <f>IF($B45="","",IF($A45=1,$C$7,IF(J44="",0,J44))+IF($H45="",0,$H45)-IF($I45="",0,$I45))</f>
        <v/>
      </c>
      <c r="K45" s="27">
        <f>IF($P45="","",IF(INDEX(EntryMan,$P45)=0,"",INDEX(EntryMan,$P45)))</f>
        <v/>
      </c>
      <c r="L45" s="26">
        <f>IF($B45="","",IF($K45="","—",IF(ROUND($K45-$J45,0)=0,"√","×")))</f>
        <v/>
      </c>
      <c r="M45" s="26">
        <f>IF($B45="","",IF(COUNTIFS(EntryDates,$B45,CalcTime,$C45,CalcBank,$C$5,EntryParty,$D45,EntryDep,$H45,EntryWit,$I45)&gt;1,"تکرار",""))</f>
        <v/>
      </c>
      <c r="N45" s="26">
        <f>IF($P45="","",IF(INDEX(EntryNotes,$P45)=0,"",INDEX(EntryNotes,$P45)))</f>
        <v/>
      </c>
      <c r="O45" s="26">
        <f>IF($P45="","",IF(INDEX(EntryTxnID,$P45)=0,"",INDEX(EntryTxnID,$P45)))</f>
        <v/>
      </c>
      <c r="P45" s="26">
        <f>IFERROR(MATCH($C$5&amp;"|"&amp;RIGHT("000000"&amp;29,6),CalcRankKey,0),"")</f>
        <v/>
      </c>
    </row>
    <row r="46">
      <c r="A46" s="28">
        <f>IF($B46="","",30)</f>
        <v/>
      </c>
      <c r="B46" s="28">
        <f>IF($P46="","",IF(INDEX(CalcNormDate,$P46)=0,"",INDEX(CalcNormDate,$P46)))</f>
        <v/>
      </c>
      <c r="C46" s="28">
        <f>IF($P46="","",IF(INDEX(CalcTime,$P46)=0,"",INDEX(CalcTime,$P46)))</f>
        <v/>
      </c>
      <c r="D46" s="28">
        <f>IF($P46="","",IF(INDEX(EntryParty,$P46)=0,"",INDEX(EntryParty,$P46)))</f>
        <v/>
      </c>
      <c r="E46" s="28">
        <f>IF($P46="","",IF(INDEX(EntryPartyName,$P46)=0,"",INDEX(EntryPartyName,$P46)))</f>
        <v/>
      </c>
      <c r="F46" s="28">
        <f>IF($P46="","",IF(INDEX(EntryPartyType,$P46)=0,"",INDEX(EntryPartyType,$P46)))</f>
        <v/>
      </c>
      <c r="G46" s="28">
        <f>IF($P46="","",IF(INDEX(EntryTxnType,$P46)=0,"",INDEX(EntryTxnType,$P46)))</f>
        <v/>
      </c>
      <c r="H46" s="29">
        <f>IF($P46="","",IF(INDEX(EntryDep,$P46)=0,"",INDEX(EntryDep,$P46)))</f>
        <v/>
      </c>
      <c r="I46" s="29">
        <f>IF($P46="","",IF(INDEX(EntryWit,$P46)=0,"",INDEX(EntryWit,$P46)))</f>
        <v/>
      </c>
      <c r="J46" s="29">
        <f>IF($B46="","",IF($A46=1,$C$7,IF(J45="",0,J45))+IF($H46="",0,$H46)-IF($I46="",0,$I46))</f>
        <v/>
      </c>
      <c r="K46" s="29">
        <f>IF($P46="","",IF(INDEX(EntryMan,$P46)=0,"",INDEX(EntryMan,$P46)))</f>
        <v/>
      </c>
      <c r="L46" s="28">
        <f>IF($B46="","",IF($K46="","—",IF(ROUND($K46-$J46,0)=0,"√","×")))</f>
        <v/>
      </c>
      <c r="M46" s="28">
        <f>IF($B46="","",IF(COUNTIFS(EntryDates,$B46,CalcTime,$C46,CalcBank,$C$5,EntryParty,$D46,EntryDep,$H46,EntryWit,$I46)&gt;1,"تکرار",""))</f>
        <v/>
      </c>
      <c r="N46" s="28">
        <f>IF($P46="","",IF(INDEX(EntryNotes,$P46)=0,"",INDEX(EntryNotes,$P46)))</f>
        <v/>
      </c>
      <c r="O46" s="28">
        <f>IF($P46="","",IF(INDEX(EntryTxnID,$P46)=0,"",INDEX(EntryTxnID,$P46)))</f>
        <v/>
      </c>
      <c r="P46" s="28">
        <f>IFERROR(MATCH($C$5&amp;"|"&amp;RIGHT("000000"&amp;30,6),CalcRankKey,0),"")</f>
        <v/>
      </c>
    </row>
    <row r="47">
      <c r="A47" s="26">
        <f>IF($B47="","",31)</f>
        <v/>
      </c>
      <c r="B47" s="26">
        <f>IF($P47="","",IF(INDEX(CalcNormDate,$P47)=0,"",INDEX(CalcNormDate,$P47)))</f>
        <v/>
      </c>
      <c r="C47" s="26">
        <f>IF($P47="","",IF(INDEX(CalcTime,$P47)=0,"",INDEX(CalcTime,$P47)))</f>
        <v/>
      </c>
      <c r="D47" s="26">
        <f>IF($P47="","",IF(INDEX(EntryParty,$P47)=0,"",INDEX(EntryParty,$P47)))</f>
        <v/>
      </c>
      <c r="E47" s="26">
        <f>IF($P47="","",IF(INDEX(EntryPartyName,$P47)=0,"",INDEX(EntryPartyName,$P47)))</f>
        <v/>
      </c>
      <c r="F47" s="26">
        <f>IF($P47="","",IF(INDEX(EntryPartyType,$P47)=0,"",INDEX(EntryPartyType,$P47)))</f>
        <v/>
      </c>
      <c r="G47" s="26">
        <f>IF($P47="","",IF(INDEX(EntryTxnType,$P47)=0,"",INDEX(EntryTxnType,$P47)))</f>
        <v/>
      </c>
      <c r="H47" s="27">
        <f>IF($P47="","",IF(INDEX(EntryDep,$P47)=0,"",INDEX(EntryDep,$P47)))</f>
        <v/>
      </c>
      <c r="I47" s="27">
        <f>IF($P47="","",IF(INDEX(EntryWit,$P47)=0,"",INDEX(EntryWit,$P47)))</f>
        <v/>
      </c>
      <c r="J47" s="27">
        <f>IF($B47="","",IF($A47=1,$C$7,IF(J46="",0,J46))+IF($H47="",0,$H47)-IF($I47="",0,$I47))</f>
        <v/>
      </c>
      <c r="K47" s="27">
        <f>IF($P47="","",IF(INDEX(EntryMan,$P47)=0,"",INDEX(EntryMan,$P47)))</f>
        <v/>
      </c>
      <c r="L47" s="26">
        <f>IF($B47="","",IF($K47="","—",IF(ROUND($K47-$J47,0)=0,"√","×")))</f>
        <v/>
      </c>
      <c r="M47" s="26">
        <f>IF($B47="","",IF(COUNTIFS(EntryDates,$B47,CalcTime,$C47,CalcBank,$C$5,EntryParty,$D47,EntryDep,$H47,EntryWit,$I47)&gt;1,"تکرار",""))</f>
        <v/>
      </c>
      <c r="N47" s="26">
        <f>IF($P47="","",IF(INDEX(EntryNotes,$P47)=0,"",INDEX(EntryNotes,$P47)))</f>
        <v/>
      </c>
      <c r="O47" s="26">
        <f>IF($P47="","",IF(INDEX(EntryTxnID,$P47)=0,"",INDEX(EntryTxnID,$P47)))</f>
        <v/>
      </c>
      <c r="P47" s="26">
        <f>IFERROR(MATCH($C$5&amp;"|"&amp;RIGHT("000000"&amp;31,6),CalcRankKey,0),"")</f>
        <v/>
      </c>
    </row>
    <row r="48">
      <c r="A48" s="28">
        <f>IF($B48="","",32)</f>
        <v/>
      </c>
      <c r="B48" s="28">
        <f>IF($P48="","",IF(INDEX(CalcNormDate,$P48)=0,"",INDEX(CalcNormDate,$P48)))</f>
        <v/>
      </c>
      <c r="C48" s="28">
        <f>IF($P48="","",IF(INDEX(CalcTime,$P48)=0,"",INDEX(CalcTime,$P48)))</f>
        <v/>
      </c>
      <c r="D48" s="28">
        <f>IF($P48="","",IF(INDEX(EntryParty,$P48)=0,"",INDEX(EntryParty,$P48)))</f>
        <v/>
      </c>
      <c r="E48" s="28">
        <f>IF($P48="","",IF(INDEX(EntryPartyName,$P48)=0,"",INDEX(EntryPartyName,$P48)))</f>
        <v/>
      </c>
      <c r="F48" s="28">
        <f>IF($P48="","",IF(INDEX(EntryPartyType,$P48)=0,"",INDEX(EntryPartyType,$P48)))</f>
        <v/>
      </c>
      <c r="G48" s="28">
        <f>IF($P48="","",IF(INDEX(EntryTxnType,$P48)=0,"",INDEX(EntryTxnType,$P48)))</f>
        <v/>
      </c>
      <c r="H48" s="29">
        <f>IF($P48="","",IF(INDEX(EntryDep,$P48)=0,"",INDEX(EntryDep,$P48)))</f>
        <v/>
      </c>
      <c r="I48" s="29">
        <f>IF($P48="","",IF(INDEX(EntryWit,$P48)=0,"",INDEX(EntryWit,$P48)))</f>
        <v/>
      </c>
      <c r="J48" s="29">
        <f>IF($B48="","",IF($A48=1,$C$7,IF(J47="",0,J47))+IF($H48="",0,$H48)-IF($I48="",0,$I48))</f>
        <v/>
      </c>
      <c r="K48" s="29">
        <f>IF($P48="","",IF(INDEX(EntryMan,$P48)=0,"",INDEX(EntryMan,$P48)))</f>
        <v/>
      </c>
      <c r="L48" s="28">
        <f>IF($B48="","",IF($K48="","—",IF(ROUND($K48-$J48,0)=0,"√","×")))</f>
        <v/>
      </c>
      <c r="M48" s="28">
        <f>IF($B48="","",IF(COUNTIFS(EntryDates,$B48,CalcTime,$C48,CalcBank,$C$5,EntryParty,$D48,EntryDep,$H48,EntryWit,$I48)&gt;1,"تکرار",""))</f>
        <v/>
      </c>
      <c r="N48" s="28">
        <f>IF($P48="","",IF(INDEX(EntryNotes,$P48)=0,"",INDEX(EntryNotes,$P48)))</f>
        <v/>
      </c>
      <c r="O48" s="28">
        <f>IF($P48="","",IF(INDEX(EntryTxnID,$P48)=0,"",INDEX(EntryTxnID,$P48)))</f>
        <v/>
      </c>
      <c r="P48" s="28">
        <f>IFERROR(MATCH($C$5&amp;"|"&amp;RIGHT("000000"&amp;32,6),CalcRankKey,0),"")</f>
        <v/>
      </c>
    </row>
    <row r="49">
      <c r="A49" s="26">
        <f>IF($B49="","",33)</f>
        <v/>
      </c>
      <c r="B49" s="26">
        <f>IF($P49="","",IF(INDEX(CalcNormDate,$P49)=0,"",INDEX(CalcNormDate,$P49)))</f>
        <v/>
      </c>
      <c r="C49" s="26">
        <f>IF($P49="","",IF(INDEX(CalcTime,$P49)=0,"",INDEX(CalcTime,$P49)))</f>
        <v/>
      </c>
      <c r="D49" s="26">
        <f>IF($P49="","",IF(INDEX(EntryParty,$P49)=0,"",INDEX(EntryParty,$P49)))</f>
        <v/>
      </c>
      <c r="E49" s="26">
        <f>IF($P49="","",IF(INDEX(EntryPartyName,$P49)=0,"",INDEX(EntryPartyName,$P49)))</f>
        <v/>
      </c>
      <c r="F49" s="26">
        <f>IF($P49="","",IF(INDEX(EntryPartyType,$P49)=0,"",INDEX(EntryPartyType,$P49)))</f>
        <v/>
      </c>
      <c r="G49" s="26">
        <f>IF($P49="","",IF(INDEX(EntryTxnType,$P49)=0,"",INDEX(EntryTxnType,$P49)))</f>
        <v/>
      </c>
      <c r="H49" s="27">
        <f>IF($P49="","",IF(INDEX(EntryDep,$P49)=0,"",INDEX(EntryDep,$P49)))</f>
        <v/>
      </c>
      <c r="I49" s="27">
        <f>IF($P49="","",IF(INDEX(EntryWit,$P49)=0,"",INDEX(EntryWit,$P49)))</f>
        <v/>
      </c>
      <c r="J49" s="27">
        <f>IF($B49="","",IF($A49=1,$C$7,IF(J48="",0,J48))+IF($H49="",0,$H49)-IF($I49="",0,$I49))</f>
        <v/>
      </c>
      <c r="K49" s="27">
        <f>IF($P49="","",IF(INDEX(EntryMan,$P49)=0,"",INDEX(EntryMan,$P49)))</f>
        <v/>
      </c>
      <c r="L49" s="26">
        <f>IF($B49="","",IF($K49="","—",IF(ROUND($K49-$J49,0)=0,"√","×")))</f>
        <v/>
      </c>
      <c r="M49" s="26">
        <f>IF($B49="","",IF(COUNTIFS(EntryDates,$B49,CalcTime,$C49,CalcBank,$C$5,EntryParty,$D49,EntryDep,$H49,EntryWit,$I49)&gt;1,"تکرار",""))</f>
        <v/>
      </c>
      <c r="N49" s="26">
        <f>IF($P49="","",IF(INDEX(EntryNotes,$P49)=0,"",INDEX(EntryNotes,$P49)))</f>
        <v/>
      </c>
      <c r="O49" s="26">
        <f>IF($P49="","",IF(INDEX(EntryTxnID,$P49)=0,"",INDEX(EntryTxnID,$P49)))</f>
        <v/>
      </c>
      <c r="P49" s="26">
        <f>IFERROR(MATCH($C$5&amp;"|"&amp;RIGHT("000000"&amp;33,6),CalcRankKey,0),"")</f>
        <v/>
      </c>
    </row>
    <row r="50">
      <c r="A50" s="28">
        <f>IF($B50="","",34)</f>
        <v/>
      </c>
      <c r="B50" s="28">
        <f>IF($P50="","",IF(INDEX(CalcNormDate,$P50)=0,"",INDEX(CalcNormDate,$P50)))</f>
        <v/>
      </c>
      <c r="C50" s="28">
        <f>IF($P50="","",IF(INDEX(CalcTime,$P50)=0,"",INDEX(CalcTime,$P50)))</f>
        <v/>
      </c>
      <c r="D50" s="28">
        <f>IF($P50="","",IF(INDEX(EntryParty,$P50)=0,"",INDEX(EntryParty,$P50)))</f>
        <v/>
      </c>
      <c r="E50" s="28">
        <f>IF($P50="","",IF(INDEX(EntryPartyName,$P50)=0,"",INDEX(EntryPartyName,$P50)))</f>
        <v/>
      </c>
      <c r="F50" s="28">
        <f>IF($P50="","",IF(INDEX(EntryPartyType,$P50)=0,"",INDEX(EntryPartyType,$P50)))</f>
        <v/>
      </c>
      <c r="G50" s="28">
        <f>IF($P50="","",IF(INDEX(EntryTxnType,$P50)=0,"",INDEX(EntryTxnType,$P50)))</f>
        <v/>
      </c>
      <c r="H50" s="29">
        <f>IF($P50="","",IF(INDEX(EntryDep,$P50)=0,"",INDEX(EntryDep,$P50)))</f>
        <v/>
      </c>
      <c r="I50" s="29">
        <f>IF($P50="","",IF(INDEX(EntryWit,$P50)=0,"",INDEX(EntryWit,$P50)))</f>
        <v/>
      </c>
      <c r="J50" s="29">
        <f>IF($B50="","",IF($A50=1,$C$7,IF(J49="",0,J49))+IF($H50="",0,$H50)-IF($I50="",0,$I50))</f>
        <v/>
      </c>
      <c r="K50" s="29">
        <f>IF($P50="","",IF(INDEX(EntryMan,$P50)=0,"",INDEX(EntryMan,$P50)))</f>
        <v/>
      </c>
      <c r="L50" s="28">
        <f>IF($B50="","",IF($K50="","—",IF(ROUND($K50-$J50,0)=0,"√","×")))</f>
        <v/>
      </c>
      <c r="M50" s="28">
        <f>IF($B50="","",IF(COUNTIFS(EntryDates,$B50,CalcTime,$C50,CalcBank,$C$5,EntryParty,$D50,EntryDep,$H50,EntryWit,$I50)&gt;1,"تکرار",""))</f>
        <v/>
      </c>
      <c r="N50" s="28">
        <f>IF($P50="","",IF(INDEX(EntryNotes,$P50)=0,"",INDEX(EntryNotes,$P50)))</f>
        <v/>
      </c>
      <c r="O50" s="28">
        <f>IF($P50="","",IF(INDEX(EntryTxnID,$P50)=0,"",INDEX(EntryTxnID,$P50)))</f>
        <v/>
      </c>
      <c r="P50" s="28">
        <f>IFERROR(MATCH($C$5&amp;"|"&amp;RIGHT("000000"&amp;34,6),CalcRankKey,0),"")</f>
        <v/>
      </c>
    </row>
    <row r="51">
      <c r="A51" s="26">
        <f>IF($B51="","",35)</f>
        <v/>
      </c>
      <c r="B51" s="26">
        <f>IF($P51="","",IF(INDEX(CalcNormDate,$P51)=0,"",INDEX(CalcNormDate,$P51)))</f>
        <v/>
      </c>
      <c r="C51" s="26">
        <f>IF($P51="","",IF(INDEX(CalcTime,$P51)=0,"",INDEX(CalcTime,$P51)))</f>
        <v/>
      </c>
      <c r="D51" s="26">
        <f>IF($P51="","",IF(INDEX(EntryParty,$P51)=0,"",INDEX(EntryParty,$P51)))</f>
        <v/>
      </c>
      <c r="E51" s="26">
        <f>IF($P51="","",IF(INDEX(EntryPartyName,$P51)=0,"",INDEX(EntryPartyName,$P51)))</f>
        <v/>
      </c>
      <c r="F51" s="26">
        <f>IF($P51="","",IF(INDEX(EntryPartyType,$P51)=0,"",INDEX(EntryPartyType,$P51)))</f>
        <v/>
      </c>
      <c r="G51" s="26">
        <f>IF($P51="","",IF(INDEX(EntryTxnType,$P51)=0,"",INDEX(EntryTxnType,$P51)))</f>
        <v/>
      </c>
      <c r="H51" s="27">
        <f>IF($P51="","",IF(INDEX(EntryDep,$P51)=0,"",INDEX(EntryDep,$P51)))</f>
        <v/>
      </c>
      <c r="I51" s="27">
        <f>IF($P51="","",IF(INDEX(EntryWit,$P51)=0,"",INDEX(EntryWit,$P51)))</f>
        <v/>
      </c>
      <c r="J51" s="27">
        <f>IF($B51="","",IF($A51=1,$C$7,IF(J50="",0,J50))+IF($H51="",0,$H51)-IF($I51="",0,$I51))</f>
        <v/>
      </c>
      <c r="K51" s="27">
        <f>IF($P51="","",IF(INDEX(EntryMan,$P51)=0,"",INDEX(EntryMan,$P51)))</f>
        <v/>
      </c>
      <c r="L51" s="26">
        <f>IF($B51="","",IF($K51="","—",IF(ROUND($K51-$J51,0)=0,"√","×")))</f>
        <v/>
      </c>
      <c r="M51" s="26">
        <f>IF($B51="","",IF(COUNTIFS(EntryDates,$B51,CalcTime,$C51,CalcBank,$C$5,EntryParty,$D51,EntryDep,$H51,EntryWit,$I51)&gt;1,"تکرار",""))</f>
        <v/>
      </c>
      <c r="N51" s="26">
        <f>IF($P51="","",IF(INDEX(EntryNotes,$P51)=0,"",INDEX(EntryNotes,$P51)))</f>
        <v/>
      </c>
      <c r="O51" s="26">
        <f>IF($P51="","",IF(INDEX(EntryTxnID,$P51)=0,"",INDEX(EntryTxnID,$P51)))</f>
        <v/>
      </c>
      <c r="P51" s="26">
        <f>IFERROR(MATCH($C$5&amp;"|"&amp;RIGHT("000000"&amp;35,6),CalcRankKey,0),"")</f>
        <v/>
      </c>
    </row>
    <row r="52">
      <c r="A52" s="28">
        <f>IF($B52="","",36)</f>
        <v/>
      </c>
      <c r="B52" s="28">
        <f>IF($P52="","",IF(INDEX(CalcNormDate,$P52)=0,"",INDEX(CalcNormDate,$P52)))</f>
        <v/>
      </c>
      <c r="C52" s="28">
        <f>IF($P52="","",IF(INDEX(CalcTime,$P52)=0,"",INDEX(CalcTime,$P52)))</f>
        <v/>
      </c>
      <c r="D52" s="28">
        <f>IF($P52="","",IF(INDEX(EntryParty,$P52)=0,"",INDEX(EntryParty,$P52)))</f>
        <v/>
      </c>
      <c r="E52" s="28">
        <f>IF($P52="","",IF(INDEX(EntryPartyName,$P52)=0,"",INDEX(EntryPartyName,$P52)))</f>
        <v/>
      </c>
      <c r="F52" s="28">
        <f>IF($P52="","",IF(INDEX(EntryPartyType,$P52)=0,"",INDEX(EntryPartyType,$P52)))</f>
        <v/>
      </c>
      <c r="G52" s="28">
        <f>IF($P52="","",IF(INDEX(EntryTxnType,$P52)=0,"",INDEX(EntryTxnType,$P52)))</f>
        <v/>
      </c>
      <c r="H52" s="29">
        <f>IF($P52="","",IF(INDEX(EntryDep,$P52)=0,"",INDEX(EntryDep,$P52)))</f>
        <v/>
      </c>
      <c r="I52" s="29">
        <f>IF($P52="","",IF(INDEX(EntryWit,$P52)=0,"",INDEX(EntryWit,$P52)))</f>
        <v/>
      </c>
      <c r="J52" s="29">
        <f>IF($B52="","",IF($A52=1,$C$7,IF(J51="",0,J51))+IF($H52="",0,$H52)-IF($I52="",0,$I52))</f>
        <v/>
      </c>
      <c r="K52" s="29">
        <f>IF($P52="","",IF(INDEX(EntryMan,$P52)=0,"",INDEX(EntryMan,$P52)))</f>
        <v/>
      </c>
      <c r="L52" s="28">
        <f>IF($B52="","",IF($K52="","—",IF(ROUND($K52-$J52,0)=0,"√","×")))</f>
        <v/>
      </c>
      <c r="M52" s="28">
        <f>IF($B52="","",IF(COUNTIFS(EntryDates,$B52,CalcTime,$C52,CalcBank,$C$5,EntryParty,$D52,EntryDep,$H52,EntryWit,$I52)&gt;1,"تکرار",""))</f>
        <v/>
      </c>
      <c r="N52" s="28">
        <f>IF($P52="","",IF(INDEX(EntryNotes,$P52)=0,"",INDEX(EntryNotes,$P52)))</f>
        <v/>
      </c>
      <c r="O52" s="28">
        <f>IF($P52="","",IF(INDEX(EntryTxnID,$P52)=0,"",INDEX(EntryTxnID,$P52)))</f>
        <v/>
      </c>
      <c r="P52" s="28">
        <f>IFERROR(MATCH($C$5&amp;"|"&amp;RIGHT("000000"&amp;36,6),CalcRankKey,0),"")</f>
        <v/>
      </c>
    </row>
    <row r="53">
      <c r="A53" s="26">
        <f>IF($B53="","",37)</f>
        <v/>
      </c>
      <c r="B53" s="26">
        <f>IF($P53="","",IF(INDEX(CalcNormDate,$P53)=0,"",INDEX(CalcNormDate,$P53)))</f>
        <v/>
      </c>
      <c r="C53" s="26">
        <f>IF($P53="","",IF(INDEX(CalcTime,$P53)=0,"",INDEX(CalcTime,$P53)))</f>
        <v/>
      </c>
      <c r="D53" s="26">
        <f>IF($P53="","",IF(INDEX(EntryParty,$P53)=0,"",INDEX(EntryParty,$P53)))</f>
        <v/>
      </c>
      <c r="E53" s="26">
        <f>IF($P53="","",IF(INDEX(EntryPartyName,$P53)=0,"",INDEX(EntryPartyName,$P53)))</f>
        <v/>
      </c>
      <c r="F53" s="26">
        <f>IF($P53="","",IF(INDEX(EntryPartyType,$P53)=0,"",INDEX(EntryPartyType,$P53)))</f>
        <v/>
      </c>
      <c r="G53" s="26">
        <f>IF($P53="","",IF(INDEX(EntryTxnType,$P53)=0,"",INDEX(EntryTxnType,$P53)))</f>
        <v/>
      </c>
      <c r="H53" s="27">
        <f>IF($P53="","",IF(INDEX(EntryDep,$P53)=0,"",INDEX(EntryDep,$P53)))</f>
        <v/>
      </c>
      <c r="I53" s="27">
        <f>IF($P53="","",IF(INDEX(EntryWit,$P53)=0,"",INDEX(EntryWit,$P53)))</f>
        <v/>
      </c>
      <c r="J53" s="27">
        <f>IF($B53="","",IF($A53=1,$C$7,IF(J52="",0,J52))+IF($H53="",0,$H53)-IF($I53="",0,$I53))</f>
        <v/>
      </c>
      <c r="K53" s="27">
        <f>IF($P53="","",IF(INDEX(EntryMan,$P53)=0,"",INDEX(EntryMan,$P53)))</f>
        <v/>
      </c>
      <c r="L53" s="26">
        <f>IF($B53="","",IF($K53="","—",IF(ROUND($K53-$J53,0)=0,"√","×")))</f>
        <v/>
      </c>
      <c r="M53" s="26">
        <f>IF($B53="","",IF(COUNTIFS(EntryDates,$B53,CalcTime,$C53,CalcBank,$C$5,EntryParty,$D53,EntryDep,$H53,EntryWit,$I53)&gt;1,"تکرار",""))</f>
        <v/>
      </c>
      <c r="N53" s="26">
        <f>IF($P53="","",IF(INDEX(EntryNotes,$P53)=0,"",INDEX(EntryNotes,$P53)))</f>
        <v/>
      </c>
      <c r="O53" s="26">
        <f>IF($P53="","",IF(INDEX(EntryTxnID,$P53)=0,"",INDEX(EntryTxnID,$P53)))</f>
        <v/>
      </c>
      <c r="P53" s="26">
        <f>IFERROR(MATCH($C$5&amp;"|"&amp;RIGHT("000000"&amp;37,6),CalcRankKey,0),"")</f>
        <v/>
      </c>
    </row>
    <row r="54">
      <c r="A54" s="28">
        <f>IF($B54="","",38)</f>
        <v/>
      </c>
      <c r="B54" s="28">
        <f>IF($P54="","",IF(INDEX(CalcNormDate,$P54)=0,"",INDEX(CalcNormDate,$P54)))</f>
        <v/>
      </c>
      <c r="C54" s="28">
        <f>IF($P54="","",IF(INDEX(CalcTime,$P54)=0,"",INDEX(CalcTime,$P54)))</f>
        <v/>
      </c>
      <c r="D54" s="28">
        <f>IF($P54="","",IF(INDEX(EntryParty,$P54)=0,"",INDEX(EntryParty,$P54)))</f>
        <v/>
      </c>
      <c r="E54" s="28">
        <f>IF($P54="","",IF(INDEX(EntryPartyName,$P54)=0,"",INDEX(EntryPartyName,$P54)))</f>
        <v/>
      </c>
      <c r="F54" s="28">
        <f>IF($P54="","",IF(INDEX(EntryPartyType,$P54)=0,"",INDEX(EntryPartyType,$P54)))</f>
        <v/>
      </c>
      <c r="G54" s="28">
        <f>IF($P54="","",IF(INDEX(EntryTxnType,$P54)=0,"",INDEX(EntryTxnType,$P54)))</f>
        <v/>
      </c>
      <c r="H54" s="29">
        <f>IF($P54="","",IF(INDEX(EntryDep,$P54)=0,"",INDEX(EntryDep,$P54)))</f>
        <v/>
      </c>
      <c r="I54" s="29">
        <f>IF($P54="","",IF(INDEX(EntryWit,$P54)=0,"",INDEX(EntryWit,$P54)))</f>
        <v/>
      </c>
      <c r="J54" s="29">
        <f>IF($B54="","",IF($A54=1,$C$7,IF(J53="",0,J53))+IF($H54="",0,$H54)-IF($I54="",0,$I54))</f>
        <v/>
      </c>
      <c r="K54" s="29">
        <f>IF($P54="","",IF(INDEX(EntryMan,$P54)=0,"",INDEX(EntryMan,$P54)))</f>
        <v/>
      </c>
      <c r="L54" s="28">
        <f>IF($B54="","",IF($K54="","—",IF(ROUND($K54-$J54,0)=0,"√","×")))</f>
        <v/>
      </c>
      <c r="M54" s="28">
        <f>IF($B54="","",IF(COUNTIFS(EntryDates,$B54,CalcTime,$C54,CalcBank,$C$5,EntryParty,$D54,EntryDep,$H54,EntryWit,$I54)&gt;1,"تکرار",""))</f>
        <v/>
      </c>
      <c r="N54" s="28">
        <f>IF($P54="","",IF(INDEX(EntryNotes,$P54)=0,"",INDEX(EntryNotes,$P54)))</f>
        <v/>
      </c>
      <c r="O54" s="28">
        <f>IF($P54="","",IF(INDEX(EntryTxnID,$P54)=0,"",INDEX(EntryTxnID,$P54)))</f>
        <v/>
      </c>
      <c r="P54" s="28">
        <f>IFERROR(MATCH($C$5&amp;"|"&amp;RIGHT("000000"&amp;38,6),CalcRankKey,0),"")</f>
        <v/>
      </c>
    </row>
    <row r="55">
      <c r="A55" s="26">
        <f>IF($B55="","",39)</f>
        <v/>
      </c>
      <c r="B55" s="26">
        <f>IF($P55="","",IF(INDEX(CalcNormDate,$P55)=0,"",INDEX(CalcNormDate,$P55)))</f>
        <v/>
      </c>
      <c r="C55" s="26">
        <f>IF($P55="","",IF(INDEX(CalcTime,$P55)=0,"",INDEX(CalcTime,$P55)))</f>
        <v/>
      </c>
      <c r="D55" s="26">
        <f>IF($P55="","",IF(INDEX(EntryParty,$P55)=0,"",INDEX(EntryParty,$P55)))</f>
        <v/>
      </c>
      <c r="E55" s="26">
        <f>IF($P55="","",IF(INDEX(EntryPartyName,$P55)=0,"",INDEX(EntryPartyName,$P55)))</f>
        <v/>
      </c>
      <c r="F55" s="26">
        <f>IF($P55="","",IF(INDEX(EntryPartyType,$P55)=0,"",INDEX(EntryPartyType,$P55)))</f>
        <v/>
      </c>
      <c r="G55" s="26">
        <f>IF($P55="","",IF(INDEX(EntryTxnType,$P55)=0,"",INDEX(EntryTxnType,$P55)))</f>
        <v/>
      </c>
      <c r="H55" s="27">
        <f>IF($P55="","",IF(INDEX(EntryDep,$P55)=0,"",INDEX(EntryDep,$P55)))</f>
        <v/>
      </c>
      <c r="I55" s="27">
        <f>IF($P55="","",IF(INDEX(EntryWit,$P55)=0,"",INDEX(EntryWit,$P55)))</f>
        <v/>
      </c>
      <c r="J55" s="27">
        <f>IF($B55="","",IF($A55=1,$C$7,IF(J54="",0,J54))+IF($H55="",0,$H55)-IF($I55="",0,$I55))</f>
        <v/>
      </c>
      <c r="K55" s="27">
        <f>IF($P55="","",IF(INDEX(EntryMan,$P55)=0,"",INDEX(EntryMan,$P55)))</f>
        <v/>
      </c>
      <c r="L55" s="26">
        <f>IF($B55="","",IF($K55="","—",IF(ROUND($K55-$J55,0)=0,"√","×")))</f>
        <v/>
      </c>
      <c r="M55" s="26">
        <f>IF($B55="","",IF(COUNTIFS(EntryDates,$B55,CalcTime,$C55,CalcBank,$C$5,EntryParty,$D55,EntryDep,$H55,EntryWit,$I55)&gt;1,"تکرار",""))</f>
        <v/>
      </c>
      <c r="N55" s="26">
        <f>IF($P55="","",IF(INDEX(EntryNotes,$P55)=0,"",INDEX(EntryNotes,$P55)))</f>
        <v/>
      </c>
      <c r="O55" s="26">
        <f>IF($P55="","",IF(INDEX(EntryTxnID,$P55)=0,"",INDEX(EntryTxnID,$P55)))</f>
        <v/>
      </c>
      <c r="P55" s="26">
        <f>IFERROR(MATCH($C$5&amp;"|"&amp;RIGHT("000000"&amp;39,6),CalcRankKey,0),"")</f>
        <v/>
      </c>
    </row>
    <row r="56">
      <c r="A56" s="28">
        <f>IF($B56="","",40)</f>
        <v/>
      </c>
      <c r="B56" s="28">
        <f>IF($P56="","",IF(INDEX(CalcNormDate,$P56)=0,"",INDEX(CalcNormDate,$P56)))</f>
        <v/>
      </c>
      <c r="C56" s="28">
        <f>IF($P56="","",IF(INDEX(CalcTime,$P56)=0,"",INDEX(CalcTime,$P56)))</f>
        <v/>
      </c>
      <c r="D56" s="28">
        <f>IF($P56="","",IF(INDEX(EntryParty,$P56)=0,"",INDEX(EntryParty,$P56)))</f>
        <v/>
      </c>
      <c r="E56" s="28">
        <f>IF($P56="","",IF(INDEX(EntryPartyName,$P56)=0,"",INDEX(EntryPartyName,$P56)))</f>
        <v/>
      </c>
      <c r="F56" s="28">
        <f>IF($P56="","",IF(INDEX(EntryPartyType,$P56)=0,"",INDEX(EntryPartyType,$P56)))</f>
        <v/>
      </c>
      <c r="G56" s="28">
        <f>IF($P56="","",IF(INDEX(EntryTxnType,$P56)=0,"",INDEX(EntryTxnType,$P56)))</f>
        <v/>
      </c>
      <c r="H56" s="29">
        <f>IF($P56="","",IF(INDEX(EntryDep,$P56)=0,"",INDEX(EntryDep,$P56)))</f>
        <v/>
      </c>
      <c r="I56" s="29">
        <f>IF($P56="","",IF(INDEX(EntryWit,$P56)=0,"",INDEX(EntryWit,$P56)))</f>
        <v/>
      </c>
      <c r="J56" s="29">
        <f>IF($B56="","",IF($A56=1,$C$7,IF(J55="",0,J55))+IF($H56="",0,$H56)-IF($I56="",0,$I56))</f>
        <v/>
      </c>
      <c r="K56" s="29">
        <f>IF($P56="","",IF(INDEX(EntryMan,$P56)=0,"",INDEX(EntryMan,$P56)))</f>
        <v/>
      </c>
      <c r="L56" s="28">
        <f>IF($B56="","",IF($K56="","—",IF(ROUND($K56-$J56,0)=0,"√","×")))</f>
        <v/>
      </c>
      <c r="M56" s="28">
        <f>IF($B56="","",IF(COUNTIFS(EntryDates,$B56,CalcTime,$C56,CalcBank,$C$5,EntryParty,$D56,EntryDep,$H56,EntryWit,$I56)&gt;1,"تکرار",""))</f>
        <v/>
      </c>
      <c r="N56" s="28">
        <f>IF($P56="","",IF(INDEX(EntryNotes,$P56)=0,"",INDEX(EntryNotes,$P56)))</f>
        <v/>
      </c>
      <c r="O56" s="28">
        <f>IF($P56="","",IF(INDEX(EntryTxnID,$P56)=0,"",INDEX(EntryTxnID,$P56)))</f>
        <v/>
      </c>
      <c r="P56" s="28">
        <f>IFERROR(MATCH($C$5&amp;"|"&amp;RIGHT("000000"&amp;40,6),CalcRankKey,0),"")</f>
        <v/>
      </c>
    </row>
    <row r="57">
      <c r="A57" s="26">
        <f>IF($B57="","",41)</f>
        <v/>
      </c>
      <c r="B57" s="26">
        <f>IF($P57="","",IF(INDEX(CalcNormDate,$P57)=0,"",INDEX(CalcNormDate,$P57)))</f>
        <v/>
      </c>
      <c r="C57" s="26">
        <f>IF($P57="","",IF(INDEX(CalcTime,$P57)=0,"",INDEX(CalcTime,$P57)))</f>
        <v/>
      </c>
      <c r="D57" s="26">
        <f>IF($P57="","",IF(INDEX(EntryParty,$P57)=0,"",INDEX(EntryParty,$P57)))</f>
        <v/>
      </c>
      <c r="E57" s="26">
        <f>IF($P57="","",IF(INDEX(EntryPartyName,$P57)=0,"",INDEX(EntryPartyName,$P57)))</f>
        <v/>
      </c>
      <c r="F57" s="26">
        <f>IF($P57="","",IF(INDEX(EntryPartyType,$P57)=0,"",INDEX(EntryPartyType,$P57)))</f>
        <v/>
      </c>
      <c r="G57" s="26">
        <f>IF($P57="","",IF(INDEX(EntryTxnType,$P57)=0,"",INDEX(EntryTxnType,$P57)))</f>
        <v/>
      </c>
      <c r="H57" s="27">
        <f>IF($P57="","",IF(INDEX(EntryDep,$P57)=0,"",INDEX(EntryDep,$P57)))</f>
        <v/>
      </c>
      <c r="I57" s="27">
        <f>IF($P57="","",IF(INDEX(EntryWit,$P57)=0,"",INDEX(EntryWit,$P57)))</f>
        <v/>
      </c>
      <c r="J57" s="27">
        <f>IF($B57="","",IF($A57=1,$C$7,IF(J56="",0,J56))+IF($H57="",0,$H57)-IF($I57="",0,$I57))</f>
        <v/>
      </c>
      <c r="K57" s="27">
        <f>IF($P57="","",IF(INDEX(EntryMan,$P57)=0,"",INDEX(EntryMan,$P57)))</f>
        <v/>
      </c>
      <c r="L57" s="26">
        <f>IF($B57="","",IF($K57="","—",IF(ROUND($K57-$J57,0)=0,"√","×")))</f>
        <v/>
      </c>
      <c r="M57" s="26">
        <f>IF($B57="","",IF(COUNTIFS(EntryDates,$B57,CalcTime,$C57,CalcBank,$C$5,EntryParty,$D57,EntryDep,$H57,EntryWit,$I57)&gt;1,"تکرار",""))</f>
        <v/>
      </c>
      <c r="N57" s="26">
        <f>IF($P57="","",IF(INDEX(EntryNotes,$P57)=0,"",INDEX(EntryNotes,$P57)))</f>
        <v/>
      </c>
      <c r="O57" s="26">
        <f>IF($P57="","",IF(INDEX(EntryTxnID,$P57)=0,"",INDEX(EntryTxnID,$P57)))</f>
        <v/>
      </c>
      <c r="P57" s="26">
        <f>IFERROR(MATCH($C$5&amp;"|"&amp;RIGHT("000000"&amp;41,6),CalcRankKey,0),"")</f>
        <v/>
      </c>
    </row>
    <row r="58">
      <c r="A58" s="28">
        <f>IF($B58="","",42)</f>
        <v/>
      </c>
      <c r="B58" s="28">
        <f>IF($P58="","",IF(INDEX(CalcNormDate,$P58)=0,"",INDEX(CalcNormDate,$P58)))</f>
        <v/>
      </c>
      <c r="C58" s="28">
        <f>IF($P58="","",IF(INDEX(CalcTime,$P58)=0,"",INDEX(CalcTime,$P58)))</f>
        <v/>
      </c>
      <c r="D58" s="28">
        <f>IF($P58="","",IF(INDEX(EntryParty,$P58)=0,"",INDEX(EntryParty,$P58)))</f>
        <v/>
      </c>
      <c r="E58" s="28">
        <f>IF($P58="","",IF(INDEX(EntryPartyName,$P58)=0,"",INDEX(EntryPartyName,$P58)))</f>
        <v/>
      </c>
      <c r="F58" s="28">
        <f>IF($P58="","",IF(INDEX(EntryPartyType,$P58)=0,"",INDEX(EntryPartyType,$P58)))</f>
        <v/>
      </c>
      <c r="G58" s="28">
        <f>IF($P58="","",IF(INDEX(EntryTxnType,$P58)=0,"",INDEX(EntryTxnType,$P58)))</f>
        <v/>
      </c>
      <c r="H58" s="29">
        <f>IF($P58="","",IF(INDEX(EntryDep,$P58)=0,"",INDEX(EntryDep,$P58)))</f>
        <v/>
      </c>
      <c r="I58" s="29">
        <f>IF($P58="","",IF(INDEX(EntryWit,$P58)=0,"",INDEX(EntryWit,$P58)))</f>
        <v/>
      </c>
      <c r="J58" s="29">
        <f>IF($B58="","",IF($A58=1,$C$7,IF(J57="",0,J57))+IF($H58="",0,$H58)-IF($I58="",0,$I58))</f>
        <v/>
      </c>
      <c r="K58" s="29">
        <f>IF($P58="","",IF(INDEX(EntryMan,$P58)=0,"",INDEX(EntryMan,$P58)))</f>
        <v/>
      </c>
      <c r="L58" s="28">
        <f>IF($B58="","",IF($K58="","—",IF(ROUND($K58-$J58,0)=0,"√","×")))</f>
        <v/>
      </c>
      <c r="M58" s="28">
        <f>IF($B58="","",IF(COUNTIFS(EntryDates,$B58,CalcTime,$C58,CalcBank,$C$5,EntryParty,$D58,EntryDep,$H58,EntryWit,$I58)&gt;1,"تکرار",""))</f>
        <v/>
      </c>
      <c r="N58" s="28">
        <f>IF($P58="","",IF(INDEX(EntryNotes,$P58)=0,"",INDEX(EntryNotes,$P58)))</f>
        <v/>
      </c>
      <c r="O58" s="28">
        <f>IF($P58="","",IF(INDEX(EntryTxnID,$P58)=0,"",INDEX(EntryTxnID,$P58)))</f>
        <v/>
      </c>
      <c r="P58" s="28">
        <f>IFERROR(MATCH($C$5&amp;"|"&amp;RIGHT("000000"&amp;42,6),CalcRankKey,0),"")</f>
        <v/>
      </c>
    </row>
    <row r="59">
      <c r="A59" s="26">
        <f>IF($B59="","",43)</f>
        <v/>
      </c>
      <c r="B59" s="26">
        <f>IF($P59="","",IF(INDEX(CalcNormDate,$P59)=0,"",INDEX(CalcNormDate,$P59)))</f>
        <v/>
      </c>
      <c r="C59" s="26">
        <f>IF($P59="","",IF(INDEX(CalcTime,$P59)=0,"",INDEX(CalcTime,$P59)))</f>
        <v/>
      </c>
      <c r="D59" s="26">
        <f>IF($P59="","",IF(INDEX(EntryParty,$P59)=0,"",INDEX(EntryParty,$P59)))</f>
        <v/>
      </c>
      <c r="E59" s="26">
        <f>IF($P59="","",IF(INDEX(EntryPartyName,$P59)=0,"",INDEX(EntryPartyName,$P59)))</f>
        <v/>
      </c>
      <c r="F59" s="26">
        <f>IF($P59="","",IF(INDEX(EntryPartyType,$P59)=0,"",INDEX(EntryPartyType,$P59)))</f>
        <v/>
      </c>
      <c r="G59" s="26">
        <f>IF($P59="","",IF(INDEX(EntryTxnType,$P59)=0,"",INDEX(EntryTxnType,$P59)))</f>
        <v/>
      </c>
      <c r="H59" s="27">
        <f>IF($P59="","",IF(INDEX(EntryDep,$P59)=0,"",INDEX(EntryDep,$P59)))</f>
        <v/>
      </c>
      <c r="I59" s="27">
        <f>IF($P59="","",IF(INDEX(EntryWit,$P59)=0,"",INDEX(EntryWit,$P59)))</f>
        <v/>
      </c>
      <c r="J59" s="27">
        <f>IF($B59="","",IF($A59=1,$C$7,IF(J58="",0,J58))+IF($H59="",0,$H59)-IF($I59="",0,$I59))</f>
        <v/>
      </c>
      <c r="K59" s="27">
        <f>IF($P59="","",IF(INDEX(EntryMan,$P59)=0,"",INDEX(EntryMan,$P59)))</f>
        <v/>
      </c>
      <c r="L59" s="26">
        <f>IF($B59="","",IF($K59="","—",IF(ROUND($K59-$J59,0)=0,"√","×")))</f>
        <v/>
      </c>
      <c r="M59" s="26">
        <f>IF($B59="","",IF(COUNTIFS(EntryDates,$B59,CalcTime,$C59,CalcBank,$C$5,EntryParty,$D59,EntryDep,$H59,EntryWit,$I59)&gt;1,"تکرار",""))</f>
        <v/>
      </c>
      <c r="N59" s="26">
        <f>IF($P59="","",IF(INDEX(EntryNotes,$P59)=0,"",INDEX(EntryNotes,$P59)))</f>
        <v/>
      </c>
      <c r="O59" s="26">
        <f>IF($P59="","",IF(INDEX(EntryTxnID,$P59)=0,"",INDEX(EntryTxnID,$P59)))</f>
        <v/>
      </c>
      <c r="P59" s="26">
        <f>IFERROR(MATCH($C$5&amp;"|"&amp;RIGHT("000000"&amp;43,6),CalcRankKey,0),"")</f>
        <v/>
      </c>
    </row>
    <row r="60">
      <c r="A60" s="28">
        <f>IF($B60="","",44)</f>
        <v/>
      </c>
      <c r="B60" s="28">
        <f>IF($P60="","",IF(INDEX(CalcNormDate,$P60)=0,"",INDEX(CalcNormDate,$P60)))</f>
        <v/>
      </c>
      <c r="C60" s="28">
        <f>IF($P60="","",IF(INDEX(CalcTime,$P60)=0,"",INDEX(CalcTime,$P60)))</f>
        <v/>
      </c>
      <c r="D60" s="28">
        <f>IF($P60="","",IF(INDEX(EntryParty,$P60)=0,"",INDEX(EntryParty,$P60)))</f>
        <v/>
      </c>
      <c r="E60" s="28">
        <f>IF($P60="","",IF(INDEX(EntryPartyName,$P60)=0,"",INDEX(EntryPartyName,$P60)))</f>
        <v/>
      </c>
      <c r="F60" s="28">
        <f>IF($P60="","",IF(INDEX(EntryPartyType,$P60)=0,"",INDEX(EntryPartyType,$P60)))</f>
        <v/>
      </c>
      <c r="G60" s="28">
        <f>IF($P60="","",IF(INDEX(EntryTxnType,$P60)=0,"",INDEX(EntryTxnType,$P60)))</f>
        <v/>
      </c>
      <c r="H60" s="29">
        <f>IF($P60="","",IF(INDEX(EntryDep,$P60)=0,"",INDEX(EntryDep,$P60)))</f>
        <v/>
      </c>
      <c r="I60" s="29">
        <f>IF($P60="","",IF(INDEX(EntryWit,$P60)=0,"",INDEX(EntryWit,$P60)))</f>
        <v/>
      </c>
      <c r="J60" s="29">
        <f>IF($B60="","",IF($A60=1,$C$7,IF(J59="",0,J59))+IF($H60="",0,$H60)-IF($I60="",0,$I60))</f>
        <v/>
      </c>
      <c r="K60" s="29">
        <f>IF($P60="","",IF(INDEX(EntryMan,$P60)=0,"",INDEX(EntryMan,$P60)))</f>
        <v/>
      </c>
      <c r="L60" s="28">
        <f>IF($B60="","",IF($K60="","—",IF(ROUND($K60-$J60,0)=0,"√","×")))</f>
        <v/>
      </c>
      <c r="M60" s="28">
        <f>IF($B60="","",IF(COUNTIFS(EntryDates,$B60,CalcTime,$C60,CalcBank,$C$5,EntryParty,$D60,EntryDep,$H60,EntryWit,$I60)&gt;1,"تکرار",""))</f>
        <v/>
      </c>
      <c r="N60" s="28">
        <f>IF($P60="","",IF(INDEX(EntryNotes,$P60)=0,"",INDEX(EntryNotes,$P60)))</f>
        <v/>
      </c>
      <c r="O60" s="28">
        <f>IF($P60="","",IF(INDEX(EntryTxnID,$P60)=0,"",INDEX(EntryTxnID,$P60)))</f>
        <v/>
      </c>
      <c r="P60" s="28">
        <f>IFERROR(MATCH($C$5&amp;"|"&amp;RIGHT("000000"&amp;44,6),CalcRankKey,0),"")</f>
        <v/>
      </c>
    </row>
    <row r="61">
      <c r="A61" s="26">
        <f>IF($B61="","",45)</f>
        <v/>
      </c>
      <c r="B61" s="26">
        <f>IF($P61="","",IF(INDEX(CalcNormDate,$P61)=0,"",INDEX(CalcNormDate,$P61)))</f>
        <v/>
      </c>
      <c r="C61" s="26">
        <f>IF($P61="","",IF(INDEX(CalcTime,$P61)=0,"",INDEX(CalcTime,$P61)))</f>
        <v/>
      </c>
      <c r="D61" s="26">
        <f>IF($P61="","",IF(INDEX(EntryParty,$P61)=0,"",INDEX(EntryParty,$P61)))</f>
        <v/>
      </c>
      <c r="E61" s="26">
        <f>IF($P61="","",IF(INDEX(EntryPartyName,$P61)=0,"",INDEX(EntryPartyName,$P61)))</f>
        <v/>
      </c>
      <c r="F61" s="26">
        <f>IF($P61="","",IF(INDEX(EntryPartyType,$P61)=0,"",INDEX(EntryPartyType,$P61)))</f>
        <v/>
      </c>
      <c r="G61" s="26">
        <f>IF($P61="","",IF(INDEX(EntryTxnType,$P61)=0,"",INDEX(EntryTxnType,$P61)))</f>
        <v/>
      </c>
      <c r="H61" s="27">
        <f>IF($P61="","",IF(INDEX(EntryDep,$P61)=0,"",INDEX(EntryDep,$P61)))</f>
        <v/>
      </c>
      <c r="I61" s="27">
        <f>IF($P61="","",IF(INDEX(EntryWit,$P61)=0,"",INDEX(EntryWit,$P61)))</f>
        <v/>
      </c>
      <c r="J61" s="27">
        <f>IF($B61="","",IF($A61=1,$C$7,IF(J60="",0,J60))+IF($H61="",0,$H61)-IF($I61="",0,$I61))</f>
        <v/>
      </c>
      <c r="K61" s="27">
        <f>IF($P61="","",IF(INDEX(EntryMan,$P61)=0,"",INDEX(EntryMan,$P61)))</f>
        <v/>
      </c>
      <c r="L61" s="26">
        <f>IF($B61="","",IF($K61="","—",IF(ROUND($K61-$J61,0)=0,"√","×")))</f>
        <v/>
      </c>
      <c r="M61" s="26">
        <f>IF($B61="","",IF(COUNTIFS(EntryDates,$B61,CalcTime,$C61,CalcBank,$C$5,EntryParty,$D61,EntryDep,$H61,EntryWit,$I61)&gt;1,"تکرار",""))</f>
        <v/>
      </c>
      <c r="N61" s="26">
        <f>IF($P61="","",IF(INDEX(EntryNotes,$P61)=0,"",INDEX(EntryNotes,$P61)))</f>
        <v/>
      </c>
      <c r="O61" s="26">
        <f>IF($P61="","",IF(INDEX(EntryTxnID,$P61)=0,"",INDEX(EntryTxnID,$P61)))</f>
        <v/>
      </c>
      <c r="P61" s="26">
        <f>IFERROR(MATCH($C$5&amp;"|"&amp;RIGHT("000000"&amp;45,6),CalcRankKey,0),"")</f>
        <v/>
      </c>
    </row>
    <row r="62">
      <c r="A62" s="28">
        <f>IF($B62="","",46)</f>
        <v/>
      </c>
      <c r="B62" s="28">
        <f>IF($P62="","",IF(INDEX(CalcNormDate,$P62)=0,"",INDEX(CalcNormDate,$P62)))</f>
        <v/>
      </c>
      <c r="C62" s="28">
        <f>IF($P62="","",IF(INDEX(CalcTime,$P62)=0,"",INDEX(CalcTime,$P62)))</f>
        <v/>
      </c>
      <c r="D62" s="28">
        <f>IF($P62="","",IF(INDEX(EntryParty,$P62)=0,"",INDEX(EntryParty,$P62)))</f>
        <v/>
      </c>
      <c r="E62" s="28">
        <f>IF($P62="","",IF(INDEX(EntryPartyName,$P62)=0,"",INDEX(EntryPartyName,$P62)))</f>
        <v/>
      </c>
      <c r="F62" s="28">
        <f>IF($P62="","",IF(INDEX(EntryPartyType,$P62)=0,"",INDEX(EntryPartyType,$P62)))</f>
        <v/>
      </c>
      <c r="G62" s="28">
        <f>IF($P62="","",IF(INDEX(EntryTxnType,$P62)=0,"",INDEX(EntryTxnType,$P62)))</f>
        <v/>
      </c>
      <c r="H62" s="29">
        <f>IF($P62="","",IF(INDEX(EntryDep,$P62)=0,"",INDEX(EntryDep,$P62)))</f>
        <v/>
      </c>
      <c r="I62" s="29">
        <f>IF($P62="","",IF(INDEX(EntryWit,$P62)=0,"",INDEX(EntryWit,$P62)))</f>
        <v/>
      </c>
      <c r="J62" s="29">
        <f>IF($B62="","",IF($A62=1,$C$7,IF(J61="",0,J61))+IF($H62="",0,$H62)-IF($I62="",0,$I62))</f>
        <v/>
      </c>
      <c r="K62" s="29">
        <f>IF($P62="","",IF(INDEX(EntryMan,$P62)=0,"",INDEX(EntryMan,$P62)))</f>
        <v/>
      </c>
      <c r="L62" s="28">
        <f>IF($B62="","",IF($K62="","—",IF(ROUND($K62-$J62,0)=0,"√","×")))</f>
        <v/>
      </c>
      <c r="M62" s="28">
        <f>IF($B62="","",IF(COUNTIFS(EntryDates,$B62,CalcTime,$C62,CalcBank,$C$5,EntryParty,$D62,EntryDep,$H62,EntryWit,$I62)&gt;1,"تکرار",""))</f>
        <v/>
      </c>
      <c r="N62" s="28">
        <f>IF($P62="","",IF(INDEX(EntryNotes,$P62)=0,"",INDEX(EntryNotes,$P62)))</f>
        <v/>
      </c>
      <c r="O62" s="28">
        <f>IF($P62="","",IF(INDEX(EntryTxnID,$P62)=0,"",INDEX(EntryTxnID,$P62)))</f>
        <v/>
      </c>
      <c r="P62" s="28">
        <f>IFERROR(MATCH($C$5&amp;"|"&amp;RIGHT("000000"&amp;46,6),CalcRankKey,0),"")</f>
        <v/>
      </c>
    </row>
    <row r="63">
      <c r="A63" s="26">
        <f>IF($B63="","",47)</f>
        <v/>
      </c>
      <c r="B63" s="26">
        <f>IF($P63="","",IF(INDEX(CalcNormDate,$P63)=0,"",INDEX(CalcNormDate,$P63)))</f>
        <v/>
      </c>
      <c r="C63" s="26">
        <f>IF($P63="","",IF(INDEX(CalcTime,$P63)=0,"",INDEX(CalcTime,$P63)))</f>
        <v/>
      </c>
      <c r="D63" s="26">
        <f>IF($P63="","",IF(INDEX(EntryParty,$P63)=0,"",INDEX(EntryParty,$P63)))</f>
        <v/>
      </c>
      <c r="E63" s="26">
        <f>IF($P63="","",IF(INDEX(EntryPartyName,$P63)=0,"",INDEX(EntryPartyName,$P63)))</f>
        <v/>
      </c>
      <c r="F63" s="26">
        <f>IF($P63="","",IF(INDEX(EntryPartyType,$P63)=0,"",INDEX(EntryPartyType,$P63)))</f>
        <v/>
      </c>
      <c r="G63" s="26">
        <f>IF($P63="","",IF(INDEX(EntryTxnType,$P63)=0,"",INDEX(EntryTxnType,$P63)))</f>
        <v/>
      </c>
      <c r="H63" s="27">
        <f>IF($P63="","",IF(INDEX(EntryDep,$P63)=0,"",INDEX(EntryDep,$P63)))</f>
        <v/>
      </c>
      <c r="I63" s="27">
        <f>IF($P63="","",IF(INDEX(EntryWit,$P63)=0,"",INDEX(EntryWit,$P63)))</f>
        <v/>
      </c>
      <c r="J63" s="27">
        <f>IF($B63="","",IF($A63=1,$C$7,IF(J62="",0,J62))+IF($H63="",0,$H63)-IF($I63="",0,$I63))</f>
        <v/>
      </c>
      <c r="K63" s="27">
        <f>IF($P63="","",IF(INDEX(EntryMan,$P63)=0,"",INDEX(EntryMan,$P63)))</f>
        <v/>
      </c>
      <c r="L63" s="26">
        <f>IF($B63="","",IF($K63="","—",IF(ROUND($K63-$J63,0)=0,"√","×")))</f>
        <v/>
      </c>
      <c r="M63" s="26">
        <f>IF($B63="","",IF(COUNTIFS(EntryDates,$B63,CalcTime,$C63,CalcBank,$C$5,EntryParty,$D63,EntryDep,$H63,EntryWit,$I63)&gt;1,"تکرار",""))</f>
        <v/>
      </c>
      <c r="N63" s="26">
        <f>IF($P63="","",IF(INDEX(EntryNotes,$P63)=0,"",INDEX(EntryNotes,$P63)))</f>
        <v/>
      </c>
      <c r="O63" s="26">
        <f>IF($P63="","",IF(INDEX(EntryTxnID,$P63)=0,"",INDEX(EntryTxnID,$P63)))</f>
        <v/>
      </c>
      <c r="P63" s="26">
        <f>IFERROR(MATCH($C$5&amp;"|"&amp;RIGHT("000000"&amp;47,6),CalcRankKey,0),"")</f>
        <v/>
      </c>
    </row>
    <row r="64">
      <c r="A64" s="28">
        <f>IF($B64="","",48)</f>
        <v/>
      </c>
      <c r="B64" s="28">
        <f>IF($P64="","",IF(INDEX(CalcNormDate,$P64)=0,"",INDEX(CalcNormDate,$P64)))</f>
        <v/>
      </c>
      <c r="C64" s="28">
        <f>IF($P64="","",IF(INDEX(CalcTime,$P64)=0,"",INDEX(CalcTime,$P64)))</f>
        <v/>
      </c>
      <c r="D64" s="28">
        <f>IF($P64="","",IF(INDEX(EntryParty,$P64)=0,"",INDEX(EntryParty,$P64)))</f>
        <v/>
      </c>
      <c r="E64" s="28">
        <f>IF($P64="","",IF(INDEX(EntryPartyName,$P64)=0,"",INDEX(EntryPartyName,$P64)))</f>
        <v/>
      </c>
      <c r="F64" s="28">
        <f>IF($P64="","",IF(INDEX(EntryPartyType,$P64)=0,"",INDEX(EntryPartyType,$P64)))</f>
        <v/>
      </c>
      <c r="G64" s="28">
        <f>IF($P64="","",IF(INDEX(EntryTxnType,$P64)=0,"",INDEX(EntryTxnType,$P64)))</f>
        <v/>
      </c>
      <c r="H64" s="29">
        <f>IF($P64="","",IF(INDEX(EntryDep,$P64)=0,"",INDEX(EntryDep,$P64)))</f>
        <v/>
      </c>
      <c r="I64" s="29">
        <f>IF($P64="","",IF(INDEX(EntryWit,$P64)=0,"",INDEX(EntryWit,$P64)))</f>
        <v/>
      </c>
      <c r="J64" s="29">
        <f>IF($B64="","",IF($A64=1,$C$7,IF(J63="",0,J63))+IF($H64="",0,$H64)-IF($I64="",0,$I64))</f>
        <v/>
      </c>
      <c r="K64" s="29">
        <f>IF($P64="","",IF(INDEX(EntryMan,$P64)=0,"",INDEX(EntryMan,$P64)))</f>
        <v/>
      </c>
      <c r="L64" s="28">
        <f>IF($B64="","",IF($K64="","—",IF(ROUND($K64-$J64,0)=0,"√","×")))</f>
        <v/>
      </c>
      <c r="M64" s="28">
        <f>IF($B64="","",IF(COUNTIFS(EntryDates,$B64,CalcTime,$C64,CalcBank,$C$5,EntryParty,$D64,EntryDep,$H64,EntryWit,$I64)&gt;1,"تکرار",""))</f>
        <v/>
      </c>
      <c r="N64" s="28">
        <f>IF($P64="","",IF(INDEX(EntryNotes,$P64)=0,"",INDEX(EntryNotes,$P64)))</f>
        <v/>
      </c>
      <c r="O64" s="28">
        <f>IF($P64="","",IF(INDEX(EntryTxnID,$P64)=0,"",INDEX(EntryTxnID,$P64)))</f>
        <v/>
      </c>
      <c r="P64" s="28">
        <f>IFERROR(MATCH($C$5&amp;"|"&amp;RIGHT("000000"&amp;48,6),CalcRankKey,0),"")</f>
        <v/>
      </c>
    </row>
    <row r="65">
      <c r="A65" s="26">
        <f>IF($B65="","",49)</f>
        <v/>
      </c>
      <c r="B65" s="26">
        <f>IF($P65="","",IF(INDEX(CalcNormDate,$P65)=0,"",INDEX(CalcNormDate,$P65)))</f>
        <v/>
      </c>
      <c r="C65" s="26">
        <f>IF($P65="","",IF(INDEX(CalcTime,$P65)=0,"",INDEX(CalcTime,$P65)))</f>
        <v/>
      </c>
      <c r="D65" s="26">
        <f>IF($P65="","",IF(INDEX(EntryParty,$P65)=0,"",INDEX(EntryParty,$P65)))</f>
        <v/>
      </c>
      <c r="E65" s="26">
        <f>IF($P65="","",IF(INDEX(EntryPartyName,$P65)=0,"",INDEX(EntryPartyName,$P65)))</f>
        <v/>
      </c>
      <c r="F65" s="26">
        <f>IF($P65="","",IF(INDEX(EntryPartyType,$P65)=0,"",INDEX(EntryPartyType,$P65)))</f>
        <v/>
      </c>
      <c r="G65" s="26">
        <f>IF($P65="","",IF(INDEX(EntryTxnType,$P65)=0,"",INDEX(EntryTxnType,$P65)))</f>
        <v/>
      </c>
      <c r="H65" s="27">
        <f>IF($P65="","",IF(INDEX(EntryDep,$P65)=0,"",INDEX(EntryDep,$P65)))</f>
        <v/>
      </c>
      <c r="I65" s="27">
        <f>IF($P65="","",IF(INDEX(EntryWit,$P65)=0,"",INDEX(EntryWit,$P65)))</f>
        <v/>
      </c>
      <c r="J65" s="27">
        <f>IF($B65="","",IF($A65=1,$C$7,IF(J64="",0,J64))+IF($H65="",0,$H65)-IF($I65="",0,$I65))</f>
        <v/>
      </c>
      <c r="K65" s="27">
        <f>IF($P65="","",IF(INDEX(EntryMan,$P65)=0,"",INDEX(EntryMan,$P65)))</f>
        <v/>
      </c>
      <c r="L65" s="26">
        <f>IF($B65="","",IF($K65="","—",IF(ROUND($K65-$J65,0)=0,"√","×")))</f>
        <v/>
      </c>
      <c r="M65" s="26">
        <f>IF($B65="","",IF(COUNTIFS(EntryDates,$B65,CalcTime,$C65,CalcBank,$C$5,EntryParty,$D65,EntryDep,$H65,EntryWit,$I65)&gt;1,"تکرار",""))</f>
        <v/>
      </c>
      <c r="N65" s="26">
        <f>IF($P65="","",IF(INDEX(EntryNotes,$P65)=0,"",INDEX(EntryNotes,$P65)))</f>
        <v/>
      </c>
      <c r="O65" s="26">
        <f>IF($P65="","",IF(INDEX(EntryTxnID,$P65)=0,"",INDEX(EntryTxnID,$P65)))</f>
        <v/>
      </c>
      <c r="P65" s="26">
        <f>IFERROR(MATCH($C$5&amp;"|"&amp;RIGHT("000000"&amp;49,6),CalcRankKey,0),"")</f>
        <v/>
      </c>
    </row>
    <row r="66">
      <c r="A66" s="28">
        <f>IF($B66="","",50)</f>
        <v/>
      </c>
      <c r="B66" s="28">
        <f>IF($P66="","",IF(INDEX(CalcNormDate,$P66)=0,"",INDEX(CalcNormDate,$P66)))</f>
        <v/>
      </c>
      <c r="C66" s="28">
        <f>IF($P66="","",IF(INDEX(CalcTime,$P66)=0,"",INDEX(CalcTime,$P66)))</f>
        <v/>
      </c>
      <c r="D66" s="28">
        <f>IF($P66="","",IF(INDEX(EntryParty,$P66)=0,"",INDEX(EntryParty,$P66)))</f>
        <v/>
      </c>
      <c r="E66" s="28">
        <f>IF($P66="","",IF(INDEX(EntryPartyName,$P66)=0,"",INDEX(EntryPartyName,$P66)))</f>
        <v/>
      </c>
      <c r="F66" s="28">
        <f>IF($P66="","",IF(INDEX(EntryPartyType,$P66)=0,"",INDEX(EntryPartyType,$P66)))</f>
        <v/>
      </c>
      <c r="G66" s="28">
        <f>IF($P66="","",IF(INDEX(EntryTxnType,$P66)=0,"",INDEX(EntryTxnType,$P66)))</f>
        <v/>
      </c>
      <c r="H66" s="29">
        <f>IF($P66="","",IF(INDEX(EntryDep,$P66)=0,"",INDEX(EntryDep,$P66)))</f>
        <v/>
      </c>
      <c r="I66" s="29">
        <f>IF($P66="","",IF(INDEX(EntryWit,$P66)=0,"",INDEX(EntryWit,$P66)))</f>
        <v/>
      </c>
      <c r="J66" s="29">
        <f>IF($B66="","",IF($A66=1,$C$7,IF(J65="",0,J65))+IF($H66="",0,$H66)-IF($I66="",0,$I66))</f>
        <v/>
      </c>
      <c r="K66" s="29">
        <f>IF($P66="","",IF(INDEX(EntryMan,$P66)=0,"",INDEX(EntryMan,$P66)))</f>
        <v/>
      </c>
      <c r="L66" s="28">
        <f>IF($B66="","",IF($K66="","—",IF(ROUND($K66-$J66,0)=0,"√","×")))</f>
        <v/>
      </c>
      <c r="M66" s="28">
        <f>IF($B66="","",IF(COUNTIFS(EntryDates,$B66,CalcTime,$C66,CalcBank,$C$5,EntryParty,$D66,EntryDep,$H66,EntryWit,$I66)&gt;1,"تکرار",""))</f>
        <v/>
      </c>
      <c r="N66" s="28">
        <f>IF($P66="","",IF(INDEX(EntryNotes,$P66)=0,"",INDEX(EntryNotes,$P66)))</f>
        <v/>
      </c>
      <c r="O66" s="28">
        <f>IF($P66="","",IF(INDEX(EntryTxnID,$P66)=0,"",INDEX(EntryTxnID,$P66)))</f>
        <v/>
      </c>
      <c r="P66" s="28">
        <f>IFERROR(MATCH($C$5&amp;"|"&amp;RIGHT("000000"&amp;50,6),CalcRankKey,0),"")</f>
        <v/>
      </c>
    </row>
    <row r="67">
      <c r="A67" s="26">
        <f>IF($B67="","",51)</f>
        <v/>
      </c>
      <c r="B67" s="26">
        <f>IF($P67="","",IF(INDEX(CalcNormDate,$P67)=0,"",INDEX(CalcNormDate,$P67)))</f>
        <v/>
      </c>
      <c r="C67" s="26">
        <f>IF($P67="","",IF(INDEX(CalcTime,$P67)=0,"",INDEX(CalcTime,$P67)))</f>
        <v/>
      </c>
      <c r="D67" s="26">
        <f>IF($P67="","",IF(INDEX(EntryParty,$P67)=0,"",INDEX(EntryParty,$P67)))</f>
        <v/>
      </c>
      <c r="E67" s="26">
        <f>IF($P67="","",IF(INDEX(EntryPartyName,$P67)=0,"",INDEX(EntryPartyName,$P67)))</f>
        <v/>
      </c>
      <c r="F67" s="26">
        <f>IF($P67="","",IF(INDEX(EntryPartyType,$P67)=0,"",INDEX(EntryPartyType,$P67)))</f>
        <v/>
      </c>
      <c r="G67" s="26">
        <f>IF($P67="","",IF(INDEX(EntryTxnType,$P67)=0,"",INDEX(EntryTxnType,$P67)))</f>
        <v/>
      </c>
      <c r="H67" s="27">
        <f>IF($P67="","",IF(INDEX(EntryDep,$P67)=0,"",INDEX(EntryDep,$P67)))</f>
        <v/>
      </c>
      <c r="I67" s="27">
        <f>IF($P67="","",IF(INDEX(EntryWit,$P67)=0,"",INDEX(EntryWit,$P67)))</f>
        <v/>
      </c>
      <c r="J67" s="27">
        <f>IF($B67="","",IF($A67=1,$C$7,IF(J66="",0,J66))+IF($H67="",0,$H67)-IF($I67="",0,$I67))</f>
        <v/>
      </c>
      <c r="K67" s="27">
        <f>IF($P67="","",IF(INDEX(EntryMan,$P67)=0,"",INDEX(EntryMan,$P67)))</f>
        <v/>
      </c>
      <c r="L67" s="26">
        <f>IF($B67="","",IF($K67="","—",IF(ROUND($K67-$J67,0)=0,"√","×")))</f>
        <v/>
      </c>
      <c r="M67" s="26">
        <f>IF($B67="","",IF(COUNTIFS(EntryDates,$B67,CalcTime,$C67,CalcBank,$C$5,EntryParty,$D67,EntryDep,$H67,EntryWit,$I67)&gt;1,"تکرار",""))</f>
        <v/>
      </c>
      <c r="N67" s="26">
        <f>IF($P67="","",IF(INDEX(EntryNotes,$P67)=0,"",INDEX(EntryNotes,$P67)))</f>
        <v/>
      </c>
      <c r="O67" s="26">
        <f>IF($P67="","",IF(INDEX(EntryTxnID,$P67)=0,"",INDEX(EntryTxnID,$P67)))</f>
        <v/>
      </c>
      <c r="P67" s="26">
        <f>IFERROR(MATCH($C$5&amp;"|"&amp;RIGHT("000000"&amp;51,6),CalcRankKey,0),"")</f>
        <v/>
      </c>
    </row>
    <row r="68">
      <c r="A68" s="28">
        <f>IF($B68="","",52)</f>
        <v/>
      </c>
      <c r="B68" s="28">
        <f>IF($P68="","",IF(INDEX(CalcNormDate,$P68)=0,"",INDEX(CalcNormDate,$P68)))</f>
        <v/>
      </c>
      <c r="C68" s="28">
        <f>IF($P68="","",IF(INDEX(CalcTime,$P68)=0,"",INDEX(CalcTime,$P68)))</f>
        <v/>
      </c>
      <c r="D68" s="28">
        <f>IF($P68="","",IF(INDEX(EntryParty,$P68)=0,"",INDEX(EntryParty,$P68)))</f>
        <v/>
      </c>
      <c r="E68" s="28">
        <f>IF($P68="","",IF(INDEX(EntryPartyName,$P68)=0,"",INDEX(EntryPartyName,$P68)))</f>
        <v/>
      </c>
      <c r="F68" s="28">
        <f>IF($P68="","",IF(INDEX(EntryPartyType,$P68)=0,"",INDEX(EntryPartyType,$P68)))</f>
        <v/>
      </c>
      <c r="G68" s="28">
        <f>IF($P68="","",IF(INDEX(EntryTxnType,$P68)=0,"",INDEX(EntryTxnType,$P68)))</f>
        <v/>
      </c>
      <c r="H68" s="29">
        <f>IF($P68="","",IF(INDEX(EntryDep,$P68)=0,"",INDEX(EntryDep,$P68)))</f>
        <v/>
      </c>
      <c r="I68" s="29">
        <f>IF($P68="","",IF(INDEX(EntryWit,$P68)=0,"",INDEX(EntryWit,$P68)))</f>
        <v/>
      </c>
      <c r="J68" s="29">
        <f>IF($B68="","",IF($A68=1,$C$7,IF(J67="",0,J67))+IF($H68="",0,$H68)-IF($I68="",0,$I68))</f>
        <v/>
      </c>
      <c r="K68" s="29">
        <f>IF($P68="","",IF(INDEX(EntryMan,$P68)=0,"",INDEX(EntryMan,$P68)))</f>
        <v/>
      </c>
      <c r="L68" s="28">
        <f>IF($B68="","",IF($K68="","—",IF(ROUND($K68-$J68,0)=0,"√","×")))</f>
        <v/>
      </c>
      <c r="M68" s="28">
        <f>IF($B68="","",IF(COUNTIFS(EntryDates,$B68,CalcTime,$C68,CalcBank,$C$5,EntryParty,$D68,EntryDep,$H68,EntryWit,$I68)&gt;1,"تکرار",""))</f>
        <v/>
      </c>
      <c r="N68" s="28">
        <f>IF($P68="","",IF(INDEX(EntryNotes,$P68)=0,"",INDEX(EntryNotes,$P68)))</f>
        <v/>
      </c>
      <c r="O68" s="28">
        <f>IF($P68="","",IF(INDEX(EntryTxnID,$P68)=0,"",INDEX(EntryTxnID,$P68)))</f>
        <v/>
      </c>
      <c r="P68" s="28">
        <f>IFERROR(MATCH($C$5&amp;"|"&amp;RIGHT("000000"&amp;52,6),CalcRankKey,0),"")</f>
        <v/>
      </c>
    </row>
    <row r="69">
      <c r="A69" s="26">
        <f>IF($B69="","",53)</f>
        <v/>
      </c>
      <c r="B69" s="26">
        <f>IF($P69="","",IF(INDEX(CalcNormDate,$P69)=0,"",INDEX(CalcNormDate,$P69)))</f>
        <v/>
      </c>
      <c r="C69" s="26">
        <f>IF($P69="","",IF(INDEX(CalcTime,$P69)=0,"",INDEX(CalcTime,$P69)))</f>
        <v/>
      </c>
      <c r="D69" s="26">
        <f>IF($P69="","",IF(INDEX(EntryParty,$P69)=0,"",INDEX(EntryParty,$P69)))</f>
        <v/>
      </c>
      <c r="E69" s="26">
        <f>IF($P69="","",IF(INDEX(EntryPartyName,$P69)=0,"",INDEX(EntryPartyName,$P69)))</f>
        <v/>
      </c>
      <c r="F69" s="26">
        <f>IF($P69="","",IF(INDEX(EntryPartyType,$P69)=0,"",INDEX(EntryPartyType,$P69)))</f>
        <v/>
      </c>
      <c r="G69" s="26">
        <f>IF($P69="","",IF(INDEX(EntryTxnType,$P69)=0,"",INDEX(EntryTxnType,$P69)))</f>
        <v/>
      </c>
      <c r="H69" s="27">
        <f>IF($P69="","",IF(INDEX(EntryDep,$P69)=0,"",INDEX(EntryDep,$P69)))</f>
        <v/>
      </c>
      <c r="I69" s="27">
        <f>IF($P69="","",IF(INDEX(EntryWit,$P69)=0,"",INDEX(EntryWit,$P69)))</f>
        <v/>
      </c>
      <c r="J69" s="27">
        <f>IF($B69="","",IF($A69=1,$C$7,IF(J68="",0,J68))+IF($H69="",0,$H69)-IF($I69="",0,$I69))</f>
        <v/>
      </c>
      <c r="K69" s="27">
        <f>IF($P69="","",IF(INDEX(EntryMan,$P69)=0,"",INDEX(EntryMan,$P69)))</f>
        <v/>
      </c>
      <c r="L69" s="26">
        <f>IF($B69="","",IF($K69="","—",IF(ROUND($K69-$J69,0)=0,"√","×")))</f>
        <v/>
      </c>
      <c r="M69" s="26">
        <f>IF($B69="","",IF(COUNTIFS(EntryDates,$B69,CalcTime,$C69,CalcBank,$C$5,EntryParty,$D69,EntryDep,$H69,EntryWit,$I69)&gt;1,"تکرار",""))</f>
        <v/>
      </c>
      <c r="N69" s="26">
        <f>IF($P69="","",IF(INDEX(EntryNotes,$P69)=0,"",INDEX(EntryNotes,$P69)))</f>
        <v/>
      </c>
      <c r="O69" s="26">
        <f>IF($P69="","",IF(INDEX(EntryTxnID,$P69)=0,"",INDEX(EntryTxnID,$P69)))</f>
        <v/>
      </c>
      <c r="P69" s="26">
        <f>IFERROR(MATCH($C$5&amp;"|"&amp;RIGHT("000000"&amp;53,6),CalcRankKey,0),"")</f>
        <v/>
      </c>
    </row>
    <row r="70">
      <c r="A70" s="28">
        <f>IF($B70="","",54)</f>
        <v/>
      </c>
      <c r="B70" s="28">
        <f>IF($P70="","",IF(INDEX(CalcNormDate,$P70)=0,"",INDEX(CalcNormDate,$P70)))</f>
        <v/>
      </c>
      <c r="C70" s="28">
        <f>IF($P70="","",IF(INDEX(CalcTime,$P70)=0,"",INDEX(CalcTime,$P70)))</f>
        <v/>
      </c>
      <c r="D70" s="28">
        <f>IF($P70="","",IF(INDEX(EntryParty,$P70)=0,"",INDEX(EntryParty,$P70)))</f>
        <v/>
      </c>
      <c r="E70" s="28">
        <f>IF($P70="","",IF(INDEX(EntryPartyName,$P70)=0,"",INDEX(EntryPartyName,$P70)))</f>
        <v/>
      </c>
      <c r="F70" s="28">
        <f>IF($P70="","",IF(INDEX(EntryPartyType,$P70)=0,"",INDEX(EntryPartyType,$P70)))</f>
        <v/>
      </c>
      <c r="G70" s="28">
        <f>IF($P70="","",IF(INDEX(EntryTxnType,$P70)=0,"",INDEX(EntryTxnType,$P70)))</f>
        <v/>
      </c>
      <c r="H70" s="29">
        <f>IF($P70="","",IF(INDEX(EntryDep,$P70)=0,"",INDEX(EntryDep,$P70)))</f>
        <v/>
      </c>
      <c r="I70" s="29">
        <f>IF($P70="","",IF(INDEX(EntryWit,$P70)=0,"",INDEX(EntryWit,$P70)))</f>
        <v/>
      </c>
      <c r="J70" s="29">
        <f>IF($B70="","",IF($A70=1,$C$7,IF(J69="",0,J69))+IF($H70="",0,$H70)-IF($I70="",0,$I70))</f>
        <v/>
      </c>
      <c r="K70" s="29">
        <f>IF($P70="","",IF(INDEX(EntryMan,$P70)=0,"",INDEX(EntryMan,$P70)))</f>
        <v/>
      </c>
      <c r="L70" s="28">
        <f>IF($B70="","",IF($K70="","—",IF(ROUND($K70-$J70,0)=0,"√","×")))</f>
        <v/>
      </c>
      <c r="M70" s="28">
        <f>IF($B70="","",IF(COUNTIFS(EntryDates,$B70,CalcTime,$C70,CalcBank,$C$5,EntryParty,$D70,EntryDep,$H70,EntryWit,$I70)&gt;1,"تکرار",""))</f>
        <v/>
      </c>
      <c r="N70" s="28">
        <f>IF($P70="","",IF(INDEX(EntryNotes,$P70)=0,"",INDEX(EntryNotes,$P70)))</f>
        <v/>
      </c>
      <c r="O70" s="28">
        <f>IF($P70="","",IF(INDEX(EntryTxnID,$P70)=0,"",INDEX(EntryTxnID,$P70)))</f>
        <v/>
      </c>
      <c r="P70" s="28">
        <f>IFERROR(MATCH($C$5&amp;"|"&amp;RIGHT("000000"&amp;54,6),CalcRankKey,0),"")</f>
        <v/>
      </c>
    </row>
    <row r="71">
      <c r="A71" s="26">
        <f>IF($B71="","",55)</f>
        <v/>
      </c>
      <c r="B71" s="26">
        <f>IF($P71="","",IF(INDEX(CalcNormDate,$P71)=0,"",INDEX(CalcNormDate,$P71)))</f>
        <v/>
      </c>
      <c r="C71" s="26">
        <f>IF($P71="","",IF(INDEX(CalcTime,$P71)=0,"",INDEX(CalcTime,$P71)))</f>
        <v/>
      </c>
      <c r="D71" s="26">
        <f>IF($P71="","",IF(INDEX(EntryParty,$P71)=0,"",INDEX(EntryParty,$P71)))</f>
        <v/>
      </c>
      <c r="E71" s="26">
        <f>IF($P71="","",IF(INDEX(EntryPartyName,$P71)=0,"",INDEX(EntryPartyName,$P71)))</f>
        <v/>
      </c>
      <c r="F71" s="26">
        <f>IF($P71="","",IF(INDEX(EntryPartyType,$P71)=0,"",INDEX(EntryPartyType,$P71)))</f>
        <v/>
      </c>
      <c r="G71" s="26">
        <f>IF($P71="","",IF(INDEX(EntryTxnType,$P71)=0,"",INDEX(EntryTxnType,$P71)))</f>
        <v/>
      </c>
      <c r="H71" s="27">
        <f>IF($P71="","",IF(INDEX(EntryDep,$P71)=0,"",INDEX(EntryDep,$P71)))</f>
        <v/>
      </c>
      <c r="I71" s="27">
        <f>IF($P71="","",IF(INDEX(EntryWit,$P71)=0,"",INDEX(EntryWit,$P71)))</f>
        <v/>
      </c>
      <c r="J71" s="27">
        <f>IF($B71="","",IF($A71=1,$C$7,IF(J70="",0,J70))+IF($H71="",0,$H71)-IF($I71="",0,$I71))</f>
        <v/>
      </c>
      <c r="K71" s="27">
        <f>IF($P71="","",IF(INDEX(EntryMan,$P71)=0,"",INDEX(EntryMan,$P71)))</f>
        <v/>
      </c>
      <c r="L71" s="26">
        <f>IF($B71="","",IF($K71="","—",IF(ROUND($K71-$J71,0)=0,"√","×")))</f>
        <v/>
      </c>
      <c r="M71" s="26">
        <f>IF($B71="","",IF(COUNTIFS(EntryDates,$B71,CalcTime,$C71,CalcBank,$C$5,EntryParty,$D71,EntryDep,$H71,EntryWit,$I71)&gt;1,"تکرار",""))</f>
        <v/>
      </c>
      <c r="N71" s="26">
        <f>IF($P71="","",IF(INDEX(EntryNotes,$P71)=0,"",INDEX(EntryNotes,$P71)))</f>
        <v/>
      </c>
      <c r="O71" s="26">
        <f>IF($P71="","",IF(INDEX(EntryTxnID,$P71)=0,"",INDEX(EntryTxnID,$P71)))</f>
        <v/>
      </c>
      <c r="P71" s="26">
        <f>IFERROR(MATCH($C$5&amp;"|"&amp;RIGHT("000000"&amp;55,6),CalcRankKey,0),"")</f>
        <v/>
      </c>
    </row>
    <row r="72">
      <c r="A72" s="28">
        <f>IF($B72="","",56)</f>
        <v/>
      </c>
      <c r="B72" s="28">
        <f>IF($P72="","",IF(INDEX(CalcNormDate,$P72)=0,"",INDEX(CalcNormDate,$P72)))</f>
        <v/>
      </c>
      <c r="C72" s="28">
        <f>IF($P72="","",IF(INDEX(CalcTime,$P72)=0,"",INDEX(CalcTime,$P72)))</f>
        <v/>
      </c>
      <c r="D72" s="28">
        <f>IF($P72="","",IF(INDEX(EntryParty,$P72)=0,"",INDEX(EntryParty,$P72)))</f>
        <v/>
      </c>
      <c r="E72" s="28">
        <f>IF($P72="","",IF(INDEX(EntryPartyName,$P72)=0,"",INDEX(EntryPartyName,$P72)))</f>
        <v/>
      </c>
      <c r="F72" s="28">
        <f>IF($P72="","",IF(INDEX(EntryPartyType,$P72)=0,"",INDEX(EntryPartyType,$P72)))</f>
        <v/>
      </c>
      <c r="G72" s="28">
        <f>IF($P72="","",IF(INDEX(EntryTxnType,$P72)=0,"",INDEX(EntryTxnType,$P72)))</f>
        <v/>
      </c>
      <c r="H72" s="29">
        <f>IF($P72="","",IF(INDEX(EntryDep,$P72)=0,"",INDEX(EntryDep,$P72)))</f>
        <v/>
      </c>
      <c r="I72" s="29">
        <f>IF($P72="","",IF(INDEX(EntryWit,$P72)=0,"",INDEX(EntryWit,$P72)))</f>
        <v/>
      </c>
      <c r="J72" s="29">
        <f>IF($B72="","",IF($A72=1,$C$7,IF(J71="",0,J71))+IF($H72="",0,$H72)-IF($I72="",0,$I72))</f>
        <v/>
      </c>
      <c r="K72" s="29">
        <f>IF($P72="","",IF(INDEX(EntryMan,$P72)=0,"",INDEX(EntryMan,$P72)))</f>
        <v/>
      </c>
      <c r="L72" s="28">
        <f>IF($B72="","",IF($K72="","—",IF(ROUND($K72-$J72,0)=0,"√","×")))</f>
        <v/>
      </c>
      <c r="M72" s="28">
        <f>IF($B72="","",IF(COUNTIFS(EntryDates,$B72,CalcTime,$C72,CalcBank,$C$5,EntryParty,$D72,EntryDep,$H72,EntryWit,$I72)&gt;1,"تکرار",""))</f>
        <v/>
      </c>
      <c r="N72" s="28">
        <f>IF($P72="","",IF(INDEX(EntryNotes,$P72)=0,"",INDEX(EntryNotes,$P72)))</f>
        <v/>
      </c>
      <c r="O72" s="28">
        <f>IF($P72="","",IF(INDEX(EntryTxnID,$P72)=0,"",INDEX(EntryTxnID,$P72)))</f>
        <v/>
      </c>
      <c r="P72" s="28">
        <f>IFERROR(MATCH($C$5&amp;"|"&amp;RIGHT("000000"&amp;56,6),CalcRankKey,0),"")</f>
        <v/>
      </c>
    </row>
    <row r="73">
      <c r="A73" s="26">
        <f>IF($B73="","",57)</f>
        <v/>
      </c>
      <c r="B73" s="26">
        <f>IF($P73="","",IF(INDEX(CalcNormDate,$P73)=0,"",INDEX(CalcNormDate,$P73)))</f>
        <v/>
      </c>
      <c r="C73" s="26">
        <f>IF($P73="","",IF(INDEX(CalcTime,$P73)=0,"",INDEX(CalcTime,$P73)))</f>
        <v/>
      </c>
      <c r="D73" s="26">
        <f>IF($P73="","",IF(INDEX(EntryParty,$P73)=0,"",INDEX(EntryParty,$P73)))</f>
        <v/>
      </c>
      <c r="E73" s="26">
        <f>IF($P73="","",IF(INDEX(EntryPartyName,$P73)=0,"",INDEX(EntryPartyName,$P73)))</f>
        <v/>
      </c>
      <c r="F73" s="26">
        <f>IF($P73="","",IF(INDEX(EntryPartyType,$P73)=0,"",INDEX(EntryPartyType,$P73)))</f>
        <v/>
      </c>
      <c r="G73" s="26">
        <f>IF($P73="","",IF(INDEX(EntryTxnType,$P73)=0,"",INDEX(EntryTxnType,$P73)))</f>
        <v/>
      </c>
      <c r="H73" s="27">
        <f>IF($P73="","",IF(INDEX(EntryDep,$P73)=0,"",INDEX(EntryDep,$P73)))</f>
        <v/>
      </c>
      <c r="I73" s="27">
        <f>IF($P73="","",IF(INDEX(EntryWit,$P73)=0,"",INDEX(EntryWit,$P73)))</f>
        <v/>
      </c>
      <c r="J73" s="27">
        <f>IF($B73="","",IF($A73=1,$C$7,IF(J72="",0,J72))+IF($H73="",0,$H73)-IF($I73="",0,$I73))</f>
        <v/>
      </c>
      <c r="K73" s="27">
        <f>IF($P73="","",IF(INDEX(EntryMan,$P73)=0,"",INDEX(EntryMan,$P73)))</f>
        <v/>
      </c>
      <c r="L73" s="26">
        <f>IF($B73="","",IF($K73="","—",IF(ROUND($K73-$J73,0)=0,"√","×")))</f>
        <v/>
      </c>
      <c r="M73" s="26">
        <f>IF($B73="","",IF(COUNTIFS(EntryDates,$B73,CalcTime,$C73,CalcBank,$C$5,EntryParty,$D73,EntryDep,$H73,EntryWit,$I73)&gt;1,"تکرار",""))</f>
        <v/>
      </c>
      <c r="N73" s="26">
        <f>IF($P73="","",IF(INDEX(EntryNotes,$P73)=0,"",INDEX(EntryNotes,$P73)))</f>
        <v/>
      </c>
      <c r="O73" s="26">
        <f>IF($P73="","",IF(INDEX(EntryTxnID,$P73)=0,"",INDEX(EntryTxnID,$P73)))</f>
        <v/>
      </c>
      <c r="P73" s="26">
        <f>IFERROR(MATCH($C$5&amp;"|"&amp;RIGHT("000000"&amp;57,6),CalcRankKey,0),"")</f>
        <v/>
      </c>
    </row>
    <row r="74">
      <c r="A74" s="28">
        <f>IF($B74="","",58)</f>
        <v/>
      </c>
      <c r="B74" s="28">
        <f>IF($P74="","",IF(INDEX(CalcNormDate,$P74)=0,"",INDEX(CalcNormDate,$P74)))</f>
        <v/>
      </c>
      <c r="C74" s="28">
        <f>IF($P74="","",IF(INDEX(CalcTime,$P74)=0,"",INDEX(CalcTime,$P74)))</f>
        <v/>
      </c>
      <c r="D74" s="28">
        <f>IF($P74="","",IF(INDEX(EntryParty,$P74)=0,"",INDEX(EntryParty,$P74)))</f>
        <v/>
      </c>
      <c r="E74" s="28">
        <f>IF($P74="","",IF(INDEX(EntryPartyName,$P74)=0,"",INDEX(EntryPartyName,$P74)))</f>
        <v/>
      </c>
      <c r="F74" s="28">
        <f>IF($P74="","",IF(INDEX(EntryPartyType,$P74)=0,"",INDEX(EntryPartyType,$P74)))</f>
        <v/>
      </c>
      <c r="G74" s="28">
        <f>IF($P74="","",IF(INDEX(EntryTxnType,$P74)=0,"",INDEX(EntryTxnType,$P74)))</f>
        <v/>
      </c>
      <c r="H74" s="29">
        <f>IF($P74="","",IF(INDEX(EntryDep,$P74)=0,"",INDEX(EntryDep,$P74)))</f>
        <v/>
      </c>
      <c r="I74" s="29">
        <f>IF($P74="","",IF(INDEX(EntryWit,$P74)=0,"",INDEX(EntryWit,$P74)))</f>
        <v/>
      </c>
      <c r="J74" s="29">
        <f>IF($B74="","",IF($A74=1,$C$7,IF(J73="",0,J73))+IF($H74="",0,$H74)-IF($I74="",0,$I74))</f>
        <v/>
      </c>
      <c r="K74" s="29">
        <f>IF($P74="","",IF(INDEX(EntryMan,$P74)=0,"",INDEX(EntryMan,$P74)))</f>
        <v/>
      </c>
      <c r="L74" s="28">
        <f>IF($B74="","",IF($K74="","—",IF(ROUND($K74-$J74,0)=0,"√","×")))</f>
        <v/>
      </c>
      <c r="M74" s="28">
        <f>IF($B74="","",IF(COUNTIFS(EntryDates,$B74,CalcTime,$C74,CalcBank,$C$5,EntryParty,$D74,EntryDep,$H74,EntryWit,$I74)&gt;1,"تکرار",""))</f>
        <v/>
      </c>
      <c r="N74" s="28">
        <f>IF($P74="","",IF(INDEX(EntryNotes,$P74)=0,"",INDEX(EntryNotes,$P74)))</f>
        <v/>
      </c>
      <c r="O74" s="28">
        <f>IF($P74="","",IF(INDEX(EntryTxnID,$P74)=0,"",INDEX(EntryTxnID,$P74)))</f>
        <v/>
      </c>
      <c r="P74" s="28">
        <f>IFERROR(MATCH($C$5&amp;"|"&amp;RIGHT("000000"&amp;58,6),CalcRankKey,0),"")</f>
        <v/>
      </c>
    </row>
    <row r="75">
      <c r="A75" s="26">
        <f>IF($B75="","",59)</f>
        <v/>
      </c>
      <c r="B75" s="26">
        <f>IF($P75="","",IF(INDEX(CalcNormDate,$P75)=0,"",INDEX(CalcNormDate,$P75)))</f>
        <v/>
      </c>
      <c r="C75" s="26">
        <f>IF($P75="","",IF(INDEX(CalcTime,$P75)=0,"",INDEX(CalcTime,$P75)))</f>
        <v/>
      </c>
      <c r="D75" s="26">
        <f>IF($P75="","",IF(INDEX(EntryParty,$P75)=0,"",INDEX(EntryParty,$P75)))</f>
        <v/>
      </c>
      <c r="E75" s="26">
        <f>IF($P75="","",IF(INDEX(EntryPartyName,$P75)=0,"",INDEX(EntryPartyName,$P75)))</f>
        <v/>
      </c>
      <c r="F75" s="26">
        <f>IF($P75="","",IF(INDEX(EntryPartyType,$P75)=0,"",INDEX(EntryPartyType,$P75)))</f>
        <v/>
      </c>
      <c r="G75" s="26">
        <f>IF($P75="","",IF(INDEX(EntryTxnType,$P75)=0,"",INDEX(EntryTxnType,$P75)))</f>
        <v/>
      </c>
      <c r="H75" s="27">
        <f>IF($P75="","",IF(INDEX(EntryDep,$P75)=0,"",INDEX(EntryDep,$P75)))</f>
        <v/>
      </c>
      <c r="I75" s="27">
        <f>IF($P75="","",IF(INDEX(EntryWit,$P75)=0,"",INDEX(EntryWit,$P75)))</f>
        <v/>
      </c>
      <c r="J75" s="27">
        <f>IF($B75="","",IF($A75=1,$C$7,IF(J74="",0,J74))+IF($H75="",0,$H75)-IF($I75="",0,$I75))</f>
        <v/>
      </c>
      <c r="K75" s="27">
        <f>IF($P75="","",IF(INDEX(EntryMan,$P75)=0,"",INDEX(EntryMan,$P75)))</f>
        <v/>
      </c>
      <c r="L75" s="26">
        <f>IF($B75="","",IF($K75="","—",IF(ROUND($K75-$J75,0)=0,"√","×")))</f>
        <v/>
      </c>
      <c r="M75" s="26">
        <f>IF($B75="","",IF(COUNTIFS(EntryDates,$B75,CalcTime,$C75,CalcBank,$C$5,EntryParty,$D75,EntryDep,$H75,EntryWit,$I75)&gt;1,"تکرار",""))</f>
        <v/>
      </c>
      <c r="N75" s="26">
        <f>IF($P75="","",IF(INDEX(EntryNotes,$P75)=0,"",INDEX(EntryNotes,$P75)))</f>
        <v/>
      </c>
      <c r="O75" s="26">
        <f>IF($P75="","",IF(INDEX(EntryTxnID,$P75)=0,"",INDEX(EntryTxnID,$P75)))</f>
        <v/>
      </c>
      <c r="P75" s="26">
        <f>IFERROR(MATCH($C$5&amp;"|"&amp;RIGHT("000000"&amp;59,6),CalcRankKey,0),"")</f>
        <v/>
      </c>
    </row>
    <row r="76">
      <c r="A76" s="28">
        <f>IF($B76="","",60)</f>
        <v/>
      </c>
      <c r="B76" s="28">
        <f>IF($P76="","",IF(INDEX(CalcNormDate,$P76)=0,"",INDEX(CalcNormDate,$P76)))</f>
        <v/>
      </c>
      <c r="C76" s="28">
        <f>IF($P76="","",IF(INDEX(CalcTime,$P76)=0,"",INDEX(CalcTime,$P76)))</f>
        <v/>
      </c>
      <c r="D76" s="28">
        <f>IF($P76="","",IF(INDEX(EntryParty,$P76)=0,"",INDEX(EntryParty,$P76)))</f>
        <v/>
      </c>
      <c r="E76" s="28">
        <f>IF($P76="","",IF(INDEX(EntryPartyName,$P76)=0,"",INDEX(EntryPartyName,$P76)))</f>
        <v/>
      </c>
      <c r="F76" s="28">
        <f>IF($P76="","",IF(INDEX(EntryPartyType,$P76)=0,"",INDEX(EntryPartyType,$P76)))</f>
        <v/>
      </c>
      <c r="G76" s="28">
        <f>IF($P76="","",IF(INDEX(EntryTxnType,$P76)=0,"",INDEX(EntryTxnType,$P76)))</f>
        <v/>
      </c>
      <c r="H76" s="29">
        <f>IF($P76="","",IF(INDEX(EntryDep,$P76)=0,"",INDEX(EntryDep,$P76)))</f>
        <v/>
      </c>
      <c r="I76" s="29">
        <f>IF($P76="","",IF(INDEX(EntryWit,$P76)=0,"",INDEX(EntryWit,$P76)))</f>
        <v/>
      </c>
      <c r="J76" s="29">
        <f>IF($B76="","",IF($A76=1,$C$7,IF(J75="",0,J75))+IF($H76="",0,$H76)-IF($I76="",0,$I76))</f>
        <v/>
      </c>
      <c r="K76" s="29">
        <f>IF($P76="","",IF(INDEX(EntryMan,$P76)=0,"",INDEX(EntryMan,$P76)))</f>
        <v/>
      </c>
      <c r="L76" s="28">
        <f>IF($B76="","",IF($K76="","—",IF(ROUND($K76-$J76,0)=0,"√","×")))</f>
        <v/>
      </c>
      <c r="M76" s="28">
        <f>IF($B76="","",IF(COUNTIFS(EntryDates,$B76,CalcTime,$C76,CalcBank,$C$5,EntryParty,$D76,EntryDep,$H76,EntryWit,$I76)&gt;1,"تکرار",""))</f>
        <v/>
      </c>
      <c r="N76" s="28">
        <f>IF($P76="","",IF(INDEX(EntryNotes,$P76)=0,"",INDEX(EntryNotes,$P76)))</f>
        <v/>
      </c>
      <c r="O76" s="28">
        <f>IF($P76="","",IF(INDEX(EntryTxnID,$P76)=0,"",INDEX(EntryTxnID,$P76)))</f>
        <v/>
      </c>
      <c r="P76" s="28">
        <f>IFERROR(MATCH($C$5&amp;"|"&amp;RIGHT("000000"&amp;60,6),CalcRankKey,0),"")</f>
        <v/>
      </c>
    </row>
    <row r="77">
      <c r="A77" s="26">
        <f>IF($B77="","",61)</f>
        <v/>
      </c>
      <c r="B77" s="26">
        <f>IF($P77="","",IF(INDEX(CalcNormDate,$P77)=0,"",INDEX(CalcNormDate,$P77)))</f>
        <v/>
      </c>
      <c r="C77" s="26">
        <f>IF($P77="","",IF(INDEX(CalcTime,$P77)=0,"",INDEX(CalcTime,$P77)))</f>
        <v/>
      </c>
      <c r="D77" s="26">
        <f>IF($P77="","",IF(INDEX(EntryParty,$P77)=0,"",INDEX(EntryParty,$P77)))</f>
        <v/>
      </c>
      <c r="E77" s="26">
        <f>IF($P77="","",IF(INDEX(EntryPartyName,$P77)=0,"",INDEX(EntryPartyName,$P77)))</f>
        <v/>
      </c>
      <c r="F77" s="26">
        <f>IF($P77="","",IF(INDEX(EntryPartyType,$P77)=0,"",INDEX(EntryPartyType,$P77)))</f>
        <v/>
      </c>
      <c r="G77" s="26">
        <f>IF($P77="","",IF(INDEX(EntryTxnType,$P77)=0,"",INDEX(EntryTxnType,$P77)))</f>
        <v/>
      </c>
      <c r="H77" s="27">
        <f>IF($P77="","",IF(INDEX(EntryDep,$P77)=0,"",INDEX(EntryDep,$P77)))</f>
        <v/>
      </c>
      <c r="I77" s="27">
        <f>IF($P77="","",IF(INDEX(EntryWit,$P77)=0,"",INDEX(EntryWit,$P77)))</f>
        <v/>
      </c>
      <c r="J77" s="27">
        <f>IF($B77="","",IF($A77=1,$C$7,IF(J76="",0,J76))+IF($H77="",0,$H77)-IF($I77="",0,$I77))</f>
        <v/>
      </c>
      <c r="K77" s="27">
        <f>IF($P77="","",IF(INDEX(EntryMan,$P77)=0,"",INDEX(EntryMan,$P77)))</f>
        <v/>
      </c>
      <c r="L77" s="26">
        <f>IF($B77="","",IF($K77="","—",IF(ROUND($K77-$J77,0)=0,"√","×")))</f>
        <v/>
      </c>
      <c r="M77" s="26">
        <f>IF($B77="","",IF(COUNTIFS(EntryDates,$B77,CalcTime,$C77,CalcBank,$C$5,EntryParty,$D77,EntryDep,$H77,EntryWit,$I77)&gt;1,"تکرار",""))</f>
        <v/>
      </c>
      <c r="N77" s="26">
        <f>IF($P77="","",IF(INDEX(EntryNotes,$P77)=0,"",INDEX(EntryNotes,$P77)))</f>
        <v/>
      </c>
      <c r="O77" s="26">
        <f>IF($P77="","",IF(INDEX(EntryTxnID,$P77)=0,"",INDEX(EntryTxnID,$P77)))</f>
        <v/>
      </c>
      <c r="P77" s="26">
        <f>IFERROR(MATCH($C$5&amp;"|"&amp;RIGHT("000000"&amp;61,6),CalcRankKey,0),"")</f>
        <v/>
      </c>
    </row>
    <row r="78">
      <c r="A78" s="28">
        <f>IF($B78="","",62)</f>
        <v/>
      </c>
      <c r="B78" s="28">
        <f>IF($P78="","",IF(INDEX(CalcNormDate,$P78)=0,"",INDEX(CalcNormDate,$P78)))</f>
        <v/>
      </c>
      <c r="C78" s="28">
        <f>IF($P78="","",IF(INDEX(CalcTime,$P78)=0,"",INDEX(CalcTime,$P78)))</f>
        <v/>
      </c>
      <c r="D78" s="28">
        <f>IF($P78="","",IF(INDEX(EntryParty,$P78)=0,"",INDEX(EntryParty,$P78)))</f>
        <v/>
      </c>
      <c r="E78" s="28">
        <f>IF($P78="","",IF(INDEX(EntryPartyName,$P78)=0,"",INDEX(EntryPartyName,$P78)))</f>
        <v/>
      </c>
      <c r="F78" s="28">
        <f>IF($P78="","",IF(INDEX(EntryPartyType,$P78)=0,"",INDEX(EntryPartyType,$P78)))</f>
        <v/>
      </c>
      <c r="G78" s="28">
        <f>IF($P78="","",IF(INDEX(EntryTxnType,$P78)=0,"",INDEX(EntryTxnType,$P78)))</f>
        <v/>
      </c>
      <c r="H78" s="29">
        <f>IF($P78="","",IF(INDEX(EntryDep,$P78)=0,"",INDEX(EntryDep,$P78)))</f>
        <v/>
      </c>
      <c r="I78" s="29">
        <f>IF($P78="","",IF(INDEX(EntryWit,$P78)=0,"",INDEX(EntryWit,$P78)))</f>
        <v/>
      </c>
      <c r="J78" s="29">
        <f>IF($B78="","",IF($A78=1,$C$7,IF(J77="",0,J77))+IF($H78="",0,$H78)-IF($I78="",0,$I78))</f>
        <v/>
      </c>
      <c r="K78" s="29">
        <f>IF($P78="","",IF(INDEX(EntryMan,$P78)=0,"",INDEX(EntryMan,$P78)))</f>
        <v/>
      </c>
      <c r="L78" s="28">
        <f>IF($B78="","",IF($K78="","—",IF(ROUND($K78-$J78,0)=0,"√","×")))</f>
        <v/>
      </c>
      <c r="M78" s="28">
        <f>IF($B78="","",IF(COUNTIFS(EntryDates,$B78,CalcTime,$C78,CalcBank,$C$5,EntryParty,$D78,EntryDep,$H78,EntryWit,$I78)&gt;1,"تکرار",""))</f>
        <v/>
      </c>
      <c r="N78" s="28">
        <f>IF($P78="","",IF(INDEX(EntryNotes,$P78)=0,"",INDEX(EntryNotes,$P78)))</f>
        <v/>
      </c>
      <c r="O78" s="28">
        <f>IF($P78="","",IF(INDEX(EntryTxnID,$P78)=0,"",INDEX(EntryTxnID,$P78)))</f>
        <v/>
      </c>
      <c r="P78" s="28">
        <f>IFERROR(MATCH($C$5&amp;"|"&amp;RIGHT("000000"&amp;62,6),CalcRankKey,0),"")</f>
        <v/>
      </c>
    </row>
    <row r="79">
      <c r="A79" s="26">
        <f>IF($B79="","",63)</f>
        <v/>
      </c>
      <c r="B79" s="26">
        <f>IF($P79="","",IF(INDEX(CalcNormDate,$P79)=0,"",INDEX(CalcNormDate,$P79)))</f>
        <v/>
      </c>
      <c r="C79" s="26">
        <f>IF($P79="","",IF(INDEX(CalcTime,$P79)=0,"",INDEX(CalcTime,$P79)))</f>
        <v/>
      </c>
      <c r="D79" s="26">
        <f>IF($P79="","",IF(INDEX(EntryParty,$P79)=0,"",INDEX(EntryParty,$P79)))</f>
        <v/>
      </c>
      <c r="E79" s="26">
        <f>IF($P79="","",IF(INDEX(EntryPartyName,$P79)=0,"",INDEX(EntryPartyName,$P79)))</f>
        <v/>
      </c>
      <c r="F79" s="26">
        <f>IF($P79="","",IF(INDEX(EntryPartyType,$P79)=0,"",INDEX(EntryPartyType,$P79)))</f>
        <v/>
      </c>
      <c r="G79" s="26">
        <f>IF($P79="","",IF(INDEX(EntryTxnType,$P79)=0,"",INDEX(EntryTxnType,$P79)))</f>
        <v/>
      </c>
      <c r="H79" s="27">
        <f>IF($P79="","",IF(INDEX(EntryDep,$P79)=0,"",INDEX(EntryDep,$P79)))</f>
        <v/>
      </c>
      <c r="I79" s="27">
        <f>IF($P79="","",IF(INDEX(EntryWit,$P79)=0,"",INDEX(EntryWit,$P79)))</f>
        <v/>
      </c>
      <c r="J79" s="27">
        <f>IF($B79="","",IF($A79=1,$C$7,IF(J78="",0,J78))+IF($H79="",0,$H79)-IF($I79="",0,$I79))</f>
        <v/>
      </c>
      <c r="K79" s="27">
        <f>IF($P79="","",IF(INDEX(EntryMan,$P79)=0,"",INDEX(EntryMan,$P79)))</f>
        <v/>
      </c>
      <c r="L79" s="26">
        <f>IF($B79="","",IF($K79="","—",IF(ROUND($K79-$J79,0)=0,"√","×")))</f>
        <v/>
      </c>
      <c r="M79" s="26">
        <f>IF($B79="","",IF(COUNTIFS(EntryDates,$B79,CalcTime,$C79,CalcBank,$C$5,EntryParty,$D79,EntryDep,$H79,EntryWit,$I79)&gt;1,"تکرار",""))</f>
        <v/>
      </c>
      <c r="N79" s="26">
        <f>IF($P79="","",IF(INDEX(EntryNotes,$P79)=0,"",INDEX(EntryNotes,$P79)))</f>
        <v/>
      </c>
      <c r="O79" s="26">
        <f>IF($P79="","",IF(INDEX(EntryTxnID,$P79)=0,"",INDEX(EntryTxnID,$P79)))</f>
        <v/>
      </c>
      <c r="P79" s="26">
        <f>IFERROR(MATCH($C$5&amp;"|"&amp;RIGHT("000000"&amp;63,6),CalcRankKey,0),"")</f>
        <v/>
      </c>
    </row>
    <row r="80">
      <c r="A80" s="28">
        <f>IF($B80="","",64)</f>
        <v/>
      </c>
      <c r="B80" s="28">
        <f>IF($P80="","",IF(INDEX(CalcNormDate,$P80)=0,"",INDEX(CalcNormDate,$P80)))</f>
        <v/>
      </c>
      <c r="C80" s="28">
        <f>IF($P80="","",IF(INDEX(CalcTime,$P80)=0,"",INDEX(CalcTime,$P80)))</f>
        <v/>
      </c>
      <c r="D80" s="28">
        <f>IF($P80="","",IF(INDEX(EntryParty,$P80)=0,"",INDEX(EntryParty,$P80)))</f>
        <v/>
      </c>
      <c r="E80" s="28">
        <f>IF($P80="","",IF(INDEX(EntryPartyName,$P80)=0,"",INDEX(EntryPartyName,$P80)))</f>
        <v/>
      </c>
      <c r="F80" s="28">
        <f>IF($P80="","",IF(INDEX(EntryPartyType,$P80)=0,"",INDEX(EntryPartyType,$P80)))</f>
        <v/>
      </c>
      <c r="G80" s="28">
        <f>IF($P80="","",IF(INDEX(EntryTxnType,$P80)=0,"",INDEX(EntryTxnType,$P80)))</f>
        <v/>
      </c>
      <c r="H80" s="29">
        <f>IF($P80="","",IF(INDEX(EntryDep,$P80)=0,"",INDEX(EntryDep,$P80)))</f>
        <v/>
      </c>
      <c r="I80" s="29">
        <f>IF($P80="","",IF(INDEX(EntryWit,$P80)=0,"",INDEX(EntryWit,$P80)))</f>
        <v/>
      </c>
      <c r="J80" s="29">
        <f>IF($B80="","",IF($A80=1,$C$7,IF(J79="",0,J79))+IF($H80="",0,$H80)-IF($I80="",0,$I80))</f>
        <v/>
      </c>
      <c r="K80" s="29">
        <f>IF($P80="","",IF(INDEX(EntryMan,$P80)=0,"",INDEX(EntryMan,$P80)))</f>
        <v/>
      </c>
      <c r="L80" s="28">
        <f>IF($B80="","",IF($K80="","—",IF(ROUND($K80-$J80,0)=0,"√","×")))</f>
        <v/>
      </c>
      <c r="M80" s="28">
        <f>IF($B80="","",IF(COUNTIFS(EntryDates,$B80,CalcTime,$C80,CalcBank,$C$5,EntryParty,$D80,EntryDep,$H80,EntryWit,$I80)&gt;1,"تکرار",""))</f>
        <v/>
      </c>
      <c r="N80" s="28">
        <f>IF($P80="","",IF(INDEX(EntryNotes,$P80)=0,"",INDEX(EntryNotes,$P80)))</f>
        <v/>
      </c>
      <c r="O80" s="28">
        <f>IF($P80="","",IF(INDEX(EntryTxnID,$P80)=0,"",INDEX(EntryTxnID,$P80)))</f>
        <v/>
      </c>
      <c r="P80" s="28">
        <f>IFERROR(MATCH($C$5&amp;"|"&amp;RIGHT("000000"&amp;64,6),CalcRankKey,0),"")</f>
        <v/>
      </c>
    </row>
    <row r="81">
      <c r="A81" s="26">
        <f>IF($B81="","",65)</f>
        <v/>
      </c>
      <c r="B81" s="26">
        <f>IF($P81="","",IF(INDEX(CalcNormDate,$P81)=0,"",INDEX(CalcNormDate,$P81)))</f>
        <v/>
      </c>
      <c r="C81" s="26">
        <f>IF($P81="","",IF(INDEX(CalcTime,$P81)=0,"",INDEX(CalcTime,$P81)))</f>
        <v/>
      </c>
      <c r="D81" s="26">
        <f>IF($P81="","",IF(INDEX(EntryParty,$P81)=0,"",INDEX(EntryParty,$P81)))</f>
        <v/>
      </c>
      <c r="E81" s="26">
        <f>IF($P81="","",IF(INDEX(EntryPartyName,$P81)=0,"",INDEX(EntryPartyName,$P81)))</f>
        <v/>
      </c>
      <c r="F81" s="26">
        <f>IF($P81="","",IF(INDEX(EntryPartyType,$P81)=0,"",INDEX(EntryPartyType,$P81)))</f>
        <v/>
      </c>
      <c r="G81" s="26">
        <f>IF($P81="","",IF(INDEX(EntryTxnType,$P81)=0,"",INDEX(EntryTxnType,$P81)))</f>
        <v/>
      </c>
      <c r="H81" s="27">
        <f>IF($P81="","",IF(INDEX(EntryDep,$P81)=0,"",INDEX(EntryDep,$P81)))</f>
        <v/>
      </c>
      <c r="I81" s="27">
        <f>IF($P81="","",IF(INDEX(EntryWit,$P81)=0,"",INDEX(EntryWit,$P81)))</f>
        <v/>
      </c>
      <c r="J81" s="27">
        <f>IF($B81="","",IF($A81=1,$C$7,IF(J80="",0,J80))+IF($H81="",0,$H81)-IF($I81="",0,$I81))</f>
        <v/>
      </c>
      <c r="K81" s="27">
        <f>IF($P81="","",IF(INDEX(EntryMan,$P81)=0,"",INDEX(EntryMan,$P81)))</f>
        <v/>
      </c>
      <c r="L81" s="26">
        <f>IF($B81="","",IF($K81="","—",IF(ROUND($K81-$J81,0)=0,"√","×")))</f>
        <v/>
      </c>
      <c r="M81" s="26">
        <f>IF($B81="","",IF(COUNTIFS(EntryDates,$B81,CalcTime,$C81,CalcBank,$C$5,EntryParty,$D81,EntryDep,$H81,EntryWit,$I81)&gt;1,"تکرار",""))</f>
        <v/>
      </c>
      <c r="N81" s="26">
        <f>IF($P81="","",IF(INDEX(EntryNotes,$P81)=0,"",INDEX(EntryNotes,$P81)))</f>
        <v/>
      </c>
      <c r="O81" s="26">
        <f>IF($P81="","",IF(INDEX(EntryTxnID,$P81)=0,"",INDEX(EntryTxnID,$P81)))</f>
        <v/>
      </c>
      <c r="P81" s="26">
        <f>IFERROR(MATCH($C$5&amp;"|"&amp;RIGHT("000000"&amp;65,6),CalcRankKey,0),"")</f>
        <v/>
      </c>
    </row>
    <row r="82">
      <c r="A82" s="28">
        <f>IF($B82="","",66)</f>
        <v/>
      </c>
      <c r="B82" s="28">
        <f>IF($P82="","",IF(INDEX(CalcNormDate,$P82)=0,"",INDEX(CalcNormDate,$P82)))</f>
        <v/>
      </c>
      <c r="C82" s="28">
        <f>IF($P82="","",IF(INDEX(CalcTime,$P82)=0,"",INDEX(CalcTime,$P82)))</f>
        <v/>
      </c>
      <c r="D82" s="28">
        <f>IF($P82="","",IF(INDEX(EntryParty,$P82)=0,"",INDEX(EntryParty,$P82)))</f>
        <v/>
      </c>
      <c r="E82" s="28">
        <f>IF($P82="","",IF(INDEX(EntryPartyName,$P82)=0,"",INDEX(EntryPartyName,$P82)))</f>
        <v/>
      </c>
      <c r="F82" s="28">
        <f>IF($P82="","",IF(INDEX(EntryPartyType,$P82)=0,"",INDEX(EntryPartyType,$P82)))</f>
        <v/>
      </c>
      <c r="G82" s="28">
        <f>IF($P82="","",IF(INDEX(EntryTxnType,$P82)=0,"",INDEX(EntryTxnType,$P82)))</f>
        <v/>
      </c>
      <c r="H82" s="29">
        <f>IF($P82="","",IF(INDEX(EntryDep,$P82)=0,"",INDEX(EntryDep,$P82)))</f>
        <v/>
      </c>
      <c r="I82" s="29">
        <f>IF($P82="","",IF(INDEX(EntryWit,$P82)=0,"",INDEX(EntryWit,$P82)))</f>
        <v/>
      </c>
      <c r="J82" s="29">
        <f>IF($B82="","",IF($A82=1,$C$7,IF(J81="",0,J81))+IF($H82="",0,$H82)-IF($I82="",0,$I82))</f>
        <v/>
      </c>
      <c r="K82" s="29">
        <f>IF($P82="","",IF(INDEX(EntryMan,$P82)=0,"",INDEX(EntryMan,$P82)))</f>
        <v/>
      </c>
      <c r="L82" s="28">
        <f>IF($B82="","",IF($K82="","—",IF(ROUND($K82-$J82,0)=0,"√","×")))</f>
        <v/>
      </c>
      <c r="M82" s="28">
        <f>IF($B82="","",IF(COUNTIFS(EntryDates,$B82,CalcTime,$C82,CalcBank,$C$5,EntryParty,$D82,EntryDep,$H82,EntryWit,$I82)&gt;1,"تکرار",""))</f>
        <v/>
      </c>
      <c r="N82" s="28">
        <f>IF($P82="","",IF(INDEX(EntryNotes,$P82)=0,"",INDEX(EntryNotes,$P82)))</f>
        <v/>
      </c>
      <c r="O82" s="28">
        <f>IF($P82="","",IF(INDEX(EntryTxnID,$P82)=0,"",INDEX(EntryTxnID,$P82)))</f>
        <v/>
      </c>
      <c r="P82" s="28">
        <f>IFERROR(MATCH($C$5&amp;"|"&amp;RIGHT("000000"&amp;66,6),CalcRankKey,0),"")</f>
        <v/>
      </c>
    </row>
    <row r="83">
      <c r="A83" s="26">
        <f>IF($B83="","",67)</f>
        <v/>
      </c>
      <c r="B83" s="26">
        <f>IF($P83="","",IF(INDEX(CalcNormDate,$P83)=0,"",INDEX(CalcNormDate,$P83)))</f>
        <v/>
      </c>
      <c r="C83" s="26">
        <f>IF($P83="","",IF(INDEX(CalcTime,$P83)=0,"",INDEX(CalcTime,$P83)))</f>
        <v/>
      </c>
      <c r="D83" s="26">
        <f>IF($P83="","",IF(INDEX(EntryParty,$P83)=0,"",INDEX(EntryParty,$P83)))</f>
        <v/>
      </c>
      <c r="E83" s="26">
        <f>IF($P83="","",IF(INDEX(EntryPartyName,$P83)=0,"",INDEX(EntryPartyName,$P83)))</f>
        <v/>
      </c>
      <c r="F83" s="26">
        <f>IF($P83="","",IF(INDEX(EntryPartyType,$P83)=0,"",INDEX(EntryPartyType,$P83)))</f>
        <v/>
      </c>
      <c r="G83" s="26">
        <f>IF($P83="","",IF(INDEX(EntryTxnType,$P83)=0,"",INDEX(EntryTxnType,$P83)))</f>
        <v/>
      </c>
      <c r="H83" s="27">
        <f>IF($P83="","",IF(INDEX(EntryDep,$P83)=0,"",INDEX(EntryDep,$P83)))</f>
        <v/>
      </c>
      <c r="I83" s="27">
        <f>IF($P83="","",IF(INDEX(EntryWit,$P83)=0,"",INDEX(EntryWit,$P83)))</f>
        <v/>
      </c>
      <c r="J83" s="27">
        <f>IF($B83="","",IF($A83=1,$C$7,IF(J82="",0,J82))+IF($H83="",0,$H83)-IF($I83="",0,$I83))</f>
        <v/>
      </c>
      <c r="K83" s="27">
        <f>IF($P83="","",IF(INDEX(EntryMan,$P83)=0,"",INDEX(EntryMan,$P83)))</f>
        <v/>
      </c>
      <c r="L83" s="26">
        <f>IF($B83="","",IF($K83="","—",IF(ROUND($K83-$J83,0)=0,"√","×")))</f>
        <v/>
      </c>
      <c r="M83" s="26">
        <f>IF($B83="","",IF(COUNTIFS(EntryDates,$B83,CalcTime,$C83,CalcBank,$C$5,EntryParty,$D83,EntryDep,$H83,EntryWit,$I83)&gt;1,"تکرار",""))</f>
        <v/>
      </c>
      <c r="N83" s="26">
        <f>IF($P83="","",IF(INDEX(EntryNotes,$P83)=0,"",INDEX(EntryNotes,$P83)))</f>
        <v/>
      </c>
      <c r="O83" s="26">
        <f>IF($P83="","",IF(INDEX(EntryTxnID,$P83)=0,"",INDEX(EntryTxnID,$P83)))</f>
        <v/>
      </c>
      <c r="P83" s="26">
        <f>IFERROR(MATCH($C$5&amp;"|"&amp;RIGHT("000000"&amp;67,6),CalcRankKey,0),"")</f>
        <v/>
      </c>
    </row>
    <row r="84">
      <c r="A84" s="28">
        <f>IF($B84="","",68)</f>
        <v/>
      </c>
      <c r="B84" s="28">
        <f>IF($P84="","",IF(INDEX(CalcNormDate,$P84)=0,"",INDEX(CalcNormDate,$P84)))</f>
        <v/>
      </c>
      <c r="C84" s="28">
        <f>IF($P84="","",IF(INDEX(CalcTime,$P84)=0,"",INDEX(CalcTime,$P84)))</f>
        <v/>
      </c>
      <c r="D84" s="28">
        <f>IF($P84="","",IF(INDEX(EntryParty,$P84)=0,"",INDEX(EntryParty,$P84)))</f>
        <v/>
      </c>
      <c r="E84" s="28">
        <f>IF($P84="","",IF(INDEX(EntryPartyName,$P84)=0,"",INDEX(EntryPartyName,$P84)))</f>
        <v/>
      </c>
      <c r="F84" s="28">
        <f>IF($P84="","",IF(INDEX(EntryPartyType,$P84)=0,"",INDEX(EntryPartyType,$P84)))</f>
        <v/>
      </c>
      <c r="G84" s="28">
        <f>IF($P84="","",IF(INDEX(EntryTxnType,$P84)=0,"",INDEX(EntryTxnType,$P84)))</f>
        <v/>
      </c>
      <c r="H84" s="29">
        <f>IF($P84="","",IF(INDEX(EntryDep,$P84)=0,"",INDEX(EntryDep,$P84)))</f>
        <v/>
      </c>
      <c r="I84" s="29">
        <f>IF($P84="","",IF(INDEX(EntryWit,$P84)=0,"",INDEX(EntryWit,$P84)))</f>
        <v/>
      </c>
      <c r="J84" s="29">
        <f>IF($B84="","",IF($A84=1,$C$7,IF(J83="",0,J83))+IF($H84="",0,$H84)-IF($I84="",0,$I84))</f>
        <v/>
      </c>
      <c r="K84" s="29">
        <f>IF($P84="","",IF(INDEX(EntryMan,$P84)=0,"",INDEX(EntryMan,$P84)))</f>
        <v/>
      </c>
      <c r="L84" s="28">
        <f>IF($B84="","",IF($K84="","—",IF(ROUND($K84-$J84,0)=0,"√","×")))</f>
        <v/>
      </c>
      <c r="M84" s="28">
        <f>IF($B84="","",IF(COUNTIFS(EntryDates,$B84,CalcTime,$C84,CalcBank,$C$5,EntryParty,$D84,EntryDep,$H84,EntryWit,$I84)&gt;1,"تکرار",""))</f>
        <v/>
      </c>
      <c r="N84" s="28">
        <f>IF($P84="","",IF(INDEX(EntryNotes,$P84)=0,"",INDEX(EntryNotes,$P84)))</f>
        <v/>
      </c>
      <c r="O84" s="28">
        <f>IF($P84="","",IF(INDEX(EntryTxnID,$P84)=0,"",INDEX(EntryTxnID,$P84)))</f>
        <v/>
      </c>
      <c r="P84" s="28">
        <f>IFERROR(MATCH($C$5&amp;"|"&amp;RIGHT("000000"&amp;68,6),CalcRankKey,0),"")</f>
        <v/>
      </c>
    </row>
    <row r="85">
      <c r="A85" s="26">
        <f>IF($B85="","",69)</f>
        <v/>
      </c>
      <c r="B85" s="26">
        <f>IF($P85="","",IF(INDEX(CalcNormDate,$P85)=0,"",INDEX(CalcNormDate,$P85)))</f>
        <v/>
      </c>
      <c r="C85" s="26">
        <f>IF($P85="","",IF(INDEX(CalcTime,$P85)=0,"",INDEX(CalcTime,$P85)))</f>
        <v/>
      </c>
      <c r="D85" s="26">
        <f>IF($P85="","",IF(INDEX(EntryParty,$P85)=0,"",INDEX(EntryParty,$P85)))</f>
        <v/>
      </c>
      <c r="E85" s="26">
        <f>IF($P85="","",IF(INDEX(EntryPartyName,$P85)=0,"",INDEX(EntryPartyName,$P85)))</f>
        <v/>
      </c>
      <c r="F85" s="26">
        <f>IF($P85="","",IF(INDEX(EntryPartyType,$P85)=0,"",INDEX(EntryPartyType,$P85)))</f>
        <v/>
      </c>
      <c r="G85" s="26">
        <f>IF($P85="","",IF(INDEX(EntryTxnType,$P85)=0,"",INDEX(EntryTxnType,$P85)))</f>
        <v/>
      </c>
      <c r="H85" s="27">
        <f>IF($P85="","",IF(INDEX(EntryDep,$P85)=0,"",INDEX(EntryDep,$P85)))</f>
        <v/>
      </c>
      <c r="I85" s="27">
        <f>IF($P85="","",IF(INDEX(EntryWit,$P85)=0,"",INDEX(EntryWit,$P85)))</f>
        <v/>
      </c>
      <c r="J85" s="27">
        <f>IF($B85="","",IF($A85=1,$C$7,IF(J84="",0,J84))+IF($H85="",0,$H85)-IF($I85="",0,$I85))</f>
        <v/>
      </c>
      <c r="K85" s="27">
        <f>IF($P85="","",IF(INDEX(EntryMan,$P85)=0,"",INDEX(EntryMan,$P85)))</f>
        <v/>
      </c>
      <c r="L85" s="26">
        <f>IF($B85="","",IF($K85="","—",IF(ROUND($K85-$J85,0)=0,"√","×")))</f>
        <v/>
      </c>
      <c r="M85" s="26">
        <f>IF($B85="","",IF(COUNTIFS(EntryDates,$B85,CalcTime,$C85,CalcBank,$C$5,EntryParty,$D85,EntryDep,$H85,EntryWit,$I85)&gt;1,"تکرار",""))</f>
        <v/>
      </c>
      <c r="N85" s="26">
        <f>IF($P85="","",IF(INDEX(EntryNotes,$P85)=0,"",INDEX(EntryNotes,$P85)))</f>
        <v/>
      </c>
      <c r="O85" s="26">
        <f>IF($P85="","",IF(INDEX(EntryTxnID,$P85)=0,"",INDEX(EntryTxnID,$P85)))</f>
        <v/>
      </c>
      <c r="P85" s="26">
        <f>IFERROR(MATCH($C$5&amp;"|"&amp;RIGHT("000000"&amp;69,6),CalcRankKey,0),"")</f>
        <v/>
      </c>
    </row>
    <row r="86">
      <c r="A86" s="28">
        <f>IF($B86="","",70)</f>
        <v/>
      </c>
      <c r="B86" s="28">
        <f>IF($P86="","",IF(INDEX(CalcNormDate,$P86)=0,"",INDEX(CalcNormDate,$P86)))</f>
        <v/>
      </c>
      <c r="C86" s="28">
        <f>IF($P86="","",IF(INDEX(CalcTime,$P86)=0,"",INDEX(CalcTime,$P86)))</f>
        <v/>
      </c>
      <c r="D86" s="28">
        <f>IF($P86="","",IF(INDEX(EntryParty,$P86)=0,"",INDEX(EntryParty,$P86)))</f>
        <v/>
      </c>
      <c r="E86" s="28">
        <f>IF($P86="","",IF(INDEX(EntryPartyName,$P86)=0,"",INDEX(EntryPartyName,$P86)))</f>
        <v/>
      </c>
      <c r="F86" s="28">
        <f>IF($P86="","",IF(INDEX(EntryPartyType,$P86)=0,"",INDEX(EntryPartyType,$P86)))</f>
        <v/>
      </c>
      <c r="G86" s="28">
        <f>IF($P86="","",IF(INDEX(EntryTxnType,$P86)=0,"",INDEX(EntryTxnType,$P86)))</f>
        <v/>
      </c>
      <c r="H86" s="29">
        <f>IF($P86="","",IF(INDEX(EntryDep,$P86)=0,"",INDEX(EntryDep,$P86)))</f>
        <v/>
      </c>
      <c r="I86" s="29">
        <f>IF($P86="","",IF(INDEX(EntryWit,$P86)=0,"",INDEX(EntryWit,$P86)))</f>
        <v/>
      </c>
      <c r="J86" s="29">
        <f>IF($B86="","",IF($A86=1,$C$7,IF(J85="",0,J85))+IF($H86="",0,$H86)-IF($I86="",0,$I86))</f>
        <v/>
      </c>
      <c r="K86" s="29">
        <f>IF($P86="","",IF(INDEX(EntryMan,$P86)=0,"",INDEX(EntryMan,$P86)))</f>
        <v/>
      </c>
      <c r="L86" s="28">
        <f>IF($B86="","",IF($K86="","—",IF(ROUND($K86-$J86,0)=0,"√","×")))</f>
        <v/>
      </c>
      <c r="M86" s="28">
        <f>IF($B86="","",IF(COUNTIFS(EntryDates,$B86,CalcTime,$C86,CalcBank,$C$5,EntryParty,$D86,EntryDep,$H86,EntryWit,$I86)&gt;1,"تکرار",""))</f>
        <v/>
      </c>
      <c r="N86" s="28">
        <f>IF($P86="","",IF(INDEX(EntryNotes,$P86)=0,"",INDEX(EntryNotes,$P86)))</f>
        <v/>
      </c>
      <c r="O86" s="28">
        <f>IF($P86="","",IF(INDEX(EntryTxnID,$P86)=0,"",INDEX(EntryTxnID,$P86)))</f>
        <v/>
      </c>
      <c r="P86" s="28">
        <f>IFERROR(MATCH($C$5&amp;"|"&amp;RIGHT("000000"&amp;70,6),CalcRankKey,0),"")</f>
        <v/>
      </c>
    </row>
    <row r="87">
      <c r="A87" s="26">
        <f>IF($B87="","",71)</f>
        <v/>
      </c>
      <c r="B87" s="26">
        <f>IF($P87="","",IF(INDEX(CalcNormDate,$P87)=0,"",INDEX(CalcNormDate,$P87)))</f>
        <v/>
      </c>
      <c r="C87" s="26">
        <f>IF($P87="","",IF(INDEX(CalcTime,$P87)=0,"",INDEX(CalcTime,$P87)))</f>
        <v/>
      </c>
      <c r="D87" s="26">
        <f>IF($P87="","",IF(INDEX(EntryParty,$P87)=0,"",INDEX(EntryParty,$P87)))</f>
        <v/>
      </c>
      <c r="E87" s="26">
        <f>IF($P87="","",IF(INDEX(EntryPartyName,$P87)=0,"",INDEX(EntryPartyName,$P87)))</f>
        <v/>
      </c>
      <c r="F87" s="26">
        <f>IF($P87="","",IF(INDEX(EntryPartyType,$P87)=0,"",INDEX(EntryPartyType,$P87)))</f>
        <v/>
      </c>
      <c r="G87" s="26">
        <f>IF($P87="","",IF(INDEX(EntryTxnType,$P87)=0,"",INDEX(EntryTxnType,$P87)))</f>
        <v/>
      </c>
      <c r="H87" s="27">
        <f>IF($P87="","",IF(INDEX(EntryDep,$P87)=0,"",INDEX(EntryDep,$P87)))</f>
        <v/>
      </c>
      <c r="I87" s="27">
        <f>IF($P87="","",IF(INDEX(EntryWit,$P87)=0,"",INDEX(EntryWit,$P87)))</f>
        <v/>
      </c>
      <c r="J87" s="27">
        <f>IF($B87="","",IF($A87=1,$C$7,IF(J86="",0,J86))+IF($H87="",0,$H87)-IF($I87="",0,$I87))</f>
        <v/>
      </c>
      <c r="K87" s="27">
        <f>IF($P87="","",IF(INDEX(EntryMan,$P87)=0,"",INDEX(EntryMan,$P87)))</f>
        <v/>
      </c>
      <c r="L87" s="26">
        <f>IF($B87="","",IF($K87="","—",IF(ROUND($K87-$J87,0)=0,"√","×")))</f>
        <v/>
      </c>
      <c r="M87" s="26">
        <f>IF($B87="","",IF(COUNTIFS(EntryDates,$B87,CalcTime,$C87,CalcBank,$C$5,EntryParty,$D87,EntryDep,$H87,EntryWit,$I87)&gt;1,"تکرار",""))</f>
        <v/>
      </c>
      <c r="N87" s="26">
        <f>IF($P87="","",IF(INDEX(EntryNotes,$P87)=0,"",INDEX(EntryNotes,$P87)))</f>
        <v/>
      </c>
      <c r="O87" s="26">
        <f>IF($P87="","",IF(INDEX(EntryTxnID,$P87)=0,"",INDEX(EntryTxnID,$P87)))</f>
        <v/>
      </c>
      <c r="P87" s="26">
        <f>IFERROR(MATCH($C$5&amp;"|"&amp;RIGHT("000000"&amp;71,6),CalcRankKey,0),"")</f>
        <v/>
      </c>
    </row>
    <row r="88">
      <c r="A88" s="28">
        <f>IF($B88="","",72)</f>
        <v/>
      </c>
      <c r="B88" s="28">
        <f>IF($P88="","",IF(INDEX(CalcNormDate,$P88)=0,"",INDEX(CalcNormDate,$P88)))</f>
        <v/>
      </c>
      <c r="C88" s="28">
        <f>IF($P88="","",IF(INDEX(CalcTime,$P88)=0,"",INDEX(CalcTime,$P88)))</f>
        <v/>
      </c>
      <c r="D88" s="28">
        <f>IF($P88="","",IF(INDEX(EntryParty,$P88)=0,"",INDEX(EntryParty,$P88)))</f>
        <v/>
      </c>
      <c r="E88" s="28">
        <f>IF($P88="","",IF(INDEX(EntryPartyName,$P88)=0,"",INDEX(EntryPartyName,$P88)))</f>
        <v/>
      </c>
      <c r="F88" s="28">
        <f>IF($P88="","",IF(INDEX(EntryPartyType,$P88)=0,"",INDEX(EntryPartyType,$P88)))</f>
        <v/>
      </c>
      <c r="G88" s="28">
        <f>IF($P88="","",IF(INDEX(EntryTxnType,$P88)=0,"",INDEX(EntryTxnType,$P88)))</f>
        <v/>
      </c>
      <c r="H88" s="29">
        <f>IF($P88="","",IF(INDEX(EntryDep,$P88)=0,"",INDEX(EntryDep,$P88)))</f>
        <v/>
      </c>
      <c r="I88" s="29">
        <f>IF($P88="","",IF(INDEX(EntryWit,$P88)=0,"",INDEX(EntryWit,$P88)))</f>
        <v/>
      </c>
      <c r="J88" s="29">
        <f>IF($B88="","",IF($A88=1,$C$7,IF(J87="",0,J87))+IF($H88="",0,$H88)-IF($I88="",0,$I88))</f>
        <v/>
      </c>
      <c r="K88" s="29">
        <f>IF($P88="","",IF(INDEX(EntryMan,$P88)=0,"",INDEX(EntryMan,$P88)))</f>
        <v/>
      </c>
      <c r="L88" s="28">
        <f>IF($B88="","",IF($K88="","—",IF(ROUND($K88-$J88,0)=0,"√","×")))</f>
        <v/>
      </c>
      <c r="M88" s="28">
        <f>IF($B88="","",IF(COUNTIFS(EntryDates,$B88,CalcTime,$C88,CalcBank,$C$5,EntryParty,$D88,EntryDep,$H88,EntryWit,$I88)&gt;1,"تکرار",""))</f>
        <v/>
      </c>
      <c r="N88" s="28">
        <f>IF($P88="","",IF(INDEX(EntryNotes,$P88)=0,"",INDEX(EntryNotes,$P88)))</f>
        <v/>
      </c>
      <c r="O88" s="28">
        <f>IF($P88="","",IF(INDEX(EntryTxnID,$P88)=0,"",INDEX(EntryTxnID,$P88)))</f>
        <v/>
      </c>
      <c r="P88" s="28">
        <f>IFERROR(MATCH($C$5&amp;"|"&amp;RIGHT("000000"&amp;72,6),CalcRankKey,0),"")</f>
        <v/>
      </c>
    </row>
    <row r="89">
      <c r="A89" s="26">
        <f>IF($B89="","",73)</f>
        <v/>
      </c>
      <c r="B89" s="26">
        <f>IF($P89="","",IF(INDEX(CalcNormDate,$P89)=0,"",INDEX(CalcNormDate,$P89)))</f>
        <v/>
      </c>
      <c r="C89" s="26">
        <f>IF($P89="","",IF(INDEX(CalcTime,$P89)=0,"",INDEX(CalcTime,$P89)))</f>
        <v/>
      </c>
      <c r="D89" s="26">
        <f>IF($P89="","",IF(INDEX(EntryParty,$P89)=0,"",INDEX(EntryParty,$P89)))</f>
        <v/>
      </c>
      <c r="E89" s="26">
        <f>IF($P89="","",IF(INDEX(EntryPartyName,$P89)=0,"",INDEX(EntryPartyName,$P89)))</f>
        <v/>
      </c>
      <c r="F89" s="26">
        <f>IF($P89="","",IF(INDEX(EntryPartyType,$P89)=0,"",INDEX(EntryPartyType,$P89)))</f>
        <v/>
      </c>
      <c r="G89" s="26">
        <f>IF($P89="","",IF(INDEX(EntryTxnType,$P89)=0,"",INDEX(EntryTxnType,$P89)))</f>
        <v/>
      </c>
      <c r="H89" s="27">
        <f>IF($P89="","",IF(INDEX(EntryDep,$P89)=0,"",INDEX(EntryDep,$P89)))</f>
        <v/>
      </c>
      <c r="I89" s="27">
        <f>IF($P89="","",IF(INDEX(EntryWit,$P89)=0,"",INDEX(EntryWit,$P89)))</f>
        <v/>
      </c>
      <c r="J89" s="27">
        <f>IF($B89="","",IF($A89=1,$C$7,IF(J88="",0,J88))+IF($H89="",0,$H89)-IF($I89="",0,$I89))</f>
        <v/>
      </c>
      <c r="K89" s="27">
        <f>IF($P89="","",IF(INDEX(EntryMan,$P89)=0,"",INDEX(EntryMan,$P89)))</f>
        <v/>
      </c>
      <c r="L89" s="26">
        <f>IF($B89="","",IF($K89="","—",IF(ROUND($K89-$J89,0)=0,"√","×")))</f>
        <v/>
      </c>
      <c r="M89" s="26">
        <f>IF($B89="","",IF(COUNTIFS(EntryDates,$B89,CalcTime,$C89,CalcBank,$C$5,EntryParty,$D89,EntryDep,$H89,EntryWit,$I89)&gt;1,"تکرار",""))</f>
        <v/>
      </c>
      <c r="N89" s="26">
        <f>IF($P89="","",IF(INDEX(EntryNotes,$P89)=0,"",INDEX(EntryNotes,$P89)))</f>
        <v/>
      </c>
      <c r="O89" s="26">
        <f>IF($P89="","",IF(INDEX(EntryTxnID,$P89)=0,"",INDEX(EntryTxnID,$P89)))</f>
        <v/>
      </c>
      <c r="P89" s="26">
        <f>IFERROR(MATCH($C$5&amp;"|"&amp;RIGHT("000000"&amp;73,6),CalcRankKey,0),"")</f>
        <v/>
      </c>
    </row>
    <row r="90">
      <c r="A90" s="28">
        <f>IF($B90="","",74)</f>
        <v/>
      </c>
      <c r="B90" s="28">
        <f>IF($P90="","",IF(INDEX(CalcNormDate,$P90)=0,"",INDEX(CalcNormDate,$P90)))</f>
        <v/>
      </c>
      <c r="C90" s="28">
        <f>IF($P90="","",IF(INDEX(CalcTime,$P90)=0,"",INDEX(CalcTime,$P90)))</f>
        <v/>
      </c>
      <c r="D90" s="28">
        <f>IF($P90="","",IF(INDEX(EntryParty,$P90)=0,"",INDEX(EntryParty,$P90)))</f>
        <v/>
      </c>
      <c r="E90" s="28">
        <f>IF($P90="","",IF(INDEX(EntryPartyName,$P90)=0,"",INDEX(EntryPartyName,$P90)))</f>
        <v/>
      </c>
      <c r="F90" s="28">
        <f>IF($P90="","",IF(INDEX(EntryPartyType,$P90)=0,"",INDEX(EntryPartyType,$P90)))</f>
        <v/>
      </c>
      <c r="G90" s="28">
        <f>IF($P90="","",IF(INDEX(EntryTxnType,$P90)=0,"",INDEX(EntryTxnType,$P90)))</f>
        <v/>
      </c>
      <c r="H90" s="29">
        <f>IF($P90="","",IF(INDEX(EntryDep,$P90)=0,"",INDEX(EntryDep,$P90)))</f>
        <v/>
      </c>
      <c r="I90" s="29">
        <f>IF($P90="","",IF(INDEX(EntryWit,$P90)=0,"",INDEX(EntryWit,$P90)))</f>
        <v/>
      </c>
      <c r="J90" s="29">
        <f>IF($B90="","",IF($A90=1,$C$7,IF(J89="",0,J89))+IF($H90="",0,$H90)-IF($I90="",0,$I90))</f>
        <v/>
      </c>
      <c r="K90" s="29">
        <f>IF($P90="","",IF(INDEX(EntryMan,$P90)=0,"",INDEX(EntryMan,$P90)))</f>
        <v/>
      </c>
      <c r="L90" s="28">
        <f>IF($B90="","",IF($K90="","—",IF(ROUND($K90-$J90,0)=0,"√","×")))</f>
        <v/>
      </c>
      <c r="M90" s="28">
        <f>IF($B90="","",IF(COUNTIFS(EntryDates,$B90,CalcTime,$C90,CalcBank,$C$5,EntryParty,$D90,EntryDep,$H90,EntryWit,$I90)&gt;1,"تکرار",""))</f>
        <v/>
      </c>
      <c r="N90" s="28">
        <f>IF($P90="","",IF(INDEX(EntryNotes,$P90)=0,"",INDEX(EntryNotes,$P90)))</f>
        <v/>
      </c>
      <c r="O90" s="28">
        <f>IF($P90="","",IF(INDEX(EntryTxnID,$P90)=0,"",INDEX(EntryTxnID,$P90)))</f>
        <v/>
      </c>
      <c r="P90" s="28">
        <f>IFERROR(MATCH($C$5&amp;"|"&amp;RIGHT("000000"&amp;74,6),CalcRankKey,0),"")</f>
        <v/>
      </c>
    </row>
    <row r="91">
      <c r="A91" s="26">
        <f>IF($B91="","",75)</f>
        <v/>
      </c>
      <c r="B91" s="26">
        <f>IF($P91="","",IF(INDEX(CalcNormDate,$P91)=0,"",INDEX(CalcNormDate,$P91)))</f>
        <v/>
      </c>
      <c r="C91" s="26">
        <f>IF($P91="","",IF(INDEX(CalcTime,$P91)=0,"",INDEX(CalcTime,$P91)))</f>
        <v/>
      </c>
      <c r="D91" s="26">
        <f>IF($P91="","",IF(INDEX(EntryParty,$P91)=0,"",INDEX(EntryParty,$P91)))</f>
        <v/>
      </c>
      <c r="E91" s="26">
        <f>IF($P91="","",IF(INDEX(EntryPartyName,$P91)=0,"",INDEX(EntryPartyName,$P91)))</f>
        <v/>
      </c>
      <c r="F91" s="26">
        <f>IF($P91="","",IF(INDEX(EntryPartyType,$P91)=0,"",INDEX(EntryPartyType,$P91)))</f>
        <v/>
      </c>
      <c r="G91" s="26">
        <f>IF($P91="","",IF(INDEX(EntryTxnType,$P91)=0,"",INDEX(EntryTxnType,$P91)))</f>
        <v/>
      </c>
      <c r="H91" s="27">
        <f>IF($P91="","",IF(INDEX(EntryDep,$P91)=0,"",INDEX(EntryDep,$P91)))</f>
        <v/>
      </c>
      <c r="I91" s="27">
        <f>IF($P91="","",IF(INDEX(EntryWit,$P91)=0,"",INDEX(EntryWit,$P91)))</f>
        <v/>
      </c>
      <c r="J91" s="27">
        <f>IF($B91="","",IF($A91=1,$C$7,IF(J90="",0,J90))+IF($H91="",0,$H91)-IF($I91="",0,$I91))</f>
        <v/>
      </c>
      <c r="K91" s="27">
        <f>IF($P91="","",IF(INDEX(EntryMan,$P91)=0,"",INDEX(EntryMan,$P91)))</f>
        <v/>
      </c>
      <c r="L91" s="26">
        <f>IF($B91="","",IF($K91="","—",IF(ROUND($K91-$J91,0)=0,"√","×")))</f>
        <v/>
      </c>
      <c r="M91" s="26">
        <f>IF($B91="","",IF(COUNTIFS(EntryDates,$B91,CalcTime,$C91,CalcBank,$C$5,EntryParty,$D91,EntryDep,$H91,EntryWit,$I91)&gt;1,"تکرار",""))</f>
        <v/>
      </c>
      <c r="N91" s="26">
        <f>IF($P91="","",IF(INDEX(EntryNotes,$P91)=0,"",INDEX(EntryNotes,$P91)))</f>
        <v/>
      </c>
      <c r="O91" s="26">
        <f>IF($P91="","",IF(INDEX(EntryTxnID,$P91)=0,"",INDEX(EntryTxnID,$P91)))</f>
        <v/>
      </c>
      <c r="P91" s="26">
        <f>IFERROR(MATCH($C$5&amp;"|"&amp;RIGHT("000000"&amp;75,6),CalcRankKey,0),"")</f>
        <v/>
      </c>
    </row>
    <row r="92">
      <c r="A92" s="28">
        <f>IF($B92="","",76)</f>
        <v/>
      </c>
      <c r="B92" s="28">
        <f>IF($P92="","",IF(INDEX(CalcNormDate,$P92)=0,"",INDEX(CalcNormDate,$P92)))</f>
        <v/>
      </c>
      <c r="C92" s="28">
        <f>IF($P92="","",IF(INDEX(CalcTime,$P92)=0,"",INDEX(CalcTime,$P92)))</f>
        <v/>
      </c>
      <c r="D92" s="28">
        <f>IF($P92="","",IF(INDEX(EntryParty,$P92)=0,"",INDEX(EntryParty,$P92)))</f>
        <v/>
      </c>
      <c r="E92" s="28">
        <f>IF($P92="","",IF(INDEX(EntryPartyName,$P92)=0,"",INDEX(EntryPartyName,$P92)))</f>
        <v/>
      </c>
      <c r="F92" s="28">
        <f>IF($P92="","",IF(INDEX(EntryPartyType,$P92)=0,"",INDEX(EntryPartyType,$P92)))</f>
        <v/>
      </c>
      <c r="G92" s="28">
        <f>IF($P92="","",IF(INDEX(EntryTxnType,$P92)=0,"",INDEX(EntryTxnType,$P92)))</f>
        <v/>
      </c>
      <c r="H92" s="29">
        <f>IF($P92="","",IF(INDEX(EntryDep,$P92)=0,"",INDEX(EntryDep,$P92)))</f>
        <v/>
      </c>
      <c r="I92" s="29">
        <f>IF($P92="","",IF(INDEX(EntryWit,$P92)=0,"",INDEX(EntryWit,$P92)))</f>
        <v/>
      </c>
      <c r="J92" s="29">
        <f>IF($B92="","",IF($A92=1,$C$7,IF(J91="",0,J91))+IF($H92="",0,$H92)-IF($I92="",0,$I92))</f>
        <v/>
      </c>
      <c r="K92" s="29">
        <f>IF($P92="","",IF(INDEX(EntryMan,$P92)=0,"",INDEX(EntryMan,$P92)))</f>
        <v/>
      </c>
      <c r="L92" s="28">
        <f>IF($B92="","",IF($K92="","—",IF(ROUND($K92-$J92,0)=0,"√","×")))</f>
        <v/>
      </c>
      <c r="M92" s="28">
        <f>IF($B92="","",IF(COUNTIFS(EntryDates,$B92,CalcTime,$C92,CalcBank,$C$5,EntryParty,$D92,EntryDep,$H92,EntryWit,$I92)&gt;1,"تکرار",""))</f>
        <v/>
      </c>
      <c r="N92" s="28">
        <f>IF($P92="","",IF(INDEX(EntryNotes,$P92)=0,"",INDEX(EntryNotes,$P92)))</f>
        <v/>
      </c>
      <c r="O92" s="28">
        <f>IF($P92="","",IF(INDEX(EntryTxnID,$P92)=0,"",INDEX(EntryTxnID,$P92)))</f>
        <v/>
      </c>
      <c r="P92" s="28">
        <f>IFERROR(MATCH($C$5&amp;"|"&amp;RIGHT("000000"&amp;76,6),CalcRankKey,0),"")</f>
        <v/>
      </c>
    </row>
    <row r="93">
      <c r="A93" s="26">
        <f>IF($B93="","",77)</f>
        <v/>
      </c>
      <c r="B93" s="26">
        <f>IF($P93="","",IF(INDEX(CalcNormDate,$P93)=0,"",INDEX(CalcNormDate,$P93)))</f>
        <v/>
      </c>
      <c r="C93" s="26">
        <f>IF($P93="","",IF(INDEX(CalcTime,$P93)=0,"",INDEX(CalcTime,$P93)))</f>
        <v/>
      </c>
      <c r="D93" s="26">
        <f>IF($P93="","",IF(INDEX(EntryParty,$P93)=0,"",INDEX(EntryParty,$P93)))</f>
        <v/>
      </c>
      <c r="E93" s="26">
        <f>IF($P93="","",IF(INDEX(EntryPartyName,$P93)=0,"",INDEX(EntryPartyName,$P93)))</f>
        <v/>
      </c>
      <c r="F93" s="26">
        <f>IF($P93="","",IF(INDEX(EntryPartyType,$P93)=0,"",INDEX(EntryPartyType,$P93)))</f>
        <v/>
      </c>
      <c r="G93" s="26">
        <f>IF($P93="","",IF(INDEX(EntryTxnType,$P93)=0,"",INDEX(EntryTxnType,$P93)))</f>
        <v/>
      </c>
      <c r="H93" s="27">
        <f>IF($P93="","",IF(INDEX(EntryDep,$P93)=0,"",INDEX(EntryDep,$P93)))</f>
        <v/>
      </c>
      <c r="I93" s="27">
        <f>IF($P93="","",IF(INDEX(EntryWit,$P93)=0,"",INDEX(EntryWit,$P93)))</f>
        <v/>
      </c>
      <c r="J93" s="27">
        <f>IF($B93="","",IF($A93=1,$C$7,IF(J92="",0,J92))+IF($H93="",0,$H93)-IF($I93="",0,$I93))</f>
        <v/>
      </c>
      <c r="K93" s="27">
        <f>IF($P93="","",IF(INDEX(EntryMan,$P93)=0,"",INDEX(EntryMan,$P93)))</f>
        <v/>
      </c>
      <c r="L93" s="26">
        <f>IF($B93="","",IF($K93="","—",IF(ROUND($K93-$J93,0)=0,"√","×")))</f>
        <v/>
      </c>
      <c r="M93" s="26">
        <f>IF($B93="","",IF(COUNTIFS(EntryDates,$B93,CalcTime,$C93,CalcBank,$C$5,EntryParty,$D93,EntryDep,$H93,EntryWit,$I93)&gt;1,"تکرار",""))</f>
        <v/>
      </c>
      <c r="N93" s="26">
        <f>IF($P93="","",IF(INDEX(EntryNotes,$P93)=0,"",INDEX(EntryNotes,$P93)))</f>
        <v/>
      </c>
      <c r="O93" s="26">
        <f>IF($P93="","",IF(INDEX(EntryTxnID,$P93)=0,"",INDEX(EntryTxnID,$P93)))</f>
        <v/>
      </c>
      <c r="P93" s="26">
        <f>IFERROR(MATCH($C$5&amp;"|"&amp;RIGHT("000000"&amp;77,6),CalcRankKey,0),"")</f>
        <v/>
      </c>
    </row>
    <row r="94">
      <c r="A94" s="28">
        <f>IF($B94="","",78)</f>
        <v/>
      </c>
      <c r="B94" s="28">
        <f>IF($P94="","",IF(INDEX(CalcNormDate,$P94)=0,"",INDEX(CalcNormDate,$P94)))</f>
        <v/>
      </c>
      <c r="C94" s="28">
        <f>IF($P94="","",IF(INDEX(CalcTime,$P94)=0,"",INDEX(CalcTime,$P94)))</f>
        <v/>
      </c>
      <c r="D94" s="28">
        <f>IF($P94="","",IF(INDEX(EntryParty,$P94)=0,"",INDEX(EntryParty,$P94)))</f>
        <v/>
      </c>
      <c r="E94" s="28">
        <f>IF($P94="","",IF(INDEX(EntryPartyName,$P94)=0,"",INDEX(EntryPartyName,$P94)))</f>
        <v/>
      </c>
      <c r="F94" s="28">
        <f>IF($P94="","",IF(INDEX(EntryPartyType,$P94)=0,"",INDEX(EntryPartyType,$P94)))</f>
        <v/>
      </c>
      <c r="G94" s="28">
        <f>IF($P94="","",IF(INDEX(EntryTxnType,$P94)=0,"",INDEX(EntryTxnType,$P94)))</f>
        <v/>
      </c>
      <c r="H94" s="29">
        <f>IF($P94="","",IF(INDEX(EntryDep,$P94)=0,"",INDEX(EntryDep,$P94)))</f>
        <v/>
      </c>
      <c r="I94" s="29">
        <f>IF($P94="","",IF(INDEX(EntryWit,$P94)=0,"",INDEX(EntryWit,$P94)))</f>
        <v/>
      </c>
      <c r="J94" s="29">
        <f>IF($B94="","",IF($A94=1,$C$7,IF(J93="",0,J93))+IF($H94="",0,$H94)-IF($I94="",0,$I94))</f>
        <v/>
      </c>
      <c r="K94" s="29">
        <f>IF($P94="","",IF(INDEX(EntryMan,$P94)=0,"",INDEX(EntryMan,$P94)))</f>
        <v/>
      </c>
      <c r="L94" s="28">
        <f>IF($B94="","",IF($K94="","—",IF(ROUND($K94-$J94,0)=0,"√","×")))</f>
        <v/>
      </c>
      <c r="M94" s="28">
        <f>IF($B94="","",IF(COUNTIFS(EntryDates,$B94,CalcTime,$C94,CalcBank,$C$5,EntryParty,$D94,EntryDep,$H94,EntryWit,$I94)&gt;1,"تکرار",""))</f>
        <v/>
      </c>
      <c r="N94" s="28">
        <f>IF($P94="","",IF(INDEX(EntryNotes,$P94)=0,"",INDEX(EntryNotes,$P94)))</f>
        <v/>
      </c>
      <c r="O94" s="28">
        <f>IF($P94="","",IF(INDEX(EntryTxnID,$P94)=0,"",INDEX(EntryTxnID,$P94)))</f>
        <v/>
      </c>
      <c r="P94" s="28">
        <f>IFERROR(MATCH($C$5&amp;"|"&amp;RIGHT("000000"&amp;78,6),CalcRankKey,0),"")</f>
        <v/>
      </c>
    </row>
    <row r="95">
      <c r="A95" s="26">
        <f>IF($B95="","",79)</f>
        <v/>
      </c>
      <c r="B95" s="26">
        <f>IF($P95="","",IF(INDEX(CalcNormDate,$P95)=0,"",INDEX(CalcNormDate,$P95)))</f>
        <v/>
      </c>
      <c r="C95" s="26">
        <f>IF($P95="","",IF(INDEX(CalcTime,$P95)=0,"",INDEX(CalcTime,$P95)))</f>
        <v/>
      </c>
      <c r="D95" s="26">
        <f>IF($P95="","",IF(INDEX(EntryParty,$P95)=0,"",INDEX(EntryParty,$P95)))</f>
        <v/>
      </c>
      <c r="E95" s="26">
        <f>IF($P95="","",IF(INDEX(EntryPartyName,$P95)=0,"",INDEX(EntryPartyName,$P95)))</f>
        <v/>
      </c>
      <c r="F95" s="26">
        <f>IF($P95="","",IF(INDEX(EntryPartyType,$P95)=0,"",INDEX(EntryPartyType,$P95)))</f>
        <v/>
      </c>
      <c r="G95" s="26">
        <f>IF($P95="","",IF(INDEX(EntryTxnType,$P95)=0,"",INDEX(EntryTxnType,$P95)))</f>
        <v/>
      </c>
      <c r="H95" s="27">
        <f>IF($P95="","",IF(INDEX(EntryDep,$P95)=0,"",INDEX(EntryDep,$P95)))</f>
        <v/>
      </c>
      <c r="I95" s="27">
        <f>IF($P95="","",IF(INDEX(EntryWit,$P95)=0,"",INDEX(EntryWit,$P95)))</f>
        <v/>
      </c>
      <c r="J95" s="27">
        <f>IF($B95="","",IF($A95=1,$C$7,IF(J94="",0,J94))+IF($H95="",0,$H95)-IF($I95="",0,$I95))</f>
        <v/>
      </c>
      <c r="K95" s="27">
        <f>IF($P95="","",IF(INDEX(EntryMan,$P95)=0,"",INDEX(EntryMan,$P95)))</f>
        <v/>
      </c>
      <c r="L95" s="26">
        <f>IF($B95="","",IF($K95="","—",IF(ROUND($K95-$J95,0)=0,"√","×")))</f>
        <v/>
      </c>
      <c r="M95" s="26">
        <f>IF($B95="","",IF(COUNTIFS(EntryDates,$B95,CalcTime,$C95,CalcBank,$C$5,EntryParty,$D95,EntryDep,$H95,EntryWit,$I95)&gt;1,"تکرار",""))</f>
        <v/>
      </c>
      <c r="N95" s="26">
        <f>IF($P95="","",IF(INDEX(EntryNotes,$P95)=0,"",INDEX(EntryNotes,$P95)))</f>
        <v/>
      </c>
      <c r="O95" s="26">
        <f>IF($P95="","",IF(INDEX(EntryTxnID,$P95)=0,"",INDEX(EntryTxnID,$P95)))</f>
        <v/>
      </c>
      <c r="P95" s="26">
        <f>IFERROR(MATCH($C$5&amp;"|"&amp;RIGHT("000000"&amp;79,6),CalcRankKey,0),"")</f>
        <v/>
      </c>
    </row>
    <row r="96">
      <c r="A96" s="28">
        <f>IF($B96="","",80)</f>
        <v/>
      </c>
      <c r="B96" s="28">
        <f>IF($P96="","",IF(INDEX(CalcNormDate,$P96)=0,"",INDEX(CalcNormDate,$P96)))</f>
        <v/>
      </c>
      <c r="C96" s="28">
        <f>IF($P96="","",IF(INDEX(CalcTime,$P96)=0,"",INDEX(CalcTime,$P96)))</f>
        <v/>
      </c>
      <c r="D96" s="28">
        <f>IF($P96="","",IF(INDEX(EntryParty,$P96)=0,"",INDEX(EntryParty,$P96)))</f>
        <v/>
      </c>
      <c r="E96" s="28">
        <f>IF($P96="","",IF(INDEX(EntryPartyName,$P96)=0,"",INDEX(EntryPartyName,$P96)))</f>
        <v/>
      </c>
      <c r="F96" s="28">
        <f>IF($P96="","",IF(INDEX(EntryPartyType,$P96)=0,"",INDEX(EntryPartyType,$P96)))</f>
        <v/>
      </c>
      <c r="G96" s="28">
        <f>IF($P96="","",IF(INDEX(EntryTxnType,$P96)=0,"",INDEX(EntryTxnType,$P96)))</f>
        <v/>
      </c>
      <c r="H96" s="29">
        <f>IF($P96="","",IF(INDEX(EntryDep,$P96)=0,"",INDEX(EntryDep,$P96)))</f>
        <v/>
      </c>
      <c r="I96" s="29">
        <f>IF($P96="","",IF(INDEX(EntryWit,$P96)=0,"",INDEX(EntryWit,$P96)))</f>
        <v/>
      </c>
      <c r="J96" s="29">
        <f>IF($B96="","",IF($A96=1,$C$7,IF(J95="",0,J95))+IF($H96="",0,$H96)-IF($I96="",0,$I96))</f>
        <v/>
      </c>
      <c r="K96" s="29">
        <f>IF($P96="","",IF(INDEX(EntryMan,$P96)=0,"",INDEX(EntryMan,$P96)))</f>
        <v/>
      </c>
      <c r="L96" s="28">
        <f>IF($B96="","",IF($K96="","—",IF(ROUND($K96-$J96,0)=0,"√","×")))</f>
        <v/>
      </c>
      <c r="M96" s="28">
        <f>IF($B96="","",IF(COUNTIFS(EntryDates,$B96,CalcTime,$C96,CalcBank,$C$5,EntryParty,$D96,EntryDep,$H96,EntryWit,$I96)&gt;1,"تکرار",""))</f>
        <v/>
      </c>
      <c r="N96" s="28">
        <f>IF($P96="","",IF(INDEX(EntryNotes,$P96)=0,"",INDEX(EntryNotes,$P96)))</f>
        <v/>
      </c>
      <c r="O96" s="28">
        <f>IF($P96="","",IF(INDEX(EntryTxnID,$P96)=0,"",INDEX(EntryTxnID,$P96)))</f>
        <v/>
      </c>
      <c r="P96" s="28">
        <f>IFERROR(MATCH($C$5&amp;"|"&amp;RIGHT("000000"&amp;80,6),CalcRankKey,0),"")</f>
        <v/>
      </c>
    </row>
    <row r="97">
      <c r="A97" s="26">
        <f>IF($B97="","",81)</f>
        <v/>
      </c>
      <c r="B97" s="26">
        <f>IF($P97="","",IF(INDEX(CalcNormDate,$P97)=0,"",INDEX(CalcNormDate,$P97)))</f>
        <v/>
      </c>
      <c r="C97" s="26">
        <f>IF($P97="","",IF(INDEX(CalcTime,$P97)=0,"",INDEX(CalcTime,$P97)))</f>
        <v/>
      </c>
      <c r="D97" s="26">
        <f>IF($P97="","",IF(INDEX(EntryParty,$P97)=0,"",INDEX(EntryParty,$P97)))</f>
        <v/>
      </c>
      <c r="E97" s="26">
        <f>IF($P97="","",IF(INDEX(EntryPartyName,$P97)=0,"",INDEX(EntryPartyName,$P97)))</f>
        <v/>
      </c>
      <c r="F97" s="26">
        <f>IF($P97="","",IF(INDEX(EntryPartyType,$P97)=0,"",INDEX(EntryPartyType,$P97)))</f>
        <v/>
      </c>
      <c r="G97" s="26">
        <f>IF($P97="","",IF(INDEX(EntryTxnType,$P97)=0,"",INDEX(EntryTxnType,$P97)))</f>
        <v/>
      </c>
      <c r="H97" s="27">
        <f>IF($P97="","",IF(INDEX(EntryDep,$P97)=0,"",INDEX(EntryDep,$P97)))</f>
        <v/>
      </c>
      <c r="I97" s="27">
        <f>IF($P97="","",IF(INDEX(EntryWit,$P97)=0,"",INDEX(EntryWit,$P97)))</f>
        <v/>
      </c>
      <c r="J97" s="27">
        <f>IF($B97="","",IF($A97=1,$C$7,IF(J96="",0,J96))+IF($H97="",0,$H97)-IF($I97="",0,$I97))</f>
        <v/>
      </c>
      <c r="K97" s="27">
        <f>IF($P97="","",IF(INDEX(EntryMan,$P97)=0,"",INDEX(EntryMan,$P97)))</f>
        <v/>
      </c>
      <c r="L97" s="26">
        <f>IF($B97="","",IF($K97="","—",IF(ROUND($K97-$J97,0)=0,"√","×")))</f>
        <v/>
      </c>
      <c r="M97" s="26">
        <f>IF($B97="","",IF(COUNTIFS(EntryDates,$B97,CalcTime,$C97,CalcBank,$C$5,EntryParty,$D97,EntryDep,$H97,EntryWit,$I97)&gt;1,"تکرار",""))</f>
        <v/>
      </c>
      <c r="N97" s="26">
        <f>IF($P97="","",IF(INDEX(EntryNotes,$P97)=0,"",INDEX(EntryNotes,$P97)))</f>
        <v/>
      </c>
      <c r="O97" s="26">
        <f>IF($P97="","",IF(INDEX(EntryTxnID,$P97)=0,"",INDEX(EntryTxnID,$P97)))</f>
        <v/>
      </c>
      <c r="P97" s="26">
        <f>IFERROR(MATCH($C$5&amp;"|"&amp;RIGHT("000000"&amp;81,6),CalcRankKey,0),"")</f>
        <v/>
      </c>
    </row>
    <row r="98">
      <c r="A98" s="28">
        <f>IF($B98="","",82)</f>
        <v/>
      </c>
      <c r="B98" s="28">
        <f>IF($P98="","",IF(INDEX(CalcNormDate,$P98)=0,"",INDEX(CalcNormDate,$P98)))</f>
        <v/>
      </c>
      <c r="C98" s="28">
        <f>IF($P98="","",IF(INDEX(CalcTime,$P98)=0,"",INDEX(CalcTime,$P98)))</f>
        <v/>
      </c>
      <c r="D98" s="28">
        <f>IF($P98="","",IF(INDEX(EntryParty,$P98)=0,"",INDEX(EntryParty,$P98)))</f>
        <v/>
      </c>
      <c r="E98" s="28">
        <f>IF($P98="","",IF(INDEX(EntryPartyName,$P98)=0,"",INDEX(EntryPartyName,$P98)))</f>
        <v/>
      </c>
      <c r="F98" s="28">
        <f>IF($P98="","",IF(INDEX(EntryPartyType,$P98)=0,"",INDEX(EntryPartyType,$P98)))</f>
        <v/>
      </c>
      <c r="G98" s="28">
        <f>IF($P98="","",IF(INDEX(EntryTxnType,$P98)=0,"",INDEX(EntryTxnType,$P98)))</f>
        <v/>
      </c>
      <c r="H98" s="29">
        <f>IF($P98="","",IF(INDEX(EntryDep,$P98)=0,"",INDEX(EntryDep,$P98)))</f>
        <v/>
      </c>
      <c r="I98" s="29">
        <f>IF($P98="","",IF(INDEX(EntryWit,$P98)=0,"",INDEX(EntryWit,$P98)))</f>
        <v/>
      </c>
      <c r="J98" s="29">
        <f>IF($B98="","",IF($A98=1,$C$7,IF(J97="",0,J97))+IF($H98="",0,$H98)-IF($I98="",0,$I98))</f>
        <v/>
      </c>
      <c r="K98" s="29">
        <f>IF($P98="","",IF(INDEX(EntryMan,$P98)=0,"",INDEX(EntryMan,$P98)))</f>
        <v/>
      </c>
      <c r="L98" s="28">
        <f>IF($B98="","",IF($K98="","—",IF(ROUND($K98-$J98,0)=0,"√","×")))</f>
        <v/>
      </c>
      <c r="M98" s="28">
        <f>IF($B98="","",IF(COUNTIFS(EntryDates,$B98,CalcTime,$C98,CalcBank,$C$5,EntryParty,$D98,EntryDep,$H98,EntryWit,$I98)&gt;1,"تکرار",""))</f>
        <v/>
      </c>
      <c r="N98" s="28">
        <f>IF($P98="","",IF(INDEX(EntryNotes,$P98)=0,"",INDEX(EntryNotes,$P98)))</f>
        <v/>
      </c>
      <c r="O98" s="28">
        <f>IF($P98="","",IF(INDEX(EntryTxnID,$P98)=0,"",INDEX(EntryTxnID,$P98)))</f>
        <v/>
      </c>
      <c r="P98" s="28">
        <f>IFERROR(MATCH($C$5&amp;"|"&amp;RIGHT("000000"&amp;82,6),CalcRankKey,0),"")</f>
        <v/>
      </c>
    </row>
    <row r="99">
      <c r="A99" s="26">
        <f>IF($B99="","",83)</f>
        <v/>
      </c>
      <c r="B99" s="26">
        <f>IF($P99="","",IF(INDEX(CalcNormDate,$P99)=0,"",INDEX(CalcNormDate,$P99)))</f>
        <v/>
      </c>
      <c r="C99" s="26">
        <f>IF($P99="","",IF(INDEX(CalcTime,$P99)=0,"",INDEX(CalcTime,$P99)))</f>
        <v/>
      </c>
      <c r="D99" s="26">
        <f>IF($P99="","",IF(INDEX(EntryParty,$P99)=0,"",INDEX(EntryParty,$P99)))</f>
        <v/>
      </c>
      <c r="E99" s="26">
        <f>IF($P99="","",IF(INDEX(EntryPartyName,$P99)=0,"",INDEX(EntryPartyName,$P99)))</f>
        <v/>
      </c>
      <c r="F99" s="26">
        <f>IF($P99="","",IF(INDEX(EntryPartyType,$P99)=0,"",INDEX(EntryPartyType,$P99)))</f>
        <v/>
      </c>
      <c r="G99" s="26">
        <f>IF($P99="","",IF(INDEX(EntryTxnType,$P99)=0,"",INDEX(EntryTxnType,$P99)))</f>
        <v/>
      </c>
      <c r="H99" s="27">
        <f>IF($P99="","",IF(INDEX(EntryDep,$P99)=0,"",INDEX(EntryDep,$P99)))</f>
        <v/>
      </c>
      <c r="I99" s="27">
        <f>IF($P99="","",IF(INDEX(EntryWit,$P99)=0,"",INDEX(EntryWit,$P99)))</f>
        <v/>
      </c>
      <c r="J99" s="27">
        <f>IF($B99="","",IF($A99=1,$C$7,IF(J98="",0,J98))+IF($H99="",0,$H99)-IF($I99="",0,$I99))</f>
        <v/>
      </c>
      <c r="K99" s="27">
        <f>IF($P99="","",IF(INDEX(EntryMan,$P99)=0,"",INDEX(EntryMan,$P99)))</f>
        <v/>
      </c>
      <c r="L99" s="26">
        <f>IF($B99="","",IF($K99="","—",IF(ROUND($K99-$J99,0)=0,"√","×")))</f>
        <v/>
      </c>
      <c r="M99" s="26">
        <f>IF($B99="","",IF(COUNTIFS(EntryDates,$B99,CalcTime,$C99,CalcBank,$C$5,EntryParty,$D99,EntryDep,$H99,EntryWit,$I99)&gt;1,"تکرار",""))</f>
        <v/>
      </c>
      <c r="N99" s="26">
        <f>IF($P99="","",IF(INDEX(EntryNotes,$P99)=0,"",INDEX(EntryNotes,$P99)))</f>
        <v/>
      </c>
      <c r="O99" s="26">
        <f>IF($P99="","",IF(INDEX(EntryTxnID,$P99)=0,"",INDEX(EntryTxnID,$P99)))</f>
        <v/>
      </c>
      <c r="P99" s="26">
        <f>IFERROR(MATCH($C$5&amp;"|"&amp;RIGHT("000000"&amp;83,6),CalcRankKey,0),"")</f>
        <v/>
      </c>
    </row>
    <row r="100">
      <c r="A100" s="28">
        <f>IF($B100="","",84)</f>
        <v/>
      </c>
      <c r="B100" s="28">
        <f>IF($P100="","",IF(INDEX(CalcNormDate,$P100)=0,"",INDEX(CalcNormDate,$P100)))</f>
        <v/>
      </c>
      <c r="C100" s="28">
        <f>IF($P100="","",IF(INDEX(CalcTime,$P100)=0,"",INDEX(CalcTime,$P100)))</f>
        <v/>
      </c>
      <c r="D100" s="28">
        <f>IF($P100="","",IF(INDEX(EntryParty,$P100)=0,"",INDEX(EntryParty,$P100)))</f>
        <v/>
      </c>
      <c r="E100" s="28">
        <f>IF($P100="","",IF(INDEX(EntryPartyName,$P100)=0,"",INDEX(EntryPartyName,$P100)))</f>
        <v/>
      </c>
      <c r="F100" s="28">
        <f>IF($P100="","",IF(INDEX(EntryPartyType,$P100)=0,"",INDEX(EntryPartyType,$P100)))</f>
        <v/>
      </c>
      <c r="G100" s="28">
        <f>IF($P100="","",IF(INDEX(EntryTxnType,$P100)=0,"",INDEX(EntryTxnType,$P100)))</f>
        <v/>
      </c>
      <c r="H100" s="29">
        <f>IF($P100="","",IF(INDEX(EntryDep,$P100)=0,"",INDEX(EntryDep,$P100)))</f>
        <v/>
      </c>
      <c r="I100" s="29">
        <f>IF($P100="","",IF(INDEX(EntryWit,$P100)=0,"",INDEX(EntryWit,$P100)))</f>
        <v/>
      </c>
      <c r="J100" s="29">
        <f>IF($B100="","",IF($A100=1,$C$7,IF(J99="",0,J99))+IF($H100="",0,$H100)-IF($I100="",0,$I100))</f>
        <v/>
      </c>
      <c r="K100" s="29">
        <f>IF($P100="","",IF(INDEX(EntryMan,$P100)=0,"",INDEX(EntryMan,$P100)))</f>
        <v/>
      </c>
      <c r="L100" s="28">
        <f>IF($B100="","",IF($K100="","—",IF(ROUND($K100-$J100,0)=0,"√","×")))</f>
        <v/>
      </c>
      <c r="M100" s="28">
        <f>IF($B100="","",IF(COUNTIFS(EntryDates,$B100,CalcTime,$C100,CalcBank,$C$5,EntryParty,$D100,EntryDep,$H100,EntryWit,$I100)&gt;1,"تکرار",""))</f>
        <v/>
      </c>
      <c r="N100" s="28">
        <f>IF($P100="","",IF(INDEX(EntryNotes,$P100)=0,"",INDEX(EntryNotes,$P100)))</f>
        <v/>
      </c>
      <c r="O100" s="28">
        <f>IF($P100="","",IF(INDEX(EntryTxnID,$P100)=0,"",INDEX(EntryTxnID,$P100)))</f>
        <v/>
      </c>
      <c r="P100" s="28">
        <f>IFERROR(MATCH($C$5&amp;"|"&amp;RIGHT("000000"&amp;84,6),CalcRankKey,0),"")</f>
        <v/>
      </c>
    </row>
    <row r="101">
      <c r="A101" s="26">
        <f>IF($B101="","",85)</f>
        <v/>
      </c>
      <c r="B101" s="26">
        <f>IF($P101="","",IF(INDEX(CalcNormDate,$P101)=0,"",INDEX(CalcNormDate,$P101)))</f>
        <v/>
      </c>
      <c r="C101" s="26">
        <f>IF($P101="","",IF(INDEX(CalcTime,$P101)=0,"",INDEX(CalcTime,$P101)))</f>
        <v/>
      </c>
      <c r="D101" s="26">
        <f>IF($P101="","",IF(INDEX(EntryParty,$P101)=0,"",INDEX(EntryParty,$P101)))</f>
        <v/>
      </c>
      <c r="E101" s="26">
        <f>IF($P101="","",IF(INDEX(EntryPartyName,$P101)=0,"",INDEX(EntryPartyName,$P101)))</f>
        <v/>
      </c>
      <c r="F101" s="26">
        <f>IF($P101="","",IF(INDEX(EntryPartyType,$P101)=0,"",INDEX(EntryPartyType,$P101)))</f>
        <v/>
      </c>
      <c r="G101" s="26">
        <f>IF($P101="","",IF(INDEX(EntryTxnType,$P101)=0,"",INDEX(EntryTxnType,$P101)))</f>
        <v/>
      </c>
      <c r="H101" s="27">
        <f>IF($P101="","",IF(INDEX(EntryDep,$P101)=0,"",INDEX(EntryDep,$P101)))</f>
        <v/>
      </c>
      <c r="I101" s="27">
        <f>IF($P101="","",IF(INDEX(EntryWit,$P101)=0,"",INDEX(EntryWit,$P101)))</f>
        <v/>
      </c>
      <c r="J101" s="27">
        <f>IF($B101="","",IF($A101=1,$C$7,IF(J100="",0,J100))+IF($H101="",0,$H101)-IF($I101="",0,$I101))</f>
        <v/>
      </c>
      <c r="K101" s="27">
        <f>IF($P101="","",IF(INDEX(EntryMan,$P101)=0,"",INDEX(EntryMan,$P101)))</f>
        <v/>
      </c>
      <c r="L101" s="26">
        <f>IF($B101="","",IF($K101="","—",IF(ROUND($K101-$J101,0)=0,"√","×")))</f>
        <v/>
      </c>
      <c r="M101" s="26">
        <f>IF($B101="","",IF(COUNTIFS(EntryDates,$B101,CalcTime,$C101,CalcBank,$C$5,EntryParty,$D101,EntryDep,$H101,EntryWit,$I101)&gt;1,"تکرار",""))</f>
        <v/>
      </c>
      <c r="N101" s="26">
        <f>IF($P101="","",IF(INDEX(EntryNotes,$P101)=0,"",INDEX(EntryNotes,$P101)))</f>
        <v/>
      </c>
      <c r="O101" s="26">
        <f>IF($P101="","",IF(INDEX(EntryTxnID,$P101)=0,"",INDEX(EntryTxnID,$P101)))</f>
        <v/>
      </c>
      <c r="P101" s="26">
        <f>IFERROR(MATCH($C$5&amp;"|"&amp;RIGHT("000000"&amp;85,6),CalcRankKey,0),"")</f>
        <v/>
      </c>
    </row>
    <row r="102">
      <c r="A102" s="28">
        <f>IF($B102="","",86)</f>
        <v/>
      </c>
      <c r="B102" s="28">
        <f>IF($P102="","",IF(INDEX(CalcNormDate,$P102)=0,"",INDEX(CalcNormDate,$P102)))</f>
        <v/>
      </c>
      <c r="C102" s="28">
        <f>IF($P102="","",IF(INDEX(CalcTime,$P102)=0,"",INDEX(CalcTime,$P102)))</f>
        <v/>
      </c>
      <c r="D102" s="28">
        <f>IF($P102="","",IF(INDEX(EntryParty,$P102)=0,"",INDEX(EntryParty,$P102)))</f>
        <v/>
      </c>
      <c r="E102" s="28">
        <f>IF($P102="","",IF(INDEX(EntryPartyName,$P102)=0,"",INDEX(EntryPartyName,$P102)))</f>
        <v/>
      </c>
      <c r="F102" s="28">
        <f>IF($P102="","",IF(INDEX(EntryPartyType,$P102)=0,"",INDEX(EntryPartyType,$P102)))</f>
        <v/>
      </c>
      <c r="G102" s="28">
        <f>IF($P102="","",IF(INDEX(EntryTxnType,$P102)=0,"",INDEX(EntryTxnType,$P102)))</f>
        <v/>
      </c>
      <c r="H102" s="29">
        <f>IF($P102="","",IF(INDEX(EntryDep,$P102)=0,"",INDEX(EntryDep,$P102)))</f>
        <v/>
      </c>
      <c r="I102" s="29">
        <f>IF($P102="","",IF(INDEX(EntryWit,$P102)=0,"",INDEX(EntryWit,$P102)))</f>
        <v/>
      </c>
      <c r="J102" s="29">
        <f>IF($B102="","",IF($A102=1,$C$7,IF(J101="",0,J101))+IF($H102="",0,$H102)-IF($I102="",0,$I102))</f>
        <v/>
      </c>
      <c r="K102" s="29">
        <f>IF($P102="","",IF(INDEX(EntryMan,$P102)=0,"",INDEX(EntryMan,$P102)))</f>
        <v/>
      </c>
      <c r="L102" s="28">
        <f>IF($B102="","",IF($K102="","—",IF(ROUND($K102-$J102,0)=0,"√","×")))</f>
        <v/>
      </c>
      <c r="M102" s="28">
        <f>IF($B102="","",IF(COUNTIFS(EntryDates,$B102,CalcTime,$C102,CalcBank,$C$5,EntryParty,$D102,EntryDep,$H102,EntryWit,$I102)&gt;1,"تکرار",""))</f>
        <v/>
      </c>
      <c r="N102" s="28">
        <f>IF($P102="","",IF(INDEX(EntryNotes,$P102)=0,"",INDEX(EntryNotes,$P102)))</f>
        <v/>
      </c>
      <c r="O102" s="28">
        <f>IF($P102="","",IF(INDEX(EntryTxnID,$P102)=0,"",INDEX(EntryTxnID,$P102)))</f>
        <v/>
      </c>
      <c r="P102" s="28">
        <f>IFERROR(MATCH($C$5&amp;"|"&amp;RIGHT("000000"&amp;86,6),CalcRankKey,0),"")</f>
        <v/>
      </c>
    </row>
    <row r="103">
      <c r="A103" s="26">
        <f>IF($B103="","",87)</f>
        <v/>
      </c>
      <c r="B103" s="26">
        <f>IF($P103="","",IF(INDEX(CalcNormDate,$P103)=0,"",INDEX(CalcNormDate,$P103)))</f>
        <v/>
      </c>
      <c r="C103" s="26">
        <f>IF($P103="","",IF(INDEX(CalcTime,$P103)=0,"",INDEX(CalcTime,$P103)))</f>
        <v/>
      </c>
      <c r="D103" s="26">
        <f>IF($P103="","",IF(INDEX(EntryParty,$P103)=0,"",INDEX(EntryParty,$P103)))</f>
        <v/>
      </c>
      <c r="E103" s="26">
        <f>IF($P103="","",IF(INDEX(EntryPartyName,$P103)=0,"",INDEX(EntryPartyName,$P103)))</f>
        <v/>
      </c>
      <c r="F103" s="26">
        <f>IF($P103="","",IF(INDEX(EntryPartyType,$P103)=0,"",INDEX(EntryPartyType,$P103)))</f>
        <v/>
      </c>
      <c r="G103" s="26">
        <f>IF($P103="","",IF(INDEX(EntryTxnType,$P103)=0,"",INDEX(EntryTxnType,$P103)))</f>
        <v/>
      </c>
      <c r="H103" s="27">
        <f>IF($P103="","",IF(INDEX(EntryDep,$P103)=0,"",INDEX(EntryDep,$P103)))</f>
        <v/>
      </c>
      <c r="I103" s="27">
        <f>IF($P103="","",IF(INDEX(EntryWit,$P103)=0,"",INDEX(EntryWit,$P103)))</f>
        <v/>
      </c>
      <c r="J103" s="27">
        <f>IF($B103="","",IF($A103=1,$C$7,IF(J102="",0,J102))+IF($H103="",0,$H103)-IF($I103="",0,$I103))</f>
        <v/>
      </c>
      <c r="K103" s="27">
        <f>IF($P103="","",IF(INDEX(EntryMan,$P103)=0,"",INDEX(EntryMan,$P103)))</f>
        <v/>
      </c>
      <c r="L103" s="26">
        <f>IF($B103="","",IF($K103="","—",IF(ROUND($K103-$J103,0)=0,"√","×")))</f>
        <v/>
      </c>
      <c r="M103" s="26">
        <f>IF($B103="","",IF(COUNTIFS(EntryDates,$B103,CalcTime,$C103,CalcBank,$C$5,EntryParty,$D103,EntryDep,$H103,EntryWit,$I103)&gt;1,"تکرار",""))</f>
        <v/>
      </c>
      <c r="N103" s="26">
        <f>IF($P103="","",IF(INDEX(EntryNotes,$P103)=0,"",INDEX(EntryNotes,$P103)))</f>
        <v/>
      </c>
      <c r="O103" s="26">
        <f>IF($P103="","",IF(INDEX(EntryTxnID,$P103)=0,"",INDEX(EntryTxnID,$P103)))</f>
        <v/>
      </c>
      <c r="P103" s="26">
        <f>IFERROR(MATCH($C$5&amp;"|"&amp;RIGHT("000000"&amp;87,6),CalcRankKey,0),"")</f>
        <v/>
      </c>
    </row>
    <row r="104">
      <c r="A104" s="28">
        <f>IF($B104="","",88)</f>
        <v/>
      </c>
      <c r="B104" s="28">
        <f>IF($P104="","",IF(INDEX(CalcNormDate,$P104)=0,"",INDEX(CalcNormDate,$P104)))</f>
        <v/>
      </c>
      <c r="C104" s="28">
        <f>IF($P104="","",IF(INDEX(CalcTime,$P104)=0,"",INDEX(CalcTime,$P104)))</f>
        <v/>
      </c>
      <c r="D104" s="28">
        <f>IF($P104="","",IF(INDEX(EntryParty,$P104)=0,"",INDEX(EntryParty,$P104)))</f>
        <v/>
      </c>
      <c r="E104" s="28">
        <f>IF($P104="","",IF(INDEX(EntryPartyName,$P104)=0,"",INDEX(EntryPartyName,$P104)))</f>
        <v/>
      </c>
      <c r="F104" s="28">
        <f>IF($P104="","",IF(INDEX(EntryPartyType,$P104)=0,"",INDEX(EntryPartyType,$P104)))</f>
        <v/>
      </c>
      <c r="G104" s="28">
        <f>IF($P104="","",IF(INDEX(EntryTxnType,$P104)=0,"",INDEX(EntryTxnType,$P104)))</f>
        <v/>
      </c>
      <c r="H104" s="29">
        <f>IF($P104="","",IF(INDEX(EntryDep,$P104)=0,"",INDEX(EntryDep,$P104)))</f>
        <v/>
      </c>
      <c r="I104" s="29">
        <f>IF($P104="","",IF(INDEX(EntryWit,$P104)=0,"",INDEX(EntryWit,$P104)))</f>
        <v/>
      </c>
      <c r="J104" s="29">
        <f>IF($B104="","",IF($A104=1,$C$7,IF(J103="",0,J103))+IF($H104="",0,$H104)-IF($I104="",0,$I104))</f>
        <v/>
      </c>
      <c r="K104" s="29">
        <f>IF($P104="","",IF(INDEX(EntryMan,$P104)=0,"",INDEX(EntryMan,$P104)))</f>
        <v/>
      </c>
      <c r="L104" s="28">
        <f>IF($B104="","",IF($K104="","—",IF(ROUND($K104-$J104,0)=0,"√","×")))</f>
        <v/>
      </c>
      <c r="M104" s="28">
        <f>IF($B104="","",IF(COUNTIFS(EntryDates,$B104,CalcTime,$C104,CalcBank,$C$5,EntryParty,$D104,EntryDep,$H104,EntryWit,$I104)&gt;1,"تکرار",""))</f>
        <v/>
      </c>
      <c r="N104" s="28">
        <f>IF($P104="","",IF(INDEX(EntryNotes,$P104)=0,"",INDEX(EntryNotes,$P104)))</f>
        <v/>
      </c>
      <c r="O104" s="28">
        <f>IF($P104="","",IF(INDEX(EntryTxnID,$P104)=0,"",INDEX(EntryTxnID,$P104)))</f>
        <v/>
      </c>
      <c r="P104" s="28">
        <f>IFERROR(MATCH($C$5&amp;"|"&amp;RIGHT("000000"&amp;88,6),CalcRankKey,0),"")</f>
        <v/>
      </c>
    </row>
    <row r="105">
      <c r="A105" s="26">
        <f>IF($B105="","",89)</f>
        <v/>
      </c>
      <c r="B105" s="26">
        <f>IF($P105="","",IF(INDEX(CalcNormDate,$P105)=0,"",INDEX(CalcNormDate,$P105)))</f>
        <v/>
      </c>
      <c r="C105" s="26">
        <f>IF($P105="","",IF(INDEX(CalcTime,$P105)=0,"",INDEX(CalcTime,$P105)))</f>
        <v/>
      </c>
      <c r="D105" s="26">
        <f>IF($P105="","",IF(INDEX(EntryParty,$P105)=0,"",INDEX(EntryParty,$P105)))</f>
        <v/>
      </c>
      <c r="E105" s="26">
        <f>IF($P105="","",IF(INDEX(EntryPartyName,$P105)=0,"",INDEX(EntryPartyName,$P105)))</f>
        <v/>
      </c>
      <c r="F105" s="26">
        <f>IF($P105="","",IF(INDEX(EntryPartyType,$P105)=0,"",INDEX(EntryPartyType,$P105)))</f>
        <v/>
      </c>
      <c r="G105" s="26">
        <f>IF($P105="","",IF(INDEX(EntryTxnType,$P105)=0,"",INDEX(EntryTxnType,$P105)))</f>
        <v/>
      </c>
      <c r="H105" s="27">
        <f>IF($P105="","",IF(INDEX(EntryDep,$P105)=0,"",INDEX(EntryDep,$P105)))</f>
        <v/>
      </c>
      <c r="I105" s="27">
        <f>IF($P105="","",IF(INDEX(EntryWit,$P105)=0,"",INDEX(EntryWit,$P105)))</f>
        <v/>
      </c>
      <c r="J105" s="27">
        <f>IF($B105="","",IF($A105=1,$C$7,IF(J104="",0,J104))+IF($H105="",0,$H105)-IF($I105="",0,$I105))</f>
        <v/>
      </c>
      <c r="K105" s="27">
        <f>IF($P105="","",IF(INDEX(EntryMan,$P105)=0,"",INDEX(EntryMan,$P105)))</f>
        <v/>
      </c>
      <c r="L105" s="26">
        <f>IF($B105="","",IF($K105="","—",IF(ROUND($K105-$J105,0)=0,"√","×")))</f>
        <v/>
      </c>
      <c r="M105" s="26">
        <f>IF($B105="","",IF(COUNTIFS(EntryDates,$B105,CalcTime,$C105,CalcBank,$C$5,EntryParty,$D105,EntryDep,$H105,EntryWit,$I105)&gt;1,"تکرار",""))</f>
        <v/>
      </c>
      <c r="N105" s="26">
        <f>IF($P105="","",IF(INDEX(EntryNotes,$P105)=0,"",INDEX(EntryNotes,$P105)))</f>
        <v/>
      </c>
      <c r="O105" s="26">
        <f>IF($P105="","",IF(INDEX(EntryTxnID,$P105)=0,"",INDEX(EntryTxnID,$P105)))</f>
        <v/>
      </c>
      <c r="P105" s="26">
        <f>IFERROR(MATCH($C$5&amp;"|"&amp;RIGHT("000000"&amp;89,6),CalcRankKey,0),"")</f>
        <v/>
      </c>
    </row>
    <row r="106">
      <c r="A106" s="28">
        <f>IF($B106="","",90)</f>
        <v/>
      </c>
      <c r="B106" s="28">
        <f>IF($P106="","",IF(INDEX(CalcNormDate,$P106)=0,"",INDEX(CalcNormDate,$P106)))</f>
        <v/>
      </c>
      <c r="C106" s="28">
        <f>IF($P106="","",IF(INDEX(CalcTime,$P106)=0,"",INDEX(CalcTime,$P106)))</f>
        <v/>
      </c>
      <c r="D106" s="28">
        <f>IF($P106="","",IF(INDEX(EntryParty,$P106)=0,"",INDEX(EntryParty,$P106)))</f>
        <v/>
      </c>
      <c r="E106" s="28">
        <f>IF($P106="","",IF(INDEX(EntryPartyName,$P106)=0,"",INDEX(EntryPartyName,$P106)))</f>
        <v/>
      </c>
      <c r="F106" s="28">
        <f>IF($P106="","",IF(INDEX(EntryPartyType,$P106)=0,"",INDEX(EntryPartyType,$P106)))</f>
        <v/>
      </c>
      <c r="G106" s="28">
        <f>IF($P106="","",IF(INDEX(EntryTxnType,$P106)=0,"",INDEX(EntryTxnType,$P106)))</f>
        <v/>
      </c>
      <c r="H106" s="29">
        <f>IF($P106="","",IF(INDEX(EntryDep,$P106)=0,"",INDEX(EntryDep,$P106)))</f>
        <v/>
      </c>
      <c r="I106" s="29">
        <f>IF($P106="","",IF(INDEX(EntryWit,$P106)=0,"",INDEX(EntryWit,$P106)))</f>
        <v/>
      </c>
      <c r="J106" s="29">
        <f>IF($B106="","",IF($A106=1,$C$7,IF(J105="",0,J105))+IF($H106="",0,$H106)-IF($I106="",0,$I106))</f>
        <v/>
      </c>
      <c r="K106" s="29">
        <f>IF($P106="","",IF(INDEX(EntryMan,$P106)=0,"",INDEX(EntryMan,$P106)))</f>
        <v/>
      </c>
      <c r="L106" s="28">
        <f>IF($B106="","",IF($K106="","—",IF(ROUND($K106-$J106,0)=0,"√","×")))</f>
        <v/>
      </c>
      <c r="M106" s="28">
        <f>IF($B106="","",IF(COUNTIFS(EntryDates,$B106,CalcTime,$C106,CalcBank,$C$5,EntryParty,$D106,EntryDep,$H106,EntryWit,$I106)&gt;1,"تکرار",""))</f>
        <v/>
      </c>
      <c r="N106" s="28">
        <f>IF($P106="","",IF(INDEX(EntryNotes,$P106)=0,"",INDEX(EntryNotes,$P106)))</f>
        <v/>
      </c>
      <c r="O106" s="28">
        <f>IF($P106="","",IF(INDEX(EntryTxnID,$P106)=0,"",INDEX(EntryTxnID,$P106)))</f>
        <v/>
      </c>
      <c r="P106" s="28">
        <f>IFERROR(MATCH($C$5&amp;"|"&amp;RIGHT("000000"&amp;90,6),CalcRankKey,0),"")</f>
        <v/>
      </c>
    </row>
    <row r="107">
      <c r="A107" s="26">
        <f>IF($B107="","",91)</f>
        <v/>
      </c>
      <c r="B107" s="26">
        <f>IF($P107="","",IF(INDEX(CalcNormDate,$P107)=0,"",INDEX(CalcNormDate,$P107)))</f>
        <v/>
      </c>
      <c r="C107" s="26">
        <f>IF($P107="","",IF(INDEX(CalcTime,$P107)=0,"",INDEX(CalcTime,$P107)))</f>
        <v/>
      </c>
      <c r="D107" s="26">
        <f>IF($P107="","",IF(INDEX(EntryParty,$P107)=0,"",INDEX(EntryParty,$P107)))</f>
        <v/>
      </c>
      <c r="E107" s="26">
        <f>IF($P107="","",IF(INDEX(EntryPartyName,$P107)=0,"",INDEX(EntryPartyName,$P107)))</f>
        <v/>
      </c>
      <c r="F107" s="26">
        <f>IF($P107="","",IF(INDEX(EntryPartyType,$P107)=0,"",INDEX(EntryPartyType,$P107)))</f>
        <v/>
      </c>
      <c r="G107" s="26">
        <f>IF($P107="","",IF(INDEX(EntryTxnType,$P107)=0,"",INDEX(EntryTxnType,$P107)))</f>
        <v/>
      </c>
      <c r="H107" s="27">
        <f>IF($P107="","",IF(INDEX(EntryDep,$P107)=0,"",INDEX(EntryDep,$P107)))</f>
        <v/>
      </c>
      <c r="I107" s="27">
        <f>IF($P107="","",IF(INDEX(EntryWit,$P107)=0,"",INDEX(EntryWit,$P107)))</f>
        <v/>
      </c>
      <c r="J107" s="27">
        <f>IF($B107="","",IF($A107=1,$C$7,IF(J106="",0,J106))+IF($H107="",0,$H107)-IF($I107="",0,$I107))</f>
        <v/>
      </c>
      <c r="K107" s="27">
        <f>IF($P107="","",IF(INDEX(EntryMan,$P107)=0,"",INDEX(EntryMan,$P107)))</f>
        <v/>
      </c>
      <c r="L107" s="26">
        <f>IF($B107="","",IF($K107="","—",IF(ROUND($K107-$J107,0)=0,"√","×")))</f>
        <v/>
      </c>
      <c r="M107" s="26">
        <f>IF($B107="","",IF(COUNTIFS(EntryDates,$B107,CalcTime,$C107,CalcBank,$C$5,EntryParty,$D107,EntryDep,$H107,EntryWit,$I107)&gt;1,"تکرار",""))</f>
        <v/>
      </c>
      <c r="N107" s="26">
        <f>IF($P107="","",IF(INDEX(EntryNotes,$P107)=0,"",INDEX(EntryNotes,$P107)))</f>
        <v/>
      </c>
      <c r="O107" s="26">
        <f>IF($P107="","",IF(INDEX(EntryTxnID,$P107)=0,"",INDEX(EntryTxnID,$P107)))</f>
        <v/>
      </c>
      <c r="P107" s="26">
        <f>IFERROR(MATCH($C$5&amp;"|"&amp;RIGHT("000000"&amp;91,6),CalcRankKey,0),"")</f>
        <v/>
      </c>
    </row>
    <row r="108">
      <c r="A108" s="28">
        <f>IF($B108="","",92)</f>
        <v/>
      </c>
      <c r="B108" s="28">
        <f>IF($P108="","",IF(INDEX(CalcNormDate,$P108)=0,"",INDEX(CalcNormDate,$P108)))</f>
        <v/>
      </c>
      <c r="C108" s="28">
        <f>IF($P108="","",IF(INDEX(CalcTime,$P108)=0,"",INDEX(CalcTime,$P108)))</f>
        <v/>
      </c>
      <c r="D108" s="28">
        <f>IF($P108="","",IF(INDEX(EntryParty,$P108)=0,"",INDEX(EntryParty,$P108)))</f>
        <v/>
      </c>
      <c r="E108" s="28">
        <f>IF($P108="","",IF(INDEX(EntryPartyName,$P108)=0,"",INDEX(EntryPartyName,$P108)))</f>
        <v/>
      </c>
      <c r="F108" s="28">
        <f>IF($P108="","",IF(INDEX(EntryPartyType,$P108)=0,"",INDEX(EntryPartyType,$P108)))</f>
        <v/>
      </c>
      <c r="G108" s="28">
        <f>IF($P108="","",IF(INDEX(EntryTxnType,$P108)=0,"",INDEX(EntryTxnType,$P108)))</f>
        <v/>
      </c>
      <c r="H108" s="29">
        <f>IF($P108="","",IF(INDEX(EntryDep,$P108)=0,"",INDEX(EntryDep,$P108)))</f>
        <v/>
      </c>
      <c r="I108" s="29">
        <f>IF($P108="","",IF(INDEX(EntryWit,$P108)=0,"",INDEX(EntryWit,$P108)))</f>
        <v/>
      </c>
      <c r="J108" s="29">
        <f>IF($B108="","",IF($A108=1,$C$7,IF(J107="",0,J107))+IF($H108="",0,$H108)-IF($I108="",0,$I108))</f>
        <v/>
      </c>
      <c r="K108" s="29">
        <f>IF($P108="","",IF(INDEX(EntryMan,$P108)=0,"",INDEX(EntryMan,$P108)))</f>
        <v/>
      </c>
      <c r="L108" s="28">
        <f>IF($B108="","",IF($K108="","—",IF(ROUND($K108-$J108,0)=0,"√","×")))</f>
        <v/>
      </c>
      <c r="M108" s="28">
        <f>IF($B108="","",IF(COUNTIFS(EntryDates,$B108,CalcTime,$C108,CalcBank,$C$5,EntryParty,$D108,EntryDep,$H108,EntryWit,$I108)&gt;1,"تکرار",""))</f>
        <v/>
      </c>
      <c r="N108" s="28">
        <f>IF($P108="","",IF(INDEX(EntryNotes,$P108)=0,"",INDEX(EntryNotes,$P108)))</f>
        <v/>
      </c>
      <c r="O108" s="28">
        <f>IF($P108="","",IF(INDEX(EntryTxnID,$P108)=0,"",INDEX(EntryTxnID,$P108)))</f>
        <v/>
      </c>
      <c r="P108" s="28">
        <f>IFERROR(MATCH($C$5&amp;"|"&amp;RIGHT("000000"&amp;92,6),CalcRankKey,0),"")</f>
        <v/>
      </c>
    </row>
    <row r="109">
      <c r="A109" s="26">
        <f>IF($B109="","",93)</f>
        <v/>
      </c>
      <c r="B109" s="26">
        <f>IF($P109="","",IF(INDEX(CalcNormDate,$P109)=0,"",INDEX(CalcNormDate,$P109)))</f>
        <v/>
      </c>
      <c r="C109" s="26">
        <f>IF($P109="","",IF(INDEX(CalcTime,$P109)=0,"",INDEX(CalcTime,$P109)))</f>
        <v/>
      </c>
      <c r="D109" s="26">
        <f>IF($P109="","",IF(INDEX(EntryParty,$P109)=0,"",INDEX(EntryParty,$P109)))</f>
        <v/>
      </c>
      <c r="E109" s="26">
        <f>IF($P109="","",IF(INDEX(EntryPartyName,$P109)=0,"",INDEX(EntryPartyName,$P109)))</f>
        <v/>
      </c>
      <c r="F109" s="26">
        <f>IF($P109="","",IF(INDEX(EntryPartyType,$P109)=0,"",INDEX(EntryPartyType,$P109)))</f>
        <v/>
      </c>
      <c r="G109" s="26">
        <f>IF($P109="","",IF(INDEX(EntryTxnType,$P109)=0,"",INDEX(EntryTxnType,$P109)))</f>
        <v/>
      </c>
      <c r="H109" s="27">
        <f>IF($P109="","",IF(INDEX(EntryDep,$P109)=0,"",INDEX(EntryDep,$P109)))</f>
        <v/>
      </c>
      <c r="I109" s="27">
        <f>IF($P109="","",IF(INDEX(EntryWit,$P109)=0,"",INDEX(EntryWit,$P109)))</f>
        <v/>
      </c>
      <c r="J109" s="27">
        <f>IF($B109="","",IF($A109=1,$C$7,IF(J108="",0,J108))+IF($H109="",0,$H109)-IF($I109="",0,$I109))</f>
        <v/>
      </c>
      <c r="K109" s="27">
        <f>IF($P109="","",IF(INDEX(EntryMan,$P109)=0,"",INDEX(EntryMan,$P109)))</f>
        <v/>
      </c>
      <c r="L109" s="26">
        <f>IF($B109="","",IF($K109="","—",IF(ROUND($K109-$J109,0)=0,"√","×")))</f>
        <v/>
      </c>
      <c r="M109" s="26">
        <f>IF($B109="","",IF(COUNTIFS(EntryDates,$B109,CalcTime,$C109,CalcBank,$C$5,EntryParty,$D109,EntryDep,$H109,EntryWit,$I109)&gt;1,"تکرار",""))</f>
        <v/>
      </c>
      <c r="N109" s="26">
        <f>IF($P109="","",IF(INDEX(EntryNotes,$P109)=0,"",INDEX(EntryNotes,$P109)))</f>
        <v/>
      </c>
      <c r="O109" s="26">
        <f>IF($P109="","",IF(INDEX(EntryTxnID,$P109)=0,"",INDEX(EntryTxnID,$P109)))</f>
        <v/>
      </c>
      <c r="P109" s="26">
        <f>IFERROR(MATCH($C$5&amp;"|"&amp;RIGHT("000000"&amp;93,6),CalcRankKey,0),"")</f>
        <v/>
      </c>
    </row>
    <row r="110">
      <c r="A110" s="28">
        <f>IF($B110="","",94)</f>
        <v/>
      </c>
      <c r="B110" s="28">
        <f>IF($P110="","",IF(INDEX(CalcNormDate,$P110)=0,"",INDEX(CalcNormDate,$P110)))</f>
        <v/>
      </c>
      <c r="C110" s="28">
        <f>IF($P110="","",IF(INDEX(CalcTime,$P110)=0,"",INDEX(CalcTime,$P110)))</f>
        <v/>
      </c>
      <c r="D110" s="28">
        <f>IF($P110="","",IF(INDEX(EntryParty,$P110)=0,"",INDEX(EntryParty,$P110)))</f>
        <v/>
      </c>
      <c r="E110" s="28">
        <f>IF($P110="","",IF(INDEX(EntryPartyName,$P110)=0,"",INDEX(EntryPartyName,$P110)))</f>
        <v/>
      </c>
      <c r="F110" s="28">
        <f>IF($P110="","",IF(INDEX(EntryPartyType,$P110)=0,"",INDEX(EntryPartyType,$P110)))</f>
        <v/>
      </c>
      <c r="G110" s="28">
        <f>IF($P110="","",IF(INDEX(EntryTxnType,$P110)=0,"",INDEX(EntryTxnType,$P110)))</f>
        <v/>
      </c>
      <c r="H110" s="29">
        <f>IF($P110="","",IF(INDEX(EntryDep,$P110)=0,"",INDEX(EntryDep,$P110)))</f>
        <v/>
      </c>
      <c r="I110" s="29">
        <f>IF($P110="","",IF(INDEX(EntryWit,$P110)=0,"",INDEX(EntryWit,$P110)))</f>
        <v/>
      </c>
      <c r="J110" s="29">
        <f>IF($B110="","",IF($A110=1,$C$7,IF(J109="",0,J109))+IF($H110="",0,$H110)-IF($I110="",0,$I110))</f>
        <v/>
      </c>
      <c r="K110" s="29">
        <f>IF($P110="","",IF(INDEX(EntryMan,$P110)=0,"",INDEX(EntryMan,$P110)))</f>
        <v/>
      </c>
      <c r="L110" s="28">
        <f>IF($B110="","",IF($K110="","—",IF(ROUND($K110-$J110,0)=0,"√","×")))</f>
        <v/>
      </c>
      <c r="M110" s="28">
        <f>IF($B110="","",IF(COUNTIFS(EntryDates,$B110,CalcTime,$C110,CalcBank,$C$5,EntryParty,$D110,EntryDep,$H110,EntryWit,$I110)&gt;1,"تکرار",""))</f>
        <v/>
      </c>
      <c r="N110" s="28">
        <f>IF($P110="","",IF(INDEX(EntryNotes,$P110)=0,"",INDEX(EntryNotes,$P110)))</f>
        <v/>
      </c>
      <c r="O110" s="28">
        <f>IF($P110="","",IF(INDEX(EntryTxnID,$P110)=0,"",INDEX(EntryTxnID,$P110)))</f>
        <v/>
      </c>
      <c r="P110" s="28">
        <f>IFERROR(MATCH($C$5&amp;"|"&amp;RIGHT("000000"&amp;94,6),CalcRankKey,0),"")</f>
        <v/>
      </c>
    </row>
    <row r="111">
      <c r="A111" s="26">
        <f>IF($B111="","",95)</f>
        <v/>
      </c>
      <c r="B111" s="26">
        <f>IF($P111="","",IF(INDEX(CalcNormDate,$P111)=0,"",INDEX(CalcNormDate,$P111)))</f>
        <v/>
      </c>
      <c r="C111" s="26">
        <f>IF($P111="","",IF(INDEX(CalcTime,$P111)=0,"",INDEX(CalcTime,$P111)))</f>
        <v/>
      </c>
      <c r="D111" s="26">
        <f>IF($P111="","",IF(INDEX(EntryParty,$P111)=0,"",INDEX(EntryParty,$P111)))</f>
        <v/>
      </c>
      <c r="E111" s="26">
        <f>IF($P111="","",IF(INDEX(EntryPartyName,$P111)=0,"",INDEX(EntryPartyName,$P111)))</f>
        <v/>
      </c>
      <c r="F111" s="26">
        <f>IF($P111="","",IF(INDEX(EntryPartyType,$P111)=0,"",INDEX(EntryPartyType,$P111)))</f>
        <v/>
      </c>
      <c r="G111" s="26">
        <f>IF($P111="","",IF(INDEX(EntryTxnType,$P111)=0,"",INDEX(EntryTxnType,$P111)))</f>
        <v/>
      </c>
      <c r="H111" s="27">
        <f>IF($P111="","",IF(INDEX(EntryDep,$P111)=0,"",INDEX(EntryDep,$P111)))</f>
        <v/>
      </c>
      <c r="I111" s="27">
        <f>IF($P111="","",IF(INDEX(EntryWit,$P111)=0,"",INDEX(EntryWit,$P111)))</f>
        <v/>
      </c>
      <c r="J111" s="27">
        <f>IF($B111="","",IF($A111=1,$C$7,IF(J110="",0,J110))+IF($H111="",0,$H111)-IF($I111="",0,$I111))</f>
        <v/>
      </c>
      <c r="K111" s="27">
        <f>IF($P111="","",IF(INDEX(EntryMan,$P111)=0,"",INDEX(EntryMan,$P111)))</f>
        <v/>
      </c>
      <c r="L111" s="26">
        <f>IF($B111="","",IF($K111="","—",IF(ROUND($K111-$J111,0)=0,"√","×")))</f>
        <v/>
      </c>
      <c r="M111" s="26">
        <f>IF($B111="","",IF(COUNTIFS(EntryDates,$B111,CalcTime,$C111,CalcBank,$C$5,EntryParty,$D111,EntryDep,$H111,EntryWit,$I111)&gt;1,"تکرار",""))</f>
        <v/>
      </c>
      <c r="N111" s="26">
        <f>IF($P111="","",IF(INDEX(EntryNotes,$P111)=0,"",INDEX(EntryNotes,$P111)))</f>
        <v/>
      </c>
      <c r="O111" s="26">
        <f>IF($P111="","",IF(INDEX(EntryTxnID,$P111)=0,"",INDEX(EntryTxnID,$P111)))</f>
        <v/>
      </c>
      <c r="P111" s="26">
        <f>IFERROR(MATCH($C$5&amp;"|"&amp;RIGHT("000000"&amp;95,6),CalcRankKey,0),"")</f>
        <v/>
      </c>
    </row>
    <row r="112">
      <c r="A112" s="28">
        <f>IF($B112="","",96)</f>
        <v/>
      </c>
      <c r="B112" s="28">
        <f>IF($P112="","",IF(INDEX(CalcNormDate,$P112)=0,"",INDEX(CalcNormDate,$P112)))</f>
        <v/>
      </c>
      <c r="C112" s="28">
        <f>IF($P112="","",IF(INDEX(CalcTime,$P112)=0,"",INDEX(CalcTime,$P112)))</f>
        <v/>
      </c>
      <c r="D112" s="28">
        <f>IF($P112="","",IF(INDEX(EntryParty,$P112)=0,"",INDEX(EntryParty,$P112)))</f>
        <v/>
      </c>
      <c r="E112" s="28">
        <f>IF($P112="","",IF(INDEX(EntryPartyName,$P112)=0,"",INDEX(EntryPartyName,$P112)))</f>
        <v/>
      </c>
      <c r="F112" s="28">
        <f>IF($P112="","",IF(INDEX(EntryPartyType,$P112)=0,"",INDEX(EntryPartyType,$P112)))</f>
        <v/>
      </c>
      <c r="G112" s="28">
        <f>IF($P112="","",IF(INDEX(EntryTxnType,$P112)=0,"",INDEX(EntryTxnType,$P112)))</f>
        <v/>
      </c>
      <c r="H112" s="29">
        <f>IF($P112="","",IF(INDEX(EntryDep,$P112)=0,"",INDEX(EntryDep,$P112)))</f>
        <v/>
      </c>
      <c r="I112" s="29">
        <f>IF($P112="","",IF(INDEX(EntryWit,$P112)=0,"",INDEX(EntryWit,$P112)))</f>
        <v/>
      </c>
      <c r="J112" s="29">
        <f>IF($B112="","",IF($A112=1,$C$7,IF(J111="",0,J111))+IF($H112="",0,$H112)-IF($I112="",0,$I112))</f>
        <v/>
      </c>
      <c r="K112" s="29">
        <f>IF($P112="","",IF(INDEX(EntryMan,$P112)=0,"",INDEX(EntryMan,$P112)))</f>
        <v/>
      </c>
      <c r="L112" s="28">
        <f>IF($B112="","",IF($K112="","—",IF(ROUND($K112-$J112,0)=0,"√","×")))</f>
        <v/>
      </c>
      <c r="M112" s="28">
        <f>IF($B112="","",IF(COUNTIFS(EntryDates,$B112,CalcTime,$C112,CalcBank,$C$5,EntryParty,$D112,EntryDep,$H112,EntryWit,$I112)&gt;1,"تکرار",""))</f>
        <v/>
      </c>
      <c r="N112" s="28">
        <f>IF($P112="","",IF(INDEX(EntryNotes,$P112)=0,"",INDEX(EntryNotes,$P112)))</f>
        <v/>
      </c>
      <c r="O112" s="28">
        <f>IF($P112="","",IF(INDEX(EntryTxnID,$P112)=0,"",INDEX(EntryTxnID,$P112)))</f>
        <v/>
      </c>
      <c r="P112" s="28">
        <f>IFERROR(MATCH($C$5&amp;"|"&amp;RIGHT("000000"&amp;96,6),CalcRankKey,0),"")</f>
        <v/>
      </c>
    </row>
    <row r="113">
      <c r="A113" s="26">
        <f>IF($B113="","",97)</f>
        <v/>
      </c>
      <c r="B113" s="26">
        <f>IF($P113="","",IF(INDEX(CalcNormDate,$P113)=0,"",INDEX(CalcNormDate,$P113)))</f>
        <v/>
      </c>
      <c r="C113" s="26">
        <f>IF($P113="","",IF(INDEX(CalcTime,$P113)=0,"",INDEX(CalcTime,$P113)))</f>
        <v/>
      </c>
      <c r="D113" s="26">
        <f>IF($P113="","",IF(INDEX(EntryParty,$P113)=0,"",INDEX(EntryParty,$P113)))</f>
        <v/>
      </c>
      <c r="E113" s="26">
        <f>IF($P113="","",IF(INDEX(EntryPartyName,$P113)=0,"",INDEX(EntryPartyName,$P113)))</f>
        <v/>
      </c>
      <c r="F113" s="26">
        <f>IF($P113="","",IF(INDEX(EntryPartyType,$P113)=0,"",INDEX(EntryPartyType,$P113)))</f>
        <v/>
      </c>
      <c r="G113" s="26">
        <f>IF($P113="","",IF(INDEX(EntryTxnType,$P113)=0,"",INDEX(EntryTxnType,$P113)))</f>
        <v/>
      </c>
      <c r="H113" s="27">
        <f>IF($P113="","",IF(INDEX(EntryDep,$P113)=0,"",INDEX(EntryDep,$P113)))</f>
        <v/>
      </c>
      <c r="I113" s="27">
        <f>IF($P113="","",IF(INDEX(EntryWit,$P113)=0,"",INDEX(EntryWit,$P113)))</f>
        <v/>
      </c>
      <c r="J113" s="27">
        <f>IF($B113="","",IF($A113=1,$C$7,IF(J112="",0,J112))+IF($H113="",0,$H113)-IF($I113="",0,$I113))</f>
        <v/>
      </c>
      <c r="K113" s="27">
        <f>IF($P113="","",IF(INDEX(EntryMan,$P113)=0,"",INDEX(EntryMan,$P113)))</f>
        <v/>
      </c>
      <c r="L113" s="26">
        <f>IF($B113="","",IF($K113="","—",IF(ROUND($K113-$J113,0)=0,"√","×")))</f>
        <v/>
      </c>
      <c r="M113" s="26">
        <f>IF($B113="","",IF(COUNTIFS(EntryDates,$B113,CalcTime,$C113,CalcBank,$C$5,EntryParty,$D113,EntryDep,$H113,EntryWit,$I113)&gt;1,"تکرار",""))</f>
        <v/>
      </c>
      <c r="N113" s="26">
        <f>IF($P113="","",IF(INDEX(EntryNotes,$P113)=0,"",INDEX(EntryNotes,$P113)))</f>
        <v/>
      </c>
      <c r="O113" s="26">
        <f>IF($P113="","",IF(INDEX(EntryTxnID,$P113)=0,"",INDEX(EntryTxnID,$P113)))</f>
        <v/>
      </c>
      <c r="P113" s="26">
        <f>IFERROR(MATCH($C$5&amp;"|"&amp;RIGHT("000000"&amp;97,6),CalcRankKey,0),"")</f>
        <v/>
      </c>
    </row>
    <row r="114">
      <c r="A114" s="28">
        <f>IF($B114="","",98)</f>
        <v/>
      </c>
      <c r="B114" s="28">
        <f>IF($P114="","",IF(INDEX(CalcNormDate,$P114)=0,"",INDEX(CalcNormDate,$P114)))</f>
        <v/>
      </c>
      <c r="C114" s="28">
        <f>IF($P114="","",IF(INDEX(CalcTime,$P114)=0,"",INDEX(CalcTime,$P114)))</f>
        <v/>
      </c>
      <c r="D114" s="28">
        <f>IF($P114="","",IF(INDEX(EntryParty,$P114)=0,"",INDEX(EntryParty,$P114)))</f>
        <v/>
      </c>
      <c r="E114" s="28">
        <f>IF($P114="","",IF(INDEX(EntryPartyName,$P114)=0,"",INDEX(EntryPartyName,$P114)))</f>
        <v/>
      </c>
      <c r="F114" s="28">
        <f>IF($P114="","",IF(INDEX(EntryPartyType,$P114)=0,"",INDEX(EntryPartyType,$P114)))</f>
        <v/>
      </c>
      <c r="G114" s="28">
        <f>IF($P114="","",IF(INDEX(EntryTxnType,$P114)=0,"",INDEX(EntryTxnType,$P114)))</f>
        <v/>
      </c>
      <c r="H114" s="29">
        <f>IF($P114="","",IF(INDEX(EntryDep,$P114)=0,"",INDEX(EntryDep,$P114)))</f>
        <v/>
      </c>
      <c r="I114" s="29">
        <f>IF($P114="","",IF(INDEX(EntryWit,$P114)=0,"",INDEX(EntryWit,$P114)))</f>
        <v/>
      </c>
      <c r="J114" s="29">
        <f>IF($B114="","",IF($A114=1,$C$7,IF(J113="",0,J113))+IF($H114="",0,$H114)-IF($I114="",0,$I114))</f>
        <v/>
      </c>
      <c r="K114" s="29">
        <f>IF($P114="","",IF(INDEX(EntryMan,$P114)=0,"",INDEX(EntryMan,$P114)))</f>
        <v/>
      </c>
      <c r="L114" s="28">
        <f>IF($B114="","",IF($K114="","—",IF(ROUND($K114-$J114,0)=0,"√","×")))</f>
        <v/>
      </c>
      <c r="M114" s="28">
        <f>IF($B114="","",IF(COUNTIFS(EntryDates,$B114,CalcTime,$C114,CalcBank,$C$5,EntryParty,$D114,EntryDep,$H114,EntryWit,$I114)&gt;1,"تکرار",""))</f>
        <v/>
      </c>
      <c r="N114" s="28">
        <f>IF($P114="","",IF(INDEX(EntryNotes,$P114)=0,"",INDEX(EntryNotes,$P114)))</f>
        <v/>
      </c>
      <c r="O114" s="28">
        <f>IF($P114="","",IF(INDEX(EntryTxnID,$P114)=0,"",INDEX(EntryTxnID,$P114)))</f>
        <v/>
      </c>
      <c r="P114" s="28">
        <f>IFERROR(MATCH($C$5&amp;"|"&amp;RIGHT("000000"&amp;98,6),CalcRankKey,0),"")</f>
        <v/>
      </c>
    </row>
    <row r="115">
      <c r="A115" s="26">
        <f>IF($B115="","",99)</f>
        <v/>
      </c>
      <c r="B115" s="26">
        <f>IF($P115="","",IF(INDEX(CalcNormDate,$P115)=0,"",INDEX(CalcNormDate,$P115)))</f>
        <v/>
      </c>
      <c r="C115" s="26">
        <f>IF($P115="","",IF(INDEX(CalcTime,$P115)=0,"",INDEX(CalcTime,$P115)))</f>
        <v/>
      </c>
      <c r="D115" s="26">
        <f>IF($P115="","",IF(INDEX(EntryParty,$P115)=0,"",INDEX(EntryParty,$P115)))</f>
        <v/>
      </c>
      <c r="E115" s="26">
        <f>IF($P115="","",IF(INDEX(EntryPartyName,$P115)=0,"",INDEX(EntryPartyName,$P115)))</f>
        <v/>
      </c>
      <c r="F115" s="26">
        <f>IF($P115="","",IF(INDEX(EntryPartyType,$P115)=0,"",INDEX(EntryPartyType,$P115)))</f>
        <v/>
      </c>
      <c r="G115" s="26">
        <f>IF($P115="","",IF(INDEX(EntryTxnType,$P115)=0,"",INDEX(EntryTxnType,$P115)))</f>
        <v/>
      </c>
      <c r="H115" s="27">
        <f>IF($P115="","",IF(INDEX(EntryDep,$P115)=0,"",INDEX(EntryDep,$P115)))</f>
        <v/>
      </c>
      <c r="I115" s="27">
        <f>IF($P115="","",IF(INDEX(EntryWit,$P115)=0,"",INDEX(EntryWit,$P115)))</f>
        <v/>
      </c>
      <c r="J115" s="27">
        <f>IF($B115="","",IF($A115=1,$C$7,IF(J114="",0,J114))+IF($H115="",0,$H115)-IF($I115="",0,$I115))</f>
        <v/>
      </c>
      <c r="K115" s="27">
        <f>IF($P115="","",IF(INDEX(EntryMan,$P115)=0,"",INDEX(EntryMan,$P115)))</f>
        <v/>
      </c>
      <c r="L115" s="26">
        <f>IF($B115="","",IF($K115="","—",IF(ROUND($K115-$J115,0)=0,"√","×")))</f>
        <v/>
      </c>
      <c r="M115" s="26">
        <f>IF($B115="","",IF(COUNTIFS(EntryDates,$B115,CalcTime,$C115,CalcBank,$C$5,EntryParty,$D115,EntryDep,$H115,EntryWit,$I115)&gt;1,"تکرار",""))</f>
        <v/>
      </c>
      <c r="N115" s="26">
        <f>IF($P115="","",IF(INDEX(EntryNotes,$P115)=0,"",INDEX(EntryNotes,$P115)))</f>
        <v/>
      </c>
      <c r="O115" s="26">
        <f>IF($P115="","",IF(INDEX(EntryTxnID,$P115)=0,"",INDEX(EntryTxnID,$P115)))</f>
        <v/>
      </c>
      <c r="P115" s="26">
        <f>IFERROR(MATCH($C$5&amp;"|"&amp;RIGHT("000000"&amp;99,6),CalcRankKey,0),"")</f>
        <v/>
      </c>
    </row>
    <row r="116">
      <c r="A116" s="28">
        <f>IF($B116="","",100)</f>
        <v/>
      </c>
      <c r="B116" s="28">
        <f>IF($P116="","",IF(INDEX(CalcNormDate,$P116)=0,"",INDEX(CalcNormDate,$P116)))</f>
        <v/>
      </c>
      <c r="C116" s="28">
        <f>IF($P116="","",IF(INDEX(CalcTime,$P116)=0,"",INDEX(CalcTime,$P116)))</f>
        <v/>
      </c>
      <c r="D116" s="28">
        <f>IF($P116="","",IF(INDEX(EntryParty,$P116)=0,"",INDEX(EntryParty,$P116)))</f>
        <v/>
      </c>
      <c r="E116" s="28">
        <f>IF($P116="","",IF(INDEX(EntryPartyName,$P116)=0,"",INDEX(EntryPartyName,$P116)))</f>
        <v/>
      </c>
      <c r="F116" s="28">
        <f>IF($P116="","",IF(INDEX(EntryPartyType,$P116)=0,"",INDEX(EntryPartyType,$P116)))</f>
        <v/>
      </c>
      <c r="G116" s="28">
        <f>IF($P116="","",IF(INDEX(EntryTxnType,$P116)=0,"",INDEX(EntryTxnType,$P116)))</f>
        <v/>
      </c>
      <c r="H116" s="29">
        <f>IF($P116="","",IF(INDEX(EntryDep,$P116)=0,"",INDEX(EntryDep,$P116)))</f>
        <v/>
      </c>
      <c r="I116" s="29">
        <f>IF($P116="","",IF(INDEX(EntryWit,$P116)=0,"",INDEX(EntryWit,$P116)))</f>
        <v/>
      </c>
      <c r="J116" s="29">
        <f>IF($B116="","",IF($A116=1,$C$7,IF(J115="",0,J115))+IF($H116="",0,$H116)-IF($I116="",0,$I116))</f>
        <v/>
      </c>
      <c r="K116" s="29">
        <f>IF($P116="","",IF(INDEX(EntryMan,$P116)=0,"",INDEX(EntryMan,$P116)))</f>
        <v/>
      </c>
      <c r="L116" s="28">
        <f>IF($B116="","",IF($K116="","—",IF(ROUND($K116-$J116,0)=0,"√","×")))</f>
        <v/>
      </c>
      <c r="M116" s="28">
        <f>IF($B116="","",IF(COUNTIFS(EntryDates,$B116,CalcTime,$C116,CalcBank,$C$5,EntryParty,$D116,EntryDep,$H116,EntryWit,$I116)&gt;1,"تکرار",""))</f>
        <v/>
      </c>
      <c r="N116" s="28">
        <f>IF($P116="","",IF(INDEX(EntryNotes,$P116)=0,"",INDEX(EntryNotes,$P116)))</f>
        <v/>
      </c>
      <c r="O116" s="28">
        <f>IF($P116="","",IF(INDEX(EntryTxnID,$P116)=0,"",INDEX(EntryTxnID,$P116)))</f>
        <v/>
      </c>
      <c r="P116" s="28">
        <f>IFERROR(MATCH($C$5&amp;"|"&amp;RIGHT("000000"&amp;100,6),CalcRankKey,0),"")</f>
        <v/>
      </c>
    </row>
    <row r="117">
      <c r="A117" s="26">
        <f>IF($B117="","",101)</f>
        <v/>
      </c>
      <c r="B117" s="26">
        <f>IF($P117="","",IF(INDEX(CalcNormDate,$P117)=0,"",INDEX(CalcNormDate,$P117)))</f>
        <v/>
      </c>
      <c r="C117" s="26">
        <f>IF($P117="","",IF(INDEX(CalcTime,$P117)=0,"",INDEX(CalcTime,$P117)))</f>
        <v/>
      </c>
      <c r="D117" s="26">
        <f>IF($P117="","",IF(INDEX(EntryParty,$P117)=0,"",INDEX(EntryParty,$P117)))</f>
        <v/>
      </c>
      <c r="E117" s="26">
        <f>IF($P117="","",IF(INDEX(EntryPartyName,$P117)=0,"",INDEX(EntryPartyName,$P117)))</f>
        <v/>
      </c>
      <c r="F117" s="26">
        <f>IF($P117="","",IF(INDEX(EntryPartyType,$P117)=0,"",INDEX(EntryPartyType,$P117)))</f>
        <v/>
      </c>
      <c r="G117" s="26">
        <f>IF($P117="","",IF(INDEX(EntryTxnType,$P117)=0,"",INDEX(EntryTxnType,$P117)))</f>
        <v/>
      </c>
      <c r="H117" s="27">
        <f>IF($P117="","",IF(INDEX(EntryDep,$P117)=0,"",INDEX(EntryDep,$P117)))</f>
        <v/>
      </c>
      <c r="I117" s="27">
        <f>IF($P117="","",IF(INDEX(EntryWit,$P117)=0,"",INDEX(EntryWit,$P117)))</f>
        <v/>
      </c>
      <c r="J117" s="27">
        <f>IF($B117="","",IF($A117=1,$C$7,IF(J116="",0,J116))+IF($H117="",0,$H117)-IF($I117="",0,$I117))</f>
        <v/>
      </c>
      <c r="K117" s="27">
        <f>IF($P117="","",IF(INDEX(EntryMan,$P117)=0,"",INDEX(EntryMan,$P117)))</f>
        <v/>
      </c>
      <c r="L117" s="26">
        <f>IF($B117="","",IF($K117="","—",IF(ROUND($K117-$J117,0)=0,"√","×")))</f>
        <v/>
      </c>
      <c r="M117" s="26">
        <f>IF($B117="","",IF(COUNTIFS(EntryDates,$B117,CalcTime,$C117,CalcBank,$C$5,EntryParty,$D117,EntryDep,$H117,EntryWit,$I117)&gt;1,"تکرار",""))</f>
        <v/>
      </c>
      <c r="N117" s="26">
        <f>IF($P117="","",IF(INDEX(EntryNotes,$P117)=0,"",INDEX(EntryNotes,$P117)))</f>
        <v/>
      </c>
      <c r="O117" s="26">
        <f>IF($P117="","",IF(INDEX(EntryTxnID,$P117)=0,"",INDEX(EntryTxnID,$P117)))</f>
        <v/>
      </c>
      <c r="P117" s="26">
        <f>IFERROR(MATCH($C$5&amp;"|"&amp;RIGHT("000000"&amp;101,6),CalcRankKey,0),"")</f>
        <v/>
      </c>
    </row>
    <row r="118">
      <c r="A118" s="28">
        <f>IF($B118="","",102)</f>
        <v/>
      </c>
      <c r="B118" s="28">
        <f>IF($P118="","",IF(INDEX(CalcNormDate,$P118)=0,"",INDEX(CalcNormDate,$P118)))</f>
        <v/>
      </c>
      <c r="C118" s="28">
        <f>IF($P118="","",IF(INDEX(CalcTime,$P118)=0,"",INDEX(CalcTime,$P118)))</f>
        <v/>
      </c>
      <c r="D118" s="28">
        <f>IF($P118="","",IF(INDEX(EntryParty,$P118)=0,"",INDEX(EntryParty,$P118)))</f>
        <v/>
      </c>
      <c r="E118" s="28">
        <f>IF($P118="","",IF(INDEX(EntryPartyName,$P118)=0,"",INDEX(EntryPartyName,$P118)))</f>
        <v/>
      </c>
      <c r="F118" s="28">
        <f>IF($P118="","",IF(INDEX(EntryPartyType,$P118)=0,"",INDEX(EntryPartyType,$P118)))</f>
        <v/>
      </c>
      <c r="G118" s="28">
        <f>IF($P118="","",IF(INDEX(EntryTxnType,$P118)=0,"",INDEX(EntryTxnType,$P118)))</f>
        <v/>
      </c>
      <c r="H118" s="29">
        <f>IF($P118="","",IF(INDEX(EntryDep,$P118)=0,"",INDEX(EntryDep,$P118)))</f>
        <v/>
      </c>
      <c r="I118" s="29">
        <f>IF($P118="","",IF(INDEX(EntryWit,$P118)=0,"",INDEX(EntryWit,$P118)))</f>
        <v/>
      </c>
      <c r="J118" s="29">
        <f>IF($B118="","",IF($A118=1,$C$7,IF(J117="",0,J117))+IF($H118="",0,$H118)-IF($I118="",0,$I118))</f>
        <v/>
      </c>
      <c r="K118" s="29">
        <f>IF($P118="","",IF(INDEX(EntryMan,$P118)=0,"",INDEX(EntryMan,$P118)))</f>
        <v/>
      </c>
      <c r="L118" s="28">
        <f>IF($B118="","",IF($K118="","—",IF(ROUND($K118-$J118,0)=0,"√","×")))</f>
        <v/>
      </c>
      <c r="M118" s="28">
        <f>IF($B118="","",IF(COUNTIFS(EntryDates,$B118,CalcTime,$C118,CalcBank,$C$5,EntryParty,$D118,EntryDep,$H118,EntryWit,$I118)&gt;1,"تکرار",""))</f>
        <v/>
      </c>
      <c r="N118" s="28">
        <f>IF($P118="","",IF(INDEX(EntryNotes,$P118)=0,"",INDEX(EntryNotes,$P118)))</f>
        <v/>
      </c>
      <c r="O118" s="28">
        <f>IF($P118="","",IF(INDEX(EntryTxnID,$P118)=0,"",INDEX(EntryTxnID,$P118)))</f>
        <v/>
      </c>
      <c r="P118" s="28">
        <f>IFERROR(MATCH($C$5&amp;"|"&amp;RIGHT("000000"&amp;102,6),CalcRankKey,0),"")</f>
        <v/>
      </c>
    </row>
    <row r="119">
      <c r="A119" s="26">
        <f>IF($B119="","",103)</f>
        <v/>
      </c>
      <c r="B119" s="26">
        <f>IF($P119="","",IF(INDEX(CalcNormDate,$P119)=0,"",INDEX(CalcNormDate,$P119)))</f>
        <v/>
      </c>
      <c r="C119" s="26">
        <f>IF($P119="","",IF(INDEX(CalcTime,$P119)=0,"",INDEX(CalcTime,$P119)))</f>
        <v/>
      </c>
      <c r="D119" s="26">
        <f>IF($P119="","",IF(INDEX(EntryParty,$P119)=0,"",INDEX(EntryParty,$P119)))</f>
        <v/>
      </c>
      <c r="E119" s="26">
        <f>IF($P119="","",IF(INDEX(EntryPartyName,$P119)=0,"",INDEX(EntryPartyName,$P119)))</f>
        <v/>
      </c>
      <c r="F119" s="26">
        <f>IF($P119="","",IF(INDEX(EntryPartyType,$P119)=0,"",INDEX(EntryPartyType,$P119)))</f>
        <v/>
      </c>
      <c r="G119" s="26">
        <f>IF($P119="","",IF(INDEX(EntryTxnType,$P119)=0,"",INDEX(EntryTxnType,$P119)))</f>
        <v/>
      </c>
      <c r="H119" s="27">
        <f>IF($P119="","",IF(INDEX(EntryDep,$P119)=0,"",INDEX(EntryDep,$P119)))</f>
        <v/>
      </c>
      <c r="I119" s="27">
        <f>IF($P119="","",IF(INDEX(EntryWit,$P119)=0,"",INDEX(EntryWit,$P119)))</f>
        <v/>
      </c>
      <c r="J119" s="27">
        <f>IF($B119="","",IF($A119=1,$C$7,IF(J118="",0,J118))+IF($H119="",0,$H119)-IF($I119="",0,$I119))</f>
        <v/>
      </c>
      <c r="K119" s="27">
        <f>IF($P119="","",IF(INDEX(EntryMan,$P119)=0,"",INDEX(EntryMan,$P119)))</f>
        <v/>
      </c>
      <c r="L119" s="26">
        <f>IF($B119="","",IF($K119="","—",IF(ROUND($K119-$J119,0)=0,"√","×")))</f>
        <v/>
      </c>
      <c r="M119" s="26">
        <f>IF($B119="","",IF(COUNTIFS(EntryDates,$B119,CalcTime,$C119,CalcBank,$C$5,EntryParty,$D119,EntryDep,$H119,EntryWit,$I119)&gt;1,"تکرار",""))</f>
        <v/>
      </c>
      <c r="N119" s="26">
        <f>IF($P119="","",IF(INDEX(EntryNotes,$P119)=0,"",INDEX(EntryNotes,$P119)))</f>
        <v/>
      </c>
      <c r="O119" s="26">
        <f>IF($P119="","",IF(INDEX(EntryTxnID,$P119)=0,"",INDEX(EntryTxnID,$P119)))</f>
        <v/>
      </c>
      <c r="P119" s="26">
        <f>IFERROR(MATCH($C$5&amp;"|"&amp;RIGHT("000000"&amp;103,6),CalcRankKey,0),"")</f>
        <v/>
      </c>
    </row>
    <row r="120">
      <c r="A120" s="28">
        <f>IF($B120="","",104)</f>
        <v/>
      </c>
      <c r="B120" s="28">
        <f>IF($P120="","",IF(INDEX(CalcNormDate,$P120)=0,"",INDEX(CalcNormDate,$P120)))</f>
        <v/>
      </c>
      <c r="C120" s="28">
        <f>IF($P120="","",IF(INDEX(CalcTime,$P120)=0,"",INDEX(CalcTime,$P120)))</f>
        <v/>
      </c>
      <c r="D120" s="28">
        <f>IF($P120="","",IF(INDEX(EntryParty,$P120)=0,"",INDEX(EntryParty,$P120)))</f>
        <v/>
      </c>
      <c r="E120" s="28">
        <f>IF($P120="","",IF(INDEX(EntryPartyName,$P120)=0,"",INDEX(EntryPartyName,$P120)))</f>
        <v/>
      </c>
      <c r="F120" s="28">
        <f>IF($P120="","",IF(INDEX(EntryPartyType,$P120)=0,"",INDEX(EntryPartyType,$P120)))</f>
        <v/>
      </c>
      <c r="G120" s="28">
        <f>IF($P120="","",IF(INDEX(EntryTxnType,$P120)=0,"",INDEX(EntryTxnType,$P120)))</f>
        <v/>
      </c>
      <c r="H120" s="29">
        <f>IF($P120="","",IF(INDEX(EntryDep,$P120)=0,"",INDEX(EntryDep,$P120)))</f>
        <v/>
      </c>
      <c r="I120" s="29">
        <f>IF($P120="","",IF(INDEX(EntryWit,$P120)=0,"",INDEX(EntryWit,$P120)))</f>
        <v/>
      </c>
      <c r="J120" s="29">
        <f>IF($B120="","",IF($A120=1,$C$7,IF(J119="",0,J119))+IF($H120="",0,$H120)-IF($I120="",0,$I120))</f>
        <v/>
      </c>
      <c r="K120" s="29">
        <f>IF($P120="","",IF(INDEX(EntryMan,$P120)=0,"",INDEX(EntryMan,$P120)))</f>
        <v/>
      </c>
      <c r="L120" s="28">
        <f>IF($B120="","",IF($K120="","—",IF(ROUND($K120-$J120,0)=0,"√","×")))</f>
        <v/>
      </c>
      <c r="M120" s="28">
        <f>IF($B120="","",IF(COUNTIFS(EntryDates,$B120,CalcTime,$C120,CalcBank,$C$5,EntryParty,$D120,EntryDep,$H120,EntryWit,$I120)&gt;1,"تکرار",""))</f>
        <v/>
      </c>
      <c r="N120" s="28">
        <f>IF($P120="","",IF(INDEX(EntryNotes,$P120)=0,"",INDEX(EntryNotes,$P120)))</f>
        <v/>
      </c>
      <c r="O120" s="28">
        <f>IF($P120="","",IF(INDEX(EntryTxnID,$P120)=0,"",INDEX(EntryTxnID,$P120)))</f>
        <v/>
      </c>
      <c r="P120" s="28">
        <f>IFERROR(MATCH($C$5&amp;"|"&amp;RIGHT("000000"&amp;104,6),CalcRankKey,0),"")</f>
        <v/>
      </c>
    </row>
    <row r="121">
      <c r="A121" s="26">
        <f>IF($B121="","",105)</f>
        <v/>
      </c>
      <c r="B121" s="26">
        <f>IF($P121="","",IF(INDEX(CalcNormDate,$P121)=0,"",INDEX(CalcNormDate,$P121)))</f>
        <v/>
      </c>
      <c r="C121" s="26">
        <f>IF($P121="","",IF(INDEX(CalcTime,$P121)=0,"",INDEX(CalcTime,$P121)))</f>
        <v/>
      </c>
      <c r="D121" s="26">
        <f>IF($P121="","",IF(INDEX(EntryParty,$P121)=0,"",INDEX(EntryParty,$P121)))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IF($P121="","",IF(INDEX(EntryPartyType,$P121)=0,"",INDEX(EntryPartyType,$P121)))</f>
        <v/>
      </c>
      <c r="G121" s="26">
        <f>IF($P121="","",IF(INDEX(EntryTxnType,$P121)=0,"",INDEX(EntryTxnType,$P121)))</f>
        <v/>
      </c>
      <c r="H121" s="27">
        <f>IF($P121="","",IF(INDEX(EntryDep,$P121)=0,"",INDEX(EntryDep,$P121)))</f>
        <v/>
      </c>
      <c r="I121" s="27">
        <f>IF($P121="","",IF(INDEX(EntryWit,$P121)=0,"",INDEX(EntryWit,$P121)))</f>
        <v/>
      </c>
      <c r="J121" s="27">
        <f>IF($B121="","",IF($A121=1,$C$7,IF(J120="",0,J120))+IF($H121="",0,$H121)-IF($I121="",0,$I121))</f>
        <v/>
      </c>
      <c r="K121" s="27">
        <f>IF($P121="","",IF(INDEX(EntryMan,$P121)=0,"",INDEX(EntryMan,$P121)))</f>
        <v/>
      </c>
      <c r="L121" s="26">
        <f>IF($B121="","",IF($K121="","—",IF(ROUND($K121-$J121,0)=0,"√","×")))</f>
        <v/>
      </c>
      <c r="M121" s="26">
        <f>IF($B121="","",IF(COUNTIFS(EntryDates,$B121,CalcTime,$C121,CalcBank,$C$5,EntryParty,$D121,EntryDep,$H121,EntryWit,$I121)&gt;1,"تکرار",""))</f>
        <v/>
      </c>
      <c r="N121" s="26">
        <f>IF($P121="","",IF(INDEX(EntryNotes,$P121)=0,"",INDEX(EntryNotes,$P121)))</f>
        <v/>
      </c>
      <c r="O121" s="26">
        <f>IF($P121="","",IF(INDEX(EntryTxnID,$P121)=0,"",INDEX(EntryTxnID,$P121)))</f>
        <v/>
      </c>
      <c r="P121" s="26">
        <f>IFERROR(MATCH($C$5&amp;"|"&amp;RIGHT("000000"&amp;105,6),CalcRankKey,0),"")</f>
        <v/>
      </c>
    </row>
    <row r="122">
      <c r="A122" s="28">
        <f>IF($B122="","",106)</f>
        <v/>
      </c>
      <c r="B122" s="28">
        <f>IF($P122="","",IF(INDEX(CalcNormDate,$P122)=0,"",INDEX(CalcNormDate,$P122)))</f>
        <v/>
      </c>
      <c r="C122" s="28">
        <f>IF($P122="","",IF(INDEX(CalcTime,$P122)=0,"",INDEX(CalcTime,$P122)))</f>
        <v/>
      </c>
      <c r="D122" s="28">
        <f>IF($P122="","",IF(INDEX(EntryParty,$P122)=0,"",INDEX(EntryParty,$P122)))</f>
        <v/>
      </c>
      <c r="E122" s="28">
        <f>IF($P122="","",IF(INDEX(EntryPartyName,$P122)=0,"",INDEX(EntryPartyName,$P122)))</f>
        <v/>
      </c>
      <c r="F122" s="28">
        <f>IF($P122="","",IF(INDEX(EntryPartyType,$P122)=0,"",INDEX(EntryPartyType,$P122)))</f>
        <v/>
      </c>
      <c r="G122" s="28">
        <f>IF($P122="","",IF(INDEX(EntryTxnType,$P122)=0,"",INDEX(EntryTxnType,$P122)))</f>
        <v/>
      </c>
      <c r="H122" s="29">
        <f>IF($P122="","",IF(INDEX(EntryDep,$P122)=0,"",INDEX(EntryDep,$P122)))</f>
        <v/>
      </c>
      <c r="I122" s="29">
        <f>IF($P122="","",IF(INDEX(EntryWit,$P122)=0,"",INDEX(EntryWit,$P122)))</f>
        <v/>
      </c>
      <c r="J122" s="29">
        <f>IF($B122="","",IF($A122=1,$C$7,IF(J121="",0,J121))+IF($H122="",0,$H122)-IF($I122="",0,$I122))</f>
        <v/>
      </c>
      <c r="K122" s="29">
        <f>IF($P122="","",IF(INDEX(EntryMan,$P122)=0,"",INDEX(EntryMan,$P122)))</f>
        <v/>
      </c>
      <c r="L122" s="28">
        <f>IF($B122="","",IF($K122="","—",IF(ROUND($K122-$J122,0)=0,"√","×")))</f>
        <v/>
      </c>
      <c r="M122" s="28">
        <f>IF($B122="","",IF(COUNTIFS(EntryDates,$B122,CalcTime,$C122,CalcBank,$C$5,EntryParty,$D122,EntryDep,$H122,EntryWit,$I122)&gt;1,"تکرار",""))</f>
        <v/>
      </c>
      <c r="N122" s="28">
        <f>IF($P122="","",IF(INDEX(EntryNotes,$P122)=0,"",INDEX(EntryNotes,$P122)))</f>
        <v/>
      </c>
      <c r="O122" s="28">
        <f>IF($P122="","",IF(INDEX(EntryTxnID,$P122)=0,"",INDEX(EntryTxnID,$P122)))</f>
        <v/>
      </c>
      <c r="P122" s="28">
        <f>IFERROR(MATCH($C$5&amp;"|"&amp;RIGHT("000000"&amp;106,6),CalcRankKey,0),"")</f>
        <v/>
      </c>
    </row>
    <row r="123">
      <c r="A123" s="26">
        <f>IF($B123="","",107)</f>
        <v/>
      </c>
      <c r="B123" s="26">
        <f>IF($P123="","",IF(INDEX(CalcNormDate,$P123)=0,"",INDEX(CalcNormDate,$P123)))</f>
        <v/>
      </c>
      <c r="C123" s="26">
        <f>IF($P123="","",IF(INDEX(CalcTime,$P123)=0,"",INDEX(CalcTime,$P123)))</f>
        <v/>
      </c>
      <c r="D123" s="26">
        <f>IF($P123="","",IF(INDEX(EntryParty,$P123)=0,"",INDEX(EntryParty,$P123)))</f>
        <v/>
      </c>
      <c r="E123" s="26">
        <f>IF($P123="","",IF(INDEX(EntryPartyName,$P123)=0,"",INDEX(EntryPartyName,$P123)))</f>
        <v/>
      </c>
      <c r="F123" s="26">
        <f>IF($P123="","",IF(INDEX(EntryPartyType,$P123)=0,"",INDEX(EntryPartyType,$P123)))</f>
        <v/>
      </c>
      <c r="G123" s="26">
        <f>IF($P123="","",IF(INDEX(EntryTxnType,$P123)=0,"",INDEX(EntryTxnType,$P123)))</f>
        <v/>
      </c>
      <c r="H123" s="27">
        <f>IF($P123="","",IF(INDEX(EntryDep,$P123)=0,"",INDEX(EntryDep,$P123)))</f>
        <v/>
      </c>
      <c r="I123" s="27">
        <f>IF($P123="","",IF(INDEX(EntryWit,$P123)=0,"",INDEX(EntryWit,$P123)))</f>
        <v/>
      </c>
      <c r="J123" s="27">
        <f>IF($B123="","",IF($A123=1,$C$7,IF(J122="",0,J122))+IF($H123="",0,$H123)-IF($I123="",0,$I123))</f>
        <v/>
      </c>
      <c r="K123" s="27">
        <f>IF($P123="","",IF(INDEX(EntryMan,$P123)=0,"",INDEX(EntryMan,$P123)))</f>
        <v/>
      </c>
      <c r="L123" s="26">
        <f>IF($B123="","",IF($K123="","—",IF(ROUND($K123-$J123,0)=0,"√","×")))</f>
        <v/>
      </c>
      <c r="M123" s="26">
        <f>IF($B123="","",IF(COUNTIFS(EntryDates,$B123,CalcTime,$C123,CalcBank,$C$5,EntryParty,$D123,EntryDep,$H123,EntryWit,$I123)&gt;1,"تکرار",""))</f>
        <v/>
      </c>
      <c r="N123" s="26">
        <f>IF($P123="","",IF(INDEX(EntryNotes,$P123)=0,"",INDEX(EntryNotes,$P123)))</f>
        <v/>
      </c>
      <c r="O123" s="26">
        <f>IF($P123="","",IF(INDEX(EntryTxnID,$P123)=0,"",INDEX(EntryTxnID,$P123)))</f>
        <v/>
      </c>
      <c r="P123" s="26">
        <f>IFERROR(MATCH($C$5&amp;"|"&amp;RIGHT("000000"&amp;107,6),CalcRankKey,0),"")</f>
        <v/>
      </c>
    </row>
    <row r="124">
      <c r="A124" s="28">
        <f>IF($B124="","",108)</f>
        <v/>
      </c>
      <c r="B124" s="28">
        <f>IF($P124="","",IF(INDEX(CalcNormDate,$P124)=0,"",INDEX(CalcNormDate,$P124)))</f>
        <v/>
      </c>
      <c r="C124" s="28">
        <f>IF($P124="","",IF(INDEX(CalcTime,$P124)=0,"",INDEX(CalcTime,$P124)))</f>
        <v/>
      </c>
      <c r="D124" s="28">
        <f>IF($P124="","",IF(INDEX(EntryParty,$P124)=0,"",INDEX(EntryParty,$P124)))</f>
        <v/>
      </c>
      <c r="E124" s="28">
        <f>IF($P124="","",IF(INDEX(EntryPartyName,$P124)=0,"",INDEX(EntryPartyName,$P124)))</f>
        <v/>
      </c>
      <c r="F124" s="28">
        <f>IF($P124="","",IF(INDEX(EntryPartyType,$P124)=0,"",INDEX(EntryPartyType,$P124)))</f>
        <v/>
      </c>
      <c r="G124" s="28">
        <f>IF($P124="","",IF(INDEX(EntryTxnType,$P124)=0,"",INDEX(EntryTxnType,$P124)))</f>
        <v/>
      </c>
      <c r="H124" s="29">
        <f>IF($P124="","",IF(INDEX(EntryDep,$P124)=0,"",INDEX(EntryDep,$P124)))</f>
        <v/>
      </c>
      <c r="I124" s="29">
        <f>IF($P124="","",IF(INDEX(EntryWit,$P124)=0,"",INDEX(EntryWit,$P124)))</f>
        <v/>
      </c>
      <c r="J124" s="29">
        <f>IF($B124="","",IF($A124=1,$C$7,IF(J123="",0,J123))+IF($H124="",0,$H124)-IF($I124="",0,$I124))</f>
        <v/>
      </c>
      <c r="K124" s="29">
        <f>IF($P124="","",IF(INDEX(EntryMan,$P124)=0,"",INDEX(EntryMan,$P124)))</f>
        <v/>
      </c>
      <c r="L124" s="28">
        <f>IF($B124="","",IF($K124="","—",IF(ROUND($K124-$J124,0)=0,"√","×")))</f>
        <v/>
      </c>
      <c r="M124" s="28">
        <f>IF($B124="","",IF(COUNTIFS(EntryDates,$B124,CalcTime,$C124,CalcBank,$C$5,EntryParty,$D124,EntryDep,$H124,EntryWit,$I124)&gt;1,"تکرار",""))</f>
        <v/>
      </c>
      <c r="N124" s="28">
        <f>IF($P124="","",IF(INDEX(EntryNotes,$P124)=0,"",INDEX(EntryNotes,$P124)))</f>
        <v/>
      </c>
      <c r="O124" s="28">
        <f>IF($P124="","",IF(INDEX(EntryTxnID,$P124)=0,"",INDEX(EntryTxnID,$P124)))</f>
        <v/>
      </c>
      <c r="P124" s="28">
        <f>IFERROR(MATCH($C$5&amp;"|"&amp;RIGHT("000000"&amp;108,6),CalcRankKey,0),"")</f>
        <v/>
      </c>
    </row>
    <row r="125">
      <c r="A125" s="26">
        <f>IF($B125="","",109)</f>
        <v/>
      </c>
      <c r="B125" s="26">
        <f>IF($P125="","",IF(INDEX(CalcNormDate,$P125)=0,"",INDEX(CalcNormDate,$P125)))</f>
        <v/>
      </c>
      <c r="C125" s="26">
        <f>IF($P125="","",IF(INDEX(CalcTime,$P125)=0,"",INDEX(CalcTime,$P125)))</f>
        <v/>
      </c>
      <c r="D125" s="26">
        <f>IF($P125="","",IF(INDEX(EntryParty,$P125)=0,"",INDEX(EntryParty,$P125)))</f>
        <v/>
      </c>
      <c r="E125" s="26">
        <f>IF($P125="","",IF(INDEX(EntryPartyName,$P125)=0,"",INDEX(EntryPartyName,$P125)))</f>
        <v/>
      </c>
      <c r="F125" s="26">
        <f>IF($P125="","",IF(INDEX(EntryPartyType,$P125)=0,"",INDEX(EntryPartyType,$P125)))</f>
        <v/>
      </c>
      <c r="G125" s="26">
        <f>IF($P125="","",IF(INDEX(EntryTxnType,$P125)=0,"",INDEX(EntryTxnType,$P125)))</f>
        <v/>
      </c>
      <c r="H125" s="27">
        <f>IF($P125="","",IF(INDEX(EntryDep,$P125)=0,"",INDEX(EntryDep,$P125)))</f>
        <v/>
      </c>
      <c r="I125" s="27">
        <f>IF($P125="","",IF(INDEX(EntryWit,$P125)=0,"",INDEX(EntryWit,$P125)))</f>
        <v/>
      </c>
      <c r="J125" s="27">
        <f>IF($B125="","",IF($A125=1,$C$7,IF(J124="",0,J124))+IF($H125="",0,$H125)-IF($I125="",0,$I125))</f>
        <v/>
      </c>
      <c r="K125" s="27">
        <f>IF($P125="","",IF(INDEX(EntryMan,$P125)=0,"",INDEX(EntryMan,$P125)))</f>
        <v/>
      </c>
      <c r="L125" s="26">
        <f>IF($B125="","",IF($K125="","—",IF(ROUND($K125-$J125,0)=0,"√","×")))</f>
        <v/>
      </c>
      <c r="M125" s="26">
        <f>IF($B125="","",IF(COUNTIFS(EntryDates,$B125,CalcTime,$C125,CalcBank,$C$5,EntryParty,$D125,EntryDep,$H125,EntryWit,$I125)&gt;1,"تکرار",""))</f>
        <v/>
      </c>
      <c r="N125" s="26">
        <f>IF($P125="","",IF(INDEX(EntryNotes,$P125)=0,"",INDEX(EntryNotes,$P125)))</f>
        <v/>
      </c>
      <c r="O125" s="26">
        <f>IF($P125="","",IF(INDEX(EntryTxnID,$P125)=0,"",INDEX(EntryTxnID,$P125)))</f>
        <v/>
      </c>
      <c r="P125" s="26">
        <f>IFERROR(MATCH($C$5&amp;"|"&amp;RIGHT("000000"&amp;109,6),CalcRankKey,0),"")</f>
        <v/>
      </c>
    </row>
    <row r="126">
      <c r="A126" s="28">
        <f>IF($B126="","",110)</f>
        <v/>
      </c>
      <c r="B126" s="28">
        <f>IF($P126="","",IF(INDEX(CalcNormDate,$P126)=0,"",INDEX(CalcNormDate,$P126)))</f>
        <v/>
      </c>
      <c r="C126" s="28">
        <f>IF($P126="","",IF(INDEX(CalcTime,$P126)=0,"",INDEX(CalcTime,$P126)))</f>
        <v/>
      </c>
      <c r="D126" s="28">
        <f>IF($P126="","",IF(INDEX(EntryParty,$P126)=0,"",INDEX(EntryParty,$P126)))</f>
        <v/>
      </c>
      <c r="E126" s="28">
        <f>IF($P126="","",IF(INDEX(EntryPartyName,$P126)=0,"",INDEX(EntryPartyName,$P126)))</f>
        <v/>
      </c>
      <c r="F126" s="28">
        <f>IF($P126="","",IF(INDEX(EntryPartyType,$P126)=0,"",INDEX(EntryPartyType,$P126)))</f>
        <v/>
      </c>
      <c r="G126" s="28">
        <f>IF($P126="","",IF(INDEX(EntryTxnType,$P126)=0,"",INDEX(EntryTxnType,$P126)))</f>
        <v/>
      </c>
      <c r="H126" s="29">
        <f>IF($P126="","",IF(INDEX(EntryDep,$P126)=0,"",INDEX(EntryDep,$P126)))</f>
        <v/>
      </c>
      <c r="I126" s="29">
        <f>IF($P126="","",IF(INDEX(EntryWit,$P126)=0,"",INDEX(EntryWit,$P126)))</f>
        <v/>
      </c>
      <c r="J126" s="29">
        <f>IF($B126="","",IF($A126=1,$C$7,IF(J125="",0,J125))+IF($H126="",0,$H126)-IF($I126="",0,$I126))</f>
        <v/>
      </c>
      <c r="K126" s="29">
        <f>IF($P126="","",IF(INDEX(EntryMan,$P126)=0,"",INDEX(EntryMan,$P126)))</f>
        <v/>
      </c>
      <c r="L126" s="28">
        <f>IF($B126="","",IF($K126="","—",IF(ROUND($K126-$J126,0)=0,"√","×")))</f>
        <v/>
      </c>
      <c r="M126" s="28">
        <f>IF($B126="","",IF(COUNTIFS(EntryDates,$B126,CalcTime,$C126,CalcBank,$C$5,EntryParty,$D126,EntryDep,$H126,EntryWit,$I126)&gt;1,"تکرار",""))</f>
        <v/>
      </c>
      <c r="N126" s="28">
        <f>IF($P126="","",IF(INDEX(EntryNotes,$P126)=0,"",INDEX(EntryNotes,$P126)))</f>
        <v/>
      </c>
      <c r="O126" s="28">
        <f>IF($P126="","",IF(INDEX(EntryTxnID,$P126)=0,"",INDEX(EntryTxnID,$P126)))</f>
        <v/>
      </c>
      <c r="P126" s="28">
        <f>IFERROR(MATCH($C$5&amp;"|"&amp;RIGHT("000000"&amp;110,6),CalcRankKey,0),"")</f>
        <v/>
      </c>
    </row>
    <row r="127">
      <c r="A127" s="26">
        <f>IF($B127="","",111)</f>
        <v/>
      </c>
      <c r="B127" s="26">
        <f>IF($P127="","",IF(INDEX(CalcNormDate,$P127)=0,"",INDEX(CalcNormDate,$P127)))</f>
        <v/>
      </c>
      <c r="C127" s="26">
        <f>IF($P127="","",IF(INDEX(CalcTime,$P127)=0,"",INDEX(CalcTime,$P127)))</f>
        <v/>
      </c>
      <c r="D127" s="26">
        <f>IF($P127="","",IF(INDEX(EntryParty,$P127)=0,"",INDEX(EntryParty,$P127)))</f>
        <v/>
      </c>
      <c r="E127" s="26">
        <f>IF($P127="","",IF(INDEX(EntryPartyName,$P127)=0,"",INDEX(EntryPartyName,$P127)))</f>
        <v/>
      </c>
      <c r="F127" s="26">
        <f>IF($P127="","",IF(INDEX(EntryPartyType,$P127)=0,"",INDEX(EntryPartyType,$P127)))</f>
        <v/>
      </c>
      <c r="G127" s="26">
        <f>IF($P127="","",IF(INDEX(EntryTxnType,$P127)=0,"",INDEX(EntryTxnType,$P127)))</f>
        <v/>
      </c>
      <c r="H127" s="27">
        <f>IF($P127="","",IF(INDEX(EntryDep,$P127)=0,"",INDEX(EntryDep,$P127)))</f>
        <v/>
      </c>
      <c r="I127" s="27">
        <f>IF($P127="","",IF(INDEX(EntryWit,$P127)=0,"",INDEX(EntryWit,$P127)))</f>
        <v/>
      </c>
      <c r="J127" s="27">
        <f>IF($B127="","",IF($A127=1,$C$7,IF(J126="",0,J126))+IF($H127="",0,$H127)-IF($I127="",0,$I127))</f>
        <v/>
      </c>
      <c r="K127" s="27">
        <f>IF($P127="","",IF(INDEX(EntryMan,$P127)=0,"",INDEX(EntryMan,$P127)))</f>
        <v/>
      </c>
      <c r="L127" s="26">
        <f>IF($B127="","",IF($K127="","—",IF(ROUND($K127-$J127,0)=0,"√","×")))</f>
        <v/>
      </c>
      <c r="M127" s="26">
        <f>IF($B127="","",IF(COUNTIFS(EntryDates,$B127,CalcTime,$C127,CalcBank,$C$5,EntryParty,$D127,EntryDep,$H127,EntryWit,$I127)&gt;1,"تکرار",""))</f>
        <v/>
      </c>
      <c r="N127" s="26">
        <f>IF($P127="","",IF(INDEX(EntryNotes,$P127)=0,"",INDEX(EntryNotes,$P127)))</f>
        <v/>
      </c>
      <c r="O127" s="26">
        <f>IF($P127="","",IF(INDEX(EntryTxnID,$P127)=0,"",INDEX(EntryTxnID,$P127)))</f>
        <v/>
      </c>
      <c r="P127" s="26">
        <f>IFERROR(MATCH($C$5&amp;"|"&amp;RIGHT("000000"&amp;111,6),CalcRankKey,0),"")</f>
        <v/>
      </c>
    </row>
    <row r="128">
      <c r="A128" s="28">
        <f>IF($B128="","",112)</f>
        <v/>
      </c>
      <c r="B128" s="28">
        <f>IF($P128="","",IF(INDEX(CalcNormDate,$P128)=0,"",INDEX(CalcNormDate,$P128)))</f>
        <v/>
      </c>
      <c r="C128" s="28">
        <f>IF($P128="","",IF(INDEX(CalcTime,$P128)=0,"",INDEX(CalcTime,$P128)))</f>
        <v/>
      </c>
      <c r="D128" s="28">
        <f>IF($P128="","",IF(INDEX(EntryParty,$P128)=0,"",INDEX(EntryParty,$P128)))</f>
        <v/>
      </c>
      <c r="E128" s="28">
        <f>IF($P128="","",IF(INDEX(EntryPartyName,$P128)=0,"",INDEX(EntryPartyName,$P128)))</f>
        <v/>
      </c>
      <c r="F128" s="28">
        <f>IF($P128="","",IF(INDEX(EntryPartyType,$P128)=0,"",INDEX(EntryPartyType,$P128)))</f>
        <v/>
      </c>
      <c r="G128" s="28">
        <f>IF($P128="","",IF(INDEX(EntryTxnType,$P128)=0,"",INDEX(EntryTxnType,$P128)))</f>
        <v/>
      </c>
      <c r="H128" s="29">
        <f>IF($P128="","",IF(INDEX(EntryDep,$P128)=0,"",INDEX(EntryDep,$P128)))</f>
        <v/>
      </c>
      <c r="I128" s="29">
        <f>IF($P128="","",IF(INDEX(EntryWit,$P128)=0,"",INDEX(EntryWit,$P128)))</f>
        <v/>
      </c>
      <c r="J128" s="29">
        <f>IF($B128="","",IF($A128=1,$C$7,IF(J127="",0,J127))+IF($H128="",0,$H128)-IF($I128="",0,$I128))</f>
        <v/>
      </c>
      <c r="K128" s="29">
        <f>IF($P128="","",IF(INDEX(EntryMan,$P128)=0,"",INDEX(EntryMan,$P128)))</f>
        <v/>
      </c>
      <c r="L128" s="28">
        <f>IF($B128="","",IF($K128="","—",IF(ROUND($K128-$J128,0)=0,"√","×")))</f>
        <v/>
      </c>
      <c r="M128" s="28">
        <f>IF($B128="","",IF(COUNTIFS(EntryDates,$B128,CalcTime,$C128,CalcBank,$C$5,EntryParty,$D128,EntryDep,$H128,EntryWit,$I128)&gt;1,"تکرار",""))</f>
        <v/>
      </c>
      <c r="N128" s="28">
        <f>IF($P128="","",IF(INDEX(EntryNotes,$P128)=0,"",INDEX(EntryNotes,$P128)))</f>
        <v/>
      </c>
      <c r="O128" s="28">
        <f>IF($P128="","",IF(INDEX(EntryTxnID,$P128)=0,"",INDEX(EntryTxnID,$P128)))</f>
        <v/>
      </c>
      <c r="P128" s="28">
        <f>IFERROR(MATCH($C$5&amp;"|"&amp;RIGHT("000000"&amp;112,6),CalcRankKey,0),"")</f>
        <v/>
      </c>
    </row>
    <row r="129">
      <c r="A129" s="26">
        <f>IF($B129="","",113)</f>
        <v/>
      </c>
      <c r="B129" s="26">
        <f>IF($P129="","",IF(INDEX(CalcNormDate,$P129)=0,"",INDEX(CalcNormDate,$P129)))</f>
        <v/>
      </c>
      <c r="C129" s="26">
        <f>IF($P129="","",IF(INDEX(CalcTime,$P129)=0,"",INDEX(CalcTime,$P129)))</f>
        <v/>
      </c>
      <c r="D129" s="26">
        <f>IF($P129="","",IF(INDEX(EntryParty,$P129)=0,"",INDEX(EntryParty,$P129)))</f>
        <v/>
      </c>
      <c r="E129" s="26">
        <f>IF($P129="","",IF(INDEX(EntryPartyName,$P129)=0,"",INDEX(EntryPartyName,$P129)))</f>
        <v/>
      </c>
      <c r="F129" s="26">
        <f>IF($P129="","",IF(INDEX(EntryPartyType,$P129)=0,"",INDEX(EntryPartyType,$P129)))</f>
        <v/>
      </c>
      <c r="G129" s="26">
        <f>IF($P129="","",IF(INDEX(EntryTxnType,$P129)=0,"",INDEX(EntryTxnType,$P129)))</f>
        <v/>
      </c>
      <c r="H129" s="27">
        <f>IF($P129="","",IF(INDEX(EntryDep,$P129)=0,"",INDEX(EntryDep,$P129)))</f>
        <v/>
      </c>
      <c r="I129" s="27">
        <f>IF($P129="","",IF(INDEX(EntryWit,$P129)=0,"",INDEX(EntryWit,$P129)))</f>
        <v/>
      </c>
      <c r="J129" s="27">
        <f>IF($B129="","",IF($A129=1,$C$7,IF(J128="",0,J128))+IF($H129="",0,$H129)-IF($I129="",0,$I129))</f>
        <v/>
      </c>
      <c r="K129" s="27">
        <f>IF($P129="","",IF(INDEX(EntryMan,$P129)=0,"",INDEX(EntryMan,$P129)))</f>
        <v/>
      </c>
      <c r="L129" s="26">
        <f>IF($B129="","",IF($K129="","—",IF(ROUND($K129-$J129,0)=0,"√","×")))</f>
        <v/>
      </c>
      <c r="M129" s="26">
        <f>IF($B129="","",IF(COUNTIFS(EntryDates,$B129,CalcTime,$C129,CalcBank,$C$5,EntryParty,$D129,EntryDep,$H129,EntryWit,$I129)&gt;1,"تکرار",""))</f>
        <v/>
      </c>
      <c r="N129" s="26">
        <f>IF($P129="","",IF(INDEX(EntryNotes,$P129)=0,"",INDEX(EntryNotes,$P129)))</f>
        <v/>
      </c>
      <c r="O129" s="26">
        <f>IF($P129="","",IF(INDEX(EntryTxnID,$P129)=0,"",INDEX(EntryTxnID,$P129)))</f>
        <v/>
      </c>
      <c r="P129" s="26">
        <f>IFERROR(MATCH($C$5&amp;"|"&amp;RIGHT("000000"&amp;113,6),CalcRankKey,0),"")</f>
        <v/>
      </c>
    </row>
    <row r="130">
      <c r="A130" s="28">
        <f>IF($B130="","",114)</f>
        <v/>
      </c>
      <c r="B130" s="28">
        <f>IF($P130="","",IF(INDEX(CalcNormDate,$P130)=0,"",INDEX(CalcNormDate,$P130)))</f>
        <v/>
      </c>
      <c r="C130" s="28">
        <f>IF($P130="","",IF(INDEX(CalcTime,$P130)=0,"",INDEX(CalcTime,$P130)))</f>
        <v/>
      </c>
      <c r="D130" s="28">
        <f>IF($P130="","",IF(INDEX(EntryParty,$P130)=0,"",INDEX(EntryParty,$P130)))</f>
        <v/>
      </c>
      <c r="E130" s="28">
        <f>IF($P130="","",IF(INDEX(EntryPartyName,$P130)=0,"",INDEX(EntryPartyName,$P130)))</f>
        <v/>
      </c>
      <c r="F130" s="28">
        <f>IF($P130="","",IF(INDEX(EntryPartyType,$P130)=0,"",INDEX(EntryPartyType,$P130)))</f>
        <v/>
      </c>
      <c r="G130" s="28">
        <f>IF($P130="","",IF(INDEX(EntryTxnType,$P130)=0,"",INDEX(EntryTxnType,$P130)))</f>
        <v/>
      </c>
      <c r="H130" s="29">
        <f>IF($P130="","",IF(INDEX(EntryDep,$P130)=0,"",INDEX(EntryDep,$P130)))</f>
        <v/>
      </c>
      <c r="I130" s="29">
        <f>IF($P130="","",IF(INDEX(EntryWit,$P130)=0,"",INDEX(EntryWit,$P130)))</f>
        <v/>
      </c>
      <c r="J130" s="29">
        <f>IF($B130="","",IF($A130=1,$C$7,IF(J129="",0,J129))+IF($H130="",0,$H130)-IF($I130="",0,$I130))</f>
        <v/>
      </c>
      <c r="K130" s="29">
        <f>IF($P130="","",IF(INDEX(EntryMan,$P130)=0,"",INDEX(EntryMan,$P130)))</f>
        <v/>
      </c>
      <c r="L130" s="28">
        <f>IF($B130="","",IF($K130="","—",IF(ROUND($K130-$J130,0)=0,"√","×")))</f>
        <v/>
      </c>
      <c r="M130" s="28">
        <f>IF($B130="","",IF(COUNTIFS(EntryDates,$B130,CalcTime,$C130,CalcBank,$C$5,EntryParty,$D130,EntryDep,$H130,EntryWit,$I130)&gt;1,"تکرار",""))</f>
        <v/>
      </c>
      <c r="N130" s="28">
        <f>IF($P130="","",IF(INDEX(EntryNotes,$P130)=0,"",INDEX(EntryNotes,$P130)))</f>
        <v/>
      </c>
      <c r="O130" s="28">
        <f>IF($P130="","",IF(INDEX(EntryTxnID,$P130)=0,"",INDEX(EntryTxnID,$P130)))</f>
        <v/>
      </c>
      <c r="P130" s="28">
        <f>IFERROR(MATCH($C$5&amp;"|"&amp;RIGHT("000000"&amp;114,6),CalcRankKey,0),"")</f>
        <v/>
      </c>
    </row>
    <row r="131">
      <c r="A131" s="26">
        <f>IF($B131="","",115)</f>
        <v/>
      </c>
      <c r="B131" s="26">
        <f>IF($P131="","",IF(INDEX(CalcNormDate,$P131)=0,"",INDEX(CalcNormDate,$P131)))</f>
        <v/>
      </c>
      <c r="C131" s="26">
        <f>IF($P131="","",IF(INDEX(CalcTime,$P131)=0,"",INDEX(CalcTime,$P131)))</f>
        <v/>
      </c>
      <c r="D131" s="26">
        <f>IF($P131="","",IF(INDEX(EntryParty,$P131)=0,"",INDEX(EntryParty,$P131)))</f>
        <v/>
      </c>
      <c r="E131" s="26">
        <f>IF($P131="","",IF(INDEX(EntryPartyName,$P131)=0,"",INDEX(EntryPartyName,$P131)))</f>
        <v/>
      </c>
      <c r="F131" s="26">
        <f>IF($P131="","",IF(INDEX(EntryPartyType,$P131)=0,"",INDEX(EntryPartyType,$P131)))</f>
        <v/>
      </c>
      <c r="G131" s="26">
        <f>IF($P131="","",IF(INDEX(EntryTxnType,$P131)=0,"",INDEX(EntryTxnType,$P131)))</f>
        <v/>
      </c>
      <c r="H131" s="27">
        <f>IF($P131="","",IF(INDEX(EntryDep,$P131)=0,"",INDEX(EntryDep,$P131)))</f>
        <v/>
      </c>
      <c r="I131" s="27">
        <f>IF($P131="","",IF(INDEX(EntryWit,$P131)=0,"",INDEX(EntryWit,$P131)))</f>
        <v/>
      </c>
      <c r="J131" s="27">
        <f>IF($B131="","",IF($A131=1,$C$7,IF(J130="",0,J130))+IF($H131="",0,$H131)-IF($I131="",0,$I131))</f>
        <v/>
      </c>
      <c r="K131" s="27">
        <f>IF($P131="","",IF(INDEX(EntryMan,$P131)=0,"",INDEX(EntryMan,$P131)))</f>
        <v/>
      </c>
      <c r="L131" s="26">
        <f>IF($B131="","",IF($K131="","—",IF(ROUND($K131-$J131,0)=0,"√","×")))</f>
        <v/>
      </c>
      <c r="M131" s="26">
        <f>IF($B131="","",IF(COUNTIFS(EntryDates,$B131,CalcTime,$C131,CalcBank,$C$5,EntryParty,$D131,EntryDep,$H131,EntryWit,$I131)&gt;1,"تکرار",""))</f>
        <v/>
      </c>
      <c r="N131" s="26">
        <f>IF($P131="","",IF(INDEX(EntryNotes,$P131)=0,"",INDEX(EntryNotes,$P131)))</f>
        <v/>
      </c>
      <c r="O131" s="26">
        <f>IF($P131="","",IF(INDEX(EntryTxnID,$P131)=0,"",INDEX(EntryTxnID,$P131)))</f>
        <v/>
      </c>
      <c r="P131" s="26">
        <f>IFERROR(MATCH($C$5&amp;"|"&amp;RIGHT("000000"&amp;115,6),CalcRankKey,0),"")</f>
        <v/>
      </c>
    </row>
    <row r="132">
      <c r="A132" s="28">
        <f>IF($B132="","",116)</f>
        <v/>
      </c>
      <c r="B132" s="28">
        <f>IF($P132="","",IF(INDEX(CalcNormDate,$P132)=0,"",INDEX(CalcNormDate,$P132)))</f>
        <v/>
      </c>
      <c r="C132" s="28">
        <f>IF($P132="","",IF(INDEX(CalcTime,$P132)=0,"",INDEX(CalcTime,$P132)))</f>
        <v/>
      </c>
      <c r="D132" s="28">
        <f>IF($P132="","",IF(INDEX(EntryParty,$P132)=0,"",INDEX(EntryParty,$P132)))</f>
        <v/>
      </c>
      <c r="E132" s="28">
        <f>IF($P132="","",IF(INDEX(EntryPartyName,$P132)=0,"",INDEX(EntryPartyName,$P132)))</f>
        <v/>
      </c>
      <c r="F132" s="28">
        <f>IF($P132="","",IF(INDEX(EntryPartyType,$P132)=0,"",INDEX(EntryPartyType,$P132)))</f>
        <v/>
      </c>
      <c r="G132" s="28">
        <f>IF($P132="","",IF(INDEX(EntryTxnType,$P132)=0,"",INDEX(EntryTxnType,$P132)))</f>
        <v/>
      </c>
      <c r="H132" s="29">
        <f>IF($P132="","",IF(INDEX(EntryDep,$P132)=0,"",INDEX(EntryDep,$P132)))</f>
        <v/>
      </c>
      <c r="I132" s="29">
        <f>IF($P132="","",IF(INDEX(EntryWit,$P132)=0,"",INDEX(EntryWit,$P132)))</f>
        <v/>
      </c>
      <c r="J132" s="29">
        <f>IF($B132="","",IF($A132=1,$C$7,IF(J131="",0,J131))+IF($H132="",0,$H132)-IF($I132="",0,$I132))</f>
        <v/>
      </c>
      <c r="K132" s="29">
        <f>IF($P132="","",IF(INDEX(EntryMan,$P132)=0,"",INDEX(EntryMan,$P132)))</f>
        <v/>
      </c>
      <c r="L132" s="28">
        <f>IF($B132="","",IF($K132="","—",IF(ROUND($K132-$J132,0)=0,"√","×")))</f>
        <v/>
      </c>
      <c r="M132" s="28">
        <f>IF($B132="","",IF(COUNTIFS(EntryDates,$B132,CalcTime,$C132,CalcBank,$C$5,EntryParty,$D132,EntryDep,$H132,EntryWit,$I132)&gt;1,"تکرار",""))</f>
        <v/>
      </c>
      <c r="N132" s="28">
        <f>IF($P132="","",IF(INDEX(EntryNotes,$P132)=0,"",INDEX(EntryNotes,$P132)))</f>
        <v/>
      </c>
      <c r="O132" s="28">
        <f>IF($P132="","",IF(INDEX(EntryTxnID,$P132)=0,"",INDEX(EntryTxnID,$P132)))</f>
        <v/>
      </c>
      <c r="P132" s="28">
        <f>IFERROR(MATCH($C$5&amp;"|"&amp;RIGHT("000000"&amp;116,6),CalcRankKey,0),"")</f>
        <v/>
      </c>
    </row>
    <row r="133">
      <c r="A133" s="26">
        <f>IF($B133="","",117)</f>
        <v/>
      </c>
      <c r="B133" s="26">
        <f>IF($P133="","",IF(INDEX(CalcNormDate,$P133)=0,"",INDEX(CalcNormDate,$P133)))</f>
        <v/>
      </c>
      <c r="C133" s="26">
        <f>IF($P133="","",IF(INDEX(CalcTime,$P133)=0,"",INDEX(CalcTime,$P133)))</f>
        <v/>
      </c>
      <c r="D133" s="26">
        <f>IF($P133="","",IF(INDEX(EntryParty,$P133)=0,"",INDEX(EntryParty,$P133)))</f>
        <v/>
      </c>
      <c r="E133" s="26">
        <f>IF($P133="","",IF(INDEX(EntryPartyName,$P133)=0,"",INDEX(EntryPartyName,$P133)))</f>
        <v/>
      </c>
      <c r="F133" s="26">
        <f>IF($P133="","",IF(INDEX(EntryPartyType,$P133)=0,"",INDEX(EntryPartyType,$P133)))</f>
        <v/>
      </c>
      <c r="G133" s="26">
        <f>IF($P133="","",IF(INDEX(EntryTxnType,$P133)=0,"",INDEX(EntryTxnType,$P133)))</f>
        <v/>
      </c>
      <c r="H133" s="27">
        <f>IF($P133="","",IF(INDEX(EntryDep,$P133)=0,"",INDEX(EntryDep,$P133)))</f>
        <v/>
      </c>
      <c r="I133" s="27">
        <f>IF($P133="","",IF(INDEX(EntryWit,$P133)=0,"",INDEX(EntryWit,$P133)))</f>
        <v/>
      </c>
      <c r="J133" s="27">
        <f>IF($B133="","",IF($A133=1,$C$7,IF(J132="",0,J132))+IF($H133="",0,$H133)-IF($I133="",0,$I133))</f>
        <v/>
      </c>
      <c r="K133" s="27">
        <f>IF($P133="","",IF(INDEX(EntryMan,$P133)=0,"",INDEX(EntryMan,$P133)))</f>
        <v/>
      </c>
      <c r="L133" s="26">
        <f>IF($B133="","",IF($K133="","—",IF(ROUND($K133-$J133,0)=0,"√","×")))</f>
        <v/>
      </c>
      <c r="M133" s="26">
        <f>IF($B133="","",IF(COUNTIFS(EntryDates,$B133,CalcTime,$C133,CalcBank,$C$5,EntryParty,$D133,EntryDep,$H133,EntryWit,$I133)&gt;1,"تکرار",""))</f>
        <v/>
      </c>
      <c r="N133" s="26">
        <f>IF($P133="","",IF(INDEX(EntryNotes,$P133)=0,"",INDEX(EntryNotes,$P133)))</f>
        <v/>
      </c>
      <c r="O133" s="26">
        <f>IF($P133="","",IF(INDEX(EntryTxnID,$P133)=0,"",INDEX(EntryTxnID,$P133)))</f>
        <v/>
      </c>
      <c r="P133" s="26">
        <f>IFERROR(MATCH($C$5&amp;"|"&amp;RIGHT("000000"&amp;117,6),CalcRankKey,0),"")</f>
        <v/>
      </c>
    </row>
    <row r="134">
      <c r="A134" s="28">
        <f>IF($B134="","",118)</f>
        <v/>
      </c>
      <c r="B134" s="28">
        <f>IF($P134="","",IF(INDEX(CalcNormDate,$P134)=0,"",INDEX(CalcNormDate,$P134)))</f>
        <v/>
      </c>
      <c r="C134" s="28">
        <f>IF($P134="","",IF(INDEX(CalcTime,$P134)=0,"",INDEX(CalcTime,$P134)))</f>
        <v/>
      </c>
      <c r="D134" s="28">
        <f>IF($P134="","",IF(INDEX(EntryParty,$P134)=0,"",INDEX(EntryParty,$P134)))</f>
        <v/>
      </c>
      <c r="E134" s="28">
        <f>IF($P134="","",IF(INDEX(EntryPartyName,$P134)=0,"",INDEX(EntryPartyName,$P134)))</f>
        <v/>
      </c>
      <c r="F134" s="28">
        <f>IF($P134="","",IF(INDEX(EntryPartyType,$P134)=0,"",INDEX(EntryPartyType,$P134)))</f>
        <v/>
      </c>
      <c r="G134" s="28">
        <f>IF($P134="","",IF(INDEX(EntryTxnType,$P134)=0,"",INDEX(EntryTxnType,$P134)))</f>
        <v/>
      </c>
      <c r="H134" s="29">
        <f>IF($P134="","",IF(INDEX(EntryDep,$P134)=0,"",INDEX(EntryDep,$P134)))</f>
        <v/>
      </c>
      <c r="I134" s="29">
        <f>IF($P134="","",IF(INDEX(EntryWit,$P134)=0,"",INDEX(EntryWit,$P134)))</f>
        <v/>
      </c>
      <c r="J134" s="29">
        <f>IF($B134="","",IF($A134=1,$C$7,IF(J133="",0,J133))+IF($H134="",0,$H134)-IF($I134="",0,$I134))</f>
        <v/>
      </c>
      <c r="K134" s="29">
        <f>IF($P134="","",IF(INDEX(EntryMan,$P134)=0,"",INDEX(EntryMan,$P134)))</f>
        <v/>
      </c>
      <c r="L134" s="28">
        <f>IF($B134="","",IF($K134="","—",IF(ROUND($K134-$J134,0)=0,"√","×")))</f>
        <v/>
      </c>
      <c r="M134" s="28">
        <f>IF($B134="","",IF(COUNTIFS(EntryDates,$B134,CalcTime,$C134,CalcBank,$C$5,EntryParty,$D134,EntryDep,$H134,EntryWit,$I134)&gt;1,"تکرار",""))</f>
        <v/>
      </c>
      <c r="N134" s="28">
        <f>IF($P134="","",IF(INDEX(EntryNotes,$P134)=0,"",INDEX(EntryNotes,$P134)))</f>
        <v/>
      </c>
      <c r="O134" s="28">
        <f>IF($P134="","",IF(INDEX(EntryTxnID,$P134)=0,"",INDEX(EntryTxnID,$P134)))</f>
        <v/>
      </c>
      <c r="P134" s="28">
        <f>IFERROR(MATCH($C$5&amp;"|"&amp;RIGHT("000000"&amp;118,6),CalcRankKey,0),"")</f>
        <v/>
      </c>
    </row>
    <row r="135">
      <c r="A135" s="26">
        <f>IF($B135="","",119)</f>
        <v/>
      </c>
      <c r="B135" s="26">
        <f>IF($P135="","",IF(INDEX(CalcNormDate,$P135)=0,"",INDEX(CalcNormDate,$P135)))</f>
        <v/>
      </c>
      <c r="C135" s="26">
        <f>IF($P135="","",IF(INDEX(CalcTime,$P135)=0,"",INDEX(CalcTime,$P135)))</f>
        <v/>
      </c>
      <c r="D135" s="26">
        <f>IF($P135="","",IF(INDEX(EntryParty,$P135)=0,"",INDEX(EntryParty,$P135)))</f>
        <v/>
      </c>
      <c r="E135" s="26">
        <f>IF($P135="","",IF(INDEX(EntryPartyName,$P135)=0,"",INDEX(EntryPartyName,$P135)))</f>
        <v/>
      </c>
      <c r="F135" s="26">
        <f>IF($P135="","",IF(INDEX(EntryPartyType,$P135)=0,"",INDEX(EntryPartyType,$P135)))</f>
        <v/>
      </c>
      <c r="G135" s="26">
        <f>IF($P135="","",IF(INDEX(EntryTxnType,$P135)=0,"",INDEX(EntryTxnType,$P135)))</f>
        <v/>
      </c>
      <c r="H135" s="27">
        <f>IF($P135="","",IF(INDEX(EntryDep,$P135)=0,"",INDEX(EntryDep,$P135)))</f>
        <v/>
      </c>
      <c r="I135" s="27">
        <f>IF($P135="","",IF(INDEX(EntryWit,$P135)=0,"",INDEX(EntryWit,$P135)))</f>
        <v/>
      </c>
      <c r="J135" s="27">
        <f>IF($B135="","",IF($A135=1,$C$7,IF(J134="",0,J134))+IF($H135="",0,$H135)-IF($I135="",0,$I135))</f>
        <v/>
      </c>
      <c r="K135" s="27">
        <f>IF($P135="","",IF(INDEX(EntryMan,$P135)=0,"",INDEX(EntryMan,$P135)))</f>
        <v/>
      </c>
      <c r="L135" s="26">
        <f>IF($B135="","",IF($K135="","—",IF(ROUND($K135-$J135,0)=0,"√","×")))</f>
        <v/>
      </c>
      <c r="M135" s="26">
        <f>IF($B135="","",IF(COUNTIFS(EntryDates,$B135,CalcTime,$C135,CalcBank,$C$5,EntryParty,$D135,EntryDep,$H135,EntryWit,$I135)&gt;1,"تکرار",""))</f>
        <v/>
      </c>
      <c r="N135" s="26">
        <f>IF($P135="","",IF(INDEX(EntryNotes,$P135)=0,"",INDEX(EntryNotes,$P135)))</f>
        <v/>
      </c>
      <c r="O135" s="26">
        <f>IF($P135="","",IF(INDEX(EntryTxnID,$P135)=0,"",INDEX(EntryTxnID,$P135)))</f>
        <v/>
      </c>
      <c r="P135" s="26">
        <f>IFERROR(MATCH($C$5&amp;"|"&amp;RIGHT("000000"&amp;119,6),CalcRankKey,0),"")</f>
        <v/>
      </c>
    </row>
    <row r="136">
      <c r="A136" s="28">
        <f>IF($B136="","",120)</f>
        <v/>
      </c>
      <c r="B136" s="28">
        <f>IF($P136="","",IF(INDEX(CalcNormDate,$P136)=0,"",INDEX(CalcNormDate,$P136)))</f>
        <v/>
      </c>
      <c r="C136" s="28">
        <f>IF($P136="","",IF(INDEX(CalcTime,$P136)=0,"",INDEX(CalcTime,$P136)))</f>
        <v/>
      </c>
      <c r="D136" s="28">
        <f>IF($P136="","",IF(INDEX(EntryParty,$P136)=0,"",INDEX(EntryParty,$P136)))</f>
        <v/>
      </c>
      <c r="E136" s="28">
        <f>IF($P136="","",IF(INDEX(EntryPartyName,$P136)=0,"",INDEX(EntryPartyName,$P136)))</f>
        <v/>
      </c>
      <c r="F136" s="28">
        <f>IF($P136="","",IF(INDEX(EntryPartyType,$P136)=0,"",INDEX(EntryPartyType,$P136)))</f>
        <v/>
      </c>
      <c r="G136" s="28">
        <f>IF($P136="","",IF(INDEX(EntryTxnType,$P136)=0,"",INDEX(EntryTxnType,$P136)))</f>
        <v/>
      </c>
      <c r="H136" s="29">
        <f>IF($P136="","",IF(INDEX(EntryDep,$P136)=0,"",INDEX(EntryDep,$P136)))</f>
        <v/>
      </c>
      <c r="I136" s="29">
        <f>IF($P136="","",IF(INDEX(EntryWit,$P136)=0,"",INDEX(EntryWit,$P136)))</f>
        <v/>
      </c>
      <c r="J136" s="29">
        <f>IF($B136="","",IF($A136=1,$C$7,IF(J135="",0,J135))+IF($H136="",0,$H136)-IF($I136="",0,$I136))</f>
        <v/>
      </c>
      <c r="K136" s="29">
        <f>IF($P136="","",IF(INDEX(EntryMan,$P136)=0,"",INDEX(EntryMan,$P136)))</f>
        <v/>
      </c>
      <c r="L136" s="28">
        <f>IF($B136="","",IF($K136="","—",IF(ROUND($K136-$J136,0)=0,"√","×")))</f>
        <v/>
      </c>
      <c r="M136" s="28">
        <f>IF($B136="","",IF(COUNTIFS(EntryDates,$B136,CalcTime,$C136,CalcBank,$C$5,EntryParty,$D136,EntryDep,$H136,EntryWit,$I136)&gt;1,"تکرار",""))</f>
        <v/>
      </c>
      <c r="N136" s="28">
        <f>IF($P136="","",IF(INDEX(EntryNotes,$P136)=0,"",INDEX(EntryNotes,$P136)))</f>
        <v/>
      </c>
      <c r="O136" s="28">
        <f>IF($P136="","",IF(INDEX(EntryTxnID,$P136)=0,"",INDEX(EntryTxnID,$P136)))</f>
        <v/>
      </c>
      <c r="P136" s="28">
        <f>IFERROR(MATCH($C$5&amp;"|"&amp;RIGHT("000000"&amp;120,6),CalcRankKey,0),"")</f>
        <v/>
      </c>
    </row>
    <row r="137">
      <c r="A137" s="26">
        <f>IF($B137="","",121)</f>
        <v/>
      </c>
      <c r="B137" s="26">
        <f>IF($P137="","",IF(INDEX(CalcNormDate,$P137)=0,"",INDEX(CalcNormDate,$P137)))</f>
        <v/>
      </c>
      <c r="C137" s="26">
        <f>IF($P137="","",IF(INDEX(CalcTime,$P137)=0,"",INDEX(CalcTime,$P137)))</f>
        <v/>
      </c>
      <c r="D137" s="26">
        <f>IF($P137="","",IF(INDEX(EntryParty,$P137)=0,"",INDEX(EntryParty,$P137)))</f>
        <v/>
      </c>
      <c r="E137" s="26">
        <f>IF($P137="","",IF(INDEX(EntryPartyName,$P137)=0,"",INDEX(EntryPartyName,$P137)))</f>
        <v/>
      </c>
      <c r="F137" s="26">
        <f>IF($P137="","",IF(INDEX(EntryPartyType,$P137)=0,"",INDEX(EntryPartyType,$P137)))</f>
        <v/>
      </c>
      <c r="G137" s="26">
        <f>IF($P137="","",IF(INDEX(EntryTxnType,$P137)=0,"",INDEX(EntryTxnType,$P137)))</f>
        <v/>
      </c>
      <c r="H137" s="27">
        <f>IF($P137="","",IF(INDEX(EntryDep,$P137)=0,"",INDEX(EntryDep,$P137)))</f>
        <v/>
      </c>
      <c r="I137" s="27">
        <f>IF($P137="","",IF(INDEX(EntryWit,$P137)=0,"",INDEX(EntryWit,$P137)))</f>
        <v/>
      </c>
      <c r="J137" s="27">
        <f>IF($B137="","",IF($A137=1,$C$7,IF(J136="",0,J136))+IF($H137="",0,$H137)-IF($I137="",0,$I137))</f>
        <v/>
      </c>
      <c r="K137" s="27">
        <f>IF($P137="","",IF(INDEX(EntryMan,$P137)=0,"",INDEX(EntryMan,$P137)))</f>
        <v/>
      </c>
      <c r="L137" s="26">
        <f>IF($B137="","",IF($K137="","—",IF(ROUND($K137-$J137,0)=0,"√","×")))</f>
        <v/>
      </c>
      <c r="M137" s="26">
        <f>IF($B137="","",IF(COUNTIFS(EntryDates,$B137,CalcTime,$C137,CalcBank,$C$5,EntryParty,$D137,EntryDep,$H137,EntryWit,$I137)&gt;1,"تکرار",""))</f>
        <v/>
      </c>
      <c r="N137" s="26">
        <f>IF($P137="","",IF(INDEX(EntryNotes,$P137)=0,"",INDEX(EntryNotes,$P137)))</f>
        <v/>
      </c>
      <c r="O137" s="26">
        <f>IF($P137="","",IF(INDEX(EntryTxnID,$P137)=0,"",INDEX(EntryTxnID,$P137)))</f>
        <v/>
      </c>
      <c r="P137" s="26">
        <f>IFERROR(MATCH($C$5&amp;"|"&amp;RIGHT("000000"&amp;121,6),CalcRankKey,0),"")</f>
        <v/>
      </c>
    </row>
    <row r="138">
      <c r="A138" s="28">
        <f>IF($B138="","",122)</f>
        <v/>
      </c>
      <c r="B138" s="28">
        <f>IF($P138="","",IF(INDEX(CalcNormDate,$P138)=0,"",INDEX(CalcNormDate,$P138)))</f>
        <v/>
      </c>
      <c r="C138" s="28">
        <f>IF($P138="","",IF(INDEX(CalcTime,$P138)=0,"",INDEX(CalcTime,$P138)))</f>
        <v/>
      </c>
      <c r="D138" s="28">
        <f>IF($P138="","",IF(INDEX(EntryParty,$P138)=0,"",INDEX(EntryParty,$P138)))</f>
        <v/>
      </c>
      <c r="E138" s="28">
        <f>IF($P138="","",IF(INDEX(EntryPartyName,$P138)=0,"",INDEX(EntryPartyName,$P138)))</f>
        <v/>
      </c>
      <c r="F138" s="28">
        <f>IF($P138="","",IF(INDEX(EntryPartyType,$P138)=0,"",INDEX(EntryPartyType,$P138)))</f>
        <v/>
      </c>
      <c r="G138" s="28">
        <f>IF($P138="","",IF(INDEX(EntryTxnType,$P138)=0,"",INDEX(EntryTxnType,$P138)))</f>
        <v/>
      </c>
      <c r="H138" s="29">
        <f>IF($P138="","",IF(INDEX(EntryDep,$P138)=0,"",INDEX(EntryDep,$P138)))</f>
        <v/>
      </c>
      <c r="I138" s="29">
        <f>IF($P138="","",IF(INDEX(EntryWit,$P138)=0,"",INDEX(EntryWit,$P138)))</f>
        <v/>
      </c>
      <c r="J138" s="29">
        <f>IF($B138="","",IF($A138=1,$C$7,IF(J137="",0,J137))+IF($H138="",0,$H138)-IF($I138="",0,$I138))</f>
        <v/>
      </c>
      <c r="K138" s="29">
        <f>IF($P138="","",IF(INDEX(EntryMan,$P138)=0,"",INDEX(EntryMan,$P138)))</f>
        <v/>
      </c>
      <c r="L138" s="28">
        <f>IF($B138="","",IF($K138="","—",IF(ROUND($K138-$J138,0)=0,"√","×")))</f>
        <v/>
      </c>
      <c r="M138" s="28">
        <f>IF($B138="","",IF(COUNTIFS(EntryDates,$B138,CalcTime,$C138,CalcBank,$C$5,EntryParty,$D138,EntryDep,$H138,EntryWit,$I138)&gt;1,"تکرار",""))</f>
        <v/>
      </c>
      <c r="N138" s="28">
        <f>IF($P138="","",IF(INDEX(EntryNotes,$P138)=0,"",INDEX(EntryNotes,$P138)))</f>
        <v/>
      </c>
      <c r="O138" s="28">
        <f>IF($P138="","",IF(INDEX(EntryTxnID,$P138)=0,"",INDEX(EntryTxnID,$P138)))</f>
        <v/>
      </c>
      <c r="P138" s="28">
        <f>IFERROR(MATCH($C$5&amp;"|"&amp;RIGHT("000000"&amp;122,6),CalcRankKey,0),"")</f>
        <v/>
      </c>
    </row>
    <row r="139">
      <c r="A139" s="26">
        <f>IF($B139="","",123)</f>
        <v/>
      </c>
      <c r="B139" s="26">
        <f>IF($P139="","",IF(INDEX(CalcNormDate,$P139)=0,"",INDEX(CalcNormDate,$P139)))</f>
        <v/>
      </c>
      <c r="C139" s="26">
        <f>IF($P139="","",IF(INDEX(CalcTime,$P139)=0,"",INDEX(CalcTime,$P139)))</f>
        <v/>
      </c>
      <c r="D139" s="26">
        <f>IF($P139="","",IF(INDEX(EntryParty,$P139)=0,"",INDEX(EntryParty,$P139)))</f>
        <v/>
      </c>
      <c r="E139" s="26">
        <f>IF($P139="","",IF(INDEX(EntryPartyName,$P139)=0,"",INDEX(EntryPartyName,$P139)))</f>
        <v/>
      </c>
      <c r="F139" s="26">
        <f>IF($P139="","",IF(INDEX(EntryPartyType,$P139)=0,"",INDEX(EntryPartyType,$P139)))</f>
        <v/>
      </c>
      <c r="G139" s="26">
        <f>IF($P139="","",IF(INDEX(EntryTxnType,$P139)=0,"",INDEX(EntryTxnType,$P139)))</f>
        <v/>
      </c>
      <c r="H139" s="27">
        <f>IF($P139="","",IF(INDEX(EntryDep,$P139)=0,"",INDEX(EntryDep,$P139)))</f>
        <v/>
      </c>
      <c r="I139" s="27">
        <f>IF($P139="","",IF(INDEX(EntryWit,$P139)=0,"",INDEX(EntryWit,$P139)))</f>
        <v/>
      </c>
      <c r="J139" s="27">
        <f>IF($B139="","",IF($A139=1,$C$7,IF(J138="",0,J138))+IF($H139="",0,$H139)-IF($I139="",0,$I139))</f>
        <v/>
      </c>
      <c r="K139" s="27">
        <f>IF($P139="","",IF(INDEX(EntryMan,$P139)=0,"",INDEX(EntryMan,$P139)))</f>
        <v/>
      </c>
      <c r="L139" s="26">
        <f>IF($B139="","",IF($K139="","—",IF(ROUND($K139-$J139,0)=0,"√","×")))</f>
        <v/>
      </c>
      <c r="M139" s="26">
        <f>IF($B139="","",IF(COUNTIFS(EntryDates,$B139,CalcTime,$C139,CalcBank,$C$5,EntryParty,$D139,EntryDep,$H139,EntryWit,$I139)&gt;1,"تکرار",""))</f>
        <v/>
      </c>
      <c r="N139" s="26">
        <f>IF($P139="","",IF(INDEX(EntryNotes,$P139)=0,"",INDEX(EntryNotes,$P139)))</f>
        <v/>
      </c>
      <c r="O139" s="26">
        <f>IF($P139="","",IF(INDEX(EntryTxnID,$P139)=0,"",INDEX(EntryTxnID,$P139)))</f>
        <v/>
      </c>
      <c r="P139" s="26">
        <f>IFERROR(MATCH($C$5&amp;"|"&amp;RIGHT("000000"&amp;123,6),CalcRankKey,0),"")</f>
        <v/>
      </c>
    </row>
    <row r="140">
      <c r="A140" s="28">
        <f>IF($B140="","",124)</f>
        <v/>
      </c>
      <c r="B140" s="28">
        <f>IF($P140="","",IF(INDEX(CalcNormDate,$P140)=0,"",INDEX(CalcNormDate,$P140)))</f>
        <v/>
      </c>
      <c r="C140" s="28">
        <f>IF($P140="","",IF(INDEX(CalcTime,$P140)=0,"",INDEX(CalcTime,$P140)))</f>
        <v/>
      </c>
      <c r="D140" s="28">
        <f>IF($P140="","",IF(INDEX(EntryParty,$P140)=0,"",INDEX(EntryParty,$P140)))</f>
        <v/>
      </c>
      <c r="E140" s="28">
        <f>IF($P140="","",IF(INDEX(EntryPartyName,$P140)=0,"",INDEX(EntryPartyName,$P140)))</f>
        <v/>
      </c>
      <c r="F140" s="28">
        <f>IF($P140="","",IF(INDEX(EntryPartyType,$P140)=0,"",INDEX(EntryPartyType,$P140)))</f>
        <v/>
      </c>
      <c r="G140" s="28">
        <f>IF($P140="","",IF(INDEX(EntryTxnType,$P140)=0,"",INDEX(EntryTxnType,$P140)))</f>
        <v/>
      </c>
      <c r="H140" s="29">
        <f>IF($P140="","",IF(INDEX(EntryDep,$P140)=0,"",INDEX(EntryDep,$P140)))</f>
        <v/>
      </c>
      <c r="I140" s="29">
        <f>IF($P140="","",IF(INDEX(EntryWit,$P140)=0,"",INDEX(EntryWit,$P140)))</f>
        <v/>
      </c>
      <c r="J140" s="29">
        <f>IF($B140="","",IF($A140=1,$C$7,IF(J139="",0,J139))+IF($H140="",0,$H140)-IF($I140="",0,$I140))</f>
        <v/>
      </c>
      <c r="K140" s="29">
        <f>IF($P140="","",IF(INDEX(EntryMan,$P140)=0,"",INDEX(EntryMan,$P140)))</f>
        <v/>
      </c>
      <c r="L140" s="28">
        <f>IF($B140="","",IF($K140="","—",IF(ROUND($K140-$J140,0)=0,"√","×")))</f>
        <v/>
      </c>
      <c r="M140" s="28">
        <f>IF($B140="","",IF(COUNTIFS(EntryDates,$B140,CalcTime,$C140,CalcBank,$C$5,EntryParty,$D140,EntryDep,$H140,EntryWit,$I140)&gt;1,"تکرار",""))</f>
        <v/>
      </c>
      <c r="N140" s="28">
        <f>IF($P140="","",IF(INDEX(EntryNotes,$P140)=0,"",INDEX(EntryNotes,$P140)))</f>
        <v/>
      </c>
      <c r="O140" s="28">
        <f>IF($P140="","",IF(INDEX(EntryTxnID,$P140)=0,"",INDEX(EntryTxnID,$P140)))</f>
        <v/>
      </c>
      <c r="P140" s="28">
        <f>IFERROR(MATCH($C$5&amp;"|"&amp;RIGHT("000000"&amp;124,6),CalcRankKey,0),"")</f>
        <v/>
      </c>
    </row>
    <row r="141">
      <c r="A141" s="26">
        <f>IF($B141="","",125)</f>
        <v/>
      </c>
      <c r="B141" s="26">
        <f>IF($P141="","",IF(INDEX(CalcNormDate,$P141)=0,"",INDEX(CalcNormDate,$P141)))</f>
        <v/>
      </c>
      <c r="C141" s="26">
        <f>IF($P141="","",IF(INDEX(CalcTime,$P141)=0,"",INDEX(CalcTime,$P141)))</f>
        <v/>
      </c>
      <c r="D141" s="26">
        <f>IF($P141="","",IF(INDEX(EntryParty,$P141)=0,"",INDEX(EntryParty,$P141)))</f>
        <v/>
      </c>
      <c r="E141" s="26">
        <f>IF($P141="","",IF(INDEX(EntryPartyName,$P141)=0,"",INDEX(EntryPartyName,$P141)))</f>
        <v/>
      </c>
      <c r="F141" s="26">
        <f>IF($P141="","",IF(INDEX(EntryPartyType,$P141)=0,"",INDEX(EntryPartyType,$P141)))</f>
        <v/>
      </c>
      <c r="G141" s="26">
        <f>IF($P141="","",IF(INDEX(EntryTxnType,$P141)=0,"",INDEX(EntryTxnType,$P141)))</f>
        <v/>
      </c>
      <c r="H141" s="27">
        <f>IF($P141="","",IF(INDEX(EntryDep,$P141)=0,"",INDEX(EntryDep,$P141)))</f>
        <v/>
      </c>
      <c r="I141" s="27">
        <f>IF($P141="","",IF(INDEX(EntryWit,$P141)=0,"",INDEX(EntryWit,$P141)))</f>
        <v/>
      </c>
      <c r="J141" s="27">
        <f>IF($B141="","",IF($A141=1,$C$7,IF(J140="",0,J140))+IF($H141="",0,$H141)-IF($I141="",0,$I141))</f>
        <v/>
      </c>
      <c r="K141" s="27">
        <f>IF($P141="","",IF(INDEX(EntryMan,$P141)=0,"",INDEX(EntryMan,$P141)))</f>
        <v/>
      </c>
      <c r="L141" s="26">
        <f>IF($B141="","",IF($K141="","—",IF(ROUND($K141-$J141,0)=0,"√","×")))</f>
        <v/>
      </c>
      <c r="M141" s="26">
        <f>IF($B141="","",IF(COUNTIFS(EntryDates,$B141,CalcTime,$C141,CalcBank,$C$5,EntryParty,$D141,EntryDep,$H141,EntryWit,$I141)&gt;1,"تکرار",""))</f>
        <v/>
      </c>
      <c r="N141" s="26">
        <f>IF($P141="","",IF(INDEX(EntryNotes,$P141)=0,"",INDEX(EntryNotes,$P141)))</f>
        <v/>
      </c>
      <c r="O141" s="26">
        <f>IF($P141="","",IF(INDEX(EntryTxnID,$P141)=0,"",INDEX(EntryTxnID,$P141)))</f>
        <v/>
      </c>
      <c r="P141" s="26">
        <f>IFERROR(MATCH($C$5&amp;"|"&amp;RIGHT("000000"&amp;125,6),CalcRankKey,0),"")</f>
        <v/>
      </c>
    </row>
    <row r="142">
      <c r="A142" s="28">
        <f>IF($B142="","",126)</f>
        <v/>
      </c>
      <c r="B142" s="28">
        <f>IF($P142="","",IF(INDEX(CalcNormDate,$P142)=0,"",INDEX(CalcNormDate,$P142)))</f>
        <v/>
      </c>
      <c r="C142" s="28">
        <f>IF($P142="","",IF(INDEX(CalcTime,$P142)=0,"",INDEX(CalcTime,$P142)))</f>
        <v/>
      </c>
      <c r="D142" s="28">
        <f>IF($P142="","",IF(INDEX(EntryParty,$P142)=0,"",INDEX(EntryParty,$P142)))</f>
        <v/>
      </c>
      <c r="E142" s="28">
        <f>IF($P142="","",IF(INDEX(EntryPartyName,$P142)=0,"",INDEX(EntryPartyName,$P142)))</f>
        <v/>
      </c>
      <c r="F142" s="28">
        <f>IF($P142="","",IF(INDEX(EntryPartyType,$P142)=0,"",INDEX(EntryPartyType,$P142)))</f>
        <v/>
      </c>
      <c r="G142" s="28">
        <f>IF($P142="","",IF(INDEX(EntryTxnType,$P142)=0,"",INDEX(EntryTxnType,$P142)))</f>
        <v/>
      </c>
      <c r="H142" s="29">
        <f>IF($P142="","",IF(INDEX(EntryDep,$P142)=0,"",INDEX(EntryDep,$P142)))</f>
        <v/>
      </c>
      <c r="I142" s="29">
        <f>IF($P142="","",IF(INDEX(EntryWit,$P142)=0,"",INDEX(EntryWit,$P142)))</f>
        <v/>
      </c>
      <c r="J142" s="29">
        <f>IF($B142="","",IF($A142=1,$C$7,IF(J141="",0,J141))+IF($H142="",0,$H142)-IF($I142="",0,$I142))</f>
        <v/>
      </c>
      <c r="K142" s="29">
        <f>IF($P142="","",IF(INDEX(EntryMan,$P142)=0,"",INDEX(EntryMan,$P142)))</f>
        <v/>
      </c>
      <c r="L142" s="28">
        <f>IF($B142="","",IF($K142="","—",IF(ROUND($K142-$J142,0)=0,"√","×")))</f>
        <v/>
      </c>
      <c r="M142" s="28">
        <f>IF($B142="","",IF(COUNTIFS(EntryDates,$B142,CalcTime,$C142,CalcBank,$C$5,EntryParty,$D142,EntryDep,$H142,EntryWit,$I142)&gt;1,"تکرار",""))</f>
        <v/>
      </c>
      <c r="N142" s="28">
        <f>IF($P142="","",IF(INDEX(EntryNotes,$P142)=0,"",INDEX(EntryNotes,$P142)))</f>
        <v/>
      </c>
      <c r="O142" s="28">
        <f>IF($P142="","",IF(INDEX(EntryTxnID,$P142)=0,"",INDEX(EntryTxnID,$P142)))</f>
        <v/>
      </c>
      <c r="P142" s="28">
        <f>IFERROR(MATCH($C$5&amp;"|"&amp;RIGHT("000000"&amp;126,6),CalcRankKey,0),"")</f>
        <v/>
      </c>
    </row>
    <row r="143">
      <c r="A143" s="26">
        <f>IF($B143="","",127)</f>
        <v/>
      </c>
      <c r="B143" s="26">
        <f>IF($P143="","",IF(INDEX(CalcNormDate,$P143)=0,"",INDEX(CalcNormDate,$P143)))</f>
        <v/>
      </c>
      <c r="C143" s="26">
        <f>IF($P143="","",IF(INDEX(CalcTime,$P143)=0,"",INDEX(CalcTime,$P143)))</f>
        <v/>
      </c>
      <c r="D143" s="26">
        <f>IF($P143="","",IF(INDEX(EntryParty,$P143)=0,"",INDEX(EntryParty,$P143)))</f>
        <v/>
      </c>
      <c r="E143" s="26">
        <f>IF($P143="","",IF(INDEX(EntryPartyName,$P143)=0,"",INDEX(EntryPartyName,$P143)))</f>
        <v/>
      </c>
      <c r="F143" s="26">
        <f>IF($P143="","",IF(INDEX(EntryPartyType,$P143)=0,"",INDEX(EntryPartyType,$P143)))</f>
        <v/>
      </c>
      <c r="G143" s="26">
        <f>IF($P143="","",IF(INDEX(EntryTxnType,$P143)=0,"",INDEX(EntryTxnType,$P143)))</f>
        <v/>
      </c>
      <c r="H143" s="27">
        <f>IF($P143="","",IF(INDEX(EntryDep,$P143)=0,"",INDEX(EntryDep,$P143)))</f>
        <v/>
      </c>
      <c r="I143" s="27">
        <f>IF($P143="","",IF(INDEX(EntryWit,$P143)=0,"",INDEX(EntryWit,$P143)))</f>
        <v/>
      </c>
      <c r="J143" s="27">
        <f>IF($B143="","",IF($A143=1,$C$7,IF(J142="",0,J142))+IF($H143="",0,$H143)-IF($I143="",0,$I143))</f>
        <v/>
      </c>
      <c r="K143" s="27">
        <f>IF($P143="","",IF(INDEX(EntryMan,$P143)=0,"",INDEX(EntryMan,$P143)))</f>
        <v/>
      </c>
      <c r="L143" s="26">
        <f>IF($B143="","",IF($K143="","—",IF(ROUND($K143-$J143,0)=0,"√","×")))</f>
        <v/>
      </c>
      <c r="M143" s="26">
        <f>IF($B143="","",IF(COUNTIFS(EntryDates,$B143,CalcTime,$C143,CalcBank,$C$5,EntryParty,$D143,EntryDep,$H143,EntryWit,$I143)&gt;1,"تکرار",""))</f>
        <v/>
      </c>
      <c r="N143" s="26">
        <f>IF($P143="","",IF(INDEX(EntryNotes,$P143)=0,"",INDEX(EntryNotes,$P143)))</f>
        <v/>
      </c>
      <c r="O143" s="26">
        <f>IF($P143="","",IF(INDEX(EntryTxnID,$P143)=0,"",INDEX(EntryTxnID,$P143)))</f>
        <v/>
      </c>
      <c r="P143" s="26">
        <f>IFERROR(MATCH($C$5&amp;"|"&amp;RIGHT("000000"&amp;127,6),CalcRankKey,0),"")</f>
        <v/>
      </c>
    </row>
    <row r="144">
      <c r="A144" s="28">
        <f>IF($B144="","",128)</f>
        <v/>
      </c>
      <c r="B144" s="28">
        <f>IF($P144="","",IF(INDEX(CalcNormDate,$P144)=0,"",INDEX(CalcNormDate,$P144)))</f>
        <v/>
      </c>
      <c r="C144" s="28">
        <f>IF($P144="","",IF(INDEX(CalcTime,$P144)=0,"",INDEX(CalcTime,$P144)))</f>
        <v/>
      </c>
      <c r="D144" s="28">
        <f>IF($P144="","",IF(INDEX(EntryParty,$P144)=0,"",INDEX(EntryParty,$P144)))</f>
        <v/>
      </c>
      <c r="E144" s="28">
        <f>IF($P144="","",IF(INDEX(EntryPartyName,$P144)=0,"",INDEX(EntryPartyName,$P144)))</f>
        <v/>
      </c>
      <c r="F144" s="28">
        <f>IF($P144="","",IF(INDEX(EntryPartyType,$P144)=0,"",INDEX(EntryPartyType,$P144)))</f>
        <v/>
      </c>
      <c r="G144" s="28">
        <f>IF($P144="","",IF(INDEX(EntryTxnType,$P144)=0,"",INDEX(EntryTxnType,$P144)))</f>
        <v/>
      </c>
      <c r="H144" s="29">
        <f>IF($P144="","",IF(INDEX(EntryDep,$P144)=0,"",INDEX(EntryDep,$P144)))</f>
        <v/>
      </c>
      <c r="I144" s="29">
        <f>IF($P144="","",IF(INDEX(EntryWit,$P144)=0,"",INDEX(EntryWit,$P144)))</f>
        <v/>
      </c>
      <c r="J144" s="29">
        <f>IF($B144="","",IF($A144=1,$C$7,IF(J143="",0,J143))+IF($H144="",0,$H144)-IF($I144="",0,$I144))</f>
        <v/>
      </c>
      <c r="K144" s="29">
        <f>IF($P144="","",IF(INDEX(EntryMan,$P144)=0,"",INDEX(EntryMan,$P144)))</f>
        <v/>
      </c>
      <c r="L144" s="28">
        <f>IF($B144="","",IF($K144="","—",IF(ROUND($K144-$J144,0)=0,"√","×")))</f>
        <v/>
      </c>
      <c r="M144" s="28">
        <f>IF($B144="","",IF(COUNTIFS(EntryDates,$B144,CalcTime,$C144,CalcBank,$C$5,EntryParty,$D144,EntryDep,$H144,EntryWit,$I144)&gt;1,"تکرار",""))</f>
        <v/>
      </c>
      <c r="N144" s="28">
        <f>IF($P144="","",IF(INDEX(EntryNotes,$P144)=0,"",INDEX(EntryNotes,$P144)))</f>
        <v/>
      </c>
      <c r="O144" s="28">
        <f>IF($P144="","",IF(INDEX(EntryTxnID,$P144)=0,"",INDEX(EntryTxnID,$P144)))</f>
        <v/>
      </c>
      <c r="P144" s="28">
        <f>IFERROR(MATCH($C$5&amp;"|"&amp;RIGHT("000000"&amp;128,6),CalcRankKey,0),"")</f>
        <v/>
      </c>
    </row>
    <row r="145">
      <c r="A145" s="26">
        <f>IF($B145="","",129)</f>
        <v/>
      </c>
      <c r="B145" s="26">
        <f>IF($P145="","",IF(INDEX(CalcNormDate,$P145)=0,"",INDEX(CalcNormDate,$P145)))</f>
        <v/>
      </c>
      <c r="C145" s="26">
        <f>IF($P145="","",IF(INDEX(CalcTime,$P145)=0,"",INDEX(CalcTime,$P145)))</f>
        <v/>
      </c>
      <c r="D145" s="26">
        <f>IF($P145="","",IF(INDEX(EntryParty,$P145)=0,"",INDEX(EntryParty,$P145)))</f>
        <v/>
      </c>
      <c r="E145" s="26">
        <f>IF($P145="","",IF(INDEX(EntryPartyName,$P145)=0,"",INDEX(EntryPartyName,$P145)))</f>
        <v/>
      </c>
      <c r="F145" s="26">
        <f>IF($P145="","",IF(INDEX(EntryPartyType,$P145)=0,"",INDEX(EntryPartyType,$P145)))</f>
        <v/>
      </c>
      <c r="G145" s="26">
        <f>IF($P145="","",IF(INDEX(EntryTxnType,$P145)=0,"",INDEX(EntryTxnType,$P145)))</f>
        <v/>
      </c>
      <c r="H145" s="27">
        <f>IF($P145="","",IF(INDEX(EntryDep,$P145)=0,"",INDEX(EntryDep,$P145)))</f>
        <v/>
      </c>
      <c r="I145" s="27">
        <f>IF($P145="","",IF(INDEX(EntryWit,$P145)=0,"",INDEX(EntryWit,$P145)))</f>
        <v/>
      </c>
      <c r="J145" s="27">
        <f>IF($B145="","",IF($A145=1,$C$7,IF(J144="",0,J144))+IF($H145="",0,$H145)-IF($I145="",0,$I145))</f>
        <v/>
      </c>
      <c r="K145" s="27">
        <f>IF($P145="","",IF(INDEX(EntryMan,$P145)=0,"",INDEX(EntryMan,$P145)))</f>
        <v/>
      </c>
      <c r="L145" s="26">
        <f>IF($B145="","",IF($K145="","—",IF(ROUND($K145-$J145,0)=0,"√","×")))</f>
        <v/>
      </c>
      <c r="M145" s="26">
        <f>IF($B145="","",IF(COUNTIFS(EntryDates,$B145,CalcTime,$C145,CalcBank,$C$5,EntryParty,$D145,EntryDep,$H145,EntryWit,$I145)&gt;1,"تکرار",""))</f>
        <v/>
      </c>
      <c r="N145" s="26">
        <f>IF($P145="","",IF(INDEX(EntryNotes,$P145)=0,"",INDEX(EntryNotes,$P145)))</f>
        <v/>
      </c>
      <c r="O145" s="26">
        <f>IF($P145="","",IF(INDEX(EntryTxnID,$P145)=0,"",INDEX(EntryTxnID,$P145)))</f>
        <v/>
      </c>
      <c r="P145" s="26">
        <f>IFERROR(MATCH($C$5&amp;"|"&amp;RIGHT("000000"&amp;129,6),CalcRankKey,0),"")</f>
        <v/>
      </c>
    </row>
    <row r="146">
      <c r="A146" s="28">
        <f>IF($B146="","",130)</f>
        <v/>
      </c>
      <c r="B146" s="28">
        <f>IF($P146="","",IF(INDEX(CalcNormDate,$P146)=0,"",INDEX(CalcNormDate,$P146)))</f>
        <v/>
      </c>
      <c r="C146" s="28">
        <f>IF($P146="","",IF(INDEX(CalcTime,$P146)=0,"",INDEX(CalcTime,$P146)))</f>
        <v/>
      </c>
      <c r="D146" s="28">
        <f>IF($P146="","",IF(INDEX(EntryParty,$P146)=0,"",INDEX(EntryParty,$P146)))</f>
        <v/>
      </c>
      <c r="E146" s="28">
        <f>IF($P146="","",IF(INDEX(EntryPartyName,$P146)=0,"",INDEX(EntryPartyName,$P146)))</f>
        <v/>
      </c>
      <c r="F146" s="28">
        <f>IF($P146="","",IF(INDEX(EntryPartyType,$P146)=0,"",INDEX(EntryPartyType,$P146)))</f>
        <v/>
      </c>
      <c r="G146" s="28">
        <f>IF($P146="","",IF(INDEX(EntryTxnType,$P146)=0,"",INDEX(EntryTxnType,$P146)))</f>
        <v/>
      </c>
      <c r="H146" s="29">
        <f>IF($P146="","",IF(INDEX(EntryDep,$P146)=0,"",INDEX(EntryDep,$P146)))</f>
        <v/>
      </c>
      <c r="I146" s="29">
        <f>IF($P146="","",IF(INDEX(EntryWit,$P146)=0,"",INDEX(EntryWit,$P146)))</f>
        <v/>
      </c>
      <c r="J146" s="29">
        <f>IF($B146="","",IF($A146=1,$C$7,IF(J145="",0,J145))+IF($H146="",0,$H146)-IF($I146="",0,$I146))</f>
        <v/>
      </c>
      <c r="K146" s="29">
        <f>IF($P146="","",IF(INDEX(EntryMan,$P146)=0,"",INDEX(EntryMan,$P146)))</f>
        <v/>
      </c>
      <c r="L146" s="28">
        <f>IF($B146="","",IF($K146="","—",IF(ROUND($K146-$J146,0)=0,"√","×")))</f>
        <v/>
      </c>
      <c r="M146" s="28">
        <f>IF($B146="","",IF(COUNTIFS(EntryDates,$B146,CalcTime,$C146,CalcBank,$C$5,EntryParty,$D146,EntryDep,$H146,EntryWit,$I146)&gt;1,"تکرار",""))</f>
        <v/>
      </c>
      <c r="N146" s="28">
        <f>IF($P146="","",IF(INDEX(EntryNotes,$P146)=0,"",INDEX(EntryNotes,$P146)))</f>
        <v/>
      </c>
      <c r="O146" s="28">
        <f>IF($P146="","",IF(INDEX(EntryTxnID,$P146)=0,"",INDEX(EntryTxnID,$P146)))</f>
        <v/>
      </c>
      <c r="P146" s="28">
        <f>IFERROR(MATCH($C$5&amp;"|"&amp;RIGHT("000000"&amp;130,6),CalcRankKey,0),"")</f>
        <v/>
      </c>
    </row>
    <row r="147">
      <c r="A147" s="26">
        <f>IF($B147="","",131)</f>
        <v/>
      </c>
      <c r="B147" s="26">
        <f>IF($P147="","",IF(INDEX(CalcNormDate,$P147)=0,"",INDEX(CalcNormDate,$P147)))</f>
        <v/>
      </c>
      <c r="C147" s="26">
        <f>IF($P147="","",IF(INDEX(CalcTime,$P147)=0,"",INDEX(CalcTime,$P147)))</f>
        <v/>
      </c>
      <c r="D147" s="26">
        <f>IF($P147="","",IF(INDEX(EntryParty,$P147)=0,"",INDEX(EntryParty,$P147)))</f>
        <v/>
      </c>
      <c r="E147" s="26">
        <f>IF($P147="","",IF(INDEX(EntryPartyName,$P147)=0,"",INDEX(EntryPartyName,$P147)))</f>
        <v/>
      </c>
      <c r="F147" s="26">
        <f>IF($P147="","",IF(INDEX(EntryPartyType,$P147)=0,"",INDEX(EntryPartyType,$P147)))</f>
        <v/>
      </c>
      <c r="G147" s="26">
        <f>IF($P147="","",IF(INDEX(EntryTxnType,$P147)=0,"",INDEX(EntryTxnType,$P147)))</f>
        <v/>
      </c>
      <c r="H147" s="27">
        <f>IF($P147="","",IF(INDEX(EntryDep,$P147)=0,"",INDEX(EntryDep,$P147)))</f>
        <v/>
      </c>
      <c r="I147" s="27">
        <f>IF($P147="","",IF(INDEX(EntryWit,$P147)=0,"",INDEX(EntryWit,$P147)))</f>
        <v/>
      </c>
      <c r="J147" s="27">
        <f>IF($B147="","",IF($A147=1,$C$7,IF(J146="",0,J146))+IF($H147="",0,$H147)-IF($I147="",0,$I147))</f>
        <v/>
      </c>
      <c r="K147" s="27">
        <f>IF($P147="","",IF(INDEX(EntryMan,$P147)=0,"",INDEX(EntryMan,$P147)))</f>
        <v/>
      </c>
      <c r="L147" s="26">
        <f>IF($B147="","",IF($K147="","—",IF(ROUND($K147-$J147,0)=0,"√","×")))</f>
        <v/>
      </c>
      <c r="M147" s="26">
        <f>IF($B147="","",IF(COUNTIFS(EntryDates,$B147,CalcTime,$C147,CalcBank,$C$5,EntryParty,$D147,EntryDep,$H147,EntryWit,$I147)&gt;1,"تکرار",""))</f>
        <v/>
      </c>
      <c r="N147" s="26">
        <f>IF($P147="","",IF(INDEX(EntryNotes,$P147)=0,"",INDEX(EntryNotes,$P147)))</f>
        <v/>
      </c>
      <c r="O147" s="26">
        <f>IF($P147="","",IF(INDEX(EntryTxnID,$P147)=0,"",INDEX(EntryTxnID,$P147)))</f>
        <v/>
      </c>
      <c r="P147" s="26">
        <f>IFERROR(MATCH($C$5&amp;"|"&amp;RIGHT("000000"&amp;131,6),CalcRankKey,0),"")</f>
        <v/>
      </c>
    </row>
    <row r="148">
      <c r="A148" s="28">
        <f>IF($B148="","",132)</f>
        <v/>
      </c>
      <c r="B148" s="28">
        <f>IF($P148="","",IF(INDEX(CalcNormDate,$P148)=0,"",INDEX(CalcNormDate,$P148)))</f>
        <v/>
      </c>
      <c r="C148" s="28">
        <f>IF($P148="","",IF(INDEX(CalcTime,$P148)=0,"",INDEX(CalcTime,$P148)))</f>
        <v/>
      </c>
      <c r="D148" s="28">
        <f>IF($P148="","",IF(INDEX(EntryParty,$P148)=0,"",INDEX(EntryParty,$P148)))</f>
        <v/>
      </c>
      <c r="E148" s="28">
        <f>IF($P148="","",IF(INDEX(EntryPartyName,$P148)=0,"",INDEX(EntryPartyName,$P148)))</f>
        <v/>
      </c>
      <c r="F148" s="28">
        <f>IF($P148="","",IF(INDEX(EntryPartyType,$P148)=0,"",INDEX(EntryPartyType,$P148)))</f>
        <v/>
      </c>
      <c r="G148" s="28">
        <f>IF($P148="","",IF(INDEX(EntryTxnType,$P148)=0,"",INDEX(EntryTxnType,$P148)))</f>
        <v/>
      </c>
      <c r="H148" s="29">
        <f>IF($P148="","",IF(INDEX(EntryDep,$P148)=0,"",INDEX(EntryDep,$P148)))</f>
        <v/>
      </c>
      <c r="I148" s="29">
        <f>IF($P148="","",IF(INDEX(EntryWit,$P148)=0,"",INDEX(EntryWit,$P148)))</f>
        <v/>
      </c>
      <c r="J148" s="29">
        <f>IF($B148="","",IF($A148=1,$C$7,IF(J147="",0,J147))+IF($H148="",0,$H148)-IF($I148="",0,$I148))</f>
        <v/>
      </c>
      <c r="K148" s="29">
        <f>IF($P148="","",IF(INDEX(EntryMan,$P148)=0,"",INDEX(EntryMan,$P148)))</f>
        <v/>
      </c>
      <c r="L148" s="28">
        <f>IF($B148="","",IF($K148="","—",IF(ROUND($K148-$J148,0)=0,"√","×")))</f>
        <v/>
      </c>
      <c r="M148" s="28">
        <f>IF($B148="","",IF(COUNTIFS(EntryDates,$B148,CalcTime,$C148,CalcBank,$C$5,EntryParty,$D148,EntryDep,$H148,EntryWit,$I148)&gt;1,"تکرار",""))</f>
        <v/>
      </c>
      <c r="N148" s="28">
        <f>IF($P148="","",IF(INDEX(EntryNotes,$P148)=0,"",INDEX(EntryNotes,$P148)))</f>
        <v/>
      </c>
      <c r="O148" s="28">
        <f>IF($P148="","",IF(INDEX(EntryTxnID,$P148)=0,"",INDEX(EntryTxnID,$P148)))</f>
        <v/>
      </c>
      <c r="P148" s="28">
        <f>IFERROR(MATCH($C$5&amp;"|"&amp;RIGHT("000000"&amp;132,6),CalcRankKey,0),"")</f>
        <v/>
      </c>
    </row>
    <row r="149">
      <c r="A149" s="26">
        <f>IF($B149="","",133)</f>
        <v/>
      </c>
      <c r="B149" s="26">
        <f>IF($P149="","",IF(INDEX(CalcNormDate,$P149)=0,"",INDEX(CalcNormDate,$P149)))</f>
        <v/>
      </c>
      <c r="C149" s="26">
        <f>IF($P149="","",IF(INDEX(CalcTime,$P149)=0,"",INDEX(CalcTime,$P149)))</f>
        <v/>
      </c>
      <c r="D149" s="26">
        <f>IF($P149="","",IF(INDEX(EntryParty,$P149)=0,"",INDEX(EntryParty,$P149)))</f>
        <v/>
      </c>
      <c r="E149" s="26">
        <f>IF($P149="","",IF(INDEX(EntryPartyName,$P149)=0,"",INDEX(EntryPartyName,$P149)))</f>
        <v/>
      </c>
      <c r="F149" s="26">
        <f>IF($P149="","",IF(INDEX(EntryPartyType,$P149)=0,"",INDEX(EntryPartyType,$P149)))</f>
        <v/>
      </c>
      <c r="G149" s="26">
        <f>IF($P149="","",IF(INDEX(EntryTxnType,$P149)=0,"",INDEX(EntryTxnType,$P149)))</f>
        <v/>
      </c>
      <c r="H149" s="27">
        <f>IF($P149="","",IF(INDEX(EntryDep,$P149)=0,"",INDEX(EntryDep,$P149)))</f>
        <v/>
      </c>
      <c r="I149" s="27">
        <f>IF($P149="","",IF(INDEX(EntryWit,$P149)=0,"",INDEX(EntryWit,$P149)))</f>
        <v/>
      </c>
      <c r="J149" s="27">
        <f>IF($B149="","",IF($A149=1,$C$7,IF(J148="",0,J148))+IF($H149="",0,$H149)-IF($I149="",0,$I149))</f>
        <v/>
      </c>
      <c r="K149" s="27">
        <f>IF($P149="","",IF(INDEX(EntryMan,$P149)=0,"",INDEX(EntryMan,$P149)))</f>
        <v/>
      </c>
      <c r="L149" s="26">
        <f>IF($B149="","",IF($K149="","—",IF(ROUND($K149-$J149,0)=0,"√","×")))</f>
        <v/>
      </c>
      <c r="M149" s="26">
        <f>IF($B149="","",IF(COUNTIFS(EntryDates,$B149,CalcTime,$C149,CalcBank,$C$5,EntryParty,$D149,EntryDep,$H149,EntryWit,$I149)&gt;1,"تکرار",""))</f>
        <v/>
      </c>
      <c r="N149" s="26">
        <f>IF($P149="","",IF(INDEX(EntryNotes,$P149)=0,"",INDEX(EntryNotes,$P149)))</f>
        <v/>
      </c>
      <c r="O149" s="26">
        <f>IF($P149="","",IF(INDEX(EntryTxnID,$P149)=0,"",INDEX(EntryTxnID,$P149)))</f>
        <v/>
      </c>
      <c r="P149" s="26">
        <f>IFERROR(MATCH($C$5&amp;"|"&amp;RIGHT("000000"&amp;133,6),CalcRankKey,0),"")</f>
        <v/>
      </c>
    </row>
    <row r="150">
      <c r="A150" s="28">
        <f>IF($B150="","",134)</f>
        <v/>
      </c>
      <c r="B150" s="28">
        <f>IF($P150="","",IF(INDEX(CalcNormDate,$P150)=0,"",INDEX(CalcNormDate,$P150)))</f>
        <v/>
      </c>
      <c r="C150" s="28">
        <f>IF($P150="","",IF(INDEX(CalcTime,$P150)=0,"",INDEX(CalcTime,$P150)))</f>
        <v/>
      </c>
      <c r="D150" s="28">
        <f>IF($P150="","",IF(INDEX(EntryParty,$P150)=0,"",INDEX(EntryParty,$P150)))</f>
        <v/>
      </c>
      <c r="E150" s="28">
        <f>IF($P150="","",IF(INDEX(EntryPartyName,$P150)=0,"",INDEX(EntryPartyName,$P150)))</f>
        <v/>
      </c>
      <c r="F150" s="28">
        <f>IF($P150="","",IF(INDEX(EntryPartyType,$P150)=0,"",INDEX(EntryPartyType,$P150)))</f>
        <v/>
      </c>
      <c r="G150" s="28">
        <f>IF($P150="","",IF(INDEX(EntryTxnType,$P150)=0,"",INDEX(EntryTxnType,$P150)))</f>
        <v/>
      </c>
      <c r="H150" s="29">
        <f>IF($P150="","",IF(INDEX(EntryDep,$P150)=0,"",INDEX(EntryDep,$P150)))</f>
        <v/>
      </c>
      <c r="I150" s="29">
        <f>IF($P150="","",IF(INDEX(EntryWit,$P150)=0,"",INDEX(EntryWit,$P150)))</f>
        <v/>
      </c>
      <c r="J150" s="29">
        <f>IF($B150="","",IF($A150=1,$C$7,IF(J149="",0,J149))+IF($H150="",0,$H150)-IF($I150="",0,$I150))</f>
        <v/>
      </c>
      <c r="K150" s="29">
        <f>IF($P150="","",IF(INDEX(EntryMan,$P150)=0,"",INDEX(EntryMan,$P150)))</f>
        <v/>
      </c>
      <c r="L150" s="28">
        <f>IF($B150="","",IF($K150="","—",IF(ROUND($K150-$J150,0)=0,"√","×")))</f>
        <v/>
      </c>
      <c r="M150" s="28">
        <f>IF($B150="","",IF(COUNTIFS(EntryDates,$B150,CalcTime,$C150,CalcBank,$C$5,EntryParty,$D150,EntryDep,$H150,EntryWit,$I150)&gt;1,"تکرار",""))</f>
        <v/>
      </c>
      <c r="N150" s="28">
        <f>IF($P150="","",IF(INDEX(EntryNotes,$P150)=0,"",INDEX(EntryNotes,$P150)))</f>
        <v/>
      </c>
      <c r="O150" s="28">
        <f>IF($P150="","",IF(INDEX(EntryTxnID,$P150)=0,"",INDEX(EntryTxnID,$P150)))</f>
        <v/>
      </c>
      <c r="P150" s="28">
        <f>IFERROR(MATCH($C$5&amp;"|"&amp;RIGHT("000000"&amp;134,6),CalcRankKey,0),"")</f>
        <v/>
      </c>
    </row>
    <row r="151">
      <c r="A151" s="26">
        <f>IF($B151="","",135)</f>
        <v/>
      </c>
      <c r="B151" s="26">
        <f>IF($P151="","",IF(INDEX(CalcNormDate,$P151)=0,"",INDEX(CalcNormDate,$P151)))</f>
        <v/>
      </c>
      <c r="C151" s="26">
        <f>IF($P151="","",IF(INDEX(CalcTime,$P151)=0,"",INDEX(CalcTime,$P151)))</f>
        <v/>
      </c>
      <c r="D151" s="26">
        <f>IF($P151="","",IF(INDEX(EntryParty,$P151)=0,"",INDEX(EntryParty,$P151)))</f>
        <v/>
      </c>
      <c r="E151" s="26">
        <f>IF($P151="","",IF(INDEX(EntryPartyName,$P151)=0,"",INDEX(EntryPartyName,$P151)))</f>
        <v/>
      </c>
      <c r="F151" s="26">
        <f>IF($P151="","",IF(INDEX(EntryPartyType,$P151)=0,"",INDEX(EntryPartyType,$P151)))</f>
        <v/>
      </c>
      <c r="G151" s="26">
        <f>IF($P151="","",IF(INDEX(EntryTxnType,$P151)=0,"",INDEX(EntryTxnType,$P151)))</f>
        <v/>
      </c>
      <c r="H151" s="27">
        <f>IF($P151="","",IF(INDEX(EntryDep,$P151)=0,"",INDEX(EntryDep,$P151)))</f>
        <v/>
      </c>
      <c r="I151" s="27">
        <f>IF($P151="","",IF(INDEX(EntryWit,$P151)=0,"",INDEX(EntryWit,$P151)))</f>
        <v/>
      </c>
      <c r="J151" s="27">
        <f>IF($B151="","",IF($A151=1,$C$7,IF(J150="",0,J150))+IF($H151="",0,$H151)-IF($I151="",0,$I151))</f>
        <v/>
      </c>
      <c r="K151" s="27">
        <f>IF($P151="","",IF(INDEX(EntryMan,$P151)=0,"",INDEX(EntryMan,$P151)))</f>
        <v/>
      </c>
      <c r="L151" s="26">
        <f>IF($B151="","",IF($K151="","—",IF(ROUND($K151-$J151,0)=0,"√","×")))</f>
        <v/>
      </c>
      <c r="M151" s="26">
        <f>IF($B151="","",IF(COUNTIFS(EntryDates,$B151,CalcTime,$C151,CalcBank,$C$5,EntryParty,$D151,EntryDep,$H151,EntryWit,$I151)&gt;1,"تکرار",""))</f>
        <v/>
      </c>
      <c r="N151" s="26">
        <f>IF($P151="","",IF(INDEX(EntryNotes,$P151)=0,"",INDEX(EntryNotes,$P151)))</f>
        <v/>
      </c>
      <c r="O151" s="26">
        <f>IF($P151="","",IF(INDEX(EntryTxnID,$P151)=0,"",INDEX(EntryTxnID,$P151)))</f>
        <v/>
      </c>
      <c r="P151" s="26">
        <f>IFERROR(MATCH($C$5&amp;"|"&amp;RIGHT("000000"&amp;135,6),CalcRankKey,0),"")</f>
        <v/>
      </c>
    </row>
    <row r="152">
      <c r="A152" s="28">
        <f>IF($B152="","",136)</f>
        <v/>
      </c>
      <c r="B152" s="28">
        <f>IF($P152="","",IF(INDEX(CalcNormDate,$P152)=0,"",INDEX(CalcNormDate,$P152)))</f>
        <v/>
      </c>
      <c r="C152" s="28">
        <f>IF($P152="","",IF(INDEX(CalcTime,$P152)=0,"",INDEX(CalcTime,$P152)))</f>
        <v/>
      </c>
      <c r="D152" s="28">
        <f>IF($P152="","",IF(INDEX(EntryParty,$P152)=0,"",INDEX(EntryParty,$P152)))</f>
        <v/>
      </c>
      <c r="E152" s="28">
        <f>IF($P152="","",IF(INDEX(EntryPartyName,$P152)=0,"",INDEX(EntryPartyName,$P152)))</f>
        <v/>
      </c>
      <c r="F152" s="28">
        <f>IF($P152="","",IF(INDEX(EntryPartyType,$P152)=0,"",INDEX(EntryPartyType,$P152)))</f>
        <v/>
      </c>
      <c r="G152" s="28">
        <f>IF($P152="","",IF(INDEX(EntryTxnType,$P152)=0,"",INDEX(EntryTxnType,$P152)))</f>
        <v/>
      </c>
      <c r="H152" s="29">
        <f>IF($P152="","",IF(INDEX(EntryDep,$P152)=0,"",INDEX(EntryDep,$P152)))</f>
        <v/>
      </c>
      <c r="I152" s="29">
        <f>IF($P152="","",IF(INDEX(EntryWit,$P152)=0,"",INDEX(EntryWit,$P152)))</f>
        <v/>
      </c>
      <c r="J152" s="29">
        <f>IF($B152="","",IF($A152=1,$C$7,IF(J151="",0,J151))+IF($H152="",0,$H152)-IF($I152="",0,$I152))</f>
        <v/>
      </c>
      <c r="K152" s="29">
        <f>IF($P152="","",IF(INDEX(EntryMan,$P152)=0,"",INDEX(EntryMan,$P152)))</f>
        <v/>
      </c>
      <c r="L152" s="28">
        <f>IF($B152="","",IF($K152="","—",IF(ROUND($K152-$J152,0)=0,"√","×")))</f>
        <v/>
      </c>
      <c r="M152" s="28">
        <f>IF($B152="","",IF(COUNTIFS(EntryDates,$B152,CalcTime,$C152,CalcBank,$C$5,EntryParty,$D152,EntryDep,$H152,EntryWit,$I152)&gt;1,"تکرار",""))</f>
        <v/>
      </c>
      <c r="N152" s="28">
        <f>IF($P152="","",IF(INDEX(EntryNotes,$P152)=0,"",INDEX(EntryNotes,$P152)))</f>
        <v/>
      </c>
      <c r="O152" s="28">
        <f>IF($P152="","",IF(INDEX(EntryTxnID,$P152)=0,"",INDEX(EntryTxnID,$P152)))</f>
        <v/>
      </c>
      <c r="P152" s="28">
        <f>IFERROR(MATCH($C$5&amp;"|"&amp;RIGHT("000000"&amp;136,6),CalcRankKey,0),"")</f>
        <v/>
      </c>
    </row>
    <row r="153">
      <c r="A153" s="26">
        <f>IF($B153="","",137)</f>
        <v/>
      </c>
      <c r="B153" s="26">
        <f>IF($P153="","",IF(INDEX(CalcNormDate,$P153)=0,"",INDEX(CalcNormDate,$P153)))</f>
        <v/>
      </c>
      <c r="C153" s="26">
        <f>IF($P153="","",IF(INDEX(CalcTime,$P153)=0,"",INDEX(CalcTime,$P153)))</f>
        <v/>
      </c>
      <c r="D153" s="26">
        <f>IF($P153="","",IF(INDEX(EntryParty,$P153)=0,"",INDEX(EntryParty,$P153)))</f>
        <v/>
      </c>
      <c r="E153" s="26">
        <f>IF($P153="","",IF(INDEX(EntryPartyName,$P153)=0,"",INDEX(EntryPartyName,$P153)))</f>
        <v/>
      </c>
      <c r="F153" s="26">
        <f>IF($P153="","",IF(INDEX(EntryPartyType,$P153)=0,"",INDEX(EntryPartyType,$P153)))</f>
        <v/>
      </c>
      <c r="G153" s="26">
        <f>IF($P153="","",IF(INDEX(EntryTxnType,$P153)=0,"",INDEX(EntryTxnType,$P153)))</f>
        <v/>
      </c>
      <c r="H153" s="27">
        <f>IF($P153="","",IF(INDEX(EntryDep,$P153)=0,"",INDEX(EntryDep,$P153)))</f>
        <v/>
      </c>
      <c r="I153" s="27">
        <f>IF($P153="","",IF(INDEX(EntryWit,$P153)=0,"",INDEX(EntryWit,$P153)))</f>
        <v/>
      </c>
      <c r="J153" s="27">
        <f>IF($B153="","",IF($A153=1,$C$7,IF(J152="",0,J152))+IF($H153="",0,$H153)-IF($I153="",0,$I153))</f>
        <v/>
      </c>
      <c r="K153" s="27">
        <f>IF($P153="","",IF(INDEX(EntryMan,$P153)=0,"",INDEX(EntryMan,$P153)))</f>
        <v/>
      </c>
      <c r="L153" s="26">
        <f>IF($B153="","",IF($K153="","—",IF(ROUND($K153-$J153,0)=0,"√","×")))</f>
        <v/>
      </c>
      <c r="M153" s="26">
        <f>IF($B153="","",IF(COUNTIFS(EntryDates,$B153,CalcTime,$C153,CalcBank,$C$5,EntryParty,$D153,EntryDep,$H153,EntryWit,$I153)&gt;1,"تکرار",""))</f>
        <v/>
      </c>
      <c r="N153" s="26">
        <f>IF($P153="","",IF(INDEX(EntryNotes,$P153)=0,"",INDEX(EntryNotes,$P153)))</f>
        <v/>
      </c>
      <c r="O153" s="26">
        <f>IF($P153="","",IF(INDEX(EntryTxnID,$P153)=0,"",INDEX(EntryTxnID,$P153)))</f>
        <v/>
      </c>
      <c r="P153" s="26">
        <f>IFERROR(MATCH($C$5&amp;"|"&amp;RIGHT("000000"&amp;137,6),CalcRankKey,0),"")</f>
        <v/>
      </c>
    </row>
    <row r="154">
      <c r="A154" s="28">
        <f>IF($B154="","",138)</f>
        <v/>
      </c>
      <c r="B154" s="28">
        <f>IF($P154="","",IF(INDEX(CalcNormDate,$P154)=0,"",INDEX(CalcNormDate,$P154)))</f>
        <v/>
      </c>
      <c r="C154" s="28">
        <f>IF($P154="","",IF(INDEX(CalcTime,$P154)=0,"",INDEX(CalcTime,$P154)))</f>
        <v/>
      </c>
      <c r="D154" s="28">
        <f>IF($P154="","",IF(INDEX(EntryParty,$P154)=0,"",INDEX(EntryParty,$P154)))</f>
        <v/>
      </c>
      <c r="E154" s="28">
        <f>IF($P154="","",IF(INDEX(EntryPartyName,$P154)=0,"",INDEX(EntryPartyName,$P154)))</f>
        <v/>
      </c>
      <c r="F154" s="28">
        <f>IF($P154="","",IF(INDEX(EntryPartyType,$P154)=0,"",INDEX(EntryPartyType,$P154)))</f>
        <v/>
      </c>
      <c r="G154" s="28">
        <f>IF($P154="","",IF(INDEX(EntryTxnType,$P154)=0,"",INDEX(EntryTxnType,$P154)))</f>
        <v/>
      </c>
      <c r="H154" s="29">
        <f>IF($P154="","",IF(INDEX(EntryDep,$P154)=0,"",INDEX(EntryDep,$P154)))</f>
        <v/>
      </c>
      <c r="I154" s="29">
        <f>IF($P154="","",IF(INDEX(EntryWit,$P154)=0,"",INDEX(EntryWit,$P154)))</f>
        <v/>
      </c>
      <c r="J154" s="29">
        <f>IF($B154="","",IF($A154=1,$C$7,IF(J153="",0,J153))+IF($H154="",0,$H154)-IF($I154="",0,$I154))</f>
        <v/>
      </c>
      <c r="K154" s="29">
        <f>IF($P154="","",IF(INDEX(EntryMan,$P154)=0,"",INDEX(EntryMan,$P154)))</f>
        <v/>
      </c>
      <c r="L154" s="28">
        <f>IF($B154="","",IF($K154="","—",IF(ROUND($K154-$J154,0)=0,"√","×")))</f>
        <v/>
      </c>
      <c r="M154" s="28">
        <f>IF($B154="","",IF(COUNTIFS(EntryDates,$B154,CalcTime,$C154,CalcBank,$C$5,EntryParty,$D154,EntryDep,$H154,EntryWit,$I154)&gt;1,"تکرار",""))</f>
        <v/>
      </c>
      <c r="N154" s="28">
        <f>IF($P154="","",IF(INDEX(EntryNotes,$P154)=0,"",INDEX(EntryNotes,$P154)))</f>
        <v/>
      </c>
      <c r="O154" s="28">
        <f>IF($P154="","",IF(INDEX(EntryTxnID,$P154)=0,"",INDEX(EntryTxnID,$P154)))</f>
        <v/>
      </c>
      <c r="P154" s="28">
        <f>IFERROR(MATCH($C$5&amp;"|"&amp;RIGHT("000000"&amp;138,6),CalcRankKey,0),"")</f>
        <v/>
      </c>
    </row>
    <row r="155">
      <c r="A155" s="26">
        <f>IF($B155="","",139)</f>
        <v/>
      </c>
      <c r="B155" s="26">
        <f>IF($P155="","",IF(INDEX(CalcNormDate,$P155)=0,"",INDEX(CalcNormDate,$P155)))</f>
        <v/>
      </c>
      <c r="C155" s="26">
        <f>IF($P155="","",IF(INDEX(CalcTime,$P155)=0,"",INDEX(CalcTime,$P155)))</f>
        <v/>
      </c>
      <c r="D155" s="26">
        <f>IF($P155="","",IF(INDEX(EntryParty,$P155)=0,"",INDEX(EntryParty,$P155)))</f>
        <v/>
      </c>
      <c r="E155" s="26">
        <f>IF($P155="","",IF(INDEX(EntryPartyName,$P155)=0,"",INDEX(EntryPartyName,$P155)))</f>
        <v/>
      </c>
      <c r="F155" s="26">
        <f>IF($P155="","",IF(INDEX(EntryPartyType,$P155)=0,"",INDEX(EntryPartyType,$P155)))</f>
        <v/>
      </c>
      <c r="G155" s="26">
        <f>IF($P155="","",IF(INDEX(EntryTxnType,$P155)=0,"",INDEX(EntryTxnType,$P155)))</f>
        <v/>
      </c>
      <c r="H155" s="27">
        <f>IF($P155="","",IF(INDEX(EntryDep,$P155)=0,"",INDEX(EntryDep,$P155)))</f>
        <v/>
      </c>
      <c r="I155" s="27">
        <f>IF($P155="","",IF(INDEX(EntryWit,$P155)=0,"",INDEX(EntryWit,$P155)))</f>
        <v/>
      </c>
      <c r="J155" s="27">
        <f>IF($B155="","",IF($A155=1,$C$7,IF(J154="",0,J154))+IF($H155="",0,$H155)-IF($I155="",0,$I155))</f>
        <v/>
      </c>
      <c r="K155" s="27">
        <f>IF($P155="","",IF(INDEX(EntryMan,$P155)=0,"",INDEX(EntryMan,$P155)))</f>
        <v/>
      </c>
      <c r="L155" s="26">
        <f>IF($B155="","",IF($K155="","—",IF(ROUND($K155-$J155,0)=0,"√","×")))</f>
        <v/>
      </c>
      <c r="M155" s="26">
        <f>IF($B155="","",IF(COUNTIFS(EntryDates,$B155,CalcTime,$C155,CalcBank,$C$5,EntryParty,$D155,EntryDep,$H155,EntryWit,$I155)&gt;1,"تکرار",""))</f>
        <v/>
      </c>
      <c r="N155" s="26">
        <f>IF($P155="","",IF(INDEX(EntryNotes,$P155)=0,"",INDEX(EntryNotes,$P155)))</f>
        <v/>
      </c>
      <c r="O155" s="26">
        <f>IF($P155="","",IF(INDEX(EntryTxnID,$P155)=0,"",INDEX(EntryTxnID,$P155)))</f>
        <v/>
      </c>
      <c r="P155" s="26">
        <f>IFERROR(MATCH($C$5&amp;"|"&amp;RIGHT("000000"&amp;139,6),CalcRankKey,0),"")</f>
        <v/>
      </c>
    </row>
    <row r="156">
      <c r="A156" s="28">
        <f>IF($B156="","",140)</f>
        <v/>
      </c>
      <c r="B156" s="28">
        <f>IF($P156="","",IF(INDEX(CalcNormDate,$P156)=0,"",INDEX(CalcNormDate,$P156)))</f>
        <v/>
      </c>
      <c r="C156" s="28">
        <f>IF($P156="","",IF(INDEX(CalcTime,$P156)=0,"",INDEX(CalcTime,$P156)))</f>
        <v/>
      </c>
      <c r="D156" s="28">
        <f>IF($P156="","",IF(INDEX(EntryParty,$P156)=0,"",INDEX(EntryParty,$P156)))</f>
        <v/>
      </c>
      <c r="E156" s="28">
        <f>IF($P156="","",IF(INDEX(EntryPartyName,$P156)=0,"",INDEX(EntryPartyName,$P156)))</f>
        <v/>
      </c>
      <c r="F156" s="28">
        <f>IF($P156="","",IF(INDEX(EntryPartyType,$P156)=0,"",INDEX(EntryPartyType,$P156)))</f>
        <v/>
      </c>
      <c r="G156" s="28">
        <f>IF($P156="","",IF(INDEX(EntryTxnType,$P156)=0,"",INDEX(EntryTxnType,$P156)))</f>
        <v/>
      </c>
      <c r="H156" s="29">
        <f>IF($P156="","",IF(INDEX(EntryDep,$P156)=0,"",INDEX(EntryDep,$P156)))</f>
        <v/>
      </c>
      <c r="I156" s="29">
        <f>IF($P156="","",IF(INDEX(EntryWit,$P156)=0,"",INDEX(EntryWit,$P156)))</f>
        <v/>
      </c>
      <c r="J156" s="29">
        <f>IF($B156="","",IF($A156=1,$C$7,IF(J155="",0,J155))+IF($H156="",0,$H156)-IF($I156="",0,$I156))</f>
        <v/>
      </c>
      <c r="K156" s="29">
        <f>IF($P156="","",IF(INDEX(EntryMan,$P156)=0,"",INDEX(EntryMan,$P156)))</f>
        <v/>
      </c>
      <c r="L156" s="28">
        <f>IF($B156="","",IF($K156="","—",IF(ROUND($K156-$J156,0)=0,"√","×")))</f>
        <v/>
      </c>
      <c r="M156" s="28">
        <f>IF($B156="","",IF(COUNTIFS(EntryDates,$B156,CalcTime,$C156,CalcBank,$C$5,EntryParty,$D156,EntryDep,$H156,EntryWit,$I156)&gt;1,"تکرار",""))</f>
        <v/>
      </c>
      <c r="N156" s="28">
        <f>IF($P156="","",IF(INDEX(EntryNotes,$P156)=0,"",INDEX(EntryNotes,$P156)))</f>
        <v/>
      </c>
      <c r="O156" s="28">
        <f>IF($P156="","",IF(INDEX(EntryTxnID,$P156)=0,"",INDEX(EntryTxnID,$P156)))</f>
        <v/>
      </c>
      <c r="P156" s="28">
        <f>IFERROR(MATCH($C$5&amp;"|"&amp;RIGHT("000000"&amp;140,6),CalcRankKey,0),"")</f>
        <v/>
      </c>
    </row>
    <row r="157">
      <c r="A157" s="26">
        <f>IF($B157="","",141)</f>
        <v/>
      </c>
      <c r="B157" s="26">
        <f>IF($P157="","",IF(INDEX(CalcNormDate,$P157)=0,"",INDEX(CalcNormDate,$P157)))</f>
        <v/>
      </c>
      <c r="C157" s="26">
        <f>IF($P157="","",IF(INDEX(CalcTime,$P157)=0,"",INDEX(CalcTime,$P157)))</f>
        <v/>
      </c>
      <c r="D157" s="26">
        <f>IF($P157="","",IF(INDEX(EntryParty,$P157)=0,"",INDEX(EntryParty,$P157)))</f>
        <v/>
      </c>
      <c r="E157" s="26">
        <f>IF($P157="","",IF(INDEX(EntryPartyName,$P157)=0,"",INDEX(EntryPartyName,$P157)))</f>
        <v/>
      </c>
      <c r="F157" s="26">
        <f>IF($P157="","",IF(INDEX(EntryPartyType,$P157)=0,"",INDEX(EntryPartyType,$P157)))</f>
        <v/>
      </c>
      <c r="G157" s="26">
        <f>IF($P157="","",IF(INDEX(EntryTxnType,$P157)=0,"",INDEX(EntryTxnType,$P157)))</f>
        <v/>
      </c>
      <c r="H157" s="27">
        <f>IF($P157="","",IF(INDEX(EntryDep,$P157)=0,"",INDEX(EntryDep,$P157)))</f>
        <v/>
      </c>
      <c r="I157" s="27">
        <f>IF($P157="","",IF(INDEX(EntryWit,$P157)=0,"",INDEX(EntryWit,$P157)))</f>
        <v/>
      </c>
      <c r="J157" s="27">
        <f>IF($B157="","",IF($A157=1,$C$7,IF(J156="",0,J156))+IF($H157="",0,$H157)-IF($I157="",0,$I157))</f>
        <v/>
      </c>
      <c r="K157" s="27">
        <f>IF($P157="","",IF(INDEX(EntryMan,$P157)=0,"",INDEX(EntryMan,$P157)))</f>
        <v/>
      </c>
      <c r="L157" s="26">
        <f>IF($B157="","",IF($K157="","—",IF(ROUND($K157-$J157,0)=0,"√","×")))</f>
        <v/>
      </c>
      <c r="M157" s="26">
        <f>IF($B157="","",IF(COUNTIFS(EntryDates,$B157,CalcTime,$C157,CalcBank,$C$5,EntryParty,$D157,EntryDep,$H157,EntryWit,$I157)&gt;1,"تکرار",""))</f>
        <v/>
      </c>
      <c r="N157" s="26">
        <f>IF($P157="","",IF(INDEX(EntryNotes,$P157)=0,"",INDEX(EntryNotes,$P157)))</f>
        <v/>
      </c>
      <c r="O157" s="26">
        <f>IF($P157="","",IF(INDEX(EntryTxnID,$P157)=0,"",INDEX(EntryTxnID,$P157)))</f>
        <v/>
      </c>
      <c r="P157" s="26">
        <f>IFERROR(MATCH($C$5&amp;"|"&amp;RIGHT("000000"&amp;141,6),CalcRankKey,0),"")</f>
        <v/>
      </c>
    </row>
    <row r="158">
      <c r="A158" s="28">
        <f>IF($B158="","",142)</f>
        <v/>
      </c>
      <c r="B158" s="28">
        <f>IF($P158="","",IF(INDEX(CalcNormDate,$P158)=0,"",INDEX(CalcNormDate,$P158)))</f>
        <v/>
      </c>
      <c r="C158" s="28">
        <f>IF($P158="","",IF(INDEX(CalcTime,$P158)=0,"",INDEX(CalcTime,$P158)))</f>
        <v/>
      </c>
      <c r="D158" s="28">
        <f>IF($P158="","",IF(INDEX(EntryParty,$P158)=0,"",INDEX(EntryParty,$P158)))</f>
        <v/>
      </c>
      <c r="E158" s="28">
        <f>IF($P158="","",IF(INDEX(EntryPartyName,$P158)=0,"",INDEX(EntryPartyName,$P158)))</f>
        <v/>
      </c>
      <c r="F158" s="28">
        <f>IF($P158="","",IF(INDEX(EntryPartyType,$P158)=0,"",INDEX(EntryPartyType,$P158)))</f>
        <v/>
      </c>
      <c r="G158" s="28">
        <f>IF($P158="","",IF(INDEX(EntryTxnType,$P158)=0,"",INDEX(EntryTxnType,$P158)))</f>
        <v/>
      </c>
      <c r="H158" s="29">
        <f>IF($P158="","",IF(INDEX(EntryDep,$P158)=0,"",INDEX(EntryDep,$P158)))</f>
        <v/>
      </c>
      <c r="I158" s="29">
        <f>IF($P158="","",IF(INDEX(EntryWit,$P158)=0,"",INDEX(EntryWit,$P158)))</f>
        <v/>
      </c>
      <c r="J158" s="29">
        <f>IF($B158="","",IF($A158=1,$C$7,IF(J157="",0,J157))+IF($H158="",0,$H158)-IF($I158="",0,$I158))</f>
        <v/>
      </c>
      <c r="K158" s="29">
        <f>IF($P158="","",IF(INDEX(EntryMan,$P158)=0,"",INDEX(EntryMan,$P158)))</f>
        <v/>
      </c>
      <c r="L158" s="28">
        <f>IF($B158="","",IF($K158="","—",IF(ROUND($K158-$J158,0)=0,"√","×")))</f>
        <v/>
      </c>
      <c r="M158" s="28">
        <f>IF($B158="","",IF(COUNTIFS(EntryDates,$B158,CalcTime,$C158,CalcBank,$C$5,EntryParty,$D158,EntryDep,$H158,EntryWit,$I158)&gt;1,"تکرار",""))</f>
        <v/>
      </c>
      <c r="N158" s="28">
        <f>IF($P158="","",IF(INDEX(EntryNotes,$P158)=0,"",INDEX(EntryNotes,$P158)))</f>
        <v/>
      </c>
      <c r="O158" s="28">
        <f>IF($P158="","",IF(INDEX(EntryTxnID,$P158)=0,"",INDEX(EntryTxnID,$P158)))</f>
        <v/>
      </c>
      <c r="P158" s="28">
        <f>IFERROR(MATCH($C$5&amp;"|"&amp;RIGHT("000000"&amp;142,6),CalcRankKey,0),"")</f>
        <v/>
      </c>
    </row>
    <row r="159">
      <c r="A159" s="26">
        <f>IF($B159="","",143)</f>
        <v/>
      </c>
      <c r="B159" s="26">
        <f>IF($P159="","",IF(INDEX(CalcNormDate,$P159)=0,"",INDEX(CalcNormDate,$P159)))</f>
        <v/>
      </c>
      <c r="C159" s="26">
        <f>IF($P159="","",IF(INDEX(CalcTime,$P159)=0,"",INDEX(CalcTime,$P159)))</f>
        <v/>
      </c>
      <c r="D159" s="26">
        <f>IF($P159="","",IF(INDEX(EntryParty,$P159)=0,"",INDEX(EntryParty,$P159)))</f>
        <v/>
      </c>
      <c r="E159" s="26">
        <f>IF($P159="","",IF(INDEX(EntryPartyName,$P159)=0,"",INDEX(EntryPartyName,$P159)))</f>
        <v/>
      </c>
      <c r="F159" s="26">
        <f>IF($P159="","",IF(INDEX(EntryPartyType,$P159)=0,"",INDEX(EntryPartyType,$P159)))</f>
        <v/>
      </c>
      <c r="G159" s="26">
        <f>IF($P159="","",IF(INDEX(EntryTxnType,$P159)=0,"",INDEX(EntryTxnType,$P159)))</f>
        <v/>
      </c>
      <c r="H159" s="27">
        <f>IF($P159="","",IF(INDEX(EntryDep,$P159)=0,"",INDEX(EntryDep,$P159)))</f>
        <v/>
      </c>
      <c r="I159" s="27">
        <f>IF($P159="","",IF(INDEX(EntryWit,$P159)=0,"",INDEX(EntryWit,$P159)))</f>
        <v/>
      </c>
      <c r="J159" s="27">
        <f>IF($B159="","",IF($A159=1,$C$7,IF(J158="",0,J158))+IF($H159="",0,$H159)-IF($I159="",0,$I159))</f>
        <v/>
      </c>
      <c r="K159" s="27">
        <f>IF($P159="","",IF(INDEX(EntryMan,$P159)=0,"",INDEX(EntryMan,$P159)))</f>
        <v/>
      </c>
      <c r="L159" s="26">
        <f>IF($B159="","",IF($K159="","—",IF(ROUND($K159-$J159,0)=0,"√","×")))</f>
        <v/>
      </c>
      <c r="M159" s="26">
        <f>IF($B159="","",IF(COUNTIFS(EntryDates,$B159,CalcTime,$C159,CalcBank,$C$5,EntryParty,$D159,EntryDep,$H159,EntryWit,$I159)&gt;1,"تکرار",""))</f>
        <v/>
      </c>
      <c r="N159" s="26">
        <f>IF($P159="","",IF(INDEX(EntryNotes,$P159)=0,"",INDEX(EntryNotes,$P159)))</f>
        <v/>
      </c>
      <c r="O159" s="26">
        <f>IF($P159="","",IF(INDEX(EntryTxnID,$P159)=0,"",INDEX(EntryTxnID,$P159)))</f>
        <v/>
      </c>
      <c r="P159" s="26">
        <f>IFERROR(MATCH($C$5&amp;"|"&amp;RIGHT("000000"&amp;143,6),CalcRankKey,0),"")</f>
        <v/>
      </c>
    </row>
    <row r="160">
      <c r="A160" s="28">
        <f>IF($B160="","",144)</f>
        <v/>
      </c>
      <c r="B160" s="28">
        <f>IF($P160="","",IF(INDEX(CalcNormDate,$P160)=0,"",INDEX(CalcNormDate,$P160)))</f>
        <v/>
      </c>
      <c r="C160" s="28">
        <f>IF($P160="","",IF(INDEX(CalcTime,$P160)=0,"",INDEX(CalcTime,$P160)))</f>
        <v/>
      </c>
      <c r="D160" s="28">
        <f>IF($P160="","",IF(INDEX(EntryParty,$P160)=0,"",INDEX(EntryParty,$P160)))</f>
        <v/>
      </c>
      <c r="E160" s="28">
        <f>IF($P160="","",IF(INDEX(EntryPartyName,$P160)=0,"",INDEX(EntryPartyName,$P160)))</f>
        <v/>
      </c>
      <c r="F160" s="28">
        <f>IF($P160="","",IF(INDEX(EntryPartyType,$P160)=0,"",INDEX(EntryPartyType,$P160)))</f>
        <v/>
      </c>
      <c r="G160" s="28">
        <f>IF($P160="","",IF(INDEX(EntryTxnType,$P160)=0,"",INDEX(EntryTxnType,$P160)))</f>
        <v/>
      </c>
      <c r="H160" s="29">
        <f>IF($P160="","",IF(INDEX(EntryDep,$P160)=0,"",INDEX(EntryDep,$P160)))</f>
        <v/>
      </c>
      <c r="I160" s="29">
        <f>IF($P160="","",IF(INDEX(EntryWit,$P160)=0,"",INDEX(EntryWit,$P160)))</f>
        <v/>
      </c>
      <c r="J160" s="29">
        <f>IF($B160="","",IF($A160=1,$C$7,IF(J159="",0,J159))+IF($H160="",0,$H160)-IF($I160="",0,$I160))</f>
        <v/>
      </c>
      <c r="K160" s="29">
        <f>IF($P160="","",IF(INDEX(EntryMan,$P160)=0,"",INDEX(EntryMan,$P160)))</f>
        <v/>
      </c>
      <c r="L160" s="28">
        <f>IF($B160="","",IF($K160="","—",IF(ROUND($K160-$J160,0)=0,"√","×")))</f>
        <v/>
      </c>
      <c r="M160" s="28">
        <f>IF($B160="","",IF(COUNTIFS(EntryDates,$B160,CalcTime,$C160,CalcBank,$C$5,EntryParty,$D160,EntryDep,$H160,EntryWit,$I160)&gt;1,"تکرار",""))</f>
        <v/>
      </c>
      <c r="N160" s="28">
        <f>IF($P160="","",IF(INDEX(EntryNotes,$P160)=0,"",INDEX(EntryNotes,$P160)))</f>
        <v/>
      </c>
      <c r="O160" s="28">
        <f>IF($P160="","",IF(INDEX(EntryTxnID,$P160)=0,"",INDEX(EntryTxnID,$P160)))</f>
        <v/>
      </c>
      <c r="P160" s="28">
        <f>IFERROR(MATCH($C$5&amp;"|"&amp;RIGHT("000000"&amp;144,6),CalcRankKey,0),"")</f>
        <v/>
      </c>
    </row>
    <row r="161">
      <c r="A161" s="26">
        <f>IF($B161="","",145)</f>
        <v/>
      </c>
      <c r="B161" s="26">
        <f>IF($P161="","",IF(INDEX(CalcNormDate,$P161)=0,"",INDEX(CalcNormDate,$P161)))</f>
        <v/>
      </c>
      <c r="C161" s="26">
        <f>IF($P161="","",IF(INDEX(CalcTime,$P161)=0,"",INDEX(CalcTime,$P161)))</f>
        <v/>
      </c>
      <c r="D161" s="26">
        <f>IF($P161="","",IF(INDEX(EntryParty,$P161)=0,"",INDEX(EntryParty,$P161)))</f>
        <v/>
      </c>
      <c r="E161" s="26">
        <f>IF($P161="","",IF(INDEX(EntryPartyName,$P161)=0,"",INDEX(EntryPartyName,$P161)))</f>
        <v/>
      </c>
      <c r="F161" s="26">
        <f>IF($P161="","",IF(INDEX(EntryPartyType,$P161)=0,"",INDEX(EntryPartyType,$P161)))</f>
        <v/>
      </c>
      <c r="G161" s="26">
        <f>IF($P161="","",IF(INDEX(EntryTxnType,$P161)=0,"",INDEX(EntryTxnType,$P161)))</f>
        <v/>
      </c>
      <c r="H161" s="27">
        <f>IF($P161="","",IF(INDEX(EntryDep,$P161)=0,"",INDEX(EntryDep,$P161)))</f>
        <v/>
      </c>
      <c r="I161" s="27">
        <f>IF($P161="","",IF(INDEX(EntryWit,$P161)=0,"",INDEX(EntryWit,$P161)))</f>
        <v/>
      </c>
      <c r="J161" s="27">
        <f>IF($B161="","",IF($A161=1,$C$7,IF(J160="",0,J160))+IF($H161="",0,$H161)-IF($I161="",0,$I161))</f>
        <v/>
      </c>
      <c r="K161" s="27">
        <f>IF($P161="","",IF(INDEX(EntryMan,$P161)=0,"",INDEX(EntryMan,$P161)))</f>
        <v/>
      </c>
      <c r="L161" s="26">
        <f>IF($B161="","",IF($K161="","—",IF(ROUND($K161-$J161,0)=0,"√","×")))</f>
        <v/>
      </c>
      <c r="M161" s="26">
        <f>IF($B161="","",IF(COUNTIFS(EntryDates,$B161,CalcTime,$C161,CalcBank,$C$5,EntryParty,$D161,EntryDep,$H161,EntryWit,$I161)&gt;1,"تکرار",""))</f>
        <v/>
      </c>
      <c r="N161" s="26">
        <f>IF($P161="","",IF(INDEX(EntryNotes,$P161)=0,"",INDEX(EntryNotes,$P161)))</f>
        <v/>
      </c>
      <c r="O161" s="26">
        <f>IF($P161="","",IF(INDEX(EntryTxnID,$P161)=0,"",INDEX(EntryTxnID,$P161)))</f>
        <v/>
      </c>
      <c r="P161" s="26">
        <f>IFERROR(MATCH($C$5&amp;"|"&amp;RIGHT("000000"&amp;145,6),CalcRankKey,0),"")</f>
        <v/>
      </c>
    </row>
    <row r="162">
      <c r="A162" s="28">
        <f>IF($B162="","",146)</f>
        <v/>
      </c>
      <c r="B162" s="28">
        <f>IF($P162="","",IF(INDEX(CalcNormDate,$P162)=0,"",INDEX(CalcNormDate,$P162)))</f>
        <v/>
      </c>
      <c r="C162" s="28">
        <f>IF($P162="","",IF(INDEX(CalcTime,$P162)=0,"",INDEX(CalcTime,$P162)))</f>
        <v/>
      </c>
      <c r="D162" s="28">
        <f>IF($P162="","",IF(INDEX(EntryParty,$P162)=0,"",INDEX(EntryParty,$P162)))</f>
        <v/>
      </c>
      <c r="E162" s="28">
        <f>IF($P162="","",IF(INDEX(EntryPartyName,$P162)=0,"",INDEX(EntryPartyName,$P162)))</f>
        <v/>
      </c>
      <c r="F162" s="28">
        <f>IF($P162="","",IF(INDEX(EntryPartyType,$P162)=0,"",INDEX(EntryPartyType,$P162)))</f>
        <v/>
      </c>
      <c r="G162" s="28">
        <f>IF($P162="","",IF(INDEX(EntryTxnType,$P162)=0,"",INDEX(EntryTxnType,$P162)))</f>
        <v/>
      </c>
      <c r="H162" s="29">
        <f>IF($P162="","",IF(INDEX(EntryDep,$P162)=0,"",INDEX(EntryDep,$P162)))</f>
        <v/>
      </c>
      <c r="I162" s="29">
        <f>IF($P162="","",IF(INDEX(EntryWit,$P162)=0,"",INDEX(EntryWit,$P162)))</f>
        <v/>
      </c>
      <c r="J162" s="29">
        <f>IF($B162="","",IF($A162=1,$C$7,IF(J161="",0,J161))+IF($H162="",0,$H162)-IF($I162="",0,$I162))</f>
        <v/>
      </c>
      <c r="K162" s="29">
        <f>IF($P162="","",IF(INDEX(EntryMan,$P162)=0,"",INDEX(EntryMan,$P162)))</f>
        <v/>
      </c>
      <c r="L162" s="28">
        <f>IF($B162="","",IF($K162="","—",IF(ROUND($K162-$J162,0)=0,"√","×")))</f>
        <v/>
      </c>
      <c r="M162" s="28">
        <f>IF($B162="","",IF(COUNTIFS(EntryDates,$B162,CalcTime,$C162,CalcBank,$C$5,EntryParty,$D162,EntryDep,$H162,EntryWit,$I162)&gt;1,"تکرار",""))</f>
        <v/>
      </c>
      <c r="N162" s="28">
        <f>IF($P162="","",IF(INDEX(EntryNotes,$P162)=0,"",INDEX(EntryNotes,$P162)))</f>
        <v/>
      </c>
      <c r="O162" s="28">
        <f>IF($P162="","",IF(INDEX(EntryTxnID,$P162)=0,"",INDEX(EntryTxnID,$P162)))</f>
        <v/>
      </c>
      <c r="P162" s="28">
        <f>IFERROR(MATCH($C$5&amp;"|"&amp;RIGHT("000000"&amp;146,6),CalcRankKey,0),"")</f>
        <v/>
      </c>
    </row>
    <row r="163">
      <c r="A163" s="26">
        <f>IF($B163="","",147)</f>
        <v/>
      </c>
      <c r="B163" s="26">
        <f>IF($P163="","",IF(INDEX(CalcNormDate,$P163)=0,"",INDEX(CalcNormDate,$P163)))</f>
        <v/>
      </c>
      <c r="C163" s="26">
        <f>IF($P163="","",IF(INDEX(CalcTime,$P163)=0,"",INDEX(CalcTime,$P163)))</f>
        <v/>
      </c>
      <c r="D163" s="26">
        <f>IF($P163="","",IF(INDEX(EntryParty,$P163)=0,"",INDEX(EntryParty,$P163)))</f>
        <v/>
      </c>
      <c r="E163" s="26">
        <f>IF($P163="","",IF(INDEX(EntryPartyName,$P163)=0,"",INDEX(EntryPartyName,$P163)))</f>
        <v/>
      </c>
      <c r="F163" s="26">
        <f>IF($P163="","",IF(INDEX(EntryPartyType,$P163)=0,"",INDEX(EntryPartyType,$P163)))</f>
        <v/>
      </c>
      <c r="G163" s="26">
        <f>IF($P163="","",IF(INDEX(EntryTxnType,$P163)=0,"",INDEX(EntryTxnType,$P163)))</f>
        <v/>
      </c>
      <c r="H163" s="27">
        <f>IF($P163="","",IF(INDEX(EntryDep,$P163)=0,"",INDEX(EntryDep,$P163)))</f>
        <v/>
      </c>
      <c r="I163" s="27">
        <f>IF($P163="","",IF(INDEX(EntryWit,$P163)=0,"",INDEX(EntryWit,$P163)))</f>
        <v/>
      </c>
      <c r="J163" s="27">
        <f>IF($B163="","",IF($A163=1,$C$7,IF(J162="",0,J162))+IF($H163="",0,$H163)-IF($I163="",0,$I163))</f>
        <v/>
      </c>
      <c r="K163" s="27">
        <f>IF($P163="","",IF(INDEX(EntryMan,$P163)=0,"",INDEX(EntryMan,$P163)))</f>
        <v/>
      </c>
      <c r="L163" s="26">
        <f>IF($B163="","",IF($K163="","—",IF(ROUND($K163-$J163,0)=0,"√","×")))</f>
        <v/>
      </c>
      <c r="M163" s="26">
        <f>IF($B163="","",IF(COUNTIFS(EntryDates,$B163,CalcTime,$C163,CalcBank,$C$5,EntryParty,$D163,EntryDep,$H163,EntryWit,$I163)&gt;1,"تکرار",""))</f>
        <v/>
      </c>
      <c r="N163" s="26">
        <f>IF($P163="","",IF(INDEX(EntryNotes,$P163)=0,"",INDEX(EntryNotes,$P163)))</f>
        <v/>
      </c>
      <c r="O163" s="26">
        <f>IF($P163="","",IF(INDEX(EntryTxnID,$P163)=0,"",INDEX(EntryTxnID,$P163)))</f>
        <v/>
      </c>
      <c r="P163" s="26">
        <f>IFERROR(MATCH($C$5&amp;"|"&amp;RIGHT("000000"&amp;147,6),CalcRankKey,0),"")</f>
        <v/>
      </c>
    </row>
    <row r="164">
      <c r="A164" s="28">
        <f>IF($B164="","",148)</f>
        <v/>
      </c>
      <c r="B164" s="28">
        <f>IF($P164="","",IF(INDEX(CalcNormDate,$P164)=0,"",INDEX(CalcNormDate,$P164)))</f>
        <v/>
      </c>
      <c r="C164" s="28">
        <f>IF($P164="","",IF(INDEX(CalcTime,$P164)=0,"",INDEX(CalcTime,$P164)))</f>
        <v/>
      </c>
      <c r="D164" s="28">
        <f>IF($P164="","",IF(INDEX(EntryParty,$P164)=0,"",INDEX(EntryParty,$P164)))</f>
        <v/>
      </c>
      <c r="E164" s="28">
        <f>IF($P164="","",IF(INDEX(EntryPartyName,$P164)=0,"",INDEX(EntryPartyName,$P164)))</f>
        <v/>
      </c>
      <c r="F164" s="28">
        <f>IF($P164="","",IF(INDEX(EntryPartyType,$P164)=0,"",INDEX(EntryPartyType,$P164)))</f>
        <v/>
      </c>
      <c r="G164" s="28">
        <f>IF($P164="","",IF(INDEX(EntryTxnType,$P164)=0,"",INDEX(EntryTxnType,$P164)))</f>
        <v/>
      </c>
      <c r="H164" s="29">
        <f>IF($P164="","",IF(INDEX(EntryDep,$P164)=0,"",INDEX(EntryDep,$P164)))</f>
        <v/>
      </c>
      <c r="I164" s="29">
        <f>IF($P164="","",IF(INDEX(EntryWit,$P164)=0,"",INDEX(EntryWit,$P164)))</f>
        <v/>
      </c>
      <c r="J164" s="29">
        <f>IF($B164="","",IF($A164=1,$C$7,IF(J163="",0,J163))+IF($H164="",0,$H164)-IF($I164="",0,$I164))</f>
        <v/>
      </c>
      <c r="K164" s="29">
        <f>IF($P164="","",IF(INDEX(EntryMan,$P164)=0,"",INDEX(EntryMan,$P164)))</f>
        <v/>
      </c>
      <c r="L164" s="28">
        <f>IF($B164="","",IF($K164="","—",IF(ROUND($K164-$J164,0)=0,"√","×")))</f>
        <v/>
      </c>
      <c r="M164" s="28">
        <f>IF($B164="","",IF(COUNTIFS(EntryDates,$B164,CalcTime,$C164,CalcBank,$C$5,EntryParty,$D164,EntryDep,$H164,EntryWit,$I164)&gt;1,"تکرار",""))</f>
        <v/>
      </c>
      <c r="N164" s="28">
        <f>IF($P164="","",IF(INDEX(EntryNotes,$P164)=0,"",INDEX(EntryNotes,$P164)))</f>
        <v/>
      </c>
      <c r="O164" s="28">
        <f>IF($P164="","",IF(INDEX(EntryTxnID,$P164)=0,"",INDEX(EntryTxnID,$P164)))</f>
        <v/>
      </c>
      <c r="P164" s="28">
        <f>IFERROR(MATCH($C$5&amp;"|"&amp;RIGHT("000000"&amp;148,6),CalcRankKey,0),"")</f>
        <v/>
      </c>
    </row>
    <row r="165">
      <c r="A165" s="26">
        <f>IF($B165="","",149)</f>
        <v/>
      </c>
      <c r="B165" s="26">
        <f>IF($P165="","",IF(INDEX(CalcNormDate,$P165)=0,"",INDEX(CalcNormDate,$P165)))</f>
        <v/>
      </c>
      <c r="C165" s="26">
        <f>IF($P165="","",IF(INDEX(CalcTime,$P165)=0,"",INDEX(CalcTime,$P165)))</f>
        <v/>
      </c>
      <c r="D165" s="26">
        <f>IF($P165="","",IF(INDEX(EntryParty,$P165)=0,"",INDEX(EntryParty,$P165)))</f>
        <v/>
      </c>
      <c r="E165" s="26">
        <f>IF($P165="","",IF(INDEX(EntryPartyName,$P165)=0,"",INDEX(EntryPartyName,$P165)))</f>
        <v/>
      </c>
      <c r="F165" s="26">
        <f>IF($P165="","",IF(INDEX(EntryPartyType,$P165)=0,"",INDEX(EntryPartyType,$P165)))</f>
        <v/>
      </c>
      <c r="G165" s="26">
        <f>IF($P165="","",IF(INDEX(EntryTxnType,$P165)=0,"",INDEX(EntryTxnType,$P165)))</f>
        <v/>
      </c>
      <c r="H165" s="27">
        <f>IF($P165="","",IF(INDEX(EntryDep,$P165)=0,"",INDEX(EntryDep,$P165)))</f>
        <v/>
      </c>
      <c r="I165" s="27">
        <f>IF($P165="","",IF(INDEX(EntryWit,$P165)=0,"",INDEX(EntryWit,$P165)))</f>
        <v/>
      </c>
      <c r="J165" s="27">
        <f>IF($B165="","",IF($A165=1,$C$7,IF(J164="",0,J164))+IF($H165="",0,$H165)-IF($I165="",0,$I165))</f>
        <v/>
      </c>
      <c r="K165" s="27">
        <f>IF($P165="","",IF(INDEX(EntryMan,$P165)=0,"",INDEX(EntryMan,$P165)))</f>
        <v/>
      </c>
      <c r="L165" s="26">
        <f>IF($B165="","",IF($K165="","—",IF(ROUND($K165-$J165,0)=0,"√","×")))</f>
        <v/>
      </c>
      <c r="M165" s="26">
        <f>IF($B165="","",IF(COUNTIFS(EntryDates,$B165,CalcTime,$C165,CalcBank,$C$5,EntryParty,$D165,EntryDep,$H165,EntryWit,$I165)&gt;1,"تکرار",""))</f>
        <v/>
      </c>
      <c r="N165" s="26">
        <f>IF($P165="","",IF(INDEX(EntryNotes,$P165)=0,"",INDEX(EntryNotes,$P165)))</f>
        <v/>
      </c>
      <c r="O165" s="26">
        <f>IF($P165="","",IF(INDEX(EntryTxnID,$P165)=0,"",INDEX(EntryTxnID,$P165)))</f>
        <v/>
      </c>
      <c r="P165" s="26">
        <f>IFERROR(MATCH($C$5&amp;"|"&amp;RIGHT("000000"&amp;149,6),CalcRankKey,0),"")</f>
        <v/>
      </c>
    </row>
    <row r="166">
      <c r="A166" s="28">
        <f>IF($B166="","",150)</f>
        <v/>
      </c>
      <c r="B166" s="28">
        <f>IF($P166="","",IF(INDEX(CalcNormDate,$P166)=0,"",INDEX(CalcNormDate,$P166)))</f>
        <v/>
      </c>
      <c r="C166" s="28">
        <f>IF($P166="","",IF(INDEX(CalcTime,$P166)=0,"",INDEX(CalcTime,$P166)))</f>
        <v/>
      </c>
      <c r="D166" s="28">
        <f>IF($P166="","",IF(INDEX(EntryParty,$P166)=0,"",INDEX(EntryParty,$P166)))</f>
        <v/>
      </c>
      <c r="E166" s="28">
        <f>IF($P166="","",IF(INDEX(EntryPartyName,$P166)=0,"",INDEX(EntryPartyName,$P166)))</f>
        <v/>
      </c>
      <c r="F166" s="28">
        <f>IF($P166="","",IF(INDEX(EntryPartyType,$P166)=0,"",INDEX(EntryPartyType,$P166)))</f>
        <v/>
      </c>
      <c r="G166" s="28">
        <f>IF($P166="","",IF(INDEX(EntryTxnType,$P166)=0,"",INDEX(EntryTxnType,$P166)))</f>
        <v/>
      </c>
      <c r="H166" s="29">
        <f>IF($P166="","",IF(INDEX(EntryDep,$P166)=0,"",INDEX(EntryDep,$P166)))</f>
        <v/>
      </c>
      <c r="I166" s="29">
        <f>IF($P166="","",IF(INDEX(EntryWit,$P166)=0,"",INDEX(EntryWit,$P166)))</f>
        <v/>
      </c>
      <c r="J166" s="29">
        <f>IF($B166="","",IF($A166=1,$C$7,IF(J165="",0,J165))+IF($H166="",0,$H166)-IF($I166="",0,$I166))</f>
        <v/>
      </c>
      <c r="K166" s="29">
        <f>IF($P166="","",IF(INDEX(EntryMan,$P166)=0,"",INDEX(EntryMan,$P166)))</f>
        <v/>
      </c>
      <c r="L166" s="28">
        <f>IF($B166="","",IF($K166="","—",IF(ROUND($K166-$J166,0)=0,"√","×")))</f>
        <v/>
      </c>
      <c r="M166" s="28">
        <f>IF($B166="","",IF(COUNTIFS(EntryDates,$B166,CalcTime,$C166,CalcBank,$C$5,EntryParty,$D166,EntryDep,$H166,EntryWit,$I166)&gt;1,"تکرار",""))</f>
        <v/>
      </c>
      <c r="N166" s="28">
        <f>IF($P166="","",IF(INDEX(EntryNotes,$P166)=0,"",INDEX(EntryNotes,$P166)))</f>
        <v/>
      </c>
      <c r="O166" s="28">
        <f>IF($P166="","",IF(INDEX(EntryTxnID,$P166)=0,"",INDEX(EntryTxnID,$P166)))</f>
        <v/>
      </c>
      <c r="P166" s="28">
        <f>IFERROR(MATCH($C$5&amp;"|"&amp;RIGHT("000000"&amp;150,6),CalcRankKey,0),"")</f>
        <v/>
      </c>
    </row>
    <row r="167">
      <c r="A167" s="26">
        <f>IF($B167="","",151)</f>
        <v/>
      </c>
      <c r="B167" s="26">
        <f>IF($P167="","",IF(INDEX(CalcNormDate,$P167)=0,"",INDEX(CalcNormDate,$P167)))</f>
        <v/>
      </c>
      <c r="C167" s="26">
        <f>IF($P167="","",IF(INDEX(CalcTime,$P167)=0,"",INDEX(CalcTime,$P167)))</f>
        <v/>
      </c>
      <c r="D167" s="26">
        <f>IF($P167="","",IF(INDEX(EntryParty,$P167)=0,"",INDEX(EntryParty,$P167)))</f>
        <v/>
      </c>
      <c r="E167" s="26">
        <f>IF($P167="","",IF(INDEX(EntryPartyName,$P167)=0,"",INDEX(EntryPartyName,$P167)))</f>
        <v/>
      </c>
      <c r="F167" s="26">
        <f>IF($P167="","",IF(INDEX(EntryPartyType,$P167)=0,"",INDEX(EntryPartyType,$P167)))</f>
        <v/>
      </c>
      <c r="G167" s="26">
        <f>IF($P167="","",IF(INDEX(EntryTxnType,$P167)=0,"",INDEX(EntryTxnType,$P167)))</f>
        <v/>
      </c>
      <c r="H167" s="27">
        <f>IF($P167="","",IF(INDEX(EntryDep,$P167)=0,"",INDEX(EntryDep,$P167)))</f>
        <v/>
      </c>
      <c r="I167" s="27">
        <f>IF($P167="","",IF(INDEX(EntryWit,$P167)=0,"",INDEX(EntryWit,$P167)))</f>
        <v/>
      </c>
      <c r="J167" s="27">
        <f>IF($B167="","",IF($A167=1,$C$7,IF(J166="",0,J166))+IF($H167="",0,$H167)-IF($I167="",0,$I167))</f>
        <v/>
      </c>
      <c r="K167" s="27">
        <f>IF($P167="","",IF(INDEX(EntryMan,$P167)=0,"",INDEX(EntryMan,$P167)))</f>
        <v/>
      </c>
      <c r="L167" s="26">
        <f>IF($B167="","",IF($K167="","—",IF(ROUND($K167-$J167,0)=0,"√","×")))</f>
        <v/>
      </c>
      <c r="M167" s="26">
        <f>IF($B167="","",IF(COUNTIFS(EntryDates,$B167,CalcTime,$C167,CalcBank,$C$5,EntryParty,$D167,EntryDep,$H167,EntryWit,$I167)&gt;1,"تکرار",""))</f>
        <v/>
      </c>
      <c r="N167" s="26">
        <f>IF($P167="","",IF(INDEX(EntryNotes,$P167)=0,"",INDEX(EntryNotes,$P167)))</f>
        <v/>
      </c>
      <c r="O167" s="26">
        <f>IF($P167="","",IF(INDEX(EntryTxnID,$P167)=0,"",INDEX(EntryTxnID,$P167)))</f>
        <v/>
      </c>
      <c r="P167" s="26">
        <f>IFERROR(MATCH($C$5&amp;"|"&amp;RIGHT("000000"&amp;151,6),CalcRankKey,0),"")</f>
        <v/>
      </c>
    </row>
    <row r="168">
      <c r="A168" s="28">
        <f>IF($B168="","",152)</f>
        <v/>
      </c>
      <c r="B168" s="28">
        <f>IF($P168="","",IF(INDEX(CalcNormDate,$P168)=0,"",INDEX(CalcNormDate,$P168)))</f>
        <v/>
      </c>
      <c r="C168" s="28">
        <f>IF($P168="","",IF(INDEX(CalcTime,$P168)=0,"",INDEX(CalcTime,$P168)))</f>
        <v/>
      </c>
      <c r="D168" s="28">
        <f>IF($P168="","",IF(INDEX(EntryParty,$P168)=0,"",INDEX(EntryParty,$P168)))</f>
        <v/>
      </c>
      <c r="E168" s="28">
        <f>IF($P168="","",IF(INDEX(EntryPartyName,$P168)=0,"",INDEX(EntryPartyName,$P168)))</f>
        <v/>
      </c>
      <c r="F168" s="28">
        <f>IF($P168="","",IF(INDEX(EntryPartyType,$P168)=0,"",INDEX(EntryPartyType,$P168)))</f>
        <v/>
      </c>
      <c r="G168" s="28">
        <f>IF($P168="","",IF(INDEX(EntryTxnType,$P168)=0,"",INDEX(EntryTxnType,$P168)))</f>
        <v/>
      </c>
      <c r="H168" s="29">
        <f>IF($P168="","",IF(INDEX(EntryDep,$P168)=0,"",INDEX(EntryDep,$P168)))</f>
        <v/>
      </c>
      <c r="I168" s="29">
        <f>IF($P168="","",IF(INDEX(EntryWit,$P168)=0,"",INDEX(EntryWit,$P168)))</f>
        <v/>
      </c>
      <c r="J168" s="29">
        <f>IF($B168="","",IF($A168=1,$C$7,IF(J167="",0,J167))+IF($H168="",0,$H168)-IF($I168="",0,$I168))</f>
        <v/>
      </c>
      <c r="K168" s="29">
        <f>IF($P168="","",IF(INDEX(EntryMan,$P168)=0,"",INDEX(EntryMan,$P168)))</f>
        <v/>
      </c>
      <c r="L168" s="28">
        <f>IF($B168="","",IF($K168="","—",IF(ROUND($K168-$J168,0)=0,"√","×")))</f>
        <v/>
      </c>
      <c r="M168" s="28">
        <f>IF($B168="","",IF(COUNTIFS(EntryDates,$B168,CalcTime,$C168,CalcBank,$C$5,EntryParty,$D168,EntryDep,$H168,EntryWit,$I168)&gt;1,"تکرار",""))</f>
        <v/>
      </c>
      <c r="N168" s="28">
        <f>IF($P168="","",IF(INDEX(EntryNotes,$P168)=0,"",INDEX(EntryNotes,$P168)))</f>
        <v/>
      </c>
      <c r="O168" s="28">
        <f>IF($P168="","",IF(INDEX(EntryTxnID,$P168)=0,"",INDEX(EntryTxnID,$P168)))</f>
        <v/>
      </c>
      <c r="P168" s="28">
        <f>IFERROR(MATCH($C$5&amp;"|"&amp;RIGHT("000000"&amp;152,6),CalcRankKey,0),"")</f>
        <v/>
      </c>
    </row>
    <row r="169">
      <c r="A169" s="26">
        <f>IF($B169="","",153)</f>
        <v/>
      </c>
      <c r="B169" s="26">
        <f>IF($P169="","",IF(INDEX(CalcNormDate,$P169)=0,"",INDEX(CalcNormDate,$P169)))</f>
        <v/>
      </c>
      <c r="C169" s="26">
        <f>IF($P169="","",IF(INDEX(CalcTime,$P169)=0,"",INDEX(CalcTime,$P169)))</f>
        <v/>
      </c>
      <c r="D169" s="26">
        <f>IF($P169="","",IF(INDEX(EntryParty,$P169)=0,"",INDEX(EntryParty,$P169)))</f>
        <v/>
      </c>
      <c r="E169" s="26">
        <f>IF($P169="","",IF(INDEX(EntryPartyName,$P169)=0,"",INDEX(EntryPartyName,$P169)))</f>
        <v/>
      </c>
      <c r="F169" s="26">
        <f>IF($P169="","",IF(INDEX(EntryPartyType,$P169)=0,"",INDEX(EntryPartyType,$P169)))</f>
        <v/>
      </c>
      <c r="G169" s="26">
        <f>IF($P169="","",IF(INDEX(EntryTxnType,$P169)=0,"",INDEX(EntryTxnType,$P169)))</f>
        <v/>
      </c>
      <c r="H169" s="27">
        <f>IF($P169="","",IF(INDEX(EntryDep,$P169)=0,"",INDEX(EntryDep,$P169)))</f>
        <v/>
      </c>
      <c r="I169" s="27">
        <f>IF($P169="","",IF(INDEX(EntryWit,$P169)=0,"",INDEX(EntryWit,$P169)))</f>
        <v/>
      </c>
      <c r="J169" s="27">
        <f>IF($B169="","",IF($A169=1,$C$7,IF(J168="",0,J168))+IF($H169="",0,$H169)-IF($I169="",0,$I169))</f>
        <v/>
      </c>
      <c r="K169" s="27">
        <f>IF($P169="","",IF(INDEX(EntryMan,$P169)=0,"",INDEX(EntryMan,$P169)))</f>
        <v/>
      </c>
      <c r="L169" s="26">
        <f>IF($B169="","",IF($K169="","—",IF(ROUND($K169-$J169,0)=0,"√","×")))</f>
        <v/>
      </c>
      <c r="M169" s="26">
        <f>IF($B169="","",IF(COUNTIFS(EntryDates,$B169,CalcTime,$C169,CalcBank,$C$5,EntryParty,$D169,EntryDep,$H169,EntryWit,$I169)&gt;1,"تکرار",""))</f>
        <v/>
      </c>
      <c r="N169" s="26">
        <f>IF($P169="","",IF(INDEX(EntryNotes,$P169)=0,"",INDEX(EntryNotes,$P169)))</f>
        <v/>
      </c>
      <c r="O169" s="26">
        <f>IF($P169="","",IF(INDEX(EntryTxnID,$P169)=0,"",INDEX(EntryTxnID,$P169)))</f>
        <v/>
      </c>
      <c r="P169" s="26">
        <f>IFERROR(MATCH($C$5&amp;"|"&amp;RIGHT("000000"&amp;153,6),CalcRankKey,0),"")</f>
        <v/>
      </c>
    </row>
    <row r="170">
      <c r="A170" s="28">
        <f>IF($B170="","",154)</f>
        <v/>
      </c>
      <c r="B170" s="28">
        <f>IF($P170="","",IF(INDEX(CalcNormDate,$P170)=0,"",INDEX(CalcNormDate,$P170)))</f>
        <v/>
      </c>
      <c r="C170" s="28">
        <f>IF($P170="","",IF(INDEX(CalcTime,$P170)=0,"",INDEX(CalcTime,$P170)))</f>
        <v/>
      </c>
      <c r="D170" s="28">
        <f>IF($P170="","",IF(INDEX(EntryParty,$P170)=0,"",INDEX(EntryParty,$P170)))</f>
        <v/>
      </c>
      <c r="E170" s="28">
        <f>IF($P170="","",IF(INDEX(EntryPartyName,$P170)=0,"",INDEX(EntryPartyName,$P170)))</f>
        <v/>
      </c>
      <c r="F170" s="28">
        <f>IF($P170="","",IF(INDEX(EntryPartyType,$P170)=0,"",INDEX(EntryPartyType,$P170)))</f>
        <v/>
      </c>
      <c r="G170" s="28">
        <f>IF($P170="","",IF(INDEX(EntryTxnType,$P170)=0,"",INDEX(EntryTxnType,$P170)))</f>
        <v/>
      </c>
      <c r="H170" s="29">
        <f>IF($P170="","",IF(INDEX(EntryDep,$P170)=0,"",INDEX(EntryDep,$P170)))</f>
        <v/>
      </c>
      <c r="I170" s="29">
        <f>IF($P170="","",IF(INDEX(EntryWit,$P170)=0,"",INDEX(EntryWit,$P170)))</f>
        <v/>
      </c>
      <c r="J170" s="29">
        <f>IF($B170="","",IF($A170=1,$C$7,IF(J169="",0,J169))+IF($H170="",0,$H170)-IF($I170="",0,$I170))</f>
        <v/>
      </c>
      <c r="K170" s="29">
        <f>IF($P170="","",IF(INDEX(EntryMan,$P170)=0,"",INDEX(EntryMan,$P170)))</f>
        <v/>
      </c>
      <c r="L170" s="28">
        <f>IF($B170="","",IF($K170="","—",IF(ROUND($K170-$J170,0)=0,"√","×")))</f>
        <v/>
      </c>
      <c r="M170" s="28">
        <f>IF($B170="","",IF(COUNTIFS(EntryDates,$B170,CalcTime,$C170,CalcBank,$C$5,EntryParty,$D170,EntryDep,$H170,EntryWit,$I170)&gt;1,"تکرار",""))</f>
        <v/>
      </c>
      <c r="N170" s="28">
        <f>IF($P170="","",IF(INDEX(EntryNotes,$P170)=0,"",INDEX(EntryNotes,$P170)))</f>
        <v/>
      </c>
      <c r="O170" s="28">
        <f>IF($P170="","",IF(INDEX(EntryTxnID,$P170)=0,"",INDEX(EntryTxnID,$P170)))</f>
        <v/>
      </c>
      <c r="P170" s="28">
        <f>IFERROR(MATCH($C$5&amp;"|"&amp;RIGHT("000000"&amp;154,6),CalcRankKey,0),"")</f>
        <v/>
      </c>
    </row>
    <row r="171">
      <c r="A171" s="26">
        <f>IF($B171="","",155)</f>
        <v/>
      </c>
      <c r="B171" s="26">
        <f>IF($P171="","",IF(INDEX(CalcNormDate,$P171)=0,"",INDEX(CalcNormDate,$P171)))</f>
        <v/>
      </c>
      <c r="C171" s="26">
        <f>IF($P171="","",IF(INDEX(CalcTime,$P171)=0,"",INDEX(CalcTime,$P171)))</f>
        <v/>
      </c>
      <c r="D171" s="26">
        <f>IF($P171="","",IF(INDEX(EntryParty,$P171)=0,"",INDEX(EntryParty,$P171)))</f>
        <v/>
      </c>
      <c r="E171" s="26">
        <f>IF($P171="","",IF(INDEX(EntryPartyName,$P171)=0,"",INDEX(EntryPartyName,$P171)))</f>
        <v/>
      </c>
      <c r="F171" s="26">
        <f>IF($P171="","",IF(INDEX(EntryPartyType,$P171)=0,"",INDEX(EntryPartyType,$P171)))</f>
        <v/>
      </c>
      <c r="G171" s="26">
        <f>IF($P171="","",IF(INDEX(EntryTxnType,$P171)=0,"",INDEX(EntryTxnType,$P171)))</f>
        <v/>
      </c>
      <c r="H171" s="27">
        <f>IF($P171="","",IF(INDEX(EntryDep,$P171)=0,"",INDEX(EntryDep,$P171)))</f>
        <v/>
      </c>
      <c r="I171" s="27">
        <f>IF($P171="","",IF(INDEX(EntryWit,$P171)=0,"",INDEX(EntryWit,$P171)))</f>
        <v/>
      </c>
      <c r="J171" s="27">
        <f>IF($B171="","",IF($A171=1,$C$7,IF(J170="",0,J170))+IF($H171="",0,$H171)-IF($I171="",0,$I171))</f>
        <v/>
      </c>
      <c r="K171" s="27">
        <f>IF($P171="","",IF(INDEX(EntryMan,$P171)=0,"",INDEX(EntryMan,$P171)))</f>
        <v/>
      </c>
      <c r="L171" s="26">
        <f>IF($B171="","",IF($K171="","—",IF(ROUND($K171-$J171,0)=0,"√","×")))</f>
        <v/>
      </c>
      <c r="M171" s="26">
        <f>IF($B171="","",IF(COUNTIFS(EntryDates,$B171,CalcTime,$C171,CalcBank,$C$5,EntryParty,$D171,EntryDep,$H171,EntryWit,$I171)&gt;1,"تکرار",""))</f>
        <v/>
      </c>
      <c r="N171" s="26">
        <f>IF($P171="","",IF(INDEX(EntryNotes,$P171)=0,"",INDEX(EntryNotes,$P171)))</f>
        <v/>
      </c>
      <c r="O171" s="26">
        <f>IF($P171="","",IF(INDEX(EntryTxnID,$P171)=0,"",INDEX(EntryTxnID,$P171)))</f>
        <v/>
      </c>
      <c r="P171" s="26">
        <f>IFERROR(MATCH($C$5&amp;"|"&amp;RIGHT("000000"&amp;155,6),CalcRankKey,0),"")</f>
        <v/>
      </c>
    </row>
    <row r="172">
      <c r="A172" s="28">
        <f>IF($B172="","",156)</f>
        <v/>
      </c>
      <c r="B172" s="28">
        <f>IF($P172="","",IF(INDEX(CalcNormDate,$P172)=0,"",INDEX(CalcNormDate,$P172)))</f>
        <v/>
      </c>
      <c r="C172" s="28">
        <f>IF($P172="","",IF(INDEX(CalcTime,$P172)=0,"",INDEX(CalcTime,$P172)))</f>
        <v/>
      </c>
      <c r="D172" s="28">
        <f>IF($P172="","",IF(INDEX(EntryParty,$P172)=0,"",INDEX(EntryParty,$P172)))</f>
        <v/>
      </c>
      <c r="E172" s="28">
        <f>IF($P172="","",IF(INDEX(EntryPartyName,$P172)=0,"",INDEX(EntryPartyName,$P172)))</f>
        <v/>
      </c>
      <c r="F172" s="28">
        <f>IF($P172="","",IF(INDEX(EntryPartyType,$P172)=0,"",INDEX(EntryPartyType,$P172)))</f>
        <v/>
      </c>
      <c r="G172" s="28">
        <f>IF($P172="","",IF(INDEX(EntryTxnType,$P172)=0,"",INDEX(EntryTxnType,$P172)))</f>
        <v/>
      </c>
      <c r="H172" s="29">
        <f>IF($P172="","",IF(INDEX(EntryDep,$P172)=0,"",INDEX(EntryDep,$P172)))</f>
        <v/>
      </c>
      <c r="I172" s="29">
        <f>IF($P172="","",IF(INDEX(EntryWit,$P172)=0,"",INDEX(EntryWit,$P172)))</f>
        <v/>
      </c>
      <c r="J172" s="29">
        <f>IF($B172="","",IF($A172=1,$C$7,IF(J171="",0,J171))+IF($H172="",0,$H172)-IF($I172="",0,$I172))</f>
        <v/>
      </c>
      <c r="K172" s="29">
        <f>IF($P172="","",IF(INDEX(EntryMan,$P172)=0,"",INDEX(EntryMan,$P172)))</f>
        <v/>
      </c>
      <c r="L172" s="28">
        <f>IF($B172="","",IF($K172="","—",IF(ROUND($K172-$J172,0)=0,"√","×")))</f>
        <v/>
      </c>
      <c r="M172" s="28">
        <f>IF($B172="","",IF(COUNTIFS(EntryDates,$B172,CalcTime,$C172,CalcBank,$C$5,EntryParty,$D172,EntryDep,$H172,EntryWit,$I172)&gt;1,"تکرار",""))</f>
        <v/>
      </c>
      <c r="N172" s="28">
        <f>IF($P172="","",IF(INDEX(EntryNotes,$P172)=0,"",INDEX(EntryNotes,$P172)))</f>
        <v/>
      </c>
      <c r="O172" s="28">
        <f>IF($P172="","",IF(INDEX(EntryTxnID,$P172)=0,"",INDEX(EntryTxnID,$P172)))</f>
        <v/>
      </c>
      <c r="P172" s="28">
        <f>IFERROR(MATCH($C$5&amp;"|"&amp;RIGHT("000000"&amp;156,6),CalcRankKey,0),"")</f>
        <v/>
      </c>
    </row>
    <row r="173">
      <c r="A173" s="26">
        <f>IF($B173="","",157)</f>
        <v/>
      </c>
      <c r="B173" s="26">
        <f>IF($P173="","",IF(INDEX(CalcNormDate,$P173)=0,"",INDEX(CalcNormDate,$P173)))</f>
        <v/>
      </c>
      <c r="C173" s="26">
        <f>IF($P173="","",IF(INDEX(CalcTime,$P173)=0,"",INDEX(CalcTime,$P173)))</f>
        <v/>
      </c>
      <c r="D173" s="26">
        <f>IF($P173="","",IF(INDEX(EntryParty,$P173)=0,"",INDEX(EntryParty,$P173)))</f>
        <v/>
      </c>
      <c r="E173" s="26">
        <f>IF($P173="","",IF(INDEX(EntryPartyName,$P173)=0,"",INDEX(EntryPartyName,$P173)))</f>
        <v/>
      </c>
      <c r="F173" s="26">
        <f>IF($P173="","",IF(INDEX(EntryPartyType,$P173)=0,"",INDEX(EntryPartyType,$P173)))</f>
        <v/>
      </c>
      <c r="G173" s="26">
        <f>IF($P173="","",IF(INDEX(EntryTxnType,$P173)=0,"",INDEX(EntryTxnType,$P173)))</f>
        <v/>
      </c>
      <c r="H173" s="27">
        <f>IF($P173="","",IF(INDEX(EntryDep,$P173)=0,"",INDEX(EntryDep,$P173)))</f>
        <v/>
      </c>
      <c r="I173" s="27">
        <f>IF($P173="","",IF(INDEX(EntryWit,$P173)=0,"",INDEX(EntryWit,$P173)))</f>
        <v/>
      </c>
      <c r="J173" s="27">
        <f>IF($B173="","",IF($A173=1,$C$7,IF(J172="",0,J172))+IF($H173="",0,$H173)-IF($I173="",0,$I173))</f>
        <v/>
      </c>
      <c r="K173" s="27">
        <f>IF($P173="","",IF(INDEX(EntryMan,$P173)=0,"",INDEX(EntryMan,$P173)))</f>
        <v/>
      </c>
      <c r="L173" s="26">
        <f>IF($B173="","",IF($K173="","—",IF(ROUND($K173-$J173,0)=0,"√","×")))</f>
        <v/>
      </c>
      <c r="M173" s="26">
        <f>IF($B173="","",IF(COUNTIFS(EntryDates,$B173,CalcTime,$C173,CalcBank,$C$5,EntryParty,$D173,EntryDep,$H173,EntryWit,$I173)&gt;1,"تکرار",""))</f>
        <v/>
      </c>
      <c r="N173" s="26">
        <f>IF($P173="","",IF(INDEX(EntryNotes,$P173)=0,"",INDEX(EntryNotes,$P173)))</f>
        <v/>
      </c>
      <c r="O173" s="26">
        <f>IF($P173="","",IF(INDEX(EntryTxnID,$P173)=0,"",INDEX(EntryTxnID,$P173)))</f>
        <v/>
      </c>
      <c r="P173" s="26">
        <f>IFERROR(MATCH($C$5&amp;"|"&amp;RIGHT("000000"&amp;157,6),CalcRankKey,0),"")</f>
        <v/>
      </c>
    </row>
    <row r="174">
      <c r="A174" s="28">
        <f>IF($B174="","",158)</f>
        <v/>
      </c>
      <c r="B174" s="28">
        <f>IF($P174="","",IF(INDEX(CalcNormDate,$P174)=0,"",INDEX(CalcNormDate,$P174)))</f>
        <v/>
      </c>
      <c r="C174" s="28">
        <f>IF($P174="","",IF(INDEX(CalcTime,$P174)=0,"",INDEX(CalcTime,$P174)))</f>
        <v/>
      </c>
      <c r="D174" s="28">
        <f>IF($P174="","",IF(INDEX(EntryParty,$P174)=0,"",INDEX(EntryParty,$P174)))</f>
        <v/>
      </c>
      <c r="E174" s="28">
        <f>IF($P174="","",IF(INDEX(EntryPartyName,$P174)=0,"",INDEX(EntryPartyName,$P174)))</f>
        <v/>
      </c>
      <c r="F174" s="28">
        <f>IF($P174="","",IF(INDEX(EntryPartyType,$P174)=0,"",INDEX(EntryPartyType,$P174)))</f>
        <v/>
      </c>
      <c r="G174" s="28">
        <f>IF($P174="","",IF(INDEX(EntryTxnType,$P174)=0,"",INDEX(EntryTxnType,$P174)))</f>
        <v/>
      </c>
      <c r="H174" s="29">
        <f>IF($P174="","",IF(INDEX(EntryDep,$P174)=0,"",INDEX(EntryDep,$P174)))</f>
        <v/>
      </c>
      <c r="I174" s="29">
        <f>IF($P174="","",IF(INDEX(EntryWit,$P174)=0,"",INDEX(EntryWit,$P174)))</f>
        <v/>
      </c>
      <c r="J174" s="29">
        <f>IF($B174="","",IF($A174=1,$C$7,IF(J173="",0,J173))+IF($H174="",0,$H174)-IF($I174="",0,$I174))</f>
        <v/>
      </c>
      <c r="K174" s="29">
        <f>IF($P174="","",IF(INDEX(EntryMan,$P174)=0,"",INDEX(EntryMan,$P174)))</f>
        <v/>
      </c>
      <c r="L174" s="28">
        <f>IF($B174="","",IF($K174="","—",IF(ROUND($K174-$J174,0)=0,"√","×")))</f>
        <v/>
      </c>
      <c r="M174" s="28">
        <f>IF($B174="","",IF(COUNTIFS(EntryDates,$B174,CalcTime,$C174,CalcBank,$C$5,EntryParty,$D174,EntryDep,$H174,EntryWit,$I174)&gt;1,"تکرار",""))</f>
        <v/>
      </c>
      <c r="N174" s="28">
        <f>IF($P174="","",IF(INDEX(EntryNotes,$P174)=0,"",INDEX(EntryNotes,$P174)))</f>
        <v/>
      </c>
      <c r="O174" s="28">
        <f>IF($P174="","",IF(INDEX(EntryTxnID,$P174)=0,"",INDEX(EntryTxnID,$P174)))</f>
        <v/>
      </c>
      <c r="P174" s="28">
        <f>IFERROR(MATCH($C$5&amp;"|"&amp;RIGHT("000000"&amp;158,6),CalcRankKey,0),"")</f>
        <v/>
      </c>
    </row>
    <row r="175">
      <c r="A175" s="26">
        <f>IF($B175="","",159)</f>
        <v/>
      </c>
      <c r="B175" s="26">
        <f>IF($P175="","",IF(INDEX(CalcNormDate,$P175)=0,"",INDEX(CalcNormDate,$P175)))</f>
        <v/>
      </c>
      <c r="C175" s="26">
        <f>IF($P175="","",IF(INDEX(CalcTime,$P175)=0,"",INDEX(CalcTime,$P175)))</f>
        <v/>
      </c>
      <c r="D175" s="26">
        <f>IF($P175="","",IF(INDEX(EntryParty,$P175)=0,"",INDEX(EntryParty,$P175)))</f>
        <v/>
      </c>
      <c r="E175" s="26">
        <f>IF($P175="","",IF(INDEX(EntryPartyName,$P175)=0,"",INDEX(EntryPartyName,$P175)))</f>
        <v/>
      </c>
      <c r="F175" s="26">
        <f>IF($P175="","",IF(INDEX(EntryPartyType,$P175)=0,"",INDEX(EntryPartyType,$P175)))</f>
        <v/>
      </c>
      <c r="G175" s="26">
        <f>IF($P175="","",IF(INDEX(EntryTxnType,$P175)=0,"",INDEX(EntryTxnType,$P175)))</f>
        <v/>
      </c>
      <c r="H175" s="27">
        <f>IF($P175="","",IF(INDEX(EntryDep,$P175)=0,"",INDEX(EntryDep,$P175)))</f>
        <v/>
      </c>
      <c r="I175" s="27">
        <f>IF($P175="","",IF(INDEX(EntryWit,$P175)=0,"",INDEX(EntryWit,$P175)))</f>
        <v/>
      </c>
      <c r="J175" s="27">
        <f>IF($B175="","",IF($A175=1,$C$7,IF(J174="",0,J174))+IF($H175="",0,$H175)-IF($I175="",0,$I175))</f>
        <v/>
      </c>
      <c r="K175" s="27">
        <f>IF($P175="","",IF(INDEX(EntryMan,$P175)=0,"",INDEX(EntryMan,$P175)))</f>
        <v/>
      </c>
      <c r="L175" s="26">
        <f>IF($B175="","",IF($K175="","—",IF(ROUND($K175-$J175,0)=0,"√","×")))</f>
        <v/>
      </c>
      <c r="M175" s="26">
        <f>IF($B175="","",IF(COUNTIFS(EntryDates,$B175,CalcTime,$C175,CalcBank,$C$5,EntryParty,$D175,EntryDep,$H175,EntryWit,$I175)&gt;1,"تکرار",""))</f>
        <v/>
      </c>
      <c r="N175" s="26">
        <f>IF($P175="","",IF(INDEX(EntryNotes,$P175)=0,"",INDEX(EntryNotes,$P175)))</f>
        <v/>
      </c>
      <c r="O175" s="26">
        <f>IF($P175="","",IF(INDEX(EntryTxnID,$P175)=0,"",INDEX(EntryTxnID,$P175)))</f>
        <v/>
      </c>
      <c r="P175" s="26">
        <f>IFERROR(MATCH($C$5&amp;"|"&amp;RIGHT("000000"&amp;159,6),CalcRankKey,0),"")</f>
        <v/>
      </c>
    </row>
    <row r="176">
      <c r="A176" s="28">
        <f>IF($B176="","",160)</f>
        <v/>
      </c>
      <c r="B176" s="28">
        <f>IF($P176="","",IF(INDEX(CalcNormDate,$P176)=0,"",INDEX(CalcNormDate,$P176)))</f>
        <v/>
      </c>
      <c r="C176" s="28">
        <f>IF($P176="","",IF(INDEX(CalcTime,$P176)=0,"",INDEX(CalcTime,$P176)))</f>
        <v/>
      </c>
      <c r="D176" s="28">
        <f>IF($P176="","",IF(INDEX(EntryParty,$P176)=0,"",INDEX(EntryParty,$P176)))</f>
        <v/>
      </c>
      <c r="E176" s="28">
        <f>IF($P176="","",IF(INDEX(EntryPartyName,$P176)=0,"",INDEX(EntryPartyName,$P176)))</f>
        <v/>
      </c>
      <c r="F176" s="28">
        <f>IF($P176="","",IF(INDEX(EntryPartyType,$P176)=0,"",INDEX(EntryPartyType,$P176)))</f>
        <v/>
      </c>
      <c r="G176" s="28">
        <f>IF($P176="","",IF(INDEX(EntryTxnType,$P176)=0,"",INDEX(EntryTxnType,$P176)))</f>
        <v/>
      </c>
      <c r="H176" s="29">
        <f>IF($P176="","",IF(INDEX(EntryDep,$P176)=0,"",INDEX(EntryDep,$P176)))</f>
        <v/>
      </c>
      <c r="I176" s="29">
        <f>IF($P176="","",IF(INDEX(EntryWit,$P176)=0,"",INDEX(EntryWit,$P176)))</f>
        <v/>
      </c>
      <c r="J176" s="29">
        <f>IF($B176="","",IF($A176=1,$C$7,IF(J175="",0,J175))+IF($H176="",0,$H176)-IF($I176="",0,$I176))</f>
        <v/>
      </c>
      <c r="K176" s="29">
        <f>IF($P176="","",IF(INDEX(EntryMan,$P176)=0,"",INDEX(EntryMan,$P176)))</f>
        <v/>
      </c>
      <c r="L176" s="28">
        <f>IF($B176="","",IF($K176="","—",IF(ROUND($K176-$J176,0)=0,"√","×")))</f>
        <v/>
      </c>
      <c r="M176" s="28">
        <f>IF($B176="","",IF(COUNTIFS(EntryDates,$B176,CalcTime,$C176,CalcBank,$C$5,EntryParty,$D176,EntryDep,$H176,EntryWit,$I176)&gt;1,"تکرار",""))</f>
        <v/>
      </c>
      <c r="N176" s="28">
        <f>IF($P176="","",IF(INDEX(EntryNotes,$P176)=0,"",INDEX(EntryNotes,$P176)))</f>
        <v/>
      </c>
      <c r="O176" s="28">
        <f>IF($P176="","",IF(INDEX(EntryTxnID,$P176)=0,"",INDEX(EntryTxnID,$P176)))</f>
        <v/>
      </c>
      <c r="P176" s="28">
        <f>IFERROR(MATCH($C$5&amp;"|"&amp;RIGHT("000000"&amp;160,6),CalcRankKey,0),"")</f>
        <v/>
      </c>
    </row>
    <row r="177">
      <c r="A177" s="26">
        <f>IF($B177="","",161)</f>
        <v/>
      </c>
      <c r="B177" s="26">
        <f>IF($P177="","",IF(INDEX(CalcNormDate,$P177)=0,"",INDEX(CalcNormDate,$P177)))</f>
        <v/>
      </c>
      <c r="C177" s="26">
        <f>IF($P177="","",IF(INDEX(CalcTime,$P177)=0,"",INDEX(CalcTime,$P177)))</f>
        <v/>
      </c>
      <c r="D177" s="26">
        <f>IF($P177="","",IF(INDEX(EntryParty,$P177)=0,"",INDEX(EntryParty,$P177)))</f>
        <v/>
      </c>
      <c r="E177" s="26">
        <f>IF($P177="","",IF(INDEX(EntryPartyName,$P177)=0,"",INDEX(EntryPartyName,$P177)))</f>
        <v/>
      </c>
      <c r="F177" s="26">
        <f>IF($P177="","",IF(INDEX(EntryPartyType,$P177)=0,"",INDEX(EntryPartyType,$P177)))</f>
        <v/>
      </c>
      <c r="G177" s="26">
        <f>IF($P177="","",IF(INDEX(EntryTxnType,$P177)=0,"",INDEX(EntryTxnType,$P177)))</f>
        <v/>
      </c>
      <c r="H177" s="27">
        <f>IF($P177="","",IF(INDEX(EntryDep,$P177)=0,"",INDEX(EntryDep,$P177)))</f>
        <v/>
      </c>
      <c r="I177" s="27">
        <f>IF($P177="","",IF(INDEX(EntryWit,$P177)=0,"",INDEX(EntryWit,$P177)))</f>
        <v/>
      </c>
      <c r="J177" s="27">
        <f>IF($B177="","",IF($A177=1,$C$7,IF(J176="",0,J176))+IF($H177="",0,$H177)-IF($I177="",0,$I177))</f>
        <v/>
      </c>
      <c r="K177" s="27">
        <f>IF($P177="","",IF(INDEX(EntryMan,$P177)=0,"",INDEX(EntryMan,$P177)))</f>
        <v/>
      </c>
      <c r="L177" s="26">
        <f>IF($B177="","",IF($K177="","—",IF(ROUND($K177-$J177,0)=0,"√","×")))</f>
        <v/>
      </c>
      <c r="M177" s="26">
        <f>IF($B177="","",IF(COUNTIFS(EntryDates,$B177,CalcTime,$C177,CalcBank,$C$5,EntryParty,$D177,EntryDep,$H177,EntryWit,$I177)&gt;1,"تکرار",""))</f>
        <v/>
      </c>
      <c r="N177" s="26">
        <f>IF($P177="","",IF(INDEX(EntryNotes,$P177)=0,"",INDEX(EntryNotes,$P177)))</f>
        <v/>
      </c>
      <c r="O177" s="26">
        <f>IF($P177="","",IF(INDEX(EntryTxnID,$P177)=0,"",INDEX(EntryTxnID,$P177)))</f>
        <v/>
      </c>
      <c r="P177" s="26">
        <f>IFERROR(MATCH($C$5&amp;"|"&amp;RIGHT("000000"&amp;161,6),CalcRankKey,0),"")</f>
        <v/>
      </c>
    </row>
    <row r="178">
      <c r="A178" s="28">
        <f>IF($B178="","",162)</f>
        <v/>
      </c>
      <c r="B178" s="28">
        <f>IF($P178="","",IF(INDEX(CalcNormDate,$P178)=0,"",INDEX(CalcNormDate,$P178)))</f>
        <v/>
      </c>
      <c r="C178" s="28">
        <f>IF($P178="","",IF(INDEX(CalcTime,$P178)=0,"",INDEX(CalcTime,$P178)))</f>
        <v/>
      </c>
      <c r="D178" s="28">
        <f>IF($P178="","",IF(INDEX(EntryParty,$P178)=0,"",INDEX(EntryParty,$P178)))</f>
        <v/>
      </c>
      <c r="E178" s="28">
        <f>IF($P178="","",IF(INDEX(EntryPartyName,$P178)=0,"",INDEX(EntryPartyName,$P178)))</f>
        <v/>
      </c>
      <c r="F178" s="28">
        <f>IF($P178="","",IF(INDEX(EntryPartyType,$P178)=0,"",INDEX(EntryPartyType,$P178)))</f>
        <v/>
      </c>
      <c r="G178" s="28">
        <f>IF($P178="","",IF(INDEX(EntryTxnType,$P178)=0,"",INDEX(EntryTxnType,$P178)))</f>
        <v/>
      </c>
      <c r="H178" s="29">
        <f>IF($P178="","",IF(INDEX(EntryDep,$P178)=0,"",INDEX(EntryDep,$P178)))</f>
        <v/>
      </c>
      <c r="I178" s="29">
        <f>IF($P178="","",IF(INDEX(EntryWit,$P178)=0,"",INDEX(EntryWit,$P178)))</f>
        <v/>
      </c>
      <c r="J178" s="29">
        <f>IF($B178="","",IF($A178=1,$C$7,IF(J177="",0,J177))+IF($H178="",0,$H178)-IF($I178="",0,$I178))</f>
        <v/>
      </c>
      <c r="K178" s="29">
        <f>IF($P178="","",IF(INDEX(EntryMan,$P178)=0,"",INDEX(EntryMan,$P178)))</f>
        <v/>
      </c>
      <c r="L178" s="28">
        <f>IF($B178="","",IF($K178="","—",IF(ROUND($K178-$J178,0)=0,"√","×")))</f>
        <v/>
      </c>
      <c r="M178" s="28">
        <f>IF($B178="","",IF(COUNTIFS(EntryDates,$B178,CalcTime,$C178,CalcBank,$C$5,EntryParty,$D178,EntryDep,$H178,EntryWit,$I178)&gt;1,"تکرار",""))</f>
        <v/>
      </c>
      <c r="N178" s="28">
        <f>IF($P178="","",IF(INDEX(EntryNotes,$P178)=0,"",INDEX(EntryNotes,$P178)))</f>
        <v/>
      </c>
      <c r="O178" s="28">
        <f>IF($P178="","",IF(INDEX(EntryTxnID,$P178)=0,"",INDEX(EntryTxnID,$P178)))</f>
        <v/>
      </c>
      <c r="P178" s="28">
        <f>IFERROR(MATCH($C$5&amp;"|"&amp;RIGHT("000000"&amp;162,6),CalcRankKey,0),"")</f>
        <v/>
      </c>
    </row>
    <row r="179">
      <c r="A179" s="26">
        <f>IF($B179="","",163)</f>
        <v/>
      </c>
      <c r="B179" s="26">
        <f>IF($P179="","",IF(INDEX(CalcNormDate,$P179)=0,"",INDEX(CalcNormDate,$P179)))</f>
        <v/>
      </c>
      <c r="C179" s="26">
        <f>IF($P179="","",IF(INDEX(CalcTime,$P179)=0,"",INDEX(CalcTime,$P179)))</f>
        <v/>
      </c>
      <c r="D179" s="26">
        <f>IF($P179="","",IF(INDEX(EntryParty,$P179)=0,"",INDEX(EntryParty,$P179)))</f>
        <v/>
      </c>
      <c r="E179" s="26">
        <f>IF($P179="","",IF(INDEX(EntryPartyName,$P179)=0,"",INDEX(EntryPartyName,$P179)))</f>
        <v/>
      </c>
      <c r="F179" s="26">
        <f>IF($P179="","",IF(INDEX(EntryPartyType,$P179)=0,"",INDEX(EntryPartyType,$P179)))</f>
        <v/>
      </c>
      <c r="G179" s="26">
        <f>IF($P179="","",IF(INDEX(EntryTxnType,$P179)=0,"",INDEX(EntryTxnType,$P179)))</f>
        <v/>
      </c>
      <c r="H179" s="27">
        <f>IF($P179="","",IF(INDEX(EntryDep,$P179)=0,"",INDEX(EntryDep,$P179)))</f>
        <v/>
      </c>
      <c r="I179" s="27">
        <f>IF($P179="","",IF(INDEX(EntryWit,$P179)=0,"",INDEX(EntryWit,$P179)))</f>
        <v/>
      </c>
      <c r="J179" s="27">
        <f>IF($B179="","",IF($A179=1,$C$7,IF(J178="",0,J178))+IF($H179="",0,$H179)-IF($I179="",0,$I179))</f>
        <v/>
      </c>
      <c r="K179" s="27">
        <f>IF($P179="","",IF(INDEX(EntryMan,$P179)=0,"",INDEX(EntryMan,$P179)))</f>
        <v/>
      </c>
      <c r="L179" s="26">
        <f>IF($B179="","",IF($K179="","—",IF(ROUND($K179-$J179,0)=0,"√","×")))</f>
        <v/>
      </c>
      <c r="M179" s="26">
        <f>IF($B179="","",IF(COUNTIFS(EntryDates,$B179,CalcTime,$C179,CalcBank,$C$5,EntryParty,$D179,EntryDep,$H179,EntryWit,$I179)&gt;1,"تکرار",""))</f>
        <v/>
      </c>
      <c r="N179" s="26">
        <f>IF($P179="","",IF(INDEX(EntryNotes,$P179)=0,"",INDEX(EntryNotes,$P179)))</f>
        <v/>
      </c>
      <c r="O179" s="26">
        <f>IF($P179="","",IF(INDEX(EntryTxnID,$P179)=0,"",INDEX(EntryTxnID,$P179)))</f>
        <v/>
      </c>
      <c r="P179" s="26">
        <f>IFERROR(MATCH($C$5&amp;"|"&amp;RIGHT("000000"&amp;163,6),CalcRankKey,0),"")</f>
        <v/>
      </c>
    </row>
    <row r="180">
      <c r="A180" s="28">
        <f>IF($B180="","",164)</f>
        <v/>
      </c>
      <c r="B180" s="28">
        <f>IF($P180="","",IF(INDEX(CalcNormDate,$P180)=0,"",INDEX(CalcNormDate,$P180)))</f>
        <v/>
      </c>
      <c r="C180" s="28">
        <f>IF($P180="","",IF(INDEX(CalcTime,$P180)=0,"",INDEX(CalcTime,$P180)))</f>
        <v/>
      </c>
      <c r="D180" s="28">
        <f>IF($P180="","",IF(INDEX(EntryParty,$P180)=0,"",INDEX(EntryParty,$P180)))</f>
        <v/>
      </c>
      <c r="E180" s="28">
        <f>IF($P180="","",IF(INDEX(EntryPartyName,$P180)=0,"",INDEX(EntryPartyName,$P180)))</f>
        <v/>
      </c>
      <c r="F180" s="28">
        <f>IF($P180="","",IF(INDEX(EntryPartyType,$P180)=0,"",INDEX(EntryPartyType,$P180)))</f>
        <v/>
      </c>
      <c r="G180" s="28">
        <f>IF($P180="","",IF(INDEX(EntryTxnType,$P180)=0,"",INDEX(EntryTxnType,$P180)))</f>
        <v/>
      </c>
      <c r="H180" s="29">
        <f>IF($P180="","",IF(INDEX(EntryDep,$P180)=0,"",INDEX(EntryDep,$P180)))</f>
        <v/>
      </c>
      <c r="I180" s="29">
        <f>IF($P180="","",IF(INDEX(EntryWit,$P180)=0,"",INDEX(EntryWit,$P180)))</f>
        <v/>
      </c>
      <c r="J180" s="29">
        <f>IF($B180="","",IF($A180=1,$C$7,IF(J179="",0,J179))+IF($H180="",0,$H180)-IF($I180="",0,$I180))</f>
        <v/>
      </c>
      <c r="K180" s="29">
        <f>IF($P180="","",IF(INDEX(EntryMan,$P180)=0,"",INDEX(EntryMan,$P180)))</f>
        <v/>
      </c>
      <c r="L180" s="28">
        <f>IF($B180="","",IF($K180="","—",IF(ROUND($K180-$J180,0)=0,"√","×")))</f>
        <v/>
      </c>
      <c r="M180" s="28">
        <f>IF($B180="","",IF(COUNTIFS(EntryDates,$B180,CalcTime,$C180,CalcBank,$C$5,EntryParty,$D180,EntryDep,$H180,EntryWit,$I180)&gt;1,"تکرار",""))</f>
        <v/>
      </c>
      <c r="N180" s="28">
        <f>IF($P180="","",IF(INDEX(EntryNotes,$P180)=0,"",INDEX(EntryNotes,$P180)))</f>
        <v/>
      </c>
      <c r="O180" s="28">
        <f>IF($P180="","",IF(INDEX(EntryTxnID,$P180)=0,"",INDEX(EntryTxnID,$P180)))</f>
        <v/>
      </c>
      <c r="P180" s="28">
        <f>IFERROR(MATCH($C$5&amp;"|"&amp;RIGHT("000000"&amp;164,6),CalcRankKey,0),"")</f>
        <v/>
      </c>
    </row>
    <row r="181">
      <c r="A181" s="26">
        <f>IF($B181="","",165)</f>
        <v/>
      </c>
      <c r="B181" s="26">
        <f>IF($P181="","",IF(INDEX(CalcNormDate,$P181)=0,"",INDEX(CalcNormDate,$P181)))</f>
        <v/>
      </c>
      <c r="C181" s="26">
        <f>IF($P181="","",IF(INDEX(CalcTime,$P181)=0,"",INDEX(CalcTime,$P181)))</f>
        <v/>
      </c>
      <c r="D181" s="26">
        <f>IF($P181="","",IF(INDEX(EntryParty,$P181)=0,"",INDEX(EntryParty,$P181)))</f>
        <v/>
      </c>
      <c r="E181" s="26">
        <f>IF($P181="","",IF(INDEX(EntryPartyName,$P181)=0,"",INDEX(EntryPartyName,$P181)))</f>
        <v/>
      </c>
      <c r="F181" s="26">
        <f>IF($P181="","",IF(INDEX(EntryPartyType,$P181)=0,"",INDEX(EntryPartyType,$P181)))</f>
        <v/>
      </c>
      <c r="G181" s="26">
        <f>IF($P181="","",IF(INDEX(EntryTxnType,$P181)=0,"",INDEX(EntryTxnType,$P181)))</f>
        <v/>
      </c>
      <c r="H181" s="27">
        <f>IF($P181="","",IF(INDEX(EntryDep,$P181)=0,"",INDEX(EntryDep,$P181)))</f>
        <v/>
      </c>
      <c r="I181" s="27">
        <f>IF($P181="","",IF(INDEX(EntryWit,$P181)=0,"",INDEX(EntryWit,$P181)))</f>
        <v/>
      </c>
      <c r="J181" s="27">
        <f>IF($B181="","",IF($A181=1,$C$7,IF(J180="",0,J180))+IF($H181="",0,$H181)-IF($I181="",0,$I181))</f>
        <v/>
      </c>
      <c r="K181" s="27">
        <f>IF($P181="","",IF(INDEX(EntryMan,$P181)=0,"",INDEX(EntryMan,$P181)))</f>
        <v/>
      </c>
      <c r="L181" s="26">
        <f>IF($B181="","",IF($K181="","—",IF(ROUND($K181-$J181,0)=0,"√","×")))</f>
        <v/>
      </c>
      <c r="M181" s="26">
        <f>IF($B181="","",IF(COUNTIFS(EntryDates,$B181,CalcTime,$C181,CalcBank,$C$5,EntryParty,$D181,EntryDep,$H181,EntryWit,$I181)&gt;1,"تکرار",""))</f>
        <v/>
      </c>
      <c r="N181" s="26">
        <f>IF($P181="","",IF(INDEX(EntryNotes,$P181)=0,"",INDEX(EntryNotes,$P181)))</f>
        <v/>
      </c>
      <c r="O181" s="26">
        <f>IF($P181="","",IF(INDEX(EntryTxnID,$P181)=0,"",INDEX(EntryTxnID,$P181)))</f>
        <v/>
      </c>
      <c r="P181" s="26">
        <f>IFERROR(MATCH($C$5&amp;"|"&amp;RIGHT("000000"&amp;165,6),CalcRankKey,0),"")</f>
        <v/>
      </c>
    </row>
    <row r="182">
      <c r="A182" s="28">
        <f>IF($B182="","",166)</f>
        <v/>
      </c>
      <c r="B182" s="28">
        <f>IF($P182="","",IF(INDEX(CalcNormDate,$P182)=0,"",INDEX(CalcNormDate,$P182)))</f>
        <v/>
      </c>
      <c r="C182" s="28">
        <f>IF($P182="","",IF(INDEX(CalcTime,$P182)=0,"",INDEX(CalcTime,$P182)))</f>
        <v/>
      </c>
      <c r="D182" s="28">
        <f>IF($P182="","",IF(INDEX(EntryParty,$P182)=0,"",INDEX(EntryParty,$P182)))</f>
        <v/>
      </c>
      <c r="E182" s="28">
        <f>IF($P182="","",IF(INDEX(EntryPartyName,$P182)=0,"",INDEX(EntryPartyName,$P182)))</f>
        <v/>
      </c>
      <c r="F182" s="28">
        <f>IF($P182="","",IF(INDEX(EntryPartyType,$P182)=0,"",INDEX(EntryPartyType,$P182)))</f>
        <v/>
      </c>
      <c r="G182" s="28">
        <f>IF($P182="","",IF(INDEX(EntryTxnType,$P182)=0,"",INDEX(EntryTxnType,$P182)))</f>
        <v/>
      </c>
      <c r="H182" s="29">
        <f>IF($P182="","",IF(INDEX(EntryDep,$P182)=0,"",INDEX(EntryDep,$P182)))</f>
        <v/>
      </c>
      <c r="I182" s="29">
        <f>IF($P182="","",IF(INDEX(EntryWit,$P182)=0,"",INDEX(EntryWit,$P182)))</f>
        <v/>
      </c>
      <c r="J182" s="29">
        <f>IF($B182="","",IF($A182=1,$C$7,IF(J181="",0,J181))+IF($H182="",0,$H182)-IF($I182="",0,$I182))</f>
        <v/>
      </c>
      <c r="K182" s="29">
        <f>IF($P182="","",IF(INDEX(EntryMan,$P182)=0,"",INDEX(EntryMan,$P182)))</f>
        <v/>
      </c>
      <c r="L182" s="28">
        <f>IF($B182="","",IF($K182="","—",IF(ROUND($K182-$J182,0)=0,"√","×")))</f>
        <v/>
      </c>
      <c r="M182" s="28">
        <f>IF($B182="","",IF(COUNTIFS(EntryDates,$B182,CalcTime,$C182,CalcBank,$C$5,EntryParty,$D182,EntryDep,$H182,EntryWit,$I182)&gt;1,"تکرار",""))</f>
        <v/>
      </c>
      <c r="N182" s="28">
        <f>IF($P182="","",IF(INDEX(EntryNotes,$P182)=0,"",INDEX(EntryNotes,$P182)))</f>
        <v/>
      </c>
      <c r="O182" s="28">
        <f>IF($P182="","",IF(INDEX(EntryTxnID,$P182)=0,"",INDEX(EntryTxnID,$P182)))</f>
        <v/>
      </c>
      <c r="P182" s="28">
        <f>IFERROR(MATCH($C$5&amp;"|"&amp;RIGHT("000000"&amp;166,6),CalcRankKey,0),"")</f>
        <v/>
      </c>
    </row>
    <row r="183">
      <c r="A183" s="26">
        <f>IF($B183="","",167)</f>
        <v/>
      </c>
      <c r="B183" s="26">
        <f>IF($P183="","",IF(INDEX(CalcNormDate,$P183)=0,"",INDEX(CalcNormDate,$P183)))</f>
        <v/>
      </c>
      <c r="C183" s="26">
        <f>IF($P183="","",IF(INDEX(CalcTime,$P183)=0,"",INDEX(CalcTime,$P183)))</f>
        <v/>
      </c>
      <c r="D183" s="26">
        <f>IF($P183="","",IF(INDEX(EntryParty,$P183)=0,"",INDEX(EntryParty,$P183)))</f>
        <v/>
      </c>
      <c r="E183" s="26">
        <f>IF($P183="","",IF(INDEX(EntryPartyName,$P183)=0,"",INDEX(EntryPartyName,$P183)))</f>
        <v/>
      </c>
      <c r="F183" s="26">
        <f>IF($P183="","",IF(INDEX(EntryPartyType,$P183)=0,"",INDEX(EntryPartyType,$P183)))</f>
        <v/>
      </c>
      <c r="G183" s="26">
        <f>IF($P183="","",IF(INDEX(EntryTxnType,$P183)=0,"",INDEX(EntryTxnType,$P183)))</f>
        <v/>
      </c>
      <c r="H183" s="27">
        <f>IF($P183="","",IF(INDEX(EntryDep,$P183)=0,"",INDEX(EntryDep,$P183)))</f>
        <v/>
      </c>
      <c r="I183" s="27">
        <f>IF($P183="","",IF(INDEX(EntryWit,$P183)=0,"",INDEX(EntryWit,$P183)))</f>
        <v/>
      </c>
      <c r="J183" s="27">
        <f>IF($B183="","",IF($A183=1,$C$7,IF(J182="",0,J182))+IF($H183="",0,$H183)-IF($I183="",0,$I183))</f>
        <v/>
      </c>
      <c r="K183" s="27">
        <f>IF($P183="","",IF(INDEX(EntryMan,$P183)=0,"",INDEX(EntryMan,$P183)))</f>
        <v/>
      </c>
      <c r="L183" s="26">
        <f>IF($B183="","",IF($K183="","—",IF(ROUND($K183-$J183,0)=0,"√","×")))</f>
        <v/>
      </c>
      <c r="M183" s="26">
        <f>IF($B183="","",IF(COUNTIFS(EntryDates,$B183,CalcTime,$C183,CalcBank,$C$5,EntryParty,$D183,EntryDep,$H183,EntryWit,$I183)&gt;1,"تکرار",""))</f>
        <v/>
      </c>
      <c r="N183" s="26">
        <f>IF($P183="","",IF(INDEX(EntryNotes,$P183)=0,"",INDEX(EntryNotes,$P183)))</f>
        <v/>
      </c>
      <c r="O183" s="26">
        <f>IF($P183="","",IF(INDEX(EntryTxnID,$P183)=0,"",INDEX(EntryTxnID,$P183)))</f>
        <v/>
      </c>
      <c r="P183" s="26">
        <f>IFERROR(MATCH($C$5&amp;"|"&amp;RIGHT("000000"&amp;167,6),CalcRankKey,0),"")</f>
        <v/>
      </c>
    </row>
    <row r="184">
      <c r="A184" s="28">
        <f>IF($B184="","",168)</f>
        <v/>
      </c>
      <c r="B184" s="28">
        <f>IF($P184="","",IF(INDEX(CalcNormDate,$P184)=0,"",INDEX(CalcNormDate,$P184)))</f>
        <v/>
      </c>
      <c r="C184" s="28">
        <f>IF($P184="","",IF(INDEX(CalcTime,$P184)=0,"",INDEX(CalcTime,$P184)))</f>
        <v/>
      </c>
      <c r="D184" s="28">
        <f>IF($P184="","",IF(INDEX(EntryParty,$P184)=0,"",INDEX(EntryParty,$P184)))</f>
        <v/>
      </c>
      <c r="E184" s="28">
        <f>IF($P184="","",IF(INDEX(EntryPartyName,$P184)=0,"",INDEX(EntryPartyName,$P184)))</f>
        <v/>
      </c>
      <c r="F184" s="28">
        <f>IF($P184="","",IF(INDEX(EntryPartyType,$P184)=0,"",INDEX(EntryPartyType,$P184)))</f>
        <v/>
      </c>
      <c r="G184" s="28">
        <f>IF($P184="","",IF(INDEX(EntryTxnType,$P184)=0,"",INDEX(EntryTxnType,$P184)))</f>
        <v/>
      </c>
      <c r="H184" s="29">
        <f>IF($P184="","",IF(INDEX(EntryDep,$P184)=0,"",INDEX(EntryDep,$P184)))</f>
        <v/>
      </c>
      <c r="I184" s="29">
        <f>IF($P184="","",IF(INDEX(EntryWit,$P184)=0,"",INDEX(EntryWit,$P184)))</f>
        <v/>
      </c>
      <c r="J184" s="29">
        <f>IF($B184="","",IF($A184=1,$C$7,IF(J183="",0,J183))+IF($H184="",0,$H184)-IF($I184="",0,$I184))</f>
        <v/>
      </c>
      <c r="K184" s="29">
        <f>IF($P184="","",IF(INDEX(EntryMan,$P184)=0,"",INDEX(EntryMan,$P184)))</f>
        <v/>
      </c>
      <c r="L184" s="28">
        <f>IF($B184="","",IF($K184="","—",IF(ROUND($K184-$J184,0)=0,"√","×")))</f>
        <v/>
      </c>
      <c r="M184" s="28">
        <f>IF($B184="","",IF(COUNTIFS(EntryDates,$B184,CalcTime,$C184,CalcBank,$C$5,EntryParty,$D184,EntryDep,$H184,EntryWit,$I184)&gt;1,"تکرار",""))</f>
        <v/>
      </c>
      <c r="N184" s="28">
        <f>IF($P184="","",IF(INDEX(EntryNotes,$P184)=0,"",INDEX(EntryNotes,$P184)))</f>
        <v/>
      </c>
      <c r="O184" s="28">
        <f>IF($P184="","",IF(INDEX(EntryTxnID,$P184)=0,"",INDEX(EntryTxnID,$P184)))</f>
        <v/>
      </c>
      <c r="P184" s="28">
        <f>IFERROR(MATCH($C$5&amp;"|"&amp;RIGHT("000000"&amp;168,6),CalcRankKey,0),"")</f>
        <v/>
      </c>
    </row>
    <row r="185">
      <c r="A185" s="26">
        <f>IF($B185="","",169)</f>
        <v/>
      </c>
      <c r="B185" s="26">
        <f>IF($P185="","",IF(INDEX(CalcNormDate,$P185)=0,"",INDEX(CalcNormDate,$P185)))</f>
        <v/>
      </c>
      <c r="C185" s="26">
        <f>IF($P185="","",IF(INDEX(CalcTime,$P185)=0,"",INDEX(CalcTime,$P185)))</f>
        <v/>
      </c>
      <c r="D185" s="26">
        <f>IF($P185="","",IF(INDEX(EntryParty,$P185)=0,"",INDEX(EntryParty,$P185)))</f>
        <v/>
      </c>
      <c r="E185" s="26">
        <f>IF($P185="","",IF(INDEX(EntryPartyName,$P185)=0,"",INDEX(EntryPartyName,$P185)))</f>
        <v/>
      </c>
      <c r="F185" s="26">
        <f>IF($P185="","",IF(INDEX(EntryPartyType,$P185)=0,"",INDEX(EntryPartyType,$P185)))</f>
        <v/>
      </c>
      <c r="G185" s="26">
        <f>IF($P185="","",IF(INDEX(EntryTxnType,$P185)=0,"",INDEX(EntryTxnType,$P185)))</f>
        <v/>
      </c>
      <c r="H185" s="27">
        <f>IF($P185="","",IF(INDEX(EntryDep,$P185)=0,"",INDEX(EntryDep,$P185)))</f>
        <v/>
      </c>
      <c r="I185" s="27">
        <f>IF($P185="","",IF(INDEX(EntryWit,$P185)=0,"",INDEX(EntryWit,$P185)))</f>
        <v/>
      </c>
      <c r="J185" s="27">
        <f>IF($B185="","",IF($A185=1,$C$7,IF(J184="",0,J184))+IF($H185="",0,$H185)-IF($I185="",0,$I185))</f>
        <v/>
      </c>
      <c r="K185" s="27">
        <f>IF($P185="","",IF(INDEX(EntryMan,$P185)=0,"",INDEX(EntryMan,$P185)))</f>
        <v/>
      </c>
      <c r="L185" s="26">
        <f>IF($B185="","",IF($K185="","—",IF(ROUND($K185-$J185,0)=0,"√","×")))</f>
        <v/>
      </c>
      <c r="M185" s="26">
        <f>IF($B185="","",IF(COUNTIFS(EntryDates,$B185,CalcTime,$C185,CalcBank,$C$5,EntryParty,$D185,EntryDep,$H185,EntryWit,$I185)&gt;1,"تکرار",""))</f>
        <v/>
      </c>
      <c r="N185" s="26">
        <f>IF($P185="","",IF(INDEX(EntryNotes,$P185)=0,"",INDEX(EntryNotes,$P185)))</f>
        <v/>
      </c>
      <c r="O185" s="26">
        <f>IF($P185="","",IF(INDEX(EntryTxnID,$P185)=0,"",INDEX(EntryTxnID,$P185)))</f>
        <v/>
      </c>
      <c r="P185" s="26">
        <f>IFERROR(MATCH($C$5&amp;"|"&amp;RIGHT("000000"&amp;169,6),CalcRankKey,0),"")</f>
        <v/>
      </c>
    </row>
    <row r="186">
      <c r="A186" s="28">
        <f>IF($B186="","",170)</f>
        <v/>
      </c>
      <c r="B186" s="28">
        <f>IF($P186="","",IF(INDEX(CalcNormDate,$P186)=0,"",INDEX(CalcNormDate,$P186)))</f>
        <v/>
      </c>
      <c r="C186" s="28">
        <f>IF($P186="","",IF(INDEX(CalcTime,$P186)=0,"",INDEX(CalcTime,$P186)))</f>
        <v/>
      </c>
      <c r="D186" s="28">
        <f>IF($P186="","",IF(INDEX(EntryParty,$P186)=0,"",INDEX(EntryParty,$P186)))</f>
        <v/>
      </c>
      <c r="E186" s="28">
        <f>IF($P186="","",IF(INDEX(EntryPartyName,$P186)=0,"",INDEX(EntryPartyName,$P186)))</f>
        <v/>
      </c>
      <c r="F186" s="28">
        <f>IF($P186="","",IF(INDEX(EntryPartyType,$P186)=0,"",INDEX(EntryPartyType,$P186)))</f>
        <v/>
      </c>
      <c r="G186" s="28">
        <f>IF($P186="","",IF(INDEX(EntryTxnType,$P186)=0,"",INDEX(EntryTxnType,$P186)))</f>
        <v/>
      </c>
      <c r="H186" s="29">
        <f>IF($P186="","",IF(INDEX(EntryDep,$P186)=0,"",INDEX(EntryDep,$P186)))</f>
        <v/>
      </c>
      <c r="I186" s="29">
        <f>IF($P186="","",IF(INDEX(EntryWit,$P186)=0,"",INDEX(EntryWit,$P186)))</f>
        <v/>
      </c>
      <c r="J186" s="29">
        <f>IF($B186="","",IF($A186=1,$C$7,IF(J185="",0,J185))+IF($H186="",0,$H186)-IF($I186="",0,$I186))</f>
        <v/>
      </c>
      <c r="K186" s="29">
        <f>IF($P186="","",IF(INDEX(EntryMan,$P186)=0,"",INDEX(EntryMan,$P186)))</f>
        <v/>
      </c>
      <c r="L186" s="28">
        <f>IF($B186="","",IF($K186="","—",IF(ROUND($K186-$J186,0)=0,"√","×")))</f>
        <v/>
      </c>
      <c r="M186" s="28">
        <f>IF($B186="","",IF(COUNTIFS(EntryDates,$B186,CalcTime,$C186,CalcBank,$C$5,EntryParty,$D186,EntryDep,$H186,EntryWit,$I186)&gt;1,"تکرار",""))</f>
        <v/>
      </c>
      <c r="N186" s="28">
        <f>IF($P186="","",IF(INDEX(EntryNotes,$P186)=0,"",INDEX(EntryNotes,$P186)))</f>
        <v/>
      </c>
      <c r="O186" s="28">
        <f>IF($P186="","",IF(INDEX(EntryTxnID,$P186)=0,"",INDEX(EntryTxnID,$P186)))</f>
        <v/>
      </c>
      <c r="P186" s="28">
        <f>IFERROR(MATCH($C$5&amp;"|"&amp;RIGHT("000000"&amp;170,6),CalcRankKey,0),"")</f>
        <v/>
      </c>
    </row>
    <row r="187">
      <c r="A187" s="26">
        <f>IF($B187="","",171)</f>
        <v/>
      </c>
      <c r="B187" s="26">
        <f>IF($P187="","",IF(INDEX(CalcNormDate,$P187)=0,"",INDEX(CalcNormDate,$P187)))</f>
        <v/>
      </c>
      <c r="C187" s="26">
        <f>IF($P187="","",IF(INDEX(CalcTime,$P187)=0,"",INDEX(CalcTime,$P187)))</f>
        <v/>
      </c>
      <c r="D187" s="26">
        <f>IF($P187="","",IF(INDEX(EntryParty,$P187)=0,"",INDEX(EntryParty,$P187)))</f>
        <v/>
      </c>
      <c r="E187" s="26">
        <f>IF($P187="","",IF(INDEX(EntryPartyName,$P187)=0,"",INDEX(EntryPartyName,$P187)))</f>
        <v/>
      </c>
      <c r="F187" s="26">
        <f>IF($P187="","",IF(INDEX(EntryPartyType,$P187)=0,"",INDEX(EntryPartyType,$P187)))</f>
        <v/>
      </c>
      <c r="G187" s="26">
        <f>IF($P187="","",IF(INDEX(EntryTxnType,$P187)=0,"",INDEX(EntryTxnType,$P187)))</f>
        <v/>
      </c>
      <c r="H187" s="27">
        <f>IF($P187="","",IF(INDEX(EntryDep,$P187)=0,"",INDEX(EntryDep,$P187)))</f>
        <v/>
      </c>
      <c r="I187" s="27">
        <f>IF($P187="","",IF(INDEX(EntryWit,$P187)=0,"",INDEX(EntryWit,$P187)))</f>
        <v/>
      </c>
      <c r="J187" s="27">
        <f>IF($B187="","",IF($A187=1,$C$7,IF(J186="",0,J186))+IF($H187="",0,$H187)-IF($I187="",0,$I187))</f>
        <v/>
      </c>
      <c r="K187" s="27">
        <f>IF($P187="","",IF(INDEX(EntryMan,$P187)=0,"",INDEX(EntryMan,$P187)))</f>
        <v/>
      </c>
      <c r="L187" s="26">
        <f>IF($B187="","",IF($K187="","—",IF(ROUND($K187-$J187,0)=0,"√","×")))</f>
        <v/>
      </c>
      <c r="M187" s="26">
        <f>IF($B187="","",IF(COUNTIFS(EntryDates,$B187,CalcTime,$C187,CalcBank,$C$5,EntryParty,$D187,EntryDep,$H187,EntryWit,$I187)&gt;1,"تکرار",""))</f>
        <v/>
      </c>
      <c r="N187" s="26">
        <f>IF($P187="","",IF(INDEX(EntryNotes,$P187)=0,"",INDEX(EntryNotes,$P187)))</f>
        <v/>
      </c>
      <c r="O187" s="26">
        <f>IF($P187="","",IF(INDEX(EntryTxnID,$P187)=0,"",INDEX(EntryTxnID,$P187)))</f>
        <v/>
      </c>
      <c r="P187" s="26">
        <f>IFERROR(MATCH($C$5&amp;"|"&amp;RIGHT("000000"&amp;171,6),CalcRankKey,0),"")</f>
        <v/>
      </c>
    </row>
    <row r="188">
      <c r="A188" s="28">
        <f>IF($B188="","",172)</f>
        <v/>
      </c>
      <c r="B188" s="28">
        <f>IF($P188="","",IF(INDEX(CalcNormDate,$P188)=0,"",INDEX(CalcNormDate,$P188)))</f>
        <v/>
      </c>
      <c r="C188" s="28">
        <f>IF($P188="","",IF(INDEX(CalcTime,$P188)=0,"",INDEX(CalcTime,$P188)))</f>
        <v/>
      </c>
      <c r="D188" s="28">
        <f>IF($P188="","",IF(INDEX(EntryParty,$P188)=0,"",INDEX(EntryParty,$P188)))</f>
        <v/>
      </c>
      <c r="E188" s="28">
        <f>IF($P188="","",IF(INDEX(EntryPartyName,$P188)=0,"",INDEX(EntryPartyName,$P188)))</f>
        <v/>
      </c>
      <c r="F188" s="28">
        <f>IF($P188="","",IF(INDEX(EntryPartyType,$P188)=0,"",INDEX(EntryPartyType,$P188)))</f>
        <v/>
      </c>
      <c r="G188" s="28">
        <f>IF($P188="","",IF(INDEX(EntryTxnType,$P188)=0,"",INDEX(EntryTxnType,$P188)))</f>
        <v/>
      </c>
      <c r="H188" s="29">
        <f>IF($P188="","",IF(INDEX(EntryDep,$P188)=0,"",INDEX(EntryDep,$P188)))</f>
        <v/>
      </c>
      <c r="I188" s="29">
        <f>IF($P188="","",IF(INDEX(EntryWit,$P188)=0,"",INDEX(EntryWit,$P188)))</f>
        <v/>
      </c>
      <c r="J188" s="29">
        <f>IF($B188="","",IF($A188=1,$C$7,IF(J187="",0,J187))+IF($H188="",0,$H188)-IF($I188="",0,$I188))</f>
        <v/>
      </c>
      <c r="K188" s="29">
        <f>IF($P188="","",IF(INDEX(EntryMan,$P188)=0,"",INDEX(EntryMan,$P188)))</f>
        <v/>
      </c>
      <c r="L188" s="28">
        <f>IF($B188="","",IF($K188="","—",IF(ROUND($K188-$J188,0)=0,"√","×")))</f>
        <v/>
      </c>
      <c r="M188" s="28">
        <f>IF($B188="","",IF(COUNTIFS(EntryDates,$B188,CalcTime,$C188,CalcBank,$C$5,EntryParty,$D188,EntryDep,$H188,EntryWit,$I188)&gt;1,"تکرار",""))</f>
        <v/>
      </c>
      <c r="N188" s="28">
        <f>IF($P188="","",IF(INDEX(EntryNotes,$P188)=0,"",INDEX(EntryNotes,$P188)))</f>
        <v/>
      </c>
      <c r="O188" s="28">
        <f>IF($P188="","",IF(INDEX(EntryTxnID,$P188)=0,"",INDEX(EntryTxnID,$P188)))</f>
        <v/>
      </c>
      <c r="P188" s="28">
        <f>IFERROR(MATCH($C$5&amp;"|"&amp;RIGHT("000000"&amp;172,6),CalcRankKey,0),"")</f>
        <v/>
      </c>
    </row>
    <row r="189">
      <c r="A189" s="26">
        <f>IF($B189="","",173)</f>
        <v/>
      </c>
      <c r="B189" s="26">
        <f>IF($P189="","",IF(INDEX(CalcNormDate,$P189)=0,"",INDEX(CalcNormDate,$P189)))</f>
        <v/>
      </c>
      <c r="C189" s="26">
        <f>IF($P189="","",IF(INDEX(CalcTime,$P189)=0,"",INDEX(CalcTime,$P189)))</f>
        <v/>
      </c>
      <c r="D189" s="26">
        <f>IF($P189="","",IF(INDEX(EntryParty,$P189)=0,"",INDEX(EntryParty,$P189)))</f>
        <v/>
      </c>
      <c r="E189" s="26">
        <f>IF($P189="","",IF(INDEX(EntryPartyName,$P189)=0,"",INDEX(EntryPartyName,$P189)))</f>
        <v/>
      </c>
      <c r="F189" s="26">
        <f>IF($P189="","",IF(INDEX(EntryPartyType,$P189)=0,"",INDEX(EntryPartyType,$P189)))</f>
        <v/>
      </c>
      <c r="G189" s="26">
        <f>IF($P189="","",IF(INDEX(EntryTxnType,$P189)=0,"",INDEX(EntryTxnType,$P189)))</f>
        <v/>
      </c>
      <c r="H189" s="27">
        <f>IF($P189="","",IF(INDEX(EntryDep,$P189)=0,"",INDEX(EntryDep,$P189)))</f>
        <v/>
      </c>
      <c r="I189" s="27">
        <f>IF($P189="","",IF(INDEX(EntryWit,$P189)=0,"",INDEX(EntryWit,$P189)))</f>
        <v/>
      </c>
      <c r="J189" s="27">
        <f>IF($B189="","",IF($A189=1,$C$7,IF(J188="",0,J188))+IF($H189="",0,$H189)-IF($I189="",0,$I189))</f>
        <v/>
      </c>
      <c r="K189" s="27">
        <f>IF($P189="","",IF(INDEX(EntryMan,$P189)=0,"",INDEX(EntryMan,$P189)))</f>
        <v/>
      </c>
      <c r="L189" s="26">
        <f>IF($B189="","",IF($K189="","—",IF(ROUND($K189-$J189,0)=0,"√","×")))</f>
        <v/>
      </c>
      <c r="M189" s="26">
        <f>IF($B189="","",IF(COUNTIFS(EntryDates,$B189,CalcTime,$C189,CalcBank,$C$5,EntryParty,$D189,EntryDep,$H189,EntryWit,$I189)&gt;1,"تکرار",""))</f>
        <v/>
      </c>
      <c r="N189" s="26">
        <f>IF($P189="","",IF(INDEX(EntryNotes,$P189)=0,"",INDEX(EntryNotes,$P189)))</f>
        <v/>
      </c>
      <c r="O189" s="26">
        <f>IF($P189="","",IF(INDEX(EntryTxnID,$P189)=0,"",INDEX(EntryTxnID,$P189)))</f>
        <v/>
      </c>
      <c r="P189" s="26">
        <f>IFERROR(MATCH($C$5&amp;"|"&amp;RIGHT("000000"&amp;173,6),CalcRankKey,0),"")</f>
        <v/>
      </c>
    </row>
    <row r="190">
      <c r="A190" s="28">
        <f>IF($B190="","",174)</f>
        <v/>
      </c>
      <c r="B190" s="28">
        <f>IF($P190="","",IF(INDEX(CalcNormDate,$P190)=0,"",INDEX(CalcNormDate,$P190)))</f>
        <v/>
      </c>
      <c r="C190" s="28">
        <f>IF($P190="","",IF(INDEX(CalcTime,$P190)=0,"",INDEX(CalcTime,$P190)))</f>
        <v/>
      </c>
      <c r="D190" s="28">
        <f>IF($P190="","",IF(INDEX(EntryParty,$P190)=0,"",INDEX(EntryParty,$P190)))</f>
        <v/>
      </c>
      <c r="E190" s="28">
        <f>IF($P190="","",IF(INDEX(EntryPartyName,$P190)=0,"",INDEX(EntryPartyName,$P190)))</f>
        <v/>
      </c>
      <c r="F190" s="28">
        <f>IF($P190="","",IF(INDEX(EntryPartyType,$P190)=0,"",INDEX(EntryPartyType,$P190)))</f>
        <v/>
      </c>
      <c r="G190" s="28">
        <f>IF($P190="","",IF(INDEX(EntryTxnType,$P190)=0,"",INDEX(EntryTxnType,$P190)))</f>
        <v/>
      </c>
      <c r="H190" s="29">
        <f>IF($P190="","",IF(INDEX(EntryDep,$P190)=0,"",INDEX(EntryDep,$P190)))</f>
        <v/>
      </c>
      <c r="I190" s="29">
        <f>IF($P190="","",IF(INDEX(EntryWit,$P190)=0,"",INDEX(EntryWit,$P190)))</f>
        <v/>
      </c>
      <c r="J190" s="29">
        <f>IF($B190="","",IF($A190=1,$C$7,IF(J189="",0,J189))+IF($H190="",0,$H190)-IF($I190="",0,$I190))</f>
        <v/>
      </c>
      <c r="K190" s="29">
        <f>IF($P190="","",IF(INDEX(EntryMan,$P190)=0,"",INDEX(EntryMan,$P190)))</f>
        <v/>
      </c>
      <c r="L190" s="28">
        <f>IF($B190="","",IF($K190="","—",IF(ROUND($K190-$J190,0)=0,"√","×")))</f>
        <v/>
      </c>
      <c r="M190" s="28">
        <f>IF($B190="","",IF(COUNTIFS(EntryDates,$B190,CalcTime,$C190,CalcBank,$C$5,EntryParty,$D190,EntryDep,$H190,EntryWit,$I190)&gt;1,"تکرار",""))</f>
        <v/>
      </c>
      <c r="N190" s="28">
        <f>IF($P190="","",IF(INDEX(EntryNotes,$P190)=0,"",INDEX(EntryNotes,$P190)))</f>
        <v/>
      </c>
      <c r="O190" s="28">
        <f>IF($P190="","",IF(INDEX(EntryTxnID,$P190)=0,"",INDEX(EntryTxnID,$P190)))</f>
        <v/>
      </c>
      <c r="P190" s="28">
        <f>IFERROR(MATCH($C$5&amp;"|"&amp;RIGHT("000000"&amp;174,6),CalcRankKey,0),"")</f>
        <v/>
      </c>
    </row>
    <row r="191">
      <c r="A191" s="26">
        <f>IF($B191="","",175)</f>
        <v/>
      </c>
      <c r="B191" s="26">
        <f>IF($P191="","",IF(INDEX(CalcNormDate,$P191)=0,"",INDEX(CalcNormDate,$P191)))</f>
        <v/>
      </c>
      <c r="C191" s="26">
        <f>IF($P191="","",IF(INDEX(CalcTime,$P191)=0,"",INDEX(CalcTime,$P191)))</f>
        <v/>
      </c>
      <c r="D191" s="26">
        <f>IF($P191="","",IF(INDEX(EntryParty,$P191)=0,"",INDEX(EntryParty,$P191)))</f>
        <v/>
      </c>
      <c r="E191" s="26">
        <f>IF($P191="","",IF(INDEX(EntryPartyName,$P191)=0,"",INDEX(EntryPartyName,$P191)))</f>
        <v/>
      </c>
      <c r="F191" s="26">
        <f>IF($P191="","",IF(INDEX(EntryPartyType,$P191)=0,"",INDEX(EntryPartyType,$P191)))</f>
        <v/>
      </c>
      <c r="G191" s="26">
        <f>IF($P191="","",IF(INDEX(EntryTxnType,$P191)=0,"",INDEX(EntryTxnType,$P191)))</f>
        <v/>
      </c>
      <c r="H191" s="27">
        <f>IF($P191="","",IF(INDEX(EntryDep,$P191)=0,"",INDEX(EntryDep,$P191)))</f>
        <v/>
      </c>
      <c r="I191" s="27">
        <f>IF($P191="","",IF(INDEX(EntryWit,$P191)=0,"",INDEX(EntryWit,$P191)))</f>
        <v/>
      </c>
      <c r="J191" s="27">
        <f>IF($B191="","",IF($A191=1,$C$7,IF(J190="",0,J190))+IF($H191="",0,$H191)-IF($I191="",0,$I191))</f>
        <v/>
      </c>
      <c r="K191" s="27">
        <f>IF($P191="","",IF(INDEX(EntryMan,$P191)=0,"",INDEX(EntryMan,$P191)))</f>
        <v/>
      </c>
      <c r="L191" s="26">
        <f>IF($B191="","",IF($K191="","—",IF(ROUND($K191-$J191,0)=0,"√","×")))</f>
        <v/>
      </c>
      <c r="M191" s="26">
        <f>IF($B191="","",IF(COUNTIFS(EntryDates,$B191,CalcTime,$C191,CalcBank,$C$5,EntryParty,$D191,EntryDep,$H191,EntryWit,$I191)&gt;1,"تکرار",""))</f>
        <v/>
      </c>
      <c r="N191" s="26">
        <f>IF($P191="","",IF(INDEX(EntryNotes,$P191)=0,"",INDEX(EntryNotes,$P191)))</f>
        <v/>
      </c>
      <c r="O191" s="26">
        <f>IF($P191="","",IF(INDEX(EntryTxnID,$P191)=0,"",INDEX(EntryTxnID,$P191)))</f>
        <v/>
      </c>
      <c r="P191" s="26">
        <f>IFERROR(MATCH($C$5&amp;"|"&amp;RIGHT("000000"&amp;175,6),CalcRankKey,0),"")</f>
        <v/>
      </c>
    </row>
    <row r="192">
      <c r="A192" s="28">
        <f>IF($B192="","",176)</f>
        <v/>
      </c>
      <c r="B192" s="28">
        <f>IF($P192="","",IF(INDEX(CalcNormDate,$P192)=0,"",INDEX(CalcNormDate,$P192)))</f>
        <v/>
      </c>
      <c r="C192" s="28">
        <f>IF($P192="","",IF(INDEX(CalcTime,$P192)=0,"",INDEX(CalcTime,$P192)))</f>
        <v/>
      </c>
      <c r="D192" s="28">
        <f>IF($P192="","",IF(INDEX(EntryParty,$P192)=0,"",INDEX(EntryParty,$P192)))</f>
        <v/>
      </c>
      <c r="E192" s="28">
        <f>IF($P192="","",IF(INDEX(EntryPartyName,$P192)=0,"",INDEX(EntryPartyName,$P192)))</f>
        <v/>
      </c>
      <c r="F192" s="28">
        <f>IF($P192="","",IF(INDEX(EntryPartyType,$P192)=0,"",INDEX(EntryPartyType,$P192)))</f>
        <v/>
      </c>
      <c r="G192" s="28">
        <f>IF($P192="","",IF(INDEX(EntryTxnType,$P192)=0,"",INDEX(EntryTxnType,$P192)))</f>
        <v/>
      </c>
      <c r="H192" s="29">
        <f>IF($P192="","",IF(INDEX(EntryDep,$P192)=0,"",INDEX(EntryDep,$P192)))</f>
        <v/>
      </c>
      <c r="I192" s="29">
        <f>IF($P192="","",IF(INDEX(EntryWit,$P192)=0,"",INDEX(EntryWit,$P192)))</f>
        <v/>
      </c>
      <c r="J192" s="29">
        <f>IF($B192="","",IF($A192=1,$C$7,IF(J191="",0,J191))+IF($H192="",0,$H192)-IF($I192="",0,$I192))</f>
        <v/>
      </c>
      <c r="K192" s="29">
        <f>IF($P192="","",IF(INDEX(EntryMan,$P192)=0,"",INDEX(EntryMan,$P192)))</f>
        <v/>
      </c>
      <c r="L192" s="28">
        <f>IF($B192="","",IF($K192="","—",IF(ROUND($K192-$J192,0)=0,"√","×")))</f>
        <v/>
      </c>
      <c r="M192" s="28">
        <f>IF($B192="","",IF(COUNTIFS(EntryDates,$B192,CalcTime,$C192,CalcBank,$C$5,EntryParty,$D192,EntryDep,$H192,EntryWit,$I192)&gt;1,"تکرار",""))</f>
        <v/>
      </c>
      <c r="N192" s="28">
        <f>IF($P192="","",IF(INDEX(EntryNotes,$P192)=0,"",INDEX(EntryNotes,$P192)))</f>
        <v/>
      </c>
      <c r="O192" s="28">
        <f>IF($P192="","",IF(INDEX(EntryTxnID,$P192)=0,"",INDEX(EntryTxnID,$P192)))</f>
        <v/>
      </c>
      <c r="P192" s="28">
        <f>IFERROR(MATCH($C$5&amp;"|"&amp;RIGHT("000000"&amp;176,6),CalcRankKey,0),"")</f>
        <v/>
      </c>
    </row>
    <row r="193">
      <c r="A193" s="26">
        <f>IF($B193="","",177)</f>
        <v/>
      </c>
      <c r="B193" s="26">
        <f>IF($P193="","",IF(INDEX(CalcNormDate,$P193)=0,"",INDEX(CalcNormDate,$P193)))</f>
        <v/>
      </c>
      <c r="C193" s="26">
        <f>IF($P193="","",IF(INDEX(CalcTime,$P193)=0,"",INDEX(CalcTime,$P193)))</f>
        <v/>
      </c>
      <c r="D193" s="26">
        <f>IF($P193="","",IF(INDEX(EntryParty,$P193)=0,"",INDEX(EntryParty,$P193)))</f>
        <v/>
      </c>
      <c r="E193" s="26">
        <f>IF($P193="","",IF(INDEX(EntryPartyName,$P193)=0,"",INDEX(EntryPartyName,$P193)))</f>
        <v/>
      </c>
      <c r="F193" s="26">
        <f>IF($P193="","",IF(INDEX(EntryPartyType,$P193)=0,"",INDEX(EntryPartyType,$P193)))</f>
        <v/>
      </c>
      <c r="G193" s="26">
        <f>IF($P193="","",IF(INDEX(EntryTxnType,$P193)=0,"",INDEX(EntryTxnType,$P193)))</f>
        <v/>
      </c>
      <c r="H193" s="27">
        <f>IF($P193="","",IF(INDEX(EntryDep,$P193)=0,"",INDEX(EntryDep,$P193)))</f>
        <v/>
      </c>
      <c r="I193" s="27">
        <f>IF($P193="","",IF(INDEX(EntryWit,$P193)=0,"",INDEX(EntryWit,$P193)))</f>
        <v/>
      </c>
      <c r="J193" s="27">
        <f>IF($B193="","",IF($A193=1,$C$7,IF(J192="",0,J192))+IF($H193="",0,$H193)-IF($I193="",0,$I193))</f>
        <v/>
      </c>
      <c r="K193" s="27">
        <f>IF($P193="","",IF(INDEX(EntryMan,$P193)=0,"",INDEX(EntryMan,$P193)))</f>
        <v/>
      </c>
      <c r="L193" s="26">
        <f>IF($B193="","",IF($K193="","—",IF(ROUND($K193-$J193,0)=0,"√","×")))</f>
        <v/>
      </c>
      <c r="M193" s="26">
        <f>IF($B193="","",IF(COUNTIFS(EntryDates,$B193,CalcTime,$C193,CalcBank,$C$5,EntryParty,$D193,EntryDep,$H193,EntryWit,$I193)&gt;1,"تکرار",""))</f>
        <v/>
      </c>
      <c r="N193" s="26">
        <f>IF($P193="","",IF(INDEX(EntryNotes,$P193)=0,"",INDEX(EntryNotes,$P193)))</f>
        <v/>
      </c>
      <c r="O193" s="26">
        <f>IF($P193="","",IF(INDEX(EntryTxnID,$P193)=0,"",INDEX(EntryTxnID,$P193)))</f>
        <v/>
      </c>
      <c r="P193" s="26">
        <f>IFERROR(MATCH($C$5&amp;"|"&amp;RIGHT("000000"&amp;177,6),CalcRankKey,0),"")</f>
        <v/>
      </c>
    </row>
    <row r="194">
      <c r="A194" s="28">
        <f>IF($B194="","",178)</f>
        <v/>
      </c>
      <c r="B194" s="28">
        <f>IF($P194="","",IF(INDEX(CalcNormDate,$P194)=0,"",INDEX(CalcNormDate,$P194)))</f>
        <v/>
      </c>
      <c r="C194" s="28">
        <f>IF($P194="","",IF(INDEX(CalcTime,$P194)=0,"",INDEX(CalcTime,$P194)))</f>
        <v/>
      </c>
      <c r="D194" s="28">
        <f>IF($P194="","",IF(INDEX(EntryParty,$P194)=0,"",INDEX(EntryParty,$P194)))</f>
        <v/>
      </c>
      <c r="E194" s="28">
        <f>IF($P194="","",IF(INDEX(EntryPartyName,$P194)=0,"",INDEX(EntryPartyName,$P194)))</f>
        <v/>
      </c>
      <c r="F194" s="28">
        <f>IF($P194="","",IF(INDEX(EntryPartyType,$P194)=0,"",INDEX(EntryPartyType,$P194)))</f>
        <v/>
      </c>
      <c r="G194" s="28">
        <f>IF($P194="","",IF(INDEX(EntryTxnType,$P194)=0,"",INDEX(EntryTxnType,$P194)))</f>
        <v/>
      </c>
      <c r="H194" s="29">
        <f>IF($P194="","",IF(INDEX(EntryDep,$P194)=0,"",INDEX(EntryDep,$P194)))</f>
        <v/>
      </c>
      <c r="I194" s="29">
        <f>IF($P194="","",IF(INDEX(EntryWit,$P194)=0,"",INDEX(EntryWit,$P194)))</f>
        <v/>
      </c>
      <c r="J194" s="29">
        <f>IF($B194="","",IF($A194=1,$C$7,IF(J193="",0,J193))+IF($H194="",0,$H194)-IF($I194="",0,$I194))</f>
        <v/>
      </c>
      <c r="K194" s="29">
        <f>IF($P194="","",IF(INDEX(EntryMan,$P194)=0,"",INDEX(EntryMan,$P194)))</f>
        <v/>
      </c>
      <c r="L194" s="28">
        <f>IF($B194="","",IF($K194="","—",IF(ROUND($K194-$J194,0)=0,"√","×")))</f>
        <v/>
      </c>
      <c r="M194" s="28">
        <f>IF($B194="","",IF(COUNTIFS(EntryDates,$B194,CalcTime,$C194,CalcBank,$C$5,EntryParty,$D194,EntryDep,$H194,EntryWit,$I194)&gt;1,"تکرار",""))</f>
        <v/>
      </c>
      <c r="N194" s="28">
        <f>IF($P194="","",IF(INDEX(EntryNotes,$P194)=0,"",INDEX(EntryNotes,$P194)))</f>
        <v/>
      </c>
      <c r="O194" s="28">
        <f>IF($P194="","",IF(INDEX(EntryTxnID,$P194)=0,"",INDEX(EntryTxnID,$P194)))</f>
        <v/>
      </c>
      <c r="P194" s="28">
        <f>IFERROR(MATCH($C$5&amp;"|"&amp;RIGHT("000000"&amp;178,6),CalcRankKey,0),"")</f>
        <v/>
      </c>
    </row>
    <row r="195">
      <c r="A195" s="26">
        <f>IF($B195="","",179)</f>
        <v/>
      </c>
      <c r="B195" s="26">
        <f>IF($P195="","",IF(INDEX(CalcNormDate,$P195)=0,"",INDEX(CalcNormDate,$P195)))</f>
        <v/>
      </c>
      <c r="C195" s="26">
        <f>IF($P195="","",IF(INDEX(CalcTime,$P195)=0,"",INDEX(CalcTime,$P195)))</f>
        <v/>
      </c>
      <c r="D195" s="26">
        <f>IF($P195="","",IF(INDEX(EntryParty,$P195)=0,"",INDEX(EntryParty,$P195)))</f>
        <v/>
      </c>
      <c r="E195" s="26">
        <f>IF($P195="","",IF(INDEX(EntryPartyName,$P195)=0,"",INDEX(EntryPartyName,$P195)))</f>
        <v/>
      </c>
      <c r="F195" s="26">
        <f>IF($P195="","",IF(INDEX(EntryPartyType,$P195)=0,"",INDEX(EntryPartyType,$P195)))</f>
        <v/>
      </c>
      <c r="G195" s="26">
        <f>IF($P195="","",IF(INDEX(EntryTxnType,$P195)=0,"",INDEX(EntryTxnType,$P195)))</f>
        <v/>
      </c>
      <c r="H195" s="27">
        <f>IF($P195="","",IF(INDEX(EntryDep,$P195)=0,"",INDEX(EntryDep,$P195)))</f>
        <v/>
      </c>
      <c r="I195" s="27">
        <f>IF($P195="","",IF(INDEX(EntryWit,$P195)=0,"",INDEX(EntryWit,$P195)))</f>
        <v/>
      </c>
      <c r="J195" s="27">
        <f>IF($B195="","",IF($A195=1,$C$7,IF(J194="",0,J194))+IF($H195="",0,$H195)-IF($I195="",0,$I195))</f>
        <v/>
      </c>
      <c r="K195" s="27">
        <f>IF($P195="","",IF(INDEX(EntryMan,$P195)=0,"",INDEX(EntryMan,$P195)))</f>
        <v/>
      </c>
      <c r="L195" s="26">
        <f>IF($B195="","",IF($K195="","—",IF(ROUND($K195-$J195,0)=0,"√","×")))</f>
        <v/>
      </c>
      <c r="M195" s="26">
        <f>IF($B195="","",IF(COUNTIFS(EntryDates,$B195,CalcTime,$C195,CalcBank,$C$5,EntryParty,$D195,EntryDep,$H195,EntryWit,$I195)&gt;1,"تکرار",""))</f>
        <v/>
      </c>
      <c r="N195" s="26">
        <f>IF($P195="","",IF(INDEX(EntryNotes,$P195)=0,"",INDEX(EntryNotes,$P195)))</f>
        <v/>
      </c>
      <c r="O195" s="26">
        <f>IF($P195="","",IF(INDEX(EntryTxnID,$P195)=0,"",INDEX(EntryTxnID,$P195)))</f>
        <v/>
      </c>
      <c r="P195" s="26">
        <f>IFERROR(MATCH($C$5&amp;"|"&amp;RIGHT("000000"&amp;179,6),CalcRankKey,0),"")</f>
        <v/>
      </c>
    </row>
    <row r="196">
      <c r="A196" s="28">
        <f>IF($B196="","",180)</f>
        <v/>
      </c>
      <c r="B196" s="28">
        <f>IF($P196="","",IF(INDEX(CalcNormDate,$P196)=0,"",INDEX(CalcNormDate,$P196)))</f>
        <v/>
      </c>
      <c r="C196" s="28">
        <f>IF($P196="","",IF(INDEX(CalcTime,$P196)=0,"",INDEX(CalcTime,$P196)))</f>
        <v/>
      </c>
      <c r="D196" s="28">
        <f>IF($P196="","",IF(INDEX(EntryParty,$P196)=0,"",INDEX(EntryParty,$P196)))</f>
        <v/>
      </c>
      <c r="E196" s="28">
        <f>IF($P196="","",IF(INDEX(EntryPartyName,$P196)=0,"",INDEX(EntryPartyName,$P196)))</f>
        <v/>
      </c>
      <c r="F196" s="28">
        <f>IF($P196="","",IF(INDEX(EntryPartyType,$P196)=0,"",INDEX(EntryPartyType,$P196)))</f>
        <v/>
      </c>
      <c r="G196" s="28">
        <f>IF($P196="","",IF(INDEX(EntryTxnType,$P196)=0,"",INDEX(EntryTxnType,$P196)))</f>
        <v/>
      </c>
      <c r="H196" s="29">
        <f>IF($P196="","",IF(INDEX(EntryDep,$P196)=0,"",INDEX(EntryDep,$P196)))</f>
        <v/>
      </c>
      <c r="I196" s="29">
        <f>IF($P196="","",IF(INDEX(EntryWit,$P196)=0,"",INDEX(EntryWit,$P196)))</f>
        <v/>
      </c>
      <c r="J196" s="29">
        <f>IF($B196="","",IF($A196=1,$C$7,IF(J195="",0,J195))+IF($H196="",0,$H196)-IF($I196="",0,$I196))</f>
        <v/>
      </c>
      <c r="K196" s="29">
        <f>IF($P196="","",IF(INDEX(EntryMan,$P196)=0,"",INDEX(EntryMan,$P196)))</f>
        <v/>
      </c>
      <c r="L196" s="28">
        <f>IF($B196="","",IF($K196="","—",IF(ROUND($K196-$J196,0)=0,"√","×")))</f>
        <v/>
      </c>
      <c r="M196" s="28">
        <f>IF($B196="","",IF(COUNTIFS(EntryDates,$B196,CalcTime,$C196,CalcBank,$C$5,EntryParty,$D196,EntryDep,$H196,EntryWit,$I196)&gt;1,"تکرار",""))</f>
        <v/>
      </c>
      <c r="N196" s="28">
        <f>IF($P196="","",IF(INDEX(EntryNotes,$P196)=0,"",INDEX(EntryNotes,$P196)))</f>
        <v/>
      </c>
      <c r="O196" s="28">
        <f>IF($P196="","",IF(INDEX(EntryTxnID,$P196)=0,"",INDEX(EntryTxnID,$P196)))</f>
        <v/>
      </c>
      <c r="P196" s="28">
        <f>IFERROR(MATCH($C$5&amp;"|"&amp;RIGHT("000000"&amp;180,6),CalcRankKey,0),"")</f>
        <v/>
      </c>
    </row>
    <row r="197">
      <c r="A197" s="26">
        <f>IF($B197="","",181)</f>
        <v/>
      </c>
      <c r="B197" s="26">
        <f>IF($P197="","",IF(INDEX(CalcNormDate,$P197)=0,"",INDEX(CalcNormDate,$P197)))</f>
        <v/>
      </c>
      <c r="C197" s="26">
        <f>IF($P197="","",IF(INDEX(CalcTime,$P197)=0,"",INDEX(CalcTime,$P197)))</f>
        <v/>
      </c>
      <c r="D197" s="26">
        <f>IF($P197="","",IF(INDEX(EntryParty,$P197)=0,"",INDEX(EntryParty,$P197)))</f>
        <v/>
      </c>
      <c r="E197" s="26">
        <f>IF($P197="","",IF(INDEX(EntryPartyName,$P197)=0,"",INDEX(EntryPartyName,$P197)))</f>
        <v/>
      </c>
      <c r="F197" s="26">
        <f>IF($P197="","",IF(INDEX(EntryPartyType,$P197)=0,"",INDEX(EntryPartyType,$P197)))</f>
        <v/>
      </c>
      <c r="G197" s="26">
        <f>IF($P197="","",IF(INDEX(EntryTxnType,$P197)=0,"",INDEX(EntryTxnType,$P197)))</f>
        <v/>
      </c>
      <c r="H197" s="27">
        <f>IF($P197="","",IF(INDEX(EntryDep,$P197)=0,"",INDEX(EntryDep,$P197)))</f>
        <v/>
      </c>
      <c r="I197" s="27">
        <f>IF($P197="","",IF(INDEX(EntryWit,$P197)=0,"",INDEX(EntryWit,$P197)))</f>
        <v/>
      </c>
      <c r="J197" s="27">
        <f>IF($B197="","",IF($A197=1,$C$7,IF(J196="",0,J196))+IF($H197="",0,$H197)-IF($I197="",0,$I197))</f>
        <v/>
      </c>
      <c r="K197" s="27">
        <f>IF($P197="","",IF(INDEX(EntryMan,$P197)=0,"",INDEX(EntryMan,$P197)))</f>
        <v/>
      </c>
      <c r="L197" s="26">
        <f>IF($B197="","",IF($K197="","—",IF(ROUND($K197-$J197,0)=0,"√","×")))</f>
        <v/>
      </c>
      <c r="M197" s="26">
        <f>IF($B197="","",IF(COUNTIFS(EntryDates,$B197,CalcTime,$C197,CalcBank,$C$5,EntryParty,$D197,EntryDep,$H197,EntryWit,$I197)&gt;1,"تکرار",""))</f>
        <v/>
      </c>
      <c r="N197" s="26">
        <f>IF($P197="","",IF(INDEX(EntryNotes,$P197)=0,"",INDEX(EntryNotes,$P197)))</f>
        <v/>
      </c>
      <c r="O197" s="26">
        <f>IF($P197="","",IF(INDEX(EntryTxnID,$P197)=0,"",INDEX(EntryTxnID,$P197)))</f>
        <v/>
      </c>
      <c r="P197" s="26">
        <f>IFERROR(MATCH($C$5&amp;"|"&amp;RIGHT("000000"&amp;181,6),CalcRankKey,0),"")</f>
        <v/>
      </c>
    </row>
    <row r="198">
      <c r="A198" s="28">
        <f>IF($B198="","",182)</f>
        <v/>
      </c>
      <c r="B198" s="28">
        <f>IF($P198="","",IF(INDEX(CalcNormDate,$P198)=0,"",INDEX(CalcNormDate,$P198)))</f>
        <v/>
      </c>
      <c r="C198" s="28">
        <f>IF($P198="","",IF(INDEX(CalcTime,$P198)=0,"",INDEX(CalcTime,$P198)))</f>
        <v/>
      </c>
      <c r="D198" s="28">
        <f>IF($P198="","",IF(INDEX(EntryParty,$P198)=0,"",INDEX(EntryParty,$P198)))</f>
        <v/>
      </c>
      <c r="E198" s="28">
        <f>IF($P198="","",IF(INDEX(EntryPartyName,$P198)=0,"",INDEX(EntryPartyName,$P198)))</f>
        <v/>
      </c>
      <c r="F198" s="28">
        <f>IF($P198="","",IF(INDEX(EntryPartyType,$P198)=0,"",INDEX(EntryPartyType,$P198)))</f>
        <v/>
      </c>
      <c r="G198" s="28">
        <f>IF($P198="","",IF(INDEX(EntryTxnType,$P198)=0,"",INDEX(EntryTxnType,$P198)))</f>
        <v/>
      </c>
      <c r="H198" s="29">
        <f>IF($P198="","",IF(INDEX(EntryDep,$P198)=0,"",INDEX(EntryDep,$P198)))</f>
        <v/>
      </c>
      <c r="I198" s="29">
        <f>IF($P198="","",IF(INDEX(EntryWit,$P198)=0,"",INDEX(EntryWit,$P198)))</f>
        <v/>
      </c>
      <c r="J198" s="29">
        <f>IF($B198="","",IF($A198=1,$C$7,IF(J197="",0,J197))+IF($H198="",0,$H198)-IF($I198="",0,$I198))</f>
        <v/>
      </c>
      <c r="K198" s="29">
        <f>IF($P198="","",IF(INDEX(EntryMan,$P198)=0,"",INDEX(EntryMan,$P198)))</f>
        <v/>
      </c>
      <c r="L198" s="28">
        <f>IF($B198="","",IF($K198="","—",IF(ROUND($K198-$J198,0)=0,"√","×")))</f>
        <v/>
      </c>
      <c r="M198" s="28">
        <f>IF($B198="","",IF(COUNTIFS(EntryDates,$B198,CalcTime,$C198,CalcBank,$C$5,EntryParty,$D198,EntryDep,$H198,EntryWit,$I198)&gt;1,"تکرار",""))</f>
        <v/>
      </c>
      <c r="N198" s="28">
        <f>IF($P198="","",IF(INDEX(EntryNotes,$P198)=0,"",INDEX(EntryNotes,$P198)))</f>
        <v/>
      </c>
      <c r="O198" s="28">
        <f>IF($P198="","",IF(INDEX(EntryTxnID,$P198)=0,"",INDEX(EntryTxnID,$P198)))</f>
        <v/>
      </c>
      <c r="P198" s="28">
        <f>IFERROR(MATCH($C$5&amp;"|"&amp;RIGHT("000000"&amp;182,6),CalcRankKey,0),"")</f>
        <v/>
      </c>
    </row>
    <row r="199">
      <c r="A199" s="26">
        <f>IF($B199="","",183)</f>
        <v/>
      </c>
      <c r="B199" s="26">
        <f>IF($P199="","",IF(INDEX(CalcNormDate,$P199)=0,"",INDEX(CalcNormDate,$P199)))</f>
        <v/>
      </c>
      <c r="C199" s="26">
        <f>IF($P199="","",IF(INDEX(CalcTime,$P199)=0,"",INDEX(CalcTime,$P199)))</f>
        <v/>
      </c>
      <c r="D199" s="26">
        <f>IF($P199="","",IF(INDEX(EntryParty,$P199)=0,"",INDEX(EntryParty,$P199)))</f>
        <v/>
      </c>
      <c r="E199" s="26">
        <f>IF($P199="","",IF(INDEX(EntryPartyName,$P199)=0,"",INDEX(EntryPartyName,$P199)))</f>
        <v/>
      </c>
      <c r="F199" s="26">
        <f>IF($P199="","",IF(INDEX(EntryPartyType,$P199)=0,"",INDEX(EntryPartyType,$P199)))</f>
        <v/>
      </c>
      <c r="G199" s="26">
        <f>IF($P199="","",IF(INDEX(EntryTxnType,$P199)=0,"",INDEX(EntryTxnType,$P199)))</f>
        <v/>
      </c>
      <c r="H199" s="27">
        <f>IF($P199="","",IF(INDEX(EntryDep,$P199)=0,"",INDEX(EntryDep,$P199)))</f>
        <v/>
      </c>
      <c r="I199" s="27">
        <f>IF($P199="","",IF(INDEX(EntryWit,$P199)=0,"",INDEX(EntryWit,$P199)))</f>
        <v/>
      </c>
      <c r="J199" s="27">
        <f>IF($B199="","",IF($A199=1,$C$7,IF(J198="",0,J198))+IF($H199="",0,$H199)-IF($I199="",0,$I199))</f>
        <v/>
      </c>
      <c r="K199" s="27">
        <f>IF($P199="","",IF(INDEX(EntryMan,$P199)=0,"",INDEX(EntryMan,$P199)))</f>
        <v/>
      </c>
      <c r="L199" s="26">
        <f>IF($B199="","",IF($K199="","—",IF(ROUND($K199-$J199,0)=0,"√","×")))</f>
        <v/>
      </c>
      <c r="M199" s="26">
        <f>IF($B199="","",IF(COUNTIFS(EntryDates,$B199,CalcTime,$C199,CalcBank,$C$5,EntryParty,$D199,EntryDep,$H199,EntryWit,$I199)&gt;1,"تکرار",""))</f>
        <v/>
      </c>
      <c r="N199" s="26">
        <f>IF($P199="","",IF(INDEX(EntryNotes,$P199)=0,"",INDEX(EntryNotes,$P199)))</f>
        <v/>
      </c>
      <c r="O199" s="26">
        <f>IF($P199="","",IF(INDEX(EntryTxnID,$P199)=0,"",INDEX(EntryTxnID,$P199)))</f>
        <v/>
      </c>
      <c r="P199" s="26">
        <f>IFERROR(MATCH($C$5&amp;"|"&amp;RIGHT("000000"&amp;183,6),CalcRankKey,0),"")</f>
        <v/>
      </c>
    </row>
    <row r="200">
      <c r="A200" s="28">
        <f>IF($B200="","",184)</f>
        <v/>
      </c>
      <c r="B200" s="28">
        <f>IF($P200="","",IF(INDEX(CalcNormDate,$P200)=0,"",INDEX(CalcNormDate,$P200)))</f>
        <v/>
      </c>
      <c r="C200" s="28">
        <f>IF($P200="","",IF(INDEX(CalcTime,$P200)=0,"",INDEX(CalcTime,$P200)))</f>
        <v/>
      </c>
      <c r="D200" s="28">
        <f>IF($P200="","",IF(INDEX(EntryParty,$P200)=0,"",INDEX(EntryParty,$P200)))</f>
        <v/>
      </c>
      <c r="E200" s="28">
        <f>IF($P200="","",IF(INDEX(EntryPartyName,$P200)=0,"",INDEX(EntryPartyName,$P200)))</f>
        <v/>
      </c>
      <c r="F200" s="28">
        <f>IF($P200="","",IF(INDEX(EntryPartyType,$P200)=0,"",INDEX(EntryPartyType,$P200)))</f>
        <v/>
      </c>
      <c r="G200" s="28">
        <f>IF($P200="","",IF(INDEX(EntryTxnType,$P200)=0,"",INDEX(EntryTxnType,$P200)))</f>
        <v/>
      </c>
      <c r="H200" s="29">
        <f>IF($P200="","",IF(INDEX(EntryDep,$P200)=0,"",INDEX(EntryDep,$P200)))</f>
        <v/>
      </c>
      <c r="I200" s="29">
        <f>IF($P200="","",IF(INDEX(EntryWit,$P200)=0,"",INDEX(EntryWit,$P200)))</f>
        <v/>
      </c>
      <c r="J200" s="29">
        <f>IF($B200="","",IF($A200=1,$C$7,IF(J199="",0,J199))+IF($H200="",0,$H200)-IF($I200="",0,$I200))</f>
        <v/>
      </c>
      <c r="K200" s="29">
        <f>IF($P200="","",IF(INDEX(EntryMan,$P200)=0,"",INDEX(EntryMan,$P200)))</f>
        <v/>
      </c>
      <c r="L200" s="28">
        <f>IF($B200="","",IF($K200="","—",IF(ROUND($K200-$J200,0)=0,"√","×")))</f>
        <v/>
      </c>
      <c r="M200" s="28">
        <f>IF($B200="","",IF(COUNTIFS(EntryDates,$B200,CalcTime,$C200,CalcBank,$C$5,EntryParty,$D200,EntryDep,$H200,EntryWit,$I200)&gt;1,"تکرار",""))</f>
        <v/>
      </c>
      <c r="N200" s="28">
        <f>IF($P200="","",IF(INDEX(EntryNotes,$P200)=0,"",INDEX(EntryNotes,$P200)))</f>
        <v/>
      </c>
      <c r="O200" s="28">
        <f>IF($P200="","",IF(INDEX(EntryTxnID,$P200)=0,"",INDEX(EntryTxnID,$P200)))</f>
        <v/>
      </c>
      <c r="P200" s="28">
        <f>IFERROR(MATCH($C$5&amp;"|"&amp;RIGHT("000000"&amp;184,6),CalcRankKey,0),"")</f>
        <v/>
      </c>
    </row>
    <row r="201">
      <c r="A201" s="26">
        <f>IF($B201="","",185)</f>
        <v/>
      </c>
      <c r="B201" s="26">
        <f>IF($P201="","",IF(INDEX(CalcNormDate,$P201)=0,"",INDEX(CalcNormDate,$P201)))</f>
        <v/>
      </c>
      <c r="C201" s="26">
        <f>IF($P201="","",IF(INDEX(CalcTime,$P201)=0,"",INDEX(CalcTime,$P201)))</f>
        <v/>
      </c>
      <c r="D201" s="26">
        <f>IF($P201="","",IF(INDEX(EntryParty,$P201)=0,"",INDEX(EntryParty,$P201)))</f>
        <v/>
      </c>
      <c r="E201" s="26">
        <f>IF($P201="","",IF(INDEX(EntryPartyName,$P201)=0,"",INDEX(EntryPartyName,$P201)))</f>
        <v/>
      </c>
      <c r="F201" s="26">
        <f>IF($P201="","",IF(INDEX(EntryPartyType,$P201)=0,"",INDEX(EntryPartyType,$P201)))</f>
        <v/>
      </c>
      <c r="G201" s="26">
        <f>IF($P201="","",IF(INDEX(EntryTxnType,$P201)=0,"",INDEX(EntryTxnType,$P201)))</f>
        <v/>
      </c>
      <c r="H201" s="27">
        <f>IF($P201="","",IF(INDEX(EntryDep,$P201)=0,"",INDEX(EntryDep,$P201)))</f>
        <v/>
      </c>
      <c r="I201" s="27">
        <f>IF($P201="","",IF(INDEX(EntryWit,$P201)=0,"",INDEX(EntryWit,$P201)))</f>
        <v/>
      </c>
      <c r="J201" s="27">
        <f>IF($B201="","",IF($A201=1,$C$7,IF(J200="",0,J200))+IF($H201="",0,$H201)-IF($I201="",0,$I201))</f>
        <v/>
      </c>
      <c r="K201" s="27">
        <f>IF($P201="","",IF(INDEX(EntryMan,$P201)=0,"",INDEX(EntryMan,$P201)))</f>
        <v/>
      </c>
      <c r="L201" s="26">
        <f>IF($B201="","",IF($K201="","—",IF(ROUND($K201-$J201,0)=0,"√","×")))</f>
        <v/>
      </c>
      <c r="M201" s="26">
        <f>IF($B201="","",IF(COUNTIFS(EntryDates,$B201,CalcTime,$C201,CalcBank,$C$5,EntryParty,$D201,EntryDep,$H201,EntryWit,$I201)&gt;1,"تکرار",""))</f>
        <v/>
      </c>
      <c r="N201" s="26">
        <f>IF($P201="","",IF(INDEX(EntryNotes,$P201)=0,"",INDEX(EntryNotes,$P201)))</f>
        <v/>
      </c>
      <c r="O201" s="26">
        <f>IF($P201="","",IF(INDEX(EntryTxnID,$P201)=0,"",INDEX(EntryTxnID,$P201)))</f>
        <v/>
      </c>
      <c r="P201" s="26">
        <f>IFERROR(MATCH($C$5&amp;"|"&amp;RIGHT("000000"&amp;185,6),CalcRankKey,0),"")</f>
        <v/>
      </c>
    </row>
    <row r="202">
      <c r="A202" s="28">
        <f>IF($B202="","",186)</f>
        <v/>
      </c>
      <c r="B202" s="28">
        <f>IF($P202="","",IF(INDEX(CalcNormDate,$P202)=0,"",INDEX(CalcNormDate,$P202)))</f>
        <v/>
      </c>
      <c r="C202" s="28">
        <f>IF($P202="","",IF(INDEX(CalcTime,$P202)=0,"",INDEX(CalcTime,$P202)))</f>
        <v/>
      </c>
      <c r="D202" s="28">
        <f>IF($P202="","",IF(INDEX(EntryParty,$P202)=0,"",INDEX(EntryParty,$P202)))</f>
        <v/>
      </c>
      <c r="E202" s="28">
        <f>IF($P202="","",IF(INDEX(EntryPartyName,$P202)=0,"",INDEX(EntryPartyName,$P202)))</f>
        <v/>
      </c>
      <c r="F202" s="28">
        <f>IF($P202="","",IF(INDEX(EntryPartyType,$P202)=0,"",INDEX(EntryPartyType,$P202)))</f>
        <v/>
      </c>
      <c r="G202" s="28">
        <f>IF($P202="","",IF(INDEX(EntryTxnType,$P202)=0,"",INDEX(EntryTxnType,$P202)))</f>
        <v/>
      </c>
      <c r="H202" s="29">
        <f>IF($P202="","",IF(INDEX(EntryDep,$P202)=0,"",INDEX(EntryDep,$P202)))</f>
        <v/>
      </c>
      <c r="I202" s="29">
        <f>IF($P202="","",IF(INDEX(EntryWit,$P202)=0,"",INDEX(EntryWit,$P202)))</f>
        <v/>
      </c>
      <c r="J202" s="29">
        <f>IF($B202="","",IF($A202=1,$C$7,IF(J201="",0,J201))+IF($H202="",0,$H202)-IF($I202="",0,$I202))</f>
        <v/>
      </c>
      <c r="K202" s="29">
        <f>IF($P202="","",IF(INDEX(EntryMan,$P202)=0,"",INDEX(EntryMan,$P202)))</f>
        <v/>
      </c>
      <c r="L202" s="28">
        <f>IF($B202="","",IF($K202="","—",IF(ROUND($K202-$J202,0)=0,"√","×")))</f>
        <v/>
      </c>
      <c r="M202" s="28">
        <f>IF($B202="","",IF(COUNTIFS(EntryDates,$B202,CalcTime,$C202,CalcBank,$C$5,EntryParty,$D202,EntryDep,$H202,EntryWit,$I202)&gt;1,"تکرار",""))</f>
        <v/>
      </c>
      <c r="N202" s="28">
        <f>IF($P202="","",IF(INDEX(EntryNotes,$P202)=0,"",INDEX(EntryNotes,$P202)))</f>
        <v/>
      </c>
      <c r="O202" s="28">
        <f>IF($P202="","",IF(INDEX(EntryTxnID,$P202)=0,"",INDEX(EntryTxnID,$P202)))</f>
        <v/>
      </c>
      <c r="P202" s="28">
        <f>IFERROR(MATCH($C$5&amp;"|"&amp;RIGHT("000000"&amp;186,6),CalcRankKey,0),"")</f>
        <v/>
      </c>
    </row>
    <row r="203">
      <c r="A203" s="26">
        <f>IF($B203="","",187)</f>
        <v/>
      </c>
      <c r="B203" s="26">
        <f>IF($P203="","",IF(INDEX(CalcNormDate,$P203)=0,"",INDEX(CalcNormDate,$P203)))</f>
        <v/>
      </c>
      <c r="C203" s="26">
        <f>IF($P203="","",IF(INDEX(CalcTime,$P203)=0,"",INDEX(CalcTime,$P203)))</f>
        <v/>
      </c>
      <c r="D203" s="26">
        <f>IF($P203="","",IF(INDEX(EntryParty,$P203)=0,"",INDEX(EntryParty,$P203)))</f>
        <v/>
      </c>
      <c r="E203" s="26">
        <f>IF($P203="","",IF(INDEX(EntryPartyName,$P203)=0,"",INDEX(EntryPartyName,$P203)))</f>
        <v/>
      </c>
      <c r="F203" s="26">
        <f>IF($P203="","",IF(INDEX(EntryPartyType,$P203)=0,"",INDEX(EntryPartyType,$P203)))</f>
        <v/>
      </c>
      <c r="G203" s="26">
        <f>IF($P203="","",IF(INDEX(EntryTxnType,$P203)=0,"",INDEX(EntryTxnType,$P203)))</f>
        <v/>
      </c>
      <c r="H203" s="27">
        <f>IF($P203="","",IF(INDEX(EntryDep,$P203)=0,"",INDEX(EntryDep,$P203)))</f>
        <v/>
      </c>
      <c r="I203" s="27">
        <f>IF($P203="","",IF(INDEX(EntryWit,$P203)=0,"",INDEX(EntryWit,$P203)))</f>
        <v/>
      </c>
      <c r="J203" s="27">
        <f>IF($B203="","",IF($A203=1,$C$7,IF(J202="",0,J202))+IF($H203="",0,$H203)-IF($I203="",0,$I203))</f>
        <v/>
      </c>
      <c r="K203" s="27">
        <f>IF($P203="","",IF(INDEX(EntryMan,$P203)=0,"",INDEX(EntryMan,$P203)))</f>
        <v/>
      </c>
      <c r="L203" s="26">
        <f>IF($B203="","",IF($K203="","—",IF(ROUND($K203-$J203,0)=0,"√","×")))</f>
        <v/>
      </c>
      <c r="M203" s="26">
        <f>IF($B203="","",IF(COUNTIFS(EntryDates,$B203,CalcTime,$C203,CalcBank,$C$5,EntryParty,$D203,EntryDep,$H203,EntryWit,$I203)&gt;1,"تکرار",""))</f>
        <v/>
      </c>
      <c r="N203" s="26">
        <f>IF($P203="","",IF(INDEX(EntryNotes,$P203)=0,"",INDEX(EntryNotes,$P203)))</f>
        <v/>
      </c>
      <c r="O203" s="26">
        <f>IF($P203="","",IF(INDEX(EntryTxnID,$P203)=0,"",INDEX(EntryTxnID,$P203)))</f>
        <v/>
      </c>
      <c r="P203" s="26">
        <f>IFERROR(MATCH($C$5&amp;"|"&amp;RIGHT("000000"&amp;187,6),CalcRankKey,0),"")</f>
        <v/>
      </c>
    </row>
    <row r="204">
      <c r="A204" s="28">
        <f>IF($B204="","",188)</f>
        <v/>
      </c>
      <c r="B204" s="28">
        <f>IF($P204="","",IF(INDEX(CalcNormDate,$P204)=0,"",INDEX(CalcNormDate,$P204)))</f>
        <v/>
      </c>
      <c r="C204" s="28">
        <f>IF($P204="","",IF(INDEX(CalcTime,$P204)=0,"",INDEX(CalcTime,$P204)))</f>
        <v/>
      </c>
      <c r="D204" s="28">
        <f>IF($P204="","",IF(INDEX(EntryParty,$P204)=0,"",INDEX(EntryParty,$P204)))</f>
        <v/>
      </c>
      <c r="E204" s="28">
        <f>IF($P204="","",IF(INDEX(EntryPartyName,$P204)=0,"",INDEX(EntryPartyName,$P204)))</f>
        <v/>
      </c>
      <c r="F204" s="28">
        <f>IF($P204="","",IF(INDEX(EntryPartyType,$P204)=0,"",INDEX(EntryPartyType,$P204)))</f>
        <v/>
      </c>
      <c r="G204" s="28">
        <f>IF($P204="","",IF(INDEX(EntryTxnType,$P204)=0,"",INDEX(EntryTxnType,$P204)))</f>
        <v/>
      </c>
      <c r="H204" s="29">
        <f>IF($P204="","",IF(INDEX(EntryDep,$P204)=0,"",INDEX(EntryDep,$P204)))</f>
        <v/>
      </c>
      <c r="I204" s="29">
        <f>IF($P204="","",IF(INDEX(EntryWit,$P204)=0,"",INDEX(EntryWit,$P204)))</f>
        <v/>
      </c>
      <c r="J204" s="29">
        <f>IF($B204="","",IF($A204=1,$C$7,IF(J203="",0,J203))+IF($H204="",0,$H204)-IF($I204="",0,$I204))</f>
        <v/>
      </c>
      <c r="K204" s="29">
        <f>IF($P204="","",IF(INDEX(EntryMan,$P204)=0,"",INDEX(EntryMan,$P204)))</f>
        <v/>
      </c>
      <c r="L204" s="28">
        <f>IF($B204="","",IF($K204="","—",IF(ROUND($K204-$J204,0)=0,"√","×")))</f>
        <v/>
      </c>
      <c r="M204" s="28">
        <f>IF($B204="","",IF(COUNTIFS(EntryDates,$B204,CalcTime,$C204,CalcBank,$C$5,EntryParty,$D204,EntryDep,$H204,EntryWit,$I204)&gt;1,"تکرار",""))</f>
        <v/>
      </c>
      <c r="N204" s="28">
        <f>IF($P204="","",IF(INDEX(EntryNotes,$P204)=0,"",INDEX(EntryNotes,$P204)))</f>
        <v/>
      </c>
      <c r="O204" s="28">
        <f>IF($P204="","",IF(INDEX(EntryTxnID,$P204)=0,"",INDEX(EntryTxnID,$P204)))</f>
        <v/>
      </c>
      <c r="P204" s="28">
        <f>IFERROR(MATCH($C$5&amp;"|"&amp;RIGHT("000000"&amp;188,6),CalcRankKey,0),"")</f>
        <v/>
      </c>
    </row>
    <row r="205">
      <c r="A205" s="26">
        <f>IF($B205="","",189)</f>
        <v/>
      </c>
      <c r="B205" s="26">
        <f>IF($P205="","",IF(INDEX(CalcNormDate,$P205)=0,"",INDEX(CalcNormDate,$P205)))</f>
        <v/>
      </c>
      <c r="C205" s="26">
        <f>IF($P205="","",IF(INDEX(CalcTime,$P205)=0,"",INDEX(CalcTime,$P205)))</f>
        <v/>
      </c>
      <c r="D205" s="26">
        <f>IF($P205="","",IF(INDEX(EntryParty,$P205)=0,"",INDEX(EntryParty,$P205)))</f>
        <v/>
      </c>
      <c r="E205" s="26">
        <f>IF($P205="","",IF(INDEX(EntryPartyName,$P205)=0,"",INDEX(EntryPartyName,$P205)))</f>
        <v/>
      </c>
      <c r="F205" s="26">
        <f>IF($P205="","",IF(INDEX(EntryPartyType,$P205)=0,"",INDEX(EntryPartyType,$P205)))</f>
        <v/>
      </c>
      <c r="G205" s="26">
        <f>IF($P205="","",IF(INDEX(EntryTxnType,$P205)=0,"",INDEX(EntryTxnType,$P205)))</f>
        <v/>
      </c>
      <c r="H205" s="27">
        <f>IF($P205="","",IF(INDEX(EntryDep,$P205)=0,"",INDEX(EntryDep,$P205)))</f>
        <v/>
      </c>
      <c r="I205" s="27">
        <f>IF($P205="","",IF(INDEX(EntryWit,$P205)=0,"",INDEX(EntryWit,$P205)))</f>
        <v/>
      </c>
      <c r="J205" s="27">
        <f>IF($B205="","",IF($A205=1,$C$7,IF(J204="",0,J204))+IF($H205="",0,$H205)-IF($I205="",0,$I205))</f>
        <v/>
      </c>
      <c r="K205" s="27">
        <f>IF($P205="","",IF(INDEX(EntryMan,$P205)=0,"",INDEX(EntryMan,$P205)))</f>
        <v/>
      </c>
      <c r="L205" s="26">
        <f>IF($B205="","",IF($K205="","—",IF(ROUND($K205-$J205,0)=0,"√","×")))</f>
        <v/>
      </c>
      <c r="M205" s="26">
        <f>IF($B205="","",IF(COUNTIFS(EntryDates,$B205,CalcTime,$C205,CalcBank,$C$5,EntryParty,$D205,EntryDep,$H205,EntryWit,$I205)&gt;1,"تکرار",""))</f>
        <v/>
      </c>
      <c r="N205" s="26">
        <f>IF($P205="","",IF(INDEX(EntryNotes,$P205)=0,"",INDEX(EntryNotes,$P205)))</f>
        <v/>
      </c>
      <c r="O205" s="26">
        <f>IF($P205="","",IF(INDEX(EntryTxnID,$P205)=0,"",INDEX(EntryTxnID,$P205)))</f>
        <v/>
      </c>
      <c r="P205" s="26">
        <f>IFERROR(MATCH($C$5&amp;"|"&amp;RIGHT("000000"&amp;189,6),CalcRankKey,0),"")</f>
        <v/>
      </c>
    </row>
    <row r="206">
      <c r="A206" s="28">
        <f>IF($B206="","",190)</f>
        <v/>
      </c>
      <c r="B206" s="28">
        <f>IF($P206="","",IF(INDEX(CalcNormDate,$P206)=0,"",INDEX(CalcNormDate,$P206)))</f>
        <v/>
      </c>
      <c r="C206" s="28">
        <f>IF($P206="","",IF(INDEX(CalcTime,$P206)=0,"",INDEX(CalcTime,$P206)))</f>
        <v/>
      </c>
      <c r="D206" s="28">
        <f>IF($P206="","",IF(INDEX(EntryParty,$P206)=0,"",INDEX(EntryParty,$P206)))</f>
        <v/>
      </c>
      <c r="E206" s="28">
        <f>IF($P206="","",IF(INDEX(EntryPartyName,$P206)=0,"",INDEX(EntryPartyName,$P206)))</f>
        <v/>
      </c>
      <c r="F206" s="28">
        <f>IF($P206="","",IF(INDEX(EntryPartyType,$P206)=0,"",INDEX(EntryPartyType,$P206)))</f>
        <v/>
      </c>
      <c r="G206" s="28">
        <f>IF($P206="","",IF(INDEX(EntryTxnType,$P206)=0,"",INDEX(EntryTxnType,$P206)))</f>
        <v/>
      </c>
      <c r="H206" s="29">
        <f>IF($P206="","",IF(INDEX(EntryDep,$P206)=0,"",INDEX(EntryDep,$P206)))</f>
        <v/>
      </c>
      <c r="I206" s="29">
        <f>IF($P206="","",IF(INDEX(EntryWit,$P206)=0,"",INDEX(EntryWit,$P206)))</f>
        <v/>
      </c>
      <c r="J206" s="29">
        <f>IF($B206="","",IF($A206=1,$C$7,IF(J205="",0,J205))+IF($H206="",0,$H206)-IF($I206="",0,$I206))</f>
        <v/>
      </c>
      <c r="K206" s="29">
        <f>IF($P206="","",IF(INDEX(EntryMan,$P206)=0,"",INDEX(EntryMan,$P206)))</f>
        <v/>
      </c>
      <c r="L206" s="28">
        <f>IF($B206="","",IF($K206="","—",IF(ROUND($K206-$J206,0)=0,"√","×")))</f>
        <v/>
      </c>
      <c r="M206" s="28">
        <f>IF($B206="","",IF(COUNTIFS(EntryDates,$B206,CalcTime,$C206,CalcBank,$C$5,EntryParty,$D206,EntryDep,$H206,EntryWit,$I206)&gt;1,"تکرار",""))</f>
        <v/>
      </c>
      <c r="N206" s="28">
        <f>IF($P206="","",IF(INDEX(EntryNotes,$P206)=0,"",INDEX(EntryNotes,$P206)))</f>
        <v/>
      </c>
      <c r="O206" s="28">
        <f>IF($P206="","",IF(INDEX(EntryTxnID,$P206)=0,"",INDEX(EntryTxnID,$P206)))</f>
        <v/>
      </c>
      <c r="P206" s="28">
        <f>IFERROR(MATCH($C$5&amp;"|"&amp;RIGHT("000000"&amp;190,6),CalcRankKey,0),"")</f>
        <v/>
      </c>
    </row>
    <row r="207">
      <c r="A207" s="26">
        <f>IF($B207="","",191)</f>
        <v/>
      </c>
      <c r="B207" s="26">
        <f>IF($P207="","",IF(INDEX(CalcNormDate,$P207)=0,"",INDEX(CalcNormDate,$P207)))</f>
        <v/>
      </c>
      <c r="C207" s="26">
        <f>IF($P207="","",IF(INDEX(CalcTime,$P207)=0,"",INDEX(CalcTime,$P207)))</f>
        <v/>
      </c>
      <c r="D207" s="26">
        <f>IF($P207="","",IF(INDEX(EntryParty,$P207)=0,"",INDEX(EntryParty,$P207)))</f>
        <v/>
      </c>
      <c r="E207" s="26">
        <f>IF($P207="","",IF(INDEX(EntryPartyName,$P207)=0,"",INDEX(EntryPartyName,$P207)))</f>
        <v/>
      </c>
      <c r="F207" s="26">
        <f>IF($P207="","",IF(INDEX(EntryPartyType,$P207)=0,"",INDEX(EntryPartyType,$P207)))</f>
        <v/>
      </c>
      <c r="G207" s="26">
        <f>IF($P207="","",IF(INDEX(EntryTxnType,$P207)=0,"",INDEX(EntryTxnType,$P207)))</f>
        <v/>
      </c>
      <c r="H207" s="27">
        <f>IF($P207="","",IF(INDEX(EntryDep,$P207)=0,"",INDEX(EntryDep,$P207)))</f>
        <v/>
      </c>
      <c r="I207" s="27">
        <f>IF($P207="","",IF(INDEX(EntryWit,$P207)=0,"",INDEX(EntryWit,$P207)))</f>
        <v/>
      </c>
      <c r="J207" s="27">
        <f>IF($B207="","",IF($A207=1,$C$7,IF(J206="",0,J206))+IF($H207="",0,$H207)-IF($I207="",0,$I207))</f>
        <v/>
      </c>
      <c r="K207" s="27">
        <f>IF($P207="","",IF(INDEX(EntryMan,$P207)=0,"",INDEX(EntryMan,$P207)))</f>
        <v/>
      </c>
      <c r="L207" s="26">
        <f>IF($B207="","",IF($K207="","—",IF(ROUND($K207-$J207,0)=0,"√","×")))</f>
        <v/>
      </c>
      <c r="M207" s="26">
        <f>IF($B207="","",IF(COUNTIFS(EntryDates,$B207,CalcTime,$C207,CalcBank,$C$5,EntryParty,$D207,EntryDep,$H207,EntryWit,$I207)&gt;1,"تکرار",""))</f>
        <v/>
      </c>
      <c r="N207" s="26">
        <f>IF($P207="","",IF(INDEX(EntryNotes,$P207)=0,"",INDEX(EntryNotes,$P207)))</f>
        <v/>
      </c>
      <c r="O207" s="26">
        <f>IF($P207="","",IF(INDEX(EntryTxnID,$P207)=0,"",INDEX(EntryTxnID,$P207)))</f>
        <v/>
      </c>
      <c r="P207" s="26">
        <f>IFERROR(MATCH($C$5&amp;"|"&amp;RIGHT("000000"&amp;191,6),CalcRankKey,0),"")</f>
        <v/>
      </c>
    </row>
    <row r="208">
      <c r="A208" s="28">
        <f>IF($B208="","",192)</f>
        <v/>
      </c>
      <c r="B208" s="28">
        <f>IF($P208="","",IF(INDEX(CalcNormDate,$P208)=0,"",INDEX(CalcNormDate,$P208)))</f>
        <v/>
      </c>
      <c r="C208" s="28">
        <f>IF($P208="","",IF(INDEX(CalcTime,$P208)=0,"",INDEX(CalcTime,$P208)))</f>
        <v/>
      </c>
      <c r="D208" s="28">
        <f>IF($P208="","",IF(INDEX(EntryParty,$P208)=0,"",INDEX(EntryParty,$P208)))</f>
        <v/>
      </c>
      <c r="E208" s="28">
        <f>IF($P208="","",IF(INDEX(EntryPartyName,$P208)=0,"",INDEX(EntryPartyName,$P208)))</f>
        <v/>
      </c>
      <c r="F208" s="28">
        <f>IF($P208="","",IF(INDEX(EntryPartyType,$P208)=0,"",INDEX(EntryPartyType,$P208)))</f>
        <v/>
      </c>
      <c r="G208" s="28">
        <f>IF($P208="","",IF(INDEX(EntryTxnType,$P208)=0,"",INDEX(EntryTxnType,$P208)))</f>
        <v/>
      </c>
      <c r="H208" s="29">
        <f>IF($P208="","",IF(INDEX(EntryDep,$P208)=0,"",INDEX(EntryDep,$P208)))</f>
        <v/>
      </c>
      <c r="I208" s="29">
        <f>IF($P208="","",IF(INDEX(EntryWit,$P208)=0,"",INDEX(EntryWit,$P208)))</f>
        <v/>
      </c>
      <c r="J208" s="29">
        <f>IF($B208="","",IF($A208=1,$C$7,IF(J207="",0,J207))+IF($H208="",0,$H208)-IF($I208="",0,$I208))</f>
        <v/>
      </c>
      <c r="K208" s="29">
        <f>IF($P208="","",IF(INDEX(EntryMan,$P208)=0,"",INDEX(EntryMan,$P208)))</f>
        <v/>
      </c>
      <c r="L208" s="28">
        <f>IF($B208="","",IF($K208="","—",IF(ROUND($K208-$J208,0)=0,"√","×")))</f>
        <v/>
      </c>
      <c r="M208" s="28">
        <f>IF($B208="","",IF(COUNTIFS(EntryDates,$B208,CalcTime,$C208,CalcBank,$C$5,EntryParty,$D208,EntryDep,$H208,EntryWit,$I208)&gt;1,"تکرار",""))</f>
        <v/>
      </c>
      <c r="N208" s="28">
        <f>IF($P208="","",IF(INDEX(EntryNotes,$P208)=0,"",INDEX(EntryNotes,$P208)))</f>
        <v/>
      </c>
      <c r="O208" s="28">
        <f>IF($P208="","",IF(INDEX(EntryTxnID,$P208)=0,"",INDEX(EntryTxnID,$P208)))</f>
        <v/>
      </c>
      <c r="P208" s="28">
        <f>IFERROR(MATCH($C$5&amp;"|"&amp;RIGHT("000000"&amp;192,6),CalcRankKey,0),"")</f>
        <v/>
      </c>
    </row>
    <row r="209">
      <c r="A209" s="26">
        <f>IF($B209="","",193)</f>
        <v/>
      </c>
      <c r="B209" s="26">
        <f>IF($P209="","",IF(INDEX(CalcNormDate,$P209)=0,"",INDEX(CalcNormDate,$P209)))</f>
        <v/>
      </c>
      <c r="C209" s="26">
        <f>IF($P209="","",IF(INDEX(CalcTime,$P209)=0,"",INDEX(CalcTime,$P209)))</f>
        <v/>
      </c>
      <c r="D209" s="26">
        <f>IF($P209="","",IF(INDEX(EntryParty,$P209)=0,"",INDEX(EntryParty,$P209)))</f>
        <v/>
      </c>
      <c r="E209" s="26">
        <f>IF($P209="","",IF(INDEX(EntryPartyName,$P209)=0,"",INDEX(EntryPartyName,$P209)))</f>
        <v/>
      </c>
      <c r="F209" s="26">
        <f>IF($P209="","",IF(INDEX(EntryPartyType,$P209)=0,"",INDEX(EntryPartyType,$P209)))</f>
        <v/>
      </c>
      <c r="G209" s="26">
        <f>IF($P209="","",IF(INDEX(EntryTxnType,$P209)=0,"",INDEX(EntryTxnType,$P209)))</f>
        <v/>
      </c>
      <c r="H209" s="27">
        <f>IF($P209="","",IF(INDEX(EntryDep,$P209)=0,"",INDEX(EntryDep,$P209)))</f>
        <v/>
      </c>
      <c r="I209" s="27">
        <f>IF($P209="","",IF(INDEX(EntryWit,$P209)=0,"",INDEX(EntryWit,$P209)))</f>
        <v/>
      </c>
      <c r="J209" s="27">
        <f>IF($B209="","",IF($A209=1,$C$7,IF(J208="",0,J208))+IF($H209="",0,$H209)-IF($I209="",0,$I209))</f>
        <v/>
      </c>
      <c r="K209" s="27">
        <f>IF($P209="","",IF(INDEX(EntryMan,$P209)=0,"",INDEX(EntryMan,$P209)))</f>
        <v/>
      </c>
      <c r="L209" s="26">
        <f>IF($B209="","",IF($K209="","—",IF(ROUND($K209-$J209,0)=0,"√","×")))</f>
        <v/>
      </c>
      <c r="M209" s="26">
        <f>IF($B209="","",IF(COUNTIFS(EntryDates,$B209,CalcTime,$C209,CalcBank,$C$5,EntryParty,$D209,EntryDep,$H209,EntryWit,$I209)&gt;1,"تکرار",""))</f>
        <v/>
      </c>
      <c r="N209" s="26">
        <f>IF($P209="","",IF(INDEX(EntryNotes,$P209)=0,"",INDEX(EntryNotes,$P209)))</f>
        <v/>
      </c>
      <c r="O209" s="26">
        <f>IF($P209="","",IF(INDEX(EntryTxnID,$P209)=0,"",INDEX(EntryTxnID,$P209)))</f>
        <v/>
      </c>
      <c r="P209" s="26">
        <f>IFERROR(MATCH($C$5&amp;"|"&amp;RIGHT("000000"&amp;193,6),CalcRankKey,0),"")</f>
        <v/>
      </c>
    </row>
    <row r="210">
      <c r="A210" s="28">
        <f>IF($B210="","",194)</f>
        <v/>
      </c>
      <c r="B210" s="28">
        <f>IF($P210="","",IF(INDEX(CalcNormDate,$P210)=0,"",INDEX(CalcNormDate,$P210)))</f>
        <v/>
      </c>
      <c r="C210" s="28">
        <f>IF($P210="","",IF(INDEX(CalcTime,$P210)=0,"",INDEX(CalcTime,$P210)))</f>
        <v/>
      </c>
      <c r="D210" s="28">
        <f>IF($P210="","",IF(INDEX(EntryParty,$P210)=0,"",INDEX(EntryParty,$P210)))</f>
        <v/>
      </c>
      <c r="E210" s="28">
        <f>IF($P210="","",IF(INDEX(EntryPartyName,$P210)=0,"",INDEX(EntryPartyName,$P210)))</f>
        <v/>
      </c>
      <c r="F210" s="28">
        <f>IF($P210="","",IF(INDEX(EntryPartyType,$P210)=0,"",INDEX(EntryPartyType,$P210)))</f>
        <v/>
      </c>
      <c r="G210" s="28">
        <f>IF($P210="","",IF(INDEX(EntryTxnType,$P210)=0,"",INDEX(EntryTxnType,$P210)))</f>
        <v/>
      </c>
      <c r="H210" s="29">
        <f>IF($P210="","",IF(INDEX(EntryDep,$P210)=0,"",INDEX(EntryDep,$P210)))</f>
        <v/>
      </c>
      <c r="I210" s="29">
        <f>IF($P210="","",IF(INDEX(EntryWit,$P210)=0,"",INDEX(EntryWit,$P210)))</f>
        <v/>
      </c>
      <c r="J210" s="29">
        <f>IF($B210="","",IF($A210=1,$C$7,IF(J209="",0,J209))+IF($H210="",0,$H210)-IF($I210="",0,$I210))</f>
        <v/>
      </c>
      <c r="K210" s="29">
        <f>IF($P210="","",IF(INDEX(EntryMan,$P210)=0,"",INDEX(EntryMan,$P210)))</f>
        <v/>
      </c>
      <c r="L210" s="28">
        <f>IF($B210="","",IF($K210="","—",IF(ROUND($K210-$J210,0)=0,"√","×")))</f>
        <v/>
      </c>
      <c r="M210" s="28">
        <f>IF($B210="","",IF(COUNTIFS(EntryDates,$B210,CalcTime,$C210,CalcBank,$C$5,EntryParty,$D210,EntryDep,$H210,EntryWit,$I210)&gt;1,"تکرار",""))</f>
        <v/>
      </c>
      <c r="N210" s="28">
        <f>IF($P210="","",IF(INDEX(EntryNotes,$P210)=0,"",INDEX(EntryNotes,$P210)))</f>
        <v/>
      </c>
      <c r="O210" s="28">
        <f>IF($P210="","",IF(INDEX(EntryTxnID,$P210)=0,"",INDEX(EntryTxnID,$P210)))</f>
        <v/>
      </c>
      <c r="P210" s="28">
        <f>IFERROR(MATCH($C$5&amp;"|"&amp;RIGHT("000000"&amp;194,6),CalcRankKey,0),"")</f>
        <v/>
      </c>
    </row>
    <row r="211">
      <c r="A211" s="26">
        <f>IF($B211="","",195)</f>
        <v/>
      </c>
      <c r="B211" s="26">
        <f>IF($P211="","",IF(INDEX(CalcNormDate,$P211)=0,"",INDEX(CalcNormDate,$P211)))</f>
        <v/>
      </c>
      <c r="C211" s="26">
        <f>IF($P211="","",IF(INDEX(CalcTime,$P211)=0,"",INDEX(CalcTime,$P211)))</f>
        <v/>
      </c>
      <c r="D211" s="26">
        <f>IF($P211="","",IF(INDEX(EntryParty,$P211)=0,"",INDEX(EntryParty,$P211)))</f>
        <v/>
      </c>
      <c r="E211" s="26">
        <f>IF($P211="","",IF(INDEX(EntryPartyName,$P211)=0,"",INDEX(EntryPartyName,$P211)))</f>
        <v/>
      </c>
      <c r="F211" s="26">
        <f>IF($P211="","",IF(INDEX(EntryPartyType,$P211)=0,"",INDEX(EntryPartyType,$P211)))</f>
        <v/>
      </c>
      <c r="G211" s="26">
        <f>IF($P211="","",IF(INDEX(EntryTxnType,$P211)=0,"",INDEX(EntryTxnType,$P211)))</f>
        <v/>
      </c>
      <c r="H211" s="27">
        <f>IF($P211="","",IF(INDEX(EntryDep,$P211)=0,"",INDEX(EntryDep,$P211)))</f>
        <v/>
      </c>
      <c r="I211" s="27">
        <f>IF($P211="","",IF(INDEX(EntryWit,$P211)=0,"",INDEX(EntryWit,$P211)))</f>
        <v/>
      </c>
      <c r="J211" s="27">
        <f>IF($B211="","",IF($A211=1,$C$7,IF(J210="",0,J210))+IF($H211="",0,$H211)-IF($I211="",0,$I211))</f>
        <v/>
      </c>
      <c r="K211" s="27">
        <f>IF($P211="","",IF(INDEX(EntryMan,$P211)=0,"",INDEX(EntryMan,$P211)))</f>
        <v/>
      </c>
      <c r="L211" s="26">
        <f>IF($B211="","",IF($K211="","—",IF(ROUND($K211-$J211,0)=0,"√","×")))</f>
        <v/>
      </c>
      <c r="M211" s="26">
        <f>IF($B211="","",IF(COUNTIFS(EntryDates,$B211,CalcTime,$C211,CalcBank,$C$5,EntryParty,$D211,EntryDep,$H211,EntryWit,$I211)&gt;1,"تکرار",""))</f>
        <v/>
      </c>
      <c r="N211" s="26">
        <f>IF($P211="","",IF(INDEX(EntryNotes,$P211)=0,"",INDEX(EntryNotes,$P211)))</f>
        <v/>
      </c>
      <c r="O211" s="26">
        <f>IF($P211="","",IF(INDEX(EntryTxnID,$P211)=0,"",INDEX(EntryTxnID,$P211)))</f>
        <v/>
      </c>
      <c r="P211" s="26">
        <f>IFERROR(MATCH($C$5&amp;"|"&amp;RIGHT("000000"&amp;195,6),CalcRankKey,0),"")</f>
        <v/>
      </c>
    </row>
    <row r="212">
      <c r="A212" s="28">
        <f>IF($B212="","",196)</f>
        <v/>
      </c>
      <c r="B212" s="28">
        <f>IF($P212="","",IF(INDEX(CalcNormDate,$P212)=0,"",INDEX(CalcNormDate,$P212)))</f>
        <v/>
      </c>
      <c r="C212" s="28">
        <f>IF($P212="","",IF(INDEX(CalcTime,$P212)=0,"",INDEX(CalcTime,$P212)))</f>
        <v/>
      </c>
      <c r="D212" s="28">
        <f>IF($P212="","",IF(INDEX(EntryParty,$P212)=0,"",INDEX(EntryParty,$P212)))</f>
        <v/>
      </c>
      <c r="E212" s="28">
        <f>IF($P212="","",IF(INDEX(EntryPartyName,$P212)=0,"",INDEX(EntryPartyName,$P212)))</f>
        <v/>
      </c>
      <c r="F212" s="28">
        <f>IF($P212="","",IF(INDEX(EntryPartyType,$P212)=0,"",INDEX(EntryPartyType,$P212)))</f>
        <v/>
      </c>
      <c r="G212" s="28">
        <f>IF($P212="","",IF(INDEX(EntryTxnType,$P212)=0,"",INDEX(EntryTxnType,$P212)))</f>
        <v/>
      </c>
      <c r="H212" s="29">
        <f>IF($P212="","",IF(INDEX(EntryDep,$P212)=0,"",INDEX(EntryDep,$P212)))</f>
        <v/>
      </c>
      <c r="I212" s="29">
        <f>IF($P212="","",IF(INDEX(EntryWit,$P212)=0,"",INDEX(EntryWit,$P212)))</f>
        <v/>
      </c>
      <c r="J212" s="29">
        <f>IF($B212="","",IF($A212=1,$C$7,IF(J211="",0,J211))+IF($H212="",0,$H212)-IF($I212="",0,$I212))</f>
        <v/>
      </c>
      <c r="K212" s="29">
        <f>IF($P212="","",IF(INDEX(EntryMan,$P212)=0,"",INDEX(EntryMan,$P212)))</f>
        <v/>
      </c>
      <c r="L212" s="28">
        <f>IF($B212="","",IF($K212="","—",IF(ROUND($K212-$J212,0)=0,"√","×")))</f>
        <v/>
      </c>
      <c r="M212" s="28">
        <f>IF($B212="","",IF(COUNTIFS(EntryDates,$B212,CalcTime,$C212,CalcBank,$C$5,EntryParty,$D212,EntryDep,$H212,EntryWit,$I212)&gt;1,"تکرار",""))</f>
        <v/>
      </c>
      <c r="N212" s="28">
        <f>IF($P212="","",IF(INDEX(EntryNotes,$P212)=0,"",INDEX(EntryNotes,$P212)))</f>
        <v/>
      </c>
      <c r="O212" s="28">
        <f>IF($P212="","",IF(INDEX(EntryTxnID,$P212)=0,"",INDEX(EntryTxnID,$P212)))</f>
        <v/>
      </c>
      <c r="P212" s="28">
        <f>IFERROR(MATCH($C$5&amp;"|"&amp;RIGHT("000000"&amp;196,6),CalcRankKey,0),"")</f>
        <v/>
      </c>
    </row>
    <row r="213">
      <c r="A213" s="26">
        <f>IF($B213="","",197)</f>
        <v/>
      </c>
      <c r="B213" s="26">
        <f>IF($P213="","",IF(INDEX(CalcNormDate,$P213)=0,"",INDEX(CalcNormDate,$P213)))</f>
        <v/>
      </c>
      <c r="C213" s="26">
        <f>IF($P213="","",IF(INDEX(CalcTime,$P213)=0,"",INDEX(CalcTime,$P213)))</f>
        <v/>
      </c>
      <c r="D213" s="26">
        <f>IF($P213="","",IF(INDEX(EntryParty,$P213)=0,"",INDEX(EntryParty,$P213)))</f>
        <v/>
      </c>
      <c r="E213" s="26">
        <f>IF($P213="","",IF(INDEX(EntryPartyName,$P213)=0,"",INDEX(EntryPartyName,$P213)))</f>
        <v/>
      </c>
      <c r="F213" s="26">
        <f>IF($P213="","",IF(INDEX(EntryPartyType,$P213)=0,"",INDEX(EntryPartyType,$P213)))</f>
        <v/>
      </c>
      <c r="G213" s="26">
        <f>IF($P213="","",IF(INDEX(EntryTxnType,$P213)=0,"",INDEX(EntryTxnType,$P213)))</f>
        <v/>
      </c>
      <c r="H213" s="27">
        <f>IF($P213="","",IF(INDEX(EntryDep,$P213)=0,"",INDEX(EntryDep,$P213)))</f>
        <v/>
      </c>
      <c r="I213" s="27">
        <f>IF($P213="","",IF(INDEX(EntryWit,$P213)=0,"",INDEX(EntryWit,$P213)))</f>
        <v/>
      </c>
      <c r="J213" s="27">
        <f>IF($B213="","",IF($A213=1,$C$7,IF(J212="",0,J212))+IF($H213="",0,$H213)-IF($I213="",0,$I213))</f>
        <v/>
      </c>
      <c r="K213" s="27">
        <f>IF($P213="","",IF(INDEX(EntryMan,$P213)=0,"",INDEX(EntryMan,$P213)))</f>
        <v/>
      </c>
      <c r="L213" s="26">
        <f>IF($B213="","",IF($K213="","—",IF(ROUND($K213-$J213,0)=0,"√","×")))</f>
        <v/>
      </c>
      <c r="M213" s="26">
        <f>IF($B213="","",IF(COUNTIFS(EntryDates,$B213,CalcTime,$C213,CalcBank,$C$5,EntryParty,$D213,EntryDep,$H213,EntryWit,$I213)&gt;1,"تکرار",""))</f>
        <v/>
      </c>
      <c r="N213" s="26">
        <f>IF($P213="","",IF(INDEX(EntryNotes,$P213)=0,"",INDEX(EntryNotes,$P213)))</f>
        <v/>
      </c>
      <c r="O213" s="26">
        <f>IF($P213="","",IF(INDEX(EntryTxnID,$P213)=0,"",INDEX(EntryTxnID,$P213)))</f>
        <v/>
      </c>
      <c r="P213" s="26">
        <f>IFERROR(MATCH($C$5&amp;"|"&amp;RIGHT("000000"&amp;197,6),CalcRankKey,0),"")</f>
        <v/>
      </c>
    </row>
    <row r="214">
      <c r="A214" s="28">
        <f>IF($B214="","",198)</f>
        <v/>
      </c>
      <c r="B214" s="28">
        <f>IF($P214="","",IF(INDEX(CalcNormDate,$P214)=0,"",INDEX(CalcNormDate,$P214)))</f>
        <v/>
      </c>
      <c r="C214" s="28">
        <f>IF($P214="","",IF(INDEX(CalcTime,$P214)=0,"",INDEX(CalcTime,$P214)))</f>
        <v/>
      </c>
      <c r="D214" s="28">
        <f>IF($P214="","",IF(INDEX(EntryParty,$P214)=0,"",INDEX(EntryParty,$P214)))</f>
        <v/>
      </c>
      <c r="E214" s="28">
        <f>IF($P214="","",IF(INDEX(EntryPartyName,$P214)=0,"",INDEX(EntryPartyName,$P214)))</f>
        <v/>
      </c>
      <c r="F214" s="28">
        <f>IF($P214="","",IF(INDEX(EntryPartyType,$P214)=0,"",INDEX(EntryPartyType,$P214)))</f>
        <v/>
      </c>
      <c r="G214" s="28">
        <f>IF($P214="","",IF(INDEX(EntryTxnType,$P214)=0,"",INDEX(EntryTxnType,$P214)))</f>
        <v/>
      </c>
      <c r="H214" s="29">
        <f>IF($P214="","",IF(INDEX(EntryDep,$P214)=0,"",INDEX(EntryDep,$P214)))</f>
        <v/>
      </c>
      <c r="I214" s="29">
        <f>IF($P214="","",IF(INDEX(EntryWit,$P214)=0,"",INDEX(EntryWit,$P214)))</f>
        <v/>
      </c>
      <c r="J214" s="29">
        <f>IF($B214="","",IF($A214=1,$C$7,IF(J213="",0,J213))+IF($H214="",0,$H214)-IF($I214="",0,$I214))</f>
        <v/>
      </c>
      <c r="K214" s="29">
        <f>IF($P214="","",IF(INDEX(EntryMan,$P214)=0,"",INDEX(EntryMan,$P214)))</f>
        <v/>
      </c>
      <c r="L214" s="28">
        <f>IF($B214="","",IF($K214="","—",IF(ROUND($K214-$J214,0)=0,"√","×")))</f>
        <v/>
      </c>
      <c r="M214" s="28">
        <f>IF($B214="","",IF(COUNTIFS(EntryDates,$B214,CalcTime,$C214,CalcBank,$C$5,EntryParty,$D214,EntryDep,$H214,EntryWit,$I214)&gt;1,"تکرار",""))</f>
        <v/>
      </c>
      <c r="N214" s="28">
        <f>IF($P214="","",IF(INDEX(EntryNotes,$P214)=0,"",INDEX(EntryNotes,$P214)))</f>
        <v/>
      </c>
      <c r="O214" s="28">
        <f>IF($P214="","",IF(INDEX(EntryTxnID,$P214)=0,"",INDEX(EntryTxnID,$P214)))</f>
        <v/>
      </c>
      <c r="P214" s="28">
        <f>IFERROR(MATCH($C$5&amp;"|"&amp;RIGHT("000000"&amp;198,6),CalcRankKey,0),"")</f>
        <v/>
      </c>
    </row>
    <row r="215">
      <c r="A215" s="26">
        <f>IF($B215="","",199)</f>
        <v/>
      </c>
      <c r="B215" s="26">
        <f>IF($P215="","",IF(INDEX(CalcNormDate,$P215)=0,"",INDEX(CalcNormDate,$P215)))</f>
        <v/>
      </c>
      <c r="C215" s="26">
        <f>IF($P215="","",IF(INDEX(CalcTime,$P215)=0,"",INDEX(CalcTime,$P215)))</f>
        <v/>
      </c>
      <c r="D215" s="26">
        <f>IF($P215="","",IF(INDEX(EntryParty,$P215)=0,"",INDEX(EntryParty,$P215)))</f>
        <v/>
      </c>
      <c r="E215" s="26">
        <f>IF($P215="","",IF(INDEX(EntryPartyName,$P215)=0,"",INDEX(EntryPartyName,$P215)))</f>
        <v/>
      </c>
      <c r="F215" s="26">
        <f>IF($P215="","",IF(INDEX(EntryPartyType,$P215)=0,"",INDEX(EntryPartyType,$P215)))</f>
        <v/>
      </c>
      <c r="G215" s="26">
        <f>IF($P215="","",IF(INDEX(EntryTxnType,$P215)=0,"",INDEX(EntryTxnType,$P215)))</f>
        <v/>
      </c>
      <c r="H215" s="27">
        <f>IF($P215="","",IF(INDEX(EntryDep,$P215)=0,"",INDEX(EntryDep,$P215)))</f>
        <v/>
      </c>
      <c r="I215" s="27">
        <f>IF($P215="","",IF(INDEX(EntryWit,$P215)=0,"",INDEX(EntryWit,$P215)))</f>
        <v/>
      </c>
      <c r="J215" s="27">
        <f>IF($B215="","",IF($A215=1,$C$7,IF(J214="",0,J214))+IF($H215="",0,$H215)-IF($I215="",0,$I215))</f>
        <v/>
      </c>
      <c r="K215" s="27">
        <f>IF($P215="","",IF(INDEX(EntryMan,$P215)=0,"",INDEX(EntryMan,$P215)))</f>
        <v/>
      </c>
      <c r="L215" s="26">
        <f>IF($B215="","",IF($K215="","—",IF(ROUND($K215-$J215,0)=0,"√","×")))</f>
        <v/>
      </c>
      <c r="M215" s="26">
        <f>IF($B215="","",IF(COUNTIFS(EntryDates,$B215,CalcTime,$C215,CalcBank,$C$5,EntryParty,$D215,EntryDep,$H215,EntryWit,$I215)&gt;1,"تکرار",""))</f>
        <v/>
      </c>
      <c r="N215" s="26">
        <f>IF($P215="","",IF(INDEX(EntryNotes,$P215)=0,"",INDEX(EntryNotes,$P215)))</f>
        <v/>
      </c>
      <c r="O215" s="26">
        <f>IF($P215="","",IF(INDEX(EntryTxnID,$P215)=0,"",INDEX(EntryTxnID,$P215)))</f>
        <v/>
      </c>
      <c r="P215" s="26">
        <f>IFERROR(MATCH($C$5&amp;"|"&amp;RIGHT("000000"&amp;199,6),CalcRankKey,0),"")</f>
        <v/>
      </c>
    </row>
    <row r="216">
      <c r="A216" s="28">
        <f>IF($B216="","",200)</f>
        <v/>
      </c>
      <c r="B216" s="28">
        <f>IF($P216="","",IF(INDEX(CalcNormDate,$P216)=0,"",INDEX(CalcNormDate,$P216)))</f>
        <v/>
      </c>
      <c r="C216" s="28">
        <f>IF($P216="","",IF(INDEX(CalcTime,$P216)=0,"",INDEX(CalcTime,$P216)))</f>
        <v/>
      </c>
      <c r="D216" s="28">
        <f>IF($P216="","",IF(INDEX(EntryParty,$P216)=0,"",INDEX(EntryParty,$P216)))</f>
        <v/>
      </c>
      <c r="E216" s="28">
        <f>IF($P216="","",IF(INDEX(EntryPartyName,$P216)=0,"",INDEX(EntryPartyName,$P216)))</f>
        <v/>
      </c>
      <c r="F216" s="28">
        <f>IF($P216="","",IF(INDEX(EntryPartyType,$P216)=0,"",INDEX(EntryPartyType,$P216)))</f>
        <v/>
      </c>
      <c r="G216" s="28">
        <f>IF($P216="","",IF(INDEX(EntryTxnType,$P216)=0,"",INDEX(EntryTxnType,$P216)))</f>
        <v/>
      </c>
      <c r="H216" s="29">
        <f>IF($P216="","",IF(INDEX(EntryDep,$P216)=0,"",INDEX(EntryDep,$P216)))</f>
        <v/>
      </c>
      <c r="I216" s="29">
        <f>IF($P216="","",IF(INDEX(EntryWit,$P216)=0,"",INDEX(EntryWit,$P216)))</f>
        <v/>
      </c>
      <c r="J216" s="29">
        <f>IF($B216="","",IF($A216=1,$C$7,IF(J215="",0,J215))+IF($H216="",0,$H216)-IF($I216="",0,$I216))</f>
        <v/>
      </c>
      <c r="K216" s="29">
        <f>IF($P216="","",IF(INDEX(EntryMan,$P216)=0,"",INDEX(EntryMan,$P216)))</f>
        <v/>
      </c>
      <c r="L216" s="28">
        <f>IF($B216="","",IF($K216="","—",IF(ROUND($K216-$J216,0)=0,"√","×")))</f>
        <v/>
      </c>
      <c r="M216" s="28">
        <f>IF($B216="","",IF(COUNTIFS(EntryDates,$B216,CalcTime,$C216,CalcBank,$C$5,EntryParty,$D216,EntryDep,$H216,EntryWit,$I216)&gt;1,"تکرار",""))</f>
        <v/>
      </c>
      <c r="N216" s="28">
        <f>IF($P216="","",IF(INDEX(EntryNotes,$P216)=0,"",INDEX(EntryNotes,$P216)))</f>
        <v/>
      </c>
      <c r="O216" s="28">
        <f>IF($P216="","",IF(INDEX(EntryTxnID,$P216)=0,"",INDEX(EntryTxnID,$P216)))</f>
        <v/>
      </c>
      <c r="P216" s="28">
        <f>IFERROR(MATCH($C$5&amp;"|"&amp;RIGHT("000000"&amp;200,6),CalcRankKey,0),"")</f>
        <v/>
      </c>
    </row>
    <row r="217">
      <c r="A217" s="26">
        <f>IF($B217="","",201)</f>
        <v/>
      </c>
      <c r="B217" s="26">
        <f>IF($P217="","",IF(INDEX(CalcNormDate,$P217)=0,"",INDEX(CalcNormDate,$P217)))</f>
        <v/>
      </c>
      <c r="C217" s="26">
        <f>IF($P217="","",IF(INDEX(CalcTime,$P217)=0,"",INDEX(CalcTime,$P217)))</f>
        <v/>
      </c>
      <c r="D217" s="26">
        <f>IF($P217="","",IF(INDEX(EntryParty,$P217)=0,"",INDEX(EntryParty,$P217)))</f>
        <v/>
      </c>
      <c r="E217" s="26">
        <f>IF($P217="","",IF(INDEX(EntryPartyName,$P217)=0,"",INDEX(EntryPartyName,$P217)))</f>
        <v/>
      </c>
      <c r="F217" s="26">
        <f>IF($P217="","",IF(INDEX(EntryPartyType,$P217)=0,"",INDEX(EntryPartyType,$P217)))</f>
        <v/>
      </c>
      <c r="G217" s="26">
        <f>IF($P217="","",IF(INDEX(EntryTxnType,$P217)=0,"",INDEX(EntryTxnType,$P217)))</f>
        <v/>
      </c>
      <c r="H217" s="27">
        <f>IF($P217="","",IF(INDEX(EntryDep,$P217)=0,"",INDEX(EntryDep,$P217)))</f>
        <v/>
      </c>
      <c r="I217" s="27">
        <f>IF($P217="","",IF(INDEX(EntryWit,$P217)=0,"",INDEX(EntryWit,$P217)))</f>
        <v/>
      </c>
      <c r="J217" s="27">
        <f>IF($B217="","",IF($A217=1,$C$7,IF(J216="",0,J216))+IF($H217="",0,$H217)-IF($I217="",0,$I217))</f>
        <v/>
      </c>
      <c r="K217" s="27">
        <f>IF($P217="","",IF(INDEX(EntryMan,$P217)=0,"",INDEX(EntryMan,$P217)))</f>
        <v/>
      </c>
      <c r="L217" s="26">
        <f>IF($B217="","",IF($K217="","—",IF(ROUND($K217-$J217,0)=0,"√","×")))</f>
        <v/>
      </c>
      <c r="M217" s="26">
        <f>IF($B217="","",IF(COUNTIFS(EntryDates,$B217,CalcTime,$C217,CalcBank,$C$5,EntryParty,$D217,EntryDep,$H217,EntryWit,$I217)&gt;1,"تکرار",""))</f>
        <v/>
      </c>
      <c r="N217" s="26">
        <f>IF($P217="","",IF(INDEX(EntryNotes,$P217)=0,"",INDEX(EntryNotes,$P217)))</f>
        <v/>
      </c>
      <c r="O217" s="26">
        <f>IF($P217="","",IF(INDEX(EntryTxnID,$P217)=0,"",INDEX(EntryTxnID,$P217)))</f>
        <v/>
      </c>
      <c r="P217" s="26">
        <f>IFERROR(MATCH($C$5&amp;"|"&amp;RIGHT("000000"&amp;201,6),CalcRankKey,0),"")</f>
        <v/>
      </c>
    </row>
    <row r="218">
      <c r="A218" s="28">
        <f>IF($B218="","",202)</f>
        <v/>
      </c>
      <c r="B218" s="28">
        <f>IF($P218="","",IF(INDEX(CalcNormDate,$P218)=0,"",INDEX(CalcNormDate,$P218)))</f>
        <v/>
      </c>
      <c r="C218" s="28">
        <f>IF($P218="","",IF(INDEX(CalcTime,$P218)=0,"",INDEX(CalcTime,$P218)))</f>
        <v/>
      </c>
      <c r="D218" s="28">
        <f>IF($P218="","",IF(INDEX(EntryParty,$P218)=0,"",INDEX(EntryParty,$P218)))</f>
        <v/>
      </c>
      <c r="E218" s="28">
        <f>IF($P218="","",IF(INDEX(EntryPartyName,$P218)=0,"",INDEX(EntryPartyName,$P218)))</f>
        <v/>
      </c>
      <c r="F218" s="28">
        <f>IF($P218="","",IF(INDEX(EntryPartyType,$P218)=0,"",INDEX(EntryPartyType,$P218)))</f>
        <v/>
      </c>
      <c r="G218" s="28">
        <f>IF($P218="","",IF(INDEX(EntryTxnType,$P218)=0,"",INDEX(EntryTxnType,$P218)))</f>
        <v/>
      </c>
      <c r="H218" s="29">
        <f>IF($P218="","",IF(INDEX(EntryDep,$P218)=0,"",INDEX(EntryDep,$P218)))</f>
        <v/>
      </c>
      <c r="I218" s="29">
        <f>IF($P218="","",IF(INDEX(EntryWit,$P218)=0,"",INDEX(EntryWit,$P218)))</f>
        <v/>
      </c>
      <c r="J218" s="29">
        <f>IF($B218="","",IF($A218=1,$C$7,IF(J217="",0,J217))+IF($H218="",0,$H218)-IF($I218="",0,$I218))</f>
        <v/>
      </c>
      <c r="K218" s="29">
        <f>IF($P218="","",IF(INDEX(EntryMan,$P218)=0,"",INDEX(EntryMan,$P218)))</f>
        <v/>
      </c>
      <c r="L218" s="28">
        <f>IF($B218="","",IF($K218="","—",IF(ROUND($K218-$J218,0)=0,"√","×")))</f>
        <v/>
      </c>
      <c r="M218" s="28">
        <f>IF($B218="","",IF(COUNTIFS(EntryDates,$B218,CalcTime,$C218,CalcBank,$C$5,EntryParty,$D218,EntryDep,$H218,EntryWit,$I218)&gt;1,"تکرار",""))</f>
        <v/>
      </c>
      <c r="N218" s="28">
        <f>IF($P218="","",IF(INDEX(EntryNotes,$P218)=0,"",INDEX(EntryNotes,$P218)))</f>
        <v/>
      </c>
      <c r="O218" s="28">
        <f>IF($P218="","",IF(INDEX(EntryTxnID,$P218)=0,"",INDEX(EntryTxnID,$P218)))</f>
        <v/>
      </c>
      <c r="P218" s="28">
        <f>IFERROR(MATCH($C$5&amp;"|"&amp;RIGHT("000000"&amp;202,6),CalcRankKey,0),"")</f>
        <v/>
      </c>
    </row>
    <row r="219">
      <c r="A219" s="26">
        <f>IF($B219="","",203)</f>
        <v/>
      </c>
      <c r="B219" s="26">
        <f>IF($P219="","",IF(INDEX(CalcNormDate,$P219)=0,"",INDEX(CalcNormDate,$P219)))</f>
        <v/>
      </c>
      <c r="C219" s="26">
        <f>IF($P219="","",IF(INDEX(CalcTime,$P219)=0,"",INDEX(CalcTime,$P219)))</f>
        <v/>
      </c>
      <c r="D219" s="26">
        <f>IF($P219="","",IF(INDEX(EntryParty,$P219)=0,"",INDEX(EntryParty,$P219)))</f>
        <v/>
      </c>
      <c r="E219" s="26">
        <f>IF($P219="","",IF(INDEX(EntryPartyName,$P219)=0,"",INDEX(EntryPartyName,$P219)))</f>
        <v/>
      </c>
      <c r="F219" s="26">
        <f>IF($P219="","",IF(INDEX(EntryPartyType,$P219)=0,"",INDEX(EntryPartyType,$P219)))</f>
        <v/>
      </c>
      <c r="G219" s="26">
        <f>IF($P219="","",IF(INDEX(EntryTxnType,$P219)=0,"",INDEX(EntryTxnType,$P219)))</f>
        <v/>
      </c>
      <c r="H219" s="27">
        <f>IF($P219="","",IF(INDEX(EntryDep,$P219)=0,"",INDEX(EntryDep,$P219)))</f>
        <v/>
      </c>
      <c r="I219" s="27">
        <f>IF($P219="","",IF(INDEX(EntryWit,$P219)=0,"",INDEX(EntryWit,$P219)))</f>
        <v/>
      </c>
      <c r="J219" s="27">
        <f>IF($B219="","",IF($A219=1,$C$7,IF(J218="",0,J218))+IF($H219="",0,$H219)-IF($I219="",0,$I219))</f>
        <v/>
      </c>
      <c r="K219" s="27">
        <f>IF($P219="","",IF(INDEX(EntryMan,$P219)=0,"",INDEX(EntryMan,$P219)))</f>
        <v/>
      </c>
      <c r="L219" s="26">
        <f>IF($B219="","",IF($K219="","—",IF(ROUND($K219-$J219,0)=0,"√","×")))</f>
        <v/>
      </c>
      <c r="M219" s="26">
        <f>IF($B219="","",IF(COUNTIFS(EntryDates,$B219,CalcTime,$C219,CalcBank,$C$5,EntryParty,$D219,EntryDep,$H219,EntryWit,$I219)&gt;1,"تکرار",""))</f>
        <v/>
      </c>
      <c r="N219" s="26">
        <f>IF($P219="","",IF(INDEX(EntryNotes,$P219)=0,"",INDEX(EntryNotes,$P219)))</f>
        <v/>
      </c>
      <c r="O219" s="26">
        <f>IF($P219="","",IF(INDEX(EntryTxnID,$P219)=0,"",INDEX(EntryTxnID,$P219)))</f>
        <v/>
      </c>
      <c r="P219" s="26">
        <f>IFERROR(MATCH($C$5&amp;"|"&amp;RIGHT("000000"&amp;203,6),CalcRankKey,0),"")</f>
        <v/>
      </c>
    </row>
    <row r="220">
      <c r="A220" s="28">
        <f>IF($B220="","",204)</f>
        <v/>
      </c>
      <c r="B220" s="28">
        <f>IF($P220="","",IF(INDEX(CalcNormDate,$P220)=0,"",INDEX(CalcNormDate,$P220)))</f>
        <v/>
      </c>
      <c r="C220" s="28">
        <f>IF($P220="","",IF(INDEX(CalcTime,$P220)=0,"",INDEX(CalcTime,$P220)))</f>
        <v/>
      </c>
      <c r="D220" s="28">
        <f>IF($P220="","",IF(INDEX(EntryParty,$P220)=0,"",INDEX(EntryParty,$P220)))</f>
        <v/>
      </c>
      <c r="E220" s="28">
        <f>IF($P220="","",IF(INDEX(EntryPartyName,$P220)=0,"",INDEX(EntryPartyName,$P220)))</f>
        <v/>
      </c>
      <c r="F220" s="28">
        <f>IF($P220="","",IF(INDEX(EntryPartyType,$P220)=0,"",INDEX(EntryPartyType,$P220)))</f>
        <v/>
      </c>
      <c r="G220" s="28">
        <f>IF($P220="","",IF(INDEX(EntryTxnType,$P220)=0,"",INDEX(EntryTxnType,$P220)))</f>
        <v/>
      </c>
      <c r="H220" s="29">
        <f>IF($P220="","",IF(INDEX(EntryDep,$P220)=0,"",INDEX(EntryDep,$P220)))</f>
        <v/>
      </c>
      <c r="I220" s="29">
        <f>IF($P220="","",IF(INDEX(EntryWit,$P220)=0,"",INDEX(EntryWit,$P220)))</f>
        <v/>
      </c>
      <c r="J220" s="29">
        <f>IF($B220="","",IF($A220=1,$C$7,IF(J219="",0,J219))+IF($H220="",0,$H220)-IF($I220="",0,$I220))</f>
        <v/>
      </c>
      <c r="K220" s="29">
        <f>IF($P220="","",IF(INDEX(EntryMan,$P220)=0,"",INDEX(EntryMan,$P220)))</f>
        <v/>
      </c>
      <c r="L220" s="28">
        <f>IF($B220="","",IF($K220="","—",IF(ROUND($K220-$J220,0)=0,"√","×")))</f>
        <v/>
      </c>
      <c r="M220" s="28">
        <f>IF($B220="","",IF(COUNTIFS(EntryDates,$B220,CalcTime,$C220,CalcBank,$C$5,EntryParty,$D220,EntryDep,$H220,EntryWit,$I220)&gt;1,"تکرار",""))</f>
        <v/>
      </c>
      <c r="N220" s="28">
        <f>IF($P220="","",IF(INDEX(EntryNotes,$P220)=0,"",INDEX(EntryNotes,$P220)))</f>
        <v/>
      </c>
      <c r="O220" s="28">
        <f>IF($P220="","",IF(INDEX(EntryTxnID,$P220)=0,"",INDEX(EntryTxnID,$P220)))</f>
        <v/>
      </c>
      <c r="P220" s="28">
        <f>IFERROR(MATCH($C$5&amp;"|"&amp;RIGHT("000000"&amp;204,6),CalcRankKey,0),"")</f>
        <v/>
      </c>
    </row>
    <row r="221">
      <c r="A221" s="26">
        <f>IF($B221="","",205)</f>
        <v/>
      </c>
      <c r="B221" s="26">
        <f>IF($P221="","",IF(INDEX(CalcNormDate,$P221)=0,"",INDEX(CalcNormDate,$P221)))</f>
        <v/>
      </c>
      <c r="C221" s="26">
        <f>IF($P221="","",IF(INDEX(CalcTime,$P221)=0,"",INDEX(CalcTime,$P221)))</f>
        <v/>
      </c>
      <c r="D221" s="26">
        <f>IF($P221="","",IF(INDEX(EntryParty,$P221)=0,"",INDEX(EntryParty,$P221)))</f>
        <v/>
      </c>
      <c r="E221" s="26">
        <f>IF($P221="","",IF(INDEX(EntryPartyName,$P221)=0,"",INDEX(EntryPartyName,$P221)))</f>
        <v/>
      </c>
      <c r="F221" s="26">
        <f>IF($P221="","",IF(INDEX(EntryPartyType,$P221)=0,"",INDEX(EntryPartyType,$P221)))</f>
        <v/>
      </c>
      <c r="G221" s="26">
        <f>IF($P221="","",IF(INDEX(EntryTxnType,$P221)=0,"",INDEX(EntryTxnType,$P221)))</f>
        <v/>
      </c>
      <c r="H221" s="27">
        <f>IF($P221="","",IF(INDEX(EntryDep,$P221)=0,"",INDEX(EntryDep,$P221)))</f>
        <v/>
      </c>
      <c r="I221" s="27">
        <f>IF($P221="","",IF(INDEX(EntryWit,$P221)=0,"",INDEX(EntryWit,$P221)))</f>
        <v/>
      </c>
      <c r="J221" s="27">
        <f>IF($B221="","",IF($A221=1,$C$7,IF(J220="",0,J220))+IF($H221="",0,$H221)-IF($I221="",0,$I221))</f>
        <v/>
      </c>
      <c r="K221" s="27">
        <f>IF($P221="","",IF(INDEX(EntryMan,$P221)=0,"",INDEX(EntryMan,$P221)))</f>
        <v/>
      </c>
      <c r="L221" s="26">
        <f>IF($B221="","",IF($K221="","—",IF(ROUND($K221-$J221,0)=0,"√","×")))</f>
        <v/>
      </c>
      <c r="M221" s="26">
        <f>IF($B221="","",IF(COUNTIFS(EntryDates,$B221,CalcTime,$C221,CalcBank,$C$5,EntryParty,$D221,EntryDep,$H221,EntryWit,$I221)&gt;1,"تکرار",""))</f>
        <v/>
      </c>
      <c r="N221" s="26">
        <f>IF($P221="","",IF(INDEX(EntryNotes,$P221)=0,"",INDEX(EntryNotes,$P221)))</f>
        <v/>
      </c>
      <c r="O221" s="26">
        <f>IF($P221="","",IF(INDEX(EntryTxnID,$P221)=0,"",INDEX(EntryTxnID,$P221)))</f>
        <v/>
      </c>
      <c r="P221" s="26">
        <f>IFERROR(MATCH($C$5&amp;"|"&amp;RIGHT("000000"&amp;205,6),CalcRankKey,0),"")</f>
        <v/>
      </c>
    </row>
    <row r="222">
      <c r="A222" s="28">
        <f>IF($B222="","",206)</f>
        <v/>
      </c>
      <c r="B222" s="28">
        <f>IF($P222="","",IF(INDEX(CalcNormDate,$P222)=0,"",INDEX(CalcNormDate,$P222)))</f>
        <v/>
      </c>
      <c r="C222" s="28">
        <f>IF($P222="","",IF(INDEX(CalcTime,$P222)=0,"",INDEX(CalcTime,$P222)))</f>
        <v/>
      </c>
      <c r="D222" s="28">
        <f>IF($P222="","",IF(INDEX(EntryParty,$P222)=0,"",INDEX(EntryParty,$P222)))</f>
        <v/>
      </c>
      <c r="E222" s="28">
        <f>IF($P222="","",IF(INDEX(EntryPartyName,$P222)=0,"",INDEX(EntryPartyName,$P222)))</f>
        <v/>
      </c>
      <c r="F222" s="28">
        <f>IF($P222="","",IF(INDEX(EntryPartyType,$P222)=0,"",INDEX(EntryPartyType,$P222)))</f>
        <v/>
      </c>
      <c r="G222" s="28">
        <f>IF($P222="","",IF(INDEX(EntryTxnType,$P222)=0,"",INDEX(EntryTxnType,$P222)))</f>
        <v/>
      </c>
      <c r="H222" s="29">
        <f>IF($P222="","",IF(INDEX(EntryDep,$P222)=0,"",INDEX(EntryDep,$P222)))</f>
        <v/>
      </c>
      <c r="I222" s="29">
        <f>IF($P222="","",IF(INDEX(EntryWit,$P222)=0,"",INDEX(EntryWit,$P222)))</f>
        <v/>
      </c>
      <c r="J222" s="29">
        <f>IF($B222="","",IF($A222=1,$C$7,IF(J221="",0,J221))+IF($H222="",0,$H222)-IF($I222="",0,$I222))</f>
        <v/>
      </c>
      <c r="K222" s="29">
        <f>IF($P222="","",IF(INDEX(EntryMan,$P222)=0,"",INDEX(EntryMan,$P222)))</f>
        <v/>
      </c>
      <c r="L222" s="28">
        <f>IF($B222="","",IF($K222="","—",IF(ROUND($K222-$J222,0)=0,"√","×")))</f>
        <v/>
      </c>
      <c r="M222" s="28">
        <f>IF($B222="","",IF(COUNTIFS(EntryDates,$B222,CalcTime,$C222,CalcBank,$C$5,EntryParty,$D222,EntryDep,$H222,EntryWit,$I222)&gt;1,"تکرار",""))</f>
        <v/>
      </c>
      <c r="N222" s="28">
        <f>IF($P222="","",IF(INDEX(EntryNotes,$P222)=0,"",INDEX(EntryNotes,$P222)))</f>
        <v/>
      </c>
      <c r="O222" s="28">
        <f>IF($P222="","",IF(INDEX(EntryTxnID,$P222)=0,"",INDEX(EntryTxnID,$P222)))</f>
        <v/>
      </c>
      <c r="P222" s="28">
        <f>IFERROR(MATCH($C$5&amp;"|"&amp;RIGHT("000000"&amp;206,6),CalcRankKey,0),"")</f>
        <v/>
      </c>
    </row>
    <row r="223">
      <c r="A223" s="26">
        <f>IF($B223="","",207)</f>
        <v/>
      </c>
      <c r="B223" s="26">
        <f>IF($P223="","",IF(INDEX(CalcNormDate,$P223)=0,"",INDEX(CalcNormDate,$P223)))</f>
        <v/>
      </c>
      <c r="C223" s="26">
        <f>IF($P223="","",IF(INDEX(CalcTime,$P223)=0,"",INDEX(CalcTime,$P223)))</f>
        <v/>
      </c>
      <c r="D223" s="26">
        <f>IF($P223="","",IF(INDEX(EntryParty,$P223)=0,"",INDEX(EntryParty,$P223)))</f>
        <v/>
      </c>
      <c r="E223" s="26">
        <f>IF($P223="","",IF(INDEX(EntryPartyName,$P223)=0,"",INDEX(EntryPartyName,$P223)))</f>
        <v/>
      </c>
      <c r="F223" s="26">
        <f>IF($P223="","",IF(INDEX(EntryPartyType,$P223)=0,"",INDEX(EntryPartyType,$P223)))</f>
        <v/>
      </c>
      <c r="G223" s="26">
        <f>IF($P223="","",IF(INDEX(EntryTxnType,$P223)=0,"",INDEX(EntryTxnType,$P223)))</f>
        <v/>
      </c>
      <c r="H223" s="27">
        <f>IF($P223="","",IF(INDEX(EntryDep,$P223)=0,"",INDEX(EntryDep,$P223)))</f>
        <v/>
      </c>
      <c r="I223" s="27">
        <f>IF($P223="","",IF(INDEX(EntryWit,$P223)=0,"",INDEX(EntryWit,$P223)))</f>
        <v/>
      </c>
      <c r="J223" s="27">
        <f>IF($B223="","",IF($A223=1,$C$7,IF(J222="",0,J222))+IF($H223="",0,$H223)-IF($I223="",0,$I223))</f>
        <v/>
      </c>
      <c r="K223" s="27">
        <f>IF($P223="","",IF(INDEX(EntryMan,$P223)=0,"",INDEX(EntryMan,$P223)))</f>
        <v/>
      </c>
      <c r="L223" s="26">
        <f>IF($B223="","",IF($K223="","—",IF(ROUND($K223-$J223,0)=0,"√","×")))</f>
        <v/>
      </c>
      <c r="M223" s="26">
        <f>IF($B223="","",IF(COUNTIFS(EntryDates,$B223,CalcTime,$C223,CalcBank,$C$5,EntryParty,$D223,EntryDep,$H223,EntryWit,$I223)&gt;1,"تکرار",""))</f>
        <v/>
      </c>
      <c r="N223" s="26">
        <f>IF($P223="","",IF(INDEX(EntryNotes,$P223)=0,"",INDEX(EntryNotes,$P223)))</f>
        <v/>
      </c>
      <c r="O223" s="26">
        <f>IF($P223="","",IF(INDEX(EntryTxnID,$P223)=0,"",INDEX(EntryTxnID,$P223)))</f>
        <v/>
      </c>
      <c r="P223" s="26">
        <f>IFERROR(MATCH($C$5&amp;"|"&amp;RIGHT("000000"&amp;207,6),CalcRankKey,0),"")</f>
        <v/>
      </c>
    </row>
    <row r="224">
      <c r="A224" s="28">
        <f>IF($B224="","",208)</f>
        <v/>
      </c>
      <c r="B224" s="28">
        <f>IF($P224="","",IF(INDEX(CalcNormDate,$P224)=0,"",INDEX(CalcNormDate,$P224)))</f>
        <v/>
      </c>
      <c r="C224" s="28">
        <f>IF($P224="","",IF(INDEX(CalcTime,$P224)=0,"",INDEX(CalcTime,$P224)))</f>
        <v/>
      </c>
      <c r="D224" s="28">
        <f>IF($P224="","",IF(INDEX(EntryParty,$P224)=0,"",INDEX(EntryParty,$P224)))</f>
        <v/>
      </c>
      <c r="E224" s="28">
        <f>IF($P224="","",IF(INDEX(EntryPartyName,$P224)=0,"",INDEX(EntryPartyName,$P224)))</f>
        <v/>
      </c>
      <c r="F224" s="28">
        <f>IF($P224="","",IF(INDEX(EntryPartyType,$P224)=0,"",INDEX(EntryPartyType,$P224)))</f>
        <v/>
      </c>
      <c r="G224" s="28">
        <f>IF($P224="","",IF(INDEX(EntryTxnType,$P224)=0,"",INDEX(EntryTxnType,$P224)))</f>
        <v/>
      </c>
      <c r="H224" s="29">
        <f>IF($P224="","",IF(INDEX(EntryDep,$P224)=0,"",INDEX(EntryDep,$P224)))</f>
        <v/>
      </c>
      <c r="I224" s="29">
        <f>IF($P224="","",IF(INDEX(EntryWit,$P224)=0,"",INDEX(EntryWit,$P224)))</f>
        <v/>
      </c>
      <c r="J224" s="29">
        <f>IF($B224="","",IF($A224=1,$C$7,IF(J223="",0,J223))+IF($H224="",0,$H224)-IF($I224="",0,$I224))</f>
        <v/>
      </c>
      <c r="K224" s="29">
        <f>IF($P224="","",IF(INDEX(EntryMan,$P224)=0,"",INDEX(EntryMan,$P224)))</f>
        <v/>
      </c>
      <c r="L224" s="28">
        <f>IF($B224="","",IF($K224="","—",IF(ROUND($K224-$J224,0)=0,"√","×")))</f>
        <v/>
      </c>
      <c r="M224" s="28">
        <f>IF($B224="","",IF(COUNTIFS(EntryDates,$B224,CalcTime,$C224,CalcBank,$C$5,EntryParty,$D224,EntryDep,$H224,EntryWit,$I224)&gt;1,"تکرار",""))</f>
        <v/>
      </c>
      <c r="N224" s="28">
        <f>IF($P224="","",IF(INDEX(EntryNotes,$P224)=0,"",INDEX(EntryNotes,$P224)))</f>
        <v/>
      </c>
      <c r="O224" s="28">
        <f>IF($P224="","",IF(INDEX(EntryTxnID,$P224)=0,"",INDEX(EntryTxnID,$P224)))</f>
        <v/>
      </c>
      <c r="P224" s="28">
        <f>IFERROR(MATCH($C$5&amp;"|"&amp;RIGHT("000000"&amp;208,6),CalcRankKey,0),"")</f>
        <v/>
      </c>
    </row>
    <row r="225">
      <c r="A225" s="26">
        <f>IF($B225="","",209)</f>
        <v/>
      </c>
      <c r="B225" s="26">
        <f>IF($P225="","",IF(INDEX(CalcNormDate,$P225)=0,"",INDEX(CalcNormDate,$P225)))</f>
        <v/>
      </c>
      <c r="C225" s="26">
        <f>IF($P225="","",IF(INDEX(CalcTime,$P225)=0,"",INDEX(CalcTime,$P225)))</f>
        <v/>
      </c>
      <c r="D225" s="26">
        <f>IF($P225="","",IF(INDEX(EntryParty,$P225)=0,"",INDEX(EntryParty,$P225)))</f>
        <v/>
      </c>
      <c r="E225" s="26">
        <f>IF($P225="","",IF(INDEX(EntryPartyName,$P225)=0,"",INDEX(EntryPartyName,$P225)))</f>
        <v/>
      </c>
      <c r="F225" s="26">
        <f>IF($P225="","",IF(INDEX(EntryPartyType,$P225)=0,"",INDEX(EntryPartyType,$P225)))</f>
        <v/>
      </c>
      <c r="G225" s="26">
        <f>IF($P225="","",IF(INDEX(EntryTxnType,$P225)=0,"",INDEX(EntryTxnType,$P225)))</f>
        <v/>
      </c>
      <c r="H225" s="27">
        <f>IF($P225="","",IF(INDEX(EntryDep,$P225)=0,"",INDEX(EntryDep,$P225)))</f>
        <v/>
      </c>
      <c r="I225" s="27">
        <f>IF($P225="","",IF(INDEX(EntryWit,$P225)=0,"",INDEX(EntryWit,$P225)))</f>
        <v/>
      </c>
      <c r="J225" s="27">
        <f>IF($B225="","",IF($A225=1,$C$7,IF(J224="",0,J224))+IF($H225="",0,$H225)-IF($I225="",0,$I225))</f>
        <v/>
      </c>
      <c r="K225" s="27">
        <f>IF($P225="","",IF(INDEX(EntryMan,$P225)=0,"",INDEX(EntryMan,$P225)))</f>
        <v/>
      </c>
      <c r="L225" s="26">
        <f>IF($B225="","",IF($K225="","—",IF(ROUND($K225-$J225,0)=0,"√","×")))</f>
        <v/>
      </c>
      <c r="M225" s="26">
        <f>IF($B225="","",IF(COUNTIFS(EntryDates,$B225,CalcTime,$C225,CalcBank,$C$5,EntryParty,$D225,EntryDep,$H225,EntryWit,$I225)&gt;1,"تکرار",""))</f>
        <v/>
      </c>
      <c r="N225" s="26">
        <f>IF($P225="","",IF(INDEX(EntryNotes,$P225)=0,"",INDEX(EntryNotes,$P225)))</f>
        <v/>
      </c>
      <c r="O225" s="26">
        <f>IF($P225="","",IF(INDEX(EntryTxnID,$P225)=0,"",INDEX(EntryTxnID,$P225)))</f>
        <v/>
      </c>
      <c r="P225" s="26">
        <f>IFERROR(MATCH($C$5&amp;"|"&amp;RIGHT("000000"&amp;209,6),CalcRankKey,0),"")</f>
        <v/>
      </c>
    </row>
    <row r="226">
      <c r="A226" s="28">
        <f>IF($B226="","",210)</f>
        <v/>
      </c>
      <c r="B226" s="28">
        <f>IF($P226="","",IF(INDEX(CalcNormDate,$P226)=0,"",INDEX(CalcNormDate,$P226)))</f>
        <v/>
      </c>
      <c r="C226" s="28">
        <f>IF($P226="","",IF(INDEX(CalcTime,$P226)=0,"",INDEX(CalcTime,$P226)))</f>
        <v/>
      </c>
      <c r="D226" s="28">
        <f>IF($P226="","",IF(INDEX(EntryParty,$P226)=0,"",INDEX(EntryParty,$P226)))</f>
        <v/>
      </c>
      <c r="E226" s="28">
        <f>IF($P226="","",IF(INDEX(EntryPartyName,$P226)=0,"",INDEX(EntryPartyName,$P226)))</f>
        <v/>
      </c>
      <c r="F226" s="28">
        <f>IF($P226="","",IF(INDEX(EntryPartyType,$P226)=0,"",INDEX(EntryPartyType,$P226)))</f>
        <v/>
      </c>
      <c r="G226" s="28">
        <f>IF($P226="","",IF(INDEX(EntryTxnType,$P226)=0,"",INDEX(EntryTxnType,$P226)))</f>
        <v/>
      </c>
      <c r="H226" s="29">
        <f>IF($P226="","",IF(INDEX(EntryDep,$P226)=0,"",INDEX(EntryDep,$P226)))</f>
        <v/>
      </c>
      <c r="I226" s="29">
        <f>IF($P226="","",IF(INDEX(EntryWit,$P226)=0,"",INDEX(EntryWit,$P226)))</f>
        <v/>
      </c>
      <c r="J226" s="29">
        <f>IF($B226="","",IF($A226=1,$C$7,IF(J225="",0,J225))+IF($H226="",0,$H226)-IF($I226="",0,$I226))</f>
        <v/>
      </c>
      <c r="K226" s="29">
        <f>IF($P226="","",IF(INDEX(EntryMan,$P226)=0,"",INDEX(EntryMan,$P226)))</f>
        <v/>
      </c>
      <c r="L226" s="28">
        <f>IF($B226="","",IF($K226="","—",IF(ROUND($K226-$J226,0)=0,"√","×")))</f>
        <v/>
      </c>
      <c r="M226" s="28">
        <f>IF($B226="","",IF(COUNTIFS(EntryDates,$B226,CalcTime,$C226,CalcBank,$C$5,EntryParty,$D226,EntryDep,$H226,EntryWit,$I226)&gt;1,"تکرار",""))</f>
        <v/>
      </c>
      <c r="N226" s="28">
        <f>IF($P226="","",IF(INDEX(EntryNotes,$P226)=0,"",INDEX(EntryNotes,$P226)))</f>
        <v/>
      </c>
      <c r="O226" s="28">
        <f>IF($P226="","",IF(INDEX(EntryTxnID,$P226)=0,"",INDEX(EntryTxnID,$P226)))</f>
        <v/>
      </c>
      <c r="P226" s="28">
        <f>IFERROR(MATCH($C$5&amp;"|"&amp;RIGHT("000000"&amp;210,6),CalcRankKey,0),"")</f>
        <v/>
      </c>
    </row>
    <row r="227">
      <c r="A227" s="26">
        <f>IF($B227="","",211)</f>
        <v/>
      </c>
      <c r="B227" s="26">
        <f>IF($P227="","",IF(INDEX(CalcNormDate,$P227)=0,"",INDEX(CalcNormDate,$P227)))</f>
        <v/>
      </c>
      <c r="C227" s="26">
        <f>IF($P227="","",IF(INDEX(CalcTime,$P227)=0,"",INDEX(CalcTime,$P227)))</f>
        <v/>
      </c>
      <c r="D227" s="26">
        <f>IF($P227="","",IF(INDEX(EntryParty,$P227)=0,"",INDEX(EntryParty,$P227)))</f>
        <v/>
      </c>
      <c r="E227" s="26">
        <f>IF($P227="","",IF(INDEX(EntryPartyName,$P227)=0,"",INDEX(EntryPartyName,$P227)))</f>
        <v/>
      </c>
      <c r="F227" s="26">
        <f>IF($P227="","",IF(INDEX(EntryPartyType,$P227)=0,"",INDEX(EntryPartyType,$P227)))</f>
        <v/>
      </c>
      <c r="G227" s="26">
        <f>IF($P227="","",IF(INDEX(EntryTxnType,$P227)=0,"",INDEX(EntryTxnType,$P227)))</f>
        <v/>
      </c>
      <c r="H227" s="27">
        <f>IF($P227="","",IF(INDEX(EntryDep,$P227)=0,"",INDEX(EntryDep,$P227)))</f>
        <v/>
      </c>
      <c r="I227" s="27">
        <f>IF($P227="","",IF(INDEX(EntryWit,$P227)=0,"",INDEX(EntryWit,$P227)))</f>
        <v/>
      </c>
      <c r="J227" s="27">
        <f>IF($B227="","",IF($A227=1,$C$7,IF(J226="",0,J226))+IF($H227="",0,$H227)-IF($I227="",0,$I227))</f>
        <v/>
      </c>
      <c r="K227" s="27">
        <f>IF($P227="","",IF(INDEX(EntryMan,$P227)=0,"",INDEX(EntryMan,$P227)))</f>
        <v/>
      </c>
      <c r="L227" s="26">
        <f>IF($B227="","",IF($K227="","—",IF(ROUND($K227-$J227,0)=0,"√","×")))</f>
        <v/>
      </c>
      <c r="M227" s="26">
        <f>IF($B227="","",IF(COUNTIFS(EntryDates,$B227,CalcTime,$C227,CalcBank,$C$5,EntryParty,$D227,EntryDep,$H227,EntryWit,$I227)&gt;1,"تکرار",""))</f>
        <v/>
      </c>
      <c r="N227" s="26">
        <f>IF($P227="","",IF(INDEX(EntryNotes,$P227)=0,"",INDEX(EntryNotes,$P227)))</f>
        <v/>
      </c>
      <c r="O227" s="26">
        <f>IF($P227="","",IF(INDEX(EntryTxnID,$P227)=0,"",INDEX(EntryTxnID,$P227)))</f>
        <v/>
      </c>
      <c r="P227" s="26">
        <f>IFERROR(MATCH($C$5&amp;"|"&amp;RIGHT("000000"&amp;211,6),CalcRankKey,0),"")</f>
        <v/>
      </c>
    </row>
    <row r="228">
      <c r="A228" s="28">
        <f>IF($B228="","",212)</f>
        <v/>
      </c>
      <c r="B228" s="28">
        <f>IF($P228="","",IF(INDEX(CalcNormDate,$P228)=0,"",INDEX(CalcNormDate,$P228)))</f>
        <v/>
      </c>
      <c r="C228" s="28">
        <f>IF($P228="","",IF(INDEX(CalcTime,$P228)=0,"",INDEX(CalcTime,$P228)))</f>
        <v/>
      </c>
      <c r="D228" s="28">
        <f>IF($P228="","",IF(INDEX(EntryParty,$P228)=0,"",INDEX(EntryParty,$P228)))</f>
        <v/>
      </c>
      <c r="E228" s="28">
        <f>IF($P228="","",IF(INDEX(EntryPartyName,$P228)=0,"",INDEX(EntryPartyName,$P228)))</f>
        <v/>
      </c>
      <c r="F228" s="28">
        <f>IF($P228="","",IF(INDEX(EntryPartyType,$P228)=0,"",INDEX(EntryPartyType,$P228)))</f>
        <v/>
      </c>
      <c r="G228" s="28">
        <f>IF($P228="","",IF(INDEX(EntryTxnType,$P228)=0,"",INDEX(EntryTxnType,$P228)))</f>
        <v/>
      </c>
      <c r="H228" s="29">
        <f>IF($P228="","",IF(INDEX(EntryDep,$P228)=0,"",INDEX(EntryDep,$P228)))</f>
        <v/>
      </c>
      <c r="I228" s="29">
        <f>IF($P228="","",IF(INDEX(EntryWit,$P228)=0,"",INDEX(EntryWit,$P228)))</f>
        <v/>
      </c>
      <c r="J228" s="29">
        <f>IF($B228="","",IF($A228=1,$C$7,IF(J227="",0,J227))+IF($H228="",0,$H228)-IF($I228="",0,$I228))</f>
        <v/>
      </c>
      <c r="K228" s="29">
        <f>IF($P228="","",IF(INDEX(EntryMan,$P228)=0,"",INDEX(EntryMan,$P228)))</f>
        <v/>
      </c>
      <c r="L228" s="28">
        <f>IF($B228="","",IF($K228="","—",IF(ROUND($K228-$J228,0)=0,"√","×")))</f>
        <v/>
      </c>
      <c r="M228" s="28">
        <f>IF($B228="","",IF(COUNTIFS(EntryDates,$B228,CalcTime,$C228,CalcBank,$C$5,EntryParty,$D228,EntryDep,$H228,EntryWit,$I228)&gt;1,"تکرار",""))</f>
        <v/>
      </c>
      <c r="N228" s="28">
        <f>IF($P228="","",IF(INDEX(EntryNotes,$P228)=0,"",INDEX(EntryNotes,$P228)))</f>
        <v/>
      </c>
      <c r="O228" s="28">
        <f>IF($P228="","",IF(INDEX(EntryTxnID,$P228)=0,"",INDEX(EntryTxnID,$P228)))</f>
        <v/>
      </c>
      <c r="P228" s="28">
        <f>IFERROR(MATCH($C$5&amp;"|"&amp;RIGHT("000000"&amp;212,6),CalcRankKey,0),"")</f>
        <v/>
      </c>
    </row>
    <row r="229">
      <c r="A229" s="26">
        <f>IF($B229="","",213)</f>
        <v/>
      </c>
      <c r="B229" s="26">
        <f>IF($P229="","",IF(INDEX(CalcNormDate,$P229)=0,"",INDEX(CalcNormDate,$P229)))</f>
        <v/>
      </c>
      <c r="C229" s="26">
        <f>IF($P229="","",IF(INDEX(CalcTime,$P229)=0,"",INDEX(CalcTime,$P229)))</f>
        <v/>
      </c>
      <c r="D229" s="26">
        <f>IF($P229="","",IF(INDEX(EntryParty,$P229)=0,"",INDEX(EntryParty,$P229)))</f>
        <v/>
      </c>
      <c r="E229" s="26">
        <f>IF($P229="","",IF(INDEX(EntryPartyName,$P229)=0,"",INDEX(EntryPartyName,$P229)))</f>
        <v/>
      </c>
      <c r="F229" s="26">
        <f>IF($P229="","",IF(INDEX(EntryPartyType,$P229)=0,"",INDEX(EntryPartyType,$P229)))</f>
        <v/>
      </c>
      <c r="G229" s="26">
        <f>IF($P229="","",IF(INDEX(EntryTxnType,$P229)=0,"",INDEX(EntryTxnType,$P229)))</f>
        <v/>
      </c>
      <c r="H229" s="27">
        <f>IF($P229="","",IF(INDEX(EntryDep,$P229)=0,"",INDEX(EntryDep,$P229)))</f>
        <v/>
      </c>
      <c r="I229" s="27">
        <f>IF($P229="","",IF(INDEX(EntryWit,$P229)=0,"",INDEX(EntryWit,$P229)))</f>
        <v/>
      </c>
      <c r="J229" s="27">
        <f>IF($B229="","",IF($A229=1,$C$7,IF(J228="",0,J228))+IF($H229="",0,$H229)-IF($I229="",0,$I229))</f>
        <v/>
      </c>
      <c r="K229" s="27">
        <f>IF($P229="","",IF(INDEX(EntryMan,$P229)=0,"",INDEX(EntryMan,$P229)))</f>
        <v/>
      </c>
      <c r="L229" s="26">
        <f>IF($B229="","",IF($K229="","—",IF(ROUND($K229-$J229,0)=0,"√","×")))</f>
        <v/>
      </c>
      <c r="M229" s="26">
        <f>IF($B229="","",IF(COUNTIFS(EntryDates,$B229,CalcTime,$C229,CalcBank,$C$5,EntryParty,$D229,EntryDep,$H229,EntryWit,$I229)&gt;1,"تکرار",""))</f>
        <v/>
      </c>
      <c r="N229" s="26">
        <f>IF($P229="","",IF(INDEX(EntryNotes,$P229)=0,"",INDEX(EntryNotes,$P229)))</f>
        <v/>
      </c>
      <c r="O229" s="26">
        <f>IF($P229="","",IF(INDEX(EntryTxnID,$P229)=0,"",INDEX(EntryTxnID,$P229)))</f>
        <v/>
      </c>
      <c r="P229" s="26">
        <f>IFERROR(MATCH($C$5&amp;"|"&amp;RIGHT("000000"&amp;213,6),CalcRankKey,0),"")</f>
        <v/>
      </c>
    </row>
    <row r="230">
      <c r="A230" s="28">
        <f>IF($B230="","",214)</f>
        <v/>
      </c>
      <c r="B230" s="28">
        <f>IF($P230="","",IF(INDEX(CalcNormDate,$P230)=0,"",INDEX(CalcNormDate,$P230)))</f>
        <v/>
      </c>
      <c r="C230" s="28">
        <f>IF($P230="","",IF(INDEX(CalcTime,$P230)=0,"",INDEX(CalcTime,$P230)))</f>
        <v/>
      </c>
      <c r="D230" s="28">
        <f>IF($P230="","",IF(INDEX(EntryParty,$P230)=0,"",INDEX(EntryParty,$P230)))</f>
        <v/>
      </c>
      <c r="E230" s="28">
        <f>IF($P230="","",IF(INDEX(EntryPartyName,$P230)=0,"",INDEX(EntryPartyName,$P230)))</f>
        <v/>
      </c>
      <c r="F230" s="28">
        <f>IF($P230="","",IF(INDEX(EntryPartyType,$P230)=0,"",INDEX(EntryPartyType,$P230)))</f>
        <v/>
      </c>
      <c r="G230" s="28">
        <f>IF($P230="","",IF(INDEX(EntryTxnType,$P230)=0,"",INDEX(EntryTxnType,$P230)))</f>
        <v/>
      </c>
      <c r="H230" s="29">
        <f>IF($P230="","",IF(INDEX(EntryDep,$P230)=0,"",INDEX(EntryDep,$P230)))</f>
        <v/>
      </c>
      <c r="I230" s="29">
        <f>IF($P230="","",IF(INDEX(EntryWit,$P230)=0,"",INDEX(EntryWit,$P230)))</f>
        <v/>
      </c>
      <c r="J230" s="29">
        <f>IF($B230="","",IF($A230=1,$C$7,IF(J229="",0,J229))+IF($H230="",0,$H230)-IF($I230="",0,$I230))</f>
        <v/>
      </c>
      <c r="K230" s="29">
        <f>IF($P230="","",IF(INDEX(EntryMan,$P230)=0,"",INDEX(EntryMan,$P230)))</f>
        <v/>
      </c>
      <c r="L230" s="28">
        <f>IF($B230="","",IF($K230="","—",IF(ROUND($K230-$J230,0)=0,"√","×")))</f>
        <v/>
      </c>
      <c r="M230" s="28">
        <f>IF($B230="","",IF(COUNTIFS(EntryDates,$B230,CalcTime,$C230,CalcBank,$C$5,EntryParty,$D230,EntryDep,$H230,EntryWit,$I230)&gt;1,"تکرار",""))</f>
        <v/>
      </c>
      <c r="N230" s="28">
        <f>IF($P230="","",IF(INDEX(EntryNotes,$P230)=0,"",INDEX(EntryNotes,$P230)))</f>
        <v/>
      </c>
      <c r="O230" s="28">
        <f>IF($P230="","",IF(INDEX(EntryTxnID,$P230)=0,"",INDEX(EntryTxnID,$P230)))</f>
        <v/>
      </c>
      <c r="P230" s="28">
        <f>IFERROR(MATCH($C$5&amp;"|"&amp;RIGHT("000000"&amp;214,6),CalcRankKey,0),"")</f>
        <v/>
      </c>
    </row>
    <row r="231">
      <c r="A231" s="26">
        <f>IF($B231="","",215)</f>
        <v/>
      </c>
      <c r="B231" s="26">
        <f>IF($P231="","",IF(INDEX(CalcNormDate,$P231)=0,"",INDEX(CalcNormDate,$P231)))</f>
        <v/>
      </c>
      <c r="C231" s="26">
        <f>IF($P231="","",IF(INDEX(CalcTime,$P231)=0,"",INDEX(CalcTime,$P231)))</f>
        <v/>
      </c>
      <c r="D231" s="26">
        <f>IF($P231="","",IF(INDEX(EntryParty,$P231)=0,"",INDEX(EntryParty,$P231)))</f>
        <v/>
      </c>
      <c r="E231" s="26">
        <f>IF($P231="","",IF(INDEX(EntryPartyName,$P231)=0,"",INDEX(EntryPartyName,$P231)))</f>
        <v/>
      </c>
      <c r="F231" s="26">
        <f>IF($P231="","",IF(INDEX(EntryPartyType,$P231)=0,"",INDEX(EntryPartyType,$P231)))</f>
        <v/>
      </c>
      <c r="G231" s="26">
        <f>IF($P231="","",IF(INDEX(EntryTxnType,$P231)=0,"",INDEX(EntryTxnType,$P231)))</f>
        <v/>
      </c>
      <c r="H231" s="27">
        <f>IF($P231="","",IF(INDEX(EntryDep,$P231)=0,"",INDEX(EntryDep,$P231)))</f>
        <v/>
      </c>
      <c r="I231" s="27">
        <f>IF($P231="","",IF(INDEX(EntryWit,$P231)=0,"",INDEX(EntryWit,$P231)))</f>
        <v/>
      </c>
      <c r="J231" s="27">
        <f>IF($B231="","",IF($A231=1,$C$7,IF(J230="",0,J230))+IF($H231="",0,$H231)-IF($I231="",0,$I231))</f>
        <v/>
      </c>
      <c r="K231" s="27">
        <f>IF($P231="","",IF(INDEX(EntryMan,$P231)=0,"",INDEX(EntryMan,$P231)))</f>
        <v/>
      </c>
      <c r="L231" s="26">
        <f>IF($B231="","",IF($K231="","—",IF(ROUND($K231-$J231,0)=0,"√","×")))</f>
        <v/>
      </c>
      <c r="M231" s="26">
        <f>IF($B231="","",IF(COUNTIFS(EntryDates,$B231,CalcTime,$C231,CalcBank,$C$5,EntryParty,$D231,EntryDep,$H231,EntryWit,$I231)&gt;1,"تکرار",""))</f>
        <v/>
      </c>
      <c r="N231" s="26">
        <f>IF($P231="","",IF(INDEX(EntryNotes,$P231)=0,"",INDEX(EntryNotes,$P231)))</f>
        <v/>
      </c>
      <c r="O231" s="26">
        <f>IF($P231="","",IF(INDEX(EntryTxnID,$P231)=0,"",INDEX(EntryTxnID,$P231)))</f>
        <v/>
      </c>
      <c r="P231" s="26">
        <f>IFERROR(MATCH($C$5&amp;"|"&amp;RIGHT("000000"&amp;215,6),CalcRankKey,0),"")</f>
        <v/>
      </c>
    </row>
    <row r="232">
      <c r="A232" s="28">
        <f>IF($B232="","",216)</f>
        <v/>
      </c>
      <c r="B232" s="28">
        <f>IF($P232="","",IF(INDEX(CalcNormDate,$P232)=0,"",INDEX(CalcNormDate,$P232)))</f>
        <v/>
      </c>
      <c r="C232" s="28">
        <f>IF($P232="","",IF(INDEX(CalcTime,$P232)=0,"",INDEX(CalcTime,$P232)))</f>
        <v/>
      </c>
      <c r="D232" s="28">
        <f>IF($P232="","",IF(INDEX(EntryParty,$P232)=0,"",INDEX(EntryParty,$P232)))</f>
        <v/>
      </c>
      <c r="E232" s="28">
        <f>IF($P232="","",IF(INDEX(EntryPartyName,$P232)=0,"",INDEX(EntryPartyName,$P232)))</f>
        <v/>
      </c>
      <c r="F232" s="28">
        <f>IF($P232="","",IF(INDEX(EntryPartyType,$P232)=0,"",INDEX(EntryPartyType,$P232)))</f>
        <v/>
      </c>
      <c r="G232" s="28">
        <f>IF($P232="","",IF(INDEX(EntryTxnType,$P232)=0,"",INDEX(EntryTxnType,$P232)))</f>
        <v/>
      </c>
      <c r="H232" s="29">
        <f>IF($P232="","",IF(INDEX(EntryDep,$P232)=0,"",INDEX(EntryDep,$P232)))</f>
        <v/>
      </c>
      <c r="I232" s="29">
        <f>IF($P232="","",IF(INDEX(EntryWit,$P232)=0,"",INDEX(EntryWit,$P232)))</f>
        <v/>
      </c>
      <c r="J232" s="29">
        <f>IF($B232="","",IF($A232=1,$C$7,IF(J231="",0,J231))+IF($H232="",0,$H232)-IF($I232="",0,$I232))</f>
        <v/>
      </c>
      <c r="K232" s="29">
        <f>IF($P232="","",IF(INDEX(EntryMan,$P232)=0,"",INDEX(EntryMan,$P232)))</f>
        <v/>
      </c>
      <c r="L232" s="28">
        <f>IF($B232="","",IF($K232="","—",IF(ROUND($K232-$J232,0)=0,"√","×")))</f>
        <v/>
      </c>
      <c r="M232" s="28">
        <f>IF($B232="","",IF(COUNTIFS(EntryDates,$B232,CalcTime,$C232,CalcBank,$C$5,EntryParty,$D232,EntryDep,$H232,EntryWit,$I232)&gt;1,"تکرار",""))</f>
        <v/>
      </c>
      <c r="N232" s="28">
        <f>IF($P232="","",IF(INDEX(EntryNotes,$P232)=0,"",INDEX(EntryNotes,$P232)))</f>
        <v/>
      </c>
      <c r="O232" s="28">
        <f>IF($P232="","",IF(INDEX(EntryTxnID,$P232)=0,"",INDEX(EntryTxnID,$P232)))</f>
        <v/>
      </c>
      <c r="P232" s="28">
        <f>IFERROR(MATCH($C$5&amp;"|"&amp;RIGHT("000000"&amp;216,6),CalcRankKey,0),"")</f>
        <v/>
      </c>
    </row>
    <row r="233">
      <c r="A233" s="26">
        <f>IF($B233="","",217)</f>
        <v/>
      </c>
      <c r="B233" s="26">
        <f>IF($P233="","",IF(INDEX(CalcNormDate,$P233)=0,"",INDEX(CalcNormDate,$P233)))</f>
        <v/>
      </c>
      <c r="C233" s="26">
        <f>IF($P233="","",IF(INDEX(CalcTime,$P233)=0,"",INDEX(CalcTime,$P233)))</f>
        <v/>
      </c>
      <c r="D233" s="26">
        <f>IF($P233="","",IF(INDEX(EntryParty,$P233)=0,"",INDEX(EntryParty,$P233)))</f>
        <v/>
      </c>
      <c r="E233" s="26">
        <f>IF($P233="","",IF(INDEX(EntryPartyName,$P233)=0,"",INDEX(EntryPartyName,$P233)))</f>
        <v/>
      </c>
      <c r="F233" s="26">
        <f>IF($P233="","",IF(INDEX(EntryPartyType,$P233)=0,"",INDEX(EntryPartyType,$P233)))</f>
        <v/>
      </c>
      <c r="G233" s="26">
        <f>IF($P233="","",IF(INDEX(EntryTxnType,$P233)=0,"",INDEX(EntryTxnType,$P233)))</f>
        <v/>
      </c>
      <c r="H233" s="27">
        <f>IF($P233="","",IF(INDEX(EntryDep,$P233)=0,"",INDEX(EntryDep,$P233)))</f>
        <v/>
      </c>
      <c r="I233" s="27">
        <f>IF($P233="","",IF(INDEX(EntryWit,$P233)=0,"",INDEX(EntryWit,$P233)))</f>
        <v/>
      </c>
      <c r="J233" s="27">
        <f>IF($B233="","",IF($A233=1,$C$7,IF(J232="",0,J232))+IF($H233="",0,$H233)-IF($I233="",0,$I233))</f>
        <v/>
      </c>
      <c r="K233" s="27">
        <f>IF($P233="","",IF(INDEX(EntryMan,$P233)=0,"",INDEX(EntryMan,$P233)))</f>
        <v/>
      </c>
      <c r="L233" s="26">
        <f>IF($B233="","",IF($K233="","—",IF(ROUND($K233-$J233,0)=0,"√","×")))</f>
        <v/>
      </c>
      <c r="M233" s="26">
        <f>IF($B233="","",IF(COUNTIFS(EntryDates,$B233,CalcTime,$C233,CalcBank,$C$5,EntryParty,$D233,EntryDep,$H233,EntryWit,$I233)&gt;1,"تکرار",""))</f>
        <v/>
      </c>
      <c r="N233" s="26">
        <f>IF($P233="","",IF(INDEX(EntryNotes,$P233)=0,"",INDEX(EntryNotes,$P233)))</f>
        <v/>
      </c>
      <c r="O233" s="26">
        <f>IF($P233="","",IF(INDEX(EntryTxnID,$P233)=0,"",INDEX(EntryTxnID,$P233)))</f>
        <v/>
      </c>
      <c r="P233" s="26">
        <f>IFERROR(MATCH($C$5&amp;"|"&amp;RIGHT("000000"&amp;217,6),CalcRankKey,0),"")</f>
        <v/>
      </c>
    </row>
    <row r="234">
      <c r="A234" s="28">
        <f>IF($B234="","",218)</f>
        <v/>
      </c>
      <c r="B234" s="28">
        <f>IF($P234="","",IF(INDEX(CalcNormDate,$P234)=0,"",INDEX(CalcNormDate,$P234)))</f>
        <v/>
      </c>
      <c r="C234" s="28">
        <f>IF($P234="","",IF(INDEX(CalcTime,$P234)=0,"",INDEX(CalcTime,$P234)))</f>
        <v/>
      </c>
      <c r="D234" s="28">
        <f>IF($P234="","",IF(INDEX(EntryParty,$P234)=0,"",INDEX(EntryParty,$P234)))</f>
        <v/>
      </c>
      <c r="E234" s="28">
        <f>IF($P234="","",IF(INDEX(EntryPartyName,$P234)=0,"",INDEX(EntryPartyName,$P234)))</f>
        <v/>
      </c>
      <c r="F234" s="28">
        <f>IF($P234="","",IF(INDEX(EntryPartyType,$P234)=0,"",INDEX(EntryPartyType,$P234)))</f>
        <v/>
      </c>
      <c r="G234" s="28">
        <f>IF($P234="","",IF(INDEX(EntryTxnType,$P234)=0,"",INDEX(EntryTxnType,$P234)))</f>
        <v/>
      </c>
      <c r="H234" s="29">
        <f>IF($P234="","",IF(INDEX(EntryDep,$P234)=0,"",INDEX(EntryDep,$P234)))</f>
        <v/>
      </c>
      <c r="I234" s="29">
        <f>IF($P234="","",IF(INDEX(EntryWit,$P234)=0,"",INDEX(EntryWit,$P234)))</f>
        <v/>
      </c>
      <c r="J234" s="29">
        <f>IF($B234="","",IF($A234=1,$C$7,IF(J233="",0,J233))+IF($H234="",0,$H234)-IF($I234="",0,$I234))</f>
        <v/>
      </c>
      <c r="K234" s="29">
        <f>IF($P234="","",IF(INDEX(EntryMan,$P234)=0,"",INDEX(EntryMan,$P234)))</f>
        <v/>
      </c>
      <c r="L234" s="28">
        <f>IF($B234="","",IF($K234="","—",IF(ROUND($K234-$J234,0)=0,"√","×")))</f>
        <v/>
      </c>
      <c r="M234" s="28">
        <f>IF($B234="","",IF(COUNTIFS(EntryDates,$B234,CalcTime,$C234,CalcBank,$C$5,EntryParty,$D234,EntryDep,$H234,EntryWit,$I234)&gt;1,"تکرار",""))</f>
        <v/>
      </c>
      <c r="N234" s="28">
        <f>IF($P234="","",IF(INDEX(EntryNotes,$P234)=0,"",INDEX(EntryNotes,$P234)))</f>
        <v/>
      </c>
      <c r="O234" s="28">
        <f>IF($P234="","",IF(INDEX(EntryTxnID,$P234)=0,"",INDEX(EntryTxnID,$P234)))</f>
        <v/>
      </c>
      <c r="P234" s="28">
        <f>IFERROR(MATCH($C$5&amp;"|"&amp;RIGHT("000000"&amp;218,6),CalcRankKey,0),"")</f>
        <v/>
      </c>
    </row>
    <row r="235">
      <c r="A235" s="26">
        <f>IF($B235="","",219)</f>
        <v/>
      </c>
      <c r="B235" s="26">
        <f>IF($P235="","",IF(INDEX(CalcNormDate,$P235)=0,"",INDEX(CalcNormDate,$P235)))</f>
        <v/>
      </c>
      <c r="C235" s="26">
        <f>IF($P235="","",IF(INDEX(CalcTime,$P235)=0,"",INDEX(CalcTime,$P235)))</f>
        <v/>
      </c>
      <c r="D235" s="26">
        <f>IF($P235="","",IF(INDEX(EntryParty,$P235)=0,"",INDEX(EntryParty,$P235)))</f>
        <v/>
      </c>
      <c r="E235" s="26">
        <f>IF($P235="","",IF(INDEX(EntryPartyName,$P235)=0,"",INDEX(EntryPartyName,$P235)))</f>
        <v/>
      </c>
      <c r="F235" s="26">
        <f>IF($P235="","",IF(INDEX(EntryPartyType,$P235)=0,"",INDEX(EntryPartyType,$P235)))</f>
        <v/>
      </c>
      <c r="G235" s="26">
        <f>IF($P235="","",IF(INDEX(EntryTxnType,$P235)=0,"",INDEX(EntryTxnType,$P235)))</f>
        <v/>
      </c>
      <c r="H235" s="27">
        <f>IF($P235="","",IF(INDEX(EntryDep,$P235)=0,"",INDEX(EntryDep,$P235)))</f>
        <v/>
      </c>
      <c r="I235" s="27">
        <f>IF($P235="","",IF(INDEX(EntryWit,$P235)=0,"",INDEX(EntryWit,$P235)))</f>
        <v/>
      </c>
      <c r="J235" s="27">
        <f>IF($B235="","",IF($A235=1,$C$7,IF(J234="",0,J234))+IF($H235="",0,$H235)-IF($I235="",0,$I235))</f>
        <v/>
      </c>
      <c r="K235" s="27">
        <f>IF($P235="","",IF(INDEX(EntryMan,$P235)=0,"",INDEX(EntryMan,$P235)))</f>
        <v/>
      </c>
      <c r="L235" s="26">
        <f>IF($B235="","",IF($K235="","—",IF(ROUND($K235-$J235,0)=0,"√","×")))</f>
        <v/>
      </c>
      <c r="M235" s="26">
        <f>IF($B235="","",IF(COUNTIFS(EntryDates,$B235,CalcTime,$C235,CalcBank,$C$5,EntryParty,$D235,EntryDep,$H235,EntryWit,$I235)&gt;1,"تکرار",""))</f>
        <v/>
      </c>
      <c r="N235" s="26">
        <f>IF($P235="","",IF(INDEX(EntryNotes,$P235)=0,"",INDEX(EntryNotes,$P235)))</f>
        <v/>
      </c>
      <c r="O235" s="26">
        <f>IF($P235="","",IF(INDEX(EntryTxnID,$P235)=0,"",INDEX(EntryTxnID,$P235)))</f>
        <v/>
      </c>
      <c r="P235" s="26">
        <f>IFERROR(MATCH($C$5&amp;"|"&amp;RIGHT("000000"&amp;219,6),CalcRankKey,0),"")</f>
        <v/>
      </c>
    </row>
    <row r="236">
      <c r="A236" s="28">
        <f>IF($B236="","",220)</f>
        <v/>
      </c>
      <c r="B236" s="28">
        <f>IF($P236="","",IF(INDEX(CalcNormDate,$P236)=0,"",INDEX(CalcNormDate,$P236)))</f>
        <v/>
      </c>
      <c r="C236" s="28">
        <f>IF($P236="","",IF(INDEX(CalcTime,$P236)=0,"",INDEX(CalcTime,$P236)))</f>
        <v/>
      </c>
      <c r="D236" s="28">
        <f>IF($P236="","",IF(INDEX(EntryParty,$P236)=0,"",INDEX(EntryParty,$P236)))</f>
        <v/>
      </c>
      <c r="E236" s="28">
        <f>IF($P236="","",IF(INDEX(EntryPartyName,$P236)=0,"",INDEX(EntryPartyName,$P236)))</f>
        <v/>
      </c>
      <c r="F236" s="28">
        <f>IF($P236="","",IF(INDEX(EntryPartyType,$P236)=0,"",INDEX(EntryPartyType,$P236)))</f>
        <v/>
      </c>
      <c r="G236" s="28">
        <f>IF($P236="","",IF(INDEX(EntryTxnType,$P236)=0,"",INDEX(EntryTxnType,$P236)))</f>
        <v/>
      </c>
      <c r="H236" s="29">
        <f>IF($P236="","",IF(INDEX(EntryDep,$P236)=0,"",INDEX(EntryDep,$P236)))</f>
        <v/>
      </c>
      <c r="I236" s="29">
        <f>IF($P236="","",IF(INDEX(EntryWit,$P236)=0,"",INDEX(EntryWit,$P236)))</f>
        <v/>
      </c>
      <c r="J236" s="29">
        <f>IF($B236="","",IF($A236=1,$C$7,IF(J235="",0,J235))+IF($H236="",0,$H236)-IF($I236="",0,$I236))</f>
        <v/>
      </c>
      <c r="K236" s="29">
        <f>IF($P236="","",IF(INDEX(EntryMan,$P236)=0,"",INDEX(EntryMan,$P236)))</f>
        <v/>
      </c>
      <c r="L236" s="28">
        <f>IF($B236="","",IF($K236="","—",IF(ROUND($K236-$J236,0)=0,"√","×")))</f>
        <v/>
      </c>
      <c r="M236" s="28">
        <f>IF($B236="","",IF(COUNTIFS(EntryDates,$B236,CalcTime,$C236,CalcBank,$C$5,EntryParty,$D236,EntryDep,$H236,EntryWit,$I236)&gt;1,"تکرار",""))</f>
        <v/>
      </c>
      <c r="N236" s="28">
        <f>IF($P236="","",IF(INDEX(EntryNotes,$P236)=0,"",INDEX(EntryNotes,$P236)))</f>
        <v/>
      </c>
      <c r="O236" s="28">
        <f>IF($P236="","",IF(INDEX(EntryTxnID,$P236)=0,"",INDEX(EntryTxnID,$P236)))</f>
        <v/>
      </c>
      <c r="P236" s="28">
        <f>IFERROR(MATCH($C$5&amp;"|"&amp;RIGHT("000000"&amp;220,6),CalcRankKey,0),"")</f>
        <v/>
      </c>
    </row>
    <row r="237">
      <c r="A237" s="26">
        <f>IF($B237="","",221)</f>
        <v/>
      </c>
      <c r="B237" s="26">
        <f>IF($P237="","",IF(INDEX(CalcNormDate,$P237)=0,"",INDEX(CalcNormDate,$P237)))</f>
        <v/>
      </c>
      <c r="C237" s="26">
        <f>IF($P237="","",IF(INDEX(CalcTime,$P237)=0,"",INDEX(CalcTime,$P237)))</f>
        <v/>
      </c>
      <c r="D237" s="26">
        <f>IF($P237="","",IF(INDEX(EntryParty,$P237)=0,"",INDEX(EntryParty,$P237)))</f>
        <v/>
      </c>
      <c r="E237" s="26">
        <f>IF($P237="","",IF(INDEX(EntryPartyName,$P237)=0,"",INDEX(EntryPartyName,$P237)))</f>
        <v/>
      </c>
      <c r="F237" s="26">
        <f>IF($P237="","",IF(INDEX(EntryPartyType,$P237)=0,"",INDEX(EntryPartyType,$P237)))</f>
        <v/>
      </c>
      <c r="G237" s="26">
        <f>IF($P237="","",IF(INDEX(EntryTxnType,$P237)=0,"",INDEX(EntryTxnType,$P237)))</f>
        <v/>
      </c>
      <c r="H237" s="27">
        <f>IF($P237="","",IF(INDEX(EntryDep,$P237)=0,"",INDEX(EntryDep,$P237)))</f>
        <v/>
      </c>
      <c r="I237" s="27">
        <f>IF($P237="","",IF(INDEX(EntryWit,$P237)=0,"",INDEX(EntryWit,$P237)))</f>
        <v/>
      </c>
      <c r="J237" s="27">
        <f>IF($B237="","",IF($A237=1,$C$7,IF(J236="",0,J236))+IF($H237="",0,$H237)-IF($I237="",0,$I237))</f>
        <v/>
      </c>
      <c r="K237" s="27">
        <f>IF($P237="","",IF(INDEX(EntryMan,$P237)=0,"",INDEX(EntryMan,$P237)))</f>
        <v/>
      </c>
      <c r="L237" s="26">
        <f>IF($B237="","",IF($K237="","—",IF(ROUND($K237-$J237,0)=0,"√","×")))</f>
        <v/>
      </c>
      <c r="M237" s="26">
        <f>IF($B237="","",IF(COUNTIFS(EntryDates,$B237,CalcTime,$C237,CalcBank,$C$5,EntryParty,$D237,EntryDep,$H237,EntryWit,$I237)&gt;1,"تکرار",""))</f>
        <v/>
      </c>
      <c r="N237" s="26">
        <f>IF($P237="","",IF(INDEX(EntryNotes,$P237)=0,"",INDEX(EntryNotes,$P237)))</f>
        <v/>
      </c>
      <c r="O237" s="26">
        <f>IF($P237="","",IF(INDEX(EntryTxnID,$P237)=0,"",INDEX(EntryTxnID,$P237)))</f>
        <v/>
      </c>
      <c r="P237" s="26">
        <f>IFERROR(MATCH($C$5&amp;"|"&amp;RIGHT("000000"&amp;221,6),CalcRankKey,0),"")</f>
        <v/>
      </c>
    </row>
    <row r="238">
      <c r="A238" s="28">
        <f>IF($B238="","",222)</f>
        <v/>
      </c>
      <c r="B238" s="28">
        <f>IF($P238="","",IF(INDEX(CalcNormDate,$P238)=0,"",INDEX(CalcNormDate,$P238)))</f>
        <v/>
      </c>
      <c r="C238" s="28">
        <f>IF($P238="","",IF(INDEX(CalcTime,$P238)=0,"",INDEX(CalcTime,$P238)))</f>
        <v/>
      </c>
      <c r="D238" s="28">
        <f>IF($P238="","",IF(INDEX(EntryParty,$P238)=0,"",INDEX(EntryParty,$P238)))</f>
        <v/>
      </c>
      <c r="E238" s="28">
        <f>IF($P238="","",IF(INDEX(EntryPartyName,$P238)=0,"",INDEX(EntryPartyName,$P238)))</f>
        <v/>
      </c>
      <c r="F238" s="28">
        <f>IF($P238="","",IF(INDEX(EntryPartyType,$P238)=0,"",INDEX(EntryPartyType,$P238)))</f>
        <v/>
      </c>
      <c r="G238" s="28">
        <f>IF($P238="","",IF(INDEX(EntryTxnType,$P238)=0,"",INDEX(EntryTxnType,$P238)))</f>
        <v/>
      </c>
      <c r="H238" s="29">
        <f>IF($P238="","",IF(INDEX(EntryDep,$P238)=0,"",INDEX(EntryDep,$P238)))</f>
        <v/>
      </c>
      <c r="I238" s="29">
        <f>IF($P238="","",IF(INDEX(EntryWit,$P238)=0,"",INDEX(EntryWit,$P238)))</f>
        <v/>
      </c>
      <c r="J238" s="29">
        <f>IF($B238="","",IF($A238=1,$C$7,IF(J237="",0,J237))+IF($H238="",0,$H238)-IF($I238="",0,$I238))</f>
        <v/>
      </c>
      <c r="K238" s="29">
        <f>IF($P238="","",IF(INDEX(EntryMan,$P238)=0,"",INDEX(EntryMan,$P238)))</f>
        <v/>
      </c>
      <c r="L238" s="28">
        <f>IF($B238="","",IF($K238="","—",IF(ROUND($K238-$J238,0)=0,"√","×")))</f>
        <v/>
      </c>
      <c r="M238" s="28">
        <f>IF($B238="","",IF(COUNTIFS(EntryDates,$B238,CalcTime,$C238,CalcBank,$C$5,EntryParty,$D238,EntryDep,$H238,EntryWit,$I238)&gt;1,"تکرار",""))</f>
        <v/>
      </c>
      <c r="N238" s="28">
        <f>IF($P238="","",IF(INDEX(EntryNotes,$P238)=0,"",INDEX(EntryNotes,$P238)))</f>
        <v/>
      </c>
      <c r="O238" s="28">
        <f>IF($P238="","",IF(INDEX(EntryTxnID,$P238)=0,"",INDEX(EntryTxnID,$P238)))</f>
        <v/>
      </c>
      <c r="P238" s="28">
        <f>IFERROR(MATCH($C$5&amp;"|"&amp;RIGHT("000000"&amp;222,6),CalcRankKey,0),"")</f>
        <v/>
      </c>
    </row>
    <row r="239">
      <c r="A239" s="26">
        <f>IF($B239="","",223)</f>
        <v/>
      </c>
      <c r="B239" s="26">
        <f>IF($P239="","",IF(INDEX(CalcNormDate,$P239)=0,"",INDEX(CalcNormDate,$P239)))</f>
        <v/>
      </c>
      <c r="C239" s="26">
        <f>IF($P239="","",IF(INDEX(CalcTime,$P239)=0,"",INDEX(CalcTime,$P239)))</f>
        <v/>
      </c>
      <c r="D239" s="26">
        <f>IF($P239="","",IF(INDEX(EntryParty,$P239)=0,"",INDEX(EntryParty,$P239)))</f>
        <v/>
      </c>
      <c r="E239" s="26">
        <f>IF($P239="","",IF(INDEX(EntryPartyName,$P239)=0,"",INDEX(EntryPartyName,$P239)))</f>
        <v/>
      </c>
      <c r="F239" s="26">
        <f>IF($P239="","",IF(INDEX(EntryPartyType,$P239)=0,"",INDEX(EntryPartyType,$P239)))</f>
        <v/>
      </c>
      <c r="G239" s="26">
        <f>IF($P239="","",IF(INDEX(EntryTxnType,$P239)=0,"",INDEX(EntryTxnType,$P239)))</f>
        <v/>
      </c>
      <c r="H239" s="27">
        <f>IF($P239="","",IF(INDEX(EntryDep,$P239)=0,"",INDEX(EntryDep,$P239)))</f>
        <v/>
      </c>
      <c r="I239" s="27">
        <f>IF($P239="","",IF(INDEX(EntryWit,$P239)=0,"",INDEX(EntryWit,$P239)))</f>
        <v/>
      </c>
      <c r="J239" s="27">
        <f>IF($B239="","",IF($A239=1,$C$7,IF(J238="",0,J238))+IF($H239="",0,$H239)-IF($I239="",0,$I239))</f>
        <v/>
      </c>
      <c r="K239" s="27">
        <f>IF($P239="","",IF(INDEX(EntryMan,$P239)=0,"",INDEX(EntryMan,$P239)))</f>
        <v/>
      </c>
      <c r="L239" s="26">
        <f>IF($B239="","",IF($K239="","—",IF(ROUND($K239-$J239,0)=0,"√","×")))</f>
        <v/>
      </c>
      <c r="M239" s="26">
        <f>IF($B239="","",IF(COUNTIFS(EntryDates,$B239,CalcTime,$C239,CalcBank,$C$5,EntryParty,$D239,EntryDep,$H239,EntryWit,$I239)&gt;1,"تکرار",""))</f>
        <v/>
      </c>
      <c r="N239" s="26">
        <f>IF($P239="","",IF(INDEX(EntryNotes,$P239)=0,"",INDEX(EntryNotes,$P239)))</f>
        <v/>
      </c>
      <c r="O239" s="26">
        <f>IF($P239="","",IF(INDEX(EntryTxnID,$P239)=0,"",INDEX(EntryTxnID,$P239)))</f>
        <v/>
      </c>
      <c r="P239" s="26">
        <f>IFERROR(MATCH($C$5&amp;"|"&amp;RIGHT("000000"&amp;223,6),CalcRankKey,0),"")</f>
        <v/>
      </c>
    </row>
    <row r="240">
      <c r="A240" s="28">
        <f>IF($B240="","",224)</f>
        <v/>
      </c>
      <c r="B240" s="28">
        <f>IF($P240="","",IF(INDEX(CalcNormDate,$P240)=0,"",INDEX(CalcNormDate,$P240)))</f>
        <v/>
      </c>
      <c r="C240" s="28">
        <f>IF($P240="","",IF(INDEX(CalcTime,$P240)=0,"",INDEX(CalcTime,$P240)))</f>
        <v/>
      </c>
      <c r="D240" s="28">
        <f>IF($P240="","",IF(INDEX(EntryParty,$P240)=0,"",INDEX(EntryParty,$P240)))</f>
        <v/>
      </c>
      <c r="E240" s="28">
        <f>IF($P240="","",IF(INDEX(EntryPartyName,$P240)=0,"",INDEX(EntryPartyName,$P240)))</f>
        <v/>
      </c>
      <c r="F240" s="28">
        <f>IF($P240="","",IF(INDEX(EntryPartyType,$P240)=0,"",INDEX(EntryPartyType,$P240)))</f>
        <v/>
      </c>
      <c r="G240" s="28">
        <f>IF($P240="","",IF(INDEX(EntryTxnType,$P240)=0,"",INDEX(EntryTxnType,$P240)))</f>
        <v/>
      </c>
      <c r="H240" s="29">
        <f>IF($P240="","",IF(INDEX(EntryDep,$P240)=0,"",INDEX(EntryDep,$P240)))</f>
        <v/>
      </c>
      <c r="I240" s="29">
        <f>IF($P240="","",IF(INDEX(EntryWit,$P240)=0,"",INDEX(EntryWit,$P240)))</f>
        <v/>
      </c>
      <c r="J240" s="29">
        <f>IF($B240="","",IF($A240=1,$C$7,IF(J239="",0,J239))+IF($H240="",0,$H240)-IF($I240="",0,$I240))</f>
        <v/>
      </c>
      <c r="K240" s="29">
        <f>IF($P240="","",IF(INDEX(EntryMan,$P240)=0,"",INDEX(EntryMan,$P240)))</f>
        <v/>
      </c>
      <c r="L240" s="28">
        <f>IF($B240="","",IF($K240="","—",IF(ROUND($K240-$J240,0)=0,"√","×")))</f>
        <v/>
      </c>
      <c r="M240" s="28">
        <f>IF($B240="","",IF(COUNTIFS(EntryDates,$B240,CalcTime,$C240,CalcBank,$C$5,EntryParty,$D240,EntryDep,$H240,EntryWit,$I240)&gt;1,"تکرار",""))</f>
        <v/>
      </c>
      <c r="N240" s="28">
        <f>IF($P240="","",IF(INDEX(EntryNotes,$P240)=0,"",INDEX(EntryNotes,$P240)))</f>
        <v/>
      </c>
      <c r="O240" s="28">
        <f>IF($P240="","",IF(INDEX(EntryTxnID,$P240)=0,"",INDEX(EntryTxnID,$P240)))</f>
        <v/>
      </c>
      <c r="P240" s="28">
        <f>IFERROR(MATCH($C$5&amp;"|"&amp;RIGHT("000000"&amp;224,6),CalcRankKey,0),"")</f>
        <v/>
      </c>
    </row>
    <row r="241">
      <c r="A241" s="26">
        <f>IF($B241="","",225)</f>
        <v/>
      </c>
      <c r="B241" s="26">
        <f>IF($P241="","",IF(INDEX(CalcNormDate,$P241)=0,"",INDEX(CalcNormDate,$P241)))</f>
        <v/>
      </c>
      <c r="C241" s="26">
        <f>IF($P241="","",IF(INDEX(CalcTime,$P241)=0,"",INDEX(CalcTime,$P241)))</f>
        <v/>
      </c>
      <c r="D241" s="26">
        <f>IF($P241="","",IF(INDEX(EntryParty,$P241)=0,"",INDEX(EntryParty,$P241)))</f>
        <v/>
      </c>
      <c r="E241" s="26">
        <f>IF($P241="","",IF(INDEX(EntryPartyName,$P241)=0,"",INDEX(EntryPartyName,$P241)))</f>
        <v/>
      </c>
      <c r="F241" s="26">
        <f>IF($P241="","",IF(INDEX(EntryPartyType,$P241)=0,"",INDEX(EntryPartyType,$P241)))</f>
        <v/>
      </c>
      <c r="G241" s="26">
        <f>IF($P241="","",IF(INDEX(EntryTxnType,$P241)=0,"",INDEX(EntryTxnType,$P241)))</f>
        <v/>
      </c>
      <c r="H241" s="27">
        <f>IF($P241="","",IF(INDEX(EntryDep,$P241)=0,"",INDEX(EntryDep,$P241)))</f>
        <v/>
      </c>
      <c r="I241" s="27">
        <f>IF($P241="","",IF(INDEX(EntryWit,$P241)=0,"",INDEX(EntryWit,$P241)))</f>
        <v/>
      </c>
      <c r="J241" s="27">
        <f>IF($B241="","",IF($A241=1,$C$7,IF(J240="",0,J240))+IF($H241="",0,$H241)-IF($I241="",0,$I241))</f>
        <v/>
      </c>
      <c r="K241" s="27">
        <f>IF($P241="","",IF(INDEX(EntryMan,$P241)=0,"",INDEX(EntryMan,$P241)))</f>
        <v/>
      </c>
      <c r="L241" s="26">
        <f>IF($B241="","",IF($K241="","—",IF(ROUND($K241-$J241,0)=0,"√","×")))</f>
        <v/>
      </c>
      <c r="M241" s="26">
        <f>IF($B241="","",IF(COUNTIFS(EntryDates,$B241,CalcTime,$C241,CalcBank,$C$5,EntryParty,$D241,EntryDep,$H241,EntryWit,$I241)&gt;1,"تکرار",""))</f>
        <v/>
      </c>
      <c r="N241" s="26">
        <f>IF($P241="","",IF(INDEX(EntryNotes,$P241)=0,"",INDEX(EntryNotes,$P241)))</f>
        <v/>
      </c>
      <c r="O241" s="26">
        <f>IF($P241="","",IF(INDEX(EntryTxnID,$P241)=0,"",INDEX(EntryTxnID,$P241)))</f>
        <v/>
      </c>
      <c r="P241" s="26">
        <f>IFERROR(MATCH($C$5&amp;"|"&amp;RIGHT("000000"&amp;225,6),CalcRankKey,0),"")</f>
        <v/>
      </c>
    </row>
    <row r="242">
      <c r="A242" s="28">
        <f>IF($B242="","",226)</f>
        <v/>
      </c>
      <c r="B242" s="28">
        <f>IF($P242="","",IF(INDEX(CalcNormDate,$P242)=0,"",INDEX(CalcNormDate,$P242)))</f>
        <v/>
      </c>
      <c r="C242" s="28">
        <f>IF($P242="","",IF(INDEX(CalcTime,$P242)=0,"",INDEX(CalcTime,$P242)))</f>
        <v/>
      </c>
      <c r="D242" s="28">
        <f>IF($P242="","",IF(INDEX(EntryParty,$P242)=0,"",INDEX(EntryParty,$P242)))</f>
        <v/>
      </c>
      <c r="E242" s="28">
        <f>IF($P242="","",IF(INDEX(EntryPartyName,$P242)=0,"",INDEX(EntryPartyName,$P242)))</f>
        <v/>
      </c>
      <c r="F242" s="28">
        <f>IF($P242="","",IF(INDEX(EntryPartyType,$P242)=0,"",INDEX(EntryPartyType,$P242)))</f>
        <v/>
      </c>
      <c r="G242" s="28">
        <f>IF($P242="","",IF(INDEX(EntryTxnType,$P242)=0,"",INDEX(EntryTxnType,$P242)))</f>
        <v/>
      </c>
      <c r="H242" s="29">
        <f>IF($P242="","",IF(INDEX(EntryDep,$P242)=0,"",INDEX(EntryDep,$P242)))</f>
        <v/>
      </c>
      <c r="I242" s="29">
        <f>IF($P242="","",IF(INDEX(EntryWit,$P242)=0,"",INDEX(EntryWit,$P242)))</f>
        <v/>
      </c>
      <c r="J242" s="29">
        <f>IF($B242="","",IF($A242=1,$C$7,IF(J241="",0,J241))+IF($H242="",0,$H242)-IF($I242="",0,$I242))</f>
        <v/>
      </c>
      <c r="K242" s="29">
        <f>IF($P242="","",IF(INDEX(EntryMan,$P242)=0,"",INDEX(EntryMan,$P242)))</f>
        <v/>
      </c>
      <c r="L242" s="28">
        <f>IF($B242="","",IF($K242="","—",IF(ROUND($K242-$J242,0)=0,"√","×")))</f>
        <v/>
      </c>
      <c r="M242" s="28">
        <f>IF($B242="","",IF(COUNTIFS(EntryDates,$B242,CalcTime,$C242,CalcBank,$C$5,EntryParty,$D242,EntryDep,$H242,EntryWit,$I242)&gt;1,"تکرار",""))</f>
        <v/>
      </c>
      <c r="N242" s="28">
        <f>IF($P242="","",IF(INDEX(EntryNotes,$P242)=0,"",INDEX(EntryNotes,$P242)))</f>
        <v/>
      </c>
      <c r="O242" s="28">
        <f>IF($P242="","",IF(INDEX(EntryTxnID,$P242)=0,"",INDEX(EntryTxnID,$P242)))</f>
        <v/>
      </c>
      <c r="P242" s="28">
        <f>IFERROR(MATCH($C$5&amp;"|"&amp;RIGHT("000000"&amp;226,6),CalcRankKey,0),"")</f>
        <v/>
      </c>
    </row>
    <row r="243">
      <c r="A243" s="26">
        <f>IF($B243="","",227)</f>
        <v/>
      </c>
      <c r="B243" s="26">
        <f>IF($P243="","",IF(INDEX(CalcNormDate,$P243)=0,"",INDEX(CalcNormDate,$P243)))</f>
        <v/>
      </c>
      <c r="C243" s="26">
        <f>IF($P243="","",IF(INDEX(CalcTime,$P243)=0,"",INDEX(CalcTime,$P243)))</f>
        <v/>
      </c>
      <c r="D243" s="26">
        <f>IF($P243="","",IF(INDEX(EntryParty,$P243)=0,"",INDEX(EntryParty,$P243)))</f>
        <v/>
      </c>
      <c r="E243" s="26">
        <f>IF($P243="","",IF(INDEX(EntryPartyName,$P243)=0,"",INDEX(EntryPartyName,$P243)))</f>
        <v/>
      </c>
      <c r="F243" s="26">
        <f>IF($P243="","",IF(INDEX(EntryPartyType,$P243)=0,"",INDEX(EntryPartyType,$P243)))</f>
        <v/>
      </c>
      <c r="G243" s="26">
        <f>IF($P243="","",IF(INDEX(EntryTxnType,$P243)=0,"",INDEX(EntryTxnType,$P243)))</f>
        <v/>
      </c>
      <c r="H243" s="27">
        <f>IF($P243="","",IF(INDEX(EntryDep,$P243)=0,"",INDEX(EntryDep,$P243)))</f>
        <v/>
      </c>
      <c r="I243" s="27">
        <f>IF($P243="","",IF(INDEX(EntryWit,$P243)=0,"",INDEX(EntryWit,$P243)))</f>
        <v/>
      </c>
      <c r="J243" s="27">
        <f>IF($B243="","",IF($A243=1,$C$7,IF(J242="",0,J242))+IF($H243="",0,$H243)-IF($I243="",0,$I243))</f>
        <v/>
      </c>
      <c r="K243" s="27">
        <f>IF($P243="","",IF(INDEX(EntryMan,$P243)=0,"",INDEX(EntryMan,$P243)))</f>
        <v/>
      </c>
      <c r="L243" s="26">
        <f>IF($B243="","",IF($K243="","—",IF(ROUND($K243-$J243,0)=0,"√","×")))</f>
        <v/>
      </c>
      <c r="M243" s="26">
        <f>IF($B243="","",IF(COUNTIFS(EntryDates,$B243,CalcTime,$C243,CalcBank,$C$5,EntryParty,$D243,EntryDep,$H243,EntryWit,$I243)&gt;1,"تکرار",""))</f>
        <v/>
      </c>
      <c r="N243" s="26">
        <f>IF($P243="","",IF(INDEX(EntryNotes,$P243)=0,"",INDEX(EntryNotes,$P243)))</f>
        <v/>
      </c>
      <c r="O243" s="26">
        <f>IF($P243="","",IF(INDEX(EntryTxnID,$P243)=0,"",INDEX(EntryTxnID,$P243)))</f>
        <v/>
      </c>
      <c r="P243" s="26">
        <f>IFERROR(MATCH($C$5&amp;"|"&amp;RIGHT("000000"&amp;227,6),CalcRankKey,0),"")</f>
        <v/>
      </c>
    </row>
    <row r="244">
      <c r="A244" s="28">
        <f>IF($B244="","",228)</f>
        <v/>
      </c>
      <c r="B244" s="28">
        <f>IF($P244="","",IF(INDEX(CalcNormDate,$P244)=0,"",INDEX(CalcNormDate,$P244)))</f>
        <v/>
      </c>
      <c r="C244" s="28">
        <f>IF($P244="","",IF(INDEX(CalcTime,$P244)=0,"",INDEX(CalcTime,$P244)))</f>
        <v/>
      </c>
      <c r="D244" s="28">
        <f>IF($P244="","",IF(INDEX(EntryParty,$P244)=0,"",INDEX(EntryParty,$P244)))</f>
        <v/>
      </c>
      <c r="E244" s="28">
        <f>IF($P244="","",IF(INDEX(EntryPartyName,$P244)=0,"",INDEX(EntryPartyName,$P244)))</f>
        <v/>
      </c>
      <c r="F244" s="28">
        <f>IF($P244="","",IF(INDEX(EntryPartyType,$P244)=0,"",INDEX(EntryPartyType,$P244)))</f>
        <v/>
      </c>
      <c r="G244" s="28">
        <f>IF($P244="","",IF(INDEX(EntryTxnType,$P244)=0,"",INDEX(EntryTxnType,$P244)))</f>
        <v/>
      </c>
      <c r="H244" s="29">
        <f>IF($P244="","",IF(INDEX(EntryDep,$P244)=0,"",INDEX(EntryDep,$P244)))</f>
        <v/>
      </c>
      <c r="I244" s="29">
        <f>IF($P244="","",IF(INDEX(EntryWit,$P244)=0,"",INDEX(EntryWit,$P244)))</f>
        <v/>
      </c>
      <c r="J244" s="29">
        <f>IF($B244="","",IF($A244=1,$C$7,IF(J243="",0,J243))+IF($H244="",0,$H244)-IF($I244="",0,$I244))</f>
        <v/>
      </c>
      <c r="K244" s="29">
        <f>IF($P244="","",IF(INDEX(EntryMan,$P244)=0,"",INDEX(EntryMan,$P244)))</f>
        <v/>
      </c>
      <c r="L244" s="28">
        <f>IF($B244="","",IF($K244="","—",IF(ROUND($K244-$J244,0)=0,"√","×")))</f>
        <v/>
      </c>
      <c r="M244" s="28">
        <f>IF($B244="","",IF(COUNTIFS(EntryDates,$B244,CalcTime,$C244,CalcBank,$C$5,EntryParty,$D244,EntryDep,$H244,EntryWit,$I244)&gt;1,"تکرار",""))</f>
        <v/>
      </c>
      <c r="N244" s="28">
        <f>IF($P244="","",IF(INDEX(EntryNotes,$P244)=0,"",INDEX(EntryNotes,$P244)))</f>
        <v/>
      </c>
      <c r="O244" s="28">
        <f>IF($P244="","",IF(INDEX(EntryTxnID,$P244)=0,"",INDEX(EntryTxnID,$P244)))</f>
        <v/>
      </c>
      <c r="P244" s="28">
        <f>IFERROR(MATCH($C$5&amp;"|"&amp;RIGHT("000000"&amp;228,6),CalcRankKey,0),"")</f>
        <v/>
      </c>
    </row>
    <row r="245">
      <c r="A245" s="26">
        <f>IF($B245="","",229)</f>
        <v/>
      </c>
      <c r="B245" s="26">
        <f>IF($P245="","",IF(INDEX(CalcNormDate,$P245)=0,"",INDEX(CalcNormDate,$P245)))</f>
        <v/>
      </c>
      <c r="C245" s="26">
        <f>IF($P245="","",IF(INDEX(CalcTime,$P245)=0,"",INDEX(CalcTime,$P245)))</f>
        <v/>
      </c>
      <c r="D245" s="26">
        <f>IF($P245="","",IF(INDEX(EntryParty,$P245)=0,"",INDEX(EntryParty,$P245)))</f>
        <v/>
      </c>
      <c r="E245" s="26">
        <f>IF($P245="","",IF(INDEX(EntryPartyName,$P245)=0,"",INDEX(EntryPartyName,$P245)))</f>
        <v/>
      </c>
      <c r="F245" s="26">
        <f>IF($P245="","",IF(INDEX(EntryPartyType,$P245)=0,"",INDEX(EntryPartyType,$P245)))</f>
        <v/>
      </c>
      <c r="G245" s="26">
        <f>IF($P245="","",IF(INDEX(EntryTxnType,$P245)=0,"",INDEX(EntryTxnType,$P245)))</f>
        <v/>
      </c>
      <c r="H245" s="27">
        <f>IF($P245="","",IF(INDEX(EntryDep,$P245)=0,"",INDEX(EntryDep,$P245)))</f>
        <v/>
      </c>
      <c r="I245" s="27">
        <f>IF($P245="","",IF(INDEX(EntryWit,$P245)=0,"",INDEX(EntryWit,$P245)))</f>
        <v/>
      </c>
      <c r="J245" s="27">
        <f>IF($B245="","",IF($A245=1,$C$7,IF(J244="",0,J244))+IF($H245="",0,$H245)-IF($I245="",0,$I245))</f>
        <v/>
      </c>
      <c r="K245" s="27">
        <f>IF($P245="","",IF(INDEX(EntryMan,$P245)=0,"",INDEX(EntryMan,$P245)))</f>
        <v/>
      </c>
      <c r="L245" s="26">
        <f>IF($B245="","",IF($K245="","—",IF(ROUND($K245-$J245,0)=0,"√","×")))</f>
        <v/>
      </c>
      <c r="M245" s="26">
        <f>IF($B245="","",IF(COUNTIFS(EntryDates,$B245,CalcTime,$C245,CalcBank,$C$5,EntryParty,$D245,EntryDep,$H245,EntryWit,$I245)&gt;1,"تکرار",""))</f>
        <v/>
      </c>
      <c r="N245" s="26">
        <f>IF($P245="","",IF(INDEX(EntryNotes,$P245)=0,"",INDEX(EntryNotes,$P245)))</f>
        <v/>
      </c>
      <c r="O245" s="26">
        <f>IF($P245="","",IF(INDEX(EntryTxnID,$P245)=0,"",INDEX(EntryTxnID,$P245)))</f>
        <v/>
      </c>
      <c r="P245" s="26">
        <f>IFERROR(MATCH($C$5&amp;"|"&amp;RIGHT("000000"&amp;229,6),CalcRankKey,0),"")</f>
        <v/>
      </c>
    </row>
    <row r="246">
      <c r="A246" s="28">
        <f>IF($B246="","",230)</f>
        <v/>
      </c>
      <c r="B246" s="28">
        <f>IF($P246="","",IF(INDEX(CalcNormDate,$P246)=0,"",INDEX(CalcNormDate,$P246)))</f>
        <v/>
      </c>
      <c r="C246" s="28">
        <f>IF($P246="","",IF(INDEX(CalcTime,$P246)=0,"",INDEX(CalcTime,$P246)))</f>
        <v/>
      </c>
      <c r="D246" s="28">
        <f>IF($P246="","",IF(INDEX(EntryParty,$P246)=0,"",INDEX(EntryParty,$P246)))</f>
        <v/>
      </c>
      <c r="E246" s="28">
        <f>IF($P246="","",IF(INDEX(EntryPartyName,$P246)=0,"",INDEX(EntryPartyName,$P246)))</f>
        <v/>
      </c>
      <c r="F246" s="28">
        <f>IF($P246="","",IF(INDEX(EntryPartyType,$P246)=0,"",INDEX(EntryPartyType,$P246)))</f>
        <v/>
      </c>
      <c r="G246" s="28">
        <f>IF($P246="","",IF(INDEX(EntryTxnType,$P246)=0,"",INDEX(EntryTxnType,$P246)))</f>
        <v/>
      </c>
      <c r="H246" s="29">
        <f>IF($P246="","",IF(INDEX(EntryDep,$P246)=0,"",INDEX(EntryDep,$P246)))</f>
        <v/>
      </c>
      <c r="I246" s="29">
        <f>IF($P246="","",IF(INDEX(EntryWit,$P246)=0,"",INDEX(EntryWit,$P246)))</f>
        <v/>
      </c>
      <c r="J246" s="29">
        <f>IF($B246="","",IF($A246=1,$C$7,IF(J245="",0,J245))+IF($H246="",0,$H246)-IF($I246="",0,$I246))</f>
        <v/>
      </c>
      <c r="K246" s="29">
        <f>IF($P246="","",IF(INDEX(EntryMan,$P246)=0,"",INDEX(EntryMan,$P246)))</f>
        <v/>
      </c>
      <c r="L246" s="28">
        <f>IF($B246="","",IF($K246="","—",IF(ROUND($K246-$J246,0)=0,"√","×")))</f>
        <v/>
      </c>
      <c r="M246" s="28">
        <f>IF($B246="","",IF(COUNTIFS(EntryDates,$B246,CalcTime,$C246,CalcBank,$C$5,EntryParty,$D246,EntryDep,$H246,EntryWit,$I246)&gt;1,"تکرار",""))</f>
        <v/>
      </c>
      <c r="N246" s="28">
        <f>IF($P246="","",IF(INDEX(EntryNotes,$P246)=0,"",INDEX(EntryNotes,$P246)))</f>
        <v/>
      </c>
      <c r="O246" s="28">
        <f>IF($P246="","",IF(INDEX(EntryTxnID,$P246)=0,"",INDEX(EntryTxnID,$P246)))</f>
        <v/>
      </c>
      <c r="P246" s="28">
        <f>IFERROR(MATCH($C$5&amp;"|"&amp;RIGHT("000000"&amp;230,6),CalcRankKey,0),"")</f>
        <v/>
      </c>
    </row>
    <row r="247">
      <c r="A247" s="26">
        <f>IF($B247="","",231)</f>
        <v/>
      </c>
      <c r="B247" s="26">
        <f>IF($P247="","",IF(INDEX(CalcNormDate,$P247)=0,"",INDEX(CalcNormDate,$P247)))</f>
        <v/>
      </c>
      <c r="C247" s="26">
        <f>IF($P247="","",IF(INDEX(CalcTime,$P247)=0,"",INDEX(CalcTime,$P247)))</f>
        <v/>
      </c>
      <c r="D247" s="26">
        <f>IF($P247="","",IF(INDEX(EntryParty,$P247)=0,"",INDEX(EntryParty,$P247)))</f>
        <v/>
      </c>
      <c r="E247" s="26">
        <f>IF($P247="","",IF(INDEX(EntryPartyName,$P247)=0,"",INDEX(EntryPartyName,$P247)))</f>
        <v/>
      </c>
      <c r="F247" s="26">
        <f>IF($P247="","",IF(INDEX(EntryPartyType,$P247)=0,"",INDEX(EntryPartyType,$P247)))</f>
        <v/>
      </c>
      <c r="G247" s="26">
        <f>IF($P247="","",IF(INDEX(EntryTxnType,$P247)=0,"",INDEX(EntryTxnType,$P247)))</f>
        <v/>
      </c>
      <c r="H247" s="27">
        <f>IF($P247="","",IF(INDEX(EntryDep,$P247)=0,"",INDEX(EntryDep,$P247)))</f>
        <v/>
      </c>
      <c r="I247" s="27">
        <f>IF($P247="","",IF(INDEX(EntryWit,$P247)=0,"",INDEX(EntryWit,$P247)))</f>
        <v/>
      </c>
      <c r="J247" s="27">
        <f>IF($B247="","",IF($A247=1,$C$7,IF(J246="",0,J246))+IF($H247="",0,$H247)-IF($I247="",0,$I247))</f>
        <v/>
      </c>
      <c r="K247" s="27">
        <f>IF($P247="","",IF(INDEX(EntryMan,$P247)=0,"",INDEX(EntryMan,$P247)))</f>
        <v/>
      </c>
      <c r="L247" s="26">
        <f>IF($B247="","",IF($K247="","—",IF(ROUND($K247-$J247,0)=0,"√","×")))</f>
        <v/>
      </c>
      <c r="M247" s="26">
        <f>IF($B247="","",IF(COUNTIFS(EntryDates,$B247,CalcTime,$C247,CalcBank,$C$5,EntryParty,$D247,EntryDep,$H247,EntryWit,$I247)&gt;1,"تکرار",""))</f>
        <v/>
      </c>
      <c r="N247" s="26">
        <f>IF($P247="","",IF(INDEX(EntryNotes,$P247)=0,"",INDEX(EntryNotes,$P247)))</f>
        <v/>
      </c>
      <c r="O247" s="26">
        <f>IF($P247="","",IF(INDEX(EntryTxnID,$P247)=0,"",INDEX(EntryTxnID,$P247)))</f>
        <v/>
      </c>
      <c r="P247" s="26">
        <f>IFERROR(MATCH($C$5&amp;"|"&amp;RIGHT("000000"&amp;231,6),CalcRankKey,0),"")</f>
        <v/>
      </c>
    </row>
    <row r="248">
      <c r="A248" s="28">
        <f>IF($B248="","",232)</f>
        <v/>
      </c>
      <c r="B248" s="28">
        <f>IF($P248="","",IF(INDEX(CalcNormDate,$P248)=0,"",INDEX(CalcNormDate,$P248)))</f>
        <v/>
      </c>
      <c r="C248" s="28">
        <f>IF($P248="","",IF(INDEX(CalcTime,$P248)=0,"",INDEX(CalcTime,$P248)))</f>
        <v/>
      </c>
      <c r="D248" s="28">
        <f>IF($P248="","",IF(INDEX(EntryParty,$P248)=0,"",INDEX(EntryParty,$P248)))</f>
        <v/>
      </c>
      <c r="E248" s="28">
        <f>IF($P248="","",IF(INDEX(EntryPartyName,$P248)=0,"",INDEX(EntryPartyName,$P248)))</f>
        <v/>
      </c>
      <c r="F248" s="28">
        <f>IF($P248="","",IF(INDEX(EntryPartyType,$P248)=0,"",INDEX(EntryPartyType,$P248)))</f>
        <v/>
      </c>
      <c r="G248" s="28">
        <f>IF($P248="","",IF(INDEX(EntryTxnType,$P248)=0,"",INDEX(EntryTxnType,$P248)))</f>
        <v/>
      </c>
      <c r="H248" s="29">
        <f>IF($P248="","",IF(INDEX(EntryDep,$P248)=0,"",INDEX(EntryDep,$P248)))</f>
        <v/>
      </c>
      <c r="I248" s="29">
        <f>IF($P248="","",IF(INDEX(EntryWit,$P248)=0,"",INDEX(EntryWit,$P248)))</f>
        <v/>
      </c>
      <c r="J248" s="29">
        <f>IF($B248="","",IF($A248=1,$C$7,IF(J247="",0,J247))+IF($H248="",0,$H248)-IF($I248="",0,$I248))</f>
        <v/>
      </c>
      <c r="K248" s="29">
        <f>IF($P248="","",IF(INDEX(EntryMan,$P248)=0,"",INDEX(EntryMan,$P248)))</f>
        <v/>
      </c>
      <c r="L248" s="28">
        <f>IF($B248="","",IF($K248="","—",IF(ROUND($K248-$J248,0)=0,"√","×")))</f>
        <v/>
      </c>
      <c r="M248" s="28">
        <f>IF($B248="","",IF(COUNTIFS(EntryDates,$B248,CalcTime,$C248,CalcBank,$C$5,EntryParty,$D248,EntryDep,$H248,EntryWit,$I248)&gt;1,"تکرار",""))</f>
        <v/>
      </c>
      <c r="N248" s="28">
        <f>IF($P248="","",IF(INDEX(EntryNotes,$P248)=0,"",INDEX(EntryNotes,$P248)))</f>
        <v/>
      </c>
      <c r="O248" s="28">
        <f>IF($P248="","",IF(INDEX(EntryTxnID,$P248)=0,"",INDEX(EntryTxnID,$P248)))</f>
        <v/>
      </c>
      <c r="P248" s="28">
        <f>IFERROR(MATCH($C$5&amp;"|"&amp;RIGHT("000000"&amp;232,6),CalcRankKey,0),"")</f>
        <v/>
      </c>
    </row>
    <row r="249">
      <c r="A249" s="26">
        <f>IF($B249="","",233)</f>
        <v/>
      </c>
      <c r="B249" s="26">
        <f>IF($P249="","",IF(INDEX(CalcNormDate,$P249)=0,"",INDEX(CalcNormDate,$P249)))</f>
        <v/>
      </c>
      <c r="C249" s="26">
        <f>IF($P249="","",IF(INDEX(CalcTime,$P249)=0,"",INDEX(CalcTime,$P249)))</f>
        <v/>
      </c>
      <c r="D249" s="26">
        <f>IF($P249="","",IF(INDEX(EntryParty,$P249)=0,"",INDEX(EntryParty,$P249)))</f>
        <v/>
      </c>
      <c r="E249" s="26">
        <f>IF($P249="","",IF(INDEX(EntryPartyName,$P249)=0,"",INDEX(EntryPartyName,$P249)))</f>
        <v/>
      </c>
      <c r="F249" s="26">
        <f>IF($P249="","",IF(INDEX(EntryPartyType,$P249)=0,"",INDEX(EntryPartyType,$P249)))</f>
        <v/>
      </c>
      <c r="G249" s="26">
        <f>IF($P249="","",IF(INDEX(EntryTxnType,$P249)=0,"",INDEX(EntryTxnType,$P249)))</f>
        <v/>
      </c>
      <c r="H249" s="27">
        <f>IF($P249="","",IF(INDEX(EntryDep,$P249)=0,"",INDEX(EntryDep,$P249)))</f>
        <v/>
      </c>
      <c r="I249" s="27">
        <f>IF($P249="","",IF(INDEX(EntryWit,$P249)=0,"",INDEX(EntryWit,$P249)))</f>
        <v/>
      </c>
      <c r="J249" s="27">
        <f>IF($B249="","",IF($A249=1,$C$7,IF(J248="",0,J248))+IF($H249="",0,$H249)-IF($I249="",0,$I249))</f>
        <v/>
      </c>
      <c r="K249" s="27">
        <f>IF($P249="","",IF(INDEX(EntryMan,$P249)=0,"",INDEX(EntryMan,$P249)))</f>
        <v/>
      </c>
      <c r="L249" s="26">
        <f>IF($B249="","",IF($K249="","—",IF(ROUND($K249-$J249,0)=0,"√","×")))</f>
        <v/>
      </c>
      <c r="M249" s="26">
        <f>IF($B249="","",IF(COUNTIFS(EntryDates,$B249,CalcTime,$C249,CalcBank,$C$5,EntryParty,$D249,EntryDep,$H249,EntryWit,$I249)&gt;1,"تکرار",""))</f>
        <v/>
      </c>
      <c r="N249" s="26">
        <f>IF($P249="","",IF(INDEX(EntryNotes,$P249)=0,"",INDEX(EntryNotes,$P249)))</f>
        <v/>
      </c>
      <c r="O249" s="26">
        <f>IF($P249="","",IF(INDEX(EntryTxnID,$P249)=0,"",INDEX(EntryTxnID,$P249)))</f>
        <v/>
      </c>
      <c r="P249" s="26">
        <f>IFERROR(MATCH($C$5&amp;"|"&amp;RIGHT("000000"&amp;233,6),CalcRankKey,0),"")</f>
        <v/>
      </c>
    </row>
    <row r="250">
      <c r="A250" s="28">
        <f>IF($B250="","",234)</f>
        <v/>
      </c>
      <c r="B250" s="28">
        <f>IF($P250="","",IF(INDEX(CalcNormDate,$P250)=0,"",INDEX(CalcNormDate,$P250)))</f>
        <v/>
      </c>
      <c r="C250" s="28">
        <f>IF($P250="","",IF(INDEX(CalcTime,$P250)=0,"",INDEX(CalcTime,$P250)))</f>
        <v/>
      </c>
      <c r="D250" s="28">
        <f>IF($P250="","",IF(INDEX(EntryParty,$P250)=0,"",INDEX(EntryParty,$P250)))</f>
        <v/>
      </c>
      <c r="E250" s="28">
        <f>IF($P250="","",IF(INDEX(EntryPartyName,$P250)=0,"",INDEX(EntryPartyName,$P250)))</f>
        <v/>
      </c>
      <c r="F250" s="28">
        <f>IF($P250="","",IF(INDEX(EntryPartyType,$P250)=0,"",INDEX(EntryPartyType,$P250)))</f>
        <v/>
      </c>
      <c r="G250" s="28">
        <f>IF($P250="","",IF(INDEX(EntryTxnType,$P250)=0,"",INDEX(EntryTxnType,$P250)))</f>
        <v/>
      </c>
      <c r="H250" s="29">
        <f>IF($P250="","",IF(INDEX(EntryDep,$P250)=0,"",INDEX(EntryDep,$P250)))</f>
        <v/>
      </c>
      <c r="I250" s="29">
        <f>IF($P250="","",IF(INDEX(EntryWit,$P250)=0,"",INDEX(EntryWit,$P250)))</f>
        <v/>
      </c>
      <c r="J250" s="29">
        <f>IF($B250="","",IF($A250=1,$C$7,IF(J249="",0,J249))+IF($H250="",0,$H250)-IF($I250="",0,$I250))</f>
        <v/>
      </c>
      <c r="K250" s="29">
        <f>IF($P250="","",IF(INDEX(EntryMan,$P250)=0,"",INDEX(EntryMan,$P250)))</f>
        <v/>
      </c>
      <c r="L250" s="28">
        <f>IF($B250="","",IF($K250="","—",IF(ROUND($K250-$J250,0)=0,"√","×")))</f>
        <v/>
      </c>
      <c r="M250" s="28">
        <f>IF($B250="","",IF(COUNTIFS(EntryDates,$B250,CalcTime,$C250,CalcBank,$C$5,EntryParty,$D250,EntryDep,$H250,EntryWit,$I250)&gt;1,"تکرار",""))</f>
        <v/>
      </c>
      <c r="N250" s="28">
        <f>IF($P250="","",IF(INDEX(EntryNotes,$P250)=0,"",INDEX(EntryNotes,$P250)))</f>
        <v/>
      </c>
      <c r="O250" s="28">
        <f>IF($P250="","",IF(INDEX(EntryTxnID,$P250)=0,"",INDEX(EntryTxnID,$P250)))</f>
        <v/>
      </c>
      <c r="P250" s="28">
        <f>IFERROR(MATCH($C$5&amp;"|"&amp;RIGHT("000000"&amp;234,6),CalcRankKey,0),"")</f>
        <v/>
      </c>
    </row>
    <row r="251">
      <c r="A251" s="26">
        <f>IF($B251="","",235)</f>
        <v/>
      </c>
      <c r="B251" s="26">
        <f>IF($P251="","",IF(INDEX(CalcNormDate,$P251)=0,"",INDEX(CalcNormDate,$P251)))</f>
        <v/>
      </c>
      <c r="C251" s="26">
        <f>IF($P251="","",IF(INDEX(CalcTime,$P251)=0,"",INDEX(CalcTime,$P251)))</f>
        <v/>
      </c>
      <c r="D251" s="26">
        <f>IF($P251="","",IF(INDEX(EntryParty,$P251)=0,"",INDEX(EntryParty,$P251)))</f>
        <v/>
      </c>
      <c r="E251" s="26">
        <f>IF($P251="","",IF(INDEX(EntryPartyName,$P251)=0,"",INDEX(EntryPartyName,$P251)))</f>
        <v/>
      </c>
      <c r="F251" s="26">
        <f>IF($P251="","",IF(INDEX(EntryPartyType,$P251)=0,"",INDEX(EntryPartyType,$P251)))</f>
        <v/>
      </c>
      <c r="G251" s="26">
        <f>IF($P251="","",IF(INDEX(EntryTxnType,$P251)=0,"",INDEX(EntryTxnType,$P251)))</f>
        <v/>
      </c>
      <c r="H251" s="27">
        <f>IF($P251="","",IF(INDEX(EntryDep,$P251)=0,"",INDEX(EntryDep,$P251)))</f>
        <v/>
      </c>
      <c r="I251" s="27">
        <f>IF($P251="","",IF(INDEX(EntryWit,$P251)=0,"",INDEX(EntryWit,$P251)))</f>
        <v/>
      </c>
      <c r="J251" s="27">
        <f>IF($B251="","",IF($A251=1,$C$7,IF(J250="",0,J250))+IF($H251="",0,$H251)-IF($I251="",0,$I251))</f>
        <v/>
      </c>
      <c r="K251" s="27">
        <f>IF($P251="","",IF(INDEX(EntryMan,$P251)=0,"",INDEX(EntryMan,$P251)))</f>
        <v/>
      </c>
      <c r="L251" s="26">
        <f>IF($B251="","",IF($K251="","—",IF(ROUND($K251-$J251,0)=0,"√","×")))</f>
        <v/>
      </c>
      <c r="M251" s="26">
        <f>IF($B251="","",IF(COUNTIFS(EntryDates,$B251,CalcTime,$C251,CalcBank,$C$5,EntryParty,$D251,EntryDep,$H251,EntryWit,$I251)&gt;1,"تکرار",""))</f>
        <v/>
      </c>
      <c r="N251" s="26">
        <f>IF($P251="","",IF(INDEX(EntryNotes,$P251)=0,"",INDEX(EntryNotes,$P251)))</f>
        <v/>
      </c>
      <c r="O251" s="26">
        <f>IF($P251="","",IF(INDEX(EntryTxnID,$P251)=0,"",INDEX(EntryTxnID,$P251)))</f>
        <v/>
      </c>
      <c r="P251" s="26">
        <f>IFERROR(MATCH($C$5&amp;"|"&amp;RIGHT("000000"&amp;235,6),CalcRankKey,0),"")</f>
        <v/>
      </c>
    </row>
    <row r="252">
      <c r="A252" s="28">
        <f>IF($B252="","",236)</f>
        <v/>
      </c>
      <c r="B252" s="28">
        <f>IF($P252="","",IF(INDEX(CalcNormDate,$P252)=0,"",INDEX(CalcNormDate,$P252)))</f>
        <v/>
      </c>
      <c r="C252" s="28">
        <f>IF($P252="","",IF(INDEX(CalcTime,$P252)=0,"",INDEX(CalcTime,$P252)))</f>
        <v/>
      </c>
      <c r="D252" s="28">
        <f>IF($P252="","",IF(INDEX(EntryParty,$P252)=0,"",INDEX(EntryParty,$P252)))</f>
        <v/>
      </c>
      <c r="E252" s="28">
        <f>IF($P252="","",IF(INDEX(EntryPartyName,$P252)=0,"",INDEX(EntryPartyName,$P252)))</f>
        <v/>
      </c>
      <c r="F252" s="28">
        <f>IF($P252="","",IF(INDEX(EntryPartyType,$P252)=0,"",INDEX(EntryPartyType,$P252)))</f>
        <v/>
      </c>
      <c r="G252" s="28">
        <f>IF($P252="","",IF(INDEX(EntryTxnType,$P252)=0,"",INDEX(EntryTxnType,$P252)))</f>
        <v/>
      </c>
      <c r="H252" s="29">
        <f>IF($P252="","",IF(INDEX(EntryDep,$P252)=0,"",INDEX(EntryDep,$P252)))</f>
        <v/>
      </c>
      <c r="I252" s="29">
        <f>IF($P252="","",IF(INDEX(EntryWit,$P252)=0,"",INDEX(EntryWit,$P252)))</f>
        <v/>
      </c>
      <c r="J252" s="29">
        <f>IF($B252="","",IF($A252=1,$C$7,IF(J251="",0,J251))+IF($H252="",0,$H252)-IF($I252="",0,$I252))</f>
        <v/>
      </c>
      <c r="K252" s="29">
        <f>IF($P252="","",IF(INDEX(EntryMan,$P252)=0,"",INDEX(EntryMan,$P252)))</f>
        <v/>
      </c>
      <c r="L252" s="28">
        <f>IF($B252="","",IF($K252="","—",IF(ROUND($K252-$J252,0)=0,"√","×")))</f>
        <v/>
      </c>
      <c r="M252" s="28">
        <f>IF($B252="","",IF(COUNTIFS(EntryDates,$B252,CalcTime,$C252,CalcBank,$C$5,EntryParty,$D252,EntryDep,$H252,EntryWit,$I252)&gt;1,"تکرار",""))</f>
        <v/>
      </c>
      <c r="N252" s="28">
        <f>IF($P252="","",IF(INDEX(EntryNotes,$P252)=0,"",INDEX(EntryNotes,$P252)))</f>
        <v/>
      </c>
      <c r="O252" s="28">
        <f>IF($P252="","",IF(INDEX(EntryTxnID,$P252)=0,"",INDEX(EntryTxnID,$P252)))</f>
        <v/>
      </c>
      <c r="P252" s="28">
        <f>IFERROR(MATCH($C$5&amp;"|"&amp;RIGHT("000000"&amp;236,6),CalcRankKey,0),"")</f>
        <v/>
      </c>
    </row>
    <row r="253">
      <c r="A253" s="26">
        <f>IF($B253="","",237)</f>
        <v/>
      </c>
      <c r="B253" s="26">
        <f>IF($P253="","",IF(INDEX(CalcNormDate,$P253)=0,"",INDEX(CalcNormDate,$P253)))</f>
        <v/>
      </c>
      <c r="C253" s="26">
        <f>IF($P253="","",IF(INDEX(CalcTime,$P253)=0,"",INDEX(CalcTime,$P253)))</f>
        <v/>
      </c>
      <c r="D253" s="26">
        <f>IF($P253="","",IF(INDEX(EntryParty,$P253)=0,"",INDEX(EntryParty,$P253)))</f>
        <v/>
      </c>
      <c r="E253" s="26">
        <f>IF($P253="","",IF(INDEX(EntryPartyName,$P253)=0,"",INDEX(EntryPartyName,$P253)))</f>
        <v/>
      </c>
      <c r="F253" s="26">
        <f>IF($P253="","",IF(INDEX(EntryPartyType,$P253)=0,"",INDEX(EntryPartyType,$P253)))</f>
        <v/>
      </c>
      <c r="G253" s="26">
        <f>IF($P253="","",IF(INDEX(EntryTxnType,$P253)=0,"",INDEX(EntryTxnType,$P253)))</f>
        <v/>
      </c>
      <c r="H253" s="27">
        <f>IF($P253="","",IF(INDEX(EntryDep,$P253)=0,"",INDEX(EntryDep,$P253)))</f>
        <v/>
      </c>
      <c r="I253" s="27">
        <f>IF($P253="","",IF(INDEX(EntryWit,$P253)=0,"",INDEX(EntryWit,$P253)))</f>
        <v/>
      </c>
      <c r="J253" s="27">
        <f>IF($B253="","",IF($A253=1,$C$7,IF(J252="",0,J252))+IF($H253="",0,$H253)-IF($I253="",0,$I253))</f>
        <v/>
      </c>
      <c r="K253" s="27">
        <f>IF($P253="","",IF(INDEX(EntryMan,$P253)=0,"",INDEX(EntryMan,$P253)))</f>
        <v/>
      </c>
      <c r="L253" s="26">
        <f>IF($B253="","",IF($K253="","—",IF(ROUND($K253-$J253,0)=0,"√","×")))</f>
        <v/>
      </c>
      <c r="M253" s="26">
        <f>IF($B253="","",IF(COUNTIFS(EntryDates,$B253,CalcTime,$C253,CalcBank,$C$5,EntryParty,$D253,EntryDep,$H253,EntryWit,$I253)&gt;1,"تکرار",""))</f>
        <v/>
      </c>
      <c r="N253" s="26">
        <f>IF($P253="","",IF(INDEX(EntryNotes,$P253)=0,"",INDEX(EntryNotes,$P253)))</f>
        <v/>
      </c>
      <c r="O253" s="26">
        <f>IF($P253="","",IF(INDEX(EntryTxnID,$P253)=0,"",INDEX(EntryTxnID,$P253)))</f>
        <v/>
      </c>
      <c r="P253" s="26">
        <f>IFERROR(MATCH($C$5&amp;"|"&amp;RIGHT("000000"&amp;237,6),CalcRankKey,0),"")</f>
        <v/>
      </c>
    </row>
    <row r="254">
      <c r="A254" s="28">
        <f>IF($B254="","",238)</f>
        <v/>
      </c>
      <c r="B254" s="28">
        <f>IF($P254="","",IF(INDEX(CalcNormDate,$P254)=0,"",INDEX(CalcNormDate,$P254)))</f>
        <v/>
      </c>
      <c r="C254" s="28">
        <f>IF($P254="","",IF(INDEX(CalcTime,$P254)=0,"",INDEX(CalcTime,$P254)))</f>
        <v/>
      </c>
      <c r="D254" s="28">
        <f>IF($P254="","",IF(INDEX(EntryParty,$P254)=0,"",INDEX(EntryParty,$P254)))</f>
        <v/>
      </c>
      <c r="E254" s="28">
        <f>IF($P254="","",IF(INDEX(EntryPartyName,$P254)=0,"",INDEX(EntryPartyName,$P254)))</f>
        <v/>
      </c>
      <c r="F254" s="28">
        <f>IF($P254="","",IF(INDEX(EntryPartyType,$P254)=0,"",INDEX(EntryPartyType,$P254)))</f>
        <v/>
      </c>
      <c r="G254" s="28">
        <f>IF($P254="","",IF(INDEX(EntryTxnType,$P254)=0,"",INDEX(EntryTxnType,$P254)))</f>
        <v/>
      </c>
      <c r="H254" s="29">
        <f>IF($P254="","",IF(INDEX(EntryDep,$P254)=0,"",INDEX(EntryDep,$P254)))</f>
        <v/>
      </c>
      <c r="I254" s="29">
        <f>IF($P254="","",IF(INDEX(EntryWit,$P254)=0,"",INDEX(EntryWit,$P254)))</f>
        <v/>
      </c>
      <c r="J254" s="29">
        <f>IF($B254="","",IF($A254=1,$C$7,IF(J253="",0,J253))+IF($H254="",0,$H254)-IF($I254="",0,$I254))</f>
        <v/>
      </c>
      <c r="K254" s="29">
        <f>IF($P254="","",IF(INDEX(EntryMan,$P254)=0,"",INDEX(EntryMan,$P254)))</f>
        <v/>
      </c>
      <c r="L254" s="28">
        <f>IF($B254="","",IF($K254="","—",IF(ROUND($K254-$J254,0)=0,"√","×")))</f>
        <v/>
      </c>
      <c r="M254" s="28">
        <f>IF($B254="","",IF(COUNTIFS(EntryDates,$B254,CalcTime,$C254,CalcBank,$C$5,EntryParty,$D254,EntryDep,$H254,EntryWit,$I254)&gt;1,"تکرار",""))</f>
        <v/>
      </c>
      <c r="N254" s="28">
        <f>IF($P254="","",IF(INDEX(EntryNotes,$P254)=0,"",INDEX(EntryNotes,$P254)))</f>
        <v/>
      </c>
      <c r="O254" s="28">
        <f>IF($P254="","",IF(INDEX(EntryTxnID,$P254)=0,"",INDEX(EntryTxnID,$P254)))</f>
        <v/>
      </c>
      <c r="P254" s="28">
        <f>IFERROR(MATCH($C$5&amp;"|"&amp;RIGHT("000000"&amp;238,6),CalcRankKey,0),"")</f>
        <v/>
      </c>
    </row>
    <row r="255">
      <c r="A255" s="26">
        <f>IF($B255="","",239)</f>
        <v/>
      </c>
      <c r="B255" s="26">
        <f>IF($P255="","",IF(INDEX(CalcNormDate,$P255)=0,"",INDEX(CalcNormDate,$P255)))</f>
        <v/>
      </c>
      <c r="C255" s="26">
        <f>IF($P255="","",IF(INDEX(CalcTime,$P255)=0,"",INDEX(CalcTime,$P255)))</f>
        <v/>
      </c>
      <c r="D255" s="26">
        <f>IF($P255="","",IF(INDEX(EntryParty,$P255)=0,"",INDEX(EntryParty,$P255)))</f>
        <v/>
      </c>
      <c r="E255" s="26">
        <f>IF($P255="","",IF(INDEX(EntryPartyName,$P255)=0,"",INDEX(EntryPartyName,$P255)))</f>
        <v/>
      </c>
      <c r="F255" s="26">
        <f>IF($P255="","",IF(INDEX(EntryPartyType,$P255)=0,"",INDEX(EntryPartyType,$P255)))</f>
        <v/>
      </c>
      <c r="G255" s="26">
        <f>IF($P255="","",IF(INDEX(EntryTxnType,$P255)=0,"",INDEX(EntryTxnType,$P255)))</f>
        <v/>
      </c>
      <c r="H255" s="27">
        <f>IF($P255="","",IF(INDEX(EntryDep,$P255)=0,"",INDEX(EntryDep,$P255)))</f>
        <v/>
      </c>
      <c r="I255" s="27">
        <f>IF($P255="","",IF(INDEX(EntryWit,$P255)=0,"",INDEX(EntryWit,$P255)))</f>
        <v/>
      </c>
      <c r="J255" s="27">
        <f>IF($B255="","",IF($A255=1,$C$7,IF(J254="",0,J254))+IF($H255="",0,$H255)-IF($I255="",0,$I255))</f>
        <v/>
      </c>
      <c r="K255" s="27">
        <f>IF($P255="","",IF(INDEX(EntryMan,$P255)=0,"",INDEX(EntryMan,$P255)))</f>
        <v/>
      </c>
      <c r="L255" s="26">
        <f>IF($B255="","",IF($K255="","—",IF(ROUND($K255-$J255,0)=0,"√","×")))</f>
        <v/>
      </c>
      <c r="M255" s="26">
        <f>IF($B255="","",IF(COUNTIFS(EntryDates,$B255,CalcTime,$C255,CalcBank,$C$5,EntryParty,$D255,EntryDep,$H255,EntryWit,$I255)&gt;1,"تکرار",""))</f>
        <v/>
      </c>
      <c r="N255" s="26">
        <f>IF($P255="","",IF(INDEX(EntryNotes,$P255)=0,"",INDEX(EntryNotes,$P255)))</f>
        <v/>
      </c>
      <c r="O255" s="26">
        <f>IF($P255="","",IF(INDEX(EntryTxnID,$P255)=0,"",INDEX(EntryTxnID,$P255)))</f>
        <v/>
      </c>
      <c r="P255" s="26">
        <f>IFERROR(MATCH($C$5&amp;"|"&amp;RIGHT("000000"&amp;239,6),CalcRankKey,0),"")</f>
        <v/>
      </c>
    </row>
    <row r="256">
      <c r="A256" s="28">
        <f>IF($B256="","",240)</f>
        <v/>
      </c>
      <c r="B256" s="28">
        <f>IF($P256="","",IF(INDEX(CalcNormDate,$P256)=0,"",INDEX(CalcNormDate,$P256)))</f>
        <v/>
      </c>
      <c r="C256" s="28">
        <f>IF($P256="","",IF(INDEX(CalcTime,$P256)=0,"",INDEX(CalcTime,$P256)))</f>
        <v/>
      </c>
      <c r="D256" s="28">
        <f>IF($P256="","",IF(INDEX(EntryParty,$P256)=0,"",INDEX(EntryParty,$P256)))</f>
        <v/>
      </c>
      <c r="E256" s="28">
        <f>IF($P256="","",IF(INDEX(EntryPartyName,$P256)=0,"",INDEX(EntryPartyName,$P256)))</f>
        <v/>
      </c>
      <c r="F256" s="28">
        <f>IF($P256="","",IF(INDEX(EntryPartyType,$P256)=0,"",INDEX(EntryPartyType,$P256)))</f>
        <v/>
      </c>
      <c r="G256" s="28">
        <f>IF($P256="","",IF(INDEX(EntryTxnType,$P256)=0,"",INDEX(EntryTxnType,$P256)))</f>
        <v/>
      </c>
      <c r="H256" s="29">
        <f>IF($P256="","",IF(INDEX(EntryDep,$P256)=0,"",INDEX(EntryDep,$P256)))</f>
        <v/>
      </c>
      <c r="I256" s="29">
        <f>IF($P256="","",IF(INDEX(EntryWit,$P256)=0,"",INDEX(EntryWit,$P256)))</f>
        <v/>
      </c>
      <c r="J256" s="29">
        <f>IF($B256="","",IF($A256=1,$C$7,IF(J255="",0,J255))+IF($H256="",0,$H256)-IF($I256="",0,$I256))</f>
        <v/>
      </c>
      <c r="K256" s="29">
        <f>IF($P256="","",IF(INDEX(EntryMan,$P256)=0,"",INDEX(EntryMan,$P256)))</f>
        <v/>
      </c>
      <c r="L256" s="28">
        <f>IF($B256="","",IF($K256="","—",IF(ROUND($K256-$J256,0)=0,"√","×")))</f>
        <v/>
      </c>
      <c r="M256" s="28">
        <f>IF($B256="","",IF(COUNTIFS(EntryDates,$B256,CalcTime,$C256,CalcBank,$C$5,EntryParty,$D256,EntryDep,$H256,EntryWit,$I256)&gt;1,"تکرار",""))</f>
        <v/>
      </c>
      <c r="N256" s="28">
        <f>IF($P256="","",IF(INDEX(EntryNotes,$P256)=0,"",INDEX(EntryNotes,$P256)))</f>
        <v/>
      </c>
      <c r="O256" s="28">
        <f>IF($P256="","",IF(INDEX(EntryTxnID,$P256)=0,"",INDEX(EntryTxnID,$P256)))</f>
        <v/>
      </c>
      <c r="P256" s="28">
        <f>IFERROR(MATCH($C$5&amp;"|"&amp;RIGHT("000000"&amp;240,6),CalcRankKey,0),"")</f>
        <v/>
      </c>
    </row>
    <row r="257">
      <c r="A257" s="26">
        <f>IF($B257="","",241)</f>
        <v/>
      </c>
      <c r="B257" s="26">
        <f>IF($P257="","",IF(INDEX(CalcNormDate,$P257)=0,"",INDEX(CalcNormDate,$P257)))</f>
        <v/>
      </c>
      <c r="C257" s="26">
        <f>IF($P257="","",IF(INDEX(CalcTime,$P257)=0,"",INDEX(CalcTime,$P257)))</f>
        <v/>
      </c>
      <c r="D257" s="26">
        <f>IF($P257="","",IF(INDEX(EntryParty,$P257)=0,"",INDEX(EntryParty,$P257)))</f>
        <v/>
      </c>
      <c r="E257" s="26">
        <f>IF($P257="","",IF(INDEX(EntryPartyName,$P257)=0,"",INDEX(EntryPartyName,$P257)))</f>
        <v/>
      </c>
      <c r="F257" s="26">
        <f>IF($P257="","",IF(INDEX(EntryPartyType,$P257)=0,"",INDEX(EntryPartyType,$P257)))</f>
        <v/>
      </c>
      <c r="G257" s="26">
        <f>IF($P257="","",IF(INDEX(EntryTxnType,$P257)=0,"",INDEX(EntryTxnType,$P257)))</f>
        <v/>
      </c>
      <c r="H257" s="27">
        <f>IF($P257="","",IF(INDEX(EntryDep,$P257)=0,"",INDEX(EntryDep,$P257)))</f>
        <v/>
      </c>
      <c r="I257" s="27">
        <f>IF($P257="","",IF(INDEX(EntryWit,$P257)=0,"",INDEX(EntryWit,$P257)))</f>
        <v/>
      </c>
      <c r="J257" s="27">
        <f>IF($B257="","",IF($A257=1,$C$7,IF(J256="",0,J256))+IF($H257="",0,$H257)-IF($I257="",0,$I257))</f>
        <v/>
      </c>
      <c r="K257" s="27">
        <f>IF($P257="","",IF(INDEX(EntryMan,$P257)=0,"",INDEX(EntryMan,$P257)))</f>
        <v/>
      </c>
      <c r="L257" s="26">
        <f>IF($B257="","",IF($K257="","—",IF(ROUND($K257-$J257,0)=0,"√","×")))</f>
        <v/>
      </c>
      <c r="M257" s="26">
        <f>IF($B257="","",IF(COUNTIFS(EntryDates,$B257,CalcTime,$C257,CalcBank,$C$5,EntryParty,$D257,EntryDep,$H257,EntryWit,$I257)&gt;1,"تکرار",""))</f>
        <v/>
      </c>
      <c r="N257" s="26">
        <f>IF($P257="","",IF(INDEX(EntryNotes,$P257)=0,"",INDEX(EntryNotes,$P257)))</f>
        <v/>
      </c>
      <c r="O257" s="26">
        <f>IF($P257="","",IF(INDEX(EntryTxnID,$P257)=0,"",INDEX(EntryTxnID,$P257)))</f>
        <v/>
      </c>
      <c r="P257" s="26">
        <f>IFERROR(MATCH($C$5&amp;"|"&amp;RIGHT("000000"&amp;241,6),CalcRankKey,0),"")</f>
        <v/>
      </c>
    </row>
    <row r="258">
      <c r="A258" s="28">
        <f>IF($B258="","",242)</f>
        <v/>
      </c>
      <c r="B258" s="28">
        <f>IF($P258="","",IF(INDEX(CalcNormDate,$P258)=0,"",INDEX(CalcNormDate,$P258)))</f>
        <v/>
      </c>
      <c r="C258" s="28">
        <f>IF($P258="","",IF(INDEX(CalcTime,$P258)=0,"",INDEX(CalcTime,$P258)))</f>
        <v/>
      </c>
      <c r="D258" s="28">
        <f>IF($P258="","",IF(INDEX(EntryParty,$P258)=0,"",INDEX(EntryParty,$P258)))</f>
        <v/>
      </c>
      <c r="E258" s="28">
        <f>IF($P258="","",IF(INDEX(EntryPartyName,$P258)=0,"",INDEX(EntryPartyName,$P258)))</f>
        <v/>
      </c>
      <c r="F258" s="28">
        <f>IF($P258="","",IF(INDEX(EntryPartyType,$P258)=0,"",INDEX(EntryPartyType,$P258)))</f>
        <v/>
      </c>
      <c r="G258" s="28">
        <f>IF($P258="","",IF(INDEX(EntryTxnType,$P258)=0,"",INDEX(EntryTxnType,$P258)))</f>
        <v/>
      </c>
      <c r="H258" s="29">
        <f>IF($P258="","",IF(INDEX(EntryDep,$P258)=0,"",INDEX(EntryDep,$P258)))</f>
        <v/>
      </c>
      <c r="I258" s="29">
        <f>IF($P258="","",IF(INDEX(EntryWit,$P258)=0,"",INDEX(EntryWit,$P258)))</f>
        <v/>
      </c>
      <c r="J258" s="29">
        <f>IF($B258="","",IF($A258=1,$C$7,IF(J257="",0,J257))+IF($H258="",0,$H258)-IF($I258="",0,$I258))</f>
        <v/>
      </c>
      <c r="K258" s="29">
        <f>IF($P258="","",IF(INDEX(EntryMan,$P258)=0,"",INDEX(EntryMan,$P258)))</f>
        <v/>
      </c>
      <c r="L258" s="28">
        <f>IF($B258="","",IF($K258="","—",IF(ROUND($K258-$J258,0)=0,"√","×")))</f>
        <v/>
      </c>
      <c r="M258" s="28">
        <f>IF($B258="","",IF(COUNTIFS(EntryDates,$B258,CalcTime,$C258,CalcBank,$C$5,EntryParty,$D258,EntryDep,$H258,EntryWit,$I258)&gt;1,"تکرار",""))</f>
        <v/>
      </c>
      <c r="N258" s="28">
        <f>IF($P258="","",IF(INDEX(EntryNotes,$P258)=0,"",INDEX(EntryNotes,$P258)))</f>
        <v/>
      </c>
      <c r="O258" s="28">
        <f>IF($P258="","",IF(INDEX(EntryTxnID,$P258)=0,"",INDEX(EntryTxnID,$P258)))</f>
        <v/>
      </c>
      <c r="P258" s="28">
        <f>IFERROR(MATCH($C$5&amp;"|"&amp;RIGHT("000000"&amp;242,6),CalcRankKey,0),"")</f>
        <v/>
      </c>
    </row>
    <row r="259">
      <c r="A259" s="26">
        <f>IF($B259="","",243)</f>
        <v/>
      </c>
      <c r="B259" s="26">
        <f>IF($P259="","",IF(INDEX(CalcNormDate,$P259)=0,"",INDEX(CalcNormDate,$P259)))</f>
        <v/>
      </c>
      <c r="C259" s="26">
        <f>IF($P259="","",IF(INDEX(CalcTime,$P259)=0,"",INDEX(CalcTime,$P259)))</f>
        <v/>
      </c>
      <c r="D259" s="26">
        <f>IF($P259="","",IF(INDEX(EntryParty,$P259)=0,"",INDEX(EntryParty,$P259)))</f>
        <v/>
      </c>
      <c r="E259" s="26">
        <f>IF($P259="","",IF(INDEX(EntryPartyName,$P259)=0,"",INDEX(EntryPartyName,$P259)))</f>
        <v/>
      </c>
      <c r="F259" s="26">
        <f>IF($P259="","",IF(INDEX(EntryPartyType,$P259)=0,"",INDEX(EntryPartyType,$P259)))</f>
        <v/>
      </c>
      <c r="G259" s="26">
        <f>IF($P259="","",IF(INDEX(EntryTxnType,$P259)=0,"",INDEX(EntryTxnType,$P259)))</f>
        <v/>
      </c>
      <c r="H259" s="27">
        <f>IF($P259="","",IF(INDEX(EntryDep,$P259)=0,"",INDEX(EntryDep,$P259)))</f>
        <v/>
      </c>
      <c r="I259" s="27">
        <f>IF($P259="","",IF(INDEX(EntryWit,$P259)=0,"",INDEX(EntryWit,$P259)))</f>
        <v/>
      </c>
      <c r="J259" s="27">
        <f>IF($B259="","",IF($A259=1,$C$7,IF(J258="",0,J258))+IF($H259="",0,$H259)-IF($I259="",0,$I259))</f>
        <v/>
      </c>
      <c r="K259" s="27">
        <f>IF($P259="","",IF(INDEX(EntryMan,$P259)=0,"",INDEX(EntryMan,$P259)))</f>
        <v/>
      </c>
      <c r="L259" s="26">
        <f>IF($B259="","",IF($K259="","—",IF(ROUND($K259-$J259,0)=0,"√","×")))</f>
        <v/>
      </c>
      <c r="M259" s="26">
        <f>IF($B259="","",IF(COUNTIFS(EntryDates,$B259,CalcTime,$C259,CalcBank,$C$5,EntryParty,$D259,EntryDep,$H259,EntryWit,$I259)&gt;1,"تکرار",""))</f>
        <v/>
      </c>
      <c r="N259" s="26">
        <f>IF($P259="","",IF(INDEX(EntryNotes,$P259)=0,"",INDEX(EntryNotes,$P259)))</f>
        <v/>
      </c>
      <c r="O259" s="26">
        <f>IF($P259="","",IF(INDEX(EntryTxnID,$P259)=0,"",INDEX(EntryTxnID,$P259)))</f>
        <v/>
      </c>
      <c r="P259" s="26">
        <f>IFERROR(MATCH($C$5&amp;"|"&amp;RIGHT("000000"&amp;243,6),CalcRankKey,0),"")</f>
        <v/>
      </c>
    </row>
    <row r="260">
      <c r="A260" s="28">
        <f>IF($B260="","",244)</f>
        <v/>
      </c>
      <c r="B260" s="28">
        <f>IF($P260="","",IF(INDEX(CalcNormDate,$P260)=0,"",INDEX(CalcNormDate,$P260)))</f>
        <v/>
      </c>
      <c r="C260" s="28">
        <f>IF($P260="","",IF(INDEX(CalcTime,$P260)=0,"",INDEX(CalcTime,$P260)))</f>
        <v/>
      </c>
      <c r="D260" s="28">
        <f>IF($P260="","",IF(INDEX(EntryParty,$P260)=0,"",INDEX(EntryParty,$P260)))</f>
        <v/>
      </c>
      <c r="E260" s="28">
        <f>IF($P260="","",IF(INDEX(EntryPartyName,$P260)=0,"",INDEX(EntryPartyName,$P260)))</f>
        <v/>
      </c>
      <c r="F260" s="28">
        <f>IF($P260="","",IF(INDEX(EntryPartyType,$P260)=0,"",INDEX(EntryPartyType,$P260)))</f>
        <v/>
      </c>
      <c r="G260" s="28">
        <f>IF($P260="","",IF(INDEX(EntryTxnType,$P260)=0,"",INDEX(EntryTxnType,$P260)))</f>
        <v/>
      </c>
      <c r="H260" s="29">
        <f>IF($P260="","",IF(INDEX(EntryDep,$P260)=0,"",INDEX(EntryDep,$P260)))</f>
        <v/>
      </c>
      <c r="I260" s="29">
        <f>IF($P260="","",IF(INDEX(EntryWit,$P260)=0,"",INDEX(EntryWit,$P260)))</f>
        <v/>
      </c>
      <c r="J260" s="29">
        <f>IF($B260="","",IF($A260=1,$C$7,IF(J259="",0,J259))+IF($H260="",0,$H260)-IF($I260="",0,$I260))</f>
        <v/>
      </c>
      <c r="K260" s="29">
        <f>IF($P260="","",IF(INDEX(EntryMan,$P260)=0,"",INDEX(EntryMan,$P260)))</f>
        <v/>
      </c>
      <c r="L260" s="28">
        <f>IF($B260="","",IF($K260="","—",IF(ROUND($K260-$J260,0)=0,"√","×")))</f>
        <v/>
      </c>
      <c r="M260" s="28">
        <f>IF($B260="","",IF(COUNTIFS(EntryDates,$B260,CalcTime,$C260,CalcBank,$C$5,EntryParty,$D260,EntryDep,$H260,EntryWit,$I260)&gt;1,"تکرار",""))</f>
        <v/>
      </c>
      <c r="N260" s="28">
        <f>IF($P260="","",IF(INDEX(EntryNotes,$P260)=0,"",INDEX(EntryNotes,$P260)))</f>
        <v/>
      </c>
      <c r="O260" s="28">
        <f>IF($P260="","",IF(INDEX(EntryTxnID,$P260)=0,"",INDEX(EntryTxnID,$P260)))</f>
        <v/>
      </c>
      <c r="P260" s="28">
        <f>IFERROR(MATCH($C$5&amp;"|"&amp;RIGHT("000000"&amp;244,6),CalcRankKey,0),"")</f>
        <v/>
      </c>
    </row>
    <row r="261">
      <c r="A261" s="26">
        <f>IF($B261="","",245)</f>
        <v/>
      </c>
      <c r="B261" s="26">
        <f>IF($P261="","",IF(INDEX(CalcNormDate,$P261)=0,"",INDEX(CalcNormDate,$P261)))</f>
        <v/>
      </c>
      <c r="C261" s="26">
        <f>IF($P261="","",IF(INDEX(CalcTime,$P261)=0,"",INDEX(CalcTime,$P261)))</f>
        <v/>
      </c>
      <c r="D261" s="26">
        <f>IF($P261="","",IF(INDEX(EntryParty,$P261)=0,"",INDEX(EntryParty,$P261)))</f>
        <v/>
      </c>
      <c r="E261" s="26">
        <f>IF($P261="","",IF(INDEX(EntryPartyName,$P261)=0,"",INDEX(EntryPartyName,$P261)))</f>
        <v/>
      </c>
      <c r="F261" s="26">
        <f>IF($P261="","",IF(INDEX(EntryPartyType,$P261)=0,"",INDEX(EntryPartyType,$P261)))</f>
        <v/>
      </c>
      <c r="G261" s="26">
        <f>IF($P261="","",IF(INDEX(EntryTxnType,$P261)=0,"",INDEX(EntryTxnType,$P261)))</f>
        <v/>
      </c>
      <c r="H261" s="27">
        <f>IF($P261="","",IF(INDEX(EntryDep,$P261)=0,"",INDEX(EntryDep,$P261)))</f>
        <v/>
      </c>
      <c r="I261" s="27">
        <f>IF($P261="","",IF(INDEX(EntryWit,$P261)=0,"",INDEX(EntryWit,$P261)))</f>
        <v/>
      </c>
      <c r="J261" s="27">
        <f>IF($B261="","",IF($A261=1,$C$7,IF(J260="",0,J260))+IF($H261="",0,$H261)-IF($I261="",0,$I261))</f>
        <v/>
      </c>
      <c r="K261" s="27">
        <f>IF($P261="","",IF(INDEX(EntryMan,$P261)=0,"",INDEX(EntryMan,$P261)))</f>
        <v/>
      </c>
      <c r="L261" s="26">
        <f>IF($B261="","",IF($K261="","—",IF(ROUND($K261-$J261,0)=0,"√","×")))</f>
        <v/>
      </c>
      <c r="M261" s="26">
        <f>IF($B261="","",IF(COUNTIFS(EntryDates,$B261,CalcTime,$C261,CalcBank,$C$5,EntryParty,$D261,EntryDep,$H261,EntryWit,$I261)&gt;1,"تکرار",""))</f>
        <v/>
      </c>
      <c r="N261" s="26">
        <f>IF($P261="","",IF(INDEX(EntryNotes,$P261)=0,"",INDEX(EntryNotes,$P261)))</f>
        <v/>
      </c>
      <c r="O261" s="26">
        <f>IF($P261="","",IF(INDEX(EntryTxnID,$P261)=0,"",INDEX(EntryTxnID,$P261)))</f>
        <v/>
      </c>
      <c r="P261" s="26">
        <f>IFERROR(MATCH($C$5&amp;"|"&amp;RIGHT("000000"&amp;245,6),CalcRankKey,0),"")</f>
        <v/>
      </c>
    </row>
    <row r="262">
      <c r="A262" s="28">
        <f>IF($B262="","",246)</f>
        <v/>
      </c>
      <c r="B262" s="28">
        <f>IF($P262="","",IF(INDEX(CalcNormDate,$P262)=0,"",INDEX(CalcNormDate,$P262)))</f>
        <v/>
      </c>
      <c r="C262" s="28">
        <f>IF($P262="","",IF(INDEX(CalcTime,$P262)=0,"",INDEX(CalcTime,$P262)))</f>
        <v/>
      </c>
      <c r="D262" s="28">
        <f>IF($P262="","",IF(INDEX(EntryParty,$P262)=0,"",INDEX(EntryParty,$P262)))</f>
        <v/>
      </c>
      <c r="E262" s="28">
        <f>IF($P262="","",IF(INDEX(EntryPartyName,$P262)=0,"",INDEX(EntryPartyName,$P262)))</f>
        <v/>
      </c>
      <c r="F262" s="28">
        <f>IF($P262="","",IF(INDEX(EntryPartyType,$P262)=0,"",INDEX(EntryPartyType,$P262)))</f>
        <v/>
      </c>
      <c r="G262" s="28">
        <f>IF($P262="","",IF(INDEX(EntryTxnType,$P262)=0,"",INDEX(EntryTxnType,$P262)))</f>
        <v/>
      </c>
      <c r="H262" s="29">
        <f>IF($P262="","",IF(INDEX(EntryDep,$P262)=0,"",INDEX(EntryDep,$P262)))</f>
        <v/>
      </c>
      <c r="I262" s="29">
        <f>IF($P262="","",IF(INDEX(EntryWit,$P262)=0,"",INDEX(EntryWit,$P262)))</f>
        <v/>
      </c>
      <c r="J262" s="29">
        <f>IF($B262="","",IF($A262=1,$C$7,IF(J261="",0,J261))+IF($H262="",0,$H262)-IF($I262="",0,$I262))</f>
        <v/>
      </c>
      <c r="K262" s="29">
        <f>IF($P262="","",IF(INDEX(EntryMan,$P262)=0,"",INDEX(EntryMan,$P262)))</f>
        <v/>
      </c>
      <c r="L262" s="28">
        <f>IF($B262="","",IF($K262="","—",IF(ROUND($K262-$J262,0)=0,"√","×")))</f>
        <v/>
      </c>
      <c r="M262" s="28">
        <f>IF($B262="","",IF(COUNTIFS(EntryDates,$B262,CalcTime,$C262,CalcBank,$C$5,EntryParty,$D262,EntryDep,$H262,EntryWit,$I262)&gt;1,"تکرار",""))</f>
        <v/>
      </c>
      <c r="N262" s="28">
        <f>IF($P262="","",IF(INDEX(EntryNotes,$P262)=0,"",INDEX(EntryNotes,$P262)))</f>
        <v/>
      </c>
      <c r="O262" s="28">
        <f>IF($P262="","",IF(INDEX(EntryTxnID,$P262)=0,"",INDEX(EntryTxnID,$P262)))</f>
        <v/>
      </c>
      <c r="P262" s="28">
        <f>IFERROR(MATCH($C$5&amp;"|"&amp;RIGHT("000000"&amp;246,6),CalcRankKey,0),"")</f>
        <v/>
      </c>
    </row>
    <row r="263">
      <c r="A263" s="26">
        <f>IF($B263="","",247)</f>
        <v/>
      </c>
      <c r="B263" s="26">
        <f>IF($P263="","",IF(INDEX(CalcNormDate,$P263)=0,"",INDEX(CalcNormDate,$P263)))</f>
        <v/>
      </c>
      <c r="C263" s="26">
        <f>IF($P263="","",IF(INDEX(CalcTime,$P263)=0,"",INDEX(CalcTime,$P263)))</f>
        <v/>
      </c>
      <c r="D263" s="26">
        <f>IF($P263="","",IF(INDEX(EntryParty,$P263)=0,"",INDEX(EntryParty,$P263)))</f>
        <v/>
      </c>
      <c r="E263" s="26">
        <f>IF($P263="","",IF(INDEX(EntryPartyName,$P263)=0,"",INDEX(EntryPartyName,$P263)))</f>
        <v/>
      </c>
      <c r="F263" s="26">
        <f>IF($P263="","",IF(INDEX(EntryPartyType,$P263)=0,"",INDEX(EntryPartyType,$P263)))</f>
        <v/>
      </c>
      <c r="G263" s="26">
        <f>IF($P263="","",IF(INDEX(EntryTxnType,$P263)=0,"",INDEX(EntryTxnType,$P263)))</f>
        <v/>
      </c>
      <c r="H263" s="27">
        <f>IF($P263="","",IF(INDEX(EntryDep,$P263)=0,"",INDEX(EntryDep,$P263)))</f>
        <v/>
      </c>
      <c r="I263" s="27">
        <f>IF($P263="","",IF(INDEX(EntryWit,$P263)=0,"",INDEX(EntryWit,$P263)))</f>
        <v/>
      </c>
      <c r="J263" s="27">
        <f>IF($B263="","",IF($A263=1,$C$7,IF(J262="",0,J262))+IF($H263="",0,$H263)-IF($I263="",0,$I263))</f>
        <v/>
      </c>
      <c r="K263" s="27">
        <f>IF($P263="","",IF(INDEX(EntryMan,$P263)=0,"",INDEX(EntryMan,$P263)))</f>
        <v/>
      </c>
      <c r="L263" s="26">
        <f>IF($B263="","",IF($K263="","—",IF(ROUND($K263-$J263,0)=0,"√","×")))</f>
        <v/>
      </c>
      <c r="M263" s="26">
        <f>IF($B263="","",IF(COUNTIFS(EntryDates,$B263,CalcTime,$C263,CalcBank,$C$5,EntryParty,$D263,EntryDep,$H263,EntryWit,$I263)&gt;1,"تکرار",""))</f>
        <v/>
      </c>
      <c r="N263" s="26">
        <f>IF($P263="","",IF(INDEX(EntryNotes,$P263)=0,"",INDEX(EntryNotes,$P263)))</f>
        <v/>
      </c>
      <c r="O263" s="26">
        <f>IF($P263="","",IF(INDEX(EntryTxnID,$P263)=0,"",INDEX(EntryTxnID,$P263)))</f>
        <v/>
      </c>
      <c r="P263" s="26">
        <f>IFERROR(MATCH($C$5&amp;"|"&amp;RIGHT("000000"&amp;247,6),CalcRankKey,0),"")</f>
        <v/>
      </c>
    </row>
    <row r="264">
      <c r="A264" s="28">
        <f>IF($B264="","",248)</f>
        <v/>
      </c>
      <c r="B264" s="28">
        <f>IF($P264="","",IF(INDEX(CalcNormDate,$P264)=0,"",INDEX(CalcNormDate,$P264)))</f>
        <v/>
      </c>
      <c r="C264" s="28">
        <f>IF($P264="","",IF(INDEX(CalcTime,$P264)=0,"",INDEX(CalcTime,$P264)))</f>
        <v/>
      </c>
      <c r="D264" s="28">
        <f>IF($P264="","",IF(INDEX(EntryParty,$P264)=0,"",INDEX(EntryParty,$P264)))</f>
        <v/>
      </c>
      <c r="E264" s="28">
        <f>IF($P264="","",IF(INDEX(EntryPartyName,$P264)=0,"",INDEX(EntryPartyName,$P264)))</f>
        <v/>
      </c>
      <c r="F264" s="28">
        <f>IF($P264="","",IF(INDEX(EntryPartyType,$P264)=0,"",INDEX(EntryPartyType,$P264)))</f>
        <v/>
      </c>
      <c r="G264" s="28">
        <f>IF($P264="","",IF(INDEX(EntryTxnType,$P264)=0,"",INDEX(EntryTxnType,$P264)))</f>
        <v/>
      </c>
      <c r="H264" s="29">
        <f>IF($P264="","",IF(INDEX(EntryDep,$P264)=0,"",INDEX(EntryDep,$P264)))</f>
        <v/>
      </c>
      <c r="I264" s="29">
        <f>IF($P264="","",IF(INDEX(EntryWit,$P264)=0,"",INDEX(EntryWit,$P264)))</f>
        <v/>
      </c>
      <c r="J264" s="29">
        <f>IF($B264="","",IF($A264=1,$C$7,IF(J263="",0,J263))+IF($H264="",0,$H264)-IF($I264="",0,$I264))</f>
        <v/>
      </c>
      <c r="K264" s="29">
        <f>IF($P264="","",IF(INDEX(EntryMan,$P264)=0,"",INDEX(EntryMan,$P264)))</f>
        <v/>
      </c>
      <c r="L264" s="28">
        <f>IF($B264="","",IF($K264="","—",IF(ROUND($K264-$J264,0)=0,"√","×")))</f>
        <v/>
      </c>
      <c r="M264" s="28">
        <f>IF($B264="","",IF(COUNTIFS(EntryDates,$B264,CalcTime,$C264,CalcBank,$C$5,EntryParty,$D264,EntryDep,$H264,EntryWit,$I264)&gt;1,"تکرار",""))</f>
        <v/>
      </c>
      <c r="N264" s="28">
        <f>IF($P264="","",IF(INDEX(EntryNotes,$P264)=0,"",INDEX(EntryNotes,$P264)))</f>
        <v/>
      </c>
      <c r="O264" s="28">
        <f>IF($P264="","",IF(INDEX(EntryTxnID,$P264)=0,"",INDEX(EntryTxnID,$P264)))</f>
        <v/>
      </c>
      <c r="P264" s="28">
        <f>IFERROR(MATCH($C$5&amp;"|"&amp;RIGHT("000000"&amp;248,6),CalcRankKey,0),"")</f>
        <v/>
      </c>
    </row>
    <row r="265">
      <c r="A265" s="26">
        <f>IF($B265="","",249)</f>
        <v/>
      </c>
      <c r="B265" s="26">
        <f>IF($P265="","",IF(INDEX(CalcNormDate,$P265)=0,"",INDEX(CalcNormDate,$P265)))</f>
        <v/>
      </c>
      <c r="C265" s="26">
        <f>IF($P265="","",IF(INDEX(CalcTime,$P265)=0,"",INDEX(CalcTime,$P265)))</f>
        <v/>
      </c>
      <c r="D265" s="26">
        <f>IF($P265="","",IF(INDEX(EntryParty,$P265)=0,"",INDEX(EntryParty,$P265)))</f>
        <v/>
      </c>
      <c r="E265" s="26">
        <f>IF($P265="","",IF(INDEX(EntryPartyName,$P265)=0,"",INDEX(EntryPartyName,$P265)))</f>
        <v/>
      </c>
      <c r="F265" s="26">
        <f>IF($P265="","",IF(INDEX(EntryPartyType,$P265)=0,"",INDEX(EntryPartyType,$P265)))</f>
        <v/>
      </c>
      <c r="G265" s="26">
        <f>IF($P265="","",IF(INDEX(EntryTxnType,$P265)=0,"",INDEX(EntryTxnType,$P265)))</f>
        <v/>
      </c>
      <c r="H265" s="27">
        <f>IF($P265="","",IF(INDEX(EntryDep,$P265)=0,"",INDEX(EntryDep,$P265)))</f>
        <v/>
      </c>
      <c r="I265" s="27">
        <f>IF($P265="","",IF(INDEX(EntryWit,$P265)=0,"",INDEX(EntryWit,$P265)))</f>
        <v/>
      </c>
      <c r="J265" s="27">
        <f>IF($B265="","",IF($A265=1,$C$7,IF(J264="",0,J264))+IF($H265="",0,$H265)-IF($I265="",0,$I265))</f>
        <v/>
      </c>
      <c r="K265" s="27">
        <f>IF($P265="","",IF(INDEX(EntryMan,$P265)=0,"",INDEX(EntryMan,$P265)))</f>
        <v/>
      </c>
      <c r="L265" s="26">
        <f>IF($B265="","",IF($K265="","—",IF(ROUND($K265-$J265,0)=0,"√","×")))</f>
        <v/>
      </c>
      <c r="M265" s="26">
        <f>IF($B265="","",IF(COUNTIFS(EntryDates,$B265,CalcTime,$C265,CalcBank,$C$5,EntryParty,$D265,EntryDep,$H265,EntryWit,$I265)&gt;1,"تکرار",""))</f>
        <v/>
      </c>
      <c r="N265" s="26">
        <f>IF($P265="","",IF(INDEX(EntryNotes,$P265)=0,"",INDEX(EntryNotes,$P265)))</f>
        <v/>
      </c>
      <c r="O265" s="26">
        <f>IF($P265="","",IF(INDEX(EntryTxnID,$P265)=0,"",INDEX(EntryTxnID,$P265)))</f>
        <v/>
      </c>
      <c r="P265" s="26">
        <f>IFERROR(MATCH($C$5&amp;"|"&amp;RIGHT("000000"&amp;249,6),CalcRankKey,0),"")</f>
        <v/>
      </c>
    </row>
    <row r="266">
      <c r="A266" s="28">
        <f>IF($B266="","",250)</f>
        <v/>
      </c>
      <c r="B266" s="28">
        <f>IF($P266="","",IF(INDEX(CalcNormDate,$P266)=0,"",INDEX(CalcNormDate,$P266)))</f>
        <v/>
      </c>
      <c r="C266" s="28">
        <f>IF($P266="","",IF(INDEX(CalcTime,$P266)=0,"",INDEX(CalcTime,$P266)))</f>
        <v/>
      </c>
      <c r="D266" s="28">
        <f>IF($P266="","",IF(INDEX(EntryParty,$P266)=0,"",INDEX(EntryParty,$P266)))</f>
        <v/>
      </c>
      <c r="E266" s="28">
        <f>IF($P266="","",IF(INDEX(EntryPartyName,$P266)=0,"",INDEX(EntryPartyName,$P266)))</f>
        <v/>
      </c>
      <c r="F266" s="28">
        <f>IF($P266="","",IF(INDEX(EntryPartyType,$P266)=0,"",INDEX(EntryPartyType,$P266)))</f>
        <v/>
      </c>
      <c r="G266" s="28">
        <f>IF($P266="","",IF(INDEX(EntryTxnType,$P266)=0,"",INDEX(EntryTxnType,$P266)))</f>
        <v/>
      </c>
      <c r="H266" s="29">
        <f>IF($P266="","",IF(INDEX(EntryDep,$P266)=0,"",INDEX(EntryDep,$P266)))</f>
        <v/>
      </c>
      <c r="I266" s="29">
        <f>IF($P266="","",IF(INDEX(EntryWit,$P266)=0,"",INDEX(EntryWit,$P266)))</f>
        <v/>
      </c>
      <c r="J266" s="29">
        <f>IF($B266="","",IF($A266=1,$C$7,IF(J265="",0,J265))+IF($H266="",0,$H266)-IF($I266="",0,$I266))</f>
        <v/>
      </c>
      <c r="K266" s="29">
        <f>IF($P266="","",IF(INDEX(EntryMan,$P266)=0,"",INDEX(EntryMan,$P266)))</f>
        <v/>
      </c>
      <c r="L266" s="28">
        <f>IF($B266="","",IF($K266="","—",IF(ROUND($K266-$J266,0)=0,"√","×")))</f>
        <v/>
      </c>
      <c r="M266" s="28">
        <f>IF($B266="","",IF(COUNTIFS(EntryDates,$B266,CalcTime,$C266,CalcBank,$C$5,EntryParty,$D266,EntryDep,$H266,EntryWit,$I266)&gt;1,"تکرار",""))</f>
        <v/>
      </c>
      <c r="N266" s="28">
        <f>IF($P266="","",IF(INDEX(EntryNotes,$P266)=0,"",INDEX(EntryNotes,$P266)))</f>
        <v/>
      </c>
      <c r="O266" s="28">
        <f>IF($P266="","",IF(INDEX(EntryTxnID,$P266)=0,"",INDEX(EntryTxnID,$P266)))</f>
        <v/>
      </c>
      <c r="P266" s="28">
        <f>IFERROR(MATCH($C$5&amp;"|"&amp;RIGHT("000000"&amp;250,6),CalcRankKey,0),"")</f>
        <v/>
      </c>
    </row>
    <row r="267">
      <c r="A267" s="26">
        <f>IF($B267="","",251)</f>
        <v/>
      </c>
      <c r="B267" s="26">
        <f>IF($P267="","",IF(INDEX(CalcNormDate,$P267)=0,"",INDEX(CalcNormDate,$P267)))</f>
        <v/>
      </c>
      <c r="C267" s="26">
        <f>IF($P267="","",IF(INDEX(CalcTime,$P267)=0,"",INDEX(CalcTime,$P267)))</f>
        <v/>
      </c>
      <c r="D267" s="26">
        <f>IF($P267="","",IF(INDEX(EntryParty,$P267)=0,"",INDEX(EntryParty,$P267)))</f>
        <v/>
      </c>
      <c r="E267" s="26">
        <f>IF($P267="","",IF(INDEX(EntryPartyName,$P267)=0,"",INDEX(EntryPartyName,$P267)))</f>
        <v/>
      </c>
      <c r="F267" s="26">
        <f>IF($P267="","",IF(INDEX(EntryPartyType,$P267)=0,"",INDEX(EntryPartyType,$P267)))</f>
        <v/>
      </c>
      <c r="G267" s="26">
        <f>IF($P267="","",IF(INDEX(EntryTxnType,$P267)=0,"",INDEX(EntryTxnType,$P267)))</f>
        <v/>
      </c>
      <c r="H267" s="27">
        <f>IF($P267="","",IF(INDEX(EntryDep,$P267)=0,"",INDEX(EntryDep,$P267)))</f>
        <v/>
      </c>
      <c r="I267" s="27">
        <f>IF($P267="","",IF(INDEX(EntryWit,$P267)=0,"",INDEX(EntryWit,$P267)))</f>
        <v/>
      </c>
      <c r="J267" s="27">
        <f>IF($B267="","",IF($A267=1,$C$7,IF(J266="",0,J266))+IF($H267="",0,$H267)-IF($I267="",0,$I267))</f>
        <v/>
      </c>
      <c r="K267" s="27">
        <f>IF($P267="","",IF(INDEX(EntryMan,$P267)=0,"",INDEX(EntryMan,$P267)))</f>
        <v/>
      </c>
      <c r="L267" s="26">
        <f>IF($B267="","",IF($K267="","—",IF(ROUND($K267-$J267,0)=0,"√","×")))</f>
        <v/>
      </c>
      <c r="M267" s="26">
        <f>IF($B267="","",IF(COUNTIFS(EntryDates,$B267,CalcTime,$C267,CalcBank,$C$5,EntryParty,$D267,EntryDep,$H267,EntryWit,$I267)&gt;1,"تکرار",""))</f>
        <v/>
      </c>
      <c r="N267" s="26">
        <f>IF($P267="","",IF(INDEX(EntryNotes,$P267)=0,"",INDEX(EntryNotes,$P267)))</f>
        <v/>
      </c>
      <c r="O267" s="26">
        <f>IF($P267="","",IF(INDEX(EntryTxnID,$P267)=0,"",INDEX(EntryTxnID,$P267)))</f>
        <v/>
      </c>
      <c r="P267" s="26">
        <f>IFERROR(MATCH($C$5&amp;"|"&amp;RIGHT("000000"&amp;251,6),CalcRankKey,0),"")</f>
        <v/>
      </c>
    </row>
    <row r="268">
      <c r="A268" s="28">
        <f>IF($B268="","",252)</f>
        <v/>
      </c>
      <c r="B268" s="28">
        <f>IF($P268="","",IF(INDEX(CalcNormDate,$P268)=0,"",INDEX(CalcNormDate,$P268)))</f>
        <v/>
      </c>
      <c r="C268" s="28">
        <f>IF($P268="","",IF(INDEX(CalcTime,$P268)=0,"",INDEX(CalcTime,$P268)))</f>
        <v/>
      </c>
      <c r="D268" s="28">
        <f>IF($P268="","",IF(INDEX(EntryParty,$P268)=0,"",INDEX(EntryParty,$P268)))</f>
        <v/>
      </c>
      <c r="E268" s="28">
        <f>IF($P268="","",IF(INDEX(EntryPartyName,$P268)=0,"",INDEX(EntryPartyName,$P268)))</f>
        <v/>
      </c>
      <c r="F268" s="28">
        <f>IF($P268="","",IF(INDEX(EntryPartyType,$P268)=0,"",INDEX(EntryPartyType,$P268)))</f>
        <v/>
      </c>
      <c r="G268" s="28">
        <f>IF($P268="","",IF(INDEX(EntryTxnType,$P268)=0,"",INDEX(EntryTxnType,$P268)))</f>
        <v/>
      </c>
      <c r="H268" s="29">
        <f>IF($P268="","",IF(INDEX(EntryDep,$P268)=0,"",INDEX(EntryDep,$P268)))</f>
        <v/>
      </c>
      <c r="I268" s="29">
        <f>IF($P268="","",IF(INDEX(EntryWit,$P268)=0,"",INDEX(EntryWit,$P268)))</f>
        <v/>
      </c>
      <c r="J268" s="29">
        <f>IF($B268="","",IF($A268=1,$C$7,IF(J267="",0,J267))+IF($H268="",0,$H268)-IF($I268="",0,$I268))</f>
        <v/>
      </c>
      <c r="K268" s="29">
        <f>IF($P268="","",IF(INDEX(EntryMan,$P268)=0,"",INDEX(EntryMan,$P268)))</f>
        <v/>
      </c>
      <c r="L268" s="28">
        <f>IF($B268="","",IF($K268="","—",IF(ROUND($K268-$J268,0)=0,"√","×")))</f>
        <v/>
      </c>
      <c r="M268" s="28">
        <f>IF($B268="","",IF(COUNTIFS(EntryDates,$B268,CalcTime,$C268,CalcBank,$C$5,EntryParty,$D268,EntryDep,$H268,EntryWit,$I268)&gt;1,"تکرار",""))</f>
        <v/>
      </c>
      <c r="N268" s="28">
        <f>IF($P268="","",IF(INDEX(EntryNotes,$P268)=0,"",INDEX(EntryNotes,$P268)))</f>
        <v/>
      </c>
      <c r="O268" s="28">
        <f>IF($P268="","",IF(INDEX(EntryTxnID,$P268)=0,"",INDEX(EntryTxnID,$P268)))</f>
        <v/>
      </c>
      <c r="P268" s="28">
        <f>IFERROR(MATCH($C$5&amp;"|"&amp;RIGHT("000000"&amp;252,6),CalcRankKey,0),"")</f>
        <v/>
      </c>
    </row>
    <row r="269">
      <c r="A269" s="26">
        <f>IF($B269="","",253)</f>
        <v/>
      </c>
      <c r="B269" s="26">
        <f>IF($P269="","",IF(INDEX(CalcNormDate,$P269)=0,"",INDEX(CalcNormDate,$P269)))</f>
        <v/>
      </c>
      <c r="C269" s="26">
        <f>IF($P269="","",IF(INDEX(CalcTime,$P269)=0,"",INDEX(CalcTime,$P269)))</f>
        <v/>
      </c>
      <c r="D269" s="26">
        <f>IF($P269="","",IF(INDEX(EntryParty,$P269)=0,"",INDEX(EntryParty,$P269)))</f>
        <v/>
      </c>
      <c r="E269" s="26">
        <f>IF($P269="","",IF(INDEX(EntryPartyName,$P269)=0,"",INDEX(EntryPartyName,$P269)))</f>
        <v/>
      </c>
      <c r="F269" s="26">
        <f>IF($P269="","",IF(INDEX(EntryPartyType,$P269)=0,"",INDEX(EntryPartyType,$P269)))</f>
        <v/>
      </c>
      <c r="G269" s="26">
        <f>IF($P269="","",IF(INDEX(EntryTxnType,$P269)=0,"",INDEX(EntryTxnType,$P269)))</f>
        <v/>
      </c>
      <c r="H269" s="27">
        <f>IF($P269="","",IF(INDEX(EntryDep,$P269)=0,"",INDEX(EntryDep,$P269)))</f>
        <v/>
      </c>
      <c r="I269" s="27">
        <f>IF($P269="","",IF(INDEX(EntryWit,$P269)=0,"",INDEX(EntryWit,$P269)))</f>
        <v/>
      </c>
      <c r="J269" s="27">
        <f>IF($B269="","",IF($A269=1,$C$7,IF(J268="",0,J268))+IF($H269="",0,$H269)-IF($I269="",0,$I269))</f>
        <v/>
      </c>
      <c r="K269" s="27">
        <f>IF($P269="","",IF(INDEX(EntryMan,$P269)=0,"",INDEX(EntryMan,$P269)))</f>
        <v/>
      </c>
      <c r="L269" s="26">
        <f>IF($B269="","",IF($K269="","—",IF(ROUND($K269-$J269,0)=0,"√","×")))</f>
        <v/>
      </c>
      <c r="M269" s="26">
        <f>IF($B269="","",IF(COUNTIFS(EntryDates,$B269,CalcTime,$C269,CalcBank,$C$5,EntryParty,$D269,EntryDep,$H269,EntryWit,$I269)&gt;1,"تکرار",""))</f>
        <v/>
      </c>
      <c r="N269" s="26">
        <f>IF($P269="","",IF(INDEX(EntryNotes,$P269)=0,"",INDEX(EntryNotes,$P269)))</f>
        <v/>
      </c>
      <c r="O269" s="26">
        <f>IF($P269="","",IF(INDEX(EntryTxnID,$P269)=0,"",INDEX(EntryTxnID,$P269)))</f>
        <v/>
      </c>
      <c r="P269" s="26">
        <f>IFERROR(MATCH($C$5&amp;"|"&amp;RIGHT("000000"&amp;253,6),CalcRankKey,0),"")</f>
        <v/>
      </c>
    </row>
    <row r="270">
      <c r="A270" s="28">
        <f>IF($B270="","",254)</f>
        <v/>
      </c>
      <c r="B270" s="28">
        <f>IF($P270="","",IF(INDEX(CalcNormDate,$P270)=0,"",INDEX(CalcNormDate,$P270)))</f>
        <v/>
      </c>
      <c r="C270" s="28">
        <f>IF($P270="","",IF(INDEX(CalcTime,$P270)=0,"",INDEX(CalcTime,$P270)))</f>
        <v/>
      </c>
      <c r="D270" s="28">
        <f>IF($P270="","",IF(INDEX(EntryParty,$P270)=0,"",INDEX(EntryParty,$P270)))</f>
        <v/>
      </c>
      <c r="E270" s="28">
        <f>IF($P270="","",IF(INDEX(EntryPartyName,$P270)=0,"",INDEX(EntryPartyName,$P270)))</f>
        <v/>
      </c>
      <c r="F270" s="28">
        <f>IF($P270="","",IF(INDEX(EntryPartyType,$P270)=0,"",INDEX(EntryPartyType,$P270)))</f>
        <v/>
      </c>
      <c r="G270" s="28">
        <f>IF($P270="","",IF(INDEX(EntryTxnType,$P270)=0,"",INDEX(EntryTxnType,$P270)))</f>
        <v/>
      </c>
      <c r="H270" s="29">
        <f>IF($P270="","",IF(INDEX(EntryDep,$P270)=0,"",INDEX(EntryDep,$P270)))</f>
        <v/>
      </c>
      <c r="I270" s="29">
        <f>IF($P270="","",IF(INDEX(EntryWit,$P270)=0,"",INDEX(EntryWit,$P270)))</f>
        <v/>
      </c>
      <c r="J270" s="29">
        <f>IF($B270="","",IF($A270=1,$C$7,IF(J269="",0,J269))+IF($H270="",0,$H270)-IF($I270="",0,$I270))</f>
        <v/>
      </c>
      <c r="K270" s="29">
        <f>IF($P270="","",IF(INDEX(EntryMan,$P270)=0,"",INDEX(EntryMan,$P270)))</f>
        <v/>
      </c>
      <c r="L270" s="28">
        <f>IF($B270="","",IF($K270="","—",IF(ROUND($K270-$J270,0)=0,"√","×")))</f>
        <v/>
      </c>
      <c r="M270" s="28">
        <f>IF($B270="","",IF(COUNTIFS(EntryDates,$B270,CalcTime,$C270,CalcBank,$C$5,EntryParty,$D270,EntryDep,$H270,EntryWit,$I270)&gt;1,"تکرار",""))</f>
        <v/>
      </c>
      <c r="N270" s="28">
        <f>IF($P270="","",IF(INDEX(EntryNotes,$P270)=0,"",INDEX(EntryNotes,$P270)))</f>
        <v/>
      </c>
      <c r="O270" s="28">
        <f>IF($P270="","",IF(INDEX(EntryTxnID,$P270)=0,"",INDEX(EntryTxnID,$P270)))</f>
        <v/>
      </c>
      <c r="P270" s="28">
        <f>IFERROR(MATCH($C$5&amp;"|"&amp;RIGHT("000000"&amp;254,6),CalcRankKey,0),"")</f>
        <v/>
      </c>
    </row>
    <row r="271">
      <c r="A271" s="26">
        <f>IF($B271="","",255)</f>
        <v/>
      </c>
      <c r="B271" s="26">
        <f>IF($P271="","",IF(INDEX(CalcNormDate,$P271)=0,"",INDEX(CalcNormDate,$P271)))</f>
        <v/>
      </c>
      <c r="C271" s="26">
        <f>IF($P271="","",IF(INDEX(CalcTime,$P271)=0,"",INDEX(CalcTime,$P271)))</f>
        <v/>
      </c>
      <c r="D271" s="26">
        <f>IF($P271="","",IF(INDEX(EntryParty,$P271)=0,"",INDEX(EntryParty,$P271)))</f>
        <v/>
      </c>
      <c r="E271" s="26">
        <f>IF($P271="","",IF(INDEX(EntryPartyName,$P271)=0,"",INDEX(EntryPartyName,$P271)))</f>
        <v/>
      </c>
      <c r="F271" s="26">
        <f>IF($P271="","",IF(INDEX(EntryPartyType,$P271)=0,"",INDEX(EntryPartyType,$P271)))</f>
        <v/>
      </c>
      <c r="G271" s="26">
        <f>IF($P271="","",IF(INDEX(EntryTxnType,$P271)=0,"",INDEX(EntryTxnType,$P271)))</f>
        <v/>
      </c>
      <c r="H271" s="27">
        <f>IF($P271="","",IF(INDEX(EntryDep,$P271)=0,"",INDEX(EntryDep,$P271)))</f>
        <v/>
      </c>
      <c r="I271" s="27">
        <f>IF($P271="","",IF(INDEX(EntryWit,$P271)=0,"",INDEX(EntryWit,$P271)))</f>
        <v/>
      </c>
      <c r="J271" s="27">
        <f>IF($B271="","",IF($A271=1,$C$7,IF(J270="",0,J270))+IF($H271="",0,$H271)-IF($I271="",0,$I271))</f>
        <v/>
      </c>
      <c r="K271" s="27">
        <f>IF($P271="","",IF(INDEX(EntryMan,$P271)=0,"",INDEX(EntryMan,$P271)))</f>
        <v/>
      </c>
      <c r="L271" s="26">
        <f>IF($B271="","",IF($K271="","—",IF(ROUND($K271-$J271,0)=0,"√","×")))</f>
        <v/>
      </c>
      <c r="M271" s="26">
        <f>IF($B271="","",IF(COUNTIFS(EntryDates,$B271,CalcTime,$C271,CalcBank,$C$5,EntryParty,$D271,EntryDep,$H271,EntryWit,$I271)&gt;1,"تکرار",""))</f>
        <v/>
      </c>
      <c r="N271" s="26">
        <f>IF($P271="","",IF(INDEX(EntryNotes,$P271)=0,"",INDEX(EntryNotes,$P271)))</f>
        <v/>
      </c>
      <c r="O271" s="26">
        <f>IF($P271="","",IF(INDEX(EntryTxnID,$P271)=0,"",INDEX(EntryTxnID,$P271)))</f>
        <v/>
      </c>
      <c r="P271" s="26">
        <f>IFERROR(MATCH($C$5&amp;"|"&amp;RIGHT("000000"&amp;255,6),CalcRankKey,0),"")</f>
        <v/>
      </c>
    </row>
    <row r="272">
      <c r="A272" s="28">
        <f>IF($B272="","",256)</f>
        <v/>
      </c>
      <c r="B272" s="28">
        <f>IF($P272="","",IF(INDEX(CalcNormDate,$P272)=0,"",INDEX(CalcNormDate,$P272)))</f>
        <v/>
      </c>
      <c r="C272" s="28">
        <f>IF($P272="","",IF(INDEX(CalcTime,$P272)=0,"",INDEX(CalcTime,$P272)))</f>
        <v/>
      </c>
      <c r="D272" s="28">
        <f>IF($P272="","",IF(INDEX(EntryParty,$P272)=0,"",INDEX(EntryParty,$P272)))</f>
        <v/>
      </c>
      <c r="E272" s="28">
        <f>IF($P272="","",IF(INDEX(EntryPartyName,$P272)=0,"",INDEX(EntryPartyName,$P272)))</f>
        <v/>
      </c>
      <c r="F272" s="28">
        <f>IF($P272="","",IF(INDEX(EntryPartyType,$P272)=0,"",INDEX(EntryPartyType,$P272)))</f>
        <v/>
      </c>
      <c r="G272" s="28">
        <f>IF($P272="","",IF(INDEX(EntryTxnType,$P272)=0,"",INDEX(EntryTxnType,$P272)))</f>
        <v/>
      </c>
      <c r="H272" s="29">
        <f>IF($P272="","",IF(INDEX(EntryDep,$P272)=0,"",INDEX(EntryDep,$P272)))</f>
        <v/>
      </c>
      <c r="I272" s="29">
        <f>IF($P272="","",IF(INDEX(EntryWit,$P272)=0,"",INDEX(EntryWit,$P272)))</f>
        <v/>
      </c>
      <c r="J272" s="29">
        <f>IF($B272="","",IF($A272=1,$C$7,IF(J271="",0,J271))+IF($H272="",0,$H272)-IF($I272="",0,$I272))</f>
        <v/>
      </c>
      <c r="K272" s="29">
        <f>IF($P272="","",IF(INDEX(EntryMan,$P272)=0,"",INDEX(EntryMan,$P272)))</f>
        <v/>
      </c>
      <c r="L272" s="28">
        <f>IF($B272="","",IF($K272="","—",IF(ROUND($K272-$J272,0)=0,"√","×")))</f>
        <v/>
      </c>
      <c r="M272" s="28">
        <f>IF($B272="","",IF(COUNTIFS(EntryDates,$B272,CalcTime,$C272,CalcBank,$C$5,EntryParty,$D272,EntryDep,$H272,EntryWit,$I272)&gt;1,"تکرار",""))</f>
        <v/>
      </c>
      <c r="N272" s="28">
        <f>IF($P272="","",IF(INDEX(EntryNotes,$P272)=0,"",INDEX(EntryNotes,$P272)))</f>
        <v/>
      </c>
      <c r="O272" s="28">
        <f>IF($P272="","",IF(INDEX(EntryTxnID,$P272)=0,"",INDEX(EntryTxnID,$P272)))</f>
        <v/>
      </c>
      <c r="P272" s="28">
        <f>IFERROR(MATCH($C$5&amp;"|"&amp;RIGHT("000000"&amp;256,6),CalcRankKey,0),"")</f>
        <v/>
      </c>
    </row>
    <row r="273">
      <c r="A273" s="26">
        <f>IF($B273="","",257)</f>
        <v/>
      </c>
      <c r="B273" s="26">
        <f>IF($P273="","",IF(INDEX(CalcNormDate,$P273)=0,"",INDEX(CalcNormDate,$P273)))</f>
        <v/>
      </c>
      <c r="C273" s="26">
        <f>IF($P273="","",IF(INDEX(CalcTime,$P273)=0,"",INDEX(CalcTime,$P273)))</f>
        <v/>
      </c>
      <c r="D273" s="26">
        <f>IF($P273="","",IF(INDEX(EntryParty,$P273)=0,"",INDEX(EntryParty,$P273)))</f>
        <v/>
      </c>
      <c r="E273" s="26">
        <f>IF($P273="","",IF(INDEX(EntryPartyName,$P273)=0,"",INDEX(EntryPartyName,$P273)))</f>
        <v/>
      </c>
      <c r="F273" s="26">
        <f>IF($P273="","",IF(INDEX(EntryPartyType,$P273)=0,"",INDEX(EntryPartyType,$P273)))</f>
        <v/>
      </c>
      <c r="G273" s="26">
        <f>IF($P273="","",IF(INDEX(EntryTxnType,$P273)=0,"",INDEX(EntryTxnType,$P273)))</f>
        <v/>
      </c>
      <c r="H273" s="27">
        <f>IF($P273="","",IF(INDEX(EntryDep,$P273)=0,"",INDEX(EntryDep,$P273)))</f>
        <v/>
      </c>
      <c r="I273" s="27">
        <f>IF($P273="","",IF(INDEX(EntryWit,$P273)=0,"",INDEX(EntryWit,$P273)))</f>
        <v/>
      </c>
      <c r="J273" s="27">
        <f>IF($B273="","",IF($A273=1,$C$7,IF(J272="",0,J272))+IF($H273="",0,$H273)-IF($I273="",0,$I273))</f>
        <v/>
      </c>
      <c r="K273" s="27">
        <f>IF($P273="","",IF(INDEX(EntryMan,$P273)=0,"",INDEX(EntryMan,$P273)))</f>
        <v/>
      </c>
      <c r="L273" s="26">
        <f>IF($B273="","",IF($K273="","—",IF(ROUND($K273-$J273,0)=0,"√","×")))</f>
        <v/>
      </c>
      <c r="M273" s="26">
        <f>IF($B273="","",IF(COUNTIFS(EntryDates,$B273,CalcTime,$C273,CalcBank,$C$5,EntryParty,$D273,EntryDep,$H273,EntryWit,$I273)&gt;1,"تکرار",""))</f>
        <v/>
      </c>
      <c r="N273" s="26">
        <f>IF($P273="","",IF(INDEX(EntryNotes,$P273)=0,"",INDEX(EntryNotes,$P273)))</f>
        <v/>
      </c>
      <c r="O273" s="26">
        <f>IF($P273="","",IF(INDEX(EntryTxnID,$P273)=0,"",INDEX(EntryTxnID,$P273)))</f>
        <v/>
      </c>
      <c r="P273" s="26">
        <f>IFERROR(MATCH($C$5&amp;"|"&amp;RIGHT("000000"&amp;257,6),CalcRankKey,0),"")</f>
        <v/>
      </c>
    </row>
    <row r="274">
      <c r="A274" s="28">
        <f>IF($B274="","",258)</f>
        <v/>
      </c>
      <c r="B274" s="28">
        <f>IF($P274="","",IF(INDEX(CalcNormDate,$P274)=0,"",INDEX(CalcNormDate,$P274)))</f>
        <v/>
      </c>
      <c r="C274" s="28">
        <f>IF($P274="","",IF(INDEX(CalcTime,$P274)=0,"",INDEX(CalcTime,$P274)))</f>
        <v/>
      </c>
      <c r="D274" s="28">
        <f>IF($P274="","",IF(INDEX(EntryParty,$P274)=0,"",INDEX(EntryParty,$P274)))</f>
        <v/>
      </c>
      <c r="E274" s="28">
        <f>IF($P274="","",IF(INDEX(EntryPartyName,$P274)=0,"",INDEX(EntryPartyName,$P274)))</f>
        <v/>
      </c>
      <c r="F274" s="28">
        <f>IF($P274="","",IF(INDEX(EntryPartyType,$P274)=0,"",INDEX(EntryPartyType,$P274)))</f>
        <v/>
      </c>
      <c r="G274" s="28">
        <f>IF($P274="","",IF(INDEX(EntryTxnType,$P274)=0,"",INDEX(EntryTxnType,$P274)))</f>
        <v/>
      </c>
      <c r="H274" s="29">
        <f>IF($P274="","",IF(INDEX(EntryDep,$P274)=0,"",INDEX(EntryDep,$P274)))</f>
        <v/>
      </c>
      <c r="I274" s="29">
        <f>IF($P274="","",IF(INDEX(EntryWit,$P274)=0,"",INDEX(EntryWit,$P274)))</f>
        <v/>
      </c>
      <c r="J274" s="29">
        <f>IF($B274="","",IF($A274=1,$C$7,IF(J273="",0,J273))+IF($H274="",0,$H274)-IF($I274="",0,$I274))</f>
        <v/>
      </c>
      <c r="K274" s="29">
        <f>IF($P274="","",IF(INDEX(EntryMan,$P274)=0,"",INDEX(EntryMan,$P274)))</f>
        <v/>
      </c>
      <c r="L274" s="28">
        <f>IF($B274="","",IF($K274="","—",IF(ROUND($K274-$J274,0)=0,"√","×")))</f>
        <v/>
      </c>
      <c r="M274" s="28">
        <f>IF($B274="","",IF(COUNTIFS(EntryDates,$B274,CalcTime,$C274,CalcBank,$C$5,EntryParty,$D274,EntryDep,$H274,EntryWit,$I274)&gt;1,"تکرار",""))</f>
        <v/>
      </c>
      <c r="N274" s="28">
        <f>IF($P274="","",IF(INDEX(EntryNotes,$P274)=0,"",INDEX(EntryNotes,$P274)))</f>
        <v/>
      </c>
      <c r="O274" s="28">
        <f>IF($P274="","",IF(INDEX(EntryTxnID,$P274)=0,"",INDEX(EntryTxnID,$P274)))</f>
        <v/>
      </c>
      <c r="P274" s="28">
        <f>IFERROR(MATCH($C$5&amp;"|"&amp;RIGHT("000000"&amp;258,6),CalcRankKey,0),"")</f>
        <v/>
      </c>
    </row>
    <row r="275">
      <c r="A275" s="26">
        <f>IF($B275="","",259)</f>
        <v/>
      </c>
      <c r="B275" s="26">
        <f>IF($P275="","",IF(INDEX(CalcNormDate,$P275)=0,"",INDEX(CalcNormDate,$P275)))</f>
        <v/>
      </c>
      <c r="C275" s="26">
        <f>IF($P275="","",IF(INDEX(CalcTime,$P275)=0,"",INDEX(CalcTime,$P275)))</f>
        <v/>
      </c>
      <c r="D275" s="26">
        <f>IF($P275="","",IF(INDEX(EntryParty,$P275)=0,"",INDEX(EntryParty,$P275)))</f>
        <v/>
      </c>
      <c r="E275" s="26">
        <f>IF($P275="","",IF(INDEX(EntryPartyName,$P275)=0,"",INDEX(EntryPartyName,$P275)))</f>
        <v/>
      </c>
      <c r="F275" s="26">
        <f>IF($P275="","",IF(INDEX(EntryPartyType,$P275)=0,"",INDEX(EntryPartyType,$P275)))</f>
        <v/>
      </c>
      <c r="G275" s="26">
        <f>IF($P275="","",IF(INDEX(EntryTxnType,$P275)=0,"",INDEX(EntryTxnType,$P275)))</f>
        <v/>
      </c>
      <c r="H275" s="27">
        <f>IF($P275="","",IF(INDEX(EntryDep,$P275)=0,"",INDEX(EntryDep,$P275)))</f>
        <v/>
      </c>
      <c r="I275" s="27">
        <f>IF($P275="","",IF(INDEX(EntryWit,$P275)=0,"",INDEX(EntryWit,$P275)))</f>
        <v/>
      </c>
      <c r="J275" s="27">
        <f>IF($B275="","",IF($A275=1,$C$7,IF(J274="",0,J274))+IF($H275="",0,$H275)-IF($I275="",0,$I275))</f>
        <v/>
      </c>
      <c r="K275" s="27">
        <f>IF($P275="","",IF(INDEX(EntryMan,$P275)=0,"",INDEX(EntryMan,$P275)))</f>
        <v/>
      </c>
      <c r="L275" s="26">
        <f>IF($B275="","",IF($K275="","—",IF(ROUND($K275-$J275,0)=0,"√","×")))</f>
        <v/>
      </c>
      <c r="M275" s="26">
        <f>IF($B275="","",IF(COUNTIFS(EntryDates,$B275,CalcTime,$C275,CalcBank,$C$5,EntryParty,$D275,EntryDep,$H275,EntryWit,$I275)&gt;1,"تکرار",""))</f>
        <v/>
      </c>
      <c r="N275" s="26">
        <f>IF($P275="","",IF(INDEX(EntryNotes,$P275)=0,"",INDEX(EntryNotes,$P275)))</f>
        <v/>
      </c>
      <c r="O275" s="26">
        <f>IF($P275="","",IF(INDEX(EntryTxnID,$P275)=0,"",INDEX(EntryTxnID,$P275)))</f>
        <v/>
      </c>
      <c r="P275" s="26">
        <f>IFERROR(MATCH($C$5&amp;"|"&amp;RIGHT("000000"&amp;259,6),CalcRankKey,0),"")</f>
        <v/>
      </c>
    </row>
    <row r="276">
      <c r="A276" s="28">
        <f>IF($B276="","",260)</f>
        <v/>
      </c>
      <c r="B276" s="28">
        <f>IF($P276="","",IF(INDEX(CalcNormDate,$P276)=0,"",INDEX(CalcNormDate,$P276)))</f>
        <v/>
      </c>
      <c r="C276" s="28">
        <f>IF($P276="","",IF(INDEX(CalcTime,$P276)=0,"",INDEX(CalcTime,$P276)))</f>
        <v/>
      </c>
      <c r="D276" s="28">
        <f>IF($P276="","",IF(INDEX(EntryParty,$P276)=0,"",INDEX(EntryParty,$P276)))</f>
        <v/>
      </c>
      <c r="E276" s="28">
        <f>IF($P276="","",IF(INDEX(EntryPartyName,$P276)=0,"",INDEX(EntryPartyName,$P276)))</f>
        <v/>
      </c>
      <c r="F276" s="28">
        <f>IF($P276="","",IF(INDEX(EntryPartyType,$P276)=0,"",INDEX(EntryPartyType,$P276)))</f>
        <v/>
      </c>
      <c r="G276" s="28">
        <f>IF($P276="","",IF(INDEX(EntryTxnType,$P276)=0,"",INDEX(EntryTxnType,$P276)))</f>
        <v/>
      </c>
      <c r="H276" s="29">
        <f>IF($P276="","",IF(INDEX(EntryDep,$P276)=0,"",INDEX(EntryDep,$P276)))</f>
        <v/>
      </c>
      <c r="I276" s="29">
        <f>IF($P276="","",IF(INDEX(EntryWit,$P276)=0,"",INDEX(EntryWit,$P276)))</f>
        <v/>
      </c>
      <c r="J276" s="29">
        <f>IF($B276="","",IF($A276=1,$C$7,IF(J275="",0,J275))+IF($H276="",0,$H276)-IF($I276="",0,$I276))</f>
        <v/>
      </c>
      <c r="K276" s="29">
        <f>IF($P276="","",IF(INDEX(EntryMan,$P276)=0,"",INDEX(EntryMan,$P276)))</f>
        <v/>
      </c>
      <c r="L276" s="28">
        <f>IF($B276="","",IF($K276="","—",IF(ROUND($K276-$J276,0)=0,"√","×")))</f>
        <v/>
      </c>
      <c r="M276" s="28">
        <f>IF($B276="","",IF(COUNTIFS(EntryDates,$B276,CalcTime,$C276,CalcBank,$C$5,EntryParty,$D276,EntryDep,$H276,EntryWit,$I276)&gt;1,"تکرار",""))</f>
        <v/>
      </c>
      <c r="N276" s="28">
        <f>IF($P276="","",IF(INDEX(EntryNotes,$P276)=0,"",INDEX(EntryNotes,$P276)))</f>
        <v/>
      </c>
      <c r="O276" s="28">
        <f>IF($P276="","",IF(INDEX(EntryTxnID,$P276)=0,"",INDEX(EntryTxnID,$P276)))</f>
        <v/>
      </c>
      <c r="P276" s="28">
        <f>IFERROR(MATCH($C$5&amp;"|"&amp;RIGHT("000000"&amp;260,6),CalcRankKey,0),"")</f>
        <v/>
      </c>
    </row>
    <row r="277">
      <c r="A277" s="26">
        <f>IF($B277="","",261)</f>
        <v/>
      </c>
      <c r="B277" s="26">
        <f>IF($P277="","",IF(INDEX(CalcNormDate,$P277)=0,"",INDEX(CalcNormDate,$P277)))</f>
        <v/>
      </c>
      <c r="C277" s="26">
        <f>IF($P277="","",IF(INDEX(CalcTime,$P277)=0,"",INDEX(CalcTime,$P277)))</f>
        <v/>
      </c>
      <c r="D277" s="26">
        <f>IF($P277="","",IF(INDEX(EntryParty,$P277)=0,"",INDEX(EntryParty,$P277)))</f>
        <v/>
      </c>
      <c r="E277" s="26">
        <f>IF($P277="","",IF(INDEX(EntryPartyName,$P277)=0,"",INDEX(EntryPartyName,$P277)))</f>
        <v/>
      </c>
      <c r="F277" s="26">
        <f>IF($P277="","",IF(INDEX(EntryPartyType,$P277)=0,"",INDEX(EntryPartyType,$P277)))</f>
        <v/>
      </c>
      <c r="G277" s="26">
        <f>IF($P277="","",IF(INDEX(EntryTxnType,$P277)=0,"",INDEX(EntryTxnType,$P277)))</f>
        <v/>
      </c>
      <c r="H277" s="27">
        <f>IF($P277="","",IF(INDEX(EntryDep,$P277)=0,"",INDEX(EntryDep,$P277)))</f>
        <v/>
      </c>
      <c r="I277" s="27">
        <f>IF($P277="","",IF(INDEX(EntryWit,$P277)=0,"",INDEX(EntryWit,$P277)))</f>
        <v/>
      </c>
      <c r="J277" s="27">
        <f>IF($B277="","",IF($A277=1,$C$7,IF(J276="",0,J276))+IF($H277="",0,$H277)-IF($I277="",0,$I277))</f>
        <v/>
      </c>
      <c r="K277" s="27">
        <f>IF($P277="","",IF(INDEX(EntryMan,$P277)=0,"",INDEX(EntryMan,$P277)))</f>
        <v/>
      </c>
      <c r="L277" s="26">
        <f>IF($B277="","",IF($K277="","—",IF(ROUND($K277-$J277,0)=0,"√","×")))</f>
        <v/>
      </c>
      <c r="M277" s="26">
        <f>IF($B277="","",IF(COUNTIFS(EntryDates,$B277,CalcTime,$C277,CalcBank,$C$5,EntryParty,$D277,EntryDep,$H277,EntryWit,$I277)&gt;1,"تکرار",""))</f>
        <v/>
      </c>
      <c r="N277" s="26">
        <f>IF($P277="","",IF(INDEX(EntryNotes,$P277)=0,"",INDEX(EntryNotes,$P277)))</f>
        <v/>
      </c>
      <c r="O277" s="26">
        <f>IF($P277="","",IF(INDEX(EntryTxnID,$P277)=0,"",INDEX(EntryTxnID,$P277)))</f>
        <v/>
      </c>
      <c r="P277" s="26">
        <f>IFERROR(MATCH($C$5&amp;"|"&amp;RIGHT("000000"&amp;261,6),CalcRankKey,0),"")</f>
        <v/>
      </c>
    </row>
    <row r="278">
      <c r="A278" s="28">
        <f>IF($B278="","",262)</f>
        <v/>
      </c>
      <c r="B278" s="28">
        <f>IF($P278="","",IF(INDEX(CalcNormDate,$P278)=0,"",INDEX(CalcNormDate,$P278)))</f>
        <v/>
      </c>
      <c r="C278" s="28">
        <f>IF($P278="","",IF(INDEX(CalcTime,$P278)=0,"",INDEX(CalcTime,$P278)))</f>
        <v/>
      </c>
      <c r="D278" s="28">
        <f>IF($P278="","",IF(INDEX(EntryParty,$P278)=0,"",INDEX(EntryParty,$P278)))</f>
        <v/>
      </c>
      <c r="E278" s="28">
        <f>IF($P278="","",IF(INDEX(EntryPartyName,$P278)=0,"",INDEX(EntryPartyName,$P278)))</f>
        <v/>
      </c>
      <c r="F278" s="28">
        <f>IF($P278="","",IF(INDEX(EntryPartyType,$P278)=0,"",INDEX(EntryPartyType,$P278)))</f>
        <v/>
      </c>
      <c r="G278" s="28">
        <f>IF($P278="","",IF(INDEX(EntryTxnType,$P278)=0,"",INDEX(EntryTxnType,$P278)))</f>
        <v/>
      </c>
      <c r="H278" s="29">
        <f>IF($P278="","",IF(INDEX(EntryDep,$P278)=0,"",INDEX(EntryDep,$P278)))</f>
        <v/>
      </c>
      <c r="I278" s="29">
        <f>IF($P278="","",IF(INDEX(EntryWit,$P278)=0,"",INDEX(EntryWit,$P278)))</f>
        <v/>
      </c>
      <c r="J278" s="29">
        <f>IF($B278="","",IF($A278=1,$C$7,IF(J277="",0,J277))+IF($H278="",0,$H278)-IF($I278="",0,$I278))</f>
        <v/>
      </c>
      <c r="K278" s="29">
        <f>IF($P278="","",IF(INDEX(EntryMan,$P278)=0,"",INDEX(EntryMan,$P278)))</f>
        <v/>
      </c>
      <c r="L278" s="28">
        <f>IF($B278="","",IF($K278="","—",IF(ROUND($K278-$J278,0)=0,"√","×")))</f>
        <v/>
      </c>
      <c r="M278" s="28">
        <f>IF($B278="","",IF(COUNTIFS(EntryDates,$B278,CalcTime,$C278,CalcBank,$C$5,EntryParty,$D278,EntryDep,$H278,EntryWit,$I278)&gt;1,"تکرار",""))</f>
        <v/>
      </c>
      <c r="N278" s="28">
        <f>IF($P278="","",IF(INDEX(EntryNotes,$P278)=0,"",INDEX(EntryNotes,$P278)))</f>
        <v/>
      </c>
      <c r="O278" s="28">
        <f>IF($P278="","",IF(INDEX(EntryTxnID,$P278)=0,"",INDEX(EntryTxnID,$P278)))</f>
        <v/>
      </c>
      <c r="P278" s="28">
        <f>IFERROR(MATCH($C$5&amp;"|"&amp;RIGHT("000000"&amp;262,6),CalcRankKey,0),"")</f>
        <v/>
      </c>
    </row>
    <row r="279">
      <c r="A279" s="26">
        <f>IF($B279="","",263)</f>
        <v/>
      </c>
      <c r="B279" s="26">
        <f>IF($P279="","",IF(INDEX(CalcNormDate,$P279)=0,"",INDEX(CalcNormDate,$P279)))</f>
        <v/>
      </c>
      <c r="C279" s="26">
        <f>IF($P279="","",IF(INDEX(CalcTime,$P279)=0,"",INDEX(CalcTime,$P279)))</f>
        <v/>
      </c>
      <c r="D279" s="26">
        <f>IF($P279="","",IF(INDEX(EntryParty,$P279)=0,"",INDEX(EntryParty,$P279)))</f>
        <v/>
      </c>
      <c r="E279" s="26">
        <f>IF($P279="","",IF(INDEX(EntryPartyName,$P279)=0,"",INDEX(EntryPartyName,$P279)))</f>
        <v/>
      </c>
      <c r="F279" s="26">
        <f>IF($P279="","",IF(INDEX(EntryPartyType,$P279)=0,"",INDEX(EntryPartyType,$P279)))</f>
        <v/>
      </c>
      <c r="G279" s="26">
        <f>IF($P279="","",IF(INDEX(EntryTxnType,$P279)=0,"",INDEX(EntryTxnType,$P279)))</f>
        <v/>
      </c>
      <c r="H279" s="27">
        <f>IF($P279="","",IF(INDEX(EntryDep,$P279)=0,"",INDEX(EntryDep,$P279)))</f>
        <v/>
      </c>
      <c r="I279" s="27">
        <f>IF($P279="","",IF(INDEX(EntryWit,$P279)=0,"",INDEX(EntryWit,$P279)))</f>
        <v/>
      </c>
      <c r="J279" s="27">
        <f>IF($B279="","",IF($A279=1,$C$7,IF(J278="",0,J278))+IF($H279="",0,$H279)-IF($I279="",0,$I279))</f>
        <v/>
      </c>
      <c r="K279" s="27">
        <f>IF($P279="","",IF(INDEX(EntryMan,$P279)=0,"",INDEX(EntryMan,$P279)))</f>
        <v/>
      </c>
      <c r="L279" s="26">
        <f>IF($B279="","",IF($K279="","—",IF(ROUND($K279-$J279,0)=0,"√","×")))</f>
        <v/>
      </c>
      <c r="M279" s="26">
        <f>IF($B279="","",IF(COUNTIFS(EntryDates,$B279,CalcTime,$C279,CalcBank,$C$5,EntryParty,$D279,EntryDep,$H279,EntryWit,$I279)&gt;1,"تکرار",""))</f>
        <v/>
      </c>
      <c r="N279" s="26">
        <f>IF($P279="","",IF(INDEX(EntryNotes,$P279)=0,"",INDEX(EntryNotes,$P279)))</f>
        <v/>
      </c>
      <c r="O279" s="26">
        <f>IF($P279="","",IF(INDEX(EntryTxnID,$P279)=0,"",INDEX(EntryTxnID,$P279)))</f>
        <v/>
      </c>
      <c r="P279" s="26">
        <f>IFERROR(MATCH($C$5&amp;"|"&amp;RIGHT("000000"&amp;263,6),CalcRankKey,0),"")</f>
        <v/>
      </c>
    </row>
    <row r="280">
      <c r="A280" s="28">
        <f>IF($B280="","",264)</f>
        <v/>
      </c>
      <c r="B280" s="28">
        <f>IF($P280="","",IF(INDEX(CalcNormDate,$P280)=0,"",INDEX(CalcNormDate,$P280)))</f>
        <v/>
      </c>
      <c r="C280" s="28">
        <f>IF($P280="","",IF(INDEX(CalcTime,$P280)=0,"",INDEX(CalcTime,$P280)))</f>
        <v/>
      </c>
      <c r="D280" s="28">
        <f>IF($P280="","",IF(INDEX(EntryParty,$P280)=0,"",INDEX(EntryParty,$P280)))</f>
        <v/>
      </c>
      <c r="E280" s="28">
        <f>IF($P280="","",IF(INDEX(EntryPartyName,$P280)=0,"",INDEX(EntryPartyName,$P280)))</f>
        <v/>
      </c>
      <c r="F280" s="28">
        <f>IF($P280="","",IF(INDEX(EntryPartyType,$P280)=0,"",INDEX(EntryPartyType,$P280)))</f>
        <v/>
      </c>
      <c r="G280" s="28">
        <f>IF($P280="","",IF(INDEX(EntryTxnType,$P280)=0,"",INDEX(EntryTxnType,$P280)))</f>
        <v/>
      </c>
      <c r="H280" s="29">
        <f>IF($P280="","",IF(INDEX(EntryDep,$P280)=0,"",INDEX(EntryDep,$P280)))</f>
        <v/>
      </c>
      <c r="I280" s="29">
        <f>IF($P280="","",IF(INDEX(EntryWit,$P280)=0,"",INDEX(EntryWit,$P280)))</f>
        <v/>
      </c>
      <c r="J280" s="29">
        <f>IF($B280="","",IF($A280=1,$C$7,IF(J279="",0,J279))+IF($H280="",0,$H280)-IF($I280="",0,$I280))</f>
        <v/>
      </c>
      <c r="K280" s="29">
        <f>IF($P280="","",IF(INDEX(EntryMan,$P280)=0,"",INDEX(EntryMan,$P280)))</f>
        <v/>
      </c>
      <c r="L280" s="28">
        <f>IF($B280="","",IF($K280="","—",IF(ROUND($K280-$J280,0)=0,"√","×")))</f>
        <v/>
      </c>
      <c r="M280" s="28">
        <f>IF($B280="","",IF(COUNTIFS(EntryDates,$B280,CalcTime,$C280,CalcBank,$C$5,EntryParty,$D280,EntryDep,$H280,EntryWit,$I280)&gt;1,"تکرار",""))</f>
        <v/>
      </c>
      <c r="N280" s="28">
        <f>IF($P280="","",IF(INDEX(EntryNotes,$P280)=0,"",INDEX(EntryNotes,$P280)))</f>
        <v/>
      </c>
      <c r="O280" s="28">
        <f>IF($P280="","",IF(INDEX(EntryTxnID,$P280)=0,"",INDEX(EntryTxnID,$P280)))</f>
        <v/>
      </c>
      <c r="P280" s="28">
        <f>IFERROR(MATCH($C$5&amp;"|"&amp;RIGHT("000000"&amp;264,6),CalcRankKey,0),"")</f>
        <v/>
      </c>
    </row>
    <row r="281">
      <c r="A281" s="26">
        <f>IF($B281="","",265)</f>
        <v/>
      </c>
      <c r="B281" s="26">
        <f>IF($P281="","",IF(INDEX(CalcNormDate,$P281)=0,"",INDEX(CalcNormDate,$P281)))</f>
        <v/>
      </c>
      <c r="C281" s="26">
        <f>IF($P281="","",IF(INDEX(CalcTime,$P281)=0,"",INDEX(CalcTime,$P281)))</f>
        <v/>
      </c>
      <c r="D281" s="26">
        <f>IF($P281="","",IF(INDEX(EntryParty,$P281)=0,"",INDEX(EntryParty,$P281)))</f>
        <v/>
      </c>
      <c r="E281" s="26">
        <f>IF($P281="","",IF(INDEX(EntryPartyName,$P281)=0,"",INDEX(EntryPartyName,$P281)))</f>
        <v/>
      </c>
      <c r="F281" s="26">
        <f>IF($P281="","",IF(INDEX(EntryPartyType,$P281)=0,"",INDEX(EntryPartyType,$P281)))</f>
        <v/>
      </c>
      <c r="G281" s="26">
        <f>IF($P281="","",IF(INDEX(EntryTxnType,$P281)=0,"",INDEX(EntryTxnType,$P281)))</f>
        <v/>
      </c>
      <c r="H281" s="27">
        <f>IF($P281="","",IF(INDEX(EntryDep,$P281)=0,"",INDEX(EntryDep,$P281)))</f>
        <v/>
      </c>
      <c r="I281" s="27">
        <f>IF($P281="","",IF(INDEX(EntryWit,$P281)=0,"",INDEX(EntryWit,$P281)))</f>
        <v/>
      </c>
      <c r="J281" s="27">
        <f>IF($B281="","",IF($A281=1,$C$7,IF(J280="",0,J280))+IF($H281="",0,$H281)-IF($I281="",0,$I281))</f>
        <v/>
      </c>
      <c r="K281" s="27">
        <f>IF($P281="","",IF(INDEX(EntryMan,$P281)=0,"",INDEX(EntryMan,$P281)))</f>
        <v/>
      </c>
      <c r="L281" s="26">
        <f>IF($B281="","",IF($K281="","—",IF(ROUND($K281-$J281,0)=0,"√","×")))</f>
        <v/>
      </c>
      <c r="M281" s="26">
        <f>IF($B281="","",IF(COUNTIFS(EntryDates,$B281,CalcTime,$C281,CalcBank,$C$5,EntryParty,$D281,EntryDep,$H281,EntryWit,$I281)&gt;1,"تکرار",""))</f>
        <v/>
      </c>
      <c r="N281" s="26">
        <f>IF($P281="","",IF(INDEX(EntryNotes,$P281)=0,"",INDEX(EntryNotes,$P281)))</f>
        <v/>
      </c>
      <c r="O281" s="26">
        <f>IF($P281="","",IF(INDEX(EntryTxnID,$P281)=0,"",INDEX(EntryTxnID,$P281)))</f>
        <v/>
      </c>
      <c r="P281" s="26">
        <f>IFERROR(MATCH($C$5&amp;"|"&amp;RIGHT("000000"&amp;265,6),CalcRankKey,0),"")</f>
        <v/>
      </c>
    </row>
    <row r="282">
      <c r="A282" s="28">
        <f>IF($B282="","",266)</f>
        <v/>
      </c>
      <c r="B282" s="28">
        <f>IF($P282="","",IF(INDEX(CalcNormDate,$P282)=0,"",INDEX(CalcNormDate,$P282)))</f>
        <v/>
      </c>
      <c r="C282" s="28">
        <f>IF($P282="","",IF(INDEX(CalcTime,$P282)=0,"",INDEX(CalcTime,$P282)))</f>
        <v/>
      </c>
      <c r="D282" s="28">
        <f>IF($P282="","",IF(INDEX(EntryParty,$P282)=0,"",INDEX(EntryParty,$P282)))</f>
        <v/>
      </c>
      <c r="E282" s="28">
        <f>IF($P282="","",IF(INDEX(EntryPartyName,$P282)=0,"",INDEX(EntryPartyName,$P282)))</f>
        <v/>
      </c>
      <c r="F282" s="28">
        <f>IF($P282="","",IF(INDEX(EntryPartyType,$P282)=0,"",INDEX(EntryPartyType,$P282)))</f>
        <v/>
      </c>
      <c r="G282" s="28">
        <f>IF($P282="","",IF(INDEX(EntryTxnType,$P282)=0,"",INDEX(EntryTxnType,$P282)))</f>
        <v/>
      </c>
      <c r="H282" s="29">
        <f>IF($P282="","",IF(INDEX(EntryDep,$P282)=0,"",INDEX(EntryDep,$P282)))</f>
        <v/>
      </c>
      <c r="I282" s="29">
        <f>IF($P282="","",IF(INDEX(EntryWit,$P282)=0,"",INDEX(EntryWit,$P282)))</f>
        <v/>
      </c>
      <c r="J282" s="29">
        <f>IF($B282="","",IF($A282=1,$C$7,IF(J281="",0,J281))+IF($H282="",0,$H282)-IF($I282="",0,$I282))</f>
        <v/>
      </c>
      <c r="K282" s="29">
        <f>IF($P282="","",IF(INDEX(EntryMan,$P282)=0,"",INDEX(EntryMan,$P282)))</f>
        <v/>
      </c>
      <c r="L282" s="28">
        <f>IF($B282="","",IF($K282="","—",IF(ROUND($K282-$J282,0)=0,"√","×")))</f>
        <v/>
      </c>
      <c r="M282" s="28">
        <f>IF($B282="","",IF(COUNTIFS(EntryDates,$B282,CalcTime,$C282,CalcBank,$C$5,EntryParty,$D282,EntryDep,$H282,EntryWit,$I282)&gt;1,"تکرار",""))</f>
        <v/>
      </c>
      <c r="N282" s="28">
        <f>IF($P282="","",IF(INDEX(EntryNotes,$P282)=0,"",INDEX(EntryNotes,$P282)))</f>
        <v/>
      </c>
      <c r="O282" s="28">
        <f>IF($P282="","",IF(INDEX(EntryTxnID,$P282)=0,"",INDEX(EntryTxnID,$P282)))</f>
        <v/>
      </c>
      <c r="P282" s="28">
        <f>IFERROR(MATCH($C$5&amp;"|"&amp;RIGHT("000000"&amp;266,6),CalcRankKey,0),"")</f>
        <v/>
      </c>
    </row>
    <row r="283">
      <c r="A283" s="26">
        <f>IF($B283="","",267)</f>
        <v/>
      </c>
      <c r="B283" s="26">
        <f>IF($P283="","",IF(INDEX(CalcNormDate,$P283)=0,"",INDEX(CalcNormDate,$P283)))</f>
        <v/>
      </c>
      <c r="C283" s="26">
        <f>IF($P283="","",IF(INDEX(CalcTime,$P283)=0,"",INDEX(CalcTime,$P283)))</f>
        <v/>
      </c>
      <c r="D283" s="26">
        <f>IF($P283="","",IF(INDEX(EntryParty,$P283)=0,"",INDEX(EntryParty,$P283)))</f>
        <v/>
      </c>
      <c r="E283" s="26">
        <f>IF($P283="","",IF(INDEX(EntryPartyName,$P283)=0,"",INDEX(EntryPartyName,$P283)))</f>
        <v/>
      </c>
      <c r="F283" s="26">
        <f>IF($P283="","",IF(INDEX(EntryPartyType,$P283)=0,"",INDEX(EntryPartyType,$P283)))</f>
        <v/>
      </c>
      <c r="G283" s="26">
        <f>IF($P283="","",IF(INDEX(EntryTxnType,$P283)=0,"",INDEX(EntryTxnType,$P283)))</f>
        <v/>
      </c>
      <c r="H283" s="27">
        <f>IF($P283="","",IF(INDEX(EntryDep,$P283)=0,"",INDEX(EntryDep,$P283)))</f>
        <v/>
      </c>
      <c r="I283" s="27">
        <f>IF($P283="","",IF(INDEX(EntryWit,$P283)=0,"",INDEX(EntryWit,$P283)))</f>
        <v/>
      </c>
      <c r="J283" s="27">
        <f>IF($B283="","",IF($A283=1,$C$7,IF(J282="",0,J282))+IF($H283="",0,$H283)-IF($I283="",0,$I283))</f>
        <v/>
      </c>
      <c r="K283" s="27">
        <f>IF($P283="","",IF(INDEX(EntryMan,$P283)=0,"",INDEX(EntryMan,$P283)))</f>
        <v/>
      </c>
      <c r="L283" s="26">
        <f>IF($B283="","",IF($K283="","—",IF(ROUND($K283-$J283,0)=0,"√","×")))</f>
        <v/>
      </c>
      <c r="M283" s="26">
        <f>IF($B283="","",IF(COUNTIFS(EntryDates,$B283,CalcTime,$C283,CalcBank,$C$5,EntryParty,$D283,EntryDep,$H283,EntryWit,$I283)&gt;1,"تکرار",""))</f>
        <v/>
      </c>
      <c r="N283" s="26">
        <f>IF($P283="","",IF(INDEX(EntryNotes,$P283)=0,"",INDEX(EntryNotes,$P283)))</f>
        <v/>
      </c>
      <c r="O283" s="26">
        <f>IF($P283="","",IF(INDEX(EntryTxnID,$P283)=0,"",INDEX(EntryTxnID,$P283)))</f>
        <v/>
      </c>
      <c r="P283" s="26">
        <f>IFERROR(MATCH($C$5&amp;"|"&amp;RIGHT("000000"&amp;267,6),CalcRankKey,0),"")</f>
        <v/>
      </c>
    </row>
    <row r="284">
      <c r="A284" s="28">
        <f>IF($B284="","",268)</f>
        <v/>
      </c>
      <c r="B284" s="28">
        <f>IF($P284="","",IF(INDEX(CalcNormDate,$P284)=0,"",INDEX(CalcNormDate,$P284)))</f>
        <v/>
      </c>
      <c r="C284" s="28">
        <f>IF($P284="","",IF(INDEX(CalcTime,$P284)=0,"",INDEX(CalcTime,$P284)))</f>
        <v/>
      </c>
      <c r="D284" s="28">
        <f>IF($P284="","",IF(INDEX(EntryParty,$P284)=0,"",INDEX(EntryParty,$P284)))</f>
        <v/>
      </c>
      <c r="E284" s="28">
        <f>IF($P284="","",IF(INDEX(EntryPartyName,$P284)=0,"",INDEX(EntryPartyName,$P284)))</f>
        <v/>
      </c>
      <c r="F284" s="28">
        <f>IF($P284="","",IF(INDEX(EntryPartyType,$P284)=0,"",INDEX(EntryPartyType,$P284)))</f>
        <v/>
      </c>
      <c r="G284" s="28">
        <f>IF($P284="","",IF(INDEX(EntryTxnType,$P284)=0,"",INDEX(EntryTxnType,$P284)))</f>
        <v/>
      </c>
      <c r="H284" s="29">
        <f>IF($P284="","",IF(INDEX(EntryDep,$P284)=0,"",INDEX(EntryDep,$P284)))</f>
        <v/>
      </c>
      <c r="I284" s="29">
        <f>IF($P284="","",IF(INDEX(EntryWit,$P284)=0,"",INDEX(EntryWit,$P284)))</f>
        <v/>
      </c>
      <c r="J284" s="29">
        <f>IF($B284="","",IF($A284=1,$C$7,IF(J283="",0,J283))+IF($H284="",0,$H284)-IF($I284="",0,$I284))</f>
        <v/>
      </c>
      <c r="K284" s="29">
        <f>IF($P284="","",IF(INDEX(EntryMan,$P284)=0,"",INDEX(EntryMan,$P284)))</f>
        <v/>
      </c>
      <c r="L284" s="28">
        <f>IF($B284="","",IF($K284="","—",IF(ROUND($K284-$J284,0)=0,"√","×")))</f>
        <v/>
      </c>
      <c r="M284" s="28">
        <f>IF($B284="","",IF(COUNTIFS(EntryDates,$B284,CalcTime,$C284,CalcBank,$C$5,EntryParty,$D284,EntryDep,$H284,EntryWit,$I284)&gt;1,"تکرار",""))</f>
        <v/>
      </c>
      <c r="N284" s="28">
        <f>IF($P284="","",IF(INDEX(EntryNotes,$P284)=0,"",INDEX(EntryNotes,$P284)))</f>
        <v/>
      </c>
      <c r="O284" s="28">
        <f>IF($P284="","",IF(INDEX(EntryTxnID,$P284)=0,"",INDEX(EntryTxnID,$P284)))</f>
        <v/>
      </c>
      <c r="P284" s="28">
        <f>IFERROR(MATCH($C$5&amp;"|"&amp;RIGHT("000000"&amp;268,6),CalcRankKey,0),"")</f>
        <v/>
      </c>
    </row>
    <row r="285">
      <c r="A285" s="26">
        <f>IF($B285="","",269)</f>
        <v/>
      </c>
      <c r="B285" s="26">
        <f>IF($P285="","",IF(INDEX(CalcNormDate,$P285)=0,"",INDEX(CalcNormDate,$P285)))</f>
        <v/>
      </c>
      <c r="C285" s="26">
        <f>IF($P285="","",IF(INDEX(CalcTime,$P285)=0,"",INDEX(CalcTime,$P285)))</f>
        <v/>
      </c>
      <c r="D285" s="26">
        <f>IF($P285="","",IF(INDEX(EntryParty,$P285)=0,"",INDEX(EntryParty,$P285)))</f>
        <v/>
      </c>
      <c r="E285" s="26">
        <f>IF($P285="","",IF(INDEX(EntryPartyName,$P285)=0,"",INDEX(EntryPartyName,$P285)))</f>
        <v/>
      </c>
      <c r="F285" s="26">
        <f>IF($P285="","",IF(INDEX(EntryPartyType,$P285)=0,"",INDEX(EntryPartyType,$P285)))</f>
        <v/>
      </c>
      <c r="G285" s="26">
        <f>IF($P285="","",IF(INDEX(EntryTxnType,$P285)=0,"",INDEX(EntryTxnType,$P285)))</f>
        <v/>
      </c>
      <c r="H285" s="27">
        <f>IF($P285="","",IF(INDEX(EntryDep,$P285)=0,"",INDEX(EntryDep,$P285)))</f>
        <v/>
      </c>
      <c r="I285" s="27">
        <f>IF($P285="","",IF(INDEX(EntryWit,$P285)=0,"",INDEX(EntryWit,$P285)))</f>
        <v/>
      </c>
      <c r="J285" s="27">
        <f>IF($B285="","",IF($A285=1,$C$7,IF(J284="",0,J284))+IF($H285="",0,$H285)-IF($I285="",0,$I285))</f>
        <v/>
      </c>
      <c r="K285" s="27">
        <f>IF($P285="","",IF(INDEX(EntryMan,$P285)=0,"",INDEX(EntryMan,$P285)))</f>
        <v/>
      </c>
      <c r="L285" s="26">
        <f>IF($B285="","",IF($K285="","—",IF(ROUND($K285-$J285,0)=0,"√","×")))</f>
        <v/>
      </c>
      <c r="M285" s="26">
        <f>IF($B285="","",IF(COUNTIFS(EntryDates,$B285,CalcTime,$C285,CalcBank,$C$5,EntryParty,$D285,EntryDep,$H285,EntryWit,$I285)&gt;1,"تکرار",""))</f>
        <v/>
      </c>
      <c r="N285" s="26">
        <f>IF($P285="","",IF(INDEX(EntryNotes,$P285)=0,"",INDEX(EntryNotes,$P285)))</f>
        <v/>
      </c>
      <c r="O285" s="26">
        <f>IF($P285="","",IF(INDEX(EntryTxnID,$P285)=0,"",INDEX(EntryTxnID,$P285)))</f>
        <v/>
      </c>
      <c r="P285" s="26">
        <f>IFERROR(MATCH($C$5&amp;"|"&amp;RIGHT("000000"&amp;269,6),CalcRankKey,0),"")</f>
        <v/>
      </c>
    </row>
    <row r="286">
      <c r="A286" s="28">
        <f>IF($B286="","",270)</f>
        <v/>
      </c>
      <c r="B286" s="28">
        <f>IF($P286="","",IF(INDEX(CalcNormDate,$P286)=0,"",INDEX(CalcNormDate,$P286)))</f>
        <v/>
      </c>
      <c r="C286" s="28">
        <f>IF($P286="","",IF(INDEX(CalcTime,$P286)=0,"",INDEX(CalcTime,$P286)))</f>
        <v/>
      </c>
      <c r="D286" s="28">
        <f>IF($P286="","",IF(INDEX(EntryParty,$P286)=0,"",INDEX(EntryParty,$P286)))</f>
        <v/>
      </c>
      <c r="E286" s="28">
        <f>IF($P286="","",IF(INDEX(EntryPartyName,$P286)=0,"",INDEX(EntryPartyName,$P286)))</f>
        <v/>
      </c>
      <c r="F286" s="28">
        <f>IF($P286="","",IF(INDEX(EntryPartyType,$P286)=0,"",INDEX(EntryPartyType,$P286)))</f>
        <v/>
      </c>
      <c r="G286" s="28">
        <f>IF($P286="","",IF(INDEX(EntryTxnType,$P286)=0,"",INDEX(EntryTxnType,$P286)))</f>
        <v/>
      </c>
      <c r="H286" s="29">
        <f>IF($P286="","",IF(INDEX(EntryDep,$P286)=0,"",INDEX(EntryDep,$P286)))</f>
        <v/>
      </c>
      <c r="I286" s="29">
        <f>IF($P286="","",IF(INDEX(EntryWit,$P286)=0,"",INDEX(EntryWit,$P286)))</f>
        <v/>
      </c>
      <c r="J286" s="29">
        <f>IF($B286="","",IF($A286=1,$C$7,IF(J285="",0,J285))+IF($H286="",0,$H286)-IF($I286="",0,$I286))</f>
        <v/>
      </c>
      <c r="K286" s="29">
        <f>IF($P286="","",IF(INDEX(EntryMan,$P286)=0,"",INDEX(EntryMan,$P286)))</f>
        <v/>
      </c>
      <c r="L286" s="28">
        <f>IF($B286="","",IF($K286="","—",IF(ROUND($K286-$J286,0)=0,"√","×")))</f>
        <v/>
      </c>
      <c r="M286" s="28">
        <f>IF($B286="","",IF(COUNTIFS(EntryDates,$B286,CalcTime,$C286,CalcBank,$C$5,EntryParty,$D286,EntryDep,$H286,EntryWit,$I286)&gt;1,"تکرار",""))</f>
        <v/>
      </c>
      <c r="N286" s="28">
        <f>IF($P286="","",IF(INDEX(EntryNotes,$P286)=0,"",INDEX(EntryNotes,$P286)))</f>
        <v/>
      </c>
      <c r="O286" s="28">
        <f>IF($P286="","",IF(INDEX(EntryTxnID,$P286)=0,"",INDEX(EntryTxnID,$P286)))</f>
        <v/>
      </c>
      <c r="P286" s="28">
        <f>IFERROR(MATCH($C$5&amp;"|"&amp;RIGHT("000000"&amp;270,6),CalcRankKey,0),"")</f>
        <v/>
      </c>
    </row>
    <row r="287">
      <c r="A287" s="26">
        <f>IF($B287="","",271)</f>
        <v/>
      </c>
      <c r="B287" s="26">
        <f>IF($P287="","",IF(INDEX(CalcNormDate,$P287)=0,"",INDEX(CalcNormDate,$P287)))</f>
        <v/>
      </c>
      <c r="C287" s="26">
        <f>IF($P287="","",IF(INDEX(CalcTime,$P287)=0,"",INDEX(CalcTime,$P287)))</f>
        <v/>
      </c>
      <c r="D287" s="26">
        <f>IF($P287="","",IF(INDEX(EntryParty,$P287)=0,"",INDEX(EntryParty,$P287)))</f>
        <v/>
      </c>
      <c r="E287" s="26">
        <f>IF($P287="","",IF(INDEX(EntryPartyName,$P287)=0,"",INDEX(EntryPartyName,$P287)))</f>
        <v/>
      </c>
      <c r="F287" s="26">
        <f>IF($P287="","",IF(INDEX(EntryPartyType,$P287)=0,"",INDEX(EntryPartyType,$P287)))</f>
        <v/>
      </c>
      <c r="G287" s="26">
        <f>IF($P287="","",IF(INDEX(EntryTxnType,$P287)=0,"",INDEX(EntryTxnType,$P287)))</f>
        <v/>
      </c>
      <c r="H287" s="27">
        <f>IF($P287="","",IF(INDEX(EntryDep,$P287)=0,"",INDEX(EntryDep,$P287)))</f>
        <v/>
      </c>
      <c r="I287" s="27">
        <f>IF($P287="","",IF(INDEX(EntryWit,$P287)=0,"",INDEX(EntryWit,$P287)))</f>
        <v/>
      </c>
      <c r="J287" s="27">
        <f>IF($B287="","",IF($A287=1,$C$7,IF(J286="",0,J286))+IF($H287="",0,$H287)-IF($I287="",0,$I287))</f>
        <v/>
      </c>
      <c r="K287" s="27">
        <f>IF($P287="","",IF(INDEX(EntryMan,$P287)=0,"",INDEX(EntryMan,$P287)))</f>
        <v/>
      </c>
      <c r="L287" s="26">
        <f>IF($B287="","",IF($K287="","—",IF(ROUND($K287-$J287,0)=0,"√","×")))</f>
        <v/>
      </c>
      <c r="M287" s="26">
        <f>IF($B287="","",IF(COUNTIFS(EntryDates,$B287,CalcTime,$C287,CalcBank,$C$5,EntryParty,$D287,EntryDep,$H287,EntryWit,$I287)&gt;1,"تکرار",""))</f>
        <v/>
      </c>
      <c r="N287" s="26">
        <f>IF($P287="","",IF(INDEX(EntryNotes,$P287)=0,"",INDEX(EntryNotes,$P287)))</f>
        <v/>
      </c>
      <c r="O287" s="26">
        <f>IF($P287="","",IF(INDEX(EntryTxnID,$P287)=0,"",INDEX(EntryTxnID,$P287)))</f>
        <v/>
      </c>
      <c r="P287" s="26">
        <f>IFERROR(MATCH($C$5&amp;"|"&amp;RIGHT("000000"&amp;271,6),CalcRankKey,0),"")</f>
        <v/>
      </c>
    </row>
    <row r="288">
      <c r="A288" s="28">
        <f>IF($B288="","",272)</f>
        <v/>
      </c>
      <c r="B288" s="28">
        <f>IF($P288="","",IF(INDEX(CalcNormDate,$P288)=0,"",INDEX(CalcNormDate,$P288)))</f>
        <v/>
      </c>
      <c r="C288" s="28">
        <f>IF($P288="","",IF(INDEX(CalcTime,$P288)=0,"",INDEX(CalcTime,$P288)))</f>
        <v/>
      </c>
      <c r="D288" s="28">
        <f>IF($P288="","",IF(INDEX(EntryParty,$P288)=0,"",INDEX(EntryParty,$P288)))</f>
        <v/>
      </c>
      <c r="E288" s="28">
        <f>IF($P288="","",IF(INDEX(EntryPartyName,$P288)=0,"",INDEX(EntryPartyName,$P288)))</f>
        <v/>
      </c>
      <c r="F288" s="28">
        <f>IF($P288="","",IF(INDEX(EntryPartyType,$P288)=0,"",INDEX(EntryPartyType,$P288)))</f>
        <v/>
      </c>
      <c r="G288" s="28">
        <f>IF($P288="","",IF(INDEX(EntryTxnType,$P288)=0,"",INDEX(EntryTxnType,$P288)))</f>
        <v/>
      </c>
      <c r="H288" s="29">
        <f>IF($P288="","",IF(INDEX(EntryDep,$P288)=0,"",INDEX(EntryDep,$P288)))</f>
        <v/>
      </c>
      <c r="I288" s="29">
        <f>IF($P288="","",IF(INDEX(EntryWit,$P288)=0,"",INDEX(EntryWit,$P288)))</f>
        <v/>
      </c>
      <c r="J288" s="29">
        <f>IF($B288="","",IF($A288=1,$C$7,IF(J287="",0,J287))+IF($H288="",0,$H288)-IF($I288="",0,$I288))</f>
        <v/>
      </c>
      <c r="K288" s="29">
        <f>IF($P288="","",IF(INDEX(EntryMan,$P288)=0,"",INDEX(EntryMan,$P288)))</f>
        <v/>
      </c>
      <c r="L288" s="28">
        <f>IF($B288="","",IF($K288="","—",IF(ROUND($K288-$J288,0)=0,"√","×")))</f>
        <v/>
      </c>
      <c r="M288" s="28">
        <f>IF($B288="","",IF(COUNTIFS(EntryDates,$B288,CalcTime,$C288,CalcBank,$C$5,EntryParty,$D288,EntryDep,$H288,EntryWit,$I288)&gt;1,"تکرار",""))</f>
        <v/>
      </c>
      <c r="N288" s="28">
        <f>IF($P288="","",IF(INDEX(EntryNotes,$P288)=0,"",INDEX(EntryNotes,$P288)))</f>
        <v/>
      </c>
      <c r="O288" s="28">
        <f>IF($P288="","",IF(INDEX(EntryTxnID,$P288)=0,"",INDEX(EntryTxnID,$P288)))</f>
        <v/>
      </c>
      <c r="P288" s="28">
        <f>IFERROR(MATCH($C$5&amp;"|"&amp;RIGHT("000000"&amp;272,6),CalcRankKey,0),"")</f>
        <v/>
      </c>
    </row>
    <row r="289">
      <c r="A289" s="26">
        <f>IF($B289="","",273)</f>
        <v/>
      </c>
      <c r="B289" s="26">
        <f>IF($P289="","",IF(INDEX(CalcNormDate,$P289)=0,"",INDEX(CalcNormDate,$P289)))</f>
        <v/>
      </c>
      <c r="C289" s="26">
        <f>IF($P289="","",IF(INDEX(CalcTime,$P289)=0,"",INDEX(CalcTime,$P289)))</f>
        <v/>
      </c>
      <c r="D289" s="26">
        <f>IF($P289="","",IF(INDEX(EntryParty,$P289)=0,"",INDEX(EntryParty,$P289)))</f>
        <v/>
      </c>
      <c r="E289" s="26">
        <f>IF($P289="","",IF(INDEX(EntryPartyName,$P289)=0,"",INDEX(EntryPartyName,$P289)))</f>
        <v/>
      </c>
      <c r="F289" s="26">
        <f>IF($P289="","",IF(INDEX(EntryPartyType,$P289)=0,"",INDEX(EntryPartyType,$P289)))</f>
        <v/>
      </c>
      <c r="G289" s="26">
        <f>IF($P289="","",IF(INDEX(EntryTxnType,$P289)=0,"",INDEX(EntryTxnType,$P289)))</f>
        <v/>
      </c>
      <c r="H289" s="27">
        <f>IF($P289="","",IF(INDEX(EntryDep,$P289)=0,"",INDEX(EntryDep,$P289)))</f>
        <v/>
      </c>
      <c r="I289" s="27">
        <f>IF($P289="","",IF(INDEX(EntryWit,$P289)=0,"",INDEX(EntryWit,$P289)))</f>
        <v/>
      </c>
      <c r="J289" s="27">
        <f>IF($B289="","",IF($A289=1,$C$7,IF(J288="",0,J288))+IF($H289="",0,$H289)-IF($I289="",0,$I289))</f>
        <v/>
      </c>
      <c r="K289" s="27">
        <f>IF($P289="","",IF(INDEX(EntryMan,$P289)=0,"",INDEX(EntryMan,$P289)))</f>
        <v/>
      </c>
      <c r="L289" s="26">
        <f>IF($B289="","",IF($K289="","—",IF(ROUND($K289-$J289,0)=0,"√","×")))</f>
        <v/>
      </c>
      <c r="M289" s="26">
        <f>IF($B289="","",IF(COUNTIFS(EntryDates,$B289,CalcTime,$C289,CalcBank,$C$5,EntryParty,$D289,EntryDep,$H289,EntryWit,$I289)&gt;1,"تکرار",""))</f>
        <v/>
      </c>
      <c r="N289" s="26">
        <f>IF($P289="","",IF(INDEX(EntryNotes,$P289)=0,"",INDEX(EntryNotes,$P289)))</f>
        <v/>
      </c>
      <c r="O289" s="26">
        <f>IF($P289="","",IF(INDEX(EntryTxnID,$P289)=0,"",INDEX(EntryTxnID,$P289)))</f>
        <v/>
      </c>
      <c r="P289" s="26">
        <f>IFERROR(MATCH($C$5&amp;"|"&amp;RIGHT("000000"&amp;273,6),CalcRankKey,0),"")</f>
        <v/>
      </c>
    </row>
    <row r="290">
      <c r="A290" s="28">
        <f>IF($B290="","",274)</f>
        <v/>
      </c>
      <c r="B290" s="28">
        <f>IF($P290="","",IF(INDEX(CalcNormDate,$P290)=0,"",INDEX(CalcNormDate,$P290)))</f>
        <v/>
      </c>
      <c r="C290" s="28">
        <f>IF($P290="","",IF(INDEX(CalcTime,$P290)=0,"",INDEX(CalcTime,$P290)))</f>
        <v/>
      </c>
      <c r="D290" s="28">
        <f>IF($P290="","",IF(INDEX(EntryParty,$P290)=0,"",INDEX(EntryParty,$P290)))</f>
        <v/>
      </c>
      <c r="E290" s="28">
        <f>IF($P290="","",IF(INDEX(EntryPartyName,$P290)=0,"",INDEX(EntryPartyName,$P290)))</f>
        <v/>
      </c>
      <c r="F290" s="28">
        <f>IF($P290="","",IF(INDEX(EntryPartyType,$P290)=0,"",INDEX(EntryPartyType,$P290)))</f>
        <v/>
      </c>
      <c r="G290" s="28">
        <f>IF($P290="","",IF(INDEX(EntryTxnType,$P290)=0,"",INDEX(EntryTxnType,$P290)))</f>
        <v/>
      </c>
      <c r="H290" s="29">
        <f>IF($P290="","",IF(INDEX(EntryDep,$P290)=0,"",INDEX(EntryDep,$P290)))</f>
        <v/>
      </c>
      <c r="I290" s="29">
        <f>IF($P290="","",IF(INDEX(EntryWit,$P290)=0,"",INDEX(EntryWit,$P290)))</f>
        <v/>
      </c>
      <c r="J290" s="29">
        <f>IF($B290="","",IF($A290=1,$C$7,IF(J289="",0,J289))+IF($H290="",0,$H290)-IF($I290="",0,$I290))</f>
        <v/>
      </c>
      <c r="K290" s="29">
        <f>IF($P290="","",IF(INDEX(EntryMan,$P290)=0,"",INDEX(EntryMan,$P290)))</f>
        <v/>
      </c>
      <c r="L290" s="28">
        <f>IF($B290="","",IF($K290="","—",IF(ROUND($K290-$J290,0)=0,"√","×")))</f>
        <v/>
      </c>
      <c r="M290" s="28">
        <f>IF($B290="","",IF(COUNTIFS(EntryDates,$B290,CalcTime,$C290,CalcBank,$C$5,EntryParty,$D290,EntryDep,$H290,EntryWit,$I290)&gt;1,"تکرار",""))</f>
        <v/>
      </c>
      <c r="N290" s="28">
        <f>IF($P290="","",IF(INDEX(EntryNotes,$P290)=0,"",INDEX(EntryNotes,$P290)))</f>
        <v/>
      </c>
      <c r="O290" s="28">
        <f>IF($P290="","",IF(INDEX(EntryTxnID,$P290)=0,"",INDEX(EntryTxnID,$P290)))</f>
        <v/>
      </c>
      <c r="P290" s="28">
        <f>IFERROR(MATCH($C$5&amp;"|"&amp;RIGHT("000000"&amp;274,6),CalcRankKey,0),"")</f>
        <v/>
      </c>
    </row>
    <row r="291">
      <c r="A291" s="26">
        <f>IF($B291="","",275)</f>
        <v/>
      </c>
      <c r="B291" s="26">
        <f>IF($P291="","",IF(INDEX(CalcNormDate,$P291)=0,"",INDEX(CalcNormDate,$P291)))</f>
        <v/>
      </c>
      <c r="C291" s="26">
        <f>IF($P291="","",IF(INDEX(CalcTime,$P291)=0,"",INDEX(CalcTime,$P291)))</f>
        <v/>
      </c>
      <c r="D291" s="26">
        <f>IF($P291="","",IF(INDEX(EntryParty,$P291)=0,"",INDEX(EntryParty,$P291)))</f>
        <v/>
      </c>
      <c r="E291" s="26">
        <f>IF($P291="","",IF(INDEX(EntryPartyName,$P291)=0,"",INDEX(EntryPartyName,$P291)))</f>
        <v/>
      </c>
      <c r="F291" s="26">
        <f>IF($P291="","",IF(INDEX(EntryPartyType,$P291)=0,"",INDEX(EntryPartyType,$P291)))</f>
        <v/>
      </c>
      <c r="G291" s="26">
        <f>IF($P291="","",IF(INDEX(EntryTxnType,$P291)=0,"",INDEX(EntryTxnType,$P291)))</f>
        <v/>
      </c>
      <c r="H291" s="27">
        <f>IF($P291="","",IF(INDEX(EntryDep,$P291)=0,"",INDEX(EntryDep,$P291)))</f>
        <v/>
      </c>
      <c r="I291" s="27">
        <f>IF($P291="","",IF(INDEX(EntryWit,$P291)=0,"",INDEX(EntryWit,$P291)))</f>
        <v/>
      </c>
      <c r="J291" s="27">
        <f>IF($B291="","",IF($A291=1,$C$7,IF(J290="",0,J290))+IF($H291="",0,$H291)-IF($I291="",0,$I291))</f>
        <v/>
      </c>
      <c r="K291" s="27">
        <f>IF($P291="","",IF(INDEX(EntryMan,$P291)=0,"",INDEX(EntryMan,$P291)))</f>
        <v/>
      </c>
      <c r="L291" s="26">
        <f>IF($B291="","",IF($K291="","—",IF(ROUND($K291-$J291,0)=0,"√","×")))</f>
        <v/>
      </c>
      <c r="M291" s="26">
        <f>IF($B291="","",IF(COUNTIFS(EntryDates,$B291,CalcTime,$C291,CalcBank,$C$5,EntryParty,$D291,EntryDep,$H291,EntryWit,$I291)&gt;1,"تکرار",""))</f>
        <v/>
      </c>
      <c r="N291" s="26">
        <f>IF($P291="","",IF(INDEX(EntryNotes,$P291)=0,"",INDEX(EntryNotes,$P291)))</f>
        <v/>
      </c>
      <c r="O291" s="26">
        <f>IF($P291="","",IF(INDEX(EntryTxnID,$P291)=0,"",INDEX(EntryTxnID,$P291)))</f>
        <v/>
      </c>
      <c r="P291" s="26">
        <f>IFERROR(MATCH($C$5&amp;"|"&amp;RIGHT("000000"&amp;275,6),CalcRankKey,0),"")</f>
        <v/>
      </c>
    </row>
    <row r="292">
      <c r="A292" s="28">
        <f>IF($B292="","",276)</f>
        <v/>
      </c>
      <c r="B292" s="28">
        <f>IF($P292="","",IF(INDEX(CalcNormDate,$P292)=0,"",INDEX(CalcNormDate,$P292)))</f>
        <v/>
      </c>
      <c r="C292" s="28">
        <f>IF($P292="","",IF(INDEX(CalcTime,$P292)=0,"",INDEX(CalcTime,$P292)))</f>
        <v/>
      </c>
      <c r="D292" s="28">
        <f>IF($P292="","",IF(INDEX(EntryParty,$P292)=0,"",INDEX(EntryParty,$P292)))</f>
        <v/>
      </c>
      <c r="E292" s="28">
        <f>IF($P292="","",IF(INDEX(EntryPartyName,$P292)=0,"",INDEX(EntryPartyName,$P292)))</f>
        <v/>
      </c>
      <c r="F292" s="28">
        <f>IF($P292="","",IF(INDEX(EntryPartyType,$P292)=0,"",INDEX(EntryPartyType,$P292)))</f>
        <v/>
      </c>
      <c r="G292" s="28">
        <f>IF($P292="","",IF(INDEX(EntryTxnType,$P292)=0,"",INDEX(EntryTxnType,$P292)))</f>
        <v/>
      </c>
      <c r="H292" s="29">
        <f>IF($P292="","",IF(INDEX(EntryDep,$P292)=0,"",INDEX(EntryDep,$P292)))</f>
        <v/>
      </c>
      <c r="I292" s="29">
        <f>IF($P292="","",IF(INDEX(EntryWit,$P292)=0,"",INDEX(EntryWit,$P292)))</f>
        <v/>
      </c>
      <c r="J292" s="29">
        <f>IF($B292="","",IF($A292=1,$C$7,IF(J291="",0,J291))+IF($H292="",0,$H292)-IF($I292="",0,$I292))</f>
        <v/>
      </c>
      <c r="K292" s="29">
        <f>IF($P292="","",IF(INDEX(EntryMan,$P292)=0,"",INDEX(EntryMan,$P292)))</f>
        <v/>
      </c>
      <c r="L292" s="28">
        <f>IF($B292="","",IF($K292="","—",IF(ROUND($K292-$J292,0)=0,"√","×")))</f>
        <v/>
      </c>
      <c r="M292" s="28">
        <f>IF($B292="","",IF(COUNTIFS(EntryDates,$B292,CalcTime,$C292,CalcBank,$C$5,EntryParty,$D292,EntryDep,$H292,EntryWit,$I292)&gt;1,"تکرار",""))</f>
        <v/>
      </c>
      <c r="N292" s="28">
        <f>IF($P292="","",IF(INDEX(EntryNotes,$P292)=0,"",INDEX(EntryNotes,$P292)))</f>
        <v/>
      </c>
      <c r="O292" s="28">
        <f>IF($P292="","",IF(INDEX(EntryTxnID,$P292)=0,"",INDEX(EntryTxnID,$P292)))</f>
        <v/>
      </c>
      <c r="P292" s="28">
        <f>IFERROR(MATCH($C$5&amp;"|"&amp;RIGHT("000000"&amp;276,6),CalcRankKey,0),"")</f>
        <v/>
      </c>
    </row>
    <row r="293">
      <c r="A293" s="26">
        <f>IF($B293="","",277)</f>
        <v/>
      </c>
      <c r="B293" s="26">
        <f>IF($P293="","",IF(INDEX(CalcNormDate,$P293)=0,"",INDEX(CalcNormDate,$P293)))</f>
        <v/>
      </c>
      <c r="C293" s="26">
        <f>IF($P293="","",IF(INDEX(CalcTime,$P293)=0,"",INDEX(CalcTime,$P293)))</f>
        <v/>
      </c>
      <c r="D293" s="26">
        <f>IF($P293="","",IF(INDEX(EntryParty,$P293)=0,"",INDEX(EntryParty,$P293)))</f>
        <v/>
      </c>
      <c r="E293" s="26">
        <f>IF($P293="","",IF(INDEX(EntryPartyName,$P293)=0,"",INDEX(EntryPartyName,$P293)))</f>
        <v/>
      </c>
      <c r="F293" s="26">
        <f>IF($P293="","",IF(INDEX(EntryPartyType,$P293)=0,"",INDEX(EntryPartyType,$P293)))</f>
        <v/>
      </c>
      <c r="G293" s="26">
        <f>IF($P293="","",IF(INDEX(EntryTxnType,$P293)=0,"",INDEX(EntryTxnType,$P293)))</f>
        <v/>
      </c>
      <c r="H293" s="27">
        <f>IF($P293="","",IF(INDEX(EntryDep,$P293)=0,"",INDEX(EntryDep,$P293)))</f>
        <v/>
      </c>
      <c r="I293" s="27">
        <f>IF($P293="","",IF(INDEX(EntryWit,$P293)=0,"",INDEX(EntryWit,$P293)))</f>
        <v/>
      </c>
      <c r="J293" s="27">
        <f>IF($B293="","",IF($A293=1,$C$7,IF(J292="",0,J292))+IF($H293="",0,$H293)-IF($I293="",0,$I293))</f>
        <v/>
      </c>
      <c r="K293" s="27">
        <f>IF($P293="","",IF(INDEX(EntryMan,$P293)=0,"",INDEX(EntryMan,$P293)))</f>
        <v/>
      </c>
      <c r="L293" s="26">
        <f>IF($B293="","",IF($K293="","—",IF(ROUND($K293-$J293,0)=0,"√","×")))</f>
        <v/>
      </c>
      <c r="M293" s="26">
        <f>IF($B293="","",IF(COUNTIFS(EntryDates,$B293,CalcTime,$C293,CalcBank,$C$5,EntryParty,$D293,EntryDep,$H293,EntryWit,$I293)&gt;1,"تکرار",""))</f>
        <v/>
      </c>
      <c r="N293" s="26">
        <f>IF($P293="","",IF(INDEX(EntryNotes,$P293)=0,"",INDEX(EntryNotes,$P293)))</f>
        <v/>
      </c>
      <c r="O293" s="26">
        <f>IF($P293="","",IF(INDEX(EntryTxnID,$P293)=0,"",INDEX(EntryTxnID,$P293)))</f>
        <v/>
      </c>
      <c r="P293" s="26">
        <f>IFERROR(MATCH($C$5&amp;"|"&amp;RIGHT("000000"&amp;277,6),CalcRankKey,0),"")</f>
        <v/>
      </c>
    </row>
    <row r="294">
      <c r="A294" s="28">
        <f>IF($B294="","",278)</f>
        <v/>
      </c>
      <c r="B294" s="28">
        <f>IF($P294="","",IF(INDEX(CalcNormDate,$P294)=0,"",INDEX(CalcNormDate,$P294)))</f>
        <v/>
      </c>
      <c r="C294" s="28">
        <f>IF($P294="","",IF(INDEX(CalcTime,$P294)=0,"",INDEX(CalcTime,$P294)))</f>
        <v/>
      </c>
      <c r="D294" s="28">
        <f>IF($P294="","",IF(INDEX(EntryParty,$P294)=0,"",INDEX(EntryParty,$P294)))</f>
        <v/>
      </c>
      <c r="E294" s="28">
        <f>IF($P294="","",IF(INDEX(EntryPartyName,$P294)=0,"",INDEX(EntryPartyName,$P294)))</f>
        <v/>
      </c>
      <c r="F294" s="28">
        <f>IF($P294="","",IF(INDEX(EntryPartyType,$P294)=0,"",INDEX(EntryPartyType,$P294)))</f>
        <v/>
      </c>
      <c r="G294" s="28">
        <f>IF($P294="","",IF(INDEX(EntryTxnType,$P294)=0,"",INDEX(EntryTxnType,$P294)))</f>
        <v/>
      </c>
      <c r="H294" s="29">
        <f>IF($P294="","",IF(INDEX(EntryDep,$P294)=0,"",INDEX(EntryDep,$P294)))</f>
        <v/>
      </c>
      <c r="I294" s="29">
        <f>IF($P294="","",IF(INDEX(EntryWit,$P294)=0,"",INDEX(EntryWit,$P294)))</f>
        <v/>
      </c>
      <c r="J294" s="29">
        <f>IF($B294="","",IF($A294=1,$C$7,IF(J293="",0,J293))+IF($H294="",0,$H294)-IF($I294="",0,$I294))</f>
        <v/>
      </c>
      <c r="K294" s="29">
        <f>IF($P294="","",IF(INDEX(EntryMan,$P294)=0,"",INDEX(EntryMan,$P294)))</f>
        <v/>
      </c>
      <c r="L294" s="28">
        <f>IF($B294="","",IF($K294="","—",IF(ROUND($K294-$J294,0)=0,"√","×")))</f>
        <v/>
      </c>
      <c r="M294" s="28">
        <f>IF($B294="","",IF(COUNTIFS(EntryDates,$B294,CalcTime,$C294,CalcBank,$C$5,EntryParty,$D294,EntryDep,$H294,EntryWit,$I294)&gt;1,"تکرار",""))</f>
        <v/>
      </c>
      <c r="N294" s="28">
        <f>IF($P294="","",IF(INDEX(EntryNotes,$P294)=0,"",INDEX(EntryNotes,$P294)))</f>
        <v/>
      </c>
      <c r="O294" s="28">
        <f>IF($P294="","",IF(INDEX(EntryTxnID,$P294)=0,"",INDEX(EntryTxnID,$P294)))</f>
        <v/>
      </c>
      <c r="P294" s="28">
        <f>IFERROR(MATCH($C$5&amp;"|"&amp;RIGHT("000000"&amp;278,6),CalcRankKey,0),"")</f>
        <v/>
      </c>
    </row>
    <row r="295">
      <c r="A295" s="26">
        <f>IF($B295="","",279)</f>
        <v/>
      </c>
      <c r="B295" s="26">
        <f>IF($P295="","",IF(INDEX(CalcNormDate,$P295)=0,"",INDEX(CalcNormDate,$P295)))</f>
        <v/>
      </c>
      <c r="C295" s="26">
        <f>IF($P295="","",IF(INDEX(CalcTime,$P295)=0,"",INDEX(CalcTime,$P295)))</f>
        <v/>
      </c>
      <c r="D295" s="26">
        <f>IF($P295="","",IF(INDEX(EntryParty,$P295)=0,"",INDEX(EntryParty,$P295)))</f>
        <v/>
      </c>
      <c r="E295" s="26">
        <f>IF($P295="","",IF(INDEX(EntryPartyName,$P295)=0,"",INDEX(EntryPartyName,$P295)))</f>
        <v/>
      </c>
      <c r="F295" s="26">
        <f>IF($P295="","",IF(INDEX(EntryPartyType,$P295)=0,"",INDEX(EntryPartyType,$P295)))</f>
        <v/>
      </c>
      <c r="G295" s="26">
        <f>IF($P295="","",IF(INDEX(EntryTxnType,$P295)=0,"",INDEX(EntryTxnType,$P295)))</f>
        <v/>
      </c>
      <c r="H295" s="27">
        <f>IF($P295="","",IF(INDEX(EntryDep,$P295)=0,"",INDEX(EntryDep,$P295)))</f>
        <v/>
      </c>
      <c r="I295" s="27">
        <f>IF($P295="","",IF(INDEX(EntryWit,$P295)=0,"",INDEX(EntryWit,$P295)))</f>
        <v/>
      </c>
      <c r="J295" s="27">
        <f>IF($B295="","",IF($A295=1,$C$7,IF(J294="",0,J294))+IF($H295="",0,$H295)-IF($I295="",0,$I295))</f>
        <v/>
      </c>
      <c r="K295" s="27">
        <f>IF($P295="","",IF(INDEX(EntryMan,$P295)=0,"",INDEX(EntryMan,$P295)))</f>
        <v/>
      </c>
      <c r="L295" s="26">
        <f>IF($B295="","",IF($K295="","—",IF(ROUND($K295-$J295,0)=0,"√","×")))</f>
        <v/>
      </c>
      <c r="M295" s="26">
        <f>IF($B295="","",IF(COUNTIFS(EntryDates,$B295,CalcTime,$C295,CalcBank,$C$5,EntryParty,$D295,EntryDep,$H295,EntryWit,$I295)&gt;1,"تکرار",""))</f>
        <v/>
      </c>
      <c r="N295" s="26">
        <f>IF($P295="","",IF(INDEX(EntryNotes,$P295)=0,"",INDEX(EntryNotes,$P295)))</f>
        <v/>
      </c>
      <c r="O295" s="26">
        <f>IF($P295="","",IF(INDEX(EntryTxnID,$P295)=0,"",INDEX(EntryTxnID,$P295)))</f>
        <v/>
      </c>
      <c r="P295" s="26">
        <f>IFERROR(MATCH($C$5&amp;"|"&amp;RIGHT("000000"&amp;279,6),CalcRankKey,0),"")</f>
        <v/>
      </c>
    </row>
    <row r="296">
      <c r="A296" s="28">
        <f>IF($B296="","",280)</f>
        <v/>
      </c>
      <c r="B296" s="28">
        <f>IF($P296="","",IF(INDEX(CalcNormDate,$P296)=0,"",INDEX(CalcNormDate,$P296)))</f>
        <v/>
      </c>
      <c r="C296" s="28">
        <f>IF($P296="","",IF(INDEX(CalcTime,$P296)=0,"",INDEX(CalcTime,$P296)))</f>
        <v/>
      </c>
      <c r="D296" s="28">
        <f>IF($P296="","",IF(INDEX(EntryParty,$P296)=0,"",INDEX(EntryParty,$P296)))</f>
        <v/>
      </c>
      <c r="E296" s="28">
        <f>IF($P296="","",IF(INDEX(EntryPartyName,$P296)=0,"",INDEX(EntryPartyName,$P296)))</f>
        <v/>
      </c>
      <c r="F296" s="28">
        <f>IF($P296="","",IF(INDEX(EntryPartyType,$P296)=0,"",INDEX(EntryPartyType,$P296)))</f>
        <v/>
      </c>
      <c r="G296" s="28">
        <f>IF($P296="","",IF(INDEX(EntryTxnType,$P296)=0,"",INDEX(EntryTxnType,$P296)))</f>
        <v/>
      </c>
      <c r="H296" s="29">
        <f>IF($P296="","",IF(INDEX(EntryDep,$P296)=0,"",INDEX(EntryDep,$P296)))</f>
        <v/>
      </c>
      <c r="I296" s="29">
        <f>IF($P296="","",IF(INDEX(EntryWit,$P296)=0,"",INDEX(EntryWit,$P296)))</f>
        <v/>
      </c>
      <c r="J296" s="29">
        <f>IF($B296="","",IF($A296=1,$C$7,IF(J295="",0,J295))+IF($H296="",0,$H296)-IF($I296="",0,$I296))</f>
        <v/>
      </c>
      <c r="K296" s="29">
        <f>IF($P296="","",IF(INDEX(EntryMan,$P296)=0,"",INDEX(EntryMan,$P296)))</f>
        <v/>
      </c>
      <c r="L296" s="28">
        <f>IF($B296="","",IF($K296="","—",IF(ROUND($K296-$J296,0)=0,"√","×")))</f>
        <v/>
      </c>
      <c r="M296" s="28">
        <f>IF($B296="","",IF(COUNTIFS(EntryDates,$B296,CalcTime,$C296,CalcBank,$C$5,EntryParty,$D296,EntryDep,$H296,EntryWit,$I296)&gt;1,"تکرار",""))</f>
        <v/>
      </c>
      <c r="N296" s="28">
        <f>IF($P296="","",IF(INDEX(EntryNotes,$P296)=0,"",INDEX(EntryNotes,$P296)))</f>
        <v/>
      </c>
      <c r="O296" s="28">
        <f>IF($P296="","",IF(INDEX(EntryTxnID,$P296)=0,"",INDEX(EntryTxnID,$P296)))</f>
        <v/>
      </c>
      <c r="P296" s="28">
        <f>IFERROR(MATCH($C$5&amp;"|"&amp;RIGHT("000000"&amp;280,6),CalcRankKey,0),"")</f>
        <v/>
      </c>
    </row>
    <row r="297">
      <c r="A297" s="26">
        <f>IF($B297="","",281)</f>
        <v/>
      </c>
      <c r="B297" s="26">
        <f>IF($P297="","",IF(INDEX(CalcNormDate,$P297)=0,"",INDEX(CalcNormDate,$P297)))</f>
        <v/>
      </c>
      <c r="C297" s="26">
        <f>IF($P297="","",IF(INDEX(CalcTime,$P297)=0,"",INDEX(CalcTime,$P297)))</f>
        <v/>
      </c>
      <c r="D297" s="26">
        <f>IF($P297="","",IF(INDEX(EntryParty,$P297)=0,"",INDEX(EntryParty,$P297)))</f>
        <v/>
      </c>
      <c r="E297" s="26">
        <f>IF($P297="","",IF(INDEX(EntryPartyName,$P297)=0,"",INDEX(EntryPartyName,$P297)))</f>
        <v/>
      </c>
      <c r="F297" s="26">
        <f>IF($P297="","",IF(INDEX(EntryPartyType,$P297)=0,"",INDEX(EntryPartyType,$P297)))</f>
        <v/>
      </c>
      <c r="G297" s="26">
        <f>IF($P297="","",IF(INDEX(EntryTxnType,$P297)=0,"",INDEX(EntryTxnType,$P297)))</f>
        <v/>
      </c>
      <c r="H297" s="27">
        <f>IF($P297="","",IF(INDEX(EntryDep,$P297)=0,"",INDEX(EntryDep,$P297)))</f>
        <v/>
      </c>
      <c r="I297" s="27">
        <f>IF($P297="","",IF(INDEX(EntryWit,$P297)=0,"",INDEX(EntryWit,$P297)))</f>
        <v/>
      </c>
      <c r="J297" s="27">
        <f>IF($B297="","",IF($A297=1,$C$7,IF(J296="",0,J296))+IF($H297="",0,$H297)-IF($I297="",0,$I297))</f>
        <v/>
      </c>
      <c r="K297" s="27">
        <f>IF($P297="","",IF(INDEX(EntryMan,$P297)=0,"",INDEX(EntryMan,$P297)))</f>
        <v/>
      </c>
      <c r="L297" s="26">
        <f>IF($B297="","",IF($K297="","—",IF(ROUND($K297-$J297,0)=0,"√","×")))</f>
        <v/>
      </c>
      <c r="M297" s="26">
        <f>IF($B297="","",IF(COUNTIFS(EntryDates,$B297,CalcTime,$C297,CalcBank,$C$5,EntryParty,$D297,EntryDep,$H297,EntryWit,$I297)&gt;1,"تکرار",""))</f>
        <v/>
      </c>
      <c r="N297" s="26">
        <f>IF($P297="","",IF(INDEX(EntryNotes,$P297)=0,"",INDEX(EntryNotes,$P297)))</f>
        <v/>
      </c>
      <c r="O297" s="26">
        <f>IF($P297="","",IF(INDEX(EntryTxnID,$P297)=0,"",INDEX(EntryTxnID,$P297)))</f>
        <v/>
      </c>
      <c r="P297" s="26">
        <f>IFERROR(MATCH($C$5&amp;"|"&amp;RIGHT("000000"&amp;281,6),CalcRankKey,0),"")</f>
        <v/>
      </c>
    </row>
    <row r="298">
      <c r="A298" s="28">
        <f>IF($B298="","",282)</f>
        <v/>
      </c>
      <c r="B298" s="28">
        <f>IF($P298="","",IF(INDEX(CalcNormDate,$P298)=0,"",INDEX(CalcNormDate,$P298)))</f>
        <v/>
      </c>
      <c r="C298" s="28">
        <f>IF($P298="","",IF(INDEX(CalcTime,$P298)=0,"",INDEX(CalcTime,$P298)))</f>
        <v/>
      </c>
      <c r="D298" s="28">
        <f>IF($P298="","",IF(INDEX(EntryParty,$P298)=0,"",INDEX(EntryParty,$P298)))</f>
        <v/>
      </c>
      <c r="E298" s="28">
        <f>IF($P298="","",IF(INDEX(EntryPartyName,$P298)=0,"",INDEX(EntryPartyName,$P298)))</f>
        <v/>
      </c>
      <c r="F298" s="28">
        <f>IF($P298="","",IF(INDEX(EntryPartyType,$P298)=0,"",INDEX(EntryPartyType,$P298)))</f>
        <v/>
      </c>
      <c r="G298" s="28">
        <f>IF($P298="","",IF(INDEX(EntryTxnType,$P298)=0,"",INDEX(EntryTxnType,$P298)))</f>
        <v/>
      </c>
      <c r="H298" s="29">
        <f>IF($P298="","",IF(INDEX(EntryDep,$P298)=0,"",INDEX(EntryDep,$P298)))</f>
        <v/>
      </c>
      <c r="I298" s="29">
        <f>IF($P298="","",IF(INDEX(EntryWit,$P298)=0,"",INDEX(EntryWit,$P298)))</f>
        <v/>
      </c>
      <c r="J298" s="29">
        <f>IF($B298="","",IF($A298=1,$C$7,IF(J297="",0,J297))+IF($H298="",0,$H298)-IF($I298="",0,$I298))</f>
        <v/>
      </c>
      <c r="K298" s="29">
        <f>IF($P298="","",IF(INDEX(EntryMan,$P298)=0,"",INDEX(EntryMan,$P298)))</f>
        <v/>
      </c>
      <c r="L298" s="28">
        <f>IF($B298="","",IF($K298="","—",IF(ROUND($K298-$J298,0)=0,"√","×")))</f>
        <v/>
      </c>
      <c r="M298" s="28">
        <f>IF($B298="","",IF(COUNTIFS(EntryDates,$B298,CalcTime,$C298,CalcBank,$C$5,EntryParty,$D298,EntryDep,$H298,EntryWit,$I298)&gt;1,"تکرار",""))</f>
        <v/>
      </c>
      <c r="N298" s="28">
        <f>IF($P298="","",IF(INDEX(EntryNotes,$P298)=0,"",INDEX(EntryNotes,$P298)))</f>
        <v/>
      </c>
      <c r="O298" s="28">
        <f>IF($P298="","",IF(INDEX(EntryTxnID,$P298)=0,"",INDEX(EntryTxnID,$P298)))</f>
        <v/>
      </c>
      <c r="P298" s="28">
        <f>IFERROR(MATCH($C$5&amp;"|"&amp;RIGHT("000000"&amp;282,6),CalcRankKey,0),"")</f>
        <v/>
      </c>
    </row>
    <row r="299">
      <c r="A299" s="26">
        <f>IF($B299="","",283)</f>
        <v/>
      </c>
      <c r="B299" s="26">
        <f>IF($P299="","",IF(INDEX(CalcNormDate,$P299)=0,"",INDEX(CalcNormDate,$P299)))</f>
        <v/>
      </c>
      <c r="C299" s="26">
        <f>IF($P299="","",IF(INDEX(CalcTime,$P299)=0,"",INDEX(CalcTime,$P299)))</f>
        <v/>
      </c>
      <c r="D299" s="26">
        <f>IF($P299="","",IF(INDEX(EntryParty,$P299)=0,"",INDEX(EntryParty,$P299)))</f>
        <v/>
      </c>
      <c r="E299" s="26">
        <f>IF($P299="","",IF(INDEX(EntryPartyName,$P299)=0,"",INDEX(EntryPartyName,$P299)))</f>
        <v/>
      </c>
      <c r="F299" s="26">
        <f>IF($P299="","",IF(INDEX(EntryPartyType,$P299)=0,"",INDEX(EntryPartyType,$P299)))</f>
        <v/>
      </c>
      <c r="G299" s="26">
        <f>IF($P299="","",IF(INDEX(EntryTxnType,$P299)=0,"",INDEX(EntryTxnType,$P299)))</f>
        <v/>
      </c>
      <c r="H299" s="27">
        <f>IF($P299="","",IF(INDEX(EntryDep,$P299)=0,"",INDEX(EntryDep,$P299)))</f>
        <v/>
      </c>
      <c r="I299" s="27">
        <f>IF($P299="","",IF(INDEX(EntryWit,$P299)=0,"",INDEX(EntryWit,$P299)))</f>
        <v/>
      </c>
      <c r="J299" s="27">
        <f>IF($B299="","",IF($A299=1,$C$7,IF(J298="",0,J298))+IF($H299="",0,$H299)-IF($I299="",0,$I299))</f>
        <v/>
      </c>
      <c r="K299" s="27">
        <f>IF($P299="","",IF(INDEX(EntryMan,$P299)=0,"",INDEX(EntryMan,$P299)))</f>
        <v/>
      </c>
      <c r="L299" s="26">
        <f>IF($B299="","",IF($K299="","—",IF(ROUND($K299-$J299,0)=0,"√","×")))</f>
        <v/>
      </c>
      <c r="M299" s="26">
        <f>IF($B299="","",IF(COUNTIFS(EntryDates,$B299,CalcTime,$C299,CalcBank,$C$5,EntryParty,$D299,EntryDep,$H299,EntryWit,$I299)&gt;1,"تکرار",""))</f>
        <v/>
      </c>
      <c r="N299" s="26">
        <f>IF($P299="","",IF(INDEX(EntryNotes,$P299)=0,"",INDEX(EntryNotes,$P299)))</f>
        <v/>
      </c>
      <c r="O299" s="26">
        <f>IF($P299="","",IF(INDEX(EntryTxnID,$P299)=0,"",INDEX(EntryTxnID,$P299)))</f>
        <v/>
      </c>
      <c r="P299" s="26">
        <f>IFERROR(MATCH($C$5&amp;"|"&amp;RIGHT("000000"&amp;283,6),CalcRankKey,0),"")</f>
        <v/>
      </c>
    </row>
    <row r="300">
      <c r="A300" s="28">
        <f>IF($B300="","",284)</f>
        <v/>
      </c>
      <c r="B300" s="28">
        <f>IF($P300="","",IF(INDEX(CalcNormDate,$P300)=0,"",INDEX(CalcNormDate,$P300)))</f>
        <v/>
      </c>
      <c r="C300" s="28">
        <f>IF($P300="","",IF(INDEX(CalcTime,$P300)=0,"",INDEX(CalcTime,$P300)))</f>
        <v/>
      </c>
      <c r="D300" s="28">
        <f>IF($P300="","",IF(INDEX(EntryParty,$P300)=0,"",INDEX(EntryParty,$P300)))</f>
        <v/>
      </c>
      <c r="E300" s="28">
        <f>IF($P300="","",IF(INDEX(EntryPartyName,$P300)=0,"",INDEX(EntryPartyName,$P300)))</f>
        <v/>
      </c>
      <c r="F300" s="28">
        <f>IF($P300="","",IF(INDEX(EntryPartyType,$P300)=0,"",INDEX(EntryPartyType,$P300)))</f>
        <v/>
      </c>
      <c r="G300" s="28">
        <f>IF($P300="","",IF(INDEX(EntryTxnType,$P300)=0,"",INDEX(EntryTxnType,$P300)))</f>
        <v/>
      </c>
      <c r="H300" s="29">
        <f>IF($P300="","",IF(INDEX(EntryDep,$P300)=0,"",INDEX(EntryDep,$P300)))</f>
        <v/>
      </c>
      <c r="I300" s="29">
        <f>IF($P300="","",IF(INDEX(EntryWit,$P300)=0,"",INDEX(EntryWit,$P300)))</f>
        <v/>
      </c>
      <c r="J300" s="29">
        <f>IF($B300="","",IF($A300=1,$C$7,IF(J299="",0,J299))+IF($H300="",0,$H300)-IF($I300="",0,$I300))</f>
        <v/>
      </c>
      <c r="K300" s="29">
        <f>IF($P300="","",IF(INDEX(EntryMan,$P300)=0,"",INDEX(EntryMan,$P300)))</f>
        <v/>
      </c>
      <c r="L300" s="28">
        <f>IF($B300="","",IF($K300="","—",IF(ROUND($K300-$J300,0)=0,"√","×")))</f>
        <v/>
      </c>
      <c r="M300" s="28">
        <f>IF($B300="","",IF(COUNTIFS(EntryDates,$B300,CalcTime,$C300,CalcBank,$C$5,EntryParty,$D300,EntryDep,$H300,EntryWit,$I300)&gt;1,"تکرار",""))</f>
        <v/>
      </c>
      <c r="N300" s="28">
        <f>IF($P300="","",IF(INDEX(EntryNotes,$P300)=0,"",INDEX(EntryNotes,$P300)))</f>
        <v/>
      </c>
      <c r="O300" s="28">
        <f>IF($P300="","",IF(INDEX(EntryTxnID,$P300)=0,"",INDEX(EntryTxnID,$P300)))</f>
        <v/>
      </c>
      <c r="P300" s="28">
        <f>IFERROR(MATCH($C$5&amp;"|"&amp;RIGHT("000000"&amp;284,6),CalcRankKey,0),"")</f>
        <v/>
      </c>
    </row>
    <row r="301">
      <c r="A301" s="26">
        <f>IF($B301="","",285)</f>
        <v/>
      </c>
      <c r="B301" s="26">
        <f>IF($P301="","",IF(INDEX(CalcNormDate,$P301)=0,"",INDEX(CalcNormDate,$P301)))</f>
        <v/>
      </c>
      <c r="C301" s="26">
        <f>IF($P301="","",IF(INDEX(CalcTime,$P301)=0,"",INDEX(CalcTime,$P301)))</f>
        <v/>
      </c>
      <c r="D301" s="26">
        <f>IF($P301="","",IF(INDEX(EntryParty,$P301)=0,"",INDEX(EntryParty,$P301)))</f>
        <v/>
      </c>
      <c r="E301" s="26">
        <f>IF($P301="","",IF(INDEX(EntryPartyName,$P301)=0,"",INDEX(EntryPartyName,$P301)))</f>
        <v/>
      </c>
      <c r="F301" s="26">
        <f>IF($P301="","",IF(INDEX(EntryPartyType,$P301)=0,"",INDEX(EntryPartyType,$P301)))</f>
        <v/>
      </c>
      <c r="G301" s="26">
        <f>IF($P301="","",IF(INDEX(EntryTxnType,$P301)=0,"",INDEX(EntryTxnType,$P301)))</f>
        <v/>
      </c>
      <c r="H301" s="27">
        <f>IF($P301="","",IF(INDEX(EntryDep,$P301)=0,"",INDEX(EntryDep,$P301)))</f>
        <v/>
      </c>
      <c r="I301" s="27">
        <f>IF($P301="","",IF(INDEX(EntryWit,$P301)=0,"",INDEX(EntryWit,$P301)))</f>
        <v/>
      </c>
      <c r="J301" s="27">
        <f>IF($B301="","",IF($A301=1,$C$7,IF(J300="",0,J300))+IF($H301="",0,$H301)-IF($I301="",0,$I301))</f>
        <v/>
      </c>
      <c r="K301" s="27">
        <f>IF($P301="","",IF(INDEX(EntryMan,$P301)=0,"",INDEX(EntryMan,$P301)))</f>
        <v/>
      </c>
      <c r="L301" s="26">
        <f>IF($B301="","",IF($K301="","—",IF(ROUND($K301-$J301,0)=0,"√","×")))</f>
        <v/>
      </c>
      <c r="M301" s="26">
        <f>IF($B301="","",IF(COUNTIFS(EntryDates,$B301,CalcTime,$C301,CalcBank,$C$5,EntryParty,$D301,EntryDep,$H301,EntryWit,$I301)&gt;1,"تکرار",""))</f>
        <v/>
      </c>
      <c r="N301" s="26">
        <f>IF($P301="","",IF(INDEX(EntryNotes,$P301)=0,"",INDEX(EntryNotes,$P301)))</f>
        <v/>
      </c>
      <c r="O301" s="26">
        <f>IF($P301="","",IF(INDEX(EntryTxnID,$P301)=0,"",INDEX(EntryTxnID,$P301)))</f>
        <v/>
      </c>
      <c r="P301" s="26">
        <f>IFERROR(MATCH($C$5&amp;"|"&amp;RIGHT("000000"&amp;285,6),CalcRankKey,0),"")</f>
        <v/>
      </c>
    </row>
    <row r="302">
      <c r="A302" s="28">
        <f>IF($B302="","",286)</f>
        <v/>
      </c>
      <c r="B302" s="28">
        <f>IF($P302="","",IF(INDEX(CalcNormDate,$P302)=0,"",INDEX(CalcNormDate,$P302)))</f>
        <v/>
      </c>
      <c r="C302" s="28">
        <f>IF($P302="","",IF(INDEX(CalcTime,$P302)=0,"",INDEX(CalcTime,$P302)))</f>
        <v/>
      </c>
      <c r="D302" s="28">
        <f>IF($P302="","",IF(INDEX(EntryParty,$P302)=0,"",INDEX(EntryParty,$P302)))</f>
        <v/>
      </c>
      <c r="E302" s="28">
        <f>IF($P302="","",IF(INDEX(EntryPartyName,$P302)=0,"",INDEX(EntryPartyName,$P302)))</f>
        <v/>
      </c>
      <c r="F302" s="28">
        <f>IF($P302="","",IF(INDEX(EntryPartyType,$P302)=0,"",INDEX(EntryPartyType,$P302)))</f>
        <v/>
      </c>
      <c r="G302" s="28">
        <f>IF($P302="","",IF(INDEX(EntryTxnType,$P302)=0,"",INDEX(EntryTxnType,$P302)))</f>
        <v/>
      </c>
      <c r="H302" s="29">
        <f>IF($P302="","",IF(INDEX(EntryDep,$P302)=0,"",INDEX(EntryDep,$P302)))</f>
        <v/>
      </c>
      <c r="I302" s="29">
        <f>IF($P302="","",IF(INDEX(EntryWit,$P302)=0,"",INDEX(EntryWit,$P302)))</f>
        <v/>
      </c>
      <c r="J302" s="29">
        <f>IF($B302="","",IF($A302=1,$C$7,IF(J301="",0,J301))+IF($H302="",0,$H302)-IF($I302="",0,$I302))</f>
        <v/>
      </c>
      <c r="K302" s="29">
        <f>IF($P302="","",IF(INDEX(EntryMan,$P302)=0,"",INDEX(EntryMan,$P302)))</f>
        <v/>
      </c>
      <c r="L302" s="28">
        <f>IF($B302="","",IF($K302="","—",IF(ROUND($K302-$J302,0)=0,"√","×")))</f>
        <v/>
      </c>
      <c r="M302" s="28">
        <f>IF($B302="","",IF(COUNTIFS(EntryDates,$B302,CalcTime,$C302,CalcBank,$C$5,EntryParty,$D302,EntryDep,$H302,EntryWit,$I302)&gt;1,"تکرار",""))</f>
        <v/>
      </c>
      <c r="N302" s="28">
        <f>IF($P302="","",IF(INDEX(EntryNotes,$P302)=0,"",INDEX(EntryNotes,$P302)))</f>
        <v/>
      </c>
      <c r="O302" s="28">
        <f>IF($P302="","",IF(INDEX(EntryTxnID,$P302)=0,"",INDEX(EntryTxnID,$P302)))</f>
        <v/>
      </c>
      <c r="P302" s="28">
        <f>IFERROR(MATCH($C$5&amp;"|"&amp;RIGHT("000000"&amp;286,6),CalcRankKey,0),"")</f>
        <v/>
      </c>
    </row>
    <row r="303">
      <c r="A303" s="26">
        <f>IF($B303="","",287)</f>
        <v/>
      </c>
      <c r="B303" s="26">
        <f>IF($P303="","",IF(INDEX(CalcNormDate,$P303)=0,"",INDEX(CalcNormDate,$P303)))</f>
        <v/>
      </c>
      <c r="C303" s="26">
        <f>IF($P303="","",IF(INDEX(CalcTime,$P303)=0,"",INDEX(CalcTime,$P303)))</f>
        <v/>
      </c>
      <c r="D303" s="26">
        <f>IF($P303="","",IF(INDEX(EntryParty,$P303)=0,"",INDEX(EntryParty,$P303)))</f>
        <v/>
      </c>
      <c r="E303" s="26">
        <f>IF($P303="","",IF(INDEX(EntryPartyName,$P303)=0,"",INDEX(EntryPartyName,$P303)))</f>
        <v/>
      </c>
      <c r="F303" s="26">
        <f>IF($P303="","",IF(INDEX(EntryPartyType,$P303)=0,"",INDEX(EntryPartyType,$P303)))</f>
        <v/>
      </c>
      <c r="G303" s="26">
        <f>IF($P303="","",IF(INDEX(EntryTxnType,$P303)=0,"",INDEX(EntryTxnType,$P303)))</f>
        <v/>
      </c>
      <c r="H303" s="27">
        <f>IF($P303="","",IF(INDEX(EntryDep,$P303)=0,"",INDEX(EntryDep,$P303)))</f>
        <v/>
      </c>
      <c r="I303" s="27">
        <f>IF($P303="","",IF(INDEX(EntryWit,$P303)=0,"",INDEX(EntryWit,$P303)))</f>
        <v/>
      </c>
      <c r="J303" s="27">
        <f>IF($B303="","",IF($A303=1,$C$7,IF(J302="",0,J302))+IF($H303="",0,$H303)-IF($I303="",0,$I303))</f>
        <v/>
      </c>
      <c r="K303" s="27">
        <f>IF($P303="","",IF(INDEX(EntryMan,$P303)=0,"",INDEX(EntryMan,$P303)))</f>
        <v/>
      </c>
      <c r="L303" s="26">
        <f>IF($B303="","",IF($K303="","—",IF(ROUND($K303-$J303,0)=0,"√","×")))</f>
        <v/>
      </c>
      <c r="M303" s="26">
        <f>IF($B303="","",IF(COUNTIFS(EntryDates,$B303,CalcTime,$C303,CalcBank,$C$5,EntryParty,$D303,EntryDep,$H303,EntryWit,$I303)&gt;1,"تکرار",""))</f>
        <v/>
      </c>
      <c r="N303" s="26">
        <f>IF($P303="","",IF(INDEX(EntryNotes,$P303)=0,"",INDEX(EntryNotes,$P303)))</f>
        <v/>
      </c>
      <c r="O303" s="26">
        <f>IF($P303="","",IF(INDEX(EntryTxnID,$P303)=0,"",INDEX(EntryTxnID,$P303)))</f>
        <v/>
      </c>
      <c r="P303" s="26">
        <f>IFERROR(MATCH($C$5&amp;"|"&amp;RIGHT("000000"&amp;287,6),CalcRankKey,0),"")</f>
        <v/>
      </c>
    </row>
    <row r="304">
      <c r="A304" s="28">
        <f>IF($B304="","",288)</f>
        <v/>
      </c>
      <c r="B304" s="28">
        <f>IF($P304="","",IF(INDEX(CalcNormDate,$P304)=0,"",INDEX(CalcNormDate,$P304)))</f>
        <v/>
      </c>
      <c r="C304" s="28">
        <f>IF($P304="","",IF(INDEX(CalcTime,$P304)=0,"",INDEX(CalcTime,$P304)))</f>
        <v/>
      </c>
      <c r="D304" s="28">
        <f>IF($P304="","",IF(INDEX(EntryParty,$P304)=0,"",INDEX(EntryParty,$P304)))</f>
        <v/>
      </c>
      <c r="E304" s="28">
        <f>IF($P304="","",IF(INDEX(EntryPartyName,$P304)=0,"",INDEX(EntryPartyName,$P304)))</f>
        <v/>
      </c>
      <c r="F304" s="28">
        <f>IF($P304="","",IF(INDEX(EntryPartyType,$P304)=0,"",INDEX(EntryPartyType,$P304)))</f>
        <v/>
      </c>
      <c r="G304" s="28">
        <f>IF($P304="","",IF(INDEX(EntryTxnType,$P304)=0,"",INDEX(EntryTxnType,$P304)))</f>
        <v/>
      </c>
      <c r="H304" s="29">
        <f>IF($P304="","",IF(INDEX(EntryDep,$P304)=0,"",INDEX(EntryDep,$P304)))</f>
        <v/>
      </c>
      <c r="I304" s="29">
        <f>IF($P304="","",IF(INDEX(EntryWit,$P304)=0,"",INDEX(EntryWit,$P304)))</f>
        <v/>
      </c>
      <c r="J304" s="29">
        <f>IF($B304="","",IF($A304=1,$C$7,IF(J303="",0,J303))+IF($H304="",0,$H304)-IF($I304="",0,$I304))</f>
        <v/>
      </c>
      <c r="K304" s="29">
        <f>IF($P304="","",IF(INDEX(EntryMan,$P304)=0,"",INDEX(EntryMan,$P304)))</f>
        <v/>
      </c>
      <c r="L304" s="28">
        <f>IF($B304="","",IF($K304="","—",IF(ROUND($K304-$J304,0)=0,"√","×")))</f>
        <v/>
      </c>
      <c r="M304" s="28">
        <f>IF($B304="","",IF(COUNTIFS(EntryDates,$B304,CalcTime,$C304,CalcBank,$C$5,EntryParty,$D304,EntryDep,$H304,EntryWit,$I304)&gt;1,"تکرار",""))</f>
        <v/>
      </c>
      <c r="N304" s="28">
        <f>IF($P304="","",IF(INDEX(EntryNotes,$P304)=0,"",INDEX(EntryNotes,$P304)))</f>
        <v/>
      </c>
      <c r="O304" s="28">
        <f>IF($P304="","",IF(INDEX(EntryTxnID,$P304)=0,"",INDEX(EntryTxnID,$P304)))</f>
        <v/>
      </c>
      <c r="P304" s="28">
        <f>IFERROR(MATCH($C$5&amp;"|"&amp;RIGHT("000000"&amp;288,6),CalcRankKey,0),"")</f>
        <v/>
      </c>
    </row>
    <row r="305">
      <c r="A305" s="26">
        <f>IF($B305="","",289)</f>
        <v/>
      </c>
      <c r="B305" s="26">
        <f>IF($P305="","",IF(INDEX(CalcNormDate,$P305)=0,"",INDEX(CalcNormDate,$P305)))</f>
        <v/>
      </c>
      <c r="C305" s="26">
        <f>IF($P305="","",IF(INDEX(CalcTime,$P305)=0,"",INDEX(CalcTime,$P305)))</f>
        <v/>
      </c>
      <c r="D305" s="26">
        <f>IF($P305="","",IF(INDEX(EntryParty,$P305)=0,"",INDEX(EntryParty,$P305)))</f>
        <v/>
      </c>
      <c r="E305" s="26">
        <f>IF($P305="","",IF(INDEX(EntryPartyName,$P305)=0,"",INDEX(EntryPartyName,$P305)))</f>
        <v/>
      </c>
      <c r="F305" s="26">
        <f>IF($P305="","",IF(INDEX(EntryPartyType,$P305)=0,"",INDEX(EntryPartyType,$P305)))</f>
        <v/>
      </c>
      <c r="G305" s="26">
        <f>IF($P305="","",IF(INDEX(EntryTxnType,$P305)=0,"",INDEX(EntryTxnType,$P305)))</f>
        <v/>
      </c>
      <c r="H305" s="27">
        <f>IF($P305="","",IF(INDEX(EntryDep,$P305)=0,"",INDEX(EntryDep,$P305)))</f>
        <v/>
      </c>
      <c r="I305" s="27">
        <f>IF($P305="","",IF(INDEX(EntryWit,$P305)=0,"",INDEX(EntryWit,$P305)))</f>
        <v/>
      </c>
      <c r="J305" s="27">
        <f>IF($B305="","",IF($A305=1,$C$7,IF(J304="",0,J304))+IF($H305="",0,$H305)-IF($I305="",0,$I305))</f>
        <v/>
      </c>
      <c r="K305" s="27">
        <f>IF($P305="","",IF(INDEX(EntryMan,$P305)=0,"",INDEX(EntryMan,$P305)))</f>
        <v/>
      </c>
      <c r="L305" s="26">
        <f>IF($B305="","",IF($K305="","—",IF(ROUND($K305-$J305,0)=0,"√","×")))</f>
        <v/>
      </c>
      <c r="M305" s="26">
        <f>IF($B305="","",IF(COUNTIFS(EntryDates,$B305,CalcTime,$C305,CalcBank,$C$5,EntryParty,$D305,EntryDep,$H305,EntryWit,$I305)&gt;1,"تکرار",""))</f>
        <v/>
      </c>
      <c r="N305" s="26">
        <f>IF($P305="","",IF(INDEX(EntryNotes,$P305)=0,"",INDEX(EntryNotes,$P305)))</f>
        <v/>
      </c>
      <c r="O305" s="26">
        <f>IF($P305="","",IF(INDEX(EntryTxnID,$P305)=0,"",INDEX(EntryTxnID,$P305)))</f>
        <v/>
      </c>
      <c r="P305" s="26">
        <f>IFERROR(MATCH($C$5&amp;"|"&amp;RIGHT("000000"&amp;289,6),CalcRankKey,0),"")</f>
        <v/>
      </c>
    </row>
    <row r="306">
      <c r="A306" s="28">
        <f>IF($B306="","",290)</f>
        <v/>
      </c>
      <c r="B306" s="28">
        <f>IF($P306="","",IF(INDEX(CalcNormDate,$P306)=0,"",INDEX(CalcNormDate,$P306)))</f>
        <v/>
      </c>
      <c r="C306" s="28">
        <f>IF($P306="","",IF(INDEX(CalcTime,$P306)=0,"",INDEX(CalcTime,$P306)))</f>
        <v/>
      </c>
      <c r="D306" s="28">
        <f>IF($P306="","",IF(INDEX(EntryParty,$P306)=0,"",INDEX(EntryParty,$P306)))</f>
        <v/>
      </c>
      <c r="E306" s="28">
        <f>IF($P306="","",IF(INDEX(EntryPartyName,$P306)=0,"",INDEX(EntryPartyName,$P306)))</f>
        <v/>
      </c>
      <c r="F306" s="28">
        <f>IF($P306="","",IF(INDEX(EntryPartyType,$P306)=0,"",INDEX(EntryPartyType,$P306)))</f>
        <v/>
      </c>
      <c r="G306" s="28">
        <f>IF($P306="","",IF(INDEX(EntryTxnType,$P306)=0,"",INDEX(EntryTxnType,$P306)))</f>
        <v/>
      </c>
      <c r="H306" s="29">
        <f>IF($P306="","",IF(INDEX(EntryDep,$P306)=0,"",INDEX(EntryDep,$P306)))</f>
        <v/>
      </c>
      <c r="I306" s="29">
        <f>IF($P306="","",IF(INDEX(EntryWit,$P306)=0,"",INDEX(EntryWit,$P306)))</f>
        <v/>
      </c>
      <c r="J306" s="29">
        <f>IF($B306="","",IF($A306=1,$C$7,IF(J305="",0,J305))+IF($H306="",0,$H306)-IF($I306="",0,$I306))</f>
        <v/>
      </c>
      <c r="K306" s="29">
        <f>IF($P306="","",IF(INDEX(EntryMan,$P306)=0,"",INDEX(EntryMan,$P306)))</f>
        <v/>
      </c>
      <c r="L306" s="28">
        <f>IF($B306="","",IF($K306="","—",IF(ROUND($K306-$J306,0)=0,"√","×")))</f>
        <v/>
      </c>
      <c r="M306" s="28">
        <f>IF($B306="","",IF(COUNTIFS(EntryDates,$B306,CalcTime,$C306,CalcBank,$C$5,EntryParty,$D306,EntryDep,$H306,EntryWit,$I306)&gt;1,"تکرار",""))</f>
        <v/>
      </c>
      <c r="N306" s="28">
        <f>IF($P306="","",IF(INDEX(EntryNotes,$P306)=0,"",INDEX(EntryNotes,$P306)))</f>
        <v/>
      </c>
      <c r="O306" s="28">
        <f>IF($P306="","",IF(INDEX(EntryTxnID,$P306)=0,"",INDEX(EntryTxnID,$P306)))</f>
        <v/>
      </c>
      <c r="P306" s="28">
        <f>IFERROR(MATCH($C$5&amp;"|"&amp;RIGHT("000000"&amp;290,6),CalcRankKey,0),"")</f>
        <v/>
      </c>
    </row>
    <row r="307">
      <c r="A307" s="26">
        <f>IF($B307="","",291)</f>
        <v/>
      </c>
      <c r="B307" s="26">
        <f>IF($P307="","",IF(INDEX(CalcNormDate,$P307)=0,"",INDEX(CalcNormDate,$P307)))</f>
        <v/>
      </c>
      <c r="C307" s="26">
        <f>IF($P307="","",IF(INDEX(CalcTime,$P307)=0,"",INDEX(CalcTime,$P307)))</f>
        <v/>
      </c>
      <c r="D307" s="26">
        <f>IF($P307="","",IF(INDEX(EntryParty,$P307)=0,"",INDEX(EntryParty,$P307)))</f>
        <v/>
      </c>
      <c r="E307" s="26">
        <f>IF($P307="","",IF(INDEX(EntryPartyName,$P307)=0,"",INDEX(EntryPartyName,$P307)))</f>
        <v/>
      </c>
      <c r="F307" s="26">
        <f>IF($P307="","",IF(INDEX(EntryPartyType,$P307)=0,"",INDEX(EntryPartyType,$P307)))</f>
        <v/>
      </c>
      <c r="G307" s="26">
        <f>IF($P307="","",IF(INDEX(EntryTxnType,$P307)=0,"",INDEX(EntryTxnType,$P307)))</f>
        <v/>
      </c>
      <c r="H307" s="27">
        <f>IF($P307="","",IF(INDEX(EntryDep,$P307)=0,"",INDEX(EntryDep,$P307)))</f>
        <v/>
      </c>
      <c r="I307" s="27">
        <f>IF($P307="","",IF(INDEX(EntryWit,$P307)=0,"",INDEX(EntryWit,$P307)))</f>
        <v/>
      </c>
      <c r="J307" s="27">
        <f>IF($B307="","",IF($A307=1,$C$7,IF(J306="",0,J306))+IF($H307="",0,$H307)-IF($I307="",0,$I307))</f>
        <v/>
      </c>
      <c r="K307" s="27">
        <f>IF($P307="","",IF(INDEX(EntryMan,$P307)=0,"",INDEX(EntryMan,$P307)))</f>
        <v/>
      </c>
      <c r="L307" s="26">
        <f>IF($B307="","",IF($K307="","—",IF(ROUND($K307-$J307,0)=0,"√","×")))</f>
        <v/>
      </c>
      <c r="M307" s="26">
        <f>IF($B307="","",IF(COUNTIFS(EntryDates,$B307,CalcTime,$C307,CalcBank,$C$5,EntryParty,$D307,EntryDep,$H307,EntryWit,$I307)&gt;1,"تکرار",""))</f>
        <v/>
      </c>
      <c r="N307" s="26">
        <f>IF($P307="","",IF(INDEX(EntryNotes,$P307)=0,"",INDEX(EntryNotes,$P307)))</f>
        <v/>
      </c>
      <c r="O307" s="26">
        <f>IF($P307="","",IF(INDEX(EntryTxnID,$P307)=0,"",INDEX(EntryTxnID,$P307)))</f>
        <v/>
      </c>
      <c r="P307" s="26">
        <f>IFERROR(MATCH($C$5&amp;"|"&amp;RIGHT("000000"&amp;291,6),CalcRankKey,0),"")</f>
        <v/>
      </c>
    </row>
    <row r="308">
      <c r="A308" s="28">
        <f>IF($B308="","",292)</f>
        <v/>
      </c>
      <c r="B308" s="28">
        <f>IF($P308="","",IF(INDEX(CalcNormDate,$P308)=0,"",INDEX(CalcNormDate,$P308)))</f>
        <v/>
      </c>
      <c r="C308" s="28">
        <f>IF($P308="","",IF(INDEX(CalcTime,$P308)=0,"",INDEX(CalcTime,$P308)))</f>
        <v/>
      </c>
      <c r="D308" s="28">
        <f>IF($P308="","",IF(INDEX(EntryParty,$P308)=0,"",INDEX(EntryParty,$P308)))</f>
        <v/>
      </c>
      <c r="E308" s="28">
        <f>IF($P308="","",IF(INDEX(EntryPartyName,$P308)=0,"",INDEX(EntryPartyName,$P308)))</f>
        <v/>
      </c>
      <c r="F308" s="28">
        <f>IF($P308="","",IF(INDEX(EntryPartyType,$P308)=0,"",INDEX(EntryPartyType,$P308)))</f>
        <v/>
      </c>
      <c r="G308" s="28">
        <f>IF($P308="","",IF(INDEX(EntryTxnType,$P308)=0,"",INDEX(EntryTxnType,$P308)))</f>
        <v/>
      </c>
      <c r="H308" s="29">
        <f>IF($P308="","",IF(INDEX(EntryDep,$P308)=0,"",INDEX(EntryDep,$P308)))</f>
        <v/>
      </c>
      <c r="I308" s="29">
        <f>IF($P308="","",IF(INDEX(EntryWit,$P308)=0,"",INDEX(EntryWit,$P308)))</f>
        <v/>
      </c>
      <c r="J308" s="29">
        <f>IF($B308="","",IF($A308=1,$C$7,IF(J307="",0,J307))+IF($H308="",0,$H308)-IF($I308="",0,$I308))</f>
        <v/>
      </c>
      <c r="K308" s="29">
        <f>IF($P308="","",IF(INDEX(EntryMan,$P308)=0,"",INDEX(EntryMan,$P308)))</f>
        <v/>
      </c>
      <c r="L308" s="28">
        <f>IF($B308="","",IF($K308="","—",IF(ROUND($K308-$J308,0)=0,"√","×")))</f>
        <v/>
      </c>
      <c r="M308" s="28">
        <f>IF($B308="","",IF(COUNTIFS(EntryDates,$B308,CalcTime,$C308,CalcBank,$C$5,EntryParty,$D308,EntryDep,$H308,EntryWit,$I308)&gt;1,"تکرار",""))</f>
        <v/>
      </c>
      <c r="N308" s="28">
        <f>IF($P308="","",IF(INDEX(EntryNotes,$P308)=0,"",INDEX(EntryNotes,$P308)))</f>
        <v/>
      </c>
      <c r="O308" s="28">
        <f>IF($P308="","",IF(INDEX(EntryTxnID,$P308)=0,"",INDEX(EntryTxnID,$P308)))</f>
        <v/>
      </c>
      <c r="P308" s="28">
        <f>IFERROR(MATCH($C$5&amp;"|"&amp;RIGHT("000000"&amp;292,6),CalcRankKey,0),"")</f>
        <v/>
      </c>
    </row>
    <row r="309">
      <c r="A309" s="26">
        <f>IF($B309="","",293)</f>
        <v/>
      </c>
      <c r="B309" s="26">
        <f>IF($P309="","",IF(INDEX(CalcNormDate,$P309)=0,"",INDEX(CalcNormDate,$P309)))</f>
        <v/>
      </c>
      <c r="C309" s="26">
        <f>IF($P309="","",IF(INDEX(CalcTime,$P309)=0,"",INDEX(CalcTime,$P309)))</f>
        <v/>
      </c>
      <c r="D309" s="26">
        <f>IF($P309="","",IF(INDEX(EntryParty,$P309)=0,"",INDEX(EntryParty,$P309)))</f>
        <v/>
      </c>
      <c r="E309" s="26">
        <f>IF($P309="","",IF(INDEX(EntryPartyName,$P309)=0,"",INDEX(EntryPartyName,$P309)))</f>
        <v/>
      </c>
      <c r="F309" s="26">
        <f>IF($P309="","",IF(INDEX(EntryPartyType,$P309)=0,"",INDEX(EntryPartyType,$P309)))</f>
        <v/>
      </c>
      <c r="G309" s="26">
        <f>IF($P309="","",IF(INDEX(EntryTxnType,$P309)=0,"",INDEX(EntryTxnType,$P309)))</f>
        <v/>
      </c>
      <c r="H309" s="27">
        <f>IF($P309="","",IF(INDEX(EntryDep,$P309)=0,"",INDEX(EntryDep,$P309)))</f>
        <v/>
      </c>
      <c r="I309" s="27">
        <f>IF($P309="","",IF(INDEX(EntryWit,$P309)=0,"",INDEX(EntryWit,$P309)))</f>
        <v/>
      </c>
      <c r="J309" s="27">
        <f>IF($B309="","",IF($A309=1,$C$7,IF(J308="",0,J308))+IF($H309="",0,$H309)-IF($I309="",0,$I309))</f>
        <v/>
      </c>
      <c r="K309" s="27">
        <f>IF($P309="","",IF(INDEX(EntryMan,$P309)=0,"",INDEX(EntryMan,$P309)))</f>
        <v/>
      </c>
      <c r="L309" s="26">
        <f>IF($B309="","",IF($K309="","—",IF(ROUND($K309-$J309,0)=0,"√","×")))</f>
        <v/>
      </c>
      <c r="M309" s="26">
        <f>IF($B309="","",IF(COUNTIFS(EntryDates,$B309,CalcTime,$C309,CalcBank,$C$5,EntryParty,$D309,EntryDep,$H309,EntryWit,$I309)&gt;1,"تکرار",""))</f>
        <v/>
      </c>
      <c r="N309" s="26">
        <f>IF($P309="","",IF(INDEX(EntryNotes,$P309)=0,"",INDEX(EntryNotes,$P309)))</f>
        <v/>
      </c>
      <c r="O309" s="26">
        <f>IF($P309="","",IF(INDEX(EntryTxnID,$P309)=0,"",INDEX(EntryTxnID,$P309)))</f>
        <v/>
      </c>
      <c r="P309" s="26">
        <f>IFERROR(MATCH($C$5&amp;"|"&amp;RIGHT("000000"&amp;293,6),CalcRankKey,0),"")</f>
        <v/>
      </c>
    </row>
    <row r="310">
      <c r="A310" s="28">
        <f>IF($B310="","",294)</f>
        <v/>
      </c>
      <c r="B310" s="28">
        <f>IF($P310="","",IF(INDEX(CalcNormDate,$P310)=0,"",INDEX(CalcNormDate,$P310)))</f>
        <v/>
      </c>
      <c r="C310" s="28">
        <f>IF($P310="","",IF(INDEX(CalcTime,$P310)=0,"",INDEX(CalcTime,$P310)))</f>
        <v/>
      </c>
      <c r="D310" s="28">
        <f>IF($P310="","",IF(INDEX(EntryParty,$P310)=0,"",INDEX(EntryParty,$P310)))</f>
        <v/>
      </c>
      <c r="E310" s="28">
        <f>IF($P310="","",IF(INDEX(EntryPartyName,$P310)=0,"",INDEX(EntryPartyName,$P310)))</f>
        <v/>
      </c>
      <c r="F310" s="28">
        <f>IF($P310="","",IF(INDEX(EntryPartyType,$P310)=0,"",INDEX(EntryPartyType,$P310)))</f>
        <v/>
      </c>
      <c r="G310" s="28">
        <f>IF($P310="","",IF(INDEX(EntryTxnType,$P310)=0,"",INDEX(EntryTxnType,$P310)))</f>
        <v/>
      </c>
      <c r="H310" s="29">
        <f>IF($P310="","",IF(INDEX(EntryDep,$P310)=0,"",INDEX(EntryDep,$P310)))</f>
        <v/>
      </c>
      <c r="I310" s="29">
        <f>IF($P310="","",IF(INDEX(EntryWit,$P310)=0,"",INDEX(EntryWit,$P310)))</f>
        <v/>
      </c>
      <c r="J310" s="29">
        <f>IF($B310="","",IF($A310=1,$C$7,IF(J309="",0,J309))+IF($H310="",0,$H310)-IF($I310="",0,$I310))</f>
        <v/>
      </c>
      <c r="K310" s="29">
        <f>IF($P310="","",IF(INDEX(EntryMan,$P310)=0,"",INDEX(EntryMan,$P310)))</f>
        <v/>
      </c>
      <c r="L310" s="28">
        <f>IF($B310="","",IF($K310="","—",IF(ROUND($K310-$J310,0)=0,"√","×")))</f>
        <v/>
      </c>
      <c r="M310" s="28">
        <f>IF($B310="","",IF(COUNTIFS(EntryDates,$B310,CalcTime,$C310,CalcBank,$C$5,EntryParty,$D310,EntryDep,$H310,EntryWit,$I310)&gt;1,"تکرار",""))</f>
        <v/>
      </c>
      <c r="N310" s="28">
        <f>IF($P310="","",IF(INDEX(EntryNotes,$P310)=0,"",INDEX(EntryNotes,$P310)))</f>
        <v/>
      </c>
      <c r="O310" s="28">
        <f>IF($P310="","",IF(INDEX(EntryTxnID,$P310)=0,"",INDEX(EntryTxnID,$P310)))</f>
        <v/>
      </c>
      <c r="P310" s="28">
        <f>IFERROR(MATCH($C$5&amp;"|"&amp;RIGHT("000000"&amp;294,6),CalcRankKey,0),"")</f>
        <v/>
      </c>
    </row>
    <row r="311">
      <c r="A311" s="26">
        <f>IF($B311="","",295)</f>
        <v/>
      </c>
      <c r="B311" s="26">
        <f>IF($P311="","",IF(INDEX(CalcNormDate,$P311)=0,"",INDEX(CalcNormDate,$P311)))</f>
        <v/>
      </c>
      <c r="C311" s="26">
        <f>IF($P311="","",IF(INDEX(CalcTime,$P311)=0,"",INDEX(CalcTime,$P311)))</f>
        <v/>
      </c>
      <c r="D311" s="26">
        <f>IF($P311="","",IF(INDEX(EntryParty,$P311)=0,"",INDEX(EntryParty,$P311)))</f>
        <v/>
      </c>
      <c r="E311" s="26">
        <f>IF($P311="","",IF(INDEX(EntryPartyName,$P311)=0,"",INDEX(EntryPartyName,$P311)))</f>
        <v/>
      </c>
      <c r="F311" s="26">
        <f>IF($P311="","",IF(INDEX(EntryPartyType,$P311)=0,"",INDEX(EntryPartyType,$P311)))</f>
        <v/>
      </c>
      <c r="G311" s="26">
        <f>IF($P311="","",IF(INDEX(EntryTxnType,$P311)=0,"",INDEX(EntryTxnType,$P311)))</f>
        <v/>
      </c>
      <c r="H311" s="27">
        <f>IF($P311="","",IF(INDEX(EntryDep,$P311)=0,"",INDEX(EntryDep,$P311)))</f>
        <v/>
      </c>
      <c r="I311" s="27">
        <f>IF($P311="","",IF(INDEX(EntryWit,$P311)=0,"",INDEX(EntryWit,$P311)))</f>
        <v/>
      </c>
      <c r="J311" s="27">
        <f>IF($B311="","",IF($A311=1,$C$7,IF(J310="",0,J310))+IF($H311="",0,$H311)-IF($I311="",0,$I311))</f>
        <v/>
      </c>
      <c r="K311" s="27">
        <f>IF($P311="","",IF(INDEX(EntryMan,$P311)=0,"",INDEX(EntryMan,$P311)))</f>
        <v/>
      </c>
      <c r="L311" s="26">
        <f>IF($B311="","",IF($K311="","—",IF(ROUND($K311-$J311,0)=0,"√","×")))</f>
        <v/>
      </c>
      <c r="M311" s="26">
        <f>IF($B311="","",IF(COUNTIFS(EntryDates,$B311,CalcTime,$C311,CalcBank,$C$5,EntryParty,$D311,EntryDep,$H311,EntryWit,$I311)&gt;1,"تکرار",""))</f>
        <v/>
      </c>
      <c r="N311" s="26">
        <f>IF($P311="","",IF(INDEX(EntryNotes,$P311)=0,"",INDEX(EntryNotes,$P311)))</f>
        <v/>
      </c>
      <c r="O311" s="26">
        <f>IF($P311="","",IF(INDEX(EntryTxnID,$P311)=0,"",INDEX(EntryTxnID,$P311)))</f>
        <v/>
      </c>
      <c r="P311" s="26">
        <f>IFERROR(MATCH($C$5&amp;"|"&amp;RIGHT("000000"&amp;295,6),CalcRankKey,0),"")</f>
        <v/>
      </c>
    </row>
    <row r="312">
      <c r="A312" s="28">
        <f>IF($B312="","",296)</f>
        <v/>
      </c>
      <c r="B312" s="28">
        <f>IF($P312="","",IF(INDEX(CalcNormDate,$P312)=0,"",INDEX(CalcNormDate,$P312)))</f>
        <v/>
      </c>
      <c r="C312" s="28">
        <f>IF($P312="","",IF(INDEX(CalcTime,$P312)=0,"",INDEX(CalcTime,$P312)))</f>
        <v/>
      </c>
      <c r="D312" s="28">
        <f>IF($P312="","",IF(INDEX(EntryParty,$P312)=0,"",INDEX(EntryParty,$P312)))</f>
        <v/>
      </c>
      <c r="E312" s="28">
        <f>IF($P312="","",IF(INDEX(EntryPartyName,$P312)=0,"",INDEX(EntryPartyName,$P312)))</f>
        <v/>
      </c>
      <c r="F312" s="28">
        <f>IF($P312="","",IF(INDEX(EntryPartyType,$P312)=0,"",INDEX(EntryPartyType,$P312)))</f>
        <v/>
      </c>
      <c r="G312" s="28">
        <f>IF($P312="","",IF(INDEX(EntryTxnType,$P312)=0,"",INDEX(EntryTxnType,$P312)))</f>
        <v/>
      </c>
      <c r="H312" s="29">
        <f>IF($P312="","",IF(INDEX(EntryDep,$P312)=0,"",INDEX(EntryDep,$P312)))</f>
        <v/>
      </c>
      <c r="I312" s="29">
        <f>IF($P312="","",IF(INDEX(EntryWit,$P312)=0,"",INDEX(EntryWit,$P312)))</f>
        <v/>
      </c>
      <c r="J312" s="29">
        <f>IF($B312="","",IF($A312=1,$C$7,IF(J311="",0,J311))+IF($H312="",0,$H312)-IF($I312="",0,$I312))</f>
        <v/>
      </c>
      <c r="K312" s="29">
        <f>IF($P312="","",IF(INDEX(EntryMan,$P312)=0,"",INDEX(EntryMan,$P312)))</f>
        <v/>
      </c>
      <c r="L312" s="28">
        <f>IF($B312="","",IF($K312="","—",IF(ROUND($K312-$J312,0)=0,"√","×")))</f>
        <v/>
      </c>
      <c r="M312" s="28">
        <f>IF($B312="","",IF(COUNTIFS(EntryDates,$B312,CalcTime,$C312,CalcBank,$C$5,EntryParty,$D312,EntryDep,$H312,EntryWit,$I312)&gt;1,"تکرار",""))</f>
        <v/>
      </c>
      <c r="N312" s="28">
        <f>IF($P312="","",IF(INDEX(EntryNotes,$P312)=0,"",INDEX(EntryNotes,$P312)))</f>
        <v/>
      </c>
      <c r="O312" s="28">
        <f>IF($P312="","",IF(INDEX(EntryTxnID,$P312)=0,"",INDEX(EntryTxnID,$P312)))</f>
        <v/>
      </c>
      <c r="P312" s="28">
        <f>IFERROR(MATCH($C$5&amp;"|"&amp;RIGHT("000000"&amp;296,6),CalcRankKey,0),"")</f>
        <v/>
      </c>
    </row>
    <row r="313">
      <c r="A313" s="26">
        <f>IF($B313="","",297)</f>
        <v/>
      </c>
      <c r="B313" s="26">
        <f>IF($P313="","",IF(INDEX(CalcNormDate,$P313)=0,"",INDEX(CalcNormDate,$P313)))</f>
        <v/>
      </c>
      <c r="C313" s="26">
        <f>IF($P313="","",IF(INDEX(CalcTime,$P313)=0,"",INDEX(CalcTime,$P313)))</f>
        <v/>
      </c>
      <c r="D313" s="26">
        <f>IF($P313="","",IF(INDEX(EntryParty,$P313)=0,"",INDEX(EntryParty,$P313)))</f>
        <v/>
      </c>
      <c r="E313" s="26">
        <f>IF($P313="","",IF(INDEX(EntryPartyName,$P313)=0,"",INDEX(EntryPartyName,$P313)))</f>
        <v/>
      </c>
      <c r="F313" s="26">
        <f>IF($P313="","",IF(INDEX(EntryPartyType,$P313)=0,"",INDEX(EntryPartyType,$P313)))</f>
        <v/>
      </c>
      <c r="G313" s="26">
        <f>IF($P313="","",IF(INDEX(EntryTxnType,$P313)=0,"",INDEX(EntryTxnType,$P313)))</f>
        <v/>
      </c>
      <c r="H313" s="27">
        <f>IF($P313="","",IF(INDEX(EntryDep,$P313)=0,"",INDEX(EntryDep,$P313)))</f>
        <v/>
      </c>
      <c r="I313" s="27">
        <f>IF($P313="","",IF(INDEX(EntryWit,$P313)=0,"",INDEX(EntryWit,$P313)))</f>
        <v/>
      </c>
      <c r="J313" s="27">
        <f>IF($B313="","",IF($A313=1,$C$7,IF(J312="",0,J312))+IF($H313="",0,$H313)-IF($I313="",0,$I313))</f>
        <v/>
      </c>
      <c r="K313" s="27">
        <f>IF($P313="","",IF(INDEX(EntryMan,$P313)=0,"",INDEX(EntryMan,$P313)))</f>
        <v/>
      </c>
      <c r="L313" s="26">
        <f>IF($B313="","",IF($K313="","—",IF(ROUND($K313-$J313,0)=0,"√","×")))</f>
        <v/>
      </c>
      <c r="M313" s="26">
        <f>IF($B313="","",IF(COUNTIFS(EntryDates,$B313,CalcTime,$C313,CalcBank,$C$5,EntryParty,$D313,EntryDep,$H313,EntryWit,$I313)&gt;1,"تکرار",""))</f>
        <v/>
      </c>
      <c r="N313" s="26">
        <f>IF($P313="","",IF(INDEX(EntryNotes,$P313)=0,"",INDEX(EntryNotes,$P313)))</f>
        <v/>
      </c>
      <c r="O313" s="26">
        <f>IF($P313="","",IF(INDEX(EntryTxnID,$P313)=0,"",INDEX(EntryTxnID,$P313)))</f>
        <v/>
      </c>
      <c r="P313" s="26">
        <f>IFERROR(MATCH($C$5&amp;"|"&amp;RIGHT("000000"&amp;297,6),CalcRankKey,0),"")</f>
        <v/>
      </c>
    </row>
    <row r="314">
      <c r="A314" s="28">
        <f>IF($B314="","",298)</f>
        <v/>
      </c>
      <c r="B314" s="28">
        <f>IF($P314="","",IF(INDEX(CalcNormDate,$P314)=0,"",INDEX(CalcNormDate,$P314)))</f>
        <v/>
      </c>
      <c r="C314" s="28">
        <f>IF($P314="","",IF(INDEX(CalcTime,$P314)=0,"",INDEX(CalcTime,$P314)))</f>
        <v/>
      </c>
      <c r="D314" s="28">
        <f>IF($P314="","",IF(INDEX(EntryParty,$P314)=0,"",INDEX(EntryParty,$P314)))</f>
        <v/>
      </c>
      <c r="E314" s="28">
        <f>IF($P314="","",IF(INDEX(EntryPartyName,$P314)=0,"",INDEX(EntryPartyName,$P314)))</f>
        <v/>
      </c>
      <c r="F314" s="28">
        <f>IF($P314="","",IF(INDEX(EntryPartyType,$P314)=0,"",INDEX(EntryPartyType,$P314)))</f>
        <v/>
      </c>
      <c r="G314" s="28">
        <f>IF($P314="","",IF(INDEX(EntryTxnType,$P314)=0,"",INDEX(EntryTxnType,$P314)))</f>
        <v/>
      </c>
      <c r="H314" s="29">
        <f>IF($P314="","",IF(INDEX(EntryDep,$P314)=0,"",INDEX(EntryDep,$P314)))</f>
        <v/>
      </c>
      <c r="I314" s="29">
        <f>IF($P314="","",IF(INDEX(EntryWit,$P314)=0,"",INDEX(EntryWit,$P314)))</f>
        <v/>
      </c>
      <c r="J314" s="29">
        <f>IF($B314="","",IF($A314=1,$C$7,IF(J313="",0,J313))+IF($H314="",0,$H314)-IF($I314="",0,$I314))</f>
        <v/>
      </c>
      <c r="K314" s="29">
        <f>IF($P314="","",IF(INDEX(EntryMan,$P314)=0,"",INDEX(EntryMan,$P314)))</f>
        <v/>
      </c>
      <c r="L314" s="28">
        <f>IF($B314="","",IF($K314="","—",IF(ROUND($K314-$J314,0)=0,"√","×")))</f>
        <v/>
      </c>
      <c r="M314" s="28">
        <f>IF($B314="","",IF(COUNTIFS(EntryDates,$B314,CalcTime,$C314,CalcBank,$C$5,EntryParty,$D314,EntryDep,$H314,EntryWit,$I314)&gt;1,"تکرار",""))</f>
        <v/>
      </c>
      <c r="N314" s="28">
        <f>IF($P314="","",IF(INDEX(EntryNotes,$P314)=0,"",INDEX(EntryNotes,$P314)))</f>
        <v/>
      </c>
      <c r="O314" s="28">
        <f>IF($P314="","",IF(INDEX(EntryTxnID,$P314)=0,"",INDEX(EntryTxnID,$P314)))</f>
        <v/>
      </c>
      <c r="P314" s="28">
        <f>IFERROR(MATCH($C$5&amp;"|"&amp;RIGHT("000000"&amp;298,6),CalcRankKey,0),"")</f>
        <v/>
      </c>
    </row>
    <row r="315">
      <c r="A315" s="26">
        <f>IF($B315="","",299)</f>
        <v/>
      </c>
      <c r="B315" s="26">
        <f>IF($P315="","",IF(INDEX(CalcNormDate,$P315)=0,"",INDEX(CalcNormDate,$P315)))</f>
        <v/>
      </c>
      <c r="C315" s="26">
        <f>IF($P315="","",IF(INDEX(CalcTime,$P315)=0,"",INDEX(CalcTime,$P315)))</f>
        <v/>
      </c>
      <c r="D315" s="26">
        <f>IF($P315="","",IF(INDEX(EntryParty,$P315)=0,"",INDEX(EntryParty,$P315)))</f>
        <v/>
      </c>
      <c r="E315" s="26">
        <f>IF($P315="","",IF(INDEX(EntryPartyName,$P315)=0,"",INDEX(EntryPartyName,$P315)))</f>
        <v/>
      </c>
      <c r="F315" s="26">
        <f>IF($P315="","",IF(INDEX(EntryPartyType,$P315)=0,"",INDEX(EntryPartyType,$P315)))</f>
        <v/>
      </c>
      <c r="G315" s="26">
        <f>IF($P315="","",IF(INDEX(EntryTxnType,$P315)=0,"",INDEX(EntryTxnType,$P315)))</f>
        <v/>
      </c>
      <c r="H315" s="27">
        <f>IF($P315="","",IF(INDEX(EntryDep,$P315)=0,"",INDEX(EntryDep,$P315)))</f>
        <v/>
      </c>
      <c r="I315" s="27">
        <f>IF($P315="","",IF(INDEX(EntryWit,$P315)=0,"",INDEX(EntryWit,$P315)))</f>
        <v/>
      </c>
      <c r="J315" s="27">
        <f>IF($B315="","",IF($A315=1,$C$7,IF(J314="",0,J314))+IF($H315="",0,$H315)-IF($I315="",0,$I315))</f>
        <v/>
      </c>
      <c r="K315" s="27">
        <f>IF($P315="","",IF(INDEX(EntryMan,$P315)=0,"",INDEX(EntryMan,$P315)))</f>
        <v/>
      </c>
      <c r="L315" s="26">
        <f>IF($B315="","",IF($K315="","—",IF(ROUND($K315-$J315,0)=0,"√","×")))</f>
        <v/>
      </c>
      <c r="M315" s="26">
        <f>IF($B315="","",IF(COUNTIFS(EntryDates,$B315,CalcTime,$C315,CalcBank,$C$5,EntryParty,$D315,EntryDep,$H315,EntryWit,$I315)&gt;1,"تکرار",""))</f>
        <v/>
      </c>
      <c r="N315" s="26">
        <f>IF($P315="","",IF(INDEX(EntryNotes,$P315)=0,"",INDEX(EntryNotes,$P315)))</f>
        <v/>
      </c>
      <c r="O315" s="26">
        <f>IF($P315="","",IF(INDEX(EntryTxnID,$P315)=0,"",INDEX(EntryTxnID,$P315)))</f>
        <v/>
      </c>
      <c r="P315" s="26">
        <f>IFERROR(MATCH($C$5&amp;"|"&amp;RIGHT("000000"&amp;299,6),CalcRankKey,0),"")</f>
        <v/>
      </c>
    </row>
    <row r="316">
      <c r="A316" s="28">
        <f>IF($B316="","",300)</f>
        <v/>
      </c>
      <c r="B316" s="28">
        <f>IF($P316="","",IF(INDEX(CalcNormDate,$P316)=0,"",INDEX(CalcNormDate,$P316)))</f>
        <v/>
      </c>
      <c r="C316" s="28">
        <f>IF($P316="","",IF(INDEX(CalcTime,$P316)=0,"",INDEX(CalcTime,$P316)))</f>
        <v/>
      </c>
      <c r="D316" s="28">
        <f>IF($P316="","",IF(INDEX(EntryParty,$P316)=0,"",INDEX(EntryParty,$P316)))</f>
        <v/>
      </c>
      <c r="E316" s="28">
        <f>IF($P316="","",IF(INDEX(EntryPartyName,$P316)=0,"",INDEX(EntryPartyName,$P316)))</f>
        <v/>
      </c>
      <c r="F316" s="28">
        <f>IF($P316="","",IF(INDEX(EntryPartyType,$P316)=0,"",INDEX(EntryPartyType,$P316)))</f>
        <v/>
      </c>
      <c r="G316" s="28">
        <f>IF($P316="","",IF(INDEX(EntryTxnType,$P316)=0,"",INDEX(EntryTxnType,$P316)))</f>
        <v/>
      </c>
      <c r="H316" s="29">
        <f>IF($P316="","",IF(INDEX(EntryDep,$P316)=0,"",INDEX(EntryDep,$P316)))</f>
        <v/>
      </c>
      <c r="I316" s="29">
        <f>IF($P316="","",IF(INDEX(EntryWit,$P316)=0,"",INDEX(EntryWit,$P316)))</f>
        <v/>
      </c>
      <c r="J316" s="29">
        <f>IF($B316="","",IF($A316=1,$C$7,IF(J315="",0,J315))+IF($H316="",0,$H316)-IF($I316="",0,$I316))</f>
        <v/>
      </c>
      <c r="K316" s="29">
        <f>IF($P316="","",IF(INDEX(EntryMan,$P316)=0,"",INDEX(EntryMan,$P316)))</f>
        <v/>
      </c>
      <c r="L316" s="28">
        <f>IF($B316="","",IF($K316="","—",IF(ROUND($K316-$J316,0)=0,"√","×")))</f>
        <v/>
      </c>
      <c r="M316" s="28">
        <f>IF($B316="","",IF(COUNTIFS(EntryDates,$B316,CalcTime,$C316,CalcBank,$C$5,EntryParty,$D316,EntryDep,$H316,EntryWit,$I316)&gt;1,"تکرار",""))</f>
        <v/>
      </c>
      <c r="N316" s="28">
        <f>IF($P316="","",IF(INDEX(EntryNotes,$P316)=0,"",INDEX(EntryNotes,$P316)))</f>
        <v/>
      </c>
      <c r="O316" s="28">
        <f>IF($P316="","",IF(INDEX(EntryTxnID,$P316)=0,"",INDEX(EntryTxnID,$P316)))</f>
        <v/>
      </c>
      <c r="P316" s="28">
        <f>IFERROR(MATCH($C$5&amp;"|"&amp;RIGHT("000000"&amp;300,6),CalcRankKey,0),"")</f>
        <v/>
      </c>
    </row>
    <row r="317">
      <c r="A317" s="26">
        <f>IF($B317="","",301)</f>
        <v/>
      </c>
      <c r="B317" s="26">
        <f>IF($P317="","",IF(INDEX(CalcNormDate,$P317)=0,"",INDEX(CalcNormDate,$P317)))</f>
        <v/>
      </c>
      <c r="C317" s="26">
        <f>IF($P317="","",IF(INDEX(CalcTime,$P317)=0,"",INDEX(CalcTime,$P317)))</f>
        <v/>
      </c>
      <c r="D317" s="26">
        <f>IF($P317="","",IF(INDEX(EntryParty,$P317)=0,"",INDEX(EntryParty,$P317)))</f>
        <v/>
      </c>
      <c r="E317" s="26">
        <f>IF($P317="","",IF(INDEX(EntryPartyName,$P317)=0,"",INDEX(EntryPartyName,$P317)))</f>
        <v/>
      </c>
      <c r="F317" s="26">
        <f>IF($P317="","",IF(INDEX(EntryPartyType,$P317)=0,"",INDEX(EntryPartyType,$P317)))</f>
        <v/>
      </c>
      <c r="G317" s="26">
        <f>IF($P317="","",IF(INDEX(EntryTxnType,$P317)=0,"",INDEX(EntryTxnType,$P317)))</f>
        <v/>
      </c>
      <c r="H317" s="27">
        <f>IF($P317="","",IF(INDEX(EntryDep,$P317)=0,"",INDEX(EntryDep,$P317)))</f>
        <v/>
      </c>
      <c r="I317" s="27">
        <f>IF($P317="","",IF(INDEX(EntryWit,$P317)=0,"",INDEX(EntryWit,$P317)))</f>
        <v/>
      </c>
      <c r="J317" s="27">
        <f>IF($B317="","",IF($A317=1,$C$7,IF(J316="",0,J316))+IF($H317="",0,$H317)-IF($I317="",0,$I317))</f>
        <v/>
      </c>
      <c r="K317" s="27">
        <f>IF($P317="","",IF(INDEX(EntryMan,$P317)=0,"",INDEX(EntryMan,$P317)))</f>
        <v/>
      </c>
      <c r="L317" s="26">
        <f>IF($B317="","",IF($K317="","—",IF(ROUND($K317-$J317,0)=0,"√","×")))</f>
        <v/>
      </c>
      <c r="M317" s="26">
        <f>IF($B317="","",IF(COUNTIFS(EntryDates,$B317,CalcTime,$C317,CalcBank,$C$5,EntryParty,$D317,EntryDep,$H317,EntryWit,$I317)&gt;1,"تکرار",""))</f>
        <v/>
      </c>
      <c r="N317" s="26">
        <f>IF($P317="","",IF(INDEX(EntryNotes,$P317)=0,"",INDEX(EntryNotes,$P317)))</f>
        <v/>
      </c>
      <c r="O317" s="26">
        <f>IF($P317="","",IF(INDEX(EntryTxnID,$P317)=0,"",INDEX(EntryTxnID,$P317)))</f>
        <v/>
      </c>
      <c r="P317" s="26">
        <f>IFERROR(MATCH($C$5&amp;"|"&amp;RIGHT("000000"&amp;301,6),CalcRankKey,0),"")</f>
        <v/>
      </c>
    </row>
    <row r="318">
      <c r="A318" s="28">
        <f>IF($B318="","",302)</f>
        <v/>
      </c>
      <c r="B318" s="28">
        <f>IF($P318="","",IF(INDEX(CalcNormDate,$P318)=0,"",INDEX(CalcNormDate,$P318)))</f>
        <v/>
      </c>
      <c r="C318" s="28">
        <f>IF($P318="","",IF(INDEX(CalcTime,$P318)=0,"",INDEX(CalcTime,$P318)))</f>
        <v/>
      </c>
      <c r="D318" s="28">
        <f>IF($P318="","",IF(INDEX(EntryParty,$P318)=0,"",INDEX(EntryParty,$P318)))</f>
        <v/>
      </c>
      <c r="E318" s="28">
        <f>IF($P318="","",IF(INDEX(EntryPartyName,$P318)=0,"",INDEX(EntryPartyName,$P318)))</f>
        <v/>
      </c>
      <c r="F318" s="28">
        <f>IF($P318="","",IF(INDEX(EntryPartyType,$P318)=0,"",INDEX(EntryPartyType,$P318)))</f>
        <v/>
      </c>
      <c r="G318" s="28">
        <f>IF($P318="","",IF(INDEX(EntryTxnType,$P318)=0,"",INDEX(EntryTxnType,$P318)))</f>
        <v/>
      </c>
      <c r="H318" s="29">
        <f>IF($P318="","",IF(INDEX(EntryDep,$P318)=0,"",INDEX(EntryDep,$P318)))</f>
        <v/>
      </c>
      <c r="I318" s="29">
        <f>IF($P318="","",IF(INDEX(EntryWit,$P318)=0,"",INDEX(EntryWit,$P318)))</f>
        <v/>
      </c>
      <c r="J318" s="29">
        <f>IF($B318="","",IF($A318=1,$C$7,IF(J317="",0,J317))+IF($H318="",0,$H318)-IF($I318="",0,$I318))</f>
        <v/>
      </c>
      <c r="K318" s="29">
        <f>IF($P318="","",IF(INDEX(EntryMan,$P318)=0,"",INDEX(EntryMan,$P318)))</f>
        <v/>
      </c>
      <c r="L318" s="28">
        <f>IF($B318="","",IF($K318="","—",IF(ROUND($K318-$J318,0)=0,"√","×")))</f>
        <v/>
      </c>
      <c r="M318" s="28">
        <f>IF($B318="","",IF(COUNTIFS(EntryDates,$B318,CalcTime,$C318,CalcBank,$C$5,EntryParty,$D318,EntryDep,$H318,EntryWit,$I318)&gt;1,"تکرار",""))</f>
        <v/>
      </c>
      <c r="N318" s="28">
        <f>IF($P318="","",IF(INDEX(EntryNotes,$P318)=0,"",INDEX(EntryNotes,$P318)))</f>
        <v/>
      </c>
      <c r="O318" s="28">
        <f>IF($P318="","",IF(INDEX(EntryTxnID,$P318)=0,"",INDEX(EntryTxnID,$P318)))</f>
        <v/>
      </c>
      <c r="P318" s="28">
        <f>IFERROR(MATCH($C$5&amp;"|"&amp;RIGHT("000000"&amp;302,6),CalcRankKey,0),"")</f>
        <v/>
      </c>
    </row>
    <row r="319">
      <c r="A319" s="26">
        <f>IF($B319="","",303)</f>
        <v/>
      </c>
      <c r="B319" s="26">
        <f>IF($P319="","",IF(INDEX(CalcNormDate,$P319)=0,"",INDEX(CalcNormDate,$P319)))</f>
        <v/>
      </c>
      <c r="C319" s="26">
        <f>IF($P319="","",IF(INDEX(CalcTime,$P319)=0,"",INDEX(CalcTime,$P319)))</f>
        <v/>
      </c>
      <c r="D319" s="26">
        <f>IF($P319="","",IF(INDEX(EntryParty,$P319)=0,"",INDEX(EntryParty,$P319)))</f>
        <v/>
      </c>
      <c r="E319" s="26">
        <f>IF($P319="","",IF(INDEX(EntryPartyName,$P319)=0,"",INDEX(EntryPartyName,$P319)))</f>
        <v/>
      </c>
      <c r="F319" s="26">
        <f>IF($P319="","",IF(INDEX(EntryPartyType,$P319)=0,"",INDEX(EntryPartyType,$P319)))</f>
        <v/>
      </c>
      <c r="G319" s="26">
        <f>IF($P319="","",IF(INDEX(EntryTxnType,$P319)=0,"",INDEX(EntryTxnType,$P319)))</f>
        <v/>
      </c>
      <c r="H319" s="27">
        <f>IF($P319="","",IF(INDEX(EntryDep,$P319)=0,"",INDEX(EntryDep,$P319)))</f>
        <v/>
      </c>
      <c r="I319" s="27">
        <f>IF($P319="","",IF(INDEX(EntryWit,$P319)=0,"",INDEX(EntryWit,$P319)))</f>
        <v/>
      </c>
      <c r="J319" s="27">
        <f>IF($B319="","",IF($A319=1,$C$7,IF(J318="",0,J318))+IF($H319="",0,$H319)-IF($I319="",0,$I319))</f>
        <v/>
      </c>
      <c r="K319" s="27">
        <f>IF($P319="","",IF(INDEX(EntryMan,$P319)=0,"",INDEX(EntryMan,$P319)))</f>
        <v/>
      </c>
      <c r="L319" s="26">
        <f>IF($B319="","",IF($K319="","—",IF(ROUND($K319-$J319,0)=0,"√","×")))</f>
        <v/>
      </c>
      <c r="M319" s="26">
        <f>IF($B319="","",IF(COUNTIFS(EntryDates,$B319,CalcTime,$C319,CalcBank,$C$5,EntryParty,$D319,EntryDep,$H319,EntryWit,$I319)&gt;1,"تکرار",""))</f>
        <v/>
      </c>
      <c r="N319" s="26">
        <f>IF($P319="","",IF(INDEX(EntryNotes,$P319)=0,"",INDEX(EntryNotes,$P319)))</f>
        <v/>
      </c>
      <c r="O319" s="26">
        <f>IF($P319="","",IF(INDEX(EntryTxnID,$P319)=0,"",INDEX(EntryTxnID,$P319)))</f>
        <v/>
      </c>
      <c r="P319" s="26">
        <f>IFERROR(MATCH($C$5&amp;"|"&amp;RIGHT("000000"&amp;303,6),CalcRankKey,0),"")</f>
        <v/>
      </c>
    </row>
    <row r="320">
      <c r="A320" s="28">
        <f>IF($B320="","",304)</f>
        <v/>
      </c>
      <c r="B320" s="28">
        <f>IF($P320="","",IF(INDEX(CalcNormDate,$P320)=0,"",INDEX(CalcNormDate,$P320)))</f>
        <v/>
      </c>
      <c r="C320" s="28">
        <f>IF($P320="","",IF(INDEX(CalcTime,$P320)=0,"",INDEX(CalcTime,$P320)))</f>
        <v/>
      </c>
      <c r="D320" s="28">
        <f>IF($P320="","",IF(INDEX(EntryParty,$P320)=0,"",INDEX(EntryParty,$P320)))</f>
        <v/>
      </c>
      <c r="E320" s="28">
        <f>IF($P320="","",IF(INDEX(EntryPartyName,$P320)=0,"",INDEX(EntryPartyName,$P320)))</f>
        <v/>
      </c>
      <c r="F320" s="28">
        <f>IF($P320="","",IF(INDEX(EntryPartyType,$P320)=0,"",INDEX(EntryPartyType,$P320)))</f>
        <v/>
      </c>
      <c r="G320" s="28">
        <f>IF($P320="","",IF(INDEX(EntryTxnType,$P320)=0,"",INDEX(EntryTxnType,$P320)))</f>
        <v/>
      </c>
      <c r="H320" s="29">
        <f>IF($P320="","",IF(INDEX(EntryDep,$P320)=0,"",INDEX(EntryDep,$P320)))</f>
        <v/>
      </c>
      <c r="I320" s="29">
        <f>IF($P320="","",IF(INDEX(EntryWit,$P320)=0,"",INDEX(EntryWit,$P320)))</f>
        <v/>
      </c>
      <c r="J320" s="29">
        <f>IF($B320="","",IF($A320=1,$C$7,IF(J319="",0,J319))+IF($H320="",0,$H320)-IF($I320="",0,$I320))</f>
        <v/>
      </c>
      <c r="K320" s="29">
        <f>IF($P320="","",IF(INDEX(EntryMan,$P320)=0,"",INDEX(EntryMan,$P320)))</f>
        <v/>
      </c>
      <c r="L320" s="28">
        <f>IF($B320="","",IF($K320="","—",IF(ROUND($K320-$J320,0)=0,"√","×")))</f>
        <v/>
      </c>
      <c r="M320" s="28">
        <f>IF($B320="","",IF(COUNTIFS(EntryDates,$B320,CalcTime,$C320,CalcBank,$C$5,EntryParty,$D320,EntryDep,$H320,EntryWit,$I320)&gt;1,"تکرار",""))</f>
        <v/>
      </c>
      <c r="N320" s="28">
        <f>IF($P320="","",IF(INDEX(EntryNotes,$P320)=0,"",INDEX(EntryNotes,$P320)))</f>
        <v/>
      </c>
      <c r="O320" s="28">
        <f>IF($P320="","",IF(INDEX(EntryTxnID,$P320)=0,"",INDEX(EntryTxnID,$P320)))</f>
        <v/>
      </c>
      <c r="P320" s="28">
        <f>IFERROR(MATCH($C$5&amp;"|"&amp;RIGHT("000000"&amp;304,6),CalcRankKey,0),"")</f>
        <v/>
      </c>
    </row>
    <row r="321">
      <c r="A321" s="26">
        <f>IF($B321="","",305)</f>
        <v/>
      </c>
      <c r="B321" s="26">
        <f>IF($P321="","",IF(INDEX(CalcNormDate,$P321)=0,"",INDEX(CalcNormDate,$P321)))</f>
        <v/>
      </c>
      <c r="C321" s="26">
        <f>IF($P321="","",IF(INDEX(CalcTime,$P321)=0,"",INDEX(CalcTime,$P321)))</f>
        <v/>
      </c>
      <c r="D321" s="26">
        <f>IF($P321="","",IF(INDEX(EntryParty,$P321)=0,"",INDEX(EntryParty,$P321)))</f>
        <v/>
      </c>
      <c r="E321" s="26">
        <f>IF($P321="","",IF(INDEX(EntryPartyName,$P321)=0,"",INDEX(EntryPartyName,$P321)))</f>
        <v/>
      </c>
      <c r="F321" s="26">
        <f>IF($P321="","",IF(INDEX(EntryPartyType,$P321)=0,"",INDEX(EntryPartyType,$P321)))</f>
        <v/>
      </c>
      <c r="G321" s="26">
        <f>IF($P321="","",IF(INDEX(EntryTxnType,$P321)=0,"",INDEX(EntryTxnType,$P321)))</f>
        <v/>
      </c>
      <c r="H321" s="27">
        <f>IF($P321="","",IF(INDEX(EntryDep,$P321)=0,"",INDEX(EntryDep,$P321)))</f>
        <v/>
      </c>
      <c r="I321" s="27">
        <f>IF($P321="","",IF(INDEX(EntryWit,$P321)=0,"",INDEX(EntryWit,$P321)))</f>
        <v/>
      </c>
      <c r="J321" s="27">
        <f>IF($B321="","",IF($A321=1,$C$7,IF(J320="",0,J320))+IF($H321="",0,$H321)-IF($I321="",0,$I321))</f>
        <v/>
      </c>
      <c r="K321" s="27">
        <f>IF($P321="","",IF(INDEX(EntryMan,$P321)=0,"",INDEX(EntryMan,$P321)))</f>
        <v/>
      </c>
      <c r="L321" s="26">
        <f>IF($B321="","",IF($K321="","—",IF(ROUND($K321-$J321,0)=0,"√","×")))</f>
        <v/>
      </c>
      <c r="M321" s="26">
        <f>IF($B321="","",IF(COUNTIFS(EntryDates,$B321,CalcTime,$C321,CalcBank,$C$5,EntryParty,$D321,EntryDep,$H321,EntryWit,$I321)&gt;1,"تکرار",""))</f>
        <v/>
      </c>
      <c r="N321" s="26">
        <f>IF($P321="","",IF(INDEX(EntryNotes,$P321)=0,"",INDEX(EntryNotes,$P321)))</f>
        <v/>
      </c>
      <c r="O321" s="26">
        <f>IF($P321="","",IF(INDEX(EntryTxnID,$P321)=0,"",INDEX(EntryTxnID,$P321)))</f>
        <v/>
      </c>
      <c r="P321" s="26">
        <f>IFERROR(MATCH($C$5&amp;"|"&amp;RIGHT("000000"&amp;305,6),CalcRankKey,0),"")</f>
        <v/>
      </c>
    </row>
    <row r="322">
      <c r="A322" s="28">
        <f>IF($B322="","",306)</f>
        <v/>
      </c>
      <c r="B322" s="28">
        <f>IF($P322="","",IF(INDEX(CalcNormDate,$P322)=0,"",INDEX(CalcNormDate,$P322)))</f>
        <v/>
      </c>
      <c r="C322" s="28">
        <f>IF($P322="","",IF(INDEX(CalcTime,$P322)=0,"",INDEX(CalcTime,$P322)))</f>
        <v/>
      </c>
      <c r="D322" s="28">
        <f>IF($P322="","",IF(INDEX(EntryParty,$P322)=0,"",INDEX(EntryParty,$P322)))</f>
        <v/>
      </c>
      <c r="E322" s="28">
        <f>IF($P322="","",IF(INDEX(EntryPartyName,$P322)=0,"",INDEX(EntryPartyName,$P322)))</f>
        <v/>
      </c>
      <c r="F322" s="28">
        <f>IF($P322="","",IF(INDEX(EntryPartyType,$P322)=0,"",INDEX(EntryPartyType,$P322)))</f>
        <v/>
      </c>
      <c r="G322" s="28">
        <f>IF($P322="","",IF(INDEX(EntryTxnType,$P322)=0,"",INDEX(EntryTxnType,$P322)))</f>
        <v/>
      </c>
      <c r="H322" s="29">
        <f>IF($P322="","",IF(INDEX(EntryDep,$P322)=0,"",INDEX(EntryDep,$P322)))</f>
        <v/>
      </c>
      <c r="I322" s="29">
        <f>IF($P322="","",IF(INDEX(EntryWit,$P322)=0,"",INDEX(EntryWit,$P322)))</f>
        <v/>
      </c>
      <c r="J322" s="29">
        <f>IF($B322="","",IF($A322=1,$C$7,IF(J321="",0,J321))+IF($H322="",0,$H322)-IF($I322="",0,$I322))</f>
        <v/>
      </c>
      <c r="K322" s="29">
        <f>IF($P322="","",IF(INDEX(EntryMan,$P322)=0,"",INDEX(EntryMan,$P322)))</f>
        <v/>
      </c>
      <c r="L322" s="28">
        <f>IF($B322="","",IF($K322="","—",IF(ROUND($K322-$J322,0)=0,"√","×")))</f>
        <v/>
      </c>
      <c r="M322" s="28">
        <f>IF($B322="","",IF(COUNTIFS(EntryDates,$B322,CalcTime,$C322,CalcBank,$C$5,EntryParty,$D322,EntryDep,$H322,EntryWit,$I322)&gt;1,"تکرار",""))</f>
        <v/>
      </c>
      <c r="N322" s="28">
        <f>IF($P322="","",IF(INDEX(EntryNotes,$P322)=0,"",INDEX(EntryNotes,$P322)))</f>
        <v/>
      </c>
      <c r="O322" s="28">
        <f>IF($P322="","",IF(INDEX(EntryTxnID,$P322)=0,"",INDEX(EntryTxnID,$P322)))</f>
        <v/>
      </c>
      <c r="P322" s="28">
        <f>IFERROR(MATCH($C$5&amp;"|"&amp;RIGHT("000000"&amp;306,6),CalcRankKey,0),"")</f>
        <v/>
      </c>
    </row>
    <row r="323">
      <c r="A323" s="26">
        <f>IF($B323="","",307)</f>
        <v/>
      </c>
      <c r="B323" s="26">
        <f>IF($P323="","",IF(INDEX(CalcNormDate,$P323)=0,"",INDEX(CalcNormDate,$P323)))</f>
        <v/>
      </c>
      <c r="C323" s="26">
        <f>IF($P323="","",IF(INDEX(CalcTime,$P323)=0,"",INDEX(CalcTime,$P323)))</f>
        <v/>
      </c>
      <c r="D323" s="26">
        <f>IF($P323="","",IF(INDEX(EntryParty,$P323)=0,"",INDEX(EntryParty,$P323)))</f>
        <v/>
      </c>
      <c r="E323" s="26">
        <f>IF($P323="","",IF(INDEX(EntryPartyName,$P323)=0,"",INDEX(EntryPartyName,$P323)))</f>
        <v/>
      </c>
      <c r="F323" s="26">
        <f>IF($P323="","",IF(INDEX(EntryPartyType,$P323)=0,"",INDEX(EntryPartyType,$P323)))</f>
        <v/>
      </c>
      <c r="G323" s="26">
        <f>IF($P323="","",IF(INDEX(EntryTxnType,$P323)=0,"",INDEX(EntryTxnType,$P323)))</f>
        <v/>
      </c>
      <c r="H323" s="27">
        <f>IF($P323="","",IF(INDEX(EntryDep,$P323)=0,"",INDEX(EntryDep,$P323)))</f>
        <v/>
      </c>
      <c r="I323" s="27">
        <f>IF($P323="","",IF(INDEX(EntryWit,$P323)=0,"",INDEX(EntryWit,$P323)))</f>
        <v/>
      </c>
      <c r="J323" s="27">
        <f>IF($B323="","",IF($A323=1,$C$7,IF(J322="",0,J322))+IF($H323="",0,$H323)-IF($I323="",0,$I323))</f>
        <v/>
      </c>
      <c r="K323" s="27">
        <f>IF($P323="","",IF(INDEX(EntryMan,$P323)=0,"",INDEX(EntryMan,$P323)))</f>
        <v/>
      </c>
      <c r="L323" s="26">
        <f>IF($B323="","",IF($K323="","—",IF(ROUND($K323-$J323,0)=0,"√","×")))</f>
        <v/>
      </c>
      <c r="M323" s="26">
        <f>IF($B323="","",IF(COUNTIFS(EntryDates,$B323,CalcTime,$C323,CalcBank,$C$5,EntryParty,$D323,EntryDep,$H323,EntryWit,$I323)&gt;1,"تکرار",""))</f>
        <v/>
      </c>
      <c r="N323" s="26">
        <f>IF($P323="","",IF(INDEX(EntryNotes,$P323)=0,"",INDEX(EntryNotes,$P323)))</f>
        <v/>
      </c>
      <c r="O323" s="26">
        <f>IF($P323="","",IF(INDEX(EntryTxnID,$P323)=0,"",INDEX(EntryTxnID,$P323)))</f>
        <v/>
      </c>
      <c r="P323" s="26">
        <f>IFERROR(MATCH($C$5&amp;"|"&amp;RIGHT("000000"&amp;307,6),CalcRankKey,0),"")</f>
        <v/>
      </c>
    </row>
    <row r="324">
      <c r="A324" s="28">
        <f>IF($B324="","",308)</f>
        <v/>
      </c>
      <c r="B324" s="28">
        <f>IF($P324="","",IF(INDEX(CalcNormDate,$P324)=0,"",INDEX(CalcNormDate,$P324)))</f>
        <v/>
      </c>
      <c r="C324" s="28">
        <f>IF($P324="","",IF(INDEX(CalcTime,$P324)=0,"",INDEX(CalcTime,$P324)))</f>
        <v/>
      </c>
      <c r="D324" s="28">
        <f>IF($P324="","",IF(INDEX(EntryParty,$P324)=0,"",INDEX(EntryParty,$P324)))</f>
        <v/>
      </c>
      <c r="E324" s="28">
        <f>IF($P324="","",IF(INDEX(EntryPartyName,$P324)=0,"",INDEX(EntryPartyName,$P324)))</f>
        <v/>
      </c>
      <c r="F324" s="28">
        <f>IF($P324="","",IF(INDEX(EntryPartyType,$P324)=0,"",INDEX(EntryPartyType,$P324)))</f>
        <v/>
      </c>
      <c r="G324" s="28">
        <f>IF($P324="","",IF(INDEX(EntryTxnType,$P324)=0,"",INDEX(EntryTxnType,$P324)))</f>
        <v/>
      </c>
      <c r="H324" s="29">
        <f>IF($P324="","",IF(INDEX(EntryDep,$P324)=0,"",INDEX(EntryDep,$P324)))</f>
        <v/>
      </c>
      <c r="I324" s="29">
        <f>IF($P324="","",IF(INDEX(EntryWit,$P324)=0,"",INDEX(EntryWit,$P324)))</f>
        <v/>
      </c>
      <c r="J324" s="29">
        <f>IF($B324="","",IF($A324=1,$C$7,IF(J323="",0,J323))+IF($H324="",0,$H324)-IF($I324="",0,$I324))</f>
        <v/>
      </c>
      <c r="K324" s="29">
        <f>IF($P324="","",IF(INDEX(EntryMan,$P324)=0,"",INDEX(EntryMan,$P324)))</f>
        <v/>
      </c>
      <c r="L324" s="28">
        <f>IF($B324="","",IF($K324="","—",IF(ROUND($K324-$J324,0)=0,"√","×")))</f>
        <v/>
      </c>
      <c r="M324" s="28">
        <f>IF($B324="","",IF(COUNTIFS(EntryDates,$B324,CalcTime,$C324,CalcBank,$C$5,EntryParty,$D324,EntryDep,$H324,EntryWit,$I324)&gt;1,"تکرار",""))</f>
        <v/>
      </c>
      <c r="N324" s="28">
        <f>IF($P324="","",IF(INDEX(EntryNotes,$P324)=0,"",INDEX(EntryNotes,$P324)))</f>
        <v/>
      </c>
      <c r="O324" s="28">
        <f>IF($P324="","",IF(INDEX(EntryTxnID,$P324)=0,"",INDEX(EntryTxnID,$P324)))</f>
        <v/>
      </c>
      <c r="P324" s="28">
        <f>IFERROR(MATCH($C$5&amp;"|"&amp;RIGHT("000000"&amp;308,6),CalcRankKey,0),"")</f>
        <v/>
      </c>
    </row>
    <row r="325">
      <c r="A325" s="26">
        <f>IF($B325="","",309)</f>
        <v/>
      </c>
      <c r="B325" s="26">
        <f>IF($P325="","",IF(INDEX(CalcNormDate,$P325)=0,"",INDEX(CalcNormDate,$P325)))</f>
        <v/>
      </c>
      <c r="C325" s="26">
        <f>IF($P325="","",IF(INDEX(CalcTime,$P325)=0,"",INDEX(CalcTime,$P325)))</f>
        <v/>
      </c>
      <c r="D325" s="26">
        <f>IF($P325="","",IF(INDEX(EntryParty,$P325)=0,"",INDEX(EntryParty,$P325)))</f>
        <v/>
      </c>
      <c r="E325" s="26">
        <f>IF($P325="","",IF(INDEX(EntryPartyName,$P325)=0,"",INDEX(EntryPartyName,$P325)))</f>
        <v/>
      </c>
      <c r="F325" s="26">
        <f>IF($P325="","",IF(INDEX(EntryPartyType,$P325)=0,"",INDEX(EntryPartyType,$P325)))</f>
        <v/>
      </c>
      <c r="G325" s="26">
        <f>IF($P325="","",IF(INDEX(EntryTxnType,$P325)=0,"",INDEX(EntryTxnType,$P325)))</f>
        <v/>
      </c>
      <c r="H325" s="27">
        <f>IF($P325="","",IF(INDEX(EntryDep,$P325)=0,"",INDEX(EntryDep,$P325)))</f>
        <v/>
      </c>
      <c r="I325" s="27">
        <f>IF($P325="","",IF(INDEX(EntryWit,$P325)=0,"",INDEX(EntryWit,$P325)))</f>
        <v/>
      </c>
      <c r="J325" s="27">
        <f>IF($B325="","",IF($A325=1,$C$7,IF(J324="",0,J324))+IF($H325="",0,$H325)-IF($I325="",0,$I325))</f>
        <v/>
      </c>
      <c r="K325" s="27">
        <f>IF($P325="","",IF(INDEX(EntryMan,$P325)=0,"",INDEX(EntryMan,$P325)))</f>
        <v/>
      </c>
      <c r="L325" s="26">
        <f>IF($B325="","",IF($K325="","—",IF(ROUND($K325-$J325,0)=0,"√","×")))</f>
        <v/>
      </c>
      <c r="M325" s="26">
        <f>IF($B325="","",IF(COUNTIFS(EntryDates,$B325,CalcTime,$C325,CalcBank,$C$5,EntryParty,$D325,EntryDep,$H325,EntryWit,$I325)&gt;1,"تکرار",""))</f>
        <v/>
      </c>
      <c r="N325" s="26">
        <f>IF($P325="","",IF(INDEX(EntryNotes,$P325)=0,"",INDEX(EntryNotes,$P325)))</f>
        <v/>
      </c>
      <c r="O325" s="26">
        <f>IF($P325="","",IF(INDEX(EntryTxnID,$P325)=0,"",INDEX(EntryTxnID,$P325)))</f>
        <v/>
      </c>
      <c r="P325" s="26">
        <f>IFERROR(MATCH($C$5&amp;"|"&amp;RIGHT("000000"&amp;309,6),CalcRankKey,0),"")</f>
        <v/>
      </c>
    </row>
    <row r="326">
      <c r="A326" s="28">
        <f>IF($B326="","",310)</f>
        <v/>
      </c>
      <c r="B326" s="28">
        <f>IF($P326="","",IF(INDEX(CalcNormDate,$P326)=0,"",INDEX(CalcNormDate,$P326)))</f>
        <v/>
      </c>
      <c r="C326" s="28">
        <f>IF($P326="","",IF(INDEX(CalcTime,$P326)=0,"",INDEX(CalcTime,$P326)))</f>
        <v/>
      </c>
      <c r="D326" s="28">
        <f>IF($P326="","",IF(INDEX(EntryParty,$P326)=0,"",INDEX(EntryParty,$P326)))</f>
        <v/>
      </c>
      <c r="E326" s="28">
        <f>IF($P326="","",IF(INDEX(EntryPartyName,$P326)=0,"",INDEX(EntryPartyName,$P326)))</f>
        <v/>
      </c>
      <c r="F326" s="28">
        <f>IF($P326="","",IF(INDEX(EntryPartyType,$P326)=0,"",INDEX(EntryPartyType,$P326)))</f>
        <v/>
      </c>
      <c r="G326" s="28">
        <f>IF($P326="","",IF(INDEX(EntryTxnType,$P326)=0,"",INDEX(EntryTxnType,$P326)))</f>
        <v/>
      </c>
      <c r="H326" s="29">
        <f>IF($P326="","",IF(INDEX(EntryDep,$P326)=0,"",INDEX(EntryDep,$P326)))</f>
        <v/>
      </c>
      <c r="I326" s="29">
        <f>IF($P326="","",IF(INDEX(EntryWit,$P326)=0,"",INDEX(EntryWit,$P326)))</f>
        <v/>
      </c>
      <c r="J326" s="29">
        <f>IF($B326="","",IF($A326=1,$C$7,IF(J325="",0,J325))+IF($H326="",0,$H326)-IF($I326="",0,$I326))</f>
        <v/>
      </c>
      <c r="K326" s="29">
        <f>IF($P326="","",IF(INDEX(EntryMan,$P326)=0,"",INDEX(EntryMan,$P326)))</f>
        <v/>
      </c>
      <c r="L326" s="28">
        <f>IF($B326="","",IF($K326="","—",IF(ROUND($K326-$J326,0)=0,"√","×")))</f>
        <v/>
      </c>
      <c r="M326" s="28">
        <f>IF($B326="","",IF(COUNTIFS(EntryDates,$B326,CalcTime,$C326,CalcBank,$C$5,EntryParty,$D326,EntryDep,$H326,EntryWit,$I326)&gt;1,"تکرار",""))</f>
        <v/>
      </c>
      <c r="N326" s="28">
        <f>IF($P326="","",IF(INDEX(EntryNotes,$P326)=0,"",INDEX(EntryNotes,$P326)))</f>
        <v/>
      </c>
      <c r="O326" s="28">
        <f>IF($P326="","",IF(INDEX(EntryTxnID,$P326)=0,"",INDEX(EntryTxnID,$P326)))</f>
        <v/>
      </c>
      <c r="P326" s="28">
        <f>IFERROR(MATCH($C$5&amp;"|"&amp;RIGHT("000000"&amp;310,6),CalcRankKey,0),"")</f>
        <v/>
      </c>
    </row>
    <row r="327">
      <c r="A327" s="26">
        <f>IF($B327="","",311)</f>
        <v/>
      </c>
      <c r="B327" s="26">
        <f>IF($P327="","",IF(INDEX(CalcNormDate,$P327)=0,"",INDEX(CalcNormDate,$P327)))</f>
        <v/>
      </c>
      <c r="C327" s="26">
        <f>IF($P327="","",IF(INDEX(CalcTime,$P327)=0,"",INDEX(CalcTime,$P327)))</f>
        <v/>
      </c>
      <c r="D327" s="26">
        <f>IF($P327="","",IF(INDEX(EntryParty,$P327)=0,"",INDEX(EntryParty,$P327)))</f>
        <v/>
      </c>
      <c r="E327" s="26">
        <f>IF($P327="","",IF(INDEX(EntryPartyName,$P327)=0,"",INDEX(EntryPartyName,$P327)))</f>
        <v/>
      </c>
      <c r="F327" s="26">
        <f>IF($P327="","",IF(INDEX(EntryPartyType,$P327)=0,"",INDEX(EntryPartyType,$P327)))</f>
        <v/>
      </c>
      <c r="G327" s="26">
        <f>IF($P327="","",IF(INDEX(EntryTxnType,$P327)=0,"",INDEX(EntryTxnType,$P327)))</f>
        <v/>
      </c>
      <c r="H327" s="27">
        <f>IF($P327="","",IF(INDEX(EntryDep,$P327)=0,"",INDEX(EntryDep,$P327)))</f>
        <v/>
      </c>
      <c r="I327" s="27">
        <f>IF($P327="","",IF(INDEX(EntryWit,$P327)=0,"",INDEX(EntryWit,$P327)))</f>
        <v/>
      </c>
      <c r="J327" s="27">
        <f>IF($B327="","",IF($A327=1,$C$7,IF(J326="",0,J326))+IF($H327="",0,$H327)-IF($I327="",0,$I327))</f>
        <v/>
      </c>
      <c r="K327" s="27">
        <f>IF($P327="","",IF(INDEX(EntryMan,$P327)=0,"",INDEX(EntryMan,$P327)))</f>
        <v/>
      </c>
      <c r="L327" s="26">
        <f>IF($B327="","",IF($K327="","—",IF(ROUND($K327-$J327,0)=0,"√","×")))</f>
        <v/>
      </c>
      <c r="M327" s="26">
        <f>IF($B327="","",IF(COUNTIFS(EntryDates,$B327,CalcTime,$C327,CalcBank,$C$5,EntryParty,$D327,EntryDep,$H327,EntryWit,$I327)&gt;1,"تکرار",""))</f>
        <v/>
      </c>
      <c r="N327" s="26">
        <f>IF($P327="","",IF(INDEX(EntryNotes,$P327)=0,"",INDEX(EntryNotes,$P327)))</f>
        <v/>
      </c>
      <c r="O327" s="26">
        <f>IF($P327="","",IF(INDEX(EntryTxnID,$P327)=0,"",INDEX(EntryTxnID,$P327)))</f>
        <v/>
      </c>
      <c r="P327" s="26">
        <f>IFERROR(MATCH($C$5&amp;"|"&amp;RIGHT("000000"&amp;311,6),CalcRankKey,0),"")</f>
        <v/>
      </c>
    </row>
    <row r="328">
      <c r="A328" s="28">
        <f>IF($B328="","",312)</f>
        <v/>
      </c>
      <c r="B328" s="28">
        <f>IF($P328="","",IF(INDEX(CalcNormDate,$P328)=0,"",INDEX(CalcNormDate,$P328)))</f>
        <v/>
      </c>
      <c r="C328" s="28">
        <f>IF($P328="","",IF(INDEX(CalcTime,$P328)=0,"",INDEX(CalcTime,$P328)))</f>
        <v/>
      </c>
      <c r="D328" s="28">
        <f>IF($P328="","",IF(INDEX(EntryParty,$P328)=0,"",INDEX(EntryParty,$P328)))</f>
        <v/>
      </c>
      <c r="E328" s="28">
        <f>IF($P328="","",IF(INDEX(EntryPartyName,$P328)=0,"",INDEX(EntryPartyName,$P328)))</f>
        <v/>
      </c>
      <c r="F328" s="28">
        <f>IF($P328="","",IF(INDEX(EntryPartyType,$P328)=0,"",INDEX(EntryPartyType,$P328)))</f>
        <v/>
      </c>
      <c r="G328" s="28">
        <f>IF($P328="","",IF(INDEX(EntryTxnType,$P328)=0,"",INDEX(EntryTxnType,$P328)))</f>
        <v/>
      </c>
      <c r="H328" s="29">
        <f>IF($P328="","",IF(INDEX(EntryDep,$P328)=0,"",INDEX(EntryDep,$P328)))</f>
        <v/>
      </c>
      <c r="I328" s="29">
        <f>IF($P328="","",IF(INDEX(EntryWit,$P328)=0,"",INDEX(EntryWit,$P328)))</f>
        <v/>
      </c>
      <c r="J328" s="29">
        <f>IF($B328="","",IF($A328=1,$C$7,IF(J327="",0,J327))+IF($H328="",0,$H328)-IF($I328="",0,$I328))</f>
        <v/>
      </c>
      <c r="K328" s="29">
        <f>IF($P328="","",IF(INDEX(EntryMan,$P328)=0,"",INDEX(EntryMan,$P328)))</f>
        <v/>
      </c>
      <c r="L328" s="28">
        <f>IF($B328="","",IF($K328="","—",IF(ROUND($K328-$J328,0)=0,"√","×")))</f>
        <v/>
      </c>
      <c r="M328" s="28">
        <f>IF($B328="","",IF(COUNTIFS(EntryDates,$B328,CalcTime,$C328,CalcBank,$C$5,EntryParty,$D328,EntryDep,$H328,EntryWit,$I328)&gt;1,"تکرار",""))</f>
        <v/>
      </c>
      <c r="N328" s="28">
        <f>IF($P328="","",IF(INDEX(EntryNotes,$P328)=0,"",INDEX(EntryNotes,$P328)))</f>
        <v/>
      </c>
      <c r="O328" s="28">
        <f>IF($P328="","",IF(INDEX(EntryTxnID,$P328)=0,"",INDEX(EntryTxnID,$P328)))</f>
        <v/>
      </c>
      <c r="P328" s="28">
        <f>IFERROR(MATCH($C$5&amp;"|"&amp;RIGHT("000000"&amp;312,6),CalcRankKey,0),"")</f>
        <v/>
      </c>
    </row>
    <row r="329">
      <c r="A329" s="26">
        <f>IF($B329="","",313)</f>
        <v/>
      </c>
      <c r="B329" s="26">
        <f>IF($P329="","",IF(INDEX(CalcNormDate,$P329)=0,"",INDEX(CalcNormDate,$P329)))</f>
        <v/>
      </c>
      <c r="C329" s="26">
        <f>IF($P329="","",IF(INDEX(CalcTime,$P329)=0,"",INDEX(CalcTime,$P329)))</f>
        <v/>
      </c>
      <c r="D329" s="26">
        <f>IF($P329="","",IF(INDEX(EntryParty,$P329)=0,"",INDEX(EntryParty,$P329)))</f>
        <v/>
      </c>
      <c r="E329" s="26">
        <f>IF($P329="","",IF(INDEX(EntryPartyName,$P329)=0,"",INDEX(EntryPartyName,$P329)))</f>
        <v/>
      </c>
      <c r="F329" s="26">
        <f>IF($P329="","",IF(INDEX(EntryPartyType,$P329)=0,"",INDEX(EntryPartyType,$P329)))</f>
        <v/>
      </c>
      <c r="G329" s="26">
        <f>IF($P329="","",IF(INDEX(EntryTxnType,$P329)=0,"",INDEX(EntryTxnType,$P329)))</f>
        <v/>
      </c>
      <c r="H329" s="27">
        <f>IF($P329="","",IF(INDEX(EntryDep,$P329)=0,"",INDEX(EntryDep,$P329)))</f>
        <v/>
      </c>
      <c r="I329" s="27">
        <f>IF($P329="","",IF(INDEX(EntryWit,$P329)=0,"",INDEX(EntryWit,$P329)))</f>
        <v/>
      </c>
      <c r="J329" s="27">
        <f>IF($B329="","",IF($A329=1,$C$7,IF(J328="",0,J328))+IF($H329="",0,$H329)-IF($I329="",0,$I329))</f>
        <v/>
      </c>
      <c r="K329" s="27">
        <f>IF($P329="","",IF(INDEX(EntryMan,$P329)=0,"",INDEX(EntryMan,$P329)))</f>
        <v/>
      </c>
      <c r="L329" s="26">
        <f>IF($B329="","",IF($K329="","—",IF(ROUND($K329-$J329,0)=0,"√","×")))</f>
        <v/>
      </c>
      <c r="M329" s="26">
        <f>IF($B329="","",IF(COUNTIFS(EntryDates,$B329,CalcTime,$C329,CalcBank,$C$5,EntryParty,$D329,EntryDep,$H329,EntryWit,$I329)&gt;1,"تکرار",""))</f>
        <v/>
      </c>
      <c r="N329" s="26">
        <f>IF($P329="","",IF(INDEX(EntryNotes,$P329)=0,"",INDEX(EntryNotes,$P329)))</f>
        <v/>
      </c>
      <c r="O329" s="26">
        <f>IF($P329="","",IF(INDEX(EntryTxnID,$P329)=0,"",INDEX(EntryTxnID,$P329)))</f>
        <v/>
      </c>
      <c r="P329" s="26">
        <f>IFERROR(MATCH($C$5&amp;"|"&amp;RIGHT("000000"&amp;313,6),CalcRankKey,0),"")</f>
        <v/>
      </c>
    </row>
    <row r="330">
      <c r="A330" s="28">
        <f>IF($B330="","",314)</f>
        <v/>
      </c>
      <c r="B330" s="28">
        <f>IF($P330="","",IF(INDEX(CalcNormDate,$P330)=0,"",INDEX(CalcNormDate,$P330)))</f>
        <v/>
      </c>
      <c r="C330" s="28">
        <f>IF($P330="","",IF(INDEX(CalcTime,$P330)=0,"",INDEX(CalcTime,$P330)))</f>
        <v/>
      </c>
      <c r="D330" s="28">
        <f>IF($P330="","",IF(INDEX(EntryParty,$P330)=0,"",INDEX(EntryParty,$P330)))</f>
        <v/>
      </c>
      <c r="E330" s="28">
        <f>IF($P330="","",IF(INDEX(EntryPartyName,$P330)=0,"",INDEX(EntryPartyName,$P330)))</f>
        <v/>
      </c>
      <c r="F330" s="28">
        <f>IF($P330="","",IF(INDEX(EntryPartyType,$P330)=0,"",INDEX(EntryPartyType,$P330)))</f>
        <v/>
      </c>
      <c r="G330" s="28">
        <f>IF($P330="","",IF(INDEX(EntryTxnType,$P330)=0,"",INDEX(EntryTxnType,$P330)))</f>
        <v/>
      </c>
      <c r="H330" s="29">
        <f>IF($P330="","",IF(INDEX(EntryDep,$P330)=0,"",INDEX(EntryDep,$P330)))</f>
        <v/>
      </c>
      <c r="I330" s="29">
        <f>IF($P330="","",IF(INDEX(EntryWit,$P330)=0,"",INDEX(EntryWit,$P330)))</f>
        <v/>
      </c>
      <c r="J330" s="29">
        <f>IF($B330="","",IF($A330=1,$C$7,IF(J329="",0,J329))+IF($H330="",0,$H330)-IF($I330="",0,$I330))</f>
        <v/>
      </c>
      <c r="K330" s="29">
        <f>IF($P330="","",IF(INDEX(EntryMan,$P330)=0,"",INDEX(EntryMan,$P330)))</f>
        <v/>
      </c>
      <c r="L330" s="28">
        <f>IF($B330="","",IF($K330="","—",IF(ROUND($K330-$J330,0)=0,"√","×")))</f>
        <v/>
      </c>
      <c r="M330" s="28">
        <f>IF($B330="","",IF(COUNTIFS(EntryDates,$B330,CalcTime,$C330,CalcBank,$C$5,EntryParty,$D330,EntryDep,$H330,EntryWit,$I330)&gt;1,"تکرار",""))</f>
        <v/>
      </c>
      <c r="N330" s="28">
        <f>IF($P330="","",IF(INDEX(EntryNotes,$P330)=0,"",INDEX(EntryNotes,$P330)))</f>
        <v/>
      </c>
      <c r="O330" s="28">
        <f>IF($P330="","",IF(INDEX(EntryTxnID,$P330)=0,"",INDEX(EntryTxnID,$P330)))</f>
        <v/>
      </c>
      <c r="P330" s="28">
        <f>IFERROR(MATCH($C$5&amp;"|"&amp;RIGHT("000000"&amp;314,6),CalcRankKey,0),"")</f>
        <v/>
      </c>
    </row>
    <row r="331">
      <c r="A331" s="26">
        <f>IF($B331="","",315)</f>
        <v/>
      </c>
      <c r="B331" s="26">
        <f>IF($P331="","",IF(INDEX(CalcNormDate,$P331)=0,"",INDEX(CalcNormDate,$P331)))</f>
        <v/>
      </c>
      <c r="C331" s="26">
        <f>IF($P331="","",IF(INDEX(CalcTime,$P331)=0,"",INDEX(CalcTime,$P331)))</f>
        <v/>
      </c>
      <c r="D331" s="26">
        <f>IF($P331="","",IF(INDEX(EntryParty,$P331)=0,"",INDEX(EntryParty,$P331)))</f>
        <v/>
      </c>
      <c r="E331" s="26">
        <f>IF($P331="","",IF(INDEX(EntryPartyName,$P331)=0,"",INDEX(EntryPartyName,$P331)))</f>
        <v/>
      </c>
      <c r="F331" s="26">
        <f>IF($P331="","",IF(INDEX(EntryPartyType,$P331)=0,"",INDEX(EntryPartyType,$P331)))</f>
        <v/>
      </c>
      <c r="G331" s="26">
        <f>IF($P331="","",IF(INDEX(EntryTxnType,$P331)=0,"",INDEX(EntryTxnType,$P331)))</f>
        <v/>
      </c>
      <c r="H331" s="27">
        <f>IF($P331="","",IF(INDEX(EntryDep,$P331)=0,"",INDEX(EntryDep,$P331)))</f>
        <v/>
      </c>
      <c r="I331" s="27">
        <f>IF($P331="","",IF(INDEX(EntryWit,$P331)=0,"",INDEX(EntryWit,$P331)))</f>
        <v/>
      </c>
      <c r="J331" s="27">
        <f>IF($B331="","",IF($A331=1,$C$7,IF(J330="",0,J330))+IF($H331="",0,$H331)-IF($I331="",0,$I331))</f>
        <v/>
      </c>
      <c r="K331" s="27">
        <f>IF($P331="","",IF(INDEX(EntryMan,$P331)=0,"",INDEX(EntryMan,$P331)))</f>
        <v/>
      </c>
      <c r="L331" s="26">
        <f>IF($B331="","",IF($K331="","—",IF(ROUND($K331-$J331,0)=0,"√","×")))</f>
        <v/>
      </c>
      <c r="M331" s="26">
        <f>IF($B331="","",IF(COUNTIFS(EntryDates,$B331,CalcTime,$C331,CalcBank,$C$5,EntryParty,$D331,EntryDep,$H331,EntryWit,$I331)&gt;1,"تکرار",""))</f>
        <v/>
      </c>
      <c r="N331" s="26">
        <f>IF($P331="","",IF(INDEX(EntryNotes,$P331)=0,"",INDEX(EntryNotes,$P331)))</f>
        <v/>
      </c>
      <c r="O331" s="26">
        <f>IF($P331="","",IF(INDEX(EntryTxnID,$P331)=0,"",INDEX(EntryTxnID,$P331)))</f>
        <v/>
      </c>
      <c r="P331" s="26">
        <f>IFERROR(MATCH($C$5&amp;"|"&amp;RIGHT("000000"&amp;315,6),CalcRankKey,0),"")</f>
        <v/>
      </c>
    </row>
    <row r="332">
      <c r="A332" s="28">
        <f>IF($B332="","",316)</f>
        <v/>
      </c>
      <c r="B332" s="28">
        <f>IF($P332="","",IF(INDEX(CalcNormDate,$P332)=0,"",INDEX(CalcNormDate,$P332)))</f>
        <v/>
      </c>
      <c r="C332" s="28">
        <f>IF($P332="","",IF(INDEX(CalcTime,$P332)=0,"",INDEX(CalcTime,$P332)))</f>
        <v/>
      </c>
      <c r="D332" s="28">
        <f>IF($P332="","",IF(INDEX(EntryParty,$P332)=0,"",INDEX(EntryParty,$P332)))</f>
        <v/>
      </c>
      <c r="E332" s="28">
        <f>IF($P332="","",IF(INDEX(EntryPartyName,$P332)=0,"",INDEX(EntryPartyName,$P332)))</f>
        <v/>
      </c>
      <c r="F332" s="28">
        <f>IF($P332="","",IF(INDEX(EntryPartyType,$P332)=0,"",INDEX(EntryPartyType,$P332)))</f>
        <v/>
      </c>
      <c r="G332" s="28">
        <f>IF($P332="","",IF(INDEX(EntryTxnType,$P332)=0,"",INDEX(EntryTxnType,$P332)))</f>
        <v/>
      </c>
      <c r="H332" s="29">
        <f>IF($P332="","",IF(INDEX(EntryDep,$P332)=0,"",INDEX(EntryDep,$P332)))</f>
        <v/>
      </c>
      <c r="I332" s="29">
        <f>IF($P332="","",IF(INDEX(EntryWit,$P332)=0,"",INDEX(EntryWit,$P332)))</f>
        <v/>
      </c>
      <c r="J332" s="29">
        <f>IF($B332="","",IF($A332=1,$C$7,IF(J331="",0,J331))+IF($H332="",0,$H332)-IF($I332="",0,$I332))</f>
        <v/>
      </c>
      <c r="K332" s="29">
        <f>IF($P332="","",IF(INDEX(EntryMan,$P332)=0,"",INDEX(EntryMan,$P332)))</f>
        <v/>
      </c>
      <c r="L332" s="28">
        <f>IF($B332="","",IF($K332="","—",IF(ROUND($K332-$J332,0)=0,"√","×")))</f>
        <v/>
      </c>
      <c r="M332" s="28">
        <f>IF($B332="","",IF(COUNTIFS(EntryDates,$B332,CalcTime,$C332,CalcBank,$C$5,EntryParty,$D332,EntryDep,$H332,EntryWit,$I332)&gt;1,"تکرار",""))</f>
        <v/>
      </c>
      <c r="N332" s="28">
        <f>IF($P332="","",IF(INDEX(EntryNotes,$P332)=0,"",INDEX(EntryNotes,$P332)))</f>
        <v/>
      </c>
      <c r="O332" s="28">
        <f>IF($P332="","",IF(INDEX(EntryTxnID,$P332)=0,"",INDEX(EntryTxnID,$P332)))</f>
        <v/>
      </c>
      <c r="P332" s="28">
        <f>IFERROR(MATCH($C$5&amp;"|"&amp;RIGHT("000000"&amp;316,6),CalcRankKey,0),"")</f>
        <v/>
      </c>
    </row>
    <row r="333">
      <c r="A333" s="26">
        <f>IF($B333="","",317)</f>
        <v/>
      </c>
      <c r="B333" s="26">
        <f>IF($P333="","",IF(INDEX(CalcNormDate,$P333)=0,"",INDEX(CalcNormDate,$P333)))</f>
        <v/>
      </c>
      <c r="C333" s="26">
        <f>IF($P333="","",IF(INDEX(CalcTime,$P333)=0,"",INDEX(CalcTime,$P333)))</f>
        <v/>
      </c>
      <c r="D333" s="26">
        <f>IF($P333="","",IF(INDEX(EntryParty,$P333)=0,"",INDEX(EntryParty,$P333)))</f>
        <v/>
      </c>
      <c r="E333" s="26">
        <f>IF($P333="","",IF(INDEX(EntryPartyName,$P333)=0,"",INDEX(EntryPartyName,$P333)))</f>
        <v/>
      </c>
      <c r="F333" s="26">
        <f>IF($P333="","",IF(INDEX(EntryPartyType,$P333)=0,"",INDEX(EntryPartyType,$P333)))</f>
        <v/>
      </c>
      <c r="G333" s="26">
        <f>IF($P333="","",IF(INDEX(EntryTxnType,$P333)=0,"",INDEX(EntryTxnType,$P333)))</f>
        <v/>
      </c>
      <c r="H333" s="27">
        <f>IF($P333="","",IF(INDEX(EntryDep,$P333)=0,"",INDEX(EntryDep,$P333)))</f>
        <v/>
      </c>
      <c r="I333" s="27">
        <f>IF($P333="","",IF(INDEX(EntryWit,$P333)=0,"",INDEX(EntryWit,$P333)))</f>
        <v/>
      </c>
      <c r="J333" s="27">
        <f>IF($B333="","",IF($A333=1,$C$7,IF(J332="",0,J332))+IF($H333="",0,$H333)-IF($I333="",0,$I333))</f>
        <v/>
      </c>
      <c r="K333" s="27">
        <f>IF($P333="","",IF(INDEX(EntryMan,$P333)=0,"",INDEX(EntryMan,$P333)))</f>
        <v/>
      </c>
      <c r="L333" s="26">
        <f>IF($B333="","",IF($K333="","—",IF(ROUND($K333-$J333,0)=0,"√","×")))</f>
        <v/>
      </c>
      <c r="M333" s="26">
        <f>IF($B333="","",IF(COUNTIFS(EntryDates,$B333,CalcTime,$C333,CalcBank,$C$5,EntryParty,$D333,EntryDep,$H333,EntryWit,$I333)&gt;1,"تکرار",""))</f>
        <v/>
      </c>
      <c r="N333" s="26">
        <f>IF($P333="","",IF(INDEX(EntryNotes,$P333)=0,"",INDEX(EntryNotes,$P333)))</f>
        <v/>
      </c>
      <c r="O333" s="26">
        <f>IF($P333="","",IF(INDEX(EntryTxnID,$P333)=0,"",INDEX(EntryTxnID,$P333)))</f>
        <v/>
      </c>
      <c r="P333" s="26">
        <f>IFERROR(MATCH($C$5&amp;"|"&amp;RIGHT("000000"&amp;317,6),CalcRankKey,0),"")</f>
        <v/>
      </c>
    </row>
    <row r="334">
      <c r="A334" s="28">
        <f>IF($B334="","",318)</f>
        <v/>
      </c>
      <c r="B334" s="28">
        <f>IF($P334="","",IF(INDEX(CalcNormDate,$P334)=0,"",INDEX(CalcNormDate,$P334)))</f>
        <v/>
      </c>
      <c r="C334" s="28">
        <f>IF($P334="","",IF(INDEX(CalcTime,$P334)=0,"",INDEX(CalcTime,$P334)))</f>
        <v/>
      </c>
      <c r="D334" s="28">
        <f>IF($P334="","",IF(INDEX(EntryParty,$P334)=0,"",INDEX(EntryParty,$P334)))</f>
        <v/>
      </c>
      <c r="E334" s="28">
        <f>IF($P334="","",IF(INDEX(EntryPartyName,$P334)=0,"",INDEX(EntryPartyName,$P334)))</f>
        <v/>
      </c>
      <c r="F334" s="28">
        <f>IF($P334="","",IF(INDEX(EntryPartyType,$P334)=0,"",INDEX(EntryPartyType,$P334)))</f>
        <v/>
      </c>
      <c r="G334" s="28">
        <f>IF($P334="","",IF(INDEX(EntryTxnType,$P334)=0,"",INDEX(EntryTxnType,$P334)))</f>
        <v/>
      </c>
      <c r="H334" s="29">
        <f>IF($P334="","",IF(INDEX(EntryDep,$P334)=0,"",INDEX(EntryDep,$P334)))</f>
        <v/>
      </c>
      <c r="I334" s="29">
        <f>IF($P334="","",IF(INDEX(EntryWit,$P334)=0,"",INDEX(EntryWit,$P334)))</f>
        <v/>
      </c>
      <c r="J334" s="29">
        <f>IF($B334="","",IF($A334=1,$C$7,IF(J333="",0,J333))+IF($H334="",0,$H334)-IF($I334="",0,$I334))</f>
        <v/>
      </c>
      <c r="K334" s="29">
        <f>IF($P334="","",IF(INDEX(EntryMan,$P334)=0,"",INDEX(EntryMan,$P334)))</f>
        <v/>
      </c>
      <c r="L334" s="28">
        <f>IF($B334="","",IF($K334="","—",IF(ROUND($K334-$J334,0)=0,"√","×")))</f>
        <v/>
      </c>
      <c r="M334" s="28">
        <f>IF($B334="","",IF(COUNTIFS(EntryDates,$B334,CalcTime,$C334,CalcBank,$C$5,EntryParty,$D334,EntryDep,$H334,EntryWit,$I334)&gt;1,"تکرار",""))</f>
        <v/>
      </c>
      <c r="N334" s="28">
        <f>IF($P334="","",IF(INDEX(EntryNotes,$P334)=0,"",INDEX(EntryNotes,$P334)))</f>
        <v/>
      </c>
      <c r="O334" s="28">
        <f>IF($P334="","",IF(INDEX(EntryTxnID,$P334)=0,"",INDEX(EntryTxnID,$P334)))</f>
        <v/>
      </c>
      <c r="P334" s="28">
        <f>IFERROR(MATCH($C$5&amp;"|"&amp;RIGHT("000000"&amp;318,6),CalcRankKey,0),"")</f>
        <v/>
      </c>
    </row>
    <row r="335">
      <c r="A335" s="26">
        <f>IF($B335="","",319)</f>
        <v/>
      </c>
      <c r="B335" s="26">
        <f>IF($P335="","",IF(INDEX(CalcNormDate,$P335)=0,"",INDEX(CalcNormDate,$P335)))</f>
        <v/>
      </c>
      <c r="C335" s="26">
        <f>IF($P335="","",IF(INDEX(CalcTime,$P335)=0,"",INDEX(CalcTime,$P335)))</f>
        <v/>
      </c>
      <c r="D335" s="26">
        <f>IF($P335="","",IF(INDEX(EntryParty,$P335)=0,"",INDEX(EntryParty,$P335)))</f>
        <v/>
      </c>
      <c r="E335" s="26">
        <f>IF($P335="","",IF(INDEX(EntryPartyName,$P335)=0,"",INDEX(EntryPartyName,$P335)))</f>
        <v/>
      </c>
      <c r="F335" s="26">
        <f>IF($P335="","",IF(INDEX(EntryPartyType,$P335)=0,"",INDEX(EntryPartyType,$P335)))</f>
        <v/>
      </c>
      <c r="G335" s="26">
        <f>IF($P335="","",IF(INDEX(EntryTxnType,$P335)=0,"",INDEX(EntryTxnType,$P335)))</f>
        <v/>
      </c>
      <c r="H335" s="27">
        <f>IF($P335="","",IF(INDEX(EntryDep,$P335)=0,"",INDEX(EntryDep,$P335)))</f>
        <v/>
      </c>
      <c r="I335" s="27">
        <f>IF($P335="","",IF(INDEX(EntryWit,$P335)=0,"",INDEX(EntryWit,$P335)))</f>
        <v/>
      </c>
      <c r="J335" s="27">
        <f>IF($B335="","",IF($A335=1,$C$7,IF(J334="",0,J334))+IF($H335="",0,$H335)-IF($I335="",0,$I335))</f>
        <v/>
      </c>
      <c r="K335" s="27">
        <f>IF($P335="","",IF(INDEX(EntryMan,$P335)=0,"",INDEX(EntryMan,$P335)))</f>
        <v/>
      </c>
      <c r="L335" s="26">
        <f>IF($B335="","",IF($K335="","—",IF(ROUND($K335-$J335,0)=0,"√","×")))</f>
        <v/>
      </c>
      <c r="M335" s="26">
        <f>IF($B335="","",IF(COUNTIFS(EntryDates,$B335,CalcTime,$C335,CalcBank,$C$5,EntryParty,$D335,EntryDep,$H335,EntryWit,$I335)&gt;1,"تکرار",""))</f>
        <v/>
      </c>
      <c r="N335" s="26">
        <f>IF($P335="","",IF(INDEX(EntryNotes,$P335)=0,"",INDEX(EntryNotes,$P335)))</f>
        <v/>
      </c>
      <c r="O335" s="26">
        <f>IF($P335="","",IF(INDEX(EntryTxnID,$P335)=0,"",INDEX(EntryTxnID,$P335)))</f>
        <v/>
      </c>
      <c r="P335" s="26">
        <f>IFERROR(MATCH($C$5&amp;"|"&amp;RIGHT("000000"&amp;319,6),CalcRankKey,0),"")</f>
        <v/>
      </c>
    </row>
    <row r="336">
      <c r="A336" s="28">
        <f>IF($B336="","",320)</f>
        <v/>
      </c>
      <c r="B336" s="28">
        <f>IF($P336="","",IF(INDEX(CalcNormDate,$P336)=0,"",INDEX(CalcNormDate,$P336)))</f>
        <v/>
      </c>
      <c r="C336" s="28">
        <f>IF($P336="","",IF(INDEX(CalcTime,$P336)=0,"",INDEX(CalcTime,$P336)))</f>
        <v/>
      </c>
      <c r="D336" s="28">
        <f>IF($P336="","",IF(INDEX(EntryParty,$P336)=0,"",INDEX(EntryParty,$P336)))</f>
        <v/>
      </c>
      <c r="E336" s="28">
        <f>IF($P336="","",IF(INDEX(EntryPartyName,$P336)=0,"",INDEX(EntryPartyName,$P336)))</f>
        <v/>
      </c>
      <c r="F336" s="28">
        <f>IF($P336="","",IF(INDEX(EntryPartyType,$P336)=0,"",INDEX(EntryPartyType,$P336)))</f>
        <v/>
      </c>
      <c r="G336" s="28">
        <f>IF($P336="","",IF(INDEX(EntryTxnType,$P336)=0,"",INDEX(EntryTxnType,$P336)))</f>
        <v/>
      </c>
      <c r="H336" s="29">
        <f>IF($P336="","",IF(INDEX(EntryDep,$P336)=0,"",INDEX(EntryDep,$P336)))</f>
        <v/>
      </c>
      <c r="I336" s="29">
        <f>IF($P336="","",IF(INDEX(EntryWit,$P336)=0,"",INDEX(EntryWit,$P336)))</f>
        <v/>
      </c>
      <c r="J336" s="29">
        <f>IF($B336="","",IF($A336=1,$C$7,IF(J335="",0,J335))+IF($H336="",0,$H336)-IF($I336="",0,$I336))</f>
        <v/>
      </c>
      <c r="K336" s="29">
        <f>IF($P336="","",IF(INDEX(EntryMan,$P336)=0,"",INDEX(EntryMan,$P336)))</f>
        <v/>
      </c>
      <c r="L336" s="28">
        <f>IF($B336="","",IF($K336="","—",IF(ROUND($K336-$J336,0)=0,"√","×")))</f>
        <v/>
      </c>
      <c r="M336" s="28">
        <f>IF($B336="","",IF(COUNTIFS(EntryDates,$B336,CalcTime,$C336,CalcBank,$C$5,EntryParty,$D336,EntryDep,$H336,EntryWit,$I336)&gt;1,"تکرار",""))</f>
        <v/>
      </c>
      <c r="N336" s="28">
        <f>IF($P336="","",IF(INDEX(EntryNotes,$P336)=0,"",INDEX(EntryNotes,$P336)))</f>
        <v/>
      </c>
      <c r="O336" s="28">
        <f>IF($P336="","",IF(INDEX(EntryTxnID,$P336)=0,"",INDEX(EntryTxnID,$P336)))</f>
        <v/>
      </c>
      <c r="P336" s="28">
        <f>IFERROR(MATCH($C$5&amp;"|"&amp;RIGHT("000000"&amp;320,6),CalcRankKey,0),"")</f>
        <v/>
      </c>
    </row>
    <row r="337">
      <c r="A337" s="26">
        <f>IF($B337="","",321)</f>
        <v/>
      </c>
      <c r="B337" s="26">
        <f>IF($P337="","",IF(INDEX(CalcNormDate,$P337)=0,"",INDEX(CalcNormDate,$P337)))</f>
        <v/>
      </c>
      <c r="C337" s="26">
        <f>IF($P337="","",IF(INDEX(CalcTime,$P337)=0,"",INDEX(CalcTime,$P337)))</f>
        <v/>
      </c>
      <c r="D337" s="26">
        <f>IF($P337="","",IF(INDEX(EntryParty,$P337)=0,"",INDEX(EntryParty,$P337)))</f>
        <v/>
      </c>
      <c r="E337" s="26">
        <f>IF($P337="","",IF(INDEX(EntryPartyName,$P337)=0,"",INDEX(EntryPartyName,$P337)))</f>
        <v/>
      </c>
      <c r="F337" s="26">
        <f>IF($P337="","",IF(INDEX(EntryPartyType,$P337)=0,"",INDEX(EntryPartyType,$P337)))</f>
        <v/>
      </c>
      <c r="G337" s="26">
        <f>IF($P337="","",IF(INDEX(EntryTxnType,$P337)=0,"",INDEX(EntryTxnType,$P337)))</f>
        <v/>
      </c>
      <c r="H337" s="27">
        <f>IF($P337="","",IF(INDEX(EntryDep,$P337)=0,"",INDEX(EntryDep,$P337)))</f>
        <v/>
      </c>
      <c r="I337" s="27">
        <f>IF($P337="","",IF(INDEX(EntryWit,$P337)=0,"",INDEX(EntryWit,$P337)))</f>
        <v/>
      </c>
      <c r="J337" s="27">
        <f>IF($B337="","",IF($A337=1,$C$7,IF(J336="",0,J336))+IF($H337="",0,$H337)-IF($I337="",0,$I337))</f>
        <v/>
      </c>
      <c r="K337" s="27">
        <f>IF($P337="","",IF(INDEX(EntryMan,$P337)=0,"",INDEX(EntryMan,$P337)))</f>
        <v/>
      </c>
      <c r="L337" s="26">
        <f>IF($B337="","",IF($K337="","—",IF(ROUND($K337-$J337,0)=0,"√","×")))</f>
        <v/>
      </c>
      <c r="M337" s="26">
        <f>IF($B337="","",IF(COUNTIFS(EntryDates,$B337,CalcTime,$C337,CalcBank,$C$5,EntryParty,$D337,EntryDep,$H337,EntryWit,$I337)&gt;1,"تکرار",""))</f>
        <v/>
      </c>
      <c r="N337" s="26">
        <f>IF($P337="","",IF(INDEX(EntryNotes,$P337)=0,"",INDEX(EntryNotes,$P337)))</f>
        <v/>
      </c>
      <c r="O337" s="26">
        <f>IF($P337="","",IF(INDEX(EntryTxnID,$P337)=0,"",INDEX(EntryTxnID,$P337)))</f>
        <v/>
      </c>
      <c r="P337" s="26">
        <f>IFERROR(MATCH($C$5&amp;"|"&amp;RIGHT("000000"&amp;321,6),CalcRankKey,0),"")</f>
        <v/>
      </c>
    </row>
    <row r="338">
      <c r="A338" s="28">
        <f>IF($B338="","",322)</f>
        <v/>
      </c>
      <c r="B338" s="28">
        <f>IF($P338="","",IF(INDEX(CalcNormDate,$P338)=0,"",INDEX(CalcNormDate,$P338)))</f>
        <v/>
      </c>
      <c r="C338" s="28">
        <f>IF($P338="","",IF(INDEX(CalcTime,$P338)=0,"",INDEX(CalcTime,$P338)))</f>
        <v/>
      </c>
      <c r="D338" s="28">
        <f>IF($P338="","",IF(INDEX(EntryParty,$P338)=0,"",INDEX(EntryParty,$P338)))</f>
        <v/>
      </c>
      <c r="E338" s="28">
        <f>IF($P338="","",IF(INDEX(EntryPartyName,$P338)=0,"",INDEX(EntryPartyName,$P338)))</f>
        <v/>
      </c>
      <c r="F338" s="28">
        <f>IF($P338="","",IF(INDEX(EntryPartyType,$P338)=0,"",INDEX(EntryPartyType,$P338)))</f>
        <v/>
      </c>
      <c r="G338" s="28">
        <f>IF($P338="","",IF(INDEX(EntryTxnType,$P338)=0,"",INDEX(EntryTxnType,$P338)))</f>
        <v/>
      </c>
      <c r="H338" s="29">
        <f>IF($P338="","",IF(INDEX(EntryDep,$P338)=0,"",INDEX(EntryDep,$P338)))</f>
        <v/>
      </c>
      <c r="I338" s="29">
        <f>IF($P338="","",IF(INDEX(EntryWit,$P338)=0,"",INDEX(EntryWit,$P338)))</f>
        <v/>
      </c>
      <c r="J338" s="29">
        <f>IF($B338="","",IF($A338=1,$C$7,IF(J337="",0,J337))+IF($H338="",0,$H338)-IF($I338="",0,$I338))</f>
        <v/>
      </c>
      <c r="K338" s="29">
        <f>IF($P338="","",IF(INDEX(EntryMan,$P338)=0,"",INDEX(EntryMan,$P338)))</f>
        <v/>
      </c>
      <c r="L338" s="28">
        <f>IF($B338="","",IF($K338="","—",IF(ROUND($K338-$J338,0)=0,"√","×")))</f>
        <v/>
      </c>
      <c r="M338" s="28">
        <f>IF($B338="","",IF(COUNTIFS(EntryDates,$B338,CalcTime,$C338,CalcBank,$C$5,EntryParty,$D338,EntryDep,$H338,EntryWit,$I338)&gt;1,"تکرار",""))</f>
        <v/>
      </c>
      <c r="N338" s="28">
        <f>IF($P338="","",IF(INDEX(EntryNotes,$P338)=0,"",INDEX(EntryNotes,$P338)))</f>
        <v/>
      </c>
      <c r="O338" s="28">
        <f>IF($P338="","",IF(INDEX(EntryTxnID,$P338)=0,"",INDEX(EntryTxnID,$P338)))</f>
        <v/>
      </c>
      <c r="P338" s="28">
        <f>IFERROR(MATCH($C$5&amp;"|"&amp;RIGHT("000000"&amp;322,6),CalcRankKey,0),"")</f>
        <v/>
      </c>
    </row>
    <row r="339">
      <c r="A339" s="26">
        <f>IF($B339="","",323)</f>
        <v/>
      </c>
      <c r="B339" s="26">
        <f>IF($P339="","",IF(INDEX(CalcNormDate,$P339)=0,"",INDEX(CalcNormDate,$P339)))</f>
        <v/>
      </c>
      <c r="C339" s="26">
        <f>IF($P339="","",IF(INDEX(CalcTime,$P339)=0,"",INDEX(CalcTime,$P339)))</f>
        <v/>
      </c>
      <c r="D339" s="26">
        <f>IF($P339="","",IF(INDEX(EntryParty,$P339)=0,"",INDEX(EntryParty,$P339)))</f>
        <v/>
      </c>
      <c r="E339" s="26">
        <f>IF($P339="","",IF(INDEX(EntryPartyName,$P339)=0,"",INDEX(EntryPartyName,$P339)))</f>
        <v/>
      </c>
      <c r="F339" s="26">
        <f>IF($P339="","",IF(INDEX(EntryPartyType,$P339)=0,"",INDEX(EntryPartyType,$P339)))</f>
        <v/>
      </c>
      <c r="G339" s="26">
        <f>IF($P339="","",IF(INDEX(EntryTxnType,$P339)=0,"",INDEX(EntryTxnType,$P339)))</f>
        <v/>
      </c>
      <c r="H339" s="27">
        <f>IF($P339="","",IF(INDEX(EntryDep,$P339)=0,"",INDEX(EntryDep,$P339)))</f>
        <v/>
      </c>
      <c r="I339" s="27">
        <f>IF($P339="","",IF(INDEX(EntryWit,$P339)=0,"",INDEX(EntryWit,$P339)))</f>
        <v/>
      </c>
      <c r="J339" s="27">
        <f>IF($B339="","",IF($A339=1,$C$7,IF(J338="",0,J338))+IF($H339="",0,$H339)-IF($I339="",0,$I339))</f>
        <v/>
      </c>
      <c r="K339" s="27">
        <f>IF($P339="","",IF(INDEX(EntryMan,$P339)=0,"",INDEX(EntryMan,$P339)))</f>
        <v/>
      </c>
      <c r="L339" s="26">
        <f>IF($B339="","",IF($K339="","—",IF(ROUND($K339-$J339,0)=0,"√","×")))</f>
        <v/>
      </c>
      <c r="M339" s="26">
        <f>IF($B339="","",IF(COUNTIFS(EntryDates,$B339,CalcTime,$C339,CalcBank,$C$5,EntryParty,$D339,EntryDep,$H339,EntryWit,$I339)&gt;1,"تکرار",""))</f>
        <v/>
      </c>
      <c r="N339" s="26">
        <f>IF($P339="","",IF(INDEX(EntryNotes,$P339)=0,"",INDEX(EntryNotes,$P339)))</f>
        <v/>
      </c>
      <c r="O339" s="26">
        <f>IF($P339="","",IF(INDEX(EntryTxnID,$P339)=0,"",INDEX(EntryTxnID,$P339)))</f>
        <v/>
      </c>
      <c r="P339" s="26">
        <f>IFERROR(MATCH($C$5&amp;"|"&amp;RIGHT("000000"&amp;323,6),CalcRankKey,0),"")</f>
        <v/>
      </c>
    </row>
    <row r="340">
      <c r="A340" s="28">
        <f>IF($B340="","",324)</f>
        <v/>
      </c>
      <c r="B340" s="28">
        <f>IF($P340="","",IF(INDEX(CalcNormDate,$P340)=0,"",INDEX(CalcNormDate,$P340)))</f>
        <v/>
      </c>
      <c r="C340" s="28">
        <f>IF($P340="","",IF(INDEX(CalcTime,$P340)=0,"",INDEX(CalcTime,$P340)))</f>
        <v/>
      </c>
      <c r="D340" s="28">
        <f>IF($P340="","",IF(INDEX(EntryParty,$P340)=0,"",INDEX(EntryParty,$P340)))</f>
        <v/>
      </c>
      <c r="E340" s="28">
        <f>IF($P340="","",IF(INDEX(EntryPartyName,$P340)=0,"",INDEX(EntryPartyName,$P340)))</f>
        <v/>
      </c>
      <c r="F340" s="28">
        <f>IF($P340="","",IF(INDEX(EntryPartyType,$P340)=0,"",INDEX(EntryPartyType,$P340)))</f>
        <v/>
      </c>
      <c r="G340" s="28">
        <f>IF($P340="","",IF(INDEX(EntryTxnType,$P340)=0,"",INDEX(EntryTxnType,$P340)))</f>
        <v/>
      </c>
      <c r="H340" s="29">
        <f>IF($P340="","",IF(INDEX(EntryDep,$P340)=0,"",INDEX(EntryDep,$P340)))</f>
        <v/>
      </c>
      <c r="I340" s="29">
        <f>IF($P340="","",IF(INDEX(EntryWit,$P340)=0,"",INDEX(EntryWit,$P340)))</f>
        <v/>
      </c>
      <c r="J340" s="29">
        <f>IF($B340="","",IF($A340=1,$C$7,IF(J339="",0,J339))+IF($H340="",0,$H340)-IF($I340="",0,$I340))</f>
        <v/>
      </c>
      <c r="K340" s="29">
        <f>IF($P340="","",IF(INDEX(EntryMan,$P340)=0,"",INDEX(EntryMan,$P340)))</f>
        <v/>
      </c>
      <c r="L340" s="28">
        <f>IF($B340="","",IF($K340="","—",IF(ROUND($K340-$J340,0)=0,"√","×")))</f>
        <v/>
      </c>
      <c r="M340" s="28">
        <f>IF($B340="","",IF(COUNTIFS(EntryDates,$B340,CalcTime,$C340,CalcBank,$C$5,EntryParty,$D340,EntryDep,$H340,EntryWit,$I340)&gt;1,"تکرار",""))</f>
        <v/>
      </c>
      <c r="N340" s="28">
        <f>IF($P340="","",IF(INDEX(EntryNotes,$P340)=0,"",INDEX(EntryNotes,$P340)))</f>
        <v/>
      </c>
      <c r="O340" s="28">
        <f>IF($P340="","",IF(INDEX(EntryTxnID,$P340)=0,"",INDEX(EntryTxnID,$P340)))</f>
        <v/>
      </c>
      <c r="P340" s="28">
        <f>IFERROR(MATCH($C$5&amp;"|"&amp;RIGHT("000000"&amp;324,6),CalcRankKey,0),"")</f>
        <v/>
      </c>
    </row>
    <row r="341">
      <c r="A341" s="26">
        <f>IF($B341="","",325)</f>
        <v/>
      </c>
      <c r="B341" s="26">
        <f>IF($P341="","",IF(INDEX(CalcNormDate,$P341)=0,"",INDEX(CalcNormDate,$P341)))</f>
        <v/>
      </c>
      <c r="C341" s="26">
        <f>IF($P341="","",IF(INDEX(CalcTime,$P341)=0,"",INDEX(CalcTime,$P341)))</f>
        <v/>
      </c>
      <c r="D341" s="26">
        <f>IF($P341="","",IF(INDEX(EntryParty,$P341)=0,"",INDEX(EntryParty,$P341)))</f>
        <v/>
      </c>
      <c r="E341" s="26">
        <f>IF($P341="","",IF(INDEX(EntryPartyName,$P341)=0,"",INDEX(EntryPartyName,$P341)))</f>
        <v/>
      </c>
      <c r="F341" s="26">
        <f>IF($P341="","",IF(INDEX(EntryPartyType,$P341)=0,"",INDEX(EntryPartyType,$P341)))</f>
        <v/>
      </c>
      <c r="G341" s="26">
        <f>IF($P341="","",IF(INDEX(EntryTxnType,$P341)=0,"",INDEX(EntryTxnType,$P341)))</f>
        <v/>
      </c>
      <c r="H341" s="27">
        <f>IF($P341="","",IF(INDEX(EntryDep,$P341)=0,"",INDEX(EntryDep,$P341)))</f>
        <v/>
      </c>
      <c r="I341" s="27">
        <f>IF($P341="","",IF(INDEX(EntryWit,$P341)=0,"",INDEX(EntryWit,$P341)))</f>
        <v/>
      </c>
      <c r="J341" s="27">
        <f>IF($B341="","",IF($A341=1,$C$7,IF(J340="",0,J340))+IF($H341="",0,$H341)-IF($I341="",0,$I341))</f>
        <v/>
      </c>
      <c r="K341" s="27">
        <f>IF($P341="","",IF(INDEX(EntryMan,$P341)=0,"",INDEX(EntryMan,$P341)))</f>
        <v/>
      </c>
      <c r="L341" s="26">
        <f>IF($B341="","",IF($K341="","—",IF(ROUND($K341-$J341,0)=0,"√","×")))</f>
        <v/>
      </c>
      <c r="M341" s="26">
        <f>IF($B341="","",IF(COUNTIFS(EntryDates,$B341,CalcTime,$C341,CalcBank,$C$5,EntryParty,$D341,EntryDep,$H341,EntryWit,$I341)&gt;1,"تکرار",""))</f>
        <v/>
      </c>
      <c r="N341" s="26">
        <f>IF($P341="","",IF(INDEX(EntryNotes,$P341)=0,"",INDEX(EntryNotes,$P341)))</f>
        <v/>
      </c>
      <c r="O341" s="26">
        <f>IF($P341="","",IF(INDEX(EntryTxnID,$P341)=0,"",INDEX(EntryTxnID,$P341)))</f>
        <v/>
      </c>
      <c r="P341" s="26">
        <f>IFERROR(MATCH($C$5&amp;"|"&amp;RIGHT("000000"&amp;325,6),CalcRankKey,0),"")</f>
        <v/>
      </c>
    </row>
    <row r="342">
      <c r="A342" s="28">
        <f>IF($B342="","",326)</f>
        <v/>
      </c>
      <c r="B342" s="28">
        <f>IF($P342="","",IF(INDEX(CalcNormDate,$P342)=0,"",INDEX(CalcNormDate,$P342)))</f>
        <v/>
      </c>
      <c r="C342" s="28">
        <f>IF($P342="","",IF(INDEX(CalcTime,$P342)=0,"",INDEX(CalcTime,$P342)))</f>
        <v/>
      </c>
      <c r="D342" s="28">
        <f>IF($P342="","",IF(INDEX(EntryParty,$P342)=0,"",INDEX(EntryParty,$P342)))</f>
        <v/>
      </c>
      <c r="E342" s="28">
        <f>IF($P342="","",IF(INDEX(EntryPartyName,$P342)=0,"",INDEX(EntryPartyName,$P342)))</f>
        <v/>
      </c>
      <c r="F342" s="28">
        <f>IF($P342="","",IF(INDEX(EntryPartyType,$P342)=0,"",INDEX(EntryPartyType,$P342)))</f>
        <v/>
      </c>
      <c r="G342" s="28">
        <f>IF($P342="","",IF(INDEX(EntryTxnType,$P342)=0,"",INDEX(EntryTxnType,$P342)))</f>
        <v/>
      </c>
      <c r="H342" s="29">
        <f>IF($P342="","",IF(INDEX(EntryDep,$P342)=0,"",INDEX(EntryDep,$P342)))</f>
        <v/>
      </c>
      <c r="I342" s="29">
        <f>IF($P342="","",IF(INDEX(EntryWit,$P342)=0,"",INDEX(EntryWit,$P342)))</f>
        <v/>
      </c>
      <c r="J342" s="29">
        <f>IF($B342="","",IF($A342=1,$C$7,IF(J341="",0,J341))+IF($H342="",0,$H342)-IF($I342="",0,$I342))</f>
        <v/>
      </c>
      <c r="K342" s="29">
        <f>IF($P342="","",IF(INDEX(EntryMan,$P342)=0,"",INDEX(EntryMan,$P342)))</f>
        <v/>
      </c>
      <c r="L342" s="28">
        <f>IF($B342="","",IF($K342="","—",IF(ROUND($K342-$J342,0)=0,"√","×")))</f>
        <v/>
      </c>
      <c r="M342" s="28">
        <f>IF($B342="","",IF(COUNTIFS(EntryDates,$B342,CalcTime,$C342,CalcBank,$C$5,EntryParty,$D342,EntryDep,$H342,EntryWit,$I342)&gt;1,"تکرار",""))</f>
        <v/>
      </c>
      <c r="N342" s="28">
        <f>IF($P342="","",IF(INDEX(EntryNotes,$P342)=0,"",INDEX(EntryNotes,$P342)))</f>
        <v/>
      </c>
      <c r="O342" s="28">
        <f>IF($P342="","",IF(INDEX(EntryTxnID,$P342)=0,"",INDEX(EntryTxnID,$P342)))</f>
        <v/>
      </c>
      <c r="P342" s="28">
        <f>IFERROR(MATCH($C$5&amp;"|"&amp;RIGHT("000000"&amp;326,6),CalcRankKey,0),"")</f>
        <v/>
      </c>
    </row>
    <row r="343">
      <c r="A343" s="26">
        <f>IF($B343="","",327)</f>
        <v/>
      </c>
      <c r="B343" s="26">
        <f>IF($P343="","",IF(INDEX(CalcNormDate,$P343)=0,"",INDEX(CalcNormDate,$P343)))</f>
        <v/>
      </c>
      <c r="C343" s="26">
        <f>IF($P343="","",IF(INDEX(CalcTime,$P343)=0,"",INDEX(CalcTime,$P343)))</f>
        <v/>
      </c>
      <c r="D343" s="26">
        <f>IF($P343="","",IF(INDEX(EntryParty,$P343)=0,"",INDEX(EntryParty,$P343)))</f>
        <v/>
      </c>
      <c r="E343" s="26">
        <f>IF($P343="","",IF(INDEX(EntryPartyName,$P343)=0,"",INDEX(EntryPartyName,$P343)))</f>
        <v/>
      </c>
      <c r="F343" s="26">
        <f>IF($P343="","",IF(INDEX(EntryPartyType,$P343)=0,"",INDEX(EntryPartyType,$P343)))</f>
        <v/>
      </c>
      <c r="G343" s="26">
        <f>IF($P343="","",IF(INDEX(EntryTxnType,$P343)=0,"",INDEX(EntryTxnType,$P343)))</f>
        <v/>
      </c>
      <c r="H343" s="27">
        <f>IF($P343="","",IF(INDEX(EntryDep,$P343)=0,"",INDEX(EntryDep,$P343)))</f>
        <v/>
      </c>
      <c r="I343" s="27">
        <f>IF($P343="","",IF(INDEX(EntryWit,$P343)=0,"",INDEX(EntryWit,$P343)))</f>
        <v/>
      </c>
      <c r="J343" s="27">
        <f>IF($B343="","",IF($A343=1,$C$7,IF(J342="",0,J342))+IF($H343="",0,$H343)-IF($I343="",0,$I343))</f>
        <v/>
      </c>
      <c r="K343" s="27">
        <f>IF($P343="","",IF(INDEX(EntryMan,$P343)=0,"",INDEX(EntryMan,$P343)))</f>
        <v/>
      </c>
      <c r="L343" s="26">
        <f>IF($B343="","",IF($K343="","—",IF(ROUND($K343-$J343,0)=0,"√","×")))</f>
        <v/>
      </c>
      <c r="M343" s="26">
        <f>IF($B343="","",IF(COUNTIFS(EntryDates,$B343,CalcTime,$C343,CalcBank,$C$5,EntryParty,$D343,EntryDep,$H343,EntryWit,$I343)&gt;1,"تکرار",""))</f>
        <v/>
      </c>
      <c r="N343" s="26">
        <f>IF($P343="","",IF(INDEX(EntryNotes,$P343)=0,"",INDEX(EntryNotes,$P343)))</f>
        <v/>
      </c>
      <c r="O343" s="26">
        <f>IF($P343="","",IF(INDEX(EntryTxnID,$P343)=0,"",INDEX(EntryTxnID,$P343)))</f>
        <v/>
      </c>
      <c r="P343" s="26">
        <f>IFERROR(MATCH($C$5&amp;"|"&amp;RIGHT("000000"&amp;327,6),CalcRankKey,0),"")</f>
        <v/>
      </c>
    </row>
    <row r="344">
      <c r="A344" s="28">
        <f>IF($B344="","",328)</f>
        <v/>
      </c>
      <c r="B344" s="28">
        <f>IF($P344="","",IF(INDEX(CalcNormDate,$P344)=0,"",INDEX(CalcNormDate,$P344)))</f>
        <v/>
      </c>
      <c r="C344" s="28">
        <f>IF($P344="","",IF(INDEX(CalcTime,$P344)=0,"",INDEX(CalcTime,$P344)))</f>
        <v/>
      </c>
      <c r="D344" s="28">
        <f>IF($P344="","",IF(INDEX(EntryParty,$P344)=0,"",INDEX(EntryParty,$P344)))</f>
        <v/>
      </c>
      <c r="E344" s="28">
        <f>IF($P344="","",IF(INDEX(EntryPartyName,$P344)=0,"",INDEX(EntryPartyName,$P344)))</f>
        <v/>
      </c>
      <c r="F344" s="28">
        <f>IF($P344="","",IF(INDEX(EntryPartyType,$P344)=0,"",INDEX(EntryPartyType,$P344)))</f>
        <v/>
      </c>
      <c r="G344" s="28">
        <f>IF($P344="","",IF(INDEX(EntryTxnType,$P344)=0,"",INDEX(EntryTxnType,$P344)))</f>
        <v/>
      </c>
      <c r="H344" s="29">
        <f>IF($P344="","",IF(INDEX(EntryDep,$P344)=0,"",INDEX(EntryDep,$P344)))</f>
        <v/>
      </c>
      <c r="I344" s="29">
        <f>IF($P344="","",IF(INDEX(EntryWit,$P344)=0,"",INDEX(EntryWit,$P344)))</f>
        <v/>
      </c>
      <c r="J344" s="29">
        <f>IF($B344="","",IF($A344=1,$C$7,IF(J343="",0,J343))+IF($H344="",0,$H344)-IF($I344="",0,$I344))</f>
        <v/>
      </c>
      <c r="K344" s="29">
        <f>IF($P344="","",IF(INDEX(EntryMan,$P344)=0,"",INDEX(EntryMan,$P344)))</f>
        <v/>
      </c>
      <c r="L344" s="28">
        <f>IF($B344="","",IF($K344="","—",IF(ROUND($K344-$J344,0)=0,"√","×")))</f>
        <v/>
      </c>
      <c r="M344" s="28">
        <f>IF($B344="","",IF(COUNTIFS(EntryDates,$B344,CalcTime,$C344,CalcBank,$C$5,EntryParty,$D344,EntryDep,$H344,EntryWit,$I344)&gt;1,"تکرار",""))</f>
        <v/>
      </c>
      <c r="N344" s="28">
        <f>IF($P344="","",IF(INDEX(EntryNotes,$P344)=0,"",INDEX(EntryNotes,$P344)))</f>
        <v/>
      </c>
      <c r="O344" s="28">
        <f>IF($P344="","",IF(INDEX(EntryTxnID,$P344)=0,"",INDEX(EntryTxnID,$P344)))</f>
        <v/>
      </c>
      <c r="P344" s="28">
        <f>IFERROR(MATCH($C$5&amp;"|"&amp;RIGHT("000000"&amp;328,6),CalcRankKey,0),"")</f>
        <v/>
      </c>
    </row>
    <row r="345">
      <c r="A345" s="26">
        <f>IF($B345="","",329)</f>
        <v/>
      </c>
      <c r="B345" s="26">
        <f>IF($P345="","",IF(INDEX(CalcNormDate,$P345)=0,"",INDEX(CalcNormDate,$P345)))</f>
        <v/>
      </c>
      <c r="C345" s="26">
        <f>IF($P345="","",IF(INDEX(CalcTime,$P345)=0,"",INDEX(CalcTime,$P345)))</f>
        <v/>
      </c>
      <c r="D345" s="26">
        <f>IF($P345="","",IF(INDEX(EntryParty,$P345)=0,"",INDEX(EntryParty,$P345)))</f>
        <v/>
      </c>
      <c r="E345" s="26">
        <f>IF($P345="","",IF(INDEX(EntryPartyName,$P345)=0,"",INDEX(EntryPartyName,$P345)))</f>
        <v/>
      </c>
      <c r="F345" s="26">
        <f>IF($P345="","",IF(INDEX(EntryPartyType,$P345)=0,"",INDEX(EntryPartyType,$P345)))</f>
        <v/>
      </c>
      <c r="G345" s="26">
        <f>IF($P345="","",IF(INDEX(EntryTxnType,$P345)=0,"",INDEX(EntryTxnType,$P345)))</f>
        <v/>
      </c>
      <c r="H345" s="27">
        <f>IF($P345="","",IF(INDEX(EntryDep,$P345)=0,"",INDEX(EntryDep,$P345)))</f>
        <v/>
      </c>
      <c r="I345" s="27">
        <f>IF($P345="","",IF(INDEX(EntryWit,$P345)=0,"",INDEX(EntryWit,$P345)))</f>
        <v/>
      </c>
      <c r="J345" s="27">
        <f>IF($B345="","",IF($A345=1,$C$7,IF(J344="",0,J344))+IF($H345="",0,$H345)-IF($I345="",0,$I345))</f>
        <v/>
      </c>
      <c r="K345" s="27">
        <f>IF($P345="","",IF(INDEX(EntryMan,$P345)=0,"",INDEX(EntryMan,$P345)))</f>
        <v/>
      </c>
      <c r="L345" s="26">
        <f>IF($B345="","",IF($K345="","—",IF(ROUND($K345-$J345,0)=0,"√","×")))</f>
        <v/>
      </c>
      <c r="M345" s="26">
        <f>IF($B345="","",IF(COUNTIFS(EntryDates,$B345,CalcTime,$C345,CalcBank,$C$5,EntryParty,$D345,EntryDep,$H345,EntryWit,$I345)&gt;1,"تکرار",""))</f>
        <v/>
      </c>
      <c r="N345" s="26">
        <f>IF($P345="","",IF(INDEX(EntryNotes,$P345)=0,"",INDEX(EntryNotes,$P345)))</f>
        <v/>
      </c>
      <c r="O345" s="26">
        <f>IF($P345="","",IF(INDEX(EntryTxnID,$P345)=0,"",INDEX(EntryTxnID,$P345)))</f>
        <v/>
      </c>
      <c r="P345" s="26">
        <f>IFERROR(MATCH($C$5&amp;"|"&amp;RIGHT("000000"&amp;329,6),CalcRankKey,0),"")</f>
        <v/>
      </c>
    </row>
    <row r="346">
      <c r="A346" s="28">
        <f>IF($B346="","",330)</f>
        <v/>
      </c>
      <c r="B346" s="28">
        <f>IF($P346="","",IF(INDEX(CalcNormDate,$P346)=0,"",INDEX(CalcNormDate,$P346)))</f>
        <v/>
      </c>
      <c r="C346" s="28">
        <f>IF($P346="","",IF(INDEX(CalcTime,$P346)=0,"",INDEX(CalcTime,$P346)))</f>
        <v/>
      </c>
      <c r="D346" s="28">
        <f>IF($P346="","",IF(INDEX(EntryParty,$P346)=0,"",INDEX(EntryParty,$P346)))</f>
        <v/>
      </c>
      <c r="E346" s="28">
        <f>IF($P346="","",IF(INDEX(EntryPartyName,$P346)=0,"",INDEX(EntryPartyName,$P346)))</f>
        <v/>
      </c>
      <c r="F346" s="28">
        <f>IF($P346="","",IF(INDEX(EntryPartyType,$P346)=0,"",INDEX(EntryPartyType,$P346)))</f>
        <v/>
      </c>
      <c r="G346" s="28">
        <f>IF($P346="","",IF(INDEX(EntryTxnType,$P346)=0,"",INDEX(EntryTxnType,$P346)))</f>
        <v/>
      </c>
      <c r="H346" s="29">
        <f>IF($P346="","",IF(INDEX(EntryDep,$P346)=0,"",INDEX(EntryDep,$P346)))</f>
        <v/>
      </c>
      <c r="I346" s="29">
        <f>IF($P346="","",IF(INDEX(EntryWit,$P346)=0,"",INDEX(EntryWit,$P346)))</f>
        <v/>
      </c>
      <c r="J346" s="29">
        <f>IF($B346="","",IF($A346=1,$C$7,IF(J345="",0,J345))+IF($H346="",0,$H346)-IF($I346="",0,$I346))</f>
        <v/>
      </c>
      <c r="K346" s="29">
        <f>IF($P346="","",IF(INDEX(EntryMan,$P346)=0,"",INDEX(EntryMan,$P346)))</f>
        <v/>
      </c>
      <c r="L346" s="28">
        <f>IF($B346="","",IF($K346="","—",IF(ROUND($K346-$J346,0)=0,"√","×")))</f>
        <v/>
      </c>
      <c r="M346" s="28">
        <f>IF($B346="","",IF(COUNTIFS(EntryDates,$B346,CalcTime,$C346,CalcBank,$C$5,EntryParty,$D346,EntryDep,$H346,EntryWit,$I346)&gt;1,"تکرار",""))</f>
        <v/>
      </c>
      <c r="N346" s="28">
        <f>IF($P346="","",IF(INDEX(EntryNotes,$P346)=0,"",INDEX(EntryNotes,$P346)))</f>
        <v/>
      </c>
      <c r="O346" s="28">
        <f>IF($P346="","",IF(INDEX(EntryTxnID,$P346)=0,"",INDEX(EntryTxnID,$P346)))</f>
        <v/>
      </c>
      <c r="P346" s="28">
        <f>IFERROR(MATCH($C$5&amp;"|"&amp;RIGHT("000000"&amp;330,6),CalcRankKey,0),"")</f>
        <v/>
      </c>
    </row>
    <row r="347">
      <c r="A347" s="26">
        <f>IF($B347="","",331)</f>
        <v/>
      </c>
      <c r="B347" s="26">
        <f>IF($P347="","",IF(INDEX(CalcNormDate,$P347)=0,"",INDEX(CalcNormDate,$P347)))</f>
        <v/>
      </c>
      <c r="C347" s="26">
        <f>IF($P347="","",IF(INDEX(CalcTime,$P347)=0,"",INDEX(CalcTime,$P347)))</f>
        <v/>
      </c>
      <c r="D347" s="26">
        <f>IF($P347="","",IF(INDEX(EntryParty,$P347)=0,"",INDEX(EntryParty,$P347)))</f>
        <v/>
      </c>
      <c r="E347" s="26">
        <f>IF($P347="","",IF(INDEX(EntryPartyName,$P347)=0,"",INDEX(EntryPartyName,$P347)))</f>
        <v/>
      </c>
      <c r="F347" s="26">
        <f>IF($P347="","",IF(INDEX(EntryPartyType,$P347)=0,"",INDEX(EntryPartyType,$P347)))</f>
        <v/>
      </c>
      <c r="G347" s="26">
        <f>IF($P347="","",IF(INDEX(EntryTxnType,$P347)=0,"",INDEX(EntryTxnType,$P347)))</f>
        <v/>
      </c>
      <c r="H347" s="27">
        <f>IF($P347="","",IF(INDEX(EntryDep,$P347)=0,"",INDEX(EntryDep,$P347)))</f>
        <v/>
      </c>
      <c r="I347" s="27">
        <f>IF($P347="","",IF(INDEX(EntryWit,$P347)=0,"",INDEX(EntryWit,$P347)))</f>
        <v/>
      </c>
      <c r="J347" s="27">
        <f>IF($B347="","",IF($A347=1,$C$7,IF(J346="",0,J346))+IF($H347="",0,$H347)-IF($I347="",0,$I347))</f>
        <v/>
      </c>
      <c r="K347" s="27">
        <f>IF($P347="","",IF(INDEX(EntryMan,$P347)=0,"",INDEX(EntryMan,$P347)))</f>
        <v/>
      </c>
      <c r="L347" s="26">
        <f>IF($B347="","",IF($K347="","—",IF(ROUND($K347-$J347,0)=0,"√","×")))</f>
        <v/>
      </c>
      <c r="M347" s="26">
        <f>IF($B347="","",IF(COUNTIFS(EntryDates,$B347,CalcTime,$C347,CalcBank,$C$5,EntryParty,$D347,EntryDep,$H347,EntryWit,$I347)&gt;1,"تکرار",""))</f>
        <v/>
      </c>
      <c r="N347" s="26">
        <f>IF($P347="","",IF(INDEX(EntryNotes,$P347)=0,"",INDEX(EntryNotes,$P347)))</f>
        <v/>
      </c>
      <c r="O347" s="26">
        <f>IF($P347="","",IF(INDEX(EntryTxnID,$P347)=0,"",INDEX(EntryTxnID,$P347)))</f>
        <v/>
      </c>
      <c r="P347" s="26">
        <f>IFERROR(MATCH($C$5&amp;"|"&amp;RIGHT("000000"&amp;331,6),CalcRankKey,0),"")</f>
        <v/>
      </c>
    </row>
    <row r="348">
      <c r="A348" s="28">
        <f>IF($B348="","",332)</f>
        <v/>
      </c>
      <c r="B348" s="28">
        <f>IF($P348="","",IF(INDEX(CalcNormDate,$P348)=0,"",INDEX(CalcNormDate,$P348)))</f>
        <v/>
      </c>
      <c r="C348" s="28">
        <f>IF($P348="","",IF(INDEX(CalcTime,$P348)=0,"",INDEX(CalcTime,$P348)))</f>
        <v/>
      </c>
      <c r="D348" s="28">
        <f>IF($P348="","",IF(INDEX(EntryParty,$P348)=0,"",INDEX(EntryParty,$P348)))</f>
        <v/>
      </c>
      <c r="E348" s="28">
        <f>IF($P348="","",IF(INDEX(EntryPartyName,$P348)=0,"",INDEX(EntryPartyName,$P348)))</f>
        <v/>
      </c>
      <c r="F348" s="28">
        <f>IF($P348="","",IF(INDEX(EntryPartyType,$P348)=0,"",INDEX(EntryPartyType,$P348)))</f>
        <v/>
      </c>
      <c r="G348" s="28">
        <f>IF($P348="","",IF(INDEX(EntryTxnType,$P348)=0,"",INDEX(EntryTxnType,$P348)))</f>
        <v/>
      </c>
      <c r="H348" s="29">
        <f>IF($P348="","",IF(INDEX(EntryDep,$P348)=0,"",INDEX(EntryDep,$P348)))</f>
        <v/>
      </c>
      <c r="I348" s="29">
        <f>IF($P348="","",IF(INDEX(EntryWit,$P348)=0,"",INDEX(EntryWit,$P348)))</f>
        <v/>
      </c>
      <c r="J348" s="29">
        <f>IF($B348="","",IF($A348=1,$C$7,IF(J347="",0,J347))+IF($H348="",0,$H348)-IF($I348="",0,$I348))</f>
        <v/>
      </c>
      <c r="K348" s="29">
        <f>IF($P348="","",IF(INDEX(EntryMan,$P348)=0,"",INDEX(EntryMan,$P348)))</f>
        <v/>
      </c>
      <c r="L348" s="28">
        <f>IF($B348="","",IF($K348="","—",IF(ROUND($K348-$J348,0)=0,"√","×")))</f>
        <v/>
      </c>
      <c r="M348" s="28">
        <f>IF($B348="","",IF(COUNTIFS(EntryDates,$B348,CalcTime,$C348,CalcBank,$C$5,EntryParty,$D348,EntryDep,$H348,EntryWit,$I348)&gt;1,"تکرار",""))</f>
        <v/>
      </c>
      <c r="N348" s="28">
        <f>IF($P348="","",IF(INDEX(EntryNotes,$P348)=0,"",INDEX(EntryNotes,$P348)))</f>
        <v/>
      </c>
      <c r="O348" s="28">
        <f>IF($P348="","",IF(INDEX(EntryTxnID,$P348)=0,"",INDEX(EntryTxnID,$P348)))</f>
        <v/>
      </c>
      <c r="P348" s="28">
        <f>IFERROR(MATCH($C$5&amp;"|"&amp;RIGHT("000000"&amp;332,6),CalcRankKey,0),"")</f>
        <v/>
      </c>
    </row>
    <row r="349">
      <c r="A349" s="26">
        <f>IF($B349="","",333)</f>
        <v/>
      </c>
      <c r="B349" s="26">
        <f>IF($P349="","",IF(INDEX(CalcNormDate,$P349)=0,"",INDEX(CalcNormDate,$P349)))</f>
        <v/>
      </c>
      <c r="C349" s="26">
        <f>IF($P349="","",IF(INDEX(CalcTime,$P349)=0,"",INDEX(CalcTime,$P349)))</f>
        <v/>
      </c>
      <c r="D349" s="26">
        <f>IF($P349="","",IF(INDEX(EntryParty,$P349)=0,"",INDEX(EntryParty,$P349)))</f>
        <v/>
      </c>
      <c r="E349" s="26">
        <f>IF($P349="","",IF(INDEX(EntryPartyName,$P349)=0,"",INDEX(EntryPartyName,$P349)))</f>
        <v/>
      </c>
      <c r="F349" s="26">
        <f>IF($P349="","",IF(INDEX(EntryPartyType,$P349)=0,"",INDEX(EntryPartyType,$P349)))</f>
        <v/>
      </c>
      <c r="G349" s="26">
        <f>IF($P349="","",IF(INDEX(EntryTxnType,$P349)=0,"",INDEX(EntryTxnType,$P349)))</f>
        <v/>
      </c>
      <c r="H349" s="27">
        <f>IF($P349="","",IF(INDEX(EntryDep,$P349)=0,"",INDEX(EntryDep,$P349)))</f>
        <v/>
      </c>
      <c r="I349" s="27">
        <f>IF($P349="","",IF(INDEX(EntryWit,$P349)=0,"",INDEX(EntryWit,$P349)))</f>
        <v/>
      </c>
      <c r="J349" s="27">
        <f>IF($B349="","",IF($A349=1,$C$7,IF(J348="",0,J348))+IF($H349="",0,$H349)-IF($I349="",0,$I349))</f>
        <v/>
      </c>
      <c r="K349" s="27">
        <f>IF($P349="","",IF(INDEX(EntryMan,$P349)=0,"",INDEX(EntryMan,$P349)))</f>
        <v/>
      </c>
      <c r="L349" s="26">
        <f>IF($B349="","",IF($K349="","—",IF(ROUND($K349-$J349,0)=0,"√","×")))</f>
        <v/>
      </c>
      <c r="M349" s="26">
        <f>IF($B349="","",IF(COUNTIFS(EntryDates,$B349,CalcTime,$C349,CalcBank,$C$5,EntryParty,$D349,EntryDep,$H349,EntryWit,$I349)&gt;1,"تکرار",""))</f>
        <v/>
      </c>
      <c r="N349" s="26">
        <f>IF($P349="","",IF(INDEX(EntryNotes,$P349)=0,"",INDEX(EntryNotes,$P349)))</f>
        <v/>
      </c>
      <c r="O349" s="26">
        <f>IF($P349="","",IF(INDEX(EntryTxnID,$P349)=0,"",INDEX(EntryTxnID,$P349)))</f>
        <v/>
      </c>
      <c r="P349" s="26">
        <f>IFERROR(MATCH($C$5&amp;"|"&amp;RIGHT("000000"&amp;333,6),CalcRankKey,0),"")</f>
        <v/>
      </c>
    </row>
    <row r="350">
      <c r="A350" s="28">
        <f>IF($B350="","",334)</f>
        <v/>
      </c>
      <c r="B350" s="28">
        <f>IF($P350="","",IF(INDEX(CalcNormDate,$P350)=0,"",INDEX(CalcNormDate,$P350)))</f>
        <v/>
      </c>
      <c r="C350" s="28">
        <f>IF($P350="","",IF(INDEX(CalcTime,$P350)=0,"",INDEX(CalcTime,$P350)))</f>
        <v/>
      </c>
      <c r="D350" s="28">
        <f>IF($P350="","",IF(INDEX(EntryParty,$P350)=0,"",INDEX(EntryParty,$P350)))</f>
        <v/>
      </c>
      <c r="E350" s="28">
        <f>IF($P350="","",IF(INDEX(EntryPartyName,$P350)=0,"",INDEX(EntryPartyName,$P350)))</f>
        <v/>
      </c>
      <c r="F350" s="28">
        <f>IF($P350="","",IF(INDEX(EntryPartyType,$P350)=0,"",INDEX(EntryPartyType,$P350)))</f>
        <v/>
      </c>
      <c r="G350" s="28">
        <f>IF($P350="","",IF(INDEX(EntryTxnType,$P350)=0,"",INDEX(EntryTxnType,$P350)))</f>
        <v/>
      </c>
      <c r="H350" s="29">
        <f>IF($P350="","",IF(INDEX(EntryDep,$P350)=0,"",INDEX(EntryDep,$P350)))</f>
        <v/>
      </c>
      <c r="I350" s="29">
        <f>IF($P350="","",IF(INDEX(EntryWit,$P350)=0,"",INDEX(EntryWit,$P350)))</f>
        <v/>
      </c>
      <c r="J350" s="29">
        <f>IF($B350="","",IF($A350=1,$C$7,IF(J349="",0,J349))+IF($H350="",0,$H350)-IF($I350="",0,$I350))</f>
        <v/>
      </c>
      <c r="K350" s="29">
        <f>IF($P350="","",IF(INDEX(EntryMan,$P350)=0,"",INDEX(EntryMan,$P350)))</f>
        <v/>
      </c>
      <c r="L350" s="28">
        <f>IF($B350="","",IF($K350="","—",IF(ROUND($K350-$J350,0)=0,"√","×")))</f>
        <v/>
      </c>
      <c r="M350" s="28">
        <f>IF($B350="","",IF(COUNTIFS(EntryDates,$B350,CalcTime,$C350,CalcBank,$C$5,EntryParty,$D350,EntryDep,$H350,EntryWit,$I350)&gt;1,"تکرار",""))</f>
        <v/>
      </c>
      <c r="N350" s="28">
        <f>IF($P350="","",IF(INDEX(EntryNotes,$P350)=0,"",INDEX(EntryNotes,$P350)))</f>
        <v/>
      </c>
      <c r="O350" s="28">
        <f>IF($P350="","",IF(INDEX(EntryTxnID,$P350)=0,"",INDEX(EntryTxnID,$P350)))</f>
        <v/>
      </c>
      <c r="P350" s="28">
        <f>IFERROR(MATCH($C$5&amp;"|"&amp;RIGHT("000000"&amp;334,6),CalcRankKey,0),"")</f>
        <v/>
      </c>
    </row>
    <row r="351">
      <c r="A351" s="26">
        <f>IF($B351="","",335)</f>
        <v/>
      </c>
      <c r="B351" s="26">
        <f>IF($P351="","",IF(INDEX(CalcNormDate,$P351)=0,"",INDEX(CalcNormDate,$P351)))</f>
        <v/>
      </c>
      <c r="C351" s="26">
        <f>IF($P351="","",IF(INDEX(CalcTime,$P351)=0,"",INDEX(CalcTime,$P351)))</f>
        <v/>
      </c>
      <c r="D351" s="26">
        <f>IF($P351="","",IF(INDEX(EntryParty,$P351)=0,"",INDEX(EntryParty,$P351)))</f>
        <v/>
      </c>
      <c r="E351" s="26">
        <f>IF($P351="","",IF(INDEX(EntryPartyName,$P351)=0,"",INDEX(EntryPartyName,$P351)))</f>
        <v/>
      </c>
      <c r="F351" s="26">
        <f>IF($P351="","",IF(INDEX(EntryPartyType,$P351)=0,"",INDEX(EntryPartyType,$P351)))</f>
        <v/>
      </c>
      <c r="G351" s="26">
        <f>IF($P351="","",IF(INDEX(EntryTxnType,$P351)=0,"",INDEX(EntryTxnType,$P351)))</f>
        <v/>
      </c>
      <c r="H351" s="27">
        <f>IF($P351="","",IF(INDEX(EntryDep,$P351)=0,"",INDEX(EntryDep,$P351)))</f>
        <v/>
      </c>
      <c r="I351" s="27">
        <f>IF($P351="","",IF(INDEX(EntryWit,$P351)=0,"",INDEX(EntryWit,$P351)))</f>
        <v/>
      </c>
      <c r="J351" s="27">
        <f>IF($B351="","",IF($A351=1,$C$7,IF(J350="",0,J350))+IF($H351="",0,$H351)-IF($I351="",0,$I351))</f>
        <v/>
      </c>
      <c r="K351" s="27">
        <f>IF($P351="","",IF(INDEX(EntryMan,$P351)=0,"",INDEX(EntryMan,$P351)))</f>
        <v/>
      </c>
      <c r="L351" s="26">
        <f>IF($B351="","",IF($K351="","—",IF(ROUND($K351-$J351,0)=0,"√","×")))</f>
        <v/>
      </c>
      <c r="M351" s="26">
        <f>IF($B351="","",IF(COUNTIFS(EntryDates,$B351,CalcTime,$C351,CalcBank,$C$5,EntryParty,$D351,EntryDep,$H351,EntryWit,$I351)&gt;1,"تکرار",""))</f>
        <v/>
      </c>
      <c r="N351" s="26">
        <f>IF($P351="","",IF(INDEX(EntryNotes,$P351)=0,"",INDEX(EntryNotes,$P351)))</f>
        <v/>
      </c>
      <c r="O351" s="26">
        <f>IF($P351="","",IF(INDEX(EntryTxnID,$P351)=0,"",INDEX(EntryTxnID,$P351)))</f>
        <v/>
      </c>
      <c r="P351" s="26">
        <f>IFERROR(MATCH($C$5&amp;"|"&amp;RIGHT("000000"&amp;335,6),CalcRankKey,0),"")</f>
        <v/>
      </c>
    </row>
    <row r="352">
      <c r="A352" s="28">
        <f>IF($B352="","",336)</f>
        <v/>
      </c>
      <c r="B352" s="28">
        <f>IF($P352="","",IF(INDEX(CalcNormDate,$P352)=0,"",INDEX(CalcNormDate,$P352)))</f>
        <v/>
      </c>
      <c r="C352" s="28">
        <f>IF($P352="","",IF(INDEX(CalcTime,$P352)=0,"",INDEX(CalcTime,$P352)))</f>
        <v/>
      </c>
      <c r="D352" s="28">
        <f>IF($P352="","",IF(INDEX(EntryParty,$P352)=0,"",INDEX(EntryParty,$P352)))</f>
        <v/>
      </c>
      <c r="E352" s="28">
        <f>IF($P352="","",IF(INDEX(EntryPartyName,$P352)=0,"",INDEX(EntryPartyName,$P352)))</f>
        <v/>
      </c>
      <c r="F352" s="28">
        <f>IF($P352="","",IF(INDEX(EntryPartyType,$P352)=0,"",INDEX(EntryPartyType,$P352)))</f>
        <v/>
      </c>
      <c r="G352" s="28">
        <f>IF($P352="","",IF(INDEX(EntryTxnType,$P352)=0,"",INDEX(EntryTxnType,$P352)))</f>
        <v/>
      </c>
      <c r="H352" s="29">
        <f>IF($P352="","",IF(INDEX(EntryDep,$P352)=0,"",INDEX(EntryDep,$P352)))</f>
        <v/>
      </c>
      <c r="I352" s="29">
        <f>IF($P352="","",IF(INDEX(EntryWit,$P352)=0,"",INDEX(EntryWit,$P352)))</f>
        <v/>
      </c>
      <c r="J352" s="29">
        <f>IF($B352="","",IF($A352=1,$C$7,IF(J351="",0,J351))+IF($H352="",0,$H352)-IF($I352="",0,$I352))</f>
        <v/>
      </c>
      <c r="K352" s="29">
        <f>IF($P352="","",IF(INDEX(EntryMan,$P352)=0,"",INDEX(EntryMan,$P352)))</f>
        <v/>
      </c>
      <c r="L352" s="28">
        <f>IF($B352="","",IF($K352="","—",IF(ROUND($K352-$J352,0)=0,"√","×")))</f>
        <v/>
      </c>
      <c r="M352" s="28">
        <f>IF($B352="","",IF(COUNTIFS(EntryDates,$B352,CalcTime,$C352,CalcBank,$C$5,EntryParty,$D352,EntryDep,$H352,EntryWit,$I352)&gt;1,"تکرار",""))</f>
        <v/>
      </c>
      <c r="N352" s="28">
        <f>IF($P352="","",IF(INDEX(EntryNotes,$P352)=0,"",INDEX(EntryNotes,$P352)))</f>
        <v/>
      </c>
      <c r="O352" s="28">
        <f>IF($P352="","",IF(INDEX(EntryTxnID,$P352)=0,"",INDEX(EntryTxnID,$P352)))</f>
        <v/>
      </c>
      <c r="P352" s="28">
        <f>IFERROR(MATCH($C$5&amp;"|"&amp;RIGHT("000000"&amp;336,6),CalcRankKey,0),"")</f>
        <v/>
      </c>
    </row>
    <row r="353">
      <c r="A353" s="26">
        <f>IF($B353="","",337)</f>
        <v/>
      </c>
      <c r="B353" s="26">
        <f>IF($P353="","",IF(INDEX(CalcNormDate,$P353)=0,"",INDEX(CalcNormDate,$P353)))</f>
        <v/>
      </c>
      <c r="C353" s="26">
        <f>IF($P353="","",IF(INDEX(CalcTime,$P353)=0,"",INDEX(CalcTime,$P353)))</f>
        <v/>
      </c>
      <c r="D353" s="26">
        <f>IF($P353="","",IF(INDEX(EntryParty,$P353)=0,"",INDEX(EntryParty,$P353)))</f>
        <v/>
      </c>
      <c r="E353" s="26">
        <f>IF($P353="","",IF(INDEX(EntryPartyName,$P353)=0,"",INDEX(EntryPartyName,$P353)))</f>
        <v/>
      </c>
      <c r="F353" s="26">
        <f>IF($P353="","",IF(INDEX(EntryPartyType,$P353)=0,"",INDEX(EntryPartyType,$P353)))</f>
        <v/>
      </c>
      <c r="G353" s="26">
        <f>IF($P353="","",IF(INDEX(EntryTxnType,$P353)=0,"",INDEX(EntryTxnType,$P353)))</f>
        <v/>
      </c>
      <c r="H353" s="27">
        <f>IF($P353="","",IF(INDEX(EntryDep,$P353)=0,"",INDEX(EntryDep,$P353)))</f>
        <v/>
      </c>
      <c r="I353" s="27">
        <f>IF($P353="","",IF(INDEX(EntryWit,$P353)=0,"",INDEX(EntryWit,$P353)))</f>
        <v/>
      </c>
      <c r="J353" s="27">
        <f>IF($B353="","",IF($A353=1,$C$7,IF(J352="",0,J352))+IF($H353="",0,$H353)-IF($I353="",0,$I353))</f>
        <v/>
      </c>
      <c r="K353" s="27">
        <f>IF($P353="","",IF(INDEX(EntryMan,$P353)=0,"",INDEX(EntryMan,$P353)))</f>
        <v/>
      </c>
      <c r="L353" s="26">
        <f>IF($B353="","",IF($K353="","—",IF(ROUND($K353-$J353,0)=0,"√","×")))</f>
        <v/>
      </c>
      <c r="M353" s="26">
        <f>IF($B353="","",IF(COUNTIFS(EntryDates,$B353,CalcTime,$C353,CalcBank,$C$5,EntryParty,$D353,EntryDep,$H353,EntryWit,$I353)&gt;1,"تکرار",""))</f>
        <v/>
      </c>
      <c r="N353" s="26">
        <f>IF($P353="","",IF(INDEX(EntryNotes,$P353)=0,"",INDEX(EntryNotes,$P353)))</f>
        <v/>
      </c>
      <c r="O353" s="26">
        <f>IF($P353="","",IF(INDEX(EntryTxnID,$P353)=0,"",INDEX(EntryTxnID,$P353)))</f>
        <v/>
      </c>
      <c r="P353" s="26">
        <f>IFERROR(MATCH($C$5&amp;"|"&amp;RIGHT("000000"&amp;337,6),CalcRankKey,0),"")</f>
        <v/>
      </c>
    </row>
    <row r="354">
      <c r="A354" s="28">
        <f>IF($B354="","",338)</f>
        <v/>
      </c>
      <c r="B354" s="28">
        <f>IF($P354="","",IF(INDEX(CalcNormDate,$P354)=0,"",INDEX(CalcNormDate,$P354)))</f>
        <v/>
      </c>
      <c r="C354" s="28">
        <f>IF($P354="","",IF(INDEX(CalcTime,$P354)=0,"",INDEX(CalcTime,$P354)))</f>
        <v/>
      </c>
      <c r="D354" s="28">
        <f>IF($P354="","",IF(INDEX(EntryParty,$P354)=0,"",INDEX(EntryParty,$P354)))</f>
        <v/>
      </c>
      <c r="E354" s="28">
        <f>IF($P354="","",IF(INDEX(EntryPartyName,$P354)=0,"",INDEX(EntryPartyName,$P354)))</f>
        <v/>
      </c>
      <c r="F354" s="28">
        <f>IF($P354="","",IF(INDEX(EntryPartyType,$P354)=0,"",INDEX(EntryPartyType,$P354)))</f>
        <v/>
      </c>
      <c r="G354" s="28">
        <f>IF($P354="","",IF(INDEX(EntryTxnType,$P354)=0,"",INDEX(EntryTxnType,$P354)))</f>
        <v/>
      </c>
      <c r="H354" s="29">
        <f>IF($P354="","",IF(INDEX(EntryDep,$P354)=0,"",INDEX(EntryDep,$P354)))</f>
        <v/>
      </c>
      <c r="I354" s="29">
        <f>IF($P354="","",IF(INDEX(EntryWit,$P354)=0,"",INDEX(EntryWit,$P354)))</f>
        <v/>
      </c>
      <c r="J354" s="29">
        <f>IF($B354="","",IF($A354=1,$C$7,IF(J353="",0,J353))+IF($H354="",0,$H354)-IF($I354="",0,$I354))</f>
        <v/>
      </c>
      <c r="K354" s="29">
        <f>IF($P354="","",IF(INDEX(EntryMan,$P354)=0,"",INDEX(EntryMan,$P354)))</f>
        <v/>
      </c>
      <c r="L354" s="28">
        <f>IF($B354="","",IF($K354="","—",IF(ROUND($K354-$J354,0)=0,"√","×")))</f>
        <v/>
      </c>
      <c r="M354" s="28">
        <f>IF($B354="","",IF(COUNTIFS(EntryDates,$B354,CalcTime,$C354,CalcBank,$C$5,EntryParty,$D354,EntryDep,$H354,EntryWit,$I354)&gt;1,"تکرار",""))</f>
        <v/>
      </c>
      <c r="N354" s="28">
        <f>IF($P354="","",IF(INDEX(EntryNotes,$P354)=0,"",INDEX(EntryNotes,$P354)))</f>
        <v/>
      </c>
      <c r="O354" s="28">
        <f>IF($P354="","",IF(INDEX(EntryTxnID,$P354)=0,"",INDEX(EntryTxnID,$P354)))</f>
        <v/>
      </c>
      <c r="P354" s="28">
        <f>IFERROR(MATCH($C$5&amp;"|"&amp;RIGHT("000000"&amp;338,6),CalcRankKey,0),"")</f>
        <v/>
      </c>
    </row>
    <row r="355">
      <c r="A355" s="26">
        <f>IF($B355="","",339)</f>
        <v/>
      </c>
      <c r="B355" s="26">
        <f>IF($P355="","",IF(INDEX(CalcNormDate,$P355)=0,"",INDEX(CalcNormDate,$P355)))</f>
        <v/>
      </c>
      <c r="C355" s="26">
        <f>IF($P355="","",IF(INDEX(CalcTime,$P355)=0,"",INDEX(CalcTime,$P355)))</f>
        <v/>
      </c>
      <c r="D355" s="26">
        <f>IF($P355="","",IF(INDEX(EntryParty,$P355)=0,"",INDEX(EntryParty,$P355)))</f>
        <v/>
      </c>
      <c r="E355" s="26">
        <f>IF($P355="","",IF(INDEX(EntryPartyName,$P355)=0,"",INDEX(EntryPartyName,$P355)))</f>
        <v/>
      </c>
      <c r="F355" s="26">
        <f>IF($P355="","",IF(INDEX(EntryPartyType,$P355)=0,"",INDEX(EntryPartyType,$P355)))</f>
        <v/>
      </c>
      <c r="G355" s="26">
        <f>IF($P355="","",IF(INDEX(EntryTxnType,$P355)=0,"",INDEX(EntryTxnType,$P355)))</f>
        <v/>
      </c>
      <c r="H355" s="27">
        <f>IF($P355="","",IF(INDEX(EntryDep,$P355)=0,"",INDEX(EntryDep,$P355)))</f>
        <v/>
      </c>
      <c r="I355" s="27">
        <f>IF($P355="","",IF(INDEX(EntryWit,$P355)=0,"",INDEX(EntryWit,$P355)))</f>
        <v/>
      </c>
      <c r="J355" s="27">
        <f>IF($B355="","",IF($A355=1,$C$7,IF(J354="",0,J354))+IF($H355="",0,$H355)-IF($I355="",0,$I355))</f>
        <v/>
      </c>
      <c r="K355" s="27">
        <f>IF($P355="","",IF(INDEX(EntryMan,$P355)=0,"",INDEX(EntryMan,$P355)))</f>
        <v/>
      </c>
      <c r="L355" s="26">
        <f>IF($B355="","",IF($K355="","—",IF(ROUND($K355-$J355,0)=0,"√","×")))</f>
        <v/>
      </c>
      <c r="M355" s="26">
        <f>IF($B355="","",IF(COUNTIFS(EntryDates,$B355,CalcTime,$C355,CalcBank,$C$5,EntryParty,$D355,EntryDep,$H355,EntryWit,$I355)&gt;1,"تکرار",""))</f>
        <v/>
      </c>
      <c r="N355" s="26">
        <f>IF($P355="","",IF(INDEX(EntryNotes,$P355)=0,"",INDEX(EntryNotes,$P355)))</f>
        <v/>
      </c>
      <c r="O355" s="26">
        <f>IF($P355="","",IF(INDEX(EntryTxnID,$P355)=0,"",INDEX(EntryTxnID,$P355)))</f>
        <v/>
      </c>
      <c r="P355" s="26">
        <f>IFERROR(MATCH($C$5&amp;"|"&amp;RIGHT("000000"&amp;339,6),CalcRankKey,0),"")</f>
        <v/>
      </c>
    </row>
    <row r="356">
      <c r="A356" s="28">
        <f>IF($B356="","",340)</f>
        <v/>
      </c>
      <c r="B356" s="28">
        <f>IF($P356="","",IF(INDEX(CalcNormDate,$P356)=0,"",INDEX(CalcNormDate,$P356)))</f>
        <v/>
      </c>
      <c r="C356" s="28">
        <f>IF($P356="","",IF(INDEX(CalcTime,$P356)=0,"",INDEX(CalcTime,$P356)))</f>
        <v/>
      </c>
      <c r="D356" s="28">
        <f>IF($P356="","",IF(INDEX(EntryParty,$P356)=0,"",INDEX(EntryParty,$P356)))</f>
        <v/>
      </c>
      <c r="E356" s="28">
        <f>IF($P356="","",IF(INDEX(EntryPartyName,$P356)=0,"",INDEX(EntryPartyName,$P356)))</f>
        <v/>
      </c>
      <c r="F356" s="28">
        <f>IF($P356="","",IF(INDEX(EntryPartyType,$P356)=0,"",INDEX(EntryPartyType,$P356)))</f>
        <v/>
      </c>
      <c r="G356" s="28">
        <f>IF($P356="","",IF(INDEX(EntryTxnType,$P356)=0,"",INDEX(EntryTxnType,$P356)))</f>
        <v/>
      </c>
      <c r="H356" s="29">
        <f>IF($P356="","",IF(INDEX(EntryDep,$P356)=0,"",INDEX(EntryDep,$P356)))</f>
        <v/>
      </c>
      <c r="I356" s="29">
        <f>IF($P356="","",IF(INDEX(EntryWit,$P356)=0,"",INDEX(EntryWit,$P356)))</f>
        <v/>
      </c>
      <c r="J356" s="29">
        <f>IF($B356="","",IF($A356=1,$C$7,IF(J355="",0,J355))+IF($H356="",0,$H356)-IF($I356="",0,$I356))</f>
        <v/>
      </c>
      <c r="K356" s="29">
        <f>IF($P356="","",IF(INDEX(EntryMan,$P356)=0,"",INDEX(EntryMan,$P356)))</f>
        <v/>
      </c>
      <c r="L356" s="28">
        <f>IF($B356="","",IF($K356="","—",IF(ROUND($K356-$J356,0)=0,"√","×")))</f>
        <v/>
      </c>
      <c r="M356" s="28">
        <f>IF($B356="","",IF(COUNTIFS(EntryDates,$B356,CalcTime,$C356,CalcBank,$C$5,EntryParty,$D356,EntryDep,$H356,EntryWit,$I356)&gt;1,"تکرار",""))</f>
        <v/>
      </c>
      <c r="N356" s="28">
        <f>IF($P356="","",IF(INDEX(EntryNotes,$P356)=0,"",INDEX(EntryNotes,$P356)))</f>
        <v/>
      </c>
      <c r="O356" s="28">
        <f>IF($P356="","",IF(INDEX(EntryTxnID,$P356)=0,"",INDEX(EntryTxnID,$P356)))</f>
        <v/>
      </c>
      <c r="P356" s="28">
        <f>IFERROR(MATCH($C$5&amp;"|"&amp;RIGHT("000000"&amp;340,6),CalcRankKey,0),"")</f>
        <v/>
      </c>
    </row>
    <row r="357">
      <c r="A357" s="26">
        <f>IF($B357="","",341)</f>
        <v/>
      </c>
      <c r="B357" s="26">
        <f>IF($P357="","",IF(INDEX(CalcNormDate,$P357)=0,"",INDEX(CalcNormDate,$P357)))</f>
        <v/>
      </c>
      <c r="C357" s="26">
        <f>IF($P357="","",IF(INDEX(CalcTime,$P357)=0,"",INDEX(CalcTime,$P357)))</f>
        <v/>
      </c>
      <c r="D357" s="26">
        <f>IF($P357="","",IF(INDEX(EntryParty,$P357)=0,"",INDEX(EntryParty,$P357)))</f>
        <v/>
      </c>
      <c r="E357" s="26">
        <f>IF($P357="","",IF(INDEX(EntryPartyName,$P357)=0,"",INDEX(EntryPartyName,$P357)))</f>
        <v/>
      </c>
      <c r="F357" s="26">
        <f>IF($P357="","",IF(INDEX(EntryPartyType,$P357)=0,"",INDEX(EntryPartyType,$P357)))</f>
        <v/>
      </c>
      <c r="G357" s="26">
        <f>IF($P357="","",IF(INDEX(EntryTxnType,$P357)=0,"",INDEX(EntryTxnType,$P357)))</f>
        <v/>
      </c>
      <c r="H357" s="27">
        <f>IF($P357="","",IF(INDEX(EntryDep,$P357)=0,"",INDEX(EntryDep,$P357)))</f>
        <v/>
      </c>
      <c r="I357" s="27">
        <f>IF($P357="","",IF(INDEX(EntryWit,$P357)=0,"",INDEX(EntryWit,$P357)))</f>
        <v/>
      </c>
      <c r="J357" s="27">
        <f>IF($B357="","",IF($A357=1,$C$7,IF(J356="",0,J356))+IF($H357="",0,$H357)-IF($I357="",0,$I357))</f>
        <v/>
      </c>
      <c r="K357" s="27">
        <f>IF($P357="","",IF(INDEX(EntryMan,$P357)=0,"",INDEX(EntryMan,$P357)))</f>
        <v/>
      </c>
      <c r="L357" s="26">
        <f>IF($B357="","",IF($K357="","—",IF(ROUND($K357-$J357,0)=0,"√","×")))</f>
        <v/>
      </c>
      <c r="M357" s="26">
        <f>IF($B357="","",IF(COUNTIFS(EntryDates,$B357,CalcTime,$C357,CalcBank,$C$5,EntryParty,$D357,EntryDep,$H357,EntryWit,$I357)&gt;1,"تکرار",""))</f>
        <v/>
      </c>
      <c r="N357" s="26">
        <f>IF($P357="","",IF(INDEX(EntryNotes,$P357)=0,"",INDEX(EntryNotes,$P357)))</f>
        <v/>
      </c>
      <c r="O357" s="26">
        <f>IF($P357="","",IF(INDEX(EntryTxnID,$P357)=0,"",INDEX(EntryTxnID,$P357)))</f>
        <v/>
      </c>
      <c r="P357" s="26">
        <f>IFERROR(MATCH($C$5&amp;"|"&amp;RIGHT("000000"&amp;341,6),CalcRankKey,0),"")</f>
        <v/>
      </c>
    </row>
    <row r="358">
      <c r="A358" s="28">
        <f>IF($B358="","",342)</f>
        <v/>
      </c>
      <c r="B358" s="28">
        <f>IF($P358="","",IF(INDEX(CalcNormDate,$P358)=0,"",INDEX(CalcNormDate,$P358)))</f>
        <v/>
      </c>
      <c r="C358" s="28">
        <f>IF($P358="","",IF(INDEX(CalcTime,$P358)=0,"",INDEX(CalcTime,$P358)))</f>
        <v/>
      </c>
      <c r="D358" s="28">
        <f>IF($P358="","",IF(INDEX(EntryParty,$P358)=0,"",INDEX(EntryParty,$P358)))</f>
        <v/>
      </c>
      <c r="E358" s="28">
        <f>IF($P358="","",IF(INDEX(EntryPartyName,$P358)=0,"",INDEX(EntryPartyName,$P358)))</f>
        <v/>
      </c>
      <c r="F358" s="28">
        <f>IF($P358="","",IF(INDEX(EntryPartyType,$P358)=0,"",INDEX(EntryPartyType,$P358)))</f>
        <v/>
      </c>
      <c r="G358" s="28">
        <f>IF($P358="","",IF(INDEX(EntryTxnType,$P358)=0,"",INDEX(EntryTxnType,$P358)))</f>
        <v/>
      </c>
      <c r="H358" s="29">
        <f>IF($P358="","",IF(INDEX(EntryDep,$P358)=0,"",INDEX(EntryDep,$P358)))</f>
        <v/>
      </c>
      <c r="I358" s="29">
        <f>IF($P358="","",IF(INDEX(EntryWit,$P358)=0,"",INDEX(EntryWit,$P358)))</f>
        <v/>
      </c>
      <c r="J358" s="29">
        <f>IF($B358="","",IF($A358=1,$C$7,IF(J357="",0,J357))+IF($H358="",0,$H358)-IF($I358="",0,$I358))</f>
        <v/>
      </c>
      <c r="K358" s="29">
        <f>IF($P358="","",IF(INDEX(EntryMan,$P358)=0,"",INDEX(EntryMan,$P358)))</f>
        <v/>
      </c>
      <c r="L358" s="28">
        <f>IF($B358="","",IF($K358="","—",IF(ROUND($K358-$J358,0)=0,"√","×")))</f>
        <v/>
      </c>
      <c r="M358" s="28">
        <f>IF($B358="","",IF(COUNTIFS(EntryDates,$B358,CalcTime,$C358,CalcBank,$C$5,EntryParty,$D358,EntryDep,$H358,EntryWit,$I358)&gt;1,"تکرار",""))</f>
        <v/>
      </c>
      <c r="N358" s="28">
        <f>IF($P358="","",IF(INDEX(EntryNotes,$P358)=0,"",INDEX(EntryNotes,$P358)))</f>
        <v/>
      </c>
      <c r="O358" s="28">
        <f>IF($P358="","",IF(INDEX(EntryTxnID,$P358)=0,"",INDEX(EntryTxnID,$P358)))</f>
        <v/>
      </c>
      <c r="P358" s="28">
        <f>IFERROR(MATCH($C$5&amp;"|"&amp;RIGHT("000000"&amp;342,6),CalcRankKey,0),"")</f>
        <v/>
      </c>
    </row>
    <row r="359">
      <c r="A359" s="26">
        <f>IF($B359="","",343)</f>
        <v/>
      </c>
      <c r="B359" s="26">
        <f>IF($P359="","",IF(INDEX(CalcNormDate,$P359)=0,"",INDEX(CalcNormDate,$P359)))</f>
        <v/>
      </c>
      <c r="C359" s="26">
        <f>IF($P359="","",IF(INDEX(CalcTime,$P359)=0,"",INDEX(CalcTime,$P359)))</f>
        <v/>
      </c>
      <c r="D359" s="26">
        <f>IF($P359="","",IF(INDEX(EntryParty,$P359)=0,"",INDEX(EntryParty,$P359)))</f>
        <v/>
      </c>
      <c r="E359" s="26">
        <f>IF($P359="","",IF(INDEX(EntryPartyName,$P359)=0,"",INDEX(EntryPartyName,$P359)))</f>
        <v/>
      </c>
      <c r="F359" s="26">
        <f>IF($P359="","",IF(INDEX(EntryPartyType,$P359)=0,"",INDEX(EntryPartyType,$P359)))</f>
        <v/>
      </c>
      <c r="G359" s="26">
        <f>IF($P359="","",IF(INDEX(EntryTxnType,$P359)=0,"",INDEX(EntryTxnType,$P359)))</f>
        <v/>
      </c>
      <c r="H359" s="27">
        <f>IF($P359="","",IF(INDEX(EntryDep,$P359)=0,"",INDEX(EntryDep,$P359)))</f>
        <v/>
      </c>
      <c r="I359" s="27">
        <f>IF($P359="","",IF(INDEX(EntryWit,$P359)=0,"",INDEX(EntryWit,$P359)))</f>
        <v/>
      </c>
      <c r="J359" s="27">
        <f>IF($B359="","",IF($A359=1,$C$7,IF(J358="",0,J358))+IF($H359="",0,$H359)-IF($I359="",0,$I359))</f>
        <v/>
      </c>
      <c r="K359" s="27">
        <f>IF($P359="","",IF(INDEX(EntryMan,$P359)=0,"",INDEX(EntryMan,$P359)))</f>
        <v/>
      </c>
      <c r="L359" s="26">
        <f>IF($B359="","",IF($K359="","—",IF(ROUND($K359-$J359,0)=0,"√","×")))</f>
        <v/>
      </c>
      <c r="M359" s="26">
        <f>IF($B359="","",IF(COUNTIFS(EntryDates,$B359,CalcTime,$C359,CalcBank,$C$5,EntryParty,$D359,EntryDep,$H359,EntryWit,$I359)&gt;1,"تکرار",""))</f>
        <v/>
      </c>
      <c r="N359" s="26">
        <f>IF($P359="","",IF(INDEX(EntryNotes,$P359)=0,"",INDEX(EntryNotes,$P359)))</f>
        <v/>
      </c>
      <c r="O359" s="26">
        <f>IF($P359="","",IF(INDEX(EntryTxnID,$P359)=0,"",INDEX(EntryTxnID,$P359)))</f>
        <v/>
      </c>
      <c r="P359" s="26">
        <f>IFERROR(MATCH($C$5&amp;"|"&amp;RIGHT("000000"&amp;343,6),CalcRankKey,0),"")</f>
        <v/>
      </c>
    </row>
    <row r="360">
      <c r="A360" s="28">
        <f>IF($B360="","",344)</f>
        <v/>
      </c>
      <c r="B360" s="28">
        <f>IF($P360="","",IF(INDEX(CalcNormDate,$P360)=0,"",INDEX(CalcNormDate,$P360)))</f>
        <v/>
      </c>
      <c r="C360" s="28">
        <f>IF($P360="","",IF(INDEX(CalcTime,$P360)=0,"",INDEX(CalcTime,$P360)))</f>
        <v/>
      </c>
      <c r="D360" s="28">
        <f>IF($P360="","",IF(INDEX(EntryParty,$P360)=0,"",INDEX(EntryParty,$P360)))</f>
        <v/>
      </c>
      <c r="E360" s="28">
        <f>IF($P360="","",IF(INDEX(EntryPartyName,$P360)=0,"",INDEX(EntryPartyName,$P360)))</f>
        <v/>
      </c>
      <c r="F360" s="28">
        <f>IF($P360="","",IF(INDEX(EntryPartyType,$P360)=0,"",INDEX(EntryPartyType,$P360)))</f>
        <v/>
      </c>
      <c r="G360" s="28">
        <f>IF($P360="","",IF(INDEX(EntryTxnType,$P360)=0,"",INDEX(EntryTxnType,$P360)))</f>
        <v/>
      </c>
      <c r="H360" s="29">
        <f>IF($P360="","",IF(INDEX(EntryDep,$P360)=0,"",INDEX(EntryDep,$P360)))</f>
        <v/>
      </c>
      <c r="I360" s="29">
        <f>IF($P360="","",IF(INDEX(EntryWit,$P360)=0,"",INDEX(EntryWit,$P360)))</f>
        <v/>
      </c>
      <c r="J360" s="29">
        <f>IF($B360="","",IF($A360=1,$C$7,IF(J359="",0,J359))+IF($H360="",0,$H360)-IF($I360="",0,$I360))</f>
        <v/>
      </c>
      <c r="K360" s="29">
        <f>IF($P360="","",IF(INDEX(EntryMan,$P360)=0,"",INDEX(EntryMan,$P360)))</f>
        <v/>
      </c>
      <c r="L360" s="28">
        <f>IF($B360="","",IF($K360="","—",IF(ROUND($K360-$J360,0)=0,"√","×")))</f>
        <v/>
      </c>
      <c r="M360" s="28">
        <f>IF($B360="","",IF(COUNTIFS(EntryDates,$B360,CalcTime,$C360,CalcBank,$C$5,EntryParty,$D360,EntryDep,$H360,EntryWit,$I360)&gt;1,"تکرار",""))</f>
        <v/>
      </c>
      <c r="N360" s="28">
        <f>IF($P360="","",IF(INDEX(EntryNotes,$P360)=0,"",INDEX(EntryNotes,$P360)))</f>
        <v/>
      </c>
      <c r="O360" s="28">
        <f>IF($P360="","",IF(INDEX(EntryTxnID,$P360)=0,"",INDEX(EntryTxnID,$P360)))</f>
        <v/>
      </c>
      <c r="P360" s="28">
        <f>IFERROR(MATCH($C$5&amp;"|"&amp;RIGHT("000000"&amp;344,6),CalcRankKey,0),"")</f>
        <v/>
      </c>
    </row>
    <row r="361">
      <c r="A361" s="26">
        <f>IF($B361="","",345)</f>
        <v/>
      </c>
      <c r="B361" s="26">
        <f>IF($P361="","",IF(INDEX(CalcNormDate,$P361)=0,"",INDEX(CalcNormDate,$P361)))</f>
        <v/>
      </c>
      <c r="C361" s="26">
        <f>IF($P361="","",IF(INDEX(CalcTime,$P361)=0,"",INDEX(CalcTime,$P361)))</f>
        <v/>
      </c>
      <c r="D361" s="26">
        <f>IF($P361="","",IF(INDEX(EntryParty,$P361)=0,"",INDEX(EntryParty,$P361)))</f>
        <v/>
      </c>
      <c r="E361" s="26">
        <f>IF($P361="","",IF(INDEX(EntryPartyName,$P361)=0,"",INDEX(EntryPartyName,$P361)))</f>
        <v/>
      </c>
      <c r="F361" s="26">
        <f>IF($P361="","",IF(INDEX(EntryPartyType,$P361)=0,"",INDEX(EntryPartyType,$P361)))</f>
        <v/>
      </c>
      <c r="G361" s="26">
        <f>IF($P361="","",IF(INDEX(EntryTxnType,$P361)=0,"",INDEX(EntryTxnType,$P361)))</f>
        <v/>
      </c>
      <c r="H361" s="27">
        <f>IF($P361="","",IF(INDEX(EntryDep,$P361)=0,"",INDEX(EntryDep,$P361)))</f>
        <v/>
      </c>
      <c r="I361" s="27">
        <f>IF($P361="","",IF(INDEX(EntryWit,$P361)=0,"",INDEX(EntryWit,$P361)))</f>
        <v/>
      </c>
      <c r="J361" s="27">
        <f>IF($B361="","",IF($A361=1,$C$7,IF(J360="",0,J360))+IF($H361="",0,$H361)-IF($I361="",0,$I361))</f>
        <v/>
      </c>
      <c r="K361" s="27">
        <f>IF($P361="","",IF(INDEX(EntryMan,$P361)=0,"",INDEX(EntryMan,$P361)))</f>
        <v/>
      </c>
      <c r="L361" s="26">
        <f>IF($B361="","",IF($K361="","—",IF(ROUND($K361-$J361,0)=0,"√","×")))</f>
        <v/>
      </c>
      <c r="M361" s="26">
        <f>IF($B361="","",IF(COUNTIFS(EntryDates,$B361,CalcTime,$C361,CalcBank,$C$5,EntryParty,$D361,EntryDep,$H361,EntryWit,$I361)&gt;1,"تکرار",""))</f>
        <v/>
      </c>
      <c r="N361" s="26">
        <f>IF($P361="","",IF(INDEX(EntryNotes,$P361)=0,"",INDEX(EntryNotes,$P361)))</f>
        <v/>
      </c>
      <c r="O361" s="26">
        <f>IF($P361="","",IF(INDEX(EntryTxnID,$P361)=0,"",INDEX(EntryTxnID,$P361)))</f>
        <v/>
      </c>
      <c r="P361" s="26">
        <f>IFERROR(MATCH($C$5&amp;"|"&amp;RIGHT("000000"&amp;345,6),CalcRankKey,0),"")</f>
        <v/>
      </c>
    </row>
    <row r="362">
      <c r="A362" s="28">
        <f>IF($B362="","",346)</f>
        <v/>
      </c>
      <c r="B362" s="28">
        <f>IF($P362="","",IF(INDEX(CalcNormDate,$P362)=0,"",INDEX(CalcNormDate,$P362)))</f>
        <v/>
      </c>
      <c r="C362" s="28">
        <f>IF($P362="","",IF(INDEX(CalcTime,$P362)=0,"",INDEX(CalcTime,$P362)))</f>
        <v/>
      </c>
      <c r="D362" s="28">
        <f>IF($P362="","",IF(INDEX(EntryParty,$P362)=0,"",INDEX(EntryParty,$P362)))</f>
        <v/>
      </c>
      <c r="E362" s="28">
        <f>IF($P362="","",IF(INDEX(EntryPartyName,$P362)=0,"",INDEX(EntryPartyName,$P362)))</f>
        <v/>
      </c>
      <c r="F362" s="28">
        <f>IF($P362="","",IF(INDEX(EntryPartyType,$P362)=0,"",INDEX(EntryPartyType,$P362)))</f>
        <v/>
      </c>
      <c r="G362" s="28">
        <f>IF($P362="","",IF(INDEX(EntryTxnType,$P362)=0,"",INDEX(EntryTxnType,$P362)))</f>
        <v/>
      </c>
      <c r="H362" s="29">
        <f>IF($P362="","",IF(INDEX(EntryDep,$P362)=0,"",INDEX(EntryDep,$P362)))</f>
        <v/>
      </c>
      <c r="I362" s="29">
        <f>IF($P362="","",IF(INDEX(EntryWit,$P362)=0,"",INDEX(EntryWit,$P362)))</f>
        <v/>
      </c>
      <c r="J362" s="29">
        <f>IF($B362="","",IF($A362=1,$C$7,IF(J361="",0,J361))+IF($H362="",0,$H362)-IF($I362="",0,$I362))</f>
        <v/>
      </c>
      <c r="K362" s="29">
        <f>IF($P362="","",IF(INDEX(EntryMan,$P362)=0,"",INDEX(EntryMan,$P362)))</f>
        <v/>
      </c>
      <c r="L362" s="28">
        <f>IF($B362="","",IF($K362="","—",IF(ROUND($K362-$J362,0)=0,"√","×")))</f>
        <v/>
      </c>
      <c r="M362" s="28">
        <f>IF($B362="","",IF(COUNTIFS(EntryDates,$B362,CalcTime,$C362,CalcBank,$C$5,EntryParty,$D362,EntryDep,$H362,EntryWit,$I362)&gt;1,"تکرار",""))</f>
        <v/>
      </c>
      <c r="N362" s="28">
        <f>IF($P362="","",IF(INDEX(EntryNotes,$P362)=0,"",INDEX(EntryNotes,$P362)))</f>
        <v/>
      </c>
      <c r="O362" s="28">
        <f>IF($P362="","",IF(INDEX(EntryTxnID,$P362)=0,"",INDEX(EntryTxnID,$P362)))</f>
        <v/>
      </c>
      <c r="P362" s="28">
        <f>IFERROR(MATCH($C$5&amp;"|"&amp;RIGHT("000000"&amp;346,6),CalcRankKey,0),"")</f>
        <v/>
      </c>
    </row>
    <row r="363">
      <c r="A363" s="26">
        <f>IF($B363="","",347)</f>
        <v/>
      </c>
      <c r="B363" s="26">
        <f>IF($P363="","",IF(INDEX(CalcNormDate,$P363)=0,"",INDEX(CalcNormDate,$P363)))</f>
        <v/>
      </c>
      <c r="C363" s="26">
        <f>IF($P363="","",IF(INDEX(CalcTime,$P363)=0,"",INDEX(CalcTime,$P363)))</f>
        <v/>
      </c>
      <c r="D363" s="26">
        <f>IF($P363="","",IF(INDEX(EntryParty,$P363)=0,"",INDEX(EntryParty,$P363)))</f>
        <v/>
      </c>
      <c r="E363" s="26">
        <f>IF($P363="","",IF(INDEX(EntryPartyName,$P363)=0,"",INDEX(EntryPartyName,$P363)))</f>
        <v/>
      </c>
      <c r="F363" s="26">
        <f>IF($P363="","",IF(INDEX(EntryPartyType,$P363)=0,"",INDEX(EntryPartyType,$P363)))</f>
        <v/>
      </c>
      <c r="G363" s="26">
        <f>IF($P363="","",IF(INDEX(EntryTxnType,$P363)=0,"",INDEX(EntryTxnType,$P363)))</f>
        <v/>
      </c>
      <c r="H363" s="27">
        <f>IF($P363="","",IF(INDEX(EntryDep,$P363)=0,"",INDEX(EntryDep,$P363)))</f>
        <v/>
      </c>
      <c r="I363" s="27">
        <f>IF($P363="","",IF(INDEX(EntryWit,$P363)=0,"",INDEX(EntryWit,$P363)))</f>
        <v/>
      </c>
      <c r="J363" s="27">
        <f>IF($B363="","",IF($A363=1,$C$7,IF(J362="",0,J362))+IF($H363="",0,$H363)-IF($I363="",0,$I363))</f>
        <v/>
      </c>
      <c r="K363" s="27">
        <f>IF($P363="","",IF(INDEX(EntryMan,$P363)=0,"",INDEX(EntryMan,$P363)))</f>
        <v/>
      </c>
      <c r="L363" s="26">
        <f>IF($B363="","",IF($K363="","—",IF(ROUND($K363-$J363,0)=0,"√","×")))</f>
        <v/>
      </c>
      <c r="M363" s="26">
        <f>IF($B363="","",IF(COUNTIFS(EntryDates,$B363,CalcTime,$C363,CalcBank,$C$5,EntryParty,$D363,EntryDep,$H363,EntryWit,$I363)&gt;1,"تکرار",""))</f>
        <v/>
      </c>
      <c r="N363" s="26">
        <f>IF($P363="","",IF(INDEX(EntryNotes,$P363)=0,"",INDEX(EntryNotes,$P363)))</f>
        <v/>
      </c>
      <c r="O363" s="26">
        <f>IF($P363="","",IF(INDEX(EntryTxnID,$P363)=0,"",INDEX(EntryTxnID,$P363)))</f>
        <v/>
      </c>
      <c r="P363" s="26">
        <f>IFERROR(MATCH($C$5&amp;"|"&amp;RIGHT("000000"&amp;347,6),CalcRankKey,0),"")</f>
        <v/>
      </c>
    </row>
    <row r="364">
      <c r="A364" s="28">
        <f>IF($B364="","",348)</f>
        <v/>
      </c>
      <c r="B364" s="28">
        <f>IF($P364="","",IF(INDEX(CalcNormDate,$P364)=0,"",INDEX(CalcNormDate,$P364)))</f>
        <v/>
      </c>
      <c r="C364" s="28">
        <f>IF($P364="","",IF(INDEX(CalcTime,$P364)=0,"",INDEX(CalcTime,$P364)))</f>
        <v/>
      </c>
      <c r="D364" s="28">
        <f>IF($P364="","",IF(INDEX(EntryParty,$P364)=0,"",INDEX(EntryParty,$P364)))</f>
        <v/>
      </c>
      <c r="E364" s="28">
        <f>IF($P364="","",IF(INDEX(EntryPartyName,$P364)=0,"",INDEX(EntryPartyName,$P364)))</f>
        <v/>
      </c>
      <c r="F364" s="28">
        <f>IF($P364="","",IF(INDEX(EntryPartyType,$P364)=0,"",INDEX(EntryPartyType,$P364)))</f>
        <v/>
      </c>
      <c r="G364" s="28">
        <f>IF($P364="","",IF(INDEX(EntryTxnType,$P364)=0,"",INDEX(EntryTxnType,$P364)))</f>
        <v/>
      </c>
      <c r="H364" s="29">
        <f>IF($P364="","",IF(INDEX(EntryDep,$P364)=0,"",INDEX(EntryDep,$P364)))</f>
        <v/>
      </c>
      <c r="I364" s="29">
        <f>IF($P364="","",IF(INDEX(EntryWit,$P364)=0,"",INDEX(EntryWit,$P364)))</f>
        <v/>
      </c>
      <c r="J364" s="29">
        <f>IF($B364="","",IF($A364=1,$C$7,IF(J363="",0,J363))+IF($H364="",0,$H364)-IF($I364="",0,$I364))</f>
        <v/>
      </c>
      <c r="K364" s="29">
        <f>IF($P364="","",IF(INDEX(EntryMan,$P364)=0,"",INDEX(EntryMan,$P364)))</f>
        <v/>
      </c>
      <c r="L364" s="28">
        <f>IF($B364="","",IF($K364="","—",IF(ROUND($K364-$J364,0)=0,"√","×")))</f>
        <v/>
      </c>
      <c r="M364" s="28">
        <f>IF($B364="","",IF(COUNTIFS(EntryDates,$B364,CalcTime,$C364,CalcBank,$C$5,EntryParty,$D364,EntryDep,$H364,EntryWit,$I364)&gt;1,"تکرار",""))</f>
        <v/>
      </c>
      <c r="N364" s="28">
        <f>IF($P364="","",IF(INDEX(EntryNotes,$P364)=0,"",INDEX(EntryNotes,$P364)))</f>
        <v/>
      </c>
      <c r="O364" s="28">
        <f>IF($P364="","",IF(INDEX(EntryTxnID,$P364)=0,"",INDEX(EntryTxnID,$P364)))</f>
        <v/>
      </c>
      <c r="P364" s="28">
        <f>IFERROR(MATCH($C$5&amp;"|"&amp;RIGHT("000000"&amp;348,6),CalcRankKey,0),"")</f>
        <v/>
      </c>
    </row>
    <row r="365">
      <c r="A365" s="26">
        <f>IF($B365="","",349)</f>
        <v/>
      </c>
      <c r="B365" s="26">
        <f>IF($P365="","",IF(INDEX(CalcNormDate,$P365)=0,"",INDEX(CalcNormDate,$P365)))</f>
        <v/>
      </c>
      <c r="C365" s="26">
        <f>IF($P365="","",IF(INDEX(CalcTime,$P365)=0,"",INDEX(CalcTime,$P365)))</f>
        <v/>
      </c>
      <c r="D365" s="26">
        <f>IF($P365="","",IF(INDEX(EntryParty,$P365)=0,"",INDEX(EntryParty,$P365)))</f>
        <v/>
      </c>
      <c r="E365" s="26">
        <f>IF($P365="","",IF(INDEX(EntryPartyName,$P365)=0,"",INDEX(EntryPartyName,$P365)))</f>
        <v/>
      </c>
      <c r="F365" s="26">
        <f>IF($P365="","",IF(INDEX(EntryPartyType,$P365)=0,"",INDEX(EntryPartyType,$P365)))</f>
        <v/>
      </c>
      <c r="G365" s="26">
        <f>IF($P365="","",IF(INDEX(EntryTxnType,$P365)=0,"",INDEX(EntryTxnType,$P365)))</f>
        <v/>
      </c>
      <c r="H365" s="27">
        <f>IF($P365="","",IF(INDEX(EntryDep,$P365)=0,"",INDEX(EntryDep,$P365)))</f>
        <v/>
      </c>
      <c r="I365" s="27">
        <f>IF($P365="","",IF(INDEX(EntryWit,$P365)=0,"",INDEX(EntryWit,$P365)))</f>
        <v/>
      </c>
      <c r="J365" s="27">
        <f>IF($B365="","",IF($A365=1,$C$7,IF(J364="",0,J364))+IF($H365="",0,$H365)-IF($I365="",0,$I365))</f>
        <v/>
      </c>
      <c r="K365" s="27">
        <f>IF($P365="","",IF(INDEX(EntryMan,$P365)=0,"",INDEX(EntryMan,$P365)))</f>
        <v/>
      </c>
      <c r="L365" s="26">
        <f>IF($B365="","",IF($K365="","—",IF(ROUND($K365-$J365,0)=0,"√","×")))</f>
        <v/>
      </c>
      <c r="M365" s="26">
        <f>IF($B365="","",IF(COUNTIFS(EntryDates,$B365,CalcTime,$C365,CalcBank,$C$5,EntryParty,$D365,EntryDep,$H365,EntryWit,$I365)&gt;1,"تکرار",""))</f>
        <v/>
      </c>
      <c r="N365" s="26">
        <f>IF($P365="","",IF(INDEX(EntryNotes,$P365)=0,"",INDEX(EntryNotes,$P365)))</f>
        <v/>
      </c>
      <c r="O365" s="26">
        <f>IF($P365="","",IF(INDEX(EntryTxnID,$P365)=0,"",INDEX(EntryTxnID,$P365)))</f>
        <v/>
      </c>
      <c r="P365" s="26">
        <f>IFERROR(MATCH($C$5&amp;"|"&amp;RIGHT("000000"&amp;349,6),CalcRankKey,0),"")</f>
        <v/>
      </c>
    </row>
    <row r="366">
      <c r="A366" s="28">
        <f>IF($B366="","",350)</f>
        <v/>
      </c>
      <c r="B366" s="28">
        <f>IF($P366="","",IF(INDEX(CalcNormDate,$P366)=0,"",INDEX(CalcNormDate,$P366)))</f>
        <v/>
      </c>
      <c r="C366" s="28">
        <f>IF($P366="","",IF(INDEX(CalcTime,$P366)=0,"",INDEX(CalcTime,$P366)))</f>
        <v/>
      </c>
      <c r="D366" s="28">
        <f>IF($P366="","",IF(INDEX(EntryParty,$P366)=0,"",INDEX(EntryParty,$P366)))</f>
        <v/>
      </c>
      <c r="E366" s="28">
        <f>IF($P366="","",IF(INDEX(EntryPartyName,$P366)=0,"",INDEX(EntryPartyName,$P366)))</f>
        <v/>
      </c>
      <c r="F366" s="28">
        <f>IF($P366="","",IF(INDEX(EntryPartyType,$P366)=0,"",INDEX(EntryPartyType,$P366)))</f>
        <v/>
      </c>
      <c r="G366" s="28">
        <f>IF($P366="","",IF(INDEX(EntryTxnType,$P366)=0,"",INDEX(EntryTxnType,$P366)))</f>
        <v/>
      </c>
      <c r="H366" s="29">
        <f>IF($P366="","",IF(INDEX(EntryDep,$P366)=0,"",INDEX(EntryDep,$P366)))</f>
        <v/>
      </c>
      <c r="I366" s="29">
        <f>IF($P366="","",IF(INDEX(EntryWit,$P366)=0,"",INDEX(EntryWit,$P366)))</f>
        <v/>
      </c>
      <c r="J366" s="29">
        <f>IF($B366="","",IF($A366=1,$C$7,IF(J365="",0,J365))+IF($H366="",0,$H366)-IF($I366="",0,$I366))</f>
        <v/>
      </c>
      <c r="K366" s="29">
        <f>IF($P366="","",IF(INDEX(EntryMan,$P366)=0,"",INDEX(EntryMan,$P366)))</f>
        <v/>
      </c>
      <c r="L366" s="28">
        <f>IF($B366="","",IF($K366="","—",IF(ROUND($K366-$J366,0)=0,"√","×")))</f>
        <v/>
      </c>
      <c r="M366" s="28">
        <f>IF($B366="","",IF(COUNTIFS(EntryDates,$B366,CalcTime,$C366,CalcBank,$C$5,EntryParty,$D366,EntryDep,$H366,EntryWit,$I366)&gt;1,"تکرار",""))</f>
        <v/>
      </c>
      <c r="N366" s="28">
        <f>IF($P366="","",IF(INDEX(EntryNotes,$P366)=0,"",INDEX(EntryNotes,$P366)))</f>
        <v/>
      </c>
      <c r="O366" s="28">
        <f>IF($P366="","",IF(INDEX(EntryTxnID,$P366)=0,"",INDEX(EntryTxnID,$P366)))</f>
        <v/>
      </c>
      <c r="P366" s="28">
        <f>IFERROR(MATCH($C$5&amp;"|"&amp;RIGHT("000000"&amp;350,6),CalcRankKey,0),"")</f>
        <v/>
      </c>
    </row>
    <row r="367">
      <c r="A367" s="26">
        <f>IF($B367="","",351)</f>
        <v/>
      </c>
      <c r="B367" s="26">
        <f>IF($P367="","",IF(INDEX(CalcNormDate,$P367)=0,"",INDEX(CalcNormDate,$P367)))</f>
        <v/>
      </c>
      <c r="C367" s="26">
        <f>IF($P367="","",IF(INDEX(CalcTime,$P367)=0,"",INDEX(CalcTime,$P367)))</f>
        <v/>
      </c>
      <c r="D367" s="26">
        <f>IF($P367="","",IF(INDEX(EntryParty,$P367)=0,"",INDEX(EntryParty,$P367)))</f>
        <v/>
      </c>
      <c r="E367" s="26">
        <f>IF($P367="","",IF(INDEX(EntryPartyName,$P367)=0,"",INDEX(EntryPartyName,$P367)))</f>
        <v/>
      </c>
      <c r="F367" s="26">
        <f>IF($P367="","",IF(INDEX(EntryPartyType,$P367)=0,"",INDEX(EntryPartyType,$P367)))</f>
        <v/>
      </c>
      <c r="G367" s="26">
        <f>IF($P367="","",IF(INDEX(EntryTxnType,$P367)=0,"",INDEX(EntryTxnType,$P367)))</f>
        <v/>
      </c>
      <c r="H367" s="27">
        <f>IF($P367="","",IF(INDEX(EntryDep,$P367)=0,"",INDEX(EntryDep,$P367)))</f>
        <v/>
      </c>
      <c r="I367" s="27">
        <f>IF($P367="","",IF(INDEX(EntryWit,$P367)=0,"",INDEX(EntryWit,$P367)))</f>
        <v/>
      </c>
      <c r="J367" s="27">
        <f>IF($B367="","",IF($A367=1,$C$7,IF(J366="",0,J366))+IF($H367="",0,$H367)-IF($I367="",0,$I367))</f>
        <v/>
      </c>
      <c r="K367" s="27">
        <f>IF($P367="","",IF(INDEX(EntryMan,$P367)=0,"",INDEX(EntryMan,$P367)))</f>
        <v/>
      </c>
      <c r="L367" s="26">
        <f>IF($B367="","",IF($K367="","—",IF(ROUND($K367-$J367,0)=0,"√","×")))</f>
        <v/>
      </c>
      <c r="M367" s="26">
        <f>IF($B367="","",IF(COUNTIFS(EntryDates,$B367,CalcTime,$C367,CalcBank,$C$5,EntryParty,$D367,EntryDep,$H367,EntryWit,$I367)&gt;1,"تکرار",""))</f>
        <v/>
      </c>
      <c r="N367" s="26">
        <f>IF($P367="","",IF(INDEX(EntryNotes,$P367)=0,"",INDEX(EntryNotes,$P367)))</f>
        <v/>
      </c>
      <c r="O367" s="26">
        <f>IF($P367="","",IF(INDEX(EntryTxnID,$P367)=0,"",INDEX(EntryTxnID,$P367)))</f>
        <v/>
      </c>
      <c r="P367" s="26">
        <f>IFERROR(MATCH($C$5&amp;"|"&amp;RIGHT("000000"&amp;351,6),CalcRankKey,0),"")</f>
        <v/>
      </c>
    </row>
    <row r="368">
      <c r="A368" s="28">
        <f>IF($B368="","",352)</f>
        <v/>
      </c>
      <c r="B368" s="28">
        <f>IF($P368="","",IF(INDEX(CalcNormDate,$P368)=0,"",INDEX(CalcNormDate,$P368)))</f>
        <v/>
      </c>
      <c r="C368" s="28">
        <f>IF($P368="","",IF(INDEX(CalcTime,$P368)=0,"",INDEX(CalcTime,$P368)))</f>
        <v/>
      </c>
      <c r="D368" s="28">
        <f>IF($P368="","",IF(INDEX(EntryParty,$P368)=0,"",INDEX(EntryParty,$P368)))</f>
        <v/>
      </c>
      <c r="E368" s="28">
        <f>IF($P368="","",IF(INDEX(EntryPartyName,$P368)=0,"",INDEX(EntryPartyName,$P368)))</f>
        <v/>
      </c>
      <c r="F368" s="28">
        <f>IF($P368="","",IF(INDEX(EntryPartyType,$P368)=0,"",INDEX(EntryPartyType,$P368)))</f>
        <v/>
      </c>
      <c r="G368" s="28">
        <f>IF($P368="","",IF(INDEX(EntryTxnType,$P368)=0,"",INDEX(EntryTxnType,$P368)))</f>
        <v/>
      </c>
      <c r="H368" s="29">
        <f>IF($P368="","",IF(INDEX(EntryDep,$P368)=0,"",INDEX(EntryDep,$P368)))</f>
        <v/>
      </c>
      <c r="I368" s="29">
        <f>IF($P368="","",IF(INDEX(EntryWit,$P368)=0,"",INDEX(EntryWit,$P368)))</f>
        <v/>
      </c>
      <c r="J368" s="29">
        <f>IF($B368="","",IF($A368=1,$C$7,IF(J367="",0,J367))+IF($H368="",0,$H368)-IF($I368="",0,$I368))</f>
        <v/>
      </c>
      <c r="K368" s="29">
        <f>IF($P368="","",IF(INDEX(EntryMan,$P368)=0,"",INDEX(EntryMan,$P368)))</f>
        <v/>
      </c>
      <c r="L368" s="28">
        <f>IF($B368="","",IF($K368="","—",IF(ROUND($K368-$J368,0)=0,"√","×")))</f>
        <v/>
      </c>
      <c r="M368" s="28">
        <f>IF($B368="","",IF(COUNTIFS(EntryDates,$B368,CalcTime,$C368,CalcBank,$C$5,EntryParty,$D368,EntryDep,$H368,EntryWit,$I368)&gt;1,"تکرار",""))</f>
        <v/>
      </c>
      <c r="N368" s="28">
        <f>IF($P368="","",IF(INDEX(EntryNotes,$P368)=0,"",INDEX(EntryNotes,$P368)))</f>
        <v/>
      </c>
      <c r="O368" s="28">
        <f>IF($P368="","",IF(INDEX(EntryTxnID,$P368)=0,"",INDEX(EntryTxnID,$P368)))</f>
        <v/>
      </c>
      <c r="P368" s="28">
        <f>IFERROR(MATCH($C$5&amp;"|"&amp;RIGHT("000000"&amp;352,6),CalcRankKey,0),"")</f>
        <v/>
      </c>
    </row>
    <row r="369">
      <c r="A369" s="26">
        <f>IF($B369="","",353)</f>
        <v/>
      </c>
      <c r="B369" s="26">
        <f>IF($P369="","",IF(INDEX(CalcNormDate,$P369)=0,"",INDEX(CalcNormDate,$P369)))</f>
        <v/>
      </c>
      <c r="C369" s="26">
        <f>IF($P369="","",IF(INDEX(CalcTime,$P369)=0,"",INDEX(CalcTime,$P369)))</f>
        <v/>
      </c>
      <c r="D369" s="26">
        <f>IF($P369="","",IF(INDEX(EntryParty,$P369)=0,"",INDEX(EntryParty,$P369)))</f>
        <v/>
      </c>
      <c r="E369" s="26">
        <f>IF($P369="","",IF(INDEX(EntryPartyName,$P369)=0,"",INDEX(EntryPartyName,$P369)))</f>
        <v/>
      </c>
      <c r="F369" s="26">
        <f>IF($P369="","",IF(INDEX(EntryPartyType,$P369)=0,"",INDEX(EntryPartyType,$P369)))</f>
        <v/>
      </c>
      <c r="G369" s="26">
        <f>IF($P369="","",IF(INDEX(EntryTxnType,$P369)=0,"",INDEX(EntryTxnType,$P369)))</f>
        <v/>
      </c>
      <c r="H369" s="27">
        <f>IF($P369="","",IF(INDEX(EntryDep,$P369)=0,"",INDEX(EntryDep,$P369)))</f>
        <v/>
      </c>
      <c r="I369" s="27">
        <f>IF($P369="","",IF(INDEX(EntryWit,$P369)=0,"",INDEX(EntryWit,$P369)))</f>
        <v/>
      </c>
      <c r="J369" s="27">
        <f>IF($B369="","",IF($A369=1,$C$7,IF(J368="",0,J368))+IF($H369="",0,$H369)-IF($I369="",0,$I369))</f>
        <v/>
      </c>
      <c r="K369" s="27">
        <f>IF($P369="","",IF(INDEX(EntryMan,$P369)=0,"",INDEX(EntryMan,$P369)))</f>
        <v/>
      </c>
      <c r="L369" s="26">
        <f>IF($B369="","",IF($K369="","—",IF(ROUND($K369-$J369,0)=0,"√","×")))</f>
        <v/>
      </c>
      <c r="M369" s="26">
        <f>IF($B369="","",IF(COUNTIFS(EntryDates,$B369,CalcTime,$C369,CalcBank,$C$5,EntryParty,$D369,EntryDep,$H369,EntryWit,$I369)&gt;1,"تکرار",""))</f>
        <v/>
      </c>
      <c r="N369" s="26">
        <f>IF($P369="","",IF(INDEX(EntryNotes,$P369)=0,"",INDEX(EntryNotes,$P369)))</f>
        <v/>
      </c>
      <c r="O369" s="26">
        <f>IF($P369="","",IF(INDEX(EntryTxnID,$P369)=0,"",INDEX(EntryTxnID,$P369)))</f>
        <v/>
      </c>
      <c r="P369" s="26">
        <f>IFERROR(MATCH($C$5&amp;"|"&amp;RIGHT("000000"&amp;353,6),CalcRankKey,0),"")</f>
        <v/>
      </c>
    </row>
    <row r="370">
      <c r="A370" s="28">
        <f>IF($B370="","",354)</f>
        <v/>
      </c>
      <c r="B370" s="28">
        <f>IF($P370="","",IF(INDEX(CalcNormDate,$P370)=0,"",INDEX(CalcNormDate,$P370)))</f>
        <v/>
      </c>
      <c r="C370" s="28">
        <f>IF($P370="","",IF(INDEX(CalcTime,$P370)=0,"",INDEX(CalcTime,$P370)))</f>
        <v/>
      </c>
      <c r="D370" s="28">
        <f>IF($P370="","",IF(INDEX(EntryParty,$P370)=0,"",INDEX(EntryParty,$P370)))</f>
        <v/>
      </c>
      <c r="E370" s="28">
        <f>IF($P370="","",IF(INDEX(EntryPartyName,$P370)=0,"",INDEX(EntryPartyName,$P370)))</f>
        <v/>
      </c>
      <c r="F370" s="28">
        <f>IF($P370="","",IF(INDEX(EntryPartyType,$P370)=0,"",INDEX(EntryPartyType,$P370)))</f>
        <v/>
      </c>
      <c r="G370" s="28">
        <f>IF($P370="","",IF(INDEX(EntryTxnType,$P370)=0,"",INDEX(EntryTxnType,$P370)))</f>
        <v/>
      </c>
      <c r="H370" s="29">
        <f>IF($P370="","",IF(INDEX(EntryDep,$P370)=0,"",INDEX(EntryDep,$P370)))</f>
        <v/>
      </c>
      <c r="I370" s="29">
        <f>IF($P370="","",IF(INDEX(EntryWit,$P370)=0,"",INDEX(EntryWit,$P370)))</f>
        <v/>
      </c>
      <c r="J370" s="29">
        <f>IF($B370="","",IF($A370=1,$C$7,IF(J369="",0,J369))+IF($H370="",0,$H370)-IF($I370="",0,$I370))</f>
        <v/>
      </c>
      <c r="K370" s="29">
        <f>IF($P370="","",IF(INDEX(EntryMan,$P370)=0,"",INDEX(EntryMan,$P370)))</f>
        <v/>
      </c>
      <c r="L370" s="28">
        <f>IF($B370="","",IF($K370="","—",IF(ROUND($K370-$J370,0)=0,"√","×")))</f>
        <v/>
      </c>
      <c r="M370" s="28">
        <f>IF($B370="","",IF(COUNTIFS(EntryDates,$B370,CalcTime,$C370,CalcBank,$C$5,EntryParty,$D370,EntryDep,$H370,EntryWit,$I370)&gt;1,"تکرار",""))</f>
        <v/>
      </c>
      <c r="N370" s="28">
        <f>IF($P370="","",IF(INDEX(EntryNotes,$P370)=0,"",INDEX(EntryNotes,$P370)))</f>
        <v/>
      </c>
      <c r="O370" s="28">
        <f>IF($P370="","",IF(INDEX(EntryTxnID,$P370)=0,"",INDEX(EntryTxnID,$P370)))</f>
        <v/>
      </c>
      <c r="P370" s="28">
        <f>IFERROR(MATCH($C$5&amp;"|"&amp;RIGHT("000000"&amp;354,6),CalcRankKey,0),"")</f>
        <v/>
      </c>
    </row>
    <row r="371">
      <c r="A371" s="26">
        <f>IF($B371="","",355)</f>
        <v/>
      </c>
      <c r="B371" s="26">
        <f>IF($P371="","",IF(INDEX(CalcNormDate,$P371)=0,"",INDEX(CalcNormDate,$P371)))</f>
        <v/>
      </c>
      <c r="C371" s="26">
        <f>IF($P371="","",IF(INDEX(CalcTime,$P371)=0,"",INDEX(CalcTime,$P371)))</f>
        <v/>
      </c>
      <c r="D371" s="26">
        <f>IF($P371="","",IF(INDEX(EntryParty,$P371)=0,"",INDEX(EntryParty,$P371)))</f>
        <v/>
      </c>
      <c r="E371" s="26">
        <f>IF($P371="","",IF(INDEX(EntryPartyName,$P371)=0,"",INDEX(EntryPartyName,$P371)))</f>
        <v/>
      </c>
      <c r="F371" s="26">
        <f>IF($P371="","",IF(INDEX(EntryPartyType,$P371)=0,"",INDEX(EntryPartyType,$P371)))</f>
        <v/>
      </c>
      <c r="G371" s="26">
        <f>IF($P371="","",IF(INDEX(EntryTxnType,$P371)=0,"",INDEX(EntryTxnType,$P371)))</f>
        <v/>
      </c>
      <c r="H371" s="27">
        <f>IF($P371="","",IF(INDEX(EntryDep,$P371)=0,"",INDEX(EntryDep,$P371)))</f>
        <v/>
      </c>
      <c r="I371" s="27">
        <f>IF($P371="","",IF(INDEX(EntryWit,$P371)=0,"",INDEX(EntryWit,$P371)))</f>
        <v/>
      </c>
      <c r="J371" s="27">
        <f>IF($B371="","",IF($A371=1,$C$7,IF(J370="",0,J370))+IF($H371="",0,$H371)-IF($I371="",0,$I371))</f>
        <v/>
      </c>
      <c r="K371" s="27">
        <f>IF($P371="","",IF(INDEX(EntryMan,$P371)=0,"",INDEX(EntryMan,$P371)))</f>
        <v/>
      </c>
      <c r="L371" s="26">
        <f>IF($B371="","",IF($K371="","—",IF(ROUND($K371-$J371,0)=0,"√","×")))</f>
        <v/>
      </c>
      <c r="M371" s="26">
        <f>IF($B371="","",IF(COUNTIFS(EntryDates,$B371,CalcTime,$C371,CalcBank,$C$5,EntryParty,$D371,EntryDep,$H371,EntryWit,$I371)&gt;1,"تکرار",""))</f>
        <v/>
      </c>
      <c r="N371" s="26">
        <f>IF($P371="","",IF(INDEX(EntryNotes,$P371)=0,"",INDEX(EntryNotes,$P371)))</f>
        <v/>
      </c>
      <c r="O371" s="26">
        <f>IF($P371="","",IF(INDEX(EntryTxnID,$P371)=0,"",INDEX(EntryTxnID,$P371)))</f>
        <v/>
      </c>
      <c r="P371" s="26">
        <f>IFERROR(MATCH($C$5&amp;"|"&amp;RIGHT("000000"&amp;355,6),CalcRankKey,0),"")</f>
        <v/>
      </c>
    </row>
    <row r="372">
      <c r="A372" s="28">
        <f>IF($B372="","",356)</f>
        <v/>
      </c>
      <c r="B372" s="28">
        <f>IF($P372="","",IF(INDEX(CalcNormDate,$P372)=0,"",INDEX(CalcNormDate,$P372)))</f>
        <v/>
      </c>
      <c r="C372" s="28">
        <f>IF($P372="","",IF(INDEX(CalcTime,$P372)=0,"",INDEX(CalcTime,$P372)))</f>
        <v/>
      </c>
      <c r="D372" s="28">
        <f>IF($P372="","",IF(INDEX(EntryParty,$P372)=0,"",INDEX(EntryParty,$P372)))</f>
        <v/>
      </c>
      <c r="E372" s="28">
        <f>IF($P372="","",IF(INDEX(EntryPartyName,$P372)=0,"",INDEX(EntryPartyName,$P372)))</f>
        <v/>
      </c>
      <c r="F372" s="28">
        <f>IF($P372="","",IF(INDEX(EntryPartyType,$P372)=0,"",INDEX(EntryPartyType,$P372)))</f>
        <v/>
      </c>
      <c r="G372" s="28">
        <f>IF($P372="","",IF(INDEX(EntryTxnType,$P372)=0,"",INDEX(EntryTxnType,$P372)))</f>
        <v/>
      </c>
      <c r="H372" s="29">
        <f>IF($P372="","",IF(INDEX(EntryDep,$P372)=0,"",INDEX(EntryDep,$P372)))</f>
        <v/>
      </c>
      <c r="I372" s="29">
        <f>IF($P372="","",IF(INDEX(EntryWit,$P372)=0,"",INDEX(EntryWit,$P372)))</f>
        <v/>
      </c>
      <c r="J372" s="29">
        <f>IF($B372="","",IF($A372=1,$C$7,IF(J371="",0,J371))+IF($H372="",0,$H372)-IF($I372="",0,$I372))</f>
        <v/>
      </c>
      <c r="K372" s="29">
        <f>IF($P372="","",IF(INDEX(EntryMan,$P372)=0,"",INDEX(EntryMan,$P372)))</f>
        <v/>
      </c>
      <c r="L372" s="28">
        <f>IF($B372="","",IF($K372="","—",IF(ROUND($K372-$J372,0)=0,"√","×")))</f>
        <v/>
      </c>
      <c r="M372" s="28">
        <f>IF($B372="","",IF(COUNTIFS(EntryDates,$B372,CalcTime,$C372,CalcBank,$C$5,EntryParty,$D372,EntryDep,$H372,EntryWit,$I372)&gt;1,"تکرار",""))</f>
        <v/>
      </c>
      <c r="N372" s="28">
        <f>IF($P372="","",IF(INDEX(EntryNotes,$P372)=0,"",INDEX(EntryNotes,$P372)))</f>
        <v/>
      </c>
      <c r="O372" s="28">
        <f>IF($P372="","",IF(INDEX(EntryTxnID,$P372)=0,"",INDEX(EntryTxnID,$P372)))</f>
        <v/>
      </c>
      <c r="P372" s="28">
        <f>IFERROR(MATCH($C$5&amp;"|"&amp;RIGHT("000000"&amp;356,6),CalcRankKey,0),"")</f>
        <v/>
      </c>
    </row>
    <row r="373">
      <c r="A373" s="26">
        <f>IF($B373="","",357)</f>
        <v/>
      </c>
      <c r="B373" s="26">
        <f>IF($P373="","",IF(INDEX(CalcNormDate,$P373)=0,"",INDEX(CalcNormDate,$P373)))</f>
        <v/>
      </c>
      <c r="C373" s="26">
        <f>IF($P373="","",IF(INDEX(CalcTime,$P373)=0,"",INDEX(CalcTime,$P373)))</f>
        <v/>
      </c>
      <c r="D373" s="26">
        <f>IF($P373="","",IF(INDEX(EntryParty,$P373)=0,"",INDEX(EntryParty,$P373)))</f>
        <v/>
      </c>
      <c r="E373" s="26">
        <f>IF($P373="","",IF(INDEX(EntryPartyName,$P373)=0,"",INDEX(EntryPartyName,$P373)))</f>
        <v/>
      </c>
      <c r="F373" s="26">
        <f>IF($P373="","",IF(INDEX(EntryPartyType,$P373)=0,"",INDEX(EntryPartyType,$P373)))</f>
        <v/>
      </c>
      <c r="G373" s="26">
        <f>IF($P373="","",IF(INDEX(EntryTxnType,$P373)=0,"",INDEX(EntryTxnType,$P373)))</f>
        <v/>
      </c>
      <c r="H373" s="27">
        <f>IF($P373="","",IF(INDEX(EntryDep,$P373)=0,"",INDEX(EntryDep,$P373)))</f>
        <v/>
      </c>
      <c r="I373" s="27">
        <f>IF($P373="","",IF(INDEX(EntryWit,$P373)=0,"",INDEX(EntryWit,$P373)))</f>
        <v/>
      </c>
      <c r="J373" s="27">
        <f>IF($B373="","",IF($A373=1,$C$7,IF(J372="",0,J372))+IF($H373="",0,$H373)-IF($I373="",0,$I373))</f>
        <v/>
      </c>
      <c r="K373" s="27">
        <f>IF($P373="","",IF(INDEX(EntryMan,$P373)=0,"",INDEX(EntryMan,$P373)))</f>
        <v/>
      </c>
      <c r="L373" s="26">
        <f>IF($B373="","",IF($K373="","—",IF(ROUND($K373-$J373,0)=0,"√","×")))</f>
        <v/>
      </c>
      <c r="M373" s="26">
        <f>IF($B373="","",IF(COUNTIFS(EntryDates,$B373,CalcTime,$C373,CalcBank,$C$5,EntryParty,$D373,EntryDep,$H373,EntryWit,$I373)&gt;1,"تکرار",""))</f>
        <v/>
      </c>
      <c r="N373" s="26">
        <f>IF($P373="","",IF(INDEX(EntryNotes,$P373)=0,"",INDEX(EntryNotes,$P373)))</f>
        <v/>
      </c>
      <c r="O373" s="26">
        <f>IF($P373="","",IF(INDEX(EntryTxnID,$P373)=0,"",INDEX(EntryTxnID,$P373)))</f>
        <v/>
      </c>
      <c r="P373" s="26">
        <f>IFERROR(MATCH($C$5&amp;"|"&amp;RIGHT("000000"&amp;357,6),CalcRankKey,0),"")</f>
        <v/>
      </c>
    </row>
    <row r="374">
      <c r="A374" s="28">
        <f>IF($B374="","",358)</f>
        <v/>
      </c>
      <c r="B374" s="28">
        <f>IF($P374="","",IF(INDEX(CalcNormDate,$P374)=0,"",INDEX(CalcNormDate,$P374)))</f>
        <v/>
      </c>
      <c r="C374" s="28">
        <f>IF($P374="","",IF(INDEX(CalcTime,$P374)=0,"",INDEX(CalcTime,$P374)))</f>
        <v/>
      </c>
      <c r="D374" s="28">
        <f>IF($P374="","",IF(INDEX(EntryParty,$P374)=0,"",INDEX(EntryParty,$P374)))</f>
        <v/>
      </c>
      <c r="E374" s="28">
        <f>IF($P374="","",IF(INDEX(EntryPartyName,$P374)=0,"",INDEX(EntryPartyName,$P374)))</f>
        <v/>
      </c>
      <c r="F374" s="28">
        <f>IF($P374="","",IF(INDEX(EntryPartyType,$P374)=0,"",INDEX(EntryPartyType,$P374)))</f>
        <v/>
      </c>
      <c r="G374" s="28">
        <f>IF($P374="","",IF(INDEX(EntryTxnType,$P374)=0,"",INDEX(EntryTxnType,$P374)))</f>
        <v/>
      </c>
      <c r="H374" s="29">
        <f>IF($P374="","",IF(INDEX(EntryDep,$P374)=0,"",INDEX(EntryDep,$P374)))</f>
        <v/>
      </c>
      <c r="I374" s="29">
        <f>IF($P374="","",IF(INDEX(EntryWit,$P374)=0,"",INDEX(EntryWit,$P374)))</f>
        <v/>
      </c>
      <c r="J374" s="29">
        <f>IF($B374="","",IF($A374=1,$C$7,IF(J373="",0,J373))+IF($H374="",0,$H374)-IF($I374="",0,$I374))</f>
        <v/>
      </c>
      <c r="K374" s="29">
        <f>IF($P374="","",IF(INDEX(EntryMan,$P374)=0,"",INDEX(EntryMan,$P374)))</f>
        <v/>
      </c>
      <c r="L374" s="28">
        <f>IF($B374="","",IF($K374="","—",IF(ROUND($K374-$J374,0)=0,"√","×")))</f>
        <v/>
      </c>
      <c r="M374" s="28">
        <f>IF($B374="","",IF(COUNTIFS(EntryDates,$B374,CalcTime,$C374,CalcBank,$C$5,EntryParty,$D374,EntryDep,$H374,EntryWit,$I374)&gt;1,"تکرار",""))</f>
        <v/>
      </c>
      <c r="N374" s="28">
        <f>IF($P374="","",IF(INDEX(EntryNotes,$P374)=0,"",INDEX(EntryNotes,$P374)))</f>
        <v/>
      </c>
      <c r="O374" s="28">
        <f>IF($P374="","",IF(INDEX(EntryTxnID,$P374)=0,"",INDEX(EntryTxnID,$P374)))</f>
        <v/>
      </c>
      <c r="P374" s="28">
        <f>IFERROR(MATCH($C$5&amp;"|"&amp;RIGHT("000000"&amp;358,6),CalcRankKey,0),"")</f>
        <v/>
      </c>
    </row>
    <row r="375">
      <c r="A375" s="26">
        <f>IF($B375="","",359)</f>
        <v/>
      </c>
      <c r="B375" s="26">
        <f>IF($P375="","",IF(INDEX(CalcNormDate,$P375)=0,"",INDEX(CalcNormDate,$P375)))</f>
        <v/>
      </c>
      <c r="C375" s="26">
        <f>IF($P375="","",IF(INDEX(CalcTime,$P375)=0,"",INDEX(CalcTime,$P375)))</f>
        <v/>
      </c>
      <c r="D375" s="26">
        <f>IF($P375="","",IF(INDEX(EntryParty,$P375)=0,"",INDEX(EntryParty,$P375)))</f>
        <v/>
      </c>
      <c r="E375" s="26">
        <f>IF($P375="","",IF(INDEX(EntryPartyName,$P375)=0,"",INDEX(EntryPartyName,$P375)))</f>
        <v/>
      </c>
      <c r="F375" s="26">
        <f>IF($P375="","",IF(INDEX(EntryPartyType,$P375)=0,"",INDEX(EntryPartyType,$P375)))</f>
        <v/>
      </c>
      <c r="G375" s="26">
        <f>IF($P375="","",IF(INDEX(EntryTxnType,$P375)=0,"",INDEX(EntryTxnType,$P375)))</f>
        <v/>
      </c>
      <c r="H375" s="27">
        <f>IF($P375="","",IF(INDEX(EntryDep,$P375)=0,"",INDEX(EntryDep,$P375)))</f>
        <v/>
      </c>
      <c r="I375" s="27">
        <f>IF($P375="","",IF(INDEX(EntryWit,$P375)=0,"",INDEX(EntryWit,$P375)))</f>
        <v/>
      </c>
      <c r="J375" s="27">
        <f>IF($B375="","",IF($A375=1,$C$7,IF(J374="",0,J374))+IF($H375="",0,$H375)-IF($I375="",0,$I375))</f>
        <v/>
      </c>
      <c r="K375" s="27">
        <f>IF($P375="","",IF(INDEX(EntryMan,$P375)=0,"",INDEX(EntryMan,$P375)))</f>
        <v/>
      </c>
      <c r="L375" s="26">
        <f>IF($B375="","",IF($K375="","—",IF(ROUND($K375-$J375,0)=0,"√","×")))</f>
        <v/>
      </c>
      <c r="M375" s="26">
        <f>IF($B375="","",IF(COUNTIFS(EntryDates,$B375,CalcTime,$C375,CalcBank,$C$5,EntryParty,$D375,EntryDep,$H375,EntryWit,$I375)&gt;1,"تکرار",""))</f>
        <v/>
      </c>
      <c r="N375" s="26">
        <f>IF($P375="","",IF(INDEX(EntryNotes,$P375)=0,"",INDEX(EntryNotes,$P375)))</f>
        <v/>
      </c>
      <c r="O375" s="26">
        <f>IF($P375="","",IF(INDEX(EntryTxnID,$P375)=0,"",INDEX(EntryTxnID,$P375)))</f>
        <v/>
      </c>
      <c r="P375" s="26">
        <f>IFERROR(MATCH($C$5&amp;"|"&amp;RIGHT("000000"&amp;359,6),CalcRankKey,0),"")</f>
        <v/>
      </c>
    </row>
    <row r="376">
      <c r="A376" s="28">
        <f>IF($B376="","",360)</f>
        <v/>
      </c>
      <c r="B376" s="28">
        <f>IF($P376="","",IF(INDEX(CalcNormDate,$P376)=0,"",INDEX(CalcNormDate,$P376)))</f>
        <v/>
      </c>
      <c r="C376" s="28">
        <f>IF($P376="","",IF(INDEX(CalcTime,$P376)=0,"",INDEX(CalcTime,$P376)))</f>
        <v/>
      </c>
      <c r="D376" s="28">
        <f>IF($P376="","",IF(INDEX(EntryParty,$P376)=0,"",INDEX(EntryParty,$P376)))</f>
        <v/>
      </c>
      <c r="E376" s="28">
        <f>IF($P376="","",IF(INDEX(EntryPartyName,$P376)=0,"",INDEX(EntryPartyName,$P376)))</f>
        <v/>
      </c>
      <c r="F376" s="28">
        <f>IF($P376="","",IF(INDEX(EntryPartyType,$P376)=0,"",INDEX(EntryPartyType,$P376)))</f>
        <v/>
      </c>
      <c r="G376" s="28">
        <f>IF($P376="","",IF(INDEX(EntryTxnType,$P376)=0,"",INDEX(EntryTxnType,$P376)))</f>
        <v/>
      </c>
      <c r="H376" s="29">
        <f>IF($P376="","",IF(INDEX(EntryDep,$P376)=0,"",INDEX(EntryDep,$P376)))</f>
        <v/>
      </c>
      <c r="I376" s="29">
        <f>IF($P376="","",IF(INDEX(EntryWit,$P376)=0,"",INDEX(EntryWit,$P376)))</f>
        <v/>
      </c>
      <c r="J376" s="29">
        <f>IF($B376="","",IF($A376=1,$C$7,IF(J375="",0,J375))+IF($H376="",0,$H376)-IF($I376="",0,$I376))</f>
        <v/>
      </c>
      <c r="K376" s="29">
        <f>IF($P376="","",IF(INDEX(EntryMan,$P376)=0,"",INDEX(EntryMan,$P376)))</f>
        <v/>
      </c>
      <c r="L376" s="28">
        <f>IF($B376="","",IF($K376="","—",IF(ROUND($K376-$J376,0)=0,"√","×")))</f>
        <v/>
      </c>
      <c r="M376" s="28">
        <f>IF($B376="","",IF(COUNTIFS(EntryDates,$B376,CalcTime,$C376,CalcBank,$C$5,EntryParty,$D376,EntryDep,$H376,EntryWit,$I376)&gt;1,"تکرار",""))</f>
        <v/>
      </c>
      <c r="N376" s="28">
        <f>IF($P376="","",IF(INDEX(EntryNotes,$P376)=0,"",INDEX(EntryNotes,$P376)))</f>
        <v/>
      </c>
      <c r="O376" s="28">
        <f>IF($P376="","",IF(INDEX(EntryTxnID,$P376)=0,"",INDEX(EntryTxnID,$P376)))</f>
        <v/>
      </c>
      <c r="P376" s="28">
        <f>IFERROR(MATCH($C$5&amp;"|"&amp;RIGHT("000000"&amp;360,6),CalcRankKey,0),"")</f>
        <v/>
      </c>
    </row>
    <row r="377">
      <c r="A377" s="26">
        <f>IF($B377="","",361)</f>
        <v/>
      </c>
      <c r="B377" s="26">
        <f>IF($P377="","",IF(INDEX(CalcNormDate,$P377)=0,"",INDEX(CalcNormDate,$P377)))</f>
        <v/>
      </c>
      <c r="C377" s="26">
        <f>IF($P377="","",IF(INDEX(CalcTime,$P377)=0,"",INDEX(CalcTime,$P377)))</f>
        <v/>
      </c>
      <c r="D377" s="26">
        <f>IF($P377="","",IF(INDEX(EntryParty,$P377)=0,"",INDEX(EntryParty,$P377)))</f>
        <v/>
      </c>
      <c r="E377" s="26">
        <f>IF($P377="","",IF(INDEX(EntryPartyName,$P377)=0,"",INDEX(EntryPartyName,$P377)))</f>
        <v/>
      </c>
      <c r="F377" s="26">
        <f>IF($P377="","",IF(INDEX(EntryPartyType,$P377)=0,"",INDEX(EntryPartyType,$P377)))</f>
        <v/>
      </c>
      <c r="G377" s="26">
        <f>IF($P377="","",IF(INDEX(EntryTxnType,$P377)=0,"",INDEX(EntryTxnType,$P377)))</f>
        <v/>
      </c>
      <c r="H377" s="27">
        <f>IF($P377="","",IF(INDEX(EntryDep,$P377)=0,"",INDEX(EntryDep,$P377)))</f>
        <v/>
      </c>
      <c r="I377" s="27">
        <f>IF($P377="","",IF(INDEX(EntryWit,$P377)=0,"",INDEX(EntryWit,$P377)))</f>
        <v/>
      </c>
      <c r="J377" s="27">
        <f>IF($B377="","",IF($A377=1,$C$7,IF(J376="",0,J376))+IF($H377="",0,$H377)-IF($I377="",0,$I377))</f>
        <v/>
      </c>
      <c r="K377" s="27">
        <f>IF($P377="","",IF(INDEX(EntryMan,$P377)=0,"",INDEX(EntryMan,$P377)))</f>
        <v/>
      </c>
      <c r="L377" s="26">
        <f>IF($B377="","",IF($K377="","—",IF(ROUND($K377-$J377,0)=0,"√","×")))</f>
        <v/>
      </c>
      <c r="M377" s="26">
        <f>IF($B377="","",IF(COUNTIFS(EntryDates,$B377,CalcTime,$C377,CalcBank,$C$5,EntryParty,$D377,EntryDep,$H377,EntryWit,$I377)&gt;1,"تکرار",""))</f>
        <v/>
      </c>
      <c r="N377" s="26">
        <f>IF($P377="","",IF(INDEX(EntryNotes,$P377)=0,"",INDEX(EntryNotes,$P377)))</f>
        <v/>
      </c>
      <c r="O377" s="26">
        <f>IF($P377="","",IF(INDEX(EntryTxnID,$P377)=0,"",INDEX(EntryTxnID,$P377)))</f>
        <v/>
      </c>
      <c r="P377" s="26">
        <f>IFERROR(MATCH($C$5&amp;"|"&amp;RIGHT("000000"&amp;361,6),CalcRankKey,0),"")</f>
        <v/>
      </c>
    </row>
    <row r="378">
      <c r="A378" s="28">
        <f>IF($B378="","",362)</f>
        <v/>
      </c>
      <c r="B378" s="28">
        <f>IF($P378="","",IF(INDEX(CalcNormDate,$P378)=0,"",INDEX(CalcNormDate,$P378)))</f>
        <v/>
      </c>
      <c r="C378" s="28">
        <f>IF($P378="","",IF(INDEX(CalcTime,$P378)=0,"",INDEX(CalcTime,$P378)))</f>
        <v/>
      </c>
      <c r="D378" s="28">
        <f>IF($P378="","",IF(INDEX(EntryParty,$P378)=0,"",INDEX(EntryParty,$P378)))</f>
        <v/>
      </c>
      <c r="E378" s="28">
        <f>IF($P378="","",IF(INDEX(EntryPartyName,$P378)=0,"",INDEX(EntryPartyName,$P378)))</f>
        <v/>
      </c>
      <c r="F378" s="28">
        <f>IF($P378="","",IF(INDEX(EntryPartyType,$P378)=0,"",INDEX(EntryPartyType,$P378)))</f>
        <v/>
      </c>
      <c r="G378" s="28">
        <f>IF($P378="","",IF(INDEX(EntryTxnType,$P378)=0,"",INDEX(EntryTxnType,$P378)))</f>
        <v/>
      </c>
      <c r="H378" s="29">
        <f>IF($P378="","",IF(INDEX(EntryDep,$P378)=0,"",INDEX(EntryDep,$P378)))</f>
        <v/>
      </c>
      <c r="I378" s="29">
        <f>IF($P378="","",IF(INDEX(EntryWit,$P378)=0,"",INDEX(EntryWit,$P378)))</f>
        <v/>
      </c>
      <c r="J378" s="29">
        <f>IF($B378="","",IF($A378=1,$C$7,IF(J377="",0,J377))+IF($H378="",0,$H378)-IF($I378="",0,$I378))</f>
        <v/>
      </c>
      <c r="K378" s="29">
        <f>IF($P378="","",IF(INDEX(EntryMan,$P378)=0,"",INDEX(EntryMan,$P378)))</f>
        <v/>
      </c>
      <c r="L378" s="28">
        <f>IF($B378="","",IF($K378="","—",IF(ROUND($K378-$J378,0)=0,"√","×")))</f>
        <v/>
      </c>
      <c r="M378" s="28">
        <f>IF($B378="","",IF(COUNTIFS(EntryDates,$B378,CalcTime,$C378,CalcBank,$C$5,EntryParty,$D378,EntryDep,$H378,EntryWit,$I378)&gt;1,"تکرار",""))</f>
        <v/>
      </c>
      <c r="N378" s="28">
        <f>IF($P378="","",IF(INDEX(EntryNotes,$P378)=0,"",INDEX(EntryNotes,$P378)))</f>
        <v/>
      </c>
      <c r="O378" s="28">
        <f>IF($P378="","",IF(INDEX(EntryTxnID,$P378)=0,"",INDEX(EntryTxnID,$P378)))</f>
        <v/>
      </c>
      <c r="P378" s="28">
        <f>IFERROR(MATCH($C$5&amp;"|"&amp;RIGHT("000000"&amp;362,6),CalcRankKey,0),"")</f>
        <v/>
      </c>
    </row>
    <row r="379">
      <c r="A379" s="26">
        <f>IF($B379="","",363)</f>
        <v/>
      </c>
      <c r="B379" s="26">
        <f>IF($P379="","",IF(INDEX(CalcNormDate,$P379)=0,"",INDEX(CalcNormDate,$P379)))</f>
        <v/>
      </c>
      <c r="C379" s="26">
        <f>IF($P379="","",IF(INDEX(CalcTime,$P379)=0,"",INDEX(CalcTime,$P379)))</f>
        <v/>
      </c>
      <c r="D379" s="26">
        <f>IF($P379="","",IF(INDEX(EntryParty,$P379)=0,"",INDEX(EntryParty,$P379)))</f>
        <v/>
      </c>
      <c r="E379" s="26">
        <f>IF($P379="","",IF(INDEX(EntryPartyName,$P379)=0,"",INDEX(EntryPartyName,$P379)))</f>
        <v/>
      </c>
      <c r="F379" s="26">
        <f>IF($P379="","",IF(INDEX(EntryPartyType,$P379)=0,"",INDEX(EntryPartyType,$P379)))</f>
        <v/>
      </c>
      <c r="G379" s="26">
        <f>IF($P379="","",IF(INDEX(EntryTxnType,$P379)=0,"",INDEX(EntryTxnType,$P379)))</f>
        <v/>
      </c>
      <c r="H379" s="27">
        <f>IF($P379="","",IF(INDEX(EntryDep,$P379)=0,"",INDEX(EntryDep,$P379)))</f>
        <v/>
      </c>
      <c r="I379" s="27">
        <f>IF($P379="","",IF(INDEX(EntryWit,$P379)=0,"",INDEX(EntryWit,$P379)))</f>
        <v/>
      </c>
      <c r="J379" s="27">
        <f>IF($B379="","",IF($A379=1,$C$7,IF(J378="",0,J378))+IF($H379="",0,$H379)-IF($I379="",0,$I379))</f>
        <v/>
      </c>
      <c r="K379" s="27">
        <f>IF($P379="","",IF(INDEX(EntryMan,$P379)=0,"",INDEX(EntryMan,$P379)))</f>
        <v/>
      </c>
      <c r="L379" s="26">
        <f>IF($B379="","",IF($K379="","—",IF(ROUND($K379-$J379,0)=0,"√","×")))</f>
        <v/>
      </c>
      <c r="M379" s="26">
        <f>IF($B379="","",IF(COUNTIFS(EntryDates,$B379,CalcTime,$C379,CalcBank,$C$5,EntryParty,$D379,EntryDep,$H379,EntryWit,$I379)&gt;1,"تکرار",""))</f>
        <v/>
      </c>
      <c r="N379" s="26">
        <f>IF($P379="","",IF(INDEX(EntryNotes,$P379)=0,"",INDEX(EntryNotes,$P379)))</f>
        <v/>
      </c>
      <c r="O379" s="26">
        <f>IF($P379="","",IF(INDEX(EntryTxnID,$P379)=0,"",INDEX(EntryTxnID,$P379)))</f>
        <v/>
      </c>
      <c r="P379" s="26">
        <f>IFERROR(MATCH($C$5&amp;"|"&amp;RIGHT("000000"&amp;363,6),CalcRankKey,0),"")</f>
        <v/>
      </c>
    </row>
    <row r="380">
      <c r="A380" s="28">
        <f>IF($B380="","",364)</f>
        <v/>
      </c>
      <c r="B380" s="28">
        <f>IF($P380="","",IF(INDEX(CalcNormDate,$P380)=0,"",INDEX(CalcNormDate,$P380)))</f>
        <v/>
      </c>
      <c r="C380" s="28">
        <f>IF($P380="","",IF(INDEX(CalcTime,$P380)=0,"",INDEX(CalcTime,$P380)))</f>
        <v/>
      </c>
      <c r="D380" s="28">
        <f>IF($P380="","",IF(INDEX(EntryParty,$P380)=0,"",INDEX(EntryParty,$P380)))</f>
        <v/>
      </c>
      <c r="E380" s="28">
        <f>IF($P380="","",IF(INDEX(EntryPartyName,$P380)=0,"",INDEX(EntryPartyName,$P380)))</f>
        <v/>
      </c>
      <c r="F380" s="28">
        <f>IF($P380="","",IF(INDEX(EntryPartyType,$P380)=0,"",INDEX(EntryPartyType,$P380)))</f>
        <v/>
      </c>
      <c r="G380" s="28">
        <f>IF($P380="","",IF(INDEX(EntryTxnType,$P380)=0,"",INDEX(EntryTxnType,$P380)))</f>
        <v/>
      </c>
      <c r="H380" s="29">
        <f>IF($P380="","",IF(INDEX(EntryDep,$P380)=0,"",INDEX(EntryDep,$P380)))</f>
        <v/>
      </c>
      <c r="I380" s="29">
        <f>IF($P380="","",IF(INDEX(EntryWit,$P380)=0,"",INDEX(EntryWit,$P380)))</f>
        <v/>
      </c>
      <c r="J380" s="29">
        <f>IF($B380="","",IF($A380=1,$C$7,IF(J379="",0,J379))+IF($H380="",0,$H380)-IF($I380="",0,$I380))</f>
        <v/>
      </c>
      <c r="K380" s="29">
        <f>IF($P380="","",IF(INDEX(EntryMan,$P380)=0,"",INDEX(EntryMan,$P380)))</f>
        <v/>
      </c>
      <c r="L380" s="28">
        <f>IF($B380="","",IF($K380="","—",IF(ROUND($K380-$J380,0)=0,"√","×")))</f>
        <v/>
      </c>
      <c r="M380" s="28">
        <f>IF($B380="","",IF(COUNTIFS(EntryDates,$B380,CalcTime,$C380,CalcBank,$C$5,EntryParty,$D380,EntryDep,$H380,EntryWit,$I380)&gt;1,"تکرار",""))</f>
        <v/>
      </c>
      <c r="N380" s="28">
        <f>IF($P380="","",IF(INDEX(EntryNotes,$P380)=0,"",INDEX(EntryNotes,$P380)))</f>
        <v/>
      </c>
      <c r="O380" s="28">
        <f>IF($P380="","",IF(INDEX(EntryTxnID,$P380)=0,"",INDEX(EntryTxnID,$P380)))</f>
        <v/>
      </c>
      <c r="P380" s="28">
        <f>IFERROR(MATCH($C$5&amp;"|"&amp;RIGHT("000000"&amp;364,6),CalcRankKey,0),"")</f>
        <v/>
      </c>
    </row>
    <row r="381">
      <c r="A381" s="26">
        <f>IF($B381="","",365)</f>
        <v/>
      </c>
      <c r="B381" s="26">
        <f>IF($P381="","",IF(INDEX(CalcNormDate,$P381)=0,"",INDEX(CalcNormDate,$P381)))</f>
        <v/>
      </c>
      <c r="C381" s="26">
        <f>IF($P381="","",IF(INDEX(CalcTime,$P381)=0,"",INDEX(CalcTime,$P381)))</f>
        <v/>
      </c>
      <c r="D381" s="26">
        <f>IF($P381="","",IF(INDEX(EntryParty,$P381)=0,"",INDEX(EntryParty,$P381)))</f>
        <v/>
      </c>
      <c r="E381" s="26">
        <f>IF($P381="","",IF(INDEX(EntryPartyName,$P381)=0,"",INDEX(EntryPartyName,$P381)))</f>
        <v/>
      </c>
      <c r="F381" s="26">
        <f>IF($P381="","",IF(INDEX(EntryPartyType,$P381)=0,"",INDEX(EntryPartyType,$P381)))</f>
        <v/>
      </c>
      <c r="G381" s="26">
        <f>IF($P381="","",IF(INDEX(EntryTxnType,$P381)=0,"",INDEX(EntryTxnType,$P381)))</f>
        <v/>
      </c>
      <c r="H381" s="27">
        <f>IF($P381="","",IF(INDEX(EntryDep,$P381)=0,"",INDEX(EntryDep,$P381)))</f>
        <v/>
      </c>
      <c r="I381" s="27">
        <f>IF($P381="","",IF(INDEX(EntryWit,$P381)=0,"",INDEX(EntryWit,$P381)))</f>
        <v/>
      </c>
      <c r="J381" s="27">
        <f>IF($B381="","",IF($A381=1,$C$7,IF(J380="",0,J380))+IF($H381="",0,$H381)-IF($I381="",0,$I381))</f>
        <v/>
      </c>
      <c r="K381" s="27">
        <f>IF($P381="","",IF(INDEX(EntryMan,$P381)=0,"",INDEX(EntryMan,$P381)))</f>
        <v/>
      </c>
      <c r="L381" s="26">
        <f>IF($B381="","",IF($K381="","—",IF(ROUND($K381-$J381,0)=0,"√","×")))</f>
        <v/>
      </c>
      <c r="M381" s="26">
        <f>IF($B381="","",IF(COUNTIFS(EntryDates,$B381,CalcTime,$C381,CalcBank,$C$5,EntryParty,$D381,EntryDep,$H381,EntryWit,$I381)&gt;1,"تکرار",""))</f>
        <v/>
      </c>
      <c r="N381" s="26">
        <f>IF($P381="","",IF(INDEX(EntryNotes,$P381)=0,"",INDEX(EntryNotes,$P381)))</f>
        <v/>
      </c>
      <c r="O381" s="26">
        <f>IF($P381="","",IF(INDEX(EntryTxnID,$P381)=0,"",INDEX(EntryTxnID,$P381)))</f>
        <v/>
      </c>
      <c r="P381" s="26">
        <f>IFERROR(MATCH($C$5&amp;"|"&amp;RIGHT("000000"&amp;365,6),CalcRankKey,0),"")</f>
        <v/>
      </c>
    </row>
    <row r="382">
      <c r="A382" s="28">
        <f>IF($B382="","",366)</f>
        <v/>
      </c>
      <c r="B382" s="28">
        <f>IF($P382="","",IF(INDEX(CalcNormDate,$P382)=0,"",INDEX(CalcNormDate,$P382)))</f>
        <v/>
      </c>
      <c r="C382" s="28">
        <f>IF($P382="","",IF(INDEX(CalcTime,$P382)=0,"",INDEX(CalcTime,$P382)))</f>
        <v/>
      </c>
      <c r="D382" s="28">
        <f>IF($P382="","",IF(INDEX(EntryParty,$P382)=0,"",INDEX(EntryParty,$P382)))</f>
        <v/>
      </c>
      <c r="E382" s="28">
        <f>IF($P382="","",IF(INDEX(EntryPartyName,$P382)=0,"",INDEX(EntryPartyName,$P382)))</f>
        <v/>
      </c>
      <c r="F382" s="28">
        <f>IF($P382="","",IF(INDEX(EntryPartyType,$P382)=0,"",INDEX(EntryPartyType,$P382)))</f>
        <v/>
      </c>
      <c r="G382" s="28">
        <f>IF($P382="","",IF(INDEX(EntryTxnType,$P382)=0,"",INDEX(EntryTxnType,$P382)))</f>
        <v/>
      </c>
      <c r="H382" s="29">
        <f>IF($P382="","",IF(INDEX(EntryDep,$P382)=0,"",INDEX(EntryDep,$P382)))</f>
        <v/>
      </c>
      <c r="I382" s="29">
        <f>IF($P382="","",IF(INDEX(EntryWit,$P382)=0,"",INDEX(EntryWit,$P382)))</f>
        <v/>
      </c>
      <c r="J382" s="29">
        <f>IF($B382="","",IF($A382=1,$C$7,IF(J381="",0,J381))+IF($H382="",0,$H382)-IF($I382="",0,$I382))</f>
        <v/>
      </c>
      <c r="K382" s="29">
        <f>IF($P382="","",IF(INDEX(EntryMan,$P382)=0,"",INDEX(EntryMan,$P382)))</f>
        <v/>
      </c>
      <c r="L382" s="28">
        <f>IF($B382="","",IF($K382="","—",IF(ROUND($K382-$J382,0)=0,"√","×")))</f>
        <v/>
      </c>
      <c r="M382" s="28">
        <f>IF($B382="","",IF(COUNTIFS(EntryDates,$B382,CalcTime,$C382,CalcBank,$C$5,EntryParty,$D382,EntryDep,$H382,EntryWit,$I382)&gt;1,"تکرار",""))</f>
        <v/>
      </c>
      <c r="N382" s="28">
        <f>IF($P382="","",IF(INDEX(EntryNotes,$P382)=0,"",INDEX(EntryNotes,$P382)))</f>
        <v/>
      </c>
      <c r="O382" s="28">
        <f>IF($P382="","",IF(INDEX(EntryTxnID,$P382)=0,"",INDEX(EntryTxnID,$P382)))</f>
        <v/>
      </c>
      <c r="P382" s="28">
        <f>IFERROR(MATCH($C$5&amp;"|"&amp;RIGHT("000000"&amp;366,6),CalcRankKey,0),"")</f>
        <v/>
      </c>
    </row>
    <row r="383">
      <c r="A383" s="26">
        <f>IF($B383="","",367)</f>
        <v/>
      </c>
      <c r="B383" s="26">
        <f>IF($P383="","",IF(INDEX(CalcNormDate,$P383)=0,"",INDEX(CalcNormDate,$P383)))</f>
        <v/>
      </c>
      <c r="C383" s="26">
        <f>IF($P383="","",IF(INDEX(CalcTime,$P383)=0,"",INDEX(CalcTime,$P383)))</f>
        <v/>
      </c>
      <c r="D383" s="26">
        <f>IF($P383="","",IF(INDEX(EntryParty,$P383)=0,"",INDEX(EntryParty,$P383)))</f>
        <v/>
      </c>
      <c r="E383" s="26">
        <f>IF($P383="","",IF(INDEX(EntryPartyName,$P383)=0,"",INDEX(EntryPartyName,$P383)))</f>
        <v/>
      </c>
      <c r="F383" s="26">
        <f>IF($P383="","",IF(INDEX(EntryPartyType,$P383)=0,"",INDEX(EntryPartyType,$P383)))</f>
        <v/>
      </c>
      <c r="G383" s="26">
        <f>IF($P383="","",IF(INDEX(EntryTxnType,$P383)=0,"",INDEX(EntryTxnType,$P383)))</f>
        <v/>
      </c>
      <c r="H383" s="27">
        <f>IF($P383="","",IF(INDEX(EntryDep,$P383)=0,"",INDEX(EntryDep,$P383)))</f>
        <v/>
      </c>
      <c r="I383" s="27">
        <f>IF($P383="","",IF(INDEX(EntryWit,$P383)=0,"",INDEX(EntryWit,$P383)))</f>
        <v/>
      </c>
      <c r="J383" s="27">
        <f>IF($B383="","",IF($A383=1,$C$7,IF(J382="",0,J382))+IF($H383="",0,$H383)-IF($I383="",0,$I383))</f>
        <v/>
      </c>
      <c r="K383" s="27">
        <f>IF($P383="","",IF(INDEX(EntryMan,$P383)=0,"",INDEX(EntryMan,$P383)))</f>
        <v/>
      </c>
      <c r="L383" s="26">
        <f>IF($B383="","",IF($K383="","—",IF(ROUND($K383-$J383,0)=0,"√","×")))</f>
        <v/>
      </c>
      <c r="M383" s="26">
        <f>IF($B383="","",IF(COUNTIFS(EntryDates,$B383,CalcTime,$C383,CalcBank,$C$5,EntryParty,$D383,EntryDep,$H383,EntryWit,$I383)&gt;1,"تکرار",""))</f>
        <v/>
      </c>
      <c r="N383" s="26">
        <f>IF($P383="","",IF(INDEX(EntryNotes,$P383)=0,"",INDEX(EntryNotes,$P383)))</f>
        <v/>
      </c>
      <c r="O383" s="26">
        <f>IF($P383="","",IF(INDEX(EntryTxnID,$P383)=0,"",INDEX(EntryTxnID,$P383)))</f>
        <v/>
      </c>
      <c r="P383" s="26">
        <f>IFERROR(MATCH($C$5&amp;"|"&amp;RIGHT("000000"&amp;367,6),CalcRankKey,0),"")</f>
        <v/>
      </c>
    </row>
    <row r="384">
      <c r="A384" s="28">
        <f>IF($B384="","",368)</f>
        <v/>
      </c>
      <c r="B384" s="28">
        <f>IF($P384="","",IF(INDEX(CalcNormDate,$P384)=0,"",INDEX(CalcNormDate,$P384)))</f>
        <v/>
      </c>
      <c r="C384" s="28">
        <f>IF($P384="","",IF(INDEX(CalcTime,$P384)=0,"",INDEX(CalcTime,$P384)))</f>
        <v/>
      </c>
      <c r="D384" s="28">
        <f>IF($P384="","",IF(INDEX(EntryParty,$P384)=0,"",INDEX(EntryParty,$P384)))</f>
        <v/>
      </c>
      <c r="E384" s="28">
        <f>IF($P384="","",IF(INDEX(EntryPartyName,$P384)=0,"",INDEX(EntryPartyName,$P384)))</f>
        <v/>
      </c>
      <c r="F384" s="28">
        <f>IF($P384="","",IF(INDEX(EntryPartyType,$P384)=0,"",INDEX(EntryPartyType,$P384)))</f>
        <v/>
      </c>
      <c r="G384" s="28">
        <f>IF($P384="","",IF(INDEX(EntryTxnType,$P384)=0,"",INDEX(EntryTxnType,$P384)))</f>
        <v/>
      </c>
      <c r="H384" s="29">
        <f>IF($P384="","",IF(INDEX(EntryDep,$P384)=0,"",INDEX(EntryDep,$P384)))</f>
        <v/>
      </c>
      <c r="I384" s="29">
        <f>IF($P384="","",IF(INDEX(EntryWit,$P384)=0,"",INDEX(EntryWit,$P384)))</f>
        <v/>
      </c>
      <c r="J384" s="29">
        <f>IF($B384="","",IF($A384=1,$C$7,IF(J383="",0,J383))+IF($H384="",0,$H384)-IF($I384="",0,$I384))</f>
        <v/>
      </c>
      <c r="K384" s="29">
        <f>IF($P384="","",IF(INDEX(EntryMan,$P384)=0,"",INDEX(EntryMan,$P384)))</f>
        <v/>
      </c>
      <c r="L384" s="28">
        <f>IF($B384="","",IF($K384="","—",IF(ROUND($K384-$J384,0)=0,"√","×")))</f>
        <v/>
      </c>
      <c r="M384" s="28">
        <f>IF($B384="","",IF(COUNTIFS(EntryDates,$B384,CalcTime,$C384,CalcBank,$C$5,EntryParty,$D384,EntryDep,$H384,EntryWit,$I384)&gt;1,"تکرار",""))</f>
        <v/>
      </c>
      <c r="N384" s="28">
        <f>IF($P384="","",IF(INDEX(EntryNotes,$P384)=0,"",INDEX(EntryNotes,$P384)))</f>
        <v/>
      </c>
      <c r="O384" s="28">
        <f>IF($P384="","",IF(INDEX(EntryTxnID,$P384)=0,"",INDEX(EntryTxnID,$P384)))</f>
        <v/>
      </c>
      <c r="P384" s="28">
        <f>IFERROR(MATCH($C$5&amp;"|"&amp;RIGHT("000000"&amp;368,6),CalcRankKey,0),"")</f>
        <v/>
      </c>
    </row>
    <row r="385">
      <c r="A385" s="26">
        <f>IF($B385="","",369)</f>
        <v/>
      </c>
      <c r="B385" s="26">
        <f>IF($P385="","",IF(INDEX(CalcNormDate,$P385)=0,"",INDEX(CalcNormDate,$P385)))</f>
        <v/>
      </c>
      <c r="C385" s="26">
        <f>IF($P385="","",IF(INDEX(CalcTime,$P385)=0,"",INDEX(CalcTime,$P385)))</f>
        <v/>
      </c>
      <c r="D385" s="26">
        <f>IF($P385="","",IF(INDEX(EntryParty,$P385)=0,"",INDEX(EntryParty,$P385)))</f>
        <v/>
      </c>
      <c r="E385" s="26">
        <f>IF($P385="","",IF(INDEX(EntryPartyName,$P385)=0,"",INDEX(EntryPartyName,$P385)))</f>
        <v/>
      </c>
      <c r="F385" s="26">
        <f>IF($P385="","",IF(INDEX(EntryPartyType,$P385)=0,"",INDEX(EntryPartyType,$P385)))</f>
        <v/>
      </c>
      <c r="G385" s="26">
        <f>IF($P385="","",IF(INDEX(EntryTxnType,$P385)=0,"",INDEX(EntryTxnType,$P385)))</f>
        <v/>
      </c>
      <c r="H385" s="27">
        <f>IF($P385="","",IF(INDEX(EntryDep,$P385)=0,"",INDEX(EntryDep,$P385)))</f>
        <v/>
      </c>
      <c r="I385" s="27">
        <f>IF($P385="","",IF(INDEX(EntryWit,$P385)=0,"",INDEX(EntryWit,$P385)))</f>
        <v/>
      </c>
      <c r="J385" s="27">
        <f>IF($B385="","",IF($A385=1,$C$7,IF(J384="",0,J384))+IF($H385="",0,$H385)-IF($I385="",0,$I385))</f>
        <v/>
      </c>
      <c r="K385" s="27">
        <f>IF($P385="","",IF(INDEX(EntryMan,$P385)=0,"",INDEX(EntryMan,$P385)))</f>
        <v/>
      </c>
      <c r="L385" s="26">
        <f>IF($B385="","",IF($K385="","—",IF(ROUND($K385-$J385,0)=0,"√","×")))</f>
        <v/>
      </c>
      <c r="M385" s="26">
        <f>IF($B385="","",IF(COUNTIFS(EntryDates,$B385,CalcTime,$C385,CalcBank,$C$5,EntryParty,$D385,EntryDep,$H385,EntryWit,$I385)&gt;1,"تکرار",""))</f>
        <v/>
      </c>
      <c r="N385" s="26">
        <f>IF($P385="","",IF(INDEX(EntryNotes,$P385)=0,"",INDEX(EntryNotes,$P385)))</f>
        <v/>
      </c>
      <c r="O385" s="26">
        <f>IF($P385="","",IF(INDEX(EntryTxnID,$P385)=0,"",INDEX(EntryTxnID,$P385)))</f>
        <v/>
      </c>
      <c r="P385" s="26">
        <f>IFERROR(MATCH($C$5&amp;"|"&amp;RIGHT("000000"&amp;369,6),CalcRankKey,0),"")</f>
        <v/>
      </c>
    </row>
    <row r="386">
      <c r="A386" s="28">
        <f>IF($B386="","",370)</f>
        <v/>
      </c>
      <c r="B386" s="28">
        <f>IF($P386="","",IF(INDEX(CalcNormDate,$P386)=0,"",INDEX(CalcNormDate,$P386)))</f>
        <v/>
      </c>
      <c r="C386" s="28">
        <f>IF($P386="","",IF(INDEX(CalcTime,$P386)=0,"",INDEX(CalcTime,$P386)))</f>
        <v/>
      </c>
      <c r="D386" s="28">
        <f>IF($P386="","",IF(INDEX(EntryParty,$P386)=0,"",INDEX(EntryParty,$P386)))</f>
        <v/>
      </c>
      <c r="E386" s="28">
        <f>IF($P386="","",IF(INDEX(EntryPartyName,$P386)=0,"",INDEX(EntryPartyName,$P386)))</f>
        <v/>
      </c>
      <c r="F386" s="28">
        <f>IF($P386="","",IF(INDEX(EntryPartyType,$P386)=0,"",INDEX(EntryPartyType,$P386)))</f>
        <v/>
      </c>
      <c r="G386" s="28">
        <f>IF($P386="","",IF(INDEX(EntryTxnType,$P386)=0,"",INDEX(EntryTxnType,$P386)))</f>
        <v/>
      </c>
      <c r="H386" s="29">
        <f>IF($P386="","",IF(INDEX(EntryDep,$P386)=0,"",INDEX(EntryDep,$P386)))</f>
        <v/>
      </c>
      <c r="I386" s="29">
        <f>IF($P386="","",IF(INDEX(EntryWit,$P386)=0,"",INDEX(EntryWit,$P386)))</f>
        <v/>
      </c>
      <c r="J386" s="29">
        <f>IF($B386="","",IF($A386=1,$C$7,IF(J385="",0,J385))+IF($H386="",0,$H386)-IF($I386="",0,$I386))</f>
        <v/>
      </c>
      <c r="K386" s="29">
        <f>IF($P386="","",IF(INDEX(EntryMan,$P386)=0,"",INDEX(EntryMan,$P386)))</f>
        <v/>
      </c>
      <c r="L386" s="28">
        <f>IF($B386="","",IF($K386="","—",IF(ROUND($K386-$J386,0)=0,"√","×")))</f>
        <v/>
      </c>
      <c r="M386" s="28">
        <f>IF($B386="","",IF(COUNTIFS(EntryDates,$B386,CalcTime,$C386,CalcBank,$C$5,EntryParty,$D386,EntryDep,$H386,EntryWit,$I386)&gt;1,"تکرار",""))</f>
        <v/>
      </c>
      <c r="N386" s="28">
        <f>IF($P386="","",IF(INDEX(EntryNotes,$P386)=0,"",INDEX(EntryNotes,$P386)))</f>
        <v/>
      </c>
      <c r="O386" s="28">
        <f>IF($P386="","",IF(INDEX(EntryTxnID,$P386)=0,"",INDEX(EntryTxnID,$P386)))</f>
        <v/>
      </c>
      <c r="P386" s="28">
        <f>IFERROR(MATCH($C$5&amp;"|"&amp;RIGHT("000000"&amp;370,6),CalcRankKey,0),"")</f>
        <v/>
      </c>
    </row>
    <row r="387">
      <c r="A387" s="26">
        <f>IF($B387="","",371)</f>
        <v/>
      </c>
      <c r="B387" s="26">
        <f>IF($P387="","",IF(INDEX(CalcNormDate,$P387)=0,"",INDEX(CalcNormDate,$P387)))</f>
        <v/>
      </c>
      <c r="C387" s="26">
        <f>IF($P387="","",IF(INDEX(CalcTime,$P387)=0,"",INDEX(CalcTime,$P387)))</f>
        <v/>
      </c>
      <c r="D387" s="26">
        <f>IF($P387="","",IF(INDEX(EntryParty,$P387)=0,"",INDEX(EntryParty,$P387)))</f>
        <v/>
      </c>
      <c r="E387" s="26">
        <f>IF($P387="","",IF(INDEX(EntryPartyName,$P387)=0,"",INDEX(EntryPartyName,$P387)))</f>
        <v/>
      </c>
      <c r="F387" s="26">
        <f>IF($P387="","",IF(INDEX(EntryPartyType,$P387)=0,"",INDEX(EntryPartyType,$P387)))</f>
        <v/>
      </c>
      <c r="G387" s="26">
        <f>IF($P387="","",IF(INDEX(EntryTxnType,$P387)=0,"",INDEX(EntryTxnType,$P387)))</f>
        <v/>
      </c>
      <c r="H387" s="27">
        <f>IF($P387="","",IF(INDEX(EntryDep,$P387)=0,"",INDEX(EntryDep,$P387)))</f>
        <v/>
      </c>
      <c r="I387" s="27">
        <f>IF($P387="","",IF(INDEX(EntryWit,$P387)=0,"",INDEX(EntryWit,$P387)))</f>
        <v/>
      </c>
      <c r="J387" s="27">
        <f>IF($B387="","",IF($A387=1,$C$7,IF(J386="",0,J386))+IF($H387="",0,$H387)-IF($I387="",0,$I387))</f>
        <v/>
      </c>
      <c r="K387" s="27">
        <f>IF($P387="","",IF(INDEX(EntryMan,$P387)=0,"",INDEX(EntryMan,$P387)))</f>
        <v/>
      </c>
      <c r="L387" s="26">
        <f>IF($B387="","",IF($K387="","—",IF(ROUND($K387-$J387,0)=0,"√","×")))</f>
        <v/>
      </c>
      <c r="M387" s="26">
        <f>IF($B387="","",IF(COUNTIFS(EntryDates,$B387,CalcTime,$C387,CalcBank,$C$5,EntryParty,$D387,EntryDep,$H387,EntryWit,$I387)&gt;1,"تکرار",""))</f>
        <v/>
      </c>
      <c r="N387" s="26">
        <f>IF($P387="","",IF(INDEX(EntryNotes,$P387)=0,"",INDEX(EntryNotes,$P387)))</f>
        <v/>
      </c>
      <c r="O387" s="26">
        <f>IF($P387="","",IF(INDEX(EntryTxnID,$P387)=0,"",INDEX(EntryTxnID,$P387)))</f>
        <v/>
      </c>
      <c r="P387" s="26">
        <f>IFERROR(MATCH($C$5&amp;"|"&amp;RIGHT("000000"&amp;371,6),CalcRankKey,0),"")</f>
        <v/>
      </c>
    </row>
    <row r="388">
      <c r="A388" s="28">
        <f>IF($B388="","",372)</f>
        <v/>
      </c>
      <c r="B388" s="28">
        <f>IF($P388="","",IF(INDEX(CalcNormDate,$P388)=0,"",INDEX(CalcNormDate,$P388)))</f>
        <v/>
      </c>
      <c r="C388" s="28">
        <f>IF($P388="","",IF(INDEX(CalcTime,$P388)=0,"",INDEX(CalcTime,$P388)))</f>
        <v/>
      </c>
      <c r="D388" s="28">
        <f>IF($P388="","",IF(INDEX(EntryParty,$P388)=0,"",INDEX(EntryParty,$P388)))</f>
        <v/>
      </c>
      <c r="E388" s="28">
        <f>IF($P388="","",IF(INDEX(EntryPartyName,$P388)=0,"",INDEX(EntryPartyName,$P388)))</f>
        <v/>
      </c>
      <c r="F388" s="28">
        <f>IF($P388="","",IF(INDEX(EntryPartyType,$P388)=0,"",INDEX(EntryPartyType,$P388)))</f>
        <v/>
      </c>
      <c r="G388" s="28">
        <f>IF($P388="","",IF(INDEX(EntryTxnType,$P388)=0,"",INDEX(EntryTxnType,$P388)))</f>
        <v/>
      </c>
      <c r="H388" s="29">
        <f>IF($P388="","",IF(INDEX(EntryDep,$P388)=0,"",INDEX(EntryDep,$P388)))</f>
        <v/>
      </c>
      <c r="I388" s="29">
        <f>IF($P388="","",IF(INDEX(EntryWit,$P388)=0,"",INDEX(EntryWit,$P388)))</f>
        <v/>
      </c>
      <c r="J388" s="29">
        <f>IF($B388="","",IF($A388=1,$C$7,IF(J387="",0,J387))+IF($H388="",0,$H388)-IF($I388="",0,$I388))</f>
        <v/>
      </c>
      <c r="K388" s="29">
        <f>IF($P388="","",IF(INDEX(EntryMan,$P388)=0,"",INDEX(EntryMan,$P388)))</f>
        <v/>
      </c>
      <c r="L388" s="28">
        <f>IF($B388="","",IF($K388="","—",IF(ROUND($K388-$J388,0)=0,"√","×")))</f>
        <v/>
      </c>
      <c r="M388" s="28">
        <f>IF($B388="","",IF(COUNTIFS(EntryDates,$B388,CalcTime,$C388,CalcBank,$C$5,EntryParty,$D388,EntryDep,$H388,EntryWit,$I388)&gt;1,"تکرار",""))</f>
        <v/>
      </c>
      <c r="N388" s="28">
        <f>IF($P388="","",IF(INDEX(EntryNotes,$P388)=0,"",INDEX(EntryNotes,$P388)))</f>
        <v/>
      </c>
      <c r="O388" s="28">
        <f>IF($P388="","",IF(INDEX(EntryTxnID,$P388)=0,"",INDEX(EntryTxnID,$P388)))</f>
        <v/>
      </c>
      <c r="P388" s="28">
        <f>IFERROR(MATCH($C$5&amp;"|"&amp;RIGHT("000000"&amp;372,6),CalcRankKey,0),"")</f>
        <v/>
      </c>
    </row>
    <row r="389">
      <c r="A389" s="26">
        <f>IF($B389="","",373)</f>
        <v/>
      </c>
      <c r="B389" s="26">
        <f>IF($P389="","",IF(INDEX(CalcNormDate,$P389)=0,"",INDEX(CalcNormDate,$P389)))</f>
        <v/>
      </c>
      <c r="C389" s="26">
        <f>IF($P389="","",IF(INDEX(CalcTime,$P389)=0,"",INDEX(CalcTime,$P389)))</f>
        <v/>
      </c>
      <c r="D389" s="26">
        <f>IF($P389="","",IF(INDEX(EntryParty,$P389)=0,"",INDEX(EntryParty,$P389)))</f>
        <v/>
      </c>
      <c r="E389" s="26">
        <f>IF($P389="","",IF(INDEX(EntryPartyName,$P389)=0,"",INDEX(EntryPartyName,$P389)))</f>
        <v/>
      </c>
      <c r="F389" s="26">
        <f>IF($P389="","",IF(INDEX(EntryPartyType,$P389)=0,"",INDEX(EntryPartyType,$P389)))</f>
        <v/>
      </c>
      <c r="G389" s="26">
        <f>IF($P389="","",IF(INDEX(EntryTxnType,$P389)=0,"",INDEX(EntryTxnType,$P389)))</f>
        <v/>
      </c>
      <c r="H389" s="27">
        <f>IF($P389="","",IF(INDEX(EntryDep,$P389)=0,"",INDEX(EntryDep,$P389)))</f>
        <v/>
      </c>
      <c r="I389" s="27">
        <f>IF($P389="","",IF(INDEX(EntryWit,$P389)=0,"",INDEX(EntryWit,$P389)))</f>
        <v/>
      </c>
      <c r="J389" s="27">
        <f>IF($B389="","",IF($A389=1,$C$7,IF(J388="",0,J388))+IF($H389="",0,$H389)-IF($I389="",0,$I389))</f>
        <v/>
      </c>
      <c r="K389" s="27">
        <f>IF($P389="","",IF(INDEX(EntryMan,$P389)=0,"",INDEX(EntryMan,$P389)))</f>
        <v/>
      </c>
      <c r="L389" s="26">
        <f>IF($B389="","",IF($K389="","—",IF(ROUND($K389-$J389,0)=0,"√","×")))</f>
        <v/>
      </c>
      <c r="M389" s="26">
        <f>IF($B389="","",IF(COUNTIFS(EntryDates,$B389,CalcTime,$C389,CalcBank,$C$5,EntryParty,$D389,EntryDep,$H389,EntryWit,$I389)&gt;1,"تکرار",""))</f>
        <v/>
      </c>
      <c r="N389" s="26">
        <f>IF($P389="","",IF(INDEX(EntryNotes,$P389)=0,"",INDEX(EntryNotes,$P389)))</f>
        <v/>
      </c>
      <c r="O389" s="26">
        <f>IF($P389="","",IF(INDEX(EntryTxnID,$P389)=0,"",INDEX(EntryTxnID,$P389)))</f>
        <v/>
      </c>
      <c r="P389" s="26">
        <f>IFERROR(MATCH($C$5&amp;"|"&amp;RIGHT("000000"&amp;373,6),CalcRankKey,0),"")</f>
        <v/>
      </c>
    </row>
    <row r="390">
      <c r="A390" s="28">
        <f>IF($B390="","",374)</f>
        <v/>
      </c>
      <c r="B390" s="28">
        <f>IF($P390="","",IF(INDEX(CalcNormDate,$P390)=0,"",INDEX(CalcNormDate,$P390)))</f>
        <v/>
      </c>
      <c r="C390" s="28">
        <f>IF($P390="","",IF(INDEX(CalcTime,$P390)=0,"",INDEX(CalcTime,$P390)))</f>
        <v/>
      </c>
      <c r="D390" s="28">
        <f>IF($P390="","",IF(INDEX(EntryParty,$P390)=0,"",INDEX(EntryParty,$P390)))</f>
        <v/>
      </c>
      <c r="E390" s="28">
        <f>IF($P390="","",IF(INDEX(EntryPartyName,$P390)=0,"",INDEX(EntryPartyName,$P390)))</f>
        <v/>
      </c>
      <c r="F390" s="28">
        <f>IF($P390="","",IF(INDEX(EntryPartyType,$P390)=0,"",INDEX(EntryPartyType,$P390)))</f>
        <v/>
      </c>
      <c r="G390" s="28">
        <f>IF($P390="","",IF(INDEX(EntryTxnType,$P390)=0,"",INDEX(EntryTxnType,$P390)))</f>
        <v/>
      </c>
      <c r="H390" s="29">
        <f>IF($P390="","",IF(INDEX(EntryDep,$P390)=0,"",INDEX(EntryDep,$P390)))</f>
        <v/>
      </c>
      <c r="I390" s="29">
        <f>IF($P390="","",IF(INDEX(EntryWit,$P390)=0,"",INDEX(EntryWit,$P390)))</f>
        <v/>
      </c>
      <c r="J390" s="29">
        <f>IF($B390="","",IF($A390=1,$C$7,IF(J389="",0,J389))+IF($H390="",0,$H390)-IF($I390="",0,$I390))</f>
        <v/>
      </c>
      <c r="K390" s="29">
        <f>IF($P390="","",IF(INDEX(EntryMan,$P390)=0,"",INDEX(EntryMan,$P390)))</f>
        <v/>
      </c>
      <c r="L390" s="28">
        <f>IF($B390="","",IF($K390="","—",IF(ROUND($K390-$J390,0)=0,"√","×")))</f>
        <v/>
      </c>
      <c r="M390" s="28">
        <f>IF($B390="","",IF(COUNTIFS(EntryDates,$B390,CalcTime,$C390,CalcBank,$C$5,EntryParty,$D390,EntryDep,$H390,EntryWit,$I390)&gt;1,"تکرار",""))</f>
        <v/>
      </c>
      <c r="N390" s="28">
        <f>IF($P390="","",IF(INDEX(EntryNotes,$P390)=0,"",INDEX(EntryNotes,$P390)))</f>
        <v/>
      </c>
      <c r="O390" s="28">
        <f>IF($P390="","",IF(INDEX(EntryTxnID,$P390)=0,"",INDEX(EntryTxnID,$P390)))</f>
        <v/>
      </c>
      <c r="P390" s="28">
        <f>IFERROR(MATCH($C$5&amp;"|"&amp;RIGHT("000000"&amp;374,6),CalcRankKey,0),"")</f>
        <v/>
      </c>
    </row>
    <row r="391">
      <c r="A391" s="26">
        <f>IF($B391="","",375)</f>
        <v/>
      </c>
      <c r="B391" s="26">
        <f>IF($P391="","",IF(INDEX(CalcNormDate,$P391)=0,"",INDEX(CalcNormDate,$P391)))</f>
        <v/>
      </c>
      <c r="C391" s="26">
        <f>IF($P391="","",IF(INDEX(CalcTime,$P391)=0,"",INDEX(CalcTime,$P391)))</f>
        <v/>
      </c>
      <c r="D391" s="26">
        <f>IF($P391="","",IF(INDEX(EntryParty,$P391)=0,"",INDEX(EntryParty,$P391)))</f>
        <v/>
      </c>
      <c r="E391" s="26">
        <f>IF($P391="","",IF(INDEX(EntryPartyName,$P391)=0,"",INDEX(EntryPartyName,$P391)))</f>
        <v/>
      </c>
      <c r="F391" s="26">
        <f>IF($P391="","",IF(INDEX(EntryPartyType,$P391)=0,"",INDEX(EntryPartyType,$P391)))</f>
        <v/>
      </c>
      <c r="G391" s="26">
        <f>IF($P391="","",IF(INDEX(EntryTxnType,$P391)=0,"",INDEX(EntryTxnType,$P391)))</f>
        <v/>
      </c>
      <c r="H391" s="27">
        <f>IF($P391="","",IF(INDEX(EntryDep,$P391)=0,"",INDEX(EntryDep,$P391)))</f>
        <v/>
      </c>
      <c r="I391" s="27">
        <f>IF($P391="","",IF(INDEX(EntryWit,$P391)=0,"",INDEX(EntryWit,$P391)))</f>
        <v/>
      </c>
      <c r="J391" s="27">
        <f>IF($B391="","",IF($A391=1,$C$7,IF(J390="",0,J390))+IF($H391="",0,$H391)-IF($I391="",0,$I391))</f>
        <v/>
      </c>
      <c r="K391" s="27">
        <f>IF($P391="","",IF(INDEX(EntryMan,$P391)=0,"",INDEX(EntryMan,$P391)))</f>
        <v/>
      </c>
      <c r="L391" s="26">
        <f>IF($B391="","",IF($K391="","—",IF(ROUND($K391-$J391,0)=0,"√","×")))</f>
        <v/>
      </c>
      <c r="M391" s="26">
        <f>IF($B391="","",IF(COUNTIFS(EntryDates,$B391,CalcTime,$C391,CalcBank,$C$5,EntryParty,$D391,EntryDep,$H391,EntryWit,$I391)&gt;1,"تکرار",""))</f>
        <v/>
      </c>
      <c r="N391" s="26">
        <f>IF($P391="","",IF(INDEX(EntryNotes,$P391)=0,"",INDEX(EntryNotes,$P391)))</f>
        <v/>
      </c>
      <c r="O391" s="26">
        <f>IF($P391="","",IF(INDEX(EntryTxnID,$P391)=0,"",INDEX(EntryTxnID,$P391)))</f>
        <v/>
      </c>
      <c r="P391" s="26">
        <f>IFERROR(MATCH($C$5&amp;"|"&amp;RIGHT("000000"&amp;375,6),CalcRankKey,0),"")</f>
        <v/>
      </c>
    </row>
    <row r="392">
      <c r="A392" s="28">
        <f>IF($B392="","",376)</f>
        <v/>
      </c>
      <c r="B392" s="28">
        <f>IF($P392="","",IF(INDEX(CalcNormDate,$P392)=0,"",INDEX(CalcNormDate,$P392)))</f>
        <v/>
      </c>
      <c r="C392" s="28">
        <f>IF($P392="","",IF(INDEX(CalcTime,$P392)=0,"",INDEX(CalcTime,$P392)))</f>
        <v/>
      </c>
      <c r="D392" s="28">
        <f>IF($P392="","",IF(INDEX(EntryParty,$P392)=0,"",INDEX(EntryParty,$P392)))</f>
        <v/>
      </c>
      <c r="E392" s="28">
        <f>IF($P392="","",IF(INDEX(EntryPartyName,$P392)=0,"",INDEX(EntryPartyName,$P392)))</f>
        <v/>
      </c>
      <c r="F392" s="28">
        <f>IF($P392="","",IF(INDEX(EntryPartyType,$P392)=0,"",INDEX(EntryPartyType,$P392)))</f>
        <v/>
      </c>
      <c r="G392" s="28">
        <f>IF($P392="","",IF(INDEX(EntryTxnType,$P392)=0,"",INDEX(EntryTxnType,$P392)))</f>
        <v/>
      </c>
      <c r="H392" s="29">
        <f>IF($P392="","",IF(INDEX(EntryDep,$P392)=0,"",INDEX(EntryDep,$P392)))</f>
        <v/>
      </c>
      <c r="I392" s="29">
        <f>IF($P392="","",IF(INDEX(EntryWit,$P392)=0,"",INDEX(EntryWit,$P392)))</f>
        <v/>
      </c>
      <c r="J392" s="29">
        <f>IF($B392="","",IF($A392=1,$C$7,IF(J391="",0,J391))+IF($H392="",0,$H392)-IF($I392="",0,$I392))</f>
        <v/>
      </c>
      <c r="K392" s="29">
        <f>IF($P392="","",IF(INDEX(EntryMan,$P392)=0,"",INDEX(EntryMan,$P392)))</f>
        <v/>
      </c>
      <c r="L392" s="28">
        <f>IF($B392="","",IF($K392="","—",IF(ROUND($K392-$J392,0)=0,"√","×")))</f>
        <v/>
      </c>
      <c r="M392" s="28">
        <f>IF($B392="","",IF(COUNTIFS(EntryDates,$B392,CalcTime,$C392,CalcBank,$C$5,EntryParty,$D392,EntryDep,$H392,EntryWit,$I392)&gt;1,"تکرار",""))</f>
        <v/>
      </c>
      <c r="N392" s="28">
        <f>IF($P392="","",IF(INDEX(EntryNotes,$P392)=0,"",INDEX(EntryNotes,$P392)))</f>
        <v/>
      </c>
      <c r="O392" s="28">
        <f>IF($P392="","",IF(INDEX(EntryTxnID,$P392)=0,"",INDEX(EntryTxnID,$P392)))</f>
        <v/>
      </c>
      <c r="P392" s="28">
        <f>IFERROR(MATCH($C$5&amp;"|"&amp;RIGHT("000000"&amp;376,6),CalcRankKey,0),"")</f>
        <v/>
      </c>
    </row>
    <row r="393">
      <c r="A393" s="26">
        <f>IF($B393="","",377)</f>
        <v/>
      </c>
      <c r="B393" s="26">
        <f>IF($P393="","",IF(INDEX(CalcNormDate,$P393)=0,"",INDEX(CalcNormDate,$P393)))</f>
        <v/>
      </c>
      <c r="C393" s="26">
        <f>IF($P393="","",IF(INDEX(CalcTime,$P393)=0,"",INDEX(CalcTime,$P393)))</f>
        <v/>
      </c>
      <c r="D393" s="26">
        <f>IF($P393="","",IF(INDEX(EntryParty,$P393)=0,"",INDEX(EntryParty,$P393)))</f>
        <v/>
      </c>
      <c r="E393" s="26">
        <f>IF($P393="","",IF(INDEX(EntryPartyName,$P393)=0,"",INDEX(EntryPartyName,$P393)))</f>
        <v/>
      </c>
      <c r="F393" s="26">
        <f>IF($P393="","",IF(INDEX(EntryPartyType,$P393)=0,"",INDEX(EntryPartyType,$P393)))</f>
        <v/>
      </c>
      <c r="G393" s="26">
        <f>IF($P393="","",IF(INDEX(EntryTxnType,$P393)=0,"",INDEX(EntryTxnType,$P393)))</f>
        <v/>
      </c>
      <c r="H393" s="27">
        <f>IF($P393="","",IF(INDEX(EntryDep,$P393)=0,"",INDEX(EntryDep,$P393)))</f>
        <v/>
      </c>
      <c r="I393" s="27">
        <f>IF($P393="","",IF(INDEX(EntryWit,$P393)=0,"",INDEX(EntryWit,$P393)))</f>
        <v/>
      </c>
      <c r="J393" s="27">
        <f>IF($B393="","",IF($A393=1,$C$7,IF(J392="",0,J392))+IF($H393="",0,$H393)-IF($I393="",0,$I393))</f>
        <v/>
      </c>
      <c r="K393" s="27">
        <f>IF($P393="","",IF(INDEX(EntryMan,$P393)=0,"",INDEX(EntryMan,$P393)))</f>
        <v/>
      </c>
      <c r="L393" s="26">
        <f>IF($B393="","",IF($K393="","—",IF(ROUND($K393-$J393,0)=0,"√","×")))</f>
        <v/>
      </c>
      <c r="M393" s="26">
        <f>IF($B393="","",IF(COUNTIFS(EntryDates,$B393,CalcTime,$C393,CalcBank,$C$5,EntryParty,$D393,EntryDep,$H393,EntryWit,$I393)&gt;1,"تکرار",""))</f>
        <v/>
      </c>
      <c r="N393" s="26">
        <f>IF($P393="","",IF(INDEX(EntryNotes,$P393)=0,"",INDEX(EntryNotes,$P393)))</f>
        <v/>
      </c>
      <c r="O393" s="26">
        <f>IF($P393="","",IF(INDEX(EntryTxnID,$P393)=0,"",INDEX(EntryTxnID,$P393)))</f>
        <v/>
      </c>
      <c r="P393" s="26">
        <f>IFERROR(MATCH($C$5&amp;"|"&amp;RIGHT("000000"&amp;377,6),CalcRankKey,0),"")</f>
        <v/>
      </c>
    </row>
    <row r="394">
      <c r="A394" s="28">
        <f>IF($B394="","",378)</f>
        <v/>
      </c>
      <c r="B394" s="28">
        <f>IF($P394="","",IF(INDEX(CalcNormDate,$P394)=0,"",INDEX(CalcNormDate,$P394)))</f>
        <v/>
      </c>
      <c r="C394" s="28">
        <f>IF($P394="","",IF(INDEX(CalcTime,$P394)=0,"",INDEX(CalcTime,$P394)))</f>
        <v/>
      </c>
      <c r="D394" s="28">
        <f>IF($P394="","",IF(INDEX(EntryParty,$P394)=0,"",INDEX(EntryParty,$P394)))</f>
        <v/>
      </c>
      <c r="E394" s="28">
        <f>IF($P394="","",IF(INDEX(EntryPartyName,$P394)=0,"",INDEX(EntryPartyName,$P394)))</f>
        <v/>
      </c>
      <c r="F394" s="28">
        <f>IF($P394="","",IF(INDEX(EntryPartyType,$P394)=0,"",INDEX(EntryPartyType,$P394)))</f>
        <v/>
      </c>
      <c r="G394" s="28">
        <f>IF($P394="","",IF(INDEX(EntryTxnType,$P394)=0,"",INDEX(EntryTxnType,$P394)))</f>
        <v/>
      </c>
      <c r="H394" s="29">
        <f>IF($P394="","",IF(INDEX(EntryDep,$P394)=0,"",INDEX(EntryDep,$P394)))</f>
        <v/>
      </c>
      <c r="I394" s="29">
        <f>IF($P394="","",IF(INDEX(EntryWit,$P394)=0,"",INDEX(EntryWit,$P394)))</f>
        <v/>
      </c>
      <c r="J394" s="29">
        <f>IF($B394="","",IF($A394=1,$C$7,IF(J393="",0,J393))+IF($H394="",0,$H394)-IF($I394="",0,$I394))</f>
        <v/>
      </c>
      <c r="K394" s="29">
        <f>IF($P394="","",IF(INDEX(EntryMan,$P394)=0,"",INDEX(EntryMan,$P394)))</f>
        <v/>
      </c>
      <c r="L394" s="28">
        <f>IF($B394="","",IF($K394="","—",IF(ROUND($K394-$J394,0)=0,"√","×")))</f>
        <v/>
      </c>
      <c r="M394" s="28">
        <f>IF($B394="","",IF(COUNTIFS(EntryDates,$B394,CalcTime,$C394,CalcBank,$C$5,EntryParty,$D394,EntryDep,$H394,EntryWit,$I394)&gt;1,"تکرار",""))</f>
        <v/>
      </c>
      <c r="N394" s="28">
        <f>IF($P394="","",IF(INDEX(EntryNotes,$P394)=0,"",INDEX(EntryNotes,$P394)))</f>
        <v/>
      </c>
      <c r="O394" s="28">
        <f>IF($P394="","",IF(INDEX(EntryTxnID,$P394)=0,"",INDEX(EntryTxnID,$P394)))</f>
        <v/>
      </c>
      <c r="P394" s="28">
        <f>IFERROR(MATCH($C$5&amp;"|"&amp;RIGHT("000000"&amp;378,6),CalcRankKey,0),"")</f>
        <v/>
      </c>
    </row>
    <row r="395">
      <c r="A395" s="26">
        <f>IF($B395="","",379)</f>
        <v/>
      </c>
      <c r="B395" s="26">
        <f>IF($P395="","",IF(INDEX(CalcNormDate,$P395)=0,"",INDEX(CalcNormDate,$P395)))</f>
        <v/>
      </c>
      <c r="C395" s="26">
        <f>IF($P395="","",IF(INDEX(CalcTime,$P395)=0,"",INDEX(CalcTime,$P395)))</f>
        <v/>
      </c>
      <c r="D395" s="26">
        <f>IF($P395="","",IF(INDEX(EntryParty,$P395)=0,"",INDEX(EntryParty,$P395)))</f>
        <v/>
      </c>
      <c r="E395" s="26">
        <f>IF($P395="","",IF(INDEX(EntryPartyName,$P395)=0,"",INDEX(EntryPartyName,$P395)))</f>
        <v/>
      </c>
      <c r="F395" s="26">
        <f>IF($P395="","",IF(INDEX(EntryPartyType,$P395)=0,"",INDEX(EntryPartyType,$P395)))</f>
        <v/>
      </c>
      <c r="G395" s="26">
        <f>IF($P395="","",IF(INDEX(EntryTxnType,$P395)=0,"",INDEX(EntryTxnType,$P395)))</f>
        <v/>
      </c>
      <c r="H395" s="27">
        <f>IF($P395="","",IF(INDEX(EntryDep,$P395)=0,"",INDEX(EntryDep,$P395)))</f>
        <v/>
      </c>
      <c r="I395" s="27">
        <f>IF($P395="","",IF(INDEX(EntryWit,$P395)=0,"",INDEX(EntryWit,$P395)))</f>
        <v/>
      </c>
      <c r="J395" s="27">
        <f>IF($B395="","",IF($A395=1,$C$7,IF(J394="",0,J394))+IF($H395="",0,$H395)-IF($I395="",0,$I395))</f>
        <v/>
      </c>
      <c r="K395" s="27">
        <f>IF($P395="","",IF(INDEX(EntryMan,$P395)=0,"",INDEX(EntryMan,$P395)))</f>
        <v/>
      </c>
      <c r="L395" s="26">
        <f>IF($B395="","",IF($K395="","—",IF(ROUND($K395-$J395,0)=0,"√","×")))</f>
        <v/>
      </c>
      <c r="M395" s="26">
        <f>IF($B395="","",IF(COUNTIFS(EntryDates,$B395,CalcTime,$C395,CalcBank,$C$5,EntryParty,$D395,EntryDep,$H395,EntryWit,$I395)&gt;1,"تکرار",""))</f>
        <v/>
      </c>
      <c r="N395" s="26">
        <f>IF($P395="","",IF(INDEX(EntryNotes,$P395)=0,"",INDEX(EntryNotes,$P395)))</f>
        <v/>
      </c>
      <c r="O395" s="26">
        <f>IF($P395="","",IF(INDEX(EntryTxnID,$P395)=0,"",INDEX(EntryTxnID,$P395)))</f>
        <v/>
      </c>
      <c r="P395" s="26">
        <f>IFERROR(MATCH($C$5&amp;"|"&amp;RIGHT("000000"&amp;379,6),CalcRankKey,0),"")</f>
        <v/>
      </c>
    </row>
    <row r="396">
      <c r="A396" s="28">
        <f>IF($B396="","",380)</f>
        <v/>
      </c>
      <c r="B396" s="28">
        <f>IF($P396="","",IF(INDEX(CalcNormDate,$P396)=0,"",INDEX(CalcNormDate,$P396)))</f>
        <v/>
      </c>
      <c r="C396" s="28">
        <f>IF($P396="","",IF(INDEX(CalcTime,$P396)=0,"",INDEX(CalcTime,$P396)))</f>
        <v/>
      </c>
      <c r="D396" s="28">
        <f>IF($P396="","",IF(INDEX(EntryParty,$P396)=0,"",INDEX(EntryParty,$P396)))</f>
        <v/>
      </c>
      <c r="E396" s="28">
        <f>IF($P396="","",IF(INDEX(EntryPartyName,$P396)=0,"",INDEX(EntryPartyName,$P396)))</f>
        <v/>
      </c>
      <c r="F396" s="28">
        <f>IF($P396="","",IF(INDEX(EntryPartyType,$P396)=0,"",INDEX(EntryPartyType,$P396)))</f>
        <v/>
      </c>
      <c r="G396" s="28">
        <f>IF($P396="","",IF(INDEX(EntryTxnType,$P396)=0,"",INDEX(EntryTxnType,$P396)))</f>
        <v/>
      </c>
      <c r="H396" s="29">
        <f>IF($P396="","",IF(INDEX(EntryDep,$P396)=0,"",INDEX(EntryDep,$P396)))</f>
        <v/>
      </c>
      <c r="I396" s="29">
        <f>IF($P396="","",IF(INDEX(EntryWit,$P396)=0,"",INDEX(EntryWit,$P396)))</f>
        <v/>
      </c>
      <c r="J396" s="29">
        <f>IF($B396="","",IF($A396=1,$C$7,IF(J395="",0,J395))+IF($H396="",0,$H396)-IF($I396="",0,$I396))</f>
        <v/>
      </c>
      <c r="K396" s="29">
        <f>IF($P396="","",IF(INDEX(EntryMan,$P396)=0,"",INDEX(EntryMan,$P396)))</f>
        <v/>
      </c>
      <c r="L396" s="28">
        <f>IF($B396="","",IF($K396="","—",IF(ROUND($K396-$J396,0)=0,"√","×")))</f>
        <v/>
      </c>
      <c r="M396" s="28">
        <f>IF($B396="","",IF(COUNTIFS(EntryDates,$B396,CalcTime,$C396,CalcBank,$C$5,EntryParty,$D396,EntryDep,$H396,EntryWit,$I396)&gt;1,"تکرار",""))</f>
        <v/>
      </c>
      <c r="N396" s="28">
        <f>IF($P396="","",IF(INDEX(EntryNotes,$P396)=0,"",INDEX(EntryNotes,$P396)))</f>
        <v/>
      </c>
      <c r="O396" s="28">
        <f>IF($P396="","",IF(INDEX(EntryTxnID,$P396)=0,"",INDEX(EntryTxnID,$P396)))</f>
        <v/>
      </c>
      <c r="P396" s="28">
        <f>IFERROR(MATCH($C$5&amp;"|"&amp;RIGHT("000000"&amp;380,6),CalcRankKey,0),"")</f>
        <v/>
      </c>
    </row>
    <row r="397">
      <c r="A397" s="26">
        <f>IF($B397="","",381)</f>
        <v/>
      </c>
      <c r="B397" s="26">
        <f>IF($P397="","",IF(INDEX(CalcNormDate,$P397)=0,"",INDEX(CalcNormDate,$P397)))</f>
        <v/>
      </c>
      <c r="C397" s="26">
        <f>IF($P397="","",IF(INDEX(CalcTime,$P397)=0,"",INDEX(CalcTime,$P397)))</f>
        <v/>
      </c>
      <c r="D397" s="26">
        <f>IF($P397="","",IF(INDEX(EntryParty,$P397)=0,"",INDEX(EntryParty,$P397)))</f>
        <v/>
      </c>
      <c r="E397" s="26">
        <f>IF($P397="","",IF(INDEX(EntryPartyName,$P397)=0,"",INDEX(EntryPartyName,$P397)))</f>
        <v/>
      </c>
      <c r="F397" s="26">
        <f>IF($P397="","",IF(INDEX(EntryPartyType,$P397)=0,"",INDEX(EntryPartyType,$P397)))</f>
        <v/>
      </c>
      <c r="G397" s="26">
        <f>IF($P397="","",IF(INDEX(EntryTxnType,$P397)=0,"",INDEX(EntryTxnType,$P397)))</f>
        <v/>
      </c>
      <c r="H397" s="27">
        <f>IF($P397="","",IF(INDEX(EntryDep,$P397)=0,"",INDEX(EntryDep,$P397)))</f>
        <v/>
      </c>
      <c r="I397" s="27">
        <f>IF($P397="","",IF(INDEX(EntryWit,$P397)=0,"",INDEX(EntryWit,$P397)))</f>
        <v/>
      </c>
      <c r="J397" s="27">
        <f>IF($B397="","",IF($A397=1,$C$7,IF(J396="",0,J396))+IF($H397="",0,$H397)-IF($I397="",0,$I397))</f>
        <v/>
      </c>
      <c r="K397" s="27">
        <f>IF($P397="","",IF(INDEX(EntryMan,$P397)=0,"",INDEX(EntryMan,$P397)))</f>
        <v/>
      </c>
      <c r="L397" s="26">
        <f>IF($B397="","",IF($K397="","—",IF(ROUND($K397-$J397,0)=0,"√","×")))</f>
        <v/>
      </c>
      <c r="M397" s="26">
        <f>IF($B397="","",IF(COUNTIFS(EntryDates,$B397,CalcTime,$C397,CalcBank,$C$5,EntryParty,$D397,EntryDep,$H397,EntryWit,$I397)&gt;1,"تکرار",""))</f>
        <v/>
      </c>
      <c r="N397" s="26">
        <f>IF($P397="","",IF(INDEX(EntryNotes,$P397)=0,"",INDEX(EntryNotes,$P397)))</f>
        <v/>
      </c>
      <c r="O397" s="26">
        <f>IF($P397="","",IF(INDEX(EntryTxnID,$P397)=0,"",INDEX(EntryTxnID,$P397)))</f>
        <v/>
      </c>
      <c r="P397" s="26">
        <f>IFERROR(MATCH($C$5&amp;"|"&amp;RIGHT("000000"&amp;381,6),CalcRankKey,0),"")</f>
        <v/>
      </c>
    </row>
    <row r="398">
      <c r="A398" s="28">
        <f>IF($B398="","",382)</f>
        <v/>
      </c>
      <c r="B398" s="28">
        <f>IF($P398="","",IF(INDEX(CalcNormDate,$P398)=0,"",INDEX(CalcNormDate,$P398)))</f>
        <v/>
      </c>
      <c r="C398" s="28">
        <f>IF($P398="","",IF(INDEX(CalcTime,$P398)=0,"",INDEX(CalcTime,$P398)))</f>
        <v/>
      </c>
      <c r="D398" s="28">
        <f>IF($P398="","",IF(INDEX(EntryParty,$P398)=0,"",INDEX(EntryParty,$P398)))</f>
        <v/>
      </c>
      <c r="E398" s="28">
        <f>IF($P398="","",IF(INDEX(EntryPartyName,$P398)=0,"",INDEX(EntryPartyName,$P398)))</f>
        <v/>
      </c>
      <c r="F398" s="28">
        <f>IF($P398="","",IF(INDEX(EntryPartyType,$P398)=0,"",INDEX(EntryPartyType,$P398)))</f>
        <v/>
      </c>
      <c r="G398" s="28">
        <f>IF($P398="","",IF(INDEX(EntryTxnType,$P398)=0,"",INDEX(EntryTxnType,$P398)))</f>
        <v/>
      </c>
      <c r="H398" s="29">
        <f>IF($P398="","",IF(INDEX(EntryDep,$P398)=0,"",INDEX(EntryDep,$P398)))</f>
        <v/>
      </c>
      <c r="I398" s="29">
        <f>IF($P398="","",IF(INDEX(EntryWit,$P398)=0,"",INDEX(EntryWit,$P398)))</f>
        <v/>
      </c>
      <c r="J398" s="29">
        <f>IF($B398="","",IF($A398=1,$C$7,IF(J397="",0,J397))+IF($H398="",0,$H398)-IF($I398="",0,$I398))</f>
        <v/>
      </c>
      <c r="K398" s="29">
        <f>IF($P398="","",IF(INDEX(EntryMan,$P398)=0,"",INDEX(EntryMan,$P398)))</f>
        <v/>
      </c>
      <c r="L398" s="28">
        <f>IF($B398="","",IF($K398="","—",IF(ROUND($K398-$J398,0)=0,"√","×")))</f>
        <v/>
      </c>
      <c r="M398" s="28">
        <f>IF($B398="","",IF(COUNTIFS(EntryDates,$B398,CalcTime,$C398,CalcBank,$C$5,EntryParty,$D398,EntryDep,$H398,EntryWit,$I398)&gt;1,"تکرار",""))</f>
        <v/>
      </c>
      <c r="N398" s="28">
        <f>IF($P398="","",IF(INDEX(EntryNotes,$P398)=0,"",INDEX(EntryNotes,$P398)))</f>
        <v/>
      </c>
      <c r="O398" s="28">
        <f>IF($P398="","",IF(INDEX(EntryTxnID,$P398)=0,"",INDEX(EntryTxnID,$P398)))</f>
        <v/>
      </c>
      <c r="P398" s="28">
        <f>IFERROR(MATCH($C$5&amp;"|"&amp;RIGHT("000000"&amp;382,6),CalcRankKey,0),"")</f>
        <v/>
      </c>
    </row>
    <row r="399">
      <c r="A399" s="26">
        <f>IF($B399="","",383)</f>
        <v/>
      </c>
      <c r="B399" s="26">
        <f>IF($P399="","",IF(INDEX(CalcNormDate,$P399)=0,"",INDEX(CalcNormDate,$P399)))</f>
        <v/>
      </c>
      <c r="C399" s="26">
        <f>IF($P399="","",IF(INDEX(CalcTime,$P399)=0,"",INDEX(CalcTime,$P399)))</f>
        <v/>
      </c>
      <c r="D399" s="26">
        <f>IF($P399="","",IF(INDEX(EntryParty,$P399)=0,"",INDEX(EntryParty,$P399)))</f>
        <v/>
      </c>
      <c r="E399" s="26">
        <f>IF($P399="","",IF(INDEX(EntryPartyName,$P399)=0,"",INDEX(EntryPartyName,$P399)))</f>
        <v/>
      </c>
      <c r="F399" s="26">
        <f>IF($P399="","",IF(INDEX(EntryPartyType,$P399)=0,"",INDEX(EntryPartyType,$P399)))</f>
        <v/>
      </c>
      <c r="G399" s="26">
        <f>IF($P399="","",IF(INDEX(EntryTxnType,$P399)=0,"",INDEX(EntryTxnType,$P399)))</f>
        <v/>
      </c>
      <c r="H399" s="27">
        <f>IF($P399="","",IF(INDEX(EntryDep,$P399)=0,"",INDEX(EntryDep,$P399)))</f>
        <v/>
      </c>
      <c r="I399" s="27">
        <f>IF($P399="","",IF(INDEX(EntryWit,$P399)=0,"",INDEX(EntryWit,$P399)))</f>
        <v/>
      </c>
      <c r="J399" s="27">
        <f>IF($B399="","",IF($A399=1,$C$7,IF(J398="",0,J398))+IF($H399="",0,$H399)-IF($I399="",0,$I399))</f>
        <v/>
      </c>
      <c r="K399" s="27">
        <f>IF($P399="","",IF(INDEX(EntryMan,$P399)=0,"",INDEX(EntryMan,$P399)))</f>
        <v/>
      </c>
      <c r="L399" s="26">
        <f>IF($B399="","",IF($K399="","—",IF(ROUND($K399-$J399,0)=0,"√","×")))</f>
        <v/>
      </c>
      <c r="M399" s="26">
        <f>IF($B399="","",IF(COUNTIFS(EntryDates,$B399,CalcTime,$C399,CalcBank,$C$5,EntryParty,$D399,EntryDep,$H399,EntryWit,$I399)&gt;1,"تکرار",""))</f>
        <v/>
      </c>
      <c r="N399" s="26">
        <f>IF($P399="","",IF(INDEX(EntryNotes,$P399)=0,"",INDEX(EntryNotes,$P399)))</f>
        <v/>
      </c>
      <c r="O399" s="26">
        <f>IF($P399="","",IF(INDEX(EntryTxnID,$P399)=0,"",INDEX(EntryTxnID,$P399)))</f>
        <v/>
      </c>
      <c r="P399" s="26">
        <f>IFERROR(MATCH($C$5&amp;"|"&amp;RIGHT("000000"&amp;383,6),CalcRankKey,0),"")</f>
        <v/>
      </c>
    </row>
    <row r="400">
      <c r="A400" s="28">
        <f>IF($B400="","",384)</f>
        <v/>
      </c>
      <c r="B400" s="28">
        <f>IF($P400="","",IF(INDEX(CalcNormDate,$P400)=0,"",INDEX(CalcNormDate,$P400)))</f>
        <v/>
      </c>
      <c r="C400" s="28">
        <f>IF($P400="","",IF(INDEX(CalcTime,$P400)=0,"",INDEX(CalcTime,$P400)))</f>
        <v/>
      </c>
      <c r="D400" s="28">
        <f>IF($P400="","",IF(INDEX(EntryParty,$P400)=0,"",INDEX(EntryParty,$P400)))</f>
        <v/>
      </c>
      <c r="E400" s="28">
        <f>IF($P400="","",IF(INDEX(EntryPartyName,$P400)=0,"",INDEX(EntryPartyName,$P400)))</f>
        <v/>
      </c>
      <c r="F400" s="28">
        <f>IF($P400="","",IF(INDEX(EntryPartyType,$P400)=0,"",INDEX(EntryPartyType,$P400)))</f>
        <v/>
      </c>
      <c r="G400" s="28">
        <f>IF($P400="","",IF(INDEX(EntryTxnType,$P400)=0,"",INDEX(EntryTxnType,$P400)))</f>
        <v/>
      </c>
      <c r="H400" s="29">
        <f>IF($P400="","",IF(INDEX(EntryDep,$P400)=0,"",INDEX(EntryDep,$P400)))</f>
        <v/>
      </c>
      <c r="I400" s="29">
        <f>IF($P400="","",IF(INDEX(EntryWit,$P400)=0,"",INDEX(EntryWit,$P400)))</f>
        <v/>
      </c>
      <c r="J400" s="29">
        <f>IF($B400="","",IF($A400=1,$C$7,IF(J399="",0,J399))+IF($H400="",0,$H400)-IF($I400="",0,$I400))</f>
        <v/>
      </c>
      <c r="K400" s="29">
        <f>IF($P400="","",IF(INDEX(EntryMan,$P400)=0,"",INDEX(EntryMan,$P400)))</f>
        <v/>
      </c>
      <c r="L400" s="28">
        <f>IF($B400="","",IF($K400="","—",IF(ROUND($K400-$J400,0)=0,"√","×")))</f>
        <v/>
      </c>
      <c r="M400" s="28">
        <f>IF($B400="","",IF(COUNTIFS(EntryDates,$B400,CalcTime,$C400,CalcBank,$C$5,EntryParty,$D400,EntryDep,$H400,EntryWit,$I400)&gt;1,"تکرار",""))</f>
        <v/>
      </c>
      <c r="N400" s="28">
        <f>IF($P400="","",IF(INDEX(EntryNotes,$P400)=0,"",INDEX(EntryNotes,$P400)))</f>
        <v/>
      </c>
      <c r="O400" s="28">
        <f>IF($P400="","",IF(INDEX(EntryTxnID,$P400)=0,"",INDEX(EntryTxnID,$P400)))</f>
        <v/>
      </c>
      <c r="P400" s="28">
        <f>IFERROR(MATCH($C$5&amp;"|"&amp;RIGHT("000000"&amp;384,6),CalcRankKey,0),"")</f>
        <v/>
      </c>
    </row>
    <row r="401">
      <c r="A401" s="26">
        <f>IF($B401="","",385)</f>
        <v/>
      </c>
      <c r="B401" s="26">
        <f>IF($P401="","",IF(INDEX(CalcNormDate,$P401)=0,"",INDEX(CalcNormDate,$P401)))</f>
        <v/>
      </c>
      <c r="C401" s="26">
        <f>IF($P401="","",IF(INDEX(CalcTime,$P401)=0,"",INDEX(CalcTime,$P401)))</f>
        <v/>
      </c>
      <c r="D401" s="26">
        <f>IF($P401="","",IF(INDEX(EntryParty,$P401)=0,"",INDEX(EntryParty,$P401)))</f>
        <v/>
      </c>
      <c r="E401" s="26">
        <f>IF($P401="","",IF(INDEX(EntryPartyName,$P401)=0,"",INDEX(EntryPartyName,$P401)))</f>
        <v/>
      </c>
      <c r="F401" s="26">
        <f>IF($P401="","",IF(INDEX(EntryPartyType,$P401)=0,"",INDEX(EntryPartyType,$P401)))</f>
        <v/>
      </c>
      <c r="G401" s="26">
        <f>IF($P401="","",IF(INDEX(EntryTxnType,$P401)=0,"",INDEX(EntryTxnType,$P401)))</f>
        <v/>
      </c>
      <c r="H401" s="27">
        <f>IF($P401="","",IF(INDEX(EntryDep,$P401)=0,"",INDEX(EntryDep,$P401)))</f>
        <v/>
      </c>
      <c r="I401" s="27">
        <f>IF($P401="","",IF(INDEX(EntryWit,$P401)=0,"",INDEX(EntryWit,$P401)))</f>
        <v/>
      </c>
      <c r="J401" s="27">
        <f>IF($B401="","",IF($A401=1,$C$7,IF(J400="",0,J400))+IF($H401="",0,$H401)-IF($I401="",0,$I401))</f>
        <v/>
      </c>
      <c r="K401" s="27">
        <f>IF($P401="","",IF(INDEX(EntryMan,$P401)=0,"",INDEX(EntryMan,$P401)))</f>
        <v/>
      </c>
      <c r="L401" s="26">
        <f>IF($B401="","",IF($K401="","—",IF(ROUND($K401-$J401,0)=0,"√","×")))</f>
        <v/>
      </c>
      <c r="M401" s="26">
        <f>IF($B401="","",IF(COUNTIFS(EntryDates,$B401,CalcTime,$C401,CalcBank,$C$5,EntryParty,$D401,EntryDep,$H401,EntryWit,$I401)&gt;1,"تکرار",""))</f>
        <v/>
      </c>
      <c r="N401" s="26">
        <f>IF($P401="","",IF(INDEX(EntryNotes,$P401)=0,"",INDEX(EntryNotes,$P401)))</f>
        <v/>
      </c>
      <c r="O401" s="26">
        <f>IF($P401="","",IF(INDEX(EntryTxnID,$P401)=0,"",INDEX(EntryTxnID,$P401)))</f>
        <v/>
      </c>
      <c r="P401" s="26">
        <f>IFERROR(MATCH($C$5&amp;"|"&amp;RIGHT("000000"&amp;385,6),CalcRankKey,0),"")</f>
        <v/>
      </c>
    </row>
    <row r="402">
      <c r="A402" s="28">
        <f>IF($B402="","",386)</f>
        <v/>
      </c>
      <c r="B402" s="28">
        <f>IF($P402="","",IF(INDEX(CalcNormDate,$P402)=0,"",INDEX(CalcNormDate,$P402)))</f>
        <v/>
      </c>
      <c r="C402" s="28">
        <f>IF($P402="","",IF(INDEX(CalcTime,$P402)=0,"",INDEX(CalcTime,$P402)))</f>
        <v/>
      </c>
      <c r="D402" s="28">
        <f>IF($P402="","",IF(INDEX(EntryParty,$P402)=0,"",INDEX(EntryParty,$P402)))</f>
        <v/>
      </c>
      <c r="E402" s="28">
        <f>IF($P402="","",IF(INDEX(EntryPartyName,$P402)=0,"",INDEX(EntryPartyName,$P402)))</f>
        <v/>
      </c>
      <c r="F402" s="28">
        <f>IF($P402="","",IF(INDEX(EntryPartyType,$P402)=0,"",INDEX(EntryPartyType,$P402)))</f>
        <v/>
      </c>
      <c r="G402" s="28">
        <f>IF($P402="","",IF(INDEX(EntryTxnType,$P402)=0,"",INDEX(EntryTxnType,$P402)))</f>
        <v/>
      </c>
      <c r="H402" s="29">
        <f>IF($P402="","",IF(INDEX(EntryDep,$P402)=0,"",INDEX(EntryDep,$P402)))</f>
        <v/>
      </c>
      <c r="I402" s="29">
        <f>IF($P402="","",IF(INDEX(EntryWit,$P402)=0,"",INDEX(EntryWit,$P402)))</f>
        <v/>
      </c>
      <c r="J402" s="29">
        <f>IF($B402="","",IF($A402=1,$C$7,IF(J401="",0,J401))+IF($H402="",0,$H402)-IF($I402="",0,$I402))</f>
        <v/>
      </c>
      <c r="K402" s="29">
        <f>IF($P402="","",IF(INDEX(EntryMan,$P402)=0,"",INDEX(EntryMan,$P402)))</f>
        <v/>
      </c>
      <c r="L402" s="28">
        <f>IF($B402="","",IF($K402="","—",IF(ROUND($K402-$J402,0)=0,"√","×")))</f>
        <v/>
      </c>
      <c r="M402" s="28">
        <f>IF($B402="","",IF(COUNTIFS(EntryDates,$B402,CalcTime,$C402,CalcBank,$C$5,EntryParty,$D402,EntryDep,$H402,EntryWit,$I402)&gt;1,"تکرار",""))</f>
        <v/>
      </c>
      <c r="N402" s="28">
        <f>IF($P402="","",IF(INDEX(EntryNotes,$P402)=0,"",INDEX(EntryNotes,$P402)))</f>
        <v/>
      </c>
      <c r="O402" s="28">
        <f>IF($P402="","",IF(INDEX(EntryTxnID,$P402)=0,"",INDEX(EntryTxnID,$P402)))</f>
        <v/>
      </c>
      <c r="P402" s="28">
        <f>IFERROR(MATCH($C$5&amp;"|"&amp;RIGHT("000000"&amp;386,6),CalcRankKey,0),"")</f>
        <v/>
      </c>
    </row>
    <row r="403">
      <c r="A403" s="26">
        <f>IF($B403="","",387)</f>
        <v/>
      </c>
      <c r="B403" s="26">
        <f>IF($P403="","",IF(INDEX(CalcNormDate,$P403)=0,"",INDEX(CalcNormDate,$P403)))</f>
        <v/>
      </c>
      <c r="C403" s="26">
        <f>IF($P403="","",IF(INDEX(CalcTime,$P403)=0,"",INDEX(CalcTime,$P403)))</f>
        <v/>
      </c>
      <c r="D403" s="26">
        <f>IF($P403="","",IF(INDEX(EntryParty,$P403)=0,"",INDEX(EntryParty,$P403)))</f>
        <v/>
      </c>
      <c r="E403" s="26">
        <f>IF($P403="","",IF(INDEX(EntryPartyName,$P403)=0,"",INDEX(EntryPartyName,$P403)))</f>
        <v/>
      </c>
      <c r="F403" s="26">
        <f>IF($P403="","",IF(INDEX(EntryPartyType,$P403)=0,"",INDEX(EntryPartyType,$P403)))</f>
        <v/>
      </c>
      <c r="G403" s="26">
        <f>IF($P403="","",IF(INDEX(EntryTxnType,$P403)=0,"",INDEX(EntryTxnType,$P403)))</f>
        <v/>
      </c>
      <c r="H403" s="27">
        <f>IF($P403="","",IF(INDEX(EntryDep,$P403)=0,"",INDEX(EntryDep,$P403)))</f>
        <v/>
      </c>
      <c r="I403" s="27">
        <f>IF($P403="","",IF(INDEX(EntryWit,$P403)=0,"",INDEX(EntryWit,$P403)))</f>
        <v/>
      </c>
      <c r="J403" s="27">
        <f>IF($B403="","",IF($A403=1,$C$7,IF(J402="",0,J402))+IF($H403="",0,$H403)-IF($I403="",0,$I403))</f>
        <v/>
      </c>
      <c r="K403" s="27">
        <f>IF($P403="","",IF(INDEX(EntryMan,$P403)=0,"",INDEX(EntryMan,$P403)))</f>
        <v/>
      </c>
      <c r="L403" s="26">
        <f>IF($B403="","",IF($K403="","—",IF(ROUND($K403-$J403,0)=0,"√","×")))</f>
        <v/>
      </c>
      <c r="M403" s="26">
        <f>IF($B403="","",IF(COUNTIFS(EntryDates,$B403,CalcTime,$C403,CalcBank,$C$5,EntryParty,$D403,EntryDep,$H403,EntryWit,$I403)&gt;1,"تکرار",""))</f>
        <v/>
      </c>
      <c r="N403" s="26">
        <f>IF($P403="","",IF(INDEX(EntryNotes,$P403)=0,"",INDEX(EntryNotes,$P403)))</f>
        <v/>
      </c>
      <c r="O403" s="26">
        <f>IF($P403="","",IF(INDEX(EntryTxnID,$P403)=0,"",INDEX(EntryTxnID,$P403)))</f>
        <v/>
      </c>
      <c r="P403" s="26">
        <f>IFERROR(MATCH($C$5&amp;"|"&amp;RIGHT("000000"&amp;387,6),CalcRankKey,0),"")</f>
        <v/>
      </c>
    </row>
    <row r="404">
      <c r="A404" s="28">
        <f>IF($B404="","",388)</f>
        <v/>
      </c>
      <c r="B404" s="28">
        <f>IF($P404="","",IF(INDEX(CalcNormDate,$P404)=0,"",INDEX(CalcNormDate,$P404)))</f>
        <v/>
      </c>
      <c r="C404" s="28">
        <f>IF($P404="","",IF(INDEX(CalcTime,$P404)=0,"",INDEX(CalcTime,$P404)))</f>
        <v/>
      </c>
      <c r="D404" s="28">
        <f>IF($P404="","",IF(INDEX(EntryParty,$P404)=0,"",INDEX(EntryParty,$P404)))</f>
        <v/>
      </c>
      <c r="E404" s="28">
        <f>IF($P404="","",IF(INDEX(EntryPartyName,$P404)=0,"",INDEX(EntryPartyName,$P404)))</f>
        <v/>
      </c>
      <c r="F404" s="28">
        <f>IF($P404="","",IF(INDEX(EntryPartyType,$P404)=0,"",INDEX(EntryPartyType,$P404)))</f>
        <v/>
      </c>
      <c r="G404" s="28">
        <f>IF($P404="","",IF(INDEX(EntryTxnType,$P404)=0,"",INDEX(EntryTxnType,$P404)))</f>
        <v/>
      </c>
      <c r="H404" s="29">
        <f>IF($P404="","",IF(INDEX(EntryDep,$P404)=0,"",INDEX(EntryDep,$P404)))</f>
        <v/>
      </c>
      <c r="I404" s="29">
        <f>IF($P404="","",IF(INDEX(EntryWit,$P404)=0,"",INDEX(EntryWit,$P404)))</f>
        <v/>
      </c>
      <c r="J404" s="29">
        <f>IF($B404="","",IF($A404=1,$C$7,IF(J403="",0,J403))+IF($H404="",0,$H404)-IF($I404="",0,$I404))</f>
        <v/>
      </c>
      <c r="K404" s="29">
        <f>IF($P404="","",IF(INDEX(EntryMan,$P404)=0,"",INDEX(EntryMan,$P404)))</f>
        <v/>
      </c>
      <c r="L404" s="28">
        <f>IF($B404="","",IF($K404="","—",IF(ROUND($K404-$J404,0)=0,"√","×")))</f>
        <v/>
      </c>
      <c r="M404" s="28">
        <f>IF($B404="","",IF(COUNTIFS(EntryDates,$B404,CalcTime,$C404,CalcBank,$C$5,EntryParty,$D404,EntryDep,$H404,EntryWit,$I404)&gt;1,"تکرار",""))</f>
        <v/>
      </c>
      <c r="N404" s="28">
        <f>IF($P404="","",IF(INDEX(EntryNotes,$P404)=0,"",INDEX(EntryNotes,$P404)))</f>
        <v/>
      </c>
      <c r="O404" s="28">
        <f>IF($P404="","",IF(INDEX(EntryTxnID,$P404)=0,"",INDEX(EntryTxnID,$P404)))</f>
        <v/>
      </c>
      <c r="P404" s="28">
        <f>IFERROR(MATCH($C$5&amp;"|"&amp;RIGHT("000000"&amp;388,6),CalcRankKey,0),"")</f>
        <v/>
      </c>
    </row>
    <row r="405">
      <c r="A405" s="26">
        <f>IF($B405="","",389)</f>
        <v/>
      </c>
      <c r="B405" s="26">
        <f>IF($P405="","",IF(INDEX(CalcNormDate,$P405)=0,"",INDEX(CalcNormDate,$P405)))</f>
        <v/>
      </c>
      <c r="C405" s="26">
        <f>IF($P405="","",IF(INDEX(CalcTime,$P405)=0,"",INDEX(CalcTime,$P405)))</f>
        <v/>
      </c>
      <c r="D405" s="26">
        <f>IF($P405="","",IF(INDEX(EntryParty,$P405)=0,"",INDEX(EntryParty,$P405)))</f>
        <v/>
      </c>
      <c r="E405" s="26">
        <f>IF($P405="","",IF(INDEX(EntryPartyName,$P405)=0,"",INDEX(EntryPartyName,$P405)))</f>
        <v/>
      </c>
      <c r="F405" s="26">
        <f>IF($P405="","",IF(INDEX(EntryPartyType,$P405)=0,"",INDEX(EntryPartyType,$P405)))</f>
        <v/>
      </c>
      <c r="G405" s="26">
        <f>IF($P405="","",IF(INDEX(EntryTxnType,$P405)=0,"",INDEX(EntryTxnType,$P405)))</f>
        <v/>
      </c>
      <c r="H405" s="27">
        <f>IF($P405="","",IF(INDEX(EntryDep,$P405)=0,"",INDEX(EntryDep,$P405)))</f>
        <v/>
      </c>
      <c r="I405" s="27">
        <f>IF($P405="","",IF(INDEX(EntryWit,$P405)=0,"",INDEX(EntryWit,$P405)))</f>
        <v/>
      </c>
      <c r="J405" s="27">
        <f>IF($B405="","",IF($A405=1,$C$7,IF(J404="",0,J404))+IF($H405="",0,$H405)-IF($I405="",0,$I405))</f>
        <v/>
      </c>
      <c r="K405" s="27">
        <f>IF($P405="","",IF(INDEX(EntryMan,$P405)=0,"",INDEX(EntryMan,$P405)))</f>
        <v/>
      </c>
      <c r="L405" s="26">
        <f>IF($B405="","",IF($K405="","—",IF(ROUND($K405-$J405,0)=0,"√","×")))</f>
        <v/>
      </c>
      <c r="M405" s="26">
        <f>IF($B405="","",IF(COUNTIFS(EntryDates,$B405,CalcTime,$C405,CalcBank,$C$5,EntryParty,$D405,EntryDep,$H405,EntryWit,$I405)&gt;1,"تکرار",""))</f>
        <v/>
      </c>
      <c r="N405" s="26">
        <f>IF($P405="","",IF(INDEX(EntryNotes,$P405)=0,"",INDEX(EntryNotes,$P405)))</f>
        <v/>
      </c>
      <c r="O405" s="26">
        <f>IF($P405="","",IF(INDEX(EntryTxnID,$P405)=0,"",INDEX(EntryTxnID,$P405)))</f>
        <v/>
      </c>
      <c r="P405" s="26">
        <f>IFERROR(MATCH($C$5&amp;"|"&amp;RIGHT("000000"&amp;389,6),CalcRankKey,0),"")</f>
        <v/>
      </c>
    </row>
    <row r="406">
      <c r="A406" s="28">
        <f>IF($B406="","",390)</f>
        <v/>
      </c>
      <c r="B406" s="28">
        <f>IF($P406="","",IF(INDEX(CalcNormDate,$P406)=0,"",INDEX(CalcNormDate,$P406)))</f>
        <v/>
      </c>
      <c r="C406" s="28">
        <f>IF($P406="","",IF(INDEX(CalcTime,$P406)=0,"",INDEX(CalcTime,$P406)))</f>
        <v/>
      </c>
      <c r="D406" s="28">
        <f>IF($P406="","",IF(INDEX(EntryParty,$P406)=0,"",INDEX(EntryParty,$P406)))</f>
        <v/>
      </c>
      <c r="E406" s="28">
        <f>IF($P406="","",IF(INDEX(EntryPartyName,$P406)=0,"",INDEX(EntryPartyName,$P406)))</f>
        <v/>
      </c>
      <c r="F406" s="28">
        <f>IF($P406="","",IF(INDEX(EntryPartyType,$P406)=0,"",INDEX(EntryPartyType,$P406)))</f>
        <v/>
      </c>
      <c r="G406" s="28">
        <f>IF($P406="","",IF(INDEX(EntryTxnType,$P406)=0,"",INDEX(EntryTxnType,$P406)))</f>
        <v/>
      </c>
      <c r="H406" s="29">
        <f>IF($P406="","",IF(INDEX(EntryDep,$P406)=0,"",INDEX(EntryDep,$P406)))</f>
        <v/>
      </c>
      <c r="I406" s="29">
        <f>IF($P406="","",IF(INDEX(EntryWit,$P406)=0,"",INDEX(EntryWit,$P406)))</f>
        <v/>
      </c>
      <c r="J406" s="29">
        <f>IF($B406="","",IF($A406=1,$C$7,IF(J405="",0,J405))+IF($H406="",0,$H406)-IF($I406="",0,$I406))</f>
        <v/>
      </c>
      <c r="K406" s="29">
        <f>IF($P406="","",IF(INDEX(EntryMan,$P406)=0,"",INDEX(EntryMan,$P406)))</f>
        <v/>
      </c>
      <c r="L406" s="28">
        <f>IF($B406="","",IF($K406="","—",IF(ROUND($K406-$J406,0)=0,"√","×")))</f>
        <v/>
      </c>
      <c r="M406" s="28">
        <f>IF($B406="","",IF(COUNTIFS(EntryDates,$B406,CalcTime,$C406,CalcBank,$C$5,EntryParty,$D406,EntryDep,$H406,EntryWit,$I406)&gt;1,"تکرار",""))</f>
        <v/>
      </c>
      <c r="N406" s="28">
        <f>IF($P406="","",IF(INDEX(EntryNotes,$P406)=0,"",INDEX(EntryNotes,$P406)))</f>
        <v/>
      </c>
      <c r="O406" s="28">
        <f>IF($P406="","",IF(INDEX(EntryTxnID,$P406)=0,"",INDEX(EntryTxnID,$P406)))</f>
        <v/>
      </c>
      <c r="P406" s="28">
        <f>IFERROR(MATCH($C$5&amp;"|"&amp;RIGHT("000000"&amp;390,6),CalcRankKey,0),"")</f>
        <v/>
      </c>
    </row>
    <row r="407">
      <c r="A407" s="26">
        <f>IF($B407="","",391)</f>
        <v/>
      </c>
      <c r="B407" s="26">
        <f>IF($P407="","",IF(INDEX(CalcNormDate,$P407)=0,"",INDEX(CalcNormDate,$P407)))</f>
        <v/>
      </c>
      <c r="C407" s="26">
        <f>IF($P407="","",IF(INDEX(CalcTime,$P407)=0,"",INDEX(CalcTime,$P407)))</f>
        <v/>
      </c>
      <c r="D407" s="26">
        <f>IF($P407="","",IF(INDEX(EntryParty,$P407)=0,"",INDEX(EntryParty,$P407)))</f>
        <v/>
      </c>
      <c r="E407" s="26">
        <f>IF($P407="","",IF(INDEX(EntryPartyName,$P407)=0,"",INDEX(EntryPartyName,$P407)))</f>
        <v/>
      </c>
      <c r="F407" s="26">
        <f>IF($P407="","",IF(INDEX(EntryPartyType,$P407)=0,"",INDEX(EntryPartyType,$P407)))</f>
        <v/>
      </c>
      <c r="G407" s="26">
        <f>IF($P407="","",IF(INDEX(EntryTxnType,$P407)=0,"",INDEX(EntryTxnType,$P407)))</f>
        <v/>
      </c>
      <c r="H407" s="27">
        <f>IF($P407="","",IF(INDEX(EntryDep,$P407)=0,"",INDEX(EntryDep,$P407)))</f>
        <v/>
      </c>
      <c r="I407" s="27">
        <f>IF($P407="","",IF(INDEX(EntryWit,$P407)=0,"",INDEX(EntryWit,$P407)))</f>
        <v/>
      </c>
      <c r="J407" s="27">
        <f>IF($B407="","",IF($A407=1,$C$7,IF(J406="",0,J406))+IF($H407="",0,$H407)-IF($I407="",0,$I407))</f>
        <v/>
      </c>
      <c r="K407" s="27">
        <f>IF($P407="","",IF(INDEX(EntryMan,$P407)=0,"",INDEX(EntryMan,$P407)))</f>
        <v/>
      </c>
      <c r="L407" s="26">
        <f>IF($B407="","",IF($K407="","—",IF(ROUND($K407-$J407,0)=0,"√","×")))</f>
        <v/>
      </c>
      <c r="M407" s="26">
        <f>IF($B407="","",IF(COUNTIFS(EntryDates,$B407,CalcTime,$C407,CalcBank,$C$5,EntryParty,$D407,EntryDep,$H407,EntryWit,$I407)&gt;1,"تکرار",""))</f>
        <v/>
      </c>
      <c r="N407" s="26">
        <f>IF($P407="","",IF(INDEX(EntryNotes,$P407)=0,"",INDEX(EntryNotes,$P407)))</f>
        <v/>
      </c>
      <c r="O407" s="26">
        <f>IF($P407="","",IF(INDEX(EntryTxnID,$P407)=0,"",INDEX(EntryTxnID,$P407)))</f>
        <v/>
      </c>
      <c r="P407" s="26">
        <f>IFERROR(MATCH($C$5&amp;"|"&amp;RIGHT("000000"&amp;391,6),CalcRankKey,0),"")</f>
        <v/>
      </c>
    </row>
    <row r="408">
      <c r="A408" s="28">
        <f>IF($B408="","",392)</f>
        <v/>
      </c>
      <c r="B408" s="28">
        <f>IF($P408="","",IF(INDEX(CalcNormDate,$P408)=0,"",INDEX(CalcNormDate,$P408)))</f>
        <v/>
      </c>
      <c r="C408" s="28">
        <f>IF($P408="","",IF(INDEX(CalcTime,$P408)=0,"",INDEX(CalcTime,$P408)))</f>
        <v/>
      </c>
      <c r="D408" s="28">
        <f>IF($P408="","",IF(INDEX(EntryParty,$P408)=0,"",INDEX(EntryParty,$P408)))</f>
        <v/>
      </c>
      <c r="E408" s="28">
        <f>IF($P408="","",IF(INDEX(EntryPartyName,$P408)=0,"",INDEX(EntryPartyName,$P408)))</f>
        <v/>
      </c>
      <c r="F408" s="28">
        <f>IF($P408="","",IF(INDEX(EntryPartyType,$P408)=0,"",INDEX(EntryPartyType,$P408)))</f>
        <v/>
      </c>
      <c r="G408" s="28">
        <f>IF($P408="","",IF(INDEX(EntryTxnType,$P408)=0,"",INDEX(EntryTxnType,$P408)))</f>
        <v/>
      </c>
      <c r="H408" s="29">
        <f>IF($P408="","",IF(INDEX(EntryDep,$P408)=0,"",INDEX(EntryDep,$P408)))</f>
        <v/>
      </c>
      <c r="I408" s="29">
        <f>IF($P408="","",IF(INDEX(EntryWit,$P408)=0,"",INDEX(EntryWit,$P408)))</f>
        <v/>
      </c>
      <c r="J408" s="29">
        <f>IF($B408="","",IF($A408=1,$C$7,IF(J407="",0,J407))+IF($H408="",0,$H408)-IF($I408="",0,$I408))</f>
        <v/>
      </c>
      <c r="K408" s="29">
        <f>IF($P408="","",IF(INDEX(EntryMan,$P408)=0,"",INDEX(EntryMan,$P408)))</f>
        <v/>
      </c>
      <c r="L408" s="28">
        <f>IF($B408="","",IF($K408="","—",IF(ROUND($K408-$J408,0)=0,"√","×")))</f>
        <v/>
      </c>
      <c r="M408" s="28">
        <f>IF($B408="","",IF(COUNTIFS(EntryDates,$B408,CalcTime,$C408,CalcBank,$C$5,EntryParty,$D408,EntryDep,$H408,EntryWit,$I408)&gt;1,"تکرار",""))</f>
        <v/>
      </c>
      <c r="N408" s="28">
        <f>IF($P408="","",IF(INDEX(EntryNotes,$P408)=0,"",INDEX(EntryNotes,$P408)))</f>
        <v/>
      </c>
      <c r="O408" s="28">
        <f>IF($P408="","",IF(INDEX(EntryTxnID,$P408)=0,"",INDEX(EntryTxnID,$P408)))</f>
        <v/>
      </c>
      <c r="P408" s="28">
        <f>IFERROR(MATCH($C$5&amp;"|"&amp;RIGHT("000000"&amp;392,6),CalcRankKey,0),"")</f>
        <v/>
      </c>
    </row>
    <row r="409">
      <c r="A409" s="26">
        <f>IF($B409="","",393)</f>
        <v/>
      </c>
      <c r="B409" s="26">
        <f>IF($P409="","",IF(INDEX(CalcNormDate,$P409)=0,"",INDEX(CalcNormDate,$P409)))</f>
        <v/>
      </c>
      <c r="C409" s="26">
        <f>IF($P409="","",IF(INDEX(CalcTime,$P409)=0,"",INDEX(CalcTime,$P409)))</f>
        <v/>
      </c>
      <c r="D409" s="26">
        <f>IF($P409="","",IF(INDEX(EntryParty,$P409)=0,"",INDEX(EntryParty,$P409)))</f>
        <v/>
      </c>
      <c r="E409" s="26">
        <f>IF($P409="","",IF(INDEX(EntryPartyName,$P409)=0,"",INDEX(EntryPartyName,$P409)))</f>
        <v/>
      </c>
      <c r="F409" s="26">
        <f>IF($P409="","",IF(INDEX(EntryPartyType,$P409)=0,"",INDEX(EntryPartyType,$P409)))</f>
        <v/>
      </c>
      <c r="G409" s="26">
        <f>IF($P409="","",IF(INDEX(EntryTxnType,$P409)=0,"",INDEX(EntryTxnType,$P409)))</f>
        <v/>
      </c>
      <c r="H409" s="27">
        <f>IF($P409="","",IF(INDEX(EntryDep,$P409)=0,"",INDEX(EntryDep,$P409)))</f>
        <v/>
      </c>
      <c r="I409" s="27">
        <f>IF($P409="","",IF(INDEX(EntryWit,$P409)=0,"",INDEX(EntryWit,$P409)))</f>
        <v/>
      </c>
      <c r="J409" s="27">
        <f>IF($B409="","",IF($A409=1,$C$7,IF(J408="",0,J408))+IF($H409="",0,$H409)-IF($I409="",0,$I409))</f>
        <v/>
      </c>
      <c r="K409" s="27">
        <f>IF($P409="","",IF(INDEX(EntryMan,$P409)=0,"",INDEX(EntryMan,$P409)))</f>
        <v/>
      </c>
      <c r="L409" s="26">
        <f>IF($B409="","",IF($K409="","—",IF(ROUND($K409-$J409,0)=0,"√","×")))</f>
        <v/>
      </c>
      <c r="M409" s="26">
        <f>IF($B409="","",IF(COUNTIFS(EntryDates,$B409,CalcTime,$C409,CalcBank,$C$5,EntryParty,$D409,EntryDep,$H409,EntryWit,$I409)&gt;1,"تکرار",""))</f>
        <v/>
      </c>
      <c r="N409" s="26">
        <f>IF($P409="","",IF(INDEX(EntryNotes,$P409)=0,"",INDEX(EntryNotes,$P409)))</f>
        <v/>
      </c>
      <c r="O409" s="26">
        <f>IF($P409="","",IF(INDEX(EntryTxnID,$P409)=0,"",INDEX(EntryTxnID,$P409)))</f>
        <v/>
      </c>
      <c r="P409" s="26">
        <f>IFERROR(MATCH($C$5&amp;"|"&amp;RIGHT("000000"&amp;393,6),CalcRankKey,0),"")</f>
        <v/>
      </c>
    </row>
    <row r="410">
      <c r="A410" s="28">
        <f>IF($B410="","",394)</f>
        <v/>
      </c>
      <c r="B410" s="28">
        <f>IF($P410="","",IF(INDEX(CalcNormDate,$P410)=0,"",INDEX(CalcNormDate,$P410)))</f>
        <v/>
      </c>
      <c r="C410" s="28">
        <f>IF($P410="","",IF(INDEX(CalcTime,$P410)=0,"",INDEX(CalcTime,$P410)))</f>
        <v/>
      </c>
      <c r="D410" s="28">
        <f>IF($P410="","",IF(INDEX(EntryParty,$P410)=0,"",INDEX(EntryParty,$P410)))</f>
        <v/>
      </c>
      <c r="E410" s="28">
        <f>IF($P410="","",IF(INDEX(EntryPartyName,$P410)=0,"",INDEX(EntryPartyName,$P410)))</f>
        <v/>
      </c>
      <c r="F410" s="28">
        <f>IF($P410="","",IF(INDEX(EntryPartyType,$P410)=0,"",INDEX(EntryPartyType,$P410)))</f>
        <v/>
      </c>
      <c r="G410" s="28">
        <f>IF($P410="","",IF(INDEX(EntryTxnType,$P410)=0,"",INDEX(EntryTxnType,$P410)))</f>
        <v/>
      </c>
      <c r="H410" s="29">
        <f>IF($P410="","",IF(INDEX(EntryDep,$P410)=0,"",INDEX(EntryDep,$P410)))</f>
        <v/>
      </c>
      <c r="I410" s="29">
        <f>IF($P410="","",IF(INDEX(EntryWit,$P410)=0,"",INDEX(EntryWit,$P410)))</f>
        <v/>
      </c>
      <c r="J410" s="29">
        <f>IF($B410="","",IF($A410=1,$C$7,IF(J409="",0,J409))+IF($H410="",0,$H410)-IF($I410="",0,$I410))</f>
        <v/>
      </c>
      <c r="K410" s="29">
        <f>IF($P410="","",IF(INDEX(EntryMan,$P410)=0,"",INDEX(EntryMan,$P410)))</f>
        <v/>
      </c>
      <c r="L410" s="28">
        <f>IF($B410="","",IF($K410="","—",IF(ROUND($K410-$J410,0)=0,"√","×")))</f>
        <v/>
      </c>
      <c r="M410" s="28">
        <f>IF($B410="","",IF(COUNTIFS(EntryDates,$B410,CalcTime,$C410,CalcBank,$C$5,EntryParty,$D410,EntryDep,$H410,EntryWit,$I410)&gt;1,"تکرار",""))</f>
        <v/>
      </c>
      <c r="N410" s="28">
        <f>IF($P410="","",IF(INDEX(EntryNotes,$P410)=0,"",INDEX(EntryNotes,$P410)))</f>
        <v/>
      </c>
      <c r="O410" s="28">
        <f>IF($P410="","",IF(INDEX(EntryTxnID,$P410)=0,"",INDEX(EntryTxnID,$P410)))</f>
        <v/>
      </c>
      <c r="P410" s="28">
        <f>IFERROR(MATCH($C$5&amp;"|"&amp;RIGHT("000000"&amp;394,6),CalcRankKey,0),"")</f>
        <v/>
      </c>
    </row>
    <row r="411">
      <c r="A411" s="26">
        <f>IF($B411="","",395)</f>
        <v/>
      </c>
      <c r="B411" s="26">
        <f>IF($P411="","",IF(INDEX(CalcNormDate,$P411)=0,"",INDEX(CalcNormDate,$P411)))</f>
        <v/>
      </c>
      <c r="C411" s="26">
        <f>IF($P411="","",IF(INDEX(CalcTime,$P411)=0,"",INDEX(CalcTime,$P411)))</f>
        <v/>
      </c>
      <c r="D411" s="26">
        <f>IF($P411="","",IF(INDEX(EntryParty,$P411)=0,"",INDEX(EntryParty,$P411)))</f>
        <v/>
      </c>
      <c r="E411" s="26">
        <f>IF($P411="","",IF(INDEX(EntryPartyName,$P411)=0,"",INDEX(EntryPartyName,$P411)))</f>
        <v/>
      </c>
      <c r="F411" s="26">
        <f>IF($P411="","",IF(INDEX(EntryPartyType,$P411)=0,"",INDEX(EntryPartyType,$P411)))</f>
        <v/>
      </c>
      <c r="G411" s="26">
        <f>IF($P411="","",IF(INDEX(EntryTxnType,$P411)=0,"",INDEX(EntryTxnType,$P411)))</f>
        <v/>
      </c>
      <c r="H411" s="27">
        <f>IF($P411="","",IF(INDEX(EntryDep,$P411)=0,"",INDEX(EntryDep,$P411)))</f>
        <v/>
      </c>
      <c r="I411" s="27">
        <f>IF($P411="","",IF(INDEX(EntryWit,$P411)=0,"",INDEX(EntryWit,$P411)))</f>
        <v/>
      </c>
      <c r="J411" s="27">
        <f>IF($B411="","",IF($A411=1,$C$7,IF(J410="",0,J410))+IF($H411="",0,$H411)-IF($I411="",0,$I411))</f>
        <v/>
      </c>
      <c r="K411" s="27">
        <f>IF($P411="","",IF(INDEX(EntryMan,$P411)=0,"",INDEX(EntryMan,$P411)))</f>
        <v/>
      </c>
      <c r="L411" s="26">
        <f>IF($B411="","",IF($K411="","—",IF(ROUND($K411-$J411,0)=0,"√","×")))</f>
        <v/>
      </c>
      <c r="M411" s="26">
        <f>IF($B411="","",IF(COUNTIFS(EntryDates,$B411,CalcTime,$C411,CalcBank,$C$5,EntryParty,$D411,EntryDep,$H411,EntryWit,$I411)&gt;1,"تکرار",""))</f>
        <v/>
      </c>
      <c r="N411" s="26">
        <f>IF($P411="","",IF(INDEX(EntryNotes,$P411)=0,"",INDEX(EntryNotes,$P411)))</f>
        <v/>
      </c>
      <c r="O411" s="26">
        <f>IF($P411="","",IF(INDEX(EntryTxnID,$P411)=0,"",INDEX(EntryTxnID,$P411)))</f>
        <v/>
      </c>
      <c r="P411" s="26">
        <f>IFERROR(MATCH($C$5&amp;"|"&amp;RIGHT("000000"&amp;395,6),CalcRankKey,0),"")</f>
        <v/>
      </c>
    </row>
    <row r="412">
      <c r="A412" s="28">
        <f>IF($B412="","",396)</f>
        <v/>
      </c>
      <c r="B412" s="28">
        <f>IF($P412="","",IF(INDEX(CalcNormDate,$P412)=0,"",INDEX(CalcNormDate,$P412)))</f>
        <v/>
      </c>
      <c r="C412" s="28">
        <f>IF($P412="","",IF(INDEX(CalcTime,$P412)=0,"",INDEX(CalcTime,$P412)))</f>
        <v/>
      </c>
      <c r="D412" s="28">
        <f>IF($P412="","",IF(INDEX(EntryParty,$P412)=0,"",INDEX(EntryParty,$P412)))</f>
        <v/>
      </c>
      <c r="E412" s="28">
        <f>IF($P412="","",IF(INDEX(EntryPartyName,$P412)=0,"",INDEX(EntryPartyName,$P412)))</f>
        <v/>
      </c>
      <c r="F412" s="28">
        <f>IF($P412="","",IF(INDEX(EntryPartyType,$P412)=0,"",INDEX(EntryPartyType,$P412)))</f>
        <v/>
      </c>
      <c r="G412" s="28">
        <f>IF($P412="","",IF(INDEX(EntryTxnType,$P412)=0,"",INDEX(EntryTxnType,$P412)))</f>
        <v/>
      </c>
      <c r="H412" s="29">
        <f>IF($P412="","",IF(INDEX(EntryDep,$P412)=0,"",INDEX(EntryDep,$P412)))</f>
        <v/>
      </c>
      <c r="I412" s="29">
        <f>IF($P412="","",IF(INDEX(EntryWit,$P412)=0,"",INDEX(EntryWit,$P412)))</f>
        <v/>
      </c>
      <c r="J412" s="29">
        <f>IF($B412="","",IF($A412=1,$C$7,IF(J411="",0,J411))+IF($H412="",0,$H412)-IF($I412="",0,$I412))</f>
        <v/>
      </c>
      <c r="K412" s="29">
        <f>IF($P412="","",IF(INDEX(EntryMan,$P412)=0,"",INDEX(EntryMan,$P412)))</f>
        <v/>
      </c>
      <c r="L412" s="28">
        <f>IF($B412="","",IF($K412="","—",IF(ROUND($K412-$J412,0)=0,"√","×")))</f>
        <v/>
      </c>
      <c r="M412" s="28">
        <f>IF($B412="","",IF(COUNTIFS(EntryDates,$B412,CalcTime,$C412,CalcBank,$C$5,EntryParty,$D412,EntryDep,$H412,EntryWit,$I412)&gt;1,"تکرار",""))</f>
        <v/>
      </c>
      <c r="N412" s="28">
        <f>IF($P412="","",IF(INDEX(EntryNotes,$P412)=0,"",INDEX(EntryNotes,$P412)))</f>
        <v/>
      </c>
      <c r="O412" s="28">
        <f>IF($P412="","",IF(INDEX(EntryTxnID,$P412)=0,"",INDEX(EntryTxnID,$P412)))</f>
        <v/>
      </c>
      <c r="P412" s="28">
        <f>IFERROR(MATCH($C$5&amp;"|"&amp;RIGHT("000000"&amp;396,6),CalcRankKey,0),"")</f>
        <v/>
      </c>
    </row>
    <row r="413">
      <c r="A413" s="26">
        <f>IF($B413="","",397)</f>
        <v/>
      </c>
      <c r="B413" s="26">
        <f>IF($P413="","",IF(INDEX(CalcNormDate,$P413)=0,"",INDEX(CalcNormDate,$P413)))</f>
        <v/>
      </c>
      <c r="C413" s="26">
        <f>IF($P413="","",IF(INDEX(CalcTime,$P413)=0,"",INDEX(CalcTime,$P413)))</f>
        <v/>
      </c>
      <c r="D413" s="26">
        <f>IF($P413="","",IF(INDEX(EntryParty,$P413)=0,"",INDEX(EntryParty,$P413)))</f>
        <v/>
      </c>
      <c r="E413" s="26">
        <f>IF($P413="","",IF(INDEX(EntryPartyName,$P413)=0,"",INDEX(EntryPartyName,$P413)))</f>
        <v/>
      </c>
      <c r="F413" s="26">
        <f>IF($P413="","",IF(INDEX(EntryPartyType,$P413)=0,"",INDEX(EntryPartyType,$P413)))</f>
        <v/>
      </c>
      <c r="G413" s="26">
        <f>IF($P413="","",IF(INDEX(EntryTxnType,$P413)=0,"",INDEX(EntryTxnType,$P413)))</f>
        <v/>
      </c>
      <c r="H413" s="27">
        <f>IF($P413="","",IF(INDEX(EntryDep,$P413)=0,"",INDEX(EntryDep,$P413)))</f>
        <v/>
      </c>
      <c r="I413" s="27">
        <f>IF($P413="","",IF(INDEX(EntryWit,$P413)=0,"",INDEX(EntryWit,$P413)))</f>
        <v/>
      </c>
      <c r="J413" s="27">
        <f>IF($B413="","",IF($A413=1,$C$7,IF(J412="",0,J412))+IF($H413="",0,$H413)-IF($I413="",0,$I413))</f>
        <v/>
      </c>
      <c r="K413" s="27">
        <f>IF($P413="","",IF(INDEX(EntryMan,$P413)=0,"",INDEX(EntryMan,$P413)))</f>
        <v/>
      </c>
      <c r="L413" s="26">
        <f>IF($B413="","",IF($K413="","—",IF(ROUND($K413-$J413,0)=0,"√","×")))</f>
        <v/>
      </c>
      <c r="M413" s="26">
        <f>IF($B413="","",IF(COUNTIFS(EntryDates,$B413,CalcTime,$C413,CalcBank,$C$5,EntryParty,$D413,EntryDep,$H413,EntryWit,$I413)&gt;1,"تکرار",""))</f>
        <v/>
      </c>
      <c r="N413" s="26">
        <f>IF($P413="","",IF(INDEX(EntryNotes,$P413)=0,"",INDEX(EntryNotes,$P413)))</f>
        <v/>
      </c>
      <c r="O413" s="26">
        <f>IF($P413="","",IF(INDEX(EntryTxnID,$P413)=0,"",INDEX(EntryTxnID,$P413)))</f>
        <v/>
      </c>
      <c r="P413" s="26">
        <f>IFERROR(MATCH($C$5&amp;"|"&amp;RIGHT("000000"&amp;397,6),CalcRankKey,0),"")</f>
        <v/>
      </c>
    </row>
    <row r="414">
      <c r="A414" s="28">
        <f>IF($B414="","",398)</f>
        <v/>
      </c>
      <c r="B414" s="28">
        <f>IF($P414="","",IF(INDEX(CalcNormDate,$P414)=0,"",INDEX(CalcNormDate,$P414)))</f>
        <v/>
      </c>
      <c r="C414" s="28">
        <f>IF($P414="","",IF(INDEX(CalcTime,$P414)=0,"",INDEX(CalcTime,$P414)))</f>
        <v/>
      </c>
      <c r="D414" s="28">
        <f>IF($P414="","",IF(INDEX(EntryParty,$P414)=0,"",INDEX(EntryParty,$P414)))</f>
        <v/>
      </c>
      <c r="E414" s="28">
        <f>IF($P414="","",IF(INDEX(EntryPartyName,$P414)=0,"",INDEX(EntryPartyName,$P414)))</f>
        <v/>
      </c>
      <c r="F414" s="28">
        <f>IF($P414="","",IF(INDEX(EntryPartyType,$P414)=0,"",INDEX(EntryPartyType,$P414)))</f>
        <v/>
      </c>
      <c r="G414" s="28">
        <f>IF($P414="","",IF(INDEX(EntryTxnType,$P414)=0,"",INDEX(EntryTxnType,$P414)))</f>
        <v/>
      </c>
      <c r="H414" s="29">
        <f>IF($P414="","",IF(INDEX(EntryDep,$P414)=0,"",INDEX(EntryDep,$P414)))</f>
        <v/>
      </c>
      <c r="I414" s="29">
        <f>IF($P414="","",IF(INDEX(EntryWit,$P414)=0,"",INDEX(EntryWit,$P414)))</f>
        <v/>
      </c>
      <c r="J414" s="29">
        <f>IF($B414="","",IF($A414=1,$C$7,IF(J413="",0,J413))+IF($H414="",0,$H414)-IF($I414="",0,$I414))</f>
        <v/>
      </c>
      <c r="K414" s="29">
        <f>IF($P414="","",IF(INDEX(EntryMan,$P414)=0,"",INDEX(EntryMan,$P414)))</f>
        <v/>
      </c>
      <c r="L414" s="28">
        <f>IF($B414="","",IF($K414="","—",IF(ROUND($K414-$J414,0)=0,"√","×")))</f>
        <v/>
      </c>
      <c r="M414" s="28">
        <f>IF($B414="","",IF(COUNTIFS(EntryDates,$B414,CalcTime,$C414,CalcBank,$C$5,EntryParty,$D414,EntryDep,$H414,EntryWit,$I414)&gt;1,"تکرار",""))</f>
        <v/>
      </c>
      <c r="N414" s="28">
        <f>IF($P414="","",IF(INDEX(EntryNotes,$P414)=0,"",INDEX(EntryNotes,$P414)))</f>
        <v/>
      </c>
      <c r="O414" s="28">
        <f>IF($P414="","",IF(INDEX(EntryTxnID,$P414)=0,"",INDEX(EntryTxnID,$P414)))</f>
        <v/>
      </c>
      <c r="P414" s="28">
        <f>IFERROR(MATCH($C$5&amp;"|"&amp;RIGHT("000000"&amp;398,6),CalcRankKey,0),"")</f>
        <v/>
      </c>
    </row>
    <row r="415">
      <c r="A415" s="26">
        <f>IF($B415="","",399)</f>
        <v/>
      </c>
      <c r="B415" s="26">
        <f>IF($P415="","",IF(INDEX(CalcNormDate,$P415)=0,"",INDEX(CalcNormDate,$P415)))</f>
        <v/>
      </c>
      <c r="C415" s="26">
        <f>IF($P415="","",IF(INDEX(CalcTime,$P415)=0,"",INDEX(CalcTime,$P415)))</f>
        <v/>
      </c>
      <c r="D415" s="26">
        <f>IF($P415="","",IF(INDEX(EntryParty,$P415)=0,"",INDEX(EntryParty,$P415)))</f>
        <v/>
      </c>
      <c r="E415" s="26">
        <f>IF($P415="","",IF(INDEX(EntryPartyName,$P415)=0,"",INDEX(EntryPartyName,$P415)))</f>
        <v/>
      </c>
      <c r="F415" s="26">
        <f>IF($P415="","",IF(INDEX(EntryPartyType,$P415)=0,"",INDEX(EntryPartyType,$P415)))</f>
        <v/>
      </c>
      <c r="G415" s="26">
        <f>IF($P415="","",IF(INDEX(EntryTxnType,$P415)=0,"",INDEX(EntryTxnType,$P415)))</f>
        <v/>
      </c>
      <c r="H415" s="27">
        <f>IF($P415="","",IF(INDEX(EntryDep,$P415)=0,"",INDEX(EntryDep,$P415)))</f>
        <v/>
      </c>
      <c r="I415" s="27">
        <f>IF($P415="","",IF(INDEX(EntryWit,$P415)=0,"",INDEX(EntryWit,$P415)))</f>
        <v/>
      </c>
      <c r="J415" s="27">
        <f>IF($B415="","",IF($A415=1,$C$7,IF(J414="",0,J414))+IF($H415="",0,$H415)-IF($I415="",0,$I415))</f>
        <v/>
      </c>
      <c r="K415" s="27">
        <f>IF($P415="","",IF(INDEX(EntryMan,$P415)=0,"",INDEX(EntryMan,$P415)))</f>
        <v/>
      </c>
      <c r="L415" s="26">
        <f>IF($B415="","",IF($K415="","—",IF(ROUND($K415-$J415,0)=0,"√","×")))</f>
        <v/>
      </c>
      <c r="M415" s="26">
        <f>IF($B415="","",IF(COUNTIFS(EntryDates,$B415,CalcTime,$C415,CalcBank,$C$5,EntryParty,$D415,EntryDep,$H415,EntryWit,$I415)&gt;1,"تکرار",""))</f>
        <v/>
      </c>
      <c r="N415" s="26">
        <f>IF($P415="","",IF(INDEX(EntryNotes,$P415)=0,"",INDEX(EntryNotes,$P415)))</f>
        <v/>
      </c>
      <c r="O415" s="26">
        <f>IF($P415="","",IF(INDEX(EntryTxnID,$P415)=0,"",INDEX(EntryTxnID,$P415)))</f>
        <v/>
      </c>
      <c r="P415" s="26">
        <f>IFERROR(MATCH($C$5&amp;"|"&amp;RIGHT("000000"&amp;399,6),CalcRankKey,0),"")</f>
        <v/>
      </c>
    </row>
    <row r="416">
      <c r="A416" s="28">
        <f>IF($B416="","",400)</f>
        <v/>
      </c>
      <c r="B416" s="28">
        <f>IF($P416="","",IF(INDEX(CalcNormDate,$P416)=0,"",INDEX(CalcNormDate,$P416)))</f>
        <v/>
      </c>
      <c r="C416" s="28">
        <f>IF($P416="","",IF(INDEX(CalcTime,$P416)=0,"",INDEX(CalcTime,$P416)))</f>
        <v/>
      </c>
      <c r="D416" s="28">
        <f>IF($P416="","",IF(INDEX(EntryParty,$P416)=0,"",INDEX(EntryParty,$P416)))</f>
        <v/>
      </c>
      <c r="E416" s="28">
        <f>IF($P416="","",IF(INDEX(EntryPartyName,$P416)=0,"",INDEX(EntryPartyName,$P416)))</f>
        <v/>
      </c>
      <c r="F416" s="28">
        <f>IF($P416="","",IF(INDEX(EntryPartyType,$P416)=0,"",INDEX(EntryPartyType,$P416)))</f>
        <v/>
      </c>
      <c r="G416" s="28">
        <f>IF($P416="","",IF(INDEX(EntryTxnType,$P416)=0,"",INDEX(EntryTxnType,$P416)))</f>
        <v/>
      </c>
      <c r="H416" s="29">
        <f>IF($P416="","",IF(INDEX(EntryDep,$P416)=0,"",INDEX(EntryDep,$P416)))</f>
        <v/>
      </c>
      <c r="I416" s="29">
        <f>IF($P416="","",IF(INDEX(EntryWit,$P416)=0,"",INDEX(EntryWit,$P416)))</f>
        <v/>
      </c>
      <c r="J416" s="29">
        <f>IF($B416="","",IF($A416=1,$C$7,IF(J415="",0,J415))+IF($H416="",0,$H416)-IF($I416="",0,$I416))</f>
        <v/>
      </c>
      <c r="K416" s="29">
        <f>IF($P416="","",IF(INDEX(EntryMan,$P416)=0,"",INDEX(EntryMan,$P416)))</f>
        <v/>
      </c>
      <c r="L416" s="28">
        <f>IF($B416="","",IF($K416="","—",IF(ROUND($K416-$J416,0)=0,"√","×")))</f>
        <v/>
      </c>
      <c r="M416" s="28">
        <f>IF($B416="","",IF(COUNTIFS(EntryDates,$B416,CalcTime,$C416,CalcBank,$C$5,EntryParty,$D416,EntryDep,$H416,EntryWit,$I416)&gt;1,"تکرار",""))</f>
        <v/>
      </c>
      <c r="N416" s="28">
        <f>IF($P416="","",IF(INDEX(EntryNotes,$P416)=0,"",INDEX(EntryNotes,$P416)))</f>
        <v/>
      </c>
      <c r="O416" s="28">
        <f>IF($P416="","",IF(INDEX(EntryTxnID,$P416)=0,"",INDEX(EntryTxnID,$P416)))</f>
        <v/>
      </c>
      <c r="P416" s="28">
        <f>IFERROR(MATCH($C$5&amp;"|"&amp;RIGHT("000000"&amp;400,6),CalcRankKey,0),"")</f>
        <v/>
      </c>
    </row>
    <row r="417">
      <c r="A417" s="26">
        <f>IF($B417="","",401)</f>
        <v/>
      </c>
      <c r="B417" s="26">
        <f>IF($P417="","",IF(INDEX(CalcNormDate,$P417)=0,"",INDEX(CalcNormDate,$P417)))</f>
        <v/>
      </c>
      <c r="C417" s="26">
        <f>IF($P417="","",IF(INDEX(CalcTime,$P417)=0,"",INDEX(CalcTime,$P417)))</f>
        <v/>
      </c>
      <c r="D417" s="26">
        <f>IF($P417="","",IF(INDEX(EntryParty,$P417)=0,"",INDEX(EntryParty,$P417)))</f>
        <v/>
      </c>
      <c r="E417" s="26">
        <f>IF($P417="","",IF(INDEX(EntryPartyName,$P417)=0,"",INDEX(EntryPartyName,$P417)))</f>
        <v/>
      </c>
      <c r="F417" s="26">
        <f>IF($P417="","",IF(INDEX(EntryPartyType,$P417)=0,"",INDEX(EntryPartyType,$P417)))</f>
        <v/>
      </c>
      <c r="G417" s="26">
        <f>IF($P417="","",IF(INDEX(EntryTxnType,$P417)=0,"",INDEX(EntryTxnType,$P417)))</f>
        <v/>
      </c>
      <c r="H417" s="27">
        <f>IF($P417="","",IF(INDEX(EntryDep,$P417)=0,"",INDEX(EntryDep,$P417)))</f>
        <v/>
      </c>
      <c r="I417" s="27">
        <f>IF($P417="","",IF(INDEX(EntryWit,$P417)=0,"",INDEX(EntryWit,$P417)))</f>
        <v/>
      </c>
      <c r="J417" s="27">
        <f>IF($B417="","",IF($A417=1,$C$7,IF(J416="",0,J416))+IF($H417="",0,$H417)-IF($I417="",0,$I417))</f>
        <v/>
      </c>
      <c r="K417" s="27">
        <f>IF($P417="","",IF(INDEX(EntryMan,$P417)=0,"",INDEX(EntryMan,$P417)))</f>
        <v/>
      </c>
      <c r="L417" s="26">
        <f>IF($B417="","",IF($K417="","—",IF(ROUND($K417-$J417,0)=0,"√","×")))</f>
        <v/>
      </c>
      <c r="M417" s="26">
        <f>IF($B417="","",IF(COUNTIFS(EntryDates,$B417,CalcTime,$C417,CalcBank,$C$5,EntryParty,$D417,EntryDep,$H417,EntryWit,$I417)&gt;1,"تکرار",""))</f>
        <v/>
      </c>
      <c r="N417" s="26">
        <f>IF($P417="","",IF(INDEX(EntryNotes,$P417)=0,"",INDEX(EntryNotes,$P417)))</f>
        <v/>
      </c>
      <c r="O417" s="26">
        <f>IF($P417="","",IF(INDEX(EntryTxnID,$P417)=0,"",INDEX(EntryTxnID,$P417)))</f>
        <v/>
      </c>
      <c r="P417" s="26">
        <f>IFERROR(MATCH($C$5&amp;"|"&amp;RIGHT("000000"&amp;401,6),CalcRankKey,0),"")</f>
        <v/>
      </c>
    </row>
    <row r="418">
      <c r="A418" s="28">
        <f>IF($B418="","",402)</f>
        <v/>
      </c>
      <c r="B418" s="28">
        <f>IF($P418="","",IF(INDEX(CalcNormDate,$P418)=0,"",INDEX(CalcNormDate,$P418)))</f>
        <v/>
      </c>
      <c r="C418" s="28">
        <f>IF($P418="","",IF(INDEX(CalcTime,$P418)=0,"",INDEX(CalcTime,$P418)))</f>
        <v/>
      </c>
      <c r="D418" s="28">
        <f>IF($P418="","",IF(INDEX(EntryParty,$P418)=0,"",INDEX(EntryParty,$P418)))</f>
        <v/>
      </c>
      <c r="E418" s="28">
        <f>IF($P418="","",IF(INDEX(EntryPartyName,$P418)=0,"",INDEX(EntryPartyName,$P418)))</f>
        <v/>
      </c>
      <c r="F418" s="28">
        <f>IF($P418="","",IF(INDEX(EntryPartyType,$P418)=0,"",INDEX(EntryPartyType,$P418)))</f>
        <v/>
      </c>
      <c r="G418" s="28">
        <f>IF($P418="","",IF(INDEX(EntryTxnType,$P418)=0,"",INDEX(EntryTxnType,$P418)))</f>
        <v/>
      </c>
      <c r="H418" s="29">
        <f>IF($P418="","",IF(INDEX(EntryDep,$P418)=0,"",INDEX(EntryDep,$P418)))</f>
        <v/>
      </c>
      <c r="I418" s="29">
        <f>IF($P418="","",IF(INDEX(EntryWit,$P418)=0,"",INDEX(EntryWit,$P418)))</f>
        <v/>
      </c>
      <c r="J418" s="29">
        <f>IF($B418="","",IF($A418=1,$C$7,IF(J417="",0,J417))+IF($H418="",0,$H418)-IF($I418="",0,$I418))</f>
        <v/>
      </c>
      <c r="K418" s="29">
        <f>IF($P418="","",IF(INDEX(EntryMan,$P418)=0,"",INDEX(EntryMan,$P418)))</f>
        <v/>
      </c>
      <c r="L418" s="28">
        <f>IF($B418="","",IF($K418="","—",IF(ROUND($K418-$J418,0)=0,"√","×")))</f>
        <v/>
      </c>
      <c r="M418" s="28">
        <f>IF($B418="","",IF(COUNTIFS(EntryDates,$B418,CalcTime,$C418,CalcBank,$C$5,EntryParty,$D418,EntryDep,$H418,EntryWit,$I418)&gt;1,"تکرار",""))</f>
        <v/>
      </c>
      <c r="N418" s="28">
        <f>IF($P418="","",IF(INDEX(EntryNotes,$P418)=0,"",INDEX(EntryNotes,$P418)))</f>
        <v/>
      </c>
      <c r="O418" s="28">
        <f>IF($P418="","",IF(INDEX(EntryTxnID,$P418)=0,"",INDEX(EntryTxnID,$P418)))</f>
        <v/>
      </c>
      <c r="P418" s="28">
        <f>IFERROR(MATCH($C$5&amp;"|"&amp;RIGHT("000000"&amp;402,6),CalcRankKey,0),"")</f>
        <v/>
      </c>
    </row>
    <row r="419">
      <c r="A419" s="26">
        <f>IF($B419="","",403)</f>
        <v/>
      </c>
      <c r="B419" s="26">
        <f>IF($P419="","",IF(INDEX(CalcNormDate,$P419)=0,"",INDEX(CalcNormDate,$P419)))</f>
        <v/>
      </c>
      <c r="C419" s="26">
        <f>IF($P419="","",IF(INDEX(CalcTime,$P419)=0,"",INDEX(CalcTime,$P419)))</f>
        <v/>
      </c>
      <c r="D419" s="26">
        <f>IF($P419="","",IF(INDEX(EntryParty,$P419)=0,"",INDEX(EntryParty,$P419)))</f>
        <v/>
      </c>
      <c r="E419" s="26">
        <f>IF($P419="","",IF(INDEX(EntryPartyName,$P419)=0,"",INDEX(EntryPartyName,$P419)))</f>
        <v/>
      </c>
      <c r="F419" s="26">
        <f>IF($P419="","",IF(INDEX(EntryPartyType,$P419)=0,"",INDEX(EntryPartyType,$P419)))</f>
        <v/>
      </c>
      <c r="G419" s="26">
        <f>IF($P419="","",IF(INDEX(EntryTxnType,$P419)=0,"",INDEX(EntryTxnType,$P419)))</f>
        <v/>
      </c>
      <c r="H419" s="27">
        <f>IF($P419="","",IF(INDEX(EntryDep,$P419)=0,"",INDEX(EntryDep,$P419)))</f>
        <v/>
      </c>
      <c r="I419" s="27">
        <f>IF($P419="","",IF(INDEX(EntryWit,$P419)=0,"",INDEX(EntryWit,$P419)))</f>
        <v/>
      </c>
      <c r="J419" s="27">
        <f>IF($B419="","",IF($A419=1,$C$7,IF(J418="",0,J418))+IF($H419="",0,$H419)-IF($I419="",0,$I419))</f>
        <v/>
      </c>
      <c r="K419" s="27">
        <f>IF($P419="","",IF(INDEX(EntryMan,$P419)=0,"",INDEX(EntryMan,$P419)))</f>
        <v/>
      </c>
      <c r="L419" s="26">
        <f>IF($B419="","",IF($K419="","—",IF(ROUND($K419-$J419,0)=0,"√","×")))</f>
        <v/>
      </c>
      <c r="M419" s="26">
        <f>IF($B419="","",IF(COUNTIFS(EntryDates,$B419,CalcTime,$C419,CalcBank,$C$5,EntryParty,$D419,EntryDep,$H419,EntryWit,$I419)&gt;1,"تکرار",""))</f>
        <v/>
      </c>
      <c r="N419" s="26">
        <f>IF($P419="","",IF(INDEX(EntryNotes,$P419)=0,"",INDEX(EntryNotes,$P419)))</f>
        <v/>
      </c>
      <c r="O419" s="26">
        <f>IF($P419="","",IF(INDEX(EntryTxnID,$P419)=0,"",INDEX(EntryTxnID,$P419)))</f>
        <v/>
      </c>
      <c r="P419" s="26">
        <f>IFERROR(MATCH($C$5&amp;"|"&amp;RIGHT("000000"&amp;403,6),CalcRankKey,0),"")</f>
        <v/>
      </c>
    </row>
    <row r="420">
      <c r="A420" s="28">
        <f>IF($B420="","",404)</f>
        <v/>
      </c>
      <c r="B420" s="28">
        <f>IF($P420="","",IF(INDEX(CalcNormDate,$P420)=0,"",INDEX(CalcNormDate,$P420)))</f>
        <v/>
      </c>
      <c r="C420" s="28">
        <f>IF($P420="","",IF(INDEX(CalcTime,$P420)=0,"",INDEX(CalcTime,$P420)))</f>
        <v/>
      </c>
      <c r="D420" s="28">
        <f>IF($P420="","",IF(INDEX(EntryParty,$P420)=0,"",INDEX(EntryParty,$P420)))</f>
        <v/>
      </c>
      <c r="E420" s="28">
        <f>IF($P420="","",IF(INDEX(EntryPartyName,$P420)=0,"",INDEX(EntryPartyName,$P420)))</f>
        <v/>
      </c>
      <c r="F420" s="28">
        <f>IF($P420="","",IF(INDEX(EntryPartyType,$P420)=0,"",INDEX(EntryPartyType,$P420)))</f>
        <v/>
      </c>
      <c r="G420" s="28">
        <f>IF($P420="","",IF(INDEX(EntryTxnType,$P420)=0,"",INDEX(EntryTxnType,$P420)))</f>
        <v/>
      </c>
      <c r="H420" s="29">
        <f>IF($P420="","",IF(INDEX(EntryDep,$P420)=0,"",INDEX(EntryDep,$P420)))</f>
        <v/>
      </c>
      <c r="I420" s="29">
        <f>IF($P420="","",IF(INDEX(EntryWit,$P420)=0,"",INDEX(EntryWit,$P420)))</f>
        <v/>
      </c>
      <c r="J420" s="29">
        <f>IF($B420="","",IF($A420=1,$C$7,IF(J419="",0,J419))+IF($H420="",0,$H420)-IF($I420="",0,$I420))</f>
        <v/>
      </c>
      <c r="K420" s="29">
        <f>IF($P420="","",IF(INDEX(EntryMan,$P420)=0,"",INDEX(EntryMan,$P420)))</f>
        <v/>
      </c>
      <c r="L420" s="28">
        <f>IF($B420="","",IF($K420="","—",IF(ROUND($K420-$J420,0)=0,"√","×")))</f>
        <v/>
      </c>
      <c r="M420" s="28">
        <f>IF($B420="","",IF(COUNTIFS(EntryDates,$B420,CalcTime,$C420,CalcBank,$C$5,EntryParty,$D420,EntryDep,$H420,EntryWit,$I420)&gt;1,"تکرار",""))</f>
        <v/>
      </c>
      <c r="N420" s="28">
        <f>IF($P420="","",IF(INDEX(EntryNotes,$P420)=0,"",INDEX(EntryNotes,$P420)))</f>
        <v/>
      </c>
      <c r="O420" s="28">
        <f>IF($P420="","",IF(INDEX(EntryTxnID,$P420)=0,"",INDEX(EntryTxnID,$P420)))</f>
        <v/>
      </c>
      <c r="P420" s="28">
        <f>IFERROR(MATCH($C$5&amp;"|"&amp;RIGHT("000000"&amp;404,6),CalcRankKey,0),"")</f>
        <v/>
      </c>
    </row>
    <row r="421">
      <c r="A421" s="26">
        <f>IF($B421="","",405)</f>
        <v/>
      </c>
      <c r="B421" s="26">
        <f>IF($P421="","",IF(INDEX(CalcNormDate,$P421)=0,"",INDEX(CalcNormDate,$P421)))</f>
        <v/>
      </c>
      <c r="C421" s="26">
        <f>IF($P421="","",IF(INDEX(CalcTime,$P421)=0,"",INDEX(CalcTime,$P421)))</f>
        <v/>
      </c>
      <c r="D421" s="26">
        <f>IF($P421="","",IF(INDEX(EntryParty,$P421)=0,"",INDEX(EntryParty,$P421)))</f>
        <v/>
      </c>
      <c r="E421" s="26">
        <f>IF($P421="","",IF(INDEX(EntryPartyName,$P421)=0,"",INDEX(EntryPartyName,$P421)))</f>
        <v/>
      </c>
      <c r="F421" s="26">
        <f>IF($P421="","",IF(INDEX(EntryPartyType,$P421)=0,"",INDEX(EntryPartyType,$P421)))</f>
        <v/>
      </c>
      <c r="G421" s="26">
        <f>IF($P421="","",IF(INDEX(EntryTxnType,$P421)=0,"",INDEX(EntryTxnType,$P421)))</f>
        <v/>
      </c>
      <c r="H421" s="27">
        <f>IF($P421="","",IF(INDEX(EntryDep,$P421)=0,"",INDEX(EntryDep,$P421)))</f>
        <v/>
      </c>
      <c r="I421" s="27">
        <f>IF($P421="","",IF(INDEX(EntryWit,$P421)=0,"",INDEX(EntryWit,$P421)))</f>
        <v/>
      </c>
      <c r="J421" s="27">
        <f>IF($B421="","",IF($A421=1,$C$7,IF(J420="",0,J420))+IF($H421="",0,$H421)-IF($I421="",0,$I421))</f>
        <v/>
      </c>
      <c r="K421" s="27">
        <f>IF($P421="","",IF(INDEX(EntryMan,$P421)=0,"",INDEX(EntryMan,$P421)))</f>
        <v/>
      </c>
      <c r="L421" s="26">
        <f>IF($B421="","",IF($K421="","—",IF(ROUND($K421-$J421,0)=0,"√","×")))</f>
        <v/>
      </c>
      <c r="M421" s="26">
        <f>IF($B421="","",IF(COUNTIFS(EntryDates,$B421,CalcTime,$C421,CalcBank,$C$5,EntryParty,$D421,EntryDep,$H421,EntryWit,$I421)&gt;1,"تکرار",""))</f>
        <v/>
      </c>
      <c r="N421" s="26">
        <f>IF($P421="","",IF(INDEX(EntryNotes,$P421)=0,"",INDEX(EntryNotes,$P421)))</f>
        <v/>
      </c>
      <c r="O421" s="26">
        <f>IF($P421="","",IF(INDEX(EntryTxnID,$P421)=0,"",INDEX(EntryTxnID,$P421)))</f>
        <v/>
      </c>
      <c r="P421" s="26">
        <f>IFERROR(MATCH($C$5&amp;"|"&amp;RIGHT("000000"&amp;405,6),CalcRankKey,0),"")</f>
        <v/>
      </c>
    </row>
    <row r="422">
      <c r="A422" s="28">
        <f>IF($B422="","",406)</f>
        <v/>
      </c>
      <c r="B422" s="28">
        <f>IF($P422="","",IF(INDEX(CalcNormDate,$P422)=0,"",INDEX(CalcNormDate,$P422)))</f>
        <v/>
      </c>
      <c r="C422" s="28">
        <f>IF($P422="","",IF(INDEX(CalcTime,$P422)=0,"",INDEX(CalcTime,$P422)))</f>
        <v/>
      </c>
      <c r="D422" s="28">
        <f>IF($P422="","",IF(INDEX(EntryParty,$P422)=0,"",INDEX(EntryParty,$P422)))</f>
        <v/>
      </c>
      <c r="E422" s="28">
        <f>IF($P422="","",IF(INDEX(EntryPartyName,$P422)=0,"",INDEX(EntryPartyName,$P422)))</f>
        <v/>
      </c>
      <c r="F422" s="28">
        <f>IF($P422="","",IF(INDEX(EntryPartyType,$P422)=0,"",INDEX(EntryPartyType,$P422)))</f>
        <v/>
      </c>
      <c r="G422" s="28">
        <f>IF($P422="","",IF(INDEX(EntryTxnType,$P422)=0,"",INDEX(EntryTxnType,$P422)))</f>
        <v/>
      </c>
      <c r="H422" s="29">
        <f>IF($P422="","",IF(INDEX(EntryDep,$P422)=0,"",INDEX(EntryDep,$P422)))</f>
        <v/>
      </c>
      <c r="I422" s="29">
        <f>IF($P422="","",IF(INDEX(EntryWit,$P422)=0,"",INDEX(EntryWit,$P422)))</f>
        <v/>
      </c>
      <c r="J422" s="29">
        <f>IF($B422="","",IF($A422=1,$C$7,IF(J421="",0,J421))+IF($H422="",0,$H422)-IF($I422="",0,$I422))</f>
        <v/>
      </c>
      <c r="K422" s="29">
        <f>IF($P422="","",IF(INDEX(EntryMan,$P422)=0,"",INDEX(EntryMan,$P422)))</f>
        <v/>
      </c>
      <c r="L422" s="28">
        <f>IF($B422="","",IF($K422="","—",IF(ROUND($K422-$J422,0)=0,"√","×")))</f>
        <v/>
      </c>
      <c r="M422" s="28">
        <f>IF($B422="","",IF(COUNTIFS(EntryDates,$B422,CalcTime,$C422,CalcBank,$C$5,EntryParty,$D422,EntryDep,$H422,EntryWit,$I422)&gt;1,"تکرار",""))</f>
        <v/>
      </c>
      <c r="N422" s="28">
        <f>IF($P422="","",IF(INDEX(EntryNotes,$P422)=0,"",INDEX(EntryNotes,$P422)))</f>
        <v/>
      </c>
      <c r="O422" s="28">
        <f>IF($P422="","",IF(INDEX(EntryTxnID,$P422)=0,"",INDEX(EntryTxnID,$P422)))</f>
        <v/>
      </c>
      <c r="P422" s="28">
        <f>IFERROR(MATCH($C$5&amp;"|"&amp;RIGHT("000000"&amp;406,6),CalcRankKey,0),"")</f>
        <v/>
      </c>
    </row>
    <row r="423">
      <c r="A423" s="26">
        <f>IF($B423="","",407)</f>
        <v/>
      </c>
      <c r="B423" s="26">
        <f>IF($P423="","",IF(INDEX(CalcNormDate,$P423)=0,"",INDEX(CalcNormDate,$P423)))</f>
        <v/>
      </c>
      <c r="C423" s="26">
        <f>IF($P423="","",IF(INDEX(CalcTime,$P423)=0,"",INDEX(CalcTime,$P423)))</f>
        <v/>
      </c>
      <c r="D423" s="26">
        <f>IF($P423="","",IF(INDEX(EntryParty,$P423)=0,"",INDEX(EntryParty,$P423)))</f>
        <v/>
      </c>
      <c r="E423" s="26">
        <f>IF($P423="","",IF(INDEX(EntryPartyName,$P423)=0,"",INDEX(EntryPartyName,$P423)))</f>
        <v/>
      </c>
      <c r="F423" s="26">
        <f>IF($P423="","",IF(INDEX(EntryPartyType,$P423)=0,"",INDEX(EntryPartyType,$P423)))</f>
        <v/>
      </c>
      <c r="G423" s="26">
        <f>IF($P423="","",IF(INDEX(EntryTxnType,$P423)=0,"",INDEX(EntryTxnType,$P423)))</f>
        <v/>
      </c>
      <c r="H423" s="27">
        <f>IF($P423="","",IF(INDEX(EntryDep,$P423)=0,"",INDEX(EntryDep,$P423)))</f>
        <v/>
      </c>
      <c r="I423" s="27">
        <f>IF($P423="","",IF(INDEX(EntryWit,$P423)=0,"",INDEX(EntryWit,$P423)))</f>
        <v/>
      </c>
      <c r="J423" s="27">
        <f>IF($B423="","",IF($A423=1,$C$7,IF(J422="",0,J422))+IF($H423="",0,$H423)-IF($I423="",0,$I423))</f>
        <v/>
      </c>
      <c r="K423" s="27">
        <f>IF($P423="","",IF(INDEX(EntryMan,$P423)=0,"",INDEX(EntryMan,$P423)))</f>
        <v/>
      </c>
      <c r="L423" s="26">
        <f>IF($B423="","",IF($K423="","—",IF(ROUND($K423-$J423,0)=0,"√","×")))</f>
        <v/>
      </c>
      <c r="M423" s="26">
        <f>IF($B423="","",IF(COUNTIFS(EntryDates,$B423,CalcTime,$C423,CalcBank,$C$5,EntryParty,$D423,EntryDep,$H423,EntryWit,$I423)&gt;1,"تکرار",""))</f>
        <v/>
      </c>
      <c r="N423" s="26">
        <f>IF($P423="","",IF(INDEX(EntryNotes,$P423)=0,"",INDEX(EntryNotes,$P423)))</f>
        <v/>
      </c>
      <c r="O423" s="26">
        <f>IF($P423="","",IF(INDEX(EntryTxnID,$P423)=0,"",INDEX(EntryTxnID,$P423)))</f>
        <v/>
      </c>
      <c r="P423" s="26">
        <f>IFERROR(MATCH($C$5&amp;"|"&amp;RIGHT("000000"&amp;407,6),CalcRankKey,0),"")</f>
        <v/>
      </c>
    </row>
    <row r="424">
      <c r="A424" s="28">
        <f>IF($B424="","",408)</f>
        <v/>
      </c>
      <c r="B424" s="28">
        <f>IF($P424="","",IF(INDEX(CalcNormDate,$P424)=0,"",INDEX(CalcNormDate,$P424)))</f>
        <v/>
      </c>
      <c r="C424" s="28">
        <f>IF($P424="","",IF(INDEX(CalcTime,$P424)=0,"",INDEX(CalcTime,$P424)))</f>
        <v/>
      </c>
      <c r="D424" s="28">
        <f>IF($P424="","",IF(INDEX(EntryParty,$P424)=0,"",INDEX(EntryParty,$P424)))</f>
        <v/>
      </c>
      <c r="E424" s="28">
        <f>IF($P424="","",IF(INDEX(EntryPartyName,$P424)=0,"",INDEX(EntryPartyName,$P424)))</f>
        <v/>
      </c>
      <c r="F424" s="28">
        <f>IF($P424="","",IF(INDEX(EntryPartyType,$P424)=0,"",INDEX(EntryPartyType,$P424)))</f>
        <v/>
      </c>
      <c r="G424" s="28">
        <f>IF($P424="","",IF(INDEX(EntryTxnType,$P424)=0,"",INDEX(EntryTxnType,$P424)))</f>
        <v/>
      </c>
      <c r="H424" s="29">
        <f>IF($P424="","",IF(INDEX(EntryDep,$P424)=0,"",INDEX(EntryDep,$P424)))</f>
        <v/>
      </c>
      <c r="I424" s="29">
        <f>IF($P424="","",IF(INDEX(EntryWit,$P424)=0,"",INDEX(EntryWit,$P424)))</f>
        <v/>
      </c>
      <c r="J424" s="29">
        <f>IF($B424="","",IF($A424=1,$C$7,IF(J423="",0,J423))+IF($H424="",0,$H424)-IF($I424="",0,$I424))</f>
        <v/>
      </c>
      <c r="K424" s="29">
        <f>IF($P424="","",IF(INDEX(EntryMan,$P424)=0,"",INDEX(EntryMan,$P424)))</f>
        <v/>
      </c>
      <c r="L424" s="28">
        <f>IF($B424="","",IF($K424="","—",IF(ROUND($K424-$J424,0)=0,"√","×")))</f>
        <v/>
      </c>
      <c r="M424" s="28">
        <f>IF($B424="","",IF(COUNTIFS(EntryDates,$B424,CalcTime,$C424,CalcBank,$C$5,EntryParty,$D424,EntryDep,$H424,EntryWit,$I424)&gt;1,"تکرار",""))</f>
        <v/>
      </c>
      <c r="N424" s="28">
        <f>IF($P424="","",IF(INDEX(EntryNotes,$P424)=0,"",INDEX(EntryNotes,$P424)))</f>
        <v/>
      </c>
      <c r="O424" s="28">
        <f>IF($P424="","",IF(INDEX(EntryTxnID,$P424)=0,"",INDEX(EntryTxnID,$P424)))</f>
        <v/>
      </c>
      <c r="P424" s="28">
        <f>IFERROR(MATCH($C$5&amp;"|"&amp;RIGHT("000000"&amp;408,6),CalcRankKey,0),"")</f>
        <v/>
      </c>
    </row>
    <row r="425">
      <c r="A425" s="26">
        <f>IF($B425="","",409)</f>
        <v/>
      </c>
      <c r="B425" s="26">
        <f>IF($P425="","",IF(INDEX(CalcNormDate,$P425)=0,"",INDEX(CalcNormDate,$P425)))</f>
        <v/>
      </c>
      <c r="C425" s="26">
        <f>IF($P425="","",IF(INDEX(CalcTime,$P425)=0,"",INDEX(CalcTime,$P425)))</f>
        <v/>
      </c>
      <c r="D425" s="26">
        <f>IF($P425="","",IF(INDEX(EntryParty,$P425)=0,"",INDEX(EntryParty,$P425)))</f>
        <v/>
      </c>
      <c r="E425" s="26">
        <f>IF($P425="","",IF(INDEX(EntryPartyName,$P425)=0,"",INDEX(EntryPartyName,$P425)))</f>
        <v/>
      </c>
      <c r="F425" s="26">
        <f>IF($P425="","",IF(INDEX(EntryPartyType,$P425)=0,"",INDEX(EntryPartyType,$P425)))</f>
        <v/>
      </c>
      <c r="G425" s="26">
        <f>IF($P425="","",IF(INDEX(EntryTxnType,$P425)=0,"",INDEX(EntryTxnType,$P425)))</f>
        <v/>
      </c>
      <c r="H425" s="27">
        <f>IF($P425="","",IF(INDEX(EntryDep,$P425)=0,"",INDEX(EntryDep,$P425)))</f>
        <v/>
      </c>
      <c r="I425" s="27">
        <f>IF($P425="","",IF(INDEX(EntryWit,$P425)=0,"",INDEX(EntryWit,$P425)))</f>
        <v/>
      </c>
      <c r="J425" s="27">
        <f>IF($B425="","",IF($A425=1,$C$7,IF(J424="",0,J424))+IF($H425="",0,$H425)-IF($I425="",0,$I425))</f>
        <v/>
      </c>
      <c r="K425" s="27">
        <f>IF($P425="","",IF(INDEX(EntryMan,$P425)=0,"",INDEX(EntryMan,$P425)))</f>
        <v/>
      </c>
      <c r="L425" s="26">
        <f>IF($B425="","",IF($K425="","—",IF(ROUND($K425-$J425,0)=0,"√","×")))</f>
        <v/>
      </c>
      <c r="M425" s="26">
        <f>IF($B425="","",IF(COUNTIFS(EntryDates,$B425,CalcTime,$C425,CalcBank,$C$5,EntryParty,$D425,EntryDep,$H425,EntryWit,$I425)&gt;1,"تکرار",""))</f>
        <v/>
      </c>
      <c r="N425" s="26">
        <f>IF($P425="","",IF(INDEX(EntryNotes,$P425)=0,"",INDEX(EntryNotes,$P425)))</f>
        <v/>
      </c>
      <c r="O425" s="26">
        <f>IF($P425="","",IF(INDEX(EntryTxnID,$P425)=0,"",INDEX(EntryTxnID,$P425)))</f>
        <v/>
      </c>
      <c r="P425" s="26">
        <f>IFERROR(MATCH($C$5&amp;"|"&amp;RIGHT("000000"&amp;409,6),CalcRankKey,0),"")</f>
        <v/>
      </c>
    </row>
    <row r="426">
      <c r="A426" s="28">
        <f>IF($B426="","",410)</f>
        <v/>
      </c>
      <c r="B426" s="28">
        <f>IF($P426="","",IF(INDEX(CalcNormDate,$P426)=0,"",INDEX(CalcNormDate,$P426)))</f>
        <v/>
      </c>
      <c r="C426" s="28">
        <f>IF($P426="","",IF(INDEX(CalcTime,$P426)=0,"",INDEX(CalcTime,$P426)))</f>
        <v/>
      </c>
      <c r="D426" s="28">
        <f>IF($P426="","",IF(INDEX(EntryParty,$P426)=0,"",INDEX(EntryParty,$P426)))</f>
        <v/>
      </c>
      <c r="E426" s="28">
        <f>IF($P426="","",IF(INDEX(EntryPartyName,$P426)=0,"",INDEX(EntryPartyName,$P426)))</f>
        <v/>
      </c>
      <c r="F426" s="28">
        <f>IF($P426="","",IF(INDEX(EntryPartyType,$P426)=0,"",INDEX(EntryPartyType,$P426)))</f>
        <v/>
      </c>
      <c r="G426" s="28">
        <f>IF($P426="","",IF(INDEX(EntryTxnType,$P426)=0,"",INDEX(EntryTxnType,$P426)))</f>
        <v/>
      </c>
      <c r="H426" s="29">
        <f>IF($P426="","",IF(INDEX(EntryDep,$P426)=0,"",INDEX(EntryDep,$P426)))</f>
        <v/>
      </c>
      <c r="I426" s="29">
        <f>IF($P426="","",IF(INDEX(EntryWit,$P426)=0,"",INDEX(EntryWit,$P426)))</f>
        <v/>
      </c>
      <c r="J426" s="29">
        <f>IF($B426="","",IF($A426=1,$C$7,IF(J425="",0,J425))+IF($H426="",0,$H426)-IF($I426="",0,$I426))</f>
        <v/>
      </c>
      <c r="K426" s="29">
        <f>IF($P426="","",IF(INDEX(EntryMan,$P426)=0,"",INDEX(EntryMan,$P426)))</f>
        <v/>
      </c>
      <c r="L426" s="28">
        <f>IF($B426="","",IF($K426="","—",IF(ROUND($K426-$J426,0)=0,"√","×")))</f>
        <v/>
      </c>
      <c r="M426" s="28">
        <f>IF($B426="","",IF(COUNTIFS(EntryDates,$B426,CalcTime,$C426,CalcBank,$C$5,EntryParty,$D426,EntryDep,$H426,EntryWit,$I426)&gt;1,"تکرار",""))</f>
        <v/>
      </c>
      <c r="N426" s="28">
        <f>IF($P426="","",IF(INDEX(EntryNotes,$P426)=0,"",INDEX(EntryNotes,$P426)))</f>
        <v/>
      </c>
      <c r="O426" s="28">
        <f>IF($P426="","",IF(INDEX(EntryTxnID,$P426)=0,"",INDEX(EntryTxnID,$P426)))</f>
        <v/>
      </c>
      <c r="P426" s="28">
        <f>IFERROR(MATCH($C$5&amp;"|"&amp;RIGHT("000000"&amp;410,6),CalcRankKey,0),"")</f>
        <v/>
      </c>
    </row>
    <row r="427">
      <c r="A427" s="26">
        <f>IF($B427="","",411)</f>
        <v/>
      </c>
      <c r="B427" s="26">
        <f>IF($P427="","",IF(INDEX(CalcNormDate,$P427)=0,"",INDEX(CalcNormDate,$P427)))</f>
        <v/>
      </c>
      <c r="C427" s="26">
        <f>IF($P427="","",IF(INDEX(CalcTime,$P427)=0,"",INDEX(CalcTime,$P427)))</f>
        <v/>
      </c>
      <c r="D427" s="26">
        <f>IF($P427="","",IF(INDEX(EntryParty,$P427)=0,"",INDEX(EntryParty,$P427)))</f>
        <v/>
      </c>
      <c r="E427" s="26">
        <f>IF($P427="","",IF(INDEX(EntryPartyName,$P427)=0,"",INDEX(EntryPartyName,$P427)))</f>
        <v/>
      </c>
      <c r="F427" s="26">
        <f>IF($P427="","",IF(INDEX(EntryPartyType,$P427)=0,"",INDEX(EntryPartyType,$P427)))</f>
        <v/>
      </c>
      <c r="G427" s="26">
        <f>IF($P427="","",IF(INDEX(EntryTxnType,$P427)=0,"",INDEX(EntryTxnType,$P427)))</f>
        <v/>
      </c>
      <c r="H427" s="27">
        <f>IF($P427="","",IF(INDEX(EntryDep,$P427)=0,"",INDEX(EntryDep,$P427)))</f>
        <v/>
      </c>
      <c r="I427" s="27">
        <f>IF($P427="","",IF(INDEX(EntryWit,$P427)=0,"",INDEX(EntryWit,$P427)))</f>
        <v/>
      </c>
      <c r="J427" s="27">
        <f>IF($B427="","",IF($A427=1,$C$7,IF(J426="",0,J426))+IF($H427="",0,$H427)-IF($I427="",0,$I427))</f>
        <v/>
      </c>
      <c r="K427" s="27">
        <f>IF($P427="","",IF(INDEX(EntryMan,$P427)=0,"",INDEX(EntryMan,$P427)))</f>
        <v/>
      </c>
      <c r="L427" s="26">
        <f>IF($B427="","",IF($K427="","—",IF(ROUND($K427-$J427,0)=0,"√","×")))</f>
        <v/>
      </c>
      <c r="M427" s="26">
        <f>IF($B427="","",IF(COUNTIFS(EntryDates,$B427,CalcTime,$C427,CalcBank,$C$5,EntryParty,$D427,EntryDep,$H427,EntryWit,$I427)&gt;1,"تکرار",""))</f>
        <v/>
      </c>
      <c r="N427" s="26">
        <f>IF($P427="","",IF(INDEX(EntryNotes,$P427)=0,"",INDEX(EntryNotes,$P427)))</f>
        <v/>
      </c>
      <c r="O427" s="26">
        <f>IF($P427="","",IF(INDEX(EntryTxnID,$P427)=0,"",INDEX(EntryTxnID,$P427)))</f>
        <v/>
      </c>
      <c r="P427" s="26">
        <f>IFERROR(MATCH($C$5&amp;"|"&amp;RIGHT("000000"&amp;411,6),CalcRankKey,0),"")</f>
        <v/>
      </c>
    </row>
    <row r="428">
      <c r="A428" s="28">
        <f>IF($B428="","",412)</f>
        <v/>
      </c>
      <c r="B428" s="28">
        <f>IF($P428="","",IF(INDEX(CalcNormDate,$P428)=0,"",INDEX(CalcNormDate,$P428)))</f>
        <v/>
      </c>
      <c r="C428" s="28">
        <f>IF($P428="","",IF(INDEX(CalcTime,$P428)=0,"",INDEX(CalcTime,$P428)))</f>
        <v/>
      </c>
      <c r="D428" s="28">
        <f>IF($P428="","",IF(INDEX(EntryParty,$P428)=0,"",INDEX(EntryParty,$P428)))</f>
        <v/>
      </c>
      <c r="E428" s="28">
        <f>IF($P428="","",IF(INDEX(EntryPartyName,$P428)=0,"",INDEX(EntryPartyName,$P428)))</f>
        <v/>
      </c>
      <c r="F428" s="28">
        <f>IF($P428="","",IF(INDEX(EntryPartyType,$P428)=0,"",INDEX(EntryPartyType,$P428)))</f>
        <v/>
      </c>
      <c r="G428" s="28">
        <f>IF($P428="","",IF(INDEX(EntryTxnType,$P428)=0,"",INDEX(EntryTxnType,$P428)))</f>
        <v/>
      </c>
      <c r="H428" s="29">
        <f>IF($P428="","",IF(INDEX(EntryDep,$P428)=0,"",INDEX(EntryDep,$P428)))</f>
        <v/>
      </c>
      <c r="I428" s="29">
        <f>IF($P428="","",IF(INDEX(EntryWit,$P428)=0,"",INDEX(EntryWit,$P428)))</f>
        <v/>
      </c>
      <c r="J428" s="29">
        <f>IF($B428="","",IF($A428=1,$C$7,IF(J427="",0,J427))+IF($H428="",0,$H428)-IF($I428="",0,$I428))</f>
        <v/>
      </c>
      <c r="K428" s="29">
        <f>IF($P428="","",IF(INDEX(EntryMan,$P428)=0,"",INDEX(EntryMan,$P428)))</f>
        <v/>
      </c>
      <c r="L428" s="28">
        <f>IF($B428="","",IF($K428="","—",IF(ROUND($K428-$J428,0)=0,"√","×")))</f>
        <v/>
      </c>
      <c r="M428" s="28">
        <f>IF($B428="","",IF(COUNTIFS(EntryDates,$B428,CalcTime,$C428,CalcBank,$C$5,EntryParty,$D428,EntryDep,$H428,EntryWit,$I428)&gt;1,"تکرار",""))</f>
        <v/>
      </c>
      <c r="N428" s="28">
        <f>IF($P428="","",IF(INDEX(EntryNotes,$P428)=0,"",INDEX(EntryNotes,$P428)))</f>
        <v/>
      </c>
      <c r="O428" s="28">
        <f>IF($P428="","",IF(INDEX(EntryTxnID,$P428)=0,"",INDEX(EntryTxnID,$P428)))</f>
        <v/>
      </c>
      <c r="P428" s="28">
        <f>IFERROR(MATCH($C$5&amp;"|"&amp;RIGHT("000000"&amp;412,6),CalcRankKey,0),"")</f>
        <v/>
      </c>
    </row>
    <row r="429">
      <c r="A429" s="26">
        <f>IF($B429="","",413)</f>
        <v/>
      </c>
      <c r="B429" s="26">
        <f>IF($P429="","",IF(INDEX(CalcNormDate,$P429)=0,"",INDEX(CalcNormDate,$P429)))</f>
        <v/>
      </c>
      <c r="C429" s="26">
        <f>IF($P429="","",IF(INDEX(CalcTime,$P429)=0,"",INDEX(CalcTime,$P429)))</f>
        <v/>
      </c>
      <c r="D429" s="26">
        <f>IF($P429="","",IF(INDEX(EntryParty,$P429)=0,"",INDEX(EntryParty,$P429)))</f>
        <v/>
      </c>
      <c r="E429" s="26">
        <f>IF($P429="","",IF(INDEX(EntryPartyName,$P429)=0,"",INDEX(EntryPartyName,$P429)))</f>
        <v/>
      </c>
      <c r="F429" s="26">
        <f>IF($P429="","",IF(INDEX(EntryPartyType,$P429)=0,"",INDEX(EntryPartyType,$P429)))</f>
        <v/>
      </c>
      <c r="G429" s="26">
        <f>IF($P429="","",IF(INDEX(EntryTxnType,$P429)=0,"",INDEX(EntryTxnType,$P429)))</f>
        <v/>
      </c>
      <c r="H429" s="27">
        <f>IF($P429="","",IF(INDEX(EntryDep,$P429)=0,"",INDEX(EntryDep,$P429)))</f>
        <v/>
      </c>
      <c r="I429" s="27">
        <f>IF($P429="","",IF(INDEX(EntryWit,$P429)=0,"",INDEX(EntryWit,$P429)))</f>
        <v/>
      </c>
      <c r="J429" s="27">
        <f>IF($B429="","",IF($A429=1,$C$7,IF(J428="",0,J428))+IF($H429="",0,$H429)-IF($I429="",0,$I429))</f>
        <v/>
      </c>
      <c r="K429" s="27">
        <f>IF($P429="","",IF(INDEX(EntryMan,$P429)=0,"",INDEX(EntryMan,$P429)))</f>
        <v/>
      </c>
      <c r="L429" s="26">
        <f>IF($B429="","",IF($K429="","—",IF(ROUND($K429-$J429,0)=0,"√","×")))</f>
        <v/>
      </c>
      <c r="M429" s="26">
        <f>IF($B429="","",IF(COUNTIFS(EntryDates,$B429,CalcTime,$C429,CalcBank,$C$5,EntryParty,$D429,EntryDep,$H429,EntryWit,$I429)&gt;1,"تکرار",""))</f>
        <v/>
      </c>
      <c r="N429" s="26">
        <f>IF($P429="","",IF(INDEX(EntryNotes,$P429)=0,"",INDEX(EntryNotes,$P429)))</f>
        <v/>
      </c>
      <c r="O429" s="26">
        <f>IF($P429="","",IF(INDEX(EntryTxnID,$P429)=0,"",INDEX(EntryTxnID,$P429)))</f>
        <v/>
      </c>
      <c r="P429" s="26">
        <f>IFERROR(MATCH($C$5&amp;"|"&amp;RIGHT("000000"&amp;413,6),CalcRankKey,0),"")</f>
        <v/>
      </c>
    </row>
    <row r="430">
      <c r="A430" s="28">
        <f>IF($B430="","",414)</f>
        <v/>
      </c>
      <c r="B430" s="28">
        <f>IF($P430="","",IF(INDEX(CalcNormDate,$P430)=0,"",INDEX(CalcNormDate,$P430)))</f>
        <v/>
      </c>
      <c r="C430" s="28">
        <f>IF($P430="","",IF(INDEX(CalcTime,$P430)=0,"",INDEX(CalcTime,$P430)))</f>
        <v/>
      </c>
      <c r="D430" s="28">
        <f>IF($P430="","",IF(INDEX(EntryParty,$P430)=0,"",INDEX(EntryParty,$P430)))</f>
        <v/>
      </c>
      <c r="E430" s="28">
        <f>IF($P430="","",IF(INDEX(EntryPartyName,$P430)=0,"",INDEX(EntryPartyName,$P430)))</f>
        <v/>
      </c>
      <c r="F430" s="28">
        <f>IF($P430="","",IF(INDEX(EntryPartyType,$P430)=0,"",INDEX(EntryPartyType,$P430)))</f>
        <v/>
      </c>
      <c r="G430" s="28">
        <f>IF($P430="","",IF(INDEX(EntryTxnType,$P430)=0,"",INDEX(EntryTxnType,$P430)))</f>
        <v/>
      </c>
      <c r="H430" s="29">
        <f>IF($P430="","",IF(INDEX(EntryDep,$P430)=0,"",INDEX(EntryDep,$P430)))</f>
        <v/>
      </c>
      <c r="I430" s="29">
        <f>IF($P430="","",IF(INDEX(EntryWit,$P430)=0,"",INDEX(EntryWit,$P430)))</f>
        <v/>
      </c>
      <c r="J430" s="29">
        <f>IF($B430="","",IF($A430=1,$C$7,IF(J429="",0,J429))+IF($H430="",0,$H430)-IF($I430="",0,$I430))</f>
        <v/>
      </c>
      <c r="K430" s="29">
        <f>IF($P430="","",IF(INDEX(EntryMan,$P430)=0,"",INDEX(EntryMan,$P430)))</f>
        <v/>
      </c>
      <c r="L430" s="28">
        <f>IF($B430="","",IF($K430="","—",IF(ROUND($K430-$J430,0)=0,"√","×")))</f>
        <v/>
      </c>
      <c r="M430" s="28">
        <f>IF($B430="","",IF(COUNTIFS(EntryDates,$B430,CalcTime,$C430,CalcBank,$C$5,EntryParty,$D430,EntryDep,$H430,EntryWit,$I430)&gt;1,"تکرار",""))</f>
        <v/>
      </c>
      <c r="N430" s="28">
        <f>IF($P430="","",IF(INDEX(EntryNotes,$P430)=0,"",INDEX(EntryNotes,$P430)))</f>
        <v/>
      </c>
      <c r="O430" s="28">
        <f>IF($P430="","",IF(INDEX(EntryTxnID,$P430)=0,"",INDEX(EntryTxnID,$P430)))</f>
        <v/>
      </c>
      <c r="P430" s="28">
        <f>IFERROR(MATCH($C$5&amp;"|"&amp;RIGHT("000000"&amp;414,6),CalcRankKey,0),"")</f>
        <v/>
      </c>
    </row>
    <row r="431">
      <c r="A431" s="26">
        <f>IF($B431="","",415)</f>
        <v/>
      </c>
      <c r="B431" s="26">
        <f>IF($P431="","",IF(INDEX(CalcNormDate,$P431)=0,"",INDEX(CalcNormDate,$P431)))</f>
        <v/>
      </c>
      <c r="C431" s="26">
        <f>IF($P431="","",IF(INDEX(CalcTime,$P431)=0,"",INDEX(CalcTime,$P431)))</f>
        <v/>
      </c>
      <c r="D431" s="26">
        <f>IF($P431="","",IF(INDEX(EntryParty,$P431)=0,"",INDEX(EntryParty,$P431)))</f>
        <v/>
      </c>
      <c r="E431" s="26">
        <f>IF($P431="","",IF(INDEX(EntryPartyName,$P431)=0,"",INDEX(EntryPartyName,$P431)))</f>
        <v/>
      </c>
      <c r="F431" s="26">
        <f>IF($P431="","",IF(INDEX(EntryPartyType,$P431)=0,"",INDEX(EntryPartyType,$P431)))</f>
        <v/>
      </c>
      <c r="G431" s="26">
        <f>IF($P431="","",IF(INDEX(EntryTxnType,$P431)=0,"",INDEX(EntryTxnType,$P431)))</f>
        <v/>
      </c>
      <c r="H431" s="27">
        <f>IF($P431="","",IF(INDEX(EntryDep,$P431)=0,"",INDEX(EntryDep,$P431)))</f>
        <v/>
      </c>
      <c r="I431" s="27">
        <f>IF($P431="","",IF(INDEX(EntryWit,$P431)=0,"",INDEX(EntryWit,$P431)))</f>
        <v/>
      </c>
      <c r="J431" s="27">
        <f>IF($B431="","",IF($A431=1,$C$7,IF(J430="",0,J430))+IF($H431="",0,$H431)-IF($I431="",0,$I431))</f>
        <v/>
      </c>
      <c r="K431" s="27">
        <f>IF($P431="","",IF(INDEX(EntryMan,$P431)=0,"",INDEX(EntryMan,$P431)))</f>
        <v/>
      </c>
      <c r="L431" s="26">
        <f>IF($B431="","",IF($K431="","—",IF(ROUND($K431-$J431,0)=0,"√","×")))</f>
        <v/>
      </c>
      <c r="M431" s="26">
        <f>IF($B431="","",IF(COUNTIFS(EntryDates,$B431,CalcTime,$C431,CalcBank,$C$5,EntryParty,$D431,EntryDep,$H431,EntryWit,$I431)&gt;1,"تکرار",""))</f>
        <v/>
      </c>
      <c r="N431" s="26">
        <f>IF($P431="","",IF(INDEX(EntryNotes,$P431)=0,"",INDEX(EntryNotes,$P431)))</f>
        <v/>
      </c>
      <c r="O431" s="26">
        <f>IF($P431="","",IF(INDEX(EntryTxnID,$P431)=0,"",INDEX(EntryTxnID,$P431)))</f>
        <v/>
      </c>
      <c r="P431" s="26">
        <f>IFERROR(MATCH($C$5&amp;"|"&amp;RIGHT("000000"&amp;415,6),CalcRankKey,0),"")</f>
        <v/>
      </c>
    </row>
    <row r="432">
      <c r="A432" s="28">
        <f>IF($B432="","",416)</f>
        <v/>
      </c>
      <c r="B432" s="28">
        <f>IF($P432="","",IF(INDEX(CalcNormDate,$P432)=0,"",INDEX(CalcNormDate,$P432)))</f>
        <v/>
      </c>
      <c r="C432" s="28">
        <f>IF($P432="","",IF(INDEX(CalcTime,$P432)=0,"",INDEX(CalcTime,$P432)))</f>
        <v/>
      </c>
      <c r="D432" s="28">
        <f>IF($P432="","",IF(INDEX(EntryParty,$P432)=0,"",INDEX(EntryParty,$P432)))</f>
        <v/>
      </c>
      <c r="E432" s="28">
        <f>IF($P432="","",IF(INDEX(EntryPartyName,$P432)=0,"",INDEX(EntryPartyName,$P432)))</f>
        <v/>
      </c>
      <c r="F432" s="28">
        <f>IF($P432="","",IF(INDEX(EntryPartyType,$P432)=0,"",INDEX(EntryPartyType,$P432)))</f>
        <v/>
      </c>
      <c r="G432" s="28">
        <f>IF($P432="","",IF(INDEX(EntryTxnType,$P432)=0,"",INDEX(EntryTxnType,$P432)))</f>
        <v/>
      </c>
      <c r="H432" s="29">
        <f>IF($P432="","",IF(INDEX(EntryDep,$P432)=0,"",INDEX(EntryDep,$P432)))</f>
        <v/>
      </c>
      <c r="I432" s="29">
        <f>IF($P432="","",IF(INDEX(EntryWit,$P432)=0,"",INDEX(EntryWit,$P432)))</f>
        <v/>
      </c>
      <c r="J432" s="29">
        <f>IF($B432="","",IF($A432=1,$C$7,IF(J431="",0,J431))+IF($H432="",0,$H432)-IF($I432="",0,$I432))</f>
        <v/>
      </c>
      <c r="K432" s="29">
        <f>IF($P432="","",IF(INDEX(EntryMan,$P432)=0,"",INDEX(EntryMan,$P432)))</f>
        <v/>
      </c>
      <c r="L432" s="28">
        <f>IF($B432="","",IF($K432="","—",IF(ROUND($K432-$J432,0)=0,"√","×")))</f>
        <v/>
      </c>
      <c r="M432" s="28">
        <f>IF($B432="","",IF(COUNTIFS(EntryDates,$B432,CalcTime,$C432,CalcBank,$C$5,EntryParty,$D432,EntryDep,$H432,EntryWit,$I432)&gt;1,"تکرار",""))</f>
        <v/>
      </c>
      <c r="N432" s="28">
        <f>IF($P432="","",IF(INDEX(EntryNotes,$P432)=0,"",INDEX(EntryNotes,$P432)))</f>
        <v/>
      </c>
      <c r="O432" s="28">
        <f>IF($P432="","",IF(INDEX(EntryTxnID,$P432)=0,"",INDEX(EntryTxnID,$P432)))</f>
        <v/>
      </c>
      <c r="P432" s="28">
        <f>IFERROR(MATCH($C$5&amp;"|"&amp;RIGHT("000000"&amp;416,6),CalcRankKey,0),"")</f>
        <v/>
      </c>
    </row>
    <row r="433">
      <c r="A433" s="26">
        <f>IF($B433="","",417)</f>
        <v/>
      </c>
      <c r="B433" s="26">
        <f>IF($P433="","",IF(INDEX(CalcNormDate,$P433)=0,"",INDEX(CalcNormDate,$P433)))</f>
        <v/>
      </c>
      <c r="C433" s="26">
        <f>IF($P433="","",IF(INDEX(CalcTime,$P433)=0,"",INDEX(CalcTime,$P433)))</f>
        <v/>
      </c>
      <c r="D433" s="26">
        <f>IF($P433="","",IF(INDEX(EntryParty,$P433)=0,"",INDEX(EntryParty,$P433)))</f>
        <v/>
      </c>
      <c r="E433" s="26">
        <f>IF($P433="","",IF(INDEX(EntryPartyName,$P433)=0,"",INDEX(EntryPartyName,$P433)))</f>
        <v/>
      </c>
      <c r="F433" s="26">
        <f>IF($P433="","",IF(INDEX(EntryPartyType,$P433)=0,"",INDEX(EntryPartyType,$P433)))</f>
        <v/>
      </c>
      <c r="G433" s="26">
        <f>IF($P433="","",IF(INDEX(EntryTxnType,$P433)=0,"",INDEX(EntryTxnType,$P433)))</f>
        <v/>
      </c>
      <c r="H433" s="27">
        <f>IF($P433="","",IF(INDEX(EntryDep,$P433)=0,"",INDEX(EntryDep,$P433)))</f>
        <v/>
      </c>
      <c r="I433" s="27">
        <f>IF($P433="","",IF(INDEX(EntryWit,$P433)=0,"",INDEX(EntryWit,$P433)))</f>
        <v/>
      </c>
      <c r="J433" s="27">
        <f>IF($B433="","",IF($A433=1,$C$7,IF(J432="",0,J432))+IF($H433="",0,$H433)-IF($I433="",0,$I433))</f>
        <v/>
      </c>
      <c r="K433" s="27">
        <f>IF($P433="","",IF(INDEX(EntryMan,$P433)=0,"",INDEX(EntryMan,$P433)))</f>
        <v/>
      </c>
      <c r="L433" s="26">
        <f>IF($B433="","",IF($K433="","—",IF(ROUND($K433-$J433,0)=0,"√","×")))</f>
        <v/>
      </c>
      <c r="M433" s="26">
        <f>IF($B433="","",IF(COUNTIFS(EntryDates,$B433,CalcTime,$C433,CalcBank,$C$5,EntryParty,$D433,EntryDep,$H433,EntryWit,$I433)&gt;1,"تکرار",""))</f>
        <v/>
      </c>
      <c r="N433" s="26">
        <f>IF($P433="","",IF(INDEX(EntryNotes,$P433)=0,"",INDEX(EntryNotes,$P433)))</f>
        <v/>
      </c>
      <c r="O433" s="26">
        <f>IF($P433="","",IF(INDEX(EntryTxnID,$P433)=0,"",INDEX(EntryTxnID,$P433)))</f>
        <v/>
      </c>
      <c r="P433" s="26">
        <f>IFERROR(MATCH($C$5&amp;"|"&amp;RIGHT("000000"&amp;417,6),CalcRankKey,0),"")</f>
        <v/>
      </c>
    </row>
    <row r="434">
      <c r="A434" s="28">
        <f>IF($B434="","",418)</f>
        <v/>
      </c>
      <c r="B434" s="28">
        <f>IF($P434="","",IF(INDEX(CalcNormDate,$P434)=0,"",INDEX(CalcNormDate,$P434)))</f>
        <v/>
      </c>
      <c r="C434" s="28">
        <f>IF($P434="","",IF(INDEX(CalcTime,$P434)=0,"",INDEX(CalcTime,$P434)))</f>
        <v/>
      </c>
      <c r="D434" s="28">
        <f>IF($P434="","",IF(INDEX(EntryParty,$P434)=0,"",INDEX(EntryParty,$P434)))</f>
        <v/>
      </c>
      <c r="E434" s="28">
        <f>IF($P434="","",IF(INDEX(EntryPartyName,$P434)=0,"",INDEX(EntryPartyName,$P434)))</f>
        <v/>
      </c>
      <c r="F434" s="28">
        <f>IF($P434="","",IF(INDEX(EntryPartyType,$P434)=0,"",INDEX(EntryPartyType,$P434)))</f>
        <v/>
      </c>
      <c r="G434" s="28">
        <f>IF($P434="","",IF(INDEX(EntryTxnType,$P434)=0,"",INDEX(EntryTxnType,$P434)))</f>
        <v/>
      </c>
      <c r="H434" s="29">
        <f>IF($P434="","",IF(INDEX(EntryDep,$P434)=0,"",INDEX(EntryDep,$P434)))</f>
        <v/>
      </c>
      <c r="I434" s="29">
        <f>IF($P434="","",IF(INDEX(EntryWit,$P434)=0,"",INDEX(EntryWit,$P434)))</f>
        <v/>
      </c>
      <c r="J434" s="29">
        <f>IF($B434="","",IF($A434=1,$C$7,IF(J433="",0,J433))+IF($H434="",0,$H434)-IF($I434="",0,$I434))</f>
        <v/>
      </c>
      <c r="K434" s="29">
        <f>IF($P434="","",IF(INDEX(EntryMan,$P434)=0,"",INDEX(EntryMan,$P434)))</f>
        <v/>
      </c>
      <c r="L434" s="28">
        <f>IF($B434="","",IF($K434="","—",IF(ROUND($K434-$J434,0)=0,"√","×")))</f>
        <v/>
      </c>
      <c r="M434" s="28">
        <f>IF($B434="","",IF(COUNTIFS(EntryDates,$B434,CalcTime,$C434,CalcBank,$C$5,EntryParty,$D434,EntryDep,$H434,EntryWit,$I434)&gt;1,"تکرار",""))</f>
        <v/>
      </c>
      <c r="N434" s="28">
        <f>IF($P434="","",IF(INDEX(EntryNotes,$P434)=0,"",INDEX(EntryNotes,$P434)))</f>
        <v/>
      </c>
      <c r="O434" s="28">
        <f>IF($P434="","",IF(INDEX(EntryTxnID,$P434)=0,"",INDEX(EntryTxnID,$P434)))</f>
        <v/>
      </c>
      <c r="P434" s="28">
        <f>IFERROR(MATCH($C$5&amp;"|"&amp;RIGHT("000000"&amp;418,6),CalcRankKey,0),"")</f>
        <v/>
      </c>
    </row>
    <row r="435">
      <c r="A435" s="26">
        <f>IF($B435="","",419)</f>
        <v/>
      </c>
      <c r="B435" s="26">
        <f>IF($P435="","",IF(INDEX(CalcNormDate,$P435)=0,"",INDEX(CalcNormDate,$P435)))</f>
        <v/>
      </c>
      <c r="C435" s="26">
        <f>IF($P435="","",IF(INDEX(CalcTime,$P435)=0,"",INDEX(CalcTime,$P435)))</f>
        <v/>
      </c>
      <c r="D435" s="26">
        <f>IF($P435="","",IF(INDEX(EntryParty,$P435)=0,"",INDEX(EntryParty,$P435)))</f>
        <v/>
      </c>
      <c r="E435" s="26">
        <f>IF($P435="","",IF(INDEX(EntryPartyName,$P435)=0,"",INDEX(EntryPartyName,$P435)))</f>
        <v/>
      </c>
      <c r="F435" s="26">
        <f>IF($P435="","",IF(INDEX(EntryPartyType,$P435)=0,"",INDEX(EntryPartyType,$P435)))</f>
        <v/>
      </c>
      <c r="G435" s="26">
        <f>IF($P435="","",IF(INDEX(EntryTxnType,$P435)=0,"",INDEX(EntryTxnType,$P435)))</f>
        <v/>
      </c>
      <c r="H435" s="27">
        <f>IF($P435="","",IF(INDEX(EntryDep,$P435)=0,"",INDEX(EntryDep,$P435)))</f>
        <v/>
      </c>
      <c r="I435" s="27">
        <f>IF($P435="","",IF(INDEX(EntryWit,$P435)=0,"",INDEX(EntryWit,$P435)))</f>
        <v/>
      </c>
      <c r="J435" s="27">
        <f>IF($B435="","",IF($A435=1,$C$7,IF(J434="",0,J434))+IF($H435="",0,$H435)-IF($I435="",0,$I435))</f>
        <v/>
      </c>
      <c r="K435" s="27">
        <f>IF($P435="","",IF(INDEX(EntryMan,$P435)=0,"",INDEX(EntryMan,$P435)))</f>
        <v/>
      </c>
      <c r="L435" s="26">
        <f>IF($B435="","",IF($K435="","—",IF(ROUND($K435-$J435,0)=0,"√","×")))</f>
        <v/>
      </c>
      <c r="M435" s="26">
        <f>IF($B435="","",IF(COUNTIFS(EntryDates,$B435,CalcTime,$C435,CalcBank,$C$5,EntryParty,$D435,EntryDep,$H435,EntryWit,$I435)&gt;1,"تکرار",""))</f>
        <v/>
      </c>
      <c r="N435" s="26">
        <f>IF($P435="","",IF(INDEX(EntryNotes,$P435)=0,"",INDEX(EntryNotes,$P435)))</f>
        <v/>
      </c>
      <c r="O435" s="26">
        <f>IF($P435="","",IF(INDEX(EntryTxnID,$P435)=0,"",INDEX(EntryTxnID,$P435)))</f>
        <v/>
      </c>
      <c r="P435" s="26">
        <f>IFERROR(MATCH($C$5&amp;"|"&amp;RIGHT("000000"&amp;419,6),CalcRankKey,0),"")</f>
        <v/>
      </c>
    </row>
    <row r="436">
      <c r="A436" s="28">
        <f>IF($B436="","",420)</f>
        <v/>
      </c>
      <c r="B436" s="28">
        <f>IF($P436="","",IF(INDEX(CalcNormDate,$P436)=0,"",INDEX(CalcNormDate,$P436)))</f>
        <v/>
      </c>
      <c r="C436" s="28">
        <f>IF($P436="","",IF(INDEX(CalcTime,$P436)=0,"",INDEX(CalcTime,$P436)))</f>
        <v/>
      </c>
      <c r="D436" s="28">
        <f>IF($P436="","",IF(INDEX(EntryParty,$P436)=0,"",INDEX(EntryParty,$P436)))</f>
        <v/>
      </c>
      <c r="E436" s="28">
        <f>IF($P436="","",IF(INDEX(EntryPartyName,$P436)=0,"",INDEX(EntryPartyName,$P436)))</f>
        <v/>
      </c>
      <c r="F436" s="28">
        <f>IF($P436="","",IF(INDEX(EntryPartyType,$P436)=0,"",INDEX(EntryPartyType,$P436)))</f>
        <v/>
      </c>
      <c r="G436" s="28">
        <f>IF($P436="","",IF(INDEX(EntryTxnType,$P436)=0,"",INDEX(EntryTxnType,$P436)))</f>
        <v/>
      </c>
      <c r="H436" s="29">
        <f>IF($P436="","",IF(INDEX(EntryDep,$P436)=0,"",INDEX(EntryDep,$P436)))</f>
        <v/>
      </c>
      <c r="I436" s="29">
        <f>IF($P436="","",IF(INDEX(EntryWit,$P436)=0,"",INDEX(EntryWit,$P436)))</f>
        <v/>
      </c>
      <c r="J436" s="29">
        <f>IF($B436="","",IF($A436=1,$C$7,IF(J435="",0,J435))+IF($H436="",0,$H436)-IF($I436="",0,$I436))</f>
        <v/>
      </c>
      <c r="K436" s="29">
        <f>IF($P436="","",IF(INDEX(EntryMan,$P436)=0,"",INDEX(EntryMan,$P436)))</f>
        <v/>
      </c>
      <c r="L436" s="28">
        <f>IF($B436="","",IF($K436="","—",IF(ROUND($K436-$J436,0)=0,"√","×")))</f>
        <v/>
      </c>
      <c r="M436" s="28">
        <f>IF($B436="","",IF(COUNTIFS(EntryDates,$B436,CalcTime,$C436,CalcBank,$C$5,EntryParty,$D436,EntryDep,$H436,EntryWit,$I436)&gt;1,"تکرار",""))</f>
        <v/>
      </c>
      <c r="N436" s="28">
        <f>IF($P436="","",IF(INDEX(EntryNotes,$P436)=0,"",INDEX(EntryNotes,$P436)))</f>
        <v/>
      </c>
      <c r="O436" s="28">
        <f>IF($P436="","",IF(INDEX(EntryTxnID,$P436)=0,"",INDEX(EntryTxnID,$P436)))</f>
        <v/>
      </c>
      <c r="P436" s="28">
        <f>IFERROR(MATCH($C$5&amp;"|"&amp;RIGHT("000000"&amp;420,6),CalcRankKey,0),"")</f>
        <v/>
      </c>
    </row>
    <row r="437">
      <c r="A437" s="26">
        <f>IF($B437="","",421)</f>
        <v/>
      </c>
      <c r="B437" s="26">
        <f>IF($P437="","",IF(INDEX(CalcNormDate,$P437)=0,"",INDEX(CalcNormDate,$P437)))</f>
        <v/>
      </c>
      <c r="C437" s="26">
        <f>IF($P437="","",IF(INDEX(CalcTime,$P437)=0,"",INDEX(CalcTime,$P437)))</f>
        <v/>
      </c>
      <c r="D437" s="26">
        <f>IF($P437="","",IF(INDEX(EntryParty,$P437)=0,"",INDEX(EntryParty,$P437)))</f>
        <v/>
      </c>
      <c r="E437" s="26">
        <f>IF($P437="","",IF(INDEX(EntryPartyName,$P437)=0,"",INDEX(EntryPartyName,$P437)))</f>
        <v/>
      </c>
      <c r="F437" s="26">
        <f>IF($P437="","",IF(INDEX(EntryPartyType,$P437)=0,"",INDEX(EntryPartyType,$P437)))</f>
        <v/>
      </c>
      <c r="G437" s="26">
        <f>IF($P437="","",IF(INDEX(EntryTxnType,$P437)=0,"",INDEX(EntryTxnType,$P437)))</f>
        <v/>
      </c>
      <c r="H437" s="27">
        <f>IF($P437="","",IF(INDEX(EntryDep,$P437)=0,"",INDEX(EntryDep,$P437)))</f>
        <v/>
      </c>
      <c r="I437" s="27">
        <f>IF($P437="","",IF(INDEX(EntryWit,$P437)=0,"",INDEX(EntryWit,$P437)))</f>
        <v/>
      </c>
      <c r="J437" s="27">
        <f>IF($B437="","",IF($A437=1,$C$7,IF(J436="",0,J436))+IF($H437="",0,$H437)-IF($I437="",0,$I437))</f>
        <v/>
      </c>
      <c r="K437" s="27">
        <f>IF($P437="","",IF(INDEX(EntryMan,$P437)=0,"",INDEX(EntryMan,$P437)))</f>
        <v/>
      </c>
      <c r="L437" s="26">
        <f>IF($B437="","",IF($K437="","—",IF(ROUND($K437-$J437,0)=0,"√","×")))</f>
        <v/>
      </c>
      <c r="M437" s="26">
        <f>IF($B437="","",IF(COUNTIFS(EntryDates,$B437,CalcTime,$C437,CalcBank,$C$5,EntryParty,$D437,EntryDep,$H437,EntryWit,$I437)&gt;1,"تکرار",""))</f>
        <v/>
      </c>
      <c r="N437" s="26">
        <f>IF($P437="","",IF(INDEX(EntryNotes,$P437)=0,"",INDEX(EntryNotes,$P437)))</f>
        <v/>
      </c>
      <c r="O437" s="26">
        <f>IF($P437="","",IF(INDEX(EntryTxnID,$P437)=0,"",INDEX(EntryTxnID,$P437)))</f>
        <v/>
      </c>
      <c r="P437" s="26">
        <f>IFERROR(MATCH($C$5&amp;"|"&amp;RIGHT("000000"&amp;421,6),CalcRankKey,0),"")</f>
        <v/>
      </c>
    </row>
    <row r="438">
      <c r="A438" s="28">
        <f>IF($B438="","",422)</f>
        <v/>
      </c>
      <c r="B438" s="28">
        <f>IF($P438="","",IF(INDEX(CalcNormDate,$P438)=0,"",INDEX(CalcNormDate,$P438)))</f>
        <v/>
      </c>
      <c r="C438" s="28">
        <f>IF($P438="","",IF(INDEX(CalcTime,$P438)=0,"",INDEX(CalcTime,$P438)))</f>
        <v/>
      </c>
      <c r="D438" s="28">
        <f>IF($P438="","",IF(INDEX(EntryParty,$P438)=0,"",INDEX(EntryParty,$P438)))</f>
        <v/>
      </c>
      <c r="E438" s="28">
        <f>IF($P438="","",IF(INDEX(EntryPartyName,$P438)=0,"",INDEX(EntryPartyName,$P438)))</f>
        <v/>
      </c>
      <c r="F438" s="28">
        <f>IF($P438="","",IF(INDEX(EntryPartyType,$P438)=0,"",INDEX(EntryPartyType,$P438)))</f>
        <v/>
      </c>
      <c r="G438" s="28">
        <f>IF($P438="","",IF(INDEX(EntryTxnType,$P438)=0,"",INDEX(EntryTxnType,$P438)))</f>
        <v/>
      </c>
      <c r="H438" s="29">
        <f>IF($P438="","",IF(INDEX(EntryDep,$P438)=0,"",INDEX(EntryDep,$P438)))</f>
        <v/>
      </c>
      <c r="I438" s="29">
        <f>IF($P438="","",IF(INDEX(EntryWit,$P438)=0,"",INDEX(EntryWit,$P438)))</f>
        <v/>
      </c>
      <c r="J438" s="29">
        <f>IF($B438="","",IF($A438=1,$C$7,IF(J437="",0,J437))+IF($H438="",0,$H438)-IF($I438="",0,$I438))</f>
        <v/>
      </c>
      <c r="K438" s="29">
        <f>IF($P438="","",IF(INDEX(EntryMan,$P438)=0,"",INDEX(EntryMan,$P438)))</f>
        <v/>
      </c>
      <c r="L438" s="28">
        <f>IF($B438="","",IF($K438="","—",IF(ROUND($K438-$J438,0)=0,"√","×")))</f>
        <v/>
      </c>
      <c r="M438" s="28">
        <f>IF($B438="","",IF(COUNTIFS(EntryDates,$B438,CalcTime,$C438,CalcBank,$C$5,EntryParty,$D438,EntryDep,$H438,EntryWit,$I438)&gt;1,"تکرار",""))</f>
        <v/>
      </c>
      <c r="N438" s="28">
        <f>IF($P438="","",IF(INDEX(EntryNotes,$P438)=0,"",INDEX(EntryNotes,$P438)))</f>
        <v/>
      </c>
      <c r="O438" s="28">
        <f>IF($P438="","",IF(INDEX(EntryTxnID,$P438)=0,"",INDEX(EntryTxnID,$P438)))</f>
        <v/>
      </c>
      <c r="P438" s="28">
        <f>IFERROR(MATCH($C$5&amp;"|"&amp;RIGHT("000000"&amp;422,6),CalcRankKey,0),"")</f>
        <v/>
      </c>
    </row>
    <row r="439">
      <c r="A439" s="26">
        <f>IF($B439="","",423)</f>
        <v/>
      </c>
      <c r="B439" s="26">
        <f>IF($P439="","",IF(INDEX(CalcNormDate,$P439)=0,"",INDEX(CalcNormDate,$P439)))</f>
        <v/>
      </c>
      <c r="C439" s="26">
        <f>IF($P439="","",IF(INDEX(CalcTime,$P439)=0,"",INDEX(CalcTime,$P439)))</f>
        <v/>
      </c>
      <c r="D439" s="26">
        <f>IF($P439="","",IF(INDEX(EntryParty,$P439)=0,"",INDEX(EntryParty,$P439)))</f>
        <v/>
      </c>
      <c r="E439" s="26">
        <f>IF($P439="","",IF(INDEX(EntryPartyName,$P439)=0,"",INDEX(EntryPartyName,$P439)))</f>
        <v/>
      </c>
      <c r="F439" s="26">
        <f>IF($P439="","",IF(INDEX(EntryPartyType,$P439)=0,"",INDEX(EntryPartyType,$P439)))</f>
        <v/>
      </c>
      <c r="G439" s="26">
        <f>IF($P439="","",IF(INDEX(EntryTxnType,$P439)=0,"",INDEX(EntryTxnType,$P439)))</f>
        <v/>
      </c>
      <c r="H439" s="27">
        <f>IF($P439="","",IF(INDEX(EntryDep,$P439)=0,"",INDEX(EntryDep,$P439)))</f>
        <v/>
      </c>
      <c r="I439" s="27">
        <f>IF($P439="","",IF(INDEX(EntryWit,$P439)=0,"",INDEX(EntryWit,$P439)))</f>
        <v/>
      </c>
      <c r="J439" s="27">
        <f>IF($B439="","",IF($A439=1,$C$7,IF(J438="",0,J438))+IF($H439="",0,$H439)-IF($I439="",0,$I439))</f>
        <v/>
      </c>
      <c r="K439" s="27">
        <f>IF($P439="","",IF(INDEX(EntryMan,$P439)=0,"",INDEX(EntryMan,$P439)))</f>
        <v/>
      </c>
      <c r="L439" s="26">
        <f>IF($B439="","",IF($K439="","—",IF(ROUND($K439-$J439,0)=0,"√","×")))</f>
        <v/>
      </c>
      <c r="M439" s="26">
        <f>IF($B439="","",IF(COUNTIFS(EntryDates,$B439,CalcTime,$C439,CalcBank,$C$5,EntryParty,$D439,EntryDep,$H439,EntryWit,$I439)&gt;1,"تکرار",""))</f>
        <v/>
      </c>
      <c r="N439" s="26">
        <f>IF($P439="","",IF(INDEX(EntryNotes,$P439)=0,"",INDEX(EntryNotes,$P439)))</f>
        <v/>
      </c>
      <c r="O439" s="26">
        <f>IF($P439="","",IF(INDEX(EntryTxnID,$P439)=0,"",INDEX(EntryTxnID,$P439)))</f>
        <v/>
      </c>
      <c r="P439" s="26">
        <f>IFERROR(MATCH($C$5&amp;"|"&amp;RIGHT("000000"&amp;423,6),CalcRankKey,0),"")</f>
        <v/>
      </c>
    </row>
    <row r="440">
      <c r="A440" s="28">
        <f>IF($B440="","",424)</f>
        <v/>
      </c>
      <c r="B440" s="28">
        <f>IF($P440="","",IF(INDEX(CalcNormDate,$P440)=0,"",INDEX(CalcNormDate,$P440)))</f>
        <v/>
      </c>
      <c r="C440" s="28">
        <f>IF($P440="","",IF(INDEX(CalcTime,$P440)=0,"",INDEX(CalcTime,$P440)))</f>
        <v/>
      </c>
      <c r="D440" s="28">
        <f>IF($P440="","",IF(INDEX(EntryParty,$P440)=0,"",INDEX(EntryParty,$P440)))</f>
        <v/>
      </c>
      <c r="E440" s="28">
        <f>IF($P440="","",IF(INDEX(EntryPartyName,$P440)=0,"",INDEX(EntryPartyName,$P440)))</f>
        <v/>
      </c>
      <c r="F440" s="28">
        <f>IF($P440="","",IF(INDEX(EntryPartyType,$P440)=0,"",INDEX(EntryPartyType,$P440)))</f>
        <v/>
      </c>
      <c r="G440" s="28">
        <f>IF($P440="","",IF(INDEX(EntryTxnType,$P440)=0,"",INDEX(EntryTxnType,$P440)))</f>
        <v/>
      </c>
      <c r="H440" s="29">
        <f>IF($P440="","",IF(INDEX(EntryDep,$P440)=0,"",INDEX(EntryDep,$P440)))</f>
        <v/>
      </c>
      <c r="I440" s="29">
        <f>IF($P440="","",IF(INDEX(EntryWit,$P440)=0,"",INDEX(EntryWit,$P440)))</f>
        <v/>
      </c>
      <c r="J440" s="29">
        <f>IF($B440="","",IF($A440=1,$C$7,IF(J439="",0,J439))+IF($H440="",0,$H440)-IF($I440="",0,$I440))</f>
        <v/>
      </c>
      <c r="K440" s="29">
        <f>IF($P440="","",IF(INDEX(EntryMan,$P440)=0,"",INDEX(EntryMan,$P440)))</f>
        <v/>
      </c>
      <c r="L440" s="28">
        <f>IF($B440="","",IF($K440="","—",IF(ROUND($K440-$J440,0)=0,"√","×")))</f>
        <v/>
      </c>
      <c r="M440" s="28">
        <f>IF($B440="","",IF(COUNTIFS(EntryDates,$B440,CalcTime,$C440,CalcBank,$C$5,EntryParty,$D440,EntryDep,$H440,EntryWit,$I440)&gt;1,"تکرار",""))</f>
        <v/>
      </c>
      <c r="N440" s="28">
        <f>IF($P440="","",IF(INDEX(EntryNotes,$P440)=0,"",INDEX(EntryNotes,$P440)))</f>
        <v/>
      </c>
      <c r="O440" s="28">
        <f>IF($P440="","",IF(INDEX(EntryTxnID,$P440)=0,"",INDEX(EntryTxnID,$P440)))</f>
        <v/>
      </c>
      <c r="P440" s="28">
        <f>IFERROR(MATCH($C$5&amp;"|"&amp;RIGHT("000000"&amp;424,6),CalcRankKey,0),"")</f>
        <v/>
      </c>
    </row>
    <row r="441">
      <c r="A441" s="26">
        <f>IF($B441="","",425)</f>
        <v/>
      </c>
      <c r="B441" s="26">
        <f>IF($P441="","",IF(INDEX(CalcNormDate,$P441)=0,"",INDEX(CalcNormDate,$P441)))</f>
        <v/>
      </c>
      <c r="C441" s="26">
        <f>IF($P441="","",IF(INDEX(CalcTime,$P441)=0,"",INDEX(CalcTime,$P441)))</f>
        <v/>
      </c>
      <c r="D441" s="26">
        <f>IF($P441="","",IF(INDEX(EntryParty,$P441)=0,"",INDEX(EntryParty,$P441)))</f>
        <v/>
      </c>
      <c r="E441" s="26">
        <f>IF($P441="","",IF(INDEX(EntryPartyName,$P441)=0,"",INDEX(EntryPartyName,$P441)))</f>
        <v/>
      </c>
      <c r="F441" s="26">
        <f>IF($P441="","",IF(INDEX(EntryPartyType,$P441)=0,"",INDEX(EntryPartyType,$P441)))</f>
        <v/>
      </c>
      <c r="G441" s="26">
        <f>IF($P441="","",IF(INDEX(EntryTxnType,$P441)=0,"",INDEX(EntryTxnType,$P441)))</f>
        <v/>
      </c>
      <c r="H441" s="27">
        <f>IF($P441="","",IF(INDEX(EntryDep,$P441)=0,"",INDEX(EntryDep,$P441)))</f>
        <v/>
      </c>
      <c r="I441" s="27">
        <f>IF($P441="","",IF(INDEX(EntryWit,$P441)=0,"",INDEX(EntryWit,$P441)))</f>
        <v/>
      </c>
      <c r="J441" s="27">
        <f>IF($B441="","",IF($A441=1,$C$7,IF(J440="",0,J440))+IF($H441="",0,$H441)-IF($I441="",0,$I441))</f>
        <v/>
      </c>
      <c r="K441" s="27">
        <f>IF($P441="","",IF(INDEX(EntryMan,$P441)=0,"",INDEX(EntryMan,$P441)))</f>
        <v/>
      </c>
      <c r="L441" s="26">
        <f>IF($B441="","",IF($K441="","—",IF(ROUND($K441-$J441,0)=0,"√","×")))</f>
        <v/>
      </c>
      <c r="M441" s="26">
        <f>IF($B441="","",IF(COUNTIFS(EntryDates,$B441,CalcTime,$C441,CalcBank,$C$5,EntryParty,$D441,EntryDep,$H441,EntryWit,$I441)&gt;1,"تکرار",""))</f>
        <v/>
      </c>
      <c r="N441" s="26">
        <f>IF($P441="","",IF(INDEX(EntryNotes,$P441)=0,"",INDEX(EntryNotes,$P441)))</f>
        <v/>
      </c>
      <c r="O441" s="26">
        <f>IF($P441="","",IF(INDEX(EntryTxnID,$P441)=0,"",INDEX(EntryTxnID,$P441)))</f>
        <v/>
      </c>
      <c r="P441" s="26">
        <f>IFERROR(MATCH($C$5&amp;"|"&amp;RIGHT("000000"&amp;425,6),CalcRankKey,0),"")</f>
        <v/>
      </c>
    </row>
    <row r="442">
      <c r="A442" s="28">
        <f>IF($B442="","",426)</f>
        <v/>
      </c>
      <c r="B442" s="28">
        <f>IF($P442="","",IF(INDEX(CalcNormDate,$P442)=0,"",INDEX(CalcNormDate,$P442)))</f>
        <v/>
      </c>
      <c r="C442" s="28">
        <f>IF($P442="","",IF(INDEX(CalcTime,$P442)=0,"",INDEX(CalcTime,$P442)))</f>
        <v/>
      </c>
      <c r="D442" s="28">
        <f>IF($P442="","",IF(INDEX(EntryParty,$P442)=0,"",INDEX(EntryParty,$P442)))</f>
        <v/>
      </c>
      <c r="E442" s="28">
        <f>IF($P442="","",IF(INDEX(EntryPartyName,$P442)=0,"",INDEX(EntryPartyName,$P442)))</f>
        <v/>
      </c>
      <c r="F442" s="28">
        <f>IF($P442="","",IF(INDEX(EntryPartyType,$P442)=0,"",INDEX(EntryPartyType,$P442)))</f>
        <v/>
      </c>
      <c r="G442" s="28">
        <f>IF($P442="","",IF(INDEX(EntryTxnType,$P442)=0,"",INDEX(EntryTxnType,$P442)))</f>
        <v/>
      </c>
      <c r="H442" s="29">
        <f>IF($P442="","",IF(INDEX(EntryDep,$P442)=0,"",INDEX(EntryDep,$P442)))</f>
        <v/>
      </c>
      <c r="I442" s="29">
        <f>IF($P442="","",IF(INDEX(EntryWit,$P442)=0,"",INDEX(EntryWit,$P442)))</f>
        <v/>
      </c>
      <c r="J442" s="29">
        <f>IF($B442="","",IF($A442=1,$C$7,IF(J441="",0,J441))+IF($H442="",0,$H442)-IF($I442="",0,$I442))</f>
        <v/>
      </c>
      <c r="K442" s="29">
        <f>IF($P442="","",IF(INDEX(EntryMan,$P442)=0,"",INDEX(EntryMan,$P442)))</f>
        <v/>
      </c>
      <c r="L442" s="28">
        <f>IF($B442="","",IF($K442="","—",IF(ROUND($K442-$J442,0)=0,"√","×")))</f>
        <v/>
      </c>
      <c r="M442" s="28">
        <f>IF($B442="","",IF(COUNTIFS(EntryDates,$B442,CalcTime,$C442,CalcBank,$C$5,EntryParty,$D442,EntryDep,$H442,EntryWit,$I442)&gt;1,"تکرار",""))</f>
        <v/>
      </c>
      <c r="N442" s="28">
        <f>IF($P442="","",IF(INDEX(EntryNotes,$P442)=0,"",INDEX(EntryNotes,$P442)))</f>
        <v/>
      </c>
      <c r="O442" s="28">
        <f>IF($P442="","",IF(INDEX(EntryTxnID,$P442)=0,"",INDEX(EntryTxnID,$P442)))</f>
        <v/>
      </c>
      <c r="P442" s="28">
        <f>IFERROR(MATCH($C$5&amp;"|"&amp;RIGHT("000000"&amp;426,6),CalcRankKey,0),"")</f>
        <v/>
      </c>
    </row>
    <row r="443">
      <c r="A443" s="26">
        <f>IF($B443="","",427)</f>
        <v/>
      </c>
      <c r="B443" s="26">
        <f>IF($P443="","",IF(INDEX(CalcNormDate,$P443)=0,"",INDEX(CalcNormDate,$P443)))</f>
        <v/>
      </c>
      <c r="C443" s="26">
        <f>IF($P443="","",IF(INDEX(CalcTime,$P443)=0,"",INDEX(CalcTime,$P443)))</f>
        <v/>
      </c>
      <c r="D443" s="26">
        <f>IF($P443="","",IF(INDEX(EntryParty,$P443)=0,"",INDEX(EntryParty,$P443)))</f>
        <v/>
      </c>
      <c r="E443" s="26">
        <f>IF($P443="","",IF(INDEX(EntryPartyName,$P443)=0,"",INDEX(EntryPartyName,$P443)))</f>
        <v/>
      </c>
      <c r="F443" s="26">
        <f>IF($P443="","",IF(INDEX(EntryPartyType,$P443)=0,"",INDEX(EntryPartyType,$P443)))</f>
        <v/>
      </c>
      <c r="G443" s="26">
        <f>IF($P443="","",IF(INDEX(EntryTxnType,$P443)=0,"",INDEX(EntryTxnType,$P443)))</f>
        <v/>
      </c>
      <c r="H443" s="27">
        <f>IF($P443="","",IF(INDEX(EntryDep,$P443)=0,"",INDEX(EntryDep,$P443)))</f>
        <v/>
      </c>
      <c r="I443" s="27">
        <f>IF($P443="","",IF(INDEX(EntryWit,$P443)=0,"",INDEX(EntryWit,$P443)))</f>
        <v/>
      </c>
      <c r="J443" s="27">
        <f>IF($B443="","",IF($A443=1,$C$7,IF(J442="",0,J442))+IF($H443="",0,$H443)-IF($I443="",0,$I443))</f>
        <v/>
      </c>
      <c r="K443" s="27">
        <f>IF($P443="","",IF(INDEX(EntryMan,$P443)=0,"",INDEX(EntryMan,$P443)))</f>
        <v/>
      </c>
      <c r="L443" s="26">
        <f>IF($B443="","",IF($K443="","—",IF(ROUND($K443-$J443,0)=0,"√","×")))</f>
        <v/>
      </c>
      <c r="M443" s="26">
        <f>IF($B443="","",IF(COUNTIFS(EntryDates,$B443,CalcTime,$C443,CalcBank,$C$5,EntryParty,$D443,EntryDep,$H443,EntryWit,$I443)&gt;1,"تکرار",""))</f>
        <v/>
      </c>
      <c r="N443" s="26">
        <f>IF($P443="","",IF(INDEX(EntryNotes,$P443)=0,"",INDEX(EntryNotes,$P443)))</f>
        <v/>
      </c>
      <c r="O443" s="26">
        <f>IF($P443="","",IF(INDEX(EntryTxnID,$P443)=0,"",INDEX(EntryTxnID,$P443)))</f>
        <v/>
      </c>
      <c r="P443" s="26">
        <f>IFERROR(MATCH($C$5&amp;"|"&amp;RIGHT("000000"&amp;427,6),CalcRankKey,0),"")</f>
        <v/>
      </c>
    </row>
    <row r="444">
      <c r="A444" s="28">
        <f>IF($B444="","",428)</f>
        <v/>
      </c>
      <c r="B444" s="28">
        <f>IF($P444="","",IF(INDEX(CalcNormDate,$P444)=0,"",INDEX(CalcNormDate,$P444)))</f>
        <v/>
      </c>
      <c r="C444" s="28">
        <f>IF($P444="","",IF(INDEX(CalcTime,$P444)=0,"",INDEX(CalcTime,$P444)))</f>
        <v/>
      </c>
      <c r="D444" s="28">
        <f>IF($P444="","",IF(INDEX(EntryParty,$P444)=0,"",INDEX(EntryParty,$P444)))</f>
        <v/>
      </c>
      <c r="E444" s="28">
        <f>IF($P444="","",IF(INDEX(EntryPartyName,$P444)=0,"",INDEX(EntryPartyName,$P444)))</f>
        <v/>
      </c>
      <c r="F444" s="28">
        <f>IF($P444="","",IF(INDEX(EntryPartyType,$P444)=0,"",INDEX(EntryPartyType,$P444)))</f>
        <v/>
      </c>
      <c r="G444" s="28">
        <f>IF($P444="","",IF(INDEX(EntryTxnType,$P444)=0,"",INDEX(EntryTxnType,$P444)))</f>
        <v/>
      </c>
      <c r="H444" s="29">
        <f>IF($P444="","",IF(INDEX(EntryDep,$P444)=0,"",INDEX(EntryDep,$P444)))</f>
        <v/>
      </c>
      <c r="I444" s="29">
        <f>IF($P444="","",IF(INDEX(EntryWit,$P444)=0,"",INDEX(EntryWit,$P444)))</f>
        <v/>
      </c>
      <c r="J444" s="29">
        <f>IF($B444="","",IF($A444=1,$C$7,IF(J443="",0,J443))+IF($H444="",0,$H444)-IF($I444="",0,$I444))</f>
        <v/>
      </c>
      <c r="K444" s="29">
        <f>IF($P444="","",IF(INDEX(EntryMan,$P444)=0,"",INDEX(EntryMan,$P444)))</f>
        <v/>
      </c>
      <c r="L444" s="28">
        <f>IF($B444="","",IF($K444="","—",IF(ROUND($K444-$J444,0)=0,"√","×")))</f>
        <v/>
      </c>
      <c r="M444" s="28">
        <f>IF($B444="","",IF(COUNTIFS(EntryDates,$B444,CalcTime,$C444,CalcBank,$C$5,EntryParty,$D444,EntryDep,$H444,EntryWit,$I444)&gt;1,"تکرار",""))</f>
        <v/>
      </c>
      <c r="N444" s="28">
        <f>IF($P444="","",IF(INDEX(EntryNotes,$P444)=0,"",INDEX(EntryNotes,$P444)))</f>
        <v/>
      </c>
      <c r="O444" s="28">
        <f>IF($P444="","",IF(INDEX(EntryTxnID,$P444)=0,"",INDEX(EntryTxnID,$P444)))</f>
        <v/>
      </c>
      <c r="P444" s="28">
        <f>IFERROR(MATCH($C$5&amp;"|"&amp;RIGHT("000000"&amp;428,6),CalcRankKey,0),"")</f>
        <v/>
      </c>
    </row>
    <row r="445">
      <c r="A445" s="26">
        <f>IF($B445="","",429)</f>
        <v/>
      </c>
      <c r="B445" s="26">
        <f>IF($P445="","",IF(INDEX(CalcNormDate,$P445)=0,"",INDEX(CalcNormDate,$P445)))</f>
        <v/>
      </c>
      <c r="C445" s="26">
        <f>IF($P445="","",IF(INDEX(CalcTime,$P445)=0,"",INDEX(CalcTime,$P445)))</f>
        <v/>
      </c>
      <c r="D445" s="26">
        <f>IF($P445="","",IF(INDEX(EntryParty,$P445)=0,"",INDEX(EntryParty,$P445)))</f>
        <v/>
      </c>
      <c r="E445" s="26">
        <f>IF($P445="","",IF(INDEX(EntryPartyName,$P445)=0,"",INDEX(EntryPartyName,$P445)))</f>
        <v/>
      </c>
      <c r="F445" s="26">
        <f>IF($P445="","",IF(INDEX(EntryPartyType,$P445)=0,"",INDEX(EntryPartyType,$P445)))</f>
        <v/>
      </c>
      <c r="G445" s="26">
        <f>IF($P445="","",IF(INDEX(EntryTxnType,$P445)=0,"",INDEX(EntryTxnType,$P445)))</f>
        <v/>
      </c>
      <c r="H445" s="27">
        <f>IF($P445="","",IF(INDEX(EntryDep,$P445)=0,"",INDEX(EntryDep,$P445)))</f>
        <v/>
      </c>
      <c r="I445" s="27">
        <f>IF($P445="","",IF(INDEX(EntryWit,$P445)=0,"",INDEX(EntryWit,$P445)))</f>
        <v/>
      </c>
      <c r="J445" s="27">
        <f>IF($B445="","",IF($A445=1,$C$7,IF(J444="",0,J444))+IF($H445="",0,$H445)-IF($I445="",0,$I445))</f>
        <v/>
      </c>
      <c r="K445" s="27">
        <f>IF($P445="","",IF(INDEX(EntryMan,$P445)=0,"",INDEX(EntryMan,$P445)))</f>
        <v/>
      </c>
      <c r="L445" s="26">
        <f>IF($B445="","",IF($K445="","—",IF(ROUND($K445-$J445,0)=0,"√","×")))</f>
        <v/>
      </c>
      <c r="M445" s="26">
        <f>IF($B445="","",IF(COUNTIFS(EntryDates,$B445,CalcTime,$C445,CalcBank,$C$5,EntryParty,$D445,EntryDep,$H445,EntryWit,$I445)&gt;1,"تکرار",""))</f>
        <v/>
      </c>
      <c r="N445" s="26">
        <f>IF($P445="","",IF(INDEX(EntryNotes,$P445)=0,"",INDEX(EntryNotes,$P445)))</f>
        <v/>
      </c>
      <c r="O445" s="26">
        <f>IF($P445="","",IF(INDEX(EntryTxnID,$P445)=0,"",INDEX(EntryTxnID,$P445)))</f>
        <v/>
      </c>
      <c r="P445" s="26">
        <f>IFERROR(MATCH($C$5&amp;"|"&amp;RIGHT("000000"&amp;429,6),CalcRankKey,0),"")</f>
        <v/>
      </c>
    </row>
    <row r="446">
      <c r="A446" s="28">
        <f>IF($B446="","",430)</f>
        <v/>
      </c>
      <c r="B446" s="28">
        <f>IF($P446="","",IF(INDEX(CalcNormDate,$P446)=0,"",INDEX(CalcNormDate,$P446)))</f>
        <v/>
      </c>
      <c r="C446" s="28">
        <f>IF($P446="","",IF(INDEX(CalcTime,$P446)=0,"",INDEX(CalcTime,$P446)))</f>
        <v/>
      </c>
      <c r="D446" s="28">
        <f>IF($P446="","",IF(INDEX(EntryParty,$P446)=0,"",INDEX(EntryParty,$P446)))</f>
        <v/>
      </c>
      <c r="E446" s="28">
        <f>IF($P446="","",IF(INDEX(EntryPartyName,$P446)=0,"",INDEX(EntryPartyName,$P446)))</f>
        <v/>
      </c>
      <c r="F446" s="28">
        <f>IF($P446="","",IF(INDEX(EntryPartyType,$P446)=0,"",INDEX(EntryPartyType,$P446)))</f>
        <v/>
      </c>
      <c r="G446" s="28">
        <f>IF($P446="","",IF(INDEX(EntryTxnType,$P446)=0,"",INDEX(EntryTxnType,$P446)))</f>
        <v/>
      </c>
      <c r="H446" s="29">
        <f>IF($P446="","",IF(INDEX(EntryDep,$P446)=0,"",INDEX(EntryDep,$P446)))</f>
        <v/>
      </c>
      <c r="I446" s="29">
        <f>IF($P446="","",IF(INDEX(EntryWit,$P446)=0,"",INDEX(EntryWit,$P446)))</f>
        <v/>
      </c>
      <c r="J446" s="29">
        <f>IF($B446="","",IF($A446=1,$C$7,IF(J445="",0,J445))+IF($H446="",0,$H446)-IF($I446="",0,$I446))</f>
        <v/>
      </c>
      <c r="K446" s="29">
        <f>IF($P446="","",IF(INDEX(EntryMan,$P446)=0,"",INDEX(EntryMan,$P446)))</f>
        <v/>
      </c>
      <c r="L446" s="28">
        <f>IF($B446="","",IF($K446="","—",IF(ROUND($K446-$J446,0)=0,"√","×")))</f>
        <v/>
      </c>
      <c r="M446" s="28">
        <f>IF($B446="","",IF(COUNTIFS(EntryDates,$B446,CalcTime,$C446,CalcBank,$C$5,EntryParty,$D446,EntryDep,$H446,EntryWit,$I446)&gt;1,"تکرار",""))</f>
        <v/>
      </c>
      <c r="N446" s="28">
        <f>IF($P446="","",IF(INDEX(EntryNotes,$P446)=0,"",INDEX(EntryNotes,$P446)))</f>
        <v/>
      </c>
      <c r="O446" s="28">
        <f>IF($P446="","",IF(INDEX(EntryTxnID,$P446)=0,"",INDEX(EntryTxnID,$P446)))</f>
        <v/>
      </c>
      <c r="P446" s="28">
        <f>IFERROR(MATCH($C$5&amp;"|"&amp;RIGHT("000000"&amp;430,6),CalcRankKey,0),"")</f>
        <v/>
      </c>
    </row>
    <row r="447">
      <c r="A447" s="26">
        <f>IF($B447="","",431)</f>
        <v/>
      </c>
      <c r="B447" s="26">
        <f>IF($P447="","",IF(INDEX(CalcNormDate,$P447)=0,"",INDEX(CalcNormDate,$P447)))</f>
        <v/>
      </c>
      <c r="C447" s="26">
        <f>IF($P447="","",IF(INDEX(CalcTime,$P447)=0,"",INDEX(CalcTime,$P447)))</f>
        <v/>
      </c>
      <c r="D447" s="26">
        <f>IF($P447="","",IF(INDEX(EntryParty,$P447)=0,"",INDEX(EntryParty,$P447)))</f>
        <v/>
      </c>
      <c r="E447" s="26">
        <f>IF($P447="","",IF(INDEX(EntryPartyName,$P447)=0,"",INDEX(EntryPartyName,$P447)))</f>
        <v/>
      </c>
      <c r="F447" s="26">
        <f>IF($P447="","",IF(INDEX(EntryPartyType,$P447)=0,"",INDEX(EntryPartyType,$P447)))</f>
        <v/>
      </c>
      <c r="G447" s="26">
        <f>IF($P447="","",IF(INDEX(EntryTxnType,$P447)=0,"",INDEX(EntryTxnType,$P447)))</f>
        <v/>
      </c>
      <c r="H447" s="27">
        <f>IF($P447="","",IF(INDEX(EntryDep,$P447)=0,"",INDEX(EntryDep,$P447)))</f>
        <v/>
      </c>
      <c r="I447" s="27">
        <f>IF($P447="","",IF(INDEX(EntryWit,$P447)=0,"",INDEX(EntryWit,$P447)))</f>
        <v/>
      </c>
      <c r="J447" s="27">
        <f>IF($B447="","",IF($A447=1,$C$7,IF(J446="",0,J446))+IF($H447="",0,$H447)-IF($I447="",0,$I447))</f>
        <v/>
      </c>
      <c r="K447" s="27">
        <f>IF($P447="","",IF(INDEX(EntryMan,$P447)=0,"",INDEX(EntryMan,$P447)))</f>
        <v/>
      </c>
      <c r="L447" s="26">
        <f>IF($B447="","",IF($K447="","—",IF(ROUND($K447-$J447,0)=0,"√","×")))</f>
        <v/>
      </c>
      <c r="M447" s="26">
        <f>IF($B447="","",IF(COUNTIFS(EntryDates,$B447,CalcTime,$C447,CalcBank,$C$5,EntryParty,$D447,EntryDep,$H447,EntryWit,$I447)&gt;1,"تکرار",""))</f>
        <v/>
      </c>
      <c r="N447" s="26">
        <f>IF($P447="","",IF(INDEX(EntryNotes,$P447)=0,"",INDEX(EntryNotes,$P447)))</f>
        <v/>
      </c>
      <c r="O447" s="26">
        <f>IF($P447="","",IF(INDEX(EntryTxnID,$P447)=0,"",INDEX(EntryTxnID,$P447)))</f>
        <v/>
      </c>
      <c r="P447" s="26">
        <f>IFERROR(MATCH($C$5&amp;"|"&amp;RIGHT("000000"&amp;431,6),CalcRankKey,0),"")</f>
        <v/>
      </c>
    </row>
    <row r="448">
      <c r="A448" s="28">
        <f>IF($B448="","",432)</f>
        <v/>
      </c>
      <c r="B448" s="28">
        <f>IF($P448="","",IF(INDEX(CalcNormDate,$P448)=0,"",INDEX(CalcNormDate,$P448)))</f>
        <v/>
      </c>
      <c r="C448" s="28">
        <f>IF($P448="","",IF(INDEX(CalcTime,$P448)=0,"",INDEX(CalcTime,$P448)))</f>
        <v/>
      </c>
      <c r="D448" s="28">
        <f>IF($P448="","",IF(INDEX(EntryParty,$P448)=0,"",INDEX(EntryParty,$P448)))</f>
        <v/>
      </c>
      <c r="E448" s="28">
        <f>IF($P448="","",IF(INDEX(EntryPartyName,$P448)=0,"",INDEX(EntryPartyName,$P448)))</f>
        <v/>
      </c>
      <c r="F448" s="28">
        <f>IF($P448="","",IF(INDEX(EntryPartyType,$P448)=0,"",INDEX(EntryPartyType,$P448)))</f>
        <v/>
      </c>
      <c r="G448" s="28">
        <f>IF($P448="","",IF(INDEX(EntryTxnType,$P448)=0,"",INDEX(EntryTxnType,$P448)))</f>
        <v/>
      </c>
      <c r="H448" s="29">
        <f>IF($P448="","",IF(INDEX(EntryDep,$P448)=0,"",INDEX(EntryDep,$P448)))</f>
        <v/>
      </c>
      <c r="I448" s="29">
        <f>IF($P448="","",IF(INDEX(EntryWit,$P448)=0,"",INDEX(EntryWit,$P448)))</f>
        <v/>
      </c>
      <c r="J448" s="29">
        <f>IF($B448="","",IF($A448=1,$C$7,IF(J447="",0,J447))+IF($H448="",0,$H448)-IF($I448="",0,$I448))</f>
        <v/>
      </c>
      <c r="K448" s="29">
        <f>IF($P448="","",IF(INDEX(EntryMan,$P448)=0,"",INDEX(EntryMan,$P448)))</f>
        <v/>
      </c>
      <c r="L448" s="28">
        <f>IF($B448="","",IF($K448="","—",IF(ROUND($K448-$J448,0)=0,"√","×")))</f>
        <v/>
      </c>
      <c r="M448" s="28">
        <f>IF($B448="","",IF(COUNTIFS(EntryDates,$B448,CalcTime,$C448,CalcBank,$C$5,EntryParty,$D448,EntryDep,$H448,EntryWit,$I448)&gt;1,"تکرار",""))</f>
        <v/>
      </c>
      <c r="N448" s="28">
        <f>IF($P448="","",IF(INDEX(EntryNotes,$P448)=0,"",INDEX(EntryNotes,$P448)))</f>
        <v/>
      </c>
      <c r="O448" s="28">
        <f>IF($P448="","",IF(INDEX(EntryTxnID,$P448)=0,"",INDEX(EntryTxnID,$P448)))</f>
        <v/>
      </c>
      <c r="P448" s="28">
        <f>IFERROR(MATCH($C$5&amp;"|"&amp;RIGHT("000000"&amp;432,6),CalcRankKey,0),"")</f>
        <v/>
      </c>
    </row>
    <row r="449">
      <c r="A449" s="26">
        <f>IF($B449="","",433)</f>
        <v/>
      </c>
      <c r="B449" s="26">
        <f>IF($P449="","",IF(INDEX(CalcNormDate,$P449)=0,"",INDEX(CalcNormDate,$P449)))</f>
        <v/>
      </c>
      <c r="C449" s="26">
        <f>IF($P449="","",IF(INDEX(CalcTime,$P449)=0,"",INDEX(CalcTime,$P449)))</f>
        <v/>
      </c>
      <c r="D449" s="26">
        <f>IF($P449="","",IF(INDEX(EntryParty,$P449)=0,"",INDEX(EntryParty,$P449)))</f>
        <v/>
      </c>
      <c r="E449" s="26">
        <f>IF($P449="","",IF(INDEX(EntryPartyName,$P449)=0,"",INDEX(EntryPartyName,$P449)))</f>
        <v/>
      </c>
      <c r="F449" s="26">
        <f>IF($P449="","",IF(INDEX(EntryPartyType,$P449)=0,"",INDEX(EntryPartyType,$P449)))</f>
        <v/>
      </c>
      <c r="G449" s="26">
        <f>IF($P449="","",IF(INDEX(EntryTxnType,$P449)=0,"",INDEX(EntryTxnType,$P449)))</f>
        <v/>
      </c>
      <c r="H449" s="27">
        <f>IF($P449="","",IF(INDEX(EntryDep,$P449)=0,"",INDEX(EntryDep,$P449)))</f>
        <v/>
      </c>
      <c r="I449" s="27">
        <f>IF($P449="","",IF(INDEX(EntryWit,$P449)=0,"",INDEX(EntryWit,$P449)))</f>
        <v/>
      </c>
      <c r="J449" s="27">
        <f>IF($B449="","",IF($A449=1,$C$7,IF(J448="",0,J448))+IF($H449="",0,$H449)-IF($I449="",0,$I449))</f>
        <v/>
      </c>
      <c r="K449" s="27">
        <f>IF($P449="","",IF(INDEX(EntryMan,$P449)=0,"",INDEX(EntryMan,$P449)))</f>
        <v/>
      </c>
      <c r="L449" s="26">
        <f>IF($B449="","",IF($K449="","—",IF(ROUND($K449-$J449,0)=0,"√","×")))</f>
        <v/>
      </c>
      <c r="M449" s="26">
        <f>IF($B449="","",IF(COUNTIFS(EntryDates,$B449,CalcTime,$C449,CalcBank,$C$5,EntryParty,$D449,EntryDep,$H449,EntryWit,$I449)&gt;1,"تکرار",""))</f>
        <v/>
      </c>
      <c r="N449" s="26">
        <f>IF($P449="","",IF(INDEX(EntryNotes,$P449)=0,"",INDEX(EntryNotes,$P449)))</f>
        <v/>
      </c>
      <c r="O449" s="26">
        <f>IF($P449="","",IF(INDEX(EntryTxnID,$P449)=0,"",INDEX(EntryTxnID,$P449)))</f>
        <v/>
      </c>
      <c r="P449" s="26">
        <f>IFERROR(MATCH($C$5&amp;"|"&amp;RIGHT("000000"&amp;433,6),CalcRankKey,0),"")</f>
        <v/>
      </c>
    </row>
    <row r="450">
      <c r="A450" s="28">
        <f>IF($B450="","",434)</f>
        <v/>
      </c>
      <c r="B450" s="28">
        <f>IF($P450="","",IF(INDEX(CalcNormDate,$P450)=0,"",INDEX(CalcNormDate,$P450)))</f>
        <v/>
      </c>
      <c r="C450" s="28">
        <f>IF($P450="","",IF(INDEX(CalcTime,$P450)=0,"",INDEX(CalcTime,$P450)))</f>
        <v/>
      </c>
      <c r="D450" s="28">
        <f>IF($P450="","",IF(INDEX(EntryParty,$P450)=0,"",INDEX(EntryParty,$P450)))</f>
        <v/>
      </c>
      <c r="E450" s="28">
        <f>IF($P450="","",IF(INDEX(EntryPartyName,$P450)=0,"",INDEX(EntryPartyName,$P450)))</f>
        <v/>
      </c>
      <c r="F450" s="28">
        <f>IF($P450="","",IF(INDEX(EntryPartyType,$P450)=0,"",INDEX(EntryPartyType,$P450)))</f>
        <v/>
      </c>
      <c r="G450" s="28">
        <f>IF($P450="","",IF(INDEX(EntryTxnType,$P450)=0,"",INDEX(EntryTxnType,$P450)))</f>
        <v/>
      </c>
      <c r="H450" s="29">
        <f>IF($P450="","",IF(INDEX(EntryDep,$P450)=0,"",INDEX(EntryDep,$P450)))</f>
        <v/>
      </c>
      <c r="I450" s="29">
        <f>IF($P450="","",IF(INDEX(EntryWit,$P450)=0,"",INDEX(EntryWit,$P450)))</f>
        <v/>
      </c>
      <c r="J450" s="29">
        <f>IF($B450="","",IF($A450=1,$C$7,IF(J449="",0,J449))+IF($H450="",0,$H450)-IF($I450="",0,$I450))</f>
        <v/>
      </c>
      <c r="K450" s="29">
        <f>IF($P450="","",IF(INDEX(EntryMan,$P450)=0,"",INDEX(EntryMan,$P450)))</f>
        <v/>
      </c>
      <c r="L450" s="28">
        <f>IF($B450="","",IF($K450="","—",IF(ROUND($K450-$J450,0)=0,"√","×")))</f>
        <v/>
      </c>
      <c r="M450" s="28">
        <f>IF($B450="","",IF(COUNTIFS(EntryDates,$B450,CalcTime,$C450,CalcBank,$C$5,EntryParty,$D450,EntryDep,$H450,EntryWit,$I450)&gt;1,"تکرار",""))</f>
        <v/>
      </c>
      <c r="N450" s="28">
        <f>IF($P450="","",IF(INDEX(EntryNotes,$P450)=0,"",INDEX(EntryNotes,$P450)))</f>
        <v/>
      </c>
      <c r="O450" s="28">
        <f>IF($P450="","",IF(INDEX(EntryTxnID,$P450)=0,"",INDEX(EntryTxnID,$P450)))</f>
        <v/>
      </c>
      <c r="P450" s="28">
        <f>IFERROR(MATCH($C$5&amp;"|"&amp;RIGHT("000000"&amp;434,6),CalcRankKey,0),"")</f>
        <v/>
      </c>
    </row>
    <row r="451">
      <c r="A451" s="26">
        <f>IF($B451="","",435)</f>
        <v/>
      </c>
      <c r="B451" s="26">
        <f>IF($P451="","",IF(INDEX(CalcNormDate,$P451)=0,"",INDEX(CalcNormDate,$P451)))</f>
        <v/>
      </c>
      <c r="C451" s="26">
        <f>IF($P451="","",IF(INDEX(CalcTime,$P451)=0,"",INDEX(CalcTime,$P451)))</f>
        <v/>
      </c>
      <c r="D451" s="26">
        <f>IF($P451="","",IF(INDEX(EntryParty,$P451)=0,"",INDEX(EntryParty,$P451)))</f>
        <v/>
      </c>
      <c r="E451" s="26">
        <f>IF($P451="","",IF(INDEX(EntryPartyName,$P451)=0,"",INDEX(EntryPartyName,$P451)))</f>
        <v/>
      </c>
      <c r="F451" s="26">
        <f>IF($P451="","",IF(INDEX(EntryPartyType,$P451)=0,"",INDEX(EntryPartyType,$P451)))</f>
        <v/>
      </c>
      <c r="G451" s="26">
        <f>IF($P451="","",IF(INDEX(EntryTxnType,$P451)=0,"",INDEX(EntryTxnType,$P451)))</f>
        <v/>
      </c>
      <c r="H451" s="27">
        <f>IF($P451="","",IF(INDEX(EntryDep,$P451)=0,"",INDEX(EntryDep,$P451)))</f>
        <v/>
      </c>
      <c r="I451" s="27">
        <f>IF($P451="","",IF(INDEX(EntryWit,$P451)=0,"",INDEX(EntryWit,$P451)))</f>
        <v/>
      </c>
      <c r="J451" s="27">
        <f>IF($B451="","",IF($A451=1,$C$7,IF(J450="",0,J450))+IF($H451="",0,$H451)-IF($I451="",0,$I451))</f>
        <v/>
      </c>
      <c r="K451" s="27">
        <f>IF($P451="","",IF(INDEX(EntryMan,$P451)=0,"",INDEX(EntryMan,$P451)))</f>
        <v/>
      </c>
      <c r="L451" s="26">
        <f>IF($B451="","",IF($K451="","—",IF(ROUND($K451-$J451,0)=0,"√","×")))</f>
        <v/>
      </c>
      <c r="M451" s="26">
        <f>IF($B451="","",IF(COUNTIFS(EntryDates,$B451,CalcTime,$C451,CalcBank,$C$5,EntryParty,$D451,EntryDep,$H451,EntryWit,$I451)&gt;1,"تکرار",""))</f>
        <v/>
      </c>
      <c r="N451" s="26">
        <f>IF($P451="","",IF(INDEX(EntryNotes,$P451)=0,"",INDEX(EntryNotes,$P451)))</f>
        <v/>
      </c>
      <c r="O451" s="26">
        <f>IF($P451="","",IF(INDEX(EntryTxnID,$P451)=0,"",INDEX(EntryTxnID,$P451)))</f>
        <v/>
      </c>
      <c r="P451" s="26">
        <f>IFERROR(MATCH($C$5&amp;"|"&amp;RIGHT("000000"&amp;435,6),CalcRankKey,0),"")</f>
        <v/>
      </c>
    </row>
    <row r="452">
      <c r="A452" s="28">
        <f>IF($B452="","",436)</f>
        <v/>
      </c>
      <c r="B452" s="28">
        <f>IF($P452="","",IF(INDEX(CalcNormDate,$P452)=0,"",INDEX(CalcNormDate,$P452)))</f>
        <v/>
      </c>
      <c r="C452" s="28">
        <f>IF($P452="","",IF(INDEX(CalcTime,$P452)=0,"",INDEX(CalcTime,$P452)))</f>
        <v/>
      </c>
      <c r="D452" s="28">
        <f>IF($P452="","",IF(INDEX(EntryParty,$P452)=0,"",INDEX(EntryParty,$P452)))</f>
        <v/>
      </c>
      <c r="E452" s="28">
        <f>IF($P452="","",IF(INDEX(EntryPartyName,$P452)=0,"",INDEX(EntryPartyName,$P452)))</f>
        <v/>
      </c>
      <c r="F452" s="28">
        <f>IF($P452="","",IF(INDEX(EntryPartyType,$P452)=0,"",INDEX(EntryPartyType,$P452)))</f>
        <v/>
      </c>
      <c r="G452" s="28">
        <f>IF($P452="","",IF(INDEX(EntryTxnType,$P452)=0,"",INDEX(EntryTxnType,$P452)))</f>
        <v/>
      </c>
      <c r="H452" s="29">
        <f>IF($P452="","",IF(INDEX(EntryDep,$P452)=0,"",INDEX(EntryDep,$P452)))</f>
        <v/>
      </c>
      <c r="I452" s="29">
        <f>IF($P452="","",IF(INDEX(EntryWit,$P452)=0,"",INDEX(EntryWit,$P452)))</f>
        <v/>
      </c>
      <c r="J452" s="29">
        <f>IF($B452="","",IF($A452=1,$C$7,IF(J451="",0,J451))+IF($H452="",0,$H452)-IF($I452="",0,$I452))</f>
        <v/>
      </c>
      <c r="K452" s="29">
        <f>IF($P452="","",IF(INDEX(EntryMan,$P452)=0,"",INDEX(EntryMan,$P452)))</f>
        <v/>
      </c>
      <c r="L452" s="28">
        <f>IF($B452="","",IF($K452="","—",IF(ROUND($K452-$J452,0)=0,"√","×")))</f>
        <v/>
      </c>
      <c r="M452" s="28">
        <f>IF($B452="","",IF(COUNTIFS(EntryDates,$B452,CalcTime,$C452,CalcBank,$C$5,EntryParty,$D452,EntryDep,$H452,EntryWit,$I452)&gt;1,"تکرار",""))</f>
        <v/>
      </c>
      <c r="N452" s="28">
        <f>IF($P452="","",IF(INDEX(EntryNotes,$P452)=0,"",INDEX(EntryNotes,$P452)))</f>
        <v/>
      </c>
      <c r="O452" s="28">
        <f>IF($P452="","",IF(INDEX(EntryTxnID,$P452)=0,"",INDEX(EntryTxnID,$P452)))</f>
        <v/>
      </c>
      <c r="P452" s="28">
        <f>IFERROR(MATCH($C$5&amp;"|"&amp;RIGHT("000000"&amp;436,6),CalcRankKey,0),"")</f>
        <v/>
      </c>
    </row>
    <row r="453">
      <c r="A453" s="26">
        <f>IF($B453="","",437)</f>
        <v/>
      </c>
      <c r="B453" s="26">
        <f>IF($P453="","",IF(INDEX(CalcNormDate,$P453)=0,"",INDEX(CalcNormDate,$P453)))</f>
        <v/>
      </c>
      <c r="C453" s="26">
        <f>IF($P453="","",IF(INDEX(CalcTime,$P453)=0,"",INDEX(CalcTime,$P453)))</f>
        <v/>
      </c>
      <c r="D453" s="26">
        <f>IF($P453="","",IF(INDEX(EntryParty,$P453)=0,"",INDEX(EntryParty,$P453)))</f>
        <v/>
      </c>
      <c r="E453" s="26">
        <f>IF($P453="","",IF(INDEX(EntryPartyName,$P453)=0,"",INDEX(EntryPartyName,$P453)))</f>
        <v/>
      </c>
      <c r="F453" s="26">
        <f>IF($P453="","",IF(INDEX(EntryPartyType,$P453)=0,"",INDEX(EntryPartyType,$P453)))</f>
        <v/>
      </c>
      <c r="G453" s="26">
        <f>IF($P453="","",IF(INDEX(EntryTxnType,$P453)=0,"",INDEX(EntryTxnType,$P453)))</f>
        <v/>
      </c>
      <c r="H453" s="27">
        <f>IF($P453="","",IF(INDEX(EntryDep,$P453)=0,"",INDEX(EntryDep,$P453)))</f>
        <v/>
      </c>
      <c r="I453" s="27">
        <f>IF($P453="","",IF(INDEX(EntryWit,$P453)=0,"",INDEX(EntryWit,$P453)))</f>
        <v/>
      </c>
      <c r="J453" s="27">
        <f>IF($B453="","",IF($A453=1,$C$7,IF(J452="",0,J452))+IF($H453="",0,$H453)-IF($I453="",0,$I453))</f>
        <v/>
      </c>
      <c r="K453" s="27">
        <f>IF($P453="","",IF(INDEX(EntryMan,$P453)=0,"",INDEX(EntryMan,$P453)))</f>
        <v/>
      </c>
      <c r="L453" s="26">
        <f>IF($B453="","",IF($K453="","—",IF(ROUND($K453-$J453,0)=0,"√","×")))</f>
        <v/>
      </c>
      <c r="M453" s="26">
        <f>IF($B453="","",IF(COUNTIFS(EntryDates,$B453,CalcTime,$C453,CalcBank,$C$5,EntryParty,$D453,EntryDep,$H453,EntryWit,$I453)&gt;1,"تکرار",""))</f>
        <v/>
      </c>
      <c r="N453" s="26">
        <f>IF($P453="","",IF(INDEX(EntryNotes,$P453)=0,"",INDEX(EntryNotes,$P453)))</f>
        <v/>
      </c>
      <c r="O453" s="26">
        <f>IF($P453="","",IF(INDEX(EntryTxnID,$P453)=0,"",INDEX(EntryTxnID,$P453)))</f>
        <v/>
      </c>
      <c r="P453" s="26">
        <f>IFERROR(MATCH($C$5&amp;"|"&amp;RIGHT("000000"&amp;437,6),CalcRankKey,0),"")</f>
        <v/>
      </c>
    </row>
    <row r="454">
      <c r="A454" s="28">
        <f>IF($B454="","",438)</f>
        <v/>
      </c>
      <c r="B454" s="28">
        <f>IF($P454="","",IF(INDEX(CalcNormDate,$P454)=0,"",INDEX(CalcNormDate,$P454)))</f>
        <v/>
      </c>
      <c r="C454" s="28">
        <f>IF($P454="","",IF(INDEX(CalcTime,$P454)=0,"",INDEX(CalcTime,$P454)))</f>
        <v/>
      </c>
      <c r="D454" s="28">
        <f>IF($P454="","",IF(INDEX(EntryParty,$P454)=0,"",INDEX(EntryParty,$P454)))</f>
        <v/>
      </c>
      <c r="E454" s="28">
        <f>IF($P454="","",IF(INDEX(EntryPartyName,$P454)=0,"",INDEX(EntryPartyName,$P454)))</f>
        <v/>
      </c>
      <c r="F454" s="28">
        <f>IF($P454="","",IF(INDEX(EntryPartyType,$P454)=0,"",INDEX(EntryPartyType,$P454)))</f>
        <v/>
      </c>
      <c r="G454" s="28">
        <f>IF($P454="","",IF(INDEX(EntryTxnType,$P454)=0,"",INDEX(EntryTxnType,$P454)))</f>
        <v/>
      </c>
      <c r="H454" s="29">
        <f>IF($P454="","",IF(INDEX(EntryDep,$P454)=0,"",INDEX(EntryDep,$P454)))</f>
        <v/>
      </c>
      <c r="I454" s="29">
        <f>IF($P454="","",IF(INDEX(EntryWit,$P454)=0,"",INDEX(EntryWit,$P454)))</f>
        <v/>
      </c>
      <c r="J454" s="29">
        <f>IF($B454="","",IF($A454=1,$C$7,IF(J453="",0,J453))+IF($H454="",0,$H454)-IF($I454="",0,$I454))</f>
        <v/>
      </c>
      <c r="K454" s="29">
        <f>IF($P454="","",IF(INDEX(EntryMan,$P454)=0,"",INDEX(EntryMan,$P454)))</f>
        <v/>
      </c>
      <c r="L454" s="28">
        <f>IF($B454="","",IF($K454="","—",IF(ROUND($K454-$J454,0)=0,"√","×")))</f>
        <v/>
      </c>
      <c r="M454" s="28">
        <f>IF($B454="","",IF(COUNTIFS(EntryDates,$B454,CalcTime,$C454,CalcBank,$C$5,EntryParty,$D454,EntryDep,$H454,EntryWit,$I454)&gt;1,"تکرار",""))</f>
        <v/>
      </c>
      <c r="N454" s="28">
        <f>IF($P454="","",IF(INDEX(EntryNotes,$P454)=0,"",INDEX(EntryNotes,$P454)))</f>
        <v/>
      </c>
      <c r="O454" s="28">
        <f>IF($P454="","",IF(INDEX(EntryTxnID,$P454)=0,"",INDEX(EntryTxnID,$P454)))</f>
        <v/>
      </c>
      <c r="P454" s="28">
        <f>IFERROR(MATCH($C$5&amp;"|"&amp;RIGHT("000000"&amp;438,6),CalcRankKey,0),"")</f>
        <v/>
      </c>
    </row>
    <row r="455">
      <c r="A455" s="26">
        <f>IF($B455="","",439)</f>
        <v/>
      </c>
      <c r="B455" s="26">
        <f>IF($P455="","",IF(INDEX(CalcNormDate,$P455)=0,"",INDEX(CalcNormDate,$P455)))</f>
        <v/>
      </c>
      <c r="C455" s="26">
        <f>IF($P455="","",IF(INDEX(CalcTime,$P455)=0,"",INDEX(CalcTime,$P455)))</f>
        <v/>
      </c>
      <c r="D455" s="26">
        <f>IF($P455="","",IF(INDEX(EntryParty,$P455)=0,"",INDEX(EntryParty,$P455)))</f>
        <v/>
      </c>
      <c r="E455" s="26">
        <f>IF($P455="","",IF(INDEX(EntryPartyName,$P455)=0,"",INDEX(EntryPartyName,$P455)))</f>
        <v/>
      </c>
      <c r="F455" s="26">
        <f>IF($P455="","",IF(INDEX(EntryPartyType,$P455)=0,"",INDEX(EntryPartyType,$P455)))</f>
        <v/>
      </c>
      <c r="G455" s="26">
        <f>IF($P455="","",IF(INDEX(EntryTxnType,$P455)=0,"",INDEX(EntryTxnType,$P455)))</f>
        <v/>
      </c>
      <c r="H455" s="27">
        <f>IF($P455="","",IF(INDEX(EntryDep,$P455)=0,"",INDEX(EntryDep,$P455)))</f>
        <v/>
      </c>
      <c r="I455" s="27">
        <f>IF($P455="","",IF(INDEX(EntryWit,$P455)=0,"",INDEX(EntryWit,$P455)))</f>
        <v/>
      </c>
      <c r="J455" s="27">
        <f>IF($B455="","",IF($A455=1,$C$7,IF(J454="",0,J454))+IF($H455="",0,$H455)-IF($I455="",0,$I455))</f>
        <v/>
      </c>
      <c r="K455" s="27">
        <f>IF($P455="","",IF(INDEX(EntryMan,$P455)=0,"",INDEX(EntryMan,$P455)))</f>
        <v/>
      </c>
      <c r="L455" s="26">
        <f>IF($B455="","",IF($K455="","—",IF(ROUND($K455-$J455,0)=0,"√","×")))</f>
        <v/>
      </c>
      <c r="M455" s="26">
        <f>IF($B455="","",IF(COUNTIFS(EntryDates,$B455,CalcTime,$C455,CalcBank,$C$5,EntryParty,$D455,EntryDep,$H455,EntryWit,$I455)&gt;1,"تکرار",""))</f>
        <v/>
      </c>
      <c r="N455" s="26">
        <f>IF($P455="","",IF(INDEX(EntryNotes,$P455)=0,"",INDEX(EntryNotes,$P455)))</f>
        <v/>
      </c>
      <c r="O455" s="26">
        <f>IF($P455="","",IF(INDEX(EntryTxnID,$P455)=0,"",INDEX(EntryTxnID,$P455)))</f>
        <v/>
      </c>
      <c r="P455" s="26">
        <f>IFERROR(MATCH($C$5&amp;"|"&amp;RIGHT("000000"&amp;439,6),CalcRankKey,0),"")</f>
        <v/>
      </c>
    </row>
    <row r="456">
      <c r="A456" s="28">
        <f>IF($B456="","",440)</f>
        <v/>
      </c>
      <c r="B456" s="28">
        <f>IF($P456="","",IF(INDEX(CalcNormDate,$P456)=0,"",INDEX(CalcNormDate,$P456)))</f>
        <v/>
      </c>
      <c r="C456" s="28">
        <f>IF($P456="","",IF(INDEX(CalcTime,$P456)=0,"",INDEX(CalcTime,$P456)))</f>
        <v/>
      </c>
      <c r="D456" s="28">
        <f>IF($P456="","",IF(INDEX(EntryParty,$P456)=0,"",INDEX(EntryParty,$P456)))</f>
        <v/>
      </c>
      <c r="E456" s="28">
        <f>IF($P456="","",IF(INDEX(EntryPartyName,$P456)=0,"",INDEX(EntryPartyName,$P456)))</f>
        <v/>
      </c>
      <c r="F456" s="28">
        <f>IF($P456="","",IF(INDEX(EntryPartyType,$P456)=0,"",INDEX(EntryPartyType,$P456)))</f>
        <v/>
      </c>
      <c r="G456" s="28">
        <f>IF($P456="","",IF(INDEX(EntryTxnType,$P456)=0,"",INDEX(EntryTxnType,$P456)))</f>
        <v/>
      </c>
      <c r="H456" s="29">
        <f>IF($P456="","",IF(INDEX(EntryDep,$P456)=0,"",INDEX(EntryDep,$P456)))</f>
        <v/>
      </c>
      <c r="I456" s="29">
        <f>IF($P456="","",IF(INDEX(EntryWit,$P456)=0,"",INDEX(EntryWit,$P456)))</f>
        <v/>
      </c>
      <c r="J456" s="29">
        <f>IF($B456="","",IF($A456=1,$C$7,IF(J455="",0,J455))+IF($H456="",0,$H456)-IF($I456="",0,$I456))</f>
        <v/>
      </c>
      <c r="K456" s="29">
        <f>IF($P456="","",IF(INDEX(EntryMan,$P456)=0,"",INDEX(EntryMan,$P456)))</f>
        <v/>
      </c>
      <c r="L456" s="28">
        <f>IF($B456="","",IF($K456="","—",IF(ROUND($K456-$J456,0)=0,"√","×")))</f>
        <v/>
      </c>
      <c r="M456" s="28">
        <f>IF($B456="","",IF(COUNTIFS(EntryDates,$B456,CalcTime,$C456,CalcBank,$C$5,EntryParty,$D456,EntryDep,$H456,EntryWit,$I456)&gt;1,"تکرار",""))</f>
        <v/>
      </c>
      <c r="N456" s="28">
        <f>IF($P456="","",IF(INDEX(EntryNotes,$P456)=0,"",INDEX(EntryNotes,$P456)))</f>
        <v/>
      </c>
      <c r="O456" s="28">
        <f>IF($P456="","",IF(INDEX(EntryTxnID,$P456)=0,"",INDEX(EntryTxnID,$P456)))</f>
        <v/>
      </c>
      <c r="P456" s="28">
        <f>IFERROR(MATCH($C$5&amp;"|"&amp;RIGHT("000000"&amp;440,6),CalcRankKey,0),"")</f>
        <v/>
      </c>
    </row>
    <row r="457">
      <c r="A457" s="26">
        <f>IF($B457="","",441)</f>
        <v/>
      </c>
      <c r="B457" s="26">
        <f>IF($P457="","",IF(INDEX(CalcNormDate,$P457)=0,"",INDEX(CalcNormDate,$P457)))</f>
        <v/>
      </c>
      <c r="C457" s="26">
        <f>IF($P457="","",IF(INDEX(CalcTime,$P457)=0,"",INDEX(CalcTime,$P457)))</f>
        <v/>
      </c>
      <c r="D457" s="26">
        <f>IF($P457="","",IF(INDEX(EntryParty,$P457)=0,"",INDEX(EntryParty,$P457)))</f>
        <v/>
      </c>
      <c r="E457" s="26">
        <f>IF($P457="","",IF(INDEX(EntryPartyName,$P457)=0,"",INDEX(EntryPartyName,$P457)))</f>
        <v/>
      </c>
      <c r="F457" s="26">
        <f>IF($P457="","",IF(INDEX(EntryPartyType,$P457)=0,"",INDEX(EntryPartyType,$P457)))</f>
        <v/>
      </c>
      <c r="G457" s="26">
        <f>IF($P457="","",IF(INDEX(EntryTxnType,$P457)=0,"",INDEX(EntryTxnType,$P457)))</f>
        <v/>
      </c>
      <c r="H457" s="27">
        <f>IF($P457="","",IF(INDEX(EntryDep,$P457)=0,"",INDEX(EntryDep,$P457)))</f>
        <v/>
      </c>
      <c r="I457" s="27">
        <f>IF($P457="","",IF(INDEX(EntryWit,$P457)=0,"",INDEX(EntryWit,$P457)))</f>
        <v/>
      </c>
      <c r="J457" s="27">
        <f>IF($B457="","",IF($A457=1,$C$7,IF(J456="",0,J456))+IF($H457="",0,$H457)-IF($I457="",0,$I457))</f>
        <v/>
      </c>
      <c r="K457" s="27">
        <f>IF($P457="","",IF(INDEX(EntryMan,$P457)=0,"",INDEX(EntryMan,$P457)))</f>
        <v/>
      </c>
      <c r="L457" s="26">
        <f>IF($B457="","",IF($K457="","—",IF(ROUND($K457-$J457,0)=0,"√","×")))</f>
        <v/>
      </c>
      <c r="M457" s="26">
        <f>IF($B457="","",IF(COUNTIFS(EntryDates,$B457,CalcTime,$C457,CalcBank,$C$5,EntryParty,$D457,EntryDep,$H457,EntryWit,$I457)&gt;1,"تکرار",""))</f>
        <v/>
      </c>
      <c r="N457" s="26">
        <f>IF($P457="","",IF(INDEX(EntryNotes,$P457)=0,"",INDEX(EntryNotes,$P457)))</f>
        <v/>
      </c>
      <c r="O457" s="26">
        <f>IF($P457="","",IF(INDEX(EntryTxnID,$P457)=0,"",INDEX(EntryTxnID,$P457)))</f>
        <v/>
      </c>
      <c r="P457" s="26">
        <f>IFERROR(MATCH($C$5&amp;"|"&amp;RIGHT("000000"&amp;441,6),CalcRankKey,0),"")</f>
        <v/>
      </c>
    </row>
    <row r="458">
      <c r="A458" s="28">
        <f>IF($B458="","",442)</f>
        <v/>
      </c>
      <c r="B458" s="28">
        <f>IF($P458="","",IF(INDEX(CalcNormDate,$P458)=0,"",INDEX(CalcNormDate,$P458)))</f>
        <v/>
      </c>
      <c r="C458" s="28">
        <f>IF($P458="","",IF(INDEX(CalcTime,$P458)=0,"",INDEX(CalcTime,$P458)))</f>
        <v/>
      </c>
      <c r="D458" s="28">
        <f>IF($P458="","",IF(INDEX(EntryParty,$P458)=0,"",INDEX(EntryParty,$P458)))</f>
        <v/>
      </c>
      <c r="E458" s="28">
        <f>IF($P458="","",IF(INDEX(EntryPartyName,$P458)=0,"",INDEX(EntryPartyName,$P458)))</f>
        <v/>
      </c>
      <c r="F458" s="28">
        <f>IF($P458="","",IF(INDEX(EntryPartyType,$P458)=0,"",INDEX(EntryPartyType,$P458)))</f>
        <v/>
      </c>
      <c r="G458" s="28">
        <f>IF($P458="","",IF(INDEX(EntryTxnType,$P458)=0,"",INDEX(EntryTxnType,$P458)))</f>
        <v/>
      </c>
      <c r="H458" s="29">
        <f>IF($P458="","",IF(INDEX(EntryDep,$P458)=0,"",INDEX(EntryDep,$P458)))</f>
        <v/>
      </c>
      <c r="I458" s="29">
        <f>IF($P458="","",IF(INDEX(EntryWit,$P458)=0,"",INDEX(EntryWit,$P458)))</f>
        <v/>
      </c>
      <c r="J458" s="29">
        <f>IF($B458="","",IF($A458=1,$C$7,IF(J457="",0,J457))+IF($H458="",0,$H458)-IF($I458="",0,$I458))</f>
        <v/>
      </c>
      <c r="K458" s="29">
        <f>IF($P458="","",IF(INDEX(EntryMan,$P458)=0,"",INDEX(EntryMan,$P458)))</f>
        <v/>
      </c>
      <c r="L458" s="28">
        <f>IF($B458="","",IF($K458="","—",IF(ROUND($K458-$J458,0)=0,"√","×")))</f>
        <v/>
      </c>
      <c r="M458" s="28">
        <f>IF($B458="","",IF(COUNTIFS(EntryDates,$B458,CalcTime,$C458,CalcBank,$C$5,EntryParty,$D458,EntryDep,$H458,EntryWit,$I458)&gt;1,"تکرار",""))</f>
        <v/>
      </c>
      <c r="N458" s="28">
        <f>IF($P458="","",IF(INDEX(EntryNotes,$P458)=0,"",INDEX(EntryNotes,$P458)))</f>
        <v/>
      </c>
      <c r="O458" s="28">
        <f>IF($P458="","",IF(INDEX(EntryTxnID,$P458)=0,"",INDEX(EntryTxnID,$P458)))</f>
        <v/>
      </c>
      <c r="P458" s="28">
        <f>IFERROR(MATCH($C$5&amp;"|"&amp;RIGHT("000000"&amp;442,6),CalcRankKey,0),"")</f>
        <v/>
      </c>
    </row>
    <row r="459">
      <c r="A459" s="26">
        <f>IF($B459="","",443)</f>
        <v/>
      </c>
      <c r="B459" s="26">
        <f>IF($P459="","",IF(INDEX(CalcNormDate,$P459)=0,"",INDEX(CalcNormDate,$P459)))</f>
        <v/>
      </c>
      <c r="C459" s="26">
        <f>IF($P459="","",IF(INDEX(CalcTime,$P459)=0,"",INDEX(CalcTime,$P459)))</f>
        <v/>
      </c>
      <c r="D459" s="26">
        <f>IF($P459="","",IF(INDEX(EntryParty,$P459)=0,"",INDEX(EntryParty,$P459)))</f>
        <v/>
      </c>
      <c r="E459" s="26">
        <f>IF($P459="","",IF(INDEX(EntryPartyName,$P459)=0,"",INDEX(EntryPartyName,$P459)))</f>
        <v/>
      </c>
      <c r="F459" s="26">
        <f>IF($P459="","",IF(INDEX(EntryPartyType,$P459)=0,"",INDEX(EntryPartyType,$P459)))</f>
        <v/>
      </c>
      <c r="G459" s="26">
        <f>IF($P459="","",IF(INDEX(EntryTxnType,$P459)=0,"",INDEX(EntryTxnType,$P459)))</f>
        <v/>
      </c>
      <c r="H459" s="27">
        <f>IF($P459="","",IF(INDEX(EntryDep,$P459)=0,"",INDEX(EntryDep,$P459)))</f>
        <v/>
      </c>
      <c r="I459" s="27">
        <f>IF($P459="","",IF(INDEX(EntryWit,$P459)=0,"",INDEX(EntryWit,$P459)))</f>
        <v/>
      </c>
      <c r="J459" s="27">
        <f>IF($B459="","",IF($A459=1,$C$7,IF(J458="",0,J458))+IF($H459="",0,$H459)-IF($I459="",0,$I459))</f>
        <v/>
      </c>
      <c r="K459" s="27">
        <f>IF($P459="","",IF(INDEX(EntryMan,$P459)=0,"",INDEX(EntryMan,$P459)))</f>
        <v/>
      </c>
      <c r="L459" s="26">
        <f>IF($B459="","",IF($K459="","—",IF(ROUND($K459-$J459,0)=0,"√","×")))</f>
        <v/>
      </c>
      <c r="M459" s="26">
        <f>IF($B459="","",IF(COUNTIFS(EntryDates,$B459,CalcTime,$C459,CalcBank,$C$5,EntryParty,$D459,EntryDep,$H459,EntryWit,$I459)&gt;1,"تکرار",""))</f>
        <v/>
      </c>
      <c r="N459" s="26">
        <f>IF($P459="","",IF(INDEX(EntryNotes,$P459)=0,"",INDEX(EntryNotes,$P459)))</f>
        <v/>
      </c>
      <c r="O459" s="26">
        <f>IF($P459="","",IF(INDEX(EntryTxnID,$P459)=0,"",INDEX(EntryTxnID,$P459)))</f>
        <v/>
      </c>
      <c r="P459" s="26">
        <f>IFERROR(MATCH($C$5&amp;"|"&amp;RIGHT("000000"&amp;443,6),CalcRankKey,0),"")</f>
        <v/>
      </c>
    </row>
    <row r="460">
      <c r="A460" s="28">
        <f>IF($B460="","",444)</f>
        <v/>
      </c>
      <c r="B460" s="28">
        <f>IF($P460="","",IF(INDEX(CalcNormDate,$P460)=0,"",INDEX(CalcNormDate,$P460)))</f>
        <v/>
      </c>
      <c r="C460" s="28">
        <f>IF($P460="","",IF(INDEX(CalcTime,$P460)=0,"",INDEX(CalcTime,$P460)))</f>
        <v/>
      </c>
      <c r="D460" s="28">
        <f>IF($P460="","",IF(INDEX(EntryParty,$P460)=0,"",INDEX(EntryParty,$P460)))</f>
        <v/>
      </c>
      <c r="E460" s="28">
        <f>IF($P460="","",IF(INDEX(EntryPartyName,$P460)=0,"",INDEX(EntryPartyName,$P460)))</f>
        <v/>
      </c>
      <c r="F460" s="28">
        <f>IF($P460="","",IF(INDEX(EntryPartyType,$P460)=0,"",INDEX(EntryPartyType,$P460)))</f>
        <v/>
      </c>
      <c r="G460" s="28">
        <f>IF($P460="","",IF(INDEX(EntryTxnType,$P460)=0,"",INDEX(EntryTxnType,$P460)))</f>
        <v/>
      </c>
      <c r="H460" s="29">
        <f>IF($P460="","",IF(INDEX(EntryDep,$P460)=0,"",INDEX(EntryDep,$P460)))</f>
        <v/>
      </c>
      <c r="I460" s="29">
        <f>IF($P460="","",IF(INDEX(EntryWit,$P460)=0,"",INDEX(EntryWit,$P460)))</f>
        <v/>
      </c>
      <c r="J460" s="29">
        <f>IF($B460="","",IF($A460=1,$C$7,IF(J459="",0,J459))+IF($H460="",0,$H460)-IF($I460="",0,$I460))</f>
        <v/>
      </c>
      <c r="K460" s="29">
        <f>IF($P460="","",IF(INDEX(EntryMan,$P460)=0,"",INDEX(EntryMan,$P460)))</f>
        <v/>
      </c>
      <c r="L460" s="28">
        <f>IF($B460="","",IF($K460="","—",IF(ROUND($K460-$J460,0)=0,"√","×")))</f>
        <v/>
      </c>
      <c r="M460" s="28">
        <f>IF($B460="","",IF(COUNTIFS(EntryDates,$B460,CalcTime,$C460,CalcBank,$C$5,EntryParty,$D460,EntryDep,$H460,EntryWit,$I460)&gt;1,"تکرار",""))</f>
        <v/>
      </c>
      <c r="N460" s="28">
        <f>IF($P460="","",IF(INDEX(EntryNotes,$P460)=0,"",INDEX(EntryNotes,$P460)))</f>
        <v/>
      </c>
      <c r="O460" s="28">
        <f>IF($P460="","",IF(INDEX(EntryTxnID,$P460)=0,"",INDEX(EntryTxnID,$P460)))</f>
        <v/>
      </c>
      <c r="P460" s="28">
        <f>IFERROR(MATCH($C$5&amp;"|"&amp;RIGHT("000000"&amp;444,6),CalcRankKey,0),"")</f>
        <v/>
      </c>
    </row>
    <row r="461">
      <c r="A461" s="26">
        <f>IF($B461="","",445)</f>
        <v/>
      </c>
      <c r="B461" s="26">
        <f>IF($P461="","",IF(INDEX(CalcNormDate,$P461)=0,"",INDEX(CalcNormDate,$P461)))</f>
        <v/>
      </c>
      <c r="C461" s="26">
        <f>IF($P461="","",IF(INDEX(CalcTime,$P461)=0,"",INDEX(CalcTime,$P461)))</f>
        <v/>
      </c>
      <c r="D461" s="26">
        <f>IF($P461="","",IF(INDEX(EntryParty,$P461)=0,"",INDEX(EntryParty,$P461)))</f>
        <v/>
      </c>
      <c r="E461" s="26">
        <f>IF($P461="","",IF(INDEX(EntryPartyName,$P461)=0,"",INDEX(EntryPartyName,$P461)))</f>
        <v/>
      </c>
      <c r="F461" s="26">
        <f>IF($P461="","",IF(INDEX(EntryPartyType,$P461)=0,"",INDEX(EntryPartyType,$P461)))</f>
        <v/>
      </c>
      <c r="G461" s="26">
        <f>IF($P461="","",IF(INDEX(EntryTxnType,$P461)=0,"",INDEX(EntryTxnType,$P461)))</f>
        <v/>
      </c>
      <c r="H461" s="27">
        <f>IF($P461="","",IF(INDEX(EntryDep,$P461)=0,"",INDEX(EntryDep,$P461)))</f>
        <v/>
      </c>
      <c r="I461" s="27">
        <f>IF($P461="","",IF(INDEX(EntryWit,$P461)=0,"",INDEX(EntryWit,$P461)))</f>
        <v/>
      </c>
      <c r="J461" s="27">
        <f>IF($B461="","",IF($A461=1,$C$7,IF(J460="",0,J460))+IF($H461="",0,$H461)-IF($I461="",0,$I461))</f>
        <v/>
      </c>
      <c r="K461" s="27">
        <f>IF($P461="","",IF(INDEX(EntryMan,$P461)=0,"",INDEX(EntryMan,$P461)))</f>
        <v/>
      </c>
      <c r="L461" s="26">
        <f>IF($B461="","",IF($K461="","—",IF(ROUND($K461-$J461,0)=0,"√","×")))</f>
        <v/>
      </c>
      <c r="M461" s="26">
        <f>IF($B461="","",IF(COUNTIFS(EntryDates,$B461,CalcTime,$C461,CalcBank,$C$5,EntryParty,$D461,EntryDep,$H461,EntryWit,$I461)&gt;1,"تکرار",""))</f>
        <v/>
      </c>
      <c r="N461" s="26">
        <f>IF($P461="","",IF(INDEX(EntryNotes,$P461)=0,"",INDEX(EntryNotes,$P461)))</f>
        <v/>
      </c>
      <c r="O461" s="26">
        <f>IF($P461="","",IF(INDEX(EntryTxnID,$P461)=0,"",INDEX(EntryTxnID,$P461)))</f>
        <v/>
      </c>
      <c r="P461" s="26">
        <f>IFERROR(MATCH($C$5&amp;"|"&amp;RIGHT("000000"&amp;445,6),CalcRankKey,0),"")</f>
        <v/>
      </c>
    </row>
    <row r="462">
      <c r="A462" s="28">
        <f>IF($B462="","",446)</f>
        <v/>
      </c>
      <c r="B462" s="28">
        <f>IF($P462="","",IF(INDEX(CalcNormDate,$P462)=0,"",INDEX(CalcNormDate,$P462)))</f>
        <v/>
      </c>
      <c r="C462" s="28">
        <f>IF($P462="","",IF(INDEX(CalcTime,$P462)=0,"",INDEX(CalcTime,$P462)))</f>
        <v/>
      </c>
      <c r="D462" s="28">
        <f>IF($P462="","",IF(INDEX(EntryParty,$P462)=0,"",INDEX(EntryParty,$P462)))</f>
        <v/>
      </c>
      <c r="E462" s="28">
        <f>IF($P462="","",IF(INDEX(EntryPartyName,$P462)=0,"",INDEX(EntryPartyName,$P462)))</f>
        <v/>
      </c>
      <c r="F462" s="28">
        <f>IF($P462="","",IF(INDEX(EntryPartyType,$P462)=0,"",INDEX(EntryPartyType,$P462)))</f>
        <v/>
      </c>
      <c r="G462" s="28">
        <f>IF($P462="","",IF(INDEX(EntryTxnType,$P462)=0,"",INDEX(EntryTxnType,$P462)))</f>
        <v/>
      </c>
      <c r="H462" s="29">
        <f>IF($P462="","",IF(INDEX(EntryDep,$P462)=0,"",INDEX(EntryDep,$P462)))</f>
        <v/>
      </c>
      <c r="I462" s="29">
        <f>IF($P462="","",IF(INDEX(EntryWit,$P462)=0,"",INDEX(EntryWit,$P462)))</f>
        <v/>
      </c>
      <c r="J462" s="29">
        <f>IF($B462="","",IF($A462=1,$C$7,IF(J461="",0,J461))+IF($H462="",0,$H462)-IF($I462="",0,$I462))</f>
        <v/>
      </c>
      <c r="K462" s="29">
        <f>IF($P462="","",IF(INDEX(EntryMan,$P462)=0,"",INDEX(EntryMan,$P462)))</f>
        <v/>
      </c>
      <c r="L462" s="28">
        <f>IF($B462="","",IF($K462="","—",IF(ROUND($K462-$J462,0)=0,"√","×")))</f>
        <v/>
      </c>
      <c r="M462" s="28">
        <f>IF($B462="","",IF(COUNTIFS(EntryDates,$B462,CalcTime,$C462,CalcBank,$C$5,EntryParty,$D462,EntryDep,$H462,EntryWit,$I462)&gt;1,"تکرار",""))</f>
        <v/>
      </c>
      <c r="N462" s="28">
        <f>IF($P462="","",IF(INDEX(EntryNotes,$P462)=0,"",INDEX(EntryNotes,$P462)))</f>
        <v/>
      </c>
      <c r="O462" s="28">
        <f>IF($P462="","",IF(INDEX(EntryTxnID,$P462)=0,"",INDEX(EntryTxnID,$P462)))</f>
        <v/>
      </c>
      <c r="P462" s="28">
        <f>IFERROR(MATCH($C$5&amp;"|"&amp;RIGHT("000000"&amp;446,6),CalcRankKey,0),"")</f>
        <v/>
      </c>
    </row>
    <row r="463">
      <c r="A463" s="26">
        <f>IF($B463="","",447)</f>
        <v/>
      </c>
      <c r="B463" s="26">
        <f>IF($P463="","",IF(INDEX(CalcNormDate,$P463)=0,"",INDEX(CalcNormDate,$P463)))</f>
        <v/>
      </c>
      <c r="C463" s="26">
        <f>IF($P463="","",IF(INDEX(CalcTime,$P463)=0,"",INDEX(CalcTime,$P463)))</f>
        <v/>
      </c>
      <c r="D463" s="26">
        <f>IF($P463="","",IF(INDEX(EntryParty,$P463)=0,"",INDEX(EntryParty,$P463)))</f>
        <v/>
      </c>
      <c r="E463" s="26">
        <f>IF($P463="","",IF(INDEX(EntryPartyName,$P463)=0,"",INDEX(EntryPartyName,$P463)))</f>
        <v/>
      </c>
      <c r="F463" s="26">
        <f>IF($P463="","",IF(INDEX(EntryPartyType,$P463)=0,"",INDEX(EntryPartyType,$P463)))</f>
        <v/>
      </c>
      <c r="G463" s="26">
        <f>IF($P463="","",IF(INDEX(EntryTxnType,$P463)=0,"",INDEX(EntryTxnType,$P463)))</f>
        <v/>
      </c>
      <c r="H463" s="27">
        <f>IF($P463="","",IF(INDEX(EntryDep,$P463)=0,"",INDEX(EntryDep,$P463)))</f>
        <v/>
      </c>
      <c r="I463" s="27">
        <f>IF($P463="","",IF(INDEX(EntryWit,$P463)=0,"",INDEX(EntryWit,$P463)))</f>
        <v/>
      </c>
      <c r="J463" s="27">
        <f>IF($B463="","",IF($A463=1,$C$7,IF(J462="",0,J462))+IF($H463="",0,$H463)-IF($I463="",0,$I463))</f>
        <v/>
      </c>
      <c r="K463" s="27">
        <f>IF($P463="","",IF(INDEX(EntryMan,$P463)=0,"",INDEX(EntryMan,$P463)))</f>
        <v/>
      </c>
      <c r="L463" s="26">
        <f>IF($B463="","",IF($K463="","—",IF(ROUND($K463-$J463,0)=0,"√","×")))</f>
        <v/>
      </c>
      <c r="M463" s="26">
        <f>IF($B463="","",IF(COUNTIFS(EntryDates,$B463,CalcTime,$C463,CalcBank,$C$5,EntryParty,$D463,EntryDep,$H463,EntryWit,$I463)&gt;1,"تکرار",""))</f>
        <v/>
      </c>
      <c r="N463" s="26">
        <f>IF($P463="","",IF(INDEX(EntryNotes,$P463)=0,"",INDEX(EntryNotes,$P463)))</f>
        <v/>
      </c>
      <c r="O463" s="26">
        <f>IF($P463="","",IF(INDEX(EntryTxnID,$P463)=0,"",INDEX(EntryTxnID,$P463)))</f>
        <v/>
      </c>
      <c r="P463" s="26">
        <f>IFERROR(MATCH($C$5&amp;"|"&amp;RIGHT("000000"&amp;447,6),CalcRankKey,0),"")</f>
        <v/>
      </c>
    </row>
    <row r="464">
      <c r="A464" s="28">
        <f>IF($B464="","",448)</f>
        <v/>
      </c>
      <c r="B464" s="28">
        <f>IF($P464="","",IF(INDEX(CalcNormDate,$P464)=0,"",INDEX(CalcNormDate,$P464)))</f>
        <v/>
      </c>
      <c r="C464" s="28">
        <f>IF($P464="","",IF(INDEX(CalcTime,$P464)=0,"",INDEX(CalcTime,$P464)))</f>
        <v/>
      </c>
      <c r="D464" s="28">
        <f>IF($P464="","",IF(INDEX(EntryParty,$P464)=0,"",INDEX(EntryParty,$P464)))</f>
        <v/>
      </c>
      <c r="E464" s="28">
        <f>IF($P464="","",IF(INDEX(EntryPartyName,$P464)=0,"",INDEX(EntryPartyName,$P464)))</f>
        <v/>
      </c>
      <c r="F464" s="28">
        <f>IF($P464="","",IF(INDEX(EntryPartyType,$P464)=0,"",INDEX(EntryPartyType,$P464)))</f>
        <v/>
      </c>
      <c r="G464" s="28">
        <f>IF($P464="","",IF(INDEX(EntryTxnType,$P464)=0,"",INDEX(EntryTxnType,$P464)))</f>
        <v/>
      </c>
      <c r="H464" s="29">
        <f>IF($P464="","",IF(INDEX(EntryDep,$P464)=0,"",INDEX(EntryDep,$P464)))</f>
        <v/>
      </c>
      <c r="I464" s="29">
        <f>IF($P464="","",IF(INDEX(EntryWit,$P464)=0,"",INDEX(EntryWit,$P464)))</f>
        <v/>
      </c>
      <c r="J464" s="29">
        <f>IF($B464="","",IF($A464=1,$C$7,IF(J463="",0,J463))+IF($H464="",0,$H464)-IF($I464="",0,$I464))</f>
        <v/>
      </c>
      <c r="K464" s="29">
        <f>IF($P464="","",IF(INDEX(EntryMan,$P464)=0,"",INDEX(EntryMan,$P464)))</f>
        <v/>
      </c>
      <c r="L464" s="28">
        <f>IF($B464="","",IF($K464="","—",IF(ROUND($K464-$J464,0)=0,"√","×")))</f>
        <v/>
      </c>
      <c r="M464" s="28">
        <f>IF($B464="","",IF(COUNTIFS(EntryDates,$B464,CalcTime,$C464,CalcBank,$C$5,EntryParty,$D464,EntryDep,$H464,EntryWit,$I464)&gt;1,"تکرار",""))</f>
        <v/>
      </c>
      <c r="N464" s="28">
        <f>IF($P464="","",IF(INDEX(EntryNotes,$P464)=0,"",INDEX(EntryNotes,$P464)))</f>
        <v/>
      </c>
      <c r="O464" s="28">
        <f>IF($P464="","",IF(INDEX(EntryTxnID,$P464)=0,"",INDEX(EntryTxnID,$P464)))</f>
        <v/>
      </c>
      <c r="P464" s="28">
        <f>IFERROR(MATCH($C$5&amp;"|"&amp;RIGHT("000000"&amp;448,6),CalcRankKey,0),"")</f>
        <v/>
      </c>
    </row>
    <row r="465">
      <c r="A465" s="26">
        <f>IF($B465="","",449)</f>
        <v/>
      </c>
      <c r="B465" s="26">
        <f>IF($P465="","",IF(INDEX(CalcNormDate,$P465)=0,"",INDEX(CalcNormDate,$P465)))</f>
        <v/>
      </c>
      <c r="C465" s="26">
        <f>IF($P465="","",IF(INDEX(CalcTime,$P465)=0,"",INDEX(CalcTime,$P465)))</f>
        <v/>
      </c>
      <c r="D465" s="26">
        <f>IF($P465="","",IF(INDEX(EntryParty,$P465)=0,"",INDEX(EntryParty,$P465)))</f>
        <v/>
      </c>
      <c r="E465" s="26">
        <f>IF($P465="","",IF(INDEX(EntryPartyName,$P465)=0,"",INDEX(EntryPartyName,$P465)))</f>
        <v/>
      </c>
      <c r="F465" s="26">
        <f>IF($P465="","",IF(INDEX(EntryPartyType,$P465)=0,"",INDEX(EntryPartyType,$P465)))</f>
        <v/>
      </c>
      <c r="G465" s="26">
        <f>IF($P465="","",IF(INDEX(EntryTxnType,$P465)=0,"",INDEX(EntryTxnType,$P465)))</f>
        <v/>
      </c>
      <c r="H465" s="27">
        <f>IF($P465="","",IF(INDEX(EntryDep,$P465)=0,"",INDEX(EntryDep,$P465)))</f>
        <v/>
      </c>
      <c r="I465" s="27">
        <f>IF($P465="","",IF(INDEX(EntryWit,$P465)=0,"",INDEX(EntryWit,$P465)))</f>
        <v/>
      </c>
      <c r="J465" s="27">
        <f>IF($B465="","",IF($A465=1,$C$7,IF(J464="",0,J464))+IF($H465="",0,$H465)-IF($I465="",0,$I465))</f>
        <v/>
      </c>
      <c r="K465" s="27">
        <f>IF($P465="","",IF(INDEX(EntryMan,$P465)=0,"",INDEX(EntryMan,$P465)))</f>
        <v/>
      </c>
      <c r="L465" s="26">
        <f>IF($B465="","",IF($K465="","—",IF(ROUND($K465-$J465,0)=0,"√","×")))</f>
        <v/>
      </c>
      <c r="M465" s="26">
        <f>IF($B465="","",IF(COUNTIFS(EntryDates,$B465,CalcTime,$C465,CalcBank,$C$5,EntryParty,$D465,EntryDep,$H465,EntryWit,$I465)&gt;1,"تکرار",""))</f>
        <v/>
      </c>
      <c r="N465" s="26">
        <f>IF($P465="","",IF(INDEX(EntryNotes,$P465)=0,"",INDEX(EntryNotes,$P465)))</f>
        <v/>
      </c>
      <c r="O465" s="26">
        <f>IF($P465="","",IF(INDEX(EntryTxnID,$P465)=0,"",INDEX(EntryTxnID,$P465)))</f>
        <v/>
      </c>
      <c r="P465" s="26">
        <f>IFERROR(MATCH($C$5&amp;"|"&amp;RIGHT("000000"&amp;449,6),CalcRankKey,0),"")</f>
        <v/>
      </c>
    </row>
    <row r="466">
      <c r="A466" s="28">
        <f>IF($B466="","",450)</f>
        <v/>
      </c>
      <c r="B466" s="28">
        <f>IF($P466="","",IF(INDEX(CalcNormDate,$P466)=0,"",INDEX(CalcNormDate,$P466)))</f>
        <v/>
      </c>
      <c r="C466" s="28">
        <f>IF($P466="","",IF(INDEX(CalcTime,$P466)=0,"",INDEX(CalcTime,$P466)))</f>
        <v/>
      </c>
      <c r="D466" s="28">
        <f>IF($P466="","",IF(INDEX(EntryParty,$P466)=0,"",INDEX(EntryParty,$P466)))</f>
        <v/>
      </c>
      <c r="E466" s="28">
        <f>IF($P466="","",IF(INDEX(EntryPartyName,$P466)=0,"",INDEX(EntryPartyName,$P466)))</f>
        <v/>
      </c>
      <c r="F466" s="28">
        <f>IF($P466="","",IF(INDEX(EntryPartyType,$P466)=0,"",INDEX(EntryPartyType,$P466)))</f>
        <v/>
      </c>
      <c r="G466" s="28">
        <f>IF($P466="","",IF(INDEX(EntryTxnType,$P466)=0,"",INDEX(EntryTxnType,$P466)))</f>
        <v/>
      </c>
      <c r="H466" s="29">
        <f>IF($P466="","",IF(INDEX(EntryDep,$P466)=0,"",INDEX(EntryDep,$P466)))</f>
        <v/>
      </c>
      <c r="I466" s="29">
        <f>IF($P466="","",IF(INDEX(EntryWit,$P466)=0,"",INDEX(EntryWit,$P466)))</f>
        <v/>
      </c>
      <c r="J466" s="29">
        <f>IF($B466="","",IF($A466=1,$C$7,IF(J465="",0,J465))+IF($H466="",0,$H466)-IF($I466="",0,$I466))</f>
        <v/>
      </c>
      <c r="K466" s="29">
        <f>IF($P466="","",IF(INDEX(EntryMan,$P466)=0,"",INDEX(EntryMan,$P466)))</f>
        <v/>
      </c>
      <c r="L466" s="28">
        <f>IF($B466="","",IF($K466="","—",IF(ROUND($K466-$J466,0)=0,"√","×")))</f>
        <v/>
      </c>
      <c r="M466" s="28">
        <f>IF($B466="","",IF(COUNTIFS(EntryDates,$B466,CalcTime,$C466,CalcBank,$C$5,EntryParty,$D466,EntryDep,$H466,EntryWit,$I466)&gt;1,"تکرار",""))</f>
        <v/>
      </c>
      <c r="N466" s="28">
        <f>IF($P466="","",IF(INDEX(EntryNotes,$P466)=0,"",INDEX(EntryNotes,$P466)))</f>
        <v/>
      </c>
      <c r="O466" s="28">
        <f>IF($P466="","",IF(INDEX(EntryTxnID,$P466)=0,"",INDEX(EntryTxnID,$P466)))</f>
        <v/>
      </c>
      <c r="P466" s="28">
        <f>IFERROR(MATCH($C$5&amp;"|"&amp;RIGHT("000000"&amp;450,6),CalcRankKey,0),"")</f>
        <v/>
      </c>
    </row>
    <row r="467">
      <c r="A467" s="26">
        <f>IF($B467="","",451)</f>
        <v/>
      </c>
      <c r="B467" s="26">
        <f>IF($P467="","",IF(INDEX(CalcNormDate,$P467)=0,"",INDEX(CalcNormDate,$P467)))</f>
        <v/>
      </c>
      <c r="C467" s="26">
        <f>IF($P467="","",IF(INDEX(CalcTime,$P467)=0,"",INDEX(CalcTime,$P467)))</f>
        <v/>
      </c>
      <c r="D467" s="26">
        <f>IF($P467="","",IF(INDEX(EntryParty,$P467)=0,"",INDEX(EntryParty,$P467)))</f>
        <v/>
      </c>
      <c r="E467" s="26">
        <f>IF($P467="","",IF(INDEX(EntryPartyName,$P467)=0,"",INDEX(EntryPartyName,$P467)))</f>
        <v/>
      </c>
      <c r="F467" s="26">
        <f>IF($P467="","",IF(INDEX(EntryPartyType,$P467)=0,"",INDEX(EntryPartyType,$P467)))</f>
        <v/>
      </c>
      <c r="G467" s="26">
        <f>IF($P467="","",IF(INDEX(EntryTxnType,$P467)=0,"",INDEX(EntryTxnType,$P467)))</f>
        <v/>
      </c>
      <c r="H467" s="27">
        <f>IF($P467="","",IF(INDEX(EntryDep,$P467)=0,"",INDEX(EntryDep,$P467)))</f>
        <v/>
      </c>
      <c r="I467" s="27">
        <f>IF($P467="","",IF(INDEX(EntryWit,$P467)=0,"",INDEX(EntryWit,$P467)))</f>
        <v/>
      </c>
      <c r="J467" s="27">
        <f>IF($B467="","",IF($A467=1,$C$7,IF(J466="",0,J466))+IF($H467="",0,$H467)-IF($I467="",0,$I467))</f>
        <v/>
      </c>
      <c r="K467" s="27">
        <f>IF($P467="","",IF(INDEX(EntryMan,$P467)=0,"",INDEX(EntryMan,$P467)))</f>
        <v/>
      </c>
      <c r="L467" s="26">
        <f>IF($B467="","",IF($K467="","—",IF(ROUND($K467-$J467,0)=0,"√","×")))</f>
        <v/>
      </c>
      <c r="M467" s="26">
        <f>IF($B467="","",IF(COUNTIFS(EntryDates,$B467,CalcTime,$C467,CalcBank,$C$5,EntryParty,$D467,EntryDep,$H467,EntryWit,$I467)&gt;1,"تکرار",""))</f>
        <v/>
      </c>
      <c r="N467" s="26">
        <f>IF($P467="","",IF(INDEX(EntryNotes,$P467)=0,"",INDEX(EntryNotes,$P467)))</f>
        <v/>
      </c>
      <c r="O467" s="26">
        <f>IF($P467="","",IF(INDEX(EntryTxnID,$P467)=0,"",INDEX(EntryTxnID,$P467)))</f>
        <v/>
      </c>
      <c r="P467" s="26">
        <f>IFERROR(MATCH($C$5&amp;"|"&amp;RIGHT("000000"&amp;451,6),CalcRankKey,0),"")</f>
        <v/>
      </c>
    </row>
    <row r="468">
      <c r="A468" s="28">
        <f>IF($B468="","",452)</f>
        <v/>
      </c>
      <c r="B468" s="28">
        <f>IF($P468="","",IF(INDEX(CalcNormDate,$P468)=0,"",INDEX(CalcNormDate,$P468)))</f>
        <v/>
      </c>
      <c r="C468" s="28">
        <f>IF($P468="","",IF(INDEX(CalcTime,$P468)=0,"",INDEX(CalcTime,$P468)))</f>
        <v/>
      </c>
      <c r="D468" s="28">
        <f>IF($P468="","",IF(INDEX(EntryParty,$P468)=0,"",INDEX(EntryParty,$P468)))</f>
        <v/>
      </c>
      <c r="E468" s="28">
        <f>IF($P468="","",IF(INDEX(EntryPartyName,$P468)=0,"",INDEX(EntryPartyName,$P468)))</f>
        <v/>
      </c>
      <c r="F468" s="28">
        <f>IF($P468="","",IF(INDEX(EntryPartyType,$P468)=0,"",INDEX(EntryPartyType,$P468)))</f>
        <v/>
      </c>
      <c r="G468" s="28">
        <f>IF($P468="","",IF(INDEX(EntryTxnType,$P468)=0,"",INDEX(EntryTxnType,$P468)))</f>
        <v/>
      </c>
      <c r="H468" s="29">
        <f>IF($P468="","",IF(INDEX(EntryDep,$P468)=0,"",INDEX(EntryDep,$P468)))</f>
        <v/>
      </c>
      <c r="I468" s="29">
        <f>IF($P468="","",IF(INDEX(EntryWit,$P468)=0,"",INDEX(EntryWit,$P468)))</f>
        <v/>
      </c>
      <c r="J468" s="29">
        <f>IF($B468="","",IF($A468=1,$C$7,IF(J467="",0,J467))+IF($H468="",0,$H468)-IF($I468="",0,$I468))</f>
        <v/>
      </c>
      <c r="K468" s="29">
        <f>IF($P468="","",IF(INDEX(EntryMan,$P468)=0,"",INDEX(EntryMan,$P468)))</f>
        <v/>
      </c>
      <c r="L468" s="28">
        <f>IF($B468="","",IF($K468="","—",IF(ROUND($K468-$J468,0)=0,"√","×")))</f>
        <v/>
      </c>
      <c r="M468" s="28">
        <f>IF($B468="","",IF(COUNTIFS(EntryDates,$B468,CalcTime,$C468,CalcBank,$C$5,EntryParty,$D468,EntryDep,$H468,EntryWit,$I468)&gt;1,"تکرار",""))</f>
        <v/>
      </c>
      <c r="N468" s="28">
        <f>IF($P468="","",IF(INDEX(EntryNotes,$P468)=0,"",INDEX(EntryNotes,$P468)))</f>
        <v/>
      </c>
      <c r="O468" s="28">
        <f>IF($P468="","",IF(INDEX(EntryTxnID,$P468)=0,"",INDEX(EntryTxnID,$P468)))</f>
        <v/>
      </c>
      <c r="P468" s="28">
        <f>IFERROR(MATCH($C$5&amp;"|"&amp;RIGHT("000000"&amp;452,6),CalcRankKey,0),"")</f>
        <v/>
      </c>
    </row>
    <row r="469">
      <c r="A469" s="26">
        <f>IF($B469="","",453)</f>
        <v/>
      </c>
      <c r="B469" s="26">
        <f>IF($P469="","",IF(INDEX(CalcNormDate,$P469)=0,"",INDEX(CalcNormDate,$P469)))</f>
        <v/>
      </c>
      <c r="C469" s="26">
        <f>IF($P469="","",IF(INDEX(CalcTime,$P469)=0,"",INDEX(CalcTime,$P469)))</f>
        <v/>
      </c>
      <c r="D469" s="26">
        <f>IF($P469="","",IF(INDEX(EntryParty,$P469)=0,"",INDEX(EntryParty,$P469)))</f>
        <v/>
      </c>
      <c r="E469" s="26">
        <f>IF($P469="","",IF(INDEX(EntryPartyName,$P469)=0,"",INDEX(EntryPartyName,$P469)))</f>
        <v/>
      </c>
      <c r="F469" s="26">
        <f>IF($P469="","",IF(INDEX(EntryPartyType,$P469)=0,"",INDEX(EntryPartyType,$P469)))</f>
        <v/>
      </c>
      <c r="G469" s="26">
        <f>IF($P469="","",IF(INDEX(EntryTxnType,$P469)=0,"",INDEX(EntryTxnType,$P469)))</f>
        <v/>
      </c>
      <c r="H469" s="27">
        <f>IF($P469="","",IF(INDEX(EntryDep,$P469)=0,"",INDEX(EntryDep,$P469)))</f>
        <v/>
      </c>
      <c r="I469" s="27">
        <f>IF($P469="","",IF(INDEX(EntryWit,$P469)=0,"",INDEX(EntryWit,$P469)))</f>
        <v/>
      </c>
      <c r="J469" s="27">
        <f>IF($B469="","",IF($A469=1,$C$7,IF(J468="",0,J468))+IF($H469="",0,$H469)-IF($I469="",0,$I469))</f>
        <v/>
      </c>
      <c r="K469" s="27">
        <f>IF($P469="","",IF(INDEX(EntryMan,$P469)=0,"",INDEX(EntryMan,$P469)))</f>
        <v/>
      </c>
      <c r="L469" s="26">
        <f>IF($B469="","",IF($K469="","—",IF(ROUND($K469-$J469,0)=0,"√","×")))</f>
        <v/>
      </c>
      <c r="M469" s="26">
        <f>IF($B469="","",IF(COUNTIFS(EntryDates,$B469,CalcTime,$C469,CalcBank,$C$5,EntryParty,$D469,EntryDep,$H469,EntryWit,$I469)&gt;1,"تکرار",""))</f>
        <v/>
      </c>
      <c r="N469" s="26">
        <f>IF($P469="","",IF(INDEX(EntryNotes,$P469)=0,"",INDEX(EntryNotes,$P469)))</f>
        <v/>
      </c>
      <c r="O469" s="26">
        <f>IF($P469="","",IF(INDEX(EntryTxnID,$P469)=0,"",INDEX(EntryTxnID,$P469)))</f>
        <v/>
      </c>
      <c r="P469" s="26">
        <f>IFERROR(MATCH($C$5&amp;"|"&amp;RIGHT("000000"&amp;453,6),CalcRankKey,0),"")</f>
        <v/>
      </c>
    </row>
    <row r="470">
      <c r="A470" s="28">
        <f>IF($B470="","",454)</f>
        <v/>
      </c>
      <c r="B470" s="28">
        <f>IF($P470="","",IF(INDEX(CalcNormDate,$P470)=0,"",INDEX(CalcNormDate,$P470)))</f>
        <v/>
      </c>
      <c r="C470" s="28">
        <f>IF($P470="","",IF(INDEX(CalcTime,$P470)=0,"",INDEX(CalcTime,$P470)))</f>
        <v/>
      </c>
      <c r="D470" s="28">
        <f>IF($P470="","",IF(INDEX(EntryParty,$P470)=0,"",INDEX(EntryParty,$P470)))</f>
        <v/>
      </c>
      <c r="E470" s="28">
        <f>IF($P470="","",IF(INDEX(EntryPartyName,$P470)=0,"",INDEX(EntryPartyName,$P470)))</f>
        <v/>
      </c>
      <c r="F470" s="28">
        <f>IF($P470="","",IF(INDEX(EntryPartyType,$P470)=0,"",INDEX(EntryPartyType,$P470)))</f>
        <v/>
      </c>
      <c r="G470" s="28">
        <f>IF($P470="","",IF(INDEX(EntryTxnType,$P470)=0,"",INDEX(EntryTxnType,$P470)))</f>
        <v/>
      </c>
      <c r="H470" s="29">
        <f>IF($P470="","",IF(INDEX(EntryDep,$P470)=0,"",INDEX(EntryDep,$P470)))</f>
        <v/>
      </c>
      <c r="I470" s="29">
        <f>IF($P470="","",IF(INDEX(EntryWit,$P470)=0,"",INDEX(EntryWit,$P470)))</f>
        <v/>
      </c>
      <c r="J470" s="29">
        <f>IF($B470="","",IF($A470=1,$C$7,IF(J469="",0,J469))+IF($H470="",0,$H470)-IF($I470="",0,$I470))</f>
        <v/>
      </c>
      <c r="K470" s="29">
        <f>IF($P470="","",IF(INDEX(EntryMan,$P470)=0,"",INDEX(EntryMan,$P470)))</f>
        <v/>
      </c>
      <c r="L470" s="28">
        <f>IF($B470="","",IF($K470="","—",IF(ROUND($K470-$J470,0)=0,"√","×")))</f>
        <v/>
      </c>
      <c r="M470" s="28">
        <f>IF($B470="","",IF(COUNTIFS(EntryDates,$B470,CalcTime,$C470,CalcBank,$C$5,EntryParty,$D470,EntryDep,$H470,EntryWit,$I470)&gt;1,"تکرار",""))</f>
        <v/>
      </c>
      <c r="N470" s="28">
        <f>IF($P470="","",IF(INDEX(EntryNotes,$P470)=0,"",INDEX(EntryNotes,$P470)))</f>
        <v/>
      </c>
      <c r="O470" s="28">
        <f>IF($P470="","",IF(INDEX(EntryTxnID,$P470)=0,"",INDEX(EntryTxnID,$P470)))</f>
        <v/>
      </c>
      <c r="P470" s="28">
        <f>IFERROR(MATCH($C$5&amp;"|"&amp;RIGHT("000000"&amp;454,6),CalcRankKey,0),"")</f>
        <v/>
      </c>
    </row>
    <row r="471">
      <c r="A471" s="26">
        <f>IF($B471="","",455)</f>
        <v/>
      </c>
      <c r="B471" s="26">
        <f>IF($P471="","",IF(INDEX(CalcNormDate,$P471)=0,"",INDEX(CalcNormDate,$P471)))</f>
        <v/>
      </c>
      <c r="C471" s="26">
        <f>IF($P471="","",IF(INDEX(CalcTime,$P471)=0,"",INDEX(CalcTime,$P471)))</f>
        <v/>
      </c>
      <c r="D471" s="26">
        <f>IF($P471="","",IF(INDEX(EntryParty,$P471)=0,"",INDEX(EntryParty,$P471)))</f>
        <v/>
      </c>
      <c r="E471" s="26">
        <f>IF($P471="","",IF(INDEX(EntryPartyName,$P471)=0,"",INDEX(EntryPartyName,$P471)))</f>
        <v/>
      </c>
      <c r="F471" s="26">
        <f>IF($P471="","",IF(INDEX(EntryPartyType,$P471)=0,"",INDEX(EntryPartyType,$P471)))</f>
        <v/>
      </c>
      <c r="G471" s="26">
        <f>IF($P471="","",IF(INDEX(EntryTxnType,$P471)=0,"",INDEX(EntryTxnType,$P471)))</f>
        <v/>
      </c>
      <c r="H471" s="27">
        <f>IF($P471="","",IF(INDEX(EntryDep,$P471)=0,"",INDEX(EntryDep,$P471)))</f>
        <v/>
      </c>
      <c r="I471" s="27">
        <f>IF($P471="","",IF(INDEX(EntryWit,$P471)=0,"",INDEX(EntryWit,$P471)))</f>
        <v/>
      </c>
      <c r="J471" s="27">
        <f>IF($B471="","",IF($A471=1,$C$7,IF(J470="",0,J470))+IF($H471="",0,$H471)-IF($I471="",0,$I471))</f>
        <v/>
      </c>
      <c r="K471" s="27">
        <f>IF($P471="","",IF(INDEX(EntryMan,$P471)=0,"",INDEX(EntryMan,$P471)))</f>
        <v/>
      </c>
      <c r="L471" s="26">
        <f>IF($B471="","",IF($K471="","—",IF(ROUND($K471-$J471,0)=0,"√","×")))</f>
        <v/>
      </c>
      <c r="M471" s="26">
        <f>IF($B471="","",IF(COUNTIFS(EntryDates,$B471,CalcTime,$C471,CalcBank,$C$5,EntryParty,$D471,EntryDep,$H471,EntryWit,$I471)&gt;1,"تکرار",""))</f>
        <v/>
      </c>
      <c r="N471" s="26">
        <f>IF($P471="","",IF(INDEX(EntryNotes,$P471)=0,"",INDEX(EntryNotes,$P471)))</f>
        <v/>
      </c>
      <c r="O471" s="26">
        <f>IF($P471="","",IF(INDEX(EntryTxnID,$P471)=0,"",INDEX(EntryTxnID,$P471)))</f>
        <v/>
      </c>
      <c r="P471" s="26">
        <f>IFERROR(MATCH($C$5&amp;"|"&amp;RIGHT("000000"&amp;455,6),CalcRankKey,0),"")</f>
        <v/>
      </c>
    </row>
    <row r="472">
      <c r="A472" s="28">
        <f>IF($B472="","",456)</f>
        <v/>
      </c>
      <c r="B472" s="28">
        <f>IF($P472="","",IF(INDEX(CalcNormDate,$P472)=0,"",INDEX(CalcNormDate,$P472)))</f>
        <v/>
      </c>
      <c r="C472" s="28">
        <f>IF($P472="","",IF(INDEX(CalcTime,$P472)=0,"",INDEX(CalcTime,$P472)))</f>
        <v/>
      </c>
      <c r="D472" s="28">
        <f>IF($P472="","",IF(INDEX(EntryParty,$P472)=0,"",INDEX(EntryParty,$P472)))</f>
        <v/>
      </c>
      <c r="E472" s="28">
        <f>IF($P472="","",IF(INDEX(EntryPartyName,$P472)=0,"",INDEX(EntryPartyName,$P472)))</f>
        <v/>
      </c>
      <c r="F472" s="28">
        <f>IF($P472="","",IF(INDEX(EntryPartyType,$P472)=0,"",INDEX(EntryPartyType,$P472)))</f>
        <v/>
      </c>
      <c r="G472" s="28">
        <f>IF($P472="","",IF(INDEX(EntryTxnType,$P472)=0,"",INDEX(EntryTxnType,$P472)))</f>
        <v/>
      </c>
      <c r="H472" s="29">
        <f>IF($P472="","",IF(INDEX(EntryDep,$P472)=0,"",INDEX(EntryDep,$P472)))</f>
        <v/>
      </c>
      <c r="I472" s="29">
        <f>IF($P472="","",IF(INDEX(EntryWit,$P472)=0,"",INDEX(EntryWit,$P472)))</f>
        <v/>
      </c>
      <c r="J472" s="29">
        <f>IF($B472="","",IF($A472=1,$C$7,IF(J471="",0,J471))+IF($H472="",0,$H472)-IF($I472="",0,$I472))</f>
        <v/>
      </c>
      <c r="K472" s="29">
        <f>IF($P472="","",IF(INDEX(EntryMan,$P472)=0,"",INDEX(EntryMan,$P472)))</f>
        <v/>
      </c>
      <c r="L472" s="28">
        <f>IF($B472="","",IF($K472="","—",IF(ROUND($K472-$J472,0)=0,"√","×")))</f>
        <v/>
      </c>
      <c r="M472" s="28">
        <f>IF($B472="","",IF(COUNTIFS(EntryDates,$B472,CalcTime,$C472,CalcBank,$C$5,EntryParty,$D472,EntryDep,$H472,EntryWit,$I472)&gt;1,"تکرار",""))</f>
        <v/>
      </c>
      <c r="N472" s="28">
        <f>IF($P472="","",IF(INDEX(EntryNotes,$P472)=0,"",INDEX(EntryNotes,$P472)))</f>
        <v/>
      </c>
      <c r="O472" s="28">
        <f>IF($P472="","",IF(INDEX(EntryTxnID,$P472)=0,"",INDEX(EntryTxnID,$P472)))</f>
        <v/>
      </c>
      <c r="P472" s="28">
        <f>IFERROR(MATCH($C$5&amp;"|"&amp;RIGHT("000000"&amp;456,6),CalcRankKey,0),"")</f>
        <v/>
      </c>
    </row>
    <row r="473">
      <c r="A473" s="26">
        <f>IF($B473="","",457)</f>
        <v/>
      </c>
      <c r="B473" s="26">
        <f>IF($P473="","",IF(INDEX(CalcNormDate,$P473)=0,"",INDEX(CalcNormDate,$P473)))</f>
        <v/>
      </c>
      <c r="C473" s="26">
        <f>IF($P473="","",IF(INDEX(CalcTime,$P473)=0,"",INDEX(CalcTime,$P473)))</f>
        <v/>
      </c>
      <c r="D473" s="26">
        <f>IF($P473="","",IF(INDEX(EntryParty,$P473)=0,"",INDEX(EntryParty,$P473)))</f>
        <v/>
      </c>
      <c r="E473" s="26">
        <f>IF($P473="","",IF(INDEX(EntryPartyName,$P473)=0,"",INDEX(EntryPartyName,$P473)))</f>
        <v/>
      </c>
      <c r="F473" s="26">
        <f>IF($P473="","",IF(INDEX(EntryPartyType,$P473)=0,"",INDEX(EntryPartyType,$P473)))</f>
        <v/>
      </c>
      <c r="G473" s="26">
        <f>IF($P473="","",IF(INDEX(EntryTxnType,$P473)=0,"",INDEX(EntryTxnType,$P473)))</f>
        <v/>
      </c>
      <c r="H473" s="27">
        <f>IF($P473="","",IF(INDEX(EntryDep,$P473)=0,"",INDEX(EntryDep,$P473)))</f>
        <v/>
      </c>
      <c r="I473" s="27">
        <f>IF($P473="","",IF(INDEX(EntryWit,$P473)=0,"",INDEX(EntryWit,$P473)))</f>
        <v/>
      </c>
      <c r="J473" s="27">
        <f>IF($B473="","",IF($A473=1,$C$7,IF(J472="",0,J472))+IF($H473="",0,$H473)-IF($I473="",0,$I473))</f>
        <v/>
      </c>
      <c r="K473" s="27">
        <f>IF($P473="","",IF(INDEX(EntryMan,$P473)=0,"",INDEX(EntryMan,$P473)))</f>
        <v/>
      </c>
      <c r="L473" s="26">
        <f>IF($B473="","",IF($K473="","—",IF(ROUND($K473-$J473,0)=0,"√","×")))</f>
        <v/>
      </c>
      <c r="M473" s="26">
        <f>IF($B473="","",IF(COUNTIFS(EntryDates,$B473,CalcTime,$C473,CalcBank,$C$5,EntryParty,$D473,EntryDep,$H473,EntryWit,$I473)&gt;1,"تکرار",""))</f>
        <v/>
      </c>
      <c r="N473" s="26">
        <f>IF($P473="","",IF(INDEX(EntryNotes,$P473)=0,"",INDEX(EntryNotes,$P473)))</f>
        <v/>
      </c>
      <c r="O473" s="26">
        <f>IF($P473="","",IF(INDEX(EntryTxnID,$P473)=0,"",INDEX(EntryTxnID,$P473)))</f>
        <v/>
      </c>
      <c r="P473" s="26">
        <f>IFERROR(MATCH($C$5&amp;"|"&amp;RIGHT("000000"&amp;457,6),CalcRankKey,0),"")</f>
        <v/>
      </c>
    </row>
    <row r="474">
      <c r="A474" s="28">
        <f>IF($B474="","",458)</f>
        <v/>
      </c>
      <c r="B474" s="28">
        <f>IF($P474="","",IF(INDEX(CalcNormDate,$P474)=0,"",INDEX(CalcNormDate,$P474)))</f>
        <v/>
      </c>
      <c r="C474" s="28">
        <f>IF($P474="","",IF(INDEX(CalcTime,$P474)=0,"",INDEX(CalcTime,$P474)))</f>
        <v/>
      </c>
      <c r="D474" s="28">
        <f>IF($P474="","",IF(INDEX(EntryParty,$P474)=0,"",INDEX(EntryParty,$P474)))</f>
        <v/>
      </c>
      <c r="E474" s="28">
        <f>IF($P474="","",IF(INDEX(EntryPartyName,$P474)=0,"",INDEX(EntryPartyName,$P474)))</f>
        <v/>
      </c>
      <c r="F474" s="28">
        <f>IF($P474="","",IF(INDEX(EntryPartyType,$P474)=0,"",INDEX(EntryPartyType,$P474)))</f>
        <v/>
      </c>
      <c r="G474" s="28">
        <f>IF($P474="","",IF(INDEX(EntryTxnType,$P474)=0,"",INDEX(EntryTxnType,$P474)))</f>
        <v/>
      </c>
      <c r="H474" s="29">
        <f>IF($P474="","",IF(INDEX(EntryDep,$P474)=0,"",INDEX(EntryDep,$P474)))</f>
        <v/>
      </c>
      <c r="I474" s="29">
        <f>IF($P474="","",IF(INDEX(EntryWit,$P474)=0,"",INDEX(EntryWit,$P474)))</f>
        <v/>
      </c>
      <c r="J474" s="29">
        <f>IF($B474="","",IF($A474=1,$C$7,IF(J473="",0,J473))+IF($H474="",0,$H474)-IF($I474="",0,$I474))</f>
        <v/>
      </c>
      <c r="K474" s="29">
        <f>IF($P474="","",IF(INDEX(EntryMan,$P474)=0,"",INDEX(EntryMan,$P474)))</f>
        <v/>
      </c>
      <c r="L474" s="28">
        <f>IF($B474="","",IF($K474="","—",IF(ROUND($K474-$J474,0)=0,"√","×")))</f>
        <v/>
      </c>
      <c r="M474" s="28">
        <f>IF($B474="","",IF(COUNTIFS(EntryDates,$B474,CalcTime,$C474,CalcBank,$C$5,EntryParty,$D474,EntryDep,$H474,EntryWit,$I474)&gt;1,"تکرار",""))</f>
        <v/>
      </c>
      <c r="N474" s="28">
        <f>IF($P474="","",IF(INDEX(EntryNotes,$P474)=0,"",INDEX(EntryNotes,$P474)))</f>
        <v/>
      </c>
      <c r="O474" s="28">
        <f>IF($P474="","",IF(INDEX(EntryTxnID,$P474)=0,"",INDEX(EntryTxnID,$P474)))</f>
        <v/>
      </c>
      <c r="P474" s="28">
        <f>IFERROR(MATCH($C$5&amp;"|"&amp;RIGHT("000000"&amp;458,6),CalcRankKey,0),"")</f>
        <v/>
      </c>
    </row>
    <row r="475">
      <c r="A475" s="26">
        <f>IF($B475="","",459)</f>
        <v/>
      </c>
      <c r="B475" s="26">
        <f>IF($P475="","",IF(INDEX(CalcNormDate,$P475)=0,"",INDEX(CalcNormDate,$P475)))</f>
        <v/>
      </c>
      <c r="C475" s="26">
        <f>IF($P475="","",IF(INDEX(CalcTime,$P475)=0,"",INDEX(CalcTime,$P475)))</f>
        <v/>
      </c>
      <c r="D475" s="26">
        <f>IF($P475="","",IF(INDEX(EntryParty,$P475)=0,"",INDEX(EntryParty,$P475)))</f>
        <v/>
      </c>
      <c r="E475" s="26">
        <f>IF($P475="","",IF(INDEX(EntryPartyName,$P475)=0,"",INDEX(EntryPartyName,$P475)))</f>
        <v/>
      </c>
      <c r="F475" s="26">
        <f>IF($P475="","",IF(INDEX(EntryPartyType,$P475)=0,"",INDEX(EntryPartyType,$P475)))</f>
        <v/>
      </c>
      <c r="G475" s="26">
        <f>IF($P475="","",IF(INDEX(EntryTxnType,$P475)=0,"",INDEX(EntryTxnType,$P475)))</f>
        <v/>
      </c>
      <c r="H475" s="27">
        <f>IF($P475="","",IF(INDEX(EntryDep,$P475)=0,"",INDEX(EntryDep,$P475)))</f>
        <v/>
      </c>
      <c r="I475" s="27">
        <f>IF($P475="","",IF(INDEX(EntryWit,$P475)=0,"",INDEX(EntryWit,$P475)))</f>
        <v/>
      </c>
      <c r="J475" s="27">
        <f>IF($B475="","",IF($A475=1,$C$7,IF(J474="",0,J474))+IF($H475="",0,$H475)-IF($I475="",0,$I475))</f>
        <v/>
      </c>
      <c r="K475" s="27">
        <f>IF($P475="","",IF(INDEX(EntryMan,$P475)=0,"",INDEX(EntryMan,$P475)))</f>
        <v/>
      </c>
      <c r="L475" s="26">
        <f>IF($B475="","",IF($K475="","—",IF(ROUND($K475-$J475,0)=0,"√","×")))</f>
        <v/>
      </c>
      <c r="M475" s="26">
        <f>IF($B475="","",IF(COUNTIFS(EntryDates,$B475,CalcTime,$C475,CalcBank,$C$5,EntryParty,$D475,EntryDep,$H475,EntryWit,$I475)&gt;1,"تکرار",""))</f>
        <v/>
      </c>
      <c r="N475" s="26">
        <f>IF($P475="","",IF(INDEX(EntryNotes,$P475)=0,"",INDEX(EntryNotes,$P475)))</f>
        <v/>
      </c>
      <c r="O475" s="26">
        <f>IF($P475="","",IF(INDEX(EntryTxnID,$P475)=0,"",INDEX(EntryTxnID,$P475)))</f>
        <v/>
      </c>
      <c r="P475" s="26">
        <f>IFERROR(MATCH($C$5&amp;"|"&amp;RIGHT("000000"&amp;459,6),CalcRankKey,0),"")</f>
        <v/>
      </c>
    </row>
    <row r="476">
      <c r="A476" s="28">
        <f>IF($B476="","",460)</f>
        <v/>
      </c>
      <c r="B476" s="28">
        <f>IF($P476="","",IF(INDEX(CalcNormDate,$P476)=0,"",INDEX(CalcNormDate,$P476)))</f>
        <v/>
      </c>
      <c r="C476" s="28">
        <f>IF($P476="","",IF(INDEX(CalcTime,$P476)=0,"",INDEX(CalcTime,$P476)))</f>
        <v/>
      </c>
      <c r="D476" s="28">
        <f>IF($P476="","",IF(INDEX(EntryParty,$P476)=0,"",INDEX(EntryParty,$P476)))</f>
        <v/>
      </c>
      <c r="E476" s="28">
        <f>IF($P476="","",IF(INDEX(EntryPartyName,$P476)=0,"",INDEX(EntryPartyName,$P476)))</f>
        <v/>
      </c>
      <c r="F476" s="28">
        <f>IF($P476="","",IF(INDEX(EntryPartyType,$P476)=0,"",INDEX(EntryPartyType,$P476)))</f>
        <v/>
      </c>
      <c r="G476" s="28">
        <f>IF($P476="","",IF(INDEX(EntryTxnType,$P476)=0,"",INDEX(EntryTxnType,$P476)))</f>
        <v/>
      </c>
      <c r="H476" s="29">
        <f>IF($P476="","",IF(INDEX(EntryDep,$P476)=0,"",INDEX(EntryDep,$P476)))</f>
        <v/>
      </c>
      <c r="I476" s="29">
        <f>IF($P476="","",IF(INDEX(EntryWit,$P476)=0,"",INDEX(EntryWit,$P476)))</f>
        <v/>
      </c>
      <c r="J476" s="29">
        <f>IF($B476="","",IF($A476=1,$C$7,IF(J475="",0,J475))+IF($H476="",0,$H476)-IF($I476="",0,$I476))</f>
        <v/>
      </c>
      <c r="K476" s="29">
        <f>IF($P476="","",IF(INDEX(EntryMan,$P476)=0,"",INDEX(EntryMan,$P476)))</f>
        <v/>
      </c>
      <c r="L476" s="28">
        <f>IF($B476="","",IF($K476="","—",IF(ROUND($K476-$J476,0)=0,"√","×")))</f>
        <v/>
      </c>
      <c r="M476" s="28">
        <f>IF($B476="","",IF(COUNTIFS(EntryDates,$B476,CalcTime,$C476,CalcBank,$C$5,EntryParty,$D476,EntryDep,$H476,EntryWit,$I476)&gt;1,"تکرار",""))</f>
        <v/>
      </c>
      <c r="N476" s="28">
        <f>IF($P476="","",IF(INDEX(EntryNotes,$P476)=0,"",INDEX(EntryNotes,$P476)))</f>
        <v/>
      </c>
      <c r="O476" s="28">
        <f>IF($P476="","",IF(INDEX(EntryTxnID,$P476)=0,"",INDEX(EntryTxnID,$P476)))</f>
        <v/>
      </c>
      <c r="P476" s="28">
        <f>IFERROR(MATCH($C$5&amp;"|"&amp;RIGHT("000000"&amp;460,6),CalcRankKey,0),"")</f>
        <v/>
      </c>
    </row>
    <row r="477">
      <c r="A477" s="26">
        <f>IF($B477="","",461)</f>
        <v/>
      </c>
      <c r="B477" s="26">
        <f>IF($P477="","",IF(INDEX(CalcNormDate,$P477)=0,"",INDEX(CalcNormDate,$P477)))</f>
        <v/>
      </c>
      <c r="C477" s="26">
        <f>IF($P477="","",IF(INDEX(CalcTime,$P477)=0,"",INDEX(CalcTime,$P477)))</f>
        <v/>
      </c>
      <c r="D477" s="26">
        <f>IF($P477="","",IF(INDEX(EntryParty,$P477)=0,"",INDEX(EntryParty,$P477)))</f>
        <v/>
      </c>
      <c r="E477" s="26">
        <f>IF($P477="","",IF(INDEX(EntryPartyName,$P477)=0,"",INDEX(EntryPartyName,$P477)))</f>
        <v/>
      </c>
      <c r="F477" s="26">
        <f>IF($P477="","",IF(INDEX(EntryPartyType,$P477)=0,"",INDEX(EntryPartyType,$P477)))</f>
        <v/>
      </c>
      <c r="G477" s="26">
        <f>IF($P477="","",IF(INDEX(EntryTxnType,$P477)=0,"",INDEX(EntryTxnType,$P477)))</f>
        <v/>
      </c>
      <c r="H477" s="27">
        <f>IF($P477="","",IF(INDEX(EntryDep,$P477)=0,"",INDEX(EntryDep,$P477)))</f>
        <v/>
      </c>
      <c r="I477" s="27">
        <f>IF($P477="","",IF(INDEX(EntryWit,$P477)=0,"",INDEX(EntryWit,$P477)))</f>
        <v/>
      </c>
      <c r="J477" s="27">
        <f>IF($B477="","",IF($A477=1,$C$7,IF(J476="",0,J476))+IF($H477="",0,$H477)-IF($I477="",0,$I477))</f>
        <v/>
      </c>
      <c r="K477" s="27">
        <f>IF($P477="","",IF(INDEX(EntryMan,$P477)=0,"",INDEX(EntryMan,$P477)))</f>
        <v/>
      </c>
      <c r="L477" s="26">
        <f>IF($B477="","",IF($K477="","—",IF(ROUND($K477-$J477,0)=0,"√","×")))</f>
        <v/>
      </c>
      <c r="M477" s="26">
        <f>IF($B477="","",IF(COUNTIFS(EntryDates,$B477,CalcTime,$C477,CalcBank,$C$5,EntryParty,$D477,EntryDep,$H477,EntryWit,$I477)&gt;1,"تکرار",""))</f>
        <v/>
      </c>
      <c r="N477" s="26">
        <f>IF($P477="","",IF(INDEX(EntryNotes,$P477)=0,"",INDEX(EntryNotes,$P477)))</f>
        <v/>
      </c>
      <c r="O477" s="26">
        <f>IF($P477="","",IF(INDEX(EntryTxnID,$P477)=0,"",INDEX(EntryTxnID,$P477)))</f>
        <v/>
      </c>
      <c r="P477" s="26">
        <f>IFERROR(MATCH($C$5&amp;"|"&amp;RIGHT("000000"&amp;461,6),CalcRankKey,0),"")</f>
        <v/>
      </c>
    </row>
    <row r="478">
      <c r="A478" s="28">
        <f>IF($B478="","",462)</f>
        <v/>
      </c>
      <c r="B478" s="28">
        <f>IF($P478="","",IF(INDEX(CalcNormDate,$P478)=0,"",INDEX(CalcNormDate,$P478)))</f>
        <v/>
      </c>
      <c r="C478" s="28">
        <f>IF($P478="","",IF(INDEX(CalcTime,$P478)=0,"",INDEX(CalcTime,$P478)))</f>
        <v/>
      </c>
      <c r="D478" s="28">
        <f>IF($P478="","",IF(INDEX(EntryParty,$P478)=0,"",INDEX(EntryParty,$P478)))</f>
        <v/>
      </c>
      <c r="E478" s="28">
        <f>IF($P478="","",IF(INDEX(EntryPartyName,$P478)=0,"",INDEX(EntryPartyName,$P478)))</f>
        <v/>
      </c>
      <c r="F478" s="28">
        <f>IF($P478="","",IF(INDEX(EntryPartyType,$P478)=0,"",INDEX(EntryPartyType,$P478)))</f>
        <v/>
      </c>
      <c r="G478" s="28">
        <f>IF($P478="","",IF(INDEX(EntryTxnType,$P478)=0,"",INDEX(EntryTxnType,$P478)))</f>
        <v/>
      </c>
      <c r="H478" s="29">
        <f>IF($P478="","",IF(INDEX(EntryDep,$P478)=0,"",INDEX(EntryDep,$P478)))</f>
        <v/>
      </c>
      <c r="I478" s="29">
        <f>IF($P478="","",IF(INDEX(EntryWit,$P478)=0,"",INDEX(EntryWit,$P478)))</f>
        <v/>
      </c>
      <c r="J478" s="29">
        <f>IF($B478="","",IF($A478=1,$C$7,IF(J477="",0,J477))+IF($H478="",0,$H478)-IF($I478="",0,$I478))</f>
        <v/>
      </c>
      <c r="K478" s="29">
        <f>IF($P478="","",IF(INDEX(EntryMan,$P478)=0,"",INDEX(EntryMan,$P478)))</f>
        <v/>
      </c>
      <c r="L478" s="28">
        <f>IF($B478="","",IF($K478="","—",IF(ROUND($K478-$J478,0)=0,"√","×")))</f>
        <v/>
      </c>
      <c r="M478" s="28">
        <f>IF($B478="","",IF(COUNTIFS(EntryDates,$B478,CalcTime,$C478,CalcBank,$C$5,EntryParty,$D478,EntryDep,$H478,EntryWit,$I478)&gt;1,"تکرار",""))</f>
        <v/>
      </c>
      <c r="N478" s="28">
        <f>IF($P478="","",IF(INDEX(EntryNotes,$P478)=0,"",INDEX(EntryNotes,$P478)))</f>
        <v/>
      </c>
      <c r="O478" s="28">
        <f>IF($P478="","",IF(INDEX(EntryTxnID,$P478)=0,"",INDEX(EntryTxnID,$P478)))</f>
        <v/>
      </c>
      <c r="P478" s="28">
        <f>IFERROR(MATCH($C$5&amp;"|"&amp;RIGHT("000000"&amp;462,6),CalcRankKey,0),"")</f>
        <v/>
      </c>
    </row>
    <row r="479">
      <c r="A479" s="26">
        <f>IF($B479="","",463)</f>
        <v/>
      </c>
      <c r="B479" s="26">
        <f>IF($P479="","",IF(INDEX(CalcNormDate,$P479)=0,"",INDEX(CalcNormDate,$P479)))</f>
        <v/>
      </c>
      <c r="C479" s="26">
        <f>IF($P479="","",IF(INDEX(CalcTime,$P479)=0,"",INDEX(CalcTime,$P479)))</f>
        <v/>
      </c>
      <c r="D479" s="26">
        <f>IF($P479="","",IF(INDEX(EntryParty,$P479)=0,"",INDEX(EntryParty,$P479)))</f>
        <v/>
      </c>
      <c r="E479" s="26">
        <f>IF($P479="","",IF(INDEX(EntryPartyName,$P479)=0,"",INDEX(EntryPartyName,$P479)))</f>
        <v/>
      </c>
      <c r="F479" s="26">
        <f>IF($P479="","",IF(INDEX(EntryPartyType,$P479)=0,"",INDEX(EntryPartyType,$P479)))</f>
        <v/>
      </c>
      <c r="G479" s="26">
        <f>IF($P479="","",IF(INDEX(EntryTxnType,$P479)=0,"",INDEX(EntryTxnType,$P479)))</f>
        <v/>
      </c>
      <c r="H479" s="27">
        <f>IF($P479="","",IF(INDEX(EntryDep,$P479)=0,"",INDEX(EntryDep,$P479)))</f>
        <v/>
      </c>
      <c r="I479" s="27">
        <f>IF($P479="","",IF(INDEX(EntryWit,$P479)=0,"",INDEX(EntryWit,$P479)))</f>
        <v/>
      </c>
      <c r="J479" s="27">
        <f>IF($B479="","",IF($A479=1,$C$7,IF(J478="",0,J478))+IF($H479="",0,$H479)-IF($I479="",0,$I479))</f>
        <v/>
      </c>
      <c r="K479" s="27">
        <f>IF($P479="","",IF(INDEX(EntryMan,$P479)=0,"",INDEX(EntryMan,$P479)))</f>
        <v/>
      </c>
      <c r="L479" s="26">
        <f>IF($B479="","",IF($K479="","—",IF(ROUND($K479-$J479,0)=0,"√","×")))</f>
        <v/>
      </c>
      <c r="M479" s="26">
        <f>IF($B479="","",IF(COUNTIFS(EntryDates,$B479,CalcTime,$C479,CalcBank,$C$5,EntryParty,$D479,EntryDep,$H479,EntryWit,$I479)&gt;1,"تکرار",""))</f>
        <v/>
      </c>
      <c r="N479" s="26">
        <f>IF($P479="","",IF(INDEX(EntryNotes,$P479)=0,"",INDEX(EntryNotes,$P479)))</f>
        <v/>
      </c>
      <c r="O479" s="26">
        <f>IF($P479="","",IF(INDEX(EntryTxnID,$P479)=0,"",INDEX(EntryTxnID,$P479)))</f>
        <v/>
      </c>
      <c r="P479" s="26">
        <f>IFERROR(MATCH($C$5&amp;"|"&amp;RIGHT("000000"&amp;463,6),CalcRankKey,0),"")</f>
        <v/>
      </c>
    </row>
    <row r="480">
      <c r="A480" s="28">
        <f>IF($B480="","",464)</f>
        <v/>
      </c>
      <c r="B480" s="28">
        <f>IF($P480="","",IF(INDEX(CalcNormDate,$P480)=0,"",INDEX(CalcNormDate,$P480)))</f>
        <v/>
      </c>
      <c r="C480" s="28">
        <f>IF($P480="","",IF(INDEX(CalcTime,$P480)=0,"",INDEX(CalcTime,$P480)))</f>
        <v/>
      </c>
      <c r="D480" s="28">
        <f>IF($P480="","",IF(INDEX(EntryParty,$P480)=0,"",INDEX(EntryParty,$P480)))</f>
        <v/>
      </c>
      <c r="E480" s="28">
        <f>IF($P480="","",IF(INDEX(EntryPartyName,$P480)=0,"",INDEX(EntryPartyName,$P480)))</f>
        <v/>
      </c>
      <c r="F480" s="28">
        <f>IF($P480="","",IF(INDEX(EntryPartyType,$P480)=0,"",INDEX(EntryPartyType,$P480)))</f>
        <v/>
      </c>
      <c r="G480" s="28">
        <f>IF($P480="","",IF(INDEX(EntryTxnType,$P480)=0,"",INDEX(EntryTxnType,$P480)))</f>
        <v/>
      </c>
      <c r="H480" s="29">
        <f>IF($P480="","",IF(INDEX(EntryDep,$P480)=0,"",INDEX(EntryDep,$P480)))</f>
        <v/>
      </c>
      <c r="I480" s="29">
        <f>IF($P480="","",IF(INDEX(EntryWit,$P480)=0,"",INDEX(EntryWit,$P480)))</f>
        <v/>
      </c>
      <c r="J480" s="29">
        <f>IF($B480="","",IF($A480=1,$C$7,IF(J479="",0,J479))+IF($H480="",0,$H480)-IF($I480="",0,$I480))</f>
        <v/>
      </c>
      <c r="K480" s="29">
        <f>IF($P480="","",IF(INDEX(EntryMan,$P480)=0,"",INDEX(EntryMan,$P480)))</f>
        <v/>
      </c>
      <c r="L480" s="28">
        <f>IF($B480="","",IF($K480="","—",IF(ROUND($K480-$J480,0)=0,"√","×")))</f>
        <v/>
      </c>
      <c r="M480" s="28">
        <f>IF($B480="","",IF(COUNTIFS(EntryDates,$B480,CalcTime,$C480,CalcBank,$C$5,EntryParty,$D480,EntryDep,$H480,EntryWit,$I480)&gt;1,"تکرار",""))</f>
        <v/>
      </c>
      <c r="N480" s="28">
        <f>IF($P480="","",IF(INDEX(EntryNotes,$P480)=0,"",INDEX(EntryNotes,$P480)))</f>
        <v/>
      </c>
      <c r="O480" s="28">
        <f>IF($P480="","",IF(INDEX(EntryTxnID,$P480)=0,"",INDEX(EntryTxnID,$P480)))</f>
        <v/>
      </c>
      <c r="P480" s="28">
        <f>IFERROR(MATCH($C$5&amp;"|"&amp;RIGHT("000000"&amp;464,6),CalcRankKey,0),"")</f>
        <v/>
      </c>
    </row>
    <row r="481">
      <c r="A481" s="26">
        <f>IF($B481="","",465)</f>
        <v/>
      </c>
      <c r="B481" s="26">
        <f>IF($P481="","",IF(INDEX(CalcNormDate,$P481)=0,"",INDEX(CalcNormDate,$P481)))</f>
        <v/>
      </c>
      <c r="C481" s="26">
        <f>IF($P481="","",IF(INDEX(CalcTime,$P481)=0,"",INDEX(CalcTime,$P481)))</f>
        <v/>
      </c>
      <c r="D481" s="26">
        <f>IF($P481="","",IF(INDEX(EntryParty,$P481)=0,"",INDEX(EntryParty,$P481)))</f>
        <v/>
      </c>
      <c r="E481" s="26">
        <f>IF($P481="","",IF(INDEX(EntryPartyName,$P481)=0,"",INDEX(EntryPartyName,$P481)))</f>
        <v/>
      </c>
      <c r="F481" s="26">
        <f>IF($P481="","",IF(INDEX(EntryPartyType,$P481)=0,"",INDEX(EntryPartyType,$P481)))</f>
        <v/>
      </c>
      <c r="G481" s="26">
        <f>IF($P481="","",IF(INDEX(EntryTxnType,$P481)=0,"",INDEX(EntryTxnType,$P481)))</f>
        <v/>
      </c>
      <c r="H481" s="27">
        <f>IF($P481="","",IF(INDEX(EntryDep,$P481)=0,"",INDEX(EntryDep,$P481)))</f>
        <v/>
      </c>
      <c r="I481" s="27">
        <f>IF($P481="","",IF(INDEX(EntryWit,$P481)=0,"",INDEX(EntryWit,$P481)))</f>
        <v/>
      </c>
      <c r="J481" s="27">
        <f>IF($B481="","",IF($A481=1,$C$7,IF(J480="",0,J480))+IF($H481="",0,$H481)-IF($I481="",0,$I481))</f>
        <v/>
      </c>
      <c r="K481" s="27">
        <f>IF($P481="","",IF(INDEX(EntryMan,$P481)=0,"",INDEX(EntryMan,$P481)))</f>
        <v/>
      </c>
      <c r="L481" s="26">
        <f>IF($B481="","",IF($K481="","—",IF(ROUND($K481-$J481,0)=0,"√","×")))</f>
        <v/>
      </c>
      <c r="M481" s="26">
        <f>IF($B481="","",IF(COUNTIFS(EntryDates,$B481,CalcTime,$C481,CalcBank,$C$5,EntryParty,$D481,EntryDep,$H481,EntryWit,$I481)&gt;1,"تکرار",""))</f>
        <v/>
      </c>
      <c r="N481" s="26">
        <f>IF($P481="","",IF(INDEX(EntryNotes,$P481)=0,"",INDEX(EntryNotes,$P481)))</f>
        <v/>
      </c>
      <c r="O481" s="26">
        <f>IF($P481="","",IF(INDEX(EntryTxnID,$P481)=0,"",INDEX(EntryTxnID,$P481)))</f>
        <v/>
      </c>
      <c r="P481" s="26">
        <f>IFERROR(MATCH($C$5&amp;"|"&amp;RIGHT("000000"&amp;465,6),CalcRankKey,0),"")</f>
        <v/>
      </c>
    </row>
    <row r="482">
      <c r="A482" s="28">
        <f>IF($B482="","",466)</f>
        <v/>
      </c>
      <c r="B482" s="28">
        <f>IF($P482="","",IF(INDEX(CalcNormDate,$P482)=0,"",INDEX(CalcNormDate,$P482)))</f>
        <v/>
      </c>
      <c r="C482" s="28">
        <f>IF($P482="","",IF(INDEX(CalcTime,$P482)=0,"",INDEX(CalcTime,$P482)))</f>
        <v/>
      </c>
      <c r="D482" s="28">
        <f>IF($P482="","",IF(INDEX(EntryParty,$P482)=0,"",INDEX(EntryParty,$P482)))</f>
        <v/>
      </c>
      <c r="E482" s="28">
        <f>IF($P482="","",IF(INDEX(EntryPartyName,$P482)=0,"",INDEX(EntryPartyName,$P482)))</f>
        <v/>
      </c>
      <c r="F482" s="28">
        <f>IF($P482="","",IF(INDEX(EntryPartyType,$P482)=0,"",INDEX(EntryPartyType,$P482)))</f>
        <v/>
      </c>
      <c r="G482" s="28">
        <f>IF($P482="","",IF(INDEX(EntryTxnType,$P482)=0,"",INDEX(EntryTxnType,$P482)))</f>
        <v/>
      </c>
      <c r="H482" s="29">
        <f>IF($P482="","",IF(INDEX(EntryDep,$P482)=0,"",INDEX(EntryDep,$P482)))</f>
        <v/>
      </c>
      <c r="I482" s="29">
        <f>IF($P482="","",IF(INDEX(EntryWit,$P482)=0,"",INDEX(EntryWit,$P482)))</f>
        <v/>
      </c>
      <c r="J482" s="29">
        <f>IF($B482="","",IF($A482=1,$C$7,IF(J481="",0,J481))+IF($H482="",0,$H482)-IF($I482="",0,$I482))</f>
        <v/>
      </c>
      <c r="K482" s="29">
        <f>IF($P482="","",IF(INDEX(EntryMan,$P482)=0,"",INDEX(EntryMan,$P482)))</f>
        <v/>
      </c>
      <c r="L482" s="28">
        <f>IF($B482="","",IF($K482="","—",IF(ROUND($K482-$J482,0)=0,"√","×")))</f>
        <v/>
      </c>
      <c r="M482" s="28">
        <f>IF($B482="","",IF(COUNTIFS(EntryDates,$B482,CalcTime,$C482,CalcBank,$C$5,EntryParty,$D482,EntryDep,$H482,EntryWit,$I482)&gt;1,"تکرار",""))</f>
        <v/>
      </c>
      <c r="N482" s="28">
        <f>IF($P482="","",IF(INDEX(EntryNotes,$P482)=0,"",INDEX(EntryNotes,$P482)))</f>
        <v/>
      </c>
      <c r="O482" s="28">
        <f>IF($P482="","",IF(INDEX(EntryTxnID,$P482)=0,"",INDEX(EntryTxnID,$P482)))</f>
        <v/>
      </c>
      <c r="P482" s="28">
        <f>IFERROR(MATCH($C$5&amp;"|"&amp;RIGHT("000000"&amp;466,6),CalcRankKey,0),"")</f>
        <v/>
      </c>
    </row>
    <row r="483">
      <c r="A483" s="26">
        <f>IF($B483="","",467)</f>
        <v/>
      </c>
      <c r="B483" s="26">
        <f>IF($P483="","",IF(INDEX(CalcNormDate,$P483)=0,"",INDEX(CalcNormDate,$P483)))</f>
        <v/>
      </c>
      <c r="C483" s="26">
        <f>IF($P483="","",IF(INDEX(CalcTime,$P483)=0,"",INDEX(CalcTime,$P483)))</f>
        <v/>
      </c>
      <c r="D483" s="26">
        <f>IF($P483="","",IF(INDEX(EntryParty,$P483)=0,"",INDEX(EntryParty,$P483)))</f>
        <v/>
      </c>
      <c r="E483" s="26">
        <f>IF($P483="","",IF(INDEX(EntryPartyName,$P483)=0,"",INDEX(EntryPartyName,$P483)))</f>
        <v/>
      </c>
      <c r="F483" s="26">
        <f>IF($P483="","",IF(INDEX(EntryPartyType,$P483)=0,"",INDEX(EntryPartyType,$P483)))</f>
        <v/>
      </c>
      <c r="G483" s="26">
        <f>IF($P483="","",IF(INDEX(EntryTxnType,$P483)=0,"",INDEX(EntryTxnType,$P483)))</f>
        <v/>
      </c>
      <c r="H483" s="27">
        <f>IF($P483="","",IF(INDEX(EntryDep,$P483)=0,"",INDEX(EntryDep,$P483)))</f>
        <v/>
      </c>
      <c r="I483" s="27">
        <f>IF($P483="","",IF(INDEX(EntryWit,$P483)=0,"",INDEX(EntryWit,$P483)))</f>
        <v/>
      </c>
      <c r="J483" s="27">
        <f>IF($B483="","",IF($A483=1,$C$7,IF(J482="",0,J482))+IF($H483="",0,$H483)-IF($I483="",0,$I483))</f>
        <v/>
      </c>
      <c r="K483" s="27">
        <f>IF($P483="","",IF(INDEX(EntryMan,$P483)=0,"",INDEX(EntryMan,$P483)))</f>
        <v/>
      </c>
      <c r="L483" s="26">
        <f>IF($B483="","",IF($K483="","—",IF(ROUND($K483-$J483,0)=0,"√","×")))</f>
        <v/>
      </c>
      <c r="M483" s="26">
        <f>IF($B483="","",IF(COUNTIFS(EntryDates,$B483,CalcTime,$C483,CalcBank,$C$5,EntryParty,$D483,EntryDep,$H483,EntryWit,$I483)&gt;1,"تکرار",""))</f>
        <v/>
      </c>
      <c r="N483" s="26">
        <f>IF($P483="","",IF(INDEX(EntryNotes,$P483)=0,"",INDEX(EntryNotes,$P483)))</f>
        <v/>
      </c>
      <c r="O483" s="26">
        <f>IF($P483="","",IF(INDEX(EntryTxnID,$P483)=0,"",INDEX(EntryTxnID,$P483)))</f>
        <v/>
      </c>
      <c r="P483" s="26">
        <f>IFERROR(MATCH($C$5&amp;"|"&amp;RIGHT("000000"&amp;467,6),CalcRankKey,0),"")</f>
        <v/>
      </c>
    </row>
    <row r="484">
      <c r="A484" s="28">
        <f>IF($B484="","",468)</f>
        <v/>
      </c>
      <c r="B484" s="28">
        <f>IF($P484="","",IF(INDEX(CalcNormDate,$P484)=0,"",INDEX(CalcNormDate,$P484)))</f>
        <v/>
      </c>
      <c r="C484" s="28">
        <f>IF($P484="","",IF(INDEX(CalcTime,$P484)=0,"",INDEX(CalcTime,$P484)))</f>
        <v/>
      </c>
      <c r="D484" s="28">
        <f>IF($P484="","",IF(INDEX(EntryParty,$P484)=0,"",INDEX(EntryParty,$P484)))</f>
        <v/>
      </c>
      <c r="E484" s="28">
        <f>IF($P484="","",IF(INDEX(EntryPartyName,$P484)=0,"",INDEX(EntryPartyName,$P484)))</f>
        <v/>
      </c>
      <c r="F484" s="28">
        <f>IF($P484="","",IF(INDEX(EntryPartyType,$P484)=0,"",INDEX(EntryPartyType,$P484)))</f>
        <v/>
      </c>
      <c r="G484" s="28">
        <f>IF($P484="","",IF(INDEX(EntryTxnType,$P484)=0,"",INDEX(EntryTxnType,$P484)))</f>
        <v/>
      </c>
      <c r="H484" s="29">
        <f>IF($P484="","",IF(INDEX(EntryDep,$P484)=0,"",INDEX(EntryDep,$P484)))</f>
        <v/>
      </c>
      <c r="I484" s="29">
        <f>IF($P484="","",IF(INDEX(EntryWit,$P484)=0,"",INDEX(EntryWit,$P484)))</f>
        <v/>
      </c>
      <c r="J484" s="29">
        <f>IF($B484="","",IF($A484=1,$C$7,IF(J483="",0,J483))+IF($H484="",0,$H484)-IF($I484="",0,$I484))</f>
        <v/>
      </c>
      <c r="K484" s="29">
        <f>IF($P484="","",IF(INDEX(EntryMan,$P484)=0,"",INDEX(EntryMan,$P484)))</f>
        <v/>
      </c>
      <c r="L484" s="28">
        <f>IF($B484="","",IF($K484="","—",IF(ROUND($K484-$J484,0)=0,"√","×")))</f>
        <v/>
      </c>
      <c r="M484" s="28">
        <f>IF($B484="","",IF(COUNTIFS(EntryDates,$B484,CalcTime,$C484,CalcBank,$C$5,EntryParty,$D484,EntryDep,$H484,EntryWit,$I484)&gt;1,"تکرار",""))</f>
        <v/>
      </c>
      <c r="N484" s="28">
        <f>IF($P484="","",IF(INDEX(EntryNotes,$P484)=0,"",INDEX(EntryNotes,$P484)))</f>
        <v/>
      </c>
      <c r="O484" s="28">
        <f>IF($P484="","",IF(INDEX(EntryTxnID,$P484)=0,"",INDEX(EntryTxnID,$P484)))</f>
        <v/>
      </c>
      <c r="P484" s="28">
        <f>IFERROR(MATCH($C$5&amp;"|"&amp;RIGHT("000000"&amp;468,6),CalcRankKey,0),"")</f>
        <v/>
      </c>
    </row>
    <row r="485">
      <c r="A485" s="26">
        <f>IF($B485="","",469)</f>
        <v/>
      </c>
      <c r="B485" s="26">
        <f>IF($P485="","",IF(INDEX(CalcNormDate,$P485)=0,"",INDEX(CalcNormDate,$P485)))</f>
        <v/>
      </c>
      <c r="C485" s="26">
        <f>IF($P485="","",IF(INDEX(CalcTime,$P485)=0,"",INDEX(CalcTime,$P485)))</f>
        <v/>
      </c>
      <c r="D485" s="26">
        <f>IF($P485="","",IF(INDEX(EntryParty,$P485)=0,"",INDEX(EntryParty,$P485)))</f>
        <v/>
      </c>
      <c r="E485" s="26">
        <f>IF($P485="","",IF(INDEX(EntryPartyName,$P485)=0,"",INDEX(EntryPartyName,$P485)))</f>
        <v/>
      </c>
      <c r="F485" s="26">
        <f>IF($P485="","",IF(INDEX(EntryPartyType,$P485)=0,"",INDEX(EntryPartyType,$P485)))</f>
        <v/>
      </c>
      <c r="G485" s="26">
        <f>IF($P485="","",IF(INDEX(EntryTxnType,$P485)=0,"",INDEX(EntryTxnType,$P485)))</f>
        <v/>
      </c>
      <c r="H485" s="27">
        <f>IF($P485="","",IF(INDEX(EntryDep,$P485)=0,"",INDEX(EntryDep,$P485)))</f>
        <v/>
      </c>
      <c r="I485" s="27">
        <f>IF($P485="","",IF(INDEX(EntryWit,$P485)=0,"",INDEX(EntryWit,$P485)))</f>
        <v/>
      </c>
      <c r="J485" s="27">
        <f>IF($B485="","",IF($A485=1,$C$7,IF(J484="",0,J484))+IF($H485="",0,$H485)-IF($I485="",0,$I485))</f>
        <v/>
      </c>
      <c r="K485" s="27">
        <f>IF($P485="","",IF(INDEX(EntryMan,$P485)=0,"",INDEX(EntryMan,$P485)))</f>
        <v/>
      </c>
      <c r="L485" s="26">
        <f>IF($B485="","",IF($K485="","—",IF(ROUND($K485-$J485,0)=0,"√","×")))</f>
        <v/>
      </c>
      <c r="M485" s="26">
        <f>IF($B485="","",IF(COUNTIFS(EntryDates,$B485,CalcTime,$C485,CalcBank,$C$5,EntryParty,$D485,EntryDep,$H485,EntryWit,$I485)&gt;1,"تکرار",""))</f>
        <v/>
      </c>
      <c r="N485" s="26">
        <f>IF($P485="","",IF(INDEX(EntryNotes,$P485)=0,"",INDEX(EntryNotes,$P485)))</f>
        <v/>
      </c>
      <c r="O485" s="26">
        <f>IF($P485="","",IF(INDEX(EntryTxnID,$P485)=0,"",INDEX(EntryTxnID,$P485)))</f>
        <v/>
      </c>
      <c r="P485" s="26">
        <f>IFERROR(MATCH($C$5&amp;"|"&amp;RIGHT("000000"&amp;469,6),CalcRankKey,0),"")</f>
        <v/>
      </c>
    </row>
    <row r="486">
      <c r="A486" s="28">
        <f>IF($B486="","",470)</f>
        <v/>
      </c>
      <c r="B486" s="28">
        <f>IF($P486="","",IF(INDEX(CalcNormDate,$P486)=0,"",INDEX(CalcNormDate,$P486)))</f>
        <v/>
      </c>
      <c r="C486" s="28">
        <f>IF($P486="","",IF(INDEX(CalcTime,$P486)=0,"",INDEX(CalcTime,$P486)))</f>
        <v/>
      </c>
      <c r="D486" s="28">
        <f>IF($P486="","",IF(INDEX(EntryParty,$P486)=0,"",INDEX(EntryParty,$P486)))</f>
        <v/>
      </c>
      <c r="E486" s="28">
        <f>IF($P486="","",IF(INDEX(EntryPartyName,$P486)=0,"",INDEX(EntryPartyName,$P486)))</f>
        <v/>
      </c>
      <c r="F486" s="28">
        <f>IF($P486="","",IF(INDEX(EntryPartyType,$P486)=0,"",INDEX(EntryPartyType,$P486)))</f>
        <v/>
      </c>
      <c r="G486" s="28">
        <f>IF($P486="","",IF(INDEX(EntryTxnType,$P486)=0,"",INDEX(EntryTxnType,$P486)))</f>
        <v/>
      </c>
      <c r="H486" s="29">
        <f>IF($P486="","",IF(INDEX(EntryDep,$P486)=0,"",INDEX(EntryDep,$P486)))</f>
        <v/>
      </c>
      <c r="I486" s="29">
        <f>IF($P486="","",IF(INDEX(EntryWit,$P486)=0,"",INDEX(EntryWit,$P486)))</f>
        <v/>
      </c>
      <c r="J486" s="29">
        <f>IF($B486="","",IF($A486=1,$C$7,IF(J485="",0,J485))+IF($H486="",0,$H486)-IF($I486="",0,$I486))</f>
        <v/>
      </c>
      <c r="K486" s="29">
        <f>IF($P486="","",IF(INDEX(EntryMan,$P486)=0,"",INDEX(EntryMan,$P486)))</f>
        <v/>
      </c>
      <c r="L486" s="28">
        <f>IF($B486="","",IF($K486="","—",IF(ROUND($K486-$J486,0)=0,"√","×")))</f>
        <v/>
      </c>
      <c r="M486" s="28">
        <f>IF($B486="","",IF(COUNTIFS(EntryDates,$B486,CalcTime,$C486,CalcBank,$C$5,EntryParty,$D486,EntryDep,$H486,EntryWit,$I486)&gt;1,"تکرار",""))</f>
        <v/>
      </c>
      <c r="N486" s="28">
        <f>IF($P486="","",IF(INDEX(EntryNotes,$P486)=0,"",INDEX(EntryNotes,$P486)))</f>
        <v/>
      </c>
      <c r="O486" s="28">
        <f>IF($P486="","",IF(INDEX(EntryTxnID,$P486)=0,"",INDEX(EntryTxnID,$P486)))</f>
        <v/>
      </c>
      <c r="P486" s="28">
        <f>IFERROR(MATCH($C$5&amp;"|"&amp;RIGHT("000000"&amp;470,6),CalcRankKey,0),"")</f>
        <v/>
      </c>
    </row>
    <row r="487">
      <c r="A487" s="26">
        <f>IF($B487="","",471)</f>
        <v/>
      </c>
      <c r="B487" s="26">
        <f>IF($P487="","",IF(INDEX(CalcNormDate,$P487)=0,"",INDEX(CalcNormDate,$P487)))</f>
        <v/>
      </c>
      <c r="C487" s="26">
        <f>IF($P487="","",IF(INDEX(CalcTime,$P487)=0,"",INDEX(CalcTime,$P487)))</f>
        <v/>
      </c>
      <c r="D487" s="26">
        <f>IF($P487="","",IF(INDEX(EntryParty,$P487)=0,"",INDEX(EntryParty,$P487)))</f>
        <v/>
      </c>
      <c r="E487" s="26">
        <f>IF($P487="","",IF(INDEX(EntryPartyName,$P487)=0,"",INDEX(EntryPartyName,$P487)))</f>
        <v/>
      </c>
      <c r="F487" s="26">
        <f>IF($P487="","",IF(INDEX(EntryPartyType,$P487)=0,"",INDEX(EntryPartyType,$P487)))</f>
        <v/>
      </c>
      <c r="G487" s="26">
        <f>IF($P487="","",IF(INDEX(EntryTxnType,$P487)=0,"",INDEX(EntryTxnType,$P487)))</f>
        <v/>
      </c>
      <c r="H487" s="27">
        <f>IF($P487="","",IF(INDEX(EntryDep,$P487)=0,"",INDEX(EntryDep,$P487)))</f>
        <v/>
      </c>
      <c r="I487" s="27">
        <f>IF($P487="","",IF(INDEX(EntryWit,$P487)=0,"",INDEX(EntryWit,$P487)))</f>
        <v/>
      </c>
      <c r="J487" s="27">
        <f>IF($B487="","",IF($A487=1,$C$7,IF(J486="",0,J486))+IF($H487="",0,$H487)-IF($I487="",0,$I487))</f>
        <v/>
      </c>
      <c r="K487" s="27">
        <f>IF($P487="","",IF(INDEX(EntryMan,$P487)=0,"",INDEX(EntryMan,$P487)))</f>
        <v/>
      </c>
      <c r="L487" s="26">
        <f>IF($B487="","",IF($K487="","—",IF(ROUND($K487-$J487,0)=0,"√","×")))</f>
        <v/>
      </c>
      <c r="M487" s="26">
        <f>IF($B487="","",IF(COUNTIFS(EntryDates,$B487,CalcTime,$C487,CalcBank,$C$5,EntryParty,$D487,EntryDep,$H487,EntryWit,$I487)&gt;1,"تکرار",""))</f>
        <v/>
      </c>
      <c r="N487" s="26">
        <f>IF($P487="","",IF(INDEX(EntryNotes,$P487)=0,"",INDEX(EntryNotes,$P487)))</f>
        <v/>
      </c>
      <c r="O487" s="26">
        <f>IF($P487="","",IF(INDEX(EntryTxnID,$P487)=0,"",INDEX(EntryTxnID,$P487)))</f>
        <v/>
      </c>
      <c r="P487" s="26">
        <f>IFERROR(MATCH($C$5&amp;"|"&amp;RIGHT("000000"&amp;471,6),CalcRankKey,0),"")</f>
        <v/>
      </c>
    </row>
    <row r="488">
      <c r="A488" s="28">
        <f>IF($B488="","",472)</f>
        <v/>
      </c>
      <c r="B488" s="28">
        <f>IF($P488="","",IF(INDEX(CalcNormDate,$P488)=0,"",INDEX(CalcNormDate,$P488)))</f>
        <v/>
      </c>
      <c r="C488" s="28">
        <f>IF($P488="","",IF(INDEX(CalcTime,$P488)=0,"",INDEX(CalcTime,$P488)))</f>
        <v/>
      </c>
      <c r="D488" s="28">
        <f>IF($P488="","",IF(INDEX(EntryParty,$P488)=0,"",INDEX(EntryParty,$P488)))</f>
        <v/>
      </c>
      <c r="E488" s="28">
        <f>IF($P488="","",IF(INDEX(EntryPartyName,$P488)=0,"",INDEX(EntryPartyName,$P488)))</f>
        <v/>
      </c>
      <c r="F488" s="28">
        <f>IF($P488="","",IF(INDEX(EntryPartyType,$P488)=0,"",INDEX(EntryPartyType,$P488)))</f>
        <v/>
      </c>
      <c r="G488" s="28">
        <f>IF($P488="","",IF(INDEX(EntryTxnType,$P488)=0,"",INDEX(EntryTxnType,$P488)))</f>
        <v/>
      </c>
      <c r="H488" s="29">
        <f>IF($P488="","",IF(INDEX(EntryDep,$P488)=0,"",INDEX(EntryDep,$P488)))</f>
        <v/>
      </c>
      <c r="I488" s="29">
        <f>IF($P488="","",IF(INDEX(EntryWit,$P488)=0,"",INDEX(EntryWit,$P488)))</f>
        <v/>
      </c>
      <c r="J488" s="29">
        <f>IF($B488="","",IF($A488=1,$C$7,IF(J487="",0,J487))+IF($H488="",0,$H488)-IF($I488="",0,$I488))</f>
        <v/>
      </c>
      <c r="K488" s="29">
        <f>IF($P488="","",IF(INDEX(EntryMan,$P488)=0,"",INDEX(EntryMan,$P488)))</f>
        <v/>
      </c>
      <c r="L488" s="28">
        <f>IF($B488="","",IF($K488="","—",IF(ROUND($K488-$J488,0)=0,"√","×")))</f>
        <v/>
      </c>
      <c r="M488" s="28">
        <f>IF($B488="","",IF(COUNTIFS(EntryDates,$B488,CalcTime,$C488,CalcBank,$C$5,EntryParty,$D488,EntryDep,$H488,EntryWit,$I488)&gt;1,"تکرار",""))</f>
        <v/>
      </c>
      <c r="N488" s="28">
        <f>IF($P488="","",IF(INDEX(EntryNotes,$P488)=0,"",INDEX(EntryNotes,$P488)))</f>
        <v/>
      </c>
      <c r="O488" s="28">
        <f>IF($P488="","",IF(INDEX(EntryTxnID,$P488)=0,"",INDEX(EntryTxnID,$P488)))</f>
        <v/>
      </c>
      <c r="P488" s="28">
        <f>IFERROR(MATCH($C$5&amp;"|"&amp;RIGHT("000000"&amp;472,6),CalcRankKey,0),"")</f>
        <v/>
      </c>
    </row>
    <row r="489">
      <c r="A489" s="26">
        <f>IF($B489="","",473)</f>
        <v/>
      </c>
      <c r="B489" s="26">
        <f>IF($P489="","",IF(INDEX(CalcNormDate,$P489)=0,"",INDEX(CalcNormDate,$P489)))</f>
        <v/>
      </c>
      <c r="C489" s="26">
        <f>IF($P489="","",IF(INDEX(CalcTime,$P489)=0,"",INDEX(CalcTime,$P489)))</f>
        <v/>
      </c>
      <c r="D489" s="26">
        <f>IF($P489="","",IF(INDEX(EntryParty,$P489)=0,"",INDEX(EntryParty,$P489)))</f>
        <v/>
      </c>
      <c r="E489" s="26">
        <f>IF($P489="","",IF(INDEX(EntryPartyName,$P489)=0,"",INDEX(EntryPartyName,$P489)))</f>
        <v/>
      </c>
      <c r="F489" s="26">
        <f>IF($P489="","",IF(INDEX(EntryPartyType,$P489)=0,"",INDEX(EntryPartyType,$P489)))</f>
        <v/>
      </c>
      <c r="G489" s="26">
        <f>IF($P489="","",IF(INDEX(EntryTxnType,$P489)=0,"",INDEX(EntryTxnType,$P489)))</f>
        <v/>
      </c>
      <c r="H489" s="27">
        <f>IF($P489="","",IF(INDEX(EntryDep,$P489)=0,"",INDEX(EntryDep,$P489)))</f>
        <v/>
      </c>
      <c r="I489" s="27">
        <f>IF($P489="","",IF(INDEX(EntryWit,$P489)=0,"",INDEX(EntryWit,$P489)))</f>
        <v/>
      </c>
      <c r="J489" s="27">
        <f>IF($B489="","",IF($A489=1,$C$7,IF(J488="",0,J488))+IF($H489="",0,$H489)-IF($I489="",0,$I489))</f>
        <v/>
      </c>
      <c r="K489" s="27">
        <f>IF($P489="","",IF(INDEX(EntryMan,$P489)=0,"",INDEX(EntryMan,$P489)))</f>
        <v/>
      </c>
      <c r="L489" s="26">
        <f>IF($B489="","",IF($K489="","—",IF(ROUND($K489-$J489,0)=0,"√","×")))</f>
        <v/>
      </c>
      <c r="M489" s="26">
        <f>IF($B489="","",IF(COUNTIFS(EntryDates,$B489,CalcTime,$C489,CalcBank,$C$5,EntryParty,$D489,EntryDep,$H489,EntryWit,$I489)&gt;1,"تکرار",""))</f>
        <v/>
      </c>
      <c r="N489" s="26">
        <f>IF($P489="","",IF(INDEX(EntryNotes,$P489)=0,"",INDEX(EntryNotes,$P489)))</f>
        <v/>
      </c>
      <c r="O489" s="26">
        <f>IF($P489="","",IF(INDEX(EntryTxnID,$P489)=0,"",INDEX(EntryTxnID,$P489)))</f>
        <v/>
      </c>
      <c r="P489" s="26">
        <f>IFERROR(MATCH($C$5&amp;"|"&amp;RIGHT("000000"&amp;473,6),CalcRankKey,0),"")</f>
        <v/>
      </c>
    </row>
    <row r="490">
      <c r="A490" s="28">
        <f>IF($B490="","",474)</f>
        <v/>
      </c>
      <c r="B490" s="28">
        <f>IF($P490="","",IF(INDEX(CalcNormDate,$P490)=0,"",INDEX(CalcNormDate,$P490)))</f>
        <v/>
      </c>
      <c r="C490" s="28">
        <f>IF($P490="","",IF(INDEX(CalcTime,$P490)=0,"",INDEX(CalcTime,$P490)))</f>
        <v/>
      </c>
      <c r="D490" s="28">
        <f>IF($P490="","",IF(INDEX(EntryParty,$P490)=0,"",INDEX(EntryParty,$P490)))</f>
        <v/>
      </c>
      <c r="E490" s="28">
        <f>IF($P490="","",IF(INDEX(EntryPartyName,$P490)=0,"",INDEX(EntryPartyName,$P490)))</f>
        <v/>
      </c>
      <c r="F490" s="28">
        <f>IF($P490="","",IF(INDEX(EntryPartyType,$P490)=0,"",INDEX(EntryPartyType,$P490)))</f>
        <v/>
      </c>
      <c r="G490" s="28">
        <f>IF($P490="","",IF(INDEX(EntryTxnType,$P490)=0,"",INDEX(EntryTxnType,$P490)))</f>
        <v/>
      </c>
      <c r="H490" s="29">
        <f>IF($P490="","",IF(INDEX(EntryDep,$P490)=0,"",INDEX(EntryDep,$P490)))</f>
        <v/>
      </c>
      <c r="I490" s="29">
        <f>IF($P490="","",IF(INDEX(EntryWit,$P490)=0,"",INDEX(EntryWit,$P490)))</f>
        <v/>
      </c>
      <c r="J490" s="29">
        <f>IF($B490="","",IF($A490=1,$C$7,IF(J489="",0,J489))+IF($H490="",0,$H490)-IF($I490="",0,$I490))</f>
        <v/>
      </c>
      <c r="K490" s="29">
        <f>IF($P490="","",IF(INDEX(EntryMan,$P490)=0,"",INDEX(EntryMan,$P490)))</f>
        <v/>
      </c>
      <c r="L490" s="28">
        <f>IF($B490="","",IF($K490="","—",IF(ROUND($K490-$J490,0)=0,"√","×")))</f>
        <v/>
      </c>
      <c r="M490" s="28">
        <f>IF($B490="","",IF(COUNTIFS(EntryDates,$B490,CalcTime,$C490,CalcBank,$C$5,EntryParty,$D490,EntryDep,$H490,EntryWit,$I490)&gt;1,"تکرار",""))</f>
        <v/>
      </c>
      <c r="N490" s="28">
        <f>IF($P490="","",IF(INDEX(EntryNotes,$P490)=0,"",INDEX(EntryNotes,$P490)))</f>
        <v/>
      </c>
      <c r="O490" s="28">
        <f>IF($P490="","",IF(INDEX(EntryTxnID,$P490)=0,"",INDEX(EntryTxnID,$P490)))</f>
        <v/>
      </c>
      <c r="P490" s="28">
        <f>IFERROR(MATCH($C$5&amp;"|"&amp;RIGHT("000000"&amp;474,6),CalcRankKey,0),"")</f>
        <v/>
      </c>
    </row>
    <row r="491">
      <c r="A491" s="26">
        <f>IF($B491="","",475)</f>
        <v/>
      </c>
      <c r="B491" s="26">
        <f>IF($P491="","",IF(INDEX(CalcNormDate,$P491)=0,"",INDEX(CalcNormDate,$P491)))</f>
        <v/>
      </c>
      <c r="C491" s="26">
        <f>IF($P491="","",IF(INDEX(CalcTime,$P491)=0,"",INDEX(CalcTime,$P491)))</f>
        <v/>
      </c>
      <c r="D491" s="26">
        <f>IF($P491="","",IF(INDEX(EntryParty,$P491)=0,"",INDEX(EntryParty,$P491)))</f>
        <v/>
      </c>
      <c r="E491" s="26">
        <f>IF($P491="","",IF(INDEX(EntryPartyName,$P491)=0,"",INDEX(EntryPartyName,$P491)))</f>
        <v/>
      </c>
      <c r="F491" s="26">
        <f>IF($P491="","",IF(INDEX(EntryPartyType,$P491)=0,"",INDEX(EntryPartyType,$P491)))</f>
        <v/>
      </c>
      <c r="G491" s="26">
        <f>IF($P491="","",IF(INDEX(EntryTxnType,$P491)=0,"",INDEX(EntryTxnType,$P491)))</f>
        <v/>
      </c>
      <c r="H491" s="27">
        <f>IF($P491="","",IF(INDEX(EntryDep,$P491)=0,"",INDEX(EntryDep,$P491)))</f>
        <v/>
      </c>
      <c r="I491" s="27">
        <f>IF($P491="","",IF(INDEX(EntryWit,$P491)=0,"",INDEX(EntryWit,$P491)))</f>
        <v/>
      </c>
      <c r="J491" s="27">
        <f>IF($B491="","",IF($A491=1,$C$7,IF(J490="",0,J490))+IF($H491="",0,$H491)-IF($I491="",0,$I491))</f>
        <v/>
      </c>
      <c r="K491" s="27">
        <f>IF($P491="","",IF(INDEX(EntryMan,$P491)=0,"",INDEX(EntryMan,$P491)))</f>
        <v/>
      </c>
      <c r="L491" s="26">
        <f>IF($B491="","",IF($K491="","—",IF(ROUND($K491-$J491,0)=0,"√","×")))</f>
        <v/>
      </c>
      <c r="M491" s="26">
        <f>IF($B491="","",IF(COUNTIFS(EntryDates,$B491,CalcTime,$C491,CalcBank,$C$5,EntryParty,$D491,EntryDep,$H491,EntryWit,$I491)&gt;1,"تکرار",""))</f>
        <v/>
      </c>
      <c r="N491" s="26">
        <f>IF($P491="","",IF(INDEX(EntryNotes,$P491)=0,"",INDEX(EntryNotes,$P491)))</f>
        <v/>
      </c>
      <c r="O491" s="26">
        <f>IF($P491="","",IF(INDEX(EntryTxnID,$P491)=0,"",INDEX(EntryTxnID,$P491)))</f>
        <v/>
      </c>
      <c r="P491" s="26">
        <f>IFERROR(MATCH($C$5&amp;"|"&amp;RIGHT("000000"&amp;475,6),CalcRankKey,0),"")</f>
        <v/>
      </c>
    </row>
    <row r="492">
      <c r="A492" s="28">
        <f>IF($B492="","",476)</f>
        <v/>
      </c>
      <c r="B492" s="28">
        <f>IF($P492="","",IF(INDEX(CalcNormDate,$P492)=0,"",INDEX(CalcNormDate,$P492)))</f>
        <v/>
      </c>
      <c r="C492" s="28">
        <f>IF($P492="","",IF(INDEX(CalcTime,$P492)=0,"",INDEX(CalcTime,$P492)))</f>
        <v/>
      </c>
      <c r="D492" s="28">
        <f>IF($P492="","",IF(INDEX(EntryParty,$P492)=0,"",INDEX(EntryParty,$P492)))</f>
        <v/>
      </c>
      <c r="E492" s="28">
        <f>IF($P492="","",IF(INDEX(EntryPartyName,$P492)=0,"",INDEX(EntryPartyName,$P492)))</f>
        <v/>
      </c>
      <c r="F492" s="28">
        <f>IF($P492="","",IF(INDEX(EntryPartyType,$P492)=0,"",INDEX(EntryPartyType,$P492)))</f>
        <v/>
      </c>
      <c r="G492" s="28">
        <f>IF($P492="","",IF(INDEX(EntryTxnType,$P492)=0,"",INDEX(EntryTxnType,$P492)))</f>
        <v/>
      </c>
      <c r="H492" s="29">
        <f>IF($P492="","",IF(INDEX(EntryDep,$P492)=0,"",INDEX(EntryDep,$P492)))</f>
        <v/>
      </c>
      <c r="I492" s="29">
        <f>IF($P492="","",IF(INDEX(EntryWit,$P492)=0,"",INDEX(EntryWit,$P492)))</f>
        <v/>
      </c>
      <c r="J492" s="29">
        <f>IF($B492="","",IF($A492=1,$C$7,IF(J491="",0,J491))+IF($H492="",0,$H492)-IF($I492="",0,$I492))</f>
        <v/>
      </c>
      <c r="K492" s="29">
        <f>IF($P492="","",IF(INDEX(EntryMan,$P492)=0,"",INDEX(EntryMan,$P492)))</f>
        <v/>
      </c>
      <c r="L492" s="28">
        <f>IF($B492="","",IF($K492="","—",IF(ROUND($K492-$J492,0)=0,"√","×")))</f>
        <v/>
      </c>
      <c r="M492" s="28">
        <f>IF($B492="","",IF(COUNTIFS(EntryDates,$B492,CalcTime,$C492,CalcBank,$C$5,EntryParty,$D492,EntryDep,$H492,EntryWit,$I492)&gt;1,"تکرار",""))</f>
        <v/>
      </c>
      <c r="N492" s="28">
        <f>IF($P492="","",IF(INDEX(EntryNotes,$P492)=0,"",INDEX(EntryNotes,$P492)))</f>
        <v/>
      </c>
      <c r="O492" s="28">
        <f>IF($P492="","",IF(INDEX(EntryTxnID,$P492)=0,"",INDEX(EntryTxnID,$P492)))</f>
        <v/>
      </c>
      <c r="P492" s="28">
        <f>IFERROR(MATCH($C$5&amp;"|"&amp;RIGHT("000000"&amp;476,6),CalcRankKey,0),"")</f>
        <v/>
      </c>
    </row>
    <row r="493">
      <c r="A493" s="26">
        <f>IF($B493="","",477)</f>
        <v/>
      </c>
      <c r="B493" s="26">
        <f>IF($P493="","",IF(INDEX(CalcNormDate,$P493)=0,"",INDEX(CalcNormDate,$P493)))</f>
        <v/>
      </c>
      <c r="C493" s="26">
        <f>IF($P493="","",IF(INDEX(CalcTime,$P493)=0,"",INDEX(CalcTime,$P493)))</f>
        <v/>
      </c>
      <c r="D493" s="26">
        <f>IF($P493="","",IF(INDEX(EntryParty,$P493)=0,"",INDEX(EntryParty,$P493)))</f>
        <v/>
      </c>
      <c r="E493" s="26">
        <f>IF($P493="","",IF(INDEX(EntryPartyName,$P493)=0,"",INDEX(EntryPartyName,$P493)))</f>
        <v/>
      </c>
      <c r="F493" s="26">
        <f>IF($P493="","",IF(INDEX(EntryPartyType,$P493)=0,"",INDEX(EntryPartyType,$P493)))</f>
        <v/>
      </c>
      <c r="G493" s="26">
        <f>IF($P493="","",IF(INDEX(EntryTxnType,$P493)=0,"",INDEX(EntryTxnType,$P493)))</f>
        <v/>
      </c>
      <c r="H493" s="27">
        <f>IF($P493="","",IF(INDEX(EntryDep,$P493)=0,"",INDEX(EntryDep,$P493)))</f>
        <v/>
      </c>
      <c r="I493" s="27">
        <f>IF($P493="","",IF(INDEX(EntryWit,$P493)=0,"",INDEX(EntryWit,$P493)))</f>
        <v/>
      </c>
      <c r="J493" s="27">
        <f>IF($B493="","",IF($A493=1,$C$7,IF(J492="",0,J492))+IF($H493="",0,$H493)-IF($I493="",0,$I493))</f>
        <v/>
      </c>
      <c r="K493" s="27">
        <f>IF($P493="","",IF(INDEX(EntryMan,$P493)=0,"",INDEX(EntryMan,$P493)))</f>
        <v/>
      </c>
      <c r="L493" s="26">
        <f>IF($B493="","",IF($K493="","—",IF(ROUND($K493-$J493,0)=0,"√","×")))</f>
        <v/>
      </c>
      <c r="M493" s="26">
        <f>IF($B493="","",IF(COUNTIFS(EntryDates,$B493,CalcTime,$C493,CalcBank,$C$5,EntryParty,$D493,EntryDep,$H493,EntryWit,$I493)&gt;1,"تکرار",""))</f>
        <v/>
      </c>
      <c r="N493" s="26">
        <f>IF($P493="","",IF(INDEX(EntryNotes,$P493)=0,"",INDEX(EntryNotes,$P493)))</f>
        <v/>
      </c>
      <c r="O493" s="26">
        <f>IF($P493="","",IF(INDEX(EntryTxnID,$P493)=0,"",INDEX(EntryTxnID,$P493)))</f>
        <v/>
      </c>
      <c r="P493" s="26">
        <f>IFERROR(MATCH($C$5&amp;"|"&amp;RIGHT("000000"&amp;477,6),CalcRankKey,0),"")</f>
        <v/>
      </c>
    </row>
    <row r="494">
      <c r="A494" s="28">
        <f>IF($B494="","",478)</f>
        <v/>
      </c>
      <c r="B494" s="28">
        <f>IF($P494="","",IF(INDEX(CalcNormDate,$P494)=0,"",INDEX(CalcNormDate,$P494)))</f>
        <v/>
      </c>
      <c r="C494" s="28">
        <f>IF($P494="","",IF(INDEX(CalcTime,$P494)=0,"",INDEX(CalcTime,$P494)))</f>
        <v/>
      </c>
      <c r="D494" s="28">
        <f>IF($P494="","",IF(INDEX(EntryParty,$P494)=0,"",INDEX(EntryParty,$P494)))</f>
        <v/>
      </c>
      <c r="E494" s="28">
        <f>IF($P494="","",IF(INDEX(EntryPartyName,$P494)=0,"",INDEX(EntryPartyName,$P494)))</f>
        <v/>
      </c>
      <c r="F494" s="28">
        <f>IF($P494="","",IF(INDEX(EntryPartyType,$P494)=0,"",INDEX(EntryPartyType,$P494)))</f>
        <v/>
      </c>
      <c r="G494" s="28">
        <f>IF($P494="","",IF(INDEX(EntryTxnType,$P494)=0,"",INDEX(EntryTxnType,$P494)))</f>
        <v/>
      </c>
      <c r="H494" s="29">
        <f>IF($P494="","",IF(INDEX(EntryDep,$P494)=0,"",INDEX(EntryDep,$P494)))</f>
        <v/>
      </c>
      <c r="I494" s="29">
        <f>IF($P494="","",IF(INDEX(EntryWit,$P494)=0,"",INDEX(EntryWit,$P494)))</f>
        <v/>
      </c>
      <c r="J494" s="29">
        <f>IF($B494="","",IF($A494=1,$C$7,IF(J493="",0,J493))+IF($H494="",0,$H494)-IF($I494="",0,$I494))</f>
        <v/>
      </c>
      <c r="K494" s="29">
        <f>IF($P494="","",IF(INDEX(EntryMan,$P494)=0,"",INDEX(EntryMan,$P494)))</f>
        <v/>
      </c>
      <c r="L494" s="28">
        <f>IF($B494="","",IF($K494="","—",IF(ROUND($K494-$J494,0)=0,"√","×")))</f>
        <v/>
      </c>
      <c r="M494" s="28">
        <f>IF($B494="","",IF(COUNTIFS(EntryDates,$B494,CalcTime,$C494,CalcBank,$C$5,EntryParty,$D494,EntryDep,$H494,EntryWit,$I494)&gt;1,"تکرار",""))</f>
        <v/>
      </c>
      <c r="N494" s="28">
        <f>IF($P494="","",IF(INDEX(EntryNotes,$P494)=0,"",INDEX(EntryNotes,$P494)))</f>
        <v/>
      </c>
      <c r="O494" s="28">
        <f>IF($P494="","",IF(INDEX(EntryTxnID,$P494)=0,"",INDEX(EntryTxnID,$P494)))</f>
        <v/>
      </c>
      <c r="P494" s="28">
        <f>IFERROR(MATCH($C$5&amp;"|"&amp;RIGHT("000000"&amp;478,6),CalcRankKey,0),"")</f>
        <v/>
      </c>
    </row>
    <row r="495">
      <c r="A495" s="26">
        <f>IF($B495="","",479)</f>
        <v/>
      </c>
      <c r="B495" s="26">
        <f>IF($P495="","",IF(INDEX(CalcNormDate,$P495)=0,"",INDEX(CalcNormDate,$P495)))</f>
        <v/>
      </c>
      <c r="C495" s="26">
        <f>IF($P495="","",IF(INDEX(CalcTime,$P495)=0,"",INDEX(CalcTime,$P495)))</f>
        <v/>
      </c>
      <c r="D495" s="26">
        <f>IF($P495="","",IF(INDEX(EntryParty,$P495)=0,"",INDEX(EntryParty,$P495)))</f>
        <v/>
      </c>
      <c r="E495" s="26">
        <f>IF($P495="","",IF(INDEX(EntryPartyName,$P495)=0,"",INDEX(EntryPartyName,$P495)))</f>
        <v/>
      </c>
      <c r="F495" s="26">
        <f>IF($P495="","",IF(INDEX(EntryPartyType,$P495)=0,"",INDEX(EntryPartyType,$P495)))</f>
        <v/>
      </c>
      <c r="G495" s="26">
        <f>IF($P495="","",IF(INDEX(EntryTxnType,$P495)=0,"",INDEX(EntryTxnType,$P495)))</f>
        <v/>
      </c>
      <c r="H495" s="27">
        <f>IF($P495="","",IF(INDEX(EntryDep,$P495)=0,"",INDEX(EntryDep,$P495)))</f>
        <v/>
      </c>
      <c r="I495" s="27">
        <f>IF($P495="","",IF(INDEX(EntryWit,$P495)=0,"",INDEX(EntryWit,$P495)))</f>
        <v/>
      </c>
      <c r="J495" s="27">
        <f>IF($B495="","",IF($A495=1,$C$7,IF(J494="",0,J494))+IF($H495="",0,$H495)-IF($I495="",0,$I495))</f>
        <v/>
      </c>
      <c r="K495" s="27">
        <f>IF($P495="","",IF(INDEX(EntryMan,$P495)=0,"",INDEX(EntryMan,$P495)))</f>
        <v/>
      </c>
      <c r="L495" s="26">
        <f>IF($B495="","",IF($K495="","—",IF(ROUND($K495-$J495,0)=0,"√","×")))</f>
        <v/>
      </c>
      <c r="M495" s="26">
        <f>IF($B495="","",IF(COUNTIFS(EntryDates,$B495,CalcTime,$C495,CalcBank,$C$5,EntryParty,$D495,EntryDep,$H495,EntryWit,$I495)&gt;1,"تکرار",""))</f>
        <v/>
      </c>
      <c r="N495" s="26">
        <f>IF($P495="","",IF(INDEX(EntryNotes,$P495)=0,"",INDEX(EntryNotes,$P495)))</f>
        <v/>
      </c>
      <c r="O495" s="26">
        <f>IF($P495="","",IF(INDEX(EntryTxnID,$P495)=0,"",INDEX(EntryTxnID,$P495)))</f>
        <v/>
      </c>
      <c r="P495" s="26">
        <f>IFERROR(MATCH($C$5&amp;"|"&amp;RIGHT("000000"&amp;479,6),CalcRankKey,0),"")</f>
        <v/>
      </c>
    </row>
    <row r="496">
      <c r="A496" s="28">
        <f>IF($B496="","",480)</f>
        <v/>
      </c>
      <c r="B496" s="28">
        <f>IF($P496="","",IF(INDEX(CalcNormDate,$P496)=0,"",INDEX(CalcNormDate,$P496)))</f>
        <v/>
      </c>
      <c r="C496" s="28">
        <f>IF($P496="","",IF(INDEX(CalcTime,$P496)=0,"",INDEX(CalcTime,$P496)))</f>
        <v/>
      </c>
      <c r="D496" s="28">
        <f>IF($P496="","",IF(INDEX(EntryParty,$P496)=0,"",INDEX(EntryParty,$P496)))</f>
        <v/>
      </c>
      <c r="E496" s="28">
        <f>IF($P496="","",IF(INDEX(EntryPartyName,$P496)=0,"",INDEX(EntryPartyName,$P496)))</f>
        <v/>
      </c>
      <c r="F496" s="28">
        <f>IF($P496="","",IF(INDEX(EntryPartyType,$P496)=0,"",INDEX(EntryPartyType,$P496)))</f>
        <v/>
      </c>
      <c r="G496" s="28">
        <f>IF($P496="","",IF(INDEX(EntryTxnType,$P496)=0,"",INDEX(EntryTxnType,$P496)))</f>
        <v/>
      </c>
      <c r="H496" s="29">
        <f>IF($P496="","",IF(INDEX(EntryDep,$P496)=0,"",INDEX(EntryDep,$P496)))</f>
        <v/>
      </c>
      <c r="I496" s="29">
        <f>IF($P496="","",IF(INDEX(EntryWit,$P496)=0,"",INDEX(EntryWit,$P496)))</f>
        <v/>
      </c>
      <c r="J496" s="29">
        <f>IF($B496="","",IF($A496=1,$C$7,IF(J495="",0,J495))+IF($H496="",0,$H496)-IF($I496="",0,$I496))</f>
        <v/>
      </c>
      <c r="K496" s="29">
        <f>IF($P496="","",IF(INDEX(EntryMan,$P496)=0,"",INDEX(EntryMan,$P496)))</f>
        <v/>
      </c>
      <c r="L496" s="28">
        <f>IF($B496="","",IF($K496="","—",IF(ROUND($K496-$J496,0)=0,"√","×")))</f>
        <v/>
      </c>
      <c r="M496" s="28">
        <f>IF($B496="","",IF(COUNTIFS(EntryDates,$B496,CalcTime,$C496,CalcBank,$C$5,EntryParty,$D496,EntryDep,$H496,EntryWit,$I496)&gt;1,"تکرار",""))</f>
        <v/>
      </c>
      <c r="N496" s="28">
        <f>IF($P496="","",IF(INDEX(EntryNotes,$P496)=0,"",INDEX(EntryNotes,$P496)))</f>
        <v/>
      </c>
      <c r="O496" s="28">
        <f>IF($P496="","",IF(INDEX(EntryTxnID,$P496)=0,"",INDEX(EntryTxnID,$P496)))</f>
        <v/>
      </c>
      <c r="P496" s="28">
        <f>IFERROR(MATCH($C$5&amp;"|"&amp;RIGHT("000000"&amp;480,6),CalcRankKey,0),"")</f>
        <v/>
      </c>
    </row>
    <row r="497">
      <c r="A497" s="26">
        <f>IF($B497="","",481)</f>
        <v/>
      </c>
      <c r="B497" s="26">
        <f>IF($P497="","",IF(INDEX(CalcNormDate,$P497)=0,"",INDEX(CalcNormDate,$P497)))</f>
        <v/>
      </c>
      <c r="C497" s="26">
        <f>IF($P497="","",IF(INDEX(CalcTime,$P497)=0,"",INDEX(CalcTime,$P497)))</f>
        <v/>
      </c>
      <c r="D497" s="26">
        <f>IF($P497="","",IF(INDEX(EntryParty,$P497)=0,"",INDEX(EntryParty,$P497)))</f>
        <v/>
      </c>
      <c r="E497" s="26">
        <f>IF($P497="","",IF(INDEX(EntryPartyName,$P497)=0,"",INDEX(EntryPartyName,$P497)))</f>
        <v/>
      </c>
      <c r="F497" s="26">
        <f>IF($P497="","",IF(INDEX(EntryPartyType,$P497)=0,"",INDEX(EntryPartyType,$P497)))</f>
        <v/>
      </c>
      <c r="G497" s="26">
        <f>IF($P497="","",IF(INDEX(EntryTxnType,$P497)=0,"",INDEX(EntryTxnType,$P497)))</f>
        <v/>
      </c>
      <c r="H497" s="27">
        <f>IF($P497="","",IF(INDEX(EntryDep,$P497)=0,"",INDEX(EntryDep,$P497)))</f>
        <v/>
      </c>
      <c r="I497" s="27">
        <f>IF($P497="","",IF(INDEX(EntryWit,$P497)=0,"",INDEX(EntryWit,$P497)))</f>
        <v/>
      </c>
      <c r="J497" s="27">
        <f>IF($B497="","",IF($A497=1,$C$7,IF(J496="",0,J496))+IF($H497="",0,$H497)-IF($I497="",0,$I497))</f>
        <v/>
      </c>
      <c r="K497" s="27">
        <f>IF($P497="","",IF(INDEX(EntryMan,$P497)=0,"",INDEX(EntryMan,$P497)))</f>
        <v/>
      </c>
      <c r="L497" s="26">
        <f>IF($B497="","",IF($K497="","—",IF(ROUND($K497-$J497,0)=0,"√","×")))</f>
        <v/>
      </c>
      <c r="M497" s="26">
        <f>IF($B497="","",IF(COUNTIFS(EntryDates,$B497,CalcTime,$C497,CalcBank,$C$5,EntryParty,$D497,EntryDep,$H497,EntryWit,$I497)&gt;1,"تکرار",""))</f>
        <v/>
      </c>
      <c r="N497" s="26">
        <f>IF($P497="","",IF(INDEX(EntryNotes,$P497)=0,"",INDEX(EntryNotes,$P497)))</f>
        <v/>
      </c>
      <c r="O497" s="26">
        <f>IF($P497="","",IF(INDEX(EntryTxnID,$P497)=0,"",INDEX(EntryTxnID,$P497)))</f>
        <v/>
      </c>
      <c r="P497" s="26">
        <f>IFERROR(MATCH($C$5&amp;"|"&amp;RIGHT("000000"&amp;481,6),CalcRankKey,0),"")</f>
        <v/>
      </c>
    </row>
    <row r="498">
      <c r="A498" s="28">
        <f>IF($B498="","",482)</f>
        <v/>
      </c>
      <c r="B498" s="28">
        <f>IF($P498="","",IF(INDEX(CalcNormDate,$P498)=0,"",INDEX(CalcNormDate,$P498)))</f>
        <v/>
      </c>
      <c r="C498" s="28">
        <f>IF($P498="","",IF(INDEX(CalcTime,$P498)=0,"",INDEX(CalcTime,$P498)))</f>
        <v/>
      </c>
      <c r="D498" s="28">
        <f>IF($P498="","",IF(INDEX(EntryParty,$P498)=0,"",INDEX(EntryParty,$P498)))</f>
        <v/>
      </c>
      <c r="E498" s="28">
        <f>IF($P498="","",IF(INDEX(EntryPartyName,$P498)=0,"",INDEX(EntryPartyName,$P498)))</f>
        <v/>
      </c>
      <c r="F498" s="28">
        <f>IF($P498="","",IF(INDEX(EntryPartyType,$P498)=0,"",INDEX(EntryPartyType,$P498)))</f>
        <v/>
      </c>
      <c r="G498" s="28">
        <f>IF($P498="","",IF(INDEX(EntryTxnType,$P498)=0,"",INDEX(EntryTxnType,$P498)))</f>
        <v/>
      </c>
      <c r="H498" s="29">
        <f>IF($P498="","",IF(INDEX(EntryDep,$P498)=0,"",INDEX(EntryDep,$P498)))</f>
        <v/>
      </c>
      <c r="I498" s="29">
        <f>IF($P498="","",IF(INDEX(EntryWit,$P498)=0,"",INDEX(EntryWit,$P498)))</f>
        <v/>
      </c>
      <c r="J498" s="29">
        <f>IF($B498="","",IF($A498=1,$C$7,IF(J497="",0,J497))+IF($H498="",0,$H498)-IF($I498="",0,$I498))</f>
        <v/>
      </c>
      <c r="K498" s="29">
        <f>IF($P498="","",IF(INDEX(EntryMan,$P498)=0,"",INDEX(EntryMan,$P498)))</f>
        <v/>
      </c>
      <c r="L498" s="28">
        <f>IF($B498="","",IF($K498="","—",IF(ROUND($K498-$J498,0)=0,"√","×")))</f>
        <v/>
      </c>
      <c r="M498" s="28">
        <f>IF($B498="","",IF(COUNTIFS(EntryDates,$B498,CalcTime,$C498,CalcBank,$C$5,EntryParty,$D498,EntryDep,$H498,EntryWit,$I498)&gt;1,"تکرار",""))</f>
        <v/>
      </c>
      <c r="N498" s="28">
        <f>IF($P498="","",IF(INDEX(EntryNotes,$P498)=0,"",INDEX(EntryNotes,$P498)))</f>
        <v/>
      </c>
      <c r="O498" s="28">
        <f>IF($P498="","",IF(INDEX(EntryTxnID,$P498)=0,"",INDEX(EntryTxnID,$P498)))</f>
        <v/>
      </c>
      <c r="P498" s="28">
        <f>IFERROR(MATCH($C$5&amp;"|"&amp;RIGHT("000000"&amp;482,6),CalcRankKey,0),"")</f>
        <v/>
      </c>
    </row>
    <row r="499">
      <c r="A499" s="26">
        <f>IF($B499="","",483)</f>
        <v/>
      </c>
      <c r="B499" s="26">
        <f>IF($P499="","",IF(INDEX(CalcNormDate,$P499)=0,"",INDEX(CalcNormDate,$P499)))</f>
        <v/>
      </c>
      <c r="C499" s="26">
        <f>IF($P499="","",IF(INDEX(CalcTime,$P499)=0,"",INDEX(CalcTime,$P499)))</f>
        <v/>
      </c>
      <c r="D499" s="26">
        <f>IF($P499="","",IF(INDEX(EntryParty,$P499)=0,"",INDEX(EntryParty,$P499)))</f>
        <v/>
      </c>
      <c r="E499" s="26">
        <f>IF($P499="","",IF(INDEX(EntryPartyName,$P499)=0,"",INDEX(EntryPartyName,$P499)))</f>
        <v/>
      </c>
      <c r="F499" s="26">
        <f>IF($P499="","",IF(INDEX(EntryPartyType,$P499)=0,"",INDEX(EntryPartyType,$P499)))</f>
        <v/>
      </c>
      <c r="G499" s="26">
        <f>IF($P499="","",IF(INDEX(EntryTxnType,$P499)=0,"",INDEX(EntryTxnType,$P499)))</f>
        <v/>
      </c>
      <c r="H499" s="27">
        <f>IF($P499="","",IF(INDEX(EntryDep,$P499)=0,"",INDEX(EntryDep,$P499)))</f>
        <v/>
      </c>
      <c r="I499" s="27">
        <f>IF($P499="","",IF(INDEX(EntryWit,$P499)=0,"",INDEX(EntryWit,$P499)))</f>
        <v/>
      </c>
      <c r="J499" s="27">
        <f>IF($B499="","",IF($A499=1,$C$7,IF(J498="",0,J498))+IF($H499="",0,$H499)-IF($I499="",0,$I499))</f>
        <v/>
      </c>
      <c r="K499" s="27">
        <f>IF($P499="","",IF(INDEX(EntryMan,$P499)=0,"",INDEX(EntryMan,$P499)))</f>
        <v/>
      </c>
      <c r="L499" s="26">
        <f>IF($B499="","",IF($K499="","—",IF(ROUND($K499-$J499,0)=0,"√","×")))</f>
        <v/>
      </c>
      <c r="M499" s="26">
        <f>IF($B499="","",IF(COUNTIFS(EntryDates,$B499,CalcTime,$C499,CalcBank,$C$5,EntryParty,$D499,EntryDep,$H499,EntryWit,$I499)&gt;1,"تکرار",""))</f>
        <v/>
      </c>
      <c r="N499" s="26">
        <f>IF($P499="","",IF(INDEX(EntryNotes,$P499)=0,"",INDEX(EntryNotes,$P499)))</f>
        <v/>
      </c>
      <c r="O499" s="26">
        <f>IF($P499="","",IF(INDEX(EntryTxnID,$P499)=0,"",INDEX(EntryTxnID,$P499)))</f>
        <v/>
      </c>
      <c r="P499" s="26">
        <f>IFERROR(MATCH($C$5&amp;"|"&amp;RIGHT("000000"&amp;483,6),CalcRankKey,0),"")</f>
        <v/>
      </c>
    </row>
    <row r="500">
      <c r="A500" s="28">
        <f>IF($B500="","",484)</f>
        <v/>
      </c>
      <c r="B500" s="28">
        <f>IF($P500="","",IF(INDEX(CalcNormDate,$P500)=0,"",INDEX(CalcNormDate,$P500)))</f>
        <v/>
      </c>
      <c r="C500" s="28">
        <f>IF($P500="","",IF(INDEX(CalcTime,$P500)=0,"",INDEX(CalcTime,$P500)))</f>
        <v/>
      </c>
      <c r="D500" s="28">
        <f>IF($P500="","",IF(INDEX(EntryParty,$P500)=0,"",INDEX(EntryParty,$P500)))</f>
        <v/>
      </c>
      <c r="E500" s="28">
        <f>IF($P500="","",IF(INDEX(EntryPartyName,$P500)=0,"",INDEX(EntryPartyName,$P500)))</f>
        <v/>
      </c>
      <c r="F500" s="28">
        <f>IF($P500="","",IF(INDEX(EntryPartyType,$P500)=0,"",INDEX(EntryPartyType,$P500)))</f>
        <v/>
      </c>
      <c r="G500" s="28">
        <f>IF($P500="","",IF(INDEX(EntryTxnType,$P500)=0,"",INDEX(EntryTxnType,$P500)))</f>
        <v/>
      </c>
      <c r="H500" s="29">
        <f>IF($P500="","",IF(INDEX(EntryDep,$P500)=0,"",INDEX(EntryDep,$P500)))</f>
        <v/>
      </c>
      <c r="I500" s="29">
        <f>IF($P500="","",IF(INDEX(EntryWit,$P500)=0,"",INDEX(EntryWit,$P500)))</f>
        <v/>
      </c>
      <c r="J500" s="29">
        <f>IF($B500="","",IF($A500=1,$C$7,IF(J499="",0,J499))+IF($H500="",0,$H500)-IF($I500="",0,$I500))</f>
        <v/>
      </c>
      <c r="K500" s="29">
        <f>IF($P500="","",IF(INDEX(EntryMan,$P500)=0,"",INDEX(EntryMan,$P500)))</f>
        <v/>
      </c>
      <c r="L500" s="28">
        <f>IF($B500="","",IF($K500="","—",IF(ROUND($K500-$J500,0)=0,"√","×")))</f>
        <v/>
      </c>
      <c r="M500" s="28">
        <f>IF($B500="","",IF(COUNTIFS(EntryDates,$B500,CalcTime,$C500,CalcBank,$C$5,EntryParty,$D500,EntryDep,$H500,EntryWit,$I500)&gt;1,"تکرار",""))</f>
        <v/>
      </c>
      <c r="N500" s="28">
        <f>IF($P500="","",IF(INDEX(EntryNotes,$P500)=0,"",INDEX(EntryNotes,$P500)))</f>
        <v/>
      </c>
      <c r="O500" s="28">
        <f>IF($P500="","",IF(INDEX(EntryTxnID,$P500)=0,"",INDEX(EntryTxnID,$P500)))</f>
        <v/>
      </c>
      <c r="P500" s="28">
        <f>IFERROR(MATCH($C$5&amp;"|"&amp;RIGHT("000000"&amp;484,6),CalcRankKey,0),"")</f>
        <v/>
      </c>
    </row>
    <row r="501">
      <c r="A501" s="26">
        <f>IF($B501="","",485)</f>
        <v/>
      </c>
      <c r="B501" s="26">
        <f>IF($P501="","",IF(INDEX(CalcNormDate,$P501)=0,"",INDEX(CalcNormDate,$P501)))</f>
        <v/>
      </c>
      <c r="C501" s="26">
        <f>IF($P501="","",IF(INDEX(CalcTime,$P501)=0,"",INDEX(CalcTime,$P501)))</f>
        <v/>
      </c>
      <c r="D501" s="26">
        <f>IF($P501="","",IF(INDEX(EntryParty,$P501)=0,"",INDEX(EntryParty,$P501)))</f>
        <v/>
      </c>
      <c r="E501" s="26">
        <f>IF($P501="","",IF(INDEX(EntryPartyName,$P501)=0,"",INDEX(EntryPartyName,$P501)))</f>
        <v/>
      </c>
      <c r="F501" s="26">
        <f>IF($P501="","",IF(INDEX(EntryPartyType,$P501)=0,"",INDEX(EntryPartyType,$P501)))</f>
        <v/>
      </c>
      <c r="G501" s="26">
        <f>IF($P501="","",IF(INDEX(EntryTxnType,$P501)=0,"",INDEX(EntryTxnType,$P501)))</f>
        <v/>
      </c>
      <c r="H501" s="27">
        <f>IF($P501="","",IF(INDEX(EntryDep,$P501)=0,"",INDEX(EntryDep,$P501)))</f>
        <v/>
      </c>
      <c r="I501" s="27">
        <f>IF($P501="","",IF(INDEX(EntryWit,$P501)=0,"",INDEX(EntryWit,$P501)))</f>
        <v/>
      </c>
      <c r="J501" s="27">
        <f>IF($B501="","",IF($A501=1,$C$7,IF(J500="",0,J500))+IF($H501="",0,$H501)-IF($I501="",0,$I501))</f>
        <v/>
      </c>
      <c r="K501" s="27">
        <f>IF($P501="","",IF(INDEX(EntryMan,$P501)=0,"",INDEX(EntryMan,$P501)))</f>
        <v/>
      </c>
      <c r="L501" s="26">
        <f>IF($B501="","",IF($K501="","—",IF(ROUND($K501-$J501,0)=0,"√","×")))</f>
        <v/>
      </c>
      <c r="M501" s="26">
        <f>IF($B501="","",IF(COUNTIFS(EntryDates,$B501,CalcTime,$C501,CalcBank,$C$5,EntryParty,$D501,EntryDep,$H501,EntryWit,$I501)&gt;1,"تکرار",""))</f>
        <v/>
      </c>
      <c r="N501" s="26">
        <f>IF($P501="","",IF(INDEX(EntryNotes,$P501)=0,"",INDEX(EntryNotes,$P501)))</f>
        <v/>
      </c>
      <c r="O501" s="26">
        <f>IF($P501="","",IF(INDEX(EntryTxnID,$P501)=0,"",INDEX(EntryTxnID,$P501)))</f>
        <v/>
      </c>
      <c r="P501" s="26">
        <f>IFERROR(MATCH($C$5&amp;"|"&amp;RIGHT("000000"&amp;485,6),CalcRankKey,0),"")</f>
        <v/>
      </c>
    </row>
    <row r="502">
      <c r="A502" s="28">
        <f>IF($B502="","",486)</f>
        <v/>
      </c>
      <c r="B502" s="28">
        <f>IF($P502="","",IF(INDEX(CalcNormDate,$P502)=0,"",INDEX(CalcNormDate,$P502)))</f>
        <v/>
      </c>
      <c r="C502" s="28">
        <f>IF($P502="","",IF(INDEX(CalcTime,$P502)=0,"",INDEX(CalcTime,$P502)))</f>
        <v/>
      </c>
      <c r="D502" s="28">
        <f>IF($P502="","",IF(INDEX(EntryParty,$P502)=0,"",INDEX(EntryParty,$P502)))</f>
        <v/>
      </c>
      <c r="E502" s="28">
        <f>IF($P502="","",IF(INDEX(EntryPartyName,$P502)=0,"",INDEX(EntryPartyName,$P502)))</f>
        <v/>
      </c>
      <c r="F502" s="28">
        <f>IF($P502="","",IF(INDEX(EntryPartyType,$P502)=0,"",INDEX(EntryPartyType,$P502)))</f>
        <v/>
      </c>
      <c r="G502" s="28">
        <f>IF($P502="","",IF(INDEX(EntryTxnType,$P502)=0,"",INDEX(EntryTxnType,$P502)))</f>
        <v/>
      </c>
      <c r="H502" s="29">
        <f>IF($P502="","",IF(INDEX(EntryDep,$P502)=0,"",INDEX(EntryDep,$P502)))</f>
        <v/>
      </c>
      <c r="I502" s="29">
        <f>IF($P502="","",IF(INDEX(EntryWit,$P502)=0,"",INDEX(EntryWit,$P502)))</f>
        <v/>
      </c>
      <c r="J502" s="29">
        <f>IF($B502="","",IF($A502=1,$C$7,IF(J501="",0,J501))+IF($H502="",0,$H502)-IF($I502="",0,$I502))</f>
        <v/>
      </c>
      <c r="K502" s="29">
        <f>IF($P502="","",IF(INDEX(EntryMan,$P502)=0,"",INDEX(EntryMan,$P502)))</f>
        <v/>
      </c>
      <c r="L502" s="28">
        <f>IF($B502="","",IF($K502="","—",IF(ROUND($K502-$J502,0)=0,"√","×")))</f>
        <v/>
      </c>
      <c r="M502" s="28">
        <f>IF($B502="","",IF(COUNTIFS(EntryDates,$B502,CalcTime,$C502,CalcBank,$C$5,EntryParty,$D502,EntryDep,$H502,EntryWit,$I502)&gt;1,"تکرار",""))</f>
        <v/>
      </c>
      <c r="N502" s="28">
        <f>IF($P502="","",IF(INDEX(EntryNotes,$P502)=0,"",INDEX(EntryNotes,$P502)))</f>
        <v/>
      </c>
      <c r="O502" s="28">
        <f>IF($P502="","",IF(INDEX(EntryTxnID,$P502)=0,"",INDEX(EntryTxnID,$P502)))</f>
        <v/>
      </c>
      <c r="P502" s="28">
        <f>IFERROR(MATCH($C$5&amp;"|"&amp;RIGHT("000000"&amp;486,6),CalcRankKey,0),"")</f>
        <v/>
      </c>
    </row>
    <row r="503">
      <c r="A503" s="26">
        <f>IF($B503="","",487)</f>
        <v/>
      </c>
      <c r="B503" s="26">
        <f>IF($P503="","",IF(INDEX(CalcNormDate,$P503)=0,"",INDEX(CalcNormDate,$P503)))</f>
        <v/>
      </c>
      <c r="C503" s="26">
        <f>IF($P503="","",IF(INDEX(CalcTime,$P503)=0,"",INDEX(CalcTime,$P503)))</f>
        <v/>
      </c>
      <c r="D503" s="26">
        <f>IF($P503="","",IF(INDEX(EntryParty,$P503)=0,"",INDEX(EntryParty,$P503)))</f>
        <v/>
      </c>
      <c r="E503" s="26">
        <f>IF($P503="","",IF(INDEX(EntryPartyName,$P503)=0,"",INDEX(EntryPartyName,$P503)))</f>
        <v/>
      </c>
      <c r="F503" s="26">
        <f>IF($P503="","",IF(INDEX(EntryPartyType,$P503)=0,"",INDEX(EntryPartyType,$P503)))</f>
        <v/>
      </c>
      <c r="G503" s="26">
        <f>IF($P503="","",IF(INDEX(EntryTxnType,$P503)=0,"",INDEX(EntryTxnType,$P503)))</f>
        <v/>
      </c>
      <c r="H503" s="27">
        <f>IF($P503="","",IF(INDEX(EntryDep,$P503)=0,"",INDEX(EntryDep,$P503)))</f>
        <v/>
      </c>
      <c r="I503" s="27">
        <f>IF($P503="","",IF(INDEX(EntryWit,$P503)=0,"",INDEX(EntryWit,$P503)))</f>
        <v/>
      </c>
      <c r="J503" s="27">
        <f>IF($B503="","",IF($A503=1,$C$7,IF(J502="",0,J502))+IF($H503="",0,$H503)-IF($I503="",0,$I503))</f>
        <v/>
      </c>
      <c r="K503" s="27">
        <f>IF($P503="","",IF(INDEX(EntryMan,$P503)=0,"",INDEX(EntryMan,$P503)))</f>
        <v/>
      </c>
      <c r="L503" s="26">
        <f>IF($B503="","",IF($K503="","—",IF(ROUND($K503-$J503,0)=0,"√","×")))</f>
        <v/>
      </c>
      <c r="M503" s="26">
        <f>IF($B503="","",IF(COUNTIFS(EntryDates,$B503,CalcTime,$C503,CalcBank,$C$5,EntryParty,$D503,EntryDep,$H503,EntryWit,$I503)&gt;1,"تکرار",""))</f>
        <v/>
      </c>
      <c r="N503" s="26">
        <f>IF($P503="","",IF(INDEX(EntryNotes,$P503)=0,"",INDEX(EntryNotes,$P503)))</f>
        <v/>
      </c>
      <c r="O503" s="26">
        <f>IF($P503="","",IF(INDEX(EntryTxnID,$P503)=0,"",INDEX(EntryTxnID,$P503)))</f>
        <v/>
      </c>
      <c r="P503" s="26">
        <f>IFERROR(MATCH($C$5&amp;"|"&amp;RIGHT("000000"&amp;487,6),CalcRankKey,0),"")</f>
        <v/>
      </c>
    </row>
    <row r="504">
      <c r="A504" s="28">
        <f>IF($B504="","",488)</f>
        <v/>
      </c>
      <c r="B504" s="28">
        <f>IF($P504="","",IF(INDEX(CalcNormDate,$P504)=0,"",INDEX(CalcNormDate,$P504)))</f>
        <v/>
      </c>
      <c r="C504" s="28">
        <f>IF($P504="","",IF(INDEX(CalcTime,$P504)=0,"",INDEX(CalcTime,$P504)))</f>
        <v/>
      </c>
      <c r="D504" s="28">
        <f>IF($P504="","",IF(INDEX(EntryParty,$P504)=0,"",INDEX(EntryParty,$P504)))</f>
        <v/>
      </c>
      <c r="E504" s="28">
        <f>IF($P504="","",IF(INDEX(EntryPartyName,$P504)=0,"",INDEX(EntryPartyName,$P504)))</f>
        <v/>
      </c>
      <c r="F504" s="28">
        <f>IF($P504="","",IF(INDEX(EntryPartyType,$P504)=0,"",INDEX(EntryPartyType,$P504)))</f>
        <v/>
      </c>
      <c r="G504" s="28">
        <f>IF($P504="","",IF(INDEX(EntryTxnType,$P504)=0,"",INDEX(EntryTxnType,$P504)))</f>
        <v/>
      </c>
      <c r="H504" s="29">
        <f>IF($P504="","",IF(INDEX(EntryDep,$P504)=0,"",INDEX(EntryDep,$P504)))</f>
        <v/>
      </c>
      <c r="I504" s="29">
        <f>IF($P504="","",IF(INDEX(EntryWit,$P504)=0,"",INDEX(EntryWit,$P504)))</f>
        <v/>
      </c>
      <c r="J504" s="29">
        <f>IF($B504="","",IF($A504=1,$C$7,IF(J503="",0,J503))+IF($H504="",0,$H504)-IF($I504="",0,$I504))</f>
        <v/>
      </c>
      <c r="K504" s="29">
        <f>IF($P504="","",IF(INDEX(EntryMan,$P504)=0,"",INDEX(EntryMan,$P504)))</f>
        <v/>
      </c>
      <c r="L504" s="28">
        <f>IF($B504="","",IF($K504="","—",IF(ROUND($K504-$J504,0)=0,"√","×")))</f>
        <v/>
      </c>
      <c r="M504" s="28">
        <f>IF($B504="","",IF(COUNTIFS(EntryDates,$B504,CalcTime,$C504,CalcBank,$C$5,EntryParty,$D504,EntryDep,$H504,EntryWit,$I504)&gt;1,"تکرار",""))</f>
        <v/>
      </c>
      <c r="N504" s="28">
        <f>IF($P504="","",IF(INDEX(EntryNotes,$P504)=0,"",INDEX(EntryNotes,$P504)))</f>
        <v/>
      </c>
      <c r="O504" s="28">
        <f>IF($P504="","",IF(INDEX(EntryTxnID,$P504)=0,"",INDEX(EntryTxnID,$P504)))</f>
        <v/>
      </c>
      <c r="P504" s="28">
        <f>IFERROR(MATCH($C$5&amp;"|"&amp;RIGHT("000000"&amp;488,6),CalcRankKey,0),"")</f>
        <v/>
      </c>
    </row>
    <row r="505">
      <c r="A505" s="26">
        <f>IF($B505="","",489)</f>
        <v/>
      </c>
      <c r="B505" s="26">
        <f>IF($P505="","",IF(INDEX(CalcNormDate,$P505)=0,"",INDEX(CalcNormDate,$P505)))</f>
        <v/>
      </c>
      <c r="C505" s="26">
        <f>IF($P505="","",IF(INDEX(CalcTime,$P505)=0,"",INDEX(CalcTime,$P505)))</f>
        <v/>
      </c>
      <c r="D505" s="26">
        <f>IF($P505="","",IF(INDEX(EntryParty,$P505)=0,"",INDEX(EntryParty,$P505)))</f>
        <v/>
      </c>
      <c r="E505" s="26">
        <f>IF($P505="","",IF(INDEX(EntryPartyName,$P505)=0,"",INDEX(EntryPartyName,$P505)))</f>
        <v/>
      </c>
      <c r="F505" s="26">
        <f>IF($P505="","",IF(INDEX(EntryPartyType,$P505)=0,"",INDEX(EntryPartyType,$P505)))</f>
        <v/>
      </c>
      <c r="G505" s="26">
        <f>IF($P505="","",IF(INDEX(EntryTxnType,$P505)=0,"",INDEX(EntryTxnType,$P505)))</f>
        <v/>
      </c>
      <c r="H505" s="27">
        <f>IF($P505="","",IF(INDEX(EntryDep,$P505)=0,"",INDEX(EntryDep,$P505)))</f>
        <v/>
      </c>
      <c r="I505" s="27">
        <f>IF($P505="","",IF(INDEX(EntryWit,$P505)=0,"",INDEX(EntryWit,$P505)))</f>
        <v/>
      </c>
      <c r="J505" s="27">
        <f>IF($B505="","",IF($A505=1,$C$7,IF(J504="",0,J504))+IF($H505="",0,$H505)-IF($I505="",0,$I505))</f>
        <v/>
      </c>
      <c r="K505" s="27">
        <f>IF($P505="","",IF(INDEX(EntryMan,$P505)=0,"",INDEX(EntryMan,$P505)))</f>
        <v/>
      </c>
      <c r="L505" s="26">
        <f>IF($B505="","",IF($K505="","—",IF(ROUND($K505-$J505,0)=0,"√","×")))</f>
        <v/>
      </c>
      <c r="M505" s="26">
        <f>IF($B505="","",IF(COUNTIFS(EntryDates,$B505,CalcTime,$C505,CalcBank,$C$5,EntryParty,$D505,EntryDep,$H505,EntryWit,$I505)&gt;1,"تکرار",""))</f>
        <v/>
      </c>
      <c r="N505" s="26">
        <f>IF($P505="","",IF(INDEX(EntryNotes,$P505)=0,"",INDEX(EntryNotes,$P505)))</f>
        <v/>
      </c>
      <c r="O505" s="26">
        <f>IF($P505="","",IF(INDEX(EntryTxnID,$P505)=0,"",INDEX(EntryTxnID,$P505)))</f>
        <v/>
      </c>
      <c r="P505" s="26">
        <f>IFERROR(MATCH($C$5&amp;"|"&amp;RIGHT("000000"&amp;489,6),CalcRankKey,0),"")</f>
        <v/>
      </c>
    </row>
    <row r="506">
      <c r="A506" s="28">
        <f>IF($B506="","",490)</f>
        <v/>
      </c>
      <c r="B506" s="28">
        <f>IF($P506="","",IF(INDEX(CalcNormDate,$P506)=0,"",INDEX(CalcNormDate,$P506)))</f>
        <v/>
      </c>
      <c r="C506" s="28">
        <f>IF($P506="","",IF(INDEX(CalcTime,$P506)=0,"",INDEX(CalcTime,$P506)))</f>
        <v/>
      </c>
      <c r="D506" s="28">
        <f>IF($P506="","",IF(INDEX(EntryParty,$P506)=0,"",INDEX(EntryParty,$P506)))</f>
        <v/>
      </c>
      <c r="E506" s="28">
        <f>IF($P506="","",IF(INDEX(EntryPartyName,$P506)=0,"",INDEX(EntryPartyName,$P506)))</f>
        <v/>
      </c>
      <c r="F506" s="28">
        <f>IF($P506="","",IF(INDEX(EntryPartyType,$P506)=0,"",INDEX(EntryPartyType,$P506)))</f>
        <v/>
      </c>
      <c r="G506" s="28">
        <f>IF($P506="","",IF(INDEX(EntryTxnType,$P506)=0,"",INDEX(EntryTxnType,$P506)))</f>
        <v/>
      </c>
      <c r="H506" s="29">
        <f>IF($P506="","",IF(INDEX(EntryDep,$P506)=0,"",INDEX(EntryDep,$P506)))</f>
        <v/>
      </c>
      <c r="I506" s="29">
        <f>IF($P506="","",IF(INDEX(EntryWit,$P506)=0,"",INDEX(EntryWit,$P506)))</f>
        <v/>
      </c>
      <c r="J506" s="29">
        <f>IF($B506="","",IF($A506=1,$C$7,IF(J505="",0,J505))+IF($H506="",0,$H506)-IF($I506="",0,$I506))</f>
        <v/>
      </c>
      <c r="K506" s="29">
        <f>IF($P506="","",IF(INDEX(EntryMan,$P506)=0,"",INDEX(EntryMan,$P506)))</f>
        <v/>
      </c>
      <c r="L506" s="28">
        <f>IF($B506="","",IF($K506="","—",IF(ROUND($K506-$J506,0)=0,"√","×")))</f>
        <v/>
      </c>
      <c r="M506" s="28">
        <f>IF($B506="","",IF(COUNTIFS(EntryDates,$B506,CalcTime,$C506,CalcBank,$C$5,EntryParty,$D506,EntryDep,$H506,EntryWit,$I506)&gt;1,"تکرار",""))</f>
        <v/>
      </c>
      <c r="N506" s="28">
        <f>IF($P506="","",IF(INDEX(EntryNotes,$P506)=0,"",INDEX(EntryNotes,$P506)))</f>
        <v/>
      </c>
      <c r="O506" s="28">
        <f>IF($P506="","",IF(INDEX(EntryTxnID,$P506)=0,"",INDEX(EntryTxnID,$P506)))</f>
        <v/>
      </c>
      <c r="P506" s="28">
        <f>IFERROR(MATCH($C$5&amp;"|"&amp;RIGHT("000000"&amp;490,6),CalcRankKey,0),"")</f>
        <v/>
      </c>
    </row>
    <row r="507">
      <c r="A507" s="26">
        <f>IF($B507="","",491)</f>
        <v/>
      </c>
      <c r="B507" s="26">
        <f>IF($P507="","",IF(INDEX(CalcNormDate,$P507)=0,"",INDEX(CalcNormDate,$P507)))</f>
        <v/>
      </c>
      <c r="C507" s="26">
        <f>IF($P507="","",IF(INDEX(CalcTime,$P507)=0,"",INDEX(CalcTime,$P507)))</f>
        <v/>
      </c>
      <c r="D507" s="26">
        <f>IF($P507="","",IF(INDEX(EntryParty,$P507)=0,"",INDEX(EntryParty,$P507)))</f>
        <v/>
      </c>
      <c r="E507" s="26">
        <f>IF($P507="","",IF(INDEX(EntryPartyName,$P507)=0,"",INDEX(EntryPartyName,$P507)))</f>
        <v/>
      </c>
      <c r="F507" s="26">
        <f>IF($P507="","",IF(INDEX(EntryPartyType,$P507)=0,"",INDEX(EntryPartyType,$P507)))</f>
        <v/>
      </c>
      <c r="G507" s="26">
        <f>IF($P507="","",IF(INDEX(EntryTxnType,$P507)=0,"",INDEX(EntryTxnType,$P507)))</f>
        <v/>
      </c>
      <c r="H507" s="27">
        <f>IF($P507="","",IF(INDEX(EntryDep,$P507)=0,"",INDEX(EntryDep,$P507)))</f>
        <v/>
      </c>
      <c r="I507" s="27">
        <f>IF($P507="","",IF(INDEX(EntryWit,$P507)=0,"",INDEX(EntryWit,$P507)))</f>
        <v/>
      </c>
      <c r="J507" s="27">
        <f>IF($B507="","",IF($A507=1,$C$7,IF(J506="",0,J506))+IF($H507="",0,$H507)-IF($I507="",0,$I507))</f>
        <v/>
      </c>
      <c r="K507" s="27">
        <f>IF($P507="","",IF(INDEX(EntryMan,$P507)=0,"",INDEX(EntryMan,$P507)))</f>
        <v/>
      </c>
      <c r="L507" s="26">
        <f>IF($B507="","",IF($K507="","—",IF(ROUND($K507-$J507,0)=0,"√","×")))</f>
        <v/>
      </c>
      <c r="M507" s="26">
        <f>IF($B507="","",IF(COUNTIFS(EntryDates,$B507,CalcTime,$C507,CalcBank,$C$5,EntryParty,$D507,EntryDep,$H507,EntryWit,$I507)&gt;1,"تکرار",""))</f>
        <v/>
      </c>
      <c r="N507" s="26">
        <f>IF($P507="","",IF(INDEX(EntryNotes,$P507)=0,"",INDEX(EntryNotes,$P507)))</f>
        <v/>
      </c>
      <c r="O507" s="26">
        <f>IF($P507="","",IF(INDEX(EntryTxnID,$P507)=0,"",INDEX(EntryTxnID,$P507)))</f>
        <v/>
      </c>
      <c r="P507" s="26">
        <f>IFERROR(MATCH($C$5&amp;"|"&amp;RIGHT("000000"&amp;491,6),CalcRankKey,0),"")</f>
        <v/>
      </c>
    </row>
    <row r="508">
      <c r="A508" s="28">
        <f>IF($B508="","",492)</f>
        <v/>
      </c>
      <c r="B508" s="28">
        <f>IF($P508="","",IF(INDEX(CalcNormDate,$P508)=0,"",INDEX(CalcNormDate,$P508)))</f>
        <v/>
      </c>
      <c r="C508" s="28">
        <f>IF($P508="","",IF(INDEX(CalcTime,$P508)=0,"",INDEX(CalcTime,$P508)))</f>
        <v/>
      </c>
      <c r="D508" s="28">
        <f>IF($P508="","",IF(INDEX(EntryParty,$P508)=0,"",INDEX(EntryParty,$P508)))</f>
        <v/>
      </c>
      <c r="E508" s="28">
        <f>IF($P508="","",IF(INDEX(EntryPartyName,$P508)=0,"",INDEX(EntryPartyName,$P508)))</f>
        <v/>
      </c>
      <c r="F508" s="28">
        <f>IF($P508="","",IF(INDEX(EntryPartyType,$P508)=0,"",INDEX(EntryPartyType,$P508)))</f>
        <v/>
      </c>
      <c r="G508" s="28">
        <f>IF($P508="","",IF(INDEX(EntryTxnType,$P508)=0,"",INDEX(EntryTxnType,$P508)))</f>
        <v/>
      </c>
      <c r="H508" s="29">
        <f>IF($P508="","",IF(INDEX(EntryDep,$P508)=0,"",INDEX(EntryDep,$P508)))</f>
        <v/>
      </c>
      <c r="I508" s="29">
        <f>IF($P508="","",IF(INDEX(EntryWit,$P508)=0,"",INDEX(EntryWit,$P508)))</f>
        <v/>
      </c>
      <c r="J508" s="29">
        <f>IF($B508="","",IF($A508=1,$C$7,IF(J507="",0,J507))+IF($H508="",0,$H508)-IF($I508="",0,$I508))</f>
        <v/>
      </c>
      <c r="K508" s="29">
        <f>IF($P508="","",IF(INDEX(EntryMan,$P508)=0,"",INDEX(EntryMan,$P508)))</f>
        <v/>
      </c>
      <c r="L508" s="28">
        <f>IF($B508="","",IF($K508="","—",IF(ROUND($K508-$J508,0)=0,"√","×")))</f>
        <v/>
      </c>
      <c r="M508" s="28">
        <f>IF($B508="","",IF(COUNTIFS(EntryDates,$B508,CalcTime,$C508,CalcBank,$C$5,EntryParty,$D508,EntryDep,$H508,EntryWit,$I508)&gt;1,"تکرار",""))</f>
        <v/>
      </c>
      <c r="N508" s="28">
        <f>IF($P508="","",IF(INDEX(EntryNotes,$P508)=0,"",INDEX(EntryNotes,$P508)))</f>
        <v/>
      </c>
      <c r="O508" s="28">
        <f>IF($P508="","",IF(INDEX(EntryTxnID,$P508)=0,"",INDEX(EntryTxnID,$P508)))</f>
        <v/>
      </c>
      <c r="P508" s="28">
        <f>IFERROR(MATCH($C$5&amp;"|"&amp;RIGHT("000000"&amp;492,6),CalcRankKey,0),"")</f>
        <v/>
      </c>
    </row>
    <row r="509">
      <c r="A509" s="26">
        <f>IF($B509="","",493)</f>
        <v/>
      </c>
      <c r="B509" s="26">
        <f>IF($P509="","",IF(INDEX(CalcNormDate,$P509)=0,"",INDEX(CalcNormDate,$P509)))</f>
        <v/>
      </c>
      <c r="C509" s="26">
        <f>IF($P509="","",IF(INDEX(CalcTime,$P509)=0,"",INDEX(CalcTime,$P509)))</f>
        <v/>
      </c>
      <c r="D509" s="26">
        <f>IF($P509="","",IF(INDEX(EntryParty,$P509)=0,"",INDEX(EntryParty,$P509)))</f>
        <v/>
      </c>
      <c r="E509" s="26">
        <f>IF($P509="","",IF(INDEX(EntryPartyName,$P509)=0,"",INDEX(EntryPartyName,$P509)))</f>
        <v/>
      </c>
      <c r="F509" s="26">
        <f>IF($P509="","",IF(INDEX(EntryPartyType,$P509)=0,"",INDEX(EntryPartyType,$P509)))</f>
        <v/>
      </c>
      <c r="G509" s="26">
        <f>IF($P509="","",IF(INDEX(EntryTxnType,$P509)=0,"",INDEX(EntryTxnType,$P509)))</f>
        <v/>
      </c>
      <c r="H509" s="27">
        <f>IF($P509="","",IF(INDEX(EntryDep,$P509)=0,"",INDEX(EntryDep,$P509)))</f>
        <v/>
      </c>
      <c r="I509" s="27">
        <f>IF($P509="","",IF(INDEX(EntryWit,$P509)=0,"",INDEX(EntryWit,$P509)))</f>
        <v/>
      </c>
      <c r="J509" s="27">
        <f>IF($B509="","",IF($A509=1,$C$7,IF(J508="",0,J508))+IF($H509="",0,$H509)-IF($I509="",0,$I509))</f>
        <v/>
      </c>
      <c r="K509" s="27">
        <f>IF($P509="","",IF(INDEX(EntryMan,$P509)=0,"",INDEX(EntryMan,$P509)))</f>
        <v/>
      </c>
      <c r="L509" s="26">
        <f>IF($B509="","",IF($K509="","—",IF(ROUND($K509-$J509,0)=0,"√","×")))</f>
        <v/>
      </c>
      <c r="M509" s="26">
        <f>IF($B509="","",IF(COUNTIFS(EntryDates,$B509,CalcTime,$C509,CalcBank,$C$5,EntryParty,$D509,EntryDep,$H509,EntryWit,$I509)&gt;1,"تکرار",""))</f>
        <v/>
      </c>
      <c r="N509" s="26">
        <f>IF($P509="","",IF(INDEX(EntryNotes,$P509)=0,"",INDEX(EntryNotes,$P509)))</f>
        <v/>
      </c>
      <c r="O509" s="26">
        <f>IF($P509="","",IF(INDEX(EntryTxnID,$P509)=0,"",INDEX(EntryTxnID,$P509)))</f>
        <v/>
      </c>
      <c r="P509" s="26">
        <f>IFERROR(MATCH($C$5&amp;"|"&amp;RIGHT("000000"&amp;493,6),CalcRankKey,0),"")</f>
        <v/>
      </c>
    </row>
    <row r="510">
      <c r="A510" s="28">
        <f>IF($B510="","",494)</f>
        <v/>
      </c>
      <c r="B510" s="28">
        <f>IF($P510="","",IF(INDEX(CalcNormDate,$P510)=0,"",INDEX(CalcNormDate,$P510)))</f>
        <v/>
      </c>
      <c r="C510" s="28">
        <f>IF($P510="","",IF(INDEX(CalcTime,$P510)=0,"",INDEX(CalcTime,$P510)))</f>
        <v/>
      </c>
      <c r="D510" s="28">
        <f>IF($P510="","",IF(INDEX(EntryParty,$P510)=0,"",INDEX(EntryParty,$P510)))</f>
        <v/>
      </c>
      <c r="E510" s="28">
        <f>IF($P510="","",IF(INDEX(EntryPartyName,$P510)=0,"",INDEX(EntryPartyName,$P510)))</f>
        <v/>
      </c>
      <c r="F510" s="28">
        <f>IF($P510="","",IF(INDEX(EntryPartyType,$P510)=0,"",INDEX(EntryPartyType,$P510)))</f>
        <v/>
      </c>
      <c r="G510" s="28">
        <f>IF($P510="","",IF(INDEX(EntryTxnType,$P510)=0,"",INDEX(EntryTxnType,$P510)))</f>
        <v/>
      </c>
      <c r="H510" s="29">
        <f>IF($P510="","",IF(INDEX(EntryDep,$P510)=0,"",INDEX(EntryDep,$P510)))</f>
        <v/>
      </c>
      <c r="I510" s="29">
        <f>IF($P510="","",IF(INDEX(EntryWit,$P510)=0,"",INDEX(EntryWit,$P510)))</f>
        <v/>
      </c>
      <c r="J510" s="29">
        <f>IF($B510="","",IF($A510=1,$C$7,IF(J509="",0,J509))+IF($H510="",0,$H510)-IF($I510="",0,$I510))</f>
        <v/>
      </c>
      <c r="K510" s="29">
        <f>IF($P510="","",IF(INDEX(EntryMan,$P510)=0,"",INDEX(EntryMan,$P510)))</f>
        <v/>
      </c>
      <c r="L510" s="28">
        <f>IF($B510="","",IF($K510="","—",IF(ROUND($K510-$J510,0)=0,"√","×")))</f>
        <v/>
      </c>
      <c r="M510" s="28">
        <f>IF($B510="","",IF(COUNTIFS(EntryDates,$B510,CalcTime,$C510,CalcBank,$C$5,EntryParty,$D510,EntryDep,$H510,EntryWit,$I510)&gt;1,"تکرار",""))</f>
        <v/>
      </c>
      <c r="N510" s="28">
        <f>IF($P510="","",IF(INDEX(EntryNotes,$P510)=0,"",INDEX(EntryNotes,$P510)))</f>
        <v/>
      </c>
      <c r="O510" s="28">
        <f>IF($P510="","",IF(INDEX(EntryTxnID,$P510)=0,"",INDEX(EntryTxnID,$P510)))</f>
        <v/>
      </c>
      <c r="P510" s="28">
        <f>IFERROR(MATCH($C$5&amp;"|"&amp;RIGHT("000000"&amp;494,6),CalcRankKey,0),"")</f>
        <v/>
      </c>
    </row>
    <row r="511">
      <c r="A511" s="26">
        <f>IF($B511="","",495)</f>
        <v/>
      </c>
      <c r="B511" s="26">
        <f>IF($P511="","",IF(INDEX(CalcNormDate,$P511)=0,"",INDEX(CalcNormDate,$P511)))</f>
        <v/>
      </c>
      <c r="C511" s="26">
        <f>IF($P511="","",IF(INDEX(CalcTime,$P511)=0,"",INDEX(CalcTime,$P511)))</f>
        <v/>
      </c>
      <c r="D511" s="26">
        <f>IF($P511="","",IF(INDEX(EntryParty,$P511)=0,"",INDEX(EntryParty,$P511)))</f>
        <v/>
      </c>
      <c r="E511" s="26">
        <f>IF($P511="","",IF(INDEX(EntryPartyName,$P511)=0,"",INDEX(EntryPartyName,$P511)))</f>
        <v/>
      </c>
      <c r="F511" s="26">
        <f>IF($P511="","",IF(INDEX(EntryPartyType,$P511)=0,"",INDEX(EntryPartyType,$P511)))</f>
        <v/>
      </c>
      <c r="G511" s="26">
        <f>IF($P511="","",IF(INDEX(EntryTxnType,$P511)=0,"",INDEX(EntryTxnType,$P511)))</f>
        <v/>
      </c>
      <c r="H511" s="27">
        <f>IF($P511="","",IF(INDEX(EntryDep,$P511)=0,"",INDEX(EntryDep,$P511)))</f>
        <v/>
      </c>
      <c r="I511" s="27">
        <f>IF($P511="","",IF(INDEX(EntryWit,$P511)=0,"",INDEX(EntryWit,$P511)))</f>
        <v/>
      </c>
      <c r="J511" s="27">
        <f>IF($B511="","",IF($A511=1,$C$7,IF(J510="",0,J510))+IF($H511="",0,$H511)-IF($I511="",0,$I511))</f>
        <v/>
      </c>
      <c r="K511" s="27">
        <f>IF($P511="","",IF(INDEX(EntryMan,$P511)=0,"",INDEX(EntryMan,$P511)))</f>
        <v/>
      </c>
      <c r="L511" s="26">
        <f>IF($B511="","",IF($K511="","—",IF(ROUND($K511-$J511,0)=0,"√","×")))</f>
        <v/>
      </c>
      <c r="M511" s="26">
        <f>IF($B511="","",IF(COUNTIFS(EntryDates,$B511,CalcTime,$C511,CalcBank,$C$5,EntryParty,$D511,EntryDep,$H511,EntryWit,$I511)&gt;1,"تکرار",""))</f>
        <v/>
      </c>
      <c r="N511" s="26">
        <f>IF($P511="","",IF(INDEX(EntryNotes,$P511)=0,"",INDEX(EntryNotes,$P511)))</f>
        <v/>
      </c>
      <c r="O511" s="26">
        <f>IF($P511="","",IF(INDEX(EntryTxnID,$P511)=0,"",INDEX(EntryTxnID,$P511)))</f>
        <v/>
      </c>
      <c r="P511" s="26">
        <f>IFERROR(MATCH($C$5&amp;"|"&amp;RIGHT("000000"&amp;495,6),CalcRankKey,0),"")</f>
        <v/>
      </c>
    </row>
    <row r="512">
      <c r="A512" s="28">
        <f>IF($B512="","",496)</f>
        <v/>
      </c>
      <c r="B512" s="28">
        <f>IF($P512="","",IF(INDEX(CalcNormDate,$P512)=0,"",INDEX(CalcNormDate,$P512)))</f>
        <v/>
      </c>
      <c r="C512" s="28">
        <f>IF($P512="","",IF(INDEX(CalcTime,$P512)=0,"",INDEX(CalcTime,$P512)))</f>
        <v/>
      </c>
      <c r="D512" s="28">
        <f>IF($P512="","",IF(INDEX(EntryParty,$P512)=0,"",INDEX(EntryParty,$P512)))</f>
        <v/>
      </c>
      <c r="E512" s="28">
        <f>IF($P512="","",IF(INDEX(EntryPartyName,$P512)=0,"",INDEX(EntryPartyName,$P512)))</f>
        <v/>
      </c>
      <c r="F512" s="28">
        <f>IF($P512="","",IF(INDEX(EntryPartyType,$P512)=0,"",INDEX(EntryPartyType,$P512)))</f>
        <v/>
      </c>
      <c r="G512" s="28">
        <f>IF($P512="","",IF(INDEX(EntryTxnType,$P512)=0,"",INDEX(EntryTxnType,$P512)))</f>
        <v/>
      </c>
      <c r="H512" s="29">
        <f>IF($P512="","",IF(INDEX(EntryDep,$P512)=0,"",INDEX(EntryDep,$P512)))</f>
        <v/>
      </c>
      <c r="I512" s="29">
        <f>IF($P512="","",IF(INDEX(EntryWit,$P512)=0,"",INDEX(EntryWit,$P512)))</f>
        <v/>
      </c>
      <c r="J512" s="29">
        <f>IF($B512="","",IF($A512=1,$C$7,IF(J511="",0,J511))+IF($H512="",0,$H512)-IF($I512="",0,$I512))</f>
        <v/>
      </c>
      <c r="K512" s="29">
        <f>IF($P512="","",IF(INDEX(EntryMan,$P512)=0,"",INDEX(EntryMan,$P512)))</f>
        <v/>
      </c>
      <c r="L512" s="28">
        <f>IF($B512="","",IF($K512="","—",IF(ROUND($K512-$J512,0)=0,"√","×")))</f>
        <v/>
      </c>
      <c r="M512" s="28">
        <f>IF($B512="","",IF(COUNTIFS(EntryDates,$B512,CalcTime,$C512,CalcBank,$C$5,EntryParty,$D512,EntryDep,$H512,EntryWit,$I512)&gt;1,"تکرار",""))</f>
        <v/>
      </c>
      <c r="N512" s="28">
        <f>IF($P512="","",IF(INDEX(EntryNotes,$P512)=0,"",INDEX(EntryNotes,$P512)))</f>
        <v/>
      </c>
      <c r="O512" s="28">
        <f>IF($P512="","",IF(INDEX(EntryTxnID,$P512)=0,"",INDEX(EntryTxnID,$P512)))</f>
        <v/>
      </c>
      <c r="P512" s="28">
        <f>IFERROR(MATCH($C$5&amp;"|"&amp;RIGHT("000000"&amp;496,6),CalcRankKey,0),"")</f>
        <v/>
      </c>
    </row>
    <row r="513">
      <c r="A513" s="26">
        <f>IF($B513="","",497)</f>
        <v/>
      </c>
      <c r="B513" s="26">
        <f>IF($P513="","",IF(INDEX(CalcNormDate,$P513)=0,"",INDEX(CalcNormDate,$P513)))</f>
        <v/>
      </c>
      <c r="C513" s="26">
        <f>IF($P513="","",IF(INDEX(CalcTime,$P513)=0,"",INDEX(CalcTime,$P513)))</f>
        <v/>
      </c>
      <c r="D513" s="26">
        <f>IF($P513="","",IF(INDEX(EntryParty,$P513)=0,"",INDEX(EntryParty,$P513)))</f>
        <v/>
      </c>
      <c r="E513" s="26">
        <f>IF($P513="","",IF(INDEX(EntryPartyName,$P513)=0,"",INDEX(EntryPartyName,$P513)))</f>
        <v/>
      </c>
      <c r="F513" s="26">
        <f>IF($P513="","",IF(INDEX(EntryPartyType,$P513)=0,"",INDEX(EntryPartyType,$P513)))</f>
        <v/>
      </c>
      <c r="G513" s="26">
        <f>IF($P513="","",IF(INDEX(EntryTxnType,$P513)=0,"",INDEX(EntryTxnType,$P513)))</f>
        <v/>
      </c>
      <c r="H513" s="27">
        <f>IF($P513="","",IF(INDEX(EntryDep,$P513)=0,"",INDEX(EntryDep,$P513)))</f>
        <v/>
      </c>
      <c r="I513" s="27">
        <f>IF($P513="","",IF(INDEX(EntryWit,$P513)=0,"",INDEX(EntryWit,$P513)))</f>
        <v/>
      </c>
      <c r="J513" s="27">
        <f>IF($B513="","",IF($A513=1,$C$7,IF(J512="",0,J512))+IF($H513="",0,$H513)-IF($I513="",0,$I513))</f>
        <v/>
      </c>
      <c r="K513" s="27">
        <f>IF($P513="","",IF(INDEX(EntryMan,$P513)=0,"",INDEX(EntryMan,$P513)))</f>
        <v/>
      </c>
      <c r="L513" s="26">
        <f>IF($B513="","",IF($K513="","—",IF(ROUND($K513-$J513,0)=0,"√","×")))</f>
        <v/>
      </c>
      <c r="M513" s="26">
        <f>IF($B513="","",IF(COUNTIFS(EntryDates,$B513,CalcTime,$C513,CalcBank,$C$5,EntryParty,$D513,EntryDep,$H513,EntryWit,$I513)&gt;1,"تکرار",""))</f>
        <v/>
      </c>
      <c r="N513" s="26">
        <f>IF($P513="","",IF(INDEX(EntryNotes,$P513)=0,"",INDEX(EntryNotes,$P513)))</f>
        <v/>
      </c>
      <c r="O513" s="26">
        <f>IF($P513="","",IF(INDEX(EntryTxnID,$P513)=0,"",INDEX(EntryTxnID,$P513)))</f>
        <v/>
      </c>
      <c r="P513" s="26">
        <f>IFERROR(MATCH($C$5&amp;"|"&amp;RIGHT("000000"&amp;497,6),CalcRankKey,0),"")</f>
        <v/>
      </c>
    </row>
    <row r="514">
      <c r="A514" s="28">
        <f>IF($B514="","",498)</f>
        <v/>
      </c>
      <c r="B514" s="28">
        <f>IF($P514="","",IF(INDEX(CalcNormDate,$P514)=0,"",INDEX(CalcNormDate,$P514)))</f>
        <v/>
      </c>
      <c r="C514" s="28">
        <f>IF($P514="","",IF(INDEX(CalcTime,$P514)=0,"",INDEX(CalcTime,$P514)))</f>
        <v/>
      </c>
      <c r="D514" s="28">
        <f>IF($P514="","",IF(INDEX(EntryParty,$P514)=0,"",INDEX(EntryParty,$P514)))</f>
        <v/>
      </c>
      <c r="E514" s="28">
        <f>IF($P514="","",IF(INDEX(EntryPartyName,$P514)=0,"",INDEX(EntryPartyName,$P514)))</f>
        <v/>
      </c>
      <c r="F514" s="28">
        <f>IF($P514="","",IF(INDEX(EntryPartyType,$P514)=0,"",INDEX(EntryPartyType,$P514)))</f>
        <v/>
      </c>
      <c r="G514" s="28">
        <f>IF($P514="","",IF(INDEX(EntryTxnType,$P514)=0,"",INDEX(EntryTxnType,$P514)))</f>
        <v/>
      </c>
      <c r="H514" s="29">
        <f>IF($P514="","",IF(INDEX(EntryDep,$P514)=0,"",INDEX(EntryDep,$P514)))</f>
        <v/>
      </c>
      <c r="I514" s="29">
        <f>IF($P514="","",IF(INDEX(EntryWit,$P514)=0,"",INDEX(EntryWit,$P514)))</f>
        <v/>
      </c>
      <c r="J514" s="29">
        <f>IF($B514="","",IF($A514=1,$C$7,IF(J513="",0,J513))+IF($H514="",0,$H514)-IF($I514="",0,$I514))</f>
        <v/>
      </c>
      <c r="K514" s="29">
        <f>IF($P514="","",IF(INDEX(EntryMan,$P514)=0,"",INDEX(EntryMan,$P514)))</f>
        <v/>
      </c>
      <c r="L514" s="28">
        <f>IF($B514="","",IF($K514="","—",IF(ROUND($K514-$J514,0)=0,"√","×")))</f>
        <v/>
      </c>
      <c r="M514" s="28">
        <f>IF($B514="","",IF(COUNTIFS(EntryDates,$B514,CalcTime,$C514,CalcBank,$C$5,EntryParty,$D514,EntryDep,$H514,EntryWit,$I514)&gt;1,"تکرار",""))</f>
        <v/>
      </c>
      <c r="N514" s="28">
        <f>IF($P514="","",IF(INDEX(EntryNotes,$P514)=0,"",INDEX(EntryNotes,$P514)))</f>
        <v/>
      </c>
      <c r="O514" s="28">
        <f>IF($P514="","",IF(INDEX(EntryTxnID,$P514)=0,"",INDEX(EntryTxnID,$P514)))</f>
        <v/>
      </c>
      <c r="P514" s="28">
        <f>IFERROR(MATCH($C$5&amp;"|"&amp;RIGHT("000000"&amp;498,6),CalcRankKey,0),"")</f>
        <v/>
      </c>
    </row>
    <row r="515">
      <c r="A515" s="26">
        <f>IF($B515="","",499)</f>
        <v/>
      </c>
      <c r="B515" s="26">
        <f>IF($P515="","",IF(INDEX(CalcNormDate,$P515)=0,"",INDEX(CalcNormDate,$P515)))</f>
        <v/>
      </c>
      <c r="C515" s="26">
        <f>IF($P515="","",IF(INDEX(CalcTime,$P515)=0,"",INDEX(CalcTime,$P515)))</f>
        <v/>
      </c>
      <c r="D515" s="26">
        <f>IF($P515="","",IF(INDEX(EntryParty,$P515)=0,"",INDEX(EntryParty,$P515)))</f>
        <v/>
      </c>
      <c r="E515" s="26">
        <f>IF($P515="","",IF(INDEX(EntryPartyName,$P515)=0,"",INDEX(EntryPartyName,$P515)))</f>
        <v/>
      </c>
      <c r="F515" s="26">
        <f>IF($P515="","",IF(INDEX(EntryPartyType,$P515)=0,"",INDEX(EntryPartyType,$P515)))</f>
        <v/>
      </c>
      <c r="G515" s="26">
        <f>IF($P515="","",IF(INDEX(EntryTxnType,$P515)=0,"",INDEX(EntryTxnType,$P515)))</f>
        <v/>
      </c>
      <c r="H515" s="27">
        <f>IF($P515="","",IF(INDEX(EntryDep,$P515)=0,"",INDEX(EntryDep,$P515)))</f>
        <v/>
      </c>
      <c r="I515" s="27">
        <f>IF($P515="","",IF(INDEX(EntryWit,$P515)=0,"",INDEX(EntryWit,$P515)))</f>
        <v/>
      </c>
      <c r="J515" s="27">
        <f>IF($B515="","",IF($A515=1,$C$7,IF(J514="",0,J514))+IF($H515="",0,$H515)-IF($I515="",0,$I515))</f>
        <v/>
      </c>
      <c r="K515" s="27">
        <f>IF($P515="","",IF(INDEX(EntryMan,$P515)=0,"",INDEX(EntryMan,$P515)))</f>
        <v/>
      </c>
      <c r="L515" s="26">
        <f>IF($B515="","",IF($K515="","—",IF(ROUND($K515-$J515,0)=0,"√","×")))</f>
        <v/>
      </c>
      <c r="M515" s="26">
        <f>IF($B515="","",IF(COUNTIFS(EntryDates,$B515,CalcTime,$C515,CalcBank,$C$5,EntryParty,$D515,EntryDep,$H515,EntryWit,$I515)&gt;1,"تکرار",""))</f>
        <v/>
      </c>
      <c r="N515" s="26">
        <f>IF($P515="","",IF(INDEX(EntryNotes,$P515)=0,"",INDEX(EntryNotes,$P515)))</f>
        <v/>
      </c>
      <c r="O515" s="26">
        <f>IF($P515="","",IF(INDEX(EntryTxnID,$P515)=0,"",INDEX(EntryTxnID,$P515)))</f>
        <v/>
      </c>
      <c r="P515" s="26">
        <f>IFERROR(MATCH($C$5&amp;"|"&amp;RIGHT("000000"&amp;499,6),CalcRankKey,0),"")</f>
        <v/>
      </c>
    </row>
    <row r="516">
      <c r="A516" s="28">
        <f>IF($B516="","",500)</f>
        <v/>
      </c>
      <c r="B516" s="28">
        <f>IF($P516="","",IF(INDEX(CalcNormDate,$P516)=0,"",INDEX(CalcNormDate,$P516)))</f>
        <v/>
      </c>
      <c r="C516" s="28">
        <f>IF($P516="","",IF(INDEX(CalcTime,$P516)=0,"",INDEX(CalcTime,$P516)))</f>
        <v/>
      </c>
      <c r="D516" s="28">
        <f>IF($P516="","",IF(INDEX(EntryParty,$P516)=0,"",INDEX(EntryParty,$P516)))</f>
        <v/>
      </c>
      <c r="E516" s="28">
        <f>IF($P516="","",IF(INDEX(EntryPartyName,$P516)=0,"",INDEX(EntryPartyName,$P516)))</f>
        <v/>
      </c>
      <c r="F516" s="28">
        <f>IF($P516="","",IF(INDEX(EntryPartyType,$P516)=0,"",INDEX(EntryPartyType,$P516)))</f>
        <v/>
      </c>
      <c r="G516" s="28">
        <f>IF($P516="","",IF(INDEX(EntryTxnType,$P516)=0,"",INDEX(EntryTxnType,$P516)))</f>
        <v/>
      </c>
      <c r="H516" s="29">
        <f>IF($P516="","",IF(INDEX(EntryDep,$P516)=0,"",INDEX(EntryDep,$P516)))</f>
        <v/>
      </c>
      <c r="I516" s="29">
        <f>IF($P516="","",IF(INDEX(EntryWit,$P516)=0,"",INDEX(EntryWit,$P516)))</f>
        <v/>
      </c>
      <c r="J516" s="29">
        <f>IF($B516="","",IF($A516=1,$C$7,IF(J515="",0,J515))+IF($H516="",0,$H516)-IF($I516="",0,$I516))</f>
        <v/>
      </c>
      <c r="K516" s="29">
        <f>IF($P516="","",IF(INDEX(EntryMan,$P516)=0,"",INDEX(EntryMan,$P516)))</f>
        <v/>
      </c>
      <c r="L516" s="28">
        <f>IF($B516="","",IF($K516="","—",IF(ROUND($K516-$J516,0)=0,"√","×")))</f>
        <v/>
      </c>
      <c r="M516" s="28">
        <f>IF($B516="","",IF(COUNTIFS(EntryDates,$B516,CalcTime,$C516,CalcBank,$C$5,EntryParty,$D516,EntryDep,$H516,EntryWit,$I516)&gt;1,"تکرار",""))</f>
        <v/>
      </c>
      <c r="N516" s="28">
        <f>IF($P516="","",IF(INDEX(EntryNotes,$P516)=0,"",INDEX(EntryNotes,$P516)))</f>
        <v/>
      </c>
      <c r="O516" s="28">
        <f>IF($P516="","",IF(INDEX(EntryTxnID,$P516)=0,"",INDEX(EntryTxnID,$P516)))</f>
        <v/>
      </c>
      <c r="P516" s="28">
        <f>IFERROR(MATCH($C$5&amp;"|"&amp;RIGHT("000000"&amp;500,6),CalcRankKey,0),"")</f>
        <v/>
      </c>
    </row>
  </sheetData>
  <mergeCells count="43">
    <mergeCell ref="E12:F12"/>
    <mergeCell ref="G12:H12"/>
    <mergeCell ref="O12"/>
    <mergeCell ref="H10:I10"/>
    <mergeCell ref="I4:O4"/>
    <mergeCell ref="A6:B6"/>
    <mergeCell ref="H9:I9"/>
    <mergeCell ref="J7:O7"/>
    <mergeCell ref="O13"/>
    <mergeCell ref="A2:O2"/>
    <mergeCell ref="A7:B7"/>
    <mergeCell ref="H6:I6"/>
    <mergeCell ref="C8:E8"/>
    <mergeCell ref="E13:F13"/>
    <mergeCell ref="G13:H13"/>
    <mergeCell ref="C7:E7"/>
    <mergeCell ref="A9:E10"/>
    <mergeCell ref="A12:B12"/>
    <mergeCell ref="M13:N13"/>
    <mergeCell ref="C12:D12"/>
    <mergeCell ref="A3:H3"/>
    <mergeCell ref="I12:J12"/>
    <mergeCell ref="K12:L12"/>
    <mergeCell ref="M12:N12"/>
    <mergeCell ref="H7:I7"/>
    <mergeCell ref="A5:B5"/>
    <mergeCell ref="J8:O8"/>
    <mergeCell ref="A8:B8"/>
    <mergeCell ref="C6:E6"/>
    <mergeCell ref="A4:H4"/>
    <mergeCell ref="J5:O5"/>
    <mergeCell ref="C5:E5"/>
    <mergeCell ref="J10:O10"/>
    <mergeCell ref="I3:O3"/>
    <mergeCell ref="A1:O1"/>
    <mergeCell ref="A13:B13"/>
    <mergeCell ref="H5:I5"/>
    <mergeCell ref="J9:O9"/>
    <mergeCell ref="C13:D13"/>
    <mergeCell ref="H8:I8"/>
    <mergeCell ref="I13:J13"/>
    <mergeCell ref="K13:L13"/>
    <mergeCell ref="J6:O6"/>
  </mergeCells>
  <conditionalFormatting sqref="L17:L516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3">
      <formula>"—"</formula>
    </cfRule>
  </conditionalFormatting>
  <conditionalFormatting sqref="M17:M516">
    <cfRule type="cellIs" priority="4" operator="equal" dxfId="4">
      <formula>"تکرار"</formula>
    </cfRule>
  </conditionalFormatting>
  <conditionalFormatting sqref="J17:J516">
    <cfRule type="cellIs" priority="5" operator="lessThan" dxfId="5">
      <formula>0</formula>
    </cfRule>
  </conditionalFormatting>
  <conditionalFormatting sqref="H17:H516">
    <cfRule type="dataBar" priority="6">
      <dataBar showValue="1">
        <cfvo type="num" val="0"/>
        <cfvo type="max"/>
        <color rgb="0081C784"/>
      </dataBar>
    </cfRule>
  </conditionalFormatting>
  <conditionalFormatting sqref="I17:I516">
    <cfRule type="dataBar" priority="7">
      <dataBar showValue="1">
        <cfvo type="num" val="0"/>
        <cfvo type="max"/>
        <color rgb="00FF8A65"/>
      </dataBar>
    </cfRule>
  </conditionalFormatting>
  <conditionalFormatting sqref="A4:H4">
    <cfRule type="expression" priority="8" dxfId="6">
      <formula>LEN($A$4)&gt;0</formula>
    </cfRule>
  </conditionalFormatting>
  <conditionalFormatting sqref="I13">
    <cfRule type="expression" priority="9" dxfId="7">
      <formula>ISNUMBER(SEARCH("×",$I$13))</formula>
    </cfRule>
    <cfRule type="expression" priority="10" dxfId="8">
      <formula>ISNUMBER(SEARCH("√",$I$13))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بانکی — BANK01&amp;R&amp;"Tahoma"&amp;8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P5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.5" customWidth="1" min="3" max="3"/>
    <col width="10" customWidth="1" min="4" max="4"/>
    <col width="2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0" customWidth="1" min="13" max="13"/>
    <col width="27" customWidth="1" min="14" max="14"/>
    <col width="11" customWidth="1" min="15" max="15"/>
    <col hidden="1" width="6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15">
        <f>IFERROR("صورت حساب بانکی — "&amp;IF(VLOOKUP("BANK02",BankTbl,2,0)="","(بدون عنوان)",VLOOKUP("BANK02",BankTbl,2,0)),"صورت حساب بانکی")</f>
        <v/>
      </c>
      <c r="B3" s="15" t="n"/>
      <c r="C3" s="15" t="n"/>
      <c r="D3" s="15" t="n"/>
      <c r="E3" s="15" t="n"/>
      <c r="F3" s="15" t="n"/>
      <c r="G3" s="15" t="n"/>
      <c r="H3" s="15" t="n"/>
      <c r="I3" s="16">
        <f>"کد حساب: BANK02"</f>
        <v/>
      </c>
      <c r="J3" s="16" t="n"/>
      <c r="K3" s="16" t="n"/>
      <c r="L3" s="16" t="n"/>
      <c r="M3" s="16" t="n"/>
      <c r="N3" s="16" t="n"/>
      <c r="O3" s="16" t="n"/>
    </row>
    <row r="4" ht="14" customHeight="1">
      <c r="A4" s="17">
        <f>IF(COUNTIFS(CalcBank,"BANK02")&gt;500,"× ظرفیت 500 ردیف این برگه پر شده — آخرین ردیف را به پایین کپی کنید","")</f>
        <v/>
      </c>
      <c r="B4" s="17" t="n"/>
      <c r="C4" s="17" t="n"/>
      <c r="D4" s="17" t="n"/>
      <c r="E4" s="17" t="n"/>
      <c r="F4" s="17" t="n"/>
      <c r="G4" s="17" t="n"/>
      <c r="H4" s="17" t="n"/>
      <c r="I4" s="18" t="inlineStr">
        <is>
          <t>مشخصات رسمی زیر، دستی وارد می‌شود (زردرنگ).</t>
        </is>
      </c>
      <c r="J4" s="18" t="n"/>
      <c r="K4" s="18" t="n"/>
      <c r="L4" s="18" t="n"/>
      <c r="M4" s="18" t="n"/>
      <c r="N4" s="18" t="n"/>
      <c r="O4" s="18" t="n"/>
    </row>
    <row r="5" ht="18" customHeight="1">
      <c r="A5" s="19" t="inlineStr">
        <is>
          <t>کد حساب:</t>
        </is>
      </c>
      <c r="B5" s="19" t="n"/>
      <c r="C5" s="20" t="inlineStr">
        <is>
          <t>BANK02</t>
        </is>
      </c>
      <c r="D5" s="20" t="n"/>
      <c r="E5" s="20" t="n"/>
      <c r="H5" s="19" t="inlineStr">
        <is>
          <t>نام رسمی بانک:</t>
        </is>
      </c>
      <c r="I5" s="19" t="n"/>
      <c r="J5" s="21" t="n"/>
      <c r="K5" s="21" t="n"/>
      <c r="L5" s="21" t="n"/>
      <c r="M5" s="21" t="n"/>
      <c r="N5" s="21" t="n"/>
      <c r="O5" s="21" t="n"/>
    </row>
    <row r="6" ht="18" customHeight="1">
      <c r="A6" s="19" t="inlineStr">
        <is>
          <t>عنوان نمایشی:</t>
        </is>
      </c>
      <c r="B6" s="19" t="n"/>
      <c r="C6" s="22">
        <f>IFERROR(IF(VLOOKUP("BANK02",BankTbl,2,0)="","(بدون عنوان)",VLOOKUP("BANK02",BankTbl,2,0)),"—")</f>
        <v/>
      </c>
      <c r="D6" s="22" t="n"/>
      <c r="E6" s="22" t="n"/>
      <c r="H6" s="19" t="inlineStr">
        <is>
          <t>شعبه:</t>
        </is>
      </c>
      <c r="I6" s="19" t="n"/>
      <c r="J6" s="21" t="n"/>
      <c r="K6" s="21" t="n"/>
      <c r="L6" s="21" t="n"/>
      <c r="M6" s="21" t="n"/>
      <c r="N6" s="21" t="n"/>
      <c r="O6" s="21" t="n"/>
    </row>
    <row r="7" ht="18" customHeight="1">
      <c r="A7" s="19" t="inlineStr">
        <is>
          <t>مانده اولیه (ریال):</t>
        </is>
      </c>
      <c r="B7" s="19" t="n"/>
      <c r="C7" s="23">
        <f>IFERROR(VLOOKUP("BANK02",BankTbl,3,0),0)</f>
        <v/>
      </c>
      <c r="D7" s="23" t="n"/>
      <c r="E7" s="23" t="n"/>
      <c r="H7" s="19" t="inlineStr">
        <is>
          <t>شماره حساب:</t>
        </is>
      </c>
      <c r="I7" s="19" t="n"/>
      <c r="J7" s="24" t="n"/>
      <c r="K7" s="24" t="n"/>
      <c r="L7" s="24" t="n"/>
      <c r="M7" s="24" t="n"/>
      <c r="N7" s="24" t="n"/>
      <c r="O7" s="24" t="n"/>
    </row>
    <row r="8" ht="18" customHeight="1">
      <c r="A8" s="19" t="inlineStr">
        <is>
          <t>وضعیت فعال:</t>
        </is>
      </c>
      <c r="B8" s="19" t="n"/>
      <c r="C8" s="10">
        <f>IFERROR(IF(VLOOKUP("BANK02",BankTbl,4,0)=0,"—",VLOOKUP("BANK02",BankTbl,4,0)),"—")</f>
        <v/>
      </c>
      <c r="D8" s="10" t="n"/>
      <c r="E8" s="10" t="n"/>
      <c r="H8" s="19" t="inlineStr">
        <is>
          <t>شماره شبا (۲۴ رقم):</t>
        </is>
      </c>
      <c r="I8" s="19" t="n"/>
      <c r="J8" s="24" t="n"/>
      <c r="K8" s="24" t="n"/>
      <c r="L8" s="24" t="n"/>
      <c r="M8" s="24" t="n"/>
      <c r="N8" s="24" t="n"/>
      <c r="O8" s="24" t="n"/>
    </row>
    <row r="9" ht="18" customHeight="1">
      <c r="A9" s="25" t="inlineStr">
        <is>
          <t>این چهار سلول از فایل مادر خوانده می‌شوند؛ برای تغییر: Mazandasht_INFO.xlsx ← شیت Banks. مشخصات رسمی (زردرنگ) دستی وارد می‌شود.</t>
        </is>
      </c>
      <c r="B9" s="25" t="n"/>
      <c r="C9" s="25" t="n"/>
      <c r="D9" s="25" t="n"/>
      <c r="E9" s="25" t="n"/>
      <c r="H9" s="19" t="inlineStr">
        <is>
          <t>صاحب حساب:</t>
        </is>
      </c>
      <c r="I9" s="19" t="n"/>
      <c r="J9" s="21" t="n"/>
      <c r="K9" s="21" t="n"/>
      <c r="L9" s="21" t="n"/>
      <c r="M9" s="21" t="n"/>
      <c r="N9" s="21" t="n"/>
      <c r="O9" s="21" t="n"/>
    </row>
    <row r="10" ht="18" customHeight="1">
      <c r="A10" s="25" t="n"/>
      <c r="B10" s="25" t="n"/>
      <c r="C10" s="25" t="n"/>
      <c r="D10" s="25" t="n"/>
      <c r="E10" s="25" t="n"/>
      <c r="H10" s="19" t="inlineStr">
        <is>
          <t>تلفن شعبه:</t>
        </is>
      </c>
      <c r="I10" s="19" t="n"/>
      <c r="J10" s="21" t="n"/>
      <c r="K10" s="21" t="n"/>
      <c r="L10" s="21" t="n"/>
      <c r="M10" s="21" t="n"/>
      <c r="N10" s="21" t="n"/>
      <c r="O10" s="21" t="n"/>
    </row>
    <row r="12" ht="13" customHeight="1">
      <c r="A12" s="5" t="inlineStr">
        <is>
          <t>جمع واریز (ریال)</t>
        </is>
      </c>
      <c r="B12" s="5" t="n"/>
      <c r="C12" s="5" t="inlineStr">
        <is>
          <t>جمع برداشت (ریال)</t>
        </is>
      </c>
      <c r="D12" s="5" t="n"/>
      <c r="E12" s="5" t="inlineStr">
        <is>
          <t>مانده نهایی سیستم</t>
        </is>
      </c>
      <c r="F12" s="5" t="n"/>
      <c r="G12" s="5" t="inlineStr">
        <is>
          <t>آخرین موجودی بانک</t>
        </is>
      </c>
      <c r="H12" s="5" t="n"/>
      <c r="I12" s="5" t="inlineStr">
        <is>
          <t>وضعیت مغایرت</t>
        </is>
      </c>
      <c r="J12" s="5" t="n"/>
      <c r="K12" s="5" t="inlineStr">
        <is>
          <t>تعداد تراکنش</t>
        </is>
      </c>
      <c r="L12" s="5" t="n"/>
      <c r="M12" s="5" t="inlineStr">
        <is>
          <t>ردیف تکراری</t>
        </is>
      </c>
      <c r="N12" s="5" t="n"/>
      <c r="O12" s="5" t="inlineStr">
        <is>
          <t>آخرین تاریخ</t>
        </is>
      </c>
    </row>
    <row r="13" ht="22" customHeight="1">
      <c r="A13" s="7">
        <f>SUM($H$17:$H$516)</f>
        <v/>
      </c>
      <c r="B13" s="7" t="n"/>
      <c r="C13" s="7">
        <f>SUM($I$17:$I$516)</f>
        <v/>
      </c>
      <c r="D13" s="7" t="n"/>
      <c r="E13" s="7">
        <f>IFERROR(LOOKUP(9.99E+307,$J$17:$J$516),$C$7)</f>
        <v/>
      </c>
      <c r="F13" s="7" t="n"/>
      <c r="G13" s="7">
        <f>IFERROR(LOOKUP(9.99E+307,$K$17:$K$516),"—")</f>
        <v/>
      </c>
      <c r="H13" s="7" t="n"/>
      <c r="I13" s="7">
        <f>IF(NOT(ISNUMBER($G$13)),"— بدون کنترل",IF(ROUND($G$13-$E$13,0)=0,"√ منطبق","× مغایرت ("&amp;TEXT(ROUND($G$13-$E$13,0),"#,##0")&amp;" ریال)"))</f>
        <v/>
      </c>
      <c r="J13" s="7" t="n"/>
      <c r="K13" s="7">
        <f>COUNT($A$17:$A$516)</f>
        <v/>
      </c>
      <c r="L13" s="7" t="n"/>
      <c r="M13" s="7">
        <f>COUNTIF($M$17:$M$516,"تکرار")</f>
        <v/>
      </c>
      <c r="N13" s="7" t="n"/>
      <c r="O13" s="7">
        <f>IF(COUNT($A$17:$A$516)=0,"—",INDEX($B$17:$B$516,COUNT($A$17:$A$516)))</f>
        <v/>
      </c>
    </row>
    <row r="14" ht="6" customHeight="1"/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ساعت</t>
        </is>
      </c>
      <c r="D15" s="8" t="inlineStr">
        <is>
          <t>کد طرف</t>
        </is>
      </c>
      <c r="E15" s="8" t="inlineStr">
        <is>
          <t>طرف حساب</t>
        </is>
      </c>
      <c r="F15" s="8" t="inlineStr">
        <is>
          <t>نوع طرف حساب</t>
        </is>
      </c>
      <c r="G15" s="8" t="inlineStr">
        <is>
          <t>نوع تراکنش</t>
        </is>
      </c>
      <c r="H15" s="8" t="inlineStr">
        <is>
          <t>واریز (ریال)</t>
        </is>
      </c>
      <c r="I15" s="8" t="inlineStr">
        <is>
          <t>برداشت (ریال)</t>
        </is>
      </c>
      <c r="J15" s="8" t="inlineStr">
        <is>
          <t>مانده سیستم (ریال)</t>
        </is>
      </c>
      <c r="K15" s="8" t="inlineStr">
        <is>
          <t>موجودی بانک (ریال)</t>
        </is>
      </c>
      <c r="L15" s="8" t="inlineStr">
        <is>
          <t>وضعیت</t>
        </is>
      </c>
      <c r="M15" s="8" t="inlineStr">
        <is>
          <t>کنترل تکرار</t>
        </is>
      </c>
      <c r="N15" s="8" t="inlineStr">
        <is>
          <t>توضیحات</t>
        </is>
      </c>
      <c r="O15" s="8" t="inlineStr">
        <is>
          <t>شناسه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Time</t>
        </is>
      </c>
      <c r="D16" s="9" t="inlineStr">
        <is>
          <t>Party Code</t>
        </is>
      </c>
      <c r="E16" s="9" t="inlineStr">
        <is>
          <t>Party</t>
        </is>
      </c>
      <c r="F16" s="9" t="inlineStr">
        <is>
          <t>Party Type</t>
        </is>
      </c>
      <c r="G16" s="9" t="inlineStr">
        <is>
          <t>Txn Type</t>
        </is>
      </c>
      <c r="H16" s="9" t="inlineStr">
        <is>
          <t>Deposit</t>
        </is>
      </c>
      <c r="I16" s="9" t="inlineStr">
        <is>
          <t>Withdrawal</t>
        </is>
      </c>
      <c r="J16" s="9" t="inlineStr">
        <is>
          <t>System Balance</t>
        </is>
      </c>
      <c r="K16" s="9" t="inlineStr">
        <is>
          <t>Bank Balance</t>
        </is>
      </c>
      <c r="L16" s="9" t="inlineStr">
        <is>
          <t>Status</t>
        </is>
      </c>
      <c r="M16" s="9" t="inlineStr">
        <is>
          <t>Dup Check</t>
        </is>
      </c>
      <c r="N16" s="9" t="inlineStr">
        <is>
          <t>Notes</t>
        </is>
      </c>
      <c r="O16" s="9" t="inlineStr">
        <is>
          <t>TxnID</t>
        </is>
      </c>
    </row>
    <row r="17">
      <c r="A17" s="26">
        <f>IF($B17="","",1)</f>
        <v/>
      </c>
      <c r="B17" s="26">
        <f>IF($P17="","",IF(INDEX(CalcNormDate,$P17)=0,"",INDEX(CalcNormDate,$P17)))</f>
        <v/>
      </c>
      <c r="C17" s="26">
        <f>IF($P17="","",IF(INDEX(CalcTime,$P17)=0,"",INDEX(CalcTime,$P17)))</f>
        <v/>
      </c>
      <c r="D17" s="26">
        <f>IF($P17="","",IF(INDEX(EntryParty,$P17)=0,"",INDEX(EntryParty,$P17)))</f>
        <v/>
      </c>
      <c r="E17" s="26">
        <f>IF($P17="","",IF(INDEX(EntryPartyName,$P17)=0,"",INDEX(EntryPartyName,$P17)))</f>
        <v/>
      </c>
      <c r="F17" s="26">
        <f>IF($P17="","",IF(INDEX(EntryPartyType,$P17)=0,"",INDEX(EntryPartyType,$P17)))</f>
        <v/>
      </c>
      <c r="G17" s="26">
        <f>IF($P17="","",IF(INDEX(EntryTxnType,$P17)=0,"",INDEX(EntryTxnType,$P17)))</f>
        <v/>
      </c>
      <c r="H17" s="27">
        <f>IF($P17="","",IF(INDEX(EntryDep,$P17)=0,"",INDEX(EntryDep,$P17)))</f>
        <v/>
      </c>
      <c r="I17" s="27">
        <f>IF($P17="","",IF(INDEX(EntryWit,$P17)=0,"",INDEX(EntryWit,$P17)))</f>
        <v/>
      </c>
      <c r="J17" s="27">
        <f>IF($B17="","",IF($A17=1,$C$7,IF(J16="",0,J16))+IF($H17="",0,$H17)-IF($I17="",0,$I17))</f>
        <v/>
      </c>
      <c r="K17" s="27">
        <f>IF($P17="","",IF(INDEX(EntryMan,$P17)=0,"",INDEX(EntryMan,$P17)))</f>
        <v/>
      </c>
      <c r="L17" s="26">
        <f>IF($B17="","",IF($K17="","—",IF(ROUND($K17-$J17,0)=0,"√","×")))</f>
        <v/>
      </c>
      <c r="M17" s="26">
        <f>IF($B17="","",IF(COUNTIFS(EntryDates,$B17,CalcTime,$C17,CalcBank,$C$5,EntryParty,$D17,EntryDep,$H17,EntryWit,$I17)&gt;1,"تکرار",""))</f>
        <v/>
      </c>
      <c r="N17" s="26">
        <f>IF($P17="","",IF(INDEX(EntryNotes,$P17)=0,"",INDEX(EntryNotes,$P17)))</f>
        <v/>
      </c>
      <c r="O17" s="26">
        <f>IF($P17="","",IF(INDEX(EntryTxnID,$P17)=0,"",INDEX(EntryTxnID,$P17)))</f>
        <v/>
      </c>
      <c r="P17" s="26">
        <f>IFERROR(MATCH($C$5&amp;"|"&amp;RIGHT("000000"&amp;1,6),CalcRankKey,0),"")</f>
        <v/>
      </c>
    </row>
    <row r="18">
      <c r="A18" s="28">
        <f>IF($B18="","",2)</f>
        <v/>
      </c>
      <c r="B18" s="28">
        <f>IF($P18="","",IF(INDEX(CalcNormDate,$P18)=0,"",INDEX(CalcNormDate,$P18)))</f>
        <v/>
      </c>
      <c r="C18" s="28">
        <f>IF($P18="","",IF(INDEX(CalcTime,$P18)=0,"",INDEX(CalcTime,$P18)))</f>
        <v/>
      </c>
      <c r="D18" s="28">
        <f>IF($P18="","",IF(INDEX(EntryParty,$P18)=0,"",INDEX(EntryParty,$P18)))</f>
        <v/>
      </c>
      <c r="E18" s="28">
        <f>IF($P18="","",IF(INDEX(EntryPartyName,$P18)=0,"",INDEX(EntryPartyName,$P18)))</f>
        <v/>
      </c>
      <c r="F18" s="28">
        <f>IF($P18="","",IF(INDEX(EntryPartyType,$P18)=0,"",INDEX(EntryPartyType,$P18)))</f>
        <v/>
      </c>
      <c r="G18" s="28">
        <f>IF($P18="","",IF(INDEX(EntryTxnType,$P18)=0,"",INDEX(EntryTxnType,$P18)))</f>
        <v/>
      </c>
      <c r="H18" s="29">
        <f>IF($P18="","",IF(INDEX(EntryDep,$P18)=0,"",INDEX(EntryDep,$P18)))</f>
        <v/>
      </c>
      <c r="I18" s="29">
        <f>IF($P18="","",IF(INDEX(EntryWit,$P18)=0,"",INDEX(EntryWit,$P18)))</f>
        <v/>
      </c>
      <c r="J18" s="29">
        <f>IF($B18="","",IF($A18=1,$C$7,IF(J17="",0,J17))+IF($H18="",0,$H18)-IF($I18="",0,$I18))</f>
        <v/>
      </c>
      <c r="K18" s="29">
        <f>IF($P18="","",IF(INDEX(EntryMan,$P18)=0,"",INDEX(EntryMan,$P18)))</f>
        <v/>
      </c>
      <c r="L18" s="28">
        <f>IF($B18="","",IF($K18="","—",IF(ROUND($K18-$J18,0)=0,"√","×")))</f>
        <v/>
      </c>
      <c r="M18" s="28">
        <f>IF($B18="","",IF(COUNTIFS(EntryDates,$B18,CalcTime,$C18,CalcBank,$C$5,EntryParty,$D18,EntryDep,$H18,EntryWit,$I18)&gt;1,"تکرار",""))</f>
        <v/>
      </c>
      <c r="N18" s="28">
        <f>IF($P18="","",IF(INDEX(EntryNotes,$P18)=0,"",INDEX(EntryNotes,$P18)))</f>
        <v/>
      </c>
      <c r="O18" s="28">
        <f>IF($P18="","",IF(INDEX(EntryTxnID,$P18)=0,"",INDEX(EntryTxnID,$P18)))</f>
        <v/>
      </c>
      <c r="P18" s="28">
        <f>IFERROR(MATCH($C$5&amp;"|"&amp;RIGHT("000000"&amp;2,6),CalcRankKey,0),"")</f>
        <v/>
      </c>
    </row>
    <row r="19">
      <c r="A19" s="26">
        <f>IF($B19="","",3)</f>
        <v/>
      </c>
      <c r="B19" s="26">
        <f>IF($P19="","",IF(INDEX(CalcNormDate,$P19)=0,"",INDEX(CalcNormDate,$P19)))</f>
        <v/>
      </c>
      <c r="C19" s="26">
        <f>IF($P19="","",IF(INDEX(CalcTime,$P19)=0,"",INDEX(CalcTime,$P19)))</f>
        <v/>
      </c>
      <c r="D19" s="26">
        <f>IF($P19="","",IF(INDEX(EntryParty,$P19)=0,"",INDEX(EntryParty,$P19)))</f>
        <v/>
      </c>
      <c r="E19" s="26">
        <f>IF($P19="","",IF(INDEX(EntryPartyName,$P19)=0,"",INDEX(EntryPartyName,$P19)))</f>
        <v/>
      </c>
      <c r="F19" s="26">
        <f>IF($P19="","",IF(INDEX(EntryPartyType,$P19)=0,"",INDEX(EntryPartyType,$P19)))</f>
        <v/>
      </c>
      <c r="G19" s="26">
        <f>IF($P19="","",IF(INDEX(EntryTxnType,$P19)=0,"",INDEX(EntryTxnType,$P19)))</f>
        <v/>
      </c>
      <c r="H19" s="27">
        <f>IF($P19="","",IF(INDEX(EntryDep,$P19)=0,"",INDEX(EntryDep,$P19)))</f>
        <v/>
      </c>
      <c r="I19" s="27">
        <f>IF($P19="","",IF(INDEX(EntryWit,$P19)=0,"",INDEX(EntryWit,$P19)))</f>
        <v/>
      </c>
      <c r="J19" s="27">
        <f>IF($B19="","",IF($A19=1,$C$7,IF(J18="",0,J18))+IF($H19="",0,$H19)-IF($I19="",0,$I19))</f>
        <v/>
      </c>
      <c r="K19" s="27">
        <f>IF($P19="","",IF(INDEX(EntryMan,$P19)=0,"",INDEX(EntryMan,$P19)))</f>
        <v/>
      </c>
      <c r="L19" s="26">
        <f>IF($B19="","",IF($K19="","—",IF(ROUND($K19-$J19,0)=0,"√","×")))</f>
        <v/>
      </c>
      <c r="M19" s="26">
        <f>IF($B19="","",IF(COUNTIFS(EntryDates,$B19,CalcTime,$C19,CalcBank,$C$5,EntryParty,$D19,EntryDep,$H19,EntryWit,$I19)&gt;1,"تکرار",""))</f>
        <v/>
      </c>
      <c r="N19" s="26">
        <f>IF($P19="","",IF(INDEX(EntryNotes,$P19)=0,"",INDEX(EntryNotes,$P19)))</f>
        <v/>
      </c>
      <c r="O19" s="26">
        <f>IF($P19="","",IF(INDEX(EntryTxnID,$P19)=0,"",INDEX(EntryTxnID,$P19)))</f>
        <v/>
      </c>
      <c r="P19" s="26">
        <f>IFERROR(MATCH($C$5&amp;"|"&amp;RIGHT("000000"&amp;3,6),CalcRankKey,0),"")</f>
        <v/>
      </c>
    </row>
    <row r="20">
      <c r="A20" s="28">
        <f>IF($B20="","",4)</f>
        <v/>
      </c>
      <c r="B20" s="28">
        <f>IF($P20="","",IF(INDEX(CalcNormDate,$P20)=0,"",INDEX(CalcNormDate,$P20)))</f>
        <v/>
      </c>
      <c r="C20" s="28">
        <f>IF($P20="","",IF(INDEX(CalcTime,$P20)=0,"",INDEX(CalcTime,$P20)))</f>
        <v/>
      </c>
      <c r="D20" s="28">
        <f>IF($P20="","",IF(INDEX(EntryParty,$P20)=0,"",INDEX(EntryParty,$P20)))</f>
        <v/>
      </c>
      <c r="E20" s="28">
        <f>IF($P20="","",IF(INDEX(EntryPartyName,$P20)=0,"",INDEX(EntryPartyName,$P20)))</f>
        <v/>
      </c>
      <c r="F20" s="28">
        <f>IF($P20="","",IF(INDEX(EntryPartyType,$P20)=0,"",INDEX(EntryPartyType,$P20)))</f>
        <v/>
      </c>
      <c r="G20" s="28">
        <f>IF($P20="","",IF(INDEX(EntryTxnType,$P20)=0,"",INDEX(EntryTxnType,$P20)))</f>
        <v/>
      </c>
      <c r="H20" s="29">
        <f>IF($P20="","",IF(INDEX(EntryDep,$P20)=0,"",INDEX(EntryDep,$P20)))</f>
        <v/>
      </c>
      <c r="I20" s="29">
        <f>IF($P20="","",IF(INDEX(EntryWit,$P20)=0,"",INDEX(EntryWit,$P20)))</f>
        <v/>
      </c>
      <c r="J20" s="29">
        <f>IF($B20="","",IF($A20=1,$C$7,IF(J19="",0,J19))+IF($H20="",0,$H20)-IF($I20="",0,$I20))</f>
        <v/>
      </c>
      <c r="K20" s="29">
        <f>IF($P20="","",IF(INDEX(EntryMan,$P20)=0,"",INDEX(EntryMan,$P20)))</f>
        <v/>
      </c>
      <c r="L20" s="28">
        <f>IF($B20="","",IF($K20="","—",IF(ROUND($K20-$J20,0)=0,"√","×")))</f>
        <v/>
      </c>
      <c r="M20" s="28">
        <f>IF($B20="","",IF(COUNTIFS(EntryDates,$B20,CalcTime,$C20,CalcBank,$C$5,EntryParty,$D20,EntryDep,$H20,EntryWit,$I20)&gt;1,"تکرار",""))</f>
        <v/>
      </c>
      <c r="N20" s="28">
        <f>IF($P20="","",IF(INDEX(EntryNotes,$P20)=0,"",INDEX(EntryNotes,$P20)))</f>
        <v/>
      </c>
      <c r="O20" s="28">
        <f>IF($P20="","",IF(INDEX(EntryTxnID,$P20)=0,"",INDEX(EntryTxnID,$P20)))</f>
        <v/>
      </c>
      <c r="P20" s="28">
        <f>IFERROR(MATCH($C$5&amp;"|"&amp;RIGHT("000000"&amp;4,6),CalcRankKey,0),"")</f>
        <v/>
      </c>
    </row>
    <row r="21">
      <c r="A21" s="26">
        <f>IF($B21="","",5)</f>
        <v/>
      </c>
      <c r="B21" s="26">
        <f>IF($P21="","",IF(INDEX(CalcNormDate,$P21)=0,"",INDEX(CalcNormDate,$P21)))</f>
        <v/>
      </c>
      <c r="C21" s="26">
        <f>IF($P21="","",IF(INDEX(CalcTime,$P21)=0,"",INDEX(CalcTime,$P21)))</f>
        <v/>
      </c>
      <c r="D21" s="26">
        <f>IF($P21="","",IF(INDEX(EntryParty,$P21)=0,"",INDEX(EntryParty,$P21)))</f>
        <v/>
      </c>
      <c r="E21" s="26">
        <f>IF($P21="","",IF(INDEX(EntryPartyName,$P21)=0,"",INDEX(EntryPartyName,$P21)))</f>
        <v/>
      </c>
      <c r="F21" s="26">
        <f>IF($P21="","",IF(INDEX(EntryPartyType,$P21)=0,"",INDEX(EntryPartyType,$P21)))</f>
        <v/>
      </c>
      <c r="G21" s="26">
        <f>IF($P21="","",IF(INDEX(EntryTxnType,$P21)=0,"",INDEX(EntryTxnType,$P21)))</f>
        <v/>
      </c>
      <c r="H21" s="27">
        <f>IF($P21="","",IF(INDEX(EntryDep,$P21)=0,"",INDEX(EntryDep,$P21)))</f>
        <v/>
      </c>
      <c r="I21" s="27">
        <f>IF($P21="","",IF(INDEX(EntryWit,$P21)=0,"",INDEX(EntryWit,$P21)))</f>
        <v/>
      </c>
      <c r="J21" s="27">
        <f>IF($B21="","",IF($A21=1,$C$7,IF(J20="",0,J20))+IF($H21="",0,$H21)-IF($I21="",0,$I21))</f>
        <v/>
      </c>
      <c r="K21" s="27">
        <f>IF($P21="","",IF(INDEX(EntryMan,$P21)=0,"",INDEX(EntryMan,$P21)))</f>
        <v/>
      </c>
      <c r="L21" s="26">
        <f>IF($B21="","",IF($K21="","—",IF(ROUND($K21-$J21,0)=0,"√","×")))</f>
        <v/>
      </c>
      <c r="M21" s="26">
        <f>IF($B21="","",IF(COUNTIFS(EntryDates,$B21,CalcTime,$C21,CalcBank,$C$5,EntryParty,$D21,EntryDep,$H21,EntryWit,$I21)&gt;1,"تکرار",""))</f>
        <v/>
      </c>
      <c r="N21" s="26">
        <f>IF($P21="","",IF(INDEX(EntryNotes,$P21)=0,"",INDEX(EntryNotes,$P21)))</f>
        <v/>
      </c>
      <c r="O21" s="26">
        <f>IF($P21="","",IF(INDEX(EntryTxnID,$P21)=0,"",INDEX(EntryTxnID,$P21)))</f>
        <v/>
      </c>
      <c r="P21" s="26">
        <f>IFERROR(MATCH($C$5&amp;"|"&amp;RIGHT("000000"&amp;5,6),CalcRankKey,0),"")</f>
        <v/>
      </c>
    </row>
    <row r="22">
      <c r="A22" s="28">
        <f>IF($B22="","",6)</f>
        <v/>
      </c>
      <c r="B22" s="28">
        <f>IF($P22="","",IF(INDEX(CalcNormDate,$P22)=0,"",INDEX(CalcNormDate,$P22)))</f>
        <v/>
      </c>
      <c r="C22" s="28">
        <f>IF($P22="","",IF(INDEX(CalcTime,$P22)=0,"",INDEX(CalcTime,$P22)))</f>
        <v/>
      </c>
      <c r="D22" s="28">
        <f>IF($P22="","",IF(INDEX(EntryParty,$P22)=0,"",INDEX(EntryParty,$P22)))</f>
        <v/>
      </c>
      <c r="E22" s="28">
        <f>IF($P22="","",IF(INDEX(EntryPartyName,$P22)=0,"",INDEX(EntryPartyName,$P22)))</f>
        <v/>
      </c>
      <c r="F22" s="28">
        <f>IF($P22="","",IF(INDEX(EntryPartyType,$P22)=0,"",INDEX(EntryPartyType,$P22)))</f>
        <v/>
      </c>
      <c r="G22" s="28">
        <f>IF($P22="","",IF(INDEX(EntryTxnType,$P22)=0,"",INDEX(EntryTxnType,$P22)))</f>
        <v/>
      </c>
      <c r="H22" s="29">
        <f>IF($P22="","",IF(INDEX(EntryDep,$P22)=0,"",INDEX(EntryDep,$P22)))</f>
        <v/>
      </c>
      <c r="I22" s="29">
        <f>IF($P22="","",IF(INDEX(EntryWit,$P22)=0,"",INDEX(EntryWit,$P22)))</f>
        <v/>
      </c>
      <c r="J22" s="29">
        <f>IF($B22="","",IF($A22=1,$C$7,IF(J21="",0,J21))+IF($H22="",0,$H22)-IF($I22="",0,$I22))</f>
        <v/>
      </c>
      <c r="K22" s="29">
        <f>IF($P22="","",IF(INDEX(EntryMan,$P22)=0,"",INDEX(EntryMan,$P22)))</f>
        <v/>
      </c>
      <c r="L22" s="28">
        <f>IF($B22="","",IF($K22="","—",IF(ROUND($K22-$J22,0)=0,"√","×")))</f>
        <v/>
      </c>
      <c r="M22" s="28">
        <f>IF($B22="","",IF(COUNTIFS(EntryDates,$B22,CalcTime,$C22,CalcBank,$C$5,EntryParty,$D22,EntryDep,$H22,EntryWit,$I22)&gt;1,"تکرار",""))</f>
        <v/>
      </c>
      <c r="N22" s="28">
        <f>IF($P22="","",IF(INDEX(EntryNotes,$P22)=0,"",INDEX(EntryNotes,$P22)))</f>
        <v/>
      </c>
      <c r="O22" s="28">
        <f>IF($P22="","",IF(INDEX(EntryTxnID,$P22)=0,"",INDEX(EntryTxnID,$P22)))</f>
        <v/>
      </c>
      <c r="P22" s="28">
        <f>IFERROR(MATCH($C$5&amp;"|"&amp;RIGHT("000000"&amp;6,6),CalcRankKey,0),"")</f>
        <v/>
      </c>
    </row>
    <row r="23">
      <c r="A23" s="26">
        <f>IF($B23="","",7)</f>
        <v/>
      </c>
      <c r="B23" s="26">
        <f>IF($P23="","",IF(INDEX(CalcNormDate,$P23)=0,"",INDEX(CalcNormDate,$P23)))</f>
        <v/>
      </c>
      <c r="C23" s="26">
        <f>IF($P23="","",IF(INDEX(CalcTime,$P23)=0,"",INDEX(CalcTime,$P23)))</f>
        <v/>
      </c>
      <c r="D23" s="26">
        <f>IF($P23="","",IF(INDEX(EntryParty,$P23)=0,"",INDEX(EntryParty,$P23)))</f>
        <v/>
      </c>
      <c r="E23" s="26">
        <f>IF($P23="","",IF(INDEX(EntryPartyName,$P23)=0,"",INDEX(EntryPartyName,$P23)))</f>
        <v/>
      </c>
      <c r="F23" s="26">
        <f>IF($P23="","",IF(INDEX(EntryPartyType,$P23)=0,"",INDEX(EntryPartyType,$P23)))</f>
        <v/>
      </c>
      <c r="G23" s="26">
        <f>IF($P23="","",IF(INDEX(EntryTxnType,$P23)=0,"",INDEX(EntryTxnType,$P23)))</f>
        <v/>
      </c>
      <c r="H23" s="27">
        <f>IF($P23="","",IF(INDEX(EntryDep,$P23)=0,"",INDEX(EntryDep,$P23)))</f>
        <v/>
      </c>
      <c r="I23" s="27">
        <f>IF($P23="","",IF(INDEX(EntryWit,$P23)=0,"",INDEX(EntryWit,$P23)))</f>
        <v/>
      </c>
      <c r="J23" s="27">
        <f>IF($B23="","",IF($A23=1,$C$7,IF(J22="",0,J22))+IF($H23="",0,$H23)-IF($I23="",0,$I23))</f>
        <v/>
      </c>
      <c r="K23" s="27">
        <f>IF($P23="","",IF(INDEX(EntryMan,$P23)=0,"",INDEX(EntryMan,$P23)))</f>
        <v/>
      </c>
      <c r="L23" s="26">
        <f>IF($B23="","",IF($K23="","—",IF(ROUND($K23-$J23,0)=0,"√","×")))</f>
        <v/>
      </c>
      <c r="M23" s="26">
        <f>IF($B23="","",IF(COUNTIFS(EntryDates,$B23,CalcTime,$C23,CalcBank,$C$5,EntryParty,$D23,EntryDep,$H23,EntryWit,$I23)&gt;1,"تکرار",""))</f>
        <v/>
      </c>
      <c r="N23" s="26">
        <f>IF($P23="","",IF(INDEX(EntryNotes,$P23)=0,"",INDEX(EntryNotes,$P23)))</f>
        <v/>
      </c>
      <c r="O23" s="26">
        <f>IF($P23="","",IF(INDEX(EntryTxnID,$P23)=0,"",INDEX(EntryTxnID,$P23)))</f>
        <v/>
      </c>
      <c r="P23" s="26">
        <f>IFERROR(MATCH($C$5&amp;"|"&amp;RIGHT("000000"&amp;7,6),CalcRankKey,0),"")</f>
        <v/>
      </c>
    </row>
    <row r="24">
      <c r="A24" s="28">
        <f>IF($B24="","",8)</f>
        <v/>
      </c>
      <c r="B24" s="28">
        <f>IF($P24="","",IF(INDEX(CalcNormDate,$P24)=0,"",INDEX(CalcNormDate,$P24)))</f>
        <v/>
      </c>
      <c r="C24" s="28">
        <f>IF($P24="","",IF(INDEX(CalcTime,$P24)=0,"",INDEX(CalcTime,$P24)))</f>
        <v/>
      </c>
      <c r="D24" s="28">
        <f>IF($P24="","",IF(INDEX(EntryParty,$P24)=0,"",INDEX(EntryParty,$P24)))</f>
        <v/>
      </c>
      <c r="E24" s="28">
        <f>IF($P24="","",IF(INDEX(EntryPartyName,$P24)=0,"",INDEX(EntryPartyName,$P24)))</f>
        <v/>
      </c>
      <c r="F24" s="28">
        <f>IF($P24="","",IF(INDEX(EntryPartyType,$P24)=0,"",INDEX(EntryPartyType,$P24)))</f>
        <v/>
      </c>
      <c r="G24" s="28">
        <f>IF($P24="","",IF(INDEX(EntryTxnType,$P24)=0,"",INDEX(EntryTxnType,$P24)))</f>
        <v/>
      </c>
      <c r="H24" s="29">
        <f>IF($P24="","",IF(INDEX(EntryDep,$P24)=0,"",INDEX(EntryDep,$P24)))</f>
        <v/>
      </c>
      <c r="I24" s="29">
        <f>IF($P24="","",IF(INDEX(EntryWit,$P24)=0,"",INDEX(EntryWit,$P24)))</f>
        <v/>
      </c>
      <c r="J24" s="29">
        <f>IF($B24="","",IF($A24=1,$C$7,IF(J23="",0,J23))+IF($H24="",0,$H24)-IF($I24="",0,$I24))</f>
        <v/>
      </c>
      <c r="K24" s="29">
        <f>IF($P24="","",IF(INDEX(EntryMan,$P24)=0,"",INDEX(EntryMan,$P24)))</f>
        <v/>
      </c>
      <c r="L24" s="28">
        <f>IF($B24="","",IF($K24="","—",IF(ROUND($K24-$J24,0)=0,"√","×")))</f>
        <v/>
      </c>
      <c r="M24" s="28">
        <f>IF($B24="","",IF(COUNTIFS(EntryDates,$B24,CalcTime,$C24,CalcBank,$C$5,EntryParty,$D24,EntryDep,$H24,EntryWit,$I24)&gt;1,"تکرار",""))</f>
        <v/>
      </c>
      <c r="N24" s="28">
        <f>IF($P24="","",IF(INDEX(EntryNotes,$P24)=0,"",INDEX(EntryNotes,$P24)))</f>
        <v/>
      </c>
      <c r="O24" s="28">
        <f>IF($P24="","",IF(INDEX(EntryTxnID,$P24)=0,"",INDEX(EntryTxnID,$P24)))</f>
        <v/>
      </c>
      <c r="P24" s="28">
        <f>IFERROR(MATCH($C$5&amp;"|"&amp;RIGHT("000000"&amp;8,6),CalcRankKey,0),"")</f>
        <v/>
      </c>
    </row>
    <row r="25">
      <c r="A25" s="26">
        <f>IF($B25="","",9)</f>
        <v/>
      </c>
      <c r="B25" s="26">
        <f>IF($P25="","",IF(INDEX(CalcNormDate,$P25)=0,"",INDEX(CalcNormDate,$P25)))</f>
        <v/>
      </c>
      <c r="C25" s="26">
        <f>IF($P25="","",IF(INDEX(CalcTime,$P25)=0,"",INDEX(CalcTime,$P25)))</f>
        <v/>
      </c>
      <c r="D25" s="26">
        <f>IF($P25="","",IF(INDEX(EntryParty,$P25)=0,"",INDEX(EntryParty,$P25)))</f>
        <v/>
      </c>
      <c r="E25" s="26">
        <f>IF($P25="","",IF(INDEX(EntryPartyName,$P25)=0,"",INDEX(EntryPartyName,$P25)))</f>
        <v/>
      </c>
      <c r="F25" s="26">
        <f>IF($P25="","",IF(INDEX(EntryPartyType,$P25)=0,"",INDEX(EntryPartyType,$P25)))</f>
        <v/>
      </c>
      <c r="G25" s="26">
        <f>IF($P25="","",IF(INDEX(EntryTxnType,$P25)=0,"",INDEX(EntryTxnType,$P25)))</f>
        <v/>
      </c>
      <c r="H25" s="27">
        <f>IF($P25="","",IF(INDEX(EntryDep,$P25)=0,"",INDEX(EntryDep,$P25)))</f>
        <v/>
      </c>
      <c r="I25" s="27">
        <f>IF($P25="","",IF(INDEX(EntryWit,$P25)=0,"",INDEX(EntryWit,$P25)))</f>
        <v/>
      </c>
      <c r="J25" s="27">
        <f>IF($B25="","",IF($A25=1,$C$7,IF(J24="",0,J24))+IF($H25="",0,$H25)-IF($I25="",0,$I25))</f>
        <v/>
      </c>
      <c r="K25" s="27">
        <f>IF($P25="","",IF(INDEX(EntryMan,$P25)=0,"",INDEX(EntryMan,$P25)))</f>
        <v/>
      </c>
      <c r="L25" s="26">
        <f>IF($B25="","",IF($K25="","—",IF(ROUND($K25-$J25,0)=0,"√","×")))</f>
        <v/>
      </c>
      <c r="M25" s="26">
        <f>IF($B25="","",IF(COUNTIFS(EntryDates,$B25,CalcTime,$C25,CalcBank,$C$5,EntryParty,$D25,EntryDep,$H25,EntryWit,$I25)&gt;1,"تکرار",""))</f>
        <v/>
      </c>
      <c r="N25" s="26">
        <f>IF($P25="","",IF(INDEX(EntryNotes,$P25)=0,"",INDEX(EntryNotes,$P25)))</f>
        <v/>
      </c>
      <c r="O25" s="26">
        <f>IF($P25="","",IF(INDEX(EntryTxnID,$P25)=0,"",INDEX(EntryTxnID,$P25)))</f>
        <v/>
      </c>
      <c r="P25" s="26">
        <f>IFERROR(MATCH($C$5&amp;"|"&amp;RIGHT("000000"&amp;9,6),CalcRankKey,0),"")</f>
        <v/>
      </c>
    </row>
    <row r="26">
      <c r="A26" s="28">
        <f>IF($B26="","",10)</f>
        <v/>
      </c>
      <c r="B26" s="28">
        <f>IF($P26="","",IF(INDEX(CalcNormDate,$P26)=0,"",INDEX(CalcNormDate,$P26)))</f>
        <v/>
      </c>
      <c r="C26" s="28">
        <f>IF($P26="","",IF(INDEX(CalcTime,$P26)=0,"",INDEX(CalcTime,$P26)))</f>
        <v/>
      </c>
      <c r="D26" s="28">
        <f>IF($P26="","",IF(INDEX(EntryParty,$P26)=0,"",INDEX(EntryParty,$P26)))</f>
        <v/>
      </c>
      <c r="E26" s="28">
        <f>IF($P26="","",IF(INDEX(EntryPartyName,$P26)=0,"",INDEX(EntryPartyName,$P26)))</f>
        <v/>
      </c>
      <c r="F26" s="28">
        <f>IF($P26="","",IF(INDEX(EntryPartyType,$P26)=0,"",INDEX(EntryPartyType,$P26)))</f>
        <v/>
      </c>
      <c r="G26" s="28">
        <f>IF($P26="","",IF(INDEX(EntryTxnType,$P26)=0,"",INDEX(EntryTxnType,$P26)))</f>
        <v/>
      </c>
      <c r="H26" s="29">
        <f>IF($P26="","",IF(INDEX(EntryDep,$P26)=0,"",INDEX(EntryDep,$P26)))</f>
        <v/>
      </c>
      <c r="I26" s="29">
        <f>IF($P26="","",IF(INDEX(EntryWit,$P26)=0,"",INDEX(EntryWit,$P26)))</f>
        <v/>
      </c>
      <c r="J26" s="29">
        <f>IF($B26="","",IF($A26=1,$C$7,IF(J25="",0,J25))+IF($H26="",0,$H26)-IF($I26="",0,$I26))</f>
        <v/>
      </c>
      <c r="K26" s="29">
        <f>IF($P26="","",IF(INDEX(EntryMan,$P26)=0,"",INDEX(EntryMan,$P26)))</f>
        <v/>
      </c>
      <c r="L26" s="28">
        <f>IF($B26="","",IF($K26="","—",IF(ROUND($K26-$J26,0)=0,"√","×")))</f>
        <v/>
      </c>
      <c r="M26" s="28">
        <f>IF($B26="","",IF(COUNTIFS(EntryDates,$B26,CalcTime,$C26,CalcBank,$C$5,EntryParty,$D26,EntryDep,$H26,EntryWit,$I26)&gt;1,"تکرار",""))</f>
        <v/>
      </c>
      <c r="N26" s="28">
        <f>IF($P26="","",IF(INDEX(EntryNotes,$P26)=0,"",INDEX(EntryNotes,$P26)))</f>
        <v/>
      </c>
      <c r="O26" s="28">
        <f>IF($P26="","",IF(INDEX(EntryTxnID,$P26)=0,"",INDEX(EntryTxnID,$P26)))</f>
        <v/>
      </c>
      <c r="P26" s="28">
        <f>IFERROR(MATCH($C$5&amp;"|"&amp;RIGHT("000000"&amp;10,6),CalcRankKey,0),"")</f>
        <v/>
      </c>
    </row>
    <row r="27">
      <c r="A27" s="26">
        <f>IF($B27="","",11)</f>
        <v/>
      </c>
      <c r="B27" s="26">
        <f>IF($P27="","",IF(INDEX(CalcNormDate,$P27)=0,"",INDEX(CalcNormDate,$P27)))</f>
        <v/>
      </c>
      <c r="C27" s="26">
        <f>IF($P27="","",IF(INDEX(CalcTime,$P27)=0,"",INDEX(CalcTime,$P27)))</f>
        <v/>
      </c>
      <c r="D27" s="26">
        <f>IF($P27="","",IF(INDEX(EntryParty,$P27)=0,"",INDEX(EntryParty,$P27)))</f>
        <v/>
      </c>
      <c r="E27" s="26">
        <f>IF($P27="","",IF(INDEX(EntryPartyName,$P27)=0,"",INDEX(EntryPartyName,$P27)))</f>
        <v/>
      </c>
      <c r="F27" s="26">
        <f>IF($P27="","",IF(INDEX(EntryPartyType,$P27)=0,"",INDEX(EntryPartyType,$P27)))</f>
        <v/>
      </c>
      <c r="G27" s="26">
        <f>IF($P27="","",IF(INDEX(EntryTxnType,$P27)=0,"",INDEX(EntryTxnType,$P27)))</f>
        <v/>
      </c>
      <c r="H27" s="27">
        <f>IF($P27="","",IF(INDEX(EntryDep,$P27)=0,"",INDEX(EntryDep,$P27)))</f>
        <v/>
      </c>
      <c r="I27" s="27">
        <f>IF($P27="","",IF(INDEX(EntryWit,$P27)=0,"",INDEX(EntryWit,$P27)))</f>
        <v/>
      </c>
      <c r="J27" s="27">
        <f>IF($B27="","",IF($A27=1,$C$7,IF(J26="",0,J26))+IF($H27="",0,$H27)-IF($I27="",0,$I27))</f>
        <v/>
      </c>
      <c r="K27" s="27">
        <f>IF($P27="","",IF(INDEX(EntryMan,$P27)=0,"",INDEX(EntryMan,$P27)))</f>
        <v/>
      </c>
      <c r="L27" s="26">
        <f>IF($B27="","",IF($K27="","—",IF(ROUND($K27-$J27,0)=0,"√","×")))</f>
        <v/>
      </c>
      <c r="M27" s="26">
        <f>IF($B27="","",IF(COUNTIFS(EntryDates,$B27,CalcTime,$C27,CalcBank,$C$5,EntryParty,$D27,EntryDep,$H27,EntryWit,$I27)&gt;1,"تکرار",""))</f>
        <v/>
      </c>
      <c r="N27" s="26">
        <f>IF($P27="","",IF(INDEX(EntryNotes,$P27)=0,"",INDEX(EntryNotes,$P27)))</f>
        <v/>
      </c>
      <c r="O27" s="26">
        <f>IF($P27="","",IF(INDEX(EntryTxnID,$P27)=0,"",INDEX(EntryTxnID,$P27)))</f>
        <v/>
      </c>
      <c r="P27" s="26">
        <f>IFERROR(MATCH($C$5&amp;"|"&amp;RIGHT("000000"&amp;11,6),CalcRankKey,0),"")</f>
        <v/>
      </c>
    </row>
    <row r="28">
      <c r="A28" s="28">
        <f>IF($B28="","",12)</f>
        <v/>
      </c>
      <c r="B28" s="28">
        <f>IF($P28="","",IF(INDEX(CalcNormDate,$P28)=0,"",INDEX(CalcNormDate,$P28)))</f>
        <v/>
      </c>
      <c r="C28" s="28">
        <f>IF($P28="","",IF(INDEX(CalcTime,$P28)=0,"",INDEX(CalcTime,$P28)))</f>
        <v/>
      </c>
      <c r="D28" s="28">
        <f>IF($P28="","",IF(INDEX(EntryParty,$P28)=0,"",INDEX(EntryParty,$P28)))</f>
        <v/>
      </c>
      <c r="E28" s="28">
        <f>IF($P28="","",IF(INDEX(EntryPartyName,$P28)=0,"",INDEX(EntryPartyName,$P28)))</f>
        <v/>
      </c>
      <c r="F28" s="28">
        <f>IF($P28="","",IF(INDEX(EntryPartyType,$P28)=0,"",INDEX(EntryPartyType,$P28)))</f>
        <v/>
      </c>
      <c r="G28" s="28">
        <f>IF($P28="","",IF(INDEX(EntryTxnType,$P28)=0,"",INDEX(EntryTxnType,$P28)))</f>
        <v/>
      </c>
      <c r="H28" s="29">
        <f>IF($P28="","",IF(INDEX(EntryDep,$P28)=0,"",INDEX(EntryDep,$P28)))</f>
        <v/>
      </c>
      <c r="I28" s="29">
        <f>IF($P28="","",IF(INDEX(EntryWit,$P28)=0,"",INDEX(EntryWit,$P28)))</f>
        <v/>
      </c>
      <c r="J28" s="29">
        <f>IF($B28="","",IF($A28=1,$C$7,IF(J27="",0,J27))+IF($H28="",0,$H28)-IF($I28="",0,$I28))</f>
        <v/>
      </c>
      <c r="K28" s="29">
        <f>IF($P28="","",IF(INDEX(EntryMan,$P28)=0,"",INDEX(EntryMan,$P28)))</f>
        <v/>
      </c>
      <c r="L28" s="28">
        <f>IF($B28="","",IF($K28="","—",IF(ROUND($K28-$J28,0)=0,"√","×")))</f>
        <v/>
      </c>
      <c r="M28" s="28">
        <f>IF($B28="","",IF(COUNTIFS(EntryDates,$B28,CalcTime,$C28,CalcBank,$C$5,EntryParty,$D28,EntryDep,$H28,EntryWit,$I28)&gt;1,"تکرار",""))</f>
        <v/>
      </c>
      <c r="N28" s="28">
        <f>IF($P28="","",IF(INDEX(EntryNotes,$P28)=0,"",INDEX(EntryNotes,$P28)))</f>
        <v/>
      </c>
      <c r="O28" s="28">
        <f>IF($P28="","",IF(INDEX(EntryTxnID,$P28)=0,"",INDEX(EntryTxnID,$P28)))</f>
        <v/>
      </c>
      <c r="P28" s="28">
        <f>IFERROR(MATCH($C$5&amp;"|"&amp;RIGHT("000000"&amp;12,6),CalcRankKey,0),"")</f>
        <v/>
      </c>
    </row>
    <row r="29">
      <c r="A29" s="26">
        <f>IF($B29="","",13)</f>
        <v/>
      </c>
      <c r="B29" s="26">
        <f>IF($P29="","",IF(INDEX(CalcNormDate,$P29)=0,"",INDEX(CalcNormDate,$P29)))</f>
        <v/>
      </c>
      <c r="C29" s="26">
        <f>IF($P29="","",IF(INDEX(CalcTime,$P29)=0,"",INDEX(CalcTime,$P29)))</f>
        <v/>
      </c>
      <c r="D29" s="26">
        <f>IF($P29="","",IF(INDEX(EntryParty,$P29)=0,"",INDEX(EntryParty,$P29)))</f>
        <v/>
      </c>
      <c r="E29" s="26">
        <f>IF($P29="","",IF(INDEX(EntryPartyName,$P29)=0,"",INDEX(EntryPartyName,$P29)))</f>
        <v/>
      </c>
      <c r="F29" s="26">
        <f>IF($P29="","",IF(INDEX(EntryPartyType,$P29)=0,"",INDEX(EntryPartyType,$P29)))</f>
        <v/>
      </c>
      <c r="G29" s="26">
        <f>IF($P29="","",IF(INDEX(EntryTxnType,$P29)=0,"",INDEX(EntryTxnType,$P29)))</f>
        <v/>
      </c>
      <c r="H29" s="27">
        <f>IF($P29="","",IF(INDEX(EntryDep,$P29)=0,"",INDEX(EntryDep,$P29)))</f>
        <v/>
      </c>
      <c r="I29" s="27">
        <f>IF($P29="","",IF(INDEX(EntryWit,$P29)=0,"",INDEX(EntryWit,$P29)))</f>
        <v/>
      </c>
      <c r="J29" s="27">
        <f>IF($B29="","",IF($A29=1,$C$7,IF(J28="",0,J28))+IF($H29="",0,$H29)-IF($I29="",0,$I29))</f>
        <v/>
      </c>
      <c r="K29" s="27">
        <f>IF($P29="","",IF(INDEX(EntryMan,$P29)=0,"",INDEX(EntryMan,$P29)))</f>
        <v/>
      </c>
      <c r="L29" s="26">
        <f>IF($B29="","",IF($K29="","—",IF(ROUND($K29-$J29,0)=0,"√","×")))</f>
        <v/>
      </c>
      <c r="M29" s="26">
        <f>IF($B29="","",IF(COUNTIFS(EntryDates,$B29,CalcTime,$C29,CalcBank,$C$5,EntryParty,$D29,EntryDep,$H29,EntryWit,$I29)&gt;1,"تکرار",""))</f>
        <v/>
      </c>
      <c r="N29" s="26">
        <f>IF($P29="","",IF(INDEX(EntryNotes,$P29)=0,"",INDEX(EntryNotes,$P29)))</f>
        <v/>
      </c>
      <c r="O29" s="26">
        <f>IF($P29="","",IF(INDEX(EntryTxnID,$P29)=0,"",INDEX(EntryTxnID,$P29)))</f>
        <v/>
      </c>
      <c r="P29" s="26">
        <f>IFERROR(MATCH($C$5&amp;"|"&amp;RIGHT("000000"&amp;13,6),CalcRankKey,0),"")</f>
        <v/>
      </c>
    </row>
    <row r="30">
      <c r="A30" s="28">
        <f>IF($B30="","",14)</f>
        <v/>
      </c>
      <c r="B30" s="28">
        <f>IF($P30="","",IF(INDEX(CalcNormDate,$P30)=0,"",INDEX(CalcNormDate,$P30)))</f>
        <v/>
      </c>
      <c r="C30" s="28">
        <f>IF($P30="","",IF(INDEX(CalcTime,$P30)=0,"",INDEX(CalcTime,$P30)))</f>
        <v/>
      </c>
      <c r="D30" s="28">
        <f>IF($P30="","",IF(INDEX(EntryParty,$P30)=0,"",INDEX(EntryParty,$P30)))</f>
        <v/>
      </c>
      <c r="E30" s="28">
        <f>IF($P30="","",IF(INDEX(EntryPartyName,$P30)=0,"",INDEX(EntryPartyName,$P30)))</f>
        <v/>
      </c>
      <c r="F30" s="28">
        <f>IF($P30="","",IF(INDEX(EntryPartyType,$P30)=0,"",INDEX(EntryPartyType,$P30)))</f>
        <v/>
      </c>
      <c r="G30" s="28">
        <f>IF($P30="","",IF(INDEX(EntryTxnType,$P30)=0,"",INDEX(EntryTxnType,$P30)))</f>
        <v/>
      </c>
      <c r="H30" s="29">
        <f>IF($P30="","",IF(INDEX(EntryDep,$P30)=0,"",INDEX(EntryDep,$P30)))</f>
        <v/>
      </c>
      <c r="I30" s="29">
        <f>IF($P30="","",IF(INDEX(EntryWit,$P30)=0,"",INDEX(EntryWit,$P30)))</f>
        <v/>
      </c>
      <c r="J30" s="29">
        <f>IF($B30="","",IF($A30=1,$C$7,IF(J29="",0,J29))+IF($H30="",0,$H30)-IF($I30="",0,$I30))</f>
        <v/>
      </c>
      <c r="K30" s="29">
        <f>IF($P30="","",IF(INDEX(EntryMan,$P30)=0,"",INDEX(EntryMan,$P30)))</f>
        <v/>
      </c>
      <c r="L30" s="28">
        <f>IF($B30="","",IF($K30="","—",IF(ROUND($K30-$J30,0)=0,"√","×")))</f>
        <v/>
      </c>
      <c r="M30" s="28">
        <f>IF($B30="","",IF(COUNTIFS(EntryDates,$B30,CalcTime,$C30,CalcBank,$C$5,EntryParty,$D30,EntryDep,$H30,EntryWit,$I30)&gt;1,"تکرار",""))</f>
        <v/>
      </c>
      <c r="N30" s="28">
        <f>IF($P30="","",IF(INDEX(EntryNotes,$P30)=0,"",INDEX(EntryNotes,$P30)))</f>
        <v/>
      </c>
      <c r="O30" s="28">
        <f>IF($P30="","",IF(INDEX(EntryTxnID,$P30)=0,"",INDEX(EntryTxnID,$P30)))</f>
        <v/>
      </c>
      <c r="P30" s="28">
        <f>IFERROR(MATCH($C$5&amp;"|"&amp;RIGHT("000000"&amp;14,6),CalcRankKey,0),"")</f>
        <v/>
      </c>
    </row>
    <row r="31">
      <c r="A31" s="26">
        <f>IF($B31="","",15)</f>
        <v/>
      </c>
      <c r="B31" s="26">
        <f>IF($P31="","",IF(INDEX(CalcNormDate,$P31)=0,"",INDEX(CalcNormDate,$P31)))</f>
        <v/>
      </c>
      <c r="C31" s="26">
        <f>IF($P31="","",IF(INDEX(CalcTime,$P31)=0,"",INDEX(CalcTime,$P31)))</f>
        <v/>
      </c>
      <c r="D31" s="26">
        <f>IF($P31="","",IF(INDEX(EntryParty,$P31)=0,"",INDEX(EntryParty,$P31)))</f>
        <v/>
      </c>
      <c r="E31" s="26">
        <f>IF($P31="","",IF(INDEX(EntryPartyName,$P31)=0,"",INDEX(EntryPartyName,$P31)))</f>
        <v/>
      </c>
      <c r="F31" s="26">
        <f>IF($P31="","",IF(INDEX(EntryPartyType,$P31)=0,"",INDEX(EntryPartyType,$P31)))</f>
        <v/>
      </c>
      <c r="G31" s="26">
        <f>IF($P31="","",IF(INDEX(EntryTxnType,$P31)=0,"",INDEX(EntryTxnType,$P31)))</f>
        <v/>
      </c>
      <c r="H31" s="27">
        <f>IF($P31="","",IF(INDEX(EntryDep,$P31)=0,"",INDEX(EntryDep,$P31)))</f>
        <v/>
      </c>
      <c r="I31" s="27">
        <f>IF($P31="","",IF(INDEX(EntryWit,$P31)=0,"",INDEX(EntryWit,$P31)))</f>
        <v/>
      </c>
      <c r="J31" s="27">
        <f>IF($B31="","",IF($A31=1,$C$7,IF(J30="",0,J30))+IF($H31="",0,$H31)-IF($I31="",0,$I31))</f>
        <v/>
      </c>
      <c r="K31" s="27">
        <f>IF($P31="","",IF(INDEX(EntryMan,$P31)=0,"",INDEX(EntryMan,$P31)))</f>
        <v/>
      </c>
      <c r="L31" s="26">
        <f>IF($B31="","",IF($K31="","—",IF(ROUND($K31-$J31,0)=0,"√","×")))</f>
        <v/>
      </c>
      <c r="M31" s="26">
        <f>IF($B31="","",IF(COUNTIFS(EntryDates,$B31,CalcTime,$C31,CalcBank,$C$5,EntryParty,$D31,EntryDep,$H31,EntryWit,$I31)&gt;1,"تکرار",""))</f>
        <v/>
      </c>
      <c r="N31" s="26">
        <f>IF($P31="","",IF(INDEX(EntryNotes,$P31)=0,"",INDEX(EntryNotes,$P31)))</f>
        <v/>
      </c>
      <c r="O31" s="26">
        <f>IF($P31="","",IF(INDEX(EntryTxnID,$P31)=0,"",INDEX(EntryTxnID,$P31)))</f>
        <v/>
      </c>
      <c r="P31" s="26">
        <f>IFERROR(MATCH($C$5&amp;"|"&amp;RIGHT("000000"&amp;15,6),CalcRankKey,0),"")</f>
        <v/>
      </c>
    </row>
    <row r="32">
      <c r="A32" s="28">
        <f>IF($B32="","",16)</f>
        <v/>
      </c>
      <c r="B32" s="28">
        <f>IF($P32="","",IF(INDEX(CalcNormDate,$P32)=0,"",INDEX(CalcNormDate,$P32)))</f>
        <v/>
      </c>
      <c r="C32" s="28">
        <f>IF($P32="","",IF(INDEX(CalcTime,$P32)=0,"",INDEX(CalcTime,$P32)))</f>
        <v/>
      </c>
      <c r="D32" s="28">
        <f>IF($P32="","",IF(INDEX(EntryParty,$P32)=0,"",INDEX(EntryParty,$P32)))</f>
        <v/>
      </c>
      <c r="E32" s="28">
        <f>IF($P32="","",IF(INDEX(EntryPartyName,$P32)=0,"",INDEX(EntryPartyName,$P32)))</f>
        <v/>
      </c>
      <c r="F32" s="28">
        <f>IF($P32="","",IF(INDEX(EntryPartyType,$P32)=0,"",INDEX(EntryPartyType,$P32)))</f>
        <v/>
      </c>
      <c r="G32" s="28">
        <f>IF($P32="","",IF(INDEX(EntryTxnType,$P32)=0,"",INDEX(EntryTxnType,$P32)))</f>
        <v/>
      </c>
      <c r="H32" s="29">
        <f>IF($P32="","",IF(INDEX(EntryDep,$P32)=0,"",INDEX(EntryDep,$P32)))</f>
        <v/>
      </c>
      <c r="I32" s="29">
        <f>IF($P32="","",IF(INDEX(EntryWit,$P32)=0,"",INDEX(EntryWit,$P32)))</f>
        <v/>
      </c>
      <c r="J32" s="29">
        <f>IF($B32="","",IF($A32=1,$C$7,IF(J31="",0,J31))+IF($H32="",0,$H32)-IF($I32="",0,$I32))</f>
        <v/>
      </c>
      <c r="K32" s="29">
        <f>IF($P32="","",IF(INDEX(EntryMan,$P32)=0,"",INDEX(EntryMan,$P32)))</f>
        <v/>
      </c>
      <c r="L32" s="28">
        <f>IF($B32="","",IF($K32="","—",IF(ROUND($K32-$J32,0)=0,"√","×")))</f>
        <v/>
      </c>
      <c r="M32" s="28">
        <f>IF($B32="","",IF(COUNTIFS(EntryDates,$B32,CalcTime,$C32,CalcBank,$C$5,EntryParty,$D32,EntryDep,$H32,EntryWit,$I32)&gt;1,"تکرار",""))</f>
        <v/>
      </c>
      <c r="N32" s="28">
        <f>IF($P32="","",IF(INDEX(EntryNotes,$P32)=0,"",INDEX(EntryNotes,$P32)))</f>
        <v/>
      </c>
      <c r="O32" s="28">
        <f>IF($P32="","",IF(INDEX(EntryTxnID,$P32)=0,"",INDEX(EntryTxnID,$P32)))</f>
        <v/>
      </c>
      <c r="P32" s="28">
        <f>IFERROR(MATCH($C$5&amp;"|"&amp;RIGHT("000000"&amp;16,6),CalcRankKey,0),"")</f>
        <v/>
      </c>
    </row>
    <row r="33">
      <c r="A33" s="26">
        <f>IF($B33="","",17)</f>
        <v/>
      </c>
      <c r="B33" s="26">
        <f>IF($P33="","",IF(INDEX(CalcNormDate,$P33)=0,"",INDEX(CalcNormDate,$P33)))</f>
        <v/>
      </c>
      <c r="C33" s="26">
        <f>IF($P33="","",IF(INDEX(CalcTime,$P33)=0,"",INDEX(CalcTime,$P33)))</f>
        <v/>
      </c>
      <c r="D33" s="26">
        <f>IF($P33="","",IF(INDEX(EntryParty,$P33)=0,"",INDEX(EntryParty,$P33)))</f>
        <v/>
      </c>
      <c r="E33" s="26">
        <f>IF($P33="","",IF(INDEX(EntryPartyName,$P33)=0,"",INDEX(EntryPartyName,$P33)))</f>
        <v/>
      </c>
      <c r="F33" s="26">
        <f>IF($P33="","",IF(INDEX(EntryPartyType,$P33)=0,"",INDEX(EntryPartyType,$P33)))</f>
        <v/>
      </c>
      <c r="G33" s="26">
        <f>IF($P33="","",IF(INDEX(EntryTxnType,$P33)=0,"",INDEX(EntryTxnType,$P33)))</f>
        <v/>
      </c>
      <c r="H33" s="27">
        <f>IF($P33="","",IF(INDEX(EntryDep,$P33)=0,"",INDEX(EntryDep,$P33)))</f>
        <v/>
      </c>
      <c r="I33" s="27">
        <f>IF($P33="","",IF(INDEX(EntryWit,$P33)=0,"",INDEX(EntryWit,$P33)))</f>
        <v/>
      </c>
      <c r="J33" s="27">
        <f>IF($B33="","",IF($A33=1,$C$7,IF(J32="",0,J32))+IF($H33="",0,$H33)-IF($I33="",0,$I33))</f>
        <v/>
      </c>
      <c r="K33" s="27">
        <f>IF($P33="","",IF(INDEX(EntryMan,$P33)=0,"",INDEX(EntryMan,$P33)))</f>
        <v/>
      </c>
      <c r="L33" s="26">
        <f>IF($B33="","",IF($K33="","—",IF(ROUND($K33-$J33,0)=0,"√","×")))</f>
        <v/>
      </c>
      <c r="M33" s="26">
        <f>IF($B33="","",IF(COUNTIFS(EntryDates,$B33,CalcTime,$C33,CalcBank,$C$5,EntryParty,$D33,EntryDep,$H33,EntryWit,$I33)&gt;1,"تکرار",""))</f>
        <v/>
      </c>
      <c r="N33" s="26">
        <f>IF($P33="","",IF(INDEX(EntryNotes,$P33)=0,"",INDEX(EntryNotes,$P33)))</f>
        <v/>
      </c>
      <c r="O33" s="26">
        <f>IF($P33="","",IF(INDEX(EntryTxnID,$P33)=0,"",INDEX(EntryTxnID,$P33)))</f>
        <v/>
      </c>
      <c r="P33" s="26">
        <f>IFERROR(MATCH($C$5&amp;"|"&amp;RIGHT("000000"&amp;17,6),CalcRankKey,0),"")</f>
        <v/>
      </c>
    </row>
    <row r="34">
      <c r="A34" s="28">
        <f>IF($B34="","",18)</f>
        <v/>
      </c>
      <c r="B34" s="28">
        <f>IF($P34="","",IF(INDEX(CalcNormDate,$P34)=0,"",INDEX(CalcNormDate,$P34)))</f>
        <v/>
      </c>
      <c r="C34" s="28">
        <f>IF($P34="","",IF(INDEX(CalcTime,$P34)=0,"",INDEX(CalcTime,$P34)))</f>
        <v/>
      </c>
      <c r="D34" s="28">
        <f>IF($P34="","",IF(INDEX(EntryParty,$P34)=0,"",INDEX(EntryParty,$P34)))</f>
        <v/>
      </c>
      <c r="E34" s="28">
        <f>IF($P34="","",IF(INDEX(EntryPartyName,$P34)=0,"",INDEX(EntryPartyName,$P34)))</f>
        <v/>
      </c>
      <c r="F34" s="28">
        <f>IF($P34="","",IF(INDEX(EntryPartyType,$P34)=0,"",INDEX(EntryPartyType,$P34)))</f>
        <v/>
      </c>
      <c r="G34" s="28">
        <f>IF($P34="","",IF(INDEX(EntryTxnType,$P34)=0,"",INDEX(EntryTxnType,$P34)))</f>
        <v/>
      </c>
      <c r="H34" s="29">
        <f>IF($P34="","",IF(INDEX(EntryDep,$P34)=0,"",INDEX(EntryDep,$P34)))</f>
        <v/>
      </c>
      <c r="I34" s="29">
        <f>IF($P34="","",IF(INDEX(EntryWit,$P34)=0,"",INDEX(EntryWit,$P34)))</f>
        <v/>
      </c>
      <c r="J34" s="29">
        <f>IF($B34="","",IF($A34=1,$C$7,IF(J33="",0,J33))+IF($H34="",0,$H34)-IF($I34="",0,$I34))</f>
        <v/>
      </c>
      <c r="K34" s="29">
        <f>IF($P34="","",IF(INDEX(EntryMan,$P34)=0,"",INDEX(EntryMan,$P34)))</f>
        <v/>
      </c>
      <c r="L34" s="28">
        <f>IF($B34="","",IF($K34="","—",IF(ROUND($K34-$J34,0)=0,"√","×")))</f>
        <v/>
      </c>
      <c r="M34" s="28">
        <f>IF($B34="","",IF(COUNTIFS(EntryDates,$B34,CalcTime,$C34,CalcBank,$C$5,EntryParty,$D34,EntryDep,$H34,EntryWit,$I34)&gt;1,"تکرار",""))</f>
        <v/>
      </c>
      <c r="N34" s="28">
        <f>IF($P34="","",IF(INDEX(EntryNotes,$P34)=0,"",INDEX(EntryNotes,$P34)))</f>
        <v/>
      </c>
      <c r="O34" s="28">
        <f>IF($P34="","",IF(INDEX(EntryTxnID,$P34)=0,"",INDEX(EntryTxnID,$P34)))</f>
        <v/>
      </c>
      <c r="P34" s="28">
        <f>IFERROR(MATCH($C$5&amp;"|"&amp;RIGHT("000000"&amp;18,6),CalcRankKey,0),"")</f>
        <v/>
      </c>
    </row>
    <row r="35">
      <c r="A35" s="26">
        <f>IF($B35="","",19)</f>
        <v/>
      </c>
      <c r="B35" s="26">
        <f>IF($P35="","",IF(INDEX(CalcNormDate,$P35)=0,"",INDEX(CalcNormDate,$P35)))</f>
        <v/>
      </c>
      <c r="C35" s="26">
        <f>IF($P35="","",IF(INDEX(CalcTime,$P35)=0,"",INDEX(CalcTime,$P35)))</f>
        <v/>
      </c>
      <c r="D35" s="26">
        <f>IF($P35="","",IF(INDEX(EntryParty,$P35)=0,"",INDEX(EntryParty,$P35)))</f>
        <v/>
      </c>
      <c r="E35" s="26">
        <f>IF($P35="","",IF(INDEX(EntryPartyName,$P35)=0,"",INDEX(EntryPartyName,$P35)))</f>
        <v/>
      </c>
      <c r="F35" s="26">
        <f>IF($P35="","",IF(INDEX(EntryPartyType,$P35)=0,"",INDEX(EntryPartyType,$P35)))</f>
        <v/>
      </c>
      <c r="G35" s="26">
        <f>IF($P35="","",IF(INDEX(EntryTxnType,$P35)=0,"",INDEX(EntryTxnType,$P35)))</f>
        <v/>
      </c>
      <c r="H35" s="27">
        <f>IF($P35="","",IF(INDEX(EntryDep,$P35)=0,"",INDEX(EntryDep,$P35)))</f>
        <v/>
      </c>
      <c r="I35" s="27">
        <f>IF($P35="","",IF(INDEX(EntryWit,$P35)=0,"",INDEX(EntryWit,$P35)))</f>
        <v/>
      </c>
      <c r="J35" s="27">
        <f>IF($B35="","",IF($A35=1,$C$7,IF(J34="",0,J34))+IF($H35="",0,$H35)-IF($I35="",0,$I35))</f>
        <v/>
      </c>
      <c r="K35" s="27">
        <f>IF($P35="","",IF(INDEX(EntryMan,$P35)=0,"",INDEX(EntryMan,$P35)))</f>
        <v/>
      </c>
      <c r="L35" s="26">
        <f>IF($B35="","",IF($K35="","—",IF(ROUND($K35-$J35,0)=0,"√","×")))</f>
        <v/>
      </c>
      <c r="M35" s="26">
        <f>IF($B35="","",IF(COUNTIFS(EntryDates,$B35,CalcTime,$C35,CalcBank,$C$5,EntryParty,$D35,EntryDep,$H35,EntryWit,$I35)&gt;1,"تکرار",""))</f>
        <v/>
      </c>
      <c r="N35" s="26">
        <f>IF($P35="","",IF(INDEX(EntryNotes,$P35)=0,"",INDEX(EntryNotes,$P35)))</f>
        <v/>
      </c>
      <c r="O35" s="26">
        <f>IF($P35="","",IF(INDEX(EntryTxnID,$P35)=0,"",INDEX(EntryTxnID,$P35)))</f>
        <v/>
      </c>
      <c r="P35" s="26">
        <f>IFERROR(MATCH($C$5&amp;"|"&amp;RIGHT("000000"&amp;19,6),CalcRankKey,0),"")</f>
        <v/>
      </c>
    </row>
    <row r="36">
      <c r="A36" s="28">
        <f>IF($B36="","",20)</f>
        <v/>
      </c>
      <c r="B36" s="28">
        <f>IF($P36="","",IF(INDEX(CalcNormDate,$P36)=0,"",INDEX(CalcNormDate,$P36)))</f>
        <v/>
      </c>
      <c r="C36" s="28">
        <f>IF($P36="","",IF(INDEX(CalcTime,$P36)=0,"",INDEX(CalcTime,$P36)))</f>
        <v/>
      </c>
      <c r="D36" s="28">
        <f>IF($P36="","",IF(INDEX(EntryParty,$P36)=0,"",INDEX(EntryParty,$P36)))</f>
        <v/>
      </c>
      <c r="E36" s="28">
        <f>IF($P36="","",IF(INDEX(EntryPartyName,$P36)=0,"",INDEX(EntryPartyName,$P36)))</f>
        <v/>
      </c>
      <c r="F36" s="28">
        <f>IF($P36="","",IF(INDEX(EntryPartyType,$P36)=0,"",INDEX(EntryPartyType,$P36)))</f>
        <v/>
      </c>
      <c r="G36" s="28">
        <f>IF($P36="","",IF(INDEX(EntryTxnType,$P36)=0,"",INDEX(EntryTxnType,$P36)))</f>
        <v/>
      </c>
      <c r="H36" s="29">
        <f>IF($P36="","",IF(INDEX(EntryDep,$P36)=0,"",INDEX(EntryDep,$P36)))</f>
        <v/>
      </c>
      <c r="I36" s="29">
        <f>IF($P36="","",IF(INDEX(EntryWit,$P36)=0,"",INDEX(EntryWit,$P36)))</f>
        <v/>
      </c>
      <c r="J36" s="29">
        <f>IF($B36="","",IF($A36=1,$C$7,IF(J35="",0,J35))+IF($H36="",0,$H36)-IF($I36="",0,$I36))</f>
        <v/>
      </c>
      <c r="K36" s="29">
        <f>IF($P36="","",IF(INDEX(EntryMan,$P36)=0,"",INDEX(EntryMan,$P36)))</f>
        <v/>
      </c>
      <c r="L36" s="28">
        <f>IF($B36="","",IF($K36="","—",IF(ROUND($K36-$J36,0)=0,"√","×")))</f>
        <v/>
      </c>
      <c r="M36" s="28">
        <f>IF($B36="","",IF(COUNTIFS(EntryDates,$B36,CalcTime,$C36,CalcBank,$C$5,EntryParty,$D36,EntryDep,$H36,EntryWit,$I36)&gt;1,"تکرار",""))</f>
        <v/>
      </c>
      <c r="N36" s="28">
        <f>IF($P36="","",IF(INDEX(EntryNotes,$P36)=0,"",INDEX(EntryNotes,$P36)))</f>
        <v/>
      </c>
      <c r="O36" s="28">
        <f>IF($P36="","",IF(INDEX(EntryTxnID,$P36)=0,"",INDEX(EntryTxnID,$P36)))</f>
        <v/>
      </c>
      <c r="P36" s="28">
        <f>IFERROR(MATCH($C$5&amp;"|"&amp;RIGHT("000000"&amp;20,6),CalcRankKey,0),"")</f>
        <v/>
      </c>
    </row>
    <row r="37">
      <c r="A37" s="26">
        <f>IF($B37="","",21)</f>
        <v/>
      </c>
      <c r="B37" s="26">
        <f>IF($P37="","",IF(INDEX(CalcNormDate,$P37)=0,"",INDEX(CalcNormDate,$P37)))</f>
        <v/>
      </c>
      <c r="C37" s="26">
        <f>IF($P37="","",IF(INDEX(CalcTime,$P37)=0,"",INDEX(CalcTime,$P37)))</f>
        <v/>
      </c>
      <c r="D37" s="26">
        <f>IF($P37="","",IF(INDEX(EntryParty,$P37)=0,"",INDEX(EntryParty,$P37)))</f>
        <v/>
      </c>
      <c r="E37" s="26">
        <f>IF($P37="","",IF(INDEX(EntryPartyName,$P37)=0,"",INDEX(EntryPartyName,$P37)))</f>
        <v/>
      </c>
      <c r="F37" s="26">
        <f>IF($P37="","",IF(INDEX(EntryPartyType,$P37)=0,"",INDEX(EntryPartyType,$P37)))</f>
        <v/>
      </c>
      <c r="G37" s="26">
        <f>IF($P37="","",IF(INDEX(EntryTxnType,$P37)=0,"",INDEX(EntryTxnType,$P37)))</f>
        <v/>
      </c>
      <c r="H37" s="27">
        <f>IF($P37="","",IF(INDEX(EntryDep,$P37)=0,"",INDEX(EntryDep,$P37)))</f>
        <v/>
      </c>
      <c r="I37" s="27">
        <f>IF($P37="","",IF(INDEX(EntryWit,$P37)=0,"",INDEX(EntryWit,$P37)))</f>
        <v/>
      </c>
      <c r="J37" s="27">
        <f>IF($B37="","",IF($A37=1,$C$7,IF(J36="",0,J36))+IF($H37="",0,$H37)-IF($I37="",0,$I37))</f>
        <v/>
      </c>
      <c r="K37" s="27">
        <f>IF($P37="","",IF(INDEX(EntryMan,$P37)=0,"",INDEX(EntryMan,$P37)))</f>
        <v/>
      </c>
      <c r="L37" s="26">
        <f>IF($B37="","",IF($K37="","—",IF(ROUND($K37-$J37,0)=0,"√","×")))</f>
        <v/>
      </c>
      <c r="M37" s="26">
        <f>IF($B37="","",IF(COUNTIFS(EntryDates,$B37,CalcTime,$C37,CalcBank,$C$5,EntryParty,$D37,EntryDep,$H37,EntryWit,$I37)&gt;1,"تکرار",""))</f>
        <v/>
      </c>
      <c r="N37" s="26">
        <f>IF($P37="","",IF(INDEX(EntryNotes,$P37)=0,"",INDEX(EntryNotes,$P37)))</f>
        <v/>
      </c>
      <c r="O37" s="26">
        <f>IF($P37="","",IF(INDEX(EntryTxnID,$P37)=0,"",INDEX(EntryTxnID,$P37)))</f>
        <v/>
      </c>
      <c r="P37" s="26">
        <f>IFERROR(MATCH($C$5&amp;"|"&amp;RIGHT("000000"&amp;21,6),CalcRankKey,0),"")</f>
        <v/>
      </c>
    </row>
    <row r="38">
      <c r="A38" s="28">
        <f>IF($B38="","",22)</f>
        <v/>
      </c>
      <c r="B38" s="28">
        <f>IF($P38="","",IF(INDEX(CalcNormDate,$P38)=0,"",INDEX(CalcNormDate,$P38)))</f>
        <v/>
      </c>
      <c r="C38" s="28">
        <f>IF($P38="","",IF(INDEX(CalcTime,$P38)=0,"",INDEX(CalcTime,$P38)))</f>
        <v/>
      </c>
      <c r="D38" s="28">
        <f>IF($P38="","",IF(INDEX(EntryParty,$P38)=0,"",INDEX(EntryParty,$P38)))</f>
        <v/>
      </c>
      <c r="E38" s="28">
        <f>IF($P38="","",IF(INDEX(EntryPartyName,$P38)=0,"",INDEX(EntryPartyName,$P38)))</f>
        <v/>
      </c>
      <c r="F38" s="28">
        <f>IF($P38="","",IF(INDEX(EntryPartyType,$P38)=0,"",INDEX(EntryPartyType,$P38)))</f>
        <v/>
      </c>
      <c r="G38" s="28">
        <f>IF($P38="","",IF(INDEX(EntryTxnType,$P38)=0,"",INDEX(EntryTxnType,$P38)))</f>
        <v/>
      </c>
      <c r="H38" s="29">
        <f>IF($P38="","",IF(INDEX(EntryDep,$P38)=0,"",INDEX(EntryDep,$P38)))</f>
        <v/>
      </c>
      <c r="I38" s="29">
        <f>IF($P38="","",IF(INDEX(EntryWit,$P38)=0,"",INDEX(EntryWit,$P38)))</f>
        <v/>
      </c>
      <c r="J38" s="29">
        <f>IF($B38="","",IF($A38=1,$C$7,IF(J37="",0,J37))+IF($H38="",0,$H38)-IF($I38="",0,$I38))</f>
        <v/>
      </c>
      <c r="K38" s="29">
        <f>IF($P38="","",IF(INDEX(EntryMan,$P38)=0,"",INDEX(EntryMan,$P38)))</f>
        <v/>
      </c>
      <c r="L38" s="28">
        <f>IF($B38="","",IF($K38="","—",IF(ROUND($K38-$J38,0)=0,"√","×")))</f>
        <v/>
      </c>
      <c r="M38" s="28">
        <f>IF($B38="","",IF(COUNTIFS(EntryDates,$B38,CalcTime,$C38,CalcBank,$C$5,EntryParty,$D38,EntryDep,$H38,EntryWit,$I38)&gt;1,"تکرار",""))</f>
        <v/>
      </c>
      <c r="N38" s="28">
        <f>IF($P38="","",IF(INDEX(EntryNotes,$P38)=0,"",INDEX(EntryNotes,$P38)))</f>
        <v/>
      </c>
      <c r="O38" s="28">
        <f>IF($P38="","",IF(INDEX(EntryTxnID,$P38)=0,"",INDEX(EntryTxnID,$P38)))</f>
        <v/>
      </c>
      <c r="P38" s="28">
        <f>IFERROR(MATCH($C$5&amp;"|"&amp;RIGHT("000000"&amp;22,6),CalcRankKey,0),"")</f>
        <v/>
      </c>
    </row>
    <row r="39">
      <c r="A39" s="26">
        <f>IF($B39="","",23)</f>
        <v/>
      </c>
      <c r="B39" s="26">
        <f>IF($P39="","",IF(INDEX(CalcNormDate,$P39)=0,"",INDEX(CalcNormDate,$P39)))</f>
        <v/>
      </c>
      <c r="C39" s="26">
        <f>IF($P39="","",IF(INDEX(CalcTime,$P39)=0,"",INDEX(CalcTime,$P39)))</f>
        <v/>
      </c>
      <c r="D39" s="26">
        <f>IF($P39="","",IF(INDEX(EntryParty,$P39)=0,"",INDEX(EntryParty,$P39)))</f>
        <v/>
      </c>
      <c r="E39" s="26">
        <f>IF($P39="","",IF(INDEX(EntryPartyName,$P39)=0,"",INDEX(EntryPartyName,$P39)))</f>
        <v/>
      </c>
      <c r="F39" s="26">
        <f>IF($P39="","",IF(INDEX(EntryPartyType,$P39)=0,"",INDEX(EntryPartyType,$P39)))</f>
        <v/>
      </c>
      <c r="G39" s="26">
        <f>IF($P39="","",IF(INDEX(EntryTxnType,$P39)=0,"",INDEX(EntryTxnType,$P39)))</f>
        <v/>
      </c>
      <c r="H39" s="27">
        <f>IF($P39="","",IF(INDEX(EntryDep,$P39)=0,"",INDEX(EntryDep,$P39)))</f>
        <v/>
      </c>
      <c r="I39" s="27">
        <f>IF($P39="","",IF(INDEX(EntryWit,$P39)=0,"",INDEX(EntryWit,$P39)))</f>
        <v/>
      </c>
      <c r="J39" s="27">
        <f>IF($B39="","",IF($A39=1,$C$7,IF(J38="",0,J38))+IF($H39="",0,$H39)-IF($I39="",0,$I39))</f>
        <v/>
      </c>
      <c r="K39" s="27">
        <f>IF($P39="","",IF(INDEX(EntryMan,$P39)=0,"",INDEX(EntryMan,$P39)))</f>
        <v/>
      </c>
      <c r="L39" s="26">
        <f>IF($B39="","",IF($K39="","—",IF(ROUND($K39-$J39,0)=0,"√","×")))</f>
        <v/>
      </c>
      <c r="M39" s="26">
        <f>IF($B39="","",IF(COUNTIFS(EntryDates,$B39,CalcTime,$C39,CalcBank,$C$5,EntryParty,$D39,EntryDep,$H39,EntryWit,$I39)&gt;1,"تکرار",""))</f>
        <v/>
      </c>
      <c r="N39" s="26">
        <f>IF($P39="","",IF(INDEX(EntryNotes,$P39)=0,"",INDEX(EntryNotes,$P39)))</f>
        <v/>
      </c>
      <c r="O39" s="26">
        <f>IF($P39="","",IF(INDEX(EntryTxnID,$P39)=0,"",INDEX(EntryTxnID,$P39)))</f>
        <v/>
      </c>
      <c r="P39" s="26">
        <f>IFERROR(MATCH($C$5&amp;"|"&amp;RIGHT("000000"&amp;23,6),CalcRankKey,0),"")</f>
        <v/>
      </c>
    </row>
    <row r="40">
      <c r="A40" s="28">
        <f>IF($B40="","",24)</f>
        <v/>
      </c>
      <c r="B40" s="28">
        <f>IF($P40="","",IF(INDEX(CalcNormDate,$P40)=0,"",INDEX(CalcNormDate,$P40)))</f>
        <v/>
      </c>
      <c r="C40" s="28">
        <f>IF($P40="","",IF(INDEX(CalcTime,$P40)=0,"",INDEX(CalcTime,$P40)))</f>
        <v/>
      </c>
      <c r="D40" s="28">
        <f>IF($P40="","",IF(INDEX(EntryParty,$P40)=0,"",INDEX(EntryParty,$P40)))</f>
        <v/>
      </c>
      <c r="E40" s="28">
        <f>IF($P40="","",IF(INDEX(EntryPartyName,$P40)=0,"",INDEX(EntryPartyName,$P40)))</f>
        <v/>
      </c>
      <c r="F40" s="28">
        <f>IF($P40="","",IF(INDEX(EntryPartyType,$P40)=0,"",INDEX(EntryPartyType,$P40)))</f>
        <v/>
      </c>
      <c r="G40" s="28">
        <f>IF($P40="","",IF(INDEX(EntryTxnType,$P40)=0,"",INDEX(EntryTxnType,$P40)))</f>
        <v/>
      </c>
      <c r="H40" s="29">
        <f>IF($P40="","",IF(INDEX(EntryDep,$P40)=0,"",INDEX(EntryDep,$P40)))</f>
        <v/>
      </c>
      <c r="I40" s="29">
        <f>IF($P40="","",IF(INDEX(EntryWit,$P40)=0,"",INDEX(EntryWit,$P40)))</f>
        <v/>
      </c>
      <c r="J40" s="29">
        <f>IF($B40="","",IF($A40=1,$C$7,IF(J39="",0,J39))+IF($H40="",0,$H40)-IF($I40="",0,$I40))</f>
        <v/>
      </c>
      <c r="K40" s="29">
        <f>IF($P40="","",IF(INDEX(EntryMan,$P40)=0,"",INDEX(EntryMan,$P40)))</f>
        <v/>
      </c>
      <c r="L40" s="28">
        <f>IF($B40="","",IF($K40="","—",IF(ROUND($K40-$J40,0)=0,"√","×")))</f>
        <v/>
      </c>
      <c r="M40" s="28">
        <f>IF($B40="","",IF(COUNTIFS(EntryDates,$B40,CalcTime,$C40,CalcBank,$C$5,EntryParty,$D40,EntryDep,$H40,EntryWit,$I40)&gt;1,"تکرار",""))</f>
        <v/>
      </c>
      <c r="N40" s="28">
        <f>IF($P40="","",IF(INDEX(EntryNotes,$P40)=0,"",INDEX(EntryNotes,$P40)))</f>
        <v/>
      </c>
      <c r="O40" s="28">
        <f>IF($P40="","",IF(INDEX(EntryTxnID,$P40)=0,"",INDEX(EntryTxnID,$P40)))</f>
        <v/>
      </c>
      <c r="P40" s="28">
        <f>IFERROR(MATCH($C$5&amp;"|"&amp;RIGHT("000000"&amp;24,6),CalcRankKey,0),"")</f>
        <v/>
      </c>
    </row>
    <row r="41">
      <c r="A41" s="26">
        <f>IF($B41="","",25)</f>
        <v/>
      </c>
      <c r="B41" s="26">
        <f>IF($P41="","",IF(INDEX(CalcNormDate,$P41)=0,"",INDEX(CalcNormDate,$P41)))</f>
        <v/>
      </c>
      <c r="C41" s="26">
        <f>IF($P41="","",IF(INDEX(CalcTime,$P41)=0,"",INDEX(CalcTime,$P41)))</f>
        <v/>
      </c>
      <c r="D41" s="26">
        <f>IF($P41="","",IF(INDEX(EntryParty,$P41)=0,"",INDEX(EntryParty,$P41)))</f>
        <v/>
      </c>
      <c r="E41" s="26">
        <f>IF($P41="","",IF(INDEX(EntryPartyName,$P41)=0,"",INDEX(EntryPartyName,$P41)))</f>
        <v/>
      </c>
      <c r="F41" s="26">
        <f>IF($P41="","",IF(INDEX(EntryPartyType,$P41)=0,"",INDEX(EntryPartyType,$P41)))</f>
        <v/>
      </c>
      <c r="G41" s="26">
        <f>IF($P41="","",IF(INDEX(EntryTxnType,$P41)=0,"",INDEX(EntryTxnType,$P41)))</f>
        <v/>
      </c>
      <c r="H41" s="27">
        <f>IF($P41="","",IF(INDEX(EntryDep,$P41)=0,"",INDEX(EntryDep,$P41)))</f>
        <v/>
      </c>
      <c r="I41" s="27">
        <f>IF($P41="","",IF(INDEX(EntryWit,$P41)=0,"",INDEX(EntryWit,$P41)))</f>
        <v/>
      </c>
      <c r="J41" s="27">
        <f>IF($B41="","",IF($A41=1,$C$7,IF(J40="",0,J40))+IF($H41="",0,$H41)-IF($I41="",0,$I41))</f>
        <v/>
      </c>
      <c r="K41" s="27">
        <f>IF($P41="","",IF(INDEX(EntryMan,$P41)=0,"",INDEX(EntryMan,$P41)))</f>
        <v/>
      </c>
      <c r="L41" s="26">
        <f>IF($B41="","",IF($K41="","—",IF(ROUND($K41-$J41,0)=0,"√","×")))</f>
        <v/>
      </c>
      <c r="M41" s="26">
        <f>IF($B41="","",IF(COUNTIFS(EntryDates,$B41,CalcTime,$C41,CalcBank,$C$5,EntryParty,$D41,EntryDep,$H41,EntryWit,$I41)&gt;1,"تکرار",""))</f>
        <v/>
      </c>
      <c r="N41" s="26">
        <f>IF($P41="","",IF(INDEX(EntryNotes,$P41)=0,"",INDEX(EntryNotes,$P41)))</f>
        <v/>
      </c>
      <c r="O41" s="26">
        <f>IF($P41="","",IF(INDEX(EntryTxnID,$P41)=0,"",INDEX(EntryTxnID,$P41)))</f>
        <v/>
      </c>
      <c r="P41" s="26">
        <f>IFERROR(MATCH($C$5&amp;"|"&amp;RIGHT("000000"&amp;25,6),CalcRankKey,0),"")</f>
        <v/>
      </c>
    </row>
    <row r="42">
      <c r="A42" s="28">
        <f>IF($B42="","",26)</f>
        <v/>
      </c>
      <c r="B42" s="28">
        <f>IF($P42="","",IF(INDEX(CalcNormDate,$P42)=0,"",INDEX(CalcNormDate,$P42)))</f>
        <v/>
      </c>
      <c r="C42" s="28">
        <f>IF($P42="","",IF(INDEX(CalcTime,$P42)=0,"",INDEX(CalcTime,$P42)))</f>
        <v/>
      </c>
      <c r="D42" s="28">
        <f>IF($P42="","",IF(INDEX(EntryParty,$P42)=0,"",INDEX(EntryParty,$P42)))</f>
        <v/>
      </c>
      <c r="E42" s="28">
        <f>IF($P42="","",IF(INDEX(EntryPartyName,$P42)=0,"",INDEX(EntryPartyName,$P42)))</f>
        <v/>
      </c>
      <c r="F42" s="28">
        <f>IF($P42="","",IF(INDEX(EntryPartyType,$P42)=0,"",INDEX(EntryPartyType,$P42)))</f>
        <v/>
      </c>
      <c r="G42" s="28">
        <f>IF($P42="","",IF(INDEX(EntryTxnType,$P42)=0,"",INDEX(EntryTxnType,$P42)))</f>
        <v/>
      </c>
      <c r="H42" s="29">
        <f>IF($P42="","",IF(INDEX(EntryDep,$P42)=0,"",INDEX(EntryDep,$P42)))</f>
        <v/>
      </c>
      <c r="I42" s="29">
        <f>IF($P42="","",IF(INDEX(EntryWit,$P42)=0,"",INDEX(EntryWit,$P42)))</f>
        <v/>
      </c>
      <c r="J42" s="29">
        <f>IF($B42="","",IF($A42=1,$C$7,IF(J41="",0,J41))+IF($H42="",0,$H42)-IF($I42="",0,$I42))</f>
        <v/>
      </c>
      <c r="K42" s="29">
        <f>IF($P42="","",IF(INDEX(EntryMan,$P42)=0,"",INDEX(EntryMan,$P42)))</f>
        <v/>
      </c>
      <c r="L42" s="28">
        <f>IF($B42="","",IF($K42="","—",IF(ROUND($K42-$J42,0)=0,"√","×")))</f>
        <v/>
      </c>
      <c r="M42" s="28">
        <f>IF($B42="","",IF(COUNTIFS(EntryDates,$B42,CalcTime,$C42,CalcBank,$C$5,EntryParty,$D42,EntryDep,$H42,EntryWit,$I42)&gt;1,"تکرار",""))</f>
        <v/>
      </c>
      <c r="N42" s="28">
        <f>IF($P42="","",IF(INDEX(EntryNotes,$P42)=0,"",INDEX(EntryNotes,$P42)))</f>
        <v/>
      </c>
      <c r="O42" s="28">
        <f>IF($P42="","",IF(INDEX(EntryTxnID,$P42)=0,"",INDEX(EntryTxnID,$P42)))</f>
        <v/>
      </c>
      <c r="P42" s="28">
        <f>IFERROR(MATCH($C$5&amp;"|"&amp;RIGHT("000000"&amp;26,6),CalcRankKey,0),"")</f>
        <v/>
      </c>
    </row>
    <row r="43">
      <c r="A43" s="26">
        <f>IF($B43="","",27)</f>
        <v/>
      </c>
      <c r="B43" s="26">
        <f>IF($P43="","",IF(INDEX(CalcNormDate,$P43)=0,"",INDEX(CalcNormDate,$P43)))</f>
        <v/>
      </c>
      <c r="C43" s="26">
        <f>IF($P43="","",IF(INDEX(CalcTime,$P43)=0,"",INDEX(CalcTime,$P43)))</f>
        <v/>
      </c>
      <c r="D43" s="26">
        <f>IF($P43="","",IF(INDEX(EntryParty,$P43)=0,"",INDEX(EntryParty,$P43)))</f>
        <v/>
      </c>
      <c r="E43" s="26">
        <f>IF($P43="","",IF(INDEX(EntryPartyName,$P43)=0,"",INDEX(EntryPartyName,$P43)))</f>
        <v/>
      </c>
      <c r="F43" s="26">
        <f>IF($P43="","",IF(INDEX(EntryPartyType,$P43)=0,"",INDEX(EntryPartyType,$P43)))</f>
        <v/>
      </c>
      <c r="G43" s="26">
        <f>IF($P43="","",IF(INDEX(EntryTxnType,$P43)=0,"",INDEX(EntryTxnType,$P43)))</f>
        <v/>
      </c>
      <c r="H43" s="27">
        <f>IF($P43="","",IF(INDEX(EntryDep,$P43)=0,"",INDEX(EntryDep,$P43)))</f>
        <v/>
      </c>
      <c r="I43" s="27">
        <f>IF($P43="","",IF(INDEX(EntryWit,$P43)=0,"",INDEX(EntryWit,$P43)))</f>
        <v/>
      </c>
      <c r="J43" s="27">
        <f>IF($B43="","",IF($A43=1,$C$7,IF(J42="",0,J42))+IF($H43="",0,$H43)-IF($I43="",0,$I43))</f>
        <v/>
      </c>
      <c r="K43" s="27">
        <f>IF($P43="","",IF(INDEX(EntryMan,$P43)=0,"",INDEX(EntryMan,$P43)))</f>
        <v/>
      </c>
      <c r="L43" s="26">
        <f>IF($B43="","",IF($K43="","—",IF(ROUND($K43-$J43,0)=0,"√","×")))</f>
        <v/>
      </c>
      <c r="M43" s="26">
        <f>IF($B43="","",IF(COUNTIFS(EntryDates,$B43,CalcTime,$C43,CalcBank,$C$5,EntryParty,$D43,EntryDep,$H43,EntryWit,$I43)&gt;1,"تکرار",""))</f>
        <v/>
      </c>
      <c r="N43" s="26">
        <f>IF($P43="","",IF(INDEX(EntryNotes,$P43)=0,"",INDEX(EntryNotes,$P43)))</f>
        <v/>
      </c>
      <c r="O43" s="26">
        <f>IF($P43="","",IF(INDEX(EntryTxnID,$P43)=0,"",INDEX(EntryTxnID,$P43)))</f>
        <v/>
      </c>
      <c r="P43" s="26">
        <f>IFERROR(MATCH($C$5&amp;"|"&amp;RIGHT("000000"&amp;27,6),CalcRankKey,0),"")</f>
        <v/>
      </c>
    </row>
    <row r="44">
      <c r="A44" s="28">
        <f>IF($B44="","",28)</f>
        <v/>
      </c>
      <c r="B44" s="28">
        <f>IF($P44="","",IF(INDEX(CalcNormDate,$P44)=0,"",INDEX(CalcNormDate,$P44)))</f>
        <v/>
      </c>
      <c r="C44" s="28">
        <f>IF($P44="","",IF(INDEX(CalcTime,$P44)=0,"",INDEX(CalcTime,$P44)))</f>
        <v/>
      </c>
      <c r="D44" s="28">
        <f>IF($P44="","",IF(INDEX(EntryParty,$P44)=0,"",INDEX(EntryParty,$P44)))</f>
        <v/>
      </c>
      <c r="E44" s="28">
        <f>IF($P44="","",IF(INDEX(EntryPartyName,$P44)=0,"",INDEX(EntryPartyName,$P44)))</f>
        <v/>
      </c>
      <c r="F44" s="28">
        <f>IF($P44="","",IF(INDEX(EntryPartyType,$P44)=0,"",INDEX(EntryPartyType,$P44)))</f>
        <v/>
      </c>
      <c r="G44" s="28">
        <f>IF($P44="","",IF(INDEX(EntryTxnType,$P44)=0,"",INDEX(EntryTxnType,$P44)))</f>
        <v/>
      </c>
      <c r="H44" s="29">
        <f>IF($P44="","",IF(INDEX(EntryDep,$P44)=0,"",INDEX(EntryDep,$P44)))</f>
        <v/>
      </c>
      <c r="I44" s="29">
        <f>IF($P44="","",IF(INDEX(EntryWit,$P44)=0,"",INDEX(EntryWit,$P44)))</f>
        <v/>
      </c>
      <c r="J44" s="29">
        <f>IF($B44="","",IF($A44=1,$C$7,IF(J43="",0,J43))+IF($H44="",0,$H44)-IF($I44="",0,$I44))</f>
        <v/>
      </c>
      <c r="K44" s="29">
        <f>IF($P44="","",IF(INDEX(EntryMan,$P44)=0,"",INDEX(EntryMan,$P44)))</f>
        <v/>
      </c>
      <c r="L44" s="28">
        <f>IF($B44="","",IF($K44="","—",IF(ROUND($K44-$J44,0)=0,"√","×")))</f>
        <v/>
      </c>
      <c r="M44" s="28">
        <f>IF($B44="","",IF(COUNTIFS(EntryDates,$B44,CalcTime,$C44,CalcBank,$C$5,EntryParty,$D44,EntryDep,$H44,EntryWit,$I44)&gt;1,"تکرار",""))</f>
        <v/>
      </c>
      <c r="N44" s="28">
        <f>IF($P44="","",IF(INDEX(EntryNotes,$P44)=0,"",INDEX(EntryNotes,$P44)))</f>
        <v/>
      </c>
      <c r="O44" s="28">
        <f>IF($P44="","",IF(INDEX(EntryTxnID,$P44)=0,"",INDEX(EntryTxnID,$P44)))</f>
        <v/>
      </c>
      <c r="P44" s="28">
        <f>IFERROR(MATCH($C$5&amp;"|"&amp;RIGHT("000000"&amp;28,6),CalcRankKey,0),"")</f>
        <v/>
      </c>
    </row>
    <row r="45">
      <c r="A45" s="26">
        <f>IF($B45="","",29)</f>
        <v/>
      </c>
      <c r="B45" s="26">
        <f>IF($P45="","",IF(INDEX(CalcNormDate,$P45)=0,"",INDEX(CalcNormDate,$P45)))</f>
        <v/>
      </c>
      <c r="C45" s="26">
        <f>IF($P45="","",IF(INDEX(CalcTime,$P45)=0,"",INDEX(CalcTime,$P45)))</f>
        <v/>
      </c>
      <c r="D45" s="26">
        <f>IF($P45="","",IF(INDEX(EntryParty,$P45)=0,"",INDEX(EntryParty,$P45)))</f>
        <v/>
      </c>
      <c r="E45" s="26">
        <f>IF($P45="","",IF(INDEX(EntryPartyName,$P45)=0,"",INDEX(EntryPartyName,$P45)))</f>
        <v/>
      </c>
      <c r="F45" s="26">
        <f>IF($P45="","",IF(INDEX(EntryPartyType,$P45)=0,"",INDEX(EntryPartyType,$P45)))</f>
        <v/>
      </c>
      <c r="G45" s="26">
        <f>IF($P45="","",IF(INDEX(EntryTxnType,$P45)=0,"",INDEX(EntryTxnType,$P45)))</f>
        <v/>
      </c>
      <c r="H45" s="27">
        <f>IF($P45="","",IF(INDEX(EntryDep,$P45)=0,"",INDEX(EntryDep,$P45)))</f>
        <v/>
      </c>
      <c r="I45" s="27">
        <f>IF($P45="","",IF(INDEX(EntryWit,$P45)=0,"",INDEX(EntryWit,$P45)))</f>
        <v/>
      </c>
      <c r="J45" s="27">
        <f>IF($B45="","",IF($A45=1,$C$7,IF(J44="",0,J44))+IF($H45="",0,$H45)-IF($I45="",0,$I45))</f>
        <v/>
      </c>
      <c r="K45" s="27">
        <f>IF($P45="","",IF(INDEX(EntryMan,$P45)=0,"",INDEX(EntryMan,$P45)))</f>
        <v/>
      </c>
      <c r="L45" s="26">
        <f>IF($B45="","",IF($K45="","—",IF(ROUND($K45-$J45,0)=0,"√","×")))</f>
        <v/>
      </c>
      <c r="M45" s="26">
        <f>IF($B45="","",IF(COUNTIFS(EntryDates,$B45,CalcTime,$C45,CalcBank,$C$5,EntryParty,$D45,EntryDep,$H45,EntryWit,$I45)&gt;1,"تکرار",""))</f>
        <v/>
      </c>
      <c r="N45" s="26">
        <f>IF($P45="","",IF(INDEX(EntryNotes,$P45)=0,"",INDEX(EntryNotes,$P45)))</f>
        <v/>
      </c>
      <c r="O45" s="26">
        <f>IF($P45="","",IF(INDEX(EntryTxnID,$P45)=0,"",INDEX(EntryTxnID,$P45)))</f>
        <v/>
      </c>
      <c r="P45" s="26">
        <f>IFERROR(MATCH($C$5&amp;"|"&amp;RIGHT("000000"&amp;29,6),CalcRankKey,0),"")</f>
        <v/>
      </c>
    </row>
    <row r="46">
      <c r="A46" s="28">
        <f>IF($B46="","",30)</f>
        <v/>
      </c>
      <c r="B46" s="28">
        <f>IF($P46="","",IF(INDEX(CalcNormDate,$P46)=0,"",INDEX(CalcNormDate,$P46)))</f>
        <v/>
      </c>
      <c r="C46" s="28">
        <f>IF($P46="","",IF(INDEX(CalcTime,$P46)=0,"",INDEX(CalcTime,$P46)))</f>
        <v/>
      </c>
      <c r="D46" s="28">
        <f>IF($P46="","",IF(INDEX(EntryParty,$P46)=0,"",INDEX(EntryParty,$P46)))</f>
        <v/>
      </c>
      <c r="E46" s="28">
        <f>IF($P46="","",IF(INDEX(EntryPartyName,$P46)=0,"",INDEX(EntryPartyName,$P46)))</f>
        <v/>
      </c>
      <c r="F46" s="28">
        <f>IF($P46="","",IF(INDEX(EntryPartyType,$P46)=0,"",INDEX(EntryPartyType,$P46)))</f>
        <v/>
      </c>
      <c r="G46" s="28">
        <f>IF($P46="","",IF(INDEX(EntryTxnType,$P46)=0,"",INDEX(EntryTxnType,$P46)))</f>
        <v/>
      </c>
      <c r="H46" s="29">
        <f>IF($P46="","",IF(INDEX(EntryDep,$P46)=0,"",INDEX(EntryDep,$P46)))</f>
        <v/>
      </c>
      <c r="I46" s="29">
        <f>IF($P46="","",IF(INDEX(EntryWit,$P46)=0,"",INDEX(EntryWit,$P46)))</f>
        <v/>
      </c>
      <c r="J46" s="29">
        <f>IF($B46="","",IF($A46=1,$C$7,IF(J45="",0,J45))+IF($H46="",0,$H46)-IF($I46="",0,$I46))</f>
        <v/>
      </c>
      <c r="K46" s="29">
        <f>IF($P46="","",IF(INDEX(EntryMan,$P46)=0,"",INDEX(EntryMan,$P46)))</f>
        <v/>
      </c>
      <c r="L46" s="28">
        <f>IF($B46="","",IF($K46="","—",IF(ROUND($K46-$J46,0)=0,"√","×")))</f>
        <v/>
      </c>
      <c r="M46" s="28">
        <f>IF($B46="","",IF(COUNTIFS(EntryDates,$B46,CalcTime,$C46,CalcBank,$C$5,EntryParty,$D46,EntryDep,$H46,EntryWit,$I46)&gt;1,"تکرار",""))</f>
        <v/>
      </c>
      <c r="N46" s="28">
        <f>IF($P46="","",IF(INDEX(EntryNotes,$P46)=0,"",INDEX(EntryNotes,$P46)))</f>
        <v/>
      </c>
      <c r="O46" s="28">
        <f>IF($P46="","",IF(INDEX(EntryTxnID,$P46)=0,"",INDEX(EntryTxnID,$P46)))</f>
        <v/>
      </c>
      <c r="P46" s="28">
        <f>IFERROR(MATCH($C$5&amp;"|"&amp;RIGHT("000000"&amp;30,6),CalcRankKey,0),"")</f>
        <v/>
      </c>
    </row>
    <row r="47">
      <c r="A47" s="26">
        <f>IF($B47="","",31)</f>
        <v/>
      </c>
      <c r="B47" s="26">
        <f>IF($P47="","",IF(INDEX(CalcNormDate,$P47)=0,"",INDEX(CalcNormDate,$P47)))</f>
        <v/>
      </c>
      <c r="C47" s="26">
        <f>IF($P47="","",IF(INDEX(CalcTime,$P47)=0,"",INDEX(CalcTime,$P47)))</f>
        <v/>
      </c>
      <c r="D47" s="26">
        <f>IF($P47="","",IF(INDEX(EntryParty,$P47)=0,"",INDEX(EntryParty,$P47)))</f>
        <v/>
      </c>
      <c r="E47" s="26">
        <f>IF($P47="","",IF(INDEX(EntryPartyName,$P47)=0,"",INDEX(EntryPartyName,$P47)))</f>
        <v/>
      </c>
      <c r="F47" s="26">
        <f>IF($P47="","",IF(INDEX(EntryPartyType,$P47)=0,"",INDEX(EntryPartyType,$P47)))</f>
        <v/>
      </c>
      <c r="G47" s="26">
        <f>IF($P47="","",IF(INDEX(EntryTxnType,$P47)=0,"",INDEX(EntryTxnType,$P47)))</f>
        <v/>
      </c>
      <c r="H47" s="27">
        <f>IF($P47="","",IF(INDEX(EntryDep,$P47)=0,"",INDEX(EntryDep,$P47)))</f>
        <v/>
      </c>
      <c r="I47" s="27">
        <f>IF($P47="","",IF(INDEX(EntryWit,$P47)=0,"",INDEX(EntryWit,$P47)))</f>
        <v/>
      </c>
      <c r="J47" s="27">
        <f>IF($B47="","",IF($A47=1,$C$7,IF(J46="",0,J46))+IF($H47="",0,$H47)-IF($I47="",0,$I47))</f>
        <v/>
      </c>
      <c r="K47" s="27">
        <f>IF($P47="","",IF(INDEX(EntryMan,$P47)=0,"",INDEX(EntryMan,$P47)))</f>
        <v/>
      </c>
      <c r="L47" s="26">
        <f>IF($B47="","",IF($K47="","—",IF(ROUND($K47-$J47,0)=0,"√","×")))</f>
        <v/>
      </c>
      <c r="M47" s="26">
        <f>IF($B47="","",IF(COUNTIFS(EntryDates,$B47,CalcTime,$C47,CalcBank,$C$5,EntryParty,$D47,EntryDep,$H47,EntryWit,$I47)&gt;1,"تکرار",""))</f>
        <v/>
      </c>
      <c r="N47" s="26">
        <f>IF($P47="","",IF(INDEX(EntryNotes,$P47)=0,"",INDEX(EntryNotes,$P47)))</f>
        <v/>
      </c>
      <c r="O47" s="26">
        <f>IF($P47="","",IF(INDEX(EntryTxnID,$P47)=0,"",INDEX(EntryTxnID,$P47)))</f>
        <v/>
      </c>
      <c r="P47" s="26">
        <f>IFERROR(MATCH($C$5&amp;"|"&amp;RIGHT("000000"&amp;31,6),CalcRankKey,0),"")</f>
        <v/>
      </c>
    </row>
    <row r="48">
      <c r="A48" s="28">
        <f>IF($B48="","",32)</f>
        <v/>
      </c>
      <c r="B48" s="28">
        <f>IF($P48="","",IF(INDEX(CalcNormDate,$P48)=0,"",INDEX(CalcNormDate,$P48)))</f>
        <v/>
      </c>
      <c r="C48" s="28">
        <f>IF($P48="","",IF(INDEX(CalcTime,$P48)=0,"",INDEX(CalcTime,$P48)))</f>
        <v/>
      </c>
      <c r="D48" s="28">
        <f>IF($P48="","",IF(INDEX(EntryParty,$P48)=0,"",INDEX(EntryParty,$P48)))</f>
        <v/>
      </c>
      <c r="E48" s="28">
        <f>IF($P48="","",IF(INDEX(EntryPartyName,$P48)=0,"",INDEX(EntryPartyName,$P48)))</f>
        <v/>
      </c>
      <c r="F48" s="28">
        <f>IF($P48="","",IF(INDEX(EntryPartyType,$P48)=0,"",INDEX(EntryPartyType,$P48)))</f>
        <v/>
      </c>
      <c r="G48" s="28">
        <f>IF($P48="","",IF(INDEX(EntryTxnType,$P48)=0,"",INDEX(EntryTxnType,$P48)))</f>
        <v/>
      </c>
      <c r="H48" s="29">
        <f>IF($P48="","",IF(INDEX(EntryDep,$P48)=0,"",INDEX(EntryDep,$P48)))</f>
        <v/>
      </c>
      <c r="I48" s="29">
        <f>IF($P48="","",IF(INDEX(EntryWit,$P48)=0,"",INDEX(EntryWit,$P48)))</f>
        <v/>
      </c>
      <c r="J48" s="29">
        <f>IF($B48="","",IF($A48=1,$C$7,IF(J47="",0,J47))+IF($H48="",0,$H48)-IF($I48="",0,$I48))</f>
        <v/>
      </c>
      <c r="K48" s="29">
        <f>IF($P48="","",IF(INDEX(EntryMan,$P48)=0,"",INDEX(EntryMan,$P48)))</f>
        <v/>
      </c>
      <c r="L48" s="28">
        <f>IF($B48="","",IF($K48="","—",IF(ROUND($K48-$J48,0)=0,"√","×")))</f>
        <v/>
      </c>
      <c r="M48" s="28">
        <f>IF($B48="","",IF(COUNTIFS(EntryDates,$B48,CalcTime,$C48,CalcBank,$C$5,EntryParty,$D48,EntryDep,$H48,EntryWit,$I48)&gt;1,"تکرار",""))</f>
        <v/>
      </c>
      <c r="N48" s="28">
        <f>IF($P48="","",IF(INDEX(EntryNotes,$P48)=0,"",INDEX(EntryNotes,$P48)))</f>
        <v/>
      </c>
      <c r="O48" s="28">
        <f>IF($P48="","",IF(INDEX(EntryTxnID,$P48)=0,"",INDEX(EntryTxnID,$P48)))</f>
        <v/>
      </c>
      <c r="P48" s="28">
        <f>IFERROR(MATCH($C$5&amp;"|"&amp;RIGHT("000000"&amp;32,6),CalcRankKey,0),"")</f>
        <v/>
      </c>
    </row>
    <row r="49">
      <c r="A49" s="26">
        <f>IF($B49="","",33)</f>
        <v/>
      </c>
      <c r="B49" s="26">
        <f>IF($P49="","",IF(INDEX(CalcNormDate,$P49)=0,"",INDEX(CalcNormDate,$P49)))</f>
        <v/>
      </c>
      <c r="C49" s="26">
        <f>IF($P49="","",IF(INDEX(CalcTime,$P49)=0,"",INDEX(CalcTime,$P49)))</f>
        <v/>
      </c>
      <c r="D49" s="26">
        <f>IF($P49="","",IF(INDEX(EntryParty,$P49)=0,"",INDEX(EntryParty,$P49)))</f>
        <v/>
      </c>
      <c r="E49" s="26">
        <f>IF($P49="","",IF(INDEX(EntryPartyName,$P49)=0,"",INDEX(EntryPartyName,$P49)))</f>
        <v/>
      </c>
      <c r="F49" s="26">
        <f>IF($P49="","",IF(INDEX(EntryPartyType,$P49)=0,"",INDEX(EntryPartyType,$P49)))</f>
        <v/>
      </c>
      <c r="G49" s="26">
        <f>IF($P49="","",IF(INDEX(EntryTxnType,$P49)=0,"",INDEX(EntryTxnType,$P49)))</f>
        <v/>
      </c>
      <c r="H49" s="27">
        <f>IF($P49="","",IF(INDEX(EntryDep,$P49)=0,"",INDEX(EntryDep,$P49)))</f>
        <v/>
      </c>
      <c r="I49" s="27">
        <f>IF($P49="","",IF(INDEX(EntryWit,$P49)=0,"",INDEX(EntryWit,$P49)))</f>
        <v/>
      </c>
      <c r="J49" s="27">
        <f>IF($B49="","",IF($A49=1,$C$7,IF(J48="",0,J48))+IF($H49="",0,$H49)-IF($I49="",0,$I49))</f>
        <v/>
      </c>
      <c r="K49" s="27">
        <f>IF($P49="","",IF(INDEX(EntryMan,$P49)=0,"",INDEX(EntryMan,$P49)))</f>
        <v/>
      </c>
      <c r="L49" s="26">
        <f>IF($B49="","",IF($K49="","—",IF(ROUND($K49-$J49,0)=0,"√","×")))</f>
        <v/>
      </c>
      <c r="M49" s="26">
        <f>IF($B49="","",IF(COUNTIFS(EntryDates,$B49,CalcTime,$C49,CalcBank,$C$5,EntryParty,$D49,EntryDep,$H49,EntryWit,$I49)&gt;1,"تکرار",""))</f>
        <v/>
      </c>
      <c r="N49" s="26">
        <f>IF($P49="","",IF(INDEX(EntryNotes,$P49)=0,"",INDEX(EntryNotes,$P49)))</f>
        <v/>
      </c>
      <c r="O49" s="26">
        <f>IF($P49="","",IF(INDEX(EntryTxnID,$P49)=0,"",INDEX(EntryTxnID,$P49)))</f>
        <v/>
      </c>
      <c r="P49" s="26">
        <f>IFERROR(MATCH($C$5&amp;"|"&amp;RIGHT("000000"&amp;33,6),CalcRankKey,0),"")</f>
        <v/>
      </c>
    </row>
    <row r="50">
      <c r="A50" s="28">
        <f>IF($B50="","",34)</f>
        <v/>
      </c>
      <c r="B50" s="28">
        <f>IF($P50="","",IF(INDEX(CalcNormDate,$P50)=0,"",INDEX(CalcNormDate,$P50)))</f>
        <v/>
      </c>
      <c r="C50" s="28">
        <f>IF($P50="","",IF(INDEX(CalcTime,$P50)=0,"",INDEX(CalcTime,$P50)))</f>
        <v/>
      </c>
      <c r="D50" s="28">
        <f>IF($P50="","",IF(INDEX(EntryParty,$P50)=0,"",INDEX(EntryParty,$P50)))</f>
        <v/>
      </c>
      <c r="E50" s="28">
        <f>IF($P50="","",IF(INDEX(EntryPartyName,$P50)=0,"",INDEX(EntryPartyName,$P50)))</f>
        <v/>
      </c>
      <c r="F50" s="28">
        <f>IF($P50="","",IF(INDEX(EntryPartyType,$P50)=0,"",INDEX(EntryPartyType,$P50)))</f>
        <v/>
      </c>
      <c r="G50" s="28">
        <f>IF($P50="","",IF(INDEX(EntryTxnType,$P50)=0,"",INDEX(EntryTxnType,$P50)))</f>
        <v/>
      </c>
      <c r="H50" s="29">
        <f>IF($P50="","",IF(INDEX(EntryDep,$P50)=0,"",INDEX(EntryDep,$P50)))</f>
        <v/>
      </c>
      <c r="I50" s="29">
        <f>IF($P50="","",IF(INDEX(EntryWit,$P50)=0,"",INDEX(EntryWit,$P50)))</f>
        <v/>
      </c>
      <c r="J50" s="29">
        <f>IF($B50="","",IF($A50=1,$C$7,IF(J49="",0,J49))+IF($H50="",0,$H50)-IF($I50="",0,$I50))</f>
        <v/>
      </c>
      <c r="K50" s="29">
        <f>IF($P50="","",IF(INDEX(EntryMan,$P50)=0,"",INDEX(EntryMan,$P50)))</f>
        <v/>
      </c>
      <c r="L50" s="28">
        <f>IF($B50="","",IF($K50="","—",IF(ROUND($K50-$J50,0)=0,"√","×")))</f>
        <v/>
      </c>
      <c r="M50" s="28">
        <f>IF($B50="","",IF(COUNTIFS(EntryDates,$B50,CalcTime,$C50,CalcBank,$C$5,EntryParty,$D50,EntryDep,$H50,EntryWit,$I50)&gt;1,"تکرار",""))</f>
        <v/>
      </c>
      <c r="N50" s="28">
        <f>IF($P50="","",IF(INDEX(EntryNotes,$P50)=0,"",INDEX(EntryNotes,$P50)))</f>
        <v/>
      </c>
      <c r="O50" s="28">
        <f>IF($P50="","",IF(INDEX(EntryTxnID,$P50)=0,"",INDEX(EntryTxnID,$P50)))</f>
        <v/>
      </c>
      <c r="P50" s="28">
        <f>IFERROR(MATCH($C$5&amp;"|"&amp;RIGHT("000000"&amp;34,6),CalcRankKey,0),"")</f>
        <v/>
      </c>
    </row>
    <row r="51">
      <c r="A51" s="26">
        <f>IF($B51="","",35)</f>
        <v/>
      </c>
      <c r="B51" s="26">
        <f>IF($P51="","",IF(INDEX(CalcNormDate,$P51)=0,"",INDEX(CalcNormDate,$P51)))</f>
        <v/>
      </c>
      <c r="C51" s="26">
        <f>IF($P51="","",IF(INDEX(CalcTime,$P51)=0,"",INDEX(CalcTime,$P51)))</f>
        <v/>
      </c>
      <c r="D51" s="26">
        <f>IF($P51="","",IF(INDEX(EntryParty,$P51)=0,"",INDEX(EntryParty,$P51)))</f>
        <v/>
      </c>
      <c r="E51" s="26">
        <f>IF($P51="","",IF(INDEX(EntryPartyName,$P51)=0,"",INDEX(EntryPartyName,$P51)))</f>
        <v/>
      </c>
      <c r="F51" s="26">
        <f>IF($P51="","",IF(INDEX(EntryPartyType,$P51)=0,"",INDEX(EntryPartyType,$P51)))</f>
        <v/>
      </c>
      <c r="G51" s="26">
        <f>IF($P51="","",IF(INDEX(EntryTxnType,$P51)=0,"",INDEX(EntryTxnType,$P51)))</f>
        <v/>
      </c>
      <c r="H51" s="27">
        <f>IF($P51="","",IF(INDEX(EntryDep,$P51)=0,"",INDEX(EntryDep,$P51)))</f>
        <v/>
      </c>
      <c r="I51" s="27">
        <f>IF($P51="","",IF(INDEX(EntryWit,$P51)=0,"",INDEX(EntryWit,$P51)))</f>
        <v/>
      </c>
      <c r="J51" s="27">
        <f>IF($B51="","",IF($A51=1,$C$7,IF(J50="",0,J50))+IF($H51="",0,$H51)-IF($I51="",0,$I51))</f>
        <v/>
      </c>
      <c r="K51" s="27">
        <f>IF($P51="","",IF(INDEX(EntryMan,$P51)=0,"",INDEX(EntryMan,$P51)))</f>
        <v/>
      </c>
      <c r="L51" s="26">
        <f>IF($B51="","",IF($K51="","—",IF(ROUND($K51-$J51,0)=0,"√","×")))</f>
        <v/>
      </c>
      <c r="M51" s="26">
        <f>IF($B51="","",IF(COUNTIFS(EntryDates,$B51,CalcTime,$C51,CalcBank,$C$5,EntryParty,$D51,EntryDep,$H51,EntryWit,$I51)&gt;1,"تکرار",""))</f>
        <v/>
      </c>
      <c r="N51" s="26">
        <f>IF($P51="","",IF(INDEX(EntryNotes,$P51)=0,"",INDEX(EntryNotes,$P51)))</f>
        <v/>
      </c>
      <c r="O51" s="26">
        <f>IF($P51="","",IF(INDEX(EntryTxnID,$P51)=0,"",INDEX(EntryTxnID,$P51)))</f>
        <v/>
      </c>
      <c r="P51" s="26">
        <f>IFERROR(MATCH($C$5&amp;"|"&amp;RIGHT("000000"&amp;35,6),CalcRankKey,0),"")</f>
        <v/>
      </c>
    </row>
    <row r="52">
      <c r="A52" s="28">
        <f>IF($B52="","",36)</f>
        <v/>
      </c>
      <c r="B52" s="28">
        <f>IF($P52="","",IF(INDEX(CalcNormDate,$P52)=0,"",INDEX(CalcNormDate,$P52)))</f>
        <v/>
      </c>
      <c r="C52" s="28">
        <f>IF($P52="","",IF(INDEX(CalcTime,$P52)=0,"",INDEX(CalcTime,$P52)))</f>
        <v/>
      </c>
      <c r="D52" s="28">
        <f>IF($P52="","",IF(INDEX(EntryParty,$P52)=0,"",INDEX(EntryParty,$P52)))</f>
        <v/>
      </c>
      <c r="E52" s="28">
        <f>IF($P52="","",IF(INDEX(EntryPartyName,$P52)=0,"",INDEX(EntryPartyName,$P52)))</f>
        <v/>
      </c>
      <c r="F52" s="28">
        <f>IF($P52="","",IF(INDEX(EntryPartyType,$P52)=0,"",INDEX(EntryPartyType,$P52)))</f>
        <v/>
      </c>
      <c r="G52" s="28">
        <f>IF($P52="","",IF(INDEX(EntryTxnType,$P52)=0,"",INDEX(EntryTxnType,$P52)))</f>
        <v/>
      </c>
      <c r="H52" s="29">
        <f>IF($P52="","",IF(INDEX(EntryDep,$P52)=0,"",INDEX(EntryDep,$P52)))</f>
        <v/>
      </c>
      <c r="I52" s="29">
        <f>IF($P52="","",IF(INDEX(EntryWit,$P52)=0,"",INDEX(EntryWit,$P52)))</f>
        <v/>
      </c>
      <c r="J52" s="29">
        <f>IF($B52="","",IF($A52=1,$C$7,IF(J51="",0,J51))+IF($H52="",0,$H52)-IF($I52="",0,$I52))</f>
        <v/>
      </c>
      <c r="K52" s="29">
        <f>IF($P52="","",IF(INDEX(EntryMan,$P52)=0,"",INDEX(EntryMan,$P52)))</f>
        <v/>
      </c>
      <c r="L52" s="28">
        <f>IF($B52="","",IF($K52="","—",IF(ROUND($K52-$J52,0)=0,"√","×")))</f>
        <v/>
      </c>
      <c r="M52" s="28">
        <f>IF($B52="","",IF(COUNTIFS(EntryDates,$B52,CalcTime,$C52,CalcBank,$C$5,EntryParty,$D52,EntryDep,$H52,EntryWit,$I52)&gt;1,"تکرار",""))</f>
        <v/>
      </c>
      <c r="N52" s="28">
        <f>IF($P52="","",IF(INDEX(EntryNotes,$P52)=0,"",INDEX(EntryNotes,$P52)))</f>
        <v/>
      </c>
      <c r="O52" s="28">
        <f>IF($P52="","",IF(INDEX(EntryTxnID,$P52)=0,"",INDEX(EntryTxnID,$P52)))</f>
        <v/>
      </c>
      <c r="P52" s="28">
        <f>IFERROR(MATCH($C$5&amp;"|"&amp;RIGHT("000000"&amp;36,6),CalcRankKey,0),"")</f>
        <v/>
      </c>
    </row>
    <row r="53">
      <c r="A53" s="26">
        <f>IF($B53="","",37)</f>
        <v/>
      </c>
      <c r="B53" s="26">
        <f>IF($P53="","",IF(INDEX(CalcNormDate,$P53)=0,"",INDEX(CalcNormDate,$P53)))</f>
        <v/>
      </c>
      <c r="C53" s="26">
        <f>IF($P53="","",IF(INDEX(CalcTime,$P53)=0,"",INDEX(CalcTime,$P53)))</f>
        <v/>
      </c>
      <c r="D53" s="26">
        <f>IF($P53="","",IF(INDEX(EntryParty,$P53)=0,"",INDEX(EntryParty,$P53)))</f>
        <v/>
      </c>
      <c r="E53" s="26">
        <f>IF($P53="","",IF(INDEX(EntryPartyName,$P53)=0,"",INDEX(EntryPartyName,$P53)))</f>
        <v/>
      </c>
      <c r="F53" s="26">
        <f>IF($P53="","",IF(INDEX(EntryPartyType,$P53)=0,"",INDEX(EntryPartyType,$P53)))</f>
        <v/>
      </c>
      <c r="G53" s="26">
        <f>IF($P53="","",IF(INDEX(EntryTxnType,$P53)=0,"",INDEX(EntryTxnType,$P53)))</f>
        <v/>
      </c>
      <c r="H53" s="27">
        <f>IF($P53="","",IF(INDEX(EntryDep,$P53)=0,"",INDEX(EntryDep,$P53)))</f>
        <v/>
      </c>
      <c r="I53" s="27">
        <f>IF($P53="","",IF(INDEX(EntryWit,$P53)=0,"",INDEX(EntryWit,$P53)))</f>
        <v/>
      </c>
      <c r="J53" s="27">
        <f>IF($B53="","",IF($A53=1,$C$7,IF(J52="",0,J52))+IF($H53="",0,$H53)-IF($I53="",0,$I53))</f>
        <v/>
      </c>
      <c r="K53" s="27">
        <f>IF($P53="","",IF(INDEX(EntryMan,$P53)=0,"",INDEX(EntryMan,$P53)))</f>
        <v/>
      </c>
      <c r="L53" s="26">
        <f>IF($B53="","",IF($K53="","—",IF(ROUND($K53-$J53,0)=0,"√","×")))</f>
        <v/>
      </c>
      <c r="M53" s="26">
        <f>IF($B53="","",IF(COUNTIFS(EntryDates,$B53,CalcTime,$C53,CalcBank,$C$5,EntryParty,$D53,EntryDep,$H53,EntryWit,$I53)&gt;1,"تکرار",""))</f>
        <v/>
      </c>
      <c r="N53" s="26">
        <f>IF($P53="","",IF(INDEX(EntryNotes,$P53)=0,"",INDEX(EntryNotes,$P53)))</f>
        <v/>
      </c>
      <c r="O53" s="26">
        <f>IF($P53="","",IF(INDEX(EntryTxnID,$P53)=0,"",INDEX(EntryTxnID,$P53)))</f>
        <v/>
      </c>
      <c r="P53" s="26">
        <f>IFERROR(MATCH($C$5&amp;"|"&amp;RIGHT("000000"&amp;37,6),CalcRankKey,0),"")</f>
        <v/>
      </c>
    </row>
    <row r="54">
      <c r="A54" s="28">
        <f>IF($B54="","",38)</f>
        <v/>
      </c>
      <c r="B54" s="28">
        <f>IF($P54="","",IF(INDEX(CalcNormDate,$P54)=0,"",INDEX(CalcNormDate,$P54)))</f>
        <v/>
      </c>
      <c r="C54" s="28">
        <f>IF($P54="","",IF(INDEX(CalcTime,$P54)=0,"",INDEX(CalcTime,$P54)))</f>
        <v/>
      </c>
      <c r="D54" s="28">
        <f>IF($P54="","",IF(INDEX(EntryParty,$P54)=0,"",INDEX(EntryParty,$P54)))</f>
        <v/>
      </c>
      <c r="E54" s="28">
        <f>IF($P54="","",IF(INDEX(EntryPartyName,$P54)=0,"",INDEX(EntryPartyName,$P54)))</f>
        <v/>
      </c>
      <c r="F54" s="28">
        <f>IF($P54="","",IF(INDEX(EntryPartyType,$P54)=0,"",INDEX(EntryPartyType,$P54)))</f>
        <v/>
      </c>
      <c r="G54" s="28">
        <f>IF($P54="","",IF(INDEX(EntryTxnType,$P54)=0,"",INDEX(EntryTxnType,$P54)))</f>
        <v/>
      </c>
      <c r="H54" s="29">
        <f>IF($P54="","",IF(INDEX(EntryDep,$P54)=0,"",INDEX(EntryDep,$P54)))</f>
        <v/>
      </c>
      <c r="I54" s="29">
        <f>IF($P54="","",IF(INDEX(EntryWit,$P54)=0,"",INDEX(EntryWit,$P54)))</f>
        <v/>
      </c>
      <c r="J54" s="29">
        <f>IF($B54="","",IF($A54=1,$C$7,IF(J53="",0,J53))+IF($H54="",0,$H54)-IF($I54="",0,$I54))</f>
        <v/>
      </c>
      <c r="K54" s="29">
        <f>IF($P54="","",IF(INDEX(EntryMan,$P54)=0,"",INDEX(EntryMan,$P54)))</f>
        <v/>
      </c>
      <c r="L54" s="28">
        <f>IF($B54="","",IF($K54="","—",IF(ROUND($K54-$J54,0)=0,"√","×")))</f>
        <v/>
      </c>
      <c r="M54" s="28">
        <f>IF($B54="","",IF(COUNTIFS(EntryDates,$B54,CalcTime,$C54,CalcBank,$C$5,EntryParty,$D54,EntryDep,$H54,EntryWit,$I54)&gt;1,"تکرار",""))</f>
        <v/>
      </c>
      <c r="N54" s="28">
        <f>IF($P54="","",IF(INDEX(EntryNotes,$P54)=0,"",INDEX(EntryNotes,$P54)))</f>
        <v/>
      </c>
      <c r="O54" s="28">
        <f>IF($P54="","",IF(INDEX(EntryTxnID,$P54)=0,"",INDEX(EntryTxnID,$P54)))</f>
        <v/>
      </c>
      <c r="P54" s="28">
        <f>IFERROR(MATCH($C$5&amp;"|"&amp;RIGHT("000000"&amp;38,6),CalcRankKey,0),"")</f>
        <v/>
      </c>
    </row>
    <row r="55">
      <c r="A55" s="26">
        <f>IF($B55="","",39)</f>
        <v/>
      </c>
      <c r="B55" s="26">
        <f>IF($P55="","",IF(INDEX(CalcNormDate,$P55)=0,"",INDEX(CalcNormDate,$P55)))</f>
        <v/>
      </c>
      <c r="C55" s="26">
        <f>IF($P55="","",IF(INDEX(CalcTime,$P55)=0,"",INDEX(CalcTime,$P55)))</f>
        <v/>
      </c>
      <c r="D55" s="26">
        <f>IF($P55="","",IF(INDEX(EntryParty,$P55)=0,"",INDEX(EntryParty,$P55)))</f>
        <v/>
      </c>
      <c r="E55" s="26">
        <f>IF($P55="","",IF(INDEX(EntryPartyName,$P55)=0,"",INDEX(EntryPartyName,$P55)))</f>
        <v/>
      </c>
      <c r="F55" s="26">
        <f>IF($P55="","",IF(INDEX(EntryPartyType,$P55)=0,"",INDEX(EntryPartyType,$P55)))</f>
        <v/>
      </c>
      <c r="G55" s="26">
        <f>IF($P55="","",IF(INDEX(EntryTxnType,$P55)=0,"",INDEX(EntryTxnType,$P55)))</f>
        <v/>
      </c>
      <c r="H55" s="27">
        <f>IF($P55="","",IF(INDEX(EntryDep,$P55)=0,"",INDEX(EntryDep,$P55)))</f>
        <v/>
      </c>
      <c r="I55" s="27">
        <f>IF($P55="","",IF(INDEX(EntryWit,$P55)=0,"",INDEX(EntryWit,$P55)))</f>
        <v/>
      </c>
      <c r="J55" s="27">
        <f>IF($B55="","",IF($A55=1,$C$7,IF(J54="",0,J54))+IF($H55="",0,$H55)-IF($I55="",0,$I55))</f>
        <v/>
      </c>
      <c r="K55" s="27">
        <f>IF($P55="","",IF(INDEX(EntryMan,$P55)=0,"",INDEX(EntryMan,$P55)))</f>
        <v/>
      </c>
      <c r="L55" s="26">
        <f>IF($B55="","",IF($K55="","—",IF(ROUND($K55-$J55,0)=0,"√","×")))</f>
        <v/>
      </c>
      <c r="M55" s="26">
        <f>IF($B55="","",IF(COUNTIFS(EntryDates,$B55,CalcTime,$C55,CalcBank,$C$5,EntryParty,$D55,EntryDep,$H55,EntryWit,$I55)&gt;1,"تکرار",""))</f>
        <v/>
      </c>
      <c r="N55" s="26">
        <f>IF($P55="","",IF(INDEX(EntryNotes,$P55)=0,"",INDEX(EntryNotes,$P55)))</f>
        <v/>
      </c>
      <c r="O55" s="26">
        <f>IF($P55="","",IF(INDEX(EntryTxnID,$P55)=0,"",INDEX(EntryTxnID,$P55)))</f>
        <v/>
      </c>
      <c r="P55" s="26">
        <f>IFERROR(MATCH($C$5&amp;"|"&amp;RIGHT("000000"&amp;39,6),CalcRankKey,0),"")</f>
        <v/>
      </c>
    </row>
    <row r="56">
      <c r="A56" s="28">
        <f>IF($B56="","",40)</f>
        <v/>
      </c>
      <c r="B56" s="28">
        <f>IF($P56="","",IF(INDEX(CalcNormDate,$P56)=0,"",INDEX(CalcNormDate,$P56)))</f>
        <v/>
      </c>
      <c r="C56" s="28">
        <f>IF($P56="","",IF(INDEX(CalcTime,$P56)=0,"",INDEX(CalcTime,$P56)))</f>
        <v/>
      </c>
      <c r="D56" s="28">
        <f>IF($P56="","",IF(INDEX(EntryParty,$P56)=0,"",INDEX(EntryParty,$P56)))</f>
        <v/>
      </c>
      <c r="E56" s="28">
        <f>IF($P56="","",IF(INDEX(EntryPartyName,$P56)=0,"",INDEX(EntryPartyName,$P56)))</f>
        <v/>
      </c>
      <c r="F56" s="28">
        <f>IF($P56="","",IF(INDEX(EntryPartyType,$P56)=0,"",INDEX(EntryPartyType,$P56)))</f>
        <v/>
      </c>
      <c r="G56" s="28">
        <f>IF($P56="","",IF(INDEX(EntryTxnType,$P56)=0,"",INDEX(EntryTxnType,$P56)))</f>
        <v/>
      </c>
      <c r="H56" s="29">
        <f>IF($P56="","",IF(INDEX(EntryDep,$P56)=0,"",INDEX(EntryDep,$P56)))</f>
        <v/>
      </c>
      <c r="I56" s="29">
        <f>IF($P56="","",IF(INDEX(EntryWit,$P56)=0,"",INDEX(EntryWit,$P56)))</f>
        <v/>
      </c>
      <c r="J56" s="29">
        <f>IF($B56="","",IF($A56=1,$C$7,IF(J55="",0,J55))+IF($H56="",0,$H56)-IF($I56="",0,$I56))</f>
        <v/>
      </c>
      <c r="K56" s="29">
        <f>IF($P56="","",IF(INDEX(EntryMan,$P56)=0,"",INDEX(EntryMan,$P56)))</f>
        <v/>
      </c>
      <c r="L56" s="28">
        <f>IF($B56="","",IF($K56="","—",IF(ROUND($K56-$J56,0)=0,"√","×")))</f>
        <v/>
      </c>
      <c r="M56" s="28">
        <f>IF($B56="","",IF(COUNTIFS(EntryDates,$B56,CalcTime,$C56,CalcBank,$C$5,EntryParty,$D56,EntryDep,$H56,EntryWit,$I56)&gt;1,"تکرار",""))</f>
        <v/>
      </c>
      <c r="N56" s="28">
        <f>IF($P56="","",IF(INDEX(EntryNotes,$P56)=0,"",INDEX(EntryNotes,$P56)))</f>
        <v/>
      </c>
      <c r="O56" s="28">
        <f>IF($P56="","",IF(INDEX(EntryTxnID,$P56)=0,"",INDEX(EntryTxnID,$P56)))</f>
        <v/>
      </c>
      <c r="P56" s="28">
        <f>IFERROR(MATCH($C$5&amp;"|"&amp;RIGHT("000000"&amp;40,6),CalcRankKey,0),"")</f>
        <v/>
      </c>
    </row>
    <row r="57">
      <c r="A57" s="26">
        <f>IF($B57="","",41)</f>
        <v/>
      </c>
      <c r="B57" s="26">
        <f>IF($P57="","",IF(INDEX(CalcNormDate,$P57)=0,"",INDEX(CalcNormDate,$P57)))</f>
        <v/>
      </c>
      <c r="C57" s="26">
        <f>IF($P57="","",IF(INDEX(CalcTime,$P57)=0,"",INDEX(CalcTime,$P57)))</f>
        <v/>
      </c>
      <c r="D57" s="26">
        <f>IF($P57="","",IF(INDEX(EntryParty,$P57)=0,"",INDEX(EntryParty,$P57)))</f>
        <v/>
      </c>
      <c r="E57" s="26">
        <f>IF($P57="","",IF(INDEX(EntryPartyName,$P57)=0,"",INDEX(EntryPartyName,$P57)))</f>
        <v/>
      </c>
      <c r="F57" s="26">
        <f>IF($P57="","",IF(INDEX(EntryPartyType,$P57)=0,"",INDEX(EntryPartyType,$P57)))</f>
        <v/>
      </c>
      <c r="G57" s="26">
        <f>IF($P57="","",IF(INDEX(EntryTxnType,$P57)=0,"",INDEX(EntryTxnType,$P57)))</f>
        <v/>
      </c>
      <c r="H57" s="27">
        <f>IF($P57="","",IF(INDEX(EntryDep,$P57)=0,"",INDEX(EntryDep,$P57)))</f>
        <v/>
      </c>
      <c r="I57" s="27">
        <f>IF($P57="","",IF(INDEX(EntryWit,$P57)=0,"",INDEX(EntryWit,$P57)))</f>
        <v/>
      </c>
      <c r="J57" s="27">
        <f>IF($B57="","",IF($A57=1,$C$7,IF(J56="",0,J56))+IF($H57="",0,$H57)-IF($I57="",0,$I57))</f>
        <v/>
      </c>
      <c r="K57" s="27">
        <f>IF($P57="","",IF(INDEX(EntryMan,$P57)=0,"",INDEX(EntryMan,$P57)))</f>
        <v/>
      </c>
      <c r="L57" s="26">
        <f>IF($B57="","",IF($K57="","—",IF(ROUND($K57-$J57,0)=0,"√","×")))</f>
        <v/>
      </c>
      <c r="M57" s="26">
        <f>IF($B57="","",IF(COUNTIFS(EntryDates,$B57,CalcTime,$C57,CalcBank,$C$5,EntryParty,$D57,EntryDep,$H57,EntryWit,$I57)&gt;1,"تکرار",""))</f>
        <v/>
      </c>
      <c r="N57" s="26">
        <f>IF($P57="","",IF(INDEX(EntryNotes,$P57)=0,"",INDEX(EntryNotes,$P57)))</f>
        <v/>
      </c>
      <c r="O57" s="26">
        <f>IF($P57="","",IF(INDEX(EntryTxnID,$P57)=0,"",INDEX(EntryTxnID,$P57)))</f>
        <v/>
      </c>
      <c r="P57" s="26">
        <f>IFERROR(MATCH($C$5&amp;"|"&amp;RIGHT("000000"&amp;41,6),CalcRankKey,0),"")</f>
        <v/>
      </c>
    </row>
    <row r="58">
      <c r="A58" s="28">
        <f>IF($B58="","",42)</f>
        <v/>
      </c>
      <c r="B58" s="28">
        <f>IF($P58="","",IF(INDEX(CalcNormDate,$P58)=0,"",INDEX(CalcNormDate,$P58)))</f>
        <v/>
      </c>
      <c r="C58" s="28">
        <f>IF($P58="","",IF(INDEX(CalcTime,$P58)=0,"",INDEX(CalcTime,$P58)))</f>
        <v/>
      </c>
      <c r="D58" s="28">
        <f>IF($P58="","",IF(INDEX(EntryParty,$P58)=0,"",INDEX(EntryParty,$P58)))</f>
        <v/>
      </c>
      <c r="E58" s="28">
        <f>IF($P58="","",IF(INDEX(EntryPartyName,$P58)=0,"",INDEX(EntryPartyName,$P58)))</f>
        <v/>
      </c>
      <c r="F58" s="28">
        <f>IF($P58="","",IF(INDEX(EntryPartyType,$P58)=0,"",INDEX(EntryPartyType,$P58)))</f>
        <v/>
      </c>
      <c r="G58" s="28">
        <f>IF($P58="","",IF(INDEX(EntryTxnType,$P58)=0,"",INDEX(EntryTxnType,$P58)))</f>
        <v/>
      </c>
      <c r="H58" s="29">
        <f>IF($P58="","",IF(INDEX(EntryDep,$P58)=0,"",INDEX(EntryDep,$P58)))</f>
        <v/>
      </c>
      <c r="I58" s="29">
        <f>IF($P58="","",IF(INDEX(EntryWit,$P58)=0,"",INDEX(EntryWit,$P58)))</f>
        <v/>
      </c>
      <c r="J58" s="29">
        <f>IF($B58="","",IF($A58=1,$C$7,IF(J57="",0,J57))+IF($H58="",0,$H58)-IF($I58="",0,$I58))</f>
        <v/>
      </c>
      <c r="K58" s="29">
        <f>IF($P58="","",IF(INDEX(EntryMan,$P58)=0,"",INDEX(EntryMan,$P58)))</f>
        <v/>
      </c>
      <c r="L58" s="28">
        <f>IF($B58="","",IF($K58="","—",IF(ROUND($K58-$J58,0)=0,"√","×")))</f>
        <v/>
      </c>
      <c r="M58" s="28">
        <f>IF($B58="","",IF(COUNTIFS(EntryDates,$B58,CalcTime,$C58,CalcBank,$C$5,EntryParty,$D58,EntryDep,$H58,EntryWit,$I58)&gt;1,"تکرار",""))</f>
        <v/>
      </c>
      <c r="N58" s="28">
        <f>IF($P58="","",IF(INDEX(EntryNotes,$P58)=0,"",INDEX(EntryNotes,$P58)))</f>
        <v/>
      </c>
      <c r="O58" s="28">
        <f>IF($P58="","",IF(INDEX(EntryTxnID,$P58)=0,"",INDEX(EntryTxnID,$P58)))</f>
        <v/>
      </c>
      <c r="P58" s="28">
        <f>IFERROR(MATCH($C$5&amp;"|"&amp;RIGHT("000000"&amp;42,6),CalcRankKey,0),"")</f>
        <v/>
      </c>
    </row>
    <row r="59">
      <c r="A59" s="26">
        <f>IF($B59="","",43)</f>
        <v/>
      </c>
      <c r="B59" s="26">
        <f>IF($P59="","",IF(INDEX(CalcNormDate,$P59)=0,"",INDEX(CalcNormDate,$P59)))</f>
        <v/>
      </c>
      <c r="C59" s="26">
        <f>IF($P59="","",IF(INDEX(CalcTime,$P59)=0,"",INDEX(CalcTime,$P59)))</f>
        <v/>
      </c>
      <c r="D59" s="26">
        <f>IF($P59="","",IF(INDEX(EntryParty,$P59)=0,"",INDEX(EntryParty,$P59)))</f>
        <v/>
      </c>
      <c r="E59" s="26">
        <f>IF($P59="","",IF(INDEX(EntryPartyName,$P59)=0,"",INDEX(EntryPartyName,$P59)))</f>
        <v/>
      </c>
      <c r="F59" s="26">
        <f>IF($P59="","",IF(INDEX(EntryPartyType,$P59)=0,"",INDEX(EntryPartyType,$P59)))</f>
        <v/>
      </c>
      <c r="G59" s="26">
        <f>IF($P59="","",IF(INDEX(EntryTxnType,$P59)=0,"",INDEX(EntryTxnType,$P59)))</f>
        <v/>
      </c>
      <c r="H59" s="27">
        <f>IF($P59="","",IF(INDEX(EntryDep,$P59)=0,"",INDEX(EntryDep,$P59)))</f>
        <v/>
      </c>
      <c r="I59" s="27">
        <f>IF($P59="","",IF(INDEX(EntryWit,$P59)=0,"",INDEX(EntryWit,$P59)))</f>
        <v/>
      </c>
      <c r="J59" s="27">
        <f>IF($B59="","",IF($A59=1,$C$7,IF(J58="",0,J58))+IF($H59="",0,$H59)-IF($I59="",0,$I59))</f>
        <v/>
      </c>
      <c r="K59" s="27">
        <f>IF($P59="","",IF(INDEX(EntryMan,$P59)=0,"",INDEX(EntryMan,$P59)))</f>
        <v/>
      </c>
      <c r="L59" s="26">
        <f>IF($B59="","",IF($K59="","—",IF(ROUND($K59-$J59,0)=0,"√","×")))</f>
        <v/>
      </c>
      <c r="M59" s="26">
        <f>IF($B59="","",IF(COUNTIFS(EntryDates,$B59,CalcTime,$C59,CalcBank,$C$5,EntryParty,$D59,EntryDep,$H59,EntryWit,$I59)&gt;1,"تکرار",""))</f>
        <v/>
      </c>
      <c r="N59" s="26">
        <f>IF($P59="","",IF(INDEX(EntryNotes,$P59)=0,"",INDEX(EntryNotes,$P59)))</f>
        <v/>
      </c>
      <c r="O59" s="26">
        <f>IF($P59="","",IF(INDEX(EntryTxnID,$P59)=0,"",INDEX(EntryTxnID,$P59)))</f>
        <v/>
      </c>
      <c r="P59" s="26">
        <f>IFERROR(MATCH($C$5&amp;"|"&amp;RIGHT("000000"&amp;43,6),CalcRankKey,0),"")</f>
        <v/>
      </c>
    </row>
    <row r="60">
      <c r="A60" s="28">
        <f>IF($B60="","",44)</f>
        <v/>
      </c>
      <c r="B60" s="28">
        <f>IF($P60="","",IF(INDEX(CalcNormDate,$P60)=0,"",INDEX(CalcNormDate,$P60)))</f>
        <v/>
      </c>
      <c r="C60" s="28">
        <f>IF($P60="","",IF(INDEX(CalcTime,$P60)=0,"",INDEX(CalcTime,$P60)))</f>
        <v/>
      </c>
      <c r="D60" s="28">
        <f>IF($P60="","",IF(INDEX(EntryParty,$P60)=0,"",INDEX(EntryParty,$P60)))</f>
        <v/>
      </c>
      <c r="E60" s="28">
        <f>IF($P60="","",IF(INDEX(EntryPartyName,$P60)=0,"",INDEX(EntryPartyName,$P60)))</f>
        <v/>
      </c>
      <c r="F60" s="28">
        <f>IF($P60="","",IF(INDEX(EntryPartyType,$P60)=0,"",INDEX(EntryPartyType,$P60)))</f>
        <v/>
      </c>
      <c r="G60" s="28">
        <f>IF($P60="","",IF(INDEX(EntryTxnType,$P60)=0,"",INDEX(EntryTxnType,$P60)))</f>
        <v/>
      </c>
      <c r="H60" s="29">
        <f>IF($P60="","",IF(INDEX(EntryDep,$P60)=0,"",INDEX(EntryDep,$P60)))</f>
        <v/>
      </c>
      <c r="I60" s="29">
        <f>IF($P60="","",IF(INDEX(EntryWit,$P60)=0,"",INDEX(EntryWit,$P60)))</f>
        <v/>
      </c>
      <c r="J60" s="29">
        <f>IF($B60="","",IF($A60=1,$C$7,IF(J59="",0,J59))+IF($H60="",0,$H60)-IF($I60="",0,$I60))</f>
        <v/>
      </c>
      <c r="K60" s="29">
        <f>IF($P60="","",IF(INDEX(EntryMan,$P60)=0,"",INDEX(EntryMan,$P60)))</f>
        <v/>
      </c>
      <c r="L60" s="28">
        <f>IF($B60="","",IF($K60="","—",IF(ROUND($K60-$J60,0)=0,"√","×")))</f>
        <v/>
      </c>
      <c r="M60" s="28">
        <f>IF($B60="","",IF(COUNTIFS(EntryDates,$B60,CalcTime,$C60,CalcBank,$C$5,EntryParty,$D60,EntryDep,$H60,EntryWit,$I60)&gt;1,"تکرار",""))</f>
        <v/>
      </c>
      <c r="N60" s="28">
        <f>IF($P60="","",IF(INDEX(EntryNotes,$P60)=0,"",INDEX(EntryNotes,$P60)))</f>
        <v/>
      </c>
      <c r="O60" s="28">
        <f>IF($P60="","",IF(INDEX(EntryTxnID,$P60)=0,"",INDEX(EntryTxnID,$P60)))</f>
        <v/>
      </c>
      <c r="P60" s="28">
        <f>IFERROR(MATCH($C$5&amp;"|"&amp;RIGHT("000000"&amp;44,6),CalcRankKey,0),"")</f>
        <v/>
      </c>
    </row>
    <row r="61">
      <c r="A61" s="26">
        <f>IF($B61="","",45)</f>
        <v/>
      </c>
      <c r="B61" s="26">
        <f>IF($P61="","",IF(INDEX(CalcNormDate,$P61)=0,"",INDEX(CalcNormDate,$P61)))</f>
        <v/>
      </c>
      <c r="C61" s="26">
        <f>IF($P61="","",IF(INDEX(CalcTime,$P61)=0,"",INDEX(CalcTime,$P61)))</f>
        <v/>
      </c>
      <c r="D61" s="26">
        <f>IF($P61="","",IF(INDEX(EntryParty,$P61)=0,"",INDEX(EntryParty,$P61)))</f>
        <v/>
      </c>
      <c r="E61" s="26">
        <f>IF($P61="","",IF(INDEX(EntryPartyName,$P61)=0,"",INDEX(EntryPartyName,$P61)))</f>
        <v/>
      </c>
      <c r="F61" s="26">
        <f>IF($P61="","",IF(INDEX(EntryPartyType,$P61)=0,"",INDEX(EntryPartyType,$P61)))</f>
        <v/>
      </c>
      <c r="G61" s="26">
        <f>IF($P61="","",IF(INDEX(EntryTxnType,$P61)=0,"",INDEX(EntryTxnType,$P61)))</f>
        <v/>
      </c>
      <c r="H61" s="27">
        <f>IF($P61="","",IF(INDEX(EntryDep,$P61)=0,"",INDEX(EntryDep,$P61)))</f>
        <v/>
      </c>
      <c r="I61" s="27">
        <f>IF($P61="","",IF(INDEX(EntryWit,$P61)=0,"",INDEX(EntryWit,$P61)))</f>
        <v/>
      </c>
      <c r="J61" s="27">
        <f>IF($B61="","",IF($A61=1,$C$7,IF(J60="",0,J60))+IF($H61="",0,$H61)-IF($I61="",0,$I61))</f>
        <v/>
      </c>
      <c r="K61" s="27">
        <f>IF($P61="","",IF(INDEX(EntryMan,$P61)=0,"",INDEX(EntryMan,$P61)))</f>
        <v/>
      </c>
      <c r="L61" s="26">
        <f>IF($B61="","",IF($K61="","—",IF(ROUND($K61-$J61,0)=0,"√","×")))</f>
        <v/>
      </c>
      <c r="M61" s="26">
        <f>IF($B61="","",IF(COUNTIFS(EntryDates,$B61,CalcTime,$C61,CalcBank,$C$5,EntryParty,$D61,EntryDep,$H61,EntryWit,$I61)&gt;1,"تکرار",""))</f>
        <v/>
      </c>
      <c r="N61" s="26">
        <f>IF($P61="","",IF(INDEX(EntryNotes,$P61)=0,"",INDEX(EntryNotes,$P61)))</f>
        <v/>
      </c>
      <c r="O61" s="26">
        <f>IF($P61="","",IF(INDEX(EntryTxnID,$P61)=0,"",INDEX(EntryTxnID,$P61)))</f>
        <v/>
      </c>
      <c r="P61" s="26">
        <f>IFERROR(MATCH($C$5&amp;"|"&amp;RIGHT("000000"&amp;45,6),CalcRankKey,0),"")</f>
        <v/>
      </c>
    </row>
    <row r="62">
      <c r="A62" s="28">
        <f>IF($B62="","",46)</f>
        <v/>
      </c>
      <c r="B62" s="28">
        <f>IF($P62="","",IF(INDEX(CalcNormDate,$P62)=0,"",INDEX(CalcNormDate,$P62)))</f>
        <v/>
      </c>
      <c r="C62" s="28">
        <f>IF($P62="","",IF(INDEX(CalcTime,$P62)=0,"",INDEX(CalcTime,$P62)))</f>
        <v/>
      </c>
      <c r="D62" s="28">
        <f>IF($P62="","",IF(INDEX(EntryParty,$P62)=0,"",INDEX(EntryParty,$P62)))</f>
        <v/>
      </c>
      <c r="E62" s="28">
        <f>IF($P62="","",IF(INDEX(EntryPartyName,$P62)=0,"",INDEX(EntryPartyName,$P62)))</f>
        <v/>
      </c>
      <c r="F62" s="28">
        <f>IF($P62="","",IF(INDEX(EntryPartyType,$P62)=0,"",INDEX(EntryPartyType,$P62)))</f>
        <v/>
      </c>
      <c r="G62" s="28">
        <f>IF($P62="","",IF(INDEX(EntryTxnType,$P62)=0,"",INDEX(EntryTxnType,$P62)))</f>
        <v/>
      </c>
      <c r="H62" s="29">
        <f>IF($P62="","",IF(INDEX(EntryDep,$P62)=0,"",INDEX(EntryDep,$P62)))</f>
        <v/>
      </c>
      <c r="I62" s="29">
        <f>IF($P62="","",IF(INDEX(EntryWit,$P62)=0,"",INDEX(EntryWit,$P62)))</f>
        <v/>
      </c>
      <c r="J62" s="29">
        <f>IF($B62="","",IF($A62=1,$C$7,IF(J61="",0,J61))+IF($H62="",0,$H62)-IF($I62="",0,$I62))</f>
        <v/>
      </c>
      <c r="K62" s="29">
        <f>IF($P62="","",IF(INDEX(EntryMan,$P62)=0,"",INDEX(EntryMan,$P62)))</f>
        <v/>
      </c>
      <c r="L62" s="28">
        <f>IF($B62="","",IF($K62="","—",IF(ROUND($K62-$J62,0)=0,"√","×")))</f>
        <v/>
      </c>
      <c r="M62" s="28">
        <f>IF($B62="","",IF(COUNTIFS(EntryDates,$B62,CalcTime,$C62,CalcBank,$C$5,EntryParty,$D62,EntryDep,$H62,EntryWit,$I62)&gt;1,"تکرار",""))</f>
        <v/>
      </c>
      <c r="N62" s="28">
        <f>IF($P62="","",IF(INDEX(EntryNotes,$P62)=0,"",INDEX(EntryNotes,$P62)))</f>
        <v/>
      </c>
      <c r="O62" s="28">
        <f>IF($P62="","",IF(INDEX(EntryTxnID,$P62)=0,"",INDEX(EntryTxnID,$P62)))</f>
        <v/>
      </c>
      <c r="P62" s="28">
        <f>IFERROR(MATCH($C$5&amp;"|"&amp;RIGHT("000000"&amp;46,6),CalcRankKey,0),"")</f>
        <v/>
      </c>
    </row>
    <row r="63">
      <c r="A63" s="26">
        <f>IF($B63="","",47)</f>
        <v/>
      </c>
      <c r="B63" s="26">
        <f>IF($P63="","",IF(INDEX(CalcNormDate,$P63)=0,"",INDEX(CalcNormDate,$P63)))</f>
        <v/>
      </c>
      <c r="C63" s="26">
        <f>IF($P63="","",IF(INDEX(CalcTime,$P63)=0,"",INDEX(CalcTime,$P63)))</f>
        <v/>
      </c>
      <c r="D63" s="26">
        <f>IF($P63="","",IF(INDEX(EntryParty,$P63)=0,"",INDEX(EntryParty,$P63)))</f>
        <v/>
      </c>
      <c r="E63" s="26">
        <f>IF($P63="","",IF(INDEX(EntryPartyName,$P63)=0,"",INDEX(EntryPartyName,$P63)))</f>
        <v/>
      </c>
      <c r="F63" s="26">
        <f>IF($P63="","",IF(INDEX(EntryPartyType,$P63)=0,"",INDEX(EntryPartyType,$P63)))</f>
        <v/>
      </c>
      <c r="G63" s="26">
        <f>IF($P63="","",IF(INDEX(EntryTxnType,$P63)=0,"",INDEX(EntryTxnType,$P63)))</f>
        <v/>
      </c>
      <c r="H63" s="27">
        <f>IF($P63="","",IF(INDEX(EntryDep,$P63)=0,"",INDEX(EntryDep,$P63)))</f>
        <v/>
      </c>
      <c r="I63" s="27">
        <f>IF($P63="","",IF(INDEX(EntryWit,$P63)=0,"",INDEX(EntryWit,$P63)))</f>
        <v/>
      </c>
      <c r="J63" s="27">
        <f>IF($B63="","",IF($A63=1,$C$7,IF(J62="",0,J62))+IF($H63="",0,$H63)-IF($I63="",0,$I63))</f>
        <v/>
      </c>
      <c r="K63" s="27">
        <f>IF($P63="","",IF(INDEX(EntryMan,$P63)=0,"",INDEX(EntryMan,$P63)))</f>
        <v/>
      </c>
      <c r="L63" s="26">
        <f>IF($B63="","",IF($K63="","—",IF(ROUND($K63-$J63,0)=0,"√","×")))</f>
        <v/>
      </c>
      <c r="M63" s="26">
        <f>IF($B63="","",IF(COUNTIFS(EntryDates,$B63,CalcTime,$C63,CalcBank,$C$5,EntryParty,$D63,EntryDep,$H63,EntryWit,$I63)&gt;1,"تکرار",""))</f>
        <v/>
      </c>
      <c r="N63" s="26">
        <f>IF($P63="","",IF(INDEX(EntryNotes,$P63)=0,"",INDEX(EntryNotes,$P63)))</f>
        <v/>
      </c>
      <c r="O63" s="26">
        <f>IF($P63="","",IF(INDEX(EntryTxnID,$P63)=0,"",INDEX(EntryTxnID,$P63)))</f>
        <v/>
      </c>
      <c r="P63" s="26">
        <f>IFERROR(MATCH($C$5&amp;"|"&amp;RIGHT("000000"&amp;47,6),CalcRankKey,0),"")</f>
        <v/>
      </c>
    </row>
    <row r="64">
      <c r="A64" s="28">
        <f>IF($B64="","",48)</f>
        <v/>
      </c>
      <c r="B64" s="28">
        <f>IF($P64="","",IF(INDEX(CalcNormDate,$P64)=0,"",INDEX(CalcNormDate,$P64)))</f>
        <v/>
      </c>
      <c r="C64" s="28">
        <f>IF($P64="","",IF(INDEX(CalcTime,$P64)=0,"",INDEX(CalcTime,$P64)))</f>
        <v/>
      </c>
      <c r="D64" s="28">
        <f>IF($P64="","",IF(INDEX(EntryParty,$P64)=0,"",INDEX(EntryParty,$P64)))</f>
        <v/>
      </c>
      <c r="E64" s="28">
        <f>IF($P64="","",IF(INDEX(EntryPartyName,$P64)=0,"",INDEX(EntryPartyName,$P64)))</f>
        <v/>
      </c>
      <c r="F64" s="28">
        <f>IF($P64="","",IF(INDEX(EntryPartyType,$P64)=0,"",INDEX(EntryPartyType,$P64)))</f>
        <v/>
      </c>
      <c r="G64" s="28">
        <f>IF($P64="","",IF(INDEX(EntryTxnType,$P64)=0,"",INDEX(EntryTxnType,$P64)))</f>
        <v/>
      </c>
      <c r="H64" s="29">
        <f>IF($P64="","",IF(INDEX(EntryDep,$P64)=0,"",INDEX(EntryDep,$P64)))</f>
        <v/>
      </c>
      <c r="I64" s="29">
        <f>IF($P64="","",IF(INDEX(EntryWit,$P64)=0,"",INDEX(EntryWit,$P64)))</f>
        <v/>
      </c>
      <c r="J64" s="29">
        <f>IF($B64="","",IF($A64=1,$C$7,IF(J63="",0,J63))+IF($H64="",0,$H64)-IF($I64="",0,$I64))</f>
        <v/>
      </c>
      <c r="K64" s="29">
        <f>IF($P64="","",IF(INDEX(EntryMan,$P64)=0,"",INDEX(EntryMan,$P64)))</f>
        <v/>
      </c>
      <c r="L64" s="28">
        <f>IF($B64="","",IF($K64="","—",IF(ROUND($K64-$J64,0)=0,"√","×")))</f>
        <v/>
      </c>
      <c r="M64" s="28">
        <f>IF($B64="","",IF(COUNTIFS(EntryDates,$B64,CalcTime,$C64,CalcBank,$C$5,EntryParty,$D64,EntryDep,$H64,EntryWit,$I64)&gt;1,"تکرار",""))</f>
        <v/>
      </c>
      <c r="N64" s="28">
        <f>IF($P64="","",IF(INDEX(EntryNotes,$P64)=0,"",INDEX(EntryNotes,$P64)))</f>
        <v/>
      </c>
      <c r="O64" s="28">
        <f>IF($P64="","",IF(INDEX(EntryTxnID,$P64)=0,"",INDEX(EntryTxnID,$P64)))</f>
        <v/>
      </c>
      <c r="P64" s="28">
        <f>IFERROR(MATCH($C$5&amp;"|"&amp;RIGHT("000000"&amp;48,6),CalcRankKey,0),"")</f>
        <v/>
      </c>
    </row>
    <row r="65">
      <c r="A65" s="26">
        <f>IF($B65="","",49)</f>
        <v/>
      </c>
      <c r="B65" s="26">
        <f>IF($P65="","",IF(INDEX(CalcNormDate,$P65)=0,"",INDEX(CalcNormDate,$P65)))</f>
        <v/>
      </c>
      <c r="C65" s="26">
        <f>IF($P65="","",IF(INDEX(CalcTime,$P65)=0,"",INDEX(CalcTime,$P65)))</f>
        <v/>
      </c>
      <c r="D65" s="26">
        <f>IF($P65="","",IF(INDEX(EntryParty,$P65)=0,"",INDEX(EntryParty,$P65)))</f>
        <v/>
      </c>
      <c r="E65" s="26">
        <f>IF($P65="","",IF(INDEX(EntryPartyName,$P65)=0,"",INDEX(EntryPartyName,$P65)))</f>
        <v/>
      </c>
      <c r="F65" s="26">
        <f>IF($P65="","",IF(INDEX(EntryPartyType,$P65)=0,"",INDEX(EntryPartyType,$P65)))</f>
        <v/>
      </c>
      <c r="G65" s="26">
        <f>IF($P65="","",IF(INDEX(EntryTxnType,$P65)=0,"",INDEX(EntryTxnType,$P65)))</f>
        <v/>
      </c>
      <c r="H65" s="27">
        <f>IF($P65="","",IF(INDEX(EntryDep,$P65)=0,"",INDEX(EntryDep,$P65)))</f>
        <v/>
      </c>
      <c r="I65" s="27">
        <f>IF($P65="","",IF(INDEX(EntryWit,$P65)=0,"",INDEX(EntryWit,$P65)))</f>
        <v/>
      </c>
      <c r="J65" s="27">
        <f>IF($B65="","",IF($A65=1,$C$7,IF(J64="",0,J64))+IF($H65="",0,$H65)-IF($I65="",0,$I65))</f>
        <v/>
      </c>
      <c r="K65" s="27">
        <f>IF($P65="","",IF(INDEX(EntryMan,$P65)=0,"",INDEX(EntryMan,$P65)))</f>
        <v/>
      </c>
      <c r="L65" s="26">
        <f>IF($B65="","",IF($K65="","—",IF(ROUND($K65-$J65,0)=0,"√","×")))</f>
        <v/>
      </c>
      <c r="M65" s="26">
        <f>IF($B65="","",IF(COUNTIFS(EntryDates,$B65,CalcTime,$C65,CalcBank,$C$5,EntryParty,$D65,EntryDep,$H65,EntryWit,$I65)&gt;1,"تکرار",""))</f>
        <v/>
      </c>
      <c r="N65" s="26">
        <f>IF($P65="","",IF(INDEX(EntryNotes,$P65)=0,"",INDEX(EntryNotes,$P65)))</f>
        <v/>
      </c>
      <c r="O65" s="26">
        <f>IF($P65="","",IF(INDEX(EntryTxnID,$P65)=0,"",INDEX(EntryTxnID,$P65)))</f>
        <v/>
      </c>
      <c r="P65" s="26">
        <f>IFERROR(MATCH($C$5&amp;"|"&amp;RIGHT("000000"&amp;49,6),CalcRankKey,0),"")</f>
        <v/>
      </c>
    </row>
    <row r="66">
      <c r="A66" s="28">
        <f>IF($B66="","",50)</f>
        <v/>
      </c>
      <c r="B66" s="28">
        <f>IF($P66="","",IF(INDEX(CalcNormDate,$P66)=0,"",INDEX(CalcNormDate,$P66)))</f>
        <v/>
      </c>
      <c r="C66" s="28">
        <f>IF($P66="","",IF(INDEX(CalcTime,$P66)=0,"",INDEX(CalcTime,$P66)))</f>
        <v/>
      </c>
      <c r="D66" s="28">
        <f>IF($P66="","",IF(INDEX(EntryParty,$P66)=0,"",INDEX(EntryParty,$P66)))</f>
        <v/>
      </c>
      <c r="E66" s="28">
        <f>IF($P66="","",IF(INDEX(EntryPartyName,$P66)=0,"",INDEX(EntryPartyName,$P66)))</f>
        <v/>
      </c>
      <c r="F66" s="28">
        <f>IF($P66="","",IF(INDEX(EntryPartyType,$P66)=0,"",INDEX(EntryPartyType,$P66)))</f>
        <v/>
      </c>
      <c r="G66" s="28">
        <f>IF($P66="","",IF(INDEX(EntryTxnType,$P66)=0,"",INDEX(EntryTxnType,$P66)))</f>
        <v/>
      </c>
      <c r="H66" s="29">
        <f>IF($P66="","",IF(INDEX(EntryDep,$P66)=0,"",INDEX(EntryDep,$P66)))</f>
        <v/>
      </c>
      <c r="I66" s="29">
        <f>IF($P66="","",IF(INDEX(EntryWit,$P66)=0,"",INDEX(EntryWit,$P66)))</f>
        <v/>
      </c>
      <c r="J66" s="29">
        <f>IF($B66="","",IF($A66=1,$C$7,IF(J65="",0,J65))+IF($H66="",0,$H66)-IF($I66="",0,$I66))</f>
        <v/>
      </c>
      <c r="K66" s="29">
        <f>IF($P66="","",IF(INDEX(EntryMan,$P66)=0,"",INDEX(EntryMan,$P66)))</f>
        <v/>
      </c>
      <c r="L66" s="28">
        <f>IF($B66="","",IF($K66="","—",IF(ROUND($K66-$J66,0)=0,"√","×")))</f>
        <v/>
      </c>
      <c r="M66" s="28">
        <f>IF($B66="","",IF(COUNTIFS(EntryDates,$B66,CalcTime,$C66,CalcBank,$C$5,EntryParty,$D66,EntryDep,$H66,EntryWit,$I66)&gt;1,"تکرار",""))</f>
        <v/>
      </c>
      <c r="N66" s="28">
        <f>IF($P66="","",IF(INDEX(EntryNotes,$P66)=0,"",INDEX(EntryNotes,$P66)))</f>
        <v/>
      </c>
      <c r="O66" s="28">
        <f>IF($P66="","",IF(INDEX(EntryTxnID,$P66)=0,"",INDEX(EntryTxnID,$P66)))</f>
        <v/>
      </c>
      <c r="P66" s="28">
        <f>IFERROR(MATCH($C$5&amp;"|"&amp;RIGHT("000000"&amp;50,6),CalcRankKey,0),"")</f>
        <v/>
      </c>
    </row>
    <row r="67">
      <c r="A67" s="26">
        <f>IF($B67="","",51)</f>
        <v/>
      </c>
      <c r="B67" s="26">
        <f>IF($P67="","",IF(INDEX(CalcNormDate,$P67)=0,"",INDEX(CalcNormDate,$P67)))</f>
        <v/>
      </c>
      <c r="C67" s="26">
        <f>IF($P67="","",IF(INDEX(CalcTime,$P67)=0,"",INDEX(CalcTime,$P67)))</f>
        <v/>
      </c>
      <c r="D67" s="26">
        <f>IF($P67="","",IF(INDEX(EntryParty,$P67)=0,"",INDEX(EntryParty,$P67)))</f>
        <v/>
      </c>
      <c r="E67" s="26">
        <f>IF($P67="","",IF(INDEX(EntryPartyName,$P67)=0,"",INDEX(EntryPartyName,$P67)))</f>
        <v/>
      </c>
      <c r="F67" s="26">
        <f>IF($P67="","",IF(INDEX(EntryPartyType,$P67)=0,"",INDEX(EntryPartyType,$P67)))</f>
        <v/>
      </c>
      <c r="G67" s="26">
        <f>IF($P67="","",IF(INDEX(EntryTxnType,$P67)=0,"",INDEX(EntryTxnType,$P67)))</f>
        <v/>
      </c>
      <c r="H67" s="27">
        <f>IF($P67="","",IF(INDEX(EntryDep,$P67)=0,"",INDEX(EntryDep,$P67)))</f>
        <v/>
      </c>
      <c r="I67" s="27">
        <f>IF($P67="","",IF(INDEX(EntryWit,$P67)=0,"",INDEX(EntryWit,$P67)))</f>
        <v/>
      </c>
      <c r="J67" s="27">
        <f>IF($B67="","",IF($A67=1,$C$7,IF(J66="",0,J66))+IF($H67="",0,$H67)-IF($I67="",0,$I67))</f>
        <v/>
      </c>
      <c r="K67" s="27">
        <f>IF($P67="","",IF(INDEX(EntryMan,$P67)=0,"",INDEX(EntryMan,$P67)))</f>
        <v/>
      </c>
      <c r="L67" s="26">
        <f>IF($B67="","",IF($K67="","—",IF(ROUND($K67-$J67,0)=0,"√","×")))</f>
        <v/>
      </c>
      <c r="M67" s="26">
        <f>IF($B67="","",IF(COUNTIFS(EntryDates,$B67,CalcTime,$C67,CalcBank,$C$5,EntryParty,$D67,EntryDep,$H67,EntryWit,$I67)&gt;1,"تکرار",""))</f>
        <v/>
      </c>
      <c r="N67" s="26">
        <f>IF($P67="","",IF(INDEX(EntryNotes,$P67)=0,"",INDEX(EntryNotes,$P67)))</f>
        <v/>
      </c>
      <c r="O67" s="26">
        <f>IF($P67="","",IF(INDEX(EntryTxnID,$P67)=0,"",INDEX(EntryTxnID,$P67)))</f>
        <v/>
      </c>
      <c r="P67" s="26">
        <f>IFERROR(MATCH($C$5&amp;"|"&amp;RIGHT("000000"&amp;51,6),CalcRankKey,0),"")</f>
        <v/>
      </c>
    </row>
    <row r="68">
      <c r="A68" s="28">
        <f>IF($B68="","",52)</f>
        <v/>
      </c>
      <c r="B68" s="28">
        <f>IF($P68="","",IF(INDEX(CalcNormDate,$P68)=0,"",INDEX(CalcNormDate,$P68)))</f>
        <v/>
      </c>
      <c r="C68" s="28">
        <f>IF($P68="","",IF(INDEX(CalcTime,$P68)=0,"",INDEX(CalcTime,$P68)))</f>
        <v/>
      </c>
      <c r="D68" s="28">
        <f>IF($P68="","",IF(INDEX(EntryParty,$P68)=0,"",INDEX(EntryParty,$P68)))</f>
        <v/>
      </c>
      <c r="E68" s="28">
        <f>IF($P68="","",IF(INDEX(EntryPartyName,$P68)=0,"",INDEX(EntryPartyName,$P68)))</f>
        <v/>
      </c>
      <c r="F68" s="28">
        <f>IF($P68="","",IF(INDEX(EntryPartyType,$P68)=0,"",INDEX(EntryPartyType,$P68)))</f>
        <v/>
      </c>
      <c r="G68" s="28">
        <f>IF($P68="","",IF(INDEX(EntryTxnType,$P68)=0,"",INDEX(EntryTxnType,$P68)))</f>
        <v/>
      </c>
      <c r="H68" s="29">
        <f>IF($P68="","",IF(INDEX(EntryDep,$P68)=0,"",INDEX(EntryDep,$P68)))</f>
        <v/>
      </c>
      <c r="I68" s="29">
        <f>IF($P68="","",IF(INDEX(EntryWit,$P68)=0,"",INDEX(EntryWit,$P68)))</f>
        <v/>
      </c>
      <c r="J68" s="29">
        <f>IF($B68="","",IF($A68=1,$C$7,IF(J67="",0,J67))+IF($H68="",0,$H68)-IF($I68="",0,$I68))</f>
        <v/>
      </c>
      <c r="K68" s="29">
        <f>IF($P68="","",IF(INDEX(EntryMan,$P68)=0,"",INDEX(EntryMan,$P68)))</f>
        <v/>
      </c>
      <c r="L68" s="28">
        <f>IF($B68="","",IF($K68="","—",IF(ROUND($K68-$J68,0)=0,"√","×")))</f>
        <v/>
      </c>
      <c r="M68" s="28">
        <f>IF($B68="","",IF(COUNTIFS(EntryDates,$B68,CalcTime,$C68,CalcBank,$C$5,EntryParty,$D68,EntryDep,$H68,EntryWit,$I68)&gt;1,"تکرار",""))</f>
        <v/>
      </c>
      <c r="N68" s="28">
        <f>IF($P68="","",IF(INDEX(EntryNotes,$P68)=0,"",INDEX(EntryNotes,$P68)))</f>
        <v/>
      </c>
      <c r="O68" s="28">
        <f>IF($P68="","",IF(INDEX(EntryTxnID,$P68)=0,"",INDEX(EntryTxnID,$P68)))</f>
        <v/>
      </c>
      <c r="P68" s="28">
        <f>IFERROR(MATCH($C$5&amp;"|"&amp;RIGHT("000000"&amp;52,6),CalcRankKey,0),"")</f>
        <v/>
      </c>
    </row>
    <row r="69">
      <c r="A69" s="26">
        <f>IF($B69="","",53)</f>
        <v/>
      </c>
      <c r="B69" s="26">
        <f>IF($P69="","",IF(INDEX(CalcNormDate,$P69)=0,"",INDEX(CalcNormDate,$P69)))</f>
        <v/>
      </c>
      <c r="C69" s="26">
        <f>IF($P69="","",IF(INDEX(CalcTime,$P69)=0,"",INDEX(CalcTime,$P69)))</f>
        <v/>
      </c>
      <c r="D69" s="26">
        <f>IF($P69="","",IF(INDEX(EntryParty,$P69)=0,"",INDEX(EntryParty,$P69)))</f>
        <v/>
      </c>
      <c r="E69" s="26">
        <f>IF($P69="","",IF(INDEX(EntryPartyName,$P69)=0,"",INDEX(EntryPartyName,$P69)))</f>
        <v/>
      </c>
      <c r="F69" s="26">
        <f>IF($P69="","",IF(INDEX(EntryPartyType,$P69)=0,"",INDEX(EntryPartyType,$P69)))</f>
        <v/>
      </c>
      <c r="G69" s="26">
        <f>IF($P69="","",IF(INDEX(EntryTxnType,$P69)=0,"",INDEX(EntryTxnType,$P69)))</f>
        <v/>
      </c>
      <c r="H69" s="27">
        <f>IF($P69="","",IF(INDEX(EntryDep,$P69)=0,"",INDEX(EntryDep,$P69)))</f>
        <v/>
      </c>
      <c r="I69" s="27">
        <f>IF($P69="","",IF(INDEX(EntryWit,$P69)=0,"",INDEX(EntryWit,$P69)))</f>
        <v/>
      </c>
      <c r="J69" s="27">
        <f>IF($B69="","",IF($A69=1,$C$7,IF(J68="",0,J68))+IF($H69="",0,$H69)-IF($I69="",0,$I69))</f>
        <v/>
      </c>
      <c r="K69" s="27">
        <f>IF($P69="","",IF(INDEX(EntryMan,$P69)=0,"",INDEX(EntryMan,$P69)))</f>
        <v/>
      </c>
      <c r="L69" s="26">
        <f>IF($B69="","",IF($K69="","—",IF(ROUND($K69-$J69,0)=0,"√","×")))</f>
        <v/>
      </c>
      <c r="M69" s="26">
        <f>IF($B69="","",IF(COUNTIFS(EntryDates,$B69,CalcTime,$C69,CalcBank,$C$5,EntryParty,$D69,EntryDep,$H69,EntryWit,$I69)&gt;1,"تکرار",""))</f>
        <v/>
      </c>
      <c r="N69" s="26">
        <f>IF($P69="","",IF(INDEX(EntryNotes,$P69)=0,"",INDEX(EntryNotes,$P69)))</f>
        <v/>
      </c>
      <c r="O69" s="26">
        <f>IF($P69="","",IF(INDEX(EntryTxnID,$P69)=0,"",INDEX(EntryTxnID,$P69)))</f>
        <v/>
      </c>
      <c r="P69" s="26">
        <f>IFERROR(MATCH($C$5&amp;"|"&amp;RIGHT("000000"&amp;53,6),CalcRankKey,0),"")</f>
        <v/>
      </c>
    </row>
    <row r="70">
      <c r="A70" s="28">
        <f>IF($B70="","",54)</f>
        <v/>
      </c>
      <c r="B70" s="28">
        <f>IF($P70="","",IF(INDEX(CalcNormDate,$P70)=0,"",INDEX(CalcNormDate,$P70)))</f>
        <v/>
      </c>
      <c r="C70" s="28">
        <f>IF($P70="","",IF(INDEX(CalcTime,$P70)=0,"",INDEX(CalcTime,$P70)))</f>
        <v/>
      </c>
      <c r="D70" s="28">
        <f>IF($P70="","",IF(INDEX(EntryParty,$P70)=0,"",INDEX(EntryParty,$P70)))</f>
        <v/>
      </c>
      <c r="E70" s="28">
        <f>IF($P70="","",IF(INDEX(EntryPartyName,$P70)=0,"",INDEX(EntryPartyName,$P70)))</f>
        <v/>
      </c>
      <c r="F70" s="28">
        <f>IF($P70="","",IF(INDEX(EntryPartyType,$P70)=0,"",INDEX(EntryPartyType,$P70)))</f>
        <v/>
      </c>
      <c r="G70" s="28">
        <f>IF($P70="","",IF(INDEX(EntryTxnType,$P70)=0,"",INDEX(EntryTxnType,$P70)))</f>
        <v/>
      </c>
      <c r="H70" s="29">
        <f>IF($P70="","",IF(INDEX(EntryDep,$P70)=0,"",INDEX(EntryDep,$P70)))</f>
        <v/>
      </c>
      <c r="I70" s="29">
        <f>IF($P70="","",IF(INDEX(EntryWit,$P70)=0,"",INDEX(EntryWit,$P70)))</f>
        <v/>
      </c>
      <c r="J70" s="29">
        <f>IF($B70="","",IF($A70=1,$C$7,IF(J69="",0,J69))+IF($H70="",0,$H70)-IF($I70="",0,$I70))</f>
        <v/>
      </c>
      <c r="K70" s="29">
        <f>IF($P70="","",IF(INDEX(EntryMan,$P70)=0,"",INDEX(EntryMan,$P70)))</f>
        <v/>
      </c>
      <c r="L70" s="28">
        <f>IF($B70="","",IF($K70="","—",IF(ROUND($K70-$J70,0)=0,"√","×")))</f>
        <v/>
      </c>
      <c r="M70" s="28">
        <f>IF($B70="","",IF(COUNTIFS(EntryDates,$B70,CalcTime,$C70,CalcBank,$C$5,EntryParty,$D70,EntryDep,$H70,EntryWit,$I70)&gt;1,"تکرار",""))</f>
        <v/>
      </c>
      <c r="N70" s="28">
        <f>IF($P70="","",IF(INDEX(EntryNotes,$P70)=0,"",INDEX(EntryNotes,$P70)))</f>
        <v/>
      </c>
      <c r="O70" s="28">
        <f>IF($P70="","",IF(INDEX(EntryTxnID,$P70)=0,"",INDEX(EntryTxnID,$P70)))</f>
        <v/>
      </c>
      <c r="P70" s="28">
        <f>IFERROR(MATCH($C$5&amp;"|"&amp;RIGHT("000000"&amp;54,6),CalcRankKey,0),"")</f>
        <v/>
      </c>
    </row>
    <row r="71">
      <c r="A71" s="26">
        <f>IF($B71="","",55)</f>
        <v/>
      </c>
      <c r="B71" s="26">
        <f>IF($P71="","",IF(INDEX(CalcNormDate,$P71)=0,"",INDEX(CalcNormDate,$P71)))</f>
        <v/>
      </c>
      <c r="C71" s="26">
        <f>IF($P71="","",IF(INDEX(CalcTime,$P71)=0,"",INDEX(CalcTime,$P71)))</f>
        <v/>
      </c>
      <c r="D71" s="26">
        <f>IF($P71="","",IF(INDEX(EntryParty,$P71)=0,"",INDEX(EntryParty,$P71)))</f>
        <v/>
      </c>
      <c r="E71" s="26">
        <f>IF($P71="","",IF(INDEX(EntryPartyName,$P71)=0,"",INDEX(EntryPartyName,$P71)))</f>
        <v/>
      </c>
      <c r="F71" s="26">
        <f>IF($P71="","",IF(INDEX(EntryPartyType,$P71)=0,"",INDEX(EntryPartyType,$P71)))</f>
        <v/>
      </c>
      <c r="G71" s="26">
        <f>IF($P71="","",IF(INDEX(EntryTxnType,$P71)=0,"",INDEX(EntryTxnType,$P71)))</f>
        <v/>
      </c>
      <c r="H71" s="27">
        <f>IF($P71="","",IF(INDEX(EntryDep,$P71)=0,"",INDEX(EntryDep,$P71)))</f>
        <v/>
      </c>
      <c r="I71" s="27">
        <f>IF($P71="","",IF(INDEX(EntryWit,$P71)=0,"",INDEX(EntryWit,$P71)))</f>
        <v/>
      </c>
      <c r="J71" s="27">
        <f>IF($B71="","",IF($A71=1,$C$7,IF(J70="",0,J70))+IF($H71="",0,$H71)-IF($I71="",0,$I71))</f>
        <v/>
      </c>
      <c r="K71" s="27">
        <f>IF($P71="","",IF(INDEX(EntryMan,$P71)=0,"",INDEX(EntryMan,$P71)))</f>
        <v/>
      </c>
      <c r="L71" s="26">
        <f>IF($B71="","",IF($K71="","—",IF(ROUND($K71-$J71,0)=0,"√","×")))</f>
        <v/>
      </c>
      <c r="M71" s="26">
        <f>IF($B71="","",IF(COUNTIFS(EntryDates,$B71,CalcTime,$C71,CalcBank,$C$5,EntryParty,$D71,EntryDep,$H71,EntryWit,$I71)&gt;1,"تکرار",""))</f>
        <v/>
      </c>
      <c r="N71" s="26">
        <f>IF($P71="","",IF(INDEX(EntryNotes,$P71)=0,"",INDEX(EntryNotes,$P71)))</f>
        <v/>
      </c>
      <c r="O71" s="26">
        <f>IF($P71="","",IF(INDEX(EntryTxnID,$P71)=0,"",INDEX(EntryTxnID,$P71)))</f>
        <v/>
      </c>
      <c r="P71" s="26">
        <f>IFERROR(MATCH($C$5&amp;"|"&amp;RIGHT("000000"&amp;55,6),CalcRankKey,0),"")</f>
        <v/>
      </c>
    </row>
    <row r="72">
      <c r="A72" s="28">
        <f>IF($B72="","",56)</f>
        <v/>
      </c>
      <c r="B72" s="28">
        <f>IF($P72="","",IF(INDEX(CalcNormDate,$P72)=0,"",INDEX(CalcNormDate,$P72)))</f>
        <v/>
      </c>
      <c r="C72" s="28">
        <f>IF($P72="","",IF(INDEX(CalcTime,$P72)=0,"",INDEX(CalcTime,$P72)))</f>
        <v/>
      </c>
      <c r="D72" s="28">
        <f>IF($P72="","",IF(INDEX(EntryParty,$P72)=0,"",INDEX(EntryParty,$P72)))</f>
        <v/>
      </c>
      <c r="E72" s="28">
        <f>IF($P72="","",IF(INDEX(EntryPartyName,$P72)=0,"",INDEX(EntryPartyName,$P72)))</f>
        <v/>
      </c>
      <c r="F72" s="28">
        <f>IF($P72="","",IF(INDEX(EntryPartyType,$P72)=0,"",INDEX(EntryPartyType,$P72)))</f>
        <v/>
      </c>
      <c r="G72" s="28">
        <f>IF($P72="","",IF(INDEX(EntryTxnType,$P72)=0,"",INDEX(EntryTxnType,$P72)))</f>
        <v/>
      </c>
      <c r="H72" s="29">
        <f>IF($P72="","",IF(INDEX(EntryDep,$P72)=0,"",INDEX(EntryDep,$P72)))</f>
        <v/>
      </c>
      <c r="I72" s="29">
        <f>IF($P72="","",IF(INDEX(EntryWit,$P72)=0,"",INDEX(EntryWit,$P72)))</f>
        <v/>
      </c>
      <c r="J72" s="29">
        <f>IF($B72="","",IF($A72=1,$C$7,IF(J71="",0,J71))+IF($H72="",0,$H72)-IF($I72="",0,$I72))</f>
        <v/>
      </c>
      <c r="K72" s="29">
        <f>IF($P72="","",IF(INDEX(EntryMan,$P72)=0,"",INDEX(EntryMan,$P72)))</f>
        <v/>
      </c>
      <c r="L72" s="28">
        <f>IF($B72="","",IF($K72="","—",IF(ROUND($K72-$J72,0)=0,"√","×")))</f>
        <v/>
      </c>
      <c r="M72" s="28">
        <f>IF($B72="","",IF(COUNTIFS(EntryDates,$B72,CalcTime,$C72,CalcBank,$C$5,EntryParty,$D72,EntryDep,$H72,EntryWit,$I72)&gt;1,"تکرار",""))</f>
        <v/>
      </c>
      <c r="N72" s="28">
        <f>IF($P72="","",IF(INDEX(EntryNotes,$P72)=0,"",INDEX(EntryNotes,$P72)))</f>
        <v/>
      </c>
      <c r="O72" s="28">
        <f>IF($P72="","",IF(INDEX(EntryTxnID,$P72)=0,"",INDEX(EntryTxnID,$P72)))</f>
        <v/>
      </c>
      <c r="P72" s="28">
        <f>IFERROR(MATCH($C$5&amp;"|"&amp;RIGHT("000000"&amp;56,6),CalcRankKey,0),"")</f>
        <v/>
      </c>
    </row>
    <row r="73">
      <c r="A73" s="26">
        <f>IF($B73="","",57)</f>
        <v/>
      </c>
      <c r="B73" s="26">
        <f>IF($P73="","",IF(INDEX(CalcNormDate,$P73)=0,"",INDEX(CalcNormDate,$P73)))</f>
        <v/>
      </c>
      <c r="C73" s="26">
        <f>IF($P73="","",IF(INDEX(CalcTime,$P73)=0,"",INDEX(CalcTime,$P73)))</f>
        <v/>
      </c>
      <c r="D73" s="26">
        <f>IF($P73="","",IF(INDEX(EntryParty,$P73)=0,"",INDEX(EntryParty,$P73)))</f>
        <v/>
      </c>
      <c r="E73" s="26">
        <f>IF($P73="","",IF(INDEX(EntryPartyName,$P73)=0,"",INDEX(EntryPartyName,$P73)))</f>
        <v/>
      </c>
      <c r="F73" s="26">
        <f>IF($P73="","",IF(INDEX(EntryPartyType,$P73)=0,"",INDEX(EntryPartyType,$P73)))</f>
        <v/>
      </c>
      <c r="G73" s="26">
        <f>IF($P73="","",IF(INDEX(EntryTxnType,$P73)=0,"",INDEX(EntryTxnType,$P73)))</f>
        <v/>
      </c>
      <c r="H73" s="27">
        <f>IF($P73="","",IF(INDEX(EntryDep,$P73)=0,"",INDEX(EntryDep,$P73)))</f>
        <v/>
      </c>
      <c r="I73" s="27">
        <f>IF($P73="","",IF(INDEX(EntryWit,$P73)=0,"",INDEX(EntryWit,$P73)))</f>
        <v/>
      </c>
      <c r="J73" s="27">
        <f>IF($B73="","",IF($A73=1,$C$7,IF(J72="",0,J72))+IF($H73="",0,$H73)-IF($I73="",0,$I73))</f>
        <v/>
      </c>
      <c r="K73" s="27">
        <f>IF($P73="","",IF(INDEX(EntryMan,$P73)=0,"",INDEX(EntryMan,$P73)))</f>
        <v/>
      </c>
      <c r="L73" s="26">
        <f>IF($B73="","",IF($K73="","—",IF(ROUND($K73-$J73,0)=0,"√","×")))</f>
        <v/>
      </c>
      <c r="M73" s="26">
        <f>IF($B73="","",IF(COUNTIFS(EntryDates,$B73,CalcTime,$C73,CalcBank,$C$5,EntryParty,$D73,EntryDep,$H73,EntryWit,$I73)&gt;1,"تکرار",""))</f>
        <v/>
      </c>
      <c r="N73" s="26">
        <f>IF($P73="","",IF(INDEX(EntryNotes,$P73)=0,"",INDEX(EntryNotes,$P73)))</f>
        <v/>
      </c>
      <c r="O73" s="26">
        <f>IF($P73="","",IF(INDEX(EntryTxnID,$P73)=0,"",INDEX(EntryTxnID,$P73)))</f>
        <v/>
      </c>
      <c r="P73" s="26">
        <f>IFERROR(MATCH($C$5&amp;"|"&amp;RIGHT("000000"&amp;57,6),CalcRankKey,0),"")</f>
        <v/>
      </c>
    </row>
    <row r="74">
      <c r="A74" s="28">
        <f>IF($B74="","",58)</f>
        <v/>
      </c>
      <c r="B74" s="28">
        <f>IF($P74="","",IF(INDEX(CalcNormDate,$P74)=0,"",INDEX(CalcNormDate,$P74)))</f>
        <v/>
      </c>
      <c r="C74" s="28">
        <f>IF($P74="","",IF(INDEX(CalcTime,$P74)=0,"",INDEX(CalcTime,$P74)))</f>
        <v/>
      </c>
      <c r="D74" s="28">
        <f>IF($P74="","",IF(INDEX(EntryParty,$P74)=0,"",INDEX(EntryParty,$P74)))</f>
        <v/>
      </c>
      <c r="E74" s="28">
        <f>IF($P74="","",IF(INDEX(EntryPartyName,$P74)=0,"",INDEX(EntryPartyName,$P74)))</f>
        <v/>
      </c>
      <c r="F74" s="28">
        <f>IF($P74="","",IF(INDEX(EntryPartyType,$P74)=0,"",INDEX(EntryPartyType,$P74)))</f>
        <v/>
      </c>
      <c r="G74" s="28">
        <f>IF($P74="","",IF(INDEX(EntryTxnType,$P74)=0,"",INDEX(EntryTxnType,$P74)))</f>
        <v/>
      </c>
      <c r="H74" s="29">
        <f>IF($P74="","",IF(INDEX(EntryDep,$P74)=0,"",INDEX(EntryDep,$P74)))</f>
        <v/>
      </c>
      <c r="I74" s="29">
        <f>IF($P74="","",IF(INDEX(EntryWit,$P74)=0,"",INDEX(EntryWit,$P74)))</f>
        <v/>
      </c>
      <c r="J74" s="29">
        <f>IF($B74="","",IF($A74=1,$C$7,IF(J73="",0,J73))+IF($H74="",0,$H74)-IF($I74="",0,$I74))</f>
        <v/>
      </c>
      <c r="K74" s="29">
        <f>IF($P74="","",IF(INDEX(EntryMan,$P74)=0,"",INDEX(EntryMan,$P74)))</f>
        <v/>
      </c>
      <c r="L74" s="28">
        <f>IF($B74="","",IF($K74="","—",IF(ROUND($K74-$J74,0)=0,"√","×")))</f>
        <v/>
      </c>
      <c r="M74" s="28">
        <f>IF($B74="","",IF(COUNTIFS(EntryDates,$B74,CalcTime,$C74,CalcBank,$C$5,EntryParty,$D74,EntryDep,$H74,EntryWit,$I74)&gt;1,"تکرار",""))</f>
        <v/>
      </c>
      <c r="N74" s="28">
        <f>IF($P74="","",IF(INDEX(EntryNotes,$P74)=0,"",INDEX(EntryNotes,$P74)))</f>
        <v/>
      </c>
      <c r="O74" s="28">
        <f>IF($P74="","",IF(INDEX(EntryTxnID,$P74)=0,"",INDEX(EntryTxnID,$P74)))</f>
        <v/>
      </c>
      <c r="P74" s="28">
        <f>IFERROR(MATCH($C$5&amp;"|"&amp;RIGHT("000000"&amp;58,6),CalcRankKey,0),"")</f>
        <v/>
      </c>
    </row>
    <row r="75">
      <c r="A75" s="26">
        <f>IF($B75="","",59)</f>
        <v/>
      </c>
      <c r="B75" s="26">
        <f>IF($P75="","",IF(INDEX(CalcNormDate,$P75)=0,"",INDEX(CalcNormDate,$P75)))</f>
        <v/>
      </c>
      <c r="C75" s="26">
        <f>IF($P75="","",IF(INDEX(CalcTime,$P75)=0,"",INDEX(CalcTime,$P75)))</f>
        <v/>
      </c>
      <c r="D75" s="26">
        <f>IF($P75="","",IF(INDEX(EntryParty,$P75)=0,"",INDEX(EntryParty,$P75)))</f>
        <v/>
      </c>
      <c r="E75" s="26">
        <f>IF($P75="","",IF(INDEX(EntryPartyName,$P75)=0,"",INDEX(EntryPartyName,$P75)))</f>
        <v/>
      </c>
      <c r="F75" s="26">
        <f>IF($P75="","",IF(INDEX(EntryPartyType,$P75)=0,"",INDEX(EntryPartyType,$P75)))</f>
        <v/>
      </c>
      <c r="G75" s="26">
        <f>IF($P75="","",IF(INDEX(EntryTxnType,$P75)=0,"",INDEX(EntryTxnType,$P75)))</f>
        <v/>
      </c>
      <c r="H75" s="27">
        <f>IF($P75="","",IF(INDEX(EntryDep,$P75)=0,"",INDEX(EntryDep,$P75)))</f>
        <v/>
      </c>
      <c r="I75" s="27">
        <f>IF($P75="","",IF(INDEX(EntryWit,$P75)=0,"",INDEX(EntryWit,$P75)))</f>
        <v/>
      </c>
      <c r="J75" s="27">
        <f>IF($B75="","",IF($A75=1,$C$7,IF(J74="",0,J74))+IF($H75="",0,$H75)-IF($I75="",0,$I75))</f>
        <v/>
      </c>
      <c r="K75" s="27">
        <f>IF($P75="","",IF(INDEX(EntryMan,$P75)=0,"",INDEX(EntryMan,$P75)))</f>
        <v/>
      </c>
      <c r="L75" s="26">
        <f>IF($B75="","",IF($K75="","—",IF(ROUND($K75-$J75,0)=0,"√","×")))</f>
        <v/>
      </c>
      <c r="M75" s="26">
        <f>IF($B75="","",IF(COUNTIFS(EntryDates,$B75,CalcTime,$C75,CalcBank,$C$5,EntryParty,$D75,EntryDep,$H75,EntryWit,$I75)&gt;1,"تکرار",""))</f>
        <v/>
      </c>
      <c r="N75" s="26">
        <f>IF($P75="","",IF(INDEX(EntryNotes,$P75)=0,"",INDEX(EntryNotes,$P75)))</f>
        <v/>
      </c>
      <c r="O75" s="26">
        <f>IF($P75="","",IF(INDEX(EntryTxnID,$P75)=0,"",INDEX(EntryTxnID,$P75)))</f>
        <v/>
      </c>
      <c r="P75" s="26">
        <f>IFERROR(MATCH($C$5&amp;"|"&amp;RIGHT("000000"&amp;59,6),CalcRankKey,0),"")</f>
        <v/>
      </c>
    </row>
    <row r="76">
      <c r="A76" s="28">
        <f>IF($B76="","",60)</f>
        <v/>
      </c>
      <c r="B76" s="28">
        <f>IF($P76="","",IF(INDEX(CalcNormDate,$P76)=0,"",INDEX(CalcNormDate,$P76)))</f>
        <v/>
      </c>
      <c r="C76" s="28">
        <f>IF($P76="","",IF(INDEX(CalcTime,$P76)=0,"",INDEX(CalcTime,$P76)))</f>
        <v/>
      </c>
      <c r="D76" s="28">
        <f>IF($P76="","",IF(INDEX(EntryParty,$P76)=0,"",INDEX(EntryParty,$P76)))</f>
        <v/>
      </c>
      <c r="E76" s="28">
        <f>IF($P76="","",IF(INDEX(EntryPartyName,$P76)=0,"",INDEX(EntryPartyName,$P76)))</f>
        <v/>
      </c>
      <c r="F76" s="28">
        <f>IF($P76="","",IF(INDEX(EntryPartyType,$P76)=0,"",INDEX(EntryPartyType,$P76)))</f>
        <v/>
      </c>
      <c r="G76" s="28">
        <f>IF($P76="","",IF(INDEX(EntryTxnType,$P76)=0,"",INDEX(EntryTxnType,$P76)))</f>
        <v/>
      </c>
      <c r="H76" s="29">
        <f>IF($P76="","",IF(INDEX(EntryDep,$P76)=0,"",INDEX(EntryDep,$P76)))</f>
        <v/>
      </c>
      <c r="I76" s="29">
        <f>IF($P76="","",IF(INDEX(EntryWit,$P76)=0,"",INDEX(EntryWit,$P76)))</f>
        <v/>
      </c>
      <c r="J76" s="29">
        <f>IF($B76="","",IF($A76=1,$C$7,IF(J75="",0,J75))+IF($H76="",0,$H76)-IF($I76="",0,$I76))</f>
        <v/>
      </c>
      <c r="K76" s="29">
        <f>IF($P76="","",IF(INDEX(EntryMan,$P76)=0,"",INDEX(EntryMan,$P76)))</f>
        <v/>
      </c>
      <c r="L76" s="28">
        <f>IF($B76="","",IF($K76="","—",IF(ROUND($K76-$J76,0)=0,"√","×")))</f>
        <v/>
      </c>
      <c r="M76" s="28">
        <f>IF($B76="","",IF(COUNTIFS(EntryDates,$B76,CalcTime,$C76,CalcBank,$C$5,EntryParty,$D76,EntryDep,$H76,EntryWit,$I76)&gt;1,"تکرار",""))</f>
        <v/>
      </c>
      <c r="N76" s="28">
        <f>IF($P76="","",IF(INDEX(EntryNotes,$P76)=0,"",INDEX(EntryNotes,$P76)))</f>
        <v/>
      </c>
      <c r="O76" s="28">
        <f>IF($P76="","",IF(INDEX(EntryTxnID,$P76)=0,"",INDEX(EntryTxnID,$P76)))</f>
        <v/>
      </c>
      <c r="P76" s="28">
        <f>IFERROR(MATCH($C$5&amp;"|"&amp;RIGHT("000000"&amp;60,6),CalcRankKey,0),"")</f>
        <v/>
      </c>
    </row>
    <row r="77">
      <c r="A77" s="26">
        <f>IF($B77="","",61)</f>
        <v/>
      </c>
      <c r="B77" s="26">
        <f>IF($P77="","",IF(INDEX(CalcNormDate,$P77)=0,"",INDEX(CalcNormDate,$P77)))</f>
        <v/>
      </c>
      <c r="C77" s="26">
        <f>IF($P77="","",IF(INDEX(CalcTime,$P77)=0,"",INDEX(CalcTime,$P77)))</f>
        <v/>
      </c>
      <c r="D77" s="26">
        <f>IF($P77="","",IF(INDEX(EntryParty,$P77)=0,"",INDEX(EntryParty,$P77)))</f>
        <v/>
      </c>
      <c r="E77" s="26">
        <f>IF($P77="","",IF(INDEX(EntryPartyName,$P77)=0,"",INDEX(EntryPartyName,$P77)))</f>
        <v/>
      </c>
      <c r="F77" s="26">
        <f>IF($P77="","",IF(INDEX(EntryPartyType,$P77)=0,"",INDEX(EntryPartyType,$P77)))</f>
        <v/>
      </c>
      <c r="G77" s="26">
        <f>IF($P77="","",IF(INDEX(EntryTxnType,$P77)=0,"",INDEX(EntryTxnType,$P77)))</f>
        <v/>
      </c>
      <c r="H77" s="27">
        <f>IF($P77="","",IF(INDEX(EntryDep,$P77)=0,"",INDEX(EntryDep,$P77)))</f>
        <v/>
      </c>
      <c r="I77" s="27">
        <f>IF($P77="","",IF(INDEX(EntryWit,$P77)=0,"",INDEX(EntryWit,$P77)))</f>
        <v/>
      </c>
      <c r="J77" s="27">
        <f>IF($B77="","",IF($A77=1,$C$7,IF(J76="",0,J76))+IF($H77="",0,$H77)-IF($I77="",0,$I77))</f>
        <v/>
      </c>
      <c r="K77" s="27">
        <f>IF($P77="","",IF(INDEX(EntryMan,$P77)=0,"",INDEX(EntryMan,$P77)))</f>
        <v/>
      </c>
      <c r="L77" s="26">
        <f>IF($B77="","",IF($K77="","—",IF(ROUND($K77-$J77,0)=0,"√","×")))</f>
        <v/>
      </c>
      <c r="M77" s="26">
        <f>IF($B77="","",IF(COUNTIFS(EntryDates,$B77,CalcTime,$C77,CalcBank,$C$5,EntryParty,$D77,EntryDep,$H77,EntryWit,$I77)&gt;1,"تکرار",""))</f>
        <v/>
      </c>
      <c r="N77" s="26">
        <f>IF($P77="","",IF(INDEX(EntryNotes,$P77)=0,"",INDEX(EntryNotes,$P77)))</f>
        <v/>
      </c>
      <c r="O77" s="26">
        <f>IF($P77="","",IF(INDEX(EntryTxnID,$P77)=0,"",INDEX(EntryTxnID,$P77)))</f>
        <v/>
      </c>
      <c r="P77" s="26">
        <f>IFERROR(MATCH($C$5&amp;"|"&amp;RIGHT("000000"&amp;61,6),CalcRankKey,0),"")</f>
        <v/>
      </c>
    </row>
    <row r="78">
      <c r="A78" s="28">
        <f>IF($B78="","",62)</f>
        <v/>
      </c>
      <c r="B78" s="28">
        <f>IF($P78="","",IF(INDEX(CalcNormDate,$P78)=0,"",INDEX(CalcNormDate,$P78)))</f>
        <v/>
      </c>
      <c r="C78" s="28">
        <f>IF($P78="","",IF(INDEX(CalcTime,$P78)=0,"",INDEX(CalcTime,$P78)))</f>
        <v/>
      </c>
      <c r="D78" s="28">
        <f>IF($P78="","",IF(INDEX(EntryParty,$P78)=0,"",INDEX(EntryParty,$P78)))</f>
        <v/>
      </c>
      <c r="E78" s="28">
        <f>IF($P78="","",IF(INDEX(EntryPartyName,$P78)=0,"",INDEX(EntryPartyName,$P78)))</f>
        <v/>
      </c>
      <c r="F78" s="28">
        <f>IF($P78="","",IF(INDEX(EntryPartyType,$P78)=0,"",INDEX(EntryPartyType,$P78)))</f>
        <v/>
      </c>
      <c r="G78" s="28">
        <f>IF($P78="","",IF(INDEX(EntryTxnType,$P78)=0,"",INDEX(EntryTxnType,$P78)))</f>
        <v/>
      </c>
      <c r="H78" s="29">
        <f>IF($P78="","",IF(INDEX(EntryDep,$P78)=0,"",INDEX(EntryDep,$P78)))</f>
        <v/>
      </c>
      <c r="I78" s="29">
        <f>IF($P78="","",IF(INDEX(EntryWit,$P78)=0,"",INDEX(EntryWit,$P78)))</f>
        <v/>
      </c>
      <c r="J78" s="29">
        <f>IF($B78="","",IF($A78=1,$C$7,IF(J77="",0,J77))+IF($H78="",0,$H78)-IF($I78="",0,$I78))</f>
        <v/>
      </c>
      <c r="K78" s="29">
        <f>IF($P78="","",IF(INDEX(EntryMan,$P78)=0,"",INDEX(EntryMan,$P78)))</f>
        <v/>
      </c>
      <c r="L78" s="28">
        <f>IF($B78="","",IF($K78="","—",IF(ROUND($K78-$J78,0)=0,"√","×")))</f>
        <v/>
      </c>
      <c r="M78" s="28">
        <f>IF($B78="","",IF(COUNTIFS(EntryDates,$B78,CalcTime,$C78,CalcBank,$C$5,EntryParty,$D78,EntryDep,$H78,EntryWit,$I78)&gt;1,"تکرار",""))</f>
        <v/>
      </c>
      <c r="N78" s="28">
        <f>IF($P78="","",IF(INDEX(EntryNotes,$P78)=0,"",INDEX(EntryNotes,$P78)))</f>
        <v/>
      </c>
      <c r="O78" s="28">
        <f>IF($P78="","",IF(INDEX(EntryTxnID,$P78)=0,"",INDEX(EntryTxnID,$P78)))</f>
        <v/>
      </c>
      <c r="P78" s="28">
        <f>IFERROR(MATCH($C$5&amp;"|"&amp;RIGHT("000000"&amp;62,6),CalcRankKey,0),"")</f>
        <v/>
      </c>
    </row>
    <row r="79">
      <c r="A79" s="26">
        <f>IF($B79="","",63)</f>
        <v/>
      </c>
      <c r="B79" s="26">
        <f>IF($P79="","",IF(INDEX(CalcNormDate,$P79)=0,"",INDEX(CalcNormDate,$P79)))</f>
        <v/>
      </c>
      <c r="C79" s="26">
        <f>IF($P79="","",IF(INDEX(CalcTime,$P79)=0,"",INDEX(CalcTime,$P79)))</f>
        <v/>
      </c>
      <c r="D79" s="26">
        <f>IF($P79="","",IF(INDEX(EntryParty,$P79)=0,"",INDEX(EntryParty,$P79)))</f>
        <v/>
      </c>
      <c r="E79" s="26">
        <f>IF($P79="","",IF(INDEX(EntryPartyName,$P79)=0,"",INDEX(EntryPartyName,$P79)))</f>
        <v/>
      </c>
      <c r="F79" s="26">
        <f>IF($P79="","",IF(INDEX(EntryPartyType,$P79)=0,"",INDEX(EntryPartyType,$P79)))</f>
        <v/>
      </c>
      <c r="G79" s="26">
        <f>IF($P79="","",IF(INDEX(EntryTxnType,$P79)=0,"",INDEX(EntryTxnType,$P79)))</f>
        <v/>
      </c>
      <c r="H79" s="27">
        <f>IF($P79="","",IF(INDEX(EntryDep,$P79)=0,"",INDEX(EntryDep,$P79)))</f>
        <v/>
      </c>
      <c r="I79" s="27">
        <f>IF($P79="","",IF(INDEX(EntryWit,$P79)=0,"",INDEX(EntryWit,$P79)))</f>
        <v/>
      </c>
      <c r="J79" s="27">
        <f>IF($B79="","",IF($A79=1,$C$7,IF(J78="",0,J78))+IF($H79="",0,$H79)-IF($I79="",0,$I79))</f>
        <v/>
      </c>
      <c r="K79" s="27">
        <f>IF($P79="","",IF(INDEX(EntryMan,$P79)=0,"",INDEX(EntryMan,$P79)))</f>
        <v/>
      </c>
      <c r="L79" s="26">
        <f>IF($B79="","",IF($K79="","—",IF(ROUND($K79-$J79,0)=0,"√","×")))</f>
        <v/>
      </c>
      <c r="M79" s="26">
        <f>IF($B79="","",IF(COUNTIFS(EntryDates,$B79,CalcTime,$C79,CalcBank,$C$5,EntryParty,$D79,EntryDep,$H79,EntryWit,$I79)&gt;1,"تکرار",""))</f>
        <v/>
      </c>
      <c r="N79" s="26">
        <f>IF($P79="","",IF(INDEX(EntryNotes,$P79)=0,"",INDEX(EntryNotes,$P79)))</f>
        <v/>
      </c>
      <c r="O79" s="26">
        <f>IF($P79="","",IF(INDEX(EntryTxnID,$P79)=0,"",INDEX(EntryTxnID,$P79)))</f>
        <v/>
      </c>
      <c r="P79" s="26">
        <f>IFERROR(MATCH($C$5&amp;"|"&amp;RIGHT("000000"&amp;63,6),CalcRankKey,0),"")</f>
        <v/>
      </c>
    </row>
    <row r="80">
      <c r="A80" s="28">
        <f>IF($B80="","",64)</f>
        <v/>
      </c>
      <c r="B80" s="28">
        <f>IF($P80="","",IF(INDEX(CalcNormDate,$P80)=0,"",INDEX(CalcNormDate,$P80)))</f>
        <v/>
      </c>
      <c r="C80" s="28">
        <f>IF($P80="","",IF(INDEX(CalcTime,$P80)=0,"",INDEX(CalcTime,$P80)))</f>
        <v/>
      </c>
      <c r="D80" s="28">
        <f>IF($P80="","",IF(INDEX(EntryParty,$P80)=0,"",INDEX(EntryParty,$P80)))</f>
        <v/>
      </c>
      <c r="E80" s="28">
        <f>IF($P80="","",IF(INDEX(EntryPartyName,$P80)=0,"",INDEX(EntryPartyName,$P80)))</f>
        <v/>
      </c>
      <c r="F80" s="28">
        <f>IF($P80="","",IF(INDEX(EntryPartyType,$P80)=0,"",INDEX(EntryPartyType,$P80)))</f>
        <v/>
      </c>
      <c r="G80" s="28">
        <f>IF($P80="","",IF(INDEX(EntryTxnType,$P80)=0,"",INDEX(EntryTxnType,$P80)))</f>
        <v/>
      </c>
      <c r="H80" s="29">
        <f>IF($P80="","",IF(INDEX(EntryDep,$P80)=0,"",INDEX(EntryDep,$P80)))</f>
        <v/>
      </c>
      <c r="I80" s="29">
        <f>IF($P80="","",IF(INDEX(EntryWit,$P80)=0,"",INDEX(EntryWit,$P80)))</f>
        <v/>
      </c>
      <c r="J80" s="29">
        <f>IF($B80="","",IF($A80=1,$C$7,IF(J79="",0,J79))+IF($H80="",0,$H80)-IF($I80="",0,$I80))</f>
        <v/>
      </c>
      <c r="K80" s="29">
        <f>IF($P80="","",IF(INDEX(EntryMan,$P80)=0,"",INDEX(EntryMan,$P80)))</f>
        <v/>
      </c>
      <c r="L80" s="28">
        <f>IF($B80="","",IF($K80="","—",IF(ROUND($K80-$J80,0)=0,"√","×")))</f>
        <v/>
      </c>
      <c r="M80" s="28">
        <f>IF($B80="","",IF(COUNTIFS(EntryDates,$B80,CalcTime,$C80,CalcBank,$C$5,EntryParty,$D80,EntryDep,$H80,EntryWit,$I80)&gt;1,"تکرار",""))</f>
        <v/>
      </c>
      <c r="N80" s="28">
        <f>IF($P80="","",IF(INDEX(EntryNotes,$P80)=0,"",INDEX(EntryNotes,$P80)))</f>
        <v/>
      </c>
      <c r="O80" s="28">
        <f>IF($P80="","",IF(INDEX(EntryTxnID,$P80)=0,"",INDEX(EntryTxnID,$P80)))</f>
        <v/>
      </c>
      <c r="P80" s="28">
        <f>IFERROR(MATCH($C$5&amp;"|"&amp;RIGHT("000000"&amp;64,6),CalcRankKey,0),"")</f>
        <v/>
      </c>
    </row>
    <row r="81">
      <c r="A81" s="26">
        <f>IF($B81="","",65)</f>
        <v/>
      </c>
      <c r="B81" s="26">
        <f>IF($P81="","",IF(INDEX(CalcNormDate,$P81)=0,"",INDEX(CalcNormDate,$P81)))</f>
        <v/>
      </c>
      <c r="C81" s="26">
        <f>IF($P81="","",IF(INDEX(CalcTime,$P81)=0,"",INDEX(CalcTime,$P81)))</f>
        <v/>
      </c>
      <c r="D81" s="26">
        <f>IF($P81="","",IF(INDEX(EntryParty,$P81)=0,"",INDEX(EntryParty,$P81)))</f>
        <v/>
      </c>
      <c r="E81" s="26">
        <f>IF($P81="","",IF(INDEX(EntryPartyName,$P81)=0,"",INDEX(EntryPartyName,$P81)))</f>
        <v/>
      </c>
      <c r="F81" s="26">
        <f>IF($P81="","",IF(INDEX(EntryPartyType,$P81)=0,"",INDEX(EntryPartyType,$P81)))</f>
        <v/>
      </c>
      <c r="G81" s="26">
        <f>IF($P81="","",IF(INDEX(EntryTxnType,$P81)=0,"",INDEX(EntryTxnType,$P81)))</f>
        <v/>
      </c>
      <c r="H81" s="27">
        <f>IF($P81="","",IF(INDEX(EntryDep,$P81)=0,"",INDEX(EntryDep,$P81)))</f>
        <v/>
      </c>
      <c r="I81" s="27">
        <f>IF($P81="","",IF(INDEX(EntryWit,$P81)=0,"",INDEX(EntryWit,$P81)))</f>
        <v/>
      </c>
      <c r="J81" s="27">
        <f>IF($B81="","",IF($A81=1,$C$7,IF(J80="",0,J80))+IF($H81="",0,$H81)-IF($I81="",0,$I81))</f>
        <v/>
      </c>
      <c r="K81" s="27">
        <f>IF($P81="","",IF(INDEX(EntryMan,$P81)=0,"",INDEX(EntryMan,$P81)))</f>
        <v/>
      </c>
      <c r="L81" s="26">
        <f>IF($B81="","",IF($K81="","—",IF(ROUND($K81-$J81,0)=0,"√","×")))</f>
        <v/>
      </c>
      <c r="M81" s="26">
        <f>IF($B81="","",IF(COUNTIFS(EntryDates,$B81,CalcTime,$C81,CalcBank,$C$5,EntryParty,$D81,EntryDep,$H81,EntryWit,$I81)&gt;1,"تکرار",""))</f>
        <v/>
      </c>
      <c r="N81" s="26">
        <f>IF($P81="","",IF(INDEX(EntryNotes,$P81)=0,"",INDEX(EntryNotes,$P81)))</f>
        <v/>
      </c>
      <c r="O81" s="26">
        <f>IF($P81="","",IF(INDEX(EntryTxnID,$P81)=0,"",INDEX(EntryTxnID,$P81)))</f>
        <v/>
      </c>
      <c r="P81" s="26">
        <f>IFERROR(MATCH($C$5&amp;"|"&amp;RIGHT("000000"&amp;65,6),CalcRankKey,0),"")</f>
        <v/>
      </c>
    </row>
    <row r="82">
      <c r="A82" s="28">
        <f>IF($B82="","",66)</f>
        <v/>
      </c>
      <c r="B82" s="28">
        <f>IF($P82="","",IF(INDEX(CalcNormDate,$P82)=0,"",INDEX(CalcNormDate,$P82)))</f>
        <v/>
      </c>
      <c r="C82" s="28">
        <f>IF($P82="","",IF(INDEX(CalcTime,$P82)=0,"",INDEX(CalcTime,$P82)))</f>
        <v/>
      </c>
      <c r="D82" s="28">
        <f>IF($P82="","",IF(INDEX(EntryParty,$P82)=0,"",INDEX(EntryParty,$P82)))</f>
        <v/>
      </c>
      <c r="E82" s="28">
        <f>IF($P82="","",IF(INDEX(EntryPartyName,$P82)=0,"",INDEX(EntryPartyName,$P82)))</f>
        <v/>
      </c>
      <c r="F82" s="28">
        <f>IF($P82="","",IF(INDEX(EntryPartyType,$P82)=0,"",INDEX(EntryPartyType,$P82)))</f>
        <v/>
      </c>
      <c r="G82" s="28">
        <f>IF($P82="","",IF(INDEX(EntryTxnType,$P82)=0,"",INDEX(EntryTxnType,$P82)))</f>
        <v/>
      </c>
      <c r="H82" s="29">
        <f>IF($P82="","",IF(INDEX(EntryDep,$P82)=0,"",INDEX(EntryDep,$P82)))</f>
        <v/>
      </c>
      <c r="I82" s="29">
        <f>IF($P82="","",IF(INDEX(EntryWit,$P82)=0,"",INDEX(EntryWit,$P82)))</f>
        <v/>
      </c>
      <c r="J82" s="29">
        <f>IF($B82="","",IF($A82=1,$C$7,IF(J81="",0,J81))+IF($H82="",0,$H82)-IF($I82="",0,$I82))</f>
        <v/>
      </c>
      <c r="K82" s="29">
        <f>IF($P82="","",IF(INDEX(EntryMan,$P82)=0,"",INDEX(EntryMan,$P82)))</f>
        <v/>
      </c>
      <c r="L82" s="28">
        <f>IF($B82="","",IF($K82="","—",IF(ROUND($K82-$J82,0)=0,"√","×")))</f>
        <v/>
      </c>
      <c r="M82" s="28">
        <f>IF($B82="","",IF(COUNTIFS(EntryDates,$B82,CalcTime,$C82,CalcBank,$C$5,EntryParty,$D82,EntryDep,$H82,EntryWit,$I82)&gt;1,"تکرار",""))</f>
        <v/>
      </c>
      <c r="N82" s="28">
        <f>IF($P82="","",IF(INDEX(EntryNotes,$P82)=0,"",INDEX(EntryNotes,$P82)))</f>
        <v/>
      </c>
      <c r="O82" s="28">
        <f>IF($P82="","",IF(INDEX(EntryTxnID,$P82)=0,"",INDEX(EntryTxnID,$P82)))</f>
        <v/>
      </c>
      <c r="P82" s="28">
        <f>IFERROR(MATCH($C$5&amp;"|"&amp;RIGHT("000000"&amp;66,6),CalcRankKey,0),"")</f>
        <v/>
      </c>
    </row>
    <row r="83">
      <c r="A83" s="26">
        <f>IF($B83="","",67)</f>
        <v/>
      </c>
      <c r="B83" s="26">
        <f>IF($P83="","",IF(INDEX(CalcNormDate,$P83)=0,"",INDEX(CalcNormDate,$P83)))</f>
        <v/>
      </c>
      <c r="C83" s="26">
        <f>IF($P83="","",IF(INDEX(CalcTime,$P83)=0,"",INDEX(CalcTime,$P83)))</f>
        <v/>
      </c>
      <c r="D83" s="26">
        <f>IF($P83="","",IF(INDEX(EntryParty,$P83)=0,"",INDEX(EntryParty,$P83)))</f>
        <v/>
      </c>
      <c r="E83" s="26">
        <f>IF($P83="","",IF(INDEX(EntryPartyName,$P83)=0,"",INDEX(EntryPartyName,$P83)))</f>
        <v/>
      </c>
      <c r="F83" s="26">
        <f>IF($P83="","",IF(INDEX(EntryPartyType,$P83)=0,"",INDEX(EntryPartyType,$P83)))</f>
        <v/>
      </c>
      <c r="G83" s="26">
        <f>IF($P83="","",IF(INDEX(EntryTxnType,$P83)=0,"",INDEX(EntryTxnType,$P83)))</f>
        <v/>
      </c>
      <c r="H83" s="27">
        <f>IF($P83="","",IF(INDEX(EntryDep,$P83)=0,"",INDEX(EntryDep,$P83)))</f>
        <v/>
      </c>
      <c r="I83" s="27">
        <f>IF($P83="","",IF(INDEX(EntryWit,$P83)=0,"",INDEX(EntryWit,$P83)))</f>
        <v/>
      </c>
      <c r="J83" s="27">
        <f>IF($B83="","",IF($A83=1,$C$7,IF(J82="",0,J82))+IF($H83="",0,$H83)-IF($I83="",0,$I83))</f>
        <v/>
      </c>
      <c r="K83" s="27">
        <f>IF($P83="","",IF(INDEX(EntryMan,$P83)=0,"",INDEX(EntryMan,$P83)))</f>
        <v/>
      </c>
      <c r="L83" s="26">
        <f>IF($B83="","",IF($K83="","—",IF(ROUND($K83-$J83,0)=0,"√","×")))</f>
        <v/>
      </c>
      <c r="M83" s="26">
        <f>IF($B83="","",IF(COUNTIFS(EntryDates,$B83,CalcTime,$C83,CalcBank,$C$5,EntryParty,$D83,EntryDep,$H83,EntryWit,$I83)&gt;1,"تکرار",""))</f>
        <v/>
      </c>
      <c r="N83" s="26">
        <f>IF($P83="","",IF(INDEX(EntryNotes,$P83)=0,"",INDEX(EntryNotes,$P83)))</f>
        <v/>
      </c>
      <c r="O83" s="26">
        <f>IF($P83="","",IF(INDEX(EntryTxnID,$P83)=0,"",INDEX(EntryTxnID,$P83)))</f>
        <v/>
      </c>
      <c r="P83" s="26">
        <f>IFERROR(MATCH($C$5&amp;"|"&amp;RIGHT("000000"&amp;67,6),CalcRankKey,0),"")</f>
        <v/>
      </c>
    </row>
    <row r="84">
      <c r="A84" s="28">
        <f>IF($B84="","",68)</f>
        <v/>
      </c>
      <c r="B84" s="28">
        <f>IF($P84="","",IF(INDEX(CalcNormDate,$P84)=0,"",INDEX(CalcNormDate,$P84)))</f>
        <v/>
      </c>
      <c r="C84" s="28">
        <f>IF($P84="","",IF(INDEX(CalcTime,$P84)=0,"",INDEX(CalcTime,$P84)))</f>
        <v/>
      </c>
      <c r="D84" s="28">
        <f>IF($P84="","",IF(INDEX(EntryParty,$P84)=0,"",INDEX(EntryParty,$P84)))</f>
        <v/>
      </c>
      <c r="E84" s="28">
        <f>IF($P84="","",IF(INDEX(EntryPartyName,$P84)=0,"",INDEX(EntryPartyName,$P84)))</f>
        <v/>
      </c>
      <c r="F84" s="28">
        <f>IF($P84="","",IF(INDEX(EntryPartyType,$P84)=0,"",INDEX(EntryPartyType,$P84)))</f>
        <v/>
      </c>
      <c r="G84" s="28">
        <f>IF($P84="","",IF(INDEX(EntryTxnType,$P84)=0,"",INDEX(EntryTxnType,$P84)))</f>
        <v/>
      </c>
      <c r="H84" s="29">
        <f>IF($P84="","",IF(INDEX(EntryDep,$P84)=0,"",INDEX(EntryDep,$P84)))</f>
        <v/>
      </c>
      <c r="I84" s="29">
        <f>IF($P84="","",IF(INDEX(EntryWit,$P84)=0,"",INDEX(EntryWit,$P84)))</f>
        <v/>
      </c>
      <c r="J84" s="29">
        <f>IF($B84="","",IF($A84=1,$C$7,IF(J83="",0,J83))+IF($H84="",0,$H84)-IF($I84="",0,$I84))</f>
        <v/>
      </c>
      <c r="K84" s="29">
        <f>IF($P84="","",IF(INDEX(EntryMan,$P84)=0,"",INDEX(EntryMan,$P84)))</f>
        <v/>
      </c>
      <c r="L84" s="28">
        <f>IF($B84="","",IF($K84="","—",IF(ROUND($K84-$J84,0)=0,"√","×")))</f>
        <v/>
      </c>
      <c r="M84" s="28">
        <f>IF($B84="","",IF(COUNTIFS(EntryDates,$B84,CalcTime,$C84,CalcBank,$C$5,EntryParty,$D84,EntryDep,$H84,EntryWit,$I84)&gt;1,"تکرار",""))</f>
        <v/>
      </c>
      <c r="N84" s="28">
        <f>IF($P84="","",IF(INDEX(EntryNotes,$P84)=0,"",INDEX(EntryNotes,$P84)))</f>
        <v/>
      </c>
      <c r="O84" s="28">
        <f>IF($P84="","",IF(INDEX(EntryTxnID,$P84)=0,"",INDEX(EntryTxnID,$P84)))</f>
        <v/>
      </c>
      <c r="P84" s="28">
        <f>IFERROR(MATCH($C$5&amp;"|"&amp;RIGHT("000000"&amp;68,6),CalcRankKey,0),"")</f>
        <v/>
      </c>
    </row>
    <row r="85">
      <c r="A85" s="26">
        <f>IF($B85="","",69)</f>
        <v/>
      </c>
      <c r="B85" s="26">
        <f>IF($P85="","",IF(INDEX(CalcNormDate,$P85)=0,"",INDEX(CalcNormDate,$P85)))</f>
        <v/>
      </c>
      <c r="C85" s="26">
        <f>IF($P85="","",IF(INDEX(CalcTime,$P85)=0,"",INDEX(CalcTime,$P85)))</f>
        <v/>
      </c>
      <c r="D85" s="26">
        <f>IF($P85="","",IF(INDEX(EntryParty,$P85)=0,"",INDEX(EntryParty,$P85)))</f>
        <v/>
      </c>
      <c r="E85" s="26">
        <f>IF($P85="","",IF(INDEX(EntryPartyName,$P85)=0,"",INDEX(EntryPartyName,$P85)))</f>
        <v/>
      </c>
      <c r="F85" s="26">
        <f>IF($P85="","",IF(INDEX(EntryPartyType,$P85)=0,"",INDEX(EntryPartyType,$P85)))</f>
        <v/>
      </c>
      <c r="G85" s="26">
        <f>IF($P85="","",IF(INDEX(EntryTxnType,$P85)=0,"",INDEX(EntryTxnType,$P85)))</f>
        <v/>
      </c>
      <c r="H85" s="27">
        <f>IF($P85="","",IF(INDEX(EntryDep,$P85)=0,"",INDEX(EntryDep,$P85)))</f>
        <v/>
      </c>
      <c r="I85" s="27">
        <f>IF($P85="","",IF(INDEX(EntryWit,$P85)=0,"",INDEX(EntryWit,$P85)))</f>
        <v/>
      </c>
      <c r="J85" s="27">
        <f>IF($B85="","",IF($A85=1,$C$7,IF(J84="",0,J84))+IF($H85="",0,$H85)-IF($I85="",0,$I85))</f>
        <v/>
      </c>
      <c r="K85" s="27">
        <f>IF($P85="","",IF(INDEX(EntryMan,$P85)=0,"",INDEX(EntryMan,$P85)))</f>
        <v/>
      </c>
      <c r="L85" s="26">
        <f>IF($B85="","",IF($K85="","—",IF(ROUND($K85-$J85,0)=0,"√","×")))</f>
        <v/>
      </c>
      <c r="M85" s="26">
        <f>IF($B85="","",IF(COUNTIFS(EntryDates,$B85,CalcTime,$C85,CalcBank,$C$5,EntryParty,$D85,EntryDep,$H85,EntryWit,$I85)&gt;1,"تکرار",""))</f>
        <v/>
      </c>
      <c r="N85" s="26">
        <f>IF($P85="","",IF(INDEX(EntryNotes,$P85)=0,"",INDEX(EntryNotes,$P85)))</f>
        <v/>
      </c>
      <c r="O85" s="26">
        <f>IF($P85="","",IF(INDEX(EntryTxnID,$P85)=0,"",INDEX(EntryTxnID,$P85)))</f>
        <v/>
      </c>
      <c r="P85" s="26">
        <f>IFERROR(MATCH($C$5&amp;"|"&amp;RIGHT("000000"&amp;69,6),CalcRankKey,0),"")</f>
        <v/>
      </c>
    </row>
    <row r="86">
      <c r="A86" s="28">
        <f>IF($B86="","",70)</f>
        <v/>
      </c>
      <c r="B86" s="28">
        <f>IF($P86="","",IF(INDEX(CalcNormDate,$P86)=0,"",INDEX(CalcNormDate,$P86)))</f>
        <v/>
      </c>
      <c r="C86" s="28">
        <f>IF($P86="","",IF(INDEX(CalcTime,$P86)=0,"",INDEX(CalcTime,$P86)))</f>
        <v/>
      </c>
      <c r="D86" s="28">
        <f>IF($P86="","",IF(INDEX(EntryParty,$P86)=0,"",INDEX(EntryParty,$P86)))</f>
        <v/>
      </c>
      <c r="E86" s="28">
        <f>IF($P86="","",IF(INDEX(EntryPartyName,$P86)=0,"",INDEX(EntryPartyName,$P86)))</f>
        <v/>
      </c>
      <c r="F86" s="28">
        <f>IF($P86="","",IF(INDEX(EntryPartyType,$P86)=0,"",INDEX(EntryPartyType,$P86)))</f>
        <v/>
      </c>
      <c r="G86" s="28">
        <f>IF($P86="","",IF(INDEX(EntryTxnType,$P86)=0,"",INDEX(EntryTxnType,$P86)))</f>
        <v/>
      </c>
      <c r="H86" s="29">
        <f>IF($P86="","",IF(INDEX(EntryDep,$P86)=0,"",INDEX(EntryDep,$P86)))</f>
        <v/>
      </c>
      <c r="I86" s="29">
        <f>IF($P86="","",IF(INDEX(EntryWit,$P86)=0,"",INDEX(EntryWit,$P86)))</f>
        <v/>
      </c>
      <c r="J86" s="29">
        <f>IF($B86="","",IF($A86=1,$C$7,IF(J85="",0,J85))+IF($H86="",0,$H86)-IF($I86="",0,$I86))</f>
        <v/>
      </c>
      <c r="K86" s="29">
        <f>IF($P86="","",IF(INDEX(EntryMan,$P86)=0,"",INDEX(EntryMan,$P86)))</f>
        <v/>
      </c>
      <c r="L86" s="28">
        <f>IF($B86="","",IF($K86="","—",IF(ROUND($K86-$J86,0)=0,"√","×")))</f>
        <v/>
      </c>
      <c r="M86" s="28">
        <f>IF($B86="","",IF(COUNTIFS(EntryDates,$B86,CalcTime,$C86,CalcBank,$C$5,EntryParty,$D86,EntryDep,$H86,EntryWit,$I86)&gt;1,"تکرار",""))</f>
        <v/>
      </c>
      <c r="N86" s="28">
        <f>IF($P86="","",IF(INDEX(EntryNotes,$P86)=0,"",INDEX(EntryNotes,$P86)))</f>
        <v/>
      </c>
      <c r="O86" s="28">
        <f>IF($P86="","",IF(INDEX(EntryTxnID,$P86)=0,"",INDEX(EntryTxnID,$P86)))</f>
        <v/>
      </c>
      <c r="P86" s="28">
        <f>IFERROR(MATCH($C$5&amp;"|"&amp;RIGHT("000000"&amp;70,6),CalcRankKey,0),"")</f>
        <v/>
      </c>
    </row>
    <row r="87">
      <c r="A87" s="26">
        <f>IF($B87="","",71)</f>
        <v/>
      </c>
      <c r="B87" s="26">
        <f>IF($P87="","",IF(INDEX(CalcNormDate,$P87)=0,"",INDEX(CalcNormDate,$P87)))</f>
        <v/>
      </c>
      <c r="C87" s="26">
        <f>IF($P87="","",IF(INDEX(CalcTime,$P87)=0,"",INDEX(CalcTime,$P87)))</f>
        <v/>
      </c>
      <c r="D87" s="26">
        <f>IF($P87="","",IF(INDEX(EntryParty,$P87)=0,"",INDEX(EntryParty,$P87)))</f>
        <v/>
      </c>
      <c r="E87" s="26">
        <f>IF($P87="","",IF(INDEX(EntryPartyName,$P87)=0,"",INDEX(EntryPartyName,$P87)))</f>
        <v/>
      </c>
      <c r="F87" s="26">
        <f>IF($P87="","",IF(INDEX(EntryPartyType,$P87)=0,"",INDEX(EntryPartyType,$P87)))</f>
        <v/>
      </c>
      <c r="G87" s="26">
        <f>IF($P87="","",IF(INDEX(EntryTxnType,$P87)=0,"",INDEX(EntryTxnType,$P87)))</f>
        <v/>
      </c>
      <c r="H87" s="27">
        <f>IF($P87="","",IF(INDEX(EntryDep,$P87)=0,"",INDEX(EntryDep,$P87)))</f>
        <v/>
      </c>
      <c r="I87" s="27">
        <f>IF($P87="","",IF(INDEX(EntryWit,$P87)=0,"",INDEX(EntryWit,$P87)))</f>
        <v/>
      </c>
      <c r="J87" s="27">
        <f>IF($B87="","",IF($A87=1,$C$7,IF(J86="",0,J86))+IF($H87="",0,$H87)-IF($I87="",0,$I87))</f>
        <v/>
      </c>
      <c r="K87" s="27">
        <f>IF($P87="","",IF(INDEX(EntryMan,$P87)=0,"",INDEX(EntryMan,$P87)))</f>
        <v/>
      </c>
      <c r="L87" s="26">
        <f>IF($B87="","",IF($K87="","—",IF(ROUND($K87-$J87,0)=0,"√","×")))</f>
        <v/>
      </c>
      <c r="M87" s="26">
        <f>IF($B87="","",IF(COUNTIFS(EntryDates,$B87,CalcTime,$C87,CalcBank,$C$5,EntryParty,$D87,EntryDep,$H87,EntryWit,$I87)&gt;1,"تکرار",""))</f>
        <v/>
      </c>
      <c r="N87" s="26">
        <f>IF($P87="","",IF(INDEX(EntryNotes,$P87)=0,"",INDEX(EntryNotes,$P87)))</f>
        <v/>
      </c>
      <c r="O87" s="26">
        <f>IF($P87="","",IF(INDEX(EntryTxnID,$P87)=0,"",INDEX(EntryTxnID,$P87)))</f>
        <v/>
      </c>
      <c r="P87" s="26">
        <f>IFERROR(MATCH($C$5&amp;"|"&amp;RIGHT("000000"&amp;71,6),CalcRankKey,0),"")</f>
        <v/>
      </c>
    </row>
    <row r="88">
      <c r="A88" s="28">
        <f>IF($B88="","",72)</f>
        <v/>
      </c>
      <c r="B88" s="28">
        <f>IF($P88="","",IF(INDEX(CalcNormDate,$P88)=0,"",INDEX(CalcNormDate,$P88)))</f>
        <v/>
      </c>
      <c r="C88" s="28">
        <f>IF($P88="","",IF(INDEX(CalcTime,$P88)=0,"",INDEX(CalcTime,$P88)))</f>
        <v/>
      </c>
      <c r="D88" s="28">
        <f>IF($P88="","",IF(INDEX(EntryParty,$P88)=0,"",INDEX(EntryParty,$P88)))</f>
        <v/>
      </c>
      <c r="E88" s="28">
        <f>IF($P88="","",IF(INDEX(EntryPartyName,$P88)=0,"",INDEX(EntryPartyName,$P88)))</f>
        <v/>
      </c>
      <c r="F88" s="28">
        <f>IF($P88="","",IF(INDEX(EntryPartyType,$P88)=0,"",INDEX(EntryPartyType,$P88)))</f>
        <v/>
      </c>
      <c r="G88" s="28">
        <f>IF($P88="","",IF(INDEX(EntryTxnType,$P88)=0,"",INDEX(EntryTxnType,$P88)))</f>
        <v/>
      </c>
      <c r="H88" s="29">
        <f>IF($P88="","",IF(INDEX(EntryDep,$P88)=0,"",INDEX(EntryDep,$P88)))</f>
        <v/>
      </c>
      <c r="I88" s="29">
        <f>IF($P88="","",IF(INDEX(EntryWit,$P88)=0,"",INDEX(EntryWit,$P88)))</f>
        <v/>
      </c>
      <c r="J88" s="29">
        <f>IF($B88="","",IF($A88=1,$C$7,IF(J87="",0,J87))+IF($H88="",0,$H88)-IF($I88="",0,$I88))</f>
        <v/>
      </c>
      <c r="K88" s="29">
        <f>IF($P88="","",IF(INDEX(EntryMan,$P88)=0,"",INDEX(EntryMan,$P88)))</f>
        <v/>
      </c>
      <c r="L88" s="28">
        <f>IF($B88="","",IF($K88="","—",IF(ROUND($K88-$J88,0)=0,"√","×")))</f>
        <v/>
      </c>
      <c r="M88" s="28">
        <f>IF($B88="","",IF(COUNTIFS(EntryDates,$B88,CalcTime,$C88,CalcBank,$C$5,EntryParty,$D88,EntryDep,$H88,EntryWit,$I88)&gt;1,"تکرار",""))</f>
        <v/>
      </c>
      <c r="N88" s="28">
        <f>IF($P88="","",IF(INDEX(EntryNotes,$P88)=0,"",INDEX(EntryNotes,$P88)))</f>
        <v/>
      </c>
      <c r="O88" s="28">
        <f>IF($P88="","",IF(INDEX(EntryTxnID,$P88)=0,"",INDEX(EntryTxnID,$P88)))</f>
        <v/>
      </c>
      <c r="P88" s="28">
        <f>IFERROR(MATCH($C$5&amp;"|"&amp;RIGHT("000000"&amp;72,6),CalcRankKey,0),"")</f>
        <v/>
      </c>
    </row>
    <row r="89">
      <c r="A89" s="26">
        <f>IF($B89="","",73)</f>
        <v/>
      </c>
      <c r="B89" s="26">
        <f>IF($P89="","",IF(INDEX(CalcNormDate,$P89)=0,"",INDEX(CalcNormDate,$P89)))</f>
        <v/>
      </c>
      <c r="C89" s="26">
        <f>IF($P89="","",IF(INDEX(CalcTime,$P89)=0,"",INDEX(CalcTime,$P89)))</f>
        <v/>
      </c>
      <c r="D89" s="26">
        <f>IF($P89="","",IF(INDEX(EntryParty,$P89)=0,"",INDEX(EntryParty,$P89)))</f>
        <v/>
      </c>
      <c r="E89" s="26">
        <f>IF($P89="","",IF(INDEX(EntryPartyName,$P89)=0,"",INDEX(EntryPartyName,$P89)))</f>
        <v/>
      </c>
      <c r="F89" s="26">
        <f>IF($P89="","",IF(INDEX(EntryPartyType,$P89)=0,"",INDEX(EntryPartyType,$P89)))</f>
        <v/>
      </c>
      <c r="G89" s="26">
        <f>IF($P89="","",IF(INDEX(EntryTxnType,$P89)=0,"",INDEX(EntryTxnType,$P89)))</f>
        <v/>
      </c>
      <c r="H89" s="27">
        <f>IF($P89="","",IF(INDEX(EntryDep,$P89)=0,"",INDEX(EntryDep,$P89)))</f>
        <v/>
      </c>
      <c r="I89" s="27">
        <f>IF($P89="","",IF(INDEX(EntryWit,$P89)=0,"",INDEX(EntryWit,$P89)))</f>
        <v/>
      </c>
      <c r="J89" s="27">
        <f>IF($B89="","",IF($A89=1,$C$7,IF(J88="",0,J88))+IF($H89="",0,$H89)-IF($I89="",0,$I89))</f>
        <v/>
      </c>
      <c r="K89" s="27">
        <f>IF($P89="","",IF(INDEX(EntryMan,$P89)=0,"",INDEX(EntryMan,$P89)))</f>
        <v/>
      </c>
      <c r="L89" s="26">
        <f>IF($B89="","",IF($K89="","—",IF(ROUND($K89-$J89,0)=0,"√","×")))</f>
        <v/>
      </c>
      <c r="M89" s="26">
        <f>IF($B89="","",IF(COUNTIFS(EntryDates,$B89,CalcTime,$C89,CalcBank,$C$5,EntryParty,$D89,EntryDep,$H89,EntryWit,$I89)&gt;1,"تکرار",""))</f>
        <v/>
      </c>
      <c r="N89" s="26">
        <f>IF($P89="","",IF(INDEX(EntryNotes,$P89)=0,"",INDEX(EntryNotes,$P89)))</f>
        <v/>
      </c>
      <c r="O89" s="26">
        <f>IF($P89="","",IF(INDEX(EntryTxnID,$P89)=0,"",INDEX(EntryTxnID,$P89)))</f>
        <v/>
      </c>
      <c r="P89" s="26">
        <f>IFERROR(MATCH($C$5&amp;"|"&amp;RIGHT("000000"&amp;73,6),CalcRankKey,0),"")</f>
        <v/>
      </c>
    </row>
    <row r="90">
      <c r="A90" s="28">
        <f>IF($B90="","",74)</f>
        <v/>
      </c>
      <c r="B90" s="28">
        <f>IF($P90="","",IF(INDEX(CalcNormDate,$P90)=0,"",INDEX(CalcNormDate,$P90)))</f>
        <v/>
      </c>
      <c r="C90" s="28">
        <f>IF($P90="","",IF(INDEX(CalcTime,$P90)=0,"",INDEX(CalcTime,$P90)))</f>
        <v/>
      </c>
      <c r="D90" s="28">
        <f>IF($P90="","",IF(INDEX(EntryParty,$P90)=0,"",INDEX(EntryParty,$P90)))</f>
        <v/>
      </c>
      <c r="E90" s="28">
        <f>IF($P90="","",IF(INDEX(EntryPartyName,$P90)=0,"",INDEX(EntryPartyName,$P90)))</f>
        <v/>
      </c>
      <c r="F90" s="28">
        <f>IF($P90="","",IF(INDEX(EntryPartyType,$P90)=0,"",INDEX(EntryPartyType,$P90)))</f>
        <v/>
      </c>
      <c r="G90" s="28">
        <f>IF($P90="","",IF(INDEX(EntryTxnType,$P90)=0,"",INDEX(EntryTxnType,$P90)))</f>
        <v/>
      </c>
      <c r="H90" s="29">
        <f>IF($P90="","",IF(INDEX(EntryDep,$P90)=0,"",INDEX(EntryDep,$P90)))</f>
        <v/>
      </c>
      <c r="I90" s="29">
        <f>IF($P90="","",IF(INDEX(EntryWit,$P90)=0,"",INDEX(EntryWit,$P90)))</f>
        <v/>
      </c>
      <c r="J90" s="29">
        <f>IF($B90="","",IF($A90=1,$C$7,IF(J89="",0,J89))+IF($H90="",0,$H90)-IF($I90="",0,$I90))</f>
        <v/>
      </c>
      <c r="K90" s="29">
        <f>IF($P90="","",IF(INDEX(EntryMan,$P90)=0,"",INDEX(EntryMan,$P90)))</f>
        <v/>
      </c>
      <c r="L90" s="28">
        <f>IF($B90="","",IF($K90="","—",IF(ROUND($K90-$J90,0)=0,"√","×")))</f>
        <v/>
      </c>
      <c r="M90" s="28">
        <f>IF($B90="","",IF(COUNTIFS(EntryDates,$B90,CalcTime,$C90,CalcBank,$C$5,EntryParty,$D90,EntryDep,$H90,EntryWit,$I90)&gt;1,"تکرار",""))</f>
        <v/>
      </c>
      <c r="N90" s="28">
        <f>IF($P90="","",IF(INDEX(EntryNotes,$P90)=0,"",INDEX(EntryNotes,$P90)))</f>
        <v/>
      </c>
      <c r="O90" s="28">
        <f>IF($P90="","",IF(INDEX(EntryTxnID,$P90)=0,"",INDEX(EntryTxnID,$P90)))</f>
        <v/>
      </c>
      <c r="P90" s="28">
        <f>IFERROR(MATCH($C$5&amp;"|"&amp;RIGHT("000000"&amp;74,6),CalcRankKey,0),"")</f>
        <v/>
      </c>
    </row>
    <row r="91">
      <c r="A91" s="26">
        <f>IF($B91="","",75)</f>
        <v/>
      </c>
      <c r="B91" s="26">
        <f>IF($P91="","",IF(INDEX(CalcNormDate,$P91)=0,"",INDEX(CalcNormDate,$P91)))</f>
        <v/>
      </c>
      <c r="C91" s="26">
        <f>IF($P91="","",IF(INDEX(CalcTime,$P91)=0,"",INDEX(CalcTime,$P91)))</f>
        <v/>
      </c>
      <c r="D91" s="26">
        <f>IF($P91="","",IF(INDEX(EntryParty,$P91)=0,"",INDEX(EntryParty,$P91)))</f>
        <v/>
      </c>
      <c r="E91" s="26">
        <f>IF($P91="","",IF(INDEX(EntryPartyName,$P91)=0,"",INDEX(EntryPartyName,$P91)))</f>
        <v/>
      </c>
      <c r="F91" s="26">
        <f>IF($P91="","",IF(INDEX(EntryPartyType,$P91)=0,"",INDEX(EntryPartyType,$P91)))</f>
        <v/>
      </c>
      <c r="G91" s="26">
        <f>IF($P91="","",IF(INDEX(EntryTxnType,$P91)=0,"",INDEX(EntryTxnType,$P91)))</f>
        <v/>
      </c>
      <c r="H91" s="27">
        <f>IF($P91="","",IF(INDEX(EntryDep,$P91)=0,"",INDEX(EntryDep,$P91)))</f>
        <v/>
      </c>
      <c r="I91" s="27">
        <f>IF($P91="","",IF(INDEX(EntryWit,$P91)=0,"",INDEX(EntryWit,$P91)))</f>
        <v/>
      </c>
      <c r="J91" s="27">
        <f>IF($B91="","",IF($A91=1,$C$7,IF(J90="",0,J90))+IF($H91="",0,$H91)-IF($I91="",0,$I91))</f>
        <v/>
      </c>
      <c r="K91" s="27">
        <f>IF($P91="","",IF(INDEX(EntryMan,$P91)=0,"",INDEX(EntryMan,$P91)))</f>
        <v/>
      </c>
      <c r="L91" s="26">
        <f>IF($B91="","",IF($K91="","—",IF(ROUND($K91-$J91,0)=0,"√","×")))</f>
        <v/>
      </c>
      <c r="M91" s="26">
        <f>IF($B91="","",IF(COUNTIFS(EntryDates,$B91,CalcTime,$C91,CalcBank,$C$5,EntryParty,$D91,EntryDep,$H91,EntryWit,$I91)&gt;1,"تکرار",""))</f>
        <v/>
      </c>
      <c r="N91" s="26">
        <f>IF($P91="","",IF(INDEX(EntryNotes,$P91)=0,"",INDEX(EntryNotes,$P91)))</f>
        <v/>
      </c>
      <c r="O91" s="26">
        <f>IF($P91="","",IF(INDEX(EntryTxnID,$P91)=0,"",INDEX(EntryTxnID,$P91)))</f>
        <v/>
      </c>
      <c r="P91" s="26">
        <f>IFERROR(MATCH($C$5&amp;"|"&amp;RIGHT("000000"&amp;75,6),CalcRankKey,0),"")</f>
        <v/>
      </c>
    </row>
    <row r="92">
      <c r="A92" s="28">
        <f>IF($B92="","",76)</f>
        <v/>
      </c>
      <c r="B92" s="28">
        <f>IF($P92="","",IF(INDEX(CalcNormDate,$P92)=0,"",INDEX(CalcNormDate,$P92)))</f>
        <v/>
      </c>
      <c r="C92" s="28">
        <f>IF($P92="","",IF(INDEX(CalcTime,$P92)=0,"",INDEX(CalcTime,$P92)))</f>
        <v/>
      </c>
      <c r="D92" s="28">
        <f>IF($P92="","",IF(INDEX(EntryParty,$P92)=0,"",INDEX(EntryParty,$P92)))</f>
        <v/>
      </c>
      <c r="E92" s="28">
        <f>IF($P92="","",IF(INDEX(EntryPartyName,$P92)=0,"",INDEX(EntryPartyName,$P92)))</f>
        <v/>
      </c>
      <c r="F92" s="28">
        <f>IF($P92="","",IF(INDEX(EntryPartyType,$P92)=0,"",INDEX(EntryPartyType,$P92)))</f>
        <v/>
      </c>
      <c r="G92" s="28">
        <f>IF($P92="","",IF(INDEX(EntryTxnType,$P92)=0,"",INDEX(EntryTxnType,$P92)))</f>
        <v/>
      </c>
      <c r="H92" s="29">
        <f>IF($P92="","",IF(INDEX(EntryDep,$P92)=0,"",INDEX(EntryDep,$P92)))</f>
        <v/>
      </c>
      <c r="I92" s="29">
        <f>IF($P92="","",IF(INDEX(EntryWit,$P92)=0,"",INDEX(EntryWit,$P92)))</f>
        <v/>
      </c>
      <c r="J92" s="29">
        <f>IF($B92="","",IF($A92=1,$C$7,IF(J91="",0,J91))+IF($H92="",0,$H92)-IF($I92="",0,$I92))</f>
        <v/>
      </c>
      <c r="K92" s="29">
        <f>IF($P92="","",IF(INDEX(EntryMan,$P92)=0,"",INDEX(EntryMan,$P92)))</f>
        <v/>
      </c>
      <c r="L92" s="28">
        <f>IF($B92="","",IF($K92="","—",IF(ROUND($K92-$J92,0)=0,"√","×")))</f>
        <v/>
      </c>
      <c r="M92" s="28">
        <f>IF($B92="","",IF(COUNTIFS(EntryDates,$B92,CalcTime,$C92,CalcBank,$C$5,EntryParty,$D92,EntryDep,$H92,EntryWit,$I92)&gt;1,"تکرار",""))</f>
        <v/>
      </c>
      <c r="N92" s="28">
        <f>IF($P92="","",IF(INDEX(EntryNotes,$P92)=0,"",INDEX(EntryNotes,$P92)))</f>
        <v/>
      </c>
      <c r="O92" s="28">
        <f>IF($P92="","",IF(INDEX(EntryTxnID,$P92)=0,"",INDEX(EntryTxnID,$P92)))</f>
        <v/>
      </c>
      <c r="P92" s="28">
        <f>IFERROR(MATCH($C$5&amp;"|"&amp;RIGHT("000000"&amp;76,6),CalcRankKey,0),"")</f>
        <v/>
      </c>
    </row>
    <row r="93">
      <c r="A93" s="26">
        <f>IF($B93="","",77)</f>
        <v/>
      </c>
      <c r="B93" s="26">
        <f>IF($P93="","",IF(INDEX(CalcNormDate,$P93)=0,"",INDEX(CalcNormDate,$P93)))</f>
        <v/>
      </c>
      <c r="C93" s="26">
        <f>IF($P93="","",IF(INDEX(CalcTime,$P93)=0,"",INDEX(CalcTime,$P93)))</f>
        <v/>
      </c>
      <c r="D93" s="26">
        <f>IF($P93="","",IF(INDEX(EntryParty,$P93)=0,"",INDEX(EntryParty,$P93)))</f>
        <v/>
      </c>
      <c r="E93" s="26">
        <f>IF($P93="","",IF(INDEX(EntryPartyName,$P93)=0,"",INDEX(EntryPartyName,$P93)))</f>
        <v/>
      </c>
      <c r="F93" s="26">
        <f>IF($P93="","",IF(INDEX(EntryPartyType,$P93)=0,"",INDEX(EntryPartyType,$P93)))</f>
        <v/>
      </c>
      <c r="G93" s="26">
        <f>IF($P93="","",IF(INDEX(EntryTxnType,$P93)=0,"",INDEX(EntryTxnType,$P93)))</f>
        <v/>
      </c>
      <c r="H93" s="27">
        <f>IF($P93="","",IF(INDEX(EntryDep,$P93)=0,"",INDEX(EntryDep,$P93)))</f>
        <v/>
      </c>
      <c r="I93" s="27">
        <f>IF($P93="","",IF(INDEX(EntryWit,$P93)=0,"",INDEX(EntryWit,$P93)))</f>
        <v/>
      </c>
      <c r="J93" s="27">
        <f>IF($B93="","",IF($A93=1,$C$7,IF(J92="",0,J92))+IF($H93="",0,$H93)-IF($I93="",0,$I93))</f>
        <v/>
      </c>
      <c r="K93" s="27">
        <f>IF($P93="","",IF(INDEX(EntryMan,$P93)=0,"",INDEX(EntryMan,$P93)))</f>
        <v/>
      </c>
      <c r="L93" s="26">
        <f>IF($B93="","",IF($K93="","—",IF(ROUND($K93-$J93,0)=0,"√","×")))</f>
        <v/>
      </c>
      <c r="M93" s="26">
        <f>IF($B93="","",IF(COUNTIFS(EntryDates,$B93,CalcTime,$C93,CalcBank,$C$5,EntryParty,$D93,EntryDep,$H93,EntryWit,$I93)&gt;1,"تکرار",""))</f>
        <v/>
      </c>
      <c r="N93" s="26">
        <f>IF($P93="","",IF(INDEX(EntryNotes,$P93)=0,"",INDEX(EntryNotes,$P93)))</f>
        <v/>
      </c>
      <c r="O93" s="26">
        <f>IF($P93="","",IF(INDEX(EntryTxnID,$P93)=0,"",INDEX(EntryTxnID,$P93)))</f>
        <v/>
      </c>
      <c r="P93" s="26">
        <f>IFERROR(MATCH($C$5&amp;"|"&amp;RIGHT("000000"&amp;77,6),CalcRankKey,0),"")</f>
        <v/>
      </c>
    </row>
    <row r="94">
      <c r="A94" s="28">
        <f>IF($B94="","",78)</f>
        <v/>
      </c>
      <c r="B94" s="28">
        <f>IF($P94="","",IF(INDEX(CalcNormDate,$P94)=0,"",INDEX(CalcNormDate,$P94)))</f>
        <v/>
      </c>
      <c r="C94" s="28">
        <f>IF($P94="","",IF(INDEX(CalcTime,$P94)=0,"",INDEX(CalcTime,$P94)))</f>
        <v/>
      </c>
      <c r="D94" s="28">
        <f>IF($P94="","",IF(INDEX(EntryParty,$P94)=0,"",INDEX(EntryParty,$P94)))</f>
        <v/>
      </c>
      <c r="E94" s="28">
        <f>IF($P94="","",IF(INDEX(EntryPartyName,$P94)=0,"",INDEX(EntryPartyName,$P94)))</f>
        <v/>
      </c>
      <c r="F94" s="28">
        <f>IF($P94="","",IF(INDEX(EntryPartyType,$P94)=0,"",INDEX(EntryPartyType,$P94)))</f>
        <v/>
      </c>
      <c r="G94" s="28">
        <f>IF($P94="","",IF(INDEX(EntryTxnType,$P94)=0,"",INDEX(EntryTxnType,$P94)))</f>
        <v/>
      </c>
      <c r="H94" s="29">
        <f>IF($P94="","",IF(INDEX(EntryDep,$P94)=0,"",INDEX(EntryDep,$P94)))</f>
        <v/>
      </c>
      <c r="I94" s="29">
        <f>IF($P94="","",IF(INDEX(EntryWit,$P94)=0,"",INDEX(EntryWit,$P94)))</f>
        <v/>
      </c>
      <c r="J94" s="29">
        <f>IF($B94="","",IF($A94=1,$C$7,IF(J93="",0,J93))+IF($H94="",0,$H94)-IF($I94="",0,$I94))</f>
        <v/>
      </c>
      <c r="K94" s="29">
        <f>IF($P94="","",IF(INDEX(EntryMan,$P94)=0,"",INDEX(EntryMan,$P94)))</f>
        <v/>
      </c>
      <c r="L94" s="28">
        <f>IF($B94="","",IF($K94="","—",IF(ROUND($K94-$J94,0)=0,"√","×")))</f>
        <v/>
      </c>
      <c r="M94" s="28">
        <f>IF($B94="","",IF(COUNTIFS(EntryDates,$B94,CalcTime,$C94,CalcBank,$C$5,EntryParty,$D94,EntryDep,$H94,EntryWit,$I94)&gt;1,"تکرار",""))</f>
        <v/>
      </c>
      <c r="N94" s="28">
        <f>IF($P94="","",IF(INDEX(EntryNotes,$P94)=0,"",INDEX(EntryNotes,$P94)))</f>
        <v/>
      </c>
      <c r="O94" s="28">
        <f>IF($P94="","",IF(INDEX(EntryTxnID,$P94)=0,"",INDEX(EntryTxnID,$P94)))</f>
        <v/>
      </c>
      <c r="P94" s="28">
        <f>IFERROR(MATCH($C$5&amp;"|"&amp;RIGHT("000000"&amp;78,6),CalcRankKey,0),"")</f>
        <v/>
      </c>
    </row>
    <row r="95">
      <c r="A95" s="26">
        <f>IF($B95="","",79)</f>
        <v/>
      </c>
      <c r="B95" s="26">
        <f>IF($P95="","",IF(INDEX(CalcNormDate,$P95)=0,"",INDEX(CalcNormDate,$P95)))</f>
        <v/>
      </c>
      <c r="C95" s="26">
        <f>IF($P95="","",IF(INDEX(CalcTime,$P95)=0,"",INDEX(CalcTime,$P95)))</f>
        <v/>
      </c>
      <c r="D95" s="26">
        <f>IF($P95="","",IF(INDEX(EntryParty,$P95)=0,"",INDEX(EntryParty,$P95)))</f>
        <v/>
      </c>
      <c r="E95" s="26">
        <f>IF($P95="","",IF(INDEX(EntryPartyName,$P95)=0,"",INDEX(EntryPartyName,$P95)))</f>
        <v/>
      </c>
      <c r="F95" s="26">
        <f>IF($P95="","",IF(INDEX(EntryPartyType,$P95)=0,"",INDEX(EntryPartyType,$P95)))</f>
        <v/>
      </c>
      <c r="G95" s="26">
        <f>IF($P95="","",IF(INDEX(EntryTxnType,$P95)=0,"",INDEX(EntryTxnType,$P95)))</f>
        <v/>
      </c>
      <c r="H95" s="27">
        <f>IF($P95="","",IF(INDEX(EntryDep,$P95)=0,"",INDEX(EntryDep,$P95)))</f>
        <v/>
      </c>
      <c r="I95" s="27">
        <f>IF($P95="","",IF(INDEX(EntryWit,$P95)=0,"",INDEX(EntryWit,$P95)))</f>
        <v/>
      </c>
      <c r="J95" s="27">
        <f>IF($B95="","",IF($A95=1,$C$7,IF(J94="",0,J94))+IF($H95="",0,$H95)-IF($I95="",0,$I95))</f>
        <v/>
      </c>
      <c r="K95" s="27">
        <f>IF($P95="","",IF(INDEX(EntryMan,$P95)=0,"",INDEX(EntryMan,$P95)))</f>
        <v/>
      </c>
      <c r="L95" s="26">
        <f>IF($B95="","",IF($K95="","—",IF(ROUND($K95-$J95,0)=0,"√","×")))</f>
        <v/>
      </c>
      <c r="M95" s="26">
        <f>IF($B95="","",IF(COUNTIFS(EntryDates,$B95,CalcTime,$C95,CalcBank,$C$5,EntryParty,$D95,EntryDep,$H95,EntryWit,$I95)&gt;1,"تکرار",""))</f>
        <v/>
      </c>
      <c r="N95" s="26">
        <f>IF($P95="","",IF(INDEX(EntryNotes,$P95)=0,"",INDEX(EntryNotes,$P95)))</f>
        <v/>
      </c>
      <c r="O95" s="26">
        <f>IF($P95="","",IF(INDEX(EntryTxnID,$P95)=0,"",INDEX(EntryTxnID,$P95)))</f>
        <v/>
      </c>
      <c r="P95" s="26">
        <f>IFERROR(MATCH($C$5&amp;"|"&amp;RIGHT("000000"&amp;79,6),CalcRankKey,0),"")</f>
        <v/>
      </c>
    </row>
    <row r="96">
      <c r="A96" s="28">
        <f>IF($B96="","",80)</f>
        <v/>
      </c>
      <c r="B96" s="28">
        <f>IF($P96="","",IF(INDEX(CalcNormDate,$P96)=0,"",INDEX(CalcNormDate,$P96)))</f>
        <v/>
      </c>
      <c r="C96" s="28">
        <f>IF($P96="","",IF(INDEX(CalcTime,$P96)=0,"",INDEX(CalcTime,$P96)))</f>
        <v/>
      </c>
      <c r="D96" s="28">
        <f>IF($P96="","",IF(INDEX(EntryParty,$P96)=0,"",INDEX(EntryParty,$P96)))</f>
        <v/>
      </c>
      <c r="E96" s="28">
        <f>IF($P96="","",IF(INDEX(EntryPartyName,$P96)=0,"",INDEX(EntryPartyName,$P96)))</f>
        <v/>
      </c>
      <c r="F96" s="28">
        <f>IF($P96="","",IF(INDEX(EntryPartyType,$P96)=0,"",INDEX(EntryPartyType,$P96)))</f>
        <v/>
      </c>
      <c r="G96" s="28">
        <f>IF($P96="","",IF(INDEX(EntryTxnType,$P96)=0,"",INDEX(EntryTxnType,$P96)))</f>
        <v/>
      </c>
      <c r="H96" s="29">
        <f>IF($P96="","",IF(INDEX(EntryDep,$P96)=0,"",INDEX(EntryDep,$P96)))</f>
        <v/>
      </c>
      <c r="I96" s="29">
        <f>IF($P96="","",IF(INDEX(EntryWit,$P96)=0,"",INDEX(EntryWit,$P96)))</f>
        <v/>
      </c>
      <c r="J96" s="29">
        <f>IF($B96="","",IF($A96=1,$C$7,IF(J95="",0,J95))+IF($H96="",0,$H96)-IF($I96="",0,$I96))</f>
        <v/>
      </c>
      <c r="K96" s="29">
        <f>IF($P96="","",IF(INDEX(EntryMan,$P96)=0,"",INDEX(EntryMan,$P96)))</f>
        <v/>
      </c>
      <c r="L96" s="28">
        <f>IF($B96="","",IF($K96="","—",IF(ROUND($K96-$J96,0)=0,"√","×")))</f>
        <v/>
      </c>
      <c r="M96" s="28">
        <f>IF($B96="","",IF(COUNTIFS(EntryDates,$B96,CalcTime,$C96,CalcBank,$C$5,EntryParty,$D96,EntryDep,$H96,EntryWit,$I96)&gt;1,"تکرار",""))</f>
        <v/>
      </c>
      <c r="N96" s="28">
        <f>IF($P96="","",IF(INDEX(EntryNotes,$P96)=0,"",INDEX(EntryNotes,$P96)))</f>
        <v/>
      </c>
      <c r="O96" s="28">
        <f>IF($P96="","",IF(INDEX(EntryTxnID,$P96)=0,"",INDEX(EntryTxnID,$P96)))</f>
        <v/>
      </c>
      <c r="P96" s="28">
        <f>IFERROR(MATCH($C$5&amp;"|"&amp;RIGHT("000000"&amp;80,6),CalcRankKey,0),"")</f>
        <v/>
      </c>
    </row>
    <row r="97">
      <c r="A97" s="26">
        <f>IF($B97="","",81)</f>
        <v/>
      </c>
      <c r="B97" s="26">
        <f>IF($P97="","",IF(INDEX(CalcNormDate,$P97)=0,"",INDEX(CalcNormDate,$P97)))</f>
        <v/>
      </c>
      <c r="C97" s="26">
        <f>IF($P97="","",IF(INDEX(CalcTime,$P97)=0,"",INDEX(CalcTime,$P97)))</f>
        <v/>
      </c>
      <c r="D97" s="26">
        <f>IF($P97="","",IF(INDEX(EntryParty,$P97)=0,"",INDEX(EntryParty,$P97)))</f>
        <v/>
      </c>
      <c r="E97" s="26">
        <f>IF($P97="","",IF(INDEX(EntryPartyName,$P97)=0,"",INDEX(EntryPartyName,$P97)))</f>
        <v/>
      </c>
      <c r="F97" s="26">
        <f>IF($P97="","",IF(INDEX(EntryPartyType,$P97)=0,"",INDEX(EntryPartyType,$P97)))</f>
        <v/>
      </c>
      <c r="G97" s="26">
        <f>IF($P97="","",IF(INDEX(EntryTxnType,$P97)=0,"",INDEX(EntryTxnType,$P97)))</f>
        <v/>
      </c>
      <c r="H97" s="27">
        <f>IF($P97="","",IF(INDEX(EntryDep,$P97)=0,"",INDEX(EntryDep,$P97)))</f>
        <v/>
      </c>
      <c r="I97" s="27">
        <f>IF($P97="","",IF(INDEX(EntryWit,$P97)=0,"",INDEX(EntryWit,$P97)))</f>
        <v/>
      </c>
      <c r="J97" s="27">
        <f>IF($B97="","",IF($A97=1,$C$7,IF(J96="",0,J96))+IF($H97="",0,$H97)-IF($I97="",0,$I97))</f>
        <v/>
      </c>
      <c r="K97" s="27">
        <f>IF($P97="","",IF(INDEX(EntryMan,$P97)=0,"",INDEX(EntryMan,$P97)))</f>
        <v/>
      </c>
      <c r="L97" s="26">
        <f>IF($B97="","",IF($K97="","—",IF(ROUND($K97-$J97,0)=0,"√","×")))</f>
        <v/>
      </c>
      <c r="M97" s="26">
        <f>IF($B97="","",IF(COUNTIFS(EntryDates,$B97,CalcTime,$C97,CalcBank,$C$5,EntryParty,$D97,EntryDep,$H97,EntryWit,$I97)&gt;1,"تکرار",""))</f>
        <v/>
      </c>
      <c r="N97" s="26">
        <f>IF($P97="","",IF(INDEX(EntryNotes,$P97)=0,"",INDEX(EntryNotes,$P97)))</f>
        <v/>
      </c>
      <c r="O97" s="26">
        <f>IF($P97="","",IF(INDEX(EntryTxnID,$P97)=0,"",INDEX(EntryTxnID,$P97)))</f>
        <v/>
      </c>
      <c r="P97" s="26">
        <f>IFERROR(MATCH($C$5&amp;"|"&amp;RIGHT("000000"&amp;81,6),CalcRankKey,0),"")</f>
        <v/>
      </c>
    </row>
    <row r="98">
      <c r="A98" s="28">
        <f>IF($B98="","",82)</f>
        <v/>
      </c>
      <c r="B98" s="28">
        <f>IF($P98="","",IF(INDEX(CalcNormDate,$P98)=0,"",INDEX(CalcNormDate,$P98)))</f>
        <v/>
      </c>
      <c r="C98" s="28">
        <f>IF($P98="","",IF(INDEX(CalcTime,$P98)=0,"",INDEX(CalcTime,$P98)))</f>
        <v/>
      </c>
      <c r="D98" s="28">
        <f>IF($P98="","",IF(INDEX(EntryParty,$P98)=0,"",INDEX(EntryParty,$P98)))</f>
        <v/>
      </c>
      <c r="E98" s="28">
        <f>IF($P98="","",IF(INDEX(EntryPartyName,$P98)=0,"",INDEX(EntryPartyName,$P98)))</f>
        <v/>
      </c>
      <c r="F98" s="28">
        <f>IF($P98="","",IF(INDEX(EntryPartyType,$P98)=0,"",INDEX(EntryPartyType,$P98)))</f>
        <v/>
      </c>
      <c r="G98" s="28">
        <f>IF($P98="","",IF(INDEX(EntryTxnType,$P98)=0,"",INDEX(EntryTxnType,$P98)))</f>
        <v/>
      </c>
      <c r="H98" s="29">
        <f>IF($P98="","",IF(INDEX(EntryDep,$P98)=0,"",INDEX(EntryDep,$P98)))</f>
        <v/>
      </c>
      <c r="I98" s="29">
        <f>IF($P98="","",IF(INDEX(EntryWit,$P98)=0,"",INDEX(EntryWit,$P98)))</f>
        <v/>
      </c>
      <c r="J98" s="29">
        <f>IF($B98="","",IF($A98=1,$C$7,IF(J97="",0,J97))+IF($H98="",0,$H98)-IF($I98="",0,$I98))</f>
        <v/>
      </c>
      <c r="K98" s="29">
        <f>IF($P98="","",IF(INDEX(EntryMan,$P98)=0,"",INDEX(EntryMan,$P98)))</f>
        <v/>
      </c>
      <c r="L98" s="28">
        <f>IF($B98="","",IF($K98="","—",IF(ROUND($K98-$J98,0)=0,"√","×")))</f>
        <v/>
      </c>
      <c r="M98" s="28">
        <f>IF($B98="","",IF(COUNTIFS(EntryDates,$B98,CalcTime,$C98,CalcBank,$C$5,EntryParty,$D98,EntryDep,$H98,EntryWit,$I98)&gt;1,"تکرار",""))</f>
        <v/>
      </c>
      <c r="N98" s="28">
        <f>IF($P98="","",IF(INDEX(EntryNotes,$P98)=0,"",INDEX(EntryNotes,$P98)))</f>
        <v/>
      </c>
      <c r="O98" s="28">
        <f>IF($P98="","",IF(INDEX(EntryTxnID,$P98)=0,"",INDEX(EntryTxnID,$P98)))</f>
        <v/>
      </c>
      <c r="P98" s="28">
        <f>IFERROR(MATCH($C$5&amp;"|"&amp;RIGHT("000000"&amp;82,6),CalcRankKey,0),"")</f>
        <v/>
      </c>
    </row>
    <row r="99">
      <c r="A99" s="26">
        <f>IF($B99="","",83)</f>
        <v/>
      </c>
      <c r="B99" s="26">
        <f>IF($P99="","",IF(INDEX(CalcNormDate,$P99)=0,"",INDEX(CalcNormDate,$P99)))</f>
        <v/>
      </c>
      <c r="C99" s="26">
        <f>IF($P99="","",IF(INDEX(CalcTime,$P99)=0,"",INDEX(CalcTime,$P99)))</f>
        <v/>
      </c>
      <c r="D99" s="26">
        <f>IF($P99="","",IF(INDEX(EntryParty,$P99)=0,"",INDEX(EntryParty,$P99)))</f>
        <v/>
      </c>
      <c r="E99" s="26">
        <f>IF($P99="","",IF(INDEX(EntryPartyName,$P99)=0,"",INDEX(EntryPartyName,$P99)))</f>
        <v/>
      </c>
      <c r="F99" s="26">
        <f>IF($P99="","",IF(INDEX(EntryPartyType,$P99)=0,"",INDEX(EntryPartyType,$P99)))</f>
        <v/>
      </c>
      <c r="G99" s="26">
        <f>IF($P99="","",IF(INDEX(EntryTxnType,$P99)=0,"",INDEX(EntryTxnType,$P99)))</f>
        <v/>
      </c>
      <c r="H99" s="27">
        <f>IF($P99="","",IF(INDEX(EntryDep,$P99)=0,"",INDEX(EntryDep,$P99)))</f>
        <v/>
      </c>
      <c r="I99" s="27">
        <f>IF($P99="","",IF(INDEX(EntryWit,$P99)=0,"",INDEX(EntryWit,$P99)))</f>
        <v/>
      </c>
      <c r="J99" s="27">
        <f>IF($B99="","",IF($A99=1,$C$7,IF(J98="",0,J98))+IF($H99="",0,$H99)-IF($I99="",0,$I99))</f>
        <v/>
      </c>
      <c r="K99" s="27">
        <f>IF($P99="","",IF(INDEX(EntryMan,$P99)=0,"",INDEX(EntryMan,$P99)))</f>
        <v/>
      </c>
      <c r="L99" s="26">
        <f>IF($B99="","",IF($K99="","—",IF(ROUND($K99-$J99,0)=0,"√","×")))</f>
        <v/>
      </c>
      <c r="M99" s="26">
        <f>IF($B99="","",IF(COUNTIFS(EntryDates,$B99,CalcTime,$C99,CalcBank,$C$5,EntryParty,$D99,EntryDep,$H99,EntryWit,$I99)&gt;1,"تکرار",""))</f>
        <v/>
      </c>
      <c r="N99" s="26">
        <f>IF($P99="","",IF(INDEX(EntryNotes,$P99)=0,"",INDEX(EntryNotes,$P99)))</f>
        <v/>
      </c>
      <c r="O99" s="26">
        <f>IF($P99="","",IF(INDEX(EntryTxnID,$P99)=0,"",INDEX(EntryTxnID,$P99)))</f>
        <v/>
      </c>
      <c r="P99" s="26">
        <f>IFERROR(MATCH($C$5&amp;"|"&amp;RIGHT("000000"&amp;83,6),CalcRankKey,0),"")</f>
        <v/>
      </c>
    </row>
    <row r="100">
      <c r="A100" s="28">
        <f>IF($B100="","",84)</f>
        <v/>
      </c>
      <c r="B100" s="28">
        <f>IF($P100="","",IF(INDEX(CalcNormDate,$P100)=0,"",INDEX(CalcNormDate,$P100)))</f>
        <v/>
      </c>
      <c r="C100" s="28">
        <f>IF($P100="","",IF(INDEX(CalcTime,$P100)=0,"",INDEX(CalcTime,$P100)))</f>
        <v/>
      </c>
      <c r="D100" s="28">
        <f>IF($P100="","",IF(INDEX(EntryParty,$P100)=0,"",INDEX(EntryParty,$P100)))</f>
        <v/>
      </c>
      <c r="E100" s="28">
        <f>IF($P100="","",IF(INDEX(EntryPartyName,$P100)=0,"",INDEX(EntryPartyName,$P100)))</f>
        <v/>
      </c>
      <c r="F100" s="28">
        <f>IF($P100="","",IF(INDEX(EntryPartyType,$P100)=0,"",INDEX(EntryPartyType,$P100)))</f>
        <v/>
      </c>
      <c r="G100" s="28">
        <f>IF($P100="","",IF(INDEX(EntryTxnType,$P100)=0,"",INDEX(EntryTxnType,$P100)))</f>
        <v/>
      </c>
      <c r="H100" s="29">
        <f>IF($P100="","",IF(INDEX(EntryDep,$P100)=0,"",INDEX(EntryDep,$P100)))</f>
        <v/>
      </c>
      <c r="I100" s="29">
        <f>IF($P100="","",IF(INDEX(EntryWit,$P100)=0,"",INDEX(EntryWit,$P100)))</f>
        <v/>
      </c>
      <c r="J100" s="29">
        <f>IF($B100="","",IF($A100=1,$C$7,IF(J99="",0,J99))+IF($H100="",0,$H100)-IF($I100="",0,$I100))</f>
        <v/>
      </c>
      <c r="K100" s="29">
        <f>IF($P100="","",IF(INDEX(EntryMan,$P100)=0,"",INDEX(EntryMan,$P100)))</f>
        <v/>
      </c>
      <c r="L100" s="28">
        <f>IF($B100="","",IF($K100="","—",IF(ROUND($K100-$J100,0)=0,"√","×")))</f>
        <v/>
      </c>
      <c r="M100" s="28">
        <f>IF($B100="","",IF(COUNTIFS(EntryDates,$B100,CalcTime,$C100,CalcBank,$C$5,EntryParty,$D100,EntryDep,$H100,EntryWit,$I100)&gt;1,"تکرار",""))</f>
        <v/>
      </c>
      <c r="N100" s="28">
        <f>IF($P100="","",IF(INDEX(EntryNotes,$P100)=0,"",INDEX(EntryNotes,$P100)))</f>
        <v/>
      </c>
      <c r="O100" s="28">
        <f>IF($P100="","",IF(INDEX(EntryTxnID,$P100)=0,"",INDEX(EntryTxnID,$P100)))</f>
        <v/>
      </c>
      <c r="P100" s="28">
        <f>IFERROR(MATCH($C$5&amp;"|"&amp;RIGHT("000000"&amp;84,6),CalcRankKey,0),"")</f>
        <v/>
      </c>
    </row>
    <row r="101">
      <c r="A101" s="26">
        <f>IF($B101="","",85)</f>
        <v/>
      </c>
      <c r="B101" s="26">
        <f>IF($P101="","",IF(INDEX(CalcNormDate,$P101)=0,"",INDEX(CalcNormDate,$P101)))</f>
        <v/>
      </c>
      <c r="C101" s="26">
        <f>IF($P101="","",IF(INDEX(CalcTime,$P101)=0,"",INDEX(CalcTime,$P101)))</f>
        <v/>
      </c>
      <c r="D101" s="26">
        <f>IF($P101="","",IF(INDEX(EntryParty,$P101)=0,"",INDEX(EntryParty,$P101)))</f>
        <v/>
      </c>
      <c r="E101" s="26">
        <f>IF($P101="","",IF(INDEX(EntryPartyName,$P101)=0,"",INDEX(EntryPartyName,$P101)))</f>
        <v/>
      </c>
      <c r="F101" s="26">
        <f>IF($P101="","",IF(INDEX(EntryPartyType,$P101)=0,"",INDEX(EntryPartyType,$P101)))</f>
        <v/>
      </c>
      <c r="G101" s="26">
        <f>IF($P101="","",IF(INDEX(EntryTxnType,$P101)=0,"",INDEX(EntryTxnType,$P101)))</f>
        <v/>
      </c>
      <c r="H101" s="27">
        <f>IF($P101="","",IF(INDEX(EntryDep,$P101)=0,"",INDEX(EntryDep,$P101)))</f>
        <v/>
      </c>
      <c r="I101" s="27">
        <f>IF($P101="","",IF(INDEX(EntryWit,$P101)=0,"",INDEX(EntryWit,$P101)))</f>
        <v/>
      </c>
      <c r="J101" s="27">
        <f>IF($B101="","",IF($A101=1,$C$7,IF(J100="",0,J100))+IF($H101="",0,$H101)-IF($I101="",0,$I101))</f>
        <v/>
      </c>
      <c r="K101" s="27">
        <f>IF($P101="","",IF(INDEX(EntryMan,$P101)=0,"",INDEX(EntryMan,$P101)))</f>
        <v/>
      </c>
      <c r="L101" s="26">
        <f>IF($B101="","",IF($K101="","—",IF(ROUND($K101-$J101,0)=0,"√","×")))</f>
        <v/>
      </c>
      <c r="M101" s="26">
        <f>IF($B101="","",IF(COUNTIFS(EntryDates,$B101,CalcTime,$C101,CalcBank,$C$5,EntryParty,$D101,EntryDep,$H101,EntryWit,$I101)&gt;1,"تکرار",""))</f>
        <v/>
      </c>
      <c r="N101" s="26">
        <f>IF($P101="","",IF(INDEX(EntryNotes,$P101)=0,"",INDEX(EntryNotes,$P101)))</f>
        <v/>
      </c>
      <c r="O101" s="26">
        <f>IF($P101="","",IF(INDEX(EntryTxnID,$P101)=0,"",INDEX(EntryTxnID,$P101)))</f>
        <v/>
      </c>
      <c r="P101" s="26">
        <f>IFERROR(MATCH($C$5&amp;"|"&amp;RIGHT("000000"&amp;85,6),CalcRankKey,0),"")</f>
        <v/>
      </c>
    </row>
    <row r="102">
      <c r="A102" s="28">
        <f>IF($B102="","",86)</f>
        <v/>
      </c>
      <c r="B102" s="28">
        <f>IF($P102="","",IF(INDEX(CalcNormDate,$P102)=0,"",INDEX(CalcNormDate,$P102)))</f>
        <v/>
      </c>
      <c r="C102" s="28">
        <f>IF($P102="","",IF(INDEX(CalcTime,$P102)=0,"",INDEX(CalcTime,$P102)))</f>
        <v/>
      </c>
      <c r="D102" s="28">
        <f>IF($P102="","",IF(INDEX(EntryParty,$P102)=0,"",INDEX(EntryParty,$P102)))</f>
        <v/>
      </c>
      <c r="E102" s="28">
        <f>IF($P102="","",IF(INDEX(EntryPartyName,$P102)=0,"",INDEX(EntryPartyName,$P102)))</f>
        <v/>
      </c>
      <c r="F102" s="28">
        <f>IF($P102="","",IF(INDEX(EntryPartyType,$P102)=0,"",INDEX(EntryPartyType,$P102)))</f>
        <v/>
      </c>
      <c r="G102" s="28">
        <f>IF($P102="","",IF(INDEX(EntryTxnType,$P102)=0,"",INDEX(EntryTxnType,$P102)))</f>
        <v/>
      </c>
      <c r="H102" s="29">
        <f>IF($P102="","",IF(INDEX(EntryDep,$P102)=0,"",INDEX(EntryDep,$P102)))</f>
        <v/>
      </c>
      <c r="I102" s="29">
        <f>IF($P102="","",IF(INDEX(EntryWit,$P102)=0,"",INDEX(EntryWit,$P102)))</f>
        <v/>
      </c>
      <c r="J102" s="29">
        <f>IF($B102="","",IF($A102=1,$C$7,IF(J101="",0,J101))+IF($H102="",0,$H102)-IF($I102="",0,$I102))</f>
        <v/>
      </c>
      <c r="K102" s="29">
        <f>IF($P102="","",IF(INDEX(EntryMan,$P102)=0,"",INDEX(EntryMan,$P102)))</f>
        <v/>
      </c>
      <c r="L102" s="28">
        <f>IF($B102="","",IF($K102="","—",IF(ROUND($K102-$J102,0)=0,"√","×")))</f>
        <v/>
      </c>
      <c r="M102" s="28">
        <f>IF($B102="","",IF(COUNTIFS(EntryDates,$B102,CalcTime,$C102,CalcBank,$C$5,EntryParty,$D102,EntryDep,$H102,EntryWit,$I102)&gt;1,"تکرار",""))</f>
        <v/>
      </c>
      <c r="N102" s="28">
        <f>IF($P102="","",IF(INDEX(EntryNotes,$P102)=0,"",INDEX(EntryNotes,$P102)))</f>
        <v/>
      </c>
      <c r="O102" s="28">
        <f>IF($P102="","",IF(INDEX(EntryTxnID,$P102)=0,"",INDEX(EntryTxnID,$P102)))</f>
        <v/>
      </c>
      <c r="P102" s="28">
        <f>IFERROR(MATCH($C$5&amp;"|"&amp;RIGHT("000000"&amp;86,6),CalcRankKey,0),"")</f>
        <v/>
      </c>
    </row>
    <row r="103">
      <c r="A103" s="26">
        <f>IF($B103="","",87)</f>
        <v/>
      </c>
      <c r="B103" s="26">
        <f>IF($P103="","",IF(INDEX(CalcNormDate,$P103)=0,"",INDEX(CalcNormDate,$P103)))</f>
        <v/>
      </c>
      <c r="C103" s="26">
        <f>IF($P103="","",IF(INDEX(CalcTime,$P103)=0,"",INDEX(CalcTime,$P103)))</f>
        <v/>
      </c>
      <c r="D103" s="26">
        <f>IF($P103="","",IF(INDEX(EntryParty,$P103)=0,"",INDEX(EntryParty,$P103)))</f>
        <v/>
      </c>
      <c r="E103" s="26">
        <f>IF($P103="","",IF(INDEX(EntryPartyName,$P103)=0,"",INDEX(EntryPartyName,$P103)))</f>
        <v/>
      </c>
      <c r="F103" s="26">
        <f>IF($P103="","",IF(INDEX(EntryPartyType,$P103)=0,"",INDEX(EntryPartyType,$P103)))</f>
        <v/>
      </c>
      <c r="G103" s="26">
        <f>IF($P103="","",IF(INDEX(EntryTxnType,$P103)=0,"",INDEX(EntryTxnType,$P103)))</f>
        <v/>
      </c>
      <c r="H103" s="27">
        <f>IF($P103="","",IF(INDEX(EntryDep,$P103)=0,"",INDEX(EntryDep,$P103)))</f>
        <v/>
      </c>
      <c r="I103" s="27">
        <f>IF($P103="","",IF(INDEX(EntryWit,$P103)=0,"",INDEX(EntryWit,$P103)))</f>
        <v/>
      </c>
      <c r="J103" s="27">
        <f>IF($B103="","",IF($A103=1,$C$7,IF(J102="",0,J102))+IF($H103="",0,$H103)-IF($I103="",0,$I103))</f>
        <v/>
      </c>
      <c r="K103" s="27">
        <f>IF($P103="","",IF(INDEX(EntryMan,$P103)=0,"",INDEX(EntryMan,$P103)))</f>
        <v/>
      </c>
      <c r="L103" s="26">
        <f>IF($B103="","",IF($K103="","—",IF(ROUND($K103-$J103,0)=0,"√","×")))</f>
        <v/>
      </c>
      <c r="M103" s="26">
        <f>IF($B103="","",IF(COUNTIFS(EntryDates,$B103,CalcTime,$C103,CalcBank,$C$5,EntryParty,$D103,EntryDep,$H103,EntryWit,$I103)&gt;1,"تکرار",""))</f>
        <v/>
      </c>
      <c r="N103" s="26">
        <f>IF($P103="","",IF(INDEX(EntryNotes,$P103)=0,"",INDEX(EntryNotes,$P103)))</f>
        <v/>
      </c>
      <c r="O103" s="26">
        <f>IF($P103="","",IF(INDEX(EntryTxnID,$P103)=0,"",INDEX(EntryTxnID,$P103)))</f>
        <v/>
      </c>
      <c r="P103" s="26">
        <f>IFERROR(MATCH($C$5&amp;"|"&amp;RIGHT("000000"&amp;87,6),CalcRankKey,0),"")</f>
        <v/>
      </c>
    </row>
    <row r="104">
      <c r="A104" s="28">
        <f>IF($B104="","",88)</f>
        <v/>
      </c>
      <c r="B104" s="28">
        <f>IF($P104="","",IF(INDEX(CalcNormDate,$P104)=0,"",INDEX(CalcNormDate,$P104)))</f>
        <v/>
      </c>
      <c r="C104" s="28">
        <f>IF($P104="","",IF(INDEX(CalcTime,$P104)=0,"",INDEX(CalcTime,$P104)))</f>
        <v/>
      </c>
      <c r="D104" s="28">
        <f>IF($P104="","",IF(INDEX(EntryParty,$P104)=0,"",INDEX(EntryParty,$P104)))</f>
        <v/>
      </c>
      <c r="E104" s="28">
        <f>IF($P104="","",IF(INDEX(EntryPartyName,$P104)=0,"",INDEX(EntryPartyName,$P104)))</f>
        <v/>
      </c>
      <c r="F104" s="28">
        <f>IF($P104="","",IF(INDEX(EntryPartyType,$P104)=0,"",INDEX(EntryPartyType,$P104)))</f>
        <v/>
      </c>
      <c r="G104" s="28">
        <f>IF($P104="","",IF(INDEX(EntryTxnType,$P104)=0,"",INDEX(EntryTxnType,$P104)))</f>
        <v/>
      </c>
      <c r="H104" s="29">
        <f>IF($P104="","",IF(INDEX(EntryDep,$P104)=0,"",INDEX(EntryDep,$P104)))</f>
        <v/>
      </c>
      <c r="I104" s="29">
        <f>IF($P104="","",IF(INDEX(EntryWit,$P104)=0,"",INDEX(EntryWit,$P104)))</f>
        <v/>
      </c>
      <c r="J104" s="29">
        <f>IF($B104="","",IF($A104=1,$C$7,IF(J103="",0,J103))+IF($H104="",0,$H104)-IF($I104="",0,$I104))</f>
        <v/>
      </c>
      <c r="K104" s="29">
        <f>IF($P104="","",IF(INDEX(EntryMan,$P104)=0,"",INDEX(EntryMan,$P104)))</f>
        <v/>
      </c>
      <c r="L104" s="28">
        <f>IF($B104="","",IF($K104="","—",IF(ROUND($K104-$J104,0)=0,"√","×")))</f>
        <v/>
      </c>
      <c r="M104" s="28">
        <f>IF($B104="","",IF(COUNTIFS(EntryDates,$B104,CalcTime,$C104,CalcBank,$C$5,EntryParty,$D104,EntryDep,$H104,EntryWit,$I104)&gt;1,"تکرار",""))</f>
        <v/>
      </c>
      <c r="N104" s="28">
        <f>IF($P104="","",IF(INDEX(EntryNotes,$P104)=0,"",INDEX(EntryNotes,$P104)))</f>
        <v/>
      </c>
      <c r="O104" s="28">
        <f>IF($P104="","",IF(INDEX(EntryTxnID,$P104)=0,"",INDEX(EntryTxnID,$P104)))</f>
        <v/>
      </c>
      <c r="P104" s="28">
        <f>IFERROR(MATCH($C$5&amp;"|"&amp;RIGHT("000000"&amp;88,6),CalcRankKey,0),"")</f>
        <v/>
      </c>
    </row>
    <row r="105">
      <c r="A105" s="26">
        <f>IF($B105="","",89)</f>
        <v/>
      </c>
      <c r="B105" s="26">
        <f>IF($P105="","",IF(INDEX(CalcNormDate,$P105)=0,"",INDEX(CalcNormDate,$P105)))</f>
        <v/>
      </c>
      <c r="C105" s="26">
        <f>IF($P105="","",IF(INDEX(CalcTime,$P105)=0,"",INDEX(CalcTime,$P105)))</f>
        <v/>
      </c>
      <c r="D105" s="26">
        <f>IF($P105="","",IF(INDEX(EntryParty,$P105)=0,"",INDEX(EntryParty,$P105)))</f>
        <v/>
      </c>
      <c r="E105" s="26">
        <f>IF($P105="","",IF(INDEX(EntryPartyName,$P105)=0,"",INDEX(EntryPartyName,$P105)))</f>
        <v/>
      </c>
      <c r="F105" s="26">
        <f>IF($P105="","",IF(INDEX(EntryPartyType,$P105)=0,"",INDEX(EntryPartyType,$P105)))</f>
        <v/>
      </c>
      <c r="G105" s="26">
        <f>IF($P105="","",IF(INDEX(EntryTxnType,$P105)=0,"",INDEX(EntryTxnType,$P105)))</f>
        <v/>
      </c>
      <c r="H105" s="27">
        <f>IF($P105="","",IF(INDEX(EntryDep,$P105)=0,"",INDEX(EntryDep,$P105)))</f>
        <v/>
      </c>
      <c r="I105" s="27">
        <f>IF($P105="","",IF(INDEX(EntryWit,$P105)=0,"",INDEX(EntryWit,$P105)))</f>
        <v/>
      </c>
      <c r="J105" s="27">
        <f>IF($B105="","",IF($A105=1,$C$7,IF(J104="",0,J104))+IF($H105="",0,$H105)-IF($I105="",0,$I105))</f>
        <v/>
      </c>
      <c r="K105" s="27">
        <f>IF($P105="","",IF(INDEX(EntryMan,$P105)=0,"",INDEX(EntryMan,$P105)))</f>
        <v/>
      </c>
      <c r="L105" s="26">
        <f>IF($B105="","",IF($K105="","—",IF(ROUND($K105-$J105,0)=0,"√","×")))</f>
        <v/>
      </c>
      <c r="M105" s="26">
        <f>IF($B105="","",IF(COUNTIFS(EntryDates,$B105,CalcTime,$C105,CalcBank,$C$5,EntryParty,$D105,EntryDep,$H105,EntryWit,$I105)&gt;1,"تکرار",""))</f>
        <v/>
      </c>
      <c r="N105" s="26">
        <f>IF($P105="","",IF(INDEX(EntryNotes,$P105)=0,"",INDEX(EntryNotes,$P105)))</f>
        <v/>
      </c>
      <c r="O105" s="26">
        <f>IF($P105="","",IF(INDEX(EntryTxnID,$P105)=0,"",INDEX(EntryTxnID,$P105)))</f>
        <v/>
      </c>
      <c r="P105" s="26">
        <f>IFERROR(MATCH($C$5&amp;"|"&amp;RIGHT("000000"&amp;89,6),CalcRankKey,0),"")</f>
        <v/>
      </c>
    </row>
    <row r="106">
      <c r="A106" s="28">
        <f>IF($B106="","",90)</f>
        <v/>
      </c>
      <c r="B106" s="28">
        <f>IF($P106="","",IF(INDEX(CalcNormDate,$P106)=0,"",INDEX(CalcNormDate,$P106)))</f>
        <v/>
      </c>
      <c r="C106" s="28">
        <f>IF($P106="","",IF(INDEX(CalcTime,$P106)=0,"",INDEX(CalcTime,$P106)))</f>
        <v/>
      </c>
      <c r="D106" s="28">
        <f>IF($P106="","",IF(INDEX(EntryParty,$P106)=0,"",INDEX(EntryParty,$P106)))</f>
        <v/>
      </c>
      <c r="E106" s="28">
        <f>IF($P106="","",IF(INDEX(EntryPartyName,$P106)=0,"",INDEX(EntryPartyName,$P106)))</f>
        <v/>
      </c>
      <c r="F106" s="28">
        <f>IF($P106="","",IF(INDEX(EntryPartyType,$P106)=0,"",INDEX(EntryPartyType,$P106)))</f>
        <v/>
      </c>
      <c r="G106" s="28">
        <f>IF($P106="","",IF(INDEX(EntryTxnType,$P106)=0,"",INDEX(EntryTxnType,$P106)))</f>
        <v/>
      </c>
      <c r="H106" s="29">
        <f>IF($P106="","",IF(INDEX(EntryDep,$P106)=0,"",INDEX(EntryDep,$P106)))</f>
        <v/>
      </c>
      <c r="I106" s="29">
        <f>IF($P106="","",IF(INDEX(EntryWit,$P106)=0,"",INDEX(EntryWit,$P106)))</f>
        <v/>
      </c>
      <c r="J106" s="29">
        <f>IF($B106="","",IF($A106=1,$C$7,IF(J105="",0,J105))+IF($H106="",0,$H106)-IF($I106="",0,$I106))</f>
        <v/>
      </c>
      <c r="K106" s="29">
        <f>IF($P106="","",IF(INDEX(EntryMan,$P106)=0,"",INDEX(EntryMan,$P106)))</f>
        <v/>
      </c>
      <c r="L106" s="28">
        <f>IF($B106="","",IF($K106="","—",IF(ROUND($K106-$J106,0)=0,"√","×")))</f>
        <v/>
      </c>
      <c r="M106" s="28">
        <f>IF($B106="","",IF(COUNTIFS(EntryDates,$B106,CalcTime,$C106,CalcBank,$C$5,EntryParty,$D106,EntryDep,$H106,EntryWit,$I106)&gt;1,"تکرار",""))</f>
        <v/>
      </c>
      <c r="N106" s="28">
        <f>IF($P106="","",IF(INDEX(EntryNotes,$P106)=0,"",INDEX(EntryNotes,$P106)))</f>
        <v/>
      </c>
      <c r="O106" s="28">
        <f>IF($P106="","",IF(INDEX(EntryTxnID,$P106)=0,"",INDEX(EntryTxnID,$P106)))</f>
        <v/>
      </c>
      <c r="P106" s="28">
        <f>IFERROR(MATCH($C$5&amp;"|"&amp;RIGHT("000000"&amp;90,6),CalcRankKey,0),"")</f>
        <v/>
      </c>
    </row>
    <row r="107">
      <c r="A107" s="26">
        <f>IF($B107="","",91)</f>
        <v/>
      </c>
      <c r="B107" s="26">
        <f>IF($P107="","",IF(INDEX(CalcNormDate,$P107)=0,"",INDEX(CalcNormDate,$P107)))</f>
        <v/>
      </c>
      <c r="C107" s="26">
        <f>IF($P107="","",IF(INDEX(CalcTime,$P107)=0,"",INDEX(CalcTime,$P107)))</f>
        <v/>
      </c>
      <c r="D107" s="26">
        <f>IF($P107="","",IF(INDEX(EntryParty,$P107)=0,"",INDEX(EntryParty,$P107)))</f>
        <v/>
      </c>
      <c r="E107" s="26">
        <f>IF($P107="","",IF(INDEX(EntryPartyName,$P107)=0,"",INDEX(EntryPartyName,$P107)))</f>
        <v/>
      </c>
      <c r="F107" s="26">
        <f>IF($P107="","",IF(INDEX(EntryPartyType,$P107)=0,"",INDEX(EntryPartyType,$P107)))</f>
        <v/>
      </c>
      <c r="G107" s="26">
        <f>IF($P107="","",IF(INDEX(EntryTxnType,$P107)=0,"",INDEX(EntryTxnType,$P107)))</f>
        <v/>
      </c>
      <c r="H107" s="27">
        <f>IF($P107="","",IF(INDEX(EntryDep,$P107)=0,"",INDEX(EntryDep,$P107)))</f>
        <v/>
      </c>
      <c r="I107" s="27">
        <f>IF($P107="","",IF(INDEX(EntryWit,$P107)=0,"",INDEX(EntryWit,$P107)))</f>
        <v/>
      </c>
      <c r="J107" s="27">
        <f>IF($B107="","",IF($A107=1,$C$7,IF(J106="",0,J106))+IF($H107="",0,$H107)-IF($I107="",0,$I107))</f>
        <v/>
      </c>
      <c r="K107" s="27">
        <f>IF($P107="","",IF(INDEX(EntryMan,$P107)=0,"",INDEX(EntryMan,$P107)))</f>
        <v/>
      </c>
      <c r="L107" s="26">
        <f>IF($B107="","",IF($K107="","—",IF(ROUND($K107-$J107,0)=0,"√","×")))</f>
        <v/>
      </c>
      <c r="M107" s="26">
        <f>IF($B107="","",IF(COUNTIFS(EntryDates,$B107,CalcTime,$C107,CalcBank,$C$5,EntryParty,$D107,EntryDep,$H107,EntryWit,$I107)&gt;1,"تکرار",""))</f>
        <v/>
      </c>
      <c r="N107" s="26">
        <f>IF($P107="","",IF(INDEX(EntryNotes,$P107)=0,"",INDEX(EntryNotes,$P107)))</f>
        <v/>
      </c>
      <c r="O107" s="26">
        <f>IF($P107="","",IF(INDEX(EntryTxnID,$P107)=0,"",INDEX(EntryTxnID,$P107)))</f>
        <v/>
      </c>
      <c r="P107" s="26">
        <f>IFERROR(MATCH($C$5&amp;"|"&amp;RIGHT("000000"&amp;91,6),CalcRankKey,0),"")</f>
        <v/>
      </c>
    </row>
    <row r="108">
      <c r="A108" s="28">
        <f>IF($B108="","",92)</f>
        <v/>
      </c>
      <c r="B108" s="28">
        <f>IF($P108="","",IF(INDEX(CalcNormDate,$P108)=0,"",INDEX(CalcNormDate,$P108)))</f>
        <v/>
      </c>
      <c r="C108" s="28">
        <f>IF($P108="","",IF(INDEX(CalcTime,$P108)=0,"",INDEX(CalcTime,$P108)))</f>
        <v/>
      </c>
      <c r="D108" s="28">
        <f>IF($P108="","",IF(INDEX(EntryParty,$P108)=0,"",INDEX(EntryParty,$P108)))</f>
        <v/>
      </c>
      <c r="E108" s="28">
        <f>IF($P108="","",IF(INDEX(EntryPartyName,$P108)=0,"",INDEX(EntryPartyName,$P108)))</f>
        <v/>
      </c>
      <c r="F108" s="28">
        <f>IF($P108="","",IF(INDEX(EntryPartyType,$P108)=0,"",INDEX(EntryPartyType,$P108)))</f>
        <v/>
      </c>
      <c r="G108" s="28">
        <f>IF($P108="","",IF(INDEX(EntryTxnType,$P108)=0,"",INDEX(EntryTxnType,$P108)))</f>
        <v/>
      </c>
      <c r="H108" s="29">
        <f>IF($P108="","",IF(INDEX(EntryDep,$P108)=0,"",INDEX(EntryDep,$P108)))</f>
        <v/>
      </c>
      <c r="I108" s="29">
        <f>IF($P108="","",IF(INDEX(EntryWit,$P108)=0,"",INDEX(EntryWit,$P108)))</f>
        <v/>
      </c>
      <c r="J108" s="29">
        <f>IF($B108="","",IF($A108=1,$C$7,IF(J107="",0,J107))+IF($H108="",0,$H108)-IF($I108="",0,$I108))</f>
        <v/>
      </c>
      <c r="K108" s="29">
        <f>IF($P108="","",IF(INDEX(EntryMan,$P108)=0,"",INDEX(EntryMan,$P108)))</f>
        <v/>
      </c>
      <c r="L108" s="28">
        <f>IF($B108="","",IF($K108="","—",IF(ROUND($K108-$J108,0)=0,"√","×")))</f>
        <v/>
      </c>
      <c r="M108" s="28">
        <f>IF($B108="","",IF(COUNTIFS(EntryDates,$B108,CalcTime,$C108,CalcBank,$C$5,EntryParty,$D108,EntryDep,$H108,EntryWit,$I108)&gt;1,"تکرار",""))</f>
        <v/>
      </c>
      <c r="N108" s="28">
        <f>IF($P108="","",IF(INDEX(EntryNotes,$P108)=0,"",INDEX(EntryNotes,$P108)))</f>
        <v/>
      </c>
      <c r="O108" s="28">
        <f>IF($P108="","",IF(INDEX(EntryTxnID,$P108)=0,"",INDEX(EntryTxnID,$P108)))</f>
        <v/>
      </c>
      <c r="P108" s="28">
        <f>IFERROR(MATCH($C$5&amp;"|"&amp;RIGHT("000000"&amp;92,6),CalcRankKey,0),"")</f>
        <v/>
      </c>
    </row>
    <row r="109">
      <c r="A109" s="26">
        <f>IF($B109="","",93)</f>
        <v/>
      </c>
      <c r="B109" s="26">
        <f>IF($P109="","",IF(INDEX(CalcNormDate,$P109)=0,"",INDEX(CalcNormDate,$P109)))</f>
        <v/>
      </c>
      <c r="C109" s="26">
        <f>IF($P109="","",IF(INDEX(CalcTime,$P109)=0,"",INDEX(CalcTime,$P109)))</f>
        <v/>
      </c>
      <c r="D109" s="26">
        <f>IF($P109="","",IF(INDEX(EntryParty,$P109)=0,"",INDEX(EntryParty,$P109)))</f>
        <v/>
      </c>
      <c r="E109" s="26">
        <f>IF($P109="","",IF(INDEX(EntryPartyName,$P109)=0,"",INDEX(EntryPartyName,$P109)))</f>
        <v/>
      </c>
      <c r="F109" s="26">
        <f>IF($P109="","",IF(INDEX(EntryPartyType,$P109)=0,"",INDEX(EntryPartyType,$P109)))</f>
        <v/>
      </c>
      <c r="G109" s="26">
        <f>IF($P109="","",IF(INDEX(EntryTxnType,$P109)=0,"",INDEX(EntryTxnType,$P109)))</f>
        <v/>
      </c>
      <c r="H109" s="27">
        <f>IF($P109="","",IF(INDEX(EntryDep,$P109)=0,"",INDEX(EntryDep,$P109)))</f>
        <v/>
      </c>
      <c r="I109" s="27">
        <f>IF($P109="","",IF(INDEX(EntryWit,$P109)=0,"",INDEX(EntryWit,$P109)))</f>
        <v/>
      </c>
      <c r="J109" s="27">
        <f>IF($B109="","",IF($A109=1,$C$7,IF(J108="",0,J108))+IF($H109="",0,$H109)-IF($I109="",0,$I109))</f>
        <v/>
      </c>
      <c r="K109" s="27">
        <f>IF($P109="","",IF(INDEX(EntryMan,$P109)=0,"",INDEX(EntryMan,$P109)))</f>
        <v/>
      </c>
      <c r="L109" s="26">
        <f>IF($B109="","",IF($K109="","—",IF(ROUND($K109-$J109,0)=0,"√","×")))</f>
        <v/>
      </c>
      <c r="M109" s="26">
        <f>IF($B109="","",IF(COUNTIFS(EntryDates,$B109,CalcTime,$C109,CalcBank,$C$5,EntryParty,$D109,EntryDep,$H109,EntryWit,$I109)&gt;1,"تکرار",""))</f>
        <v/>
      </c>
      <c r="N109" s="26">
        <f>IF($P109="","",IF(INDEX(EntryNotes,$P109)=0,"",INDEX(EntryNotes,$P109)))</f>
        <v/>
      </c>
      <c r="O109" s="26">
        <f>IF($P109="","",IF(INDEX(EntryTxnID,$P109)=0,"",INDEX(EntryTxnID,$P109)))</f>
        <v/>
      </c>
      <c r="P109" s="26">
        <f>IFERROR(MATCH($C$5&amp;"|"&amp;RIGHT("000000"&amp;93,6),CalcRankKey,0),"")</f>
        <v/>
      </c>
    </row>
    <row r="110">
      <c r="A110" s="28">
        <f>IF($B110="","",94)</f>
        <v/>
      </c>
      <c r="B110" s="28">
        <f>IF($P110="","",IF(INDEX(CalcNormDate,$P110)=0,"",INDEX(CalcNormDate,$P110)))</f>
        <v/>
      </c>
      <c r="C110" s="28">
        <f>IF($P110="","",IF(INDEX(CalcTime,$P110)=0,"",INDEX(CalcTime,$P110)))</f>
        <v/>
      </c>
      <c r="D110" s="28">
        <f>IF($P110="","",IF(INDEX(EntryParty,$P110)=0,"",INDEX(EntryParty,$P110)))</f>
        <v/>
      </c>
      <c r="E110" s="28">
        <f>IF($P110="","",IF(INDEX(EntryPartyName,$P110)=0,"",INDEX(EntryPartyName,$P110)))</f>
        <v/>
      </c>
      <c r="F110" s="28">
        <f>IF($P110="","",IF(INDEX(EntryPartyType,$P110)=0,"",INDEX(EntryPartyType,$P110)))</f>
        <v/>
      </c>
      <c r="G110" s="28">
        <f>IF($P110="","",IF(INDEX(EntryTxnType,$P110)=0,"",INDEX(EntryTxnType,$P110)))</f>
        <v/>
      </c>
      <c r="H110" s="29">
        <f>IF($P110="","",IF(INDEX(EntryDep,$P110)=0,"",INDEX(EntryDep,$P110)))</f>
        <v/>
      </c>
      <c r="I110" s="29">
        <f>IF($P110="","",IF(INDEX(EntryWit,$P110)=0,"",INDEX(EntryWit,$P110)))</f>
        <v/>
      </c>
      <c r="J110" s="29">
        <f>IF($B110="","",IF($A110=1,$C$7,IF(J109="",0,J109))+IF($H110="",0,$H110)-IF($I110="",0,$I110))</f>
        <v/>
      </c>
      <c r="K110" s="29">
        <f>IF($P110="","",IF(INDEX(EntryMan,$P110)=0,"",INDEX(EntryMan,$P110)))</f>
        <v/>
      </c>
      <c r="L110" s="28">
        <f>IF($B110="","",IF($K110="","—",IF(ROUND($K110-$J110,0)=0,"√","×")))</f>
        <v/>
      </c>
      <c r="M110" s="28">
        <f>IF($B110="","",IF(COUNTIFS(EntryDates,$B110,CalcTime,$C110,CalcBank,$C$5,EntryParty,$D110,EntryDep,$H110,EntryWit,$I110)&gt;1,"تکرار",""))</f>
        <v/>
      </c>
      <c r="N110" s="28">
        <f>IF($P110="","",IF(INDEX(EntryNotes,$P110)=0,"",INDEX(EntryNotes,$P110)))</f>
        <v/>
      </c>
      <c r="O110" s="28">
        <f>IF($P110="","",IF(INDEX(EntryTxnID,$P110)=0,"",INDEX(EntryTxnID,$P110)))</f>
        <v/>
      </c>
      <c r="P110" s="28">
        <f>IFERROR(MATCH($C$5&amp;"|"&amp;RIGHT("000000"&amp;94,6),CalcRankKey,0),"")</f>
        <v/>
      </c>
    </row>
    <row r="111">
      <c r="A111" s="26">
        <f>IF($B111="","",95)</f>
        <v/>
      </c>
      <c r="B111" s="26">
        <f>IF($P111="","",IF(INDEX(CalcNormDate,$P111)=0,"",INDEX(CalcNormDate,$P111)))</f>
        <v/>
      </c>
      <c r="C111" s="26">
        <f>IF($P111="","",IF(INDEX(CalcTime,$P111)=0,"",INDEX(CalcTime,$P111)))</f>
        <v/>
      </c>
      <c r="D111" s="26">
        <f>IF($P111="","",IF(INDEX(EntryParty,$P111)=0,"",INDEX(EntryParty,$P111)))</f>
        <v/>
      </c>
      <c r="E111" s="26">
        <f>IF($P111="","",IF(INDEX(EntryPartyName,$P111)=0,"",INDEX(EntryPartyName,$P111)))</f>
        <v/>
      </c>
      <c r="F111" s="26">
        <f>IF($P111="","",IF(INDEX(EntryPartyType,$P111)=0,"",INDEX(EntryPartyType,$P111)))</f>
        <v/>
      </c>
      <c r="G111" s="26">
        <f>IF($P111="","",IF(INDEX(EntryTxnType,$P111)=0,"",INDEX(EntryTxnType,$P111)))</f>
        <v/>
      </c>
      <c r="H111" s="27">
        <f>IF($P111="","",IF(INDEX(EntryDep,$P111)=0,"",INDEX(EntryDep,$P111)))</f>
        <v/>
      </c>
      <c r="I111" s="27">
        <f>IF($P111="","",IF(INDEX(EntryWit,$P111)=0,"",INDEX(EntryWit,$P111)))</f>
        <v/>
      </c>
      <c r="J111" s="27">
        <f>IF($B111="","",IF($A111=1,$C$7,IF(J110="",0,J110))+IF($H111="",0,$H111)-IF($I111="",0,$I111))</f>
        <v/>
      </c>
      <c r="K111" s="27">
        <f>IF($P111="","",IF(INDEX(EntryMan,$P111)=0,"",INDEX(EntryMan,$P111)))</f>
        <v/>
      </c>
      <c r="L111" s="26">
        <f>IF($B111="","",IF($K111="","—",IF(ROUND($K111-$J111,0)=0,"√","×")))</f>
        <v/>
      </c>
      <c r="M111" s="26">
        <f>IF($B111="","",IF(COUNTIFS(EntryDates,$B111,CalcTime,$C111,CalcBank,$C$5,EntryParty,$D111,EntryDep,$H111,EntryWit,$I111)&gt;1,"تکرار",""))</f>
        <v/>
      </c>
      <c r="N111" s="26">
        <f>IF($P111="","",IF(INDEX(EntryNotes,$P111)=0,"",INDEX(EntryNotes,$P111)))</f>
        <v/>
      </c>
      <c r="O111" s="26">
        <f>IF($P111="","",IF(INDEX(EntryTxnID,$P111)=0,"",INDEX(EntryTxnID,$P111)))</f>
        <v/>
      </c>
      <c r="P111" s="26">
        <f>IFERROR(MATCH($C$5&amp;"|"&amp;RIGHT("000000"&amp;95,6),CalcRankKey,0),"")</f>
        <v/>
      </c>
    </row>
    <row r="112">
      <c r="A112" s="28">
        <f>IF($B112="","",96)</f>
        <v/>
      </c>
      <c r="B112" s="28">
        <f>IF($P112="","",IF(INDEX(CalcNormDate,$P112)=0,"",INDEX(CalcNormDate,$P112)))</f>
        <v/>
      </c>
      <c r="C112" s="28">
        <f>IF($P112="","",IF(INDEX(CalcTime,$P112)=0,"",INDEX(CalcTime,$P112)))</f>
        <v/>
      </c>
      <c r="D112" s="28">
        <f>IF($P112="","",IF(INDEX(EntryParty,$P112)=0,"",INDEX(EntryParty,$P112)))</f>
        <v/>
      </c>
      <c r="E112" s="28">
        <f>IF($P112="","",IF(INDEX(EntryPartyName,$P112)=0,"",INDEX(EntryPartyName,$P112)))</f>
        <v/>
      </c>
      <c r="F112" s="28">
        <f>IF($P112="","",IF(INDEX(EntryPartyType,$P112)=0,"",INDEX(EntryPartyType,$P112)))</f>
        <v/>
      </c>
      <c r="G112" s="28">
        <f>IF($P112="","",IF(INDEX(EntryTxnType,$P112)=0,"",INDEX(EntryTxnType,$P112)))</f>
        <v/>
      </c>
      <c r="H112" s="29">
        <f>IF($P112="","",IF(INDEX(EntryDep,$P112)=0,"",INDEX(EntryDep,$P112)))</f>
        <v/>
      </c>
      <c r="I112" s="29">
        <f>IF($P112="","",IF(INDEX(EntryWit,$P112)=0,"",INDEX(EntryWit,$P112)))</f>
        <v/>
      </c>
      <c r="J112" s="29">
        <f>IF($B112="","",IF($A112=1,$C$7,IF(J111="",0,J111))+IF($H112="",0,$H112)-IF($I112="",0,$I112))</f>
        <v/>
      </c>
      <c r="K112" s="29">
        <f>IF($P112="","",IF(INDEX(EntryMan,$P112)=0,"",INDEX(EntryMan,$P112)))</f>
        <v/>
      </c>
      <c r="L112" s="28">
        <f>IF($B112="","",IF($K112="","—",IF(ROUND($K112-$J112,0)=0,"√","×")))</f>
        <v/>
      </c>
      <c r="M112" s="28">
        <f>IF($B112="","",IF(COUNTIFS(EntryDates,$B112,CalcTime,$C112,CalcBank,$C$5,EntryParty,$D112,EntryDep,$H112,EntryWit,$I112)&gt;1,"تکرار",""))</f>
        <v/>
      </c>
      <c r="N112" s="28">
        <f>IF($P112="","",IF(INDEX(EntryNotes,$P112)=0,"",INDEX(EntryNotes,$P112)))</f>
        <v/>
      </c>
      <c r="O112" s="28">
        <f>IF($P112="","",IF(INDEX(EntryTxnID,$P112)=0,"",INDEX(EntryTxnID,$P112)))</f>
        <v/>
      </c>
      <c r="P112" s="28">
        <f>IFERROR(MATCH($C$5&amp;"|"&amp;RIGHT("000000"&amp;96,6),CalcRankKey,0),"")</f>
        <v/>
      </c>
    </row>
    <row r="113">
      <c r="A113" s="26">
        <f>IF($B113="","",97)</f>
        <v/>
      </c>
      <c r="B113" s="26">
        <f>IF($P113="","",IF(INDEX(CalcNormDate,$P113)=0,"",INDEX(CalcNormDate,$P113)))</f>
        <v/>
      </c>
      <c r="C113" s="26">
        <f>IF($P113="","",IF(INDEX(CalcTime,$P113)=0,"",INDEX(CalcTime,$P113)))</f>
        <v/>
      </c>
      <c r="D113" s="26">
        <f>IF($P113="","",IF(INDEX(EntryParty,$P113)=0,"",INDEX(EntryParty,$P113)))</f>
        <v/>
      </c>
      <c r="E113" s="26">
        <f>IF($P113="","",IF(INDEX(EntryPartyName,$P113)=0,"",INDEX(EntryPartyName,$P113)))</f>
        <v/>
      </c>
      <c r="F113" s="26">
        <f>IF($P113="","",IF(INDEX(EntryPartyType,$P113)=0,"",INDEX(EntryPartyType,$P113)))</f>
        <v/>
      </c>
      <c r="G113" s="26">
        <f>IF($P113="","",IF(INDEX(EntryTxnType,$P113)=0,"",INDEX(EntryTxnType,$P113)))</f>
        <v/>
      </c>
      <c r="H113" s="27">
        <f>IF($P113="","",IF(INDEX(EntryDep,$P113)=0,"",INDEX(EntryDep,$P113)))</f>
        <v/>
      </c>
      <c r="I113" s="27">
        <f>IF($P113="","",IF(INDEX(EntryWit,$P113)=0,"",INDEX(EntryWit,$P113)))</f>
        <v/>
      </c>
      <c r="J113" s="27">
        <f>IF($B113="","",IF($A113=1,$C$7,IF(J112="",0,J112))+IF($H113="",0,$H113)-IF($I113="",0,$I113))</f>
        <v/>
      </c>
      <c r="K113" s="27">
        <f>IF($P113="","",IF(INDEX(EntryMan,$P113)=0,"",INDEX(EntryMan,$P113)))</f>
        <v/>
      </c>
      <c r="L113" s="26">
        <f>IF($B113="","",IF($K113="","—",IF(ROUND($K113-$J113,0)=0,"√","×")))</f>
        <v/>
      </c>
      <c r="M113" s="26">
        <f>IF($B113="","",IF(COUNTIFS(EntryDates,$B113,CalcTime,$C113,CalcBank,$C$5,EntryParty,$D113,EntryDep,$H113,EntryWit,$I113)&gt;1,"تکرار",""))</f>
        <v/>
      </c>
      <c r="N113" s="26">
        <f>IF($P113="","",IF(INDEX(EntryNotes,$P113)=0,"",INDEX(EntryNotes,$P113)))</f>
        <v/>
      </c>
      <c r="O113" s="26">
        <f>IF($P113="","",IF(INDEX(EntryTxnID,$P113)=0,"",INDEX(EntryTxnID,$P113)))</f>
        <v/>
      </c>
      <c r="P113" s="26">
        <f>IFERROR(MATCH($C$5&amp;"|"&amp;RIGHT("000000"&amp;97,6),CalcRankKey,0),"")</f>
        <v/>
      </c>
    </row>
    <row r="114">
      <c r="A114" s="28">
        <f>IF($B114="","",98)</f>
        <v/>
      </c>
      <c r="B114" s="28">
        <f>IF($P114="","",IF(INDEX(CalcNormDate,$P114)=0,"",INDEX(CalcNormDate,$P114)))</f>
        <v/>
      </c>
      <c r="C114" s="28">
        <f>IF($P114="","",IF(INDEX(CalcTime,$P114)=0,"",INDEX(CalcTime,$P114)))</f>
        <v/>
      </c>
      <c r="D114" s="28">
        <f>IF($P114="","",IF(INDEX(EntryParty,$P114)=0,"",INDEX(EntryParty,$P114)))</f>
        <v/>
      </c>
      <c r="E114" s="28">
        <f>IF($P114="","",IF(INDEX(EntryPartyName,$P114)=0,"",INDEX(EntryPartyName,$P114)))</f>
        <v/>
      </c>
      <c r="F114" s="28">
        <f>IF($P114="","",IF(INDEX(EntryPartyType,$P114)=0,"",INDEX(EntryPartyType,$P114)))</f>
        <v/>
      </c>
      <c r="G114" s="28">
        <f>IF($P114="","",IF(INDEX(EntryTxnType,$P114)=0,"",INDEX(EntryTxnType,$P114)))</f>
        <v/>
      </c>
      <c r="H114" s="29">
        <f>IF($P114="","",IF(INDEX(EntryDep,$P114)=0,"",INDEX(EntryDep,$P114)))</f>
        <v/>
      </c>
      <c r="I114" s="29">
        <f>IF($P114="","",IF(INDEX(EntryWit,$P114)=0,"",INDEX(EntryWit,$P114)))</f>
        <v/>
      </c>
      <c r="J114" s="29">
        <f>IF($B114="","",IF($A114=1,$C$7,IF(J113="",0,J113))+IF($H114="",0,$H114)-IF($I114="",0,$I114))</f>
        <v/>
      </c>
      <c r="K114" s="29">
        <f>IF($P114="","",IF(INDEX(EntryMan,$P114)=0,"",INDEX(EntryMan,$P114)))</f>
        <v/>
      </c>
      <c r="L114" s="28">
        <f>IF($B114="","",IF($K114="","—",IF(ROUND($K114-$J114,0)=0,"√","×")))</f>
        <v/>
      </c>
      <c r="M114" s="28">
        <f>IF($B114="","",IF(COUNTIFS(EntryDates,$B114,CalcTime,$C114,CalcBank,$C$5,EntryParty,$D114,EntryDep,$H114,EntryWit,$I114)&gt;1,"تکرار",""))</f>
        <v/>
      </c>
      <c r="N114" s="28">
        <f>IF($P114="","",IF(INDEX(EntryNotes,$P114)=0,"",INDEX(EntryNotes,$P114)))</f>
        <v/>
      </c>
      <c r="O114" s="28">
        <f>IF($P114="","",IF(INDEX(EntryTxnID,$P114)=0,"",INDEX(EntryTxnID,$P114)))</f>
        <v/>
      </c>
      <c r="P114" s="28">
        <f>IFERROR(MATCH($C$5&amp;"|"&amp;RIGHT("000000"&amp;98,6),CalcRankKey,0),"")</f>
        <v/>
      </c>
    </row>
    <row r="115">
      <c r="A115" s="26">
        <f>IF($B115="","",99)</f>
        <v/>
      </c>
      <c r="B115" s="26">
        <f>IF($P115="","",IF(INDEX(CalcNormDate,$P115)=0,"",INDEX(CalcNormDate,$P115)))</f>
        <v/>
      </c>
      <c r="C115" s="26">
        <f>IF($P115="","",IF(INDEX(CalcTime,$P115)=0,"",INDEX(CalcTime,$P115)))</f>
        <v/>
      </c>
      <c r="D115" s="26">
        <f>IF($P115="","",IF(INDEX(EntryParty,$P115)=0,"",INDEX(EntryParty,$P115)))</f>
        <v/>
      </c>
      <c r="E115" s="26">
        <f>IF($P115="","",IF(INDEX(EntryPartyName,$P115)=0,"",INDEX(EntryPartyName,$P115)))</f>
        <v/>
      </c>
      <c r="F115" s="26">
        <f>IF($P115="","",IF(INDEX(EntryPartyType,$P115)=0,"",INDEX(EntryPartyType,$P115)))</f>
        <v/>
      </c>
      <c r="G115" s="26">
        <f>IF($P115="","",IF(INDEX(EntryTxnType,$P115)=0,"",INDEX(EntryTxnType,$P115)))</f>
        <v/>
      </c>
      <c r="H115" s="27">
        <f>IF($P115="","",IF(INDEX(EntryDep,$P115)=0,"",INDEX(EntryDep,$P115)))</f>
        <v/>
      </c>
      <c r="I115" s="27">
        <f>IF($P115="","",IF(INDEX(EntryWit,$P115)=0,"",INDEX(EntryWit,$P115)))</f>
        <v/>
      </c>
      <c r="J115" s="27">
        <f>IF($B115="","",IF($A115=1,$C$7,IF(J114="",0,J114))+IF($H115="",0,$H115)-IF($I115="",0,$I115))</f>
        <v/>
      </c>
      <c r="K115" s="27">
        <f>IF($P115="","",IF(INDEX(EntryMan,$P115)=0,"",INDEX(EntryMan,$P115)))</f>
        <v/>
      </c>
      <c r="L115" s="26">
        <f>IF($B115="","",IF($K115="","—",IF(ROUND($K115-$J115,0)=0,"√","×")))</f>
        <v/>
      </c>
      <c r="M115" s="26">
        <f>IF($B115="","",IF(COUNTIFS(EntryDates,$B115,CalcTime,$C115,CalcBank,$C$5,EntryParty,$D115,EntryDep,$H115,EntryWit,$I115)&gt;1,"تکرار",""))</f>
        <v/>
      </c>
      <c r="N115" s="26">
        <f>IF($P115="","",IF(INDEX(EntryNotes,$P115)=0,"",INDEX(EntryNotes,$P115)))</f>
        <v/>
      </c>
      <c r="O115" s="26">
        <f>IF($P115="","",IF(INDEX(EntryTxnID,$P115)=0,"",INDEX(EntryTxnID,$P115)))</f>
        <v/>
      </c>
      <c r="P115" s="26">
        <f>IFERROR(MATCH($C$5&amp;"|"&amp;RIGHT("000000"&amp;99,6),CalcRankKey,0),"")</f>
        <v/>
      </c>
    </row>
    <row r="116">
      <c r="A116" s="28">
        <f>IF($B116="","",100)</f>
        <v/>
      </c>
      <c r="B116" s="28">
        <f>IF($P116="","",IF(INDEX(CalcNormDate,$P116)=0,"",INDEX(CalcNormDate,$P116)))</f>
        <v/>
      </c>
      <c r="C116" s="28">
        <f>IF($P116="","",IF(INDEX(CalcTime,$P116)=0,"",INDEX(CalcTime,$P116)))</f>
        <v/>
      </c>
      <c r="D116" s="28">
        <f>IF($P116="","",IF(INDEX(EntryParty,$P116)=0,"",INDEX(EntryParty,$P116)))</f>
        <v/>
      </c>
      <c r="E116" s="28">
        <f>IF($P116="","",IF(INDEX(EntryPartyName,$P116)=0,"",INDEX(EntryPartyName,$P116)))</f>
        <v/>
      </c>
      <c r="F116" s="28">
        <f>IF($P116="","",IF(INDEX(EntryPartyType,$P116)=0,"",INDEX(EntryPartyType,$P116)))</f>
        <v/>
      </c>
      <c r="G116" s="28">
        <f>IF($P116="","",IF(INDEX(EntryTxnType,$P116)=0,"",INDEX(EntryTxnType,$P116)))</f>
        <v/>
      </c>
      <c r="H116" s="29">
        <f>IF($P116="","",IF(INDEX(EntryDep,$P116)=0,"",INDEX(EntryDep,$P116)))</f>
        <v/>
      </c>
      <c r="I116" s="29">
        <f>IF($P116="","",IF(INDEX(EntryWit,$P116)=0,"",INDEX(EntryWit,$P116)))</f>
        <v/>
      </c>
      <c r="J116" s="29">
        <f>IF($B116="","",IF($A116=1,$C$7,IF(J115="",0,J115))+IF($H116="",0,$H116)-IF($I116="",0,$I116))</f>
        <v/>
      </c>
      <c r="K116" s="29">
        <f>IF($P116="","",IF(INDEX(EntryMan,$P116)=0,"",INDEX(EntryMan,$P116)))</f>
        <v/>
      </c>
      <c r="L116" s="28">
        <f>IF($B116="","",IF($K116="","—",IF(ROUND($K116-$J116,0)=0,"√","×")))</f>
        <v/>
      </c>
      <c r="M116" s="28">
        <f>IF($B116="","",IF(COUNTIFS(EntryDates,$B116,CalcTime,$C116,CalcBank,$C$5,EntryParty,$D116,EntryDep,$H116,EntryWit,$I116)&gt;1,"تکرار",""))</f>
        <v/>
      </c>
      <c r="N116" s="28">
        <f>IF($P116="","",IF(INDEX(EntryNotes,$P116)=0,"",INDEX(EntryNotes,$P116)))</f>
        <v/>
      </c>
      <c r="O116" s="28">
        <f>IF($P116="","",IF(INDEX(EntryTxnID,$P116)=0,"",INDEX(EntryTxnID,$P116)))</f>
        <v/>
      </c>
      <c r="P116" s="28">
        <f>IFERROR(MATCH($C$5&amp;"|"&amp;RIGHT("000000"&amp;100,6),CalcRankKey,0),"")</f>
        <v/>
      </c>
    </row>
    <row r="117">
      <c r="A117" s="26">
        <f>IF($B117="","",101)</f>
        <v/>
      </c>
      <c r="B117" s="26">
        <f>IF($P117="","",IF(INDEX(CalcNormDate,$P117)=0,"",INDEX(CalcNormDate,$P117)))</f>
        <v/>
      </c>
      <c r="C117" s="26">
        <f>IF($P117="","",IF(INDEX(CalcTime,$P117)=0,"",INDEX(CalcTime,$P117)))</f>
        <v/>
      </c>
      <c r="D117" s="26">
        <f>IF($P117="","",IF(INDEX(EntryParty,$P117)=0,"",INDEX(EntryParty,$P117)))</f>
        <v/>
      </c>
      <c r="E117" s="26">
        <f>IF($P117="","",IF(INDEX(EntryPartyName,$P117)=0,"",INDEX(EntryPartyName,$P117)))</f>
        <v/>
      </c>
      <c r="F117" s="26">
        <f>IF($P117="","",IF(INDEX(EntryPartyType,$P117)=0,"",INDEX(EntryPartyType,$P117)))</f>
        <v/>
      </c>
      <c r="G117" s="26">
        <f>IF($P117="","",IF(INDEX(EntryTxnType,$P117)=0,"",INDEX(EntryTxnType,$P117)))</f>
        <v/>
      </c>
      <c r="H117" s="27">
        <f>IF($P117="","",IF(INDEX(EntryDep,$P117)=0,"",INDEX(EntryDep,$P117)))</f>
        <v/>
      </c>
      <c r="I117" s="27">
        <f>IF($P117="","",IF(INDEX(EntryWit,$P117)=0,"",INDEX(EntryWit,$P117)))</f>
        <v/>
      </c>
      <c r="J117" s="27">
        <f>IF($B117="","",IF($A117=1,$C$7,IF(J116="",0,J116))+IF($H117="",0,$H117)-IF($I117="",0,$I117))</f>
        <v/>
      </c>
      <c r="K117" s="27">
        <f>IF($P117="","",IF(INDEX(EntryMan,$P117)=0,"",INDEX(EntryMan,$P117)))</f>
        <v/>
      </c>
      <c r="L117" s="26">
        <f>IF($B117="","",IF($K117="","—",IF(ROUND($K117-$J117,0)=0,"√","×")))</f>
        <v/>
      </c>
      <c r="M117" s="26">
        <f>IF($B117="","",IF(COUNTIFS(EntryDates,$B117,CalcTime,$C117,CalcBank,$C$5,EntryParty,$D117,EntryDep,$H117,EntryWit,$I117)&gt;1,"تکرار",""))</f>
        <v/>
      </c>
      <c r="N117" s="26">
        <f>IF($P117="","",IF(INDEX(EntryNotes,$P117)=0,"",INDEX(EntryNotes,$P117)))</f>
        <v/>
      </c>
      <c r="O117" s="26">
        <f>IF($P117="","",IF(INDEX(EntryTxnID,$P117)=0,"",INDEX(EntryTxnID,$P117)))</f>
        <v/>
      </c>
      <c r="P117" s="26">
        <f>IFERROR(MATCH($C$5&amp;"|"&amp;RIGHT("000000"&amp;101,6),CalcRankKey,0),"")</f>
        <v/>
      </c>
    </row>
    <row r="118">
      <c r="A118" s="28">
        <f>IF($B118="","",102)</f>
        <v/>
      </c>
      <c r="B118" s="28">
        <f>IF($P118="","",IF(INDEX(CalcNormDate,$P118)=0,"",INDEX(CalcNormDate,$P118)))</f>
        <v/>
      </c>
      <c r="C118" s="28">
        <f>IF($P118="","",IF(INDEX(CalcTime,$P118)=0,"",INDEX(CalcTime,$P118)))</f>
        <v/>
      </c>
      <c r="D118" s="28">
        <f>IF($P118="","",IF(INDEX(EntryParty,$P118)=0,"",INDEX(EntryParty,$P118)))</f>
        <v/>
      </c>
      <c r="E118" s="28">
        <f>IF($P118="","",IF(INDEX(EntryPartyName,$P118)=0,"",INDEX(EntryPartyName,$P118)))</f>
        <v/>
      </c>
      <c r="F118" s="28">
        <f>IF($P118="","",IF(INDEX(EntryPartyType,$P118)=0,"",INDEX(EntryPartyType,$P118)))</f>
        <v/>
      </c>
      <c r="G118" s="28">
        <f>IF($P118="","",IF(INDEX(EntryTxnType,$P118)=0,"",INDEX(EntryTxnType,$P118)))</f>
        <v/>
      </c>
      <c r="H118" s="29">
        <f>IF($P118="","",IF(INDEX(EntryDep,$P118)=0,"",INDEX(EntryDep,$P118)))</f>
        <v/>
      </c>
      <c r="I118" s="29">
        <f>IF($P118="","",IF(INDEX(EntryWit,$P118)=0,"",INDEX(EntryWit,$P118)))</f>
        <v/>
      </c>
      <c r="J118" s="29">
        <f>IF($B118="","",IF($A118=1,$C$7,IF(J117="",0,J117))+IF($H118="",0,$H118)-IF($I118="",0,$I118))</f>
        <v/>
      </c>
      <c r="K118" s="29">
        <f>IF($P118="","",IF(INDEX(EntryMan,$P118)=0,"",INDEX(EntryMan,$P118)))</f>
        <v/>
      </c>
      <c r="L118" s="28">
        <f>IF($B118="","",IF($K118="","—",IF(ROUND($K118-$J118,0)=0,"√","×")))</f>
        <v/>
      </c>
      <c r="M118" s="28">
        <f>IF($B118="","",IF(COUNTIFS(EntryDates,$B118,CalcTime,$C118,CalcBank,$C$5,EntryParty,$D118,EntryDep,$H118,EntryWit,$I118)&gt;1,"تکرار",""))</f>
        <v/>
      </c>
      <c r="N118" s="28">
        <f>IF($P118="","",IF(INDEX(EntryNotes,$P118)=0,"",INDEX(EntryNotes,$P118)))</f>
        <v/>
      </c>
      <c r="O118" s="28">
        <f>IF($P118="","",IF(INDEX(EntryTxnID,$P118)=0,"",INDEX(EntryTxnID,$P118)))</f>
        <v/>
      </c>
      <c r="P118" s="28">
        <f>IFERROR(MATCH($C$5&amp;"|"&amp;RIGHT("000000"&amp;102,6),CalcRankKey,0),"")</f>
        <v/>
      </c>
    </row>
    <row r="119">
      <c r="A119" s="26">
        <f>IF($B119="","",103)</f>
        <v/>
      </c>
      <c r="B119" s="26">
        <f>IF($P119="","",IF(INDEX(CalcNormDate,$P119)=0,"",INDEX(CalcNormDate,$P119)))</f>
        <v/>
      </c>
      <c r="C119" s="26">
        <f>IF($P119="","",IF(INDEX(CalcTime,$P119)=0,"",INDEX(CalcTime,$P119)))</f>
        <v/>
      </c>
      <c r="D119" s="26">
        <f>IF($P119="","",IF(INDEX(EntryParty,$P119)=0,"",INDEX(EntryParty,$P119)))</f>
        <v/>
      </c>
      <c r="E119" s="26">
        <f>IF($P119="","",IF(INDEX(EntryPartyName,$P119)=0,"",INDEX(EntryPartyName,$P119)))</f>
        <v/>
      </c>
      <c r="F119" s="26">
        <f>IF($P119="","",IF(INDEX(EntryPartyType,$P119)=0,"",INDEX(EntryPartyType,$P119)))</f>
        <v/>
      </c>
      <c r="G119" s="26">
        <f>IF($P119="","",IF(INDEX(EntryTxnType,$P119)=0,"",INDEX(EntryTxnType,$P119)))</f>
        <v/>
      </c>
      <c r="H119" s="27">
        <f>IF($P119="","",IF(INDEX(EntryDep,$P119)=0,"",INDEX(EntryDep,$P119)))</f>
        <v/>
      </c>
      <c r="I119" s="27">
        <f>IF($P119="","",IF(INDEX(EntryWit,$P119)=0,"",INDEX(EntryWit,$P119)))</f>
        <v/>
      </c>
      <c r="J119" s="27">
        <f>IF($B119="","",IF($A119=1,$C$7,IF(J118="",0,J118))+IF($H119="",0,$H119)-IF($I119="",0,$I119))</f>
        <v/>
      </c>
      <c r="K119" s="27">
        <f>IF($P119="","",IF(INDEX(EntryMan,$P119)=0,"",INDEX(EntryMan,$P119)))</f>
        <v/>
      </c>
      <c r="L119" s="26">
        <f>IF($B119="","",IF($K119="","—",IF(ROUND($K119-$J119,0)=0,"√","×")))</f>
        <v/>
      </c>
      <c r="M119" s="26">
        <f>IF($B119="","",IF(COUNTIFS(EntryDates,$B119,CalcTime,$C119,CalcBank,$C$5,EntryParty,$D119,EntryDep,$H119,EntryWit,$I119)&gt;1,"تکرار",""))</f>
        <v/>
      </c>
      <c r="N119" s="26">
        <f>IF($P119="","",IF(INDEX(EntryNotes,$P119)=0,"",INDEX(EntryNotes,$P119)))</f>
        <v/>
      </c>
      <c r="O119" s="26">
        <f>IF($P119="","",IF(INDEX(EntryTxnID,$P119)=0,"",INDEX(EntryTxnID,$P119)))</f>
        <v/>
      </c>
      <c r="P119" s="26">
        <f>IFERROR(MATCH($C$5&amp;"|"&amp;RIGHT("000000"&amp;103,6),CalcRankKey,0),"")</f>
        <v/>
      </c>
    </row>
    <row r="120">
      <c r="A120" s="28">
        <f>IF($B120="","",104)</f>
        <v/>
      </c>
      <c r="B120" s="28">
        <f>IF($P120="","",IF(INDEX(CalcNormDate,$P120)=0,"",INDEX(CalcNormDate,$P120)))</f>
        <v/>
      </c>
      <c r="C120" s="28">
        <f>IF($P120="","",IF(INDEX(CalcTime,$P120)=0,"",INDEX(CalcTime,$P120)))</f>
        <v/>
      </c>
      <c r="D120" s="28">
        <f>IF($P120="","",IF(INDEX(EntryParty,$P120)=0,"",INDEX(EntryParty,$P120)))</f>
        <v/>
      </c>
      <c r="E120" s="28">
        <f>IF($P120="","",IF(INDEX(EntryPartyName,$P120)=0,"",INDEX(EntryPartyName,$P120)))</f>
        <v/>
      </c>
      <c r="F120" s="28">
        <f>IF($P120="","",IF(INDEX(EntryPartyType,$P120)=0,"",INDEX(EntryPartyType,$P120)))</f>
        <v/>
      </c>
      <c r="G120" s="28">
        <f>IF($P120="","",IF(INDEX(EntryTxnType,$P120)=0,"",INDEX(EntryTxnType,$P120)))</f>
        <v/>
      </c>
      <c r="H120" s="29">
        <f>IF($P120="","",IF(INDEX(EntryDep,$P120)=0,"",INDEX(EntryDep,$P120)))</f>
        <v/>
      </c>
      <c r="I120" s="29">
        <f>IF($P120="","",IF(INDEX(EntryWit,$P120)=0,"",INDEX(EntryWit,$P120)))</f>
        <v/>
      </c>
      <c r="J120" s="29">
        <f>IF($B120="","",IF($A120=1,$C$7,IF(J119="",0,J119))+IF($H120="",0,$H120)-IF($I120="",0,$I120))</f>
        <v/>
      </c>
      <c r="K120" s="29">
        <f>IF($P120="","",IF(INDEX(EntryMan,$P120)=0,"",INDEX(EntryMan,$P120)))</f>
        <v/>
      </c>
      <c r="L120" s="28">
        <f>IF($B120="","",IF($K120="","—",IF(ROUND($K120-$J120,0)=0,"√","×")))</f>
        <v/>
      </c>
      <c r="M120" s="28">
        <f>IF($B120="","",IF(COUNTIFS(EntryDates,$B120,CalcTime,$C120,CalcBank,$C$5,EntryParty,$D120,EntryDep,$H120,EntryWit,$I120)&gt;1,"تکرار",""))</f>
        <v/>
      </c>
      <c r="N120" s="28">
        <f>IF($P120="","",IF(INDEX(EntryNotes,$P120)=0,"",INDEX(EntryNotes,$P120)))</f>
        <v/>
      </c>
      <c r="O120" s="28">
        <f>IF($P120="","",IF(INDEX(EntryTxnID,$P120)=0,"",INDEX(EntryTxnID,$P120)))</f>
        <v/>
      </c>
      <c r="P120" s="28">
        <f>IFERROR(MATCH($C$5&amp;"|"&amp;RIGHT("000000"&amp;104,6),CalcRankKey,0),"")</f>
        <v/>
      </c>
    </row>
    <row r="121">
      <c r="A121" s="26">
        <f>IF($B121="","",105)</f>
        <v/>
      </c>
      <c r="B121" s="26">
        <f>IF($P121="","",IF(INDEX(CalcNormDate,$P121)=0,"",INDEX(CalcNormDate,$P121)))</f>
        <v/>
      </c>
      <c r="C121" s="26">
        <f>IF($P121="","",IF(INDEX(CalcTime,$P121)=0,"",INDEX(CalcTime,$P121)))</f>
        <v/>
      </c>
      <c r="D121" s="26">
        <f>IF($P121="","",IF(INDEX(EntryParty,$P121)=0,"",INDEX(EntryParty,$P121)))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IF($P121="","",IF(INDEX(EntryPartyType,$P121)=0,"",INDEX(EntryPartyType,$P121)))</f>
        <v/>
      </c>
      <c r="G121" s="26">
        <f>IF($P121="","",IF(INDEX(EntryTxnType,$P121)=0,"",INDEX(EntryTxnType,$P121)))</f>
        <v/>
      </c>
      <c r="H121" s="27">
        <f>IF($P121="","",IF(INDEX(EntryDep,$P121)=0,"",INDEX(EntryDep,$P121)))</f>
        <v/>
      </c>
      <c r="I121" s="27">
        <f>IF($P121="","",IF(INDEX(EntryWit,$P121)=0,"",INDEX(EntryWit,$P121)))</f>
        <v/>
      </c>
      <c r="J121" s="27">
        <f>IF($B121="","",IF($A121=1,$C$7,IF(J120="",0,J120))+IF($H121="",0,$H121)-IF($I121="",0,$I121))</f>
        <v/>
      </c>
      <c r="K121" s="27">
        <f>IF($P121="","",IF(INDEX(EntryMan,$P121)=0,"",INDEX(EntryMan,$P121)))</f>
        <v/>
      </c>
      <c r="L121" s="26">
        <f>IF($B121="","",IF($K121="","—",IF(ROUND($K121-$J121,0)=0,"√","×")))</f>
        <v/>
      </c>
      <c r="M121" s="26">
        <f>IF($B121="","",IF(COUNTIFS(EntryDates,$B121,CalcTime,$C121,CalcBank,$C$5,EntryParty,$D121,EntryDep,$H121,EntryWit,$I121)&gt;1,"تکرار",""))</f>
        <v/>
      </c>
      <c r="N121" s="26">
        <f>IF($P121="","",IF(INDEX(EntryNotes,$P121)=0,"",INDEX(EntryNotes,$P121)))</f>
        <v/>
      </c>
      <c r="O121" s="26">
        <f>IF($P121="","",IF(INDEX(EntryTxnID,$P121)=0,"",INDEX(EntryTxnID,$P121)))</f>
        <v/>
      </c>
      <c r="P121" s="26">
        <f>IFERROR(MATCH($C$5&amp;"|"&amp;RIGHT("000000"&amp;105,6),CalcRankKey,0),"")</f>
        <v/>
      </c>
    </row>
    <row r="122">
      <c r="A122" s="28">
        <f>IF($B122="","",106)</f>
        <v/>
      </c>
      <c r="B122" s="28">
        <f>IF($P122="","",IF(INDEX(CalcNormDate,$P122)=0,"",INDEX(CalcNormDate,$P122)))</f>
        <v/>
      </c>
      <c r="C122" s="28">
        <f>IF($P122="","",IF(INDEX(CalcTime,$P122)=0,"",INDEX(CalcTime,$P122)))</f>
        <v/>
      </c>
      <c r="D122" s="28">
        <f>IF($P122="","",IF(INDEX(EntryParty,$P122)=0,"",INDEX(EntryParty,$P122)))</f>
        <v/>
      </c>
      <c r="E122" s="28">
        <f>IF($P122="","",IF(INDEX(EntryPartyName,$P122)=0,"",INDEX(EntryPartyName,$P122)))</f>
        <v/>
      </c>
      <c r="F122" s="28">
        <f>IF($P122="","",IF(INDEX(EntryPartyType,$P122)=0,"",INDEX(EntryPartyType,$P122)))</f>
        <v/>
      </c>
      <c r="G122" s="28">
        <f>IF($P122="","",IF(INDEX(EntryTxnType,$P122)=0,"",INDEX(EntryTxnType,$P122)))</f>
        <v/>
      </c>
      <c r="H122" s="29">
        <f>IF($P122="","",IF(INDEX(EntryDep,$P122)=0,"",INDEX(EntryDep,$P122)))</f>
        <v/>
      </c>
      <c r="I122" s="29">
        <f>IF($P122="","",IF(INDEX(EntryWit,$P122)=0,"",INDEX(EntryWit,$P122)))</f>
        <v/>
      </c>
      <c r="J122" s="29">
        <f>IF($B122="","",IF($A122=1,$C$7,IF(J121="",0,J121))+IF($H122="",0,$H122)-IF($I122="",0,$I122))</f>
        <v/>
      </c>
      <c r="K122" s="29">
        <f>IF($P122="","",IF(INDEX(EntryMan,$P122)=0,"",INDEX(EntryMan,$P122)))</f>
        <v/>
      </c>
      <c r="L122" s="28">
        <f>IF($B122="","",IF($K122="","—",IF(ROUND($K122-$J122,0)=0,"√","×")))</f>
        <v/>
      </c>
      <c r="M122" s="28">
        <f>IF($B122="","",IF(COUNTIFS(EntryDates,$B122,CalcTime,$C122,CalcBank,$C$5,EntryParty,$D122,EntryDep,$H122,EntryWit,$I122)&gt;1,"تکرار",""))</f>
        <v/>
      </c>
      <c r="N122" s="28">
        <f>IF($P122="","",IF(INDEX(EntryNotes,$P122)=0,"",INDEX(EntryNotes,$P122)))</f>
        <v/>
      </c>
      <c r="O122" s="28">
        <f>IF($P122="","",IF(INDEX(EntryTxnID,$P122)=0,"",INDEX(EntryTxnID,$P122)))</f>
        <v/>
      </c>
      <c r="P122" s="28">
        <f>IFERROR(MATCH($C$5&amp;"|"&amp;RIGHT("000000"&amp;106,6),CalcRankKey,0),"")</f>
        <v/>
      </c>
    </row>
    <row r="123">
      <c r="A123" s="26">
        <f>IF($B123="","",107)</f>
        <v/>
      </c>
      <c r="B123" s="26">
        <f>IF($P123="","",IF(INDEX(CalcNormDate,$P123)=0,"",INDEX(CalcNormDate,$P123)))</f>
        <v/>
      </c>
      <c r="C123" s="26">
        <f>IF($P123="","",IF(INDEX(CalcTime,$P123)=0,"",INDEX(CalcTime,$P123)))</f>
        <v/>
      </c>
      <c r="D123" s="26">
        <f>IF($P123="","",IF(INDEX(EntryParty,$P123)=0,"",INDEX(EntryParty,$P123)))</f>
        <v/>
      </c>
      <c r="E123" s="26">
        <f>IF($P123="","",IF(INDEX(EntryPartyName,$P123)=0,"",INDEX(EntryPartyName,$P123)))</f>
        <v/>
      </c>
      <c r="F123" s="26">
        <f>IF($P123="","",IF(INDEX(EntryPartyType,$P123)=0,"",INDEX(EntryPartyType,$P123)))</f>
        <v/>
      </c>
      <c r="G123" s="26">
        <f>IF($P123="","",IF(INDEX(EntryTxnType,$P123)=0,"",INDEX(EntryTxnType,$P123)))</f>
        <v/>
      </c>
      <c r="H123" s="27">
        <f>IF($P123="","",IF(INDEX(EntryDep,$P123)=0,"",INDEX(EntryDep,$P123)))</f>
        <v/>
      </c>
      <c r="I123" s="27">
        <f>IF($P123="","",IF(INDEX(EntryWit,$P123)=0,"",INDEX(EntryWit,$P123)))</f>
        <v/>
      </c>
      <c r="J123" s="27">
        <f>IF($B123="","",IF($A123=1,$C$7,IF(J122="",0,J122))+IF($H123="",0,$H123)-IF($I123="",0,$I123))</f>
        <v/>
      </c>
      <c r="K123" s="27">
        <f>IF($P123="","",IF(INDEX(EntryMan,$P123)=0,"",INDEX(EntryMan,$P123)))</f>
        <v/>
      </c>
      <c r="L123" s="26">
        <f>IF($B123="","",IF($K123="","—",IF(ROUND($K123-$J123,0)=0,"√","×")))</f>
        <v/>
      </c>
      <c r="M123" s="26">
        <f>IF($B123="","",IF(COUNTIFS(EntryDates,$B123,CalcTime,$C123,CalcBank,$C$5,EntryParty,$D123,EntryDep,$H123,EntryWit,$I123)&gt;1,"تکرار",""))</f>
        <v/>
      </c>
      <c r="N123" s="26">
        <f>IF($P123="","",IF(INDEX(EntryNotes,$P123)=0,"",INDEX(EntryNotes,$P123)))</f>
        <v/>
      </c>
      <c r="O123" s="26">
        <f>IF($P123="","",IF(INDEX(EntryTxnID,$P123)=0,"",INDEX(EntryTxnID,$P123)))</f>
        <v/>
      </c>
      <c r="P123" s="26">
        <f>IFERROR(MATCH($C$5&amp;"|"&amp;RIGHT("000000"&amp;107,6),CalcRankKey,0),"")</f>
        <v/>
      </c>
    </row>
    <row r="124">
      <c r="A124" s="28">
        <f>IF($B124="","",108)</f>
        <v/>
      </c>
      <c r="B124" s="28">
        <f>IF($P124="","",IF(INDEX(CalcNormDate,$P124)=0,"",INDEX(CalcNormDate,$P124)))</f>
        <v/>
      </c>
      <c r="C124" s="28">
        <f>IF($P124="","",IF(INDEX(CalcTime,$P124)=0,"",INDEX(CalcTime,$P124)))</f>
        <v/>
      </c>
      <c r="D124" s="28">
        <f>IF($P124="","",IF(INDEX(EntryParty,$P124)=0,"",INDEX(EntryParty,$P124)))</f>
        <v/>
      </c>
      <c r="E124" s="28">
        <f>IF($P124="","",IF(INDEX(EntryPartyName,$P124)=0,"",INDEX(EntryPartyName,$P124)))</f>
        <v/>
      </c>
      <c r="F124" s="28">
        <f>IF($P124="","",IF(INDEX(EntryPartyType,$P124)=0,"",INDEX(EntryPartyType,$P124)))</f>
        <v/>
      </c>
      <c r="G124" s="28">
        <f>IF($P124="","",IF(INDEX(EntryTxnType,$P124)=0,"",INDEX(EntryTxnType,$P124)))</f>
        <v/>
      </c>
      <c r="H124" s="29">
        <f>IF($P124="","",IF(INDEX(EntryDep,$P124)=0,"",INDEX(EntryDep,$P124)))</f>
        <v/>
      </c>
      <c r="I124" s="29">
        <f>IF($P124="","",IF(INDEX(EntryWit,$P124)=0,"",INDEX(EntryWit,$P124)))</f>
        <v/>
      </c>
      <c r="J124" s="29">
        <f>IF($B124="","",IF($A124=1,$C$7,IF(J123="",0,J123))+IF($H124="",0,$H124)-IF($I124="",0,$I124))</f>
        <v/>
      </c>
      <c r="K124" s="29">
        <f>IF($P124="","",IF(INDEX(EntryMan,$P124)=0,"",INDEX(EntryMan,$P124)))</f>
        <v/>
      </c>
      <c r="L124" s="28">
        <f>IF($B124="","",IF($K124="","—",IF(ROUND($K124-$J124,0)=0,"√","×")))</f>
        <v/>
      </c>
      <c r="M124" s="28">
        <f>IF($B124="","",IF(COUNTIFS(EntryDates,$B124,CalcTime,$C124,CalcBank,$C$5,EntryParty,$D124,EntryDep,$H124,EntryWit,$I124)&gt;1,"تکرار",""))</f>
        <v/>
      </c>
      <c r="N124" s="28">
        <f>IF($P124="","",IF(INDEX(EntryNotes,$P124)=0,"",INDEX(EntryNotes,$P124)))</f>
        <v/>
      </c>
      <c r="O124" s="28">
        <f>IF($P124="","",IF(INDEX(EntryTxnID,$P124)=0,"",INDEX(EntryTxnID,$P124)))</f>
        <v/>
      </c>
      <c r="P124" s="28">
        <f>IFERROR(MATCH($C$5&amp;"|"&amp;RIGHT("000000"&amp;108,6),CalcRankKey,0),"")</f>
        <v/>
      </c>
    </row>
    <row r="125">
      <c r="A125" s="26">
        <f>IF($B125="","",109)</f>
        <v/>
      </c>
      <c r="B125" s="26">
        <f>IF($P125="","",IF(INDEX(CalcNormDate,$P125)=0,"",INDEX(CalcNormDate,$P125)))</f>
        <v/>
      </c>
      <c r="C125" s="26">
        <f>IF($P125="","",IF(INDEX(CalcTime,$P125)=0,"",INDEX(CalcTime,$P125)))</f>
        <v/>
      </c>
      <c r="D125" s="26">
        <f>IF($P125="","",IF(INDEX(EntryParty,$P125)=0,"",INDEX(EntryParty,$P125)))</f>
        <v/>
      </c>
      <c r="E125" s="26">
        <f>IF($P125="","",IF(INDEX(EntryPartyName,$P125)=0,"",INDEX(EntryPartyName,$P125)))</f>
        <v/>
      </c>
      <c r="F125" s="26">
        <f>IF($P125="","",IF(INDEX(EntryPartyType,$P125)=0,"",INDEX(EntryPartyType,$P125)))</f>
        <v/>
      </c>
      <c r="G125" s="26">
        <f>IF($P125="","",IF(INDEX(EntryTxnType,$P125)=0,"",INDEX(EntryTxnType,$P125)))</f>
        <v/>
      </c>
      <c r="H125" s="27">
        <f>IF($P125="","",IF(INDEX(EntryDep,$P125)=0,"",INDEX(EntryDep,$P125)))</f>
        <v/>
      </c>
      <c r="I125" s="27">
        <f>IF($P125="","",IF(INDEX(EntryWit,$P125)=0,"",INDEX(EntryWit,$P125)))</f>
        <v/>
      </c>
      <c r="J125" s="27">
        <f>IF($B125="","",IF($A125=1,$C$7,IF(J124="",0,J124))+IF($H125="",0,$H125)-IF($I125="",0,$I125))</f>
        <v/>
      </c>
      <c r="K125" s="27">
        <f>IF($P125="","",IF(INDEX(EntryMan,$P125)=0,"",INDEX(EntryMan,$P125)))</f>
        <v/>
      </c>
      <c r="L125" s="26">
        <f>IF($B125="","",IF($K125="","—",IF(ROUND($K125-$J125,0)=0,"√","×")))</f>
        <v/>
      </c>
      <c r="M125" s="26">
        <f>IF($B125="","",IF(COUNTIFS(EntryDates,$B125,CalcTime,$C125,CalcBank,$C$5,EntryParty,$D125,EntryDep,$H125,EntryWit,$I125)&gt;1,"تکرار",""))</f>
        <v/>
      </c>
      <c r="N125" s="26">
        <f>IF($P125="","",IF(INDEX(EntryNotes,$P125)=0,"",INDEX(EntryNotes,$P125)))</f>
        <v/>
      </c>
      <c r="O125" s="26">
        <f>IF($P125="","",IF(INDEX(EntryTxnID,$P125)=0,"",INDEX(EntryTxnID,$P125)))</f>
        <v/>
      </c>
      <c r="P125" s="26">
        <f>IFERROR(MATCH($C$5&amp;"|"&amp;RIGHT("000000"&amp;109,6),CalcRankKey,0),"")</f>
        <v/>
      </c>
    </row>
    <row r="126">
      <c r="A126" s="28">
        <f>IF($B126="","",110)</f>
        <v/>
      </c>
      <c r="B126" s="28">
        <f>IF($P126="","",IF(INDEX(CalcNormDate,$P126)=0,"",INDEX(CalcNormDate,$P126)))</f>
        <v/>
      </c>
      <c r="C126" s="28">
        <f>IF($P126="","",IF(INDEX(CalcTime,$P126)=0,"",INDEX(CalcTime,$P126)))</f>
        <v/>
      </c>
      <c r="D126" s="28">
        <f>IF($P126="","",IF(INDEX(EntryParty,$P126)=0,"",INDEX(EntryParty,$P126)))</f>
        <v/>
      </c>
      <c r="E126" s="28">
        <f>IF($P126="","",IF(INDEX(EntryPartyName,$P126)=0,"",INDEX(EntryPartyName,$P126)))</f>
        <v/>
      </c>
      <c r="F126" s="28">
        <f>IF($P126="","",IF(INDEX(EntryPartyType,$P126)=0,"",INDEX(EntryPartyType,$P126)))</f>
        <v/>
      </c>
      <c r="G126" s="28">
        <f>IF($P126="","",IF(INDEX(EntryTxnType,$P126)=0,"",INDEX(EntryTxnType,$P126)))</f>
        <v/>
      </c>
      <c r="H126" s="29">
        <f>IF($P126="","",IF(INDEX(EntryDep,$P126)=0,"",INDEX(EntryDep,$P126)))</f>
        <v/>
      </c>
      <c r="I126" s="29">
        <f>IF($P126="","",IF(INDEX(EntryWit,$P126)=0,"",INDEX(EntryWit,$P126)))</f>
        <v/>
      </c>
      <c r="J126" s="29">
        <f>IF($B126="","",IF($A126=1,$C$7,IF(J125="",0,J125))+IF($H126="",0,$H126)-IF($I126="",0,$I126))</f>
        <v/>
      </c>
      <c r="K126" s="29">
        <f>IF($P126="","",IF(INDEX(EntryMan,$P126)=0,"",INDEX(EntryMan,$P126)))</f>
        <v/>
      </c>
      <c r="L126" s="28">
        <f>IF($B126="","",IF($K126="","—",IF(ROUND($K126-$J126,0)=0,"√","×")))</f>
        <v/>
      </c>
      <c r="M126" s="28">
        <f>IF($B126="","",IF(COUNTIFS(EntryDates,$B126,CalcTime,$C126,CalcBank,$C$5,EntryParty,$D126,EntryDep,$H126,EntryWit,$I126)&gt;1,"تکرار",""))</f>
        <v/>
      </c>
      <c r="N126" s="28">
        <f>IF($P126="","",IF(INDEX(EntryNotes,$P126)=0,"",INDEX(EntryNotes,$P126)))</f>
        <v/>
      </c>
      <c r="O126" s="28">
        <f>IF($P126="","",IF(INDEX(EntryTxnID,$P126)=0,"",INDEX(EntryTxnID,$P126)))</f>
        <v/>
      </c>
      <c r="P126" s="28">
        <f>IFERROR(MATCH($C$5&amp;"|"&amp;RIGHT("000000"&amp;110,6),CalcRankKey,0),"")</f>
        <v/>
      </c>
    </row>
    <row r="127">
      <c r="A127" s="26">
        <f>IF($B127="","",111)</f>
        <v/>
      </c>
      <c r="B127" s="26">
        <f>IF($P127="","",IF(INDEX(CalcNormDate,$P127)=0,"",INDEX(CalcNormDate,$P127)))</f>
        <v/>
      </c>
      <c r="C127" s="26">
        <f>IF($P127="","",IF(INDEX(CalcTime,$P127)=0,"",INDEX(CalcTime,$P127)))</f>
        <v/>
      </c>
      <c r="D127" s="26">
        <f>IF($P127="","",IF(INDEX(EntryParty,$P127)=0,"",INDEX(EntryParty,$P127)))</f>
        <v/>
      </c>
      <c r="E127" s="26">
        <f>IF($P127="","",IF(INDEX(EntryPartyName,$P127)=0,"",INDEX(EntryPartyName,$P127)))</f>
        <v/>
      </c>
      <c r="F127" s="26">
        <f>IF($P127="","",IF(INDEX(EntryPartyType,$P127)=0,"",INDEX(EntryPartyType,$P127)))</f>
        <v/>
      </c>
      <c r="G127" s="26">
        <f>IF($P127="","",IF(INDEX(EntryTxnType,$P127)=0,"",INDEX(EntryTxnType,$P127)))</f>
        <v/>
      </c>
      <c r="H127" s="27">
        <f>IF($P127="","",IF(INDEX(EntryDep,$P127)=0,"",INDEX(EntryDep,$P127)))</f>
        <v/>
      </c>
      <c r="I127" s="27">
        <f>IF($P127="","",IF(INDEX(EntryWit,$P127)=0,"",INDEX(EntryWit,$P127)))</f>
        <v/>
      </c>
      <c r="J127" s="27">
        <f>IF($B127="","",IF($A127=1,$C$7,IF(J126="",0,J126))+IF($H127="",0,$H127)-IF($I127="",0,$I127))</f>
        <v/>
      </c>
      <c r="K127" s="27">
        <f>IF($P127="","",IF(INDEX(EntryMan,$P127)=0,"",INDEX(EntryMan,$P127)))</f>
        <v/>
      </c>
      <c r="L127" s="26">
        <f>IF($B127="","",IF($K127="","—",IF(ROUND($K127-$J127,0)=0,"√","×")))</f>
        <v/>
      </c>
      <c r="M127" s="26">
        <f>IF($B127="","",IF(COUNTIFS(EntryDates,$B127,CalcTime,$C127,CalcBank,$C$5,EntryParty,$D127,EntryDep,$H127,EntryWit,$I127)&gt;1,"تکرار",""))</f>
        <v/>
      </c>
      <c r="N127" s="26">
        <f>IF($P127="","",IF(INDEX(EntryNotes,$P127)=0,"",INDEX(EntryNotes,$P127)))</f>
        <v/>
      </c>
      <c r="O127" s="26">
        <f>IF($P127="","",IF(INDEX(EntryTxnID,$P127)=0,"",INDEX(EntryTxnID,$P127)))</f>
        <v/>
      </c>
      <c r="P127" s="26">
        <f>IFERROR(MATCH($C$5&amp;"|"&amp;RIGHT("000000"&amp;111,6),CalcRankKey,0),"")</f>
        <v/>
      </c>
    </row>
    <row r="128">
      <c r="A128" s="28">
        <f>IF($B128="","",112)</f>
        <v/>
      </c>
      <c r="B128" s="28">
        <f>IF($P128="","",IF(INDEX(CalcNormDate,$P128)=0,"",INDEX(CalcNormDate,$P128)))</f>
        <v/>
      </c>
      <c r="C128" s="28">
        <f>IF($P128="","",IF(INDEX(CalcTime,$P128)=0,"",INDEX(CalcTime,$P128)))</f>
        <v/>
      </c>
      <c r="D128" s="28">
        <f>IF($P128="","",IF(INDEX(EntryParty,$P128)=0,"",INDEX(EntryParty,$P128)))</f>
        <v/>
      </c>
      <c r="E128" s="28">
        <f>IF($P128="","",IF(INDEX(EntryPartyName,$P128)=0,"",INDEX(EntryPartyName,$P128)))</f>
        <v/>
      </c>
      <c r="F128" s="28">
        <f>IF($P128="","",IF(INDEX(EntryPartyType,$P128)=0,"",INDEX(EntryPartyType,$P128)))</f>
        <v/>
      </c>
      <c r="G128" s="28">
        <f>IF($P128="","",IF(INDEX(EntryTxnType,$P128)=0,"",INDEX(EntryTxnType,$P128)))</f>
        <v/>
      </c>
      <c r="H128" s="29">
        <f>IF($P128="","",IF(INDEX(EntryDep,$P128)=0,"",INDEX(EntryDep,$P128)))</f>
        <v/>
      </c>
      <c r="I128" s="29">
        <f>IF($P128="","",IF(INDEX(EntryWit,$P128)=0,"",INDEX(EntryWit,$P128)))</f>
        <v/>
      </c>
      <c r="J128" s="29">
        <f>IF($B128="","",IF($A128=1,$C$7,IF(J127="",0,J127))+IF($H128="",0,$H128)-IF($I128="",0,$I128))</f>
        <v/>
      </c>
      <c r="K128" s="29">
        <f>IF($P128="","",IF(INDEX(EntryMan,$P128)=0,"",INDEX(EntryMan,$P128)))</f>
        <v/>
      </c>
      <c r="L128" s="28">
        <f>IF($B128="","",IF($K128="","—",IF(ROUND($K128-$J128,0)=0,"√","×")))</f>
        <v/>
      </c>
      <c r="M128" s="28">
        <f>IF($B128="","",IF(COUNTIFS(EntryDates,$B128,CalcTime,$C128,CalcBank,$C$5,EntryParty,$D128,EntryDep,$H128,EntryWit,$I128)&gt;1,"تکرار",""))</f>
        <v/>
      </c>
      <c r="N128" s="28">
        <f>IF($P128="","",IF(INDEX(EntryNotes,$P128)=0,"",INDEX(EntryNotes,$P128)))</f>
        <v/>
      </c>
      <c r="O128" s="28">
        <f>IF($P128="","",IF(INDEX(EntryTxnID,$P128)=0,"",INDEX(EntryTxnID,$P128)))</f>
        <v/>
      </c>
      <c r="P128" s="28">
        <f>IFERROR(MATCH($C$5&amp;"|"&amp;RIGHT("000000"&amp;112,6),CalcRankKey,0),"")</f>
        <v/>
      </c>
    </row>
    <row r="129">
      <c r="A129" s="26">
        <f>IF($B129="","",113)</f>
        <v/>
      </c>
      <c r="B129" s="26">
        <f>IF($P129="","",IF(INDEX(CalcNormDate,$P129)=0,"",INDEX(CalcNormDate,$P129)))</f>
        <v/>
      </c>
      <c r="C129" s="26">
        <f>IF($P129="","",IF(INDEX(CalcTime,$P129)=0,"",INDEX(CalcTime,$P129)))</f>
        <v/>
      </c>
      <c r="D129" s="26">
        <f>IF($P129="","",IF(INDEX(EntryParty,$P129)=0,"",INDEX(EntryParty,$P129)))</f>
        <v/>
      </c>
      <c r="E129" s="26">
        <f>IF($P129="","",IF(INDEX(EntryPartyName,$P129)=0,"",INDEX(EntryPartyName,$P129)))</f>
        <v/>
      </c>
      <c r="F129" s="26">
        <f>IF($P129="","",IF(INDEX(EntryPartyType,$P129)=0,"",INDEX(EntryPartyType,$P129)))</f>
        <v/>
      </c>
      <c r="G129" s="26">
        <f>IF($P129="","",IF(INDEX(EntryTxnType,$P129)=0,"",INDEX(EntryTxnType,$P129)))</f>
        <v/>
      </c>
      <c r="H129" s="27">
        <f>IF($P129="","",IF(INDEX(EntryDep,$P129)=0,"",INDEX(EntryDep,$P129)))</f>
        <v/>
      </c>
      <c r="I129" s="27">
        <f>IF($P129="","",IF(INDEX(EntryWit,$P129)=0,"",INDEX(EntryWit,$P129)))</f>
        <v/>
      </c>
      <c r="J129" s="27">
        <f>IF($B129="","",IF($A129=1,$C$7,IF(J128="",0,J128))+IF($H129="",0,$H129)-IF($I129="",0,$I129))</f>
        <v/>
      </c>
      <c r="K129" s="27">
        <f>IF($P129="","",IF(INDEX(EntryMan,$P129)=0,"",INDEX(EntryMan,$P129)))</f>
        <v/>
      </c>
      <c r="L129" s="26">
        <f>IF($B129="","",IF($K129="","—",IF(ROUND($K129-$J129,0)=0,"√","×")))</f>
        <v/>
      </c>
      <c r="M129" s="26">
        <f>IF($B129="","",IF(COUNTIFS(EntryDates,$B129,CalcTime,$C129,CalcBank,$C$5,EntryParty,$D129,EntryDep,$H129,EntryWit,$I129)&gt;1,"تکرار",""))</f>
        <v/>
      </c>
      <c r="N129" s="26">
        <f>IF($P129="","",IF(INDEX(EntryNotes,$P129)=0,"",INDEX(EntryNotes,$P129)))</f>
        <v/>
      </c>
      <c r="O129" s="26">
        <f>IF($P129="","",IF(INDEX(EntryTxnID,$P129)=0,"",INDEX(EntryTxnID,$P129)))</f>
        <v/>
      </c>
      <c r="P129" s="26">
        <f>IFERROR(MATCH($C$5&amp;"|"&amp;RIGHT("000000"&amp;113,6),CalcRankKey,0),"")</f>
        <v/>
      </c>
    </row>
    <row r="130">
      <c r="A130" s="28">
        <f>IF($B130="","",114)</f>
        <v/>
      </c>
      <c r="B130" s="28">
        <f>IF($P130="","",IF(INDEX(CalcNormDate,$P130)=0,"",INDEX(CalcNormDate,$P130)))</f>
        <v/>
      </c>
      <c r="C130" s="28">
        <f>IF($P130="","",IF(INDEX(CalcTime,$P130)=0,"",INDEX(CalcTime,$P130)))</f>
        <v/>
      </c>
      <c r="D130" s="28">
        <f>IF($P130="","",IF(INDEX(EntryParty,$P130)=0,"",INDEX(EntryParty,$P130)))</f>
        <v/>
      </c>
      <c r="E130" s="28">
        <f>IF($P130="","",IF(INDEX(EntryPartyName,$P130)=0,"",INDEX(EntryPartyName,$P130)))</f>
        <v/>
      </c>
      <c r="F130" s="28">
        <f>IF($P130="","",IF(INDEX(EntryPartyType,$P130)=0,"",INDEX(EntryPartyType,$P130)))</f>
        <v/>
      </c>
      <c r="G130" s="28">
        <f>IF($P130="","",IF(INDEX(EntryTxnType,$P130)=0,"",INDEX(EntryTxnType,$P130)))</f>
        <v/>
      </c>
      <c r="H130" s="29">
        <f>IF($P130="","",IF(INDEX(EntryDep,$P130)=0,"",INDEX(EntryDep,$P130)))</f>
        <v/>
      </c>
      <c r="I130" s="29">
        <f>IF($P130="","",IF(INDEX(EntryWit,$P130)=0,"",INDEX(EntryWit,$P130)))</f>
        <v/>
      </c>
      <c r="J130" s="29">
        <f>IF($B130="","",IF($A130=1,$C$7,IF(J129="",0,J129))+IF($H130="",0,$H130)-IF($I130="",0,$I130))</f>
        <v/>
      </c>
      <c r="K130" s="29">
        <f>IF($P130="","",IF(INDEX(EntryMan,$P130)=0,"",INDEX(EntryMan,$P130)))</f>
        <v/>
      </c>
      <c r="L130" s="28">
        <f>IF($B130="","",IF($K130="","—",IF(ROUND($K130-$J130,0)=0,"√","×")))</f>
        <v/>
      </c>
      <c r="M130" s="28">
        <f>IF($B130="","",IF(COUNTIFS(EntryDates,$B130,CalcTime,$C130,CalcBank,$C$5,EntryParty,$D130,EntryDep,$H130,EntryWit,$I130)&gt;1,"تکرار",""))</f>
        <v/>
      </c>
      <c r="N130" s="28">
        <f>IF($P130="","",IF(INDEX(EntryNotes,$P130)=0,"",INDEX(EntryNotes,$P130)))</f>
        <v/>
      </c>
      <c r="O130" s="28">
        <f>IF($P130="","",IF(INDEX(EntryTxnID,$P130)=0,"",INDEX(EntryTxnID,$P130)))</f>
        <v/>
      </c>
      <c r="P130" s="28">
        <f>IFERROR(MATCH($C$5&amp;"|"&amp;RIGHT("000000"&amp;114,6),CalcRankKey,0),"")</f>
        <v/>
      </c>
    </row>
    <row r="131">
      <c r="A131" s="26">
        <f>IF($B131="","",115)</f>
        <v/>
      </c>
      <c r="B131" s="26">
        <f>IF($P131="","",IF(INDEX(CalcNormDate,$P131)=0,"",INDEX(CalcNormDate,$P131)))</f>
        <v/>
      </c>
      <c r="C131" s="26">
        <f>IF($P131="","",IF(INDEX(CalcTime,$P131)=0,"",INDEX(CalcTime,$P131)))</f>
        <v/>
      </c>
      <c r="D131" s="26">
        <f>IF($P131="","",IF(INDEX(EntryParty,$P131)=0,"",INDEX(EntryParty,$P131)))</f>
        <v/>
      </c>
      <c r="E131" s="26">
        <f>IF($P131="","",IF(INDEX(EntryPartyName,$P131)=0,"",INDEX(EntryPartyName,$P131)))</f>
        <v/>
      </c>
      <c r="F131" s="26">
        <f>IF($P131="","",IF(INDEX(EntryPartyType,$P131)=0,"",INDEX(EntryPartyType,$P131)))</f>
        <v/>
      </c>
      <c r="G131" s="26">
        <f>IF($P131="","",IF(INDEX(EntryTxnType,$P131)=0,"",INDEX(EntryTxnType,$P131)))</f>
        <v/>
      </c>
      <c r="H131" s="27">
        <f>IF($P131="","",IF(INDEX(EntryDep,$P131)=0,"",INDEX(EntryDep,$P131)))</f>
        <v/>
      </c>
      <c r="I131" s="27">
        <f>IF($P131="","",IF(INDEX(EntryWit,$P131)=0,"",INDEX(EntryWit,$P131)))</f>
        <v/>
      </c>
      <c r="J131" s="27">
        <f>IF($B131="","",IF($A131=1,$C$7,IF(J130="",0,J130))+IF($H131="",0,$H131)-IF($I131="",0,$I131))</f>
        <v/>
      </c>
      <c r="K131" s="27">
        <f>IF($P131="","",IF(INDEX(EntryMan,$P131)=0,"",INDEX(EntryMan,$P131)))</f>
        <v/>
      </c>
      <c r="L131" s="26">
        <f>IF($B131="","",IF($K131="","—",IF(ROUND($K131-$J131,0)=0,"√","×")))</f>
        <v/>
      </c>
      <c r="M131" s="26">
        <f>IF($B131="","",IF(COUNTIFS(EntryDates,$B131,CalcTime,$C131,CalcBank,$C$5,EntryParty,$D131,EntryDep,$H131,EntryWit,$I131)&gt;1,"تکرار",""))</f>
        <v/>
      </c>
      <c r="N131" s="26">
        <f>IF($P131="","",IF(INDEX(EntryNotes,$P131)=0,"",INDEX(EntryNotes,$P131)))</f>
        <v/>
      </c>
      <c r="O131" s="26">
        <f>IF($P131="","",IF(INDEX(EntryTxnID,$P131)=0,"",INDEX(EntryTxnID,$P131)))</f>
        <v/>
      </c>
      <c r="P131" s="26">
        <f>IFERROR(MATCH($C$5&amp;"|"&amp;RIGHT("000000"&amp;115,6),CalcRankKey,0),"")</f>
        <v/>
      </c>
    </row>
    <row r="132">
      <c r="A132" s="28">
        <f>IF($B132="","",116)</f>
        <v/>
      </c>
      <c r="B132" s="28">
        <f>IF($P132="","",IF(INDEX(CalcNormDate,$P132)=0,"",INDEX(CalcNormDate,$P132)))</f>
        <v/>
      </c>
      <c r="C132" s="28">
        <f>IF($P132="","",IF(INDEX(CalcTime,$P132)=0,"",INDEX(CalcTime,$P132)))</f>
        <v/>
      </c>
      <c r="D132" s="28">
        <f>IF($P132="","",IF(INDEX(EntryParty,$P132)=0,"",INDEX(EntryParty,$P132)))</f>
        <v/>
      </c>
      <c r="E132" s="28">
        <f>IF($P132="","",IF(INDEX(EntryPartyName,$P132)=0,"",INDEX(EntryPartyName,$P132)))</f>
        <v/>
      </c>
      <c r="F132" s="28">
        <f>IF($P132="","",IF(INDEX(EntryPartyType,$P132)=0,"",INDEX(EntryPartyType,$P132)))</f>
        <v/>
      </c>
      <c r="G132" s="28">
        <f>IF($P132="","",IF(INDEX(EntryTxnType,$P132)=0,"",INDEX(EntryTxnType,$P132)))</f>
        <v/>
      </c>
      <c r="H132" s="29">
        <f>IF($P132="","",IF(INDEX(EntryDep,$P132)=0,"",INDEX(EntryDep,$P132)))</f>
        <v/>
      </c>
      <c r="I132" s="29">
        <f>IF($P132="","",IF(INDEX(EntryWit,$P132)=0,"",INDEX(EntryWit,$P132)))</f>
        <v/>
      </c>
      <c r="J132" s="29">
        <f>IF($B132="","",IF($A132=1,$C$7,IF(J131="",0,J131))+IF($H132="",0,$H132)-IF($I132="",0,$I132))</f>
        <v/>
      </c>
      <c r="K132" s="29">
        <f>IF($P132="","",IF(INDEX(EntryMan,$P132)=0,"",INDEX(EntryMan,$P132)))</f>
        <v/>
      </c>
      <c r="L132" s="28">
        <f>IF($B132="","",IF($K132="","—",IF(ROUND($K132-$J132,0)=0,"√","×")))</f>
        <v/>
      </c>
      <c r="M132" s="28">
        <f>IF($B132="","",IF(COUNTIFS(EntryDates,$B132,CalcTime,$C132,CalcBank,$C$5,EntryParty,$D132,EntryDep,$H132,EntryWit,$I132)&gt;1,"تکرار",""))</f>
        <v/>
      </c>
      <c r="N132" s="28">
        <f>IF($P132="","",IF(INDEX(EntryNotes,$P132)=0,"",INDEX(EntryNotes,$P132)))</f>
        <v/>
      </c>
      <c r="O132" s="28">
        <f>IF($P132="","",IF(INDEX(EntryTxnID,$P132)=0,"",INDEX(EntryTxnID,$P132)))</f>
        <v/>
      </c>
      <c r="P132" s="28">
        <f>IFERROR(MATCH($C$5&amp;"|"&amp;RIGHT("000000"&amp;116,6),CalcRankKey,0),"")</f>
        <v/>
      </c>
    </row>
    <row r="133">
      <c r="A133" s="26">
        <f>IF($B133="","",117)</f>
        <v/>
      </c>
      <c r="B133" s="26">
        <f>IF($P133="","",IF(INDEX(CalcNormDate,$P133)=0,"",INDEX(CalcNormDate,$P133)))</f>
        <v/>
      </c>
      <c r="C133" s="26">
        <f>IF($P133="","",IF(INDEX(CalcTime,$P133)=0,"",INDEX(CalcTime,$P133)))</f>
        <v/>
      </c>
      <c r="D133" s="26">
        <f>IF($P133="","",IF(INDEX(EntryParty,$P133)=0,"",INDEX(EntryParty,$P133)))</f>
        <v/>
      </c>
      <c r="E133" s="26">
        <f>IF($P133="","",IF(INDEX(EntryPartyName,$P133)=0,"",INDEX(EntryPartyName,$P133)))</f>
        <v/>
      </c>
      <c r="F133" s="26">
        <f>IF($P133="","",IF(INDEX(EntryPartyType,$P133)=0,"",INDEX(EntryPartyType,$P133)))</f>
        <v/>
      </c>
      <c r="G133" s="26">
        <f>IF($P133="","",IF(INDEX(EntryTxnType,$P133)=0,"",INDEX(EntryTxnType,$P133)))</f>
        <v/>
      </c>
      <c r="H133" s="27">
        <f>IF($P133="","",IF(INDEX(EntryDep,$P133)=0,"",INDEX(EntryDep,$P133)))</f>
        <v/>
      </c>
      <c r="I133" s="27">
        <f>IF($P133="","",IF(INDEX(EntryWit,$P133)=0,"",INDEX(EntryWit,$P133)))</f>
        <v/>
      </c>
      <c r="J133" s="27">
        <f>IF($B133="","",IF($A133=1,$C$7,IF(J132="",0,J132))+IF($H133="",0,$H133)-IF($I133="",0,$I133))</f>
        <v/>
      </c>
      <c r="K133" s="27">
        <f>IF($P133="","",IF(INDEX(EntryMan,$P133)=0,"",INDEX(EntryMan,$P133)))</f>
        <v/>
      </c>
      <c r="L133" s="26">
        <f>IF($B133="","",IF($K133="","—",IF(ROUND($K133-$J133,0)=0,"√","×")))</f>
        <v/>
      </c>
      <c r="M133" s="26">
        <f>IF($B133="","",IF(COUNTIFS(EntryDates,$B133,CalcTime,$C133,CalcBank,$C$5,EntryParty,$D133,EntryDep,$H133,EntryWit,$I133)&gt;1,"تکرار",""))</f>
        <v/>
      </c>
      <c r="N133" s="26">
        <f>IF($P133="","",IF(INDEX(EntryNotes,$P133)=0,"",INDEX(EntryNotes,$P133)))</f>
        <v/>
      </c>
      <c r="O133" s="26">
        <f>IF($P133="","",IF(INDEX(EntryTxnID,$P133)=0,"",INDEX(EntryTxnID,$P133)))</f>
        <v/>
      </c>
      <c r="P133" s="26">
        <f>IFERROR(MATCH($C$5&amp;"|"&amp;RIGHT("000000"&amp;117,6),CalcRankKey,0),"")</f>
        <v/>
      </c>
    </row>
    <row r="134">
      <c r="A134" s="28">
        <f>IF($B134="","",118)</f>
        <v/>
      </c>
      <c r="B134" s="28">
        <f>IF($P134="","",IF(INDEX(CalcNormDate,$P134)=0,"",INDEX(CalcNormDate,$P134)))</f>
        <v/>
      </c>
      <c r="C134" s="28">
        <f>IF($P134="","",IF(INDEX(CalcTime,$P134)=0,"",INDEX(CalcTime,$P134)))</f>
        <v/>
      </c>
      <c r="D134" s="28">
        <f>IF($P134="","",IF(INDEX(EntryParty,$P134)=0,"",INDEX(EntryParty,$P134)))</f>
        <v/>
      </c>
      <c r="E134" s="28">
        <f>IF($P134="","",IF(INDEX(EntryPartyName,$P134)=0,"",INDEX(EntryPartyName,$P134)))</f>
        <v/>
      </c>
      <c r="F134" s="28">
        <f>IF($P134="","",IF(INDEX(EntryPartyType,$P134)=0,"",INDEX(EntryPartyType,$P134)))</f>
        <v/>
      </c>
      <c r="G134" s="28">
        <f>IF($P134="","",IF(INDEX(EntryTxnType,$P134)=0,"",INDEX(EntryTxnType,$P134)))</f>
        <v/>
      </c>
      <c r="H134" s="29">
        <f>IF($P134="","",IF(INDEX(EntryDep,$P134)=0,"",INDEX(EntryDep,$P134)))</f>
        <v/>
      </c>
      <c r="I134" s="29">
        <f>IF($P134="","",IF(INDEX(EntryWit,$P134)=0,"",INDEX(EntryWit,$P134)))</f>
        <v/>
      </c>
      <c r="J134" s="29">
        <f>IF($B134="","",IF($A134=1,$C$7,IF(J133="",0,J133))+IF($H134="",0,$H134)-IF($I134="",0,$I134))</f>
        <v/>
      </c>
      <c r="K134" s="29">
        <f>IF($P134="","",IF(INDEX(EntryMan,$P134)=0,"",INDEX(EntryMan,$P134)))</f>
        <v/>
      </c>
      <c r="L134" s="28">
        <f>IF($B134="","",IF($K134="","—",IF(ROUND($K134-$J134,0)=0,"√","×")))</f>
        <v/>
      </c>
      <c r="M134" s="28">
        <f>IF($B134="","",IF(COUNTIFS(EntryDates,$B134,CalcTime,$C134,CalcBank,$C$5,EntryParty,$D134,EntryDep,$H134,EntryWit,$I134)&gt;1,"تکرار",""))</f>
        <v/>
      </c>
      <c r="N134" s="28">
        <f>IF($P134="","",IF(INDEX(EntryNotes,$P134)=0,"",INDEX(EntryNotes,$P134)))</f>
        <v/>
      </c>
      <c r="O134" s="28">
        <f>IF($P134="","",IF(INDEX(EntryTxnID,$P134)=0,"",INDEX(EntryTxnID,$P134)))</f>
        <v/>
      </c>
      <c r="P134" s="28">
        <f>IFERROR(MATCH($C$5&amp;"|"&amp;RIGHT("000000"&amp;118,6),CalcRankKey,0),"")</f>
        <v/>
      </c>
    </row>
    <row r="135">
      <c r="A135" s="26">
        <f>IF($B135="","",119)</f>
        <v/>
      </c>
      <c r="B135" s="26">
        <f>IF($P135="","",IF(INDEX(CalcNormDate,$P135)=0,"",INDEX(CalcNormDate,$P135)))</f>
        <v/>
      </c>
      <c r="C135" s="26">
        <f>IF($P135="","",IF(INDEX(CalcTime,$P135)=0,"",INDEX(CalcTime,$P135)))</f>
        <v/>
      </c>
      <c r="D135" s="26">
        <f>IF($P135="","",IF(INDEX(EntryParty,$P135)=0,"",INDEX(EntryParty,$P135)))</f>
        <v/>
      </c>
      <c r="E135" s="26">
        <f>IF($P135="","",IF(INDEX(EntryPartyName,$P135)=0,"",INDEX(EntryPartyName,$P135)))</f>
        <v/>
      </c>
      <c r="F135" s="26">
        <f>IF($P135="","",IF(INDEX(EntryPartyType,$P135)=0,"",INDEX(EntryPartyType,$P135)))</f>
        <v/>
      </c>
      <c r="G135" s="26">
        <f>IF($P135="","",IF(INDEX(EntryTxnType,$P135)=0,"",INDEX(EntryTxnType,$P135)))</f>
        <v/>
      </c>
      <c r="H135" s="27">
        <f>IF($P135="","",IF(INDEX(EntryDep,$P135)=0,"",INDEX(EntryDep,$P135)))</f>
        <v/>
      </c>
      <c r="I135" s="27">
        <f>IF($P135="","",IF(INDEX(EntryWit,$P135)=0,"",INDEX(EntryWit,$P135)))</f>
        <v/>
      </c>
      <c r="J135" s="27">
        <f>IF($B135="","",IF($A135=1,$C$7,IF(J134="",0,J134))+IF($H135="",0,$H135)-IF($I135="",0,$I135))</f>
        <v/>
      </c>
      <c r="K135" s="27">
        <f>IF($P135="","",IF(INDEX(EntryMan,$P135)=0,"",INDEX(EntryMan,$P135)))</f>
        <v/>
      </c>
      <c r="L135" s="26">
        <f>IF($B135="","",IF($K135="","—",IF(ROUND($K135-$J135,0)=0,"√","×")))</f>
        <v/>
      </c>
      <c r="M135" s="26">
        <f>IF($B135="","",IF(COUNTIFS(EntryDates,$B135,CalcTime,$C135,CalcBank,$C$5,EntryParty,$D135,EntryDep,$H135,EntryWit,$I135)&gt;1,"تکرار",""))</f>
        <v/>
      </c>
      <c r="N135" s="26">
        <f>IF($P135="","",IF(INDEX(EntryNotes,$P135)=0,"",INDEX(EntryNotes,$P135)))</f>
        <v/>
      </c>
      <c r="O135" s="26">
        <f>IF($P135="","",IF(INDEX(EntryTxnID,$P135)=0,"",INDEX(EntryTxnID,$P135)))</f>
        <v/>
      </c>
      <c r="P135" s="26">
        <f>IFERROR(MATCH($C$5&amp;"|"&amp;RIGHT("000000"&amp;119,6),CalcRankKey,0),"")</f>
        <v/>
      </c>
    </row>
    <row r="136">
      <c r="A136" s="28">
        <f>IF($B136="","",120)</f>
        <v/>
      </c>
      <c r="B136" s="28">
        <f>IF($P136="","",IF(INDEX(CalcNormDate,$P136)=0,"",INDEX(CalcNormDate,$P136)))</f>
        <v/>
      </c>
      <c r="C136" s="28">
        <f>IF($P136="","",IF(INDEX(CalcTime,$P136)=0,"",INDEX(CalcTime,$P136)))</f>
        <v/>
      </c>
      <c r="D136" s="28">
        <f>IF($P136="","",IF(INDEX(EntryParty,$P136)=0,"",INDEX(EntryParty,$P136)))</f>
        <v/>
      </c>
      <c r="E136" s="28">
        <f>IF($P136="","",IF(INDEX(EntryPartyName,$P136)=0,"",INDEX(EntryPartyName,$P136)))</f>
        <v/>
      </c>
      <c r="F136" s="28">
        <f>IF($P136="","",IF(INDEX(EntryPartyType,$P136)=0,"",INDEX(EntryPartyType,$P136)))</f>
        <v/>
      </c>
      <c r="G136" s="28">
        <f>IF($P136="","",IF(INDEX(EntryTxnType,$P136)=0,"",INDEX(EntryTxnType,$P136)))</f>
        <v/>
      </c>
      <c r="H136" s="29">
        <f>IF($P136="","",IF(INDEX(EntryDep,$P136)=0,"",INDEX(EntryDep,$P136)))</f>
        <v/>
      </c>
      <c r="I136" s="29">
        <f>IF($P136="","",IF(INDEX(EntryWit,$P136)=0,"",INDEX(EntryWit,$P136)))</f>
        <v/>
      </c>
      <c r="J136" s="29">
        <f>IF($B136="","",IF($A136=1,$C$7,IF(J135="",0,J135))+IF($H136="",0,$H136)-IF($I136="",0,$I136))</f>
        <v/>
      </c>
      <c r="K136" s="29">
        <f>IF($P136="","",IF(INDEX(EntryMan,$P136)=0,"",INDEX(EntryMan,$P136)))</f>
        <v/>
      </c>
      <c r="L136" s="28">
        <f>IF($B136="","",IF($K136="","—",IF(ROUND($K136-$J136,0)=0,"√","×")))</f>
        <v/>
      </c>
      <c r="M136" s="28">
        <f>IF($B136="","",IF(COUNTIFS(EntryDates,$B136,CalcTime,$C136,CalcBank,$C$5,EntryParty,$D136,EntryDep,$H136,EntryWit,$I136)&gt;1,"تکرار",""))</f>
        <v/>
      </c>
      <c r="N136" s="28">
        <f>IF($P136="","",IF(INDEX(EntryNotes,$P136)=0,"",INDEX(EntryNotes,$P136)))</f>
        <v/>
      </c>
      <c r="O136" s="28">
        <f>IF($P136="","",IF(INDEX(EntryTxnID,$P136)=0,"",INDEX(EntryTxnID,$P136)))</f>
        <v/>
      </c>
      <c r="P136" s="28">
        <f>IFERROR(MATCH($C$5&amp;"|"&amp;RIGHT("000000"&amp;120,6),CalcRankKey,0),"")</f>
        <v/>
      </c>
    </row>
    <row r="137">
      <c r="A137" s="26">
        <f>IF($B137="","",121)</f>
        <v/>
      </c>
      <c r="B137" s="26">
        <f>IF($P137="","",IF(INDEX(CalcNormDate,$P137)=0,"",INDEX(CalcNormDate,$P137)))</f>
        <v/>
      </c>
      <c r="C137" s="26">
        <f>IF($P137="","",IF(INDEX(CalcTime,$P137)=0,"",INDEX(CalcTime,$P137)))</f>
        <v/>
      </c>
      <c r="D137" s="26">
        <f>IF($P137="","",IF(INDEX(EntryParty,$P137)=0,"",INDEX(EntryParty,$P137)))</f>
        <v/>
      </c>
      <c r="E137" s="26">
        <f>IF($P137="","",IF(INDEX(EntryPartyName,$P137)=0,"",INDEX(EntryPartyName,$P137)))</f>
        <v/>
      </c>
      <c r="F137" s="26">
        <f>IF($P137="","",IF(INDEX(EntryPartyType,$P137)=0,"",INDEX(EntryPartyType,$P137)))</f>
        <v/>
      </c>
      <c r="G137" s="26">
        <f>IF($P137="","",IF(INDEX(EntryTxnType,$P137)=0,"",INDEX(EntryTxnType,$P137)))</f>
        <v/>
      </c>
      <c r="H137" s="27">
        <f>IF($P137="","",IF(INDEX(EntryDep,$P137)=0,"",INDEX(EntryDep,$P137)))</f>
        <v/>
      </c>
      <c r="I137" s="27">
        <f>IF($P137="","",IF(INDEX(EntryWit,$P137)=0,"",INDEX(EntryWit,$P137)))</f>
        <v/>
      </c>
      <c r="J137" s="27">
        <f>IF($B137="","",IF($A137=1,$C$7,IF(J136="",0,J136))+IF($H137="",0,$H137)-IF($I137="",0,$I137))</f>
        <v/>
      </c>
      <c r="K137" s="27">
        <f>IF($P137="","",IF(INDEX(EntryMan,$P137)=0,"",INDEX(EntryMan,$P137)))</f>
        <v/>
      </c>
      <c r="L137" s="26">
        <f>IF($B137="","",IF($K137="","—",IF(ROUND($K137-$J137,0)=0,"√","×")))</f>
        <v/>
      </c>
      <c r="M137" s="26">
        <f>IF($B137="","",IF(COUNTIFS(EntryDates,$B137,CalcTime,$C137,CalcBank,$C$5,EntryParty,$D137,EntryDep,$H137,EntryWit,$I137)&gt;1,"تکرار",""))</f>
        <v/>
      </c>
      <c r="N137" s="26">
        <f>IF($P137="","",IF(INDEX(EntryNotes,$P137)=0,"",INDEX(EntryNotes,$P137)))</f>
        <v/>
      </c>
      <c r="O137" s="26">
        <f>IF($P137="","",IF(INDEX(EntryTxnID,$P137)=0,"",INDEX(EntryTxnID,$P137)))</f>
        <v/>
      </c>
      <c r="P137" s="26">
        <f>IFERROR(MATCH($C$5&amp;"|"&amp;RIGHT("000000"&amp;121,6),CalcRankKey,0),"")</f>
        <v/>
      </c>
    </row>
    <row r="138">
      <c r="A138" s="28">
        <f>IF($B138="","",122)</f>
        <v/>
      </c>
      <c r="B138" s="28">
        <f>IF($P138="","",IF(INDEX(CalcNormDate,$P138)=0,"",INDEX(CalcNormDate,$P138)))</f>
        <v/>
      </c>
      <c r="C138" s="28">
        <f>IF($P138="","",IF(INDEX(CalcTime,$P138)=0,"",INDEX(CalcTime,$P138)))</f>
        <v/>
      </c>
      <c r="D138" s="28">
        <f>IF($P138="","",IF(INDEX(EntryParty,$P138)=0,"",INDEX(EntryParty,$P138)))</f>
        <v/>
      </c>
      <c r="E138" s="28">
        <f>IF($P138="","",IF(INDEX(EntryPartyName,$P138)=0,"",INDEX(EntryPartyName,$P138)))</f>
        <v/>
      </c>
      <c r="F138" s="28">
        <f>IF($P138="","",IF(INDEX(EntryPartyType,$P138)=0,"",INDEX(EntryPartyType,$P138)))</f>
        <v/>
      </c>
      <c r="G138" s="28">
        <f>IF($P138="","",IF(INDEX(EntryTxnType,$P138)=0,"",INDEX(EntryTxnType,$P138)))</f>
        <v/>
      </c>
      <c r="H138" s="29">
        <f>IF($P138="","",IF(INDEX(EntryDep,$P138)=0,"",INDEX(EntryDep,$P138)))</f>
        <v/>
      </c>
      <c r="I138" s="29">
        <f>IF($P138="","",IF(INDEX(EntryWit,$P138)=0,"",INDEX(EntryWit,$P138)))</f>
        <v/>
      </c>
      <c r="J138" s="29">
        <f>IF($B138="","",IF($A138=1,$C$7,IF(J137="",0,J137))+IF($H138="",0,$H138)-IF($I138="",0,$I138))</f>
        <v/>
      </c>
      <c r="K138" s="29">
        <f>IF($P138="","",IF(INDEX(EntryMan,$P138)=0,"",INDEX(EntryMan,$P138)))</f>
        <v/>
      </c>
      <c r="L138" s="28">
        <f>IF($B138="","",IF($K138="","—",IF(ROUND($K138-$J138,0)=0,"√","×")))</f>
        <v/>
      </c>
      <c r="M138" s="28">
        <f>IF($B138="","",IF(COUNTIFS(EntryDates,$B138,CalcTime,$C138,CalcBank,$C$5,EntryParty,$D138,EntryDep,$H138,EntryWit,$I138)&gt;1,"تکرار",""))</f>
        <v/>
      </c>
      <c r="N138" s="28">
        <f>IF($P138="","",IF(INDEX(EntryNotes,$P138)=0,"",INDEX(EntryNotes,$P138)))</f>
        <v/>
      </c>
      <c r="O138" s="28">
        <f>IF($P138="","",IF(INDEX(EntryTxnID,$P138)=0,"",INDEX(EntryTxnID,$P138)))</f>
        <v/>
      </c>
      <c r="P138" s="28">
        <f>IFERROR(MATCH($C$5&amp;"|"&amp;RIGHT("000000"&amp;122,6),CalcRankKey,0),"")</f>
        <v/>
      </c>
    </row>
    <row r="139">
      <c r="A139" s="26">
        <f>IF($B139="","",123)</f>
        <v/>
      </c>
      <c r="B139" s="26">
        <f>IF($P139="","",IF(INDEX(CalcNormDate,$P139)=0,"",INDEX(CalcNormDate,$P139)))</f>
        <v/>
      </c>
      <c r="C139" s="26">
        <f>IF($P139="","",IF(INDEX(CalcTime,$P139)=0,"",INDEX(CalcTime,$P139)))</f>
        <v/>
      </c>
      <c r="D139" s="26">
        <f>IF($P139="","",IF(INDEX(EntryParty,$P139)=0,"",INDEX(EntryParty,$P139)))</f>
        <v/>
      </c>
      <c r="E139" s="26">
        <f>IF($P139="","",IF(INDEX(EntryPartyName,$P139)=0,"",INDEX(EntryPartyName,$P139)))</f>
        <v/>
      </c>
      <c r="F139" s="26">
        <f>IF($P139="","",IF(INDEX(EntryPartyType,$P139)=0,"",INDEX(EntryPartyType,$P139)))</f>
        <v/>
      </c>
      <c r="G139" s="26">
        <f>IF($P139="","",IF(INDEX(EntryTxnType,$P139)=0,"",INDEX(EntryTxnType,$P139)))</f>
        <v/>
      </c>
      <c r="H139" s="27">
        <f>IF($P139="","",IF(INDEX(EntryDep,$P139)=0,"",INDEX(EntryDep,$P139)))</f>
        <v/>
      </c>
      <c r="I139" s="27">
        <f>IF($P139="","",IF(INDEX(EntryWit,$P139)=0,"",INDEX(EntryWit,$P139)))</f>
        <v/>
      </c>
      <c r="J139" s="27">
        <f>IF($B139="","",IF($A139=1,$C$7,IF(J138="",0,J138))+IF($H139="",0,$H139)-IF($I139="",0,$I139))</f>
        <v/>
      </c>
      <c r="K139" s="27">
        <f>IF($P139="","",IF(INDEX(EntryMan,$P139)=0,"",INDEX(EntryMan,$P139)))</f>
        <v/>
      </c>
      <c r="L139" s="26">
        <f>IF($B139="","",IF($K139="","—",IF(ROUND($K139-$J139,0)=0,"√","×")))</f>
        <v/>
      </c>
      <c r="M139" s="26">
        <f>IF($B139="","",IF(COUNTIFS(EntryDates,$B139,CalcTime,$C139,CalcBank,$C$5,EntryParty,$D139,EntryDep,$H139,EntryWit,$I139)&gt;1,"تکرار",""))</f>
        <v/>
      </c>
      <c r="N139" s="26">
        <f>IF($P139="","",IF(INDEX(EntryNotes,$P139)=0,"",INDEX(EntryNotes,$P139)))</f>
        <v/>
      </c>
      <c r="O139" s="26">
        <f>IF($P139="","",IF(INDEX(EntryTxnID,$P139)=0,"",INDEX(EntryTxnID,$P139)))</f>
        <v/>
      </c>
      <c r="P139" s="26">
        <f>IFERROR(MATCH($C$5&amp;"|"&amp;RIGHT("000000"&amp;123,6),CalcRankKey,0),"")</f>
        <v/>
      </c>
    </row>
    <row r="140">
      <c r="A140" s="28">
        <f>IF($B140="","",124)</f>
        <v/>
      </c>
      <c r="B140" s="28">
        <f>IF($P140="","",IF(INDEX(CalcNormDate,$P140)=0,"",INDEX(CalcNormDate,$P140)))</f>
        <v/>
      </c>
      <c r="C140" s="28">
        <f>IF($P140="","",IF(INDEX(CalcTime,$P140)=0,"",INDEX(CalcTime,$P140)))</f>
        <v/>
      </c>
      <c r="D140" s="28">
        <f>IF($P140="","",IF(INDEX(EntryParty,$P140)=0,"",INDEX(EntryParty,$P140)))</f>
        <v/>
      </c>
      <c r="E140" s="28">
        <f>IF($P140="","",IF(INDEX(EntryPartyName,$P140)=0,"",INDEX(EntryPartyName,$P140)))</f>
        <v/>
      </c>
      <c r="F140" s="28">
        <f>IF($P140="","",IF(INDEX(EntryPartyType,$P140)=0,"",INDEX(EntryPartyType,$P140)))</f>
        <v/>
      </c>
      <c r="G140" s="28">
        <f>IF($P140="","",IF(INDEX(EntryTxnType,$P140)=0,"",INDEX(EntryTxnType,$P140)))</f>
        <v/>
      </c>
      <c r="H140" s="29">
        <f>IF($P140="","",IF(INDEX(EntryDep,$P140)=0,"",INDEX(EntryDep,$P140)))</f>
        <v/>
      </c>
      <c r="I140" s="29">
        <f>IF($P140="","",IF(INDEX(EntryWit,$P140)=0,"",INDEX(EntryWit,$P140)))</f>
        <v/>
      </c>
      <c r="J140" s="29">
        <f>IF($B140="","",IF($A140=1,$C$7,IF(J139="",0,J139))+IF($H140="",0,$H140)-IF($I140="",0,$I140))</f>
        <v/>
      </c>
      <c r="K140" s="29">
        <f>IF($P140="","",IF(INDEX(EntryMan,$P140)=0,"",INDEX(EntryMan,$P140)))</f>
        <v/>
      </c>
      <c r="L140" s="28">
        <f>IF($B140="","",IF($K140="","—",IF(ROUND($K140-$J140,0)=0,"√","×")))</f>
        <v/>
      </c>
      <c r="M140" s="28">
        <f>IF($B140="","",IF(COUNTIFS(EntryDates,$B140,CalcTime,$C140,CalcBank,$C$5,EntryParty,$D140,EntryDep,$H140,EntryWit,$I140)&gt;1,"تکرار",""))</f>
        <v/>
      </c>
      <c r="N140" s="28">
        <f>IF($P140="","",IF(INDEX(EntryNotes,$P140)=0,"",INDEX(EntryNotes,$P140)))</f>
        <v/>
      </c>
      <c r="O140" s="28">
        <f>IF($P140="","",IF(INDEX(EntryTxnID,$P140)=0,"",INDEX(EntryTxnID,$P140)))</f>
        <v/>
      </c>
      <c r="P140" s="28">
        <f>IFERROR(MATCH($C$5&amp;"|"&amp;RIGHT("000000"&amp;124,6),CalcRankKey,0),"")</f>
        <v/>
      </c>
    </row>
    <row r="141">
      <c r="A141" s="26">
        <f>IF($B141="","",125)</f>
        <v/>
      </c>
      <c r="B141" s="26">
        <f>IF($P141="","",IF(INDEX(CalcNormDate,$P141)=0,"",INDEX(CalcNormDate,$P141)))</f>
        <v/>
      </c>
      <c r="C141" s="26">
        <f>IF($P141="","",IF(INDEX(CalcTime,$P141)=0,"",INDEX(CalcTime,$P141)))</f>
        <v/>
      </c>
      <c r="D141" s="26">
        <f>IF($P141="","",IF(INDEX(EntryParty,$P141)=0,"",INDEX(EntryParty,$P141)))</f>
        <v/>
      </c>
      <c r="E141" s="26">
        <f>IF($P141="","",IF(INDEX(EntryPartyName,$P141)=0,"",INDEX(EntryPartyName,$P141)))</f>
        <v/>
      </c>
      <c r="F141" s="26">
        <f>IF($P141="","",IF(INDEX(EntryPartyType,$P141)=0,"",INDEX(EntryPartyType,$P141)))</f>
        <v/>
      </c>
      <c r="G141" s="26">
        <f>IF($P141="","",IF(INDEX(EntryTxnType,$P141)=0,"",INDEX(EntryTxnType,$P141)))</f>
        <v/>
      </c>
      <c r="H141" s="27">
        <f>IF($P141="","",IF(INDEX(EntryDep,$P141)=0,"",INDEX(EntryDep,$P141)))</f>
        <v/>
      </c>
      <c r="I141" s="27">
        <f>IF($P141="","",IF(INDEX(EntryWit,$P141)=0,"",INDEX(EntryWit,$P141)))</f>
        <v/>
      </c>
      <c r="J141" s="27">
        <f>IF($B141="","",IF($A141=1,$C$7,IF(J140="",0,J140))+IF($H141="",0,$H141)-IF($I141="",0,$I141))</f>
        <v/>
      </c>
      <c r="K141" s="27">
        <f>IF($P141="","",IF(INDEX(EntryMan,$P141)=0,"",INDEX(EntryMan,$P141)))</f>
        <v/>
      </c>
      <c r="L141" s="26">
        <f>IF($B141="","",IF($K141="","—",IF(ROUND($K141-$J141,0)=0,"√","×")))</f>
        <v/>
      </c>
      <c r="M141" s="26">
        <f>IF($B141="","",IF(COUNTIFS(EntryDates,$B141,CalcTime,$C141,CalcBank,$C$5,EntryParty,$D141,EntryDep,$H141,EntryWit,$I141)&gt;1,"تکرار",""))</f>
        <v/>
      </c>
      <c r="N141" s="26">
        <f>IF($P141="","",IF(INDEX(EntryNotes,$P141)=0,"",INDEX(EntryNotes,$P141)))</f>
        <v/>
      </c>
      <c r="O141" s="26">
        <f>IF($P141="","",IF(INDEX(EntryTxnID,$P141)=0,"",INDEX(EntryTxnID,$P141)))</f>
        <v/>
      </c>
      <c r="P141" s="26">
        <f>IFERROR(MATCH($C$5&amp;"|"&amp;RIGHT("000000"&amp;125,6),CalcRankKey,0),"")</f>
        <v/>
      </c>
    </row>
    <row r="142">
      <c r="A142" s="28">
        <f>IF($B142="","",126)</f>
        <v/>
      </c>
      <c r="B142" s="28">
        <f>IF($P142="","",IF(INDEX(CalcNormDate,$P142)=0,"",INDEX(CalcNormDate,$P142)))</f>
        <v/>
      </c>
      <c r="C142" s="28">
        <f>IF($P142="","",IF(INDEX(CalcTime,$P142)=0,"",INDEX(CalcTime,$P142)))</f>
        <v/>
      </c>
      <c r="D142" s="28">
        <f>IF($P142="","",IF(INDEX(EntryParty,$P142)=0,"",INDEX(EntryParty,$P142)))</f>
        <v/>
      </c>
      <c r="E142" s="28">
        <f>IF($P142="","",IF(INDEX(EntryPartyName,$P142)=0,"",INDEX(EntryPartyName,$P142)))</f>
        <v/>
      </c>
      <c r="F142" s="28">
        <f>IF($P142="","",IF(INDEX(EntryPartyType,$P142)=0,"",INDEX(EntryPartyType,$P142)))</f>
        <v/>
      </c>
      <c r="G142" s="28">
        <f>IF($P142="","",IF(INDEX(EntryTxnType,$P142)=0,"",INDEX(EntryTxnType,$P142)))</f>
        <v/>
      </c>
      <c r="H142" s="29">
        <f>IF($P142="","",IF(INDEX(EntryDep,$P142)=0,"",INDEX(EntryDep,$P142)))</f>
        <v/>
      </c>
      <c r="I142" s="29">
        <f>IF($P142="","",IF(INDEX(EntryWit,$P142)=0,"",INDEX(EntryWit,$P142)))</f>
        <v/>
      </c>
      <c r="J142" s="29">
        <f>IF($B142="","",IF($A142=1,$C$7,IF(J141="",0,J141))+IF($H142="",0,$H142)-IF($I142="",0,$I142))</f>
        <v/>
      </c>
      <c r="K142" s="29">
        <f>IF($P142="","",IF(INDEX(EntryMan,$P142)=0,"",INDEX(EntryMan,$P142)))</f>
        <v/>
      </c>
      <c r="L142" s="28">
        <f>IF($B142="","",IF($K142="","—",IF(ROUND($K142-$J142,0)=0,"√","×")))</f>
        <v/>
      </c>
      <c r="M142" s="28">
        <f>IF($B142="","",IF(COUNTIFS(EntryDates,$B142,CalcTime,$C142,CalcBank,$C$5,EntryParty,$D142,EntryDep,$H142,EntryWit,$I142)&gt;1,"تکرار",""))</f>
        <v/>
      </c>
      <c r="N142" s="28">
        <f>IF($P142="","",IF(INDEX(EntryNotes,$P142)=0,"",INDEX(EntryNotes,$P142)))</f>
        <v/>
      </c>
      <c r="O142" s="28">
        <f>IF($P142="","",IF(INDEX(EntryTxnID,$P142)=0,"",INDEX(EntryTxnID,$P142)))</f>
        <v/>
      </c>
      <c r="P142" s="28">
        <f>IFERROR(MATCH($C$5&amp;"|"&amp;RIGHT("000000"&amp;126,6),CalcRankKey,0),"")</f>
        <v/>
      </c>
    </row>
    <row r="143">
      <c r="A143" s="26">
        <f>IF($B143="","",127)</f>
        <v/>
      </c>
      <c r="B143" s="26">
        <f>IF($P143="","",IF(INDEX(CalcNormDate,$P143)=0,"",INDEX(CalcNormDate,$P143)))</f>
        <v/>
      </c>
      <c r="C143" s="26">
        <f>IF($P143="","",IF(INDEX(CalcTime,$P143)=0,"",INDEX(CalcTime,$P143)))</f>
        <v/>
      </c>
      <c r="D143" s="26">
        <f>IF($P143="","",IF(INDEX(EntryParty,$P143)=0,"",INDEX(EntryParty,$P143)))</f>
        <v/>
      </c>
      <c r="E143" s="26">
        <f>IF($P143="","",IF(INDEX(EntryPartyName,$P143)=0,"",INDEX(EntryPartyName,$P143)))</f>
        <v/>
      </c>
      <c r="F143" s="26">
        <f>IF($P143="","",IF(INDEX(EntryPartyType,$P143)=0,"",INDEX(EntryPartyType,$P143)))</f>
        <v/>
      </c>
      <c r="G143" s="26">
        <f>IF($P143="","",IF(INDEX(EntryTxnType,$P143)=0,"",INDEX(EntryTxnType,$P143)))</f>
        <v/>
      </c>
      <c r="H143" s="27">
        <f>IF($P143="","",IF(INDEX(EntryDep,$P143)=0,"",INDEX(EntryDep,$P143)))</f>
        <v/>
      </c>
      <c r="I143" s="27">
        <f>IF($P143="","",IF(INDEX(EntryWit,$P143)=0,"",INDEX(EntryWit,$P143)))</f>
        <v/>
      </c>
      <c r="J143" s="27">
        <f>IF($B143="","",IF($A143=1,$C$7,IF(J142="",0,J142))+IF($H143="",0,$H143)-IF($I143="",0,$I143))</f>
        <v/>
      </c>
      <c r="K143" s="27">
        <f>IF($P143="","",IF(INDEX(EntryMan,$P143)=0,"",INDEX(EntryMan,$P143)))</f>
        <v/>
      </c>
      <c r="L143" s="26">
        <f>IF($B143="","",IF($K143="","—",IF(ROUND($K143-$J143,0)=0,"√","×")))</f>
        <v/>
      </c>
      <c r="M143" s="26">
        <f>IF($B143="","",IF(COUNTIFS(EntryDates,$B143,CalcTime,$C143,CalcBank,$C$5,EntryParty,$D143,EntryDep,$H143,EntryWit,$I143)&gt;1,"تکرار",""))</f>
        <v/>
      </c>
      <c r="N143" s="26">
        <f>IF($P143="","",IF(INDEX(EntryNotes,$P143)=0,"",INDEX(EntryNotes,$P143)))</f>
        <v/>
      </c>
      <c r="O143" s="26">
        <f>IF($P143="","",IF(INDEX(EntryTxnID,$P143)=0,"",INDEX(EntryTxnID,$P143)))</f>
        <v/>
      </c>
      <c r="P143" s="26">
        <f>IFERROR(MATCH($C$5&amp;"|"&amp;RIGHT("000000"&amp;127,6),CalcRankKey,0),"")</f>
        <v/>
      </c>
    </row>
    <row r="144">
      <c r="A144" s="28">
        <f>IF($B144="","",128)</f>
        <v/>
      </c>
      <c r="B144" s="28">
        <f>IF($P144="","",IF(INDEX(CalcNormDate,$P144)=0,"",INDEX(CalcNormDate,$P144)))</f>
        <v/>
      </c>
      <c r="C144" s="28">
        <f>IF($P144="","",IF(INDEX(CalcTime,$P144)=0,"",INDEX(CalcTime,$P144)))</f>
        <v/>
      </c>
      <c r="D144" s="28">
        <f>IF($P144="","",IF(INDEX(EntryParty,$P144)=0,"",INDEX(EntryParty,$P144)))</f>
        <v/>
      </c>
      <c r="E144" s="28">
        <f>IF($P144="","",IF(INDEX(EntryPartyName,$P144)=0,"",INDEX(EntryPartyName,$P144)))</f>
        <v/>
      </c>
      <c r="F144" s="28">
        <f>IF($P144="","",IF(INDEX(EntryPartyType,$P144)=0,"",INDEX(EntryPartyType,$P144)))</f>
        <v/>
      </c>
      <c r="G144" s="28">
        <f>IF($P144="","",IF(INDEX(EntryTxnType,$P144)=0,"",INDEX(EntryTxnType,$P144)))</f>
        <v/>
      </c>
      <c r="H144" s="29">
        <f>IF($P144="","",IF(INDEX(EntryDep,$P144)=0,"",INDEX(EntryDep,$P144)))</f>
        <v/>
      </c>
      <c r="I144" s="29">
        <f>IF($P144="","",IF(INDEX(EntryWit,$P144)=0,"",INDEX(EntryWit,$P144)))</f>
        <v/>
      </c>
      <c r="J144" s="29">
        <f>IF($B144="","",IF($A144=1,$C$7,IF(J143="",0,J143))+IF($H144="",0,$H144)-IF($I144="",0,$I144))</f>
        <v/>
      </c>
      <c r="K144" s="29">
        <f>IF($P144="","",IF(INDEX(EntryMan,$P144)=0,"",INDEX(EntryMan,$P144)))</f>
        <v/>
      </c>
      <c r="L144" s="28">
        <f>IF($B144="","",IF($K144="","—",IF(ROUND($K144-$J144,0)=0,"√","×")))</f>
        <v/>
      </c>
      <c r="M144" s="28">
        <f>IF($B144="","",IF(COUNTIFS(EntryDates,$B144,CalcTime,$C144,CalcBank,$C$5,EntryParty,$D144,EntryDep,$H144,EntryWit,$I144)&gt;1,"تکرار",""))</f>
        <v/>
      </c>
      <c r="N144" s="28">
        <f>IF($P144="","",IF(INDEX(EntryNotes,$P144)=0,"",INDEX(EntryNotes,$P144)))</f>
        <v/>
      </c>
      <c r="O144" s="28">
        <f>IF($P144="","",IF(INDEX(EntryTxnID,$P144)=0,"",INDEX(EntryTxnID,$P144)))</f>
        <v/>
      </c>
      <c r="P144" s="28">
        <f>IFERROR(MATCH($C$5&amp;"|"&amp;RIGHT("000000"&amp;128,6),CalcRankKey,0),"")</f>
        <v/>
      </c>
    </row>
    <row r="145">
      <c r="A145" s="26">
        <f>IF($B145="","",129)</f>
        <v/>
      </c>
      <c r="B145" s="26">
        <f>IF($P145="","",IF(INDEX(CalcNormDate,$P145)=0,"",INDEX(CalcNormDate,$P145)))</f>
        <v/>
      </c>
      <c r="C145" s="26">
        <f>IF($P145="","",IF(INDEX(CalcTime,$P145)=0,"",INDEX(CalcTime,$P145)))</f>
        <v/>
      </c>
      <c r="D145" s="26">
        <f>IF($P145="","",IF(INDEX(EntryParty,$P145)=0,"",INDEX(EntryParty,$P145)))</f>
        <v/>
      </c>
      <c r="E145" s="26">
        <f>IF($P145="","",IF(INDEX(EntryPartyName,$P145)=0,"",INDEX(EntryPartyName,$P145)))</f>
        <v/>
      </c>
      <c r="F145" s="26">
        <f>IF($P145="","",IF(INDEX(EntryPartyType,$P145)=0,"",INDEX(EntryPartyType,$P145)))</f>
        <v/>
      </c>
      <c r="G145" s="26">
        <f>IF($P145="","",IF(INDEX(EntryTxnType,$P145)=0,"",INDEX(EntryTxnType,$P145)))</f>
        <v/>
      </c>
      <c r="H145" s="27">
        <f>IF($P145="","",IF(INDEX(EntryDep,$P145)=0,"",INDEX(EntryDep,$P145)))</f>
        <v/>
      </c>
      <c r="I145" s="27">
        <f>IF($P145="","",IF(INDEX(EntryWit,$P145)=0,"",INDEX(EntryWit,$P145)))</f>
        <v/>
      </c>
      <c r="J145" s="27">
        <f>IF($B145="","",IF($A145=1,$C$7,IF(J144="",0,J144))+IF($H145="",0,$H145)-IF($I145="",0,$I145))</f>
        <v/>
      </c>
      <c r="K145" s="27">
        <f>IF($P145="","",IF(INDEX(EntryMan,$P145)=0,"",INDEX(EntryMan,$P145)))</f>
        <v/>
      </c>
      <c r="L145" s="26">
        <f>IF($B145="","",IF($K145="","—",IF(ROUND($K145-$J145,0)=0,"√","×")))</f>
        <v/>
      </c>
      <c r="M145" s="26">
        <f>IF($B145="","",IF(COUNTIFS(EntryDates,$B145,CalcTime,$C145,CalcBank,$C$5,EntryParty,$D145,EntryDep,$H145,EntryWit,$I145)&gt;1,"تکرار",""))</f>
        <v/>
      </c>
      <c r="N145" s="26">
        <f>IF($P145="","",IF(INDEX(EntryNotes,$P145)=0,"",INDEX(EntryNotes,$P145)))</f>
        <v/>
      </c>
      <c r="O145" s="26">
        <f>IF($P145="","",IF(INDEX(EntryTxnID,$P145)=0,"",INDEX(EntryTxnID,$P145)))</f>
        <v/>
      </c>
      <c r="P145" s="26">
        <f>IFERROR(MATCH($C$5&amp;"|"&amp;RIGHT("000000"&amp;129,6),CalcRankKey,0),"")</f>
        <v/>
      </c>
    </row>
    <row r="146">
      <c r="A146" s="28">
        <f>IF($B146="","",130)</f>
        <v/>
      </c>
      <c r="B146" s="28">
        <f>IF($P146="","",IF(INDEX(CalcNormDate,$P146)=0,"",INDEX(CalcNormDate,$P146)))</f>
        <v/>
      </c>
      <c r="C146" s="28">
        <f>IF($P146="","",IF(INDEX(CalcTime,$P146)=0,"",INDEX(CalcTime,$P146)))</f>
        <v/>
      </c>
      <c r="D146" s="28">
        <f>IF($P146="","",IF(INDEX(EntryParty,$P146)=0,"",INDEX(EntryParty,$P146)))</f>
        <v/>
      </c>
      <c r="E146" s="28">
        <f>IF($P146="","",IF(INDEX(EntryPartyName,$P146)=0,"",INDEX(EntryPartyName,$P146)))</f>
        <v/>
      </c>
      <c r="F146" s="28">
        <f>IF($P146="","",IF(INDEX(EntryPartyType,$P146)=0,"",INDEX(EntryPartyType,$P146)))</f>
        <v/>
      </c>
      <c r="G146" s="28">
        <f>IF($P146="","",IF(INDEX(EntryTxnType,$P146)=0,"",INDEX(EntryTxnType,$P146)))</f>
        <v/>
      </c>
      <c r="H146" s="29">
        <f>IF($P146="","",IF(INDEX(EntryDep,$P146)=0,"",INDEX(EntryDep,$P146)))</f>
        <v/>
      </c>
      <c r="I146" s="29">
        <f>IF($P146="","",IF(INDEX(EntryWit,$P146)=0,"",INDEX(EntryWit,$P146)))</f>
        <v/>
      </c>
      <c r="J146" s="29">
        <f>IF($B146="","",IF($A146=1,$C$7,IF(J145="",0,J145))+IF($H146="",0,$H146)-IF($I146="",0,$I146))</f>
        <v/>
      </c>
      <c r="K146" s="29">
        <f>IF($P146="","",IF(INDEX(EntryMan,$P146)=0,"",INDEX(EntryMan,$P146)))</f>
        <v/>
      </c>
      <c r="L146" s="28">
        <f>IF($B146="","",IF($K146="","—",IF(ROUND($K146-$J146,0)=0,"√","×")))</f>
        <v/>
      </c>
      <c r="M146" s="28">
        <f>IF($B146="","",IF(COUNTIFS(EntryDates,$B146,CalcTime,$C146,CalcBank,$C$5,EntryParty,$D146,EntryDep,$H146,EntryWit,$I146)&gt;1,"تکرار",""))</f>
        <v/>
      </c>
      <c r="N146" s="28">
        <f>IF($P146="","",IF(INDEX(EntryNotes,$P146)=0,"",INDEX(EntryNotes,$P146)))</f>
        <v/>
      </c>
      <c r="O146" s="28">
        <f>IF($P146="","",IF(INDEX(EntryTxnID,$P146)=0,"",INDEX(EntryTxnID,$P146)))</f>
        <v/>
      </c>
      <c r="P146" s="28">
        <f>IFERROR(MATCH($C$5&amp;"|"&amp;RIGHT("000000"&amp;130,6),CalcRankKey,0),"")</f>
        <v/>
      </c>
    </row>
    <row r="147">
      <c r="A147" s="26">
        <f>IF($B147="","",131)</f>
        <v/>
      </c>
      <c r="B147" s="26">
        <f>IF($P147="","",IF(INDEX(CalcNormDate,$P147)=0,"",INDEX(CalcNormDate,$P147)))</f>
        <v/>
      </c>
      <c r="C147" s="26">
        <f>IF($P147="","",IF(INDEX(CalcTime,$P147)=0,"",INDEX(CalcTime,$P147)))</f>
        <v/>
      </c>
      <c r="D147" s="26">
        <f>IF($P147="","",IF(INDEX(EntryParty,$P147)=0,"",INDEX(EntryParty,$P147)))</f>
        <v/>
      </c>
      <c r="E147" s="26">
        <f>IF($P147="","",IF(INDEX(EntryPartyName,$P147)=0,"",INDEX(EntryPartyName,$P147)))</f>
        <v/>
      </c>
      <c r="F147" s="26">
        <f>IF($P147="","",IF(INDEX(EntryPartyType,$P147)=0,"",INDEX(EntryPartyType,$P147)))</f>
        <v/>
      </c>
      <c r="G147" s="26">
        <f>IF($P147="","",IF(INDEX(EntryTxnType,$P147)=0,"",INDEX(EntryTxnType,$P147)))</f>
        <v/>
      </c>
      <c r="H147" s="27">
        <f>IF($P147="","",IF(INDEX(EntryDep,$P147)=0,"",INDEX(EntryDep,$P147)))</f>
        <v/>
      </c>
      <c r="I147" s="27">
        <f>IF($P147="","",IF(INDEX(EntryWit,$P147)=0,"",INDEX(EntryWit,$P147)))</f>
        <v/>
      </c>
      <c r="J147" s="27">
        <f>IF($B147="","",IF($A147=1,$C$7,IF(J146="",0,J146))+IF($H147="",0,$H147)-IF($I147="",0,$I147))</f>
        <v/>
      </c>
      <c r="K147" s="27">
        <f>IF($P147="","",IF(INDEX(EntryMan,$P147)=0,"",INDEX(EntryMan,$P147)))</f>
        <v/>
      </c>
      <c r="L147" s="26">
        <f>IF($B147="","",IF($K147="","—",IF(ROUND($K147-$J147,0)=0,"√","×")))</f>
        <v/>
      </c>
      <c r="M147" s="26">
        <f>IF($B147="","",IF(COUNTIFS(EntryDates,$B147,CalcTime,$C147,CalcBank,$C$5,EntryParty,$D147,EntryDep,$H147,EntryWit,$I147)&gt;1,"تکرار",""))</f>
        <v/>
      </c>
      <c r="N147" s="26">
        <f>IF($P147="","",IF(INDEX(EntryNotes,$P147)=0,"",INDEX(EntryNotes,$P147)))</f>
        <v/>
      </c>
      <c r="O147" s="26">
        <f>IF($P147="","",IF(INDEX(EntryTxnID,$P147)=0,"",INDEX(EntryTxnID,$P147)))</f>
        <v/>
      </c>
      <c r="P147" s="26">
        <f>IFERROR(MATCH($C$5&amp;"|"&amp;RIGHT("000000"&amp;131,6),CalcRankKey,0),"")</f>
        <v/>
      </c>
    </row>
    <row r="148">
      <c r="A148" s="28">
        <f>IF($B148="","",132)</f>
        <v/>
      </c>
      <c r="B148" s="28">
        <f>IF($P148="","",IF(INDEX(CalcNormDate,$P148)=0,"",INDEX(CalcNormDate,$P148)))</f>
        <v/>
      </c>
      <c r="C148" s="28">
        <f>IF($P148="","",IF(INDEX(CalcTime,$P148)=0,"",INDEX(CalcTime,$P148)))</f>
        <v/>
      </c>
      <c r="D148" s="28">
        <f>IF($P148="","",IF(INDEX(EntryParty,$P148)=0,"",INDEX(EntryParty,$P148)))</f>
        <v/>
      </c>
      <c r="E148" s="28">
        <f>IF($P148="","",IF(INDEX(EntryPartyName,$P148)=0,"",INDEX(EntryPartyName,$P148)))</f>
        <v/>
      </c>
      <c r="F148" s="28">
        <f>IF($P148="","",IF(INDEX(EntryPartyType,$P148)=0,"",INDEX(EntryPartyType,$P148)))</f>
        <v/>
      </c>
      <c r="G148" s="28">
        <f>IF($P148="","",IF(INDEX(EntryTxnType,$P148)=0,"",INDEX(EntryTxnType,$P148)))</f>
        <v/>
      </c>
      <c r="H148" s="29">
        <f>IF($P148="","",IF(INDEX(EntryDep,$P148)=0,"",INDEX(EntryDep,$P148)))</f>
        <v/>
      </c>
      <c r="I148" s="29">
        <f>IF($P148="","",IF(INDEX(EntryWit,$P148)=0,"",INDEX(EntryWit,$P148)))</f>
        <v/>
      </c>
      <c r="J148" s="29">
        <f>IF($B148="","",IF($A148=1,$C$7,IF(J147="",0,J147))+IF($H148="",0,$H148)-IF($I148="",0,$I148))</f>
        <v/>
      </c>
      <c r="K148" s="29">
        <f>IF($P148="","",IF(INDEX(EntryMan,$P148)=0,"",INDEX(EntryMan,$P148)))</f>
        <v/>
      </c>
      <c r="L148" s="28">
        <f>IF($B148="","",IF($K148="","—",IF(ROUND($K148-$J148,0)=0,"√","×")))</f>
        <v/>
      </c>
      <c r="M148" s="28">
        <f>IF($B148="","",IF(COUNTIFS(EntryDates,$B148,CalcTime,$C148,CalcBank,$C$5,EntryParty,$D148,EntryDep,$H148,EntryWit,$I148)&gt;1,"تکرار",""))</f>
        <v/>
      </c>
      <c r="N148" s="28">
        <f>IF($P148="","",IF(INDEX(EntryNotes,$P148)=0,"",INDEX(EntryNotes,$P148)))</f>
        <v/>
      </c>
      <c r="O148" s="28">
        <f>IF($P148="","",IF(INDEX(EntryTxnID,$P148)=0,"",INDEX(EntryTxnID,$P148)))</f>
        <v/>
      </c>
      <c r="P148" s="28">
        <f>IFERROR(MATCH($C$5&amp;"|"&amp;RIGHT("000000"&amp;132,6),CalcRankKey,0),"")</f>
        <v/>
      </c>
    </row>
    <row r="149">
      <c r="A149" s="26">
        <f>IF($B149="","",133)</f>
        <v/>
      </c>
      <c r="B149" s="26">
        <f>IF($P149="","",IF(INDEX(CalcNormDate,$P149)=0,"",INDEX(CalcNormDate,$P149)))</f>
        <v/>
      </c>
      <c r="C149" s="26">
        <f>IF($P149="","",IF(INDEX(CalcTime,$P149)=0,"",INDEX(CalcTime,$P149)))</f>
        <v/>
      </c>
      <c r="D149" s="26">
        <f>IF($P149="","",IF(INDEX(EntryParty,$P149)=0,"",INDEX(EntryParty,$P149)))</f>
        <v/>
      </c>
      <c r="E149" s="26">
        <f>IF($P149="","",IF(INDEX(EntryPartyName,$P149)=0,"",INDEX(EntryPartyName,$P149)))</f>
        <v/>
      </c>
      <c r="F149" s="26">
        <f>IF($P149="","",IF(INDEX(EntryPartyType,$P149)=0,"",INDEX(EntryPartyType,$P149)))</f>
        <v/>
      </c>
      <c r="G149" s="26">
        <f>IF($P149="","",IF(INDEX(EntryTxnType,$P149)=0,"",INDEX(EntryTxnType,$P149)))</f>
        <v/>
      </c>
      <c r="H149" s="27">
        <f>IF($P149="","",IF(INDEX(EntryDep,$P149)=0,"",INDEX(EntryDep,$P149)))</f>
        <v/>
      </c>
      <c r="I149" s="27">
        <f>IF($P149="","",IF(INDEX(EntryWit,$P149)=0,"",INDEX(EntryWit,$P149)))</f>
        <v/>
      </c>
      <c r="J149" s="27">
        <f>IF($B149="","",IF($A149=1,$C$7,IF(J148="",0,J148))+IF($H149="",0,$H149)-IF($I149="",0,$I149))</f>
        <v/>
      </c>
      <c r="K149" s="27">
        <f>IF($P149="","",IF(INDEX(EntryMan,$P149)=0,"",INDEX(EntryMan,$P149)))</f>
        <v/>
      </c>
      <c r="L149" s="26">
        <f>IF($B149="","",IF($K149="","—",IF(ROUND($K149-$J149,0)=0,"√","×")))</f>
        <v/>
      </c>
      <c r="M149" s="26">
        <f>IF($B149="","",IF(COUNTIFS(EntryDates,$B149,CalcTime,$C149,CalcBank,$C$5,EntryParty,$D149,EntryDep,$H149,EntryWit,$I149)&gt;1,"تکرار",""))</f>
        <v/>
      </c>
      <c r="N149" s="26">
        <f>IF($P149="","",IF(INDEX(EntryNotes,$P149)=0,"",INDEX(EntryNotes,$P149)))</f>
        <v/>
      </c>
      <c r="O149" s="26">
        <f>IF($P149="","",IF(INDEX(EntryTxnID,$P149)=0,"",INDEX(EntryTxnID,$P149)))</f>
        <v/>
      </c>
      <c r="P149" s="26">
        <f>IFERROR(MATCH($C$5&amp;"|"&amp;RIGHT("000000"&amp;133,6),CalcRankKey,0),"")</f>
        <v/>
      </c>
    </row>
    <row r="150">
      <c r="A150" s="28">
        <f>IF($B150="","",134)</f>
        <v/>
      </c>
      <c r="B150" s="28">
        <f>IF($P150="","",IF(INDEX(CalcNormDate,$P150)=0,"",INDEX(CalcNormDate,$P150)))</f>
        <v/>
      </c>
      <c r="C150" s="28">
        <f>IF($P150="","",IF(INDEX(CalcTime,$P150)=0,"",INDEX(CalcTime,$P150)))</f>
        <v/>
      </c>
      <c r="D150" s="28">
        <f>IF($P150="","",IF(INDEX(EntryParty,$P150)=0,"",INDEX(EntryParty,$P150)))</f>
        <v/>
      </c>
      <c r="E150" s="28">
        <f>IF($P150="","",IF(INDEX(EntryPartyName,$P150)=0,"",INDEX(EntryPartyName,$P150)))</f>
        <v/>
      </c>
      <c r="F150" s="28">
        <f>IF($P150="","",IF(INDEX(EntryPartyType,$P150)=0,"",INDEX(EntryPartyType,$P150)))</f>
        <v/>
      </c>
      <c r="G150" s="28">
        <f>IF($P150="","",IF(INDEX(EntryTxnType,$P150)=0,"",INDEX(EntryTxnType,$P150)))</f>
        <v/>
      </c>
      <c r="H150" s="29">
        <f>IF($P150="","",IF(INDEX(EntryDep,$P150)=0,"",INDEX(EntryDep,$P150)))</f>
        <v/>
      </c>
      <c r="I150" s="29">
        <f>IF($P150="","",IF(INDEX(EntryWit,$P150)=0,"",INDEX(EntryWit,$P150)))</f>
        <v/>
      </c>
      <c r="J150" s="29">
        <f>IF($B150="","",IF($A150=1,$C$7,IF(J149="",0,J149))+IF($H150="",0,$H150)-IF($I150="",0,$I150))</f>
        <v/>
      </c>
      <c r="K150" s="29">
        <f>IF($P150="","",IF(INDEX(EntryMan,$P150)=0,"",INDEX(EntryMan,$P150)))</f>
        <v/>
      </c>
      <c r="L150" s="28">
        <f>IF($B150="","",IF($K150="","—",IF(ROUND($K150-$J150,0)=0,"√","×")))</f>
        <v/>
      </c>
      <c r="M150" s="28">
        <f>IF($B150="","",IF(COUNTIFS(EntryDates,$B150,CalcTime,$C150,CalcBank,$C$5,EntryParty,$D150,EntryDep,$H150,EntryWit,$I150)&gt;1,"تکرار",""))</f>
        <v/>
      </c>
      <c r="N150" s="28">
        <f>IF($P150="","",IF(INDEX(EntryNotes,$P150)=0,"",INDEX(EntryNotes,$P150)))</f>
        <v/>
      </c>
      <c r="O150" s="28">
        <f>IF($P150="","",IF(INDEX(EntryTxnID,$P150)=0,"",INDEX(EntryTxnID,$P150)))</f>
        <v/>
      </c>
      <c r="P150" s="28">
        <f>IFERROR(MATCH($C$5&amp;"|"&amp;RIGHT("000000"&amp;134,6),CalcRankKey,0),"")</f>
        <v/>
      </c>
    </row>
    <row r="151">
      <c r="A151" s="26">
        <f>IF($B151="","",135)</f>
        <v/>
      </c>
      <c r="B151" s="26">
        <f>IF($P151="","",IF(INDEX(CalcNormDate,$P151)=0,"",INDEX(CalcNormDate,$P151)))</f>
        <v/>
      </c>
      <c r="C151" s="26">
        <f>IF($P151="","",IF(INDEX(CalcTime,$P151)=0,"",INDEX(CalcTime,$P151)))</f>
        <v/>
      </c>
      <c r="D151" s="26">
        <f>IF($P151="","",IF(INDEX(EntryParty,$P151)=0,"",INDEX(EntryParty,$P151)))</f>
        <v/>
      </c>
      <c r="E151" s="26">
        <f>IF($P151="","",IF(INDEX(EntryPartyName,$P151)=0,"",INDEX(EntryPartyName,$P151)))</f>
        <v/>
      </c>
      <c r="F151" s="26">
        <f>IF($P151="","",IF(INDEX(EntryPartyType,$P151)=0,"",INDEX(EntryPartyType,$P151)))</f>
        <v/>
      </c>
      <c r="G151" s="26">
        <f>IF($P151="","",IF(INDEX(EntryTxnType,$P151)=0,"",INDEX(EntryTxnType,$P151)))</f>
        <v/>
      </c>
      <c r="H151" s="27">
        <f>IF($P151="","",IF(INDEX(EntryDep,$P151)=0,"",INDEX(EntryDep,$P151)))</f>
        <v/>
      </c>
      <c r="I151" s="27">
        <f>IF($P151="","",IF(INDEX(EntryWit,$P151)=0,"",INDEX(EntryWit,$P151)))</f>
        <v/>
      </c>
      <c r="J151" s="27">
        <f>IF($B151="","",IF($A151=1,$C$7,IF(J150="",0,J150))+IF($H151="",0,$H151)-IF($I151="",0,$I151))</f>
        <v/>
      </c>
      <c r="K151" s="27">
        <f>IF($P151="","",IF(INDEX(EntryMan,$P151)=0,"",INDEX(EntryMan,$P151)))</f>
        <v/>
      </c>
      <c r="L151" s="26">
        <f>IF($B151="","",IF($K151="","—",IF(ROUND($K151-$J151,0)=0,"√","×")))</f>
        <v/>
      </c>
      <c r="M151" s="26">
        <f>IF($B151="","",IF(COUNTIFS(EntryDates,$B151,CalcTime,$C151,CalcBank,$C$5,EntryParty,$D151,EntryDep,$H151,EntryWit,$I151)&gt;1,"تکرار",""))</f>
        <v/>
      </c>
      <c r="N151" s="26">
        <f>IF($P151="","",IF(INDEX(EntryNotes,$P151)=0,"",INDEX(EntryNotes,$P151)))</f>
        <v/>
      </c>
      <c r="O151" s="26">
        <f>IF($P151="","",IF(INDEX(EntryTxnID,$P151)=0,"",INDEX(EntryTxnID,$P151)))</f>
        <v/>
      </c>
      <c r="P151" s="26">
        <f>IFERROR(MATCH($C$5&amp;"|"&amp;RIGHT("000000"&amp;135,6),CalcRankKey,0),"")</f>
        <v/>
      </c>
    </row>
    <row r="152">
      <c r="A152" s="28">
        <f>IF($B152="","",136)</f>
        <v/>
      </c>
      <c r="B152" s="28">
        <f>IF($P152="","",IF(INDEX(CalcNormDate,$P152)=0,"",INDEX(CalcNormDate,$P152)))</f>
        <v/>
      </c>
      <c r="C152" s="28">
        <f>IF($P152="","",IF(INDEX(CalcTime,$P152)=0,"",INDEX(CalcTime,$P152)))</f>
        <v/>
      </c>
      <c r="D152" s="28">
        <f>IF($P152="","",IF(INDEX(EntryParty,$P152)=0,"",INDEX(EntryParty,$P152)))</f>
        <v/>
      </c>
      <c r="E152" s="28">
        <f>IF($P152="","",IF(INDEX(EntryPartyName,$P152)=0,"",INDEX(EntryPartyName,$P152)))</f>
        <v/>
      </c>
      <c r="F152" s="28">
        <f>IF($P152="","",IF(INDEX(EntryPartyType,$P152)=0,"",INDEX(EntryPartyType,$P152)))</f>
        <v/>
      </c>
      <c r="G152" s="28">
        <f>IF($P152="","",IF(INDEX(EntryTxnType,$P152)=0,"",INDEX(EntryTxnType,$P152)))</f>
        <v/>
      </c>
      <c r="H152" s="29">
        <f>IF($P152="","",IF(INDEX(EntryDep,$P152)=0,"",INDEX(EntryDep,$P152)))</f>
        <v/>
      </c>
      <c r="I152" s="29">
        <f>IF($P152="","",IF(INDEX(EntryWit,$P152)=0,"",INDEX(EntryWit,$P152)))</f>
        <v/>
      </c>
      <c r="J152" s="29">
        <f>IF($B152="","",IF($A152=1,$C$7,IF(J151="",0,J151))+IF($H152="",0,$H152)-IF($I152="",0,$I152))</f>
        <v/>
      </c>
      <c r="K152" s="29">
        <f>IF($P152="","",IF(INDEX(EntryMan,$P152)=0,"",INDEX(EntryMan,$P152)))</f>
        <v/>
      </c>
      <c r="L152" s="28">
        <f>IF($B152="","",IF($K152="","—",IF(ROUND($K152-$J152,0)=0,"√","×")))</f>
        <v/>
      </c>
      <c r="M152" s="28">
        <f>IF($B152="","",IF(COUNTIFS(EntryDates,$B152,CalcTime,$C152,CalcBank,$C$5,EntryParty,$D152,EntryDep,$H152,EntryWit,$I152)&gt;1,"تکرار",""))</f>
        <v/>
      </c>
      <c r="N152" s="28">
        <f>IF($P152="","",IF(INDEX(EntryNotes,$P152)=0,"",INDEX(EntryNotes,$P152)))</f>
        <v/>
      </c>
      <c r="O152" s="28">
        <f>IF($P152="","",IF(INDEX(EntryTxnID,$P152)=0,"",INDEX(EntryTxnID,$P152)))</f>
        <v/>
      </c>
      <c r="P152" s="28">
        <f>IFERROR(MATCH($C$5&amp;"|"&amp;RIGHT("000000"&amp;136,6),CalcRankKey,0),"")</f>
        <v/>
      </c>
    </row>
    <row r="153">
      <c r="A153" s="26">
        <f>IF($B153="","",137)</f>
        <v/>
      </c>
      <c r="B153" s="26">
        <f>IF($P153="","",IF(INDEX(CalcNormDate,$P153)=0,"",INDEX(CalcNormDate,$P153)))</f>
        <v/>
      </c>
      <c r="C153" s="26">
        <f>IF($P153="","",IF(INDEX(CalcTime,$P153)=0,"",INDEX(CalcTime,$P153)))</f>
        <v/>
      </c>
      <c r="D153" s="26">
        <f>IF($P153="","",IF(INDEX(EntryParty,$P153)=0,"",INDEX(EntryParty,$P153)))</f>
        <v/>
      </c>
      <c r="E153" s="26">
        <f>IF($P153="","",IF(INDEX(EntryPartyName,$P153)=0,"",INDEX(EntryPartyName,$P153)))</f>
        <v/>
      </c>
      <c r="F153" s="26">
        <f>IF($P153="","",IF(INDEX(EntryPartyType,$P153)=0,"",INDEX(EntryPartyType,$P153)))</f>
        <v/>
      </c>
      <c r="G153" s="26">
        <f>IF($P153="","",IF(INDEX(EntryTxnType,$P153)=0,"",INDEX(EntryTxnType,$P153)))</f>
        <v/>
      </c>
      <c r="H153" s="27">
        <f>IF($P153="","",IF(INDEX(EntryDep,$P153)=0,"",INDEX(EntryDep,$P153)))</f>
        <v/>
      </c>
      <c r="I153" s="27">
        <f>IF($P153="","",IF(INDEX(EntryWit,$P153)=0,"",INDEX(EntryWit,$P153)))</f>
        <v/>
      </c>
      <c r="J153" s="27">
        <f>IF($B153="","",IF($A153=1,$C$7,IF(J152="",0,J152))+IF($H153="",0,$H153)-IF($I153="",0,$I153))</f>
        <v/>
      </c>
      <c r="K153" s="27">
        <f>IF($P153="","",IF(INDEX(EntryMan,$P153)=0,"",INDEX(EntryMan,$P153)))</f>
        <v/>
      </c>
      <c r="L153" s="26">
        <f>IF($B153="","",IF($K153="","—",IF(ROUND($K153-$J153,0)=0,"√","×")))</f>
        <v/>
      </c>
      <c r="M153" s="26">
        <f>IF($B153="","",IF(COUNTIFS(EntryDates,$B153,CalcTime,$C153,CalcBank,$C$5,EntryParty,$D153,EntryDep,$H153,EntryWit,$I153)&gt;1,"تکرار",""))</f>
        <v/>
      </c>
      <c r="N153" s="26">
        <f>IF($P153="","",IF(INDEX(EntryNotes,$P153)=0,"",INDEX(EntryNotes,$P153)))</f>
        <v/>
      </c>
      <c r="O153" s="26">
        <f>IF($P153="","",IF(INDEX(EntryTxnID,$P153)=0,"",INDEX(EntryTxnID,$P153)))</f>
        <v/>
      </c>
      <c r="P153" s="26">
        <f>IFERROR(MATCH($C$5&amp;"|"&amp;RIGHT("000000"&amp;137,6),CalcRankKey,0),"")</f>
        <v/>
      </c>
    </row>
    <row r="154">
      <c r="A154" s="28">
        <f>IF($B154="","",138)</f>
        <v/>
      </c>
      <c r="B154" s="28">
        <f>IF($P154="","",IF(INDEX(CalcNormDate,$P154)=0,"",INDEX(CalcNormDate,$P154)))</f>
        <v/>
      </c>
      <c r="C154" s="28">
        <f>IF($P154="","",IF(INDEX(CalcTime,$P154)=0,"",INDEX(CalcTime,$P154)))</f>
        <v/>
      </c>
      <c r="D154" s="28">
        <f>IF($P154="","",IF(INDEX(EntryParty,$P154)=0,"",INDEX(EntryParty,$P154)))</f>
        <v/>
      </c>
      <c r="E154" s="28">
        <f>IF($P154="","",IF(INDEX(EntryPartyName,$P154)=0,"",INDEX(EntryPartyName,$P154)))</f>
        <v/>
      </c>
      <c r="F154" s="28">
        <f>IF($P154="","",IF(INDEX(EntryPartyType,$P154)=0,"",INDEX(EntryPartyType,$P154)))</f>
        <v/>
      </c>
      <c r="G154" s="28">
        <f>IF($P154="","",IF(INDEX(EntryTxnType,$P154)=0,"",INDEX(EntryTxnType,$P154)))</f>
        <v/>
      </c>
      <c r="H154" s="29">
        <f>IF($P154="","",IF(INDEX(EntryDep,$P154)=0,"",INDEX(EntryDep,$P154)))</f>
        <v/>
      </c>
      <c r="I154" s="29">
        <f>IF($P154="","",IF(INDEX(EntryWit,$P154)=0,"",INDEX(EntryWit,$P154)))</f>
        <v/>
      </c>
      <c r="J154" s="29">
        <f>IF($B154="","",IF($A154=1,$C$7,IF(J153="",0,J153))+IF($H154="",0,$H154)-IF($I154="",0,$I154))</f>
        <v/>
      </c>
      <c r="K154" s="29">
        <f>IF($P154="","",IF(INDEX(EntryMan,$P154)=0,"",INDEX(EntryMan,$P154)))</f>
        <v/>
      </c>
      <c r="L154" s="28">
        <f>IF($B154="","",IF($K154="","—",IF(ROUND($K154-$J154,0)=0,"√","×")))</f>
        <v/>
      </c>
      <c r="M154" s="28">
        <f>IF($B154="","",IF(COUNTIFS(EntryDates,$B154,CalcTime,$C154,CalcBank,$C$5,EntryParty,$D154,EntryDep,$H154,EntryWit,$I154)&gt;1,"تکرار",""))</f>
        <v/>
      </c>
      <c r="N154" s="28">
        <f>IF($P154="","",IF(INDEX(EntryNotes,$P154)=0,"",INDEX(EntryNotes,$P154)))</f>
        <v/>
      </c>
      <c r="O154" s="28">
        <f>IF($P154="","",IF(INDEX(EntryTxnID,$P154)=0,"",INDEX(EntryTxnID,$P154)))</f>
        <v/>
      </c>
      <c r="P154" s="28">
        <f>IFERROR(MATCH($C$5&amp;"|"&amp;RIGHT("000000"&amp;138,6),CalcRankKey,0),"")</f>
        <v/>
      </c>
    </row>
    <row r="155">
      <c r="A155" s="26">
        <f>IF($B155="","",139)</f>
        <v/>
      </c>
      <c r="B155" s="26">
        <f>IF($P155="","",IF(INDEX(CalcNormDate,$P155)=0,"",INDEX(CalcNormDate,$P155)))</f>
        <v/>
      </c>
      <c r="C155" s="26">
        <f>IF($P155="","",IF(INDEX(CalcTime,$P155)=0,"",INDEX(CalcTime,$P155)))</f>
        <v/>
      </c>
      <c r="D155" s="26">
        <f>IF($P155="","",IF(INDEX(EntryParty,$P155)=0,"",INDEX(EntryParty,$P155)))</f>
        <v/>
      </c>
      <c r="E155" s="26">
        <f>IF($P155="","",IF(INDEX(EntryPartyName,$P155)=0,"",INDEX(EntryPartyName,$P155)))</f>
        <v/>
      </c>
      <c r="F155" s="26">
        <f>IF($P155="","",IF(INDEX(EntryPartyType,$P155)=0,"",INDEX(EntryPartyType,$P155)))</f>
        <v/>
      </c>
      <c r="G155" s="26">
        <f>IF($P155="","",IF(INDEX(EntryTxnType,$P155)=0,"",INDEX(EntryTxnType,$P155)))</f>
        <v/>
      </c>
      <c r="H155" s="27">
        <f>IF($P155="","",IF(INDEX(EntryDep,$P155)=0,"",INDEX(EntryDep,$P155)))</f>
        <v/>
      </c>
      <c r="I155" s="27">
        <f>IF($P155="","",IF(INDEX(EntryWit,$P155)=0,"",INDEX(EntryWit,$P155)))</f>
        <v/>
      </c>
      <c r="J155" s="27">
        <f>IF($B155="","",IF($A155=1,$C$7,IF(J154="",0,J154))+IF($H155="",0,$H155)-IF($I155="",0,$I155))</f>
        <v/>
      </c>
      <c r="K155" s="27">
        <f>IF($P155="","",IF(INDEX(EntryMan,$P155)=0,"",INDEX(EntryMan,$P155)))</f>
        <v/>
      </c>
      <c r="L155" s="26">
        <f>IF($B155="","",IF($K155="","—",IF(ROUND($K155-$J155,0)=0,"√","×")))</f>
        <v/>
      </c>
      <c r="M155" s="26">
        <f>IF($B155="","",IF(COUNTIFS(EntryDates,$B155,CalcTime,$C155,CalcBank,$C$5,EntryParty,$D155,EntryDep,$H155,EntryWit,$I155)&gt;1,"تکرار",""))</f>
        <v/>
      </c>
      <c r="N155" s="26">
        <f>IF($P155="","",IF(INDEX(EntryNotes,$P155)=0,"",INDEX(EntryNotes,$P155)))</f>
        <v/>
      </c>
      <c r="O155" s="26">
        <f>IF($P155="","",IF(INDEX(EntryTxnID,$P155)=0,"",INDEX(EntryTxnID,$P155)))</f>
        <v/>
      </c>
      <c r="P155" s="26">
        <f>IFERROR(MATCH($C$5&amp;"|"&amp;RIGHT("000000"&amp;139,6),CalcRankKey,0),"")</f>
        <v/>
      </c>
    </row>
    <row r="156">
      <c r="A156" s="28">
        <f>IF($B156="","",140)</f>
        <v/>
      </c>
      <c r="B156" s="28">
        <f>IF($P156="","",IF(INDEX(CalcNormDate,$P156)=0,"",INDEX(CalcNormDate,$P156)))</f>
        <v/>
      </c>
      <c r="C156" s="28">
        <f>IF($P156="","",IF(INDEX(CalcTime,$P156)=0,"",INDEX(CalcTime,$P156)))</f>
        <v/>
      </c>
      <c r="D156" s="28">
        <f>IF($P156="","",IF(INDEX(EntryParty,$P156)=0,"",INDEX(EntryParty,$P156)))</f>
        <v/>
      </c>
      <c r="E156" s="28">
        <f>IF($P156="","",IF(INDEX(EntryPartyName,$P156)=0,"",INDEX(EntryPartyName,$P156)))</f>
        <v/>
      </c>
      <c r="F156" s="28">
        <f>IF($P156="","",IF(INDEX(EntryPartyType,$P156)=0,"",INDEX(EntryPartyType,$P156)))</f>
        <v/>
      </c>
      <c r="G156" s="28">
        <f>IF($P156="","",IF(INDEX(EntryTxnType,$P156)=0,"",INDEX(EntryTxnType,$P156)))</f>
        <v/>
      </c>
      <c r="H156" s="29">
        <f>IF($P156="","",IF(INDEX(EntryDep,$P156)=0,"",INDEX(EntryDep,$P156)))</f>
        <v/>
      </c>
      <c r="I156" s="29">
        <f>IF($P156="","",IF(INDEX(EntryWit,$P156)=0,"",INDEX(EntryWit,$P156)))</f>
        <v/>
      </c>
      <c r="J156" s="29">
        <f>IF($B156="","",IF($A156=1,$C$7,IF(J155="",0,J155))+IF($H156="",0,$H156)-IF($I156="",0,$I156))</f>
        <v/>
      </c>
      <c r="K156" s="29">
        <f>IF($P156="","",IF(INDEX(EntryMan,$P156)=0,"",INDEX(EntryMan,$P156)))</f>
        <v/>
      </c>
      <c r="L156" s="28">
        <f>IF($B156="","",IF($K156="","—",IF(ROUND($K156-$J156,0)=0,"√","×")))</f>
        <v/>
      </c>
      <c r="M156" s="28">
        <f>IF($B156="","",IF(COUNTIFS(EntryDates,$B156,CalcTime,$C156,CalcBank,$C$5,EntryParty,$D156,EntryDep,$H156,EntryWit,$I156)&gt;1,"تکرار",""))</f>
        <v/>
      </c>
      <c r="N156" s="28">
        <f>IF($P156="","",IF(INDEX(EntryNotes,$P156)=0,"",INDEX(EntryNotes,$P156)))</f>
        <v/>
      </c>
      <c r="O156" s="28">
        <f>IF($P156="","",IF(INDEX(EntryTxnID,$P156)=0,"",INDEX(EntryTxnID,$P156)))</f>
        <v/>
      </c>
      <c r="P156" s="28">
        <f>IFERROR(MATCH($C$5&amp;"|"&amp;RIGHT("000000"&amp;140,6),CalcRankKey,0),"")</f>
        <v/>
      </c>
    </row>
    <row r="157">
      <c r="A157" s="26">
        <f>IF($B157="","",141)</f>
        <v/>
      </c>
      <c r="B157" s="26">
        <f>IF($P157="","",IF(INDEX(CalcNormDate,$P157)=0,"",INDEX(CalcNormDate,$P157)))</f>
        <v/>
      </c>
      <c r="C157" s="26">
        <f>IF($P157="","",IF(INDEX(CalcTime,$P157)=0,"",INDEX(CalcTime,$P157)))</f>
        <v/>
      </c>
      <c r="D157" s="26">
        <f>IF($P157="","",IF(INDEX(EntryParty,$P157)=0,"",INDEX(EntryParty,$P157)))</f>
        <v/>
      </c>
      <c r="E157" s="26">
        <f>IF($P157="","",IF(INDEX(EntryPartyName,$P157)=0,"",INDEX(EntryPartyName,$P157)))</f>
        <v/>
      </c>
      <c r="F157" s="26">
        <f>IF($P157="","",IF(INDEX(EntryPartyType,$P157)=0,"",INDEX(EntryPartyType,$P157)))</f>
        <v/>
      </c>
      <c r="G157" s="26">
        <f>IF($P157="","",IF(INDEX(EntryTxnType,$P157)=0,"",INDEX(EntryTxnType,$P157)))</f>
        <v/>
      </c>
      <c r="H157" s="27">
        <f>IF($P157="","",IF(INDEX(EntryDep,$P157)=0,"",INDEX(EntryDep,$P157)))</f>
        <v/>
      </c>
      <c r="I157" s="27">
        <f>IF($P157="","",IF(INDEX(EntryWit,$P157)=0,"",INDEX(EntryWit,$P157)))</f>
        <v/>
      </c>
      <c r="J157" s="27">
        <f>IF($B157="","",IF($A157=1,$C$7,IF(J156="",0,J156))+IF($H157="",0,$H157)-IF($I157="",0,$I157))</f>
        <v/>
      </c>
      <c r="K157" s="27">
        <f>IF($P157="","",IF(INDEX(EntryMan,$P157)=0,"",INDEX(EntryMan,$P157)))</f>
        <v/>
      </c>
      <c r="L157" s="26">
        <f>IF($B157="","",IF($K157="","—",IF(ROUND($K157-$J157,0)=0,"√","×")))</f>
        <v/>
      </c>
      <c r="M157" s="26">
        <f>IF($B157="","",IF(COUNTIFS(EntryDates,$B157,CalcTime,$C157,CalcBank,$C$5,EntryParty,$D157,EntryDep,$H157,EntryWit,$I157)&gt;1,"تکرار",""))</f>
        <v/>
      </c>
      <c r="N157" s="26">
        <f>IF($P157="","",IF(INDEX(EntryNotes,$P157)=0,"",INDEX(EntryNotes,$P157)))</f>
        <v/>
      </c>
      <c r="O157" s="26">
        <f>IF($P157="","",IF(INDEX(EntryTxnID,$P157)=0,"",INDEX(EntryTxnID,$P157)))</f>
        <v/>
      </c>
      <c r="P157" s="26">
        <f>IFERROR(MATCH($C$5&amp;"|"&amp;RIGHT("000000"&amp;141,6),CalcRankKey,0),"")</f>
        <v/>
      </c>
    </row>
    <row r="158">
      <c r="A158" s="28">
        <f>IF($B158="","",142)</f>
        <v/>
      </c>
      <c r="B158" s="28">
        <f>IF($P158="","",IF(INDEX(CalcNormDate,$P158)=0,"",INDEX(CalcNormDate,$P158)))</f>
        <v/>
      </c>
      <c r="C158" s="28">
        <f>IF($P158="","",IF(INDEX(CalcTime,$P158)=0,"",INDEX(CalcTime,$P158)))</f>
        <v/>
      </c>
      <c r="D158" s="28">
        <f>IF($P158="","",IF(INDEX(EntryParty,$P158)=0,"",INDEX(EntryParty,$P158)))</f>
        <v/>
      </c>
      <c r="E158" s="28">
        <f>IF($P158="","",IF(INDEX(EntryPartyName,$P158)=0,"",INDEX(EntryPartyName,$P158)))</f>
        <v/>
      </c>
      <c r="F158" s="28">
        <f>IF($P158="","",IF(INDEX(EntryPartyType,$P158)=0,"",INDEX(EntryPartyType,$P158)))</f>
        <v/>
      </c>
      <c r="G158" s="28">
        <f>IF($P158="","",IF(INDEX(EntryTxnType,$P158)=0,"",INDEX(EntryTxnType,$P158)))</f>
        <v/>
      </c>
      <c r="H158" s="29">
        <f>IF($P158="","",IF(INDEX(EntryDep,$P158)=0,"",INDEX(EntryDep,$P158)))</f>
        <v/>
      </c>
      <c r="I158" s="29">
        <f>IF($P158="","",IF(INDEX(EntryWit,$P158)=0,"",INDEX(EntryWit,$P158)))</f>
        <v/>
      </c>
      <c r="J158" s="29">
        <f>IF($B158="","",IF($A158=1,$C$7,IF(J157="",0,J157))+IF($H158="",0,$H158)-IF($I158="",0,$I158))</f>
        <v/>
      </c>
      <c r="K158" s="29">
        <f>IF($P158="","",IF(INDEX(EntryMan,$P158)=0,"",INDEX(EntryMan,$P158)))</f>
        <v/>
      </c>
      <c r="L158" s="28">
        <f>IF($B158="","",IF($K158="","—",IF(ROUND($K158-$J158,0)=0,"√","×")))</f>
        <v/>
      </c>
      <c r="M158" s="28">
        <f>IF($B158="","",IF(COUNTIFS(EntryDates,$B158,CalcTime,$C158,CalcBank,$C$5,EntryParty,$D158,EntryDep,$H158,EntryWit,$I158)&gt;1,"تکرار",""))</f>
        <v/>
      </c>
      <c r="N158" s="28">
        <f>IF($P158="","",IF(INDEX(EntryNotes,$P158)=0,"",INDEX(EntryNotes,$P158)))</f>
        <v/>
      </c>
      <c r="O158" s="28">
        <f>IF($P158="","",IF(INDEX(EntryTxnID,$P158)=0,"",INDEX(EntryTxnID,$P158)))</f>
        <v/>
      </c>
      <c r="P158" s="28">
        <f>IFERROR(MATCH($C$5&amp;"|"&amp;RIGHT("000000"&amp;142,6),CalcRankKey,0),"")</f>
        <v/>
      </c>
    </row>
    <row r="159">
      <c r="A159" s="26">
        <f>IF($B159="","",143)</f>
        <v/>
      </c>
      <c r="B159" s="26">
        <f>IF($P159="","",IF(INDEX(CalcNormDate,$P159)=0,"",INDEX(CalcNormDate,$P159)))</f>
        <v/>
      </c>
      <c r="C159" s="26">
        <f>IF($P159="","",IF(INDEX(CalcTime,$P159)=0,"",INDEX(CalcTime,$P159)))</f>
        <v/>
      </c>
      <c r="D159" s="26">
        <f>IF($P159="","",IF(INDEX(EntryParty,$P159)=0,"",INDEX(EntryParty,$P159)))</f>
        <v/>
      </c>
      <c r="E159" s="26">
        <f>IF($P159="","",IF(INDEX(EntryPartyName,$P159)=0,"",INDEX(EntryPartyName,$P159)))</f>
        <v/>
      </c>
      <c r="F159" s="26">
        <f>IF($P159="","",IF(INDEX(EntryPartyType,$P159)=0,"",INDEX(EntryPartyType,$P159)))</f>
        <v/>
      </c>
      <c r="G159" s="26">
        <f>IF($P159="","",IF(INDEX(EntryTxnType,$P159)=0,"",INDEX(EntryTxnType,$P159)))</f>
        <v/>
      </c>
      <c r="H159" s="27">
        <f>IF($P159="","",IF(INDEX(EntryDep,$P159)=0,"",INDEX(EntryDep,$P159)))</f>
        <v/>
      </c>
      <c r="I159" s="27">
        <f>IF($P159="","",IF(INDEX(EntryWit,$P159)=0,"",INDEX(EntryWit,$P159)))</f>
        <v/>
      </c>
      <c r="J159" s="27">
        <f>IF($B159="","",IF($A159=1,$C$7,IF(J158="",0,J158))+IF($H159="",0,$H159)-IF($I159="",0,$I159))</f>
        <v/>
      </c>
      <c r="K159" s="27">
        <f>IF($P159="","",IF(INDEX(EntryMan,$P159)=0,"",INDEX(EntryMan,$P159)))</f>
        <v/>
      </c>
      <c r="L159" s="26">
        <f>IF($B159="","",IF($K159="","—",IF(ROUND($K159-$J159,0)=0,"√","×")))</f>
        <v/>
      </c>
      <c r="M159" s="26">
        <f>IF($B159="","",IF(COUNTIFS(EntryDates,$B159,CalcTime,$C159,CalcBank,$C$5,EntryParty,$D159,EntryDep,$H159,EntryWit,$I159)&gt;1,"تکرار",""))</f>
        <v/>
      </c>
      <c r="N159" s="26">
        <f>IF($P159="","",IF(INDEX(EntryNotes,$P159)=0,"",INDEX(EntryNotes,$P159)))</f>
        <v/>
      </c>
      <c r="O159" s="26">
        <f>IF($P159="","",IF(INDEX(EntryTxnID,$P159)=0,"",INDEX(EntryTxnID,$P159)))</f>
        <v/>
      </c>
      <c r="P159" s="26">
        <f>IFERROR(MATCH($C$5&amp;"|"&amp;RIGHT("000000"&amp;143,6),CalcRankKey,0),"")</f>
        <v/>
      </c>
    </row>
    <row r="160">
      <c r="A160" s="28">
        <f>IF($B160="","",144)</f>
        <v/>
      </c>
      <c r="B160" s="28">
        <f>IF($P160="","",IF(INDEX(CalcNormDate,$P160)=0,"",INDEX(CalcNormDate,$P160)))</f>
        <v/>
      </c>
      <c r="C160" s="28">
        <f>IF($P160="","",IF(INDEX(CalcTime,$P160)=0,"",INDEX(CalcTime,$P160)))</f>
        <v/>
      </c>
      <c r="D160" s="28">
        <f>IF($P160="","",IF(INDEX(EntryParty,$P160)=0,"",INDEX(EntryParty,$P160)))</f>
        <v/>
      </c>
      <c r="E160" s="28">
        <f>IF($P160="","",IF(INDEX(EntryPartyName,$P160)=0,"",INDEX(EntryPartyName,$P160)))</f>
        <v/>
      </c>
      <c r="F160" s="28">
        <f>IF($P160="","",IF(INDEX(EntryPartyType,$P160)=0,"",INDEX(EntryPartyType,$P160)))</f>
        <v/>
      </c>
      <c r="G160" s="28">
        <f>IF($P160="","",IF(INDEX(EntryTxnType,$P160)=0,"",INDEX(EntryTxnType,$P160)))</f>
        <v/>
      </c>
      <c r="H160" s="29">
        <f>IF($P160="","",IF(INDEX(EntryDep,$P160)=0,"",INDEX(EntryDep,$P160)))</f>
        <v/>
      </c>
      <c r="I160" s="29">
        <f>IF($P160="","",IF(INDEX(EntryWit,$P160)=0,"",INDEX(EntryWit,$P160)))</f>
        <v/>
      </c>
      <c r="J160" s="29">
        <f>IF($B160="","",IF($A160=1,$C$7,IF(J159="",0,J159))+IF($H160="",0,$H160)-IF($I160="",0,$I160))</f>
        <v/>
      </c>
      <c r="K160" s="29">
        <f>IF($P160="","",IF(INDEX(EntryMan,$P160)=0,"",INDEX(EntryMan,$P160)))</f>
        <v/>
      </c>
      <c r="L160" s="28">
        <f>IF($B160="","",IF($K160="","—",IF(ROUND($K160-$J160,0)=0,"√","×")))</f>
        <v/>
      </c>
      <c r="M160" s="28">
        <f>IF($B160="","",IF(COUNTIFS(EntryDates,$B160,CalcTime,$C160,CalcBank,$C$5,EntryParty,$D160,EntryDep,$H160,EntryWit,$I160)&gt;1,"تکرار",""))</f>
        <v/>
      </c>
      <c r="N160" s="28">
        <f>IF($P160="","",IF(INDEX(EntryNotes,$P160)=0,"",INDEX(EntryNotes,$P160)))</f>
        <v/>
      </c>
      <c r="O160" s="28">
        <f>IF($P160="","",IF(INDEX(EntryTxnID,$P160)=0,"",INDEX(EntryTxnID,$P160)))</f>
        <v/>
      </c>
      <c r="P160" s="28">
        <f>IFERROR(MATCH($C$5&amp;"|"&amp;RIGHT("000000"&amp;144,6),CalcRankKey,0),"")</f>
        <v/>
      </c>
    </row>
    <row r="161">
      <c r="A161" s="26">
        <f>IF($B161="","",145)</f>
        <v/>
      </c>
      <c r="B161" s="26">
        <f>IF($P161="","",IF(INDEX(CalcNormDate,$P161)=0,"",INDEX(CalcNormDate,$P161)))</f>
        <v/>
      </c>
      <c r="C161" s="26">
        <f>IF($P161="","",IF(INDEX(CalcTime,$P161)=0,"",INDEX(CalcTime,$P161)))</f>
        <v/>
      </c>
      <c r="D161" s="26">
        <f>IF($P161="","",IF(INDEX(EntryParty,$P161)=0,"",INDEX(EntryParty,$P161)))</f>
        <v/>
      </c>
      <c r="E161" s="26">
        <f>IF($P161="","",IF(INDEX(EntryPartyName,$P161)=0,"",INDEX(EntryPartyName,$P161)))</f>
        <v/>
      </c>
      <c r="F161" s="26">
        <f>IF($P161="","",IF(INDEX(EntryPartyType,$P161)=0,"",INDEX(EntryPartyType,$P161)))</f>
        <v/>
      </c>
      <c r="G161" s="26">
        <f>IF($P161="","",IF(INDEX(EntryTxnType,$P161)=0,"",INDEX(EntryTxnType,$P161)))</f>
        <v/>
      </c>
      <c r="H161" s="27">
        <f>IF($P161="","",IF(INDEX(EntryDep,$P161)=0,"",INDEX(EntryDep,$P161)))</f>
        <v/>
      </c>
      <c r="I161" s="27">
        <f>IF($P161="","",IF(INDEX(EntryWit,$P161)=0,"",INDEX(EntryWit,$P161)))</f>
        <v/>
      </c>
      <c r="J161" s="27">
        <f>IF($B161="","",IF($A161=1,$C$7,IF(J160="",0,J160))+IF($H161="",0,$H161)-IF($I161="",0,$I161))</f>
        <v/>
      </c>
      <c r="K161" s="27">
        <f>IF($P161="","",IF(INDEX(EntryMan,$P161)=0,"",INDEX(EntryMan,$P161)))</f>
        <v/>
      </c>
      <c r="L161" s="26">
        <f>IF($B161="","",IF($K161="","—",IF(ROUND($K161-$J161,0)=0,"√","×")))</f>
        <v/>
      </c>
      <c r="M161" s="26">
        <f>IF($B161="","",IF(COUNTIFS(EntryDates,$B161,CalcTime,$C161,CalcBank,$C$5,EntryParty,$D161,EntryDep,$H161,EntryWit,$I161)&gt;1,"تکرار",""))</f>
        <v/>
      </c>
      <c r="N161" s="26">
        <f>IF($P161="","",IF(INDEX(EntryNotes,$P161)=0,"",INDEX(EntryNotes,$P161)))</f>
        <v/>
      </c>
      <c r="O161" s="26">
        <f>IF($P161="","",IF(INDEX(EntryTxnID,$P161)=0,"",INDEX(EntryTxnID,$P161)))</f>
        <v/>
      </c>
      <c r="P161" s="26">
        <f>IFERROR(MATCH($C$5&amp;"|"&amp;RIGHT("000000"&amp;145,6),CalcRankKey,0),"")</f>
        <v/>
      </c>
    </row>
    <row r="162">
      <c r="A162" s="28">
        <f>IF($B162="","",146)</f>
        <v/>
      </c>
      <c r="B162" s="28">
        <f>IF($P162="","",IF(INDEX(CalcNormDate,$P162)=0,"",INDEX(CalcNormDate,$P162)))</f>
        <v/>
      </c>
      <c r="C162" s="28">
        <f>IF($P162="","",IF(INDEX(CalcTime,$P162)=0,"",INDEX(CalcTime,$P162)))</f>
        <v/>
      </c>
      <c r="D162" s="28">
        <f>IF($P162="","",IF(INDEX(EntryParty,$P162)=0,"",INDEX(EntryParty,$P162)))</f>
        <v/>
      </c>
      <c r="E162" s="28">
        <f>IF($P162="","",IF(INDEX(EntryPartyName,$P162)=0,"",INDEX(EntryPartyName,$P162)))</f>
        <v/>
      </c>
      <c r="F162" s="28">
        <f>IF($P162="","",IF(INDEX(EntryPartyType,$P162)=0,"",INDEX(EntryPartyType,$P162)))</f>
        <v/>
      </c>
      <c r="G162" s="28">
        <f>IF($P162="","",IF(INDEX(EntryTxnType,$P162)=0,"",INDEX(EntryTxnType,$P162)))</f>
        <v/>
      </c>
      <c r="H162" s="29">
        <f>IF($P162="","",IF(INDEX(EntryDep,$P162)=0,"",INDEX(EntryDep,$P162)))</f>
        <v/>
      </c>
      <c r="I162" s="29">
        <f>IF($P162="","",IF(INDEX(EntryWit,$P162)=0,"",INDEX(EntryWit,$P162)))</f>
        <v/>
      </c>
      <c r="J162" s="29">
        <f>IF($B162="","",IF($A162=1,$C$7,IF(J161="",0,J161))+IF($H162="",0,$H162)-IF($I162="",0,$I162))</f>
        <v/>
      </c>
      <c r="K162" s="29">
        <f>IF($P162="","",IF(INDEX(EntryMan,$P162)=0,"",INDEX(EntryMan,$P162)))</f>
        <v/>
      </c>
      <c r="L162" s="28">
        <f>IF($B162="","",IF($K162="","—",IF(ROUND($K162-$J162,0)=0,"√","×")))</f>
        <v/>
      </c>
      <c r="M162" s="28">
        <f>IF($B162="","",IF(COUNTIFS(EntryDates,$B162,CalcTime,$C162,CalcBank,$C$5,EntryParty,$D162,EntryDep,$H162,EntryWit,$I162)&gt;1,"تکرار",""))</f>
        <v/>
      </c>
      <c r="N162" s="28">
        <f>IF($P162="","",IF(INDEX(EntryNotes,$P162)=0,"",INDEX(EntryNotes,$P162)))</f>
        <v/>
      </c>
      <c r="O162" s="28">
        <f>IF($P162="","",IF(INDEX(EntryTxnID,$P162)=0,"",INDEX(EntryTxnID,$P162)))</f>
        <v/>
      </c>
      <c r="P162" s="28">
        <f>IFERROR(MATCH($C$5&amp;"|"&amp;RIGHT("000000"&amp;146,6),CalcRankKey,0),"")</f>
        <v/>
      </c>
    </row>
    <row r="163">
      <c r="A163" s="26">
        <f>IF($B163="","",147)</f>
        <v/>
      </c>
      <c r="B163" s="26">
        <f>IF($P163="","",IF(INDEX(CalcNormDate,$P163)=0,"",INDEX(CalcNormDate,$P163)))</f>
        <v/>
      </c>
      <c r="C163" s="26">
        <f>IF($P163="","",IF(INDEX(CalcTime,$P163)=0,"",INDEX(CalcTime,$P163)))</f>
        <v/>
      </c>
      <c r="D163" s="26">
        <f>IF($P163="","",IF(INDEX(EntryParty,$P163)=0,"",INDEX(EntryParty,$P163)))</f>
        <v/>
      </c>
      <c r="E163" s="26">
        <f>IF($P163="","",IF(INDEX(EntryPartyName,$P163)=0,"",INDEX(EntryPartyName,$P163)))</f>
        <v/>
      </c>
      <c r="F163" s="26">
        <f>IF($P163="","",IF(INDEX(EntryPartyType,$P163)=0,"",INDEX(EntryPartyType,$P163)))</f>
        <v/>
      </c>
      <c r="G163" s="26">
        <f>IF($P163="","",IF(INDEX(EntryTxnType,$P163)=0,"",INDEX(EntryTxnType,$P163)))</f>
        <v/>
      </c>
      <c r="H163" s="27">
        <f>IF($P163="","",IF(INDEX(EntryDep,$P163)=0,"",INDEX(EntryDep,$P163)))</f>
        <v/>
      </c>
      <c r="I163" s="27">
        <f>IF($P163="","",IF(INDEX(EntryWit,$P163)=0,"",INDEX(EntryWit,$P163)))</f>
        <v/>
      </c>
      <c r="J163" s="27">
        <f>IF($B163="","",IF($A163=1,$C$7,IF(J162="",0,J162))+IF($H163="",0,$H163)-IF($I163="",0,$I163))</f>
        <v/>
      </c>
      <c r="K163" s="27">
        <f>IF($P163="","",IF(INDEX(EntryMan,$P163)=0,"",INDEX(EntryMan,$P163)))</f>
        <v/>
      </c>
      <c r="L163" s="26">
        <f>IF($B163="","",IF($K163="","—",IF(ROUND($K163-$J163,0)=0,"√","×")))</f>
        <v/>
      </c>
      <c r="M163" s="26">
        <f>IF($B163="","",IF(COUNTIFS(EntryDates,$B163,CalcTime,$C163,CalcBank,$C$5,EntryParty,$D163,EntryDep,$H163,EntryWit,$I163)&gt;1,"تکرار",""))</f>
        <v/>
      </c>
      <c r="N163" s="26">
        <f>IF($P163="","",IF(INDEX(EntryNotes,$P163)=0,"",INDEX(EntryNotes,$P163)))</f>
        <v/>
      </c>
      <c r="O163" s="26">
        <f>IF($P163="","",IF(INDEX(EntryTxnID,$P163)=0,"",INDEX(EntryTxnID,$P163)))</f>
        <v/>
      </c>
      <c r="P163" s="26">
        <f>IFERROR(MATCH($C$5&amp;"|"&amp;RIGHT("000000"&amp;147,6),CalcRankKey,0),"")</f>
        <v/>
      </c>
    </row>
    <row r="164">
      <c r="A164" s="28">
        <f>IF($B164="","",148)</f>
        <v/>
      </c>
      <c r="B164" s="28">
        <f>IF($P164="","",IF(INDEX(CalcNormDate,$P164)=0,"",INDEX(CalcNormDate,$P164)))</f>
        <v/>
      </c>
      <c r="C164" s="28">
        <f>IF($P164="","",IF(INDEX(CalcTime,$P164)=0,"",INDEX(CalcTime,$P164)))</f>
        <v/>
      </c>
      <c r="D164" s="28">
        <f>IF($P164="","",IF(INDEX(EntryParty,$P164)=0,"",INDEX(EntryParty,$P164)))</f>
        <v/>
      </c>
      <c r="E164" s="28">
        <f>IF($P164="","",IF(INDEX(EntryPartyName,$P164)=0,"",INDEX(EntryPartyName,$P164)))</f>
        <v/>
      </c>
      <c r="F164" s="28">
        <f>IF($P164="","",IF(INDEX(EntryPartyType,$P164)=0,"",INDEX(EntryPartyType,$P164)))</f>
        <v/>
      </c>
      <c r="G164" s="28">
        <f>IF($P164="","",IF(INDEX(EntryTxnType,$P164)=0,"",INDEX(EntryTxnType,$P164)))</f>
        <v/>
      </c>
      <c r="H164" s="29">
        <f>IF($P164="","",IF(INDEX(EntryDep,$P164)=0,"",INDEX(EntryDep,$P164)))</f>
        <v/>
      </c>
      <c r="I164" s="29">
        <f>IF($P164="","",IF(INDEX(EntryWit,$P164)=0,"",INDEX(EntryWit,$P164)))</f>
        <v/>
      </c>
      <c r="J164" s="29">
        <f>IF($B164="","",IF($A164=1,$C$7,IF(J163="",0,J163))+IF($H164="",0,$H164)-IF($I164="",0,$I164))</f>
        <v/>
      </c>
      <c r="K164" s="29">
        <f>IF($P164="","",IF(INDEX(EntryMan,$P164)=0,"",INDEX(EntryMan,$P164)))</f>
        <v/>
      </c>
      <c r="L164" s="28">
        <f>IF($B164="","",IF($K164="","—",IF(ROUND($K164-$J164,0)=0,"√","×")))</f>
        <v/>
      </c>
      <c r="M164" s="28">
        <f>IF($B164="","",IF(COUNTIFS(EntryDates,$B164,CalcTime,$C164,CalcBank,$C$5,EntryParty,$D164,EntryDep,$H164,EntryWit,$I164)&gt;1,"تکرار",""))</f>
        <v/>
      </c>
      <c r="N164" s="28">
        <f>IF($P164="","",IF(INDEX(EntryNotes,$P164)=0,"",INDEX(EntryNotes,$P164)))</f>
        <v/>
      </c>
      <c r="O164" s="28">
        <f>IF($P164="","",IF(INDEX(EntryTxnID,$P164)=0,"",INDEX(EntryTxnID,$P164)))</f>
        <v/>
      </c>
      <c r="P164" s="28">
        <f>IFERROR(MATCH($C$5&amp;"|"&amp;RIGHT("000000"&amp;148,6),CalcRankKey,0),"")</f>
        <v/>
      </c>
    </row>
    <row r="165">
      <c r="A165" s="26">
        <f>IF($B165="","",149)</f>
        <v/>
      </c>
      <c r="B165" s="26">
        <f>IF($P165="","",IF(INDEX(CalcNormDate,$P165)=0,"",INDEX(CalcNormDate,$P165)))</f>
        <v/>
      </c>
      <c r="C165" s="26">
        <f>IF($P165="","",IF(INDEX(CalcTime,$P165)=0,"",INDEX(CalcTime,$P165)))</f>
        <v/>
      </c>
      <c r="D165" s="26">
        <f>IF($P165="","",IF(INDEX(EntryParty,$P165)=0,"",INDEX(EntryParty,$P165)))</f>
        <v/>
      </c>
      <c r="E165" s="26">
        <f>IF($P165="","",IF(INDEX(EntryPartyName,$P165)=0,"",INDEX(EntryPartyName,$P165)))</f>
        <v/>
      </c>
      <c r="F165" s="26">
        <f>IF($P165="","",IF(INDEX(EntryPartyType,$P165)=0,"",INDEX(EntryPartyType,$P165)))</f>
        <v/>
      </c>
      <c r="G165" s="26">
        <f>IF($P165="","",IF(INDEX(EntryTxnType,$P165)=0,"",INDEX(EntryTxnType,$P165)))</f>
        <v/>
      </c>
      <c r="H165" s="27">
        <f>IF($P165="","",IF(INDEX(EntryDep,$P165)=0,"",INDEX(EntryDep,$P165)))</f>
        <v/>
      </c>
      <c r="I165" s="27">
        <f>IF($P165="","",IF(INDEX(EntryWit,$P165)=0,"",INDEX(EntryWit,$P165)))</f>
        <v/>
      </c>
      <c r="J165" s="27">
        <f>IF($B165="","",IF($A165=1,$C$7,IF(J164="",0,J164))+IF($H165="",0,$H165)-IF($I165="",0,$I165))</f>
        <v/>
      </c>
      <c r="K165" s="27">
        <f>IF($P165="","",IF(INDEX(EntryMan,$P165)=0,"",INDEX(EntryMan,$P165)))</f>
        <v/>
      </c>
      <c r="L165" s="26">
        <f>IF($B165="","",IF($K165="","—",IF(ROUND($K165-$J165,0)=0,"√","×")))</f>
        <v/>
      </c>
      <c r="M165" s="26">
        <f>IF($B165="","",IF(COUNTIFS(EntryDates,$B165,CalcTime,$C165,CalcBank,$C$5,EntryParty,$D165,EntryDep,$H165,EntryWit,$I165)&gt;1,"تکرار",""))</f>
        <v/>
      </c>
      <c r="N165" s="26">
        <f>IF($P165="","",IF(INDEX(EntryNotes,$P165)=0,"",INDEX(EntryNotes,$P165)))</f>
        <v/>
      </c>
      <c r="O165" s="26">
        <f>IF($P165="","",IF(INDEX(EntryTxnID,$P165)=0,"",INDEX(EntryTxnID,$P165)))</f>
        <v/>
      </c>
      <c r="P165" s="26">
        <f>IFERROR(MATCH($C$5&amp;"|"&amp;RIGHT("000000"&amp;149,6),CalcRankKey,0),"")</f>
        <v/>
      </c>
    </row>
    <row r="166">
      <c r="A166" s="28">
        <f>IF($B166="","",150)</f>
        <v/>
      </c>
      <c r="B166" s="28">
        <f>IF($P166="","",IF(INDEX(CalcNormDate,$P166)=0,"",INDEX(CalcNormDate,$P166)))</f>
        <v/>
      </c>
      <c r="C166" s="28">
        <f>IF($P166="","",IF(INDEX(CalcTime,$P166)=0,"",INDEX(CalcTime,$P166)))</f>
        <v/>
      </c>
      <c r="D166" s="28">
        <f>IF($P166="","",IF(INDEX(EntryParty,$P166)=0,"",INDEX(EntryParty,$P166)))</f>
        <v/>
      </c>
      <c r="E166" s="28">
        <f>IF($P166="","",IF(INDEX(EntryPartyName,$P166)=0,"",INDEX(EntryPartyName,$P166)))</f>
        <v/>
      </c>
      <c r="F166" s="28">
        <f>IF($P166="","",IF(INDEX(EntryPartyType,$P166)=0,"",INDEX(EntryPartyType,$P166)))</f>
        <v/>
      </c>
      <c r="G166" s="28">
        <f>IF($P166="","",IF(INDEX(EntryTxnType,$P166)=0,"",INDEX(EntryTxnType,$P166)))</f>
        <v/>
      </c>
      <c r="H166" s="29">
        <f>IF($P166="","",IF(INDEX(EntryDep,$P166)=0,"",INDEX(EntryDep,$P166)))</f>
        <v/>
      </c>
      <c r="I166" s="29">
        <f>IF($P166="","",IF(INDEX(EntryWit,$P166)=0,"",INDEX(EntryWit,$P166)))</f>
        <v/>
      </c>
      <c r="J166" s="29">
        <f>IF($B166="","",IF($A166=1,$C$7,IF(J165="",0,J165))+IF($H166="",0,$H166)-IF($I166="",0,$I166))</f>
        <v/>
      </c>
      <c r="K166" s="29">
        <f>IF($P166="","",IF(INDEX(EntryMan,$P166)=0,"",INDEX(EntryMan,$P166)))</f>
        <v/>
      </c>
      <c r="L166" s="28">
        <f>IF($B166="","",IF($K166="","—",IF(ROUND($K166-$J166,0)=0,"√","×")))</f>
        <v/>
      </c>
      <c r="M166" s="28">
        <f>IF($B166="","",IF(COUNTIFS(EntryDates,$B166,CalcTime,$C166,CalcBank,$C$5,EntryParty,$D166,EntryDep,$H166,EntryWit,$I166)&gt;1,"تکرار",""))</f>
        <v/>
      </c>
      <c r="N166" s="28">
        <f>IF($P166="","",IF(INDEX(EntryNotes,$P166)=0,"",INDEX(EntryNotes,$P166)))</f>
        <v/>
      </c>
      <c r="O166" s="28">
        <f>IF($P166="","",IF(INDEX(EntryTxnID,$P166)=0,"",INDEX(EntryTxnID,$P166)))</f>
        <v/>
      </c>
      <c r="P166" s="28">
        <f>IFERROR(MATCH($C$5&amp;"|"&amp;RIGHT("000000"&amp;150,6),CalcRankKey,0),"")</f>
        <v/>
      </c>
    </row>
    <row r="167">
      <c r="A167" s="26">
        <f>IF($B167="","",151)</f>
        <v/>
      </c>
      <c r="B167" s="26">
        <f>IF($P167="","",IF(INDEX(CalcNormDate,$P167)=0,"",INDEX(CalcNormDate,$P167)))</f>
        <v/>
      </c>
      <c r="C167" s="26">
        <f>IF($P167="","",IF(INDEX(CalcTime,$P167)=0,"",INDEX(CalcTime,$P167)))</f>
        <v/>
      </c>
      <c r="D167" s="26">
        <f>IF($P167="","",IF(INDEX(EntryParty,$P167)=0,"",INDEX(EntryParty,$P167)))</f>
        <v/>
      </c>
      <c r="E167" s="26">
        <f>IF($P167="","",IF(INDEX(EntryPartyName,$P167)=0,"",INDEX(EntryPartyName,$P167)))</f>
        <v/>
      </c>
      <c r="F167" s="26">
        <f>IF($P167="","",IF(INDEX(EntryPartyType,$P167)=0,"",INDEX(EntryPartyType,$P167)))</f>
        <v/>
      </c>
      <c r="G167" s="26">
        <f>IF($P167="","",IF(INDEX(EntryTxnType,$P167)=0,"",INDEX(EntryTxnType,$P167)))</f>
        <v/>
      </c>
      <c r="H167" s="27">
        <f>IF($P167="","",IF(INDEX(EntryDep,$P167)=0,"",INDEX(EntryDep,$P167)))</f>
        <v/>
      </c>
      <c r="I167" s="27">
        <f>IF($P167="","",IF(INDEX(EntryWit,$P167)=0,"",INDEX(EntryWit,$P167)))</f>
        <v/>
      </c>
      <c r="J167" s="27">
        <f>IF($B167="","",IF($A167=1,$C$7,IF(J166="",0,J166))+IF($H167="",0,$H167)-IF($I167="",0,$I167))</f>
        <v/>
      </c>
      <c r="K167" s="27">
        <f>IF($P167="","",IF(INDEX(EntryMan,$P167)=0,"",INDEX(EntryMan,$P167)))</f>
        <v/>
      </c>
      <c r="L167" s="26">
        <f>IF($B167="","",IF($K167="","—",IF(ROUND($K167-$J167,0)=0,"√","×")))</f>
        <v/>
      </c>
      <c r="M167" s="26">
        <f>IF($B167="","",IF(COUNTIFS(EntryDates,$B167,CalcTime,$C167,CalcBank,$C$5,EntryParty,$D167,EntryDep,$H167,EntryWit,$I167)&gt;1,"تکرار",""))</f>
        <v/>
      </c>
      <c r="N167" s="26">
        <f>IF($P167="","",IF(INDEX(EntryNotes,$P167)=0,"",INDEX(EntryNotes,$P167)))</f>
        <v/>
      </c>
      <c r="O167" s="26">
        <f>IF($P167="","",IF(INDEX(EntryTxnID,$P167)=0,"",INDEX(EntryTxnID,$P167)))</f>
        <v/>
      </c>
      <c r="P167" s="26">
        <f>IFERROR(MATCH($C$5&amp;"|"&amp;RIGHT("000000"&amp;151,6),CalcRankKey,0),"")</f>
        <v/>
      </c>
    </row>
    <row r="168">
      <c r="A168" s="28">
        <f>IF($B168="","",152)</f>
        <v/>
      </c>
      <c r="B168" s="28">
        <f>IF($P168="","",IF(INDEX(CalcNormDate,$P168)=0,"",INDEX(CalcNormDate,$P168)))</f>
        <v/>
      </c>
      <c r="C168" s="28">
        <f>IF($P168="","",IF(INDEX(CalcTime,$P168)=0,"",INDEX(CalcTime,$P168)))</f>
        <v/>
      </c>
      <c r="D168" s="28">
        <f>IF($P168="","",IF(INDEX(EntryParty,$P168)=0,"",INDEX(EntryParty,$P168)))</f>
        <v/>
      </c>
      <c r="E168" s="28">
        <f>IF($P168="","",IF(INDEX(EntryPartyName,$P168)=0,"",INDEX(EntryPartyName,$P168)))</f>
        <v/>
      </c>
      <c r="F168" s="28">
        <f>IF($P168="","",IF(INDEX(EntryPartyType,$P168)=0,"",INDEX(EntryPartyType,$P168)))</f>
        <v/>
      </c>
      <c r="G168" s="28">
        <f>IF($P168="","",IF(INDEX(EntryTxnType,$P168)=0,"",INDEX(EntryTxnType,$P168)))</f>
        <v/>
      </c>
      <c r="H168" s="29">
        <f>IF($P168="","",IF(INDEX(EntryDep,$P168)=0,"",INDEX(EntryDep,$P168)))</f>
        <v/>
      </c>
      <c r="I168" s="29">
        <f>IF($P168="","",IF(INDEX(EntryWit,$P168)=0,"",INDEX(EntryWit,$P168)))</f>
        <v/>
      </c>
      <c r="J168" s="29">
        <f>IF($B168="","",IF($A168=1,$C$7,IF(J167="",0,J167))+IF($H168="",0,$H168)-IF($I168="",0,$I168))</f>
        <v/>
      </c>
      <c r="K168" s="29">
        <f>IF($P168="","",IF(INDEX(EntryMan,$P168)=0,"",INDEX(EntryMan,$P168)))</f>
        <v/>
      </c>
      <c r="L168" s="28">
        <f>IF($B168="","",IF($K168="","—",IF(ROUND($K168-$J168,0)=0,"√","×")))</f>
        <v/>
      </c>
      <c r="M168" s="28">
        <f>IF($B168="","",IF(COUNTIFS(EntryDates,$B168,CalcTime,$C168,CalcBank,$C$5,EntryParty,$D168,EntryDep,$H168,EntryWit,$I168)&gt;1,"تکرار",""))</f>
        <v/>
      </c>
      <c r="N168" s="28">
        <f>IF($P168="","",IF(INDEX(EntryNotes,$P168)=0,"",INDEX(EntryNotes,$P168)))</f>
        <v/>
      </c>
      <c r="O168" s="28">
        <f>IF($P168="","",IF(INDEX(EntryTxnID,$P168)=0,"",INDEX(EntryTxnID,$P168)))</f>
        <v/>
      </c>
      <c r="P168" s="28">
        <f>IFERROR(MATCH($C$5&amp;"|"&amp;RIGHT("000000"&amp;152,6),CalcRankKey,0),"")</f>
        <v/>
      </c>
    </row>
    <row r="169">
      <c r="A169" s="26">
        <f>IF($B169="","",153)</f>
        <v/>
      </c>
      <c r="B169" s="26">
        <f>IF($P169="","",IF(INDEX(CalcNormDate,$P169)=0,"",INDEX(CalcNormDate,$P169)))</f>
        <v/>
      </c>
      <c r="C169" s="26">
        <f>IF($P169="","",IF(INDEX(CalcTime,$P169)=0,"",INDEX(CalcTime,$P169)))</f>
        <v/>
      </c>
      <c r="D169" s="26">
        <f>IF($P169="","",IF(INDEX(EntryParty,$P169)=0,"",INDEX(EntryParty,$P169)))</f>
        <v/>
      </c>
      <c r="E169" s="26">
        <f>IF($P169="","",IF(INDEX(EntryPartyName,$P169)=0,"",INDEX(EntryPartyName,$P169)))</f>
        <v/>
      </c>
      <c r="F169" s="26">
        <f>IF($P169="","",IF(INDEX(EntryPartyType,$P169)=0,"",INDEX(EntryPartyType,$P169)))</f>
        <v/>
      </c>
      <c r="G169" s="26">
        <f>IF($P169="","",IF(INDEX(EntryTxnType,$P169)=0,"",INDEX(EntryTxnType,$P169)))</f>
        <v/>
      </c>
      <c r="H169" s="27">
        <f>IF($P169="","",IF(INDEX(EntryDep,$P169)=0,"",INDEX(EntryDep,$P169)))</f>
        <v/>
      </c>
      <c r="I169" s="27">
        <f>IF($P169="","",IF(INDEX(EntryWit,$P169)=0,"",INDEX(EntryWit,$P169)))</f>
        <v/>
      </c>
      <c r="J169" s="27">
        <f>IF($B169="","",IF($A169=1,$C$7,IF(J168="",0,J168))+IF($H169="",0,$H169)-IF($I169="",0,$I169))</f>
        <v/>
      </c>
      <c r="K169" s="27">
        <f>IF($P169="","",IF(INDEX(EntryMan,$P169)=0,"",INDEX(EntryMan,$P169)))</f>
        <v/>
      </c>
      <c r="L169" s="26">
        <f>IF($B169="","",IF($K169="","—",IF(ROUND($K169-$J169,0)=0,"√","×")))</f>
        <v/>
      </c>
      <c r="M169" s="26">
        <f>IF($B169="","",IF(COUNTIFS(EntryDates,$B169,CalcTime,$C169,CalcBank,$C$5,EntryParty,$D169,EntryDep,$H169,EntryWit,$I169)&gt;1,"تکرار",""))</f>
        <v/>
      </c>
      <c r="N169" s="26">
        <f>IF($P169="","",IF(INDEX(EntryNotes,$P169)=0,"",INDEX(EntryNotes,$P169)))</f>
        <v/>
      </c>
      <c r="O169" s="26">
        <f>IF($P169="","",IF(INDEX(EntryTxnID,$P169)=0,"",INDEX(EntryTxnID,$P169)))</f>
        <v/>
      </c>
      <c r="P169" s="26">
        <f>IFERROR(MATCH($C$5&amp;"|"&amp;RIGHT("000000"&amp;153,6),CalcRankKey,0),"")</f>
        <v/>
      </c>
    </row>
    <row r="170">
      <c r="A170" s="28">
        <f>IF($B170="","",154)</f>
        <v/>
      </c>
      <c r="B170" s="28">
        <f>IF($P170="","",IF(INDEX(CalcNormDate,$P170)=0,"",INDEX(CalcNormDate,$P170)))</f>
        <v/>
      </c>
      <c r="C170" s="28">
        <f>IF($P170="","",IF(INDEX(CalcTime,$P170)=0,"",INDEX(CalcTime,$P170)))</f>
        <v/>
      </c>
      <c r="D170" s="28">
        <f>IF($P170="","",IF(INDEX(EntryParty,$P170)=0,"",INDEX(EntryParty,$P170)))</f>
        <v/>
      </c>
      <c r="E170" s="28">
        <f>IF($P170="","",IF(INDEX(EntryPartyName,$P170)=0,"",INDEX(EntryPartyName,$P170)))</f>
        <v/>
      </c>
      <c r="F170" s="28">
        <f>IF($P170="","",IF(INDEX(EntryPartyType,$P170)=0,"",INDEX(EntryPartyType,$P170)))</f>
        <v/>
      </c>
      <c r="G170" s="28">
        <f>IF($P170="","",IF(INDEX(EntryTxnType,$P170)=0,"",INDEX(EntryTxnType,$P170)))</f>
        <v/>
      </c>
      <c r="H170" s="29">
        <f>IF($P170="","",IF(INDEX(EntryDep,$P170)=0,"",INDEX(EntryDep,$P170)))</f>
        <v/>
      </c>
      <c r="I170" s="29">
        <f>IF($P170="","",IF(INDEX(EntryWit,$P170)=0,"",INDEX(EntryWit,$P170)))</f>
        <v/>
      </c>
      <c r="J170" s="29">
        <f>IF($B170="","",IF($A170=1,$C$7,IF(J169="",0,J169))+IF($H170="",0,$H170)-IF($I170="",0,$I170))</f>
        <v/>
      </c>
      <c r="K170" s="29">
        <f>IF($P170="","",IF(INDEX(EntryMan,$P170)=0,"",INDEX(EntryMan,$P170)))</f>
        <v/>
      </c>
      <c r="L170" s="28">
        <f>IF($B170="","",IF($K170="","—",IF(ROUND($K170-$J170,0)=0,"√","×")))</f>
        <v/>
      </c>
      <c r="M170" s="28">
        <f>IF($B170="","",IF(COUNTIFS(EntryDates,$B170,CalcTime,$C170,CalcBank,$C$5,EntryParty,$D170,EntryDep,$H170,EntryWit,$I170)&gt;1,"تکرار",""))</f>
        <v/>
      </c>
      <c r="N170" s="28">
        <f>IF($P170="","",IF(INDEX(EntryNotes,$P170)=0,"",INDEX(EntryNotes,$P170)))</f>
        <v/>
      </c>
      <c r="O170" s="28">
        <f>IF($P170="","",IF(INDEX(EntryTxnID,$P170)=0,"",INDEX(EntryTxnID,$P170)))</f>
        <v/>
      </c>
      <c r="P170" s="28">
        <f>IFERROR(MATCH($C$5&amp;"|"&amp;RIGHT("000000"&amp;154,6),CalcRankKey,0),"")</f>
        <v/>
      </c>
    </row>
    <row r="171">
      <c r="A171" s="26">
        <f>IF($B171="","",155)</f>
        <v/>
      </c>
      <c r="B171" s="26">
        <f>IF($P171="","",IF(INDEX(CalcNormDate,$P171)=0,"",INDEX(CalcNormDate,$P171)))</f>
        <v/>
      </c>
      <c r="C171" s="26">
        <f>IF($P171="","",IF(INDEX(CalcTime,$P171)=0,"",INDEX(CalcTime,$P171)))</f>
        <v/>
      </c>
      <c r="D171" s="26">
        <f>IF($P171="","",IF(INDEX(EntryParty,$P171)=0,"",INDEX(EntryParty,$P171)))</f>
        <v/>
      </c>
      <c r="E171" s="26">
        <f>IF($P171="","",IF(INDEX(EntryPartyName,$P171)=0,"",INDEX(EntryPartyName,$P171)))</f>
        <v/>
      </c>
      <c r="F171" s="26">
        <f>IF($P171="","",IF(INDEX(EntryPartyType,$P171)=0,"",INDEX(EntryPartyType,$P171)))</f>
        <v/>
      </c>
      <c r="G171" s="26">
        <f>IF($P171="","",IF(INDEX(EntryTxnType,$P171)=0,"",INDEX(EntryTxnType,$P171)))</f>
        <v/>
      </c>
      <c r="H171" s="27">
        <f>IF($P171="","",IF(INDEX(EntryDep,$P171)=0,"",INDEX(EntryDep,$P171)))</f>
        <v/>
      </c>
      <c r="I171" s="27">
        <f>IF($P171="","",IF(INDEX(EntryWit,$P171)=0,"",INDEX(EntryWit,$P171)))</f>
        <v/>
      </c>
      <c r="J171" s="27">
        <f>IF($B171="","",IF($A171=1,$C$7,IF(J170="",0,J170))+IF($H171="",0,$H171)-IF($I171="",0,$I171))</f>
        <v/>
      </c>
      <c r="K171" s="27">
        <f>IF($P171="","",IF(INDEX(EntryMan,$P171)=0,"",INDEX(EntryMan,$P171)))</f>
        <v/>
      </c>
      <c r="L171" s="26">
        <f>IF($B171="","",IF($K171="","—",IF(ROUND($K171-$J171,0)=0,"√","×")))</f>
        <v/>
      </c>
      <c r="M171" s="26">
        <f>IF($B171="","",IF(COUNTIFS(EntryDates,$B171,CalcTime,$C171,CalcBank,$C$5,EntryParty,$D171,EntryDep,$H171,EntryWit,$I171)&gt;1,"تکرار",""))</f>
        <v/>
      </c>
      <c r="N171" s="26">
        <f>IF($P171="","",IF(INDEX(EntryNotes,$P171)=0,"",INDEX(EntryNotes,$P171)))</f>
        <v/>
      </c>
      <c r="O171" s="26">
        <f>IF($P171="","",IF(INDEX(EntryTxnID,$P171)=0,"",INDEX(EntryTxnID,$P171)))</f>
        <v/>
      </c>
      <c r="P171" s="26">
        <f>IFERROR(MATCH($C$5&amp;"|"&amp;RIGHT("000000"&amp;155,6),CalcRankKey,0),"")</f>
        <v/>
      </c>
    </row>
    <row r="172">
      <c r="A172" s="28">
        <f>IF($B172="","",156)</f>
        <v/>
      </c>
      <c r="B172" s="28">
        <f>IF($P172="","",IF(INDEX(CalcNormDate,$P172)=0,"",INDEX(CalcNormDate,$P172)))</f>
        <v/>
      </c>
      <c r="C172" s="28">
        <f>IF($P172="","",IF(INDEX(CalcTime,$P172)=0,"",INDEX(CalcTime,$P172)))</f>
        <v/>
      </c>
      <c r="D172" s="28">
        <f>IF($P172="","",IF(INDEX(EntryParty,$P172)=0,"",INDEX(EntryParty,$P172)))</f>
        <v/>
      </c>
      <c r="E172" s="28">
        <f>IF($P172="","",IF(INDEX(EntryPartyName,$P172)=0,"",INDEX(EntryPartyName,$P172)))</f>
        <v/>
      </c>
      <c r="F172" s="28">
        <f>IF($P172="","",IF(INDEX(EntryPartyType,$P172)=0,"",INDEX(EntryPartyType,$P172)))</f>
        <v/>
      </c>
      <c r="G172" s="28">
        <f>IF($P172="","",IF(INDEX(EntryTxnType,$P172)=0,"",INDEX(EntryTxnType,$P172)))</f>
        <v/>
      </c>
      <c r="H172" s="29">
        <f>IF($P172="","",IF(INDEX(EntryDep,$P172)=0,"",INDEX(EntryDep,$P172)))</f>
        <v/>
      </c>
      <c r="I172" s="29">
        <f>IF($P172="","",IF(INDEX(EntryWit,$P172)=0,"",INDEX(EntryWit,$P172)))</f>
        <v/>
      </c>
      <c r="J172" s="29">
        <f>IF($B172="","",IF($A172=1,$C$7,IF(J171="",0,J171))+IF($H172="",0,$H172)-IF($I172="",0,$I172))</f>
        <v/>
      </c>
      <c r="K172" s="29">
        <f>IF($P172="","",IF(INDEX(EntryMan,$P172)=0,"",INDEX(EntryMan,$P172)))</f>
        <v/>
      </c>
      <c r="L172" s="28">
        <f>IF($B172="","",IF($K172="","—",IF(ROUND($K172-$J172,0)=0,"√","×")))</f>
        <v/>
      </c>
      <c r="M172" s="28">
        <f>IF($B172="","",IF(COUNTIFS(EntryDates,$B172,CalcTime,$C172,CalcBank,$C$5,EntryParty,$D172,EntryDep,$H172,EntryWit,$I172)&gt;1,"تکرار",""))</f>
        <v/>
      </c>
      <c r="N172" s="28">
        <f>IF($P172="","",IF(INDEX(EntryNotes,$P172)=0,"",INDEX(EntryNotes,$P172)))</f>
        <v/>
      </c>
      <c r="O172" s="28">
        <f>IF($P172="","",IF(INDEX(EntryTxnID,$P172)=0,"",INDEX(EntryTxnID,$P172)))</f>
        <v/>
      </c>
      <c r="P172" s="28">
        <f>IFERROR(MATCH($C$5&amp;"|"&amp;RIGHT("000000"&amp;156,6),CalcRankKey,0),"")</f>
        <v/>
      </c>
    </row>
    <row r="173">
      <c r="A173" s="26">
        <f>IF($B173="","",157)</f>
        <v/>
      </c>
      <c r="B173" s="26">
        <f>IF($P173="","",IF(INDEX(CalcNormDate,$P173)=0,"",INDEX(CalcNormDate,$P173)))</f>
        <v/>
      </c>
      <c r="C173" s="26">
        <f>IF($P173="","",IF(INDEX(CalcTime,$P173)=0,"",INDEX(CalcTime,$P173)))</f>
        <v/>
      </c>
      <c r="D173" s="26">
        <f>IF($P173="","",IF(INDEX(EntryParty,$P173)=0,"",INDEX(EntryParty,$P173)))</f>
        <v/>
      </c>
      <c r="E173" s="26">
        <f>IF($P173="","",IF(INDEX(EntryPartyName,$P173)=0,"",INDEX(EntryPartyName,$P173)))</f>
        <v/>
      </c>
      <c r="F173" s="26">
        <f>IF($P173="","",IF(INDEX(EntryPartyType,$P173)=0,"",INDEX(EntryPartyType,$P173)))</f>
        <v/>
      </c>
      <c r="G173" s="26">
        <f>IF($P173="","",IF(INDEX(EntryTxnType,$P173)=0,"",INDEX(EntryTxnType,$P173)))</f>
        <v/>
      </c>
      <c r="H173" s="27">
        <f>IF($P173="","",IF(INDEX(EntryDep,$P173)=0,"",INDEX(EntryDep,$P173)))</f>
        <v/>
      </c>
      <c r="I173" s="27">
        <f>IF($P173="","",IF(INDEX(EntryWit,$P173)=0,"",INDEX(EntryWit,$P173)))</f>
        <v/>
      </c>
      <c r="J173" s="27">
        <f>IF($B173="","",IF($A173=1,$C$7,IF(J172="",0,J172))+IF($H173="",0,$H173)-IF($I173="",0,$I173))</f>
        <v/>
      </c>
      <c r="K173" s="27">
        <f>IF($P173="","",IF(INDEX(EntryMan,$P173)=0,"",INDEX(EntryMan,$P173)))</f>
        <v/>
      </c>
      <c r="L173" s="26">
        <f>IF($B173="","",IF($K173="","—",IF(ROUND($K173-$J173,0)=0,"√","×")))</f>
        <v/>
      </c>
      <c r="M173" s="26">
        <f>IF($B173="","",IF(COUNTIFS(EntryDates,$B173,CalcTime,$C173,CalcBank,$C$5,EntryParty,$D173,EntryDep,$H173,EntryWit,$I173)&gt;1,"تکرار",""))</f>
        <v/>
      </c>
      <c r="N173" s="26">
        <f>IF($P173="","",IF(INDEX(EntryNotes,$P173)=0,"",INDEX(EntryNotes,$P173)))</f>
        <v/>
      </c>
      <c r="O173" s="26">
        <f>IF($P173="","",IF(INDEX(EntryTxnID,$P173)=0,"",INDEX(EntryTxnID,$P173)))</f>
        <v/>
      </c>
      <c r="P173" s="26">
        <f>IFERROR(MATCH($C$5&amp;"|"&amp;RIGHT("000000"&amp;157,6),CalcRankKey,0),"")</f>
        <v/>
      </c>
    </row>
    <row r="174">
      <c r="A174" s="28">
        <f>IF($B174="","",158)</f>
        <v/>
      </c>
      <c r="B174" s="28">
        <f>IF($P174="","",IF(INDEX(CalcNormDate,$P174)=0,"",INDEX(CalcNormDate,$P174)))</f>
        <v/>
      </c>
      <c r="C174" s="28">
        <f>IF($P174="","",IF(INDEX(CalcTime,$P174)=0,"",INDEX(CalcTime,$P174)))</f>
        <v/>
      </c>
      <c r="D174" s="28">
        <f>IF($P174="","",IF(INDEX(EntryParty,$P174)=0,"",INDEX(EntryParty,$P174)))</f>
        <v/>
      </c>
      <c r="E174" s="28">
        <f>IF($P174="","",IF(INDEX(EntryPartyName,$P174)=0,"",INDEX(EntryPartyName,$P174)))</f>
        <v/>
      </c>
      <c r="F174" s="28">
        <f>IF($P174="","",IF(INDEX(EntryPartyType,$P174)=0,"",INDEX(EntryPartyType,$P174)))</f>
        <v/>
      </c>
      <c r="G174" s="28">
        <f>IF($P174="","",IF(INDEX(EntryTxnType,$P174)=0,"",INDEX(EntryTxnType,$P174)))</f>
        <v/>
      </c>
      <c r="H174" s="29">
        <f>IF($P174="","",IF(INDEX(EntryDep,$P174)=0,"",INDEX(EntryDep,$P174)))</f>
        <v/>
      </c>
      <c r="I174" s="29">
        <f>IF($P174="","",IF(INDEX(EntryWit,$P174)=0,"",INDEX(EntryWit,$P174)))</f>
        <v/>
      </c>
      <c r="J174" s="29">
        <f>IF($B174="","",IF($A174=1,$C$7,IF(J173="",0,J173))+IF($H174="",0,$H174)-IF($I174="",0,$I174))</f>
        <v/>
      </c>
      <c r="K174" s="29">
        <f>IF($P174="","",IF(INDEX(EntryMan,$P174)=0,"",INDEX(EntryMan,$P174)))</f>
        <v/>
      </c>
      <c r="L174" s="28">
        <f>IF($B174="","",IF($K174="","—",IF(ROUND($K174-$J174,0)=0,"√","×")))</f>
        <v/>
      </c>
      <c r="M174" s="28">
        <f>IF($B174="","",IF(COUNTIFS(EntryDates,$B174,CalcTime,$C174,CalcBank,$C$5,EntryParty,$D174,EntryDep,$H174,EntryWit,$I174)&gt;1,"تکرار",""))</f>
        <v/>
      </c>
      <c r="N174" s="28">
        <f>IF($P174="","",IF(INDEX(EntryNotes,$P174)=0,"",INDEX(EntryNotes,$P174)))</f>
        <v/>
      </c>
      <c r="O174" s="28">
        <f>IF($P174="","",IF(INDEX(EntryTxnID,$P174)=0,"",INDEX(EntryTxnID,$P174)))</f>
        <v/>
      </c>
      <c r="P174" s="28">
        <f>IFERROR(MATCH($C$5&amp;"|"&amp;RIGHT("000000"&amp;158,6),CalcRankKey,0),"")</f>
        <v/>
      </c>
    </row>
    <row r="175">
      <c r="A175" s="26">
        <f>IF($B175="","",159)</f>
        <v/>
      </c>
      <c r="B175" s="26">
        <f>IF($P175="","",IF(INDEX(CalcNormDate,$P175)=0,"",INDEX(CalcNormDate,$P175)))</f>
        <v/>
      </c>
      <c r="C175" s="26">
        <f>IF($P175="","",IF(INDEX(CalcTime,$P175)=0,"",INDEX(CalcTime,$P175)))</f>
        <v/>
      </c>
      <c r="D175" s="26">
        <f>IF($P175="","",IF(INDEX(EntryParty,$P175)=0,"",INDEX(EntryParty,$P175)))</f>
        <v/>
      </c>
      <c r="E175" s="26">
        <f>IF($P175="","",IF(INDEX(EntryPartyName,$P175)=0,"",INDEX(EntryPartyName,$P175)))</f>
        <v/>
      </c>
      <c r="F175" s="26">
        <f>IF($P175="","",IF(INDEX(EntryPartyType,$P175)=0,"",INDEX(EntryPartyType,$P175)))</f>
        <v/>
      </c>
      <c r="G175" s="26">
        <f>IF($P175="","",IF(INDEX(EntryTxnType,$P175)=0,"",INDEX(EntryTxnType,$P175)))</f>
        <v/>
      </c>
      <c r="H175" s="27">
        <f>IF($P175="","",IF(INDEX(EntryDep,$P175)=0,"",INDEX(EntryDep,$P175)))</f>
        <v/>
      </c>
      <c r="I175" s="27">
        <f>IF($P175="","",IF(INDEX(EntryWit,$P175)=0,"",INDEX(EntryWit,$P175)))</f>
        <v/>
      </c>
      <c r="J175" s="27">
        <f>IF($B175="","",IF($A175=1,$C$7,IF(J174="",0,J174))+IF($H175="",0,$H175)-IF($I175="",0,$I175))</f>
        <v/>
      </c>
      <c r="K175" s="27">
        <f>IF($P175="","",IF(INDEX(EntryMan,$P175)=0,"",INDEX(EntryMan,$P175)))</f>
        <v/>
      </c>
      <c r="L175" s="26">
        <f>IF($B175="","",IF($K175="","—",IF(ROUND($K175-$J175,0)=0,"√","×")))</f>
        <v/>
      </c>
      <c r="M175" s="26">
        <f>IF($B175="","",IF(COUNTIFS(EntryDates,$B175,CalcTime,$C175,CalcBank,$C$5,EntryParty,$D175,EntryDep,$H175,EntryWit,$I175)&gt;1,"تکرار",""))</f>
        <v/>
      </c>
      <c r="N175" s="26">
        <f>IF($P175="","",IF(INDEX(EntryNotes,$P175)=0,"",INDEX(EntryNotes,$P175)))</f>
        <v/>
      </c>
      <c r="O175" s="26">
        <f>IF($P175="","",IF(INDEX(EntryTxnID,$P175)=0,"",INDEX(EntryTxnID,$P175)))</f>
        <v/>
      </c>
      <c r="P175" s="26">
        <f>IFERROR(MATCH($C$5&amp;"|"&amp;RIGHT("000000"&amp;159,6),CalcRankKey,0),"")</f>
        <v/>
      </c>
    </row>
    <row r="176">
      <c r="A176" s="28">
        <f>IF($B176="","",160)</f>
        <v/>
      </c>
      <c r="B176" s="28">
        <f>IF($P176="","",IF(INDEX(CalcNormDate,$P176)=0,"",INDEX(CalcNormDate,$P176)))</f>
        <v/>
      </c>
      <c r="C176" s="28">
        <f>IF($P176="","",IF(INDEX(CalcTime,$P176)=0,"",INDEX(CalcTime,$P176)))</f>
        <v/>
      </c>
      <c r="D176" s="28">
        <f>IF($P176="","",IF(INDEX(EntryParty,$P176)=0,"",INDEX(EntryParty,$P176)))</f>
        <v/>
      </c>
      <c r="E176" s="28">
        <f>IF($P176="","",IF(INDEX(EntryPartyName,$P176)=0,"",INDEX(EntryPartyName,$P176)))</f>
        <v/>
      </c>
      <c r="F176" s="28">
        <f>IF($P176="","",IF(INDEX(EntryPartyType,$P176)=0,"",INDEX(EntryPartyType,$P176)))</f>
        <v/>
      </c>
      <c r="G176" s="28">
        <f>IF($P176="","",IF(INDEX(EntryTxnType,$P176)=0,"",INDEX(EntryTxnType,$P176)))</f>
        <v/>
      </c>
      <c r="H176" s="29">
        <f>IF($P176="","",IF(INDEX(EntryDep,$P176)=0,"",INDEX(EntryDep,$P176)))</f>
        <v/>
      </c>
      <c r="I176" s="29">
        <f>IF($P176="","",IF(INDEX(EntryWit,$P176)=0,"",INDEX(EntryWit,$P176)))</f>
        <v/>
      </c>
      <c r="J176" s="29">
        <f>IF($B176="","",IF($A176=1,$C$7,IF(J175="",0,J175))+IF($H176="",0,$H176)-IF($I176="",0,$I176))</f>
        <v/>
      </c>
      <c r="K176" s="29">
        <f>IF($P176="","",IF(INDEX(EntryMan,$P176)=0,"",INDEX(EntryMan,$P176)))</f>
        <v/>
      </c>
      <c r="L176" s="28">
        <f>IF($B176="","",IF($K176="","—",IF(ROUND($K176-$J176,0)=0,"√","×")))</f>
        <v/>
      </c>
      <c r="M176" s="28">
        <f>IF($B176="","",IF(COUNTIFS(EntryDates,$B176,CalcTime,$C176,CalcBank,$C$5,EntryParty,$D176,EntryDep,$H176,EntryWit,$I176)&gt;1,"تکرار",""))</f>
        <v/>
      </c>
      <c r="N176" s="28">
        <f>IF($P176="","",IF(INDEX(EntryNotes,$P176)=0,"",INDEX(EntryNotes,$P176)))</f>
        <v/>
      </c>
      <c r="O176" s="28">
        <f>IF($P176="","",IF(INDEX(EntryTxnID,$P176)=0,"",INDEX(EntryTxnID,$P176)))</f>
        <v/>
      </c>
      <c r="P176" s="28">
        <f>IFERROR(MATCH($C$5&amp;"|"&amp;RIGHT("000000"&amp;160,6),CalcRankKey,0),"")</f>
        <v/>
      </c>
    </row>
    <row r="177">
      <c r="A177" s="26">
        <f>IF($B177="","",161)</f>
        <v/>
      </c>
      <c r="B177" s="26">
        <f>IF($P177="","",IF(INDEX(CalcNormDate,$P177)=0,"",INDEX(CalcNormDate,$P177)))</f>
        <v/>
      </c>
      <c r="C177" s="26">
        <f>IF($P177="","",IF(INDEX(CalcTime,$P177)=0,"",INDEX(CalcTime,$P177)))</f>
        <v/>
      </c>
      <c r="D177" s="26">
        <f>IF($P177="","",IF(INDEX(EntryParty,$P177)=0,"",INDEX(EntryParty,$P177)))</f>
        <v/>
      </c>
      <c r="E177" s="26">
        <f>IF($P177="","",IF(INDEX(EntryPartyName,$P177)=0,"",INDEX(EntryPartyName,$P177)))</f>
        <v/>
      </c>
      <c r="F177" s="26">
        <f>IF($P177="","",IF(INDEX(EntryPartyType,$P177)=0,"",INDEX(EntryPartyType,$P177)))</f>
        <v/>
      </c>
      <c r="G177" s="26">
        <f>IF($P177="","",IF(INDEX(EntryTxnType,$P177)=0,"",INDEX(EntryTxnType,$P177)))</f>
        <v/>
      </c>
      <c r="H177" s="27">
        <f>IF($P177="","",IF(INDEX(EntryDep,$P177)=0,"",INDEX(EntryDep,$P177)))</f>
        <v/>
      </c>
      <c r="I177" s="27">
        <f>IF($P177="","",IF(INDEX(EntryWit,$P177)=0,"",INDEX(EntryWit,$P177)))</f>
        <v/>
      </c>
      <c r="J177" s="27">
        <f>IF($B177="","",IF($A177=1,$C$7,IF(J176="",0,J176))+IF($H177="",0,$H177)-IF($I177="",0,$I177))</f>
        <v/>
      </c>
      <c r="K177" s="27">
        <f>IF($P177="","",IF(INDEX(EntryMan,$P177)=0,"",INDEX(EntryMan,$P177)))</f>
        <v/>
      </c>
      <c r="L177" s="26">
        <f>IF($B177="","",IF($K177="","—",IF(ROUND($K177-$J177,0)=0,"√","×")))</f>
        <v/>
      </c>
      <c r="M177" s="26">
        <f>IF($B177="","",IF(COUNTIFS(EntryDates,$B177,CalcTime,$C177,CalcBank,$C$5,EntryParty,$D177,EntryDep,$H177,EntryWit,$I177)&gt;1,"تکرار",""))</f>
        <v/>
      </c>
      <c r="N177" s="26">
        <f>IF($P177="","",IF(INDEX(EntryNotes,$P177)=0,"",INDEX(EntryNotes,$P177)))</f>
        <v/>
      </c>
      <c r="O177" s="26">
        <f>IF($P177="","",IF(INDEX(EntryTxnID,$P177)=0,"",INDEX(EntryTxnID,$P177)))</f>
        <v/>
      </c>
      <c r="P177" s="26">
        <f>IFERROR(MATCH($C$5&amp;"|"&amp;RIGHT("000000"&amp;161,6),CalcRankKey,0),"")</f>
        <v/>
      </c>
    </row>
    <row r="178">
      <c r="A178" s="28">
        <f>IF($B178="","",162)</f>
        <v/>
      </c>
      <c r="B178" s="28">
        <f>IF($P178="","",IF(INDEX(CalcNormDate,$P178)=0,"",INDEX(CalcNormDate,$P178)))</f>
        <v/>
      </c>
      <c r="C178" s="28">
        <f>IF($P178="","",IF(INDEX(CalcTime,$P178)=0,"",INDEX(CalcTime,$P178)))</f>
        <v/>
      </c>
      <c r="D178" s="28">
        <f>IF($P178="","",IF(INDEX(EntryParty,$P178)=0,"",INDEX(EntryParty,$P178)))</f>
        <v/>
      </c>
      <c r="E178" s="28">
        <f>IF($P178="","",IF(INDEX(EntryPartyName,$P178)=0,"",INDEX(EntryPartyName,$P178)))</f>
        <v/>
      </c>
      <c r="F178" s="28">
        <f>IF($P178="","",IF(INDEX(EntryPartyType,$P178)=0,"",INDEX(EntryPartyType,$P178)))</f>
        <v/>
      </c>
      <c r="G178" s="28">
        <f>IF($P178="","",IF(INDEX(EntryTxnType,$P178)=0,"",INDEX(EntryTxnType,$P178)))</f>
        <v/>
      </c>
      <c r="H178" s="29">
        <f>IF($P178="","",IF(INDEX(EntryDep,$P178)=0,"",INDEX(EntryDep,$P178)))</f>
        <v/>
      </c>
      <c r="I178" s="29">
        <f>IF($P178="","",IF(INDEX(EntryWit,$P178)=0,"",INDEX(EntryWit,$P178)))</f>
        <v/>
      </c>
      <c r="J178" s="29">
        <f>IF($B178="","",IF($A178=1,$C$7,IF(J177="",0,J177))+IF($H178="",0,$H178)-IF($I178="",0,$I178))</f>
        <v/>
      </c>
      <c r="K178" s="29">
        <f>IF($P178="","",IF(INDEX(EntryMan,$P178)=0,"",INDEX(EntryMan,$P178)))</f>
        <v/>
      </c>
      <c r="L178" s="28">
        <f>IF($B178="","",IF($K178="","—",IF(ROUND($K178-$J178,0)=0,"√","×")))</f>
        <v/>
      </c>
      <c r="M178" s="28">
        <f>IF($B178="","",IF(COUNTIFS(EntryDates,$B178,CalcTime,$C178,CalcBank,$C$5,EntryParty,$D178,EntryDep,$H178,EntryWit,$I178)&gt;1,"تکرار",""))</f>
        <v/>
      </c>
      <c r="N178" s="28">
        <f>IF($P178="","",IF(INDEX(EntryNotes,$P178)=0,"",INDEX(EntryNotes,$P178)))</f>
        <v/>
      </c>
      <c r="O178" s="28">
        <f>IF($P178="","",IF(INDEX(EntryTxnID,$P178)=0,"",INDEX(EntryTxnID,$P178)))</f>
        <v/>
      </c>
      <c r="P178" s="28">
        <f>IFERROR(MATCH($C$5&amp;"|"&amp;RIGHT("000000"&amp;162,6),CalcRankKey,0),"")</f>
        <v/>
      </c>
    </row>
    <row r="179">
      <c r="A179" s="26">
        <f>IF($B179="","",163)</f>
        <v/>
      </c>
      <c r="B179" s="26">
        <f>IF($P179="","",IF(INDEX(CalcNormDate,$P179)=0,"",INDEX(CalcNormDate,$P179)))</f>
        <v/>
      </c>
      <c r="C179" s="26">
        <f>IF($P179="","",IF(INDEX(CalcTime,$P179)=0,"",INDEX(CalcTime,$P179)))</f>
        <v/>
      </c>
      <c r="D179" s="26">
        <f>IF($P179="","",IF(INDEX(EntryParty,$P179)=0,"",INDEX(EntryParty,$P179)))</f>
        <v/>
      </c>
      <c r="E179" s="26">
        <f>IF($P179="","",IF(INDEX(EntryPartyName,$P179)=0,"",INDEX(EntryPartyName,$P179)))</f>
        <v/>
      </c>
      <c r="F179" s="26">
        <f>IF($P179="","",IF(INDEX(EntryPartyType,$P179)=0,"",INDEX(EntryPartyType,$P179)))</f>
        <v/>
      </c>
      <c r="G179" s="26">
        <f>IF($P179="","",IF(INDEX(EntryTxnType,$P179)=0,"",INDEX(EntryTxnType,$P179)))</f>
        <v/>
      </c>
      <c r="H179" s="27">
        <f>IF($P179="","",IF(INDEX(EntryDep,$P179)=0,"",INDEX(EntryDep,$P179)))</f>
        <v/>
      </c>
      <c r="I179" s="27">
        <f>IF($P179="","",IF(INDEX(EntryWit,$P179)=0,"",INDEX(EntryWit,$P179)))</f>
        <v/>
      </c>
      <c r="J179" s="27">
        <f>IF($B179="","",IF($A179=1,$C$7,IF(J178="",0,J178))+IF($H179="",0,$H179)-IF($I179="",0,$I179))</f>
        <v/>
      </c>
      <c r="K179" s="27">
        <f>IF($P179="","",IF(INDEX(EntryMan,$P179)=0,"",INDEX(EntryMan,$P179)))</f>
        <v/>
      </c>
      <c r="L179" s="26">
        <f>IF($B179="","",IF($K179="","—",IF(ROUND($K179-$J179,0)=0,"√","×")))</f>
        <v/>
      </c>
      <c r="M179" s="26">
        <f>IF($B179="","",IF(COUNTIFS(EntryDates,$B179,CalcTime,$C179,CalcBank,$C$5,EntryParty,$D179,EntryDep,$H179,EntryWit,$I179)&gt;1,"تکرار",""))</f>
        <v/>
      </c>
      <c r="N179" s="26">
        <f>IF($P179="","",IF(INDEX(EntryNotes,$P179)=0,"",INDEX(EntryNotes,$P179)))</f>
        <v/>
      </c>
      <c r="O179" s="26">
        <f>IF($P179="","",IF(INDEX(EntryTxnID,$P179)=0,"",INDEX(EntryTxnID,$P179)))</f>
        <v/>
      </c>
      <c r="P179" s="26">
        <f>IFERROR(MATCH($C$5&amp;"|"&amp;RIGHT("000000"&amp;163,6),CalcRankKey,0),"")</f>
        <v/>
      </c>
    </row>
    <row r="180">
      <c r="A180" s="28">
        <f>IF($B180="","",164)</f>
        <v/>
      </c>
      <c r="B180" s="28">
        <f>IF($P180="","",IF(INDEX(CalcNormDate,$P180)=0,"",INDEX(CalcNormDate,$P180)))</f>
        <v/>
      </c>
      <c r="C180" s="28">
        <f>IF($P180="","",IF(INDEX(CalcTime,$P180)=0,"",INDEX(CalcTime,$P180)))</f>
        <v/>
      </c>
      <c r="D180" s="28">
        <f>IF($P180="","",IF(INDEX(EntryParty,$P180)=0,"",INDEX(EntryParty,$P180)))</f>
        <v/>
      </c>
      <c r="E180" s="28">
        <f>IF($P180="","",IF(INDEX(EntryPartyName,$P180)=0,"",INDEX(EntryPartyName,$P180)))</f>
        <v/>
      </c>
      <c r="F180" s="28">
        <f>IF($P180="","",IF(INDEX(EntryPartyType,$P180)=0,"",INDEX(EntryPartyType,$P180)))</f>
        <v/>
      </c>
      <c r="G180" s="28">
        <f>IF($P180="","",IF(INDEX(EntryTxnType,$P180)=0,"",INDEX(EntryTxnType,$P180)))</f>
        <v/>
      </c>
      <c r="H180" s="29">
        <f>IF($P180="","",IF(INDEX(EntryDep,$P180)=0,"",INDEX(EntryDep,$P180)))</f>
        <v/>
      </c>
      <c r="I180" s="29">
        <f>IF($P180="","",IF(INDEX(EntryWit,$P180)=0,"",INDEX(EntryWit,$P180)))</f>
        <v/>
      </c>
      <c r="J180" s="29">
        <f>IF($B180="","",IF($A180=1,$C$7,IF(J179="",0,J179))+IF($H180="",0,$H180)-IF($I180="",0,$I180))</f>
        <v/>
      </c>
      <c r="K180" s="29">
        <f>IF($P180="","",IF(INDEX(EntryMan,$P180)=0,"",INDEX(EntryMan,$P180)))</f>
        <v/>
      </c>
      <c r="L180" s="28">
        <f>IF($B180="","",IF($K180="","—",IF(ROUND($K180-$J180,0)=0,"√","×")))</f>
        <v/>
      </c>
      <c r="M180" s="28">
        <f>IF($B180="","",IF(COUNTIFS(EntryDates,$B180,CalcTime,$C180,CalcBank,$C$5,EntryParty,$D180,EntryDep,$H180,EntryWit,$I180)&gt;1,"تکرار",""))</f>
        <v/>
      </c>
      <c r="N180" s="28">
        <f>IF($P180="","",IF(INDEX(EntryNotes,$P180)=0,"",INDEX(EntryNotes,$P180)))</f>
        <v/>
      </c>
      <c r="O180" s="28">
        <f>IF($P180="","",IF(INDEX(EntryTxnID,$P180)=0,"",INDEX(EntryTxnID,$P180)))</f>
        <v/>
      </c>
      <c r="P180" s="28">
        <f>IFERROR(MATCH($C$5&amp;"|"&amp;RIGHT("000000"&amp;164,6),CalcRankKey,0),"")</f>
        <v/>
      </c>
    </row>
    <row r="181">
      <c r="A181" s="26">
        <f>IF($B181="","",165)</f>
        <v/>
      </c>
      <c r="B181" s="26">
        <f>IF($P181="","",IF(INDEX(CalcNormDate,$P181)=0,"",INDEX(CalcNormDate,$P181)))</f>
        <v/>
      </c>
      <c r="C181" s="26">
        <f>IF($P181="","",IF(INDEX(CalcTime,$P181)=0,"",INDEX(CalcTime,$P181)))</f>
        <v/>
      </c>
      <c r="D181" s="26">
        <f>IF($P181="","",IF(INDEX(EntryParty,$P181)=0,"",INDEX(EntryParty,$P181)))</f>
        <v/>
      </c>
      <c r="E181" s="26">
        <f>IF($P181="","",IF(INDEX(EntryPartyName,$P181)=0,"",INDEX(EntryPartyName,$P181)))</f>
        <v/>
      </c>
      <c r="F181" s="26">
        <f>IF($P181="","",IF(INDEX(EntryPartyType,$P181)=0,"",INDEX(EntryPartyType,$P181)))</f>
        <v/>
      </c>
      <c r="G181" s="26">
        <f>IF($P181="","",IF(INDEX(EntryTxnType,$P181)=0,"",INDEX(EntryTxnType,$P181)))</f>
        <v/>
      </c>
      <c r="H181" s="27">
        <f>IF($P181="","",IF(INDEX(EntryDep,$P181)=0,"",INDEX(EntryDep,$P181)))</f>
        <v/>
      </c>
      <c r="I181" s="27">
        <f>IF($P181="","",IF(INDEX(EntryWit,$P181)=0,"",INDEX(EntryWit,$P181)))</f>
        <v/>
      </c>
      <c r="J181" s="27">
        <f>IF($B181="","",IF($A181=1,$C$7,IF(J180="",0,J180))+IF($H181="",0,$H181)-IF($I181="",0,$I181))</f>
        <v/>
      </c>
      <c r="K181" s="27">
        <f>IF($P181="","",IF(INDEX(EntryMan,$P181)=0,"",INDEX(EntryMan,$P181)))</f>
        <v/>
      </c>
      <c r="L181" s="26">
        <f>IF($B181="","",IF($K181="","—",IF(ROUND($K181-$J181,0)=0,"√","×")))</f>
        <v/>
      </c>
      <c r="M181" s="26">
        <f>IF($B181="","",IF(COUNTIFS(EntryDates,$B181,CalcTime,$C181,CalcBank,$C$5,EntryParty,$D181,EntryDep,$H181,EntryWit,$I181)&gt;1,"تکرار",""))</f>
        <v/>
      </c>
      <c r="N181" s="26">
        <f>IF($P181="","",IF(INDEX(EntryNotes,$P181)=0,"",INDEX(EntryNotes,$P181)))</f>
        <v/>
      </c>
      <c r="O181" s="26">
        <f>IF($P181="","",IF(INDEX(EntryTxnID,$P181)=0,"",INDEX(EntryTxnID,$P181)))</f>
        <v/>
      </c>
      <c r="P181" s="26">
        <f>IFERROR(MATCH($C$5&amp;"|"&amp;RIGHT("000000"&amp;165,6),CalcRankKey,0),"")</f>
        <v/>
      </c>
    </row>
    <row r="182">
      <c r="A182" s="28">
        <f>IF($B182="","",166)</f>
        <v/>
      </c>
      <c r="B182" s="28">
        <f>IF($P182="","",IF(INDEX(CalcNormDate,$P182)=0,"",INDEX(CalcNormDate,$P182)))</f>
        <v/>
      </c>
      <c r="C182" s="28">
        <f>IF($P182="","",IF(INDEX(CalcTime,$P182)=0,"",INDEX(CalcTime,$P182)))</f>
        <v/>
      </c>
      <c r="D182" s="28">
        <f>IF($P182="","",IF(INDEX(EntryParty,$P182)=0,"",INDEX(EntryParty,$P182)))</f>
        <v/>
      </c>
      <c r="E182" s="28">
        <f>IF($P182="","",IF(INDEX(EntryPartyName,$P182)=0,"",INDEX(EntryPartyName,$P182)))</f>
        <v/>
      </c>
      <c r="F182" s="28">
        <f>IF($P182="","",IF(INDEX(EntryPartyType,$P182)=0,"",INDEX(EntryPartyType,$P182)))</f>
        <v/>
      </c>
      <c r="G182" s="28">
        <f>IF($P182="","",IF(INDEX(EntryTxnType,$P182)=0,"",INDEX(EntryTxnType,$P182)))</f>
        <v/>
      </c>
      <c r="H182" s="29">
        <f>IF($P182="","",IF(INDEX(EntryDep,$P182)=0,"",INDEX(EntryDep,$P182)))</f>
        <v/>
      </c>
      <c r="I182" s="29">
        <f>IF($P182="","",IF(INDEX(EntryWit,$P182)=0,"",INDEX(EntryWit,$P182)))</f>
        <v/>
      </c>
      <c r="J182" s="29">
        <f>IF($B182="","",IF($A182=1,$C$7,IF(J181="",0,J181))+IF($H182="",0,$H182)-IF($I182="",0,$I182))</f>
        <v/>
      </c>
      <c r="K182" s="29">
        <f>IF($P182="","",IF(INDEX(EntryMan,$P182)=0,"",INDEX(EntryMan,$P182)))</f>
        <v/>
      </c>
      <c r="L182" s="28">
        <f>IF($B182="","",IF($K182="","—",IF(ROUND($K182-$J182,0)=0,"√","×")))</f>
        <v/>
      </c>
      <c r="M182" s="28">
        <f>IF($B182="","",IF(COUNTIFS(EntryDates,$B182,CalcTime,$C182,CalcBank,$C$5,EntryParty,$D182,EntryDep,$H182,EntryWit,$I182)&gt;1,"تکرار",""))</f>
        <v/>
      </c>
      <c r="N182" s="28">
        <f>IF($P182="","",IF(INDEX(EntryNotes,$P182)=0,"",INDEX(EntryNotes,$P182)))</f>
        <v/>
      </c>
      <c r="O182" s="28">
        <f>IF($P182="","",IF(INDEX(EntryTxnID,$P182)=0,"",INDEX(EntryTxnID,$P182)))</f>
        <v/>
      </c>
      <c r="P182" s="28">
        <f>IFERROR(MATCH($C$5&amp;"|"&amp;RIGHT("000000"&amp;166,6),CalcRankKey,0),"")</f>
        <v/>
      </c>
    </row>
    <row r="183">
      <c r="A183" s="26">
        <f>IF($B183="","",167)</f>
        <v/>
      </c>
      <c r="B183" s="26">
        <f>IF($P183="","",IF(INDEX(CalcNormDate,$P183)=0,"",INDEX(CalcNormDate,$P183)))</f>
        <v/>
      </c>
      <c r="C183" s="26">
        <f>IF($P183="","",IF(INDEX(CalcTime,$P183)=0,"",INDEX(CalcTime,$P183)))</f>
        <v/>
      </c>
      <c r="D183" s="26">
        <f>IF($P183="","",IF(INDEX(EntryParty,$P183)=0,"",INDEX(EntryParty,$P183)))</f>
        <v/>
      </c>
      <c r="E183" s="26">
        <f>IF($P183="","",IF(INDEX(EntryPartyName,$P183)=0,"",INDEX(EntryPartyName,$P183)))</f>
        <v/>
      </c>
      <c r="F183" s="26">
        <f>IF($P183="","",IF(INDEX(EntryPartyType,$P183)=0,"",INDEX(EntryPartyType,$P183)))</f>
        <v/>
      </c>
      <c r="G183" s="26">
        <f>IF($P183="","",IF(INDEX(EntryTxnType,$P183)=0,"",INDEX(EntryTxnType,$P183)))</f>
        <v/>
      </c>
      <c r="H183" s="27">
        <f>IF($P183="","",IF(INDEX(EntryDep,$P183)=0,"",INDEX(EntryDep,$P183)))</f>
        <v/>
      </c>
      <c r="I183" s="27">
        <f>IF($P183="","",IF(INDEX(EntryWit,$P183)=0,"",INDEX(EntryWit,$P183)))</f>
        <v/>
      </c>
      <c r="J183" s="27">
        <f>IF($B183="","",IF($A183=1,$C$7,IF(J182="",0,J182))+IF($H183="",0,$H183)-IF($I183="",0,$I183))</f>
        <v/>
      </c>
      <c r="K183" s="27">
        <f>IF($P183="","",IF(INDEX(EntryMan,$P183)=0,"",INDEX(EntryMan,$P183)))</f>
        <v/>
      </c>
      <c r="L183" s="26">
        <f>IF($B183="","",IF($K183="","—",IF(ROUND($K183-$J183,0)=0,"√","×")))</f>
        <v/>
      </c>
      <c r="M183" s="26">
        <f>IF($B183="","",IF(COUNTIFS(EntryDates,$B183,CalcTime,$C183,CalcBank,$C$5,EntryParty,$D183,EntryDep,$H183,EntryWit,$I183)&gt;1,"تکرار",""))</f>
        <v/>
      </c>
      <c r="N183" s="26">
        <f>IF($P183="","",IF(INDEX(EntryNotes,$P183)=0,"",INDEX(EntryNotes,$P183)))</f>
        <v/>
      </c>
      <c r="O183" s="26">
        <f>IF($P183="","",IF(INDEX(EntryTxnID,$P183)=0,"",INDEX(EntryTxnID,$P183)))</f>
        <v/>
      </c>
      <c r="P183" s="26">
        <f>IFERROR(MATCH($C$5&amp;"|"&amp;RIGHT("000000"&amp;167,6),CalcRankKey,0),"")</f>
        <v/>
      </c>
    </row>
    <row r="184">
      <c r="A184" s="28">
        <f>IF($B184="","",168)</f>
        <v/>
      </c>
      <c r="B184" s="28">
        <f>IF($P184="","",IF(INDEX(CalcNormDate,$P184)=0,"",INDEX(CalcNormDate,$P184)))</f>
        <v/>
      </c>
      <c r="C184" s="28">
        <f>IF($P184="","",IF(INDEX(CalcTime,$P184)=0,"",INDEX(CalcTime,$P184)))</f>
        <v/>
      </c>
      <c r="D184" s="28">
        <f>IF($P184="","",IF(INDEX(EntryParty,$P184)=0,"",INDEX(EntryParty,$P184)))</f>
        <v/>
      </c>
      <c r="E184" s="28">
        <f>IF($P184="","",IF(INDEX(EntryPartyName,$P184)=0,"",INDEX(EntryPartyName,$P184)))</f>
        <v/>
      </c>
      <c r="F184" s="28">
        <f>IF($P184="","",IF(INDEX(EntryPartyType,$P184)=0,"",INDEX(EntryPartyType,$P184)))</f>
        <v/>
      </c>
      <c r="G184" s="28">
        <f>IF($P184="","",IF(INDEX(EntryTxnType,$P184)=0,"",INDEX(EntryTxnType,$P184)))</f>
        <v/>
      </c>
      <c r="H184" s="29">
        <f>IF($P184="","",IF(INDEX(EntryDep,$P184)=0,"",INDEX(EntryDep,$P184)))</f>
        <v/>
      </c>
      <c r="I184" s="29">
        <f>IF($P184="","",IF(INDEX(EntryWit,$P184)=0,"",INDEX(EntryWit,$P184)))</f>
        <v/>
      </c>
      <c r="J184" s="29">
        <f>IF($B184="","",IF($A184=1,$C$7,IF(J183="",0,J183))+IF($H184="",0,$H184)-IF($I184="",0,$I184))</f>
        <v/>
      </c>
      <c r="K184" s="29">
        <f>IF($P184="","",IF(INDEX(EntryMan,$P184)=0,"",INDEX(EntryMan,$P184)))</f>
        <v/>
      </c>
      <c r="L184" s="28">
        <f>IF($B184="","",IF($K184="","—",IF(ROUND($K184-$J184,0)=0,"√","×")))</f>
        <v/>
      </c>
      <c r="M184" s="28">
        <f>IF($B184="","",IF(COUNTIFS(EntryDates,$B184,CalcTime,$C184,CalcBank,$C$5,EntryParty,$D184,EntryDep,$H184,EntryWit,$I184)&gt;1,"تکرار",""))</f>
        <v/>
      </c>
      <c r="N184" s="28">
        <f>IF($P184="","",IF(INDEX(EntryNotes,$P184)=0,"",INDEX(EntryNotes,$P184)))</f>
        <v/>
      </c>
      <c r="O184" s="28">
        <f>IF($P184="","",IF(INDEX(EntryTxnID,$P184)=0,"",INDEX(EntryTxnID,$P184)))</f>
        <v/>
      </c>
      <c r="P184" s="28">
        <f>IFERROR(MATCH($C$5&amp;"|"&amp;RIGHT("000000"&amp;168,6),CalcRankKey,0),"")</f>
        <v/>
      </c>
    </row>
    <row r="185">
      <c r="A185" s="26">
        <f>IF($B185="","",169)</f>
        <v/>
      </c>
      <c r="B185" s="26">
        <f>IF($P185="","",IF(INDEX(CalcNormDate,$P185)=0,"",INDEX(CalcNormDate,$P185)))</f>
        <v/>
      </c>
      <c r="C185" s="26">
        <f>IF($P185="","",IF(INDEX(CalcTime,$P185)=0,"",INDEX(CalcTime,$P185)))</f>
        <v/>
      </c>
      <c r="D185" s="26">
        <f>IF($P185="","",IF(INDEX(EntryParty,$P185)=0,"",INDEX(EntryParty,$P185)))</f>
        <v/>
      </c>
      <c r="E185" s="26">
        <f>IF($P185="","",IF(INDEX(EntryPartyName,$P185)=0,"",INDEX(EntryPartyName,$P185)))</f>
        <v/>
      </c>
      <c r="F185" s="26">
        <f>IF($P185="","",IF(INDEX(EntryPartyType,$P185)=0,"",INDEX(EntryPartyType,$P185)))</f>
        <v/>
      </c>
      <c r="G185" s="26">
        <f>IF($P185="","",IF(INDEX(EntryTxnType,$P185)=0,"",INDEX(EntryTxnType,$P185)))</f>
        <v/>
      </c>
      <c r="H185" s="27">
        <f>IF($P185="","",IF(INDEX(EntryDep,$P185)=0,"",INDEX(EntryDep,$P185)))</f>
        <v/>
      </c>
      <c r="I185" s="27">
        <f>IF($P185="","",IF(INDEX(EntryWit,$P185)=0,"",INDEX(EntryWit,$P185)))</f>
        <v/>
      </c>
      <c r="J185" s="27">
        <f>IF($B185="","",IF($A185=1,$C$7,IF(J184="",0,J184))+IF($H185="",0,$H185)-IF($I185="",0,$I185))</f>
        <v/>
      </c>
      <c r="K185" s="27">
        <f>IF($P185="","",IF(INDEX(EntryMan,$P185)=0,"",INDEX(EntryMan,$P185)))</f>
        <v/>
      </c>
      <c r="L185" s="26">
        <f>IF($B185="","",IF($K185="","—",IF(ROUND($K185-$J185,0)=0,"√","×")))</f>
        <v/>
      </c>
      <c r="M185" s="26">
        <f>IF($B185="","",IF(COUNTIFS(EntryDates,$B185,CalcTime,$C185,CalcBank,$C$5,EntryParty,$D185,EntryDep,$H185,EntryWit,$I185)&gt;1,"تکرار",""))</f>
        <v/>
      </c>
      <c r="N185" s="26">
        <f>IF($P185="","",IF(INDEX(EntryNotes,$P185)=0,"",INDEX(EntryNotes,$P185)))</f>
        <v/>
      </c>
      <c r="O185" s="26">
        <f>IF($P185="","",IF(INDEX(EntryTxnID,$P185)=0,"",INDEX(EntryTxnID,$P185)))</f>
        <v/>
      </c>
      <c r="P185" s="26">
        <f>IFERROR(MATCH($C$5&amp;"|"&amp;RIGHT("000000"&amp;169,6),CalcRankKey,0),"")</f>
        <v/>
      </c>
    </row>
    <row r="186">
      <c r="A186" s="28">
        <f>IF($B186="","",170)</f>
        <v/>
      </c>
      <c r="B186" s="28">
        <f>IF($P186="","",IF(INDEX(CalcNormDate,$P186)=0,"",INDEX(CalcNormDate,$P186)))</f>
        <v/>
      </c>
      <c r="C186" s="28">
        <f>IF($P186="","",IF(INDEX(CalcTime,$P186)=0,"",INDEX(CalcTime,$P186)))</f>
        <v/>
      </c>
      <c r="D186" s="28">
        <f>IF($P186="","",IF(INDEX(EntryParty,$P186)=0,"",INDEX(EntryParty,$P186)))</f>
        <v/>
      </c>
      <c r="E186" s="28">
        <f>IF($P186="","",IF(INDEX(EntryPartyName,$P186)=0,"",INDEX(EntryPartyName,$P186)))</f>
        <v/>
      </c>
      <c r="F186" s="28">
        <f>IF($P186="","",IF(INDEX(EntryPartyType,$P186)=0,"",INDEX(EntryPartyType,$P186)))</f>
        <v/>
      </c>
      <c r="G186" s="28">
        <f>IF($P186="","",IF(INDEX(EntryTxnType,$P186)=0,"",INDEX(EntryTxnType,$P186)))</f>
        <v/>
      </c>
      <c r="H186" s="29">
        <f>IF($P186="","",IF(INDEX(EntryDep,$P186)=0,"",INDEX(EntryDep,$P186)))</f>
        <v/>
      </c>
      <c r="I186" s="29">
        <f>IF($P186="","",IF(INDEX(EntryWit,$P186)=0,"",INDEX(EntryWit,$P186)))</f>
        <v/>
      </c>
      <c r="J186" s="29">
        <f>IF($B186="","",IF($A186=1,$C$7,IF(J185="",0,J185))+IF($H186="",0,$H186)-IF($I186="",0,$I186))</f>
        <v/>
      </c>
      <c r="K186" s="29">
        <f>IF($P186="","",IF(INDEX(EntryMan,$P186)=0,"",INDEX(EntryMan,$P186)))</f>
        <v/>
      </c>
      <c r="L186" s="28">
        <f>IF($B186="","",IF($K186="","—",IF(ROUND($K186-$J186,0)=0,"√","×")))</f>
        <v/>
      </c>
      <c r="M186" s="28">
        <f>IF($B186="","",IF(COUNTIFS(EntryDates,$B186,CalcTime,$C186,CalcBank,$C$5,EntryParty,$D186,EntryDep,$H186,EntryWit,$I186)&gt;1,"تکرار",""))</f>
        <v/>
      </c>
      <c r="N186" s="28">
        <f>IF($P186="","",IF(INDEX(EntryNotes,$P186)=0,"",INDEX(EntryNotes,$P186)))</f>
        <v/>
      </c>
      <c r="O186" s="28">
        <f>IF($P186="","",IF(INDEX(EntryTxnID,$P186)=0,"",INDEX(EntryTxnID,$P186)))</f>
        <v/>
      </c>
      <c r="P186" s="28">
        <f>IFERROR(MATCH($C$5&amp;"|"&amp;RIGHT("000000"&amp;170,6),CalcRankKey,0),"")</f>
        <v/>
      </c>
    </row>
    <row r="187">
      <c r="A187" s="26">
        <f>IF($B187="","",171)</f>
        <v/>
      </c>
      <c r="B187" s="26">
        <f>IF($P187="","",IF(INDEX(CalcNormDate,$P187)=0,"",INDEX(CalcNormDate,$P187)))</f>
        <v/>
      </c>
      <c r="C187" s="26">
        <f>IF($P187="","",IF(INDEX(CalcTime,$P187)=0,"",INDEX(CalcTime,$P187)))</f>
        <v/>
      </c>
      <c r="D187" s="26">
        <f>IF($P187="","",IF(INDEX(EntryParty,$P187)=0,"",INDEX(EntryParty,$P187)))</f>
        <v/>
      </c>
      <c r="E187" s="26">
        <f>IF($P187="","",IF(INDEX(EntryPartyName,$P187)=0,"",INDEX(EntryPartyName,$P187)))</f>
        <v/>
      </c>
      <c r="F187" s="26">
        <f>IF($P187="","",IF(INDEX(EntryPartyType,$P187)=0,"",INDEX(EntryPartyType,$P187)))</f>
        <v/>
      </c>
      <c r="G187" s="26">
        <f>IF($P187="","",IF(INDEX(EntryTxnType,$P187)=0,"",INDEX(EntryTxnType,$P187)))</f>
        <v/>
      </c>
      <c r="H187" s="27">
        <f>IF($P187="","",IF(INDEX(EntryDep,$P187)=0,"",INDEX(EntryDep,$P187)))</f>
        <v/>
      </c>
      <c r="I187" s="27">
        <f>IF($P187="","",IF(INDEX(EntryWit,$P187)=0,"",INDEX(EntryWit,$P187)))</f>
        <v/>
      </c>
      <c r="J187" s="27">
        <f>IF($B187="","",IF($A187=1,$C$7,IF(J186="",0,J186))+IF($H187="",0,$H187)-IF($I187="",0,$I187))</f>
        <v/>
      </c>
      <c r="K187" s="27">
        <f>IF($P187="","",IF(INDEX(EntryMan,$P187)=0,"",INDEX(EntryMan,$P187)))</f>
        <v/>
      </c>
      <c r="L187" s="26">
        <f>IF($B187="","",IF($K187="","—",IF(ROUND($K187-$J187,0)=0,"√","×")))</f>
        <v/>
      </c>
      <c r="M187" s="26">
        <f>IF($B187="","",IF(COUNTIFS(EntryDates,$B187,CalcTime,$C187,CalcBank,$C$5,EntryParty,$D187,EntryDep,$H187,EntryWit,$I187)&gt;1,"تکرار",""))</f>
        <v/>
      </c>
      <c r="N187" s="26">
        <f>IF($P187="","",IF(INDEX(EntryNotes,$P187)=0,"",INDEX(EntryNotes,$P187)))</f>
        <v/>
      </c>
      <c r="O187" s="26">
        <f>IF($P187="","",IF(INDEX(EntryTxnID,$P187)=0,"",INDEX(EntryTxnID,$P187)))</f>
        <v/>
      </c>
      <c r="P187" s="26">
        <f>IFERROR(MATCH($C$5&amp;"|"&amp;RIGHT("000000"&amp;171,6),CalcRankKey,0),"")</f>
        <v/>
      </c>
    </row>
    <row r="188">
      <c r="A188" s="28">
        <f>IF($B188="","",172)</f>
        <v/>
      </c>
      <c r="B188" s="28">
        <f>IF($P188="","",IF(INDEX(CalcNormDate,$P188)=0,"",INDEX(CalcNormDate,$P188)))</f>
        <v/>
      </c>
      <c r="C188" s="28">
        <f>IF($P188="","",IF(INDEX(CalcTime,$P188)=0,"",INDEX(CalcTime,$P188)))</f>
        <v/>
      </c>
      <c r="D188" s="28">
        <f>IF($P188="","",IF(INDEX(EntryParty,$P188)=0,"",INDEX(EntryParty,$P188)))</f>
        <v/>
      </c>
      <c r="E188" s="28">
        <f>IF($P188="","",IF(INDEX(EntryPartyName,$P188)=0,"",INDEX(EntryPartyName,$P188)))</f>
        <v/>
      </c>
      <c r="F188" s="28">
        <f>IF($P188="","",IF(INDEX(EntryPartyType,$P188)=0,"",INDEX(EntryPartyType,$P188)))</f>
        <v/>
      </c>
      <c r="G188" s="28">
        <f>IF($P188="","",IF(INDEX(EntryTxnType,$P188)=0,"",INDEX(EntryTxnType,$P188)))</f>
        <v/>
      </c>
      <c r="H188" s="29">
        <f>IF($P188="","",IF(INDEX(EntryDep,$P188)=0,"",INDEX(EntryDep,$P188)))</f>
        <v/>
      </c>
      <c r="I188" s="29">
        <f>IF($P188="","",IF(INDEX(EntryWit,$P188)=0,"",INDEX(EntryWit,$P188)))</f>
        <v/>
      </c>
      <c r="J188" s="29">
        <f>IF($B188="","",IF($A188=1,$C$7,IF(J187="",0,J187))+IF($H188="",0,$H188)-IF($I188="",0,$I188))</f>
        <v/>
      </c>
      <c r="K188" s="29">
        <f>IF($P188="","",IF(INDEX(EntryMan,$P188)=0,"",INDEX(EntryMan,$P188)))</f>
        <v/>
      </c>
      <c r="L188" s="28">
        <f>IF($B188="","",IF($K188="","—",IF(ROUND($K188-$J188,0)=0,"√","×")))</f>
        <v/>
      </c>
      <c r="M188" s="28">
        <f>IF($B188="","",IF(COUNTIFS(EntryDates,$B188,CalcTime,$C188,CalcBank,$C$5,EntryParty,$D188,EntryDep,$H188,EntryWit,$I188)&gt;1,"تکرار",""))</f>
        <v/>
      </c>
      <c r="N188" s="28">
        <f>IF($P188="","",IF(INDEX(EntryNotes,$P188)=0,"",INDEX(EntryNotes,$P188)))</f>
        <v/>
      </c>
      <c r="O188" s="28">
        <f>IF($P188="","",IF(INDEX(EntryTxnID,$P188)=0,"",INDEX(EntryTxnID,$P188)))</f>
        <v/>
      </c>
      <c r="P188" s="28">
        <f>IFERROR(MATCH($C$5&amp;"|"&amp;RIGHT("000000"&amp;172,6),CalcRankKey,0),"")</f>
        <v/>
      </c>
    </row>
    <row r="189">
      <c r="A189" s="26">
        <f>IF($B189="","",173)</f>
        <v/>
      </c>
      <c r="B189" s="26">
        <f>IF($P189="","",IF(INDEX(CalcNormDate,$P189)=0,"",INDEX(CalcNormDate,$P189)))</f>
        <v/>
      </c>
      <c r="C189" s="26">
        <f>IF($P189="","",IF(INDEX(CalcTime,$P189)=0,"",INDEX(CalcTime,$P189)))</f>
        <v/>
      </c>
      <c r="D189" s="26">
        <f>IF($P189="","",IF(INDEX(EntryParty,$P189)=0,"",INDEX(EntryParty,$P189)))</f>
        <v/>
      </c>
      <c r="E189" s="26">
        <f>IF($P189="","",IF(INDEX(EntryPartyName,$P189)=0,"",INDEX(EntryPartyName,$P189)))</f>
        <v/>
      </c>
      <c r="F189" s="26">
        <f>IF($P189="","",IF(INDEX(EntryPartyType,$P189)=0,"",INDEX(EntryPartyType,$P189)))</f>
        <v/>
      </c>
      <c r="G189" s="26">
        <f>IF($P189="","",IF(INDEX(EntryTxnType,$P189)=0,"",INDEX(EntryTxnType,$P189)))</f>
        <v/>
      </c>
      <c r="H189" s="27">
        <f>IF($P189="","",IF(INDEX(EntryDep,$P189)=0,"",INDEX(EntryDep,$P189)))</f>
        <v/>
      </c>
      <c r="I189" s="27">
        <f>IF($P189="","",IF(INDEX(EntryWit,$P189)=0,"",INDEX(EntryWit,$P189)))</f>
        <v/>
      </c>
      <c r="J189" s="27">
        <f>IF($B189="","",IF($A189=1,$C$7,IF(J188="",0,J188))+IF($H189="",0,$H189)-IF($I189="",0,$I189))</f>
        <v/>
      </c>
      <c r="K189" s="27">
        <f>IF($P189="","",IF(INDEX(EntryMan,$P189)=0,"",INDEX(EntryMan,$P189)))</f>
        <v/>
      </c>
      <c r="L189" s="26">
        <f>IF($B189="","",IF($K189="","—",IF(ROUND($K189-$J189,0)=0,"√","×")))</f>
        <v/>
      </c>
      <c r="M189" s="26">
        <f>IF($B189="","",IF(COUNTIFS(EntryDates,$B189,CalcTime,$C189,CalcBank,$C$5,EntryParty,$D189,EntryDep,$H189,EntryWit,$I189)&gt;1,"تکرار",""))</f>
        <v/>
      </c>
      <c r="N189" s="26">
        <f>IF($P189="","",IF(INDEX(EntryNotes,$P189)=0,"",INDEX(EntryNotes,$P189)))</f>
        <v/>
      </c>
      <c r="O189" s="26">
        <f>IF($P189="","",IF(INDEX(EntryTxnID,$P189)=0,"",INDEX(EntryTxnID,$P189)))</f>
        <v/>
      </c>
      <c r="P189" s="26">
        <f>IFERROR(MATCH($C$5&amp;"|"&amp;RIGHT("000000"&amp;173,6),CalcRankKey,0),"")</f>
        <v/>
      </c>
    </row>
    <row r="190">
      <c r="A190" s="28">
        <f>IF($B190="","",174)</f>
        <v/>
      </c>
      <c r="B190" s="28">
        <f>IF($P190="","",IF(INDEX(CalcNormDate,$P190)=0,"",INDEX(CalcNormDate,$P190)))</f>
        <v/>
      </c>
      <c r="C190" s="28">
        <f>IF($P190="","",IF(INDEX(CalcTime,$P190)=0,"",INDEX(CalcTime,$P190)))</f>
        <v/>
      </c>
      <c r="D190" s="28">
        <f>IF($P190="","",IF(INDEX(EntryParty,$P190)=0,"",INDEX(EntryParty,$P190)))</f>
        <v/>
      </c>
      <c r="E190" s="28">
        <f>IF($P190="","",IF(INDEX(EntryPartyName,$P190)=0,"",INDEX(EntryPartyName,$P190)))</f>
        <v/>
      </c>
      <c r="F190" s="28">
        <f>IF($P190="","",IF(INDEX(EntryPartyType,$P190)=0,"",INDEX(EntryPartyType,$P190)))</f>
        <v/>
      </c>
      <c r="G190" s="28">
        <f>IF($P190="","",IF(INDEX(EntryTxnType,$P190)=0,"",INDEX(EntryTxnType,$P190)))</f>
        <v/>
      </c>
      <c r="H190" s="29">
        <f>IF($P190="","",IF(INDEX(EntryDep,$P190)=0,"",INDEX(EntryDep,$P190)))</f>
        <v/>
      </c>
      <c r="I190" s="29">
        <f>IF($P190="","",IF(INDEX(EntryWit,$P190)=0,"",INDEX(EntryWit,$P190)))</f>
        <v/>
      </c>
      <c r="J190" s="29">
        <f>IF($B190="","",IF($A190=1,$C$7,IF(J189="",0,J189))+IF($H190="",0,$H190)-IF($I190="",0,$I190))</f>
        <v/>
      </c>
      <c r="K190" s="29">
        <f>IF($P190="","",IF(INDEX(EntryMan,$P190)=0,"",INDEX(EntryMan,$P190)))</f>
        <v/>
      </c>
      <c r="L190" s="28">
        <f>IF($B190="","",IF($K190="","—",IF(ROUND($K190-$J190,0)=0,"√","×")))</f>
        <v/>
      </c>
      <c r="M190" s="28">
        <f>IF($B190="","",IF(COUNTIFS(EntryDates,$B190,CalcTime,$C190,CalcBank,$C$5,EntryParty,$D190,EntryDep,$H190,EntryWit,$I190)&gt;1,"تکرار",""))</f>
        <v/>
      </c>
      <c r="N190" s="28">
        <f>IF($P190="","",IF(INDEX(EntryNotes,$P190)=0,"",INDEX(EntryNotes,$P190)))</f>
        <v/>
      </c>
      <c r="O190" s="28">
        <f>IF($P190="","",IF(INDEX(EntryTxnID,$P190)=0,"",INDEX(EntryTxnID,$P190)))</f>
        <v/>
      </c>
      <c r="P190" s="28">
        <f>IFERROR(MATCH($C$5&amp;"|"&amp;RIGHT("000000"&amp;174,6),CalcRankKey,0),"")</f>
        <v/>
      </c>
    </row>
    <row r="191">
      <c r="A191" s="26">
        <f>IF($B191="","",175)</f>
        <v/>
      </c>
      <c r="B191" s="26">
        <f>IF($P191="","",IF(INDEX(CalcNormDate,$P191)=0,"",INDEX(CalcNormDate,$P191)))</f>
        <v/>
      </c>
      <c r="C191" s="26">
        <f>IF($P191="","",IF(INDEX(CalcTime,$P191)=0,"",INDEX(CalcTime,$P191)))</f>
        <v/>
      </c>
      <c r="D191" s="26">
        <f>IF($P191="","",IF(INDEX(EntryParty,$P191)=0,"",INDEX(EntryParty,$P191)))</f>
        <v/>
      </c>
      <c r="E191" s="26">
        <f>IF($P191="","",IF(INDEX(EntryPartyName,$P191)=0,"",INDEX(EntryPartyName,$P191)))</f>
        <v/>
      </c>
      <c r="F191" s="26">
        <f>IF($P191="","",IF(INDEX(EntryPartyType,$P191)=0,"",INDEX(EntryPartyType,$P191)))</f>
        <v/>
      </c>
      <c r="G191" s="26">
        <f>IF($P191="","",IF(INDEX(EntryTxnType,$P191)=0,"",INDEX(EntryTxnType,$P191)))</f>
        <v/>
      </c>
      <c r="H191" s="27">
        <f>IF($P191="","",IF(INDEX(EntryDep,$P191)=0,"",INDEX(EntryDep,$P191)))</f>
        <v/>
      </c>
      <c r="I191" s="27">
        <f>IF($P191="","",IF(INDEX(EntryWit,$P191)=0,"",INDEX(EntryWit,$P191)))</f>
        <v/>
      </c>
      <c r="J191" s="27">
        <f>IF($B191="","",IF($A191=1,$C$7,IF(J190="",0,J190))+IF($H191="",0,$H191)-IF($I191="",0,$I191))</f>
        <v/>
      </c>
      <c r="K191" s="27">
        <f>IF($P191="","",IF(INDEX(EntryMan,$P191)=0,"",INDEX(EntryMan,$P191)))</f>
        <v/>
      </c>
      <c r="L191" s="26">
        <f>IF($B191="","",IF($K191="","—",IF(ROUND($K191-$J191,0)=0,"√","×")))</f>
        <v/>
      </c>
      <c r="M191" s="26">
        <f>IF($B191="","",IF(COUNTIFS(EntryDates,$B191,CalcTime,$C191,CalcBank,$C$5,EntryParty,$D191,EntryDep,$H191,EntryWit,$I191)&gt;1,"تکرار",""))</f>
        <v/>
      </c>
      <c r="N191" s="26">
        <f>IF($P191="","",IF(INDEX(EntryNotes,$P191)=0,"",INDEX(EntryNotes,$P191)))</f>
        <v/>
      </c>
      <c r="O191" s="26">
        <f>IF($P191="","",IF(INDEX(EntryTxnID,$P191)=0,"",INDEX(EntryTxnID,$P191)))</f>
        <v/>
      </c>
      <c r="P191" s="26">
        <f>IFERROR(MATCH($C$5&amp;"|"&amp;RIGHT("000000"&amp;175,6),CalcRankKey,0),"")</f>
        <v/>
      </c>
    </row>
    <row r="192">
      <c r="A192" s="28">
        <f>IF($B192="","",176)</f>
        <v/>
      </c>
      <c r="B192" s="28">
        <f>IF($P192="","",IF(INDEX(CalcNormDate,$P192)=0,"",INDEX(CalcNormDate,$P192)))</f>
        <v/>
      </c>
      <c r="C192" s="28">
        <f>IF($P192="","",IF(INDEX(CalcTime,$P192)=0,"",INDEX(CalcTime,$P192)))</f>
        <v/>
      </c>
      <c r="D192" s="28">
        <f>IF($P192="","",IF(INDEX(EntryParty,$P192)=0,"",INDEX(EntryParty,$P192)))</f>
        <v/>
      </c>
      <c r="E192" s="28">
        <f>IF($P192="","",IF(INDEX(EntryPartyName,$P192)=0,"",INDEX(EntryPartyName,$P192)))</f>
        <v/>
      </c>
      <c r="F192" s="28">
        <f>IF($P192="","",IF(INDEX(EntryPartyType,$P192)=0,"",INDEX(EntryPartyType,$P192)))</f>
        <v/>
      </c>
      <c r="G192" s="28">
        <f>IF($P192="","",IF(INDEX(EntryTxnType,$P192)=0,"",INDEX(EntryTxnType,$P192)))</f>
        <v/>
      </c>
      <c r="H192" s="29">
        <f>IF($P192="","",IF(INDEX(EntryDep,$P192)=0,"",INDEX(EntryDep,$P192)))</f>
        <v/>
      </c>
      <c r="I192" s="29">
        <f>IF($P192="","",IF(INDEX(EntryWit,$P192)=0,"",INDEX(EntryWit,$P192)))</f>
        <v/>
      </c>
      <c r="J192" s="29">
        <f>IF($B192="","",IF($A192=1,$C$7,IF(J191="",0,J191))+IF($H192="",0,$H192)-IF($I192="",0,$I192))</f>
        <v/>
      </c>
      <c r="K192" s="29">
        <f>IF($P192="","",IF(INDEX(EntryMan,$P192)=0,"",INDEX(EntryMan,$P192)))</f>
        <v/>
      </c>
      <c r="L192" s="28">
        <f>IF($B192="","",IF($K192="","—",IF(ROUND($K192-$J192,0)=0,"√","×")))</f>
        <v/>
      </c>
      <c r="M192" s="28">
        <f>IF($B192="","",IF(COUNTIFS(EntryDates,$B192,CalcTime,$C192,CalcBank,$C$5,EntryParty,$D192,EntryDep,$H192,EntryWit,$I192)&gt;1,"تکرار",""))</f>
        <v/>
      </c>
      <c r="N192" s="28">
        <f>IF($P192="","",IF(INDEX(EntryNotes,$P192)=0,"",INDEX(EntryNotes,$P192)))</f>
        <v/>
      </c>
      <c r="O192" s="28">
        <f>IF($P192="","",IF(INDEX(EntryTxnID,$P192)=0,"",INDEX(EntryTxnID,$P192)))</f>
        <v/>
      </c>
      <c r="P192" s="28">
        <f>IFERROR(MATCH($C$5&amp;"|"&amp;RIGHT("000000"&amp;176,6),CalcRankKey,0),"")</f>
        <v/>
      </c>
    </row>
    <row r="193">
      <c r="A193" s="26">
        <f>IF($B193="","",177)</f>
        <v/>
      </c>
      <c r="B193" s="26">
        <f>IF($P193="","",IF(INDEX(CalcNormDate,$P193)=0,"",INDEX(CalcNormDate,$P193)))</f>
        <v/>
      </c>
      <c r="C193" s="26">
        <f>IF($P193="","",IF(INDEX(CalcTime,$P193)=0,"",INDEX(CalcTime,$P193)))</f>
        <v/>
      </c>
      <c r="D193" s="26">
        <f>IF($P193="","",IF(INDEX(EntryParty,$P193)=0,"",INDEX(EntryParty,$P193)))</f>
        <v/>
      </c>
      <c r="E193" s="26">
        <f>IF($P193="","",IF(INDEX(EntryPartyName,$P193)=0,"",INDEX(EntryPartyName,$P193)))</f>
        <v/>
      </c>
      <c r="F193" s="26">
        <f>IF($P193="","",IF(INDEX(EntryPartyType,$P193)=0,"",INDEX(EntryPartyType,$P193)))</f>
        <v/>
      </c>
      <c r="G193" s="26">
        <f>IF($P193="","",IF(INDEX(EntryTxnType,$P193)=0,"",INDEX(EntryTxnType,$P193)))</f>
        <v/>
      </c>
      <c r="H193" s="27">
        <f>IF($P193="","",IF(INDEX(EntryDep,$P193)=0,"",INDEX(EntryDep,$P193)))</f>
        <v/>
      </c>
      <c r="I193" s="27">
        <f>IF($P193="","",IF(INDEX(EntryWit,$P193)=0,"",INDEX(EntryWit,$P193)))</f>
        <v/>
      </c>
      <c r="J193" s="27">
        <f>IF($B193="","",IF($A193=1,$C$7,IF(J192="",0,J192))+IF($H193="",0,$H193)-IF($I193="",0,$I193))</f>
        <v/>
      </c>
      <c r="K193" s="27">
        <f>IF($P193="","",IF(INDEX(EntryMan,$P193)=0,"",INDEX(EntryMan,$P193)))</f>
        <v/>
      </c>
      <c r="L193" s="26">
        <f>IF($B193="","",IF($K193="","—",IF(ROUND($K193-$J193,0)=0,"√","×")))</f>
        <v/>
      </c>
      <c r="M193" s="26">
        <f>IF($B193="","",IF(COUNTIFS(EntryDates,$B193,CalcTime,$C193,CalcBank,$C$5,EntryParty,$D193,EntryDep,$H193,EntryWit,$I193)&gt;1,"تکرار",""))</f>
        <v/>
      </c>
      <c r="N193" s="26">
        <f>IF($P193="","",IF(INDEX(EntryNotes,$P193)=0,"",INDEX(EntryNotes,$P193)))</f>
        <v/>
      </c>
      <c r="O193" s="26">
        <f>IF($P193="","",IF(INDEX(EntryTxnID,$P193)=0,"",INDEX(EntryTxnID,$P193)))</f>
        <v/>
      </c>
      <c r="P193" s="26">
        <f>IFERROR(MATCH($C$5&amp;"|"&amp;RIGHT("000000"&amp;177,6),CalcRankKey,0),"")</f>
        <v/>
      </c>
    </row>
    <row r="194">
      <c r="A194" s="28">
        <f>IF($B194="","",178)</f>
        <v/>
      </c>
      <c r="B194" s="28">
        <f>IF($P194="","",IF(INDEX(CalcNormDate,$P194)=0,"",INDEX(CalcNormDate,$P194)))</f>
        <v/>
      </c>
      <c r="C194" s="28">
        <f>IF($P194="","",IF(INDEX(CalcTime,$P194)=0,"",INDEX(CalcTime,$P194)))</f>
        <v/>
      </c>
      <c r="D194" s="28">
        <f>IF($P194="","",IF(INDEX(EntryParty,$P194)=0,"",INDEX(EntryParty,$P194)))</f>
        <v/>
      </c>
      <c r="E194" s="28">
        <f>IF($P194="","",IF(INDEX(EntryPartyName,$P194)=0,"",INDEX(EntryPartyName,$P194)))</f>
        <v/>
      </c>
      <c r="F194" s="28">
        <f>IF($P194="","",IF(INDEX(EntryPartyType,$P194)=0,"",INDEX(EntryPartyType,$P194)))</f>
        <v/>
      </c>
      <c r="G194" s="28">
        <f>IF($P194="","",IF(INDEX(EntryTxnType,$P194)=0,"",INDEX(EntryTxnType,$P194)))</f>
        <v/>
      </c>
      <c r="H194" s="29">
        <f>IF($P194="","",IF(INDEX(EntryDep,$P194)=0,"",INDEX(EntryDep,$P194)))</f>
        <v/>
      </c>
      <c r="I194" s="29">
        <f>IF($P194="","",IF(INDEX(EntryWit,$P194)=0,"",INDEX(EntryWit,$P194)))</f>
        <v/>
      </c>
      <c r="J194" s="29">
        <f>IF($B194="","",IF($A194=1,$C$7,IF(J193="",0,J193))+IF($H194="",0,$H194)-IF($I194="",0,$I194))</f>
        <v/>
      </c>
      <c r="K194" s="29">
        <f>IF($P194="","",IF(INDEX(EntryMan,$P194)=0,"",INDEX(EntryMan,$P194)))</f>
        <v/>
      </c>
      <c r="L194" s="28">
        <f>IF($B194="","",IF($K194="","—",IF(ROUND($K194-$J194,0)=0,"√","×")))</f>
        <v/>
      </c>
      <c r="M194" s="28">
        <f>IF($B194="","",IF(COUNTIFS(EntryDates,$B194,CalcTime,$C194,CalcBank,$C$5,EntryParty,$D194,EntryDep,$H194,EntryWit,$I194)&gt;1,"تکرار",""))</f>
        <v/>
      </c>
      <c r="N194" s="28">
        <f>IF($P194="","",IF(INDEX(EntryNotes,$P194)=0,"",INDEX(EntryNotes,$P194)))</f>
        <v/>
      </c>
      <c r="O194" s="28">
        <f>IF($P194="","",IF(INDEX(EntryTxnID,$P194)=0,"",INDEX(EntryTxnID,$P194)))</f>
        <v/>
      </c>
      <c r="P194" s="28">
        <f>IFERROR(MATCH($C$5&amp;"|"&amp;RIGHT("000000"&amp;178,6),CalcRankKey,0),"")</f>
        <v/>
      </c>
    </row>
    <row r="195">
      <c r="A195" s="26">
        <f>IF($B195="","",179)</f>
        <v/>
      </c>
      <c r="B195" s="26">
        <f>IF($P195="","",IF(INDEX(CalcNormDate,$P195)=0,"",INDEX(CalcNormDate,$P195)))</f>
        <v/>
      </c>
      <c r="C195" s="26">
        <f>IF($P195="","",IF(INDEX(CalcTime,$P195)=0,"",INDEX(CalcTime,$P195)))</f>
        <v/>
      </c>
      <c r="D195" s="26">
        <f>IF($P195="","",IF(INDEX(EntryParty,$P195)=0,"",INDEX(EntryParty,$P195)))</f>
        <v/>
      </c>
      <c r="E195" s="26">
        <f>IF($P195="","",IF(INDEX(EntryPartyName,$P195)=0,"",INDEX(EntryPartyName,$P195)))</f>
        <v/>
      </c>
      <c r="F195" s="26">
        <f>IF($P195="","",IF(INDEX(EntryPartyType,$P195)=0,"",INDEX(EntryPartyType,$P195)))</f>
        <v/>
      </c>
      <c r="G195" s="26">
        <f>IF($P195="","",IF(INDEX(EntryTxnType,$P195)=0,"",INDEX(EntryTxnType,$P195)))</f>
        <v/>
      </c>
      <c r="H195" s="27">
        <f>IF($P195="","",IF(INDEX(EntryDep,$P195)=0,"",INDEX(EntryDep,$P195)))</f>
        <v/>
      </c>
      <c r="I195" s="27">
        <f>IF($P195="","",IF(INDEX(EntryWit,$P195)=0,"",INDEX(EntryWit,$P195)))</f>
        <v/>
      </c>
      <c r="J195" s="27">
        <f>IF($B195="","",IF($A195=1,$C$7,IF(J194="",0,J194))+IF($H195="",0,$H195)-IF($I195="",0,$I195))</f>
        <v/>
      </c>
      <c r="K195" s="27">
        <f>IF($P195="","",IF(INDEX(EntryMan,$P195)=0,"",INDEX(EntryMan,$P195)))</f>
        <v/>
      </c>
      <c r="L195" s="26">
        <f>IF($B195="","",IF($K195="","—",IF(ROUND($K195-$J195,0)=0,"√","×")))</f>
        <v/>
      </c>
      <c r="M195" s="26">
        <f>IF($B195="","",IF(COUNTIFS(EntryDates,$B195,CalcTime,$C195,CalcBank,$C$5,EntryParty,$D195,EntryDep,$H195,EntryWit,$I195)&gt;1,"تکرار",""))</f>
        <v/>
      </c>
      <c r="N195" s="26">
        <f>IF($P195="","",IF(INDEX(EntryNotes,$P195)=0,"",INDEX(EntryNotes,$P195)))</f>
        <v/>
      </c>
      <c r="O195" s="26">
        <f>IF($P195="","",IF(INDEX(EntryTxnID,$P195)=0,"",INDEX(EntryTxnID,$P195)))</f>
        <v/>
      </c>
      <c r="P195" s="26">
        <f>IFERROR(MATCH($C$5&amp;"|"&amp;RIGHT("000000"&amp;179,6),CalcRankKey,0),"")</f>
        <v/>
      </c>
    </row>
    <row r="196">
      <c r="A196" s="28">
        <f>IF($B196="","",180)</f>
        <v/>
      </c>
      <c r="B196" s="28">
        <f>IF($P196="","",IF(INDEX(CalcNormDate,$P196)=0,"",INDEX(CalcNormDate,$P196)))</f>
        <v/>
      </c>
      <c r="C196" s="28">
        <f>IF($P196="","",IF(INDEX(CalcTime,$P196)=0,"",INDEX(CalcTime,$P196)))</f>
        <v/>
      </c>
      <c r="D196" s="28">
        <f>IF($P196="","",IF(INDEX(EntryParty,$P196)=0,"",INDEX(EntryParty,$P196)))</f>
        <v/>
      </c>
      <c r="E196" s="28">
        <f>IF($P196="","",IF(INDEX(EntryPartyName,$P196)=0,"",INDEX(EntryPartyName,$P196)))</f>
        <v/>
      </c>
      <c r="F196" s="28">
        <f>IF($P196="","",IF(INDEX(EntryPartyType,$P196)=0,"",INDEX(EntryPartyType,$P196)))</f>
        <v/>
      </c>
      <c r="G196" s="28">
        <f>IF($P196="","",IF(INDEX(EntryTxnType,$P196)=0,"",INDEX(EntryTxnType,$P196)))</f>
        <v/>
      </c>
      <c r="H196" s="29">
        <f>IF($P196="","",IF(INDEX(EntryDep,$P196)=0,"",INDEX(EntryDep,$P196)))</f>
        <v/>
      </c>
      <c r="I196" s="29">
        <f>IF($P196="","",IF(INDEX(EntryWit,$P196)=0,"",INDEX(EntryWit,$P196)))</f>
        <v/>
      </c>
      <c r="J196" s="29">
        <f>IF($B196="","",IF($A196=1,$C$7,IF(J195="",0,J195))+IF($H196="",0,$H196)-IF($I196="",0,$I196))</f>
        <v/>
      </c>
      <c r="K196" s="29">
        <f>IF($P196="","",IF(INDEX(EntryMan,$P196)=0,"",INDEX(EntryMan,$P196)))</f>
        <v/>
      </c>
      <c r="L196" s="28">
        <f>IF($B196="","",IF($K196="","—",IF(ROUND($K196-$J196,0)=0,"√","×")))</f>
        <v/>
      </c>
      <c r="M196" s="28">
        <f>IF($B196="","",IF(COUNTIFS(EntryDates,$B196,CalcTime,$C196,CalcBank,$C$5,EntryParty,$D196,EntryDep,$H196,EntryWit,$I196)&gt;1,"تکرار",""))</f>
        <v/>
      </c>
      <c r="N196" s="28">
        <f>IF($P196="","",IF(INDEX(EntryNotes,$P196)=0,"",INDEX(EntryNotes,$P196)))</f>
        <v/>
      </c>
      <c r="O196" s="28">
        <f>IF($P196="","",IF(INDEX(EntryTxnID,$P196)=0,"",INDEX(EntryTxnID,$P196)))</f>
        <v/>
      </c>
      <c r="P196" s="28">
        <f>IFERROR(MATCH($C$5&amp;"|"&amp;RIGHT("000000"&amp;180,6),CalcRankKey,0),"")</f>
        <v/>
      </c>
    </row>
    <row r="197">
      <c r="A197" s="26">
        <f>IF($B197="","",181)</f>
        <v/>
      </c>
      <c r="B197" s="26">
        <f>IF($P197="","",IF(INDEX(CalcNormDate,$P197)=0,"",INDEX(CalcNormDate,$P197)))</f>
        <v/>
      </c>
      <c r="C197" s="26">
        <f>IF($P197="","",IF(INDEX(CalcTime,$P197)=0,"",INDEX(CalcTime,$P197)))</f>
        <v/>
      </c>
      <c r="D197" s="26">
        <f>IF($P197="","",IF(INDEX(EntryParty,$P197)=0,"",INDEX(EntryParty,$P197)))</f>
        <v/>
      </c>
      <c r="E197" s="26">
        <f>IF($P197="","",IF(INDEX(EntryPartyName,$P197)=0,"",INDEX(EntryPartyName,$P197)))</f>
        <v/>
      </c>
      <c r="F197" s="26">
        <f>IF($P197="","",IF(INDEX(EntryPartyType,$P197)=0,"",INDEX(EntryPartyType,$P197)))</f>
        <v/>
      </c>
      <c r="G197" s="26">
        <f>IF($P197="","",IF(INDEX(EntryTxnType,$P197)=0,"",INDEX(EntryTxnType,$P197)))</f>
        <v/>
      </c>
      <c r="H197" s="27">
        <f>IF($P197="","",IF(INDEX(EntryDep,$P197)=0,"",INDEX(EntryDep,$P197)))</f>
        <v/>
      </c>
      <c r="I197" s="27">
        <f>IF($P197="","",IF(INDEX(EntryWit,$P197)=0,"",INDEX(EntryWit,$P197)))</f>
        <v/>
      </c>
      <c r="J197" s="27">
        <f>IF($B197="","",IF($A197=1,$C$7,IF(J196="",0,J196))+IF($H197="",0,$H197)-IF($I197="",0,$I197))</f>
        <v/>
      </c>
      <c r="K197" s="27">
        <f>IF($P197="","",IF(INDEX(EntryMan,$P197)=0,"",INDEX(EntryMan,$P197)))</f>
        <v/>
      </c>
      <c r="L197" s="26">
        <f>IF($B197="","",IF($K197="","—",IF(ROUND($K197-$J197,0)=0,"√","×")))</f>
        <v/>
      </c>
      <c r="M197" s="26">
        <f>IF($B197="","",IF(COUNTIFS(EntryDates,$B197,CalcTime,$C197,CalcBank,$C$5,EntryParty,$D197,EntryDep,$H197,EntryWit,$I197)&gt;1,"تکرار",""))</f>
        <v/>
      </c>
      <c r="N197" s="26">
        <f>IF($P197="","",IF(INDEX(EntryNotes,$P197)=0,"",INDEX(EntryNotes,$P197)))</f>
        <v/>
      </c>
      <c r="O197" s="26">
        <f>IF($P197="","",IF(INDEX(EntryTxnID,$P197)=0,"",INDEX(EntryTxnID,$P197)))</f>
        <v/>
      </c>
      <c r="P197" s="26">
        <f>IFERROR(MATCH($C$5&amp;"|"&amp;RIGHT("000000"&amp;181,6),CalcRankKey,0),"")</f>
        <v/>
      </c>
    </row>
    <row r="198">
      <c r="A198" s="28">
        <f>IF($B198="","",182)</f>
        <v/>
      </c>
      <c r="B198" s="28">
        <f>IF($P198="","",IF(INDEX(CalcNormDate,$P198)=0,"",INDEX(CalcNormDate,$P198)))</f>
        <v/>
      </c>
      <c r="C198" s="28">
        <f>IF($P198="","",IF(INDEX(CalcTime,$P198)=0,"",INDEX(CalcTime,$P198)))</f>
        <v/>
      </c>
      <c r="D198" s="28">
        <f>IF($P198="","",IF(INDEX(EntryParty,$P198)=0,"",INDEX(EntryParty,$P198)))</f>
        <v/>
      </c>
      <c r="E198" s="28">
        <f>IF($P198="","",IF(INDEX(EntryPartyName,$P198)=0,"",INDEX(EntryPartyName,$P198)))</f>
        <v/>
      </c>
      <c r="F198" s="28">
        <f>IF($P198="","",IF(INDEX(EntryPartyType,$P198)=0,"",INDEX(EntryPartyType,$P198)))</f>
        <v/>
      </c>
      <c r="G198" s="28">
        <f>IF($P198="","",IF(INDEX(EntryTxnType,$P198)=0,"",INDEX(EntryTxnType,$P198)))</f>
        <v/>
      </c>
      <c r="H198" s="29">
        <f>IF($P198="","",IF(INDEX(EntryDep,$P198)=0,"",INDEX(EntryDep,$P198)))</f>
        <v/>
      </c>
      <c r="I198" s="29">
        <f>IF($P198="","",IF(INDEX(EntryWit,$P198)=0,"",INDEX(EntryWit,$P198)))</f>
        <v/>
      </c>
      <c r="J198" s="29">
        <f>IF($B198="","",IF($A198=1,$C$7,IF(J197="",0,J197))+IF($H198="",0,$H198)-IF($I198="",0,$I198))</f>
        <v/>
      </c>
      <c r="K198" s="29">
        <f>IF($P198="","",IF(INDEX(EntryMan,$P198)=0,"",INDEX(EntryMan,$P198)))</f>
        <v/>
      </c>
      <c r="L198" s="28">
        <f>IF($B198="","",IF($K198="","—",IF(ROUND($K198-$J198,0)=0,"√","×")))</f>
        <v/>
      </c>
      <c r="M198" s="28">
        <f>IF($B198="","",IF(COUNTIFS(EntryDates,$B198,CalcTime,$C198,CalcBank,$C$5,EntryParty,$D198,EntryDep,$H198,EntryWit,$I198)&gt;1,"تکرار",""))</f>
        <v/>
      </c>
      <c r="N198" s="28">
        <f>IF($P198="","",IF(INDEX(EntryNotes,$P198)=0,"",INDEX(EntryNotes,$P198)))</f>
        <v/>
      </c>
      <c r="O198" s="28">
        <f>IF($P198="","",IF(INDEX(EntryTxnID,$P198)=0,"",INDEX(EntryTxnID,$P198)))</f>
        <v/>
      </c>
      <c r="P198" s="28">
        <f>IFERROR(MATCH($C$5&amp;"|"&amp;RIGHT("000000"&amp;182,6),CalcRankKey,0),"")</f>
        <v/>
      </c>
    </row>
    <row r="199">
      <c r="A199" s="26">
        <f>IF($B199="","",183)</f>
        <v/>
      </c>
      <c r="B199" s="26">
        <f>IF($P199="","",IF(INDEX(CalcNormDate,$P199)=0,"",INDEX(CalcNormDate,$P199)))</f>
        <v/>
      </c>
      <c r="C199" s="26">
        <f>IF($P199="","",IF(INDEX(CalcTime,$P199)=0,"",INDEX(CalcTime,$P199)))</f>
        <v/>
      </c>
      <c r="D199" s="26">
        <f>IF($P199="","",IF(INDEX(EntryParty,$P199)=0,"",INDEX(EntryParty,$P199)))</f>
        <v/>
      </c>
      <c r="E199" s="26">
        <f>IF($P199="","",IF(INDEX(EntryPartyName,$P199)=0,"",INDEX(EntryPartyName,$P199)))</f>
        <v/>
      </c>
      <c r="F199" s="26">
        <f>IF($P199="","",IF(INDEX(EntryPartyType,$P199)=0,"",INDEX(EntryPartyType,$P199)))</f>
        <v/>
      </c>
      <c r="G199" s="26">
        <f>IF($P199="","",IF(INDEX(EntryTxnType,$P199)=0,"",INDEX(EntryTxnType,$P199)))</f>
        <v/>
      </c>
      <c r="H199" s="27">
        <f>IF($P199="","",IF(INDEX(EntryDep,$P199)=0,"",INDEX(EntryDep,$P199)))</f>
        <v/>
      </c>
      <c r="I199" s="27">
        <f>IF($P199="","",IF(INDEX(EntryWit,$P199)=0,"",INDEX(EntryWit,$P199)))</f>
        <v/>
      </c>
      <c r="J199" s="27">
        <f>IF($B199="","",IF($A199=1,$C$7,IF(J198="",0,J198))+IF($H199="",0,$H199)-IF($I199="",0,$I199))</f>
        <v/>
      </c>
      <c r="K199" s="27">
        <f>IF($P199="","",IF(INDEX(EntryMan,$P199)=0,"",INDEX(EntryMan,$P199)))</f>
        <v/>
      </c>
      <c r="L199" s="26">
        <f>IF($B199="","",IF($K199="","—",IF(ROUND($K199-$J199,0)=0,"√","×")))</f>
        <v/>
      </c>
      <c r="M199" s="26">
        <f>IF($B199="","",IF(COUNTIFS(EntryDates,$B199,CalcTime,$C199,CalcBank,$C$5,EntryParty,$D199,EntryDep,$H199,EntryWit,$I199)&gt;1,"تکرار",""))</f>
        <v/>
      </c>
      <c r="N199" s="26">
        <f>IF($P199="","",IF(INDEX(EntryNotes,$P199)=0,"",INDEX(EntryNotes,$P199)))</f>
        <v/>
      </c>
      <c r="O199" s="26">
        <f>IF($P199="","",IF(INDEX(EntryTxnID,$P199)=0,"",INDEX(EntryTxnID,$P199)))</f>
        <v/>
      </c>
      <c r="P199" s="26">
        <f>IFERROR(MATCH($C$5&amp;"|"&amp;RIGHT("000000"&amp;183,6),CalcRankKey,0),"")</f>
        <v/>
      </c>
    </row>
    <row r="200">
      <c r="A200" s="28">
        <f>IF($B200="","",184)</f>
        <v/>
      </c>
      <c r="B200" s="28">
        <f>IF($P200="","",IF(INDEX(CalcNormDate,$P200)=0,"",INDEX(CalcNormDate,$P200)))</f>
        <v/>
      </c>
      <c r="C200" s="28">
        <f>IF($P200="","",IF(INDEX(CalcTime,$P200)=0,"",INDEX(CalcTime,$P200)))</f>
        <v/>
      </c>
      <c r="D200" s="28">
        <f>IF($P200="","",IF(INDEX(EntryParty,$P200)=0,"",INDEX(EntryParty,$P200)))</f>
        <v/>
      </c>
      <c r="E200" s="28">
        <f>IF($P200="","",IF(INDEX(EntryPartyName,$P200)=0,"",INDEX(EntryPartyName,$P200)))</f>
        <v/>
      </c>
      <c r="F200" s="28">
        <f>IF($P200="","",IF(INDEX(EntryPartyType,$P200)=0,"",INDEX(EntryPartyType,$P200)))</f>
        <v/>
      </c>
      <c r="G200" s="28">
        <f>IF($P200="","",IF(INDEX(EntryTxnType,$P200)=0,"",INDEX(EntryTxnType,$P200)))</f>
        <v/>
      </c>
      <c r="H200" s="29">
        <f>IF($P200="","",IF(INDEX(EntryDep,$P200)=0,"",INDEX(EntryDep,$P200)))</f>
        <v/>
      </c>
      <c r="I200" s="29">
        <f>IF($P200="","",IF(INDEX(EntryWit,$P200)=0,"",INDEX(EntryWit,$P200)))</f>
        <v/>
      </c>
      <c r="J200" s="29">
        <f>IF($B200="","",IF($A200=1,$C$7,IF(J199="",0,J199))+IF($H200="",0,$H200)-IF($I200="",0,$I200))</f>
        <v/>
      </c>
      <c r="K200" s="29">
        <f>IF($P200="","",IF(INDEX(EntryMan,$P200)=0,"",INDEX(EntryMan,$P200)))</f>
        <v/>
      </c>
      <c r="L200" s="28">
        <f>IF($B200="","",IF($K200="","—",IF(ROUND($K200-$J200,0)=0,"√","×")))</f>
        <v/>
      </c>
      <c r="M200" s="28">
        <f>IF($B200="","",IF(COUNTIFS(EntryDates,$B200,CalcTime,$C200,CalcBank,$C$5,EntryParty,$D200,EntryDep,$H200,EntryWit,$I200)&gt;1,"تکرار",""))</f>
        <v/>
      </c>
      <c r="N200" s="28">
        <f>IF($P200="","",IF(INDEX(EntryNotes,$P200)=0,"",INDEX(EntryNotes,$P200)))</f>
        <v/>
      </c>
      <c r="O200" s="28">
        <f>IF($P200="","",IF(INDEX(EntryTxnID,$P200)=0,"",INDEX(EntryTxnID,$P200)))</f>
        <v/>
      </c>
      <c r="P200" s="28">
        <f>IFERROR(MATCH($C$5&amp;"|"&amp;RIGHT("000000"&amp;184,6),CalcRankKey,0),"")</f>
        <v/>
      </c>
    </row>
    <row r="201">
      <c r="A201" s="26">
        <f>IF($B201="","",185)</f>
        <v/>
      </c>
      <c r="B201" s="26">
        <f>IF($P201="","",IF(INDEX(CalcNormDate,$P201)=0,"",INDEX(CalcNormDate,$P201)))</f>
        <v/>
      </c>
      <c r="C201" s="26">
        <f>IF($P201="","",IF(INDEX(CalcTime,$P201)=0,"",INDEX(CalcTime,$P201)))</f>
        <v/>
      </c>
      <c r="D201" s="26">
        <f>IF($P201="","",IF(INDEX(EntryParty,$P201)=0,"",INDEX(EntryParty,$P201)))</f>
        <v/>
      </c>
      <c r="E201" s="26">
        <f>IF($P201="","",IF(INDEX(EntryPartyName,$P201)=0,"",INDEX(EntryPartyName,$P201)))</f>
        <v/>
      </c>
      <c r="F201" s="26">
        <f>IF($P201="","",IF(INDEX(EntryPartyType,$P201)=0,"",INDEX(EntryPartyType,$P201)))</f>
        <v/>
      </c>
      <c r="G201" s="26">
        <f>IF($P201="","",IF(INDEX(EntryTxnType,$P201)=0,"",INDEX(EntryTxnType,$P201)))</f>
        <v/>
      </c>
      <c r="H201" s="27">
        <f>IF($P201="","",IF(INDEX(EntryDep,$P201)=0,"",INDEX(EntryDep,$P201)))</f>
        <v/>
      </c>
      <c r="I201" s="27">
        <f>IF($P201="","",IF(INDEX(EntryWit,$P201)=0,"",INDEX(EntryWit,$P201)))</f>
        <v/>
      </c>
      <c r="J201" s="27">
        <f>IF($B201="","",IF($A201=1,$C$7,IF(J200="",0,J200))+IF($H201="",0,$H201)-IF($I201="",0,$I201))</f>
        <v/>
      </c>
      <c r="K201" s="27">
        <f>IF($P201="","",IF(INDEX(EntryMan,$P201)=0,"",INDEX(EntryMan,$P201)))</f>
        <v/>
      </c>
      <c r="L201" s="26">
        <f>IF($B201="","",IF($K201="","—",IF(ROUND($K201-$J201,0)=0,"√","×")))</f>
        <v/>
      </c>
      <c r="M201" s="26">
        <f>IF($B201="","",IF(COUNTIFS(EntryDates,$B201,CalcTime,$C201,CalcBank,$C$5,EntryParty,$D201,EntryDep,$H201,EntryWit,$I201)&gt;1,"تکرار",""))</f>
        <v/>
      </c>
      <c r="N201" s="26">
        <f>IF($P201="","",IF(INDEX(EntryNotes,$P201)=0,"",INDEX(EntryNotes,$P201)))</f>
        <v/>
      </c>
      <c r="O201" s="26">
        <f>IF($P201="","",IF(INDEX(EntryTxnID,$P201)=0,"",INDEX(EntryTxnID,$P201)))</f>
        <v/>
      </c>
      <c r="P201" s="26">
        <f>IFERROR(MATCH($C$5&amp;"|"&amp;RIGHT("000000"&amp;185,6),CalcRankKey,0),"")</f>
        <v/>
      </c>
    </row>
    <row r="202">
      <c r="A202" s="28">
        <f>IF($B202="","",186)</f>
        <v/>
      </c>
      <c r="B202" s="28">
        <f>IF($P202="","",IF(INDEX(CalcNormDate,$P202)=0,"",INDEX(CalcNormDate,$P202)))</f>
        <v/>
      </c>
      <c r="C202" s="28">
        <f>IF($P202="","",IF(INDEX(CalcTime,$P202)=0,"",INDEX(CalcTime,$P202)))</f>
        <v/>
      </c>
      <c r="D202" s="28">
        <f>IF($P202="","",IF(INDEX(EntryParty,$P202)=0,"",INDEX(EntryParty,$P202)))</f>
        <v/>
      </c>
      <c r="E202" s="28">
        <f>IF($P202="","",IF(INDEX(EntryPartyName,$P202)=0,"",INDEX(EntryPartyName,$P202)))</f>
        <v/>
      </c>
      <c r="F202" s="28">
        <f>IF($P202="","",IF(INDEX(EntryPartyType,$P202)=0,"",INDEX(EntryPartyType,$P202)))</f>
        <v/>
      </c>
      <c r="G202" s="28">
        <f>IF($P202="","",IF(INDEX(EntryTxnType,$P202)=0,"",INDEX(EntryTxnType,$P202)))</f>
        <v/>
      </c>
      <c r="H202" s="29">
        <f>IF($P202="","",IF(INDEX(EntryDep,$P202)=0,"",INDEX(EntryDep,$P202)))</f>
        <v/>
      </c>
      <c r="I202" s="29">
        <f>IF($P202="","",IF(INDEX(EntryWit,$P202)=0,"",INDEX(EntryWit,$P202)))</f>
        <v/>
      </c>
      <c r="J202" s="29">
        <f>IF($B202="","",IF($A202=1,$C$7,IF(J201="",0,J201))+IF($H202="",0,$H202)-IF($I202="",0,$I202))</f>
        <v/>
      </c>
      <c r="K202" s="29">
        <f>IF($P202="","",IF(INDEX(EntryMan,$P202)=0,"",INDEX(EntryMan,$P202)))</f>
        <v/>
      </c>
      <c r="L202" s="28">
        <f>IF($B202="","",IF($K202="","—",IF(ROUND($K202-$J202,0)=0,"√","×")))</f>
        <v/>
      </c>
      <c r="M202" s="28">
        <f>IF($B202="","",IF(COUNTIFS(EntryDates,$B202,CalcTime,$C202,CalcBank,$C$5,EntryParty,$D202,EntryDep,$H202,EntryWit,$I202)&gt;1,"تکرار",""))</f>
        <v/>
      </c>
      <c r="N202" s="28">
        <f>IF($P202="","",IF(INDEX(EntryNotes,$P202)=0,"",INDEX(EntryNotes,$P202)))</f>
        <v/>
      </c>
      <c r="O202" s="28">
        <f>IF($P202="","",IF(INDEX(EntryTxnID,$P202)=0,"",INDEX(EntryTxnID,$P202)))</f>
        <v/>
      </c>
      <c r="P202" s="28">
        <f>IFERROR(MATCH($C$5&amp;"|"&amp;RIGHT("000000"&amp;186,6),CalcRankKey,0),"")</f>
        <v/>
      </c>
    </row>
    <row r="203">
      <c r="A203" s="26">
        <f>IF($B203="","",187)</f>
        <v/>
      </c>
      <c r="B203" s="26">
        <f>IF($P203="","",IF(INDEX(CalcNormDate,$P203)=0,"",INDEX(CalcNormDate,$P203)))</f>
        <v/>
      </c>
      <c r="C203" s="26">
        <f>IF($P203="","",IF(INDEX(CalcTime,$P203)=0,"",INDEX(CalcTime,$P203)))</f>
        <v/>
      </c>
      <c r="D203" s="26">
        <f>IF($P203="","",IF(INDEX(EntryParty,$P203)=0,"",INDEX(EntryParty,$P203)))</f>
        <v/>
      </c>
      <c r="E203" s="26">
        <f>IF($P203="","",IF(INDEX(EntryPartyName,$P203)=0,"",INDEX(EntryPartyName,$P203)))</f>
        <v/>
      </c>
      <c r="F203" s="26">
        <f>IF($P203="","",IF(INDEX(EntryPartyType,$P203)=0,"",INDEX(EntryPartyType,$P203)))</f>
        <v/>
      </c>
      <c r="G203" s="26">
        <f>IF($P203="","",IF(INDEX(EntryTxnType,$P203)=0,"",INDEX(EntryTxnType,$P203)))</f>
        <v/>
      </c>
      <c r="H203" s="27">
        <f>IF($P203="","",IF(INDEX(EntryDep,$P203)=0,"",INDEX(EntryDep,$P203)))</f>
        <v/>
      </c>
      <c r="I203" s="27">
        <f>IF($P203="","",IF(INDEX(EntryWit,$P203)=0,"",INDEX(EntryWit,$P203)))</f>
        <v/>
      </c>
      <c r="J203" s="27">
        <f>IF($B203="","",IF($A203=1,$C$7,IF(J202="",0,J202))+IF($H203="",0,$H203)-IF($I203="",0,$I203))</f>
        <v/>
      </c>
      <c r="K203" s="27">
        <f>IF($P203="","",IF(INDEX(EntryMan,$P203)=0,"",INDEX(EntryMan,$P203)))</f>
        <v/>
      </c>
      <c r="L203" s="26">
        <f>IF($B203="","",IF($K203="","—",IF(ROUND($K203-$J203,0)=0,"√","×")))</f>
        <v/>
      </c>
      <c r="M203" s="26">
        <f>IF($B203="","",IF(COUNTIFS(EntryDates,$B203,CalcTime,$C203,CalcBank,$C$5,EntryParty,$D203,EntryDep,$H203,EntryWit,$I203)&gt;1,"تکرار",""))</f>
        <v/>
      </c>
      <c r="N203" s="26">
        <f>IF($P203="","",IF(INDEX(EntryNotes,$P203)=0,"",INDEX(EntryNotes,$P203)))</f>
        <v/>
      </c>
      <c r="O203" s="26">
        <f>IF($P203="","",IF(INDEX(EntryTxnID,$P203)=0,"",INDEX(EntryTxnID,$P203)))</f>
        <v/>
      </c>
      <c r="P203" s="26">
        <f>IFERROR(MATCH($C$5&amp;"|"&amp;RIGHT("000000"&amp;187,6),CalcRankKey,0),"")</f>
        <v/>
      </c>
    </row>
    <row r="204">
      <c r="A204" s="28">
        <f>IF($B204="","",188)</f>
        <v/>
      </c>
      <c r="B204" s="28">
        <f>IF($P204="","",IF(INDEX(CalcNormDate,$P204)=0,"",INDEX(CalcNormDate,$P204)))</f>
        <v/>
      </c>
      <c r="C204" s="28">
        <f>IF($P204="","",IF(INDEX(CalcTime,$P204)=0,"",INDEX(CalcTime,$P204)))</f>
        <v/>
      </c>
      <c r="D204" s="28">
        <f>IF($P204="","",IF(INDEX(EntryParty,$P204)=0,"",INDEX(EntryParty,$P204)))</f>
        <v/>
      </c>
      <c r="E204" s="28">
        <f>IF($P204="","",IF(INDEX(EntryPartyName,$P204)=0,"",INDEX(EntryPartyName,$P204)))</f>
        <v/>
      </c>
      <c r="F204" s="28">
        <f>IF($P204="","",IF(INDEX(EntryPartyType,$P204)=0,"",INDEX(EntryPartyType,$P204)))</f>
        <v/>
      </c>
      <c r="G204" s="28">
        <f>IF($P204="","",IF(INDEX(EntryTxnType,$P204)=0,"",INDEX(EntryTxnType,$P204)))</f>
        <v/>
      </c>
      <c r="H204" s="29">
        <f>IF($P204="","",IF(INDEX(EntryDep,$P204)=0,"",INDEX(EntryDep,$P204)))</f>
        <v/>
      </c>
      <c r="I204" s="29">
        <f>IF($P204="","",IF(INDEX(EntryWit,$P204)=0,"",INDEX(EntryWit,$P204)))</f>
        <v/>
      </c>
      <c r="J204" s="29">
        <f>IF($B204="","",IF($A204=1,$C$7,IF(J203="",0,J203))+IF($H204="",0,$H204)-IF($I204="",0,$I204))</f>
        <v/>
      </c>
      <c r="K204" s="29">
        <f>IF($P204="","",IF(INDEX(EntryMan,$P204)=0,"",INDEX(EntryMan,$P204)))</f>
        <v/>
      </c>
      <c r="L204" s="28">
        <f>IF($B204="","",IF($K204="","—",IF(ROUND($K204-$J204,0)=0,"√","×")))</f>
        <v/>
      </c>
      <c r="M204" s="28">
        <f>IF($B204="","",IF(COUNTIFS(EntryDates,$B204,CalcTime,$C204,CalcBank,$C$5,EntryParty,$D204,EntryDep,$H204,EntryWit,$I204)&gt;1,"تکرار",""))</f>
        <v/>
      </c>
      <c r="N204" s="28">
        <f>IF($P204="","",IF(INDEX(EntryNotes,$P204)=0,"",INDEX(EntryNotes,$P204)))</f>
        <v/>
      </c>
      <c r="O204" s="28">
        <f>IF($P204="","",IF(INDEX(EntryTxnID,$P204)=0,"",INDEX(EntryTxnID,$P204)))</f>
        <v/>
      </c>
      <c r="P204" s="28">
        <f>IFERROR(MATCH($C$5&amp;"|"&amp;RIGHT("000000"&amp;188,6),CalcRankKey,0),"")</f>
        <v/>
      </c>
    </row>
    <row r="205">
      <c r="A205" s="26">
        <f>IF($B205="","",189)</f>
        <v/>
      </c>
      <c r="B205" s="26">
        <f>IF($P205="","",IF(INDEX(CalcNormDate,$P205)=0,"",INDEX(CalcNormDate,$P205)))</f>
        <v/>
      </c>
      <c r="C205" s="26">
        <f>IF($P205="","",IF(INDEX(CalcTime,$P205)=0,"",INDEX(CalcTime,$P205)))</f>
        <v/>
      </c>
      <c r="D205" s="26">
        <f>IF($P205="","",IF(INDEX(EntryParty,$P205)=0,"",INDEX(EntryParty,$P205)))</f>
        <v/>
      </c>
      <c r="E205" s="26">
        <f>IF($P205="","",IF(INDEX(EntryPartyName,$P205)=0,"",INDEX(EntryPartyName,$P205)))</f>
        <v/>
      </c>
      <c r="F205" s="26">
        <f>IF($P205="","",IF(INDEX(EntryPartyType,$P205)=0,"",INDEX(EntryPartyType,$P205)))</f>
        <v/>
      </c>
      <c r="G205" s="26">
        <f>IF($P205="","",IF(INDEX(EntryTxnType,$P205)=0,"",INDEX(EntryTxnType,$P205)))</f>
        <v/>
      </c>
      <c r="H205" s="27">
        <f>IF($P205="","",IF(INDEX(EntryDep,$P205)=0,"",INDEX(EntryDep,$P205)))</f>
        <v/>
      </c>
      <c r="I205" s="27">
        <f>IF($P205="","",IF(INDEX(EntryWit,$P205)=0,"",INDEX(EntryWit,$P205)))</f>
        <v/>
      </c>
      <c r="J205" s="27">
        <f>IF($B205="","",IF($A205=1,$C$7,IF(J204="",0,J204))+IF($H205="",0,$H205)-IF($I205="",0,$I205))</f>
        <v/>
      </c>
      <c r="K205" s="27">
        <f>IF($P205="","",IF(INDEX(EntryMan,$P205)=0,"",INDEX(EntryMan,$P205)))</f>
        <v/>
      </c>
      <c r="L205" s="26">
        <f>IF($B205="","",IF($K205="","—",IF(ROUND($K205-$J205,0)=0,"√","×")))</f>
        <v/>
      </c>
      <c r="M205" s="26">
        <f>IF($B205="","",IF(COUNTIFS(EntryDates,$B205,CalcTime,$C205,CalcBank,$C$5,EntryParty,$D205,EntryDep,$H205,EntryWit,$I205)&gt;1,"تکرار",""))</f>
        <v/>
      </c>
      <c r="N205" s="26">
        <f>IF($P205="","",IF(INDEX(EntryNotes,$P205)=0,"",INDEX(EntryNotes,$P205)))</f>
        <v/>
      </c>
      <c r="O205" s="26">
        <f>IF($P205="","",IF(INDEX(EntryTxnID,$P205)=0,"",INDEX(EntryTxnID,$P205)))</f>
        <v/>
      </c>
      <c r="P205" s="26">
        <f>IFERROR(MATCH($C$5&amp;"|"&amp;RIGHT("000000"&amp;189,6),CalcRankKey,0),"")</f>
        <v/>
      </c>
    </row>
    <row r="206">
      <c r="A206" s="28">
        <f>IF($B206="","",190)</f>
        <v/>
      </c>
      <c r="B206" s="28">
        <f>IF($P206="","",IF(INDEX(CalcNormDate,$P206)=0,"",INDEX(CalcNormDate,$P206)))</f>
        <v/>
      </c>
      <c r="C206" s="28">
        <f>IF($P206="","",IF(INDEX(CalcTime,$P206)=0,"",INDEX(CalcTime,$P206)))</f>
        <v/>
      </c>
      <c r="D206" s="28">
        <f>IF($P206="","",IF(INDEX(EntryParty,$P206)=0,"",INDEX(EntryParty,$P206)))</f>
        <v/>
      </c>
      <c r="E206" s="28">
        <f>IF($P206="","",IF(INDEX(EntryPartyName,$P206)=0,"",INDEX(EntryPartyName,$P206)))</f>
        <v/>
      </c>
      <c r="F206" s="28">
        <f>IF($P206="","",IF(INDEX(EntryPartyType,$P206)=0,"",INDEX(EntryPartyType,$P206)))</f>
        <v/>
      </c>
      <c r="G206" s="28">
        <f>IF($P206="","",IF(INDEX(EntryTxnType,$P206)=0,"",INDEX(EntryTxnType,$P206)))</f>
        <v/>
      </c>
      <c r="H206" s="29">
        <f>IF($P206="","",IF(INDEX(EntryDep,$P206)=0,"",INDEX(EntryDep,$P206)))</f>
        <v/>
      </c>
      <c r="I206" s="29">
        <f>IF($P206="","",IF(INDEX(EntryWit,$P206)=0,"",INDEX(EntryWit,$P206)))</f>
        <v/>
      </c>
      <c r="J206" s="29">
        <f>IF($B206="","",IF($A206=1,$C$7,IF(J205="",0,J205))+IF($H206="",0,$H206)-IF($I206="",0,$I206))</f>
        <v/>
      </c>
      <c r="K206" s="29">
        <f>IF($P206="","",IF(INDEX(EntryMan,$P206)=0,"",INDEX(EntryMan,$P206)))</f>
        <v/>
      </c>
      <c r="L206" s="28">
        <f>IF($B206="","",IF($K206="","—",IF(ROUND($K206-$J206,0)=0,"√","×")))</f>
        <v/>
      </c>
      <c r="M206" s="28">
        <f>IF($B206="","",IF(COUNTIFS(EntryDates,$B206,CalcTime,$C206,CalcBank,$C$5,EntryParty,$D206,EntryDep,$H206,EntryWit,$I206)&gt;1,"تکرار",""))</f>
        <v/>
      </c>
      <c r="N206" s="28">
        <f>IF($P206="","",IF(INDEX(EntryNotes,$P206)=0,"",INDEX(EntryNotes,$P206)))</f>
        <v/>
      </c>
      <c r="O206" s="28">
        <f>IF($P206="","",IF(INDEX(EntryTxnID,$P206)=0,"",INDEX(EntryTxnID,$P206)))</f>
        <v/>
      </c>
      <c r="P206" s="28">
        <f>IFERROR(MATCH($C$5&amp;"|"&amp;RIGHT("000000"&amp;190,6),CalcRankKey,0),"")</f>
        <v/>
      </c>
    </row>
    <row r="207">
      <c r="A207" s="26">
        <f>IF($B207="","",191)</f>
        <v/>
      </c>
      <c r="B207" s="26">
        <f>IF($P207="","",IF(INDEX(CalcNormDate,$P207)=0,"",INDEX(CalcNormDate,$P207)))</f>
        <v/>
      </c>
      <c r="C207" s="26">
        <f>IF($P207="","",IF(INDEX(CalcTime,$P207)=0,"",INDEX(CalcTime,$P207)))</f>
        <v/>
      </c>
      <c r="D207" s="26">
        <f>IF($P207="","",IF(INDEX(EntryParty,$P207)=0,"",INDEX(EntryParty,$P207)))</f>
        <v/>
      </c>
      <c r="E207" s="26">
        <f>IF($P207="","",IF(INDEX(EntryPartyName,$P207)=0,"",INDEX(EntryPartyName,$P207)))</f>
        <v/>
      </c>
      <c r="F207" s="26">
        <f>IF($P207="","",IF(INDEX(EntryPartyType,$P207)=0,"",INDEX(EntryPartyType,$P207)))</f>
        <v/>
      </c>
      <c r="G207" s="26">
        <f>IF($P207="","",IF(INDEX(EntryTxnType,$P207)=0,"",INDEX(EntryTxnType,$P207)))</f>
        <v/>
      </c>
      <c r="H207" s="27">
        <f>IF($P207="","",IF(INDEX(EntryDep,$P207)=0,"",INDEX(EntryDep,$P207)))</f>
        <v/>
      </c>
      <c r="I207" s="27">
        <f>IF($P207="","",IF(INDEX(EntryWit,$P207)=0,"",INDEX(EntryWit,$P207)))</f>
        <v/>
      </c>
      <c r="J207" s="27">
        <f>IF($B207="","",IF($A207=1,$C$7,IF(J206="",0,J206))+IF($H207="",0,$H207)-IF($I207="",0,$I207))</f>
        <v/>
      </c>
      <c r="K207" s="27">
        <f>IF($P207="","",IF(INDEX(EntryMan,$P207)=0,"",INDEX(EntryMan,$P207)))</f>
        <v/>
      </c>
      <c r="L207" s="26">
        <f>IF($B207="","",IF($K207="","—",IF(ROUND($K207-$J207,0)=0,"√","×")))</f>
        <v/>
      </c>
      <c r="M207" s="26">
        <f>IF($B207="","",IF(COUNTIFS(EntryDates,$B207,CalcTime,$C207,CalcBank,$C$5,EntryParty,$D207,EntryDep,$H207,EntryWit,$I207)&gt;1,"تکرار",""))</f>
        <v/>
      </c>
      <c r="N207" s="26">
        <f>IF($P207="","",IF(INDEX(EntryNotes,$P207)=0,"",INDEX(EntryNotes,$P207)))</f>
        <v/>
      </c>
      <c r="O207" s="26">
        <f>IF($P207="","",IF(INDEX(EntryTxnID,$P207)=0,"",INDEX(EntryTxnID,$P207)))</f>
        <v/>
      </c>
      <c r="P207" s="26">
        <f>IFERROR(MATCH($C$5&amp;"|"&amp;RIGHT("000000"&amp;191,6),CalcRankKey,0),"")</f>
        <v/>
      </c>
    </row>
    <row r="208">
      <c r="A208" s="28">
        <f>IF($B208="","",192)</f>
        <v/>
      </c>
      <c r="B208" s="28">
        <f>IF($P208="","",IF(INDEX(CalcNormDate,$P208)=0,"",INDEX(CalcNormDate,$P208)))</f>
        <v/>
      </c>
      <c r="C208" s="28">
        <f>IF($P208="","",IF(INDEX(CalcTime,$P208)=0,"",INDEX(CalcTime,$P208)))</f>
        <v/>
      </c>
      <c r="D208" s="28">
        <f>IF($P208="","",IF(INDEX(EntryParty,$P208)=0,"",INDEX(EntryParty,$P208)))</f>
        <v/>
      </c>
      <c r="E208" s="28">
        <f>IF($P208="","",IF(INDEX(EntryPartyName,$P208)=0,"",INDEX(EntryPartyName,$P208)))</f>
        <v/>
      </c>
      <c r="F208" s="28">
        <f>IF($P208="","",IF(INDEX(EntryPartyType,$P208)=0,"",INDEX(EntryPartyType,$P208)))</f>
        <v/>
      </c>
      <c r="G208" s="28">
        <f>IF($P208="","",IF(INDEX(EntryTxnType,$P208)=0,"",INDEX(EntryTxnType,$P208)))</f>
        <v/>
      </c>
      <c r="H208" s="29">
        <f>IF($P208="","",IF(INDEX(EntryDep,$P208)=0,"",INDEX(EntryDep,$P208)))</f>
        <v/>
      </c>
      <c r="I208" s="29">
        <f>IF($P208="","",IF(INDEX(EntryWit,$P208)=0,"",INDEX(EntryWit,$P208)))</f>
        <v/>
      </c>
      <c r="J208" s="29">
        <f>IF($B208="","",IF($A208=1,$C$7,IF(J207="",0,J207))+IF($H208="",0,$H208)-IF($I208="",0,$I208))</f>
        <v/>
      </c>
      <c r="K208" s="29">
        <f>IF($P208="","",IF(INDEX(EntryMan,$P208)=0,"",INDEX(EntryMan,$P208)))</f>
        <v/>
      </c>
      <c r="L208" s="28">
        <f>IF($B208="","",IF($K208="","—",IF(ROUND($K208-$J208,0)=0,"√","×")))</f>
        <v/>
      </c>
      <c r="M208" s="28">
        <f>IF($B208="","",IF(COUNTIFS(EntryDates,$B208,CalcTime,$C208,CalcBank,$C$5,EntryParty,$D208,EntryDep,$H208,EntryWit,$I208)&gt;1,"تکرار",""))</f>
        <v/>
      </c>
      <c r="N208" s="28">
        <f>IF($P208="","",IF(INDEX(EntryNotes,$P208)=0,"",INDEX(EntryNotes,$P208)))</f>
        <v/>
      </c>
      <c r="O208" s="28">
        <f>IF($P208="","",IF(INDEX(EntryTxnID,$P208)=0,"",INDEX(EntryTxnID,$P208)))</f>
        <v/>
      </c>
      <c r="P208" s="28">
        <f>IFERROR(MATCH($C$5&amp;"|"&amp;RIGHT("000000"&amp;192,6),CalcRankKey,0),"")</f>
        <v/>
      </c>
    </row>
    <row r="209">
      <c r="A209" s="26">
        <f>IF($B209="","",193)</f>
        <v/>
      </c>
      <c r="B209" s="26">
        <f>IF($P209="","",IF(INDEX(CalcNormDate,$P209)=0,"",INDEX(CalcNormDate,$P209)))</f>
        <v/>
      </c>
      <c r="C209" s="26">
        <f>IF($P209="","",IF(INDEX(CalcTime,$P209)=0,"",INDEX(CalcTime,$P209)))</f>
        <v/>
      </c>
      <c r="D209" s="26">
        <f>IF($P209="","",IF(INDEX(EntryParty,$P209)=0,"",INDEX(EntryParty,$P209)))</f>
        <v/>
      </c>
      <c r="E209" s="26">
        <f>IF($P209="","",IF(INDEX(EntryPartyName,$P209)=0,"",INDEX(EntryPartyName,$P209)))</f>
        <v/>
      </c>
      <c r="F209" s="26">
        <f>IF($P209="","",IF(INDEX(EntryPartyType,$P209)=0,"",INDEX(EntryPartyType,$P209)))</f>
        <v/>
      </c>
      <c r="G209" s="26">
        <f>IF($P209="","",IF(INDEX(EntryTxnType,$P209)=0,"",INDEX(EntryTxnType,$P209)))</f>
        <v/>
      </c>
      <c r="H209" s="27">
        <f>IF($P209="","",IF(INDEX(EntryDep,$P209)=0,"",INDEX(EntryDep,$P209)))</f>
        <v/>
      </c>
      <c r="I209" s="27">
        <f>IF($P209="","",IF(INDEX(EntryWit,$P209)=0,"",INDEX(EntryWit,$P209)))</f>
        <v/>
      </c>
      <c r="J209" s="27">
        <f>IF($B209="","",IF($A209=1,$C$7,IF(J208="",0,J208))+IF($H209="",0,$H209)-IF($I209="",0,$I209))</f>
        <v/>
      </c>
      <c r="K209" s="27">
        <f>IF($P209="","",IF(INDEX(EntryMan,$P209)=0,"",INDEX(EntryMan,$P209)))</f>
        <v/>
      </c>
      <c r="L209" s="26">
        <f>IF($B209="","",IF($K209="","—",IF(ROUND($K209-$J209,0)=0,"√","×")))</f>
        <v/>
      </c>
      <c r="M209" s="26">
        <f>IF($B209="","",IF(COUNTIFS(EntryDates,$B209,CalcTime,$C209,CalcBank,$C$5,EntryParty,$D209,EntryDep,$H209,EntryWit,$I209)&gt;1,"تکرار",""))</f>
        <v/>
      </c>
      <c r="N209" s="26">
        <f>IF($P209="","",IF(INDEX(EntryNotes,$P209)=0,"",INDEX(EntryNotes,$P209)))</f>
        <v/>
      </c>
      <c r="O209" s="26">
        <f>IF($P209="","",IF(INDEX(EntryTxnID,$P209)=0,"",INDEX(EntryTxnID,$P209)))</f>
        <v/>
      </c>
      <c r="P209" s="26">
        <f>IFERROR(MATCH($C$5&amp;"|"&amp;RIGHT("000000"&amp;193,6),CalcRankKey,0),"")</f>
        <v/>
      </c>
    </row>
    <row r="210">
      <c r="A210" s="28">
        <f>IF($B210="","",194)</f>
        <v/>
      </c>
      <c r="B210" s="28">
        <f>IF($P210="","",IF(INDEX(CalcNormDate,$P210)=0,"",INDEX(CalcNormDate,$P210)))</f>
        <v/>
      </c>
      <c r="C210" s="28">
        <f>IF($P210="","",IF(INDEX(CalcTime,$P210)=0,"",INDEX(CalcTime,$P210)))</f>
        <v/>
      </c>
      <c r="D210" s="28">
        <f>IF($P210="","",IF(INDEX(EntryParty,$P210)=0,"",INDEX(EntryParty,$P210)))</f>
        <v/>
      </c>
      <c r="E210" s="28">
        <f>IF($P210="","",IF(INDEX(EntryPartyName,$P210)=0,"",INDEX(EntryPartyName,$P210)))</f>
        <v/>
      </c>
      <c r="F210" s="28">
        <f>IF($P210="","",IF(INDEX(EntryPartyType,$P210)=0,"",INDEX(EntryPartyType,$P210)))</f>
        <v/>
      </c>
      <c r="G210" s="28">
        <f>IF($P210="","",IF(INDEX(EntryTxnType,$P210)=0,"",INDEX(EntryTxnType,$P210)))</f>
        <v/>
      </c>
      <c r="H210" s="29">
        <f>IF($P210="","",IF(INDEX(EntryDep,$P210)=0,"",INDEX(EntryDep,$P210)))</f>
        <v/>
      </c>
      <c r="I210" s="29">
        <f>IF($P210="","",IF(INDEX(EntryWit,$P210)=0,"",INDEX(EntryWit,$P210)))</f>
        <v/>
      </c>
      <c r="J210" s="29">
        <f>IF($B210="","",IF($A210=1,$C$7,IF(J209="",0,J209))+IF($H210="",0,$H210)-IF($I210="",0,$I210))</f>
        <v/>
      </c>
      <c r="K210" s="29">
        <f>IF($P210="","",IF(INDEX(EntryMan,$P210)=0,"",INDEX(EntryMan,$P210)))</f>
        <v/>
      </c>
      <c r="L210" s="28">
        <f>IF($B210="","",IF($K210="","—",IF(ROUND($K210-$J210,0)=0,"√","×")))</f>
        <v/>
      </c>
      <c r="M210" s="28">
        <f>IF($B210="","",IF(COUNTIFS(EntryDates,$B210,CalcTime,$C210,CalcBank,$C$5,EntryParty,$D210,EntryDep,$H210,EntryWit,$I210)&gt;1,"تکرار",""))</f>
        <v/>
      </c>
      <c r="N210" s="28">
        <f>IF($P210="","",IF(INDEX(EntryNotes,$P210)=0,"",INDEX(EntryNotes,$P210)))</f>
        <v/>
      </c>
      <c r="O210" s="28">
        <f>IF($P210="","",IF(INDEX(EntryTxnID,$P210)=0,"",INDEX(EntryTxnID,$P210)))</f>
        <v/>
      </c>
      <c r="P210" s="28">
        <f>IFERROR(MATCH($C$5&amp;"|"&amp;RIGHT("000000"&amp;194,6),CalcRankKey,0),"")</f>
        <v/>
      </c>
    </row>
    <row r="211">
      <c r="A211" s="26">
        <f>IF($B211="","",195)</f>
        <v/>
      </c>
      <c r="B211" s="26">
        <f>IF($P211="","",IF(INDEX(CalcNormDate,$P211)=0,"",INDEX(CalcNormDate,$P211)))</f>
        <v/>
      </c>
      <c r="C211" s="26">
        <f>IF($P211="","",IF(INDEX(CalcTime,$P211)=0,"",INDEX(CalcTime,$P211)))</f>
        <v/>
      </c>
      <c r="D211" s="26">
        <f>IF($P211="","",IF(INDEX(EntryParty,$P211)=0,"",INDEX(EntryParty,$P211)))</f>
        <v/>
      </c>
      <c r="E211" s="26">
        <f>IF($P211="","",IF(INDEX(EntryPartyName,$P211)=0,"",INDEX(EntryPartyName,$P211)))</f>
        <v/>
      </c>
      <c r="F211" s="26">
        <f>IF($P211="","",IF(INDEX(EntryPartyType,$P211)=0,"",INDEX(EntryPartyType,$P211)))</f>
        <v/>
      </c>
      <c r="G211" s="26">
        <f>IF($P211="","",IF(INDEX(EntryTxnType,$P211)=0,"",INDEX(EntryTxnType,$P211)))</f>
        <v/>
      </c>
      <c r="H211" s="27">
        <f>IF($P211="","",IF(INDEX(EntryDep,$P211)=0,"",INDEX(EntryDep,$P211)))</f>
        <v/>
      </c>
      <c r="I211" s="27">
        <f>IF($P211="","",IF(INDEX(EntryWit,$P211)=0,"",INDEX(EntryWit,$P211)))</f>
        <v/>
      </c>
      <c r="J211" s="27">
        <f>IF($B211="","",IF($A211=1,$C$7,IF(J210="",0,J210))+IF($H211="",0,$H211)-IF($I211="",0,$I211))</f>
        <v/>
      </c>
      <c r="K211" s="27">
        <f>IF($P211="","",IF(INDEX(EntryMan,$P211)=0,"",INDEX(EntryMan,$P211)))</f>
        <v/>
      </c>
      <c r="L211" s="26">
        <f>IF($B211="","",IF($K211="","—",IF(ROUND($K211-$J211,0)=0,"√","×")))</f>
        <v/>
      </c>
      <c r="M211" s="26">
        <f>IF($B211="","",IF(COUNTIFS(EntryDates,$B211,CalcTime,$C211,CalcBank,$C$5,EntryParty,$D211,EntryDep,$H211,EntryWit,$I211)&gt;1,"تکرار",""))</f>
        <v/>
      </c>
      <c r="N211" s="26">
        <f>IF($P211="","",IF(INDEX(EntryNotes,$P211)=0,"",INDEX(EntryNotes,$P211)))</f>
        <v/>
      </c>
      <c r="O211" s="26">
        <f>IF($P211="","",IF(INDEX(EntryTxnID,$P211)=0,"",INDEX(EntryTxnID,$P211)))</f>
        <v/>
      </c>
      <c r="P211" s="26">
        <f>IFERROR(MATCH($C$5&amp;"|"&amp;RIGHT("000000"&amp;195,6),CalcRankKey,0),"")</f>
        <v/>
      </c>
    </row>
    <row r="212">
      <c r="A212" s="28">
        <f>IF($B212="","",196)</f>
        <v/>
      </c>
      <c r="B212" s="28">
        <f>IF($P212="","",IF(INDEX(CalcNormDate,$P212)=0,"",INDEX(CalcNormDate,$P212)))</f>
        <v/>
      </c>
      <c r="C212" s="28">
        <f>IF($P212="","",IF(INDEX(CalcTime,$P212)=0,"",INDEX(CalcTime,$P212)))</f>
        <v/>
      </c>
      <c r="D212" s="28">
        <f>IF($P212="","",IF(INDEX(EntryParty,$P212)=0,"",INDEX(EntryParty,$P212)))</f>
        <v/>
      </c>
      <c r="E212" s="28">
        <f>IF($P212="","",IF(INDEX(EntryPartyName,$P212)=0,"",INDEX(EntryPartyName,$P212)))</f>
        <v/>
      </c>
      <c r="F212" s="28">
        <f>IF($P212="","",IF(INDEX(EntryPartyType,$P212)=0,"",INDEX(EntryPartyType,$P212)))</f>
        <v/>
      </c>
      <c r="G212" s="28">
        <f>IF($P212="","",IF(INDEX(EntryTxnType,$P212)=0,"",INDEX(EntryTxnType,$P212)))</f>
        <v/>
      </c>
      <c r="H212" s="29">
        <f>IF($P212="","",IF(INDEX(EntryDep,$P212)=0,"",INDEX(EntryDep,$P212)))</f>
        <v/>
      </c>
      <c r="I212" s="29">
        <f>IF($P212="","",IF(INDEX(EntryWit,$P212)=0,"",INDEX(EntryWit,$P212)))</f>
        <v/>
      </c>
      <c r="J212" s="29">
        <f>IF($B212="","",IF($A212=1,$C$7,IF(J211="",0,J211))+IF($H212="",0,$H212)-IF($I212="",0,$I212))</f>
        <v/>
      </c>
      <c r="K212" s="29">
        <f>IF($P212="","",IF(INDEX(EntryMan,$P212)=0,"",INDEX(EntryMan,$P212)))</f>
        <v/>
      </c>
      <c r="L212" s="28">
        <f>IF($B212="","",IF($K212="","—",IF(ROUND($K212-$J212,0)=0,"√","×")))</f>
        <v/>
      </c>
      <c r="M212" s="28">
        <f>IF($B212="","",IF(COUNTIFS(EntryDates,$B212,CalcTime,$C212,CalcBank,$C$5,EntryParty,$D212,EntryDep,$H212,EntryWit,$I212)&gt;1,"تکرار",""))</f>
        <v/>
      </c>
      <c r="N212" s="28">
        <f>IF($P212="","",IF(INDEX(EntryNotes,$P212)=0,"",INDEX(EntryNotes,$P212)))</f>
        <v/>
      </c>
      <c r="O212" s="28">
        <f>IF($P212="","",IF(INDEX(EntryTxnID,$P212)=0,"",INDEX(EntryTxnID,$P212)))</f>
        <v/>
      </c>
      <c r="P212" s="28">
        <f>IFERROR(MATCH($C$5&amp;"|"&amp;RIGHT("000000"&amp;196,6),CalcRankKey,0),"")</f>
        <v/>
      </c>
    </row>
    <row r="213">
      <c r="A213" s="26">
        <f>IF($B213="","",197)</f>
        <v/>
      </c>
      <c r="B213" s="26">
        <f>IF($P213="","",IF(INDEX(CalcNormDate,$P213)=0,"",INDEX(CalcNormDate,$P213)))</f>
        <v/>
      </c>
      <c r="C213" s="26">
        <f>IF($P213="","",IF(INDEX(CalcTime,$P213)=0,"",INDEX(CalcTime,$P213)))</f>
        <v/>
      </c>
      <c r="D213" s="26">
        <f>IF($P213="","",IF(INDEX(EntryParty,$P213)=0,"",INDEX(EntryParty,$P213)))</f>
        <v/>
      </c>
      <c r="E213" s="26">
        <f>IF($P213="","",IF(INDEX(EntryPartyName,$P213)=0,"",INDEX(EntryPartyName,$P213)))</f>
        <v/>
      </c>
      <c r="F213" s="26">
        <f>IF($P213="","",IF(INDEX(EntryPartyType,$P213)=0,"",INDEX(EntryPartyType,$P213)))</f>
        <v/>
      </c>
      <c r="G213" s="26">
        <f>IF($P213="","",IF(INDEX(EntryTxnType,$P213)=0,"",INDEX(EntryTxnType,$P213)))</f>
        <v/>
      </c>
      <c r="H213" s="27">
        <f>IF($P213="","",IF(INDEX(EntryDep,$P213)=0,"",INDEX(EntryDep,$P213)))</f>
        <v/>
      </c>
      <c r="I213" s="27">
        <f>IF($P213="","",IF(INDEX(EntryWit,$P213)=0,"",INDEX(EntryWit,$P213)))</f>
        <v/>
      </c>
      <c r="J213" s="27">
        <f>IF($B213="","",IF($A213=1,$C$7,IF(J212="",0,J212))+IF($H213="",0,$H213)-IF($I213="",0,$I213))</f>
        <v/>
      </c>
      <c r="K213" s="27">
        <f>IF($P213="","",IF(INDEX(EntryMan,$P213)=0,"",INDEX(EntryMan,$P213)))</f>
        <v/>
      </c>
      <c r="L213" s="26">
        <f>IF($B213="","",IF($K213="","—",IF(ROUND($K213-$J213,0)=0,"√","×")))</f>
        <v/>
      </c>
      <c r="M213" s="26">
        <f>IF($B213="","",IF(COUNTIFS(EntryDates,$B213,CalcTime,$C213,CalcBank,$C$5,EntryParty,$D213,EntryDep,$H213,EntryWit,$I213)&gt;1,"تکرار",""))</f>
        <v/>
      </c>
      <c r="N213" s="26">
        <f>IF($P213="","",IF(INDEX(EntryNotes,$P213)=0,"",INDEX(EntryNotes,$P213)))</f>
        <v/>
      </c>
      <c r="O213" s="26">
        <f>IF($P213="","",IF(INDEX(EntryTxnID,$P213)=0,"",INDEX(EntryTxnID,$P213)))</f>
        <v/>
      </c>
      <c r="P213" s="26">
        <f>IFERROR(MATCH($C$5&amp;"|"&amp;RIGHT("000000"&amp;197,6),CalcRankKey,0),"")</f>
        <v/>
      </c>
    </row>
    <row r="214">
      <c r="A214" s="28">
        <f>IF($B214="","",198)</f>
        <v/>
      </c>
      <c r="B214" s="28">
        <f>IF($P214="","",IF(INDEX(CalcNormDate,$P214)=0,"",INDEX(CalcNormDate,$P214)))</f>
        <v/>
      </c>
      <c r="C214" s="28">
        <f>IF($P214="","",IF(INDEX(CalcTime,$P214)=0,"",INDEX(CalcTime,$P214)))</f>
        <v/>
      </c>
      <c r="D214" s="28">
        <f>IF($P214="","",IF(INDEX(EntryParty,$P214)=0,"",INDEX(EntryParty,$P214)))</f>
        <v/>
      </c>
      <c r="E214" s="28">
        <f>IF($P214="","",IF(INDEX(EntryPartyName,$P214)=0,"",INDEX(EntryPartyName,$P214)))</f>
        <v/>
      </c>
      <c r="F214" s="28">
        <f>IF($P214="","",IF(INDEX(EntryPartyType,$P214)=0,"",INDEX(EntryPartyType,$P214)))</f>
        <v/>
      </c>
      <c r="G214" s="28">
        <f>IF($P214="","",IF(INDEX(EntryTxnType,$P214)=0,"",INDEX(EntryTxnType,$P214)))</f>
        <v/>
      </c>
      <c r="H214" s="29">
        <f>IF($P214="","",IF(INDEX(EntryDep,$P214)=0,"",INDEX(EntryDep,$P214)))</f>
        <v/>
      </c>
      <c r="I214" s="29">
        <f>IF($P214="","",IF(INDEX(EntryWit,$P214)=0,"",INDEX(EntryWit,$P214)))</f>
        <v/>
      </c>
      <c r="J214" s="29">
        <f>IF($B214="","",IF($A214=1,$C$7,IF(J213="",0,J213))+IF($H214="",0,$H214)-IF($I214="",0,$I214))</f>
        <v/>
      </c>
      <c r="K214" s="29">
        <f>IF($P214="","",IF(INDEX(EntryMan,$P214)=0,"",INDEX(EntryMan,$P214)))</f>
        <v/>
      </c>
      <c r="L214" s="28">
        <f>IF($B214="","",IF($K214="","—",IF(ROUND($K214-$J214,0)=0,"√","×")))</f>
        <v/>
      </c>
      <c r="M214" s="28">
        <f>IF($B214="","",IF(COUNTIFS(EntryDates,$B214,CalcTime,$C214,CalcBank,$C$5,EntryParty,$D214,EntryDep,$H214,EntryWit,$I214)&gt;1,"تکرار",""))</f>
        <v/>
      </c>
      <c r="N214" s="28">
        <f>IF($P214="","",IF(INDEX(EntryNotes,$P214)=0,"",INDEX(EntryNotes,$P214)))</f>
        <v/>
      </c>
      <c r="O214" s="28">
        <f>IF($P214="","",IF(INDEX(EntryTxnID,$P214)=0,"",INDEX(EntryTxnID,$P214)))</f>
        <v/>
      </c>
      <c r="P214" s="28">
        <f>IFERROR(MATCH($C$5&amp;"|"&amp;RIGHT("000000"&amp;198,6),CalcRankKey,0),"")</f>
        <v/>
      </c>
    </row>
    <row r="215">
      <c r="A215" s="26">
        <f>IF($B215="","",199)</f>
        <v/>
      </c>
      <c r="B215" s="26">
        <f>IF($P215="","",IF(INDEX(CalcNormDate,$P215)=0,"",INDEX(CalcNormDate,$P215)))</f>
        <v/>
      </c>
      <c r="C215" s="26">
        <f>IF($P215="","",IF(INDEX(CalcTime,$P215)=0,"",INDEX(CalcTime,$P215)))</f>
        <v/>
      </c>
      <c r="D215" s="26">
        <f>IF($P215="","",IF(INDEX(EntryParty,$P215)=0,"",INDEX(EntryParty,$P215)))</f>
        <v/>
      </c>
      <c r="E215" s="26">
        <f>IF($P215="","",IF(INDEX(EntryPartyName,$P215)=0,"",INDEX(EntryPartyName,$P215)))</f>
        <v/>
      </c>
      <c r="F215" s="26">
        <f>IF($P215="","",IF(INDEX(EntryPartyType,$P215)=0,"",INDEX(EntryPartyType,$P215)))</f>
        <v/>
      </c>
      <c r="G215" s="26">
        <f>IF($P215="","",IF(INDEX(EntryTxnType,$P215)=0,"",INDEX(EntryTxnType,$P215)))</f>
        <v/>
      </c>
      <c r="H215" s="27">
        <f>IF($P215="","",IF(INDEX(EntryDep,$P215)=0,"",INDEX(EntryDep,$P215)))</f>
        <v/>
      </c>
      <c r="I215" s="27">
        <f>IF($P215="","",IF(INDEX(EntryWit,$P215)=0,"",INDEX(EntryWit,$P215)))</f>
        <v/>
      </c>
      <c r="J215" s="27">
        <f>IF($B215="","",IF($A215=1,$C$7,IF(J214="",0,J214))+IF($H215="",0,$H215)-IF($I215="",0,$I215))</f>
        <v/>
      </c>
      <c r="K215" s="27">
        <f>IF($P215="","",IF(INDEX(EntryMan,$P215)=0,"",INDEX(EntryMan,$P215)))</f>
        <v/>
      </c>
      <c r="L215" s="26">
        <f>IF($B215="","",IF($K215="","—",IF(ROUND($K215-$J215,0)=0,"√","×")))</f>
        <v/>
      </c>
      <c r="M215" s="26">
        <f>IF($B215="","",IF(COUNTIFS(EntryDates,$B215,CalcTime,$C215,CalcBank,$C$5,EntryParty,$D215,EntryDep,$H215,EntryWit,$I215)&gt;1,"تکرار",""))</f>
        <v/>
      </c>
      <c r="N215" s="26">
        <f>IF($P215="","",IF(INDEX(EntryNotes,$P215)=0,"",INDEX(EntryNotes,$P215)))</f>
        <v/>
      </c>
      <c r="O215" s="26">
        <f>IF($P215="","",IF(INDEX(EntryTxnID,$P215)=0,"",INDEX(EntryTxnID,$P215)))</f>
        <v/>
      </c>
      <c r="P215" s="26">
        <f>IFERROR(MATCH($C$5&amp;"|"&amp;RIGHT("000000"&amp;199,6),CalcRankKey,0),"")</f>
        <v/>
      </c>
    </row>
    <row r="216">
      <c r="A216" s="28">
        <f>IF($B216="","",200)</f>
        <v/>
      </c>
      <c r="B216" s="28">
        <f>IF($P216="","",IF(INDEX(CalcNormDate,$P216)=0,"",INDEX(CalcNormDate,$P216)))</f>
        <v/>
      </c>
      <c r="C216" s="28">
        <f>IF($P216="","",IF(INDEX(CalcTime,$P216)=0,"",INDEX(CalcTime,$P216)))</f>
        <v/>
      </c>
      <c r="D216" s="28">
        <f>IF($P216="","",IF(INDEX(EntryParty,$P216)=0,"",INDEX(EntryParty,$P216)))</f>
        <v/>
      </c>
      <c r="E216" s="28">
        <f>IF($P216="","",IF(INDEX(EntryPartyName,$P216)=0,"",INDEX(EntryPartyName,$P216)))</f>
        <v/>
      </c>
      <c r="F216" s="28">
        <f>IF($P216="","",IF(INDEX(EntryPartyType,$P216)=0,"",INDEX(EntryPartyType,$P216)))</f>
        <v/>
      </c>
      <c r="G216" s="28">
        <f>IF($P216="","",IF(INDEX(EntryTxnType,$P216)=0,"",INDEX(EntryTxnType,$P216)))</f>
        <v/>
      </c>
      <c r="H216" s="29">
        <f>IF($P216="","",IF(INDEX(EntryDep,$P216)=0,"",INDEX(EntryDep,$P216)))</f>
        <v/>
      </c>
      <c r="I216" s="29">
        <f>IF($P216="","",IF(INDEX(EntryWit,$P216)=0,"",INDEX(EntryWit,$P216)))</f>
        <v/>
      </c>
      <c r="J216" s="29">
        <f>IF($B216="","",IF($A216=1,$C$7,IF(J215="",0,J215))+IF($H216="",0,$H216)-IF($I216="",0,$I216))</f>
        <v/>
      </c>
      <c r="K216" s="29">
        <f>IF($P216="","",IF(INDEX(EntryMan,$P216)=0,"",INDEX(EntryMan,$P216)))</f>
        <v/>
      </c>
      <c r="L216" s="28">
        <f>IF($B216="","",IF($K216="","—",IF(ROUND($K216-$J216,0)=0,"√","×")))</f>
        <v/>
      </c>
      <c r="M216" s="28">
        <f>IF($B216="","",IF(COUNTIFS(EntryDates,$B216,CalcTime,$C216,CalcBank,$C$5,EntryParty,$D216,EntryDep,$H216,EntryWit,$I216)&gt;1,"تکرار",""))</f>
        <v/>
      </c>
      <c r="N216" s="28">
        <f>IF($P216="","",IF(INDEX(EntryNotes,$P216)=0,"",INDEX(EntryNotes,$P216)))</f>
        <v/>
      </c>
      <c r="O216" s="28">
        <f>IF($P216="","",IF(INDEX(EntryTxnID,$P216)=0,"",INDEX(EntryTxnID,$P216)))</f>
        <v/>
      </c>
      <c r="P216" s="28">
        <f>IFERROR(MATCH($C$5&amp;"|"&amp;RIGHT("000000"&amp;200,6),CalcRankKey,0),"")</f>
        <v/>
      </c>
    </row>
    <row r="217">
      <c r="A217" s="26">
        <f>IF($B217="","",201)</f>
        <v/>
      </c>
      <c r="B217" s="26">
        <f>IF($P217="","",IF(INDEX(CalcNormDate,$P217)=0,"",INDEX(CalcNormDate,$P217)))</f>
        <v/>
      </c>
      <c r="C217" s="26">
        <f>IF($P217="","",IF(INDEX(CalcTime,$P217)=0,"",INDEX(CalcTime,$P217)))</f>
        <v/>
      </c>
      <c r="D217" s="26">
        <f>IF($P217="","",IF(INDEX(EntryParty,$P217)=0,"",INDEX(EntryParty,$P217)))</f>
        <v/>
      </c>
      <c r="E217" s="26">
        <f>IF($P217="","",IF(INDEX(EntryPartyName,$P217)=0,"",INDEX(EntryPartyName,$P217)))</f>
        <v/>
      </c>
      <c r="F217" s="26">
        <f>IF($P217="","",IF(INDEX(EntryPartyType,$P217)=0,"",INDEX(EntryPartyType,$P217)))</f>
        <v/>
      </c>
      <c r="G217" s="26">
        <f>IF($P217="","",IF(INDEX(EntryTxnType,$P217)=0,"",INDEX(EntryTxnType,$P217)))</f>
        <v/>
      </c>
      <c r="H217" s="27">
        <f>IF($P217="","",IF(INDEX(EntryDep,$P217)=0,"",INDEX(EntryDep,$P217)))</f>
        <v/>
      </c>
      <c r="I217" s="27">
        <f>IF($P217="","",IF(INDEX(EntryWit,$P217)=0,"",INDEX(EntryWit,$P217)))</f>
        <v/>
      </c>
      <c r="J217" s="27">
        <f>IF($B217="","",IF($A217=1,$C$7,IF(J216="",0,J216))+IF($H217="",0,$H217)-IF($I217="",0,$I217))</f>
        <v/>
      </c>
      <c r="K217" s="27">
        <f>IF($P217="","",IF(INDEX(EntryMan,$P217)=0,"",INDEX(EntryMan,$P217)))</f>
        <v/>
      </c>
      <c r="L217" s="26">
        <f>IF($B217="","",IF($K217="","—",IF(ROUND($K217-$J217,0)=0,"√","×")))</f>
        <v/>
      </c>
      <c r="M217" s="26">
        <f>IF($B217="","",IF(COUNTIFS(EntryDates,$B217,CalcTime,$C217,CalcBank,$C$5,EntryParty,$D217,EntryDep,$H217,EntryWit,$I217)&gt;1,"تکرار",""))</f>
        <v/>
      </c>
      <c r="N217" s="26">
        <f>IF($P217="","",IF(INDEX(EntryNotes,$P217)=0,"",INDEX(EntryNotes,$P217)))</f>
        <v/>
      </c>
      <c r="O217" s="26">
        <f>IF($P217="","",IF(INDEX(EntryTxnID,$P217)=0,"",INDEX(EntryTxnID,$P217)))</f>
        <v/>
      </c>
      <c r="P217" s="26">
        <f>IFERROR(MATCH($C$5&amp;"|"&amp;RIGHT("000000"&amp;201,6),CalcRankKey,0),"")</f>
        <v/>
      </c>
    </row>
    <row r="218">
      <c r="A218" s="28">
        <f>IF($B218="","",202)</f>
        <v/>
      </c>
      <c r="B218" s="28">
        <f>IF($P218="","",IF(INDEX(CalcNormDate,$P218)=0,"",INDEX(CalcNormDate,$P218)))</f>
        <v/>
      </c>
      <c r="C218" s="28">
        <f>IF($P218="","",IF(INDEX(CalcTime,$P218)=0,"",INDEX(CalcTime,$P218)))</f>
        <v/>
      </c>
      <c r="D218" s="28">
        <f>IF($P218="","",IF(INDEX(EntryParty,$P218)=0,"",INDEX(EntryParty,$P218)))</f>
        <v/>
      </c>
      <c r="E218" s="28">
        <f>IF($P218="","",IF(INDEX(EntryPartyName,$P218)=0,"",INDEX(EntryPartyName,$P218)))</f>
        <v/>
      </c>
      <c r="F218" s="28">
        <f>IF($P218="","",IF(INDEX(EntryPartyType,$P218)=0,"",INDEX(EntryPartyType,$P218)))</f>
        <v/>
      </c>
      <c r="G218" s="28">
        <f>IF($P218="","",IF(INDEX(EntryTxnType,$P218)=0,"",INDEX(EntryTxnType,$P218)))</f>
        <v/>
      </c>
      <c r="H218" s="29">
        <f>IF($P218="","",IF(INDEX(EntryDep,$P218)=0,"",INDEX(EntryDep,$P218)))</f>
        <v/>
      </c>
      <c r="I218" s="29">
        <f>IF($P218="","",IF(INDEX(EntryWit,$P218)=0,"",INDEX(EntryWit,$P218)))</f>
        <v/>
      </c>
      <c r="J218" s="29">
        <f>IF($B218="","",IF($A218=1,$C$7,IF(J217="",0,J217))+IF($H218="",0,$H218)-IF($I218="",0,$I218))</f>
        <v/>
      </c>
      <c r="K218" s="29">
        <f>IF($P218="","",IF(INDEX(EntryMan,$P218)=0,"",INDEX(EntryMan,$P218)))</f>
        <v/>
      </c>
      <c r="L218" s="28">
        <f>IF($B218="","",IF($K218="","—",IF(ROUND($K218-$J218,0)=0,"√","×")))</f>
        <v/>
      </c>
      <c r="M218" s="28">
        <f>IF($B218="","",IF(COUNTIFS(EntryDates,$B218,CalcTime,$C218,CalcBank,$C$5,EntryParty,$D218,EntryDep,$H218,EntryWit,$I218)&gt;1,"تکرار",""))</f>
        <v/>
      </c>
      <c r="N218" s="28">
        <f>IF($P218="","",IF(INDEX(EntryNotes,$P218)=0,"",INDEX(EntryNotes,$P218)))</f>
        <v/>
      </c>
      <c r="O218" s="28">
        <f>IF($P218="","",IF(INDEX(EntryTxnID,$P218)=0,"",INDEX(EntryTxnID,$P218)))</f>
        <v/>
      </c>
      <c r="P218" s="28">
        <f>IFERROR(MATCH($C$5&amp;"|"&amp;RIGHT("000000"&amp;202,6),CalcRankKey,0),"")</f>
        <v/>
      </c>
    </row>
    <row r="219">
      <c r="A219" s="26">
        <f>IF($B219="","",203)</f>
        <v/>
      </c>
      <c r="B219" s="26">
        <f>IF($P219="","",IF(INDEX(CalcNormDate,$P219)=0,"",INDEX(CalcNormDate,$P219)))</f>
        <v/>
      </c>
      <c r="C219" s="26">
        <f>IF($P219="","",IF(INDEX(CalcTime,$P219)=0,"",INDEX(CalcTime,$P219)))</f>
        <v/>
      </c>
      <c r="D219" s="26">
        <f>IF($P219="","",IF(INDEX(EntryParty,$P219)=0,"",INDEX(EntryParty,$P219)))</f>
        <v/>
      </c>
      <c r="E219" s="26">
        <f>IF($P219="","",IF(INDEX(EntryPartyName,$P219)=0,"",INDEX(EntryPartyName,$P219)))</f>
        <v/>
      </c>
      <c r="F219" s="26">
        <f>IF($P219="","",IF(INDEX(EntryPartyType,$P219)=0,"",INDEX(EntryPartyType,$P219)))</f>
        <v/>
      </c>
      <c r="G219" s="26">
        <f>IF($P219="","",IF(INDEX(EntryTxnType,$P219)=0,"",INDEX(EntryTxnType,$P219)))</f>
        <v/>
      </c>
      <c r="H219" s="27">
        <f>IF($P219="","",IF(INDEX(EntryDep,$P219)=0,"",INDEX(EntryDep,$P219)))</f>
        <v/>
      </c>
      <c r="I219" s="27">
        <f>IF($P219="","",IF(INDEX(EntryWit,$P219)=0,"",INDEX(EntryWit,$P219)))</f>
        <v/>
      </c>
      <c r="J219" s="27">
        <f>IF($B219="","",IF($A219=1,$C$7,IF(J218="",0,J218))+IF($H219="",0,$H219)-IF($I219="",0,$I219))</f>
        <v/>
      </c>
      <c r="K219" s="27">
        <f>IF($P219="","",IF(INDEX(EntryMan,$P219)=0,"",INDEX(EntryMan,$P219)))</f>
        <v/>
      </c>
      <c r="L219" s="26">
        <f>IF($B219="","",IF($K219="","—",IF(ROUND($K219-$J219,0)=0,"√","×")))</f>
        <v/>
      </c>
      <c r="M219" s="26">
        <f>IF($B219="","",IF(COUNTIFS(EntryDates,$B219,CalcTime,$C219,CalcBank,$C$5,EntryParty,$D219,EntryDep,$H219,EntryWit,$I219)&gt;1,"تکرار",""))</f>
        <v/>
      </c>
      <c r="N219" s="26">
        <f>IF($P219="","",IF(INDEX(EntryNotes,$P219)=0,"",INDEX(EntryNotes,$P219)))</f>
        <v/>
      </c>
      <c r="O219" s="26">
        <f>IF($P219="","",IF(INDEX(EntryTxnID,$P219)=0,"",INDEX(EntryTxnID,$P219)))</f>
        <v/>
      </c>
      <c r="P219" s="26">
        <f>IFERROR(MATCH($C$5&amp;"|"&amp;RIGHT("000000"&amp;203,6),CalcRankKey,0),"")</f>
        <v/>
      </c>
    </row>
    <row r="220">
      <c r="A220" s="28">
        <f>IF($B220="","",204)</f>
        <v/>
      </c>
      <c r="B220" s="28">
        <f>IF($P220="","",IF(INDEX(CalcNormDate,$P220)=0,"",INDEX(CalcNormDate,$P220)))</f>
        <v/>
      </c>
      <c r="C220" s="28">
        <f>IF($P220="","",IF(INDEX(CalcTime,$P220)=0,"",INDEX(CalcTime,$P220)))</f>
        <v/>
      </c>
      <c r="D220" s="28">
        <f>IF($P220="","",IF(INDEX(EntryParty,$P220)=0,"",INDEX(EntryParty,$P220)))</f>
        <v/>
      </c>
      <c r="E220" s="28">
        <f>IF($P220="","",IF(INDEX(EntryPartyName,$P220)=0,"",INDEX(EntryPartyName,$P220)))</f>
        <v/>
      </c>
      <c r="F220" s="28">
        <f>IF($P220="","",IF(INDEX(EntryPartyType,$P220)=0,"",INDEX(EntryPartyType,$P220)))</f>
        <v/>
      </c>
      <c r="G220" s="28">
        <f>IF($P220="","",IF(INDEX(EntryTxnType,$P220)=0,"",INDEX(EntryTxnType,$P220)))</f>
        <v/>
      </c>
      <c r="H220" s="29">
        <f>IF($P220="","",IF(INDEX(EntryDep,$P220)=0,"",INDEX(EntryDep,$P220)))</f>
        <v/>
      </c>
      <c r="I220" s="29">
        <f>IF($P220="","",IF(INDEX(EntryWit,$P220)=0,"",INDEX(EntryWit,$P220)))</f>
        <v/>
      </c>
      <c r="J220" s="29">
        <f>IF($B220="","",IF($A220=1,$C$7,IF(J219="",0,J219))+IF($H220="",0,$H220)-IF($I220="",0,$I220))</f>
        <v/>
      </c>
      <c r="K220" s="29">
        <f>IF($P220="","",IF(INDEX(EntryMan,$P220)=0,"",INDEX(EntryMan,$P220)))</f>
        <v/>
      </c>
      <c r="L220" s="28">
        <f>IF($B220="","",IF($K220="","—",IF(ROUND($K220-$J220,0)=0,"√","×")))</f>
        <v/>
      </c>
      <c r="M220" s="28">
        <f>IF($B220="","",IF(COUNTIFS(EntryDates,$B220,CalcTime,$C220,CalcBank,$C$5,EntryParty,$D220,EntryDep,$H220,EntryWit,$I220)&gt;1,"تکرار",""))</f>
        <v/>
      </c>
      <c r="N220" s="28">
        <f>IF($P220="","",IF(INDEX(EntryNotes,$P220)=0,"",INDEX(EntryNotes,$P220)))</f>
        <v/>
      </c>
      <c r="O220" s="28">
        <f>IF($P220="","",IF(INDEX(EntryTxnID,$P220)=0,"",INDEX(EntryTxnID,$P220)))</f>
        <v/>
      </c>
      <c r="P220" s="28">
        <f>IFERROR(MATCH($C$5&amp;"|"&amp;RIGHT("000000"&amp;204,6),CalcRankKey,0),"")</f>
        <v/>
      </c>
    </row>
    <row r="221">
      <c r="A221" s="26">
        <f>IF($B221="","",205)</f>
        <v/>
      </c>
      <c r="B221" s="26">
        <f>IF($P221="","",IF(INDEX(CalcNormDate,$P221)=0,"",INDEX(CalcNormDate,$P221)))</f>
        <v/>
      </c>
      <c r="C221" s="26">
        <f>IF($P221="","",IF(INDEX(CalcTime,$P221)=0,"",INDEX(CalcTime,$P221)))</f>
        <v/>
      </c>
      <c r="D221" s="26">
        <f>IF($P221="","",IF(INDEX(EntryParty,$P221)=0,"",INDEX(EntryParty,$P221)))</f>
        <v/>
      </c>
      <c r="E221" s="26">
        <f>IF($P221="","",IF(INDEX(EntryPartyName,$P221)=0,"",INDEX(EntryPartyName,$P221)))</f>
        <v/>
      </c>
      <c r="F221" s="26">
        <f>IF($P221="","",IF(INDEX(EntryPartyType,$P221)=0,"",INDEX(EntryPartyType,$P221)))</f>
        <v/>
      </c>
      <c r="G221" s="26">
        <f>IF($P221="","",IF(INDEX(EntryTxnType,$P221)=0,"",INDEX(EntryTxnType,$P221)))</f>
        <v/>
      </c>
      <c r="H221" s="27">
        <f>IF($P221="","",IF(INDEX(EntryDep,$P221)=0,"",INDEX(EntryDep,$P221)))</f>
        <v/>
      </c>
      <c r="I221" s="27">
        <f>IF($P221="","",IF(INDEX(EntryWit,$P221)=0,"",INDEX(EntryWit,$P221)))</f>
        <v/>
      </c>
      <c r="J221" s="27">
        <f>IF($B221="","",IF($A221=1,$C$7,IF(J220="",0,J220))+IF($H221="",0,$H221)-IF($I221="",0,$I221))</f>
        <v/>
      </c>
      <c r="K221" s="27">
        <f>IF($P221="","",IF(INDEX(EntryMan,$P221)=0,"",INDEX(EntryMan,$P221)))</f>
        <v/>
      </c>
      <c r="L221" s="26">
        <f>IF($B221="","",IF($K221="","—",IF(ROUND($K221-$J221,0)=0,"√","×")))</f>
        <v/>
      </c>
      <c r="M221" s="26">
        <f>IF($B221="","",IF(COUNTIFS(EntryDates,$B221,CalcTime,$C221,CalcBank,$C$5,EntryParty,$D221,EntryDep,$H221,EntryWit,$I221)&gt;1,"تکرار",""))</f>
        <v/>
      </c>
      <c r="N221" s="26">
        <f>IF($P221="","",IF(INDEX(EntryNotes,$P221)=0,"",INDEX(EntryNotes,$P221)))</f>
        <v/>
      </c>
      <c r="O221" s="26">
        <f>IF($P221="","",IF(INDEX(EntryTxnID,$P221)=0,"",INDEX(EntryTxnID,$P221)))</f>
        <v/>
      </c>
      <c r="P221" s="26">
        <f>IFERROR(MATCH($C$5&amp;"|"&amp;RIGHT("000000"&amp;205,6),CalcRankKey,0),"")</f>
        <v/>
      </c>
    </row>
    <row r="222">
      <c r="A222" s="28">
        <f>IF($B222="","",206)</f>
        <v/>
      </c>
      <c r="B222" s="28">
        <f>IF($P222="","",IF(INDEX(CalcNormDate,$P222)=0,"",INDEX(CalcNormDate,$P222)))</f>
        <v/>
      </c>
      <c r="C222" s="28">
        <f>IF($P222="","",IF(INDEX(CalcTime,$P222)=0,"",INDEX(CalcTime,$P222)))</f>
        <v/>
      </c>
      <c r="D222" s="28">
        <f>IF($P222="","",IF(INDEX(EntryParty,$P222)=0,"",INDEX(EntryParty,$P222)))</f>
        <v/>
      </c>
      <c r="E222" s="28">
        <f>IF($P222="","",IF(INDEX(EntryPartyName,$P222)=0,"",INDEX(EntryPartyName,$P222)))</f>
        <v/>
      </c>
      <c r="F222" s="28">
        <f>IF($P222="","",IF(INDEX(EntryPartyType,$P222)=0,"",INDEX(EntryPartyType,$P222)))</f>
        <v/>
      </c>
      <c r="G222" s="28">
        <f>IF($P222="","",IF(INDEX(EntryTxnType,$P222)=0,"",INDEX(EntryTxnType,$P222)))</f>
        <v/>
      </c>
      <c r="H222" s="29">
        <f>IF($P222="","",IF(INDEX(EntryDep,$P222)=0,"",INDEX(EntryDep,$P222)))</f>
        <v/>
      </c>
      <c r="I222" s="29">
        <f>IF($P222="","",IF(INDEX(EntryWit,$P222)=0,"",INDEX(EntryWit,$P222)))</f>
        <v/>
      </c>
      <c r="J222" s="29">
        <f>IF($B222="","",IF($A222=1,$C$7,IF(J221="",0,J221))+IF($H222="",0,$H222)-IF($I222="",0,$I222))</f>
        <v/>
      </c>
      <c r="K222" s="29">
        <f>IF($P222="","",IF(INDEX(EntryMan,$P222)=0,"",INDEX(EntryMan,$P222)))</f>
        <v/>
      </c>
      <c r="L222" s="28">
        <f>IF($B222="","",IF($K222="","—",IF(ROUND($K222-$J222,0)=0,"√","×")))</f>
        <v/>
      </c>
      <c r="M222" s="28">
        <f>IF($B222="","",IF(COUNTIFS(EntryDates,$B222,CalcTime,$C222,CalcBank,$C$5,EntryParty,$D222,EntryDep,$H222,EntryWit,$I222)&gt;1,"تکرار",""))</f>
        <v/>
      </c>
      <c r="N222" s="28">
        <f>IF($P222="","",IF(INDEX(EntryNotes,$P222)=0,"",INDEX(EntryNotes,$P222)))</f>
        <v/>
      </c>
      <c r="O222" s="28">
        <f>IF($P222="","",IF(INDEX(EntryTxnID,$P222)=0,"",INDEX(EntryTxnID,$P222)))</f>
        <v/>
      </c>
      <c r="P222" s="28">
        <f>IFERROR(MATCH($C$5&amp;"|"&amp;RIGHT("000000"&amp;206,6),CalcRankKey,0),"")</f>
        <v/>
      </c>
    </row>
    <row r="223">
      <c r="A223" s="26">
        <f>IF($B223="","",207)</f>
        <v/>
      </c>
      <c r="B223" s="26">
        <f>IF($P223="","",IF(INDEX(CalcNormDate,$P223)=0,"",INDEX(CalcNormDate,$P223)))</f>
        <v/>
      </c>
      <c r="C223" s="26">
        <f>IF($P223="","",IF(INDEX(CalcTime,$P223)=0,"",INDEX(CalcTime,$P223)))</f>
        <v/>
      </c>
      <c r="D223" s="26">
        <f>IF($P223="","",IF(INDEX(EntryParty,$P223)=0,"",INDEX(EntryParty,$P223)))</f>
        <v/>
      </c>
      <c r="E223" s="26">
        <f>IF($P223="","",IF(INDEX(EntryPartyName,$P223)=0,"",INDEX(EntryPartyName,$P223)))</f>
        <v/>
      </c>
      <c r="F223" s="26">
        <f>IF($P223="","",IF(INDEX(EntryPartyType,$P223)=0,"",INDEX(EntryPartyType,$P223)))</f>
        <v/>
      </c>
      <c r="G223" s="26">
        <f>IF($P223="","",IF(INDEX(EntryTxnType,$P223)=0,"",INDEX(EntryTxnType,$P223)))</f>
        <v/>
      </c>
      <c r="H223" s="27">
        <f>IF($P223="","",IF(INDEX(EntryDep,$P223)=0,"",INDEX(EntryDep,$P223)))</f>
        <v/>
      </c>
      <c r="I223" s="27">
        <f>IF($P223="","",IF(INDEX(EntryWit,$P223)=0,"",INDEX(EntryWit,$P223)))</f>
        <v/>
      </c>
      <c r="J223" s="27">
        <f>IF($B223="","",IF($A223=1,$C$7,IF(J222="",0,J222))+IF($H223="",0,$H223)-IF($I223="",0,$I223))</f>
        <v/>
      </c>
      <c r="K223" s="27">
        <f>IF($P223="","",IF(INDEX(EntryMan,$P223)=0,"",INDEX(EntryMan,$P223)))</f>
        <v/>
      </c>
      <c r="L223" s="26">
        <f>IF($B223="","",IF($K223="","—",IF(ROUND($K223-$J223,0)=0,"√","×")))</f>
        <v/>
      </c>
      <c r="M223" s="26">
        <f>IF($B223="","",IF(COUNTIFS(EntryDates,$B223,CalcTime,$C223,CalcBank,$C$5,EntryParty,$D223,EntryDep,$H223,EntryWit,$I223)&gt;1,"تکرار",""))</f>
        <v/>
      </c>
      <c r="N223" s="26">
        <f>IF($P223="","",IF(INDEX(EntryNotes,$P223)=0,"",INDEX(EntryNotes,$P223)))</f>
        <v/>
      </c>
      <c r="O223" s="26">
        <f>IF($P223="","",IF(INDEX(EntryTxnID,$P223)=0,"",INDEX(EntryTxnID,$P223)))</f>
        <v/>
      </c>
      <c r="P223" s="26">
        <f>IFERROR(MATCH($C$5&amp;"|"&amp;RIGHT("000000"&amp;207,6),CalcRankKey,0),"")</f>
        <v/>
      </c>
    </row>
    <row r="224">
      <c r="A224" s="28">
        <f>IF($B224="","",208)</f>
        <v/>
      </c>
      <c r="B224" s="28">
        <f>IF($P224="","",IF(INDEX(CalcNormDate,$P224)=0,"",INDEX(CalcNormDate,$P224)))</f>
        <v/>
      </c>
      <c r="C224" s="28">
        <f>IF($P224="","",IF(INDEX(CalcTime,$P224)=0,"",INDEX(CalcTime,$P224)))</f>
        <v/>
      </c>
      <c r="D224" s="28">
        <f>IF($P224="","",IF(INDEX(EntryParty,$P224)=0,"",INDEX(EntryParty,$P224)))</f>
        <v/>
      </c>
      <c r="E224" s="28">
        <f>IF($P224="","",IF(INDEX(EntryPartyName,$P224)=0,"",INDEX(EntryPartyName,$P224)))</f>
        <v/>
      </c>
      <c r="F224" s="28">
        <f>IF($P224="","",IF(INDEX(EntryPartyType,$P224)=0,"",INDEX(EntryPartyType,$P224)))</f>
        <v/>
      </c>
      <c r="G224" s="28">
        <f>IF($P224="","",IF(INDEX(EntryTxnType,$P224)=0,"",INDEX(EntryTxnType,$P224)))</f>
        <v/>
      </c>
      <c r="H224" s="29">
        <f>IF($P224="","",IF(INDEX(EntryDep,$P224)=0,"",INDEX(EntryDep,$P224)))</f>
        <v/>
      </c>
      <c r="I224" s="29">
        <f>IF($P224="","",IF(INDEX(EntryWit,$P224)=0,"",INDEX(EntryWit,$P224)))</f>
        <v/>
      </c>
      <c r="J224" s="29">
        <f>IF($B224="","",IF($A224=1,$C$7,IF(J223="",0,J223))+IF($H224="",0,$H224)-IF($I224="",0,$I224))</f>
        <v/>
      </c>
      <c r="K224" s="29">
        <f>IF($P224="","",IF(INDEX(EntryMan,$P224)=0,"",INDEX(EntryMan,$P224)))</f>
        <v/>
      </c>
      <c r="L224" s="28">
        <f>IF($B224="","",IF($K224="","—",IF(ROUND($K224-$J224,0)=0,"√","×")))</f>
        <v/>
      </c>
      <c r="M224" s="28">
        <f>IF($B224="","",IF(COUNTIFS(EntryDates,$B224,CalcTime,$C224,CalcBank,$C$5,EntryParty,$D224,EntryDep,$H224,EntryWit,$I224)&gt;1,"تکرار",""))</f>
        <v/>
      </c>
      <c r="N224" s="28">
        <f>IF($P224="","",IF(INDEX(EntryNotes,$P224)=0,"",INDEX(EntryNotes,$P224)))</f>
        <v/>
      </c>
      <c r="O224" s="28">
        <f>IF($P224="","",IF(INDEX(EntryTxnID,$P224)=0,"",INDEX(EntryTxnID,$P224)))</f>
        <v/>
      </c>
      <c r="P224" s="28">
        <f>IFERROR(MATCH($C$5&amp;"|"&amp;RIGHT("000000"&amp;208,6),CalcRankKey,0),"")</f>
        <v/>
      </c>
    </row>
    <row r="225">
      <c r="A225" s="26">
        <f>IF($B225="","",209)</f>
        <v/>
      </c>
      <c r="B225" s="26">
        <f>IF($P225="","",IF(INDEX(CalcNormDate,$P225)=0,"",INDEX(CalcNormDate,$P225)))</f>
        <v/>
      </c>
      <c r="C225" s="26">
        <f>IF($P225="","",IF(INDEX(CalcTime,$P225)=0,"",INDEX(CalcTime,$P225)))</f>
        <v/>
      </c>
      <c r="D225" s="26">
        <f>IF($P225="","",IF(INDEX(EntryParty,$P225)=0,"",INDEX(EntryParty,$P225)))</f>
        <v/>
      </c>
      <c r="E225" s="26">
        <f>IF($P225="","",IF(INDEX(EntryPartyName,$P225)=0,"",INDEX(EntryPartyName,$P225)))</f>
        <v/>
      </c>
      <c r="F225" s="26">
        <f>IF($P225="","",IF(INDEX(EntryPartyType,$P225)=0,"",INDEX(EntryPartyType,$P225)))</f>
        <v/>
      </c>
      <c r="G225" s="26">
        <f>IF($P225="","",IF(INDEX(EntryTxnType,$P225)=0,"",INDEX(EntryTxnType,$P225)))</f>
        <v/>
      </c>
      <c r="H225" s="27">
        <f>IF($P225="","",IF(INDEX(EntryDep,$P225)=0,"",INDEX(EntryDep,$P225)))</f>
        <v/>
      </c>
      <c r="I225" s="27">
        <f>IF($P225="","",IF(INDEX(EntryWit,$P225)=0,"",INDEX(EntryWit,$P225)))</f>
        <v/>
      </c>
      <c r="J225" s="27">
        <f>IF($B225="","",IF($A225=1,$C$7,IF(J224="",0,J224))+IF($H225="",0,$H225)-IF($I225="",0,$I225))</f>
        <v/>
      </c>
      <c r="K225" s="27">
        <f>IF($P225="","",IF(INDEX(EntryMan,$P225)=0,"",INDEX(EntryMan,$P225)))</f>
        <v/>
      </c>
      <c r="L225" s="26">
        <f>IF($B225="","",IF($K225="","—",IF(ROUND($K225-$J225,0)=0,"√","×")))</f>
        <v/>
      </c>
      <c r="M225" s="26">
        <f>IF($B225="","",IF(COUNTIFS(EntryDates,$B225,CalcTime,$C225,CalcBank,$C$5,EntryParty,$D225,EntryDep,$H225,EntryWit,$I225)&gt;1,"تکرار",""))</f>
        <v/>
      </c>
      <c r="N225" s="26">
        <f>IF($P225="","",IF(INDEX(EntryNotes,$P225)=0,"",INDEX(EntryNotes,$P225)))</f>
        <v/>
      </c>
      <c r="O225" s="26">
        <f>IF($P225="","",IF(INDEX(EntryTxnID,$P225)=0,"",INDEX(EntryTxnID,$P225)))</f>
        <v/>
      </c>
      <c r="P225" s="26">
        <f>IFERROR(MATCH($C$5&amp;"|"&amp;RIGHT("000000"&amp;209,6),CalcRankKey,0),"")</f>
        <v/>
      </c>
    </row>
    <row r="226">
      <c r="A226" s="28">
        <f>IF($B226="","",210)</f>
        <v/>
      </c>
      <c r="B226" s="28">
        <f>IF($P226="","",IF(INDEX(CalcNormDate,$P226)=0,"",INDEX(CalcNormDate,$P226)))</f>
        <v/>
      </c>
      <c r="C226" s="28">
        <f>IF($P226="","",IF(INDEX(CalcTime,$P226)=0,"",INDEX(CalcTime,$P226)))</f>
        <v/>
      </c>
      <c r="D226" s="28">
        <f>IF($P226="","",IF(INDEX(EntryParty,$P226)=0,"",INDEX(EntryParty,$P226)))</f>
        <v/>
      </c>
      <c r="E226" s="28">
        <f>IF($P226="","",IF(INDEX(EntryPartyName,$P226)=0,"",INDEX(EntryPartyName,$P226)))</f>
        <v/>
      </c>
      <c r="F226" s="28">
        <f>IF($P226="","",IF(INDEX(EntryPartyType,$P226)=0,"",INDEX(EntryPartyType,$P226)))</f>
        <v/>
      </c>
      <c r="G226" s="28">
        <f>IF($P226="","",IF(INDEX(EntryTxnType,$P226)=0,"",INDEX(EntryTxnType,$P226)))</f>
        <v/>
      </c>
      <c r="H226" s="29">
        <f>IF($P226="","",IF(INDEX(EntryDep,$P226)=0,"",INDEX(EntryDep,$P226)))</f>
        <v/>
      </c>
      <c r="I226" s="29">
        <f>IF($P226="","",IF(INDEX(EntryWit,$P226)=0,"",INDEX(EntryWit,$P226)))</f>
        <v/>
      </c>
      <c r="J226" s="29">
        <f>IF($B226="","",IF($A226=1,$C$7,IF(J225="",0,J225))+IF($H226="",0,$H226)-IF($I226="",0,$I226))</f>
        <v/>
      </c>
      <c r="K226" s="29">
        <f>IF($P226="","",IF(INDEX(EntryMan,$P226)=0,"",INDEX(EntryMan,$P226)))</f>
        <v/>
      </c>
      <c r="L226" s="28">
        <f>IF($B226="","",IF($K226="","—",IF(ROUND($K226-$J226,0)=0,"√","×")))</f>
        <v/>
      </c>
      <c r="M226" s="28">
        <f>IF($B226="","",IF(COUNTIFS(EntryDates,$B226,CalcTime,$C226,CalcBank,$C$5,EntryParty,$D226,EntryDep,$H226,EntryWit,$I226)&gt;1,"تکرار",""))</f>
        <v/>
      </c>
      <c r="N226" s="28">
        <f>IF($P226="","",IF(INDEX(EntryNotes,$P226)=0,"",INDEX(EntryNotes,$P226)))</f>
        <v/>
      </c>
      <c r="O226" s="28">
        <f>IF($P226="","",IF(INDEX(EntryTxnID,$P226)=0,"",INDEX(EntryTxnID,$P226)))</f>
        <v/>
      </c>
      <c r="P226" s="28">
        <f>IFERROR(MATCH($C$5&amp;"|"&amp;RIGHT("000000"&amp;210,6),CalcRankKey,0),"")</f>
        <v/>
      </c>
    </row>
    <row r="227">
      <c r="A227" s="26">
        <f>IF($B227="","",211)</f>
        <v/>
      </c>
      <c r="B227" s="26">
        <f>IF($P227="","",IF(INDEX(CalcNormDate,$P227)=0,"",INDEX(CalcNormDate,$P227)))</f>
        <v/>
      </c>
      <c r="C227" s="26">
        <f>IF($P227="","",IF(INDEX(CalcTime,$P227)=0,"",INDEX(CalcTime,$P227)))</f>
        <v/>
      </c>
      <c r="D227" s="26">
        <f>IF($P227="","",IF(INDEX(EntryParty,$P227)=0,"",INDEX(EntryParty,$P227)))</f>
        <v/>
      </c>
      <c r="E227" s="26">
        <f>IF($P227="","",IF(INDEX(EntryPartyName,$P227)=0,"",INDEX(EntryPartyName,$P227)))</f>
        <v/>
      </c>
      <c r="F227" s="26">
        <f>IF($P227="","",IF(INDEX(EntryPartyType,$P227)=0,"",INDEX(EntryPartyType,$P227)))</f>
        <v/>
      </c>
      <c r="G227" s="26">
        <f>IF($P227="","",IF(INDEX(EntryTxnType,$P227)=0,"",INDEX(EntryTxnType,$P227)))</f>
        <v/>
      </c>
      <c r="H227" s="27">
        <f>IF($P227="","",IF(INDEX(EntryDep,$P227)=0,"",INDEX(EntryDep,$P227)))</f>
        <v/>
      </c>
      <c r="I227" s="27">
        <f>IF($P227="","",IF(INDEX(EntryWit,$P227)=0,"",INDEX(EntryWit,$P227)))</f>
        <v/>
      </c>
      <c r="J227" s="27">
        <f>IF($B227="","",IF($A227=1,$C$7,IF(J226="",0,J226))+IF($H227="",0,$H227)-IF($I227="",0,$I227))</f>
        <v/>
      </c>
      <c r="K227" s="27">
        <f>IF($P227="","",IF(INDEX(EntryMan,$P227)=0,"",INDEX(EntryMan,$P227)))</f>
        <v/>
      </c>
      <c r="L227" s="26">
        <f>IF($B227="","",IF($K227="","—",IF(ROUND($K227-$J227,0)=0,"√","×")))</f>
        <v/>
      </c>
      <c r="M227" s="26">
        <f>IF($B227="","",IF(COUNTIFS(EntryDates,$B227,CalcTime,$C227,CalcBank,$C$5,EntryParty,$D227,EntryDep,$H227,EntryWit,$I227)&gt;1,"تکرار",""))</f>
        <v/>
      </c>
      <c r="N227" s="26">
        <f>IF($P227="","",IF(INDEX(EntryNotes,$P227)=0,"",INDEX(EntryNotes,$P227)))</f>
        <v/>
      </c>
      <c r="O227" s="26">
        <f>IF($P227="","",IF(INDEX(EntryTxnID,$P227)=0,"",INDEX(EntryTxnID,$P227)))</f>
        <v/>
      </c>
      <c r="P227" s="26">
        <f>IFERROR(MATCH($C$5&amp;"|"&amp;RIGHT("000000"&amp;211,6),CalcRankKey,0),"")</f>
        <v/>
      </c>
    </row>
    <row r="228">
      <c r="A228" s="28">
        <f>IF($B228="","",212)</f>
        <v/>
      </c>
      <c r="B228" s="28">
        <f>IF($P228="","",IF(INDEX(CalcNormDate,$P228)=0,"",INDEX(CalcNormDate,$P228)))</f>
        <v/>
      </c>
      <c r="C228" s="28">
        <f>IF($P228="","",IF(INDEX(CalcTime,$P228)=0,"",INDEX(CalcTime,$P228)))</f>
        <v/>
      </c>
      <c r="D228" s="28">
        <f>IF($P228="","",IF(INDEX(EntryParty,$P228)=0,"",INDEX(EntryParty,$P228)))</f>
        <v/>
      </c>
      <c r="E228" s="28">
        <f>IF($P228="","",IF(INDEX(EntryPartyName,$P228)=0,"",INDEX(EntryPartyName,$P228)))</f>
        <v/>
      </c>
      <c r="F228" s="28">
        <f>IF($P228="","",IF(INDEX(EntryPartyType,$P228)=0,"",INDEX(EntryPartyType,$P228)))</f>
        <v/>
      </c>
      <c r="G228" s="28">
        <f>IF($P228="","",IF(INDEX(EntryTxnType,$P228)=0,"",INDEX(EntryTxnType,$P228)))</f>
        <v/>
      </c>
      <c r="H228" s="29">
        <f>IF($P228="","",IF(INDEX(EntryDep,$P228)=0,"",INDEX(EntryDep,$P228)))</f>
        <v/>
      </c>
      <c r="I228" s="29">
        <f>IF($P228="","",IF(INDEX(EntryWit,$P228)=0,"",INDEX(EntryWit,$P228)))</f>
        <v/>
      </c>
      <c r="J228" s="29">
        <f>IF($B228="","",IF($A228=1,$C$7,IF(J227="",0,J227))+IF($H228="",0,$H228)-IF($I228="",0,$I228))</f>
        <v/>
      </c>
      <c r="K228" s="29">
        <f>IF($P228="","",IF(INDEX(EntryMan,$P228)=0,"",INDEX(EntryMan,$P228)))</f>
        <v/>
      </c>
      <c r="L228" s="28">
        <f>IF($B228="","",IF($K228="","—",IF(ROUND($K228-$J228,0)=0,"√","×")))</f>
        <v/>
      </c>
      <c r="M228" s="28">
        <f>IF($B228="","",IF(COUNTIFS(EntryDates,$B228,CalcTime,$C228,CalcBank,$C$5,EntryParty,$D228,EntryDep,$H228,EntryWit,$I228)&gt;1,"تکرار",""))</f>
        <v/>
      </c>
      <c r="N228" s="28">
        <f>IF($P228="","",IF(INDEX(EntryNotes,$P228)=0,"",INDEX(EntryNotes,$P228)))</f>
        <v/>
      </c>
      <c r="O228" s="28">
        <f>IF($P228="","",IF(INDEX(EntryTxnID,$P228)=0,"",INDEX(EntryTxnID,$P228)))</f>
        <v/>
      </c>
      <c r="P228" s="28">
        <f>IFERROR(MATCH($C$5&amp;"|"&amp;RIGHT("000000"&amp;212,6),CalcRankKey,0),"")</f>
        <v/>
      </c>
    </row>
    <row r="229">
      <c r="A229" s="26">
        <f>IF($B229="","",213)</f>
        <v/>
      </c>
      <c r="B229" s="26">
        <f>IF($P229="","",IF(INDEX(CalcNormDate,$P229)=0,"",INDEX(CalcNormDate,$P229)))</f>
        <v/>
      </c>
      <c r="C229" s="26">
        <f>IF($P229="","",IF(INDEX(CalcTime,$P229)=0,"",INDEX(CalcTime,$P229)))</f>
        <v/>
      </c>
      <c r="D229" s="26">
        <f>IF($P229="","",IF(INDEX(EntryParty,$P229)=0,"",INDEX(EntryParty,$P229)))</f>
        <v/>
      </c>
      <c r="E229" s="26">
        <f>IF($P229="","",IF(INDEX(EntryPartyName,$P229)=0,"",INDEX(EntryPartyName,$P229)))</f>
        <v/>
      </c>
      <c r="F229" s="26">
        <f>IF($P229="","",IF(INDEX(EntryPartyType,$P229)=0,"",INDEX(EntryPartyType,$P229)))</f>
        <v/>
      </c>
      <c r="G229" s="26">
        <f>IF($P229="","",IF(INDEX(EntryTxnType,$P229)=0,"",INDEX(EntryTxnType,$P229)))</f>
        <v/>
      </c>
      <c r="H229" s="27">
        <f>IF($P229="","",IF(INDEX(EntryDep,$P229)=0,"",INDEX(EntryDep,$P229)))</f>
        <v/>
      </c>
      <c r="I229" s="27">
        <f>IF($P229="","",IF(INDEX(EntryWit,$P229)=0,"",INDEX(EntryWit,$P229)))</f>
        <v/>
      </c>
      <c r="J229" s="27">
        <f>IF($B229="","",IF($A229=1,$C$7,IF(J228="",0,J228))+IF($H229="",0,$H229)-IF($I229="",0,$I229))</f>
        <v/>
      </c>
      <c r="K229" s="27">
        <f>IF($P229="","",IF(INDEX(EntryMan,$P229)=0,"",INDEX(EntryMan,$P229)))</f>
        <v/>
      </c>
      <c r="L229" s="26">
        <f>IF($B229="","",IF($K229="","—",IF(ROUND($K229-$J229,0)=0,"√","×")))</f>
        <v/>
      </c>
      <c r="M229" s="26">
        <f>IF($B229="","",IF(COUNTIFS(EntryDates,$B229,CalcTime,$C229,CalcBank,$C$5,EntryParty,$D229,EntryDep,$H229,EntryWit,$I229)&gt;1,"تکرار",""))</f>
        <v/>
      </c>
      <c r="N229" s="26">
        <f>IF($P229="","",IF(INDEX(EntryNotes,$P229)=0,"",INDEX(EntryNotes,$P229)))</f>
        <v/>
      </c>
      <c r="O229" s="26">
        <f>IF($P229="","",IF(INDEX(EntryTxnID,$P229)=0,"",INDEX(EntryTxnID,$P229)))</f>
        <v/>
      </c>
      <c r="P229" s="26">
        <f>IFERROR(MATCH($C$5&amp;"|"&amp;RIGHT("000000"&amp;213,6),CalcRankKey,0),"")</f>
        <v/>
      </c>
    </row>
    <row r="230">
      <c r="A230" s="28">
        <f>IF($B230="","",214)</f>
        <v/>
      </c>
      <c r="B230" s="28">
        <f>IF($P230="","",IF(INDEX(CalcNormDate,$P230)=0,"",INDEX(CalcNormDate,$P230)))</f>
        <v/>
      </c>
      <c r="C230" s="28">
        <f>IF($P230="","",IF(INDEX(CalcTime,$P230)=0,"",INDEX(CalcTime,$P230)))</f>
        <v/>
      </c>
      <c r="D230" s="28">
        <f>IF($P230="","",IF(INDEX(EntryParty,$P230)=0,"",INDEX(EntryParty,$P230)))</f>
        <v/>
      </c>
      <c r="E230" s="28">
        <f>IF($P230="","",IF(INDEX(EntryPartyName,$P230)=0,"",INDEX(EntryPartyName,$P230)))</f>
        <v/>
      </c>
      <c r="F230" s="28">
        <f>IF($P230="","",IF(INDEX(EntryPartyType,$P230)=0,"",INDEX(EntryPartyType,$P230)))</f>
        <v/>
      </c>
      <c r="G230" s="28">
        <f>IF($P230="","",IF(INDEX(EntryTxnType,$P230)=0,"",INDEX(EntryTxnType,$P230)))</f>
        <v/>
      </c>
      <c r="H230" s="29">
        <f>IF($P230="","",IF(INDEX(EntryDep,$P230)=0,"",INDEX(EntryDep,$P230)))</f>
        <v/>
      </c>
      <c r="I230" s="29">
        <f>IF($P230="","",IF(INDEX(EntryWit,$P230)=0,"",INDEX(EntryWit,$P230)))</f>
        <v/>
      </c>
      <c r="J230" s="29">
        <f>IF($B230="","",IF($A230=1,$C$7,IF(J229="",0,J229))+IF($H230="",0,$H230)-IF($I230="",0,$I230))</f>
        <v/>
      </c>
      <c r="K230" s="29">
        <f>IF($P230="","",IF(INDEX(EntryMan,$P230)=0,"",INDEX(EntryMan,$P230)))</f>
        <v/>
      </c>
      <c r="L230" s="28">
        <f>IF($B230="","",IF($K230="","—",IF(ROUND($K230-$J230,0)=0,"√","×")))</f>
        <v/>
      </c>
      <c r="M230" s="28">
        <f>IF($B230="","",IF(COUNTIFS(EntryDates,$B230,CalcTime,$C230,CalcBank,$C$5,EntryParty,$D230,EntryDep,$H230,EntryWit,$I230)&gt;1,"تکرار",""))</f>
        <v/>
      </c>
      <c r="N230" s="28">
        <f>IF($P230="","",IF(INDEX(EntryNotes,$P230)=0,"",INDEX(EntryNotes,$P230)))</f>
        <v/>
      </c>
      <c r="O230" s="28">
        <f>IF($P230="","",IF(INDEX(EntryTxnID,$P230)=0,"",INDEX(EntryTxnID,$P230)))</f>
        <v/>
      </c>
      <c r="P230" s="28">
        <f>IFERROR(MATCH($C$5&amp;"|"&amp;RIGHT("000000"&amp;214,6),CalcRankKey,0),"")</f>
        <v/>
      </c>
    </row>
    <row r="231">
      <c r="A231" s="26">
        <f>IF($B231="","",215)</f>
        <v/>
      </c>
      <c r="B231" s="26">
        <f>IF($P231="","",IF(INDEX(CalcNormDate,$P231)=0,"",INDEX(CalcNormDate,$P231)))</f>
        <v/>
      </c>
      <c r="C231" s="26">
        <f>IF($P231="","",IF(INDEX(CalcTime,$P231)=0,"",INDEX(CalcTime,$P231)))</f>
        <v/>
      </c>
      <c r="D231" s="26">
        <f>IF($P231="","",IF(INDEX(EntryParty,$P231)=0,"",INDEX(EntryParty,$P231)))</f>
        <v/>
      </c>
      <c r="E231" s="26">
        <f>IF($P231="","",IF(INDEX(EntryPartyName,$P231)=0,"",INDEX(EntryPartyName,$P231)))</f>
        <v/>
      </c>
      <c r="F231" s="26">
        <f>IF($P231="","",IF(INDEX(EntryPartyType,$P231)=0,"",INDEX(EntryPartyType,$P231)))</f>
        <v/>
      </c>
      <c r="G231" s="26">
        <f>IF($P231="","",IF(INDEX(EntryTxnType,$P231)=0,"",INDEX(EntryTxnType,$P231)))</f>
        <v/>
      </c>
      <c r="H231" s="27">
        <f>IF($P231="","",IF(INDEX(EntryDep,$P231)=0,"",INDEX(EntryDep,$P231)))</f>
        <v/>
      </c>
      <c r="I231" s="27">
        <f>IF($P231="","",IF(INDEX(EntryWit,$P231)=0,"",INDEX(EntryWit,$P231)))</f>
        <v/>
      </c>
      <c r="J231" s="27">
        <f>IF($B231="","",IF($A231=1,$C$7,IF(J230="",0,J230))+IF($H231="",0,$H231)-IF($I231="",0,$I231))</f>
        <v/>
      </c>
      <c r="K231" s="27">
        <f>IF($P231="","",IF(INDEX(EntryMan,$P231)=0,"",INDEX(EntryMan,$P231)))</f>
        <v/>
      </c>
      <c r="L231" s="26">
        <f>IF($B231="","",IF($K231="","—",IF(ROUND($K231-$J231,0)=0,"√","×")))</f>
        <v/>
      </c>
      <c r="M231" s="26">
        <f>IF($B231="","",IF(COUNTIFS(EntryDates,$B231,CalcTime,$C231,CalcBank,$C$5,EntryParty,$D231,EntryDep,$H231,EntryWit,$I231)&gt;1,"تکرار",""))</f>
        <v/>
      </c>
      <c r="N231" s="26">
        <f>IF($P231="","",IF(INDEX(EntryNotes,$P231)=0,"",INDEX(EntryNotes,$P231)))</f>
        <v/>
      </c>
      <c r="O231" s="26">
        <f>IF($P231="","",IF(INDEX(EntryTxnID,$P231)=0,"",INDEX(EntryTxnID,$P231)))</f>
        <v/>
      </c>
      <c r="P231" s="26">
        <f>IFERROR(MATCH($C$5&amp;"|"&amp;RIGHT("000000"&amp;215,6),CalcRankKey,0),"")</f>
        <v/>
      </c>
    </row>
    <row r="232">
      <c r="A232" s="28">
        <f>IF($B232="","",216)</f>
        <v/>
      </c>
      <c r="B232" s="28">
        <f>IF($P232="","",IF(INDEX(CalcNormDate,$P232)=0,"",INDEX(CalcNormDate,$P232)))</f>
        <v/>
      </c>
      <c r="C232" s="28">
        <f>IF($P232="","",IF(INDEX(CalcTime,$P232)=0,"",INDEX(CalcTime,$P232)))</f>
        <v/>
      </c>
      <c r="D232" s="28">
        <f>IF($P232="","",IF(INDEX(EntryParty,$P232)=0,"",INDEX(EntryParty,$P232)))</f>
        <v/>
      </c>
      <c r="E232" s="28">
        <f>IF($P232="","",IF(INDEX(EntryPartyName,$P232)=0,"",INDEX(EntryPartyName,$P232)))</f>
        <v/>
      </c>
      <c r="F232" s="28">
        <f>IF($P232="","",IF(INDEX(EntryPartyType,$P232)=0,"",INDEX(EntryPartyType,$P232)))</f>
        <v/>
      </c>
      <c r="G232" s="28">
        <f>IF($P232="","",IF(INDEX(EntryTxnType,$P232)=0,"",INDEX(EntryTxnType,$P232)))</f>
        <v/>
      </c>
      <c r="H232" s="29">
        <f>IF($P232="","",IF(INDEX(EntryDep,$P232)=0,"",INDEX(EntryDep,$P232)))</f>
        <v/>
      </c>
      <c r="I232" s="29">
        <f>IF($P232="","",IF(INDEX(EntryWit,$P232)=0,"",INDEX(EntryWit,$P232)))</f>
        <v/>
      </c>
      <c r="J232" s="29">
        <f>IF($B232="","",IF($A232=1,$C$7,IF(J231="",0,J231))+IF($H232="",0,$H232)-IF($I232="",0,$I232))</f>
        <v/>
      </c>
      <c r="K232" s="29">
        <f>IF($P232="","",IF(INDEX(EntryMan,$P232)=0,"",INDEX(EntryMan,$P232)))</f>
        <v/>
      </c>
      <c r="L232" s="28">
        <f>IF($B232="","",IF($K232="","—",IF(ROUND($K232-$J232,0)=0,"√","×")))</f>
        <v/>
      </c>
      <c r="M232" s="28">
        <f>IF($B232="","",IF(COUNTIFS(EntryDates,$B232,CalcTime,$C232,CalcBank,$C$5,EntryParty,$D232,EntryDep,$H232,EntryWit,$I232)&gt;1,"تکرار",""))</f>
        <v/>
      </c>
      <c r="N232" s="28">
        <f>IF($P232="","",IF(INDEX(EntryNotes,$P232)=0,"",INDEX(EntryNotes,$P232)))</f>
        <v/>
      </c>
      <c r="O232" s="28">
        <f>IF($P232="","",IF(INDEX(EntryTxnID,$P232)=0,"",INDEX(EntryTxnID,$P232)))</f>
        <v/>
      </c>
      <c r="P232" s="28">
        <f>IFERROR(MATCH($C$5&amp;"|"&amp;RIGHT("000000"&amp;216,6),CalcRankKey,0),"")</f>
        <v/>
      </c>
    </row>
    <row r="233">
      <c r="A233" s="26">
        <f>IF($B233="","",217)</f>
        <v/>
      </c>
      <c r="B233" s="26">
        <f>IF($P233="","",IF(INDEX(CalcNormDate,$P233)=0,"",INDEX(CalcNormDate,$P233)))</f>
        <v/>
      </c>
      <c r="C233" s="26">
        <f>IF($P233="","",IF(INDEX(CalcTime,$P233)=0,"",INDEX(CalcTime,$P233)))</f>
        <v/>
      </c>
      <c r="D233" s="26">
        <f>IF($P233="","",IF(INDEX(EntryParty,$P233)=0,"",INDEX(EntryParty,$P233)))</f>
        <v/>
      </c>
      <c r="E233" s="26">
        <f>IF($P233="","",IF(INDEX(EntryPartyName,$P233)=0,"",INDEX(EntryPartyName,$P233)))</f>
        <v/>
      </c>
      <c r="F233" s="26">
        <f>IF($P233="","",IF(INDEX(EntryPartyType,$P233)=0,"",INDEX(EntryPartyType,$P233)))</f>
        <v/>
      </c>
      <c r="G233" s="26">
        <f>IF($P233="","",IF(INDEX(EntryTxnType,$P233)=0,"",INDEX(EntryTxnType,$P233)))</f>
        <v/>
      </c>
      <c r="H233" s="27">
        <f>IF($P233="","",IF(INDEX(EntryDep,$P233)=0,"",INDEX(EntryDep,$P233)))</f>
        <v/>
      </c>
      <c r="I233" s="27">
        <f>IF($P233="","",IF(INDEX(EntryWit,$P233)=0,"",INDEX(EntryWit,$P233)))</f>
        <v/>
      </c>
      <c r="J233" s="27">
        <f>IF($B233="","",IF($A233=1,$C$7,IF(J232="",0,J232))+IF($H233="",0,$H233)-IF($I233="",0,$I233))</f>
        <v/>
      </c>
      <c r="K233" s="27">
        <f>IF($P233="","",IF(INDEX(EntryMan,$P233)=0,"",INDEX(EntryMan,$P233)))</f>
        <v/>
      </c>
      <c r="L233" s="26">
        <f>IF($B233="","",IF($K233="","—",IF(ROUND($K233-$J233,0)=0,"√","×")))</f>
        <v/>
      </c>
      <c r="M233" s="26">
        <f>IF($B233="","",IF(COUNTIFS(EntryDates,$B233,CalcTime,$C233,CalcBank,$C$5,EntryParty,$D233,EntryDep,$H233,EntryWit,$I233)&gt;1,"تکرار",""))</f>
        <v/>
      </c>
      <c r="N233" s="26">
        <f>IF($P233="","",IF(INDEX(EntryNotes,$P233)=0,"",INDEX(EntryNotes,$P233)))</f>
        <v/>
      </c>
      <c r="O233" s="26">
        <f>IF($P233="","",IF(INDEX(EntryTxnID,$P233)=0,"",INDEX(EntryTxnID,$P233)))</f>
        <v/>
      </c>
      <c r="P233" s="26">
        <f>IFERROR(MATCH($C$5&amp;"|"&amp;RIGHT("000000"&amp;217,6),CalcRankKey,0),"")</f>
        <v/>
      </c>
    </row>
    <row r="234">
      <c r="A234" s="28">
        <f>IF($B234="","",218)</f>
        <v/>
      </c>
      <c r="B234" s="28">
        <f>IF($P234="","",IF(INDEX(CalcNormDate,$P234)=0,"",INDEX(CalcNormDate,$P234)))</f>
        <v/>
      </c>
      <c r="C234" s="28">
        <f>IF($P234="","",IF(INDEX(CalcTime,$P234)=0,"",INDEX(CalcTime,$P234)))</f>
        <v/>
      </c>
      <c r="D234" s="28">
        <f>IF($P234="","",IF(INDEX(EntryParty,$P234)=0,"",INDEX(EntryParty,$P234)))</f>
        <v/>
      </c>
      <c r="E234" s="28">
        <f>IF($P234="","",IF(INDEX(EntryPartyName,$P234)=0,"",INDEX(EntryPartyName,$P234)))</f>
        <v/>
      </c>
      <c r="F234" s="28">
        <f>IF($P234="","",IF(INDEX(EntryPartyType,$P234)=0,"",INDEX(EntryPartyType,$P234)))</f>
        <v/>
      </c>
      <c r="G234" s="28">
        <f>IF($P234="","",IF(INDEX(EntryTxnType,$P234)=0,"",INDEX(EntryTxnType,$P234)))</f>
        <v/>
      </c>
      <c r="H234" s="29">
        <f>IF($P234="","",IF(INDEX(EntryDep,$P234)=0,"",INDEX(EntryDep,$P234)))</f>
        <v/>
      </c>
      <c r="I234" s="29">
        <f>IF($P234="","",IF(INDEX(EntryWit,$P234)=0,"",INDEX(EntryWit,$P234)))</f>
        <v/>
      </c>
      <c r="J234" s="29">
        <f>IF($B234="","",IF($A234=1,$C$7,IF(J233="",0,J233))+IF($H234="",0,$H234)-IF($I234="",0,$I234))</f>
        <v/>
      </c>
      <c r="K234" s="29">
        <f>IF($P234="","",IF(INDEX(EntryMan,$P234)=0,"",INDEX(EntryMan,$P234)))</f>
        <v/>
      </c>
      <c r="L234" s="28">
        <f>IF($B234="","",IF($K234="","—",IF(ROUND($K234-$J234,0)=0,"√","×")))</f>
        <v/>
      </c>
      <c r="M234" s="28">
        <f>IF($B234="","",IF(COUNTIFS(EntryDates,$B234,CalcTime,$C234,CalcBank,$C$5,EntryParty,$D234,EntryDep,$H234,EntryWit,$I234)&gt;1,"تکرار",""))</f>
        <v/>
      </c>
      <c r="N234" s="28">
        <f>IF($P234="","",IF(INDEX(EntryNotes,$P234)=0,"",INDEX(EntryNotes,$P234)))</f>
        <v/>
      </c>
      <c r="O234" s="28">
        <f>IF($P234="","",IF(INDEX(EntryTxnID,$P234)=0,"",INDEX(EntryTxnID,$P234)))</f>
        <v/>
      </c>
      <c r="P234" s="28">
        <f>IFERROR(MATCH($C$5&amp;"|"&amp;RIGHT("000000"&amp;218,6),CalcRankKey,0),"")</f>
        <v/>
      </c>
    </row>
    <row r="235">
      <c r="A235" s="26">
        <f>IF($B235="","",219)</f>
        <v/>
      </c>
      <c r="B235" s="26">
        <f>IF($P235="","",IF(INDEX(CalcNormDate,$P235)=0,"",INDEX(CalcNormDate,$P235)))</f>
        <v/>
      </c>
      <c r="C235" s="26">
        <f>IF($P235="","",IF(INDEX(CalcTime,$P235)=0,"",INDEX(CalcTime,$P235)))</f>
        <v/>
      </c>
      <c r="D235" s="26">
        <f>IF($P235="","",IF(INDEX(EntryParty,$P235)=0,"",INDEX(EntryParty,$P235)))</f>
        <v/>
      </c>
      <c r="E235" s="26">
        <f>IF($P235="","",IF(INDEX(EntryPartyName,$P235)=0,"",INDEX(EntryPartyName,$P235)))</f>
        <v/>
      </c>
      <c r="F235" s="26">
        <f>IF($P235="","",IF(INDEX(EntryPartyType,$P235)=0,"",INDEX(EntryPartyType,$P235)))</f>
        <v/>
      </c>
      <c r="G235" s="26">
        <f>IF($P235="","",IF(INDEX(EntryTxnType,$P235)=0,"",INDEX(EntryTxnType,$P235)))</f>
        <v/>
      </c>
      <c r="H235" s="27">
        <f>IF($P235="","",IF(INDEX(EntryDep,$P235)=0,"",INDEX(EntryDep,$P235)))</f>
        <v/>
      </c>
      <c r="I235" s="27">
        <f>IF($P235="","",IF(INDEX(EntryWit,$P235)=0,"",INDEX(EntryWit,$P235)))</f>
        <v/>
      </c>
      <c r="J235" s="27">
        <f>IF($B235="","",IF($A235=1,$C$7,IF(J234="",0,J234))+IF($H235="",0,$H235)-IF($I235="",0,$I235))</f>
        <v/>
      </c>
      <c r="K235" s="27">
        <f>IF($P235="","",IF(INDEX(EntryMan,$P235)=0,"",INDEX(EntryMan,$P235)))</f>
        <v/>
      </c>
      <c r="L235" s="26">
        <f>IF($B235="","",IF($K235="","—",IF(ROUND($K235-$J235,0)=0,"√","×")))</f>
        <v/>
      </c>
      <c r="M235" s="26">
        <f>IF($B235="","",IF(COUNTIFS(EntryDates,$B235,CalcTime,$C235,CalcBank,$C$5,EntryParty,$D235,EntryDep,$H235,EntryWit,$I235)&gt;1,"تکرار",""))</f>
        <v/>
      </c>
      <c r="N235" s="26">
        <f>IF($P235="","",IF(INDEX(EntryNotes,$P235)=0,"",INDEX(EntryNotes,$P235)))</f>
        <v/>
      </c>
      <c r="O235" s="26">
        <f>IF($P235="","",IF(INDEX(EntryTxnID,$P235)=0,"",INDEX(EntryTxnID,$P235)))</f>
        <v/>
      </c>
      <c r="P235" s="26">
        <f>IFERROR(MATCH($C$5&amp;"|"&amp;RIGHT("000000"&amp;219,6),CalcRankKey,0),"")</f>
        <v/>
      </c>
    </row>
    <row r="236">
      <c r="A236" s="28">
        <f>IF($B236="","",220)</f>
        <v/>
      </c>
      <c r="B236" s="28">
        <f>IF($P236="","",IF(INDEX(CalcNormDate,$P236)=0,"",INDEX(CalcNormDate,$P236)))</f>
        <v/>
      </c>
      <c r="C236" s="28">
        <f>IF($P236="","",IF(INDEX(CalcTime,$P236)=0,"",INDEX(CalcTime,$P236)))</f>
        <v/>
      </c>
      <c r="D236" s="28">
        <f>IF($P236="","",IF(INDEX(EntryParty,$P236)=0,"",INDEX(EntryParty,$P236)))</f>
        <v/>
      </c>
      <c r="E236" s="28">
        <f>IF($P236="","",IF(INDEX(EntryPartyName,$P236)=0,"",INDEX(EntryPartyName,$P236)))</f>
        <v/>
      </c>
      <c r="F236" s="28">
        <f>IF($P236="","",IF(INDEX(EntryPartyType,$P236)=0,"",INDEX(EntryPartyType,$P236)))</f>
        <v/>
      </c>
      <c r="G236" s="28">
        <f>IF($P236="","",IF(INDEX(EntryTxnType,$P236)=0,"",INDEX(EntryTxnType,$P236)))</f>
        <v/>
      </c>
      <c r="H236" s="29">
        <f>IF($P236="","",IF(INDEX(EntryDep,$P236)=0,"",INDEX(EntryDep,$P236)))</f>
        <v/>
      </c>
      <c r="I236" s="29">
        <f>IF($P236="","",IF(INDEX(EntryWit,$P236)=0,"",INDEX(EntryWit,$P236)))</f>
        <v/>
      </c>
      <c r="J236" s="29">
        <f>IF($B236="","",IF($A236=1,$C$7,IF(J235="",0,J235))+IF($H236="",0,$H236)-IF($I236="",0,$I236))</f>
        <v/>
      </c>
      <c r="K236" s="29">
        <f>IF($P236="","",IF(INDEX(EntryMan,$P236)=0,"",INDEX(EntryMan,$P236)))</f>
        <v/>
      </c>
      <c r="L236" s="28">
        <f>IF($B236="","",IF($K236="","—",IF(ROUND($K236-$J236,0)=0,"√","×")))</f>
        <v/>
      </c>
      <c r="M236" s="28">
        <f>IF($B236="","",IF(COUNTIFS(EntryDates,$B236,CalcTime,$C236,CalcBank,$C$5,EntryParty,$D236,EntryDep,$H236,EntryWit,$I236)&gt;1,"تکرار",""))</f>
        <v/>
      </c>
      <c r="N236" s="28">
        <f>IF($P236="","",IF(INDEX(EntryNotes,$P236)=0,"",INDEX(EntryNotes,$P236)))</f>
        <v/>
      </c>
      <c r="O236" s="28">
        <f>IF($P236="","",IF(INDEX(EntryTxnID,$P236)=0,"",INDEX(EntryTxnID,$P236)))</f>
        <v/>
      </c>
      <c r="P236" s="28">
        <f>IFERROR(MATCH($C$5&amp;"|"&amp;RIGHT("000000"&amp;220,6),CalcRankKey,0),"")</f>
        <v/>
      </c>
    </row>
    <row r="237">
      <c r="A237" s="26">
        <f>IF($B237="","",221)</f>
        <v/>
      </c>
      <c r="B237" s="26">
        <f>IF($P237="","",IF(INDEX(CalcNormDate,$P237)=0,"",INDEX(CalcNormDate,$P237)))</f>
        <v/>
      </c>
      <c r="C237" s="26">
        <f>IF($P237="","",IF(INDEX(CalcTime,$P237)=0,"",INDEX(CalcTime,$P237)))</f>
        <v/>
      </c>
      <c r="D237" s="26">
        <f>IF($P237="","",IF(INDEX(EntryParty,$P237)=0,"",INDEX(EntryParty,$P237)))</f>
        <v/>
      </c>
      <c r="E237" s="26">
        <f>IF($P237="","",IF(INDEX(EntryPartyName,$P237)=0,"",INDEX(EntryPartyName,$P237)))</f>
        <v/>
      </c>
      <c r="F237" s="26">
        <f>IF($P237="","",IF(INDEX(EntryPartyType,$P237)=0,"",INDEX(EntryPartyType,$P237)))</f>
        <v/>
      </c>
      <c r="G237" s="26">
        <f>IF($P237="","",IF(INDEX(EntryTxnType,$P237)=0,"",INDEX(EntryTxnType,$P237)))</f>
        <v/>
      </c>
      <c r="H237" s="27">
        <f>IF($P237="","",IF(INDEX(EntryDep,$P237)=0,"",INDEX(EntryDep,$P237)))</f>
        <v/>
      </c>
      <c r="I237" s="27">
        <f>IF($P237="","",IF(INDEX(EntryWit,$P237)=0,"",INDEX(EntryWit,$P237)))</f>
        <v/>
      </c>
      <c r="J237" s="27">
        <f>IF($B237="","",IF($A237=1,$C$7,IF(J236="",0,J236))+IF($H237="",0,$H237)-IF($I237="",0,$I237))</f>
        <v/>
      </c>
      <c r="K237" s="27">
        <f>IF($P237="","",IF(INDEX(EntryMan,$P237)=0,"",INDEX(EntryMan,$P237)))</f>
        <v/>
      </c>
      <c r="L237" s="26">
        <f>IF($B237="","",IF($K237="","—",IF(ROUND($K237-$J237,0)=0,"√","×")))</f>
        <v/>
      </c>
      <c r="M237" s="26">
        <f>IF($B237="","",IF(COUNTIFS(EntryDates,$B237,CalcTime,$C237,CalcBank,$C$5,EntryParty,$D237,EntryDep,$H237,EntryWit,$I237)&gt;1,"تکرار",""))</f>
        <v/>
      </c>
      <c r="N237" s="26">
        <f>IF($P237="","",IF(INDEX(EntryNotes,$P237)=0,"",INDEX(EntryNotes,$P237)))</f>
        <v/>
      </c>
      <c r="O237" s="26">
        <f>IF($P237="","",IF(INDEX(EntryTxnID,$P237)=0,"",INDEX(EntryTxnID,$P237)))</f>
        <v/>
      </c>
      <c r="P237" s="26">
        <f>IFERROR(MATCH($C$5&amp;"|"&amp;RIGHT("000000"&amp;221,6),CalcRankKey,0),"")</f>
        <v/>
      </c>
    </row>
    <row r="238">
      <c r="A238" s="28">
        <f>IF($B238="","",222)</f>
        <v/>
      </c>
      <c r="B238" s="28">
        <f>IF($P238="","",IF(INDEX(CalcNormDate,$P238)=0,"",INDEX(CalcNormDate,$P238)))</f>
        <v/>
      </c>
      <c r="C238" s="28">
        <f>IF($P238="","",IF(INDEX(CalcTime,$P238)=0,"",INDEX(CalcTime,$P238)))</f>
        <v/>
      </c>
      <c r="D238" s="28">
        <f>IF($P238="","",IF(INDEX(EntryParty,$P238)=0,"",INDEX(EntryParty,$P238)))</f>
        <v/>
      </c>
      <c r="E238" s="28">
        <f>IF($P238="","",IF(INDEX(EntryPartyName,$P238)=0,"",INDEX(EntryPartyName,$P238)))</f>
        <v/>
      </c>
      <c r="F238" s="28">
        <f>IF($P238="","",IF(INDEX(EntryPartyType,$P238)=0,"",INDEX(EntryPartyType,$P238)))</f>
        <v/>
      </c>
      <c r="G238" s="28">
        <f>IF($P238="","",IF(INDEX(EntryTxnType,$P238)=0,"",INDEX(EntryTxnType,$P238)))</f>
        <v/>
      </c>
      <c r="H238" s="29">
        <f>IF($P238="","",IF(INDEX(EntryDep,$P238)=0,"",INDEX(EntryDep,$P238)))</f>
        <v/>
      </c>
      <c r="I238" s="29">
        <f>IF($P238="","",IF(INDEX(EntryWit,$P238)=0,"",INDEX(EntryWit,$P238)))</f>
        <v/>
      </c>
      <c r="J238" s="29">
        <f>IF($B238="","",IF($A238=1,$C$7,IF(J237="",0,J237))+IF($H238="",0,$H238)-IF($I238="",0,$I238))</f>
        <v/>
      </c>
      <c r="K238" s="29">
        <f>IF($P238="","",IF(INDEX(EntryMan,$P238)=0,"",INDEX(EntryMan,$P238)))</f>
        <v/>
      </c>
      <c r="L238" s="28">
        <f>IF($B238="","",IF($K238="","—",IF(ROUND($K238-$J238,0)=0,"√","×")))</f>
        <v/>
      </c>
      <c r="M238" s="28">
        <f>IF($B238="","",IF(COUNTIFS(EntryDates,$B238,CalcTime,$C238,CalcBank,$C$5,EntryParty,$D238,EntryDep,$H238,EntryWit,$I238)&gt;1,"تکرار",""))</f>
        <v/>
      </c>
      <c r="N238" s="28">
        <f>IF($P238="","",IF(INDEX(EntryNotes,$P238)=0,"",INDEX(EntryNotes,$P238)))</f>
        <v/>
      </c>
      <c r="O238" s="28">
        <f>IF($P238="","",IF(INDEX(EntryTxnID,$P238)=0,"",INDEX(EntryTxnID,$P238)))</f>
        <v/>
      </c>
      <c r="P238" s="28">
        <f>IFERROR(MATCH($C$5&amp;"|"&amp;RIGHT("000000"&amp;222,6),CalcRankKey,0),"")</f>
        <v/>
      </c>
    </row>
    <row r="239">
      <c r="A239" s="26">
        <f>IF($B239="","",223)</f>
        <v/>
      </c>
      <c r="B239" s="26">
        <f>IF($P239="","",IF(INDEX(CalcNormDate,$P239)=0,"",INDEX(CalcNormDate,$P239)))</f>
        <v/>
      </c>
      <c r="C239" s="26">
        <f>IF($P239="","",IF(INDEX(CalcTime,$P239)=0,"",INDEX(CalcTime,$P239)))</f>
        <v/>
      </c>
      <c r="D239" s="26">
        <f>IF($P239="","",IF(INDEX(EntryParty,$P239)=0,"",INDEX(EntryParty,$P239)))</f>
        <v/>
      </c>
      <c r="E239" s="26">
        <f>IF($P239="","",IF(INDEX(EntryPartyName,$P239)=0,"",INDEX(EntryPartyName,$P239)))</f>
        <v/>
      </c>
      <c r="F239" s="26">
        <f>IF($P239="","",IF(INDEX(EntryPartyType,$P239)=0,"",INDEX(EntryPartyType,$P239)))</f>
        <v/>
      </c>
      <c r="G239" s="26">
        <f>IF($P239="","",IF(INDEX(EntryTxnType,$P239)=0,"",INDEX(EntryTxnType,$P239)))</f>
        <v/>
      </c>
      <c r="H239" s="27">
        <f>IF($P239="","",IF(INDEX(EntryDep,$P239)=0,"",INDEX(EntryDep,$P239)))</f>
        <v/>
      </c>
      <c r="I239" s="27">
        <f>IF($P239="","",IF(INDEX(EntryWit,$P239)=0,"",INDEX(EntryWit,$P239)))</f>
        <v/>
      </c>
      <c r="J239" s="27">
        <f>IF($B239="","",IF($A239=1,$C$7,IF(J238="",0,J238))+IF($H239="",0,$H239)-IF($I239="",0,$I239))</f>
        <v/>
      </c>
      <c r="K239" s="27">
        <f>IF($P239="","",IF(INDEX(EntryMan,$P239)=0,"",INDEX(EntryMan,$P239)))</f>
        <v/>
      </c>
      <c r="L239" s="26">
        <f>IF($B239="","",IF($K239="","—",IF(ROUND($K239-$J239,0)=0,"√","×")))</f>
        <v/>
      </c>
      <c r="M239" s="26">
        <f>IF($B239="","",IF(COUNTIFS(EntryDates,$B239,CalcTime,$C239,CalcBank,$C$5,EntryParty,$D239,EntryDep,$H239,EntryWit,$I239)&gt;1,"تکرار",""))</f>
        <v/>
      </c>
      <c r="N239" s="26">
        <f>IF($P239="","",IF(INDEX(EntryNotes,$P239)=0,"",INDEX(EntryNotes,$P239)))</f>
        <v/>
      </c>
      <c r="O239" s="26">
        <f>IF($P239="","",IF(INDEX(EntryTxnID,$P239)=0,"",INDEX(EntryTxnID,$P239)))</f>
        <v/>
      </c>
      <c r="P239" s="26">
        <f>IFERROR(MATCH($C$5&amp;"|"&amp;RIGHT("000000"&amp;223,6),CalcRankKey,0),"")</f>
        <v/>
      </c>
    </row>
    <row r="240">
      <c r="A240" s="28">
        <f>IF($B240="","",224)</f>
        <v/>
      </c>
      <c r="B240" s="28">
        <f>IF($P240="","",IF(INDEX(CalcNormDate,$P240)=0,"",INDEX(CalcNormDate,$P240)))</f>
        <v/>
      </c>
      <c r="C240" s="28">
        <f>IF($P240="","",IF(INDEX(CalcTime,$P240)=0,"",INDEX(CalcTime,$P240)))</f>
        <v/>
      </c>
      <c r="D240" s="28">
        <f>IF($P240="","",IF(INDEX(EntryParty,$P240)=0,"",INDEX(EntryParty,$P240)))</f>
        <v/>
      </c>
      <c r="E240" s="28">
        <f>IF($P240="","",IF(INDEX(EntryPartyName,$P240)=0,"",INDEX(EntryPartyName,$P240)))</f>
        <v/>
      </c>
      <c r="F240" s="28">
        <f>IF($P240="","",IF(INDEX(EntryPartyType,$P240)=0,"",INDEX(EntryPartyType,$P240)))</f>
        <v/>
      </c>
      <c r="G240" s="28">
        <f>IF($P240="","",IF(INDEX(EntryTxnType,$P240)=0,"",INDEX(EntryTxnType,$P240)))</f>
        <v/>
      </c>
      <c r="H240" s="29">
        <f>IF($P240="","",IF(INDEX(EntryDep,$P240)=0,"",INDEX(EntryDep,$P240)))</f>
        <v/>
      </c>
      <c r="I240" s="29">
        <f>IF($P240="","",IF(INDEX(EntryWit,$P240)=0,"",INDEX(EntryWit,$P240)))</f>
        <v/>
      </c>
      <c r="J240" s="29">
        <f>IF($B240="","",IF($A240=1,$C$7,IF(J239="",0,J239))+IF($H240="",0,$H240)-IF($I240="",0,$I240))</f>
        <v/>
      </c>
      <c r="K240" s="29">
        <f>IF($P240="","",IF(INDEX(EntryMan,$P240)=0,"",INDEX(EntryMan,$P240)))</f>
        <v/>
      </c>
      <c r="L240" s="28">
        <f>IF($B240="","",IF($K240="","—",IF(ROUND($K240-$J240,0)=0,"√","×")))</f>
        <v/>
      </c>
      <c r="M240" s="28">
        <f>IF($B240="","",IF(COUNTIFS(EntryDates,$B240,CalcTime,$C240,CalcBank,$C$5,EntryParty,$D240,EntryDep,$H240,EntryWit,$I240)&gt;1,"تکرار",""))</f>
        <v/>
      </c>
      <c r="N240" s="28">
        <f>IF($P240="","",IF(INDEX(EntryNotes,$P240)=0,"",INDEX(EntryNotes,$P240)))</f>
        <v/>
      </c>
      <c r="O240" s="28">
        <f>IF($P240="","",IF(INDEX(EntryTxnID,$P240)=0,"",INDEX(EntryTxnID,$P240)))</f>
        <v/>
      </c>
      <c r="P240" s="28">
        <f>IFERROR(MATCH($C$5&amp;"|"&amp;RIGHT("000000"&amp;224,6),CalcRankKey,0),"")</f>
        <v/>
      </c>
    </row>
    <row r="241">
      <c r="A241" s="26">
        <f>IF($B241="","",225)</f>
        <v/>
      </c>
      <c r="B241" s="26">
        <f>IF($P241="","",IF(INDEX(CalcNormDate,$P241)=0,"",INDEX(CalcNormDate,$P241)))</f>
        <v/>
      </c>
      <c r="C241" s="26">
        <f>IF($P241="","",IF(INDEX(CalcTime,$P241)=0,"",INDEX(CalcTime,$P241)))</f>
        <v/>
      </c>
      <c r="D241" s="26">
        <f>IF($P241="","",IF(INDEX(EntryParty,$P241)=0,"",INDEX(EntryParty,$P241)))</f>
        <v/>
      </c>
      <c r="E241" s="26">
        <f>IF($P241="","",IF(INDEX(EntryPartyName,$P241)=0,"",INDEX(EntryPartyName,$P241)))</f>
        <v/>
      </c>
      <c r="F241" s="26">
        <f>IF($P241="","",IF(INDEX(EntryPartyType,$P241)=0,"",INDEX(EntryPartyType,$P241)))</f>
        <v/>
      </c>
      <c r="G241" s="26">
        <f>IF($P241="","",IF(INDEX(EntryTxnType,$P241)=0,"",INDEX(EntryTxnType,$P241)))</f>
        <v/>
      </c>
      <c r="H241" s="27">
        <f>IF($P241="","",IF(INDEX(EntryDep,$P241)=0,"",INDEX(EntryDep,$P241)))</f>
        <v/>
      </c>
      <c r="I241" s="27">
        <f>IF($P241="","",IF(INDEX(EntryWit,$P241)=0,"",INDEX(EntryWit,$P241)))</f>
        <v/>
      </c>
      <c r="J241" s="27">
        <f>IF($B241="","",IF($A241=1,$C$7,IF(J240="",0,J240))+IF($H241="",0,$H241)-IF($I241="",0,$I241))</f>
        <v/>
      </c>
      <c r="K241" s="27">
        <f>IF($P241="","",IF(INDEX(EntryMan,$P241)=0,"",INDEX(EntryMan,$P241)))</f>
        <v/>
      </c>
      <c r="L241" s="26">
        <f>IF($B241="","",IF($K241="","—",IF(ROUND($K241-$J241,0)=0,"√","×")))</f>
        <v/>
      </c>
      <c r="M241" s="26">
        <f>IF($B241="","",IF(COUNTIFS(EntryDates,$B241,CalcTime,$C241,CalcBank,$C$5,EntryParty,$D241,EntryDep,$H241,EntryWit,$I241)&gt;1,"تکرار",""))</f>
        <v/>
      </c>
      <c r="N241" s="26">
        <f>IF($P241="","",IF(INDEX(EntryNotes,$P241)=0,"",INDEX(EntryNotes,$P241)))</f>
        <v/>
      </c>
      <c r="O241" s="26">
        <f>IF($P241="","",IF(INDEX(EntryTxnID,$P241)=0,"",INDEX(EntryTxnID,$P241)))</f>
        <v/>
      </c>
      <c r="P241" s="26">
        <f>IFERROR(MATCH($C$5&amp;"|"&amp;RIGHT("000000"&amp;225,6),CalcRankKey,0),"")</f>
        <v/>
      </c>
    </row>
    <row r="242">
      <c r="A242" s="28">
        <f>IF($B242="","",226)</f>
        <v/>
      </c>
      <c r="B242" s="28">
        <f>IF($P242="","",IF(INDEX(CalcNormDate,$P242)=0,"",INDEX(CalcNormDate,$P242)))</f>
        <v/>
      </c>
      <c r="C242" s="28">
        <f>IF($P242="","",IF(INDEX(CalcTime,$P242)=0,"",INDEX(CalcTime,$P242)))</f>
        <v/>
      </c>
      <c r="D242" s="28">
        <f>IF($P242="","",IF(INDEX(EntryParty,$P242)=0,"",INDEX(EntryParty,$P242)))</f>
        <v/>
      </c>
      <c r="E242" s="28">
        <f>IF($P242="","",IF(INDEX(EntryPartyName,$P242)=0,"",INDEX(EntryPartyName,$P242)))</f>
        <v/>
      </c>
      <c r="F242" s="28">
        <f>IF($P242="","",IF(INDEX(EntryPartyType,$P242)=0,"",INDEX(EntryPartyType,$P242)))</f>
        <v/>
      </c>
      <c r="G242" s="28">
        <f>IF($P242="","",IF(INDEX(EntryTxnType,$P242)=0,"",INDEX(EntryTxnType,$P242)))</f>
        <v/>
      </c>
      <c r="H242" s="29">
        <f>IF($P242="","",IF(INDEX(EntryDep,$P242)=0,"",INDEX(EntryDep,$P242)))</f>
        <v/>
      </c>
      <c r="I242" s="29">
        <f>IF($P242="","",IF(INDEX(EntryWit,$P242)=0,"",INDEX(EntryWit,$P242)))</f>
        <v/>
      </c>
      <c r="J242" s="29">
        <f>IF($B242="","",IF($A242=1,$C$7,IF(J241="",0,J241))+IF($H242="",0,$H242)-IF($I242="",0,$I242))</f>
        <v/>
      </c>
      <c r="K242" s="29">
        <f>IF($P242="","",IF(INDEX(EntryMan,$P242)=0,"",INDEX(EntryMan,$P242)))</f>
        <v/>
      </c>
      <c r="L242" s="28">
        <f>IF($B242="","",IF($K242="","—",IF(ROUND($K242-$J242,0)=0,"√","×")))</f>
        <v/>
      </c>
      <c r="M242" s="28">
        <f>IF($B242="","",IF(COUNTIFS(EntryDates,$B242,CalcTime,$C242,CalcBank,$C$5,EntryParty,$D242,EntryDep,$H242,EntryWit,$I242)&gt;1,"تکرار",""))</f>
        <v/>
      </c>
      <c r="N242" s="28">
        <f>IF($P242="","",IF(INDEX(EntryNotes,$P242)=0,"",INDEX(EntryNotes,$P242)))</f>
        <v/>
      </c>
      <c r="O242" s="28">
        <f>IF($P242="","",IF(INDEX(EntryTxnID,$P242)=0,"",INDEX(EntryTxnID,$P242)))</f>
        <v/>
      </c>
      <c r="P242" s="28">
        <f>IFERROR(MATCH($C$5&amp;"|"&amp;RIGHT("000000"&amp;226,6),CalcRankKey,0),"")</f>
        <v/>
      </c>
    </row>
    <row r="243">
      <c r="A243" s="26">
        <f>IF($B243="","",227)</f>
        <v/>
      </c>
      <c r="B243" s="26">
        <f>IF($P243="","",IF(INDEX(CalcNormDate,$P243)=0,"",INDEX(CalcNormDate,$P243)))</f>
        <v/>
      </c>
      <c r="C243" s="26">
        <f>IF($P243="","",IF(INDEX(CalcTime,$P243)=0,"",INDEX(CalcTime,$P243)))</f>
        <v/>
      </c>
      <c r="D243" s="26">
        <f>IF($P243="","",IF(INDEX(EntryParty,$P243)=0,"",INDEX(EntryParty,$P243)))</f>
        <v/>
      </c>
      <c r="E243" s="26">
        <f>IF($P243="","",IF(INDEX(EntryPartyName,$P243)=0,"",INDEX(EntryPartyName,$P243)))</f>
        <v/>
      </c>
      <c r="F243" s="26">
        <f>IF($P243="","",IF(INDEX(EntryPartyType,$P243)=0,"",INDEX(EntryPartyType,$P243)))</f>
        <v/>
      </c>
      <c r="G243" s="26">
        <f>IF($P243="","",IF(INDEX(EntryTxnType,$P243)=0,"",INDEX(EntryTxnType,$P243)))</f>
        <v/>
      </c>
      <c r="H243" s="27">
        <f>IF($P243="","",IF(INDEX(EntryDep,$P243)=0,"",INDEX(EntryDep,$P243)))</f>
        <v/>
      </c>
      <c r="I243" s="27">
        <f>IF($P243="","",IF(INDEX(EntryWit,$P243)=0,"",INDEX(EntryWit,$P243)))</f>
        <v/>
      </c>
      <c r="J243" s="27">
        <f>IF($B243="","",IF($A243=1,$C$7,IF(J242="",0,J242))+IF($H243="",0,$H243)-IF($I243="",0,$I243))</f>
        <v/>
      </c>
      <c r="K243" s="27">
        <f>IF($P243="","",IF(INDEX(EntryMan,$P243)=0,"",INDEX(EntryMan,$P243)))</f>
        <v/>
      </c>
      <c r="L243" s="26">
        <f>IF($B243="","",IF($K243="","—",IF(ROUND($K243-$J243,0)=0,"√","×")))</f>
        <v/>
      </c>
      <c r="M243" s="26">
        <f>IF($B243="","",IF(COUNTIFS(EntryDates,$B243,CalcTime,$C243,CalcBank,$C$5,EntryParty,$D243,EntryDep,$H243,EntryWit,$I243)&gt;1,"تکرار",""))</f>
        <v/>
      </c>
      <c r="N243" s="26">
        <f>IF($P243="","",IF(INDEX(EntryNotes,$P243)=0,"",INDEX(EntryNotes,$P243)))</f>
        <v/>
      </c>
      <c r="O243" s="26">
        <f>IF($P243="","",IF(INDEX(EntryTxnID,$P243)=0,"",INDEX(EntryTxnID,$P243)))</f>
        <v/>
      </c>
      <c r="P243" s="26">
        <f>IFERROR(MATCH($C$5&amp;"|"&amp;RIGHT("000000"&amp;227,6),CalcRankKey,0),"")</f>
        <v/>
      </c>
    </row>
    <row r="244">
      <c r="A244" s="28">
        <f>IF($B244="","",228)</f>
        <v/>
      </c>
      <c r="B244" s="28">
        <f>IF($P244="","",IF(INDEX(CalcNormDate,$P244)=0,"",INDEX(CalcNormDate,$P244)))</f>
        <v/>
      </c>
      <c r="C244" s="28">
        <f>IF($P244="","",IF(INDEX(CalcTime,$P244)=0,"",INDEX(CalcTime,$P244)))</f>
        <v/>
      </c>
      <c r="D244" s="28">
        <f>IF($P244="","",IF(INDEX(EntryParty,$P244)=0,"",INDEX(EntryParty,$P244)))</f>
        <v/>
      </c>
      <c r="E244" s="28">
        <f>IF($P244="","",IF(INDEX(EntryPartyName,$P244)=0,"",INDEX(EntryPartyName,$P244)))</f>
        <v/>
      </c>
      <c r="F244" s="28">
        <f>IF($P244="","",IF(INDEX(EntryPartyType,$P244)=0,"",INDEX(EntryPartyType,$P244)))</f>
        <v/>
      </c>
      <c r="G244" s="28">
        <f>IF($P244="","",IF(INDEX(EntryTxnType,$P244)=0,"",INDEX(EntryTxnType,$P244)))</f>
        <v/>
      </c>
      <c r="H244" s="29">
        <f>IF($P244="","",IF(INDEX(EntryDep,$P244)=0,"",INDEX(EntryDep,$P244)))</f>
        <v/>
      </c>
      <c r="I244" s="29">
        <f>IF($P244="","",IF(INDEX(EntryWit,$P244)=0,"",INDEX(EntryWit,$P244)))</f>
        <v/>
      </c>
      <c r="J244" s="29">
        <f>IF($B244="","",IF($A244=1,$C$7,IF(J243="",0,J243))+IF($H244="",0,$H244)-IF($I244="",0,$I244))</f>
        <v/>
      </c>
      <c r="K244" s="29">
        <f>IF($P244="","",IF(INDEX(EntryMan,$P244)=0,"",INDEX(EntryMan,$P244)))</f>
        <v/>
      </c>
      <c r="L244" s="28">
        <f>IF($B244="","",IF($K244="","—",IF(ROUND($K244-$J244,0)=0,"√","×")))</f>
        <v/>
      </c>
      <c r="M244" s="28">
        <f>IF($B244="","",IF(COUNTIFS(EntryDates,$B244,CalcTime,$C244,CalcBank,$C$5,EntryParty,$D244,EntryDep,$H244,EntryWit,$I244)&gt;1,"تکرار",""))</f>
        <v/>
      </c>
      <c r="N244" s="28">
        <f>IF($P244="","",IF(INDEX(EntryNotes,$P244)=0,"",INDEX(EntryNotes,$P244)))</f>
        <v/>
      </c>
      <c r="O244" s="28">
        <f>IF($P244="","",IF(INDEX(EntryTxnID,$P244)=0,"",INDEX(EntryTxnID,$P244)))</f>
        <v/>
      </c>
      <c r="P244" s="28">
        <f>IFERROR(MATCH($C$5&amp;"|"&amp;RIGHT("000000"&amp;228,6),CalcRankKey,0),"")</f>
        <v/>
      </c>
    </row>
    <row r="245">
      <c r="A245" s="26">
        <f>IF($B245="","",229)</f>
        <v/>
      </c>
      <c r="B245" s="26">
        <f>IF($P245="","",IF(INDEX(CalcNormDate,$P245)=0,"",INDEX(CalcNormDate,$P245)))</f>
        <v/>
      </c>
      <c r="C245" s="26">
        <f>IF($P245="","",IF(INDEX(CalcTime,$P245)=0,"",INDEX(CalcTime,$P245)))</f>
        <v/>
      </c>
      <c r="D245" s="26">
        <f>IF($P245="","",IF(INDEX(EntryParty,$P245)=0,"",INDEX(EntryParty,$P245)))</f>
        <v/>
      </c>
      <c r="E245" s="26">
        <f>IF($P245="","",IF(INDEX(EntryPartyName,$P245)=0,"",INDEX(EntryPartyName,$P245)))</f>
        <v/>
      </c>
      <c r="F245" s="26">
        <f>IF($P245="","",IF(INDEX(EntryPartyType,$P245)=0,"",INDEX(EntryPartyType,$P245)))</f>
        <v/>
      </c>
      <c r="G245" s="26">
        <f>IF($P245="","",IF(INDEX(EntryTxnType,$P245)=0,"",INDEX(EntryTxnType,$P245)))</f>
        <v/>
      </c>
      <c r="H245" s="27">
        <f>IF($P245="","",IF(INDEX(EntryDep,$P245)=0,"",INDEX(EntryDep,$P245)))</f>
        <v/>
      </c>
      <c r="I245" s="27">
        <f>IF($P245="","",IF(INDEX(EntryWit,$P245)=0,"",INDEX(EntryWit,$P245)))</f>
        <v/>
      </c>
      <c r="J245" s="27">
        <f>IF($B245="","",IF($A245=1,$C$7,IF(J244="",0,J244))+IF($H245="",0,$H245)-IF($I245="",0,$I245))</f>
        <v/>
      </c>
      <c r="K245" s="27">
        <f>IF($P245="","",IF(INDEX(EntryMan,$P245)=0,"",INDEX(EntryMan,$P245)))</f>
        <v/>
      </c>
      <c r="L245" s="26">
        <f>IF($B245="","",IF($K245="","—",IF(ROUND($K245-$J245,0)=0,"√","×")))</f>
        <v/>
      </c>
      <c r="M245" s="26">
        <f>IF($B245="","",IF(COUNTIFS(EntryDates,$B245,CalcTime,$C245,CalcBank,$C$5,EntryParty,$D245,EntryDep,$H245,EntryWit,$I245)&gt;1,"تکرار",""))</f>
        <v/>
      </c>
      <c r="N245" s="26">
        <f>IF($P245="","",IF(INDEX(EntryNotes,$P245)=0,"",INDEX(EntryNotes,$P245)))</f>
        <v/>
      </c>
      <c r="O245" s="26">
        <f>IF($P245="","",IF(INDEX(EntryTxnID,$P245)=0,"",INDEX(EntryTxnID,$P245)))</f>
        <v/>
      </c>
      <c r="P245" s="26">
        <f>IFERROR(MATCH($C$5&amp;"|"&amp;RIGHT("000000"&amp;229,6),CalcRankKey,0),"")</f>
        <v/>
      </c>
    </row>
    <row r="246">
      <c r="A246" s="28">
        <f>IF($B246="","",230)</f>
        <v/>
      </c>
      <c r="B246" s="28">
        <f>IF($P246="","",IF(INDEX(CalcNormDate,$P246)=0,"",INDEX(CalcNormDate,$P246)))</f>
        <v/>
      </c>
      <c r="C246" s="28">
        <f>IF($P246="","",IF(INDEX(CalcTime,$P246)=0,"",INDEX(CalcTime,$P246)))</f>
        <v/>
      </c>
      <c r="D246" s="28">
        <f>IF($P246="","",IF(INDEX(EntryParty,$P246)=0,"",INDEX(EntryParty,$P246)))</f>
        <v/>
      </c>
      <c r="E246" s="28">
        <f>IF($P246="","",IF(INDEX(EntryPartyName,$P246)=0,"",INDEX(EntryPartyName,$P246)))</f>
        <v/>
      </c>
      <c r="F246" s="28">
        <f>IF($P246="","",IF(INDEX(EntryPartyType,$P246)=0,"",INDEX(EntryPartyType,$P246)))</f>
        <v/>
      </c>
      <c r="G246" s="28">
        <f>IF($P246="","",IF(INDEX(EntryTxnType,$P246)=0,"",INDEX(EntryTxnType,$P246)))</f>
        <v/>
      </c>
      <c r="H246" s="29">
        <f>IF($P246="","",IF(INDEX(EntryDep,$P246)=0,"",INDEX(EntryDep,$P246)))</f>
        <v/>
      </c>
      <c r="I246" s="29">
        <f>IF($P246="","",IF(INDEX(EntryWit,$P246)=0,"",INDEX(EntryWit,$P246)))</f>
        <v/>
      </c>
      <c r="J246" s="29">
        <f>IF($B246="","",IF($A246=1,$C$7,IF(J245="",0,J245))+IF($H246="",0,$H246)-IF($I246="",0,$I246))</f>
        <v/>
      </c>
      <c r="K246" s="29">
        <f>IF($P246="","",IF(INDEX(EntryMan,$P246)=0,"",INDEX(EntryMan,$P246)))</f>
        <v/>
      </c>
      <c r="L246" s="28">
        <f>IF($B246="","",IF($K246="","—",IF(ROUND($K246-$J246,0)=0,"√","×")))</f>
        <v/>
      </c>
      <c r="M246" s="28">
        <f>IF($B246="","",IF(COUNTIFS(EntryDates,$B246,CalcTime,$C246,CalcBank,$C$5,EntryParty,$D246,EntryDep,$H246,EntryWit,$I246)&gt;1,"تکرار",""))</f>
        <v/>
      </c>
      <c r="N246" s="28">
        <f>IF($P246="","",IF(INDEX(EntryNotes,$P246)=0,"",INDEX(EntryNotes,$P246)))</f>
        <v/>
      </c>
      <c r="O246" s="28">
        <f>IF($P246="","",IF(INDEX(EntryTxnID,$P246)=0,"",INDEX(EntryTxnID,$P246)))</f>
        <v/>
      </c>
      <c r="P246" s="28">
        <f>IFERROR(MATCH($C$5&amp;"|"&amp;RIGHT("000000"&amp;230,6),CalcRankKey,0),"")</f>
        <v/>
      </c>
    </row>
    <row r="247">
      <c r="A247" s="26">
        <f>IF($B247="","",231)</f>
        <v/>
      </c>
      <c r="B247" s="26">
        <f>IF($P247="","",IF(INDEX(CalcNormDate,$P247)=0,"",INDEX(CalcNormDate,$P247)))</f>
        <v/>
      </c>
      <c r="C247" s="26">
        <f>IF($P247="","",IF(INDEX(CalcTime,$P247)=0,"",INDEX(CalcTime,$P247)))</f>
        <v/>
      </c>
      <c r="D247" s="26">
        <f>IF($P247="","",IF(INDEX(EntryParty,$P247)=0,"",INDEX(EntryParty,$P247)))</f>
        <v/>
      </c>
      <c r="E247" s="26">
        <f>IF($P247="","",IF(INDEX(EntryPartyName,$P247)=0,"",INDEX(EntryPartyName,$P247)))</f>
        <v/>
      </c>
      <c r="F247" s="26">
        <f>IF($P247="","",IF(INDEX(EntryPartyType,$P247)=0,"",INDEX(EntryPartyType,$P247)))</f>
        <v/>
      </c>
      <c r="G247" s="26">
        <f>IF($P247="","",IF(INDEX(EntryTxnType,$P247)=0,"",INDEX(EntryTxnType,$P247)))</f>
        <v/>
      </c>
      <c r="H247" s="27">
        <f>IF($P247="","",IF(INDEX(EntryDep,$P247)=0,"",INDEX(EntryDep,$P247)))</f>
        <v/>
      </c>
      <c r="I247" s="27">
        <f>IF($P247="","",IF(INDEX(EntryWit,$P247)=0,"",INDEX(EntryWit,$P247)))</f>
        <v/>
      </c>
      <c r="J247" s="27">
        <f>IF($B247="","",IF($A247=1,$C$7,IF(J246="",0,J246))+IF($H247="",0,$H247)-IF($I247="",0,$I247))</f>
        <v/>
      </c>
      <c r="K247" s="27">
        <f>IF($P247="","",IF(INDEX(EntryMan,$P247)=0,"",INDEX(EntryMan,$P247)))</f>
        <v/>
      </c>
      <c r="L247" s="26">
        <f>IF($B247="","",IF($K247="","—",IF(ROUND($K247-$J247,0)=0,"√","×")))</f>
        <v/>
      </c>
      <c r="M247" s="26">
        <f>IF($B247="","",IF(COUNTIFS(EntryDates,$B247,CalcTime,$C247,CalcBank,$C$5,EntryParty,$D247,EntryDep,$H247,EntryWit,$I247)&gt;1,"تکرار",""))</f>
        <v/>
      </c>
      <c r="N247" s="26">
        <f>IF($P247="","",IF(INDEX(EntryNotes,$P247)=0,"",INDEX(EntryNotes,$P247)))</f>
        <v/>
      </c>
      <c r="O247" s="26">
        <f>IF($P247="","",IF(INDEX(EntryTxnID,$P247)=0,"",INDEX(EntryTxnID,$P247)))</f>
        <v/>
      </c>
      <c r="P247" s="26">
        <f>IFERROR(MATCH($C$5&amp;"|"&amp;RIGHT("000000"&amp;231,6),CalcRankKey,0),"")</f>
        <v/>
      </c>
    </row>
    <row r="248">
      <c r="A248" s="28">
        <f>IF($B248="","",232)</f>
        <v/>
      </c>
      <c r="B248" s="28">
        <f>IF($P248="","",IF(INDEX(CalcNormDate,$P248)=0,"",INDEX(CalcNormDate,$P248)))</f>
        <v/>
      </c>
      <c r="C248" s="28">
        <f>IF($P248="","",IF(INDEX(CalcTime,$P248)=0,"",INDEX(CalcTime,$P248)))</f>
        <v/>
      </c>
      <c r="D248" s="28">
        <f>IF($P248="","",IF(INDEX(EntryParty,$P248)=0,"",INDEX(EntryParty,$P248)))</f>
        <v/>
      </c>
      <c r="E248" s="28">
        <f>IF($P248="","",IF(INDEX(EntryPartyName,$P248)=0,"",INDEX(EntryPartyName,$P248)))</f>
        <v/>
      </c>
      <c r="F248" s="28">
        <f>IF($P248="","",IF(INDEX(EntryPartyType,$P248)=0,"",INDEX(EntryPartyType,$P248)))</f>
        <v/>
      </c>
      <c r="G248" s="28">
        <f>IF($P248="","",IF(INDEX(EntryTxnType,$P248)=0,"",INDEX(EntryTxnType,$P248)))</f>
        <v/>
      </c>
      <c r="H248" s="29">
        <f>IF($P248="","",IF(INDEX(EntryDep,$P248)=0,"",INDEX(EntryDep,$P248)))</f>
        <v/>
      </c>
      <c r="I248" s="29">
        <f>IF($P248="","",IF(INDEX(EntryWit,$P248)=0,"",INDEX(EntryWit,$P248)))</f>
        <v/>
      </c>
      <c r="J248" s="29">
        <f>IF($B248="","",IF($A248=1,$C$7,IF(J247="",0,J247))+IF($H248="",0,$H248)-IF($I248="",0,$I248))</f>
        <v/>
      </c>
      <c r="K248" s="29">
        <f>IF($P248="","",IF(INDEX(EntryMan,$P248)=0,"",INDEX(EntryMan,$P248)))</f>
        <v/>
      </c>
      <c r="L248" s="28">
        <f>IF($B248="","",IF($K248="","—",IF(ROUND($K248-$J248,0)=0,"√","×")))</f>
        <v/>
      </c>
      <c r="M248" s="28">
        <f>IF($B248="","",IF(COUNTIFS(EntryDates,$B248,CalcTime,$C248,CalcBank,$C$5,EntryParty,$D248,EntryDep,$H248,EntryWit,$I248)&gt;1,"تکرار",""))</f>
        <v/>
      </c>
      <c r="N248" s="28">
        <f>IF($P248="","",IF(INDEX(EntryNotes,$P248)=0,"",INDEX(EntryNotes,$P248)))</f>
        <v/>
      </c>
      <c r="O248" s="28">
        <f>IF($P248="","",IF(INDEX(EntryTxnID,$P248)=0,"",INDEX(EntryTxnID,$P248)))</f>
        <v/>
      </c>
      <c r="P248" s="28">
        <f>IFERROR(MATCH($C$5&amp;"|"&amp;RIGHT("000000"&amp;232,6),CalcRankKey,0),"")</f>
        <v/>
      </c>
    </row>
    <row r="249">
      <c r="A249" s="26">
        <f>IF($B249="","",233)</f>
        <v/>
      </c>
      <c r="B249" s="26">
        <f>IF($P249="","",IF(INDEX(CalcNormDate,$P249)=0,"",INDEX(CalcNormDate,$P249)))</f>
        <v/>
      </c>
      <c r="C249" s="26">
        <f>IF($P249="","",IF(INDEX(CalcTime,$P249)=0,"",INDEX(CalcTime,$P249)))</f>
        <v/>
      </c>
      <c r="D249" s="26">
        <f>IF($P249="","",IF(INDEX(EntryParty,$P249)=0,"",INDEX(EntryParty,$P249)))</f>
        <v/>
      </c>
      <c r="E249" s="26">
        <f>IF($P249="","",IF(INDEX(EntryPartyName,$P249)=0,"",INDEX(EntryPartyName,$P249)))</f>
        <v/>
      </c>
      <c r="F249" s="26">
        <f>IF($P249="","",IF(INDEX(EntryPartyType,$P249)=0,"",INDEX(EntryPartyType,$P249)))</f>
        <v/>
      </c>
      <c r="G249" s="26">
        <f>IF($P249="","",IF(INDEX(EntryTxnType,$P249)=0,"",INDEX(EntryTxnType,$P249)))</f>
        <v/>
      </c>
      <c r="H249" s="27">
        <f>IF($P249="","",IF(INDEX(EntryDep,$P249)=0,"",INDEX(EntryDep,$P249)))</f>
        <v/>
      </c>
      <c r="I249" s="27">
        <f>IF($P249="","",IF(INDEX(EntryWit,$P249)=0,"",INDEX(EntryWit,$P249)))</f>
        <v/>
      </c>
      <c r="J249" s="27">
        <f>IF($B249="","",IF($A249=1,$C$7,IF(J248="",0,J248))+IF($H249="",0,$H249)-IF($I249="",0,$I249))</f>
        <v/>
      </c>
      <c r="K249" s="27">
        <f>IF($P249="","",IF(INDEX(EntryMan,$P249)=0,"",INDEX(EntryMan,$P249)))</f>
        <v/>
      </c>
      <c r="L249" s="26">
        <f>IF($B249="","",IF($K249="","—",IF(ROUND($K249-$J249,0)=0,"√","×")))</f>
        <v/>
      </c>
      <c r="M249" s="26">
        <f>IF($B249="","",IF(COUNTIFS(EntryDates,$B249,CalcTime,$C249,CalcBank,$C$5,EntryParty,$D249,EntryDep,$H249,EntryWit,$I249)&gt;1,"تکرار",""))</f>
        <v/>
      </c>
      <c r="N249" s="26">
        <f>IF($P249="","",IF(INDEX(EntryNotes,$P249)=0,"",INDEX(EntryNotes,$P249)))</f>
        <v/>
      </c>
      <c r="O249" s="26">
        <f>IF($P249="","",IF(INDEX(EntryTxnID,$P249)=0,"",INDEX(EntryTxnID,$P249)))</f>
        <v/>
      </c>
      <c r="P249" s="26">
        <f>IFERROR(MATCH($C$5&amp;"|"&amp;RIGHT("000000"&amp;233,6),CalcRankKey,0),"")</f>
        <v/>
      </c>
    </row>
    <row r="250">
      <c r="A250" s="28">
        <f>IF($B250="","",234)</f>
        <v/>
      </c>
      <c r="B250" s="28">
        <f>IF($P250="","",IF(INDEX(CalcNormDate,$P250)=0,"",INDEX(CalcNormDate,$P250)))</f>
        <v/>
      </c>
      <c r="C250" s="28">
        <f>IF($P250="","",IF(INDEX(CalcTime,$P250)=0,"",INDEX(CalcTime,$P250)))</f>
        <v/>
      </c>
      <c r="D250" s="28">
        <f>IF($P250="","",IF(INDEX(EntryParty,$P250)=0,"",INDEX(EntryParty,$P250)))</f>
        <v/>
      </c>
      <c r="E250" s="28">
        <f>IF($P250="","",IF(INDEX(EntryPartyName,$P250)=0,"",INDEX(EntryPartyName,$P250)))</f>
        <v/>
      </c>
      <c r="F250" s="28">
        <f>IF($P250="","",IF(INDEX(EntryPartyType,$P250)=0,"",INDEX(EntryPartyType,$P250)))</f>
        <v/>
      </c>
      <c r="G250" s="28">
        <f>IF($P250="","",IF(INDEX(EntryTxnType,$P250)=0,"",INDEX(EntryTxnType,$P250)))</f>
        <v/>
      </c>
      <c r="H250" s="29">
        <f>IF($P250="","",IF(INDEX(EntryDep,$P250)=0,"",INDEX(EntryDep,$P250)))</f>
        <v/>
      </c>
      <c r="I250" s="29">
        <f>IF($P250="","",IF(INDEX(EntryWit,$P250)=0,"",INDEX(EntryWit,$P250)))</f>
        <v/>
      </c>
      <c r="J250" s="29">
        <f>IF($B250="","",IF($A250=1,$C$7,IF(J249="",0,J249))+IF($H250="",0,$H250)-IF($I250="",0,$I250))</f>
        <v/>
      </c>
      <c r="K250" s="29">
        <f>IF($P250="","",IF(INDEX(EntryMan,$P250)=0,"",INDEX(EntryMan,$P250)))</f>
        <v/>
      </c>
      <c r="L250" s="28">
        <f>IF($B250="","",IF($K250="","—",IF(ROUND($K250-$J250,0)=0,"√","×")))</f>
        <v/>
      </c>
      <c r="M250" s="28">
        <f>IF($B250="","",IF(COUNTIFS(EntryDates,$B250,CalcTime,$C250,CalcBank,$C$5,EntryParty,$D250,EntryDep,$H250,EntryWit,$I250)&gt;1,"تکرار",""))</f>
        <v/>
      </c>
      <c r="N250" s="28">
        <f>IF($P250="","",IF(INDEX(EntryNotes,$P250)=0,"",INDEX(EntryNotes,$P250)))</f>
        <v/>
      </c>
      <c r="O250" s="28">
        <f>IF($P250="","",IF(INDEX(EntryTxnID,$P250)=0,"",INDEX(EntryTxnID,$P250)))</f>
        <v/>
      </c>
      <c r="P250" s="28">
        <f>IFERROR(MATCH($C$5&amp;"|"&amp;RIGHT("000000"&amp;234,6),CalcRankKey,0),"")</f>
        <v/>
      </c>
    </row>
    <row r="251">
      <c r="A251" s="26">
        <f>IF($B251="","",235)</f>
        <v/>
      </c>
      <c r="B251" s="26">
        <f>IF($P251="","",IF(INDEX(CalcNormDate,$P251)=0,"",INDEX(CalcNormDate,$P251)))</f>
        <v/>
      </c>
      <c r="C251" s="26">
        <f>IF($P251="","",IF(INDEX(CalcTime,$P251)=0,"",INDEX(CalcTime,$P251)))</f>
        <v/>
      </c>
      <c r="D251" s="26">
        <f>IF($P251="","",IF(INDEX(EntryParty,$P251)=0,"",INDEX(EntryParty,$P251)))</f>
        <v/>
      </c>
      <c r="E251" s="26">
        <f>IF($P251="","",IF(INDEX(EntryPartyName,$P251)=0,"",INDEX(EntryPartyName,$P251)))</f>
        <v/>
      </c>
      <c r="F251" s="26">
        <f>IF($P251="","",IF(INDEX(EntryPartyType,$P251)=0,"",INDEX(EntryPartyType,$P251)))</f>
        <v/>
      </c>
      <c r="G251" s="26">
        <f>IF($P251="","",IF(INDEX(EntryTxnType,$P251)=0,"",INDEX(EntryTxnType,$P251)))</f>
        <v/>
      </c>
      <c r="H251" s="27">
        <f>IF($P251="","",IF(INDEX(EntryDep,$P251)=0,"",INDEX(EntryDep,$P251)))</f>
        <v/>
      </c>
      <c r="I251" s="27">
        <f>IF($P251="","",IF(INDEX(EntryWit,$P251)=0,"",INDEX(EntryWit,$P251)))</f>
        <v/>
      </c>
      <c r="J251" s="27">
        <f>IF($B251="","",IF($A251=1,$C$7,IF(J250="",0,J250))+IF($H251="",0,$H251)-IF($I251="",0,$I251))</f>
        <v/>
      </c>
      <c r="K251" s="27">
        <f>IF($P251="","",IF(INDEX(EntryMan,$P251)=0,"",INDEX(EntryMan,$P251)))</f>
        <v/>
      </c>
      <c r="L251" s="26">
        <f>IF($B251="","",IF($K251="","—",IF(ROUND($K251-$J251,0)=0,"√","×")))</f>
        <v/>
      </c>
      <c r="M251" s="26">
        <f>IF($B251="","",IF(COUNTIFS(EntryDates,$B251,CalcTime,$C251,CalcBank,$C$5,EntryParty,$D251,EntryDep,$H251,EntryWit,$I251)&gt;1,"تکرار",""))</f>
        <v/>
      </c>
      <c r="N251" s="26">
        <f>IF($P251="","",IF(INDEX(EntryNotes,$P251)=0,"",INDEX(EntryNotes,$P251)))</f>
        <v/>
      </c>
      <c r="O251" s="26">
        <f>IF($P251="","",IF(INDEX(EntryTxnID,$P251)=0,"",INDEX(EntryTxnID,$P251)))</f>
        <v/>
      </c>
      <c r="P251" s="26">
        <f>IFERROR(MATCH($C$5&amp;"|"&amp;RIGHT("000000"&amp;235,6),CalcRankKey,0),"")</f>
        <v/>
      </c>
    </row>
    <row r="252">
      <c r="A252" s="28">
        <f>IF($B252="","",236)</f>
        <v/>
      </c>
      <c r="B252" s="28">
        <f>IF($P252="","",IF(INDEX(CalcNormDate,$P252)=0,"",INDEX(CalcNormDate,$P252)))</f>
        <v/>
      </c>
      <c r="C252" s="28">
        <f>IF($P252="","",IF(INDEX(CalcTime,$P252)=0,"",INDEX(CalcTime,$P252)))</f>
        <v/>
      </c>
      <c r="D252" s="28">
        <f>IF($P252="","",IF(INDEX(EntryParty,$P252)=0,"",INDEX(EntryParty,$P252)))</f>
        <v/>
      </c>
      <c r="E252" s="28">
        <f>IF($P252="","",IF(INDEX(EntryPartyName,$P252)=0,"",INDEX(EntryPartyName,$P252)))</f>
        <v/>
      </c>
      <c r="F252" s="28">
        <f>IF($P252="","",IF(INDEX(EntryPartyType,$P252)=0,"",INDEX(EntryPartyType,$P252)))</f>
        <v/>
      </c>
      <c r="G252" s="28">
        <f>IF($P252="","",IF(INDEX(EntryTxnType,$P252)=0,"",INDEX(EntryTxnType,$P252)))</f>
        <v/>
      </c>
      <c r="H252" s="29">
        <f>IF($P252="","",IF(INDEX(EntryDep,$P252)=0,"",INDEX(EntryDep,$P252)))</f>
        <v/>
      </c>
      <c r="I252" s="29">
        <f>IF($P252="","",IF(INDEX(EntryWit,$P252)=0,"",INDEX(EntryWit,$P252)))</f>
        <v/>
      </c>
      <c r="J252" s="29">
        <f>IF($B252="","",IF($A252=1,$C$7,IF(J251="",0,J251))+IF($H252="",0,$H252)-IF($I252="",0,$I252))</f>
        <v/>
      </c>
      <c r="K252" s="29">
        <f>IF($P252="","",IF(INDEX(EntryMan,$P252)=0,"",INDEX(EntryMan,$P252)))</f>
        <v/>
      </c>
      <c r="L252" s="28">
        <f>IF($B252="","",IF($K252="","—",IF(ROUND($K252-$J252,0)=0,"√","×")))</f>
        <v/>
      </c>
      <c r="M252" s="28">
        <f>IF($B252="","",IF(COUNTIFS(EntryDates,$B252,CalcTime,$C252,CalcBank,$C$5,EntryParty,$D252,EntryDep,$H252,EntryWit,$I252)&gt;1,"تکرار",""))</f>
        <v/>
      </c>
      <c r="N252" s="28">
        <f>IF($P252="","",IF(INDEX(EntryNotes,$P252)=0,"",INDEX(EntryNotes,$P252)))</f>
        <v/>
      </c>
      <c r="O252" s="28">
        <f>IF($P252="","",IF(INDEX(EntryTxnID,$P252)=0,"",INDEX(EntryTxnID,$P252)))</f>
        <v/>
      </c>
      <c r="P252" s="28">
        <f>IFERROR(MATCH($C$5&amp;"|"&amp;RIGHT("000000"&amp;236,6),CalcRankKey,0),"")</f>
        <v/>
      </c>
    </row>
    <row r="253">
      <c r="A253" s="26">
        <f>IF($B253="","",237)</f>
        <v/>
      </c>
      <c r="B253" s="26">
        <f>IF($P253="","",IF(INDEX(CalcNormDate,$P253)=0,"",INDEX(CalcNormDate,$P253)))</f>
        <v/>
      </c>
      <c r="C253" s="26">
        <f>IF($P253="","",IF(INDEX(CalcTime,$P253)=0,"",INDEX(CalcTime,$P253)))</f>
        <v/>
      </c>
      <c r="D253" s="26">
        <f>IF($P253="","",IF(INDEX(EntryParty,$P253)=0,"",INDEX(EntryParty,$P253)))</f>
        <v/>
      </c>
      <c r="E253" s="26">
        <f>IF($P253="","",IF(INDEX(EntryPartyName,$P253)=0,"",INDEX(EntryPartyName,$P253)))</f>
        <v/>
      </c>
      <c r="F253" s="26">
        <f>IF($P253="","",IF(INDEX(EntryPartyType,$P253)=0,"",INDEX(EntryPartyType,$P253)))</f>
        <v/>
      </c>
      <c r="G253" s="26">
        <f>IF($P253="","",IF(INDEX(EntryTxnType,$P253)=0,"",INDEX(EntryTxnType,$P253)))</f>
        <v/>
      </c>
      <c r="H253" s="27">
        <f>IF($P253="","",IF(INDEX(EntryDep,$P253)=0,"",INDEX(EntryDep,$P253)))</f>
        <v/>
      </c>
      <c r="I253" s="27">
        <f>IF($P253="","",IF(INDEX(EntryWit,$P253)=0,"",INDEX(EntryWit,$P253)))</f>
        <v/>
      </c>
      <c r="J253" s="27">
        <f>IF($B253="","",IF($A253=1,$C$7,IF(J252="",0,J252))+IF($H253="",0,$H253)-IF($I253="",0,$I253))</f>
        <v/>
      </c>
      <c r="K253" s="27">
        <f>IF($P253="","",IF(INDEX(EntryMan,$P253)=0,"",INDEX(EntryMan,$P253)))</f>
        <v/>
      </c>
      <c r="L253" s="26">
        <f>IF($B253="","",IF($K253="","—",IF(ROUND($K253-$J253,0)=0,"√","×")))</f>
        <v/>
      </c>
      <c r="M253" s="26">
        <f>IF($B253="","",IF(COUNTIFS(EntryDates,$B253,CalcTime,$C253,CalcBank,$C$5,EntryParty,$D253,EntryDep,$H253,EntryWit,$I253)&gt;1,"تکرار",""))</f>
        <v/>
      </c>
      <c r="N253" s="26">
        <f>IF($P253="","",IF(INDEX(EntryNotes,$P253)=0,"",INDEX(EntryNotes,$P253)))</f>
        <v/>
      </c>
      <c r="O253" s="26">
        <f>IF($P253="","",IF(INDEX(EntryTxnID,$P253)=0,"",INDEX(EntryTxnID,$P253)))</f>
        <v/>
      </c>
      <c r="P253" s="26">
        <f>IFERROR(MATCH($C$5&amp;"|"&amp;RIGHT("000000"&amp;237,6),CalcRankKey,0),"")</f>
        <v/>
      </c>
    </row>
    <row r="254">
      <c r="A254" s="28">
        <f>IF($B254="","",238)</f>
        <v/>
      </c>
      <c r="B254" s="28">
        <f>IF($P254="","",IF(INDEX(CalcNormDate,$P254)=0,"",INDEX(CalcNormDate,$P254)))</f>
        <v/>
      </c>
      <c r="C254" s="28">
        <f>IF($P254="","",IF(INDEX(CalcTime,$P254)=0,"",INDEX(CalcTime,$P254)))</f>
        <v/>
      </c>
      <c r="D254" s="28">
        <f>IF($P254="","",IF(INDEX(EntryParty,$P254)=0,"",INDEX(EntryParty,$P254)))</f>
        <v/>
      </c>
      <c r="E254" s="28">
        <f>IF($P254="","",IF(INDEX(EntryPartyName,$P254)=0,"",INDEX(EntryPartyName,$P254)))</f>
        <v/>
      </c>
      <c r="F254" s="28">
        <f>IF($P254="","",IF(INDEX(EntryPartyType,$P254)=0,"",INDEX(EntryPartyType,$P254)))</f>
        <v/>
      </c>
      <c r="G254" s="28">
        <f>IF($P254="","",IF(INDEX(EntryTxnType,$P254)=0,"",INDEX(EntryTxnType,$P254)))</f>
        <v/>
      </c>
      <c r="H254" s="29">
        <f>IF($P254="","",IF(INDEX(EntryDep,$P254)=0,"",INDEX(EntryDep,$P254)))</f>
        <v/>
      </c>
      <c r="I254" s="29">
        <f>IF($P254="","",IF(INDEX(EntryWit,$P254)=0,"",INDEX(EntryWit,$P254)))</f>
        <v/>
      </c>
      <c r="J254" s="29">
        <f>IF($B254="","",IF($A254=1,$C$7,IF(J253="",0,J253))+IF($H254="",0,$H254)-IF($I254="",0,$I254))</f>
        <v/>
      </c>
      <c r="K254" s="29">
        <f>IF($P254="","",IF(INDEX(EntryMan,$P254)=0,"",INDEX(EntryMan,$P254)))</f>
        <v/>
      </c>
      <c r="L254" s="28">
        <f>IF($B254="","",IF($K254="","—",IF(ROUND($K254-$J254,0)=0,"√","×")))</f>
        <v/>
      </c>
      <c r="M254" s="28">
        <f>IF($B254="","",IF(COUNTIFS(EntryDates,$B254,CalcTime,$C254,CalcBank,$C$5,EntryParty,$D254,EntryDep,$H254,EntryWit,$I254)&gt;1,"تکرار",""))</f>
        <v/>
      </c>
      <c r="N254" s="28">
        <f>IF($P254="","",IF(INDEX(EntryNotes,$P254)=0,"",INDEX(EntryNotes,$P254)))</f>
        <v/>
      </c>
      <c r="O254" s="28">
        <f>IF($P254="","",IF(INDEX(EntryTxnID,$P254)=0,"",INDEX(EntryTxnID,$P254)))</f>
        <v/>
      </c>
      <c r="P254" s="28">
        <f>IFERROR(MATCH($C$5&amp;"|"&amp;RIGHT("000000"&amp;238,6),CalcRankKey,0),"")</f>
        <v/>
      </c>
    </row>
    <row r="255">
      <c r="A255" s="26">
        <f>IF($B255="","",239)</f>
        <v/>
      </c>
      <c r="B255" s="26">
        <f>IF($P255="","",IF(INDEX(CalcNormDate,$P255)=0,"",INDEX(CalcNormDate,$P255)))</f>
        <v/>
      </c>
      <c r="C255" s="26">
        <f>IF($P255="","",IF(INDEX(CalcTime,$P255)=0,"",INDEX(CalcTime,$P255)))</f>
        <v/>
      </c>
      <c r="D255" s="26">
        <f>IF($P255="","",IF(INDEX(EntryParty,$P255)=0,"",INDEX(EntryParty,$P255)))</f>
        <v/>
      </c>
      <c r="E255" s="26">
        <f>IF($P255="","",IF(INDEX(EntryPartyName,$P255)=0,"",INDEX(EntryPartyName,$P255)))</f>
        <v/>
      </c>
      <c r="F255" s="26">
        <f>IF($P255="","",IF(INDEX(EntryPartyType,$P255)=0,"",INDEX(EntryPartyType,$P255)))</f>
        <v/>
      </c>
      <c r="G255" s="26">
        <f>IF($P255="","",IF(INDEX(EntryTxnType,$P255)=0,"",INDEX(EntryTxnType,$P255)))</f>
        <v/>
      </c>
      <c r="H255" s="27">
        <f>IF($P255="","",IF(INDEX(EntryDep,$P255)=0,"",INDEX(EntryDep,$P255)))</f>
        <v/>
      </c>
      <c r="I255" s="27">
        <f>IF($P255="","",IF(INDEX(EntryWit,$P255)=0,"",INDEX(EntryWit,$P255)))</f>
        <v/>
      </c>
      <c r="J255" s="27">
        <f>IF($B255="","",IF($A255=1,$C$7,IF(J254="",0,J254))+IF($H255="",0,$H255)-IF($I255="",0,$I255))</f>
        <v/>
      </c>
      <c r="K255" s="27">
        <f>IF($P255="","",IF(INDEX(EntryMan,$P255)=0,"",INDEX(EntryMan,$P255)))</f>
        <v/>
      </c>
      <c r="L255" s="26">
        <f>IF($B255="","",IF($K255="","—",IF(ROUND($K255-$J255,0)=0,"√","×")))</f>
        <v/>
      </c>
      <c r="M255" s="26">
        <f>IF($B255="","",IF(COUNTIFS(EntryDates,$B255,CalcTime,$C255,CalcBank,$C$5,EntryParty,$D255,EntryDep,$H255,EntryWit,$I255)&gt;1,"تکرار",""))</f>
        <v/>
      </c>
      <c r="N255" s="26">
        <f>IF($P255="","",IF(INDEX(EntryNotes,$P255)=0,"",INDEX(EntryNotes,$P255)))</f>
        <v/>
      </c>
      <c r="O255" s="26">
        <f>IF($P255="","",IF(INDEX(EntryTxnID,$P255)=0,"",INDEX(EntryTxnID,$P255)))</f>
        <v/>
      </c>
      <c r="P255" s="26">
        <f>IFERROR(MATCH($C$5&amp;"|"&amp;RIGHT("000000"&amp;239,6),CalcRankKey,0),"")</f>
        <v/>
      </c>
    </row>
    <row r="256">
      <c r="A256" s="28">
        <f>IF($B256="","",240)</f>
        <v/>
      </c>
      <c r="B256" s="28">
        <f>IF($P256="","",IF(INDEX(CalcNormDate,$P256)=0,"",INDEX(CalcNormDate,$P256)))</f>
        <v/>
      </c>
      <c r="C256" s="28">
        <f>IF($P256="","",IF(INDEX(CalcTime,$P256)=0,"",INDEX(CalcTime,$P256)))</f>
        <v/>
      </c>
      <c r="D256" s="28">
        <f>IF($P256="","",IF(INDEX(EntryParty,$P256)=0,"",INDEX(EntryParty,$P256)))</f>
        <v/>
      </c>
      <c r="E256" s="28">
        <f>IF($P256="","",IF(INDEX(EntryPartyName,$P256)=0,"",INDEX(EntryPartyName,$P256)))</f>
        <v/>
      </c>
      <c r="F256" s="28">
        <f>IF($P256="","",IF(INDEX(EntryPartyType,$P256)=0,"",INDEX(EntryPartyType,$P256)))</f>
        <v/>
      </c>
      <c r="G256" s="28">
        <f>IF($P256="","",IF(INDEX(EntryTxnType,$P256)=0,"",INDEX(EntryTxnType,$P256)))</f>
        <v/>
      </c>
      <c r="H256" s="29">
        <f>IF($P256="","",IF(INDEX(EntryDep,$P256)=0,"",INDEX(EntryDep,$P256)))</f>
        <v/>
      </c>
      <c r="I256" s="29">
        <f>IF($P256="","",IF(INDEX(EntryWit,$P256)=0,"",INDEX(EntryWit,$P256)))</f>
        <v/>
      </c>
      <c r="J256" s="29">
        <f>IF($B256="","",IF($A256=1,$C$7,IF(J255="",0,J255))+IF($H256="",0,$H256)-IF($I256="",0,$I256))</f>
        <v/>
      </c>
      <c r="K256" s="29">
        <f>IF($P256="","",IF(INDEX(EntryMan,$P256)=0,"",INDEX(EntryMan,$P256)))</f>
        <v/>
      </c>
      <c r="L256" s="28">
        <f>IF($B256="","",IF($K256="","—",IF(ROUND($K256-$J256,0)=0,"√","×")))</f>
        <v/>
      </c>
      <c r="M256" s="28">
        <f>IF($B256="","",IF(COUNTIFS(EntryDates,$B256,CalcTime,$C256,CalcBank,$C$5,EntryParty,$D256,EntryDep,$H256,EntryWit,$I256)&gt;1,"تکرار",""))</f>
        <v/>
      </c>
      <c r="N256" s="28">
        <f>IF($P256="","",IF(INDEX(EntryNotes,$P256)=0,"",INDEX(EntryNotes,$P256)))</f>
        <v/>
      </c>
      <c r="O256" s="28">
        <f>IF($P256="","",IF(INDEX(EntryTxnID,$P256)=0,"",INDEX(EntryTxnID,$P256)))</f>
        <v/>
      </c>
      <c r="P256" s="28">
        <f>IFERROR(MATCH($C$5&amp;"|"&amp;RIGHT("000000"&amp;240,6),CalcRankKey,0),"")</f>
        <v/>
      </c>
    </row>
    <row r="257">
      <c r="A257" s="26">
        <f>IF($B257="","",241)</f>
        <v/>
      </c>
      <c r="B257" s="26">
        <f>IF($P257="","",IF(INDEX(CalcNormDate,$P257)=0,"",INDEX(CalcNormDate,$P257)))</f>
        <v/>
      </c>
      <c r="C257" s="26">
        <f>IF($P257="","",IF(INDEX(CalcTime,$P257)=0,"",INDEX(CalcTime,$P257)))</f>
        <v/>
      </c>
      <c r="D257" s="26">
        <f>IF($P257="","",IF(INDEX(EntryParty,$P257)=0,"",INDEX(EntryParty,$P257)))</f>
        <v/>
      </c>
      <c r="E257" s="26">
        <f>IF($P257="","",IF(INDEX(EntryPartyName,$P257)=0,"",INDEX(EntryPartyName,$P257)))</f>
        <v/>
      </c>
      <c r="F257" s="26">
        <f>IF($P257="","",IF(INDEX(EntryPartyType,$P257)=0,"",INDEX(EntryPartyType,$P257)))</f>
        <v/>
      </c>
      <c r="G257" s="26">
        <f>IF($P257="","",IF(INDEX(EntryTxnType,$P257)=0,"",INDEX(EntryTxnType,$P257)))</f>
        <v/>
      </c>
      <c r="H257" s="27">
        <f>IF($P257="","",IF(INDEX(EntryDep,$P257)=0,"",INDEX(EntryDep,$P257)))</f>
        <v/>
      </c>
      <c r="I257" s="27">
        <f>IF($P257="","",IF(INDEX(EntryWit,$P257)=0,"",INDEX(EntryWit,$P257)))</f>
        <v/>
      </c>
      <c r="J257" s="27">
        <f>IF($B257="","",IF($A257=1,$C$7,IF(J256="",0,J256))+IF($H257="",0,$H257)-IF($I257="",0,$I257))</f>
        <v/>
      </c>
      <c r="K257" s="27">
        <f>IF($P257="","",IF(INDEX(EntryMan,$P257)=0,"",INDEX(EntryMan,$P257)))</f>
        <v/>
      </c>
      <c r="L257" s="26">
        <f>IF($B257="","",IF($K257="","—",IF(ROUND($K257-$J257,0)=0,"√","×")))</f>
        <v/>
      </c>
      <c r="M257" s="26">
        <f>IF($B257="","",IF(COUNTIFS(EntryDates,$B257,CalcTime,$C257,CalcBank,$C$5,EntryParty,$D257,EntryDep,$H257,EntryWit,$I257)&gt;1,"تکرار",""))</f>
        <v/>
      </c>
      <c r="N257" s="26">
        <f>IF($P257="","",IF(INDEX(EntryNotes,$P257)=0,"",INDEX(EntryNotes,$P257)))</f>
        <v/>
      </c>
      <c r="O257" s="26">
        <f>IF($P257="","",IF(INDEX(EntryTxnID,$P257)=0,"",INDEX(EntryTxnID,$P257)))</f>
        <v/>
      </c>
      <c r="P257" s="26">
        <f>IFERROR(MATCH($C$5&amp;"|"&amp;RIGHT("000000"&amp;241,6),CalcRankKey,0),"")</f>
        <v/>
      </c>
    </row>
    <row r="258">
      <c r="A258" s="28">
        <f>IF($B258="","",242)</f>
        <v/>
      </c>
      <c r="B258" s="28">
        <f>IF($P258="","",IF(INDEX(CalcNormDate,$P258)=0,"",INDEX(CalcNormDate,$P258)))</f>
        <v/>
      </c>
      <c r="C258" s="28">
        <f>IF($P258="","",IF(INDEX(CalcTime,$P258)=0,"",INDEX(CalcTime,$P258)))</f>
        <v/>
      </c>
      <c r="D258" s="28">
        <f>IF($P258="","",IF(INDEX(EntryParty,$P258)=0,"",INDEX(EntryParty,$P258)))</f>
        <v/>
      </c>
      <c r="E258" s="28">
        <f>IF($P258="","",IF(INDEX(EntryPartyName,$P258)=0,"",INDEX(EntryPartyName,$P258)))</f>
        <v/>
      </c>
      <c r="F258" s="28">
        <f>IF($P258="","",IF(INDEX(EntryPartyType,$P258)=0,"",INDEX(EntryPartyType,$P258)))</f>
        <v/>
      </c>
      <c r="G258" s="28">
        <f>IF($P258="","",IF(INDEX(EntryTxnType,$P258)=0,"",INDEX(EntryTxnType,$P258)))</f>
        <v/>
      </c>
      <c r="H258" s="29">
        <f>IF($P258="","",IF(INDEX(EntryDep,$P258)=0,"",INDEX(EntryDep,$P258)))</f>
        <v/>
      </c>
      <c r="I258" s="29">
        <f>IF($P258="","",IF(INDEX(EntryWit,$P258)=0,"",INDEX(EntryWit,$P258)))</f>
        <v/>
      </c>
      <c r="J258" s="29">
        <f>IF($B258="","",IF($A258=1,$C$7,IF(J257="",0,J257))+IF($H258="",0,$H258)-IF($I258="",0,$I258))</f>
        <v/>
      </c>
      <c r="K258" s="29">
        <f>IF($P258="","",IF(INDEX(EntryMan,$P258)=0,"",INDEX(EntryMan,$P258)))</f>
        <v/>
      </c>
      <c r="L258" s="28">
        <f>IF($B258="","",IF($K258="","—",IF(ROUND($K258-$J258,0)=0,"√","×")))</f>
        <v/>
      </c>
      <c r="M258" s="28">
        <f>IF($B258="","",IF(COUNTIFS(EntryDates,$B258,CalcTime,$C258,CalcBank,$C$5,EntryParty,$D258,EntryDep,$H258,EntryWit,$I258)&gt;1,"تکرار",""))</f>
        <v/>
      </c>
      <c r="N258" s="28">
        <f>IF($P258="","",IF(INDEX(EntryNotes,$P258)=0,"",INDEX(EntryNotes,$P258)))</f>
        <v/>
      </c>
      <c r="O258" s="28">
        <f>IF($P258="","",IF(INDEX(EntryTxnID,$P258)=0,"",INDEX(EntryTxnID,$P258)))</f>
        <v/>
      </c>
      <c r="P258" s="28">
        <f>IFERROR(MATCH($C$5&amp;"|"&amp;RIGHT("000000"&amp;242,6),CalcRankKey,0),"")</f>
        <v/>
      </c>
    </row>
    <row r="259">
      <c r="A259" s="26">
        <f>IF($B259="","",243)</f>
        <v/>
      </c>
      <c r="B259" s="26">
        <f>IF($P259="","",IF(INDEX(CalcNormDate,$P259)=0,"",INDEX(CalcNormDate,$P259)))</f>
        <v/>
      </c>
      <c r="C259" s="26">
        <f>IF($P259="","",IF(INDEX(CalcTime,$P259)=0,"",INDEX(CalcTime,$P259)))</f>
        <v/>
      </c>
      <c r="D259" s="26">
        <f>IF($P259="","",IF(INDEX(EntryParty,$P259)=0,"",INDEX(EntryParty,$P259)))</f>
        <v/>
      </c>
      <c r="E259" s="26">
        <f>IF($P259="","",IF(INDEX(EntryPartyName,$P259)=0,"",INDEX(EntryPartyName,$P259)))</f>
        <v/>
      </c>
      <c r="F259" s="26">
        <f>IF($P259="","",IF(INDEX(EntryPartyType,$P259)=0,"",INDEX(EntryPartyType,$P259)))</f>
        <v/>
      </c>
      <c r="G259" s="26">
        <f>IF($P259="","",IF(INDEX(EntryTxnType,$P259)=0,"",INDEX(EntryTxnType,$P259)))</f>
        <v/>
      </c>
      <c r="H259" s="27">
        <f>IF($P259="","",IF(INDEX(EntryDep,$P259)=0,"",INDEX(EntryDep,$P259)))</f>
        <v/>
      </c>
      <c r="I259" s="27">
        <f>IF($P259="","",IF(INDEX(EntryWit,$P259)=0,"",INDEX(EntryWit,$P259)))</f>
        <v/>
      </c>
      <c r="J259" s="27">
        <f>IF($B259="","",IF($A259=1,$C$7,IF(J258="",0,J258))+IF($H259="",0,$H259)-IF($I259="",0,$I259))</f>
        <v/>
      </c>
      <c r="K259" s="27">
        <f>IF($P259="","",IF(INDEX(EntryMan,$P259)=0,"",INDEX(EntryMan,$P259)))</f>
        <v/>
      </c>
      <c r="L259" s="26">
        <f>IF($B259="","",IF($K259="","—",IF(ROUND($K259-$J259,0)=0,"√","×")))</f>
        <v/>
      </c>
      <c r="M259" s="26">
        <f>IF($B259="","",IF(COUNTIFS(EntryDates,$B259,CalcTime,$C259,CalcBank,$C$5,EntryParty,$D259,EntryDep,$H259,EntryWit,$I259)&gt;1,"تکرار",""))</f>
        <v/>
      </c>
      <c r="N259" s="26">
        <f>IF($P259="","",IF(INDEX(EntryNotes,$P259)=0,"",INDEX(EntryNotes,$P259)))</f>
        <v/>
      </c>
      <c r="O259" s="26">
        <f>IF($P259="","",IF(INDEX(EntryTxnID,$P259)=0,"",INDEX(EntryTxnID,$P259)))</f>
        <v/>
      </c>
      <c r="P259" s="26">
        <f>IFERROR(MATCH($C$5&amp;"|"&amp;RIGHT("000000"&amp;243,6),CalcRankKey,0),"")</f>
        <v/>
      </c>
    </row>
    <row r="260">
      <c r="A260" s="28">
        <f>IF($B260="","",244)</f>
        <v/>
      </c>
      <c r="B260" s="28">
        <f>IF($P260="","",IF(INDEX(CalcNormDate,$P260)=0,"",INDEX(CalcNormDate,$P260)))</f>
        <v/>
      </c>
      <c r="C260" s="28">
        <f>IF($P260="","",IF(INDEX(CalcTime,$P260)=0,"",INDEX(CalcTime,$P260)))</f>
        <v/>
      </c>
      <c r="D260" s="28">
        <f>IF($P260="","",IF(INDEX(EntryParty,$P260)=0,"",INDEX(EntryParty,$P260)))</f>
        <v/>
      </c>
      <c r="E260" s="28">
        <f>IF($P260="","",IF(INDEX(EntryPartyName,$P260)=0,"",INDEX(EntryPartyName,$P260)))</f>
        <v/>
      </c>
      <c r="F260" s="28">
        <f>IF($P260="","",IF(INDEX(EntryPartyType,$P260)=0,"",INDEX(EntryPartyType,$P260)))</f>
        <v/>
      </c>
      <c r="G260" s="28">
        <f>IF($P260="","",IF(INDEX(EntryTxnType,$P260)=0,"",INDEX(EntryTxnType,$P260)))</f>
        <v/>
      </c>
      <c r="H260" s="29">
        <f>IF($P260="","",IF(INDEX(EntryDep,$P260)=0,"",INDEX(EntryDep,$P260)))</f>
        <v/>
      </c>
      <c r="I260" s="29">
        <f>IF($P260="","",IF(INDEX(EntryWit,$P260)=0,"",INDEX(EntryWit,$P260)))</f>
        <v/>
      </c>
      <c r="J260" s="29">
        <f>IF($B260="","",IF($A260=1,$C$7,IF(J259="",0,J259))+IF($H260="",0,$H260)-IF($I260="",0,$I260))</f>
        <v/>
      </c>
      <c r="K260" s="29">
        <f>IF($P260="","",IF(INDEX(EntryMan,$P260)=0,"",INDEX(EntryMan,$P260)))</f>
        <v/>
      </c>
      <c r="L260" s="28">
        <f>IF($B260="","",IF($K260="","—",IF(ROUND($K260-$J260,0)=0,"√","×")))</f>
        <v/>
      </c>
      <c r="M260" s="28">
        <f>IF($B260="","",IF(COUNTIFS(EntryDates,$B260,CalcTime,$C260,CalcBank,$C$5,EntryParty,$D260,EntryDep,$H260,EntryWit,$I260)&gt;1,"تکرار",""))</f>
        <v/>
      </c>
      <c r="N260" s="28">
        <f>IF($P260="","",IF(INDEX(EntryNotes,$P260)=0,"",INDEX(EntryNotes,$P260)))</f>
        <v/>
      </c>
      <c r="O260" s="28">
        <f>IF($P260="","",IF(INDEX(EntryTxnID,$P260)=0,"",INDEX(EntryTxnID,$P260)))</f>
        <v/>
      </c>
      <c r="P260" s="28">
        <f>IFERROR(MATCH($C$5&amp;"|"&amp;RIGHT("000000"&amp;244,6),CalcRankKey,0),"")</f>
        <v/>
      </c>
    </row>
    <row r="261">
      <c r="A261" s="26">
        <f>IF($B261="","",245)</f>
        <v/>
      </c>
      <c r="B261" s="26">
        <f>IF($P261="","",IF(INDEX(CalcNormDate,$P261)=0,"",INDEX(CalcNormDate,$P261)))</f>
        <v/>
      </c>
      <c r="C261" s="26">
        <f>IF($P261="","",IF(INDEX(CalcTime,$P261)=0,"",INDEX(CalcTime,$P261)))</f>
        <v/>
      </c>
      <c r="D261" s="26">
        <f>IF($P261="","",IF(INDEX(EntryParty,$P261)=0,"",INDEX(EntryParty,$P261)))</f>
        <v/>
      </c>
      <c r="E261" s="26">
        <f>IF($P261="","",IF(INDEX(EntryPartyName,$P261)=0,"",INDEX(EntryPartyName,$P261)))</f>
        <v/>
      </c>
      <c r="F261" s="26">
        <f>IF($P261="","",IF(INDEX(EntryPartyType,$P261)=0,"",INDEX(EntryPartyType,$P261)))</f>
        <v/>
      </c>
      <c r="G261" s="26">
        <f>IF($P261="","",IF(INDEX(EntryTxnType,$P261)=0,"",INDEX(EntryTxnType,$P261)))</f>
        <v/>
      </c>
      <c r="H261" s="27">
        <f>IF($P261="","",IF(INDEX(EntryDep,$P261)=0,"",INDEX(EntryDep,$P261)))</f>
        <v/>
      </c>
      <c r="I261" s="27">
        <f>IF($P261="","",IF(INDEX(EntryWit,$P261)=0,"",INDEX(EntryWit,$P261)))</f>
        <v/>
      </c>
      <c r="J261" s="27">
        <f>IF($B261="","",IF($A261=1,$C$7,IF(J260="",0,J260))+IF($H261="",0,$H261)-IF($I261="",0,$I261))</f>
        <v/>
      </c>
      <c r="K261" s="27">
        <f>IF($P261="","",IF(INDEX(EntryMan,$P261)=0,"",INDEX(EntryMan,$P261)))</f>
        <v/>
      </c>
      <c r="L261" s="26">
        <f>IF($B261="","",IF($K261="","—",IF(ROUND($K261-$J261,0)=0,"√","×")))</f>
        <v/>
      </c>
      <c r="M261" s="26">
        <f>IF($B261="","",IF(COUNTIFS(EntryDates,$B261,CalcTime,$C261,CalcBank,$C$5,EntryParty,$D261,EntryDep,$H261,EntryWit,$I261)&gt;1,"تکرار",""))</f>
        <v/>
      </c>
      <c r="N261" s="26">
        <f>IF($P261="","",IF(INDEX(EntryNotes,$P261)=0,"",INDEX(EntryNotes,$P261)))</f>
        <v/>
      </c>
      <c r="O261" s="26">
        <f>IF($P261="","",IF(INDEX(EntryTxnID,$P261)=0,"",INDEX(EntryTxnID,$P261)))</f>
        <v/>
      </c>
      <c r="P261" s="26">
        <f>IFERROR(MATCH($C$5&amp;"|"&amp;RIGHT("000000"&amp;245,6),CalcRankKey,0),"")</f>
        <v/>
      </c>
    </row>
    <row r="262">
      <c r="A262" s="28">
        <f>IF($B262="","",246)</f>
        <v/>
      </c>
      <c r="B262" s="28">
        <f>IF($P262="","",IF(INDEX(CalcNormDate,$P262)=0,"",INDEX(CalcNormDate,$P262)))</f>
        <v/>
      </c>
      <c r="C262" s="28">
        <f>IF($P262="","",IF(INDEX(CalcTime,$P262)=0,"",INDEX(CalcTime,$P262)))</f>
        <v/>
      </c>
      <c r="D262" s="28">
        <f>IF($P262="","",IF(INDEX(EntryParty,$P262)=0,"",INDEX(EntryParty,$P262)))</f>
        <v/>
      </c>
      <c r="E262" s="28">
        <f>IF($P262="","",IF(INDEX(EntryPartyName,$P262)=0,"",INDEX(EntryPartyName,$P262)))</f>
        <v/>
      </c>
      <c r="F262" s="28">
        <f>IF($P262="","",IF(INDEX(EntryPartyType,$P262)=0,"",INDEX(EntryPartyType,$P262)))</f>
        <v/>
      </c>
      <c r="G262" s="28">
        <f>IF($P262="","",IF(INDEX(EntryTxnType,$P262)=0,"",INDEX(EntryTxnType,$P262)))</f>
        <v/>
      </c>
      <c r="H262" s="29">
        <f>IF($P262="","",IF(INDEX(EntryDep,$P262)=0,"",INDEX(EntryDep,$P262)))</f>
        <v/>
      </c>
      <c r="I262" s="29">
        <f>IF($P262="","",IF(INDEX(EntryWit,$P262)=0,"",INDEX(EntryWit,$P262)))</f>
        <v/>
      </c>
      <c r="J262" s="29">
        <f>IF($B262="","",IF($A262=1,$C$7,IF(J261="",0,J261))+IF($H262="",0,$H262)-IF($I262="",0,$I262))</f>
        <v/>
      </c>
      <c r="K262" s="29">
        <f>IF($P262="","",IF(INDEX(EntryMan,$P262)=0,"",INDEX(EntryMan,$P262)))</f>
        <v/>
      </c>
      <c r="L262" s="28">
        <f>IF($B262="","",IF($K262="","—",IF(ROUND($K262-$J262,0)=0,"√","×")))</f>
        <v/>
      </c>
      <c r="M262" s="28">
        <f>IF($B262="","",IF(COUNTIFS(EntryDates,$B262,CalcTime,$C262,CalcBank,$C$5,EntryParty,$D262,EntryDep,$H262,EntryWit,$I262)&gt;1,"تکرار",""))</f>
        <v/>
      </c>
      <c r="N262" s="28">
        <f>IF($P262="","",IF(INDEX(EntryNotes,$P262)=0,"",INDEX(EntryNotes,$P262)))</f>
        <v/>
      </c>
      <c r="O262" s="28">
        <f>IF($P262="","",IF(INDEX(EntryTxnID,$P262)=0,"",INDEX(EntryTxnID,$P262)))</f>
        <v/>
      </c>
      <c r="P262" s="28">
        <f>IFERROR(MATCH($C$5&amp;"|"&amp;RIGHT("000000"&amp;246,6),CalcRankKey,0),"")</f>
        <v/>
      </c>
    </row>
    <row r="263">
      <c r="A263" s="26">
        <f>IF($B263="","",247)</f>
        <v/>
      </c>
      <c r="B263" s="26">
        <f>IF($P263="","",IF(INDEX(CalcNormDate,$P263)=0,"",INDEX(CalcNormDate,$P263)))</f>
        <v/>
      </c>
      <c r="C263" s="26">
        <f>IF($P263="","",IF(INDEX(CalcTime,$P263)=0,"",INDEX(CalcTime,$P263)))</f>
        <v/>
      </c>
      <c r="D263" s="26">
        <f>IF($P263="","",IF(INDEX(EntryParty,$P263)=0,"",INDEX(EntryParty,$P263)))</f>
        <v/>
      </c>
      <c r="E263" s="26">
        <f>IF($P263="","",IF(INDEX(EntryPartyName,$P263)=0,"",INDEX(EntryPartyName,$P263)))</f>
        <v/>
      </c>
      <c r="F263" s="26">
        <f>IF($P263="","",IF(INDEX(EntryPartyType,$P263)=0,"",INDEX(EntryPartyType,$P263)))</f>
        <v/>
      </c>
      <c r="G263" s="26">
        <f>IF($P263="","",IF(INDEX(EntryTxnType,$P263)=0,"",INDEX(EntryTxnType,$P263)))</f>
        <v/>
      </c>
      <c r="H263" s="27">
        <f>IF($P263="","",IF(INDEX(EntryDep,$P263)=0,"",INDEX(EntryDep,$P263)))</f>
        <v/>
      </c>
      <c r="I263" s="27">
        <f>IF($P263="","",IF(INDEX(EntryWit,$P263)=0,"",INDEX(EntryWit,$P263)))</f>
        <v/>
      </c>
      <c r="J263" s="27">
        <f>IF($B263="","",IF($A263=1,$C$7,IF(J262="",0,J262))+IF($H263="",0,$H263)-IF($I263="",0,$I263))</f>
        <v/>
      </c>
      <c r="K263" s="27">
        <f>IF($P263="","",IF(INDEX(EntryMan,$P263)=0,"",INDEX(EntryMan,$P263)))</f>
        <v/>
      </c>
      <c r="L263" s="26">
        <f>IF($B263="","",IF($K263="","—",IF(ROUND($K263-$J263,0)=0,"√","×")))</f>
        <v/>
      </c>
      <c r="M263" s="26">
        <f>IF($B263="","",IF(COUNTIFS(EntryDates,$B263,CalcTime,$C263,CalcBank,$C$5,EntryParty,$D263,EntryDep,$H263,EntryWit,$I263)&gt;1,"تکرار",""))</f>
        <v/>
      </c>
      <c r="N263" s="26">
        <f>IF($P263="","",IF(INDEX(EntryNotes,$P263)=0,"",INDEX(EntryNotes,$P263)))</f>
        <v/>
      </c>
      <c r="O263" s="26">
        <f>IF($P263="","",IF(INDEX(EntryTxnID,$P263)=0,"",INDEX(EntryTxnID,$P263)))</f>
        <v/>
      </c>
      <c r="P263" s="26">
        <f>IFERROR(MATCH($C$5&amp;"|"&amp;RIGHT("000000"&amp;247,6),CalcRankKey,0),"")</f>
        <v/>
      </c>
    </row>
    <row r="264">
      <c r="A264" s="28">
        <f>IF($B264="","",248)</f>
        <v/>
      </c>
      <c r="B264" s="28">
        <f>IF($P264="","",IF(INDEX(CalcNormDate,$P264)=0,"",INDEX(CalcNormDate,$P264)))</f>
        <v/>
      </c>
      <c r="C264" s="28">
        <f>IF($P264="","",IF(INDEX(CalcTime,$P264)=0,"",INDEX(CalcTime,$P264)))</f>
        <v/>
      </c>
      <c r="D264" s="28">
        <f>IF($P264="","",IF(INDEX(EntryParty,$P264)=0,"",INDEX(EntryParty,$P264)))</f>
        <v/>
      </c>
      <c r="E264" s="28">
        <f>IF($P264="","",IF(INDEX(EntryPartyName,$P264)=0,"",INDEX(EntryPartyName,$P264)))</f>
        <v/>
      </c>
      <c r="F264" s="28">
        <f>IF($P264="","",IF(INDEX(EntryPartyType,$P264)=0,"",INDEX(EntryPartyType,$P264)))</f>
        <v/>
      </c>
      <c r="G264" s="28">
        <f>IF($P264="","",IF(INDEX(EntryTxnType,$P264)=0,"",INDEX(EntryTxnType,$P264)))</f>
        <v/>
      </c>
      <c r="H264" s="29">
        <f>IF($P264="","",IF(INDEX(EntryDep,$P264)=0,"",INDEX(EntryDep,$P264)))</f>
        <v/>
      </c>
      <c r="I264" s="29">
        <f>IF($P264="","",IF(INDEX(EntryWit,$P264)=0,"",INDEX(EntryWit,$P264)))</f>
        <v/>
      </c>
      <c r="J264" s="29">
        <f>IF($B264="","",IF($A264=1,$C$7,IF(J263="",0,J263))+IF($H264="",0,$H264)-IF($I264="",0,$I264))</f>
        <v/>
      </c>
      <c r="K264" s="29">
        <f>IF($P264="","",IF(INDEX(EntryMan,$P264)=0,"",INDEX(EntryMan,$P264)))</f>
        <v/>
      </c>
      <c r="L264" s="28">
        <f>IF($B264="","",IF($K264="","—",IF(ROUND($K264-$J264,0)=0,"√","×")))</f>
        <v/>
      </c>
      <c r="M264" s="28">
        <f>IF($B264="","",IF(COUNTIFS(EntryDates,$B264,CalcTime,$C264,CalcBank,$C$5,EntryParty,$D264,EntryDep,$H264,EntryWit,$I264)&gt;1,"تکرار",""))</f>
        <v/>
      </c>
      <c r="N264" s="28">
        <f>IF($P264="","",IF(INDEX(EntryNotes,$P264)=0,"",INDEX(EntryNotes,$P264)))</f>
        <v/>
      </c>
      <c r="O264" s="28">
        <f>IF($P264="","",IF(INDEX(EntryTxnID,$P264)=0,"",INDEX(EntryTxnID,$P264)))</f>
        <v/>
      </c>
      <c r="P264" s="28">
        <f>IFERROR(MATCH($C$5&amp;"|"&amp;RIGHT("000000"&amp;248,6),CalcRankKey,0),"")</f>
        <v/>
      </c>
    </row>
    <row r="265">
      <c r="A265" s="26">
        <f>IF($B265="","",249)</f>
        <v/>
      </c>
      <c r="B265" s="26">
        <f>IF($P265="","",IF(INDEX(CalcNormDate,$P265)=0,"",INDEX(CalcNormDate,$P265)))</f>
        <v/>
      </c>
      <c r="C265" s="26">
        <f>IF($P265="","",IF(INDEX(CalcTime,$P265)=0,"",INDEX(CalcTime,$P265)))</f>
        <v/>
      </c>
      <c r="D265" s="26">
        <f>IF($P265="","",IF(INDEX(EntryParty,$P265)=0,"",INDEX(EntryParty,$P265)))</f>
        <v/>
      </c>
      <c r="E265" s="26">
        <f>IF($P265="","",IF(INDEX(EntryPartyName,$P265)=0,"",INDEX(EntryPartyName,$P265)))</f>
        <v/>
      </c>
      <c r="F265" s="26">
        <f>IF($P265="","",IF(INDEX(EntryPartyType,$P265)=0,"",INDEX(EntryPartyType,$P265)))</f>
        <v/>
      </c>
      <c r="G265" s="26">
        <f>IF($P265="","",IF(INDEX(EntryTxnType,$P265)=0,"",INDEX(EntryTxnType,$P265)))</f>
        <v/>
      </c>
      <c r="H265" s="27">
        <f>IF($P265="","",IF(INDEX(EntryDep,$P265)=0,"",INDEX(EntryDep,$P265)))</f>
        <v/>
      </c>
      <c r="I265" s="27">
        <f>IF($P265="","",IF(INDEX(EntryWit,$P265)=0,"",INDEX(EntryWit,$P265)))</f>
        <v/>
      </c>
      <c r="J265" s="27">
        <f>IF($B265="","",IF($A265=1,$C$7,IF(J264="",0,J264))+IF($H265="",0,$H265)-IF($I265="",0,$I265))</f>
        <v/>
      </c>
      <c r="K265" s="27">
        <f>IF($P265="","",IF(INDEX(EntryMan,$P265)=0,"",INDEX(EntryMan,$P265)))</f>
        <v/>
      </c>
      <c r="L265" s="26">
        <f>IF($B265="","",IF($K265="","—",IF(ROUND($K265-$J265,0)=0,"√","×")))</f>
        <v/>
      </c>
      <c r="M265" s="26">
        <f>IF($B265="","",IF(COUNTIFS(EntryDates,$B265,CalcTime,$C265,CalcBank,$C$5,EntryParty,$D265,EntryDep,$H265,EntryWit,$I265)&gt;1,"تکرار",""))</f>
        <v/>
      </c>
      <c r="N265" s="26">
        <f>IF($P265="","",IF(INDEX(EntryNotes,$P265)=0,"",INDEX(EntryNotes,$P265)))</f>
        <v/>
      </c>
      <c r="O265" s="26">
        <f>IF($P265="","",IF(INDEX(EntryTxnID,$P265)=0,"",INDEX(EntryTxnID,$P265)))</f>
        <v/>
      </c>
      <c r="P265" s="26">
        <f>IFERROR(MATCH($C$5&amp;"|"&amp;RIGHT("000000"&amp;249,6),CalcRankKey,0),"")</f>
        <v/>
      </c>
    </row>
    <row r="266">
      <c r="A266" s="28">
        <f>IF($B266="","",250)</f>
        <v/>
      </c>
      <c r="B266" s="28">
        <f>IF($P266="","",IF(INDEX(CalcNormDate,$P266)=0,"",INDEX(CalcNormDate,$P266)))</f>
        <v/>
      </c>
      <c r="C266" s="28">
        <f>IF($P266="","",IF(INDEX(CalcTime,$P266)=0,"",INDEX(CalcTime,$P266)))</f>
        <v/>
      </c>
      <c r="D266" s="28">
        <f>IF($P266="","",IF(INDEX(EntryParty,$P266)=0,"",INDEX(EntryParty,$P266)))</f>
        <v/>
      </c>
      <c r="E266" s="28">
        <f>IF($P266="","",IF(INDEX(EntryPartyName,$P266)=0,"",INDEX(EntryPartyName,$P266)))</f>
        <v/>
      </c>
      <c r="F266" s="28">
        <f>IF($P266="","",IF(INDEX(EntryPartyType,$P266)=0,"",INDEX(EntryPartyType,$P266)))</f>
        <v/>
      </c>
      <c r="G266" s="28">
        <f>IF($P266="","",IF(INDEX(EntryTxnType,$P266)=0,"",INDEX(EntryTxnType,$P266)))</f>
        <v/>
      </c>
      <c r="H266" s="29">
        <f>IF($P266="","",IF(INDEX(EntryDep,$P266)=0,"",INDEX(EntryDep,$P266)))</f>
        <v/>
      </c>
      <c r="I266" s="29">
        <f>IF($P266="","",IF(INDEX(EntryWit,$P266)=0,"",INDEX(EntryWit,$P266)))</f>
        <v/>
      </c>
      <c r="J266" s="29">
        <f>IF($B266="","",IF($A266=1,$C$7,IF(J265="",0,J265))+IF($H266="",0,$H266)-IF($I266="",0,$I266))</f>
        <v/>
      </c>
      <c r="K266" s="29">
        <f>IF($P266="","",IF(INDEX(EntryMan,$P266)=0,"",INDEX(EntryMan,$P266)))</f>
        <v/>
      </c>
      <c r="L266" s="28">
        <f>IF($B266="","",IF($K266="","—",IF(ROUND($K266-$J266,0)=0,"√","×")))</f>
        <v/>
      </c>
      <c r="M266" s="28">
        <f>IF($B266="","",IF(COUNTIFS(EntryDates,$B266,CalcTime,$C266,CalcBank,$C$5,EntryParty,$D266,EntryDep,$H266,EntryWit,$I266)&gt;1,"تکرار",""))</f>
        <v/>
      </c>
      <c r="N266" s="28">
        <f>IF($P266="","",IF(INDEX(EntryNotes,$P266)=0,"",INDEX(EntryNotes,$P266)))</f>
        <v/>
      </c>
      <c r="O266" s="28">
        <f>IF($P266="","",IF(INDEX(EntryTxnID,$P266)=0,"",INDEX(EntryTxnID,$P266)))</f>
        <v/>
      </c>
      <c r="P266" s="28">
        <f>IFERROR(MATCH($C$5&amp;"|"&amp;RIGHT("000000"&amp;250,6),CalcRankKey,0),"")</f>
        <v/>
      </c>
    </row>
    <row r="267">
      <c r="A267" s="26">
        <f>IF($B267="","",251)</f>
        <v/>
      </c>
      <c r="B267" s="26">
        <f>IF($P267="","",IF(INDEX(CalcNormDate,$P267)=0,"",INDEX(CalcNormDate,$P267)))</f>
        <v/>
      </c>
      <c r="C267" s="26">
        <f>IF($P267="","",IF(INDEX(CalcTime,$P267)=0,"",INDEX(CalcTime,$P267)))</f>
        <v/>
      </c>
      <c r="D267" s="26">
        <f>IF($P267="","",IF(INDEX(EntryParty,$P267)=0,"",INDEX(EntryParty,$P267)))</f>
        <v/>
      </c>
      <c r="E267" s="26">
        <f>IF($P267="","",IF(INDEX(EntryPartyName,$P267)=0,"",INDEX(EntryPartyName,$P267)))</f>
        <v/>
      </c>
      <c r="F267" s="26">
        <f>IF($P267="","",IF(INDEX(EntryPartyType,$P267)=0,"",INDEX(EntryPartyType,$P267)))</f>
        <v/>
      </c>
      <c r="G267" s="26">
        <f>IF($P267="","",IF(INDEX(EntryTxnType,$P267)=0,"",INDEX(EntryTxnType,$P267)))</f>
        <v/>
      </c>
      <c r="H267" s="27">
        <f>IF($P267="","",IF(INDEX(EntryDep,$P267)=0,"",INDEX(EntryDep,$P267)))</f>
        <v/>
      </c>
      <c r="I267" s="27">
        <f>IF($P267="","",IF(INDEX(EntryWit,$P267)=0,"",INDEX(EntryWit,$P267)))</f>
        <v/>
      </c>
      <c r="J267" s="27">
        <f>IF($B267="","",IF($A267=1,$C$7,IF(J266="",0,J266))+IF($H267="",0,$H267)-IF($I267="",0,$I267))</f>
        <v/>
      </c>
      <c r="K267" s="27">
        <f>IF($P267="","",IF(INDEX(EntryMan,$P267)=0,"",INDEX(EntryMan,$P267)))</f>
        <v/>
      </c>
      <c r="L267" s="26">
        <f>IF($B267="","",IF($K267="","—",IF(ROUND($K267-$J267,0)=0,"√","×")))</f>
        <v/>
      </c>
      <c r="M267" s="26">
        <f>IF($B267="","",IF(COUNTIFS(EntryDates,$B267,CalcTime,$C267,CalcBank,$C$5,EntryParty,$D267,EntryDep,$H267,EntryWit,$I267)&gt;1,"تکرار",""))</f>
        <v/>
      </c>
      <c r="N267" s="26">
        <f>IF($P267="","",IF(INDEX(EntryNotes,$P267)=0,"",INDEX(EntryNotes,$P267)))</f>
        <v/>
      </c>
      <c r="O267" s="26">
        <f>IF($P267="","",IF(INDEX(EntryTxnID,$P267)=0,"",INDEX(EntryTxnID,$P267)))</f>
        <v/>
      </c>
      <c r="P267" s="26">
        <f>IFERROR(MATCH($C$5&amp;"|"&amp;RIGHT("000000"&amp;251,6),CalcRankKey,0),"")</f>
        <v/>
      </c>
    </row>
    <row r="268">
      <c r="A268" s="28">
        <f>IF($B268="","",252)</f>
        <v/>
      </c>
      <c r="B268" s="28">
        <f>IF($P268="","",IF(INDEX(CalcNormDate,$P268)=0,"",INDEX(CalcNormDate,$P268)))</f>
        <v/>
      </c>
      <c r="C268" s="28">
        <f>IF($P268="","",IF(INDEX(CalcTime,$P268)=0,"",INDEX(CalcTime,$P268)))</f>
        <v/>
      </c>
      <c r="D268" s="28">
        <f>IF($P268="","",IF(INDEX(EntryParty,$P268)=0,"",INDEX(EntryParty,$P268)))</f>
        <v/>
      </c>
      <c r="E268" s="28">
        <f>IF($P268="","",IF(INDEX(EntryPartyName,$P268)=0,"",INDEX(EntryPartyName,$P268)))</f>
        <v/>
      </c>
      <c r="F268" s="28">
        <f>IF($P268="","",IF(INDEX(EntryPartyType,$P268)=0,"",INDEX(EntryPartyType,$P268)))</f>
        <v/>
      </c>
      <c r="G268" s="28">
        <f>IF($P268="","",IF(INDEX(EntryTxnType,$P268)=0,"",INDEX(EntryTxnType,$P268)))</f>
        <v/>
      </c>
      <c r="H268" s="29">
        <f>IF($P268="","",IF(INDEX(EntryDep,$P268)=0,"",INDEX(EntryDep,$P268)))</f>
        <v/>
      </c>
      <c r="I268" s="29">
        <f>IF($P268="","",IF(INDEX(EntryWit,$P268)=0,"",INDEX(EntryWit,$P268)))</f>
        <v/>
      </c>
      <c r="J268" s="29">
        <f>IF($B268="","",IF($A268=1,$C$7,IF(J267="",0,J267))+IF($H268="",0,$H268)-IF($I268="",0,$I268))</f>
        <v/>
      </c>
      <c r="K268" s="29">
        <f>IF($P268="","",IF(INDEX(EntryMan,$P268)=0,"",INDEX(EntryMan,$P268)))</f>
        <v/>
      </c>
      <c r="L268" s="28">
        <f>IF($B268="","",IF($K268="","—",IF(ROUND($K268-$J268,0)=0,"√","×")))</f>
        <v/>
      </c>
      <c r="M268" s="28">
        <f>IF($B268="","",IF(COUNTIFS(EntryDates,$B268,CalcTime,$C268,CalcBank,$C$5,EntryParty,$D268,EntryDep,$H268,EntryWit,$I268)&gt;1,"تکرار",""))</f>
        <v/>
      </c>
      <c r="N268" s="28">
        <f>IF($P268="","",IF(INDEX(EntryNotes,$P268)=0,"",INDEX(EntryNotes,$P268)))</f>
        <v/>
      </c>
      <c r="O268" s="28">
        <f>IF($P268="","",IF(INDEX(EntryTxnID,$P268)=0,"",INDEX(EntryTxnID,$P268)))</f>
        <v/>
      </c>
      <c r="P268" s="28">
        <f>IFERROR(MATCH($C$5&amp;"|"&amp;RIGHT("000000"&amp;252,6),CalcRankKey,0),"")</f>
        <v/>
      </c>
    </row>
    <row r="269">
      <c r="A269" s="26">
        <f>IF($B269="","",253)</f>
        <v/>
      </c>
      <c r="B269" s="26">
        <f>IF($P269="","",IF(INDEX(CalcNormDate,$P269)=0,"",INDEX(CalcNormDate,$P269)))</f>
        <v/>
      </c>
      <c r="C269" s="26">
        <f>IF($P269="","",IF(INDEX(CalcTime,$P269)=0,"",INDEX(CalcTime,$P269)))</f>
        <v/>
      </c>
      <c r="D269" s="26">
        <f>IF($P269="","",IF(INDEX(EntryParty,$P269)=0,"",INDEX(EntryParty,$P269)))</f>
        <v/>
      </c>
      <c r="E269" s="26">
        <f>IF($P269="","",IF(INDEX(EntryPartyName,$P269)=0,"",INDEX(EntryPartyName,$P269)))</f>
        <v/>
      </c>
      <c r="F269" s="26">
        <f>IF($P269="","",IF(INDEX(EntryPartyType,$P269)=0,"",INDEX(EntryPartyType,$P269)))</f>
        <v/>
      </c>
      <c r="G269" s="26">
        <f>IF($P269="","",IF(INDEX(EntryTxnType,$P269)=0,"",INDEX(EntryTxnType,$P269)))</f>
        <v/>
      </c>
      <c r="H269" s="27">
        <f>IF($P269="","",IF(INDEX(EntryDep,$P269)=0,"",INDEX(EntryDep,$P269)))</f>
        <v/>
      </c>
      <c r="I269" s="27">
        <f>IF($P269="","",IF(INDEX(EntryWit,$P269)=0,"",INDEX(EntryWit,$P269)))</f>
        <v/>
      </c>
      <c r="J269" s="27">
        <f>IF($B269="","",IF($A269=1,$C$7,IF(J268="",0,J268))+IF($H269="",0,$H269)-IF($I269="",0,$I269))</f>
        <v/>
      </c>
      <c r="K269" s="27">
        <f>IF($P269="","",IF(INDEX(EntryMan,$P269)=0,"",INDEX(EntryMan,$P269)))</f>
        <v/>
      </c>
      <c r="L269" s="26">
        <f>IF($B269="","",IF($K269="","—",IF(ROUND($K269-$J269,0)=0,"√","×")))</f>
        <v/>
      </c>
      <c r="M269" s="26">
        <f>IF($B269="","",IF(COUNTIFS(EntryDates,$B269,CalcTime,$C269,CalcBank,$C$5,EntryParty,$D269,EntryDep,$H269,EntryWit,$I269)&gt;1,"تکرار",""))</f>
        <v/>
      </c>
      <c r="N269" s="26">
        <f>IF($P269="","",IF(INDEX(EntryNotes,$P269)=0,"",INDEX(EntryNotes,$P269)))</f>
        <v/>
      </c>
      <c r="O269" s="26">
        <f>IF($P269="","",IF(INDEX(EntryTxnID,$P269)=0,"",INDEX(EntryTxnID,$P269)))</f>
        <v/>
      </c>
      <c r="P269" s="26">
        <f>IFERROR(MATCH($C$5&amp;"|"&amp;RIGHT("000000"&amp;253,6),CalcRankKey,0),"")</f>
        <v/>
      </c>
    </row>
    <row r="270">
      <c r="A270" s="28">
        <f>IF($B270="","",254)</f>
        <v/>
      </c>
      <c r="B270" s="28">
        <f>IF($P270="","",IF(INDEX(CalcNormDate,$P270)=0,"",INDEX(CalcNormDate,$P270)))</f>
        <v/>
      </c>
      <c r="C270" s="28">
        <f>IF($P270="","",IF(INDEX(CalcTime,$P270)=0,"",INDEX(CalcTime,$P270)))</f>
        <v/>
      </c>
      <c r="D270" s="28">
        <f>IF($P270="","",IF(INDEX(EntryParty,$P270)=0,"",INDEX(EntryParty,$P270)))</f>
        <v/>
      </c>
      <c r="E270" s="28">
        <f>IF($P270="","",IF(INDEX(EntryPartyName,$P270)=0,"",INDEX(EntryPartyName,$P270)))</f>
        <v/>
      </c>
      <c r="F270" s="28">
        <f>IF($P270="","",IF(INDEX(EntryPartyType,$P270)=0,"",INDEX(EntryPartyType,$P270)))</f>
        <v/>
      </c>
      <c r="G270" s="28">
        <f>IF($P270="","",IF(INDEX(EntryTxnType,$P270)=0,"",INDEX(EntryTxnType,$P270)))</f>
        <v/>
      </c>
      <c r="H270" s="29">
        <f>IF($P270="","",IF(INDEX(EntryDep,$P270)=0,"",INDEX(EntryDep,$P270)))</f>
        <v/>
      </c>
      <c r="I270" s="29">
        <f>IF($P270="","",IF(INDEX(EntryWit,$P270)=0,"",INDEX(EntryWit,$P270)))</f>
        <v/>
      </c>
      <c r="J270" s="29">
        <f>IF($B270="","",IF($A270=1,$C$7,IF(J269="",0,J269))+IF($H270="",0,$H270)-IF($I270="",0,$I270))</f>
        <v/>
      </c>
      <c r="K270" s="29">
        <f>IF($P270="","",IF(INDEX(EntryMan,$P270)=0,"",INDEX(EntryMan,$P270)))</f>
        <v/>
      </c>
      <c r="L270" s="28">
        <f>IF($B270="","",IF($K270="","—",IF(ROUND($K270-$J270,0)=0,"√","×")))</f>
        <v/>
      </c>
      <c r="M270" s="28">
        <f>IF($B270="","",IF(COUNTIFS(EntryDates,$B270,CalcTime,$C270,CalcBank,$C$5,EntryParty,$D270,EntryDep,$H270,EntryWit,$I270)&gt;1,"تکرار",""))</f>
        <v/>
      </c>
      <c r="N270" s="28">
        <f>IF($P270="","",IF(INDEX(EntryNotes,$P270)=0,"",INDEX(EntryNotes,$P270)))</f>
        <v/>
      </c>
      <c r="O270" s="28">
        <f>IF($P270="","",IF(INDEX(EntryTxnID,$P270)=0,"",INDEX(EntryTxnID,$P270)))</f>
        <v/>
      </c>
      <c r="P270" s="28">
        <f>IFERROR(MATCH($C$5&amp;"|"&amp;RIGHT("000000"&amp;254,6),CalcRankKey,0),"")</f>
        <v/>
      </c>
    </row>
    <row r="271">
      <c r="A271" s="26">
        <f>IF($B271="","",255)</f>
        <v/>
      </c>
      <c r="B271" s="26">
        <f>IF($P271="","",IF(INDEX(CalcNormDate,$P271)=0,"",INDEX(CalcNormDate,$P271)))</f>
        <v/>
      </c>
      <c r="C271" s="26">
        <f>IF($P271="","",IF(INDEX(CalcTime,$P271)=0,"",INDEX(CalcTime,$P271)))</f>
        <v/>
      </c>
      <c r="D271" s="26">
        <f>IF($P271="","",IF(INDEX(EntryParty,$P271)=0,"",INDEX(EntryParty,$P271)))</f>
        <v/>
      </c>
      <c r="E271" s="26">
        <f>IF($P271="","",IF(INDEX(EntryPartyName,$P271)=0,"",INDEX(EntryPartyName,$P271)))</f>
        <v/>
      </c>
      <c r="F271" s="26">
        <f>IF($P271="","",IF(INDEX(EntryPartyType,$P271)=0,"",INDEX(EntryPartyType,$P271)))</f>
        <v/>
      </c>
      <c r="G271" s="26">
        <f>IF($P271="","",IF(INDEX(EntryTxnType,$P271)=0,"",INDEX(EntryTxnType,$P271)))</f>
        <v/>
      </c>
      <c r="H271" s="27">
        <f>IF($P271="","",IF(INDEX(EntryDep,$P271)=0,"",INDEX(EntryDep,$P271)))</f>
        <v/>
      </c>
      <c r="I271" s="27">
        <f>IF($P271="","",IF(INDEX(EntryWit,$P271)=0,"",INDEX(EntryWit,$P271)))</f>
        <v/>
      </c>
      <c r="J271" s="27">
        <f>IF($B271="","",IF($A271=1,$C$7,IF(J270="",0,J270))+IF($H271="",0,$H271)-IF($I271="",0,$I271))</f>
        <v/>
      </c>
      <c r="K271" s="27">
        <f>IF($P271="","",IF(INDEX(EntryMan,$P271)=0,"",INDEX(EntryMan,$P271)))</f>
        <v/>
      </c>
      <c r="L271" s="26">
        <f>IF($B271="","",IF($K271="","—",IF(ROUND($K271-$J271,0)=0,"√","×")))</f>
        <v/>
      </c>
      <c r="M271" s="26">
        <f>IF($B271="","",IF(COUNTIFS(EntryDates,$B271,CalcTime,$C271,CalcBank,$C$5,EntryParty,$D271,EntryDep,$H271,EntryWit,$I271)&gt;1,"تکرار",""))</f>
        <v/>
      </c>
      <c r="N271" s="26">
        <f>IF($P271="","",IF(INDEX(EntryNotes,$P271)=0,"",INDEX(EntryNotes,$P271)))</f>
        <v/>
      </c>
      <c r="O271" s="26">
        <f>IF($P271="","",IF(INDEX(EntryTxnID,$P271)=0,"",INDEX(EntryTxnID,$P271)))</f>
        <v/>
      </c>
      <c r="P271" s="26">
        <f>IFERROR(MATCH($C$5&amp;"|"&amp;RIGHT("000000"&amp;255,6),CalcRankKey,0),"")</f>
        <v/>
      </c>
    </row>
    <row r="272">
      <c r="A272" s="28">
        <f>IF($B272="","",256)</f>
        <v/>
      </c>
      <c r="B272" s="28">
        <f>IF($P272="","",IF(INDEX(CalcNormDate,$P272)=0,"",INDEX(CalcNormDate,$P272)))</f>
        <v/>
      </c>
      <c r="C272" s="28">
        <f>IF($P272="","",IF(INDEX(CalcTime,$P272)=0,"",INDEX(CalcTime,$P272)))</f>
        <v/>
      </c>
      <c r="D272" s="28">
        <f>IF($P272="","",IF(INDEX(EntryParty,$P272)=0,"",INDEX(EntryParty,$P272)))</f>
        <v/>
      </c>
      <c r="E272" s="28">
        <f>IF($P272="","",IF(INDEX(EntryPartyName,$P272)=0,"",INDEX(EntryPartyName,$P272)))</f>
        <v/>
      </c>
      <c r="F272" s="28">
        <f>IF($P272="","",IF(INDEX(EntryPartyType,$P272)=0,"",INDEX(EntryPartyType,$P272)))</f>
        <v/>
      </c>
      <c r="G272" s="28">
        <f>IF($P272="","",IF(INDEX(EntryTxnType,$P272)=0,"",INDEX(EntryTxnType,$P272)))</f>
        <v/>
      </c>
      <c r="H272" s="29">
        <f>IF($P272="","",IF(INDEX(EntryDep,$P272)=0,"",INDEX(EntryDep,$P272)))</f>
        <v/>
      </c>
      <c r="I272" s="29">
        <f>IF($P272="","",IF(INDEX(EntryWit,$P272)=0,"",INDEX(EntryWit,$P272)))</f>
        <v/>
      </c>
      <c r="J272" s="29">
        <f>IF($B272="","",IF($A272=1,$C$7,IF(J271="",0,J271))+IF($H272="",0,$H272)-IF($I272="",0,$I272))</f>
        <v/>
      </c>
      <c r="K272" s="29">
        <f>IF($P272="","",IF(INDEX(EntryMan,$P272)=0,"",INDEX(EntryMan,$P272)))</f>
        <v/>
      </c>
      <c r="L272" s="28">
        <f>IF($B272="","",IF($K272="","—",IF(ROUND($K272-$J272,0)=0,"√","×")))</f>
        <v/>
      </c>
      <c r="M272" s="28">
        <f>IF($B272="","",IF(COUNTIFS(EntryDates,$B272,CalcTime,$C272,CalcBank,$C$5,EntryParty,$D272,EntryDep,$H272,EntryWit,$I272)&gt;1,"تکرار",""))</f>
        <v/>
      </c>
      <c r="N272" s="28">
        <f>IF($P272="","",IF(INDEX(EntryNotes,$P272)=0,"",INDEX(EntryNotes,$P272)))</f>
        <v/>
      </c>
      <c r="O272" s="28">
        <f>IF($P272="","",IF(INDEX(EntryTxnID,$P272)=0,"",INDEX(EntryTxnID,$P272)))</f>
        <v/>
      </c>
      <c r="P272" s="28">
        <f>IFERROR(MATCH($C$5&amp;"|"&amp;RIGHT("000000"&amp;256,6),CalcRankKey,0),"")</f>
        <v/>
      </c>
    </row>
    <row r="273">
      <c r="A273" s="26">
        <f>IF($B273="","",257)</f>
        <v/>
      </c>
      <c r="B273" s="26">
        <f>IF($P273="","",IF(INDEX(CalcNormDate,$P273)=0,"",INDEX(CalcNormDate,$P273)))</f>
        <v/>
      </c>
      <c r="C273" s="26">
        <f>IF($P273="","",IF(INDEX(CalcTime,$P273)=0,"",INDEX(CalcTime,$P273)))</f>
        <v/>
      </c>
      <c r="D273" s="26">
        <f>IF($P273="","",IF(INDEX(EntryParty,$P273)=0,"",INDEX(EntryParty,$P273)))</f>
        <v/>
      </c>
      <c r="E273" s="26">
        <f>IF($P273="","",IF(INDEX(EntryPartyName,$P273)=0,"",INDEX(EntryPartyName,$P273)))</f>
        <v/>
      </c>
      <c r="F273" s="26">
        <f>IF($P273="","",IF(INDEX(EntryPartyType,$P273)=0,"",INDEX(EntryPartyType,$P273)))</f>
        <v/>
      </c>
      <c r="G273" s="26">
        <f>IF($P273="","",IF(INDEX(EntryTxnType,$P273)=0,"",INDEX(EntryTxnType,$P273)))</f>
        <v/>
      </c>
      <c r="H273" s="27">
        <f>IF($P273="","",IF(INDEX(EntryDep,$P273)=0,"",INDEX(EntryDep,$P273)))</f>
        <v/>
      </c>
      <c r="I273" s="27">
        <f>IF($P273="","",IF(INDEX(EntryWit,$P273)=0,"",INDEX(EntryWit,$P273)))</f>
        <v/>
      </c>
      <c r="J273" s="27">
        <f>IF($B273="","",IF($A273=1,$C$7,IF(J272="",0,J272))+IF($H273="",0,$H273)-IF($I273="",0,$I273))</f>
        <v/>
      </c>
      <c r="K273" s="27">
        <f>IF($P273="","",IF(INDEX(EntryMan,$P273)=0,"",INDEX(EntryMan,$P273)))</f>
        <v/>
      </c>
      <c r="L273" s="26">
        <f>IF($B273="","",IF($K273="","—",IF(ROUND($K273-$J273,0)=0,"√","×")))</f>
        <v/>
      </c>
      <c r="M273" s="26">
        <f>IF($B273="","",IF(COUNTIFS(EntryDates,$B273,CalcTime,$C273,CalcBank,$C$5,EntryParty,$D273,EntryDep,$H273,EntryWit,$I273)&gt;1,"تکرار",""))</f>
        <v/>
      </c>
      <c r="N273" s="26">
        <f>IF($P273="","",IF(INDEX(EntryNotes,$P273)=0,"",INDEX(EntryNotes,$P273)))</f>
        <v/>
      </c>
      <c r="O273" s="26">
        <f>IF($P273="","",IF(INDEX(EntryTxnID,$P273)=0,"",INDEX(EntryTxnID,$P273)))</f>
        <v/>
      </c>
      <c r="P273" s="26">
        <f>IFERROR(MATCH($C$5&amp;"|"&amp;RIGHT("000000"&amp;257,6),CalcRankKey,0),"")</f>
        <v/>
      </c>
    </row>
    <row r="274">
      <c r="A274" s="28">
        <f>IF($B274="","",258)</f>
        <v/>
      </c>
      <c r="B274" s="28">
        <f>IF($P274="","",IF(INDEX(CalcNormDate,$P274)=0,"",INDEX(CalcNormDate,$P274)))</f>
        <v/>
      </c>
      <c r="C274" s="28">
        <f>IF($P274="","",IF(INDEX(CalcTime,$P274)=0,"",INDEX(CalcTime,$P274)))</f>
        <v/>
      </c>
      <c r="D274" s="28">
        <f>IF($P274="","",IF(INDEX(EntryParty,$P274)=0,"",INDEX(EntryParty,$P274)))</f>
        <v/>
      </c>
      <c r="E274" s="28">
        <f>IF($P274="","",IF(INDEX(EntryPartyName,$P274)=0,"",INDEX(EntryPartyName,$P274)))</f>
        <v/>
      </c>
      <c r="F274" s="28">
        <f>IF($P274="","",IF(INDEX(EntryPartyType,$P274)=0,"",INDEX(EntryPartyType,$P274)))</f>
        <v/>
      </c>
      <c r="G274" s="28">
        <f>IF($P274="","",IF(INDEX(EntryTxnType,$P274)=0,"",INDEX(EntryTxnType,$P274)))</f>
        <v/>
      </c>
      <c r="H274" s="29">
        <f>IF($P274="","",IF(INDEX(EntryDep,$P274)=0,"",INDEX(EntryDep,$P274)))</f>
        <v/>
      </c>
      <c r="I274" s="29">
        <f>IF($P274="","",IF(INDEX(EntryWit,$P274)=0,"",INDEX(EntryWit,$P274)))</f>
        <v/>
      </c>
      <c r="J274" s="29">
        <f>IF($B274="","",IF($A274=1,$C$7,IF(J273="",0,J273))+IF($H274="",0,$H274)-IF($I274="",0,$I274))</f>
        <v/>
      </c>
      <c r="K274" s="29">
        <f>IF($P274="","",IF(INDEX(EntryMan,$P274)=0,"",INDEX(EntryMan,$P274)))</f>
        <v/>
      </c>
      <c r="L274" s="28">
        <f>IF($B274="","",IF($K274="","—",IF(ROUND($K274-$J274,0)=0,"√","×")))</f>
        <v/>
      </c>
      <c r="M274" s="28">
        <f>IF($B274="","",IF(COUNTIFS(EntryDates,$B274,CalcTime,$C274,CalcBank,$C$5,EntryParty,$D274,EntryDep,$H274,EntryWit,$I274)&gt;1,"تکرار",""))</f>
        <v/>
      </c>
      <c r="N274" s="28">
        <f>IF($P274="","",IF(INDEX(EntryNotes,$P274)=0,"",INDEX(EntryNotes,$P274)))</f>
        <v/>
      </c>
      <c r="O274" s="28">
        <f>IF($P274="","",IF(INDEX(EntryTxnID,$P274)=0,"",INDEX(EntryTxnID,$P274)))</f>
        <v/>
      </c>
      <c r="P274" s="28">
        <f>IFERROR(MATCH($C$5&amp;"|"&amp;RIGHT("000000"&amp;258,6),CalcRankKey,0),"")</f>
        <v/>
      </c>
    </row>
    <row r="275">
      <c r="A275" s="26">
        <f>IF($B275="","",259)</f>
        <v/>
      </c>
      <c r="B275" s="26">
        <f>IF($P275="","",IF(INDEX(CalcNormDate,$P275)=0,"",INDEX(CalcNormDate,$P275)))</f>
        <v/>
      </c>
      <c r="C275" s="26">
        <f>IF($P275="","",IF(INDEX(CalcTime,$P275)=0,"",INDEX(CalcTime,$P275)))</f>
        <v/>
      </c>
      <c r="D275" s="26">
        <f>IF($P275="","",IF(INDEX(EntryParty,$P275)=0,"",INDEX(EntryParty,$P275)))</f>
        <v/>
      </c>
      <c r="E275" s="26">
        <f>IF($P275="","",IF(INDEX(EntryPartyName,$P275)=0,"",INDEX(EntryPartyName,$P275)))</f>
        <v/>
      </c>
      <c r="F275" s="26">
        <f>IF($P275="","",IF(INDEX(EntryPartyType,$P275)=0,"",INDEX(EntryPartyType,$P275)))</f>
        <v/>
      </c>
      <c r="G275" s="26">
        <f>IF($P275="","",IF(INDEX(EntryTxnType,$P275)=0,"",INDEX(EntryTxnType,$P275)))</f>
        <v/>
      </c>
      <c r="H275" s="27">
        <f>IF($P275="","",IF(INDEX(EntryDep,$P275)=0,"",INDEX(EntryDep,$P275)))</f>
        <v/>
      </c>
      <c r="I275" s="27">
        <f>IF($P275="","",IF(INDEX(EntryWit,$P275)=0,"",INDEX(EntryWit,$P275)))</f>
        <v/>
      </c>
      <c r="J275" s="27">
        <f>IF($B275="","",IF($A275=1,$C$7,IF(J274="",0,J274))+IF($H275="",0,$H275)-IF($I275="",0,$I275))</f>
        <v/>
      </c>
      <c r="K275" s="27">
        <f>IF($P275="","",IF(INDEX(EntryMan,$P275)=0,"",INDEX(EntryMan,$P275)))</f>
        <v/>
      </c>
      <c r="L275" s="26">
        <f>IF($B275="","",IF($K275="","—",IF(ROUND($K275-$J275,0)=0,"√","×")))</f>
        <v/>
      </c>
      <c r="M275" s="26">
        <f>IF($B275="","",IF(COUNTIFS(EntryDates,$B275,CalcTime,$C275,CalcBank,$C$5,EntryParty,$D275,EntryDep,$H275,EntryWit,$I275)&gt;1,"تکرار",""))</f>
        <v/>
      </c>
      <c r="N275" s="26">
        <f>IF($P275="","",IF(INDEX(EntryNotes,$P275)=0,"",INDEX(EntryNotes,$P275)))</f>
        <v/>
      </c>
      <c r="O275" s="26">
        <f>IF($P275="","",IF(INDEX(EntryTxnID,$P275)=0,"",INDEX(EntryTxnID,$P275)))</f>
        <v/>
      </c>
      <c r="P275" s="26">
        <f>IFERROR(MATCH($C$5&amp;"|"&amp;RIGHT("000000"&amp;259,6),CalcRankKey,0),"")</f>
        <v/>
      </c>
    </row>
    <row r="276">
      <c r="A276" s="28">
        <f>IF($B276="","",260)</f>
        <v/>
      </c>
      <c r="B276" s="28">
        <f>IF($P276="","",IF(INDEX(CalcNormDate,$P276)=0,"",INDEX(CalcNormDate,$P276)))</f>
        <v/>
      </c>
      <c r="C276" s="28">
        <f>IF($P276="","",IF(INDEX(CalcTime,$P276)=0,"",INDEX(CalcTime,$P276)))</f>
        <v/>
      </c>
      <c r="D276" s="28">
        <f>IF($P276="","",IF(INDEX(EntryParty,$P276)=0,"",INDEX(EntryParty,$P276)))</f>
        <v/>
      </c>
      <c r="E276" s="28">
        <f>IF($P276="","",IF(INDEX(EntryPartyName,$P276)=0,"",INDEX(EntryPartyName,$P276)))</f>
        <v/>
      </c>
      <c r="F276" s="28">
        <f>IF($P276="","",IF(INDEX(EntryPartyType,$P276)=0,"",INDEX(EntryPartyType,$P276)))</f>
        <v/>
      </c>
      <c r="G276" s="28">
        <f>IF($P276="","",IF(INDEX(EntryTxnType,$P276)=0,"",INDEX(EntryTxnType,$P276)))</f>
        <v/>
      </c>
      <c r="H276" s="29">
        <f>IF($P276="","",IF(INDEX(EntryDep,$P276)=0,"",INDEX(EntryDep,$P276)))</f>
        <v/>
      </c>
      <c r="I276" s="29">
        <f>IF($P276="","",IF(INDEX(EntryWit,$P276)=0,"",INDEX(EntryWit,$P276)))</f>
        <v/>
      </c>
      <c r="J276" s="29">
        <f>IF($B276="","",IF($A276=1,$C$7,IF(J275="",0,J275))+IF($H276="",0,$H276)-IF($I276="",0,$I276))</f>
        <v/>
      </c>
      <c r="K276" s="29">
        <f>IF($P276="","",IF(INDEX(EntryMan,$P276)=0,"",INDEX(EntryMan,$P276)))</f>
        <v/>
      </c>
      <c r="L276" s="28">
        <f>IF($B276="","",IF($K276="","—",IF(ROUND($K276-$J276,0)=0,"√","×")))</f>
        <v/>
      </c>
      <c r="M276" s="28">
        <f>IF($B276="","",IF(COUNTIFS(EntryDates,$B276,CalcTime,$C276,CalcBank,$C$5,EntryParty,$D276,EntryDep,$H276,EntryWit,$I276)&gt;1,"تکرار",""))</f>
        <v/>
      </c>
      <c r="N276" s="28">
        <f>IF($P276="","",IF(INDEX(EntryNotes,$P276)=0,"",INDEX(EntryNotes,$P276)))</f>
        <v/>
      </c>
      <c r="O276" s="28">
        <f>IF($P276="","",IF(INDEX(EntryTxnID,$P276)=0,"",INDEX(EntryTxnID,$P276)))</f>
        <v/>
      </c>
      <c r="P276" s="28">
        <f>IFERROR(MATCH($C$5&amp;"|"&amp;RIGHT("000000"&amp;260,6),CalcRankKey,0),"")</f>
        <v/>
      </c>
    </row>
    <row r="277">
      <c r="A277" s="26">
        <f>IF($B277="","",261)</f>
        <v/>
      </c>
      <c r="B277" s="26">
        <f>IF($P277="","",IF(INDEX(CalcNormDate,$P277)=0,"",INDEX(CalcNormDate,$P277)))</f>
        <v/>
      </c>
      <c r="C277" s="26">
        <f>IF($P277="","",IF(INDEX(CalcTime,$P277)=0,"",INDEX(CalcTime,$P277)))</f>
        <v/>
      </c>
      <c r="D277" s="26">
        <f>IF($P277="","",IF(INDEX(EntryParty,$P277)=0,"",INDEX(EntryParty,$P277)))</f>
        <v/>
      </c>
      <c r="E277" s="26">
        <f>IF($P277="","",IF(INDEX(EntryPartyName,$P277)=0,"",INDEX(EntryPartyName,$P277)))</f>
        <v/>
      </c>
      <c r="F277" s="26">
        <f>IF($P277="","",IF(INDEX(EntryPartyType,$P277)=0,"",INDEX(EntryPartyType,$P277)))</f>
        <v/>
      </c>
      <c r="G277" s="26">
        <f>IF($P277="","",IF(INDEX(EntryTxnType,$P277)=0,"",INDEX(EntryTxnType,$P277)))</f>
        <v/>
      </c>
      <c r="H277" s="27">
        <f>IF($P277="","",IF(INDEX(EntryDep,$P277)=0,"",INDEX(EntryDep,$P277)))</f>
        <v/>
      </c>
      <c r="I277" s="27">
        <f>IF($P277="","",IF(INDEX(EntryWit,$P277)=0,"",INDEX(EntryWit,$P277)))</f>
        <v/>
      </c>
      <c r="J277" s="27">
        <f>IF($B277="","",IF($A277=1,$C$7,IF(J276="",0,J276))+IF($H277="",0,$H277)-IF($I277="",0,$I277))</f>
        <v/>
      </c>
      <c r="K277" s="27">
        <f>IF($P277="","",IF(INDEX(EntryMan,$P277)=0,"",INDEX(EntryMan,$P277)))</f>
        <v/>
      </c>
      <c r="L277" s="26">
        <f>IF($B277="","",IF($K277="","—",IF(ROUND($K277-$J277,0)=0,"√","×")))</f>
        <v/>
      </c>
      <c r="M277" s="26">
        <f>IF($B277="","",IF(COUNTIFS(EntryDates,$B277,CalcTime,$C277,CalcBank,$C$5,EntryParty,$D277,EntryDep,$H277,EntryWit,$I277)&gt;1,"تکرار",""))</f>
        <v/>
      </c>
      <c r="N277" s="26">
        <f>IF($P277="","",IF(INDEX(EntryNotes,$P277)=0,"",INDEX(EntryNotes,$P277)))</f>
        <v/>
      </c>
      <c r="O277" s="26">
        <f>IF($P277="","",IF(INDEX(EntryTxnID,$P277)=0,"",INDEX(EntryTxnID,$P277)))</f>
        <v/>
      </c>
      <c r="P277" s="26">
        <f>IFERROR(MATCH($C$5&amp;"|"&amp;RIGHT("000000"&amp;261,6),CalcRankKey,0),"")</f>
        <v/>
      </c>
    </row>
    <row r="278">
      <c r="A278" s="28">
        <f>IF($B278="","",262)</f>
        <v/>
      </c>
      <c r="B278" s="28">
        <f>IF($P278="","",IF(INDEX(CalcNormDate,$P278)=0,"",INDEX(CalcNormDate,$P278)))</f>
        <v/>
      </c>
      <c r="C278" s="28">
        <f>IF($P278="","",IF(INDEX(CalcTime,$P278)=0,"",INDEX(CalcTime,$P278)))</f>
        <v/>
      </c>
      <c r="D278" s="28">
        <f>IF($P278="","",IF(INDEX(EntryParty,$P278)=0,"",INDEX(EntryParty,$P278)))</f>
        <v/>
      </c>
      <c r="E278" s="28">
        <f>IF($P278="","",IF(INDEX(EntryPartyName,$P278)=0,"",INDEX(EntryPartyName,$P278)))</f>
        <v/>
      </c>
      <c r="F278" s="28">
        <f>IF($P278="","",IF(INDEX(EntryPartyType,$P278)=0,"",INDEX(EntryPartyType,$P278)))</f>
        <v/>
      </c>
      <c r="G278" s="28">
        <f>IF($P278="","",IF(INDEX(EntryTxnType,$P278)=0,"",INDEX(EntryTxnType,$P278)))</f>
        <v/>
      </c>
      <c r="H278" s="29">
        <f>IF($P278="","",IF(INDEX(EntryDep,$P278)=0,"",INDEX(EntryDep,$P278)))</f>
        <v/>
      </c>
      <c r="I278" s="29">
        <f>IF($P278="","",IF(INDEX(EntryWit,$P278)=0,"",INDEX(EntryWit,$P278)))</f>
        <v/>
      </c>
      <c r="J278" s="29">
        <f>IF($B278="","",IF($A278=1,$C$7,IF(J277="",0,J277))+IF($H278="",0,$H278)-IF($I278="",0,$I278))</f>
        <v/>
      </c>
      <c r="K278" s="29">
        <f>IF($P278="","",IF(INDEX(EntryMan,$P278)=0,"",INDEX(EntryMan,$P278)))</f>
        <v/>
      </c>
      <c r="L278" s="28">
        <f>IF($B278="","",IF($K278="","—",IF(ROUND($K278-$J278,0)=0,"√","×")))</f>
        <v/>
      </c>
      <c r="M278" s="28">
        <f>IF($B278="","",IF(COUNTIFS(EntryDates,$B278,CalcTime,$C278,CalcBank,$C$5,EntryParty,$D278,EntryDep,$H278,EntryWit,$I278)&gt;1,"تکرار",""))</f>
        <v/>
      </c>
      <c r="N278" s="28">
        <f>IF($P278="","",IF(INDEX(EntryNotes,$P278)=0,"",INDEX(EntryNotes,$P278)))</f>
        <v/>
      </c>
      <c r="O278" s="28">
        <f>IF($P278="","",IF(INDEX(EntryTxnID,$P278)=0,"",INDEX(EntryTxnID,$P278)))</f>
        <v/>
      </c>
      <c r="P278" s="28">
        <f>IFERROR(MATCH($C$5&amp;"|"&amp;RIGHT("000000"&amp;262,6),CalcRankKey,0),"")</f>
        <v/>
      </c>
    </row>
    <row r="279">
      <c r="A279" s="26">
        <f>IF($B279="","",263)</f>
        <v/>
      </c>
      <c r="B279" s="26">
        <f>IF($P279="","",IF(INDEX(CalcNormDate,$P279)=0,"",INDEX(CalcNormDate,$P279)))</f>
        <v/>
      </c>
      <c r="C279" s="26">
        <f>IF($P279="","",IF(INDEX(CalcTime,$P279)=0,"",INDEX(CalcTime,$P279)))</f>
        <v/>
      </c>
      <c r="D279" s="26">
        <f>IF($P279="","",IF(INDEX(EntryParty,$P279)=0,"",INDEX(EntryParty,$P279)))</f>
        <v/>
      </c>
      <c r="E279" s="26">
        <f>IF($P279="","",IF(INDEX(EntryPartyName,$P279)=0,"",INDEX(EntryPartyName,$P279)))</f>
        <v/>
      </c>
      <c r="F279" s="26">
        <f>IF($P279="","",IF(INDEX(EntryPartyType,$P279)=0,"",INDEX(EntryPartyType,$P279)))</f>
        <v/>
      </c>
      <c r="G279" s="26">
        <f>IF($P279="","",IF(INDEX(EntryTxnType,$P279)=0,"",INDEX(EntryTxnType,$P279)))</f>
        <v/>
      </c>
      <c r="H279" s="27">
        <f>IF($P279="","",IF(INDEX(EntryDep,$P279)=0,"",INDEX(EntryDep,$P279)))</f>
        <v/>
      </c>
      <c r="I279" s="27">
        <f>IF($P279="","",IF(INDEX(EntryWit,$P279)=0,"",INDEX(EntryWit,$P279)))</f>
        <v/>
      </c>
      <c r="J279" s="27">
        <f>IF($B279="","",IF($A279=1,$C$7,IF(J278="",0,J278))+IF($H279="",0,$H279)-IF($I279="",0,$I279))</f>
        <v/>
      </c>
      <c r="K279" s="27">
        <f>IF($P279="","",IF(INDEX(EntryMan,$P279)=0,"",INDEX(EntryMan,$P279)))</f>
        <v/>
      </c>
      <c r="L279" s="26">
        <f>IF($B279="","",IF($K279="","—",IF(ROUND($K279-$J279,0)=0,"√","×")))</f>
        <v/>
      </c>
      <c r="M279" s="26">
        <f>IF($B279="","",IF(COUNTIFS(EntryDates,$B279,CalcTime,$C279,CalcBank,$C$5,EntryParty,$D279,EntryDep,$H279,EntryWit,$I279)&gt;1,"تکرار",""))</f>
        <v/>
      </c>
      <c r="N279" s="26">
        <f>IF($P279="","",IF(INDEX(EntryNotes,$P279)=0,"",INDEX(EntryNotes,$P279)))</f>
        <v/>
      </c>
      <c r="O279" s="26">
        <f>IF($P279="","",IF(INDEX(EntryTxnID,$P279)=0,"",INDEX(EntryTxnID,$P279)))</f>
        <v/>
      </c>
      <c r="P279" s="26">
        <f>IFERROR(MATCH($C$5&amp;"|"&amp;RIGHT("000000"&amp;263,6),CalcRankKey,0),"")</f>
        <v/>
      </c>
    </row>
    <row r="280">
      <c r="A280" s="28">
        <f>IF($B280="","",264)</f>
        <v/>
      </c>
      <c r="B280" s="28">
        <f>IF($P280="","",IF(INDEX(CalcNormDate,$P280)=0,"",INDEX(CalcNormDate,$P280)))</f>
        <v/>
      </c>
      <c r="C280" s="28">
        <f>IF($P280="","",IF(INDEX(CalcTime,$P280)=0,"",INDEX(CalcTime,$P280)))</f>
        <v/>
      </c>
      <c r="D280" s="28">
        <f>IF($P280="","",IF(INDEX(EntryParty,$P280)=0,"",INDEX(EntryParty,$P280)))</f>
        <v/>
      </c>
      <c r="E280" s="28">
        <f>IF($P280="","",IF(INDEX(EntryPartyName,$P280)=0,"",INDEX(EntryPartyName,$P280)))</f>
        <v/>
      </c>
      <c r="F280" s="28">
        <f>IF($P280="","",IF(INDEX(EntryPartyType,$P280)=0,"",INDEX(EntryPartyType,$P280)))</f>
        <v/>
      </c>
      <c r="G280" s="28">
        <f>IF($P280="","",IF(INDEX(EntryTxnType,$P280)=0,"",INDEX(EntryTxnType,$P280)))</f>
        <v/>
      </c>
      <c r="H280" s="29">
        <f>IF($P280="","",IF(INDEX(EntryDep,$P280)=0,"",INDEX(EntryDep,$P280)))</f>
        <v/>
      </c>
      <c r="I280" s="29">
        <f>IF($P280="","",IF(INDEX(EntryWit,$P280)=0,"",INDEX(EntryWit,$P280)))</f>
        <v/>
      </c>
      <c r="J280" s="29">
        <f>IF($B280="","",IF($A280=1,$C$7,IF(J279="",0,J279))+IF($H280="",0,$H280)-IF($I280="",0,$I280))</f>
        <v/>
      </c>
      <c r="K280" s="29">
        <f>IF($P280="","",IF(INDEX(EntryMan,$P280)=0,"",INDEX(EntryMan,$P280)))</f>
        <v/>
      </c>
      <c r="L280" s="28">
        <f>IF($B280="","",IF($K280="","—",IF(ROUND($K280-$J280,0)=0,"√","×")))</f>
        <v/>
      </c>
      <c r="M280" s="28">
        <f>IF($B280="","",IF(COUNTIFS(EntryDates,$B280,CalcTime,$C280,CalcBank,$C$5,EntryParty,$D280,EntryDep,$H280,EntryWit,$I280)&gt;1,"تکرار",""))</f>
        <v/>
      </c>
      <c r="N280" s="28">
        <f>IF($P280="","",IF(INDEX(EntryNotes,$P280)=0,"",INDEX(EntryNotes,$P280)))</f>
        <v/>
      </c>
      <c r="O280" s="28">
        <f>IF($P280="","",IF(INDEX(EntryTxnID,$P280)=0,"",INDEX(EntryTxnID,$P280)))</f>
        <v/>
      </c>
      <c r="P280" s="28">
        <f>IFERROR(MATCH($C$5&amp;"|"&amp;RIGHT("000000"&amp;264,6),CalcRankKey,0),"")</f>
        <v/>
      </c>
    </row>
    <row r="281">
      <c r="A281" s="26">
        <f>IF($B281="","",265)</f>
        <v/>
      </c>
      <c r="B281" s="26">
        <f>IF($P281="","",IF(INDEX(CalcNormDate,$P281)=0,"",INDEX(CalcNormDate,$P281)))</f>
        <v/>
      </c>
      <c r="C281" s="26">
        <f>IF($P281="","",IF(INDEX(CalcTime,$P281)=0,"",INDEX(CalcTime,$P281)))</f>
        <v/>
      </c>
      <c r="D281" s="26">
        <f>IF($P281="","",IF(INDEX(EntryParty,$P281)=0,"",INDEX(EntryParty,$P281)))</f>
        <v/>
      </c>
      <c r="E281" s="26">
        <f>IF($P281="","",IF(INDEX(EntryPartyName,$P281)=0,"",INDEX(EntryPartyName,$P281)))</f>
        <v/>
      </c>
      <c r="F281" s="26">
        <f>IF($P281="","",IF(INDEX(EntryPartyType,$P281)=0,"",INDEX(EntryPartyType,$P281)))</f>
        <v/>
      </c>
      <c r="G281" s="26">
        <f>IF($P281="","",IF(INDEX(EntryTxnType,$P281)=0,"",INDEX(EntryTxnType,$P281)))</f>
        <v/>
      </c>
      <c r="H281" s="27">
        <f>IF($P281="","",IF(INDEX(EntryDep,$P281)=0,"",INDEX(EntryDep,$P281)))</f>
        <v/>
      </c>
      <c r="I281" s="27">
        <f>IF($P281="","",IF(INDEX(EntryWit,$P281)=0,"",INDEX(EntryWit,$P281)))</f>
        <v/>
      </c>
      <c r="J281" s="27">
        <f>IF($B281="","",IF($A281=1,$C$7,IF(J280="",0,J280))+IF($H281="",0,$H281)-IF($I281="",0,$I281))</f>
        <v/>
      </c>
      <c r="K281" s="27">
        <f>IF($P281="","",IF(INDEX(EntryMan,$P281)=0,"",INDEX(EntryMan,$P281)))</f>
        <v/>
      </c>
      <c r="L281" s="26">
        <f>IF($B281="","",IF($K281="","—",IF(ROUND($K281-$J281,0)=0,"√","×")))</f>
        <v/>
      </c>
      <c r="M281" s="26">
        <f>IF($B281="","",IF(COUNTIFS(EntryDates,$B281,CalcTime,$C281,CalcBank,$C$5,EntryParty,$D281,EntryDep,$H281,EntryWit,$I281)&gt;1,"تکرار",""))</f>
        <v/>
      </c>
      <c r="N281" s="26">
        <f>IF($P281="","",IF(INDEX(EntryNotes,$P281)=0,"",INDEX(EntryNotes,$P281)))</f>
        <v/>
      </c>
      <c r="O281" s="26">
        <f>IF($P281="","",IF(INDEX(EntryTxnID,$P281)=0,"",INDEX(EntryTxnID,$P281)))</f>
        <v/>
      </c>
      <c r="P281" s="26">
        <f>IFERROR(MATCH($C$5&amp;"|"&amp;RIGHT("000000"&amp;265,6),CalcRankKey,0),"")</f>
        <v/>
      </c>
    </row>
    <row r="282">
      <c r="A282" s="28">
        <f>IF($B282="","",266)</f>
        <v/>
      </c>
      <c r="B282" s="28">
        <f>IF($P282="","",IF(INDEX(CalcNormDate,$P282)=0,"",INDEX(CalcNormDate,$P282)))</f>
        <v/>
      </c>
      <c r="C282" s="28">
        <f>IF($P282="","",IF(INDEX(CalcTime,$P282)=0,"",INDEX(CalcTime,$P282)))</f>
        <v/>
      </c>
      <c r="D282" s="28">
        <f>IF($P282="","",IF(INDEX(EntryParty,$P282)=0,"",INDEX(EntryParty,$P282)))</f>
        <v/>
      </c>
      <c r="E282" s="28">
        <f>IF($P282="","",IF(INDEX(EntryPartyName,$P282)=0,"",INDEX(EntryPartyName,$P282)))</f>
        <v/>
      </c>
      <c r="F282" s="28">
        <f>IF($P282="","",IF(INDEX(EntryPartyType,$P282)=0,"",INDEX(EntryPartyType,$P282)))</f>
        <v/>
      </c>
      <c r="G282" s="28">
        <f>IF($P282="","",IF(INDEX(EntryTxnType,$P282)=0,"",INDEX(EntryTxnType,$P282)))</f>
        <v/>
      </c>
      <c r="H282" s="29">
        <f>IF($P282="","",IF(INDEX(EntryDep,$P282)=0,"",INDEX(EntryDep,$P282)))</f>
        <v/>
      </c>
      <c r="I282" s="29">
        <f>IF($P282="","",IF(INDEX(EntryWit,$P282)=0,"",INDEX(EntryWit,$P282)))</f>
        <v/>
      </c>
      <c r="J282" s="29">
        <f>IF($B282="","",IF($A282=1,$C$7,IF(J281="",0,J281))+IF($H282="",0,$H282)-IF($I282="",0,$I282))</f>
        <v/>
      </c>
      <c r="K282" s="29">
        <f>IF($P282="","",IF(INDEX(EntryMan,$P282)=0,"",INDEX(EntryMan,$P282)))</f>
        <v/>
      </c>
      <c r="L282" s="28">
        <f>IF($B282="","",IF($K282="","—",IF(ROUND($K282-$J282,0)=0,"√","×")))</f>
        <v/>
      </c>
      <c r="M282" s="28">
        <f>IF($B282="","",IF(COUNTIFS(EntryDates,$B282,CalcTime,$C282,CalcBank,$C$5,EntryParty,$D282,EntryDep,$H282,EntryWit,$I282)&gt;1,"تکرار",""))</f>
        <v/>
      </c>
      <c r="N282" s="28">
        <f>IF($P282="","",IF(INDEX(EntryNotes,$P282)=0,"",INDEX(EntryNotes,$P282)))</f>
        <v/>
      </c>
      <c r="O282" s="28">
        <f>IF($P282="","",IF(INDEX(EntryTxnID,$P282)=0,"",INDEX(EntryTxnID,$P282)))</f>
        <v/>
      </c>
      <c r="P282" s="28">
        <f>IFERROR(MATCH($C$5&amp;"|"&amp;RIGHT("000000"&amp;266,6),CalcRankKey,0),"")</f>
        <v/>
      </c>
    </row>
    <row r="283">
      <c r="A283" s="26">
        <f>IF($B283="","",267)</f>
        <v/>
      </c>
      <c r="B283" s="26">
        <f>IF($P283="","",IF(INDEX(CalcNormDate,$P283)=0,"",INDEX(CalcNormDate,$P283)))</f>
        <v/>
      </c>
      <c r="C283" s="26">
        <f>IF($P283="","",IF(INDEX(CalcTime,$P283)=0,"",INDEX(CalcTime,$P283)))</f>
        <v/>
      </c>
      <c r="D283" s="26">
        <f>IF($P283="","",IF(INDEX(EntryParty,$P283)=0,"",INDEX(EntryParty,$P283)))</f>
        <v/>
      </c>
      <c r="E283" s="26">
        <f>IF($P283="","",IF(INDEX(EntryPartyName,$P283)=0,"",INDEX(EntryPartyName,$P283)))</f>
        <v/>
      </c>
      <c r="F283" s="26">
        <f>IF($P283="","",IF(INDEX(EntryPartyType,$P283)=0,"",INDEX(EntryPartyType,$P283)))</f>
        <v/>
      </c>
      <c r="G283" s="26">
        <f>IF($P283="","",IF(INDEX(EntryTxnType,$P283)=0,"",INDEX(EntryTxnType,$P283)))</f>
        <v/>
      </c>
      <c r="H283" s="27">
        <f>IF($P283="","",IF(INDEX(EntryDep,$P283)=0,"",INDEX(EntryDep,$P283)))</f>
        <v/>
      </c>
      <c r="I283" s="27">
        <f>IF($P283="","",IF(INDEX(EntryWit,$P283)=0,"",INDEX(EntryWit,$P283)))</f>
        <v/>
      </c>
      <c r="J283" s="27">
        <f>IF($B283="","",IF($A283=1,$C$7,IF(J282="",0,J282))+IF($H283="",0,$H283)-IF($I283="",0,$I283))</f>
        <v/>
      </c>
      <c r="K283" s="27">
        <f>IF($P283="","",IF(INDEX(EntryMan,$P283)=0,"",INDEX(EntryMan,$P283)))</f>
        <v/>
      </c>
      <c r="L283" s="26">
        <f>IF($B283="","",IF($K283="","—",IF(ROUND($K283-$J283,0)=0,"√","×")))</f>
        <v/>
      </c>
      <c r="M283" s="26">
        <f>IF($B283="","",IF(COUNTIFS(EntryDates,$B283,CalcTime,$C283,CalcBank,$C$5,EntryParty,$D283,EntryDep,$H283,EntryWit,$I283)&gt;1,"تکرار",""))</f>
        <v/>
      </c>
      <c r="N283" s="26">
        <f>IF($P283="","",IF(INDEX(EntryNotes,$P283)=0,"",INDEX(EntryNotes,$P283)))</f>
        <v/>
      </c>
      <c r="O283" s="26">
        <f>IF($P283="","",IF(INDEX(EntryTxnID,$P283)=0,"",INDEX(EntryTxnID,$P283)))</f>
        <v/>
      </c>
      <c r="P283" s="26">
        <f>IFERROR(MATCH($C$5&amp;"|"&amp;RIGHT("000000"&amp;267,6),CalcRankKey,0),"")</f>
        <v/>
      </c>
    </row>
    <row r="284">
      <c r="A284" s="28">
        <f>IF($B284="","",268)</f>
        <v/>
      </c>
      <c r="B284" s="28">
        <f>IF($P284="","",IF(INDEX(CalcNormDate,$P284)=0,"",INDEX(CalcNormDate,$P284)))</f>
        <v/>
      </c>
      <c r="C284" s="28">
        <f>IF($P284="","",IF(INDEX(CalcTime,$P284)=0,"",INDEX(CalcTime,$P284)))</f>
        <v/>
      </c>
      <c r="D284" s="28">
        <f>IF($P284="","",IF(INDEX(EntryParty,$P284)=0,"",INDEX(EntryParty,$P284)))</f>
        <v/>
      </c>
      <c r="E284" s="28">
        <f>IF($P284="","",IF(INDEX(EntryPartyName,$P284)=0,"",INDEX(EntryPartyName,$P284)))</f>
        <v/>
      </c>
      <c r="F284" s="28">
        <f>IF($P284="","",IF(INDEX(EntryPartyType,$P284)=0,"",INDEX(EntryPartyType,$P284)))</f>
        <v/>
      </c>
      <c r="G284" s="28">
        <f>IF($P284="","",IF(INDEX(EntryTxnType,$P284)=0,"",INDEX(EntryTxnType,$P284)))</f>
        <v/>
      </c>
      <c r="H284" s="29">
        <f>IF($P284="","",IF(INDEX(EntryDep,$P284)=0,"",INDEX(EntryDep,$P284)))</f>
        <v/>
      </c>
      <c r="I284" s="29">
        <f>IF($P284="","",IF(INDEX(EntryWit,$P284)=0,"",INDEX(EntryWit,$P284)))</f>
        <v/>
      </c>
      <c r="J284" s="29">
        <f>IF($B284="","",IF($A284=1,$C$7,IF(J283="",0,J283))+IF($H284="",0,$H284)-IF($I284="",0,$I284))</f>
        <v/>
      </c>
      <c r="K284" s="29">
        <f>IF($P284="","",IF(INDEX(EntryMan,$P284)=0,"",INDEX(EntryMan,$P284)))</f>
        <v/>
      </c>
      <c r="L284" s="28">
        <f>IF($B284="","",IF($K284="","—",IF(ROUND($K284-$J284,0)=0,"√","×")))</f>
        <v/>
      </c>
      <c r="M284" s="28">
        <f>IF($B284="","",IF(COUNTIFS(EntryDates,$B284,CalcTime,$C284,CalcBank,$C$5,EntryParty,$D284,EntryDep,$H284,EntryWit,$I284)&gt;1,"تکرار",""))</f>
        <v/>
      </c>
      <c r="N284" s="28">
        <f>IF($P284="","",IF(INDEX(EntryNotes,$P284)=0,"",INDEX(EntryNotes,$P284)))</f>
        <v/>
      </c>
      <c r="O284" s="28">
        <f>IF($P284="","",IF(INDEX(EntryTxnID,$P284)=0,"",INDEX(EntryTxnID,$P284)))</f>
        <v/>
      </c>
      <c r="P284" s="28">
        <f>IFERROR(MATCH($C$5&amp;"|"&amp;RIGHT("000000"&amp;268,6),CalcRankKey,0),"")</f>
        <v/>
      </c>
    </row>
    <row r="285">
      <c r="A285" s="26">
        <f>IF($B285="","",269)</f>
        <v/>
      </c>
      <c r="B285" s="26">
        <f>IF($P285="","",IF(INDEX(CalcNormDate,$P285)=0,"",INDEX(CalcNormDate,$P285)))</f>
        <v/>
      </c>
      <c r="C285" s="26">
        <f>IF($P285="","",IF(INDEX(CalcTime,$P285)=0,"",INDEX(CalcTime,$P285)))</f>
        <v/>
      </c>
      <c r="D285" s="26">
        <f>IF($P285="","",IF(INDEX(EntryParty,$P285)=0,"",INDEX(EntryParty,$P285)))</f>
        <v/>
      </c>
      <c r="E285" s="26">
        <f>IF($P285="","",IF(INDEX(EntryPartyName,$P285)=0,"",INDEX(EntryPartyName,$P285)))</f>
        <v/>
      </c>
      <c r="F285" s="26">
        <f>IF($P285="","",IF(INDEX(EntryPartyType,$P285)=0,"",INDEX(EntryPartyType,$P285)))</f>
        <v/>
      </c>
      <c r="G285" s="26">
        <f>IF($P285="","",IF(INDEX(EntryTxnType,$P285)=0,"",INDEX(EntryTxnType,$P285)))</f>
        <v/>
      </c>
      <c r="H285" s="27">
        <f>IF($P285="","",IF(INDEX(EntryDep,$P285)=0,"",INDEX(EntryDep,$P285)))</f>
        <v/>
      </c>
      <c r="I285" s="27">
        <f>IF($P285="","",IF(INDEX(EntryWit,$P285)=0,"",INDEX(EntryWit,$P285)))</f>
        <v/>
      </c>
      <c r="J285" s="27">
        <f>IF($B285="","",IF($A285=1,$C$7,IF(J284="",0,J284))+IF($H285="",0,$H285)-IF($I285="",0,$I285))</f>
        <v/>
      </c>
      <c r="K285" s="27">
        <f>IF($P285="","",IF(INDEX(EntryMan,$P285)=0,"",INDEX(EntryMan,$P285)))</f>
        <v/>
      </c>
      <c r="L285" s="26">
        <f>IF($B285="","",IF($K285="","—",IF(ROUND($K285-$J285,0)=0,"√","×")))</f>
        <v/>
      </c>
      <c r="M285" s="26">
        <f>IF($B285="","",IF(COUNTIFS(EntryDates,$B285,CalcTime,$C285,CalcBank,$C$5,EntryParty,$D285,EntryDep,$H285,EntryWit,$I285)&gt;1,"تکرار",""))</f>
        <v/>
      </c>
      <c r="N285" s="26">
        <f>IF($P285="","",IF(INDEX(EntryNotes,$P285)=0,"",INDEX(EntryNotes,$P285)))</f>
        <v/>
      </c>
      <c r="O285" s="26">
        <f>IF($P285="","",IF(INDEX(EntryTxnID,$P285)=0,"",INDEX(EntryTxnID,$P285)))</f>
        <v/>
      </c>
      <c r="P285" s="26">
        <f>IFERROR(MATCH($C$5&amp;"|"&amp;RIGHT("000000"&amp;269,6),CalcRankKey,0),"")</f>
        <v/>
      </c>
    </row>
    <row r="286">
      <c r="A286" s="28">
        <f>IF($B286="","",270)</f>
        <v/>
      </c>
      <c r="B286" s="28">
        <f>IF($P286="","",IF(INDEX(CalcNormDate,$P286)=0,"",INDEX(CalcNormDate,$P286)))</f>
        <v/>
      </c>
      <c r="C286" s="28">
        <f>IF($P286="","",IF(INDEX(CalcTime,$P286)=0,"",INDEX(CalcTime,$P286)))</f>
        <v/>
      </c>
      <c r="D286" s="28">
        <f>IF($P286="","",IF(INDEX(EntryParty,$P286)=0,"",INDEX(EntryParty,$P286)))</f>
        <v/>
      </c>
      <c r="E286" s="28">
        <f>IF($P286="","",IF(INDEX(EntryPartyName,$P286)=0,"",INDEX(EntryPartyName,$P286)))</f>
        <v/>
      </c>
      <c r="F286" s="28">
        <f>IF($P286="","",IF(INDEX(EntryPartyType,$P286)=0,"",INDEX(EntryPartyType,$P286)))</f>
        <v/>
      </c>
      <c r="G286" s="28">
        <f>IF($P286="","",IF(INDEX(EntryTxnType,$P286)=0,"",INDEX(EntryTxnType,$P286)))</f>
        <v/>
      </c>
      <c r="H286" s="29">
        <f>IF($P286="","",IF(INDEX(EntryDep,$P286)=0,"",INDEX(EntryDep,$P286)))</f>
        <v/>
      </c>
      <c r="I286" s="29">
        <f>IF($P286="","",IF(INDEX(EntryWit,$P286)=0,"",INDEX(EntryWit,$P286)))</f>
        <v/>
      </c>
      <c r="J286" s="29">
        <f>IF($B286="","",IF($A286=1,$C$7,IF(J285="",0,J285))+IF($H286="",0,$H286)-IF($I286="",0,$I286))</f>
        <v/>
      </c>
      <c r="K286" s="29">
        <f>IF($P286="","",IF(INDEX(EntryMan,$P286)=0,"",INDEX(EntryMan,$P286)))</f>
        <v/>
      </c>
      <c r="L286" s="28">
        <f>IF($B286="","",IF($K286="","—",IF(ROUND($K286-$J286,0)=0,"√","×")))</f>
        <v/>
      </c>
      <c r="M286" s="28">
        <f>IF($B286="","",IF(COUNTIFS(EntryDates,$B286,CalcTime,$C286,CalcBank,$C$5,EntryParty,$D286,EntryDep,$H286,EntryWit,$I286)&gt;1,"تکرار",""))</f>
        <v/>
      </c>
      <c r="N286" s="28">
        <f>IF($P286="","",IF(INDEX(EntryNotes,$P286)=0,"",INDEX(EntryNotes,$P286)))</f>
        <v/>
      </c>
      <c r="O286" s="28">
        <f>IF($P286="","",IF(INDEX(EntryTxnID,$P286)=0,"",INDEX(EntryTxnID,$P286)))</f>
        <v/>
      </c>
      <c r="P286" s="28">
        <f>IFERROR(MATCH($C$5&amp;"|"&amp;RIGHT("000000"&amp;270,6),CalcRankKey,0),"")</f>
        <v/>
      </c>
    </row>
    <row r="287">
      <c r="A287" s="26">
        <f>IF($B287="","",271)</f>
        <v/>
      </c>
      <c r="B287" s="26">
        <f>IF($P287="","",IF(INDEX(CalcNormDate,$P287)=0,"",INDEX(CalcNormDate,$P287)))</f>
        <v/>
      </c>
      <c r="C287" s="26">
        <f>IF($P287="","",IF(INDEX(CalcTime,$P287)=0,"",INDEX(CalcTime,$P287)))</f>
        <v/>
      </c>
      <c r="D287" s="26">
        <f>IF($P287="","",IF(INDEX(EntryParty,$P287)=0,"",INDEX(EntryParty,$P287)))</f>
        <v/>
      </c>
      <c r="E287" s="26">
        <f>IF($P287="","",IF(INDEX(EntryPartyName,$P287)=0,"",INDEX(EntryPartyName,$P287)))</f>
        <v/>
      </c>
      <c r="F287" s="26">
        <f>IF($P287="","",IF(INDEX(EntryPartyType,$P287)=0,"",INDEX(EntryPartyType,$P287)))</f>
        <v/>
      </c>
      <c r="G287" s="26">
        <f>IF($P287="","",IF(INDEX(EntryTxnType,$P287)=0,"",INDEX(EntryTxnType,$P287)))</f>
        <v/>
      </c>
      <c r="H287" s="27">
        <f>IF($P287="","",IF(INDEX(EntryDep,$P287)=0,"",INDEX(EntryDep,$P287)))</f>
        <v/>
      </c>
      <c r="I287" s="27">
        <f>IF($P287="","",IF(INDEX(EntryWit,$P287)=0,"",INDEX(EntryWit,$P287)))</f>
        <v/>
      </c>
      <c r="J287" s="27">
        <f>IF($B287="","",IF($A287=1,$C$7,IF(J286="",0,J286))+IF($H287="",0,$H287)-IF($I287="",0,$I287))</f>
        <v/>
      </c>
      <c r="K287" s="27">
        <f>IF($P287="","",IF(INDEX(EntryMan,$P287)=0,"",INDEX(EntryMan,$P287)))</f>
        <v/>
      </c>
      <c r="L287" s="26">
        <f>IF($B287="","",IF($K287="","—",IF(ROUND($K287-$J287,0)=0,"√","×")))</f>
        <v/>
      </c>
      <c r="M287" s="26">
        <f>IF($B287="","",IF(COUNTIFS(EntryDates,$B287,CalcTime,$C287,CalcBank,$C$5,EntryParty,$D287,EntryDep,$H287,EntryWit,$I287)&gt;1,"تکرار",""))</f>
        <v/>
      </c>
      <c r="N287" s="26">
        <f>IF($P287="","",IF(INDEX(EntryNotes,$P287)=0,"",INDEX(EntryNotes,$P287)))</f>
        <v/>
      </c>
      <c r="O287" s="26">
        <f>IF($P287="","",IF(INDEX(EntryTxnID,$P287)=0,"",INDEX(EntryTxnID,$P287)))</f>
        <v/>
      </c>
      <c r="P287" s="26">
        <f>IFERROR(MATCH($C$5&amp;"|"&amp;RIGHT("000000"&amp;271,6),CalcRankKey,0),"")</f>
        <v/>
      </c>
    </row>
    <row r="288">
      <c r="A288" s="28">
        <f>IF($B288="","",272)</f>
        <v/>
      </c>
      <c r="B288" s="28">
        <f>IF($P288="","",IF(INDEX(CalcNormDate,$P288)=0,"",INDEX(CalcNormDate,$P288)))</f>
        <v/>
      </c>
      <c r="C288" s="28">
        <f>IF($P288="","",IF(INDEX(CalcTime,$P288)=0,"",INDEX(CalcTime,$P288)))</f>
        <v/>
      </c>
      <c r="D288" s="28">
        <f>IF($P288="","",IF(INDEX(EntryParty,$P288)=0,"",INDEX(EntryParty,$P288)))</f>
        <v/>
      </c>
      <c r="E288" s="28">
        <f>IF($P288="","",IF(INDEX(EntryPartyName,$P288)=0,"",INDEX(EntryPartyName,$P288)))</f>
        <v/>
      </c>
      <c r="F288" s="28">
        <f>IF($P288="","",IF(INDEX(EntryPartyType,$P288)=0,"",INDEX(EntryPartyType,$P288)))</f>
        <v/>
      </c>
      <c r="G288" s="28">
        <f>IF($P288="","",IF(INDEX(EntryTxnType,$P288)=0,"",INDEX(EntryTxnType,$P288)))</f>
        <v/>
      </c>
      <c r="H288" s="29">
        <f>IF($P288="","",IF(INDEX(EntryDep,$P288)=0,"",INDEX(EntryDep,$P288)))</f>
        <v/>
      </c>
      <c r="I288" s="29">
        <f>IF($P288="","",IF(INDEX(EntryWit,$P288)=0,"",INDEX(EntryWit,$P288)))</f>
        <v/>
      </c>
      <c r="J288" s="29">
        <f>IF($B288="","",IF($A288=1,$C$7,IF(J287="",0,J287))+IF($H288="",0,$H288)-IF($I288="",0,$I288))</f>
        <v/>
      </c>
      <c r="K288" s="29">
        <f>IF($P288="","",IF(INDEX(EntryMan,$P288)=0,"",INDEX(EntryMan,$P288)))</f>
        <v/>
      </c>
      <c r="L288" s="28">
        <f>IF($B288="","",IF($K288="","—",IF(ROUND($K288-$J288,0)=0,"√","×")))</f>
        <v/>
      </c>
      <c r="M288" s="28">
        <f>IF($B288="","",IF(COUNTIFS(EntryDates,$B288,CalcTime,$C288,CalcBank,$C$5,EntryParty,$D288,EntryDep,$H288,EntryWit,$I288)&gt;1,"تکرار",""))</f>
        <v/>
      </c>
      <c r="N288" s="28">
        <f>IF($P288="","",IF(INDEX(EntryNotes,$P288)=0,"",INDEX(EntryNotes,$P288)))</f>
        <v/>
      </c>
      <c r="O288" s="28">
        <f>IF($P288="","",IF(INDEX(EntryTxnID,$P288)=0,"",INDEX(EntryTxnID,$P288)))</f>
        <v/>
      </c>
      <c r="P288" s="28">
        <f>IFERROR(MATCH($C$5&amp;"|"&amp;RIGHT("000000"&amp;272,6),CalcRankKey,0),"")</f>
        <v/>
      </c>
    </row>
    <row r="289">
      <c r="A289" s="26">
        <f>IF($B289="","",273)</f>
        <v/>
      </c>
      <c r="B289" s="26">
        <f>IF($P289="","",IF(INDEX(CalcNormDate,$P289)=0,"",INDEX(CalcNormDate,$P289)))</f>
        <v/>
      </c>
      <c r="C289" s="26">
        <f>IF($P289="","",IF(INDEX(CalcTime,$P289)=0,"",INDEX(CalcTime,$P289)))</f>
        <v/>
      </c>
      <c r="D289" s="26">
        <f>IF($P289="","",IF(INDEX(EntryParty,$P289)=0,"",INDEX(EntryParty,$P289)))</f>
        <v/>
      </c>
      <c r="E289" s="26">
        <f>IF($P289="","",IF(INDEX(EntryPartyName,$P289)=0,"",INDEX(EntryPartyName,$P289)))</f>
        <v/>
      </c>
      <c r="F289" s="26">
        <f>IF($P289="","",IF(INDEX(EntryPartyType,$P289)=0,"",INDEX(EntryPartyType,$P289)))</f>
        <v/>
      </c>
      <c r="G289" s="26">
        <f>IF($P289="","",IF(INDEX(EntryTxnType,$P289)=0,"",INDEX(EntryTxnType,$P289)))</f>
        <v/>
      </c>
      <c r="H289" s="27">
        <f>IF($P289="","",IF(INDEX(EntryDep,$P289)=0,"",INDEX(EntryDep,$P289)))</f>
        <v/>
      </c>
      <c r="I289" s="27">
        <f>IF($P289="","",IF(INDEX(EntryWit,$P289)=0,"",INDEX(EntryWit,$P289)))</f>
        <v/>
      </c>
      <c r="J289" s="27">
        <f>IF($B289="","",IF($A289=1,$C$7,IF(J288="",0,J288))+IF($H289="",0,$H289)-IF($I289="",0,$I289))</f>
        <v/>
      </c>
      <c r="K289" s="27">
        <f>IF($P289="","",IF(INDEX(EntryMan,$P289)=0,"",INDEX(EntryMan,$P289)))</f>
        <v/>
      </c>
      <c r="L289" s="26">
        <f>IF($B289="","",IF($K289="","—",IF(ROUND($K289-$J289,0)=0,"√","×")))</f>
        <v/>
      </c>
      <c r="M289" s="26">
        <f>IF($B289="","",IF(COUNTIFS(EntryDates,$B289,CalcTime,$C289,CalcBank,$C$5,EntryParty,$D289,EntryDep,$H289,EntryWit,$I289)&gt;1,"تکرار",""))</f>
        <v/>
      </c>
      <c r="N289" s="26">
        <f>IF($P289="","",IF(INDEX(EntryNotes,$P289)=0,"",INDEX(EntryNotes,$P289)))</f>
        <v/>
      </c>
      <c r="O289" s="26">
        <f>IF($P289="","",IF(INDEX(EntryTxnID,$P289)=0,"",INDEX(EntryTxnID,$P289)))</f>
        <v/>
      </c>
      <c r="P289" s="26">
        <f>IFERROR(MATCH($C$5&amp;"|"&amp;RIGHT("000000"&amp;273,6),CalcRankKey,0),"")</f>
        <v/>
      </c>
    </row>
    <row r="290">
      <c r="A290" s="28">
        <f>IF($B290="","",274)</f>
        <v/>
      </c>
      <c r="B290" s="28">
        <f>IF($P290="","",IF(INDEX(CalcNormDate,$P290)=0,"",INDEX(CalcNormDate,$P290)))</f>
        <v/>
      </c>
      <c r="C290" s="28">
        <f>IF($P290="","",IF(INDEX(CalcTime,$P290)=0,"",INDEX(CalcTime,$P290)))</f>
        <v/>
      </c>
      <c r="D290" s="28">
        <f>IF($P290="","",IF(INDEX(EntryParty,$P290)=0,"",INDEX(EntryParty,$P290)))</f>
        <v/>
      </c>
      <c r="E290" s="28">
        <f>IF($P290="","",IF(INDEX(EntryPartyName,$P290)=0,"",INDEX(EntryPartyName,$P290)))</f>
        <v/>
      </c>
      <c r="F290" s="28">
        <f>IF($P290="","",IF(INDEX(EntryPartyType,$P290)=0,"",INDEX(EntryPartyType,$P290)))</f>
        <v/>
      </c>
      <c r="G290" s="28">
        <f>IF($P290="","",IF(INDEX(EntryTxnType,$P290)=0,"",INDEX(EntryTxnType,$P290)))</f>
        <v/>
      </c>
      <c r="H290" s="29">
        <f>IF($P290="","",IF(INDEX(EntryDep,$P290)=0,"",INDEX(EntryDep,$P290)))</f>
        <v/>
      </c>
      <c r="I290" s="29">
        <f>IF($P290="","",IF(INDEX(EntryWit,$P290)=0,"",INDEX(EntryWit,$P290)))</f>
        <v/>
      </c>
      <c r="J290" s="29">
        <f>IF($B290="","",IF($A290=1,$C$7,IF(J289="",0,J289))+IF($H290="",0,$H290)-IF($I290="",0,$I290))</f>
        <v/>
      </c>
      <c r="K290" s="29">
        <f>IF($P290="","",IF(INDEX(EntryMan,$P290)=0,"",INDEX(EntryMan,$P290)))</f>
        <v/>
      </c>
      <c r="L290" s="28">
        <f>IF($B290="","",IF($K290="","—",IF(ROUND($K290-$J290,0)=0,"√","×")))</f>
        <v/>
      </c>
      <c r="M290" s="28">
        <f>IF($B290="","",IF(COUNTIFS(EntryDates,$B290,CalcTime,$C290,CalcBank,$C$5,EntryParty,$D290,EntryDep,$H290,EntryWit,$I290)&gt;1,"تکرار",""))</f>
        <v/>
      </c>
      <c r="N290" s="28">
        <f>IF($P290="","",IF(INDEX(EntryNotes,$P290)=0,"",INDEX(EntryNotes,$P290)))</f>
        <v/>
      </c>
      <c r="O290" s="28">
        <f>IF($P290="","",IF(INDEX(EntryTxnID,$P290)=0,"",INDEX(EntryTxnID,$P290)))</f>
        <v/>
      </c>
      <c r="P290" s="28">
        <f>IFERROR(MATCH($C$5&amp;"|"&amp;RIGHT("000000"&amp;274,6),CalcRankKey,0),"")</f>
        <v/>
      </c>
    </row>
    <row r="291">
      <c r="A291" s="26">
        <f>IF($B291="","",275)</f>
        <v/>
      </c>
      <c r="B291" s="26">
        <f>IF($P291="","",IF(INDEX(CalcNormDate,$P291)=0,"",INDEX(CalcNormDate,$P291)))</f>
        <v/>
      </c>
      <c r="C291" s="26">
        <f>IF($P291="","",IF(INDEX(CalcTime,$P291)=0,"",INDEX(CalcTime,$P291)))</f>
        <v/>
      </c>
      <c r="D291" s="26">
        <f>IF($P291="","",IF(INDEX(EntryParty,$P291)=0,"",INDEX(EntryParty,$P291)))</f>
        <v/>
      </c>
      <c r="E291" s="26">
        <f>IF($P291="","",IF(INDEX(EntryPartyName,$P291)=0,"",INDEX(EntryPartyName,$P291)))</f>
        <v/>
      </c>
      <c r="F291" s="26">
        <f>IF($P291="","",IF(INDEX(EntryPartyType,$P291)=0,"",INDEX(EntryPartyType,$P291)))</f>
        <v/>
      </c>
      <c r="G291" s="26">
        <f>IF($P291="","",IF(INDEX(EntryTxnType,$P291)=0,"",INDEX(EntryTxnType,$P291)))</f>
        <v/>
      </c>
      <c r="H291" s="27">
        <f>IF($P291="","",IF(INDEX(EntryDep,$P291)=0,"",INDEX(EntryDep,$P291)))</f>
        <v/>
      </c>
      <c r="I291" s="27">
        <f>IF($P291="","",IF(INDEX(EntryWit,$P291)=0,"",INDEX(EntryWit,$P291)))</f>
        <v/>
      </c>
      <c r="J291" s="27">
        <f>IF($B291="","",IF($A291=1,$C$7,IF(J290="",0,J290))+IF($H291="",0,$H291)-IF($I291="",0,$I291))</f>
        <v/>
      </c>
      <c r="K291" s="27">
        <f>IF($P291="","",IF(INDEX(EntryMan,$P291)=0,"",INDEX(EntryMan,$P291)))</f>
        <v/>
      </c>
      <c r="L291" s="26">
        <f>IF($B291="","",IF($K291="","—",IF(ROUND($K291-$J291,0)=0,"√","×")))</f>
        <v/>
      </c>
      <c r="M291" s="26">
        <f>IF($B291="","",IF(COUNTIFS(EntryDates,$B291,CalcTime,$C291,CalcBank,$C$5,EntryParty,$D291,EntryDep,$H291,EntryWit,$I291)&gt;1,"تکرار",""))</f>
        <v/>
      </c>
      <c r="N291" s="26">
        <f>IF($P291="","",IF(INDEX(EntryNotes,$P291)=0,"",INDEX(EntryNotes,$P291)))</f>
        <v/>
      </c>
      <c r="O291" s="26">
        <f>IF($P291="","",IF(INDEX(EntryTxnID,$P291)=0,"",INDEX(EntryTxnID,$P291)))</f>
        <v/>
      </c>
      <c r="P291" s="26">
        <f>IFERROR(MATCH($C$5&amp;"|"&amp;RIGHT("000000"&amp;275,6),CalcRankKey,0),"")</f>
        <v/>
      </c>
    </row>
    <row r="292">
      <c r="A292" s="28">
        <f>IF($B292="","",276)</f>
        <v/>
      </c>
      <c r="B292" s="28">
        <f>IF($P292="","",IF(INDEX(CalcNormDate,$P292)=0,"",INDEX(CalcNormDate,$P292)))</f>
        <v/>
      </c>
      <c r="C292" s="28">
        <f>IF($P292="","",IF(INDEX(CalcTime,$P292)=0,"",INDEX(CalcTime,$P292)))</f>
        <v/>
      </c>
      <c r="D292" s="28">
        <f>IF($P292="","",IF(INDEX(EntryParty,$P292)=0,"",INDEX(EntryParty,$P292)))</f>
        <v/>
      </c>
      <c r="E292" s="28">
        <f>IF($P292="","",IF(INDEX(EntryPartyName,$P292)=0,"",INDEX(EntryPartyName,$P292)))</f>
        <v/>
      </c>
      <c r="F292" s="28">
        <f>IF($P292="","",IF(INDEX(EntryPartyType,$P292)=0,"",INDEX(EntryPartyType,$P292)))</f>
        <v/>
      </c>
      <c r="G292" s="28">
        <f>IF($P292="","",IF(INDEX(EntryTxnType,$P292)=0,"",INDEX(EntryTxnType,$P292)))</f>
        <v/>
      </c>
      <c r="H292" s="29">
        <f>IF($P292="","",IF(INDEX(EntryDep,$P292)=0,"",INDEX(EntryDep,$P292)))</f>
        <v/>
      </c>
      <c r="I292" s="29">
        <f>IF($P292="","",IF(INDEX(EntryWit,$P292)=0,"",INDEX(EntryWit,$P292)))</f>
        <v/>
      </c>
      <c r="J292" s="29">
        <f>IF($B292="","",IF($A292=1,$C$7,IF(J291="",0,J291))+IF($H292="",0,$H292)-IF($I292="",0,$I292))</f>
        <v/>
      </c>
      <c r="K292" s="29">
        <f>IF($P292="","",IF(INDEX(EntryMan,$P292)=0,"",INDEX(EntryMan,$P292)))</f>
        <v/>
      </c>
      <c r="L292" s="28">
        <f>IF($B292="","",IF($K292="","—",IF(ROUND($K292-$J292,0)=0,"√","×")))</f>
        <v/>
      </c>
      <c r="M292" s="28">
        <f>IF($B292="","",IF(COUNTIFS(EntryDates,$B292,CalcTime,$C292,CalcBank,$C$5,EntryParty,$D292,EntryDep,$H292,EntryWit,$I292)&gt;1,"تکرار",""))</f>
        <v/>
      </c>
      <c r="N292" s="28">
        <f>IF($P292="","",IF(INDEX(EntryNotes,$P292)=0,"",INDEX(EntryNotes,$P292)))</f>
        <v/>
      </c>
      <c r="O292" s="28">
        <f>IF($P292="","",IF(INDEX(EntryTxnID,$P292)=0,"",INDEX(EntryTxnID,$P292)))</f>
        <v/>
      </c>
      <c r="P292" s="28">
        <f>IFERROR(MATCH($C$5&amp;"|"&amp;RIGHT("000000"&amp;276,6),CalcRankKey,0),"")</f>
        <v/>
      </c>
    </row>
    <row r="293">
      <c r="A293" s="26">
        <f>IF($B293="","",277)</f>
        <v/>
      </c>
      <c r="B293" s="26">
        <f>IF($P293="","",IF(INDEX(CalcNormDate,$P293)=0,"",INDEX(CalcNormDate,$P293)))</f>
        <v/>
      </c>
      <c r="C293" s="26">
        <f>IF($P293="","",IF(INDEX(CalcTime,$P293)=0,"",INDEX(CalcTime,$P293)))</f>
        <v/>
      </c>
      <c r="D293" s="26">
        <f>IF($P293="","",IF(INDEX(EntryParty,$P293)=0,"",INDEX(EntryParty,$P293)))</f>
        <v/>
      </c>
      <c r="E293" s="26">
        <f>IF($P293="","",IF(INDEX(EntryPartyName,$P293)=0,"",INDEX(EntryPartyName,$P293)))</f>
        <v/>
      </c>
      <c r="F293" s="26">
        <f>IF($P293="","",IF(INDEX(EntryPartyType,$P293)=0,"",INDEX(EntryPartyType,$P293)))</f>
        <v/>
      </c>
      <c r="G293" s="26">
        <f>IF($P293="","",IF(INDEX(EntryTxnType,$P293)=0,"",INDEX(EntryTxnType,$P293)))</f>
        <v/>
      </c>
      <c r="H293" s="27">
        <f>IF($P293="","",IF(INDEX(EntryDep,$P293)=0,"",INDEX(EntryDep,$P293)))</f>
        <v/>
      </c>
      <c r="I293" s="27">
        <f>IF($P293="","",IF(INDEX(EntryWit,$P293)=0,"",INDEX(EntryWit,$P293)))</f>
        <v/>
      </c>
      <c r="J293" s="27">
        <f>IF($B293="","",IF($A293=1,$C$7,IF(J292="",0,J292))+IF($H293="",0,$H293)-IF($I293="",0,$I293))</f>
        <v/>
      </c>
      <c r="K293" s="27">
        <f>IF($P293="","",IF(INDEX(EntryMan,$P293)=0,"",INDEX(EntryMan,$P293)))</f>
        <v/>
      </c>
      <c r="L293" s="26">
        <f>IF($B293="","",IF($K293="","—",IF(ROUND($K293-$J293,0)=0,"√","×")))</f>
        <v/>
      </c>
      <c r="M293" s="26">
        <f>IF($B293="","",IF(COUNTIFS(EntryDates,$B293,CalcTime,$C293,CalcBank,$C$5,EntryParty,$D293,EntryDep,$H293,EntryWit,$I293)&gt;1,"تکرار",""))</f>
        <v/>
      </c>
      <c r="N293" s="26">
        <f>IF($P293="","",IF(INDEX(EntryNotes,$P293)=0,"",INDEX(EntryNotes,$P293)))</f>
        <v/>
      </c>
      <c r="O293" s="26">
        <f>IF($P293="","",IF(INDEX(EntryTxnID,$P293)=0,"",INDEX(EntryTxnID,$P293)))</f>
        <v/>
      </c>
      <c r="P293" s="26">
        <f>IFERROR(MATCH($C$5&amp;"|"&amp;RIGHT("000000"&amp;277,6),CalcRankKey,0),"")</f>
        <v/>
      </c>
    </row>
    <row r="294">
      <c r="A294" s="28">
        <f>IF($B294="","",278)</f>
        <v/>
      </c>
      <c r="B294" s="28">
        <f>IF($P294="","",IF(INDEX(CalcNormDate,$P294)=0,"",INDEX(CalcNormDate,$P294)))</f>
        <v/>
      </c>
      <c r="C294" s="28">
        <f>IF($P294="","",IF(INDEX(CalcTime,$P294)=0,"",INDEX(CalcTime,$P294)))</f>
        <v/>
      </c>
      <c r="D294" s="28">
        <f>IF($P294="","",IF(INDEX(EntryParty,$P294)=0,"",INDEX(EntryParty,$P294)))</f>
        <v/>
      </c>
      <c r="E294" s="28">
        <f>IF($P294="","",IF(INDEX(EntryPartyName,$P294)=0,"",INDEX(EntryPartyName,$P294)))</f>
        <v/>
      </c>
      <c r="F294" s="28">
        <f>IF($P294="","",IF(INDEX(EntryPartyType,$P294)=0,"",INDEX(EntryPartyType,$P294)))</f>
        <v/>
      </c>
      <c r="G294" s="28">
        <f>IF($P294="","",IF(INDEX(EntryTxnType,$P294)=0,"",INDEX(EntryTxnType,$P294)))</f>
        <v/>
      </c>
      <c r="H294" s="29">
        <f>IF($P294="","",IF(INDEX(EntryDep,$P294)=0,"",INDEX(EntryDep,$P294)))</f>
        <v/>
      </c>
      <c r="I294" s="29">
        <f>IF($P294="","",IF(INDEX(EntryWit,$P294)=0,"",INDEX(EntryWit,$P294)))</f>
        <v/>
      </c>
      <c r="J294" s="29">
        <f>IF($B294="","",IF($A294=1,$C$7,IF(J293="",0,J293))+IF($H294="",0,$H294)-IF($I294="",0,$I294))</f>
        <v/>
      </c>
      <c r="K294" s="29">
        <f>IF($P294="","",IF(INDEX(EntryMan,$P294)=0,"",INDEX(EntryMan,$P294)))</f>
        <v/>
      </c>
      <c r="L294" s="28">
        <f>IF($B294="","",IF($K294="","—",IF(ROUND($K294-$J294,0)=0,"√","×")))</f>
        <v/>
      </c>
      <c r="M294" s="28">
        <f>IF($B294="","",IF(COUNTIFS(EntryDates,$B294,CalcTime,$C294,CalcBank,$C$5,EntryParty,$D294,EntryDep,$H294,EntryWit,$I294)&gt;1,"تکرار",""))</f>
        <v/>
      </c>
      <c r="N294" s="28">
        <f>IF($P294="","",IF(INDEX(EntryNotes,$P294)=0,"",INDEX(EntryNotes,$P294)))</f>
        <v/>
      </c>
      <c r="O294" s="28">
        <f>IF($P294="","",IF(INDEX(EntryTxnID,$P294)=0,"",INDEX(EntryTxnID,$P294)))</f>
        <v/>
      </c>
      <c r="P294" s="28">
        <f>IFERROR(MATCH($C$5&amp;"|"&amp;RIGHT("000000"&amp;278,6),CalcRankKey,0),"")</f>
        <v/>
      </c>
    </row>
    <row r="295">
      <c r="A295" s="26">
        <f>IF($B295="","",279)</f>
        <v/>
      </c>
      <c r="B295" s="26">
        <f>IF($P295="","",IF(INDEX(CalcNormDate,$P295)=0,"",INDEX(CalcNormDate,$P295)))</f>
        <v/>
      </c>
      <c r="C295" s="26">
        <f>IF($P295="","",IF(INDEX(CalcTime,$P295)=0,"",INDEX(CalcTime,$P295)))</f>
        <v/>
      </c>
      <c r="D295" s="26">
        <f>IF($P295="","",IF(INDEX(EntryParty,$P295)=0,"",INDEX(EntryParty,$P295)))</f>
        <v/>
      </c>
      <c r="E295" s="26">
        <f>IF($P295="","",IF(INDEX(EntryPartyName,$P295)=0,"",INDEX(EntryPartyName,$P295)))</f>
        <v/>
      </c>
      <c r="F295" s="26">
        <f>IF($P295="","",IF(INDEX(EntryPartyType,$P295)=0,"",INDEX(EntryPartyType,$P295)))</f>
        <v/>
      </c>
      <c r="G295" s="26">
        <f>IF($P295="","",IF(INDEX(EntryTxnType,$P295)=0,"",INDEX(EntryTxnType,$P295)))</f>
        <v/>
      </c>
      <c r="H295" s="27">
        <f>IF($P295="","",IF(INDEX(EntryDep,$P295)=0,"",INDEX(EntryDep,$P295)))</f>
        <v/>
      </c>
      <c r="I295" s="27">
        <f>IF($P295="","",IF(INDEX(EntryWit,$P295)=0,"",INDEX(EntryWit,$P295)))</f>
        <v/>
      </c>
      <c r="J295" s="27">
        <f>IF($B295="","",IF($A295=1,$C$7,IF(J294="",0,J294))+IF($H295="",0,$H295)-IF($I295="",0,$I295))</f>
        <v/>
      </c>
      <c r="K295" s="27">
        <f>IF($P295="","",IF(INDEX(EntryMan,$P295)=0,"",INDEX(EntryMan,$P295)))</f>
        <v/>
      </c>
      <c r="L295" s="26">
        <f>IF($B295="","",IF($K295="","—",IF(ROUND($K295-$J295,0)=0,"√","×")))</f>
        <v/>
      </c>
      <c r="M295" s="26">
        <f>IF($B295="","",IF(COUNTIFS(EntryDates,$B295,CalcTime,$C295,CalcBank,$C$5,EntryParty,$D295,EntryDep,$H295,EntryWit,$I295)&gt;1,"تکرار",""))</f>
        <v/>
      </c>
      <c r="N295" s="26">
        <f>IF($P295="","",IF(INDEX(EntryNotes,$P295)=0,"",INDEX(EntryNotes,$P295)))</f>
        <v/>
      </c>
      <c r="O295" s="26">
        <f>IF($P295="","",IF(INDEX(EntryTxnID,$P295)=0,"",INDEX(EntryTxnID,$P295)))</f>
        <v/>
      </c>
      <c r="P295" s="26">
        <f>IFERROR(MATCH($C$5&amp;"|"&amp;RIGHT("000000"&amp;279,6),CalcRankKey,0),"")</f>
        <v/>
      </c>
    </row>
    <row r="296">
      <c r="A296" s="28">
        <f>IF($B296="","",280)</f>
        <v/>
      </c>
      <c r="B296" s="28">
        <f>IF($P296="","",IF(INDEX(CalcNormDate,$P296)=0,"",INDEX(CalcNormDate,$P296)))</f>
        <v/>
      </c>
      <c r="C296" s="28">
        <f>IF($P296="","",IF(INDEX(CalcTime,$P296)=0,"",INDEX(CalcTime,$P296)))</f>
        <v/>
      </c>
      <c r="D296" s="28">
        <f>IF($P296="","",IF(INDEX(EntryParty,$P296)=0,"",INDEX(EntryParty,$P296)))</f>
        <v/>
      </c>
      <c r="E296" s="28">
        <f>IF($P296="","",IF(INDEX(EntryPartyName,$P296)=0,"",INDEX(EntryPartyName,$P296)))</f>
        <v/>
      </c>
      <c r="F296" s="28">
        <f>IF($P296="","",IF(INDEX(EntryPartyType,$P296)=0,"",INDEX(EntryPartyType,$P296)))</f>
        <v/>
      </c>
      <c r="G296" s="28">
        <f>IF($P296="","",IF(INDEX(EntryTxnType,$P296)=0,"",INDEX(EntryTxnType,$P296)))</f>
        <v/>
      </c>
      <c r="H296" s="29">
        <f>IF($P296="","",IF(INDEX(EntryDep,$P296)=0,"",INDEX(EntryDep,$P296)))</f>
        <v/>
      </c>
      <c r="I296" s="29">
        <f>IF($P296="","",IF(INDEX(EntryWit,$P296)=0,"",INDEX(EntryWit,$P296)))</f>
        <v/>
      </c>
      <c r="J296" s="29">
        <f>IF($B296="","",IF($A296=1,$C$7,IF(J295="",0,J295))+IF($H296="",0,$H296)-IF($I296="",0,$I296))</f>
        <v/>
      </c>
      <c r="K296" s="29">
        <f>IF($P296="","",IF(INDEX(EntryMan,$P296)=0,"",INDEX(EntryMan,$P296)))</f>
        <v/>
      </c>
      <c r="L296" s="28">
        <f>IF($B296="","",IF($K296="","—",IF(ROUND($K296-$J296,0)=0,"√","×")))</f>
        <v/>
      </c>
      <c r="M296" s="28">
        <f>IF($B296="","",IF(COUNTIFS(EntryDates,$B296,CalcTime,$C296,CalcBank,$C$5,EntryParty,$D296,EntryDep,$H296,EntryWit,$I296)&gt;1,"تکرار",""))</f>
        <v/>
      </c>
      <c r="N296" s="28">
        <f>IF($P296="","",IF(INDEX(EntryNotes,$P296)=0,"",INDEX(EntryNotes,$P296)))</f>
        <v/>
      </c>
      <c r="O296" s="28">
        <f>IF($P296="","",IF(INDEX(EntryTxnID,$P296)=0,"",INDEX(EntryTxnID,$P296)))</f>
        <v/>
      </c>
      <c r="P296" s="28">
        <f>IFERROR(MATCH($C$5&amp;"|"&amp;RIGHT("000000"&amp;280,6),CalcRankKey,0),"")</f>
        <v/>
      </c>
    </row>
    <row r="297">
      <c r="A297" s="26">
        <f>IF($B297="","",281)</f>
        <v/>
      </c>
      <c r="B297" s="26">
        <f>IF($P297="","",IF(INDEX(CalcNormDate,$P297)=0,"",INDEX(CalcNormDate,$P297)))</f>
        <v/>
      </c>
      <c r="C297" s="26">
        <f>IF($P297="","",IF(INDEX(CalcTime,$P297)=0,"",INDEX(CalcTime,$P297)))</f>
        <v/>
      </c>
      <c r="D297" s="26">
        <f>IF($P297="","",IF(INDEX(EntryParty,$P297)=0,"",INDEX(EntryParty,$P297)))</f>
        <v/>
      </c>
      <c r="E297" s="26">
        <f>IF($P297="","",IF(INDEX(EntryPartyName,$P297)=0,"",INDEX(EntryPartyName,$P297)))</f>
        <v/>
      </c>
      <c r="F297" s="26">
        <f>IF($P297="","",IF(INDEX(EntryPartyType,$P297)=0,"",INDEX(EntryPartyType,$P297)))</f>
        <v/>
      </c>
      <c r="G297" s="26">
        <f>IF($P297="","",IF(INDEX(EntryTxnType,$P297)=0,"",INDEX(EntryTxnType,$P297)))</f>
        <v/>
      </c>
      <c r="H297" s="27">
        <f>IF($P297="","",IF(INDEX(EntryDep,$P297)=0,"",INDEX(EntryDep,$P297)))</f>
        <v/>
      </c>
      <c r="I297" s="27">
        <f>IF($P297="","",IF(INDEX(EntryWit,$P297)=0,"",INDEX(EntryWit,$P297)))</f>
        <v/>
      </c>
      <c r="J297" s="27">
        <f>IF($B297="","",IF($A297=1,$C$7,IF(J296="",0,J296))+IF($H297="",0,$H297)-IF($I297="",0,$I297))</f>
        <v/>
      </c>
      <c r="K297" s="27">
        <f>IF($P297="","",IF(INDEX(EntryMan,$P297)=0,"",INDEX(EntryMan,$P297)))</f>
        <v/>
      </c>
      <c r="L297" s="26">
        <f>IF($B297="","",IF($K297="","—",IF(ROUND($K297-$J297,0)=0,"√","×")))</f>
        <v/>
      </c>
      <c r="M297" s="26">
        <f>IF($B297="","",IF(COUNTIFS(EntryDates,$B297,CalcTime,$C297,CalcBank,$C$5,EntryParty,$D297,EntryDep,$H297,EntryWit,$I297)&gt;1,"تکرار",""))</f>
        <v/>
      </c>
      <c r="N297" s="26">
        <f>IF($P297="","",IF(INDEX(EntryNotes,$P297)=0,"",INDEX(EntryNotes,$P297)))</f>
        <v/>
      </c>
      <c r="O297" s="26">
        <f>IF($P297="","",IF(INDEX(EntryTxnID,$P297)=0,"",INDEX(EntryTxnID,$P297)))</f>
        <v/>
      </c>
      <c r="P297" s="26">
        <f>IFERROR(MATCH($C$5&amp;"|"&amp;RIGHT("000000"&amp;281,6),CalcRankKey,0),"")</f>
        <v/>
      </c>
    </row>
    <row r="298">
      <c r="A298" s="28">
        <f>IF($B298="","",282)</f>
        <v/>
      </c>
      <c r="B298" s="28">
        <f>IF($P298="","",IF(INDEX(CalcNormDate,$P298)=0,"",INDEX(CalcNormDate,$P298)))</f>
        <v/>
      </c>
      <c r="C298" s="28">
        <f>IF($P298="","",IF(INDEX(CalcTime,$P298)=0,"",INDEX(CalcTime,$P298)))</f>
        <v/>
      </c>
      <c r="D298" s="28">
        <f>IF($P298="","",IF(INDEX(EntryParty,$P298)=0,"",INDEX(EntryParty,$P298)))</f>
        <v/>
      </c>
      <c r="E298" s="28">
        <f>IF($P298="","",IF(INDEX(EntryPartyName,$P298)=0,"",INDEX(EntryPartyName,$P298)))</f>
        <v/>
      </c>
      <c r="F298" s="28">
        <f>IF($P298="","",IF(INDEX(EntryPartyType,$P298)=0,"",INDEX(EntryPartyType,$P298)))</f>
        <v/>
      </c>
      <c r="G298" s="28">
        <f>IF($P298="","",IF(INDEX(EntryTxnType,$P298)=0,"",INDEX(EntryTxnType,$P298)))</f>
        <v/>
      </c>
      <c r="H298" s="29">
        <f>IF($P298="","",IF(INDEX(EntryDep,$P298)=0,"",INDEX(EntryDep,$P298)))</f>
        <v/>
      </c>
      <c r="I298" s="29">
        <f>IF($P298="","",IF(INDEX(EntryWit,$P298)=0,"",INDEX(EntryWit,$P298)))</f>
        <v/>
      </c>
      <c r="J298" s="29">
        <f>IF($B298="","",IF($A298=1,$C$7,IF(J297="",0,J297))+IF($H298="",0,$H298)-IF($I298="",0,$I298))</f>
        <v/>
      </c>
      <c r="K298" s="29">
        <f>IF($P298="","",IF(INDEX(EntryMan,$P298)=0,"",INDEX(EntryMan,$P298)))</f>
        <v/>
      </c>
      <c r="L298" s="28">
        <f>IF($B298="","",IF($K298="","—",IF(ROUND($K298-$J298,0)=0,"√","×")))</f>
        <v/>
      </c>
      <c r="M298" s="28">
        <f>IF($B298="","",IF(COUNTIFS(EntryDates,$B298,CalcTime,$C298,CalcBank,$C$5,EntryParty,$D298,EntryDep,$H298,EntryWit,$I298)&gt;1,"تکرار",""))</f>
        <v/>
      </c>
      <c r="N298" s="28">
        <f>IF($P298="","",IF(INDEX(EntryNotes,$P298)=0,"",INDEX(EntryNotes,$P298)))</f>
        <v/>
      </c>
      <c r="O298" s="28">
        <f>IF($P298="","",IF(INDEX(EntryTxnID,$P298)=0,"",INDEX(EntryTxnID,$P298)))</f>
        <v/>
      </c>
      <c r="P298" s="28">
        <f>IFERROR(MATCH($C$5&amp;"|"&amp;RIGHT("000000"&amp;282,6),CalcRankKey,0),"")</f>
        <v/>
      </c>
    </row>
    <row r="299">
      <c r="A299" s="26">
        <f>IF($B299="","",283)</f>
        <v/>
      </c>
      <c r="B299" s="26">
        <f>IF($P299="","",IF(INDEX(CalcNormDate,$P299)=0,"",INDEX(CalcNormDate,$P299)))</f>
        <v/>
      </c>
      <c r="C299" s="26">
        <f>IF($P299="","",IF(INDEX(CalcTime,$P299)=0,"",INDEX(CalcTime,$P299)))</f>
        <v/>
      </c>
      <c r="D299" s="26">
        <f>IF($P299="","",IF(INDEX(EntryParty,$P299)=0,"",INDEX(EntryParty,$P299)))</f>
        <v/>
      </c>
      <c r="E299" s="26">
        <f>IF($P299="","",IF(INDEX(EntryPartyName,$P299)=0,"",INDEX(EntryPartyName,$P299)))</f>
        <v/>
      </c>
      <c r="F299" s="26">
        <f>IF($P299="","",IF(INDEX(EntryPartyType,$P299)=0,"",INDEX(EntryPartyType,$P299)))</f>
        <v/>
      </c>
      <c r="G299" s="26">
        <f>IF($P299="","",IF(INDEX(EntryTxnType,$P299)=0,"",INDEX(EntryTxnType,$P299)))</f>
        <v/>
      </c>
      <c r="H299" s="27">
        <f>IF($P299="","",IF(INDEX(EntryDep,$P299)=0,"",INDEX(EntryDep,$P299)))</f>
        <v/>
      </c>
      <c r="I299" s="27">
        <f>IF($P299="","",IF(INDEX(EntryWit,$P299)=0,"",INDEX(EntryWit,$P299)))</f>
        <v/>
      </c>
      <c r="J299" s="27">
        <f>IF($B299="","",IF($A299=1,$C$7,IF(J298="",0,J298))+IF($H299="",0,$H299)-IF($I299="",0,$I299))</f>
        <v/>
      </c>
      <c r="K299" s="27">
        <f>IF($P299="","",IF(INDEX(EntryMan,$P299)=0,"",INDEX(EntryMan,$P299)))</f>
        <v/>
      </c>
      <c r="L299" s="26">
        <f>IF($B299="","",IF($K299="","—",IF(ROUND($K299-$J299,0)=0,"√","×")))</f>
        <v/>
      </c>
      <c r="M299" s="26">
        <f>IF($B299="","",IF(COUNTIFS(EntryDates,$B299,CalcTime,$C299,CalcBank,$C$5,EntryParty,$D299,EntryDep,$H299,EntryWit,$I299)&gt;1,"تکرار",""))</f>
        <v/>
      </c>
      <c r="N299" s="26">
        <f>IF($P299="","",IF(INDEX(EntryNotes,$P299)=0,"",INDEX(EntryNotes,$P299)))</f>
        <v/>
      </c>
      <c r="O299" s="26">
        <f>IF($P299="","",IF(INDEX(EntryTxnID,$P299)=0,"",INDEX(EntryTxnID,$P299)))</f>
        <v/>
      </c>
      <c r="P299" s="26">
        <f>IFERROR(MATCH($C$5&amp;"|"&amp;RIGHT("000000"&amp;283,6),CalcRankKey,0),"")</f>
        <v/>
      </c>
    </row>
    <row r="300">
      <c r="A300" s="28">
        <f>IF($B300="","",284)</f>
        <v/>
      </c>
      <c r="B300" s="28">
        <f>IF($P300="","",IF(INDEX(CalcNormDate,$P300)=0,"",INDEX(CalcNormDate,$P300)))</f>
        <v/>
      </c>
      <c r="C300" s="28">
        <f>IF($P300="","",IF(INDEX(CalcTime,$P300)=0,"",INDEX(CalcTime,$P300)))</f>
        <v/>
      </c>
      <c r="D300" s="28">
        <f>IF($P300="","",IF(INDEX(EntryParty,$P300)=0,"",INDEX(EntryParty,$P300)))</f>
        <v/>
      </c>
      <c r="E300" s="28">
        <f>IF($P300="","",IF(INDEX(EntryPartyName,$P300)=0,"",INDEX(EntryPartyName,$P300)))</f>
        <v/>
      </c>
      <c r="F300" s="28">
        <f>IF($P300="","",IF(INDEX(EntryPartyType,$P300)=0,"",INDEX(EntryPartyType,$P300)))</f>
        <v/>
      </c>
      <c r="G300" s="28">
        <f>IF($P300="","",IF(INDEX(EntryTxnType,$P300)=0,"",INDEX(EntryTxnType,$P300)))</f>
        <v/>
      </c>
      <c r="H300" s="29">
        <f>IF($P300="","",IF(INDEX(EntryDep,$P300)=0,"",INDEX(EntryDep,$P300)))</f>
        <v/>
      </c>
      <c r="I300" s="29">
        <f>IF($P300="","",IF(INDEX(EntryWit,$P300)=0,"",INDEX(EntryWit,$P300)))</f>
        <v/>
      </c>
      <c r="J300" s="29">
        <f>IF($B300="","",IF($A300=1,$C$7,IF(J299="",0,J299))+IF($H300="",0,$H300)-IF($I300="",0,$I300))</f>
        <v/>
      </c>
      <c r="K300" s="29">
        <f>IF($P300="","",IF(INDEX(EntryMan,$P300)=0,"",INDEX(EntryMan,$P300)))</f>
        <v/>
      </c>
      <c r="L300" s="28">
        <f>IF($B300="","",IF($K300="","—",IF(ROUND($K300-$J300,0)=0,"√","×")))</f>
        <v/>
      </c>
      <c r="M300" s="28">
        <f>IF($B300="","",IF(COUNTIFS(EntryDates,$B300,CalcTime,$C300,CalcBank,$C$5,EntryParty,$D300,EntryDep,$H300,EntryWit,$I300)&gt;1,"تکرار",""))</f>
        <v/>
      </c>
      <c r="N300" s="28">
        <f>IF($P300="","",IF(INDEX(EntryNotes,$P300)=0,"",INDEX(EntryNotes,$P300)))</f>
        <v/>
      </c>
      <c r="O300" s="28">
        <f>IF($P300="","",IF(INDEX(EntryTxnID,$P300)=0,"",INDEX(EntryTxnID,$P300)))</f>
        <v/>
      </c>
      <c r="P300" s="28">
        <f>IFERROR(MATCH($C$5&amp;"|"&amp;RIGHT("000000"&amp;284,6),CalcRankKey,0),"")</f>
        <v/>
      </c>
    </row>
    <row r="301">
      <c r="A301" s="26">
        <f>IF($B301="","",285)</f>
        <v/>
      </c>
      <c r="B301" s="26">
        <f>IF($P301="","",IF(INDEX(CalcNormDate,$P301)=0,"",INDEX(CalcNormDate,$P301)))</f>
        <v/>
      </c>
      <c r="C301" s="26">
        <f>IF($P301="","",IF(INDEX(CalcTime,$P301)=0,"",INDEX(CalcTime,$P301)))</f>
        <v/>
      </c>
      <c r="D301" s="26">
        <f>IF($P301="","",IF(INDEX(EntryParty,$P301)=0,"",INDEX(EntryParty,$P301)))</f>
        <v/>
      </c>
      <c r="E301" s="26">
        <f>IF($P301="","",IF(INDEX(EntryPartyName,$P301)=0,"",INDEX(EntryPartyName,$P301)))</f>
        <v/>
      </c>
      <c r="F301" s="26">
        <f>IF($P301="","",IF(INDEX(EntryPartyType,$P301)=0,"",INDEX(EntryPartyType,$P301)))</f>
        <v/>
      </c>
      <c r="G301" s="26">
        <f>IF($P301="","",IF(INDEX(EntryTxnType,$P301)=0,"",INDEX(EntryTxnType,$P301)))</f>
        <v/>
      </c>
      <c r="H301" s="27">
        <f>IF($P301="","",IF(INDEX(EntryDep,$P301)=0,"",INDEX(EntryDep,$P301)))</f>
        <v/>
      </c>
      <c r="I301" s="27">
        <f>IF($P301="","",IF(INDEX(EntryWit,$P301)=0,"",INDEX(EntryWit,$P301)))</f>
        <v/>
      </c>
      <c r="J301" s="27">
        <f>IF($B301="","",IF($A301=1,$C$7,IF(J300="",0,J300))+IF($H301="",0,$H301)-IF($I301="",0,$I301))</f>
        <v/>
      </c>
      <c r="K301" s="27">
        <f>IF($P301="","",IF(INDEX(EntryMan,$P301)=0,"",INDEX(EntryMan,$P301)))</f>
        <v/>
      </c>
      <c r="L301" s="26">
        <f>IF($B301="","",IF($K301="","—",IF(ROUND($K301-$J301,0)=0,"√","×")))</f>
        <v/>
      </c>
      <c r="M301" s="26">
        <f>IF($B301="","",IF(COUNTIFS(EntryDates,$B301,CalcTime,$C301,CalcBank,$C$5,EntryParty,$D301,EntryDep,$H301,EntryWit,$I301)&gt;1,"تکرار",""))</f>
        <v/>
      </c>
      <c r="N301" s="26">
        <f>IF($P301="","",IF(INDEX(EntryNotes,$P301)=0,"",INDEX(EntryNotes,$P301)))</f>
        <v/>
      </c>
      <c r="O301" s="26">
        <f>IF($P301="","",IF(INDEX(EntryTxnID,$P301)=0,"",INDEX(EntryTxnID,$P301)))</f>
        <v/>
      </c>
      <c r="P301" s="26">
        <f>IFERROR(MATCH($C$5&amp;"|"&amp;RIGHT("000000"&amp;285,6),CalcRankKey,0),"")</f>
        <v/>
      </c>
    </row>
    <row r="302">
      <c r="A302" s="28">
        <f>IF($B302="","",286)</f>
        <v/>
      </c>
      <c r="B302" s="28">
        <f>IF($P302="","",IF(INDEX(CalcNormDate,$P302)=0,"",INDEX(CalcNormDate,$P302)))</f>
        <v/>
      </c>
      <c r="C302" s="28">
        <f>IF($P302="","",IF(INDEX(CalcTime,$P302)=0,"",INDEX(CalcTime,$P302)))</f>
        <v/>
      </c>
      <c r="D302" s="28">
        <f>IF($P302="","",IF(INDEX(EntryParty,$P302)=0,"",INDEX(EntryParty,$P302)))</f>
        <v/>
      </c>
      <c r="E302" s="28">
        <f>IF($P302="","",IF(INDEX(EntryPartyName,$P302)=0,"",INDEX(EntryPartyName,$P302)))</f>
        <v/>
      </c>
      <c r="F302" s="28">
        <f>IF($P302="","",IF(INDEX(EntryPartyType,$P302)=0,"",INDEX(EntryPartyType,$P302)))</f>
        <v/>
      </c>
      <c r="G302" s="28">
        <f>IF($P302="","",IF(INDEX(EntryTxnType,$P302)=0,"",INDEX(EntryTxnType,$P302)))</f>
        <v/>
      </c>
      <c r="H302" s="29">
        <f>IF($P302="","",IF(INDEX(EntryDep,$P302)=0,"",INDEX(EntryDep,$P302)))</f>
        <v/>
      </c>
      <c r="I302" s="29">
        <f>IF($P302="","",IF(INDEX(EntryWit,$P302)=0,"",INDEX(EntryWit,$P302)))</f>
        <v/>
      </c>
      <c r="J302" s="29">
        <f>IF($B302="","",IF($A302=1,$C$7,IF(J301="",0,J301))+IF($H302="",0,$H302)-IF($I302="",0,$I302))</f>
        <v/>
      </c>
      <c r="K302" s="29">
        <f>IF($P302="","",IF(INDEX(EntryMan,$P302)=0,"",INDEX(EntryMan,$P302)))</f>
        <v/>
      </c>
      <c r="L302" s="28">
        <f>IF($B302="","",IF($K302="","—",IF(ROUND($K302-$J302,0)=0,"√","×")))</f>
        <v/>
      </c>
      <c r="M302" s="28">
        <f>IF($B302="","",IF(COUNTIFS(EntryDates,$B302,CalcTime,$C302,CalcBank,$C$5,EntryParty,$D302,EntryDep,$H302,EntryWit,$I302)&gt;1,"تکرار",""))</f>
        <v/>
      </c>
      <c r="N302" s="28">
        <f>IF($P302="","",IF(INDEX(EntryNotes,$P302)=0,"",INDEX(EntryNotes,$P302)))</f>
        <v/>
      </c>
      <c r="O302" s="28">
        <f>IF($P302="","",IF(INDEX(EntryTxnID,$P302)=0,"",INDEX(EntryTxnID,$P302)))</f>
        <v/>
      </c>
      <c r="P302" s="28">
        <f>IFERROR(MATCH($C$5&amp;"|"&amp;RIGHT("000000"&amp;286,6),CalcRankKey,0),"")</f>
        <v/>
      </c>
    </row>
    <row r="303">
      <c r="A303" s="26">
        <f>IF($B303="","",287)</f>
        <v/>
      </c>
      <c r="B303" s="26">
        <f>IF($P303="","",IF(INDEX(CalcNormDate,$P303)=0,"",INDEX(CalcNormDate,$P303)))</f>
        <v/>
      </c>
      <c r="C303" s="26">
        <f>IF($P303="","",IF(INDEX(CalcTime,$P303)=0,"",INDEX(CalcTime,$P303)))</f>
        <v/>
      </c>
      <c r="D303" s="26">
        <f>IF($P303="","",IF(INDEX(EntryParty,$P303)=0,"",INDEX(EntryParty,$P303)))</f>
        <v/>
      </c>
      <c r="E303" s="26">
        <f>IF($P303="","",IF(INDEX(EntryPartyName,$P303)=0,"",INDEX(EntryPartyName,$P303)))</f>
        <v/>
      </c>
      <c r="F303" s="26">
        <f>IF($P303="","",IF(INDEX(EntryPartyType,$P303)=0,"",INDEX(EntryPartyType,$P303)))</f>
        <v/>
      </c>
      <c r="G303" s="26">
        <f>IF($P303="","",IF(INDEX(EntryTxnType,$P303)=0,"",INDEX(EntryTxnType,$P303)))</f>
        <v/>
      </c>
      <c r="H303" s="27">
        <f>IF($P303="","",IF(INDEX(EntryDep,$P303)=0,"",INDEX(EntryDep,$P303)))</f>
        <v/>
      </c>
      <c r="I303" s="27">
        <f>IF($P303="","",IF(INDEX(EntryWit,$P303)=0,"",INDEX(EntryWit,$P303)))</f>
        <v/>
      </c>
      <c r="J303" s="27">
        <f>IF($B303="","",IF($A303=1,$C$7,IF(J302="",0,J302))+IF($H303="",0,$H303)-IF($I303="",0,$I303))</f>
        <v/>
      </c>
      <c r="K303" s="27">
        <f>IF($P303="","",IF(INDEX(EntryMan,$P303)=0,"",INDEX(EntryMan,$P303)))</f>
        <v/>
      </c>
      <c r="L303" s="26">
        <f>IF($B303="","",IF($K303="","—",IF(ROUND($K303-$J303,0)=0,"√","×")))</f>
        <v/>
      </c>
      <c r="M303" s="26">
        <f>IF($B303="","",IF(COUNTIFS(EntryDates,$B303,CalcTime,$C303,CalcBank,$C$5,EntryParty,$D303,EntryDep,$H303,EntryWit,$I303)&gt;1,"تکرار",""))</f>
        <v/>
      </c>
      <c r="N303" s="26">
        <f>IF($P303="","",IF(INDEX(EntryNotes,$P303)=0,"",INDEX(EntryNotes,$P303)))</f>
        <v/>
      </c>
      <c r="O303" s="26">
        <f>IF($P303="","",IF(INDEX(EntryTxnID,$P303)=0,"",INDEX(EntryTxnID,$P303)))</f>
        <v/>
      </c>
      <c r="P303" s="26">
        <f>IFERROR(MATCH($C$5&amp;"|"&amp;RIGHT("000000"&amp;287,6),CalcRankKey,0),"")</f>
        <v/>
      </c>
    </row>
    <row r="304">
      <c r="A304" s="28">
        <f>IF($B304="","",288)</f>
        <v/>
      </c>
      <c r="B304" s="28">
        <f>IF($P304="","",IF(INDEX(CalcNormDate,$P304)=0,"",INDEX(CalcNormDate,$P304)))</f>
        <v/>
      </c>
      <c r="C304" s="28">
        <f>IF($P304="","",IF(INDEX(CalcTime,$P304)=0,"",INDEX(CalcTime,$P304)))</f>
        <v/>
      </c>
      <c r="D304" s="28">
        <f>IF($P304="","",IF(INDEX(EntryParty,$P304)=0,"",INDEX(EntryParty,$P304)))</f>
        <v/>
      </c>
      <c r="E304" s="28">
        <f>IF($P304="","",IF(INDEX(EntryPartyName,$P304)=0,"",INDEX(EntryPartyName,$P304)))</f>
        <v/>
      </c>
      <c r="F304" s="28">
        <f>IF($P304="","",IF(INDEX(EntryPartyType,$P304)=0,"",INDEX(EntryPartyType,$P304)))</f>
        <v/>
      </c>
      <c r="G304" s="28">
        <f>IF($P304="","",IF(INDEX(EntryTxnType,$P304)=0,"",INDEX(EntryTxnType,$P304)))</f>
        <v/>
      </c>
      <c r="H304" s="29">
        <f>IF($P304="","",IF(INDEX(EntryDep,$P304)=0,"",INDEX(EntryDep,$P304)))</f>
        <v/>
      </c>
      <c r="I304" s="29">
        <f>IF($P304="","",IF(INDEX(EntryWit,$P304)=0,"",INDEX(EntryWit,$P304)))</f>
        <v/>
      </c>
      <c r="J304" s="29">
        <f>IF($B304="","",IF($A304=1,$C$7,IF(J303="",0,J303))+IF($H304="",0,$H304)-IF($I304="",0,$I304))</f>
        <v/>
      </c>
      <c r="K304" s="29">
        <f>IF($P304="","",IF(INDEX(EntryMan,$P304)=0,"",INDEX(EntryMan,$P304)))</f>
        <v/>
      </c>
      <c r="L304" s="28">
        <f>IF($B304="","",IF($K304="","—",IF(ROUND($K304-$J304,0)=0,"√","×")))</f>
        <v/>
      </c>
      <c r="M304" s="28">
        <f>IF($B304="","",IF(COUNTIFS(EntryDates,$B304,CalcTime,$C304,CalcBank,$C$5,EntryParty,$D304,EntryDep,$H304,EntryWit,$I304)&gt;1,"تکرار",""))</f>
        <v/>
      </c>
      <c r="N304" s="28">
        <f>IF($P304="","",IF(INDEX(EntryNotes,$P304)=0,"",INDEX(EntryNotes,$P304)))</f>
        <v/>
      </c>
      <c r="O304" s="28">
        <f>IF($P304="","",IF(INDEX(EntryTxnID,$P304)=0,"",INDEX(EntryTxnID,$P304)))</f>
        <v/>
      </c>
      <c r="P304" s="28">
        <f>IFERROR(MATCH($C$5&amp;"|"&amp;RIGHT("000000"&amp;288,6),CalcRankKey,0),"")</f>
        <v/>
      </c>
    </row>
    <row r="305">
      <c r="A305" s="26">
        <f>IF($B305="","",289)</f>
        <v/>
      </c>
      <c r="B305" s="26">
        <f>IF($P305="","",IF(INDEX(CalcNormDate,$P305)=0,"",INDEX(CalcNormDate,$P305)))</f>
        <v/>
      </c>
      <c r="C305" s="26">
        <f>IF($P305="","",IF(INDEX(CalcTime,$P305)=0,"",INDEX(CalcTime,$P305)))</f>
        <v/>
      </c>
      <c r="D305" s="26">
        <f>IF($P305="","",IF(INDEX(EntryParty,$P305)=0,"",INDEX(EntryParty,$P305)))</f>
        <v/>
      </c>
      <c r="E305" s="26">
        <f>IF($P305="","",IF(INDEX(EntryPartyName,$P305)=0,"",INDEX(EntryPartyName,$P305)))</f>
        <v/>
      </c>
      <c r="F305" s="26">
        <f>IF($P305="","",IF(INDEX(EntryPartyType,$P305)=0,"",INDEX(EntryPartyType,$P305)))</f>
        <v/>
      </c>
      <c r="G305" s="26">
        <f>IF($P305="","",IF(INDEX(EntryTxnType,$P305)=0,"",INDEX(EntryTxnType,$P305)))</f>
        <v/>
      </c>
      <c r="H305" s="27">
        <f>IF($P305="","",IF(INDEX(EntryDep,$P305)=0,"",INDEX(EntryDep,$P305)))</f>
        <v/>
      </c>
      <c r="I305" s="27">
        <f>IF($P305="","",IF(INDEX(EntryWit,$P305)=0,"",INDEX(EntryWit,$P305)))</f>
        <v/>
      </c>
      <c r="J305" s="27">
        <f>IF($B305="","",IF($A305=1,$C$7,IF(J304="",0,J304))+IF($H305="",0,$H305)-IF($I305="",0,$I305))</f>
        <v/>
      </c>
      <c r="K305" s="27">
        <f>IF($P305="","",IF(INDEX(EntryMan,$P305)=0,"",INDEX(EntryMan,$P305)))</f>
        <v/>
      </c>
      <c r="L305" s="26">
        <f>IF($B305="","",IF($K305="","—",IF(ROUND($K305-$J305,0)=0,"√","×")))</f>
        <v/>
      </c>
      <c r="M305" s="26">
        <f>IF($B305="","",IF(COUNTIFS(EntryDates,$B305,CalcTime,$C305,CalcBank,$C$5,EntryParty,$D305,EntryDep,$H305,EntryWit,$I305)&gt;1,"تکرار",""))</f>
        <v/>
      </c>
      <c r="N305" s="26">
        <f>IF($P305="","",IF(INDEX(EntryNotes,$P305)=0,"",INDEX(EntryNotes,$P305)))</f>
        <v/>
      </c>
      <c r="O305" s="26">
        <f>IF($P305="","",IF(INDEX(EntryTxnID,$P305)=0,"",INDEX(EntryTxnID,$P305)))</f>
        <v/>
      </c>
      <c r="P305" s="26">
        <f>IFERROR(MATCH($C$5&amp;"|"&amp;RIGHT("000000"&amp;289,6),CalcRankKey,0),"")</f>
        <v/>
      </c>
    </row>
    <row r="306">
      <c r="A306" s="28">
        <f>IF($B306="","",290)</f>
        <v/>
      </c>
      <c r="B306" s="28">
        <f>IF($P306="","",IF(INDEX(CalcNormDate,$P306)=0,"",INDEX(CalcNormDate,$P306)))</f>
        <v/>
      </c>
      <c r="C306" s="28">
        <f>IF($P306="","",IF(INDEX(CalcTime,$P306)=0,"",INDEX(CalcTime,$P306)))</f>
        <v/>
      </c>
      <c r="D306" s="28">
        <f>IF($P306="","",IF(INDEX(EntryParty,$P306)=0,"",INDEX(EntryParty,$P306)))</f>
        <v/>
      </c>
      <c r="E306" s="28">
        <f>IF($P306="","",IF(INDEX(EntryPartyName,$P306)=0,"",INDEX(EntryPartyName,$P306)))</f>
        <v/>
      </c>
      <c r="F306" s="28">
        <f>IF($P306="","",IF(INDEX(EntryPartyType,$P306)=0,"",INDEX(EntryPartyType,$P306)))</f>
        <v/>
      </c>
      <c r="G306" s="28">
        <f>IF($P306="","",IF(INDEX(EntryTxnType,$P306)=0,"",INDEX(EntryTxnType,$P306)))</f>
        <v/>
      </c>
      <c r="H306" s="29">
        <f>IF($P306="","",IF(INDEX(EntryDep,$P306)=0,"",INDEX(EntryDep,$P306)))</f>
        <v/>
      </c>
      <c r="I306" s="29">
        <f>IF($P306="","",IF(INDEX(EntryWit,$P306)=0,"",INDEX(EntryWit,$P306)))</f>
        <v/>
      </c>
      <c r="J306" s="29">
        <f>IF($B306="","",IF($A306=1,$C$7,IF(J305="",0,J305))+IF($H306="",0,$H306)-IF($I306="",0,$I306))</f>
        <v/>
      </c>
      <c r="K306" s="29">
        <f>IF($P306="","",IF(INDEX(EntryMan,$P306)=0,"",INDEX(EntryMan,$P306)))</f>
        <v/>
      </c>
      <c r="L306" s="28">
        <f>IF($B306="","",IF($K306="","—",IF(ROUND($K306-$J306,0)=0,"√","×")))</f>
        <v/>
      </c>
      <c r="M306" s="28">
        <f>IF($B306="","",IF(COUNTIFS(EntryDates,$B306,CalcTime,$C306,CalcBank,$C$5,EntryParty,$D306,EntryDep,$H306,EntryWit,$I306)&gt;1,"تکرار",""))</f>
        <v/>
      </c>
      <c r="N306" s="28">
        <f>IF($P306="","",IF(INDEX(EntryNotes,$P306)=0,"",INDEX(EntryNotes,$P306)))</f>
        <v/>
      </c>
      <c r="O306" s="28">
        <f>IF($P306="","",IF(INDEX(EntryTxnID,$P306)=0,"",INDEX(EntryTxnID,$P306)))</f>
        <v/>
      </c>
      <c r="P306" s="28">
        <f>IFERROR(MATCH($C$5&amp;"|"&amp;RIGHT("000000"&amp;290,6),CalcRankKey,0),"")</f>
        <v/>
      </c>
    </row>
    <row r="307">
      <c r="A307" s="26">
        <f>IF($B307="","",291)</f>
        <v/>
      </c>
      <c r="B307" s="26">
        <f>IF($P307="","",IF(INDEX(CalcNormDate,$P307)=0,"",INDEX(CalcNormDate,$P307)))</f>
        <v/>
      </c>
      <c r="C307" s="26">
        <f>IF($P307="","",IF(INDEX(CalcTime,$P307)=0,"",INDEX(CalcTime,$P307)))</f>
        <v/>
      </c>
      <c r="D307" s="26">
        <f>IF($P307="","",IF(INDEX(EntryParty,$P307)=0,"",INDEX(EntryParty,$P307)))</f>
        <v/>
      </c>
      <c r="E307" s="26">
        <f>IF($P307="","",IF(INDEX(EntryPartyName,$P307)=0,"",INDEX(EntryPartyName,$P307)))</f>
        <v/>
      </c>
      <c r="F307" s="26">
        <f>IF($P307="","",IF(INDEX(EntryPartyType,$P307)=0,"",INDEX(EntryPartyType,$P307)))</f>
        <v/>
      </c>
      <c r="G307" s="26">
        <f>IF($P307="","",IF(INDEX(EntryTxnType,$P307)=0,"",INDEX(EntryTxnType,$P307)))</f>
        <v/>
      </c>
      <c r="H307" s="27">
        <f>IF($P307="","",IF(INDEX(EntryDep,$P307)=0,"",INDEX(EntryDep,$P307)))</f>
        <v/>
      </c>
      <c r="I307" s="27">
        <f>IF($P307="","",IF(INDEX(EntryWit,$P307)=0,"",INDEX(EntryWit,$P307)))</f>
        <v/>
      </c>
      <c r="J307" s="27">
        <f>IF($B307="","",IF($A307=1,$C$7,IF(J306="",0,J306))+IF($H307="",0,$H307)-IF($I307="",0,$I307))</f>
        <v/>
      </c>
      <c r="K307" s="27">
        <f>IF($P307="","",IF(INDEX(EntryMan,$P307)=0,"",INDEX(EntryMan,$P307)))</f>
        <v/>
      </c>
      <c r="L307" s="26">
        <f>IF($B307="","",IF($K307="","—",IF(ROUND($K307-$J307,0)=0,"√","×")))</f>
        <v/>
      </c>
      <c r="M307" s="26">
        <f>IF($B307="","",IF(COUNTIFS(EntryDates,$B307,CalcTime,$C307,CalcBank,$C$5,EntryParty,$D307,EntryDep,$H307,EntryWit,$I307)&gt;1,"تکرار",""))</f>
        <v/>
      </c>
      <c r="N307" s="26">
        <f>IF($P307="","",IF(INDEX(EntryNotes,$P307)=0,"",INDEX(EntryNotes,$P307)))</f>
        <v/>
      </c>
      <c r="O307" s="26">
        <f>IF($P307="","",IF(INDEX(EntryTxnID,$P307)=0,"",INDEX(EntryTxnID,$P307)))</f>
        <v/>
      </c>
      <c r="P307" s="26">
        <f>IFERROR(MATCH($C$5&amp;"|"&amp;RIGHT("000000"&amp;291,6),CalcRankKey,0),"")</f>
        <v/>
      </c>
    </row>
    <row r="308">
      <c r="A308" s="28">
        <f>IF($B308="","",292)</f>
        <v/>
      </c>
      <c r="B308" s="28">
        <f>IF($P308="","",IF(INDEX(CalcNormDate,$P308)=0,"",INDEX(CalcNormDate,$P308)))</f>
        <v/>
      </c>
      <c r="C308" s="28">
        <f>IF($P308="","",IF(INDEX(CalcTime,$P308)=0,"",INDEX(CalcTime,$P308)))</f>
        <v/>
      </c>
      <c r="D308" s="28">
        <f>IF($P308="","",IF(INDEX(EntryParty,$P308)=0,"",INDEX(EntryParty,$P308)))</f>
        <v/>
      </c>
      <c r="E308" s="28">
        <f>IF($P308="","",IF(INDEX(EntryPartyName,$P308)=0,"",INDEX(EntryPartyName,$P308)))</f>
        <v/>
      </c>
      <c r="F308" s="28">
        <f>IF($P308="","",IF(INDEX(EntryPartyType,$P308)=0,"",INDEX(EntryPartyType,$P308)))</f>
        <v/>
      </c>
      <c r="G308" s="28">
        <f>IF($P308="","",IF(INDEX(EntryTxnType,$P308)=0,"",INDEX(EntryTxnType,$P308)))</f>
        <v/>
      </c>
      <c r="H308" s="29">
        <f>IF($P308="","",IF(INDEX(EntryDep,$P308)=0,"",INDEX(EntryDep,$P308)))</f>
        <v/>
      </c>
      <c r="I308" s="29">
        <f>IF($P308="","",IF(INDEX(EntryWit,$P308)=0,"",INDEX(EntryWit,$P308)))</f>
        <v/>
      </c>
      <c r="J308" s="29">
        <f>IF($B308="","",IF($A308=1,$C$7,IF(J307="",0,J307))+IF($H308="",0,$H308)-IF($I308="",0,$I308))</f>
        <v/>
      </c>
      <c r="K308" s="29">
        <f>IF($P308="","",IF(INDEX(EntryMan,$P308)=0,"",INDEX(EntryMan,$P308)))</f>
        <v/>
      </c>
      <c r="L308" s="28">
        <f>IF($B308="","",IF($K308="","—",IF(ROUND($K308-$J308,0)=0,"√","×")))</f>
        <v/>
      </c>
      <c r="M308" s="28">
        <f>IF($B308="","",IF(COUNTIFS(EntryDates,$B308,CalcTime,$C308,CalcBank,$C$5,EntryParty,$D308,EntryDep,$H308,EntryWit,$I308)&gt;1,"تکرار",""))</f>
        <v/>
      </c>
      <c r="N308" s="28">
        <f>IF($P308="","",IF(INDEX(EntryNotes,$P308)=0,"",INDEX(EntryNotes,$P308)))</f>
        <v/>
      </c>
      <c r="O308" s="28">
        <f>IF($P308="","",IF(INDEX(EntryTxnID,$P308)=0,"",INDEX(EntryTxnID,$P308)))</f>
        <v/>
      </c>
      <c r="P308" s="28">
        <f>IFERROR(MATCH($C$5&amp;"|"&amp;RIGHT("000000"&amp;292,6),CalcRankKey,0),"")</f>
        <v/>
      </c>
    </row>
    <row r="309">
      <c r="A309" s="26">
        <f>IF($B309="","",293)</f>
        <v/>
      </c>
      <c r="B309" s="26">
        <f>IF($P309="","",IF(INDEX(CalcNormDate,$P309)=0,"",INDEX(CalcNormDate,$P309)))</f>
        <v/>
      </c>
      <c r="C309" s="26">
        <f>IF($P309="","",IF(INDEX(CalcTime,$P309)=0,"",INDEX(CalcTime,$P309)))</f>
        <v/>
      </c>
      <c r="D309" s="26">
        <f>IF($P309="","",IF(INDEX(EntryParty,$P309)=0,"",INDEX(EntryParty,$P309)))</f>
        <v/>
      </c>
      <c r="E309" s="26">
        <f>IF($P309="","",IF(INDEX(EntryPartyName,$P309)=0,"",INDEX(EntryPartyName,$P309)))</f>
        <v/>
      </c>
      <c r="F309" s="26">
        <f>IF($P309="","",IF(INDEX(EntryPartyType,$P309)=0,"",INDEX(EntryPartyType,$P309)))</f>
        <v/>
      </c>
      <c r="G309" s="26">
        <f>IF($P309="","",IF(INDEX(EntryTxnType,$P309)=0,"",INDEX(EntryTxnType,$P309)))</f>
        <v/>
      </c>
      <c r="H309" s="27">
        <f>IF($P309="","",IF(INDEX(EntryDep,$P309)=0,"",INDEX(EntryDep,$P309)))</f>
        <v/>
      </c>
      <c r="I309" s="27">
        <f>IF($P309="","",IF(INDEX(EntryWit,$P309)=0,"",INDEX(EntryWit,$P309)))</f>
        <v/>
      </c>
      <c r="J309" s="27">
        <f>IF($B309="","",IF($A309=1,$C$7,IF(J308="",0,J308))+IF($H309="",0,$H309)-IF($I309="",0,$I309))</f>
        <v/>
      </c>
      <c r="K309" s="27">
        <f>IF($P309="","",IF(INDEX(EntryMan,$P309)=0,"",INDEX(EntryMan,$P309)))</f>
        <v/>
      </c>
      <c r="L309" s="26">
        <f>IF($B309="","",IF($K309="","—",IF(ROUND($K309-$J309,0)=0,"√","×")))</f>
        <v/>
      </c>
      <c r="M309" s="26">
        <f>IF($B309="","",IF(COUNTIFS(EntryDates,$B309,CalcTime,$C309,CalcBank,$C$5,EntryParty,$D309,EntryDep,$H309,EntryWit,$I309)&gt;1,"تکرار",""))</f>
        <v/>
      </c>
      <c r="N309" s="26">
        <f>IF($P309="","",IF(INDEX(EntryNotes,$P309)=0,"",INDEX(EntryNotes,$P309)))</f>
        <v/>
      </c>
      <c r="O309" s="26">
        <f>IF($P309="","",IF(INDEX(EntryTxnID,$P309)=0,"",INDEX(EntryTxnID,$P309)))</f>
        <v/>
      </c>
      <c r="P309" s="26">
        <f>IFERROR(MATCH($C$5&amp;"|"&amp;RIGHT("000000"&amp;293,6),CalcRankKey,0),"")</f>
        <v/>
      </c>
    </row>
    <row r="310">
      <c r="A310" s="28">
        <f>IF($B310="","",294)</f>
        <v/>
      </c>
      <c r="B310" s="28">
        <f>IF($P310="","",IF(INDEX(CalcNormDate,$P310)=0,"",INDEX(CalcNormDate,$P310)))</f>
        <v/>
      </c>
      <c r="C310" s="28">
        <f>IF($P310="","",IF(INDEX(CalcTime,$P310)=0,"",INDEX(CalcTime,$P310)))</f>
        <v/>
      </c>
      <c r="D310" s="28">
        <f>IF($P310="","",IF(INDEX(EntryParty,$P310)=0,"",INDEX(EntryParty,$P310)))</f>
        <v/>
      </c>
      <c r="E310" s="28">
        <f>IF($P310="","",IF(INDEX(EntryPartyName,$P310)=0,"",INDEX(EntryPartyName,$P310)))</f>
        <v/>
      </c>
      <c r="F310" s="28">
        <f>IF($P310="","",IF(INDEX(EntryPartyType,$P310)=0,"",INDEX(EntryPartyType,$P310)))</f>
        <v/>
      </c>
      <c r="G310" s="28">
        <f>IF($P310="","",IF(INDEX(EntryTxnType,$P310)=0,"",INDEX(EntryTxnType,$P310)))</f>
        <v/>
      </c>
      <c r="H310" s="29">
        <f>IF($P310="","",IF(INDEX(EntryDep,$P310)=0,"",INDEX(EntryDep,$P310)))</f>
        <v/>
      </c>
      <c r="I310" s="29">
        <f>IF($P310="","",IF(INDEX(EntryWit,$P310)=0,"",INDEX(EntryWit,$P310)))</f>
        <v/>
      </c>
      <c r="J310" s="29">
        <f>IF($B310="","",IF($A310=1,$C$7,IF(J309="",0,J309))+IF($H310="",0,$H310)-IF($I310="",0,$I310))</f>
        <v/>
      </c>
      <c r="K310" s="29">
        <f>IF($P310="","",IF(INDEX(EntryMan,$P310)=0,"",INDEX(EntryMan,$P310)))</f>
        <v/>
      </c>
      <c r="L310" s="28">
        <f>IF($B310="","",IF($K310="","—",IF(ROUND($K310-$J310,0)=0,"√","×")))</f>
        <v/>
      </c>
      <c r="M310" s="28">
        <f>IF($B310="","",IF(COUNTIFS(EntryDates,$B310,CalcTime,$C310,CalcBank,$C$5,EntryParty,$D310,EntryDep,$H310,EntryWit,$I310)&gt;1,"تکرار",""))</f>
        <v/>
      </c>
      <c r="N310" s="28">
        <f>IF($P310="","",IF(INDEX(EntryNotes,$P310)=0,"",INDEX(EntryNotes,$P310)))</f>
        <v/>
      </c>
      <c r="O310" s="28">
        <f>IF($P310="","",IF(INDEX(EntryTxnID,$P310)=0,"",INDEX(EntryTxnID,$P310)))</f>
        <v/>
      </c>
      <c r="P310" s="28">
        <f>IFERROR(MATCH($C$5&amp;"|"&amp;RIGHT("000000"&amp;294,6),CalcRankKey,0),"")</f>
        <v/>
      </c>
    </row>
    <row r="311">
      <c r="A311" s="26">
        <f>IF($B311="","",295)</f>
        <v/>
      </c>
      <c r="B311" s="26">
        <f>IF($P311="","",IF(INDEX(CalcNormDate,$P311)=0,"",INDEX(CalcNormDate,$P311)))</f>
        <v/>
      </c>
      <c r="C311" s="26">
        <f>IF($P311="","",IF(INDEX(CalcTime,$P311)=0,"",INDEX(CalcTime,$P311)))</f>
        <v/>
      </c>
      <c r="D311" s="26">
        <f>IF($P311="","",IF(INDEX(EntryParty,$P311)=0,"",INDEX(EntryParty,$P311)))</f>
        <v/>
      </c>
      <c r="E311" s="26">
        <f>IF($P311="","",IF(INDEX(EntryPartyName,$P311)=0,"",INDEX(EntryPartyName,$P311)))</f>
        <v/>
      </c>
      <c r="F311" s="26">
        <f>IF($P311="","",IF(INDEX(EntryPartyType,$P311)=0,"",INDEX(EntryPartyType,$P311)))</f>
        <v/>
      </c>
      <c r="G311" s="26">
        <f>IF($P311="","",IF(INDEX(EntryTxnType,$P311)=0,"",INDEX(EntryTxnType,$P311)))</f>
        <v/>
      </c>
      <c r="H311" s="27">
        <f>IF($P311="","",IF(INDEX(EntryDep,$P311)=0,"",INDEX(EntryDep,$P311)))</f>
        <v/>
      </c>
      <c r="I311" s="27">
        <f>IF($P311="","",IF(INDEX(EntryWit,$P311)=0,"",INDEX(EntryWit,$P311)))</f>
        <v/>
      </c>
      <c r="J311" s="27">
        <f>IF($B311="","",IF($A311=1,$C$7,IF(J310="",0,J310))+IF($H311="",0,$H311)-IF($I311="",0,$I311))</f>
        <v/>
      </c>
      <c r="K311" s="27">
        <f>IF($P311="","",IF(INDEX(EntryMan,$P311)=0,"",INDEX(EntryMan,$P311)))</f>
        <v/>
      </c>
      <c r="L311" s="26">
        <f>IF($B311="","",IF($K311="","—",IF(ROUND($K311-$J311,0)=0,"√","×")))</f>
        <v/>
      </c>
      <c r="M311" s="26">
        <f>IF($B311="","",IF(COUNTIFS(EntryDates,$B311,CalcTime,$C311,CalcBank,$C$5,EntryParty,$D311,EntryDep,$H311,EntryWit,$I311)&gt;1,"تکرار",""))</f>
        <v/>
      </c>
      <c r="N311" s="26">
        <f>IF($P311="","",IF(INDEX(EntryNotes,$P311)=0,"",INDEX(EntryNotes,$P311)))</f>
        <v/>
      </c>
      <c r="O311" s="26">
        <f>IF($P311="","",IF(INDEX(EntryTxnID,$P311)=0,"",INDEX(EntryTxnID,$P311)))</f>
        <v/>
      </c>
      <c r="P311" s="26">
        <f>IFERROR(MATCH($C$5&amp;"|"&amp;RIGHT("000000"&amp;295,6),CalcRankKey,0),"")</f>
        <v/>
      </c>
    </row>
    <row r="312">
      <c r="A312" s="28">
        <f>IF($B312="","",296)</f>
        <v/>
      </c>
      <c r="B312" s="28">
        <f>IF($P312="","",IF(INDEX(CalcNormDate,$P312)=0,"",INDEX(CalcNormDate,$P312)))</f>
        <v/>
      </c>
      <c r="C312" s="28">
        <f>IF($P312="","",IF(INDEX(CalcTime,$P312)=0,"",INDEX(CalcTime,$P312)))</f>
        <v/>
      </c>
      <c r="D312" s="28">
        <f>IF($P312="","",IF(INDEX(EntryParty,$P312)=0,"",INDEX(EntryParty,$P312)))</f>
        <v/>
      </c>
      <c r="E312" s="28">
        <f>IF($P312="","",IF(INDEX(EntryPartyName,$P312)=0,"",INDEX(EntryPartyName,$P312)))</f>
        <v/>
      </c>
      <c r="F312" s="28">
        <f>IF($P312="","",IF(INDEX(EntryPartyType,$P312)=0,"",INDEX(EntryPartyType,$P312)))</f>
        <v/>
      </c>
      <c r="G312" s="28">
        <f>IF($P312="","",IF(INDEX(EntryTxnType,$P312)=0,"",INDEX(EntryTxnType,$P312)))</f>
        <v/>
      </c>
      <c r="H312" s="29">
        <f>IF($P312="","",IF(INDEX(EntryDep,$P312)=0,"",INDEX(EntryDep,$P312)))</f>
        <v/>
      </c>
      <c r="I312" s="29">
        <f>IF($P312="","",IF(INDEX(EntryWit,$P312)=0,"",INDEX(EntryWit,$P312)))</f>
        <v/>
      </c>
      <c r="J312" s="29">
        <f>IF($B312="","",IF($A312=1,$C$7,IF(J311="",0,J311))+IF($H312="",0,$H312)-IF($I312="",0,$I312))</f>
        <v/>
      </c>
      <c r="K312" s="29">
        <f>IF($P312="","",IF(INDEX(EntryMan,$P312)=0,"",INDEX(EntryMan,$P312)))</f>
        <v/>
      </c>
      <c r="L312" s="28">
        <f>IF($B312="","",IF($K312="","—",IF(ROUND($K312-$J312,0)=0,"√","×")))</f>
        <v/>
      </c>
      <c r="M312" s="28">
        <f>IF($B312="","",IF(COUNTIFS(EntryDates,$B312,CalcTime,$C312,CalcBank,$C$5,EntryParty,$D312,EntryDep,$H312,EntryWit,$I312)&gt;1,"تکرار",""))</f>
        <v/>
      </c>
      <c r="N312" s="28">
        <f>IF($P312="","",IF(INDEX(EntryNotes,$P312)=0,"",INDEX(EntryNotes,$P312)))</f>
        <v/>
      </c>
      <c r="O312" s="28">
        <f>IF($P312="","",IF(INDEX(EntryTxnID,$P312)=0,"",INDEX(EntryTxnID,$P312)))</f>
        <v/>
      </c>
      <c r="P312" s="28">
        <f>IFERROR(MATCH($C$5&amp;"|"&amp;RIGHT("000000"&amp;296,6),CalcRankKey,0),"")</f>
        <v/>
      </c>
    </row>
    <row r="313">
      <c r="A313" s="26">
        <f>IF($B313="","",297)</f>
        <v/>
      </c>
      <c r="B313" s="26">
        <f>IF($P313="","",IF(INDEX(CalcNormDate,$P313)=0,"",INDEX(CalcNormDate,$P313)))</f>
        <v/>
      </c>
      <c r="C313" s="26">
        <f>IF($P313="","",IF(INDEX(CalcTime,$P313)=0,"",INDEX(CalcTime,$P313)))</f>
        <v/>
      </c>
      <c r="D313" s="26">
        <f>IF($P313="","",IF(INDEX(EntryParty,$P313)=0,"",INDEX(EntryParty,$P313)))</f>
        <v/>
      </c>
      <c r="E313" s="26">
        <f>IF($P313="","",IF(INDEX(EntryPartyName,$P313)=0,"",INDEX(EntryPartyName,$P313)))</f>
        <v/>
      </c>
      <c r="F313" s="26">
        <f>IF($P313="","",IF(INDEX(EntryPartyType,$P313)=0,"",INDEX(EntryPartyType,$P313)))</f>
        <v/>
      </c>
      <c r="G313" s="26">
        <f>IF($P313="","",IF(INDEX(EntryTxnType,$P313)=0,"",INDEX(EntryTxnType,$P313)))</f>
        <v/>
      </c>
      <c r="H313" s="27">
        <f>IF($P313="","",IF(INDEX(EntryDep,$P313)=0,"",INDEX(EntryDep,$P313)))</f>
        <v/>
      </c>
      <c r="I313" s="27">
        <f>IF($P313="","",IF(INDEX(EntryWit,$P313)=0,"",INDEX(EntryWit,$P313)))</f>
        <v/>
      </c>
      <c r="J313" s="27">
        <f>IF($B313="","",IF($A313=1,$C$7,IF(J312="",0,J312))+IF($H313="",0,$H313)-IF($I313="",0,$I313))</f>
        <v/>
      </c>
      <c r="K313" s="27">
        <f>IF($P313="","",IF(INDEX(EntryMan,$P313)=0,"",INDEX(EntryMan,$P313)))</f>
        <v/>
      </c>
      <c r="L313" s="26">
        <f>IF($B313="","",IF($K313="","—",IF(ROUND($K313-$J313,0)=0,"√","×")))</f>
        <v/>
      </c>
      <c r="M313" s="26">
        <f>IF($B313="","",IF(COUNTIFS(EntryDates,$B313,CalcTime,$C313,CalcBank,$C$5,EntryParty,$D313,EntryDep,$H313,EntryWit,$I313)&gt;1,"تکرار",""))</f>
        <v/>
      </c>
      <c r="N313" s="26">
        <f>IF($P313="","",IF(INDEX(EntryNotes,$P313)=0,"",INDEX(EntryNotes,$P313)))</f>
        <v/>
      </c>
      <c r="O313" s="26">
        <f>IF($P313="","",IF(INDEX(EntryTxnID,$P313)=0,"",INDEX(EntryTxnID,$P313)))</f>
        <v/>
      </c>
      <c r="P313" s="26">
        <f>IFERROR(MATCH($C$5&amp;"|"&amp;RIGHT("000000"&amp;297,6),CalcRankKey,0),"")</f>
        <v/>
      </c>
    </row>
    <row r="314">
      <c r="A314" s="28">
        <f>IF($B314="","",298)</f>
        <v/>
      </c>
      <c r="B314" s="28">
        <f>IF($P314="","",IF(INDEX(CalcNormDate,$P314)=0,"",INDEX(CalcNormDate,$P314)))</f>
        <v/>
      </c>
      <c r="C314" s="28">
        <f>IF($P314="","",IF(INDEX(CalcTime,$P314)=0,"",INDEX(CalcTime,$P314)))</f>
        <v/>
      </c>
      <c r="D314" s="28">
        <f>IF($P314="","",IF(INDEX(EntryParty,$P314)=0,"",INDEX(EntryParty,$P314)))</f>
        <v/>
      </c>
      <c r="E314" s="28">
        <f>IF($P314="","",IF(INDEX(EntryPartyName,$P314)=0,"",INDEX(EntryPartyName,$P314)))</f>
        <v/>
      </c>
      <c r="F314" s="28">
        <f>IF($P314="","",IF(INDEX(EntryPartyType,$P314)=0,"",INDEX(EntryPartyType,$P314)))</f>
        <v/>
      </c>
      <c r="G314" s="28">
        <f>IF($P314="","",IF(INDEX(EntryTxnType,$P314)=0,"",INDEX(EntryTxnType,$P314)))</f>
        <v/>
      </c>
      <c r="H314" s="29">
        <f>IF($P314="","",IF(INDEX(EntryDep,$P314)=0,"",INDEX(EntryDep,$P314)))</f>
        <v/>
      </c>
      <c r="I314" s="29">
        <f>IF($P314="","",IF(INDEX(EntryWit,$P314)=0,"",INDEX(EntryWit,$P314)))</f>
        <v/>
      </c>
      <c r="J314" s="29">
        <f>IF($B314="","",IF($A314=1,$C$7,IF(J313="",0,J313))+IF($H314="",0,$H314)-IF($I314="",0,$I314))</f>
        <v/>
      </c>
      <c r="K314" s="29">
        <f>IF($P314="","",IF(INDEX(EntryMan,$P314)=0,"",INDEX(EntryMan,$P314)))</f>
        <v/>
      </c>
      <c r="L314" s="28">
        <f>IF($B314="","",IF($K314="","—",IF(ROUND($K314-$J314,0)=0,"√","×")))</f>
        <v/>
      </c>
      <c r="M314" s="28">
        <f>IF($B314="","",IF(COUNTIFS(EntryDates,$B314,CalcTime,$C314,CalcBank,$C$5,EntryParty,$D314,EntryDep,$H314,EntryWit,$I314)&gt;1,"تکرار",""))</f>
        <v/>
      </c>
      <c r="N314" s="28">
        <f>IF($P314="","",IF(INDEX(EntryNotes,$P314)=0,"",INDEX(EntryNotes,$P314)))</f>
        <v/>
      </c>
      <c r="O314" s="28">
        <f>IF($P314="","",IF(INDEX(EntryTxnID,$P314)=0,"",INDEX(EntryTxnID,$P314)))</f>
        <v/>
      </c>
      <c r="P314" s="28">
        <f>IFERROR(MATCH($C$5&amp;"|"&amp;RIGHT("000000"&amp;298,6),CalcRankKey,0),"")</f>
        <v/>
      </c>
    </row>
    <row r="315">
      <c r="A315" s="26">
        <f>IF($B315="","",299)</f>
        <v/>
      </c>
      <c r="B315" s="26">
        <f>IF($P315="","",IF(INDEX(CalcNormDate,$P315)=0,"",INDEX(CalcNormDate,$P315)))</f>
        <v/>
      </c>
      <c r="C315" s="26">
        <f>IF($P315="","",IF(INDEX(CalcTime,$P315)=0,"",INDEX(CalcTime,$P315)))</f>
        <v/>
      </c>
      <c r="D315" s="26">
        <f>IF($P315="","",IF(INDEX(EntryParty,$P315)=0,"",INDEX(EntryParty,$P315)))</f>
        <v/>
      </c>
      <c r="E315" s="26">
        <f>IF($P315="","",IF(INDEX(EntryPartyName,$P315)=0,"",INDEX(EntryPartyName,$P315)))</f>
        <v/>
      </c>
      <c r="F315" s="26">
        <f>IF($P315="","",IF(INDEX(EntryPartyType,$P315)=0,"",INDEX(EntryPartyType,$P315)))</f>
        <v/>
      </c>
      <c r="G315" s="26">
        <f>IF($P315="","",IF(INDEX(EntryTxnType,$P315)=0,"",INDEX(EntryTxnType,$P315)))</f>
        <v/>
      </c>
      <c r="H315" s="27">
        <f>IF($P315="","",IF(INDEX(EntryDep,$P315)=0,"",INDEX(EntryDep,$P315)))</f>
        <v/>
      </c>
      <c r="I315" s="27">
        <f>IF($P315="","",IF(INDEX(EntryWit,$P315)=0,"",INDEX(EntryWit,$P315)))</f>
        <v/>
      </c>
      <c r="J315" s="27">
        <f>IF($B315="","",IF($A315=1,$C$7,IF(J314="",0,J314))+IF($H315="",0,$H315)-IF($I315="",0,$I315))</f>
        <v/>
      </c>
      <c r="K315" s="27">
        <f>IF($P315="","",IF(INDEX(EntryMan,$P315)=0,"",INDEX(EntryMan,$P315)))</f>
        <v/>
      </c>
      <c r="L315" s="26">
        <f>IF($B315="","",IF($K315="","—",IF(ROUND($K315-$J315,0)=0,"√","×")))</f>
        <v/>
      </c>
      <c r="M315" s="26">
        <f>IF($B315="","",IF(COUNTIFS(EntryDates,$B315,CalcTime,$C315,CalcBank,$C$5,EntryParty,$D315,EntryDep,$H315,EntryWit,$I315)&gt;1,"تکرار",""))</f>
        <v/>
      </c>
      <c r="N315" s="26">
        <f>IF($P315="","",IF(INDEX(EntryNotes,$P315)=0,"",INDEX(EntryNotes,$P315)))</f>
        <v/>
      </c>
      <c r="O315" s="26">
        <f>IF($P315="","",IF(INDEX(EntryTxnID,$P315)=0,"",INDEX(EntryTxnID,$P315)))</f>
        <v/>
      </c>
      <c r="P315" s="26">
        <f>IFERROR(MATCH($C$5&amp;"|"&amp;RIGHT("000000"&amp;299,6),CalcRankKey,0),"")</f>
        <v/>
      </c>
    </row>
    <row r="316">
      <c r="A316" s="28">
        <f>IF($B316="","",300)</f>
        <v/>
      </c>
      <c r="B316" s="28">
        <f>IF($P316="","",IF(INDEX(CalcNormDate,$P316)=0,"",INDEX(CalcNormDate,$P316)))</f>
        <v/>
      </c>
      <c r="C316" s="28">
        <f>IF($P316="","",IF(INDEX(CalcTime,$P316)=0,"",INDEX(CalcTime,$P316)))</f>
        <v/>
      </c>
      <c r="D316" s="28">
        <f>IF($P316="","",IF(INDEX(EntryParty,$P316)=0,"",INDEX(EntryParty,$P316)))</f>
        <v/>
      </c>
      <c r="E316" s="28">
        <f>IF($P316="","",IF(INDEX(EntryPartyName,$P316)=0,"",INDEX(EntryPartyName,$P316)))</f>
        <v/>
      </c>
      <c r="F316" s="28">
        <f>IF($P316="","",IF(INDEX(EntryPartyType,$P316)=0,"",INDEX(EntryPartyType,$P316)))</f>
        <v/>
      </c>
      <c r="G316" s="28">
        <f>IF($P316="","",IF(INDEX(EntryTxnType,$P316)=0,"",INDEX(EntryTxnType,$P316)))</f>
        <v/>
      </c>
      <c r="H316" s="29">
        <f>IF($P316="","",IF(INDEX(EntryDep,$P316)=0,"",INDEX(EntryDep,$P316)))</f>
        <v/>
      </c>
      <c r="I316" s="29">
        <f>IF($P316="","",IF(INDEX(EntryWit,$P316)=0,"",INDEX(EntryWit,$P316)))</f>
        <v/>
      </c>
      <c r="J316" s="29">
        <f>IF($B316="","",IF($A316=1,$C$7,IF(J315="",0,J315))+IF($H316="",0,$H316)-IF($I316="",0,$I316))</f>
        <v/>
      </c>
      <c r="K316" s="29">
        <f>IF($P316="","",IF(INDEX(EntryMan,$P316)=0,"",INDEX(EntryMan,$P316)))</f>
        <v/>
      </c>
      <c r="L316" s="28">
        <f>IF($B316="","",IF($K316="","—",IF(ROUND($K316-$J316,0)=0,"√","×")))</f>
        <v/>
      </c>
      <c r="M316" s="28">
        <f>IF($B316="","",IF(COUNTIFS(EntryDates,$B316,CalcTime,$C316,CalcBank,$C$5,EntryParty,$D316,EntryDep,$H316,EntryWit,$I316)&gt;1,"تکرار",""))</f>
        <v/>
      </c>
      <c r="N316" s="28">
        <f>IF($P316="","",IF(INDEX(EntryNotes,$P316)=0,"",INDEX(EntryNotes,$P316)))</f>
        <v/>
      </c>
      <c r="O316" s="28">
        <f>IF($P316="","",IF(INDEX(EntryTxnID,$P316)=0,"",INDEX(EntryTxnID,$P316)))</f>
        <v/>
      </c>
      <c r="P316" s="28">
        <f>IFERROR(MATCH($C$5&amp;"|"&amp;RIGHT("000000"&amp;300,6),CalcRankKey,0),"")</f>
        <v/>
      </c>
    </row>
    <row r="317">
      <c r="A317" s="26">
        <f>IF($B317="","",301)</f>
        <v/>
      </c>
      <c r="B317" s="26">
        <f>IF($P317="","",IF(INDEX(CalcNormDate,$P317)=0,"",INDEX(CalcNormDate,$P317)))</f>
        <v/>
      </c>
      <c r="C317" s="26">
        <f>IF($P317="","",IF(INDEX(CalcTime,$P317)=0,"",INDEX(CalcTime,$P317)))</f>
        <v/>
      </c>
      <c r="D317" s="26">
        <f>IF($P317="","",IF(INDEX(EntryParty,$P317)=0,"",INDEX(EntryParty,$P317)))</f>
        <v/>
      </c>
      <c r="E317" s="26">
        <f>IF($P317="","",IF(INDEX(EntryPartyName,$P317)=0,"",INDEX(EntryPartyName,$P317)))</f>
        <v/>
      </c>
      <c r="F317" s="26">
        <f>IF($P317="","",IF(INDEX(EntryPartyType,$P317)=0,"",INDEX(EntryPartyType,$P317)))</f>
        <v/>
      </c>
      <c r="G317" s="26">
        <f>IF($P317="","",IF(INDEX(EntryTxnType,$P317)=0,"",INDEX(EntryTxnType,$P317)))</f>
        <v/>
      </c>
      <c r="H317" s="27">
        <f>IF($P317="","",IF(INDEX(EntryDep,$P317)=0,"",INDEX(EntryDep,$P317)))</f>
        <v/>
      </c>
      <c r="I317" s="27">
        <f>IF($P317="","",IF(INDEX(EntryWit,$P317)=0,"",INDEX(EntryWit,$P317)))</f>
        <v/>
      </c>
      <c r="J317" s="27">
        <f>IF($B317="","",IF($A317=1,$C$7,IF(J316="",0,J316))+IF($H317="",0,$H317)-IF($I317="",0,$I317))</f>
        <v/>
      </c>
      <c r="K317" s="27">
        <f>IF($P317="","",IF(INDEX(EntryMan,$P317)=0,"",INDEX(EntryMan,$P317)))</f>
        <v/>
      </c>
      <c r="L317" s="26">
        <f>IF($B317="","",IF($K317="","—",IF(ROUND($K317-$J317,0)=0,"√","×")))</f>
        <v/>
      </c>
      <c r="M317" s="26">
        <f>IF($B317="","",IF(COUNTIFS(EntryDates,$B317,CalcTime,$C317,CalcBank,$C$5,EntryParty,$D317,EntryDep,$H317,EntryWit,$I317)&gt;1,"تکرار",""))</f>
        <v/>
      </c>
      <c r="N317" s="26">
        <f>IF($P317="","",IF(INDEX(EntryNotes,$P317)=0,"",INDEX(EntryNotes,$P317)))</f>
        <v/>
      </c>
      <c r="O317" s="26">
        <f>IF($P317="","",IF(INDEX(EntryTxnID,$P317)=0,"",INDEX(EntryTxnID,$P317)))</f>
        <v/>
      </c>
      <c r="P317" s="26">
        <f>IFERROR(MATCH($C$5&amp;"|"&amp;RIGHT("000000"&amp;301,6),CalcRankKey,0),"")</f>
        <v/>
      </c>
    </row>
    <row r="318">
      <c r="A318" s="28">
        <f>IF($B318="","",302)</f>
        <v/>
      </c>
      <c r="B318" s="28">
        <f>IF($P318="","",IF(INDEX(CalcNormDate,$P318)=0,"",INDEX(CalcNormDate,$P318)))</f>
        <v/>
      </c>
      <c r="C318" s="28">
        <f>IF($P318="","",IF(INDEX(CalcTime,$P318)=0,"",INDEX(CalcTime,$P318)))</f>
        <v/>
      </c>
      <c r="D318" s="28">
        <f>IF($P318="","",IF(INDEX(EntryParty,$P318)=0,"",INDEX(EntryParty,$P318)))</f>
        <v/>
      </c>
      <c r="E318" s="28">
        <f>IF($P318="","",IF(INDEX(EntryPartyName,$P318)=0,"",INDEX(EntryPartyName,$P318)))</f>
        <v/>
      </c>
      <c r="F318" s="28">
        <f>IF($P318="","",IF(INDEX(EntryPartyType,$P318)=0,"",INDEX(EntryPartyType,$P318)))</f>
        <v/>
      </c>
      <c r="G318" s="28">
        <f>IF($P318="","",IF(INDEX(EntryTxnType,$P318)=0,"",INDEX(EntryTxnType,$P318)))</f>
        <v/>
      </c>
      <c r="H318" s="29">
        <f>IF($P318="","",IF(INDEX(EntryDep,$P318)=0,"",INDEX(EntryDep,$P318)))</f>
        <v/>
      </c>
      <c r="I318" s="29">
        <f>IF($P318="","",IF(INDEX(EntryWit,$P318)=0,"",INDEX(EntryWit,$P318)))</f>
        <v/>
      </c>
      <c r="J318" s="29">
        <f>IF($B318="","",IF($A318=1,$C$7,IF(J317="",0,J317))+IF($H318="",0,$H318)-IF($I318="",0,$I318))</f>
        <v/>
      </c>
      <c r="K318" s="29">
        <f>IF($P318="","",IF(INDEX(EntryMan,$P318)=0,"",INDEX(EntryMan,$P318)))</f>
        <v/>
      </c>
      <c r="L318" s="28">
        <f>IF($B318="","",IF($K318="","—",IF(ROUND($K318-$J318,0)=0,"√","×")))</f>
        <v/>
      </c>
      <c r="M318" s="28">
        <f>IF($B318="","",IF(COUNTIFS(EntryDates,$B318,CalcTime,$C318,CalcBank,$C$5,EntryParty,$D318,EntryDep,$H318,EntryWit,$I318)&gt;1,"تکرار",""))</f>
        <v/>
      </c>
      <c r="N318" s="28">
        <f>IF($P318="","",IF(INDEX(EntryNotes,$P318)=0,"",INDEX(EntryNotes,$P318)))</f>
        <v/>
      </c>
      <c r="O318" s="28">
        <f>IF($P318="","",IF(INDEX(EntryTxnID,$P318)=0,"",INDEX(EntryTxnID,$P318)))</f>
        <v/>
      </c>
      <c r="P318" s="28">
        <f>IFERROR(MATCH($C$5&amp;"|"&amp;RIGHT("000000"&amp;302,6),CalcRankKey,0),"")</f>
        <v/>
      </c>
    </row>
    <row r="319">
      <c r="A319" s="26">
        <f>IF($B319="","",303)</f>
        <v/>
      </c>
      <c r="B319" s="26">
        <f>IF($P319="","",IF(INDEX(CalcNormDate,$P319)=0,"",INDEX(CalcNormDate,$P319)))</f>
        <v/>
      </c>
      <c r="C319" s="26">
        <f>IF($P319="","",IF(INDEX(CalcTime,$P319)=0,"",INDEX(CalcTime,$P319)))</f>
        <v/>
      </c>
      <c r="D319" s="26">
        <f>IF($P319="","",IF(INDEX(EntryParty,$P319)=0,"",INDEX(EntryParty,$P319)))</f>
        <v/>
      </c>
      <c r="E319" s="26">
        <f>IF($P319="","",IF(INDEX(EntryPartyName,$P319)=0,"",INDEX(EntryPartyName,$P319)))</f>
        <v/>
      </c>
      <c r="F319" s="26">
        <f>IF($P319="","",IF(INDEX(EntryPartyType,$P319)=0,"",INDEX(EntryPartyType,$P319)))</f>
        <v/>
      </c>
      <c r="G319" s="26">
        <f>IF($P319="","",IF(INDEX(EntryTxnType,$P319)=0,"",INDEX(EntryTxnType,$P319)))</f>
        <v/>
      </c>
      <c r="H319" s="27">
        <f>IF($P319="","",IF(INDEX(EntryDep,$P319)=0,"",INDEX(EntryDep,$P319)))</f>
        <v/>
      </c>
      <c r="I319" s="27">
        <f>IF($P319="","",IF(INDEX(EntryWit,$P319)=0,"",INDEX(EntryWit,$P319)))</f>
        <v/>
      </c>
      <c r="J319" s="27">
        <f>IF($B319="","",IF($A319=1,$C$7,IF(J318="",0,J318))+IF($H319="",0,$H319)-IF($I319="",0,$I319))</f>
        <v/>
      </c>
      <c r="K319" s="27">
        <f>IF($P319="","",IF(INDEX(EntryMan,$P319)=0,"",INDEX(EntryMan,$P319)))</f>
        <v/>
      </c>
      <c r="L319" s="26">
        <f>IF($B319="","",IF($K319="","—",IF(ROUND($K319-$J319,0)=0,"√","×")))</f>
        <v/>
      </c>
      <c r="M319" s="26">
        <f>IF($B319="","",IF(COUNTIFS(EntryDates,$B319,CalcTime,$C319,CalcBank,$C$5,EntryParty,$D319,EntryDep,$H319,EntryWit,$I319)&gt;1,"تکرار",""))</f>
        <v/>
      </c>
      <c r="N319" s="26">
        <f>IF($P319="","",IF(INDEX(EntryNotes,$P319)=0,"",INDEX(EntryNotes,$P319)))</f>
        <v/>
      </c>
      <c r="O319" s="26">
        <f>IF($P319="","",IF(INDEX(EntryTxnID,$P319)=0,"",INDEX(EntryTxnID,$P319)))</f>
        <v/>
      </c>
      <c r="P319" s="26">
        <f>IFERROR(MATCH($C$5&amp;"|"&amp;RIGHT("000000"&amp;303,6),CalcRankKey,0),"")</f>
        <v/>
      </c>
    </row>
    <row r="320">
      <c r="A320" s="28">
        <f>IF($B320="","",304)</f>
        <v/>
      </c>
      <c r="B320" s="28">
        <f>IF($P320="","",IF(INDEX(CalcNormDate,$P320)=0,"",INDEX(CalcNormDate,$P320)))</f>
        <v/>
      </c>
      <c r="C320" s="28">
        <f>IF($P320="","",IF(INDEX(CalcTime,$P320)=0,"",INDEX(CalcTime,$P320)))</f>
        <v/>
      </c>
      <c r="D320" s="28">
        <f>IF($P320="","",IF(INDEX(EntryParty,$P320)=0,"",INDEX(EntryParty,$P320)))</f>
        <v/>
      </c>
      <c r="E320" s="28">
        <f>IF($P320="","",IF(INDEX(EntryPartyName,$P320)=0,"",INDEX(EntryPartyName,$P320)))</f>
        <v/>
      </c>
      <c r="F320" s="28">
        <f>IF($P320="","",IF(INDEX(EntryPartyType,$P320)=0,"",INDEX(EntryPartyType,$P320)))</f>
        <v/>
      </c>
      <c r="G320" s="28">
        <f>IF($P320="","",IF(INDEX(EntryTxnType,$P320)=0,"",INDEX(EntryTxnType,$P320)))</f>
        <v/>
      </c>
      <c r="H320" s="29">
        <f>IF($P320="","",IF(INDEX(EntryDep,$P320)=0,"",INDEX(EntryDep,$P320)))</f>
        <v/>
      </c>
      <c r="I320" s="29">
        <f>IF($P320="","",IF(INDEX(EntryWit,$P320)=0,"",INDEX(EntryWit,$P320)))</f>
        <v/>
      </c>
      <c r="J320" s="29">
        <f>IF($B320="","",IF($A320=1,$C$7,IF(J319="",0,J319))+IF($H320="",0,$H320)-IF($I320="",0,$I320))</f>
        <v/>
      </c>
      <c r="K320" s="29">
        <f>IF($P320="","",IF(INDEX(EntryMan,$P320)=0,"",INDEX(EntryMan,$P320)))</f>
        <v/>
      </c>
      <c r="L320" s="28">
        <f>IF($B320="","",IF($K320="","—",IF(ROUND($K320-$J320,0)=0,"√","×")))</f>
        <v/>
      </c>
      <c r="M320" s="28">
        <f>IF($B320="","",IF(COUNTIFS(EntryDates,$B320,CalcTime,$C320,CalcBank,$C$5,EntryParty,$D320,EntryDep,$H320,EntryWit,$I320)&gt;1,"تکرار",""))</f>
        <v/>
      </c>
      <c r="N320" s="28">
        <f>IF($P320="","",IF(INDEX(EntryNotes,$P320)=0,"",INDEX(EntryNotes,$P320)))</f>
        <v/>
      </c>
      <c r="O320" s="28">
        <f>IF($P320="","",IF(INDEX(EntryTxnID,$P320)=0,"",INDEX(EntryTxnID,$P320)))</f>
        <v/>
      </c>
      <c r="P320" s="28">
        <f>IFERROR(MATCH($C$5&amp;"|"&amp;RIGHT("000000"&amp;304,6),CalcRankKey,0),"")</f>
        <v/>
      </c>
    </row>
    <row r="321">
      <c r="A321" s="26">
        <f>IF($B321="","",305)</f>
        <v/>
      </c>
      <c r="B321" s="26">
        <f>IF($P321="","",IF(INDEX(CalcNormDate,$P321)=0,"",INDEX(CalcNormDate,$P321)))</f>
        <v/>
      </c>
      <c r="C321" s="26">
        <f>IF($P321="","",IF(INDEX(CalcTime,$P321)=0,"",INDEX(CalcTime,$P321)))</f>
        <v/>
      </c>
      <c r="D321" s="26">
        <f>IF($P321="","",IF(INDEX(EntryParty,$P321)=0,"",INDEX(EntryParty,$P321)))</f>
        <v/>
      </c>
      <c r="E321" s="26">
        <f>IF($P321="","",IF(INDEX(EntryPartyName,$P321)=0,"",INDEX(EntryPartyName,$P321)))</f>
        <v/>
      </c>
      <c r="F321" s="26">
        <f>IF($P321="","",IF(INDEX(EntryPartyType,$P321)=0,"",INDEX(EntryPartyType,$P321)))</f>
        <v/>
      </c>
      <c r="G321" s="26">
        <f>IF($P321="","",IF(INDEX(EntryTxnType,$P321)=0,"",INDEX(EntryTxnType,$P321)))</f>
        <v/>
      </c>
      <c r="H321" s="27">
        <f>IF($P321="","",IF(INDEX(EntryDep,$P321)=0,"",INDEX(EntryDep,$P321)))</f>
        <v/>
      </c>
      <c r="I321" s="27">
        <f>IF($P321="","",IF(INDEX(EntryWit,$P321)=0,"",INDEX(EntryWit,$P321)))</f>
        <v/>
      </c>
      <c r="J321" s="27">
        <f>IF($B321="","",IF($A321=1,$C$7,IF(J320="",0,J320))+IF($H321="",0,$H321)-IF($I321="",0,$I321))</f>
        <v/>
      </c>
      <c r="K321" s="27">
        <f>IF($P321="","",IF(INDEX(EntryMan,$P321)=0,"",INDEX(EntryMan,$P321)))</f>
        <v/>
      </c>
      <c r="L321" s="26">
        <f>IF($B321="","",IF($K321="","—",IF(ROUND($K321-$J321,0)=0,"√","×")))</f>
        <v/>
      </c>
      <c r="M321" s="26">
        <f>IF($B321="","",IF(COUNTIFS(EntryDates,$B321,CalcTime,$C321,CalcBank,$C$5,EntryParty,$D321,EntryDep,$H321,EntryWit,$I321)&gt;1,"تکرار",""))</f>
        <v/>
      </c>
      <c r="N321" s="26">
        <f>IF($P321="","",IF(INDEX(EntryNotes,$P321)=0,"",INDEX(EntryNotes,$P321)))</f>
        <v/>
      </c>
      <c r="O321" s="26">
        <f>IF($P321="","",IF(INDEX(EntryTxnID,$P321)=0,"",INDEX(EntryTxnID,$P321)))</f>
        <v/>
      </c>
      <c r="P321" s="26">
        <f>IFERROR(MATCH($C$5&amp;"|"&amp;RIGHT("000000"&amp;305,6),CalcRankKey,0),"")</f>
        <v/>
      </c>
    </row>
    <row r="322">
      <c r="A322" s="28">
        <f>IF($B322="","",306)</f>
        <v/>
      </c>
      <c r="B322" s="28">
        <f>IF($P322="","",IF(INDEX(CalcNormDate,$P322)=0,"",INDEX(CalcNormDate,$P322)))</f>
        <v/>
      </c>
      <c r="C322" s="28">
        <f>IF($P322="","",IF(INDEX(CalcTime,$P322)=0,"",INDEX(CalcTime,$P322)))</f>
        <v/>
      </c>
      <c r="D322" s="28">
        <f>IF($P322="","",IF(INDEX(EntryParty,$P322)=0,"",INDEX(EntryParty,$P322)))</f>
        <v/>
      </c>
      <c r="E322" s="28">
        <f>IF($P322="","",IF(INDEX(EntryPartyName,$P322)=0,"",INDEX(EntryPartyName,$P322)))</f>
        <v/>
      </c>
      <c r="F322" s="28">
        <f>IF($P322="","",IF(INDEX(EntryPartyType,$P322)=0,"",INDEX(EntryPartyType,$P322)))</f>
        <v/>
      </c>
      <c r="G322" s="28">
        <f>IF($P322="","",IF(INDEX(EntryTxnType,$P322)=0,"",INDEX(EntryTxnType,$P322)))</f>
        <v/>
      </c>
      <c r="H322" s="29">
        <f>IF($P322="","",IF(INDEX(EntryDep,$P322)=0,"",INDEX(EntryDep,$P322)))</f>
        <v/>
      </c>
      <c r="I322" s="29">
        <f>IF($P322="","",IF(INDEX(EntryWit,$P322)=0,"",INDEX(EntryWit,$P322)))</f>
        <v/>
      </c>
      <c r="J322" s="29">
        <f>IF($B322="","",IF($A322=1,$C$7,IF(J321="",0,J321))+IF($H322="",0,$H322)-IF($I322="",0,$I322))</f>
        <v/>
      </c>
      <c r="K322" s="29">
        <f>IF($P322="","",IF(INDEX(EntryMan,$P322)=0,"",INDEX(EntryMan,$P322)))</f>
        <v/>
      </c>
      <c r="L322" s="28">
        <f>IF($B322="","",IF($K322="","—",IF(ROUND($K322-$J322,0)=0,"√","×")))</f>
        <v/>
      </c>
      <c r="M322" s="28">
        <f>IF($B322="","",IF(COUNTIFS(EntryDates,$B322,CalcTime,$C322,CalcBank,$C$5,EntryParty,$D322,EntryDep,$H322,EntryWit,$I322)&gt;1,"تکرار",""))</f>
        <v/>
      </c>
      <c r="N322" s="28">
        <f>IF($P322="","",IF(INDEX(EntryNotes,$P322)=0,"",INDEX(EntryNotes,$P322)))</f>
        <v/>
      </c>
      <c r="O322" s="28">
        <f>IF($P322="","",IF(INDEX(EntryTxnID,$P322)=0,"",INDEX(EntryTxnID,$P322)))</f>
        <v/>
      </c>
      <c r="P322" s="28">
        <f>IFERROR(MATCH($C$5&amp;"|"&amp;RIGHT("000000"&amp;306,6),CalcRankKey,0),"")</f>
        <v/>
      </c>
    </row>
    <row r="323">
      <c r="A323" s="26">
        <f>IF($B323="","",307)</f>
        <v/>
      </c>
      <c r="B323" s="26">
        <f>IF($P323="","",IF(INDEX(CalcNormDate,$P323)=0,"",INDEX(CalcNormDate,$P323)))</f>
        <v/>
      </c>
      <c r="C323" s="26">
        <f>IF($P323="","",IF(INDEX(CalcTime,$P323)=0,"",INDEX(CalcTime,$P323)))</f>
        <v/>
      </c>
      <c r="D323" s="26">
        <f>IF($P323="","",IF(INDEX(EntryParty,$P323)=0,"",INDEX(EntryParty,$P323)))</f>
        <v/>
      </c>
      <c r="E323" s="26">
        <f>IF($P323="","",IF(INDEX(EntryPartyName,$P323)=0,"",INDEX(EntryPartyName,$P323)))</f>
        <v/>
      </c>
      <c r="F323" s="26">
        <f>IF($P323="","",IF(INDEX(EntryPartyType,$P323)=0,"",INDEX(EntryPartyType,$P323)))</f>
        <v/>
      </c>
      <c r="G323" s="26">
        <f>IF($P323="","",IF(INDEX(EntryTxnType,$P323)=0,"",INDEX(EntryTxnType,$P323)))</f>
        <v/>
      </c>
      <c r="H323" s="27">
        <f>IF($P323="","",IF(INDEX(EntryDep,$P323)=0,"",INDEX(EntryDep,$P323)))</f>
        <v/>
      </c>
      <c r="I323" s="27">
        <f>IF($P323="","",IF(INDEX(EntryWit,$P323)=0,"",INDEX(EntryWit,$P323)))</f>
        <v/>
      </c>
      <c r="J323" s="27">
        <f>IF($B323="","",IF($A323=1,$C$7,IF(J322="",0,J322))+IF($H323="",0,$H323)-IF($I323="",0,$I323))</f>
        <v/>
      </c>
      <c r="K323" s="27">
        <f>IF($P323="","",IF(INDEX(EntryMan,$P323)=0,"",INDEX(EntryMan,$P323)))</f>
        <v/>
      </c>
      <c r="L323" s="26">
        <f>IF($B323="","",IF($K323="","—",IF(ROUND($K323-$J323,0)=0,"√","×")))</f>
        <v/>
      </c>
      <c r="M323" s="26">
        <f>IF($B323="","",IF(COUNTIFS(EntryDates,$B323,CalcTime,$C323,CalcBank,$C$5,EntryParty,$D323,EntryDep,$H323,EntryWit,$I323)&gt;1,"تکرار",""))</f>
        <v/>
      </c>
      <c r="N323" s="26">
        <f>IF($P323="","",IF(INDEX(EntryNotes,$P323)=0,"",INDEX(EntryNotes,$P323)))</f>
        <v/>
      </c>
      <c r="O323" s="26">
        <f>IF($P323="","",IF(INDEX(EntryTxnID,$P323)=0,"",INDEX(EntryTxnID,$P323)))</f>
        <v/>
      </c>
      <c r="P323" s="26">
        <f>IFERROR(MATCH($C$5&amp;"|"&amp;RIGHT("000000"&amp;307,6),CalcRankKey,0),"")</f>
        <v/>
      </c>
    </row>
    <row r="324">
      <c r="A324" s="28">
        <f>IF($B324="","",308)</f>
        <v/>
      </c>
      <c r="B324" s="28">
        <f>IF($P324="","",IF(INDEX(CalcNormDate,$P324)=0,"",INDEX(CalcNormDate,$P324)))</f>
        <v/>
      </c>
      <c r="C324" s="28">
        <f>IF($P324="","",IF(INDEX(CalcTime,$P324)=0,"",INDEX(CalcTime,$P324)))</f>
        <v/>
      </c>
      <c r="D324" s="28">
        <f>IF($P324="","",IF(INDEX(EntryParty,$P324)=0,"",INDEX(EntryParty,$P324)))</f>
        <v/>
      </c>
      <c r="E324" s="28">
        <f>IF($P324="","",IF(INDEX(EntryPartyName,$P324)=0,"",INDEX(EntryPartyName,$P324)))</f>
        <v/>
      </c>
      <c r="F324" s="28">
        <f>IF($P324="","",IF(INDEX(EntryPartyType,$P324)=0,"",INDEX(EntryPartyType,$P324)))</f>
        <v/>
      </c>
      <c r="G324" s="28">
        <f>IF($P324="","",IF(INDEX(EntryTxnType,$P324)=0,"",INDEX(EntryTxnType,$P324)))</f>
        <v/>
      </c>
      <c r="H324" s="29">
        <f>IF($P324="","",IF(INDEX(EntryDep,$P324)=0,"",INDEX(EntryDep,$P324)))</f>
        <v/>
      </c>
      <c r="I324" s="29">
        <f>IF($P324="","",IF(INDEX(EntryWit,$P324)=0,"",INDEX(EntryWit,$P324)))</f>
        <v/>
      </c>
      <c r="J324" s="29">
        <f>IF($B324="","",IF($A324=1,$C$7,IF(J323="",0,J323))+IF($H324="",0,$H324)-IF($I324="",0,$I324))</f>
        <v/>
      </c>
      <c r="K324" s="29">
        <f>IF($P324="","",IF(INDEX(EntryMan,$P324)=0,"",INDEX(EntryMan,$P324)))</f>
        <v/>
      </c>
      <c r="L324" s="28">
        <f>IF($B324="","",IF($K324="","—",IF(ROUND($K324-$J324,0)=0,"√","×")))</f>
        <v/>
      </c>
      <c r="M324" s="28">
        <f>IF($B324="","",IF(COUNTIFS(EntryDates,$B324,CalcTime,$C324,CalcBank,$C$5,EntryParty,$D324,EntryDep,$H324,EntryWit,$I324)&gt;1,"تکرار",""))</f>
        <v/>
      </c>
      <c r="N324" s="28">
        <f>IF($P324="","",IF(INDEX(EntryNotes,$P324)=0,"",INDEX(EntryNotes,$P324)))</f>
        <v/>
      </c>
      <c r="O324" s="28">
        <f>IF($P324="","",IF(INDEX(EntryTxnID,$P324)=0,"",INDEX(EntryTxnID,$P324)))</f>
        <v/>
      </c>
      <c r="P324" s="28">
        <f>IFERROR(MATCH($C$5&amp;"|"&amp;RIGHT("000000"&amp;308,6),CalcRankKey,0),"")</f>
        <v/>
      </c>
    </row>
    <row r="325">
      <c r="A325" s="26">
        <f>IF($B325="","",309)</f>
        <v/>
      </c>
      <c r="B325" s="26">
        <f>IF($P325="","",IF(INDEX(CalcNormDate,$P325)=0,"",INDEX(CalcNormDate,$P325)))</f>
        <v/>
      </c>
      <c r="C325" s="26">
        <f>IF($P325="","",IF(INDEX(CalcTime,$P325)=0,"",INDEX(CalcTime,$P325)))</f>
        <v/>
      </c>
      <c r="D325" s="26">
        <f>IF($P325="","",IF(INDEX(EntryParty,$P325)=0,"",INDEX(EntryParty,$P325)))</f>
        <v/>
      </c>
      <c r="E325" s="26">
        <f>IF($P325="","",IF(INDEX(EntryPartyName,$P325)=0,"",INDEX(EntryPartyName,$P325)))</f>
        <v/>
      </c>
      <c r="F325" s="26">
        <f>IF($P325="","",IF(INDEX(EntryPartyType,$P325)=0,"",INDEX(EntryPartyType,$P325)))</f>
        <v/>
      </c>
      <c r="G325" s="26">
        <f>IF($P325="","",IF(INDEX(EntryTxnType,$P325)=0,"",INDEX(EntryTxnType,$P325)))</f>
        <v/>
      </c>
      <c r="H325" s="27">
        <f>IF($P325="","",IF(INDEX(EntryDep,$P325)=0,"",INDEX(EntryDep,$P325)))</f>
        <v/>
      </c>
      <c r="I325" s="27">
        <f>IF($P325="","",IF(INDEX(EntryWit,$P325)=0,"",INDEX(EntryWit,$P325)))</f>
        <v/>
      </c>
      <c r="J325" s="27">
        <f>IF($B325="","",IF($A325=1,$C$7,IF(J324="",0,J324))+IF($H325="",0,$H325)-IF($I325="",0,$I325))</f>
        <v/>
      </c>
      <c r="K325" s="27">
        <f>IF($P325="","",IF(INDEX(EntryMan,$P325)=0,"",INDEX(EntryMan,$P325)))</f>
        <v/>
      </c>
      <c r="L325" s="26">
        <f>IF($B325="","",IF($K325="","—",IF(ROUND($K325-$J325,0)=0,"√","×")))</f>
        <v/>
      </c>
      <c r="M325" s="26">
        <f>IF($B325="","",IF(COUNTIFS(EntryDates,$B325,CalcTime,$C325,CalcBank,$C$5,EntryParty,$D325,EntryDep,$H325,EntryWit,$I325)&gt;1,"تکرار",""))</f>
        <v/>
      </c>
      <c r="N325" s="26">
        <f>IF($P325="","",IF(INDEX(EntryNotes,$P325)=0,"",INDEX(EntryNotes,$P325)))</f>
        <v/>
      </c>
      <c r="O325" s="26">
        <f>IF($P325="","",IF(INDEX(EntryTxnID,$P325)=0,"",INDEX(EntryTxnID,$P325)))</f>
        <v/>
      </c>
      <c r="P325" s="26">
        <f>IFERROR(MATCH($C$5&amp;"|"&amp;RIGHT("000000"&amp;309,6),CalcRankKey,0),"")</f>
        <v/>
      </c>
    </row>
    <row r="326">
      <c r="A326" s="28">
        <f>IF($B326="","",310)</f>
        <v/>
      </c>
      <c r="B326" s="28">
        <f>IF($P326="","",IF(INDEX(CalcNormDate,$P326)=0,"",INDEX(CalcNormDate,$P326)))</f>
        <v/>
      </c>
      <c r="C326" s="28">
        <f>IF($P326="","",IF(INDEX(CalcTime,$P326)=0,"",INDEX(CalcTime,$P326)))</f>
        <v/>
      </c>
      <c r="D326" s="28">
        <f>IF($P326="","",IF(INDEX(EntryParty,$P326)=0,"",INDEX(EntryParty,$P326)))</f>
        <v/>
      </c>
      <c r="E326" s="28">
        <f>IF($P326="","",IF(INDEX(EntryPartyName,$P326)=0,"",INDEX(EntryPartyName,$P326)))</f>
        <v/>
      </c>
      <c r="F326" s="28">
        <f>IF($P326="","",IF(INDEX(EntryPartyType,$P326)=0,"",INDEX(EntryPartyType,$P326)))</f>
        <v/>
      </c>
      <c r="G326" s="28">
        <f>IF($P326="","",IF(INDEX(EntryTxnType,$P326)=0,"",INDEX(EntryTxnType,$P326)))</f>
        <v/>
      </c>
      <c r="H326" s="29">
        <f>IF($P326="","",IF(INDEX(EntryDep,$P326)=0,"",INDEX(EntryDep,$P326)))</f>
        <v/>
      </c>
      <c r="I326" s="29">
        <f>IF($P326="","",IF(INDEX(EntryWit,$P326)=0,"",INDEX(EntryWit,$P326)))</f>
        <v/>
      </c>
      <c r="J326" s="29">
        <f>IF($B326="","",IF($A326=1,$C$7,IF(J325="",0,J325))+IF($H326="",0,$H326)-IF($I326="",0,$I326))</f>
        <v/>
      </c>
      <c r="K326" s="29">
        <f>IF($P326="","",IF(INDEX(EntryMan,$P326)=0,"",INDEX(EntryMan,$P326)))</f>
        <v/>
      </c>
      <c r="L326" s="28">
        <f>IF($B326="","",IF($K326="","—",IF(ROUND($K326-$J326,0)=0,"√","×")))</f>
        <v/>
      </c>
      <c r="M326" s="28">
        <f>IF($B326="","",IF(COUNTIFS(EntryDates,$B326,CalcTime,$C326,CalcBank,$C$5,EntryParty,$D326,EntryDep,$H326,EntryWit,$I326)&gt;1,"تکرار",""))</f>
        <v/>
      </c>
      <c r="N326" s="28">
        <f>IF($P326="","",IF(INDEX(EntryNotes,$P326)=0,"",INDEX(EntryNotes,$P326)))</f>
        <v/>
      </c>
      <c r="O326" s="28">
        <f>IF($P326="","",IF(INDEX(EntryTxnID,$P326)=0,"",INDEX(EntryTxnID,$P326)))</f>
        <v/>
      </c>
      <c r="P326" s="28">
        <f>IFERROR(MATCH($C$5&amp;"|"&amp;RIGHT("000000"&amp;310,6),CalcRankKey,0),"")</f>
        <v/>
      </c>
    </row>
    <row r="327">
      <c r="A327" s="26">
        <f>IF($B327="","",311)</f>
        <v/>
      </c>
      <c r="B327" s="26">
        <f>IF($P327="","",IF(INDEX(CalcNormDate,$P327)=0,"",INDEX(CalcNormDate,$P327)))</f>
        <v/>
      </c>
      <c r="C327" s="26">
        <f>IF($P327="","",IF(INDEX(CalcTime,$P327)=0,"",INDEX(CalcTime,$P327)))</f>
        <v/>
      </c>
      <c r="D327" s="26">
        <f>IF($P327="","",IF(INDEX(EntryParty,$P327)=0,"",INDEX(EntryParty,$P327)))</f>
        <v/>
      </c>
      <c r="E327" s="26">
        <f>IF($P327="","",IF(INDEX(EntryPartyName,$P327)=0,"",INDEX(EntryPartyName,$P327)))</f>
        <v/>
      </c>
      <c r="F327" s="26">
        <f>IF($P327="","",IF(INDEX(EntryPartyType,$P327)=0,"",INDEX(EntryPartyType,$P327)))</f>
        <v/>
      </c>
      <c r="G327" s="26">
        <f>IF($P327="","",IF(INDEX(EntryTxnType,$P327)=0,"",INDEX(EntryTxnType,$P327)))</f>
        <v/>
      </c>
      <c r="H327" s="27">
        <f>IF($P327="","",IF(INDEX(EntryDep,$P327)=0,"",INDEX(EntryDep,$P327)))</f>
        <v/>
      </c>
      <c r="I327" s="27">
        <f>IF($P327="","",IF(INDEX(EntryWit,$P327)=0,"",INDEX(EntryWit,$P327)))</f>
        <v/>
      </c>
      <c r="J327" s="27">
        <f>IF($B327="","",IF($A327=1,$C$7,IF(J326="",0,J326))+IF($H327="",0,$H327)-IF($I327="",0,$I327))</f>
        <v/>
      </c>
      <c r="K327" s="27">
        <f>IF($P327="","",IF(INDEX(EntryMan,$P327)=0,"",INDEX(EntryMan,$P327)))</f>
        <v/>
      </c>
      <c r="L327" s="26">
        <f>IF($B327="","",IF($K327="","—",IF(ROUND($K327-$J327,0)=0,"√","×")))</f>
        <v/>
      </c>
      <c r="M327" s="26">
        <f>IF($B327="","",IF(COUNTIFS(EntryDates,$B327,CalcTime,$C327,CalcBank,$C$5,EntryParty,$D327,EntryDep,$H327,EntryWit,$I327)&gt;1,"تکرار",""))</f>
        <v/>
      </c>
      <c r="N327" s="26">
        <f>IF($P327="","",IF(INDEX(EntryNotes,$P327)=0,"",INDEX(EntryNotes,$P327)))</f>
        <v/>
      </c>
      <c r="O327" s="26">
        <f>IF($P327="","",IF(INDEX(EntryTxnID,$P327)=0,"",INDEX(EntryTxnID,$P327)))</f>
        <v/>
      </c>
      <c r="P327" s="26">
        <f>IFERROR(MATCH($C$5&amp;"|"&amp;RIGHT("000000"&amp;311,6),CalcRankKey,0),"")</f>
        <v/>
      </c>
    </row>
    <row r="328">
      <c r="A328" s="28">
        <f>IF($B328="","",312)</f>
        <v/>
      </c>
      <c r="B328" s="28">
        <f>IF($P328="","",IF(INDEX(CalcNormDate,$P328)=0,"",INDEX(CalcNormDate,$P328)))</f>
        <v/>
      </c>
      <c r="C328" s="28">
        <f>IF($P328="","",IF(INDEX(CalcTime,$P328)=0,"",INDEX(CalcTime,$P328)))</f>
        <v/>
      </c>
      <c r="D328" s="28">
        <f>IF($P328="","",IF(INDEX(EntryParty,$P328)=0,"",INDEX(EntryParty,$P328)))</f>
        <v/>
      </c>
      <c r="E328" s="28">
        <f>IF($P328="","",IF(INDEX(EntryPartyName,$P328)=0,"",INDEX(EntryPartyName,$P328)))</f>
        <v/>
      </c>
      <c r="F328" s="28">
        <f>IF($P328="","",IF(INDEX(EntryPartyType,$P328)=0,"",INDEX(EntryPartyType,$P328)))</f>
        <v/>
      </c>
      <c r="G328" s="28">
        <f>IF($P328="","",IF(INDEX(EntryTxnType,$P328)=0,"",INDEX(EntryTxnType,$P328)))</f>
        <v/>
      </c>
      <c r="H328" s="29">
        <f>IF($P328="","",IF(INDEX(EntryDep,$P328)=0,"",INDEX(EntryDep,$P328)))</f>
        <v/>
      </c>
      <c r="I328" s="29">
        <f>IF($P328="","",IF(INDEX(EntryWit,$P328)=0,"",INDEX(EntryWit,$P328)))</f>
        <v/>
      </c>
      <c r="J328" s="29">
        <f>IF($B328="","",IF($A328=1,$C$7,IF(J327="",0,J327))+IF($H328="",0,$H328)-IF($I328="",0,$I328))</f>
        <v/>
      </c>
      <c r="K328" s="29">
        <f>IF($P328="","",IF(INDEX(EntryMan,$P328)=0,"",INDEX(EntryMan,$P328)))</f>
        <v/>
      </c>
      <c r="L328" s="28">
        <f>IF($B328="","",IF($K328="","—",IF(ROUND($K328-$J328,0)=0,"√","×")))</f>
        <v/>
      </c>
      <c r="M328" s="28">
        <f>IF($B328="","",IF(COUNTIFS(EntryDates,$B328,CalcTime,$C328,CalcBank,$C$5,EntryParty,$D328,EntryDep,$H328,EntryWit,$I328)&gt;1,"تکرار",""))</f>
        <v/>
      </c>
      <c r="N328" s="28">
        <f>IF($P328="","",IF(INDEX(EntryNotes,$P328)=0,"",INDEX(EntryNotes,$P328)))</f>
        <v/>
      </c>
      <c r="O328" s="28">
        <f>IF($P328="","",IF(INDEX(EntryTxnID,$P328)=0,"",INDEX(EntryTxnID,$P328)))</f>
        <v/>
      </c>
      <c r="P328" s="28">
        <f>IFERROR(MATCH($C$5&amp;"|"&amp;RIGHT("000000"&amp;312,6),CalcRankKey,0),"")</f>
        <v/>
      </c>
    </row>
    <row r="329">
      <c r="A329" s="26">
        <f>IF($B329="","",313)</f>
        <v/>
      </c>
      <c r="B329" s="26">
        <f>IF($P329="","",IF(INDEX(CalcNormDate,$P329)=0,"",INDEX(CalcNormDate,$P329)))</f>
        <v/>
      </c>
      <c r="C329" s="26">
        <f>IF($P329="","",IF(INDEX(CalcTime,$P329)=0,"",INDEX(CalcTime,$P329)))</f>
        <v/>
      </c>
      <c r="D329" s="26">
        <f>IF($P329="","",IF(INDEX(EntryParty,$P329)=0,"",INDEX(EntryParty,$P329)))</f>
        <v/>
      </c>
      <c r="E329" s="26">
        <f>IF($P329="","",IF(INDEX(EntryPartyName,$P329)=0,"",INDEX(EntryPartyName,$P329)))</f>
        <v/>
      </c>
      <c r="F329" s="26">
        <f>IF($P329="","",IF(INDEX(EntryPartyType,$P329)=0,"",INDEX(EntryPartyType,$P329)))</f>
        <v/>
      </c>
      <c r="G329" s="26">
        <f>IF($P329="","",IF(INDEX(EntryTxnType,$P329)=0,"",INDEX(EntryTxnType,$P329)))</f>
        <v/>
      </c>
      <c r="H329" s="27">
        <f>IF($P329="","",IF(INDEX(EntryDep,$P329)=0,"",INDEX(EntryDep,$P329)))</f>
        <v/>
      </c>
      <c r="I329" s="27">
        <f>IF($P329="","",IF(INDEX(EntryWit,$P329)=0,"",INDEX(EntryWit,$P329)))</f>
        <v/>
      </c>
      <c r="J329" s="27">
        <f>IF($B329="","",IF($A329=1,$C$7,IF(J328="",0,J328))+IF($H329="",0,$H329)-IF($I329="",0,$I329))</f>
        <v/>
      </c>
      <c r="K329" s="27">
        <f>IF($P329="","",IF(INDEX(EntryMan,$P329)=0,"",INDEX(EntryMan,$P329)))</f>
        <v/>
      </c>
      <c r="L329" s="26">
        <f>IF($B329="","",IF($K329="","—",IF(ROUND($K329-$J329,0)=0,"√","×")))</f>
        <v/>
      </c>
      <c r="M329" s="26">
        <f>IF($B329="","",IF(COUNTIFS(EntryDates,$B329,CalcTime,$C329,CalcBank,$C$5,EntryParty,$D329,EntryDep,$H329,EntryWit,$I329)&gt;1,"تکرار",""))</f>
        <v/>
      </c>
      <c r="N329" s="26">
        <f>IF($P329="","",IF(INDEX(EntryNotes,$P329)=0,"",INDEX(EntryNotes,$P329)))</f>
        <v/>
      </c>
      <c r="O329" s="26">
        <f>IF($P329="","",IF(INDEX(EntryTxnID,$P329)=0,"",INDEX(EntryTxnID,$P329)))</f>
        <v/>
      </c>
      <c r="P329" s="26">
        <f>IFERROR(MATCH($C$5&amp;"|"&amp;RIGHT("000000"&amp;313,6),CalcRankKey,0),"")</f>
        <v/>
      </c>
    </row>
    <row r="330">
      <c r="A330" s="28">
        <f>IF($B330="","",314)</f>
        <v/>
      </c>
      <c r="B330" s="28">
        <f>IF($P330="","",IF(INDEX(CalcNormDate,$P330)=0,"",INDEX(CalcNormDate,$P330)))</f>
        <v/>
      </c>
      <c r="C330" s="28">
        <f>IF($P330="","",IF(INDEX(CalcTime,$P330)=0,"",INDEX(CalcTime,$P330)))</f>
        <v/>
      </c>
      <c r="D330" s="28">
        <f>IF($P330="","",IF(INDEX(EntryParty,$P330)=0,"",INDEX(EntryParty,$P330)))</f>
        <v/>
      </c>
      <c r="E330" s="28">
        <f>IF($P330="","",IF(INDEX(EntryPartyName,$P330)=0,"",INDEX(EntryPartyName,$P330)))</f>
        <v/>
      </c>
      <c r="F330" s="28">
        <f>IF($P330="","",IF(INDEX(EntryPartyType,$P330)=0,"",INDEX(EntryPartyType,$P330)))</f>
        <v/>
      </c>
      <c r="G330" s="28">
        <f>IF($P330="","",IF(INDEX(EntryTxnType,$P330)=0,"",INDEX(EntryTxnType,$P330)))</f>
        <v/>
      </c>
      <c r="H330" s="29">
        <f>IF($P330="","",IF(INDEX(EntryDep,$P330)=0,"",INDEX(EntryDep,$P330)))</f>
        <v/>
      </c>
      <c r="I330" s="29">
        <f>IF($P330="","",IF(INDEX(EntryWit,$P330)=0,"",INDEX(EntryWit,$P330)))</f>
        <v/>
      </c>
      <c r="J330" s="29">
        <f>IF($B330="","",IF($A330=1,$C$7,IF(J329="",0,J329))+IF($H330="",0,$H330)-IF($I330="",0,$I330))</f>
        <v/>
      </c>
      <c r="K330" s="29">
        <f>IF($P330="","",IF(INDEX(EntryMan,$P330)=0,"",INDEX(EntryMan,$P330)))</f>
        <v/>
      </c>
      <c r="L330" s="28">
        <f>IF($B330="","",IF($K330="","—",IF(ROUND($K330-$J330,0)=0,"√","×")))</f>
        <v/>
      </c>
      <c r="M330" s="28">
        <f>IF($B330="","",IF(COUNTIFS(EntryDates,$B330,CalcTime,$C330,CalcBank,$C$5,EntryParty,$D330,EntryDep,$H330,EntryWit,$I330)&gt;1,"تکرار",""))</f>
        <v/>
      </c>
      <c r="N330" s="28">
        <f>IF($P330="","",IF(INDEX(EntryNotes,$P330)=0,"",INDEX(EntryNotes,$P330)))</f>
        <v/>
      </c>
      <c r="O330" s="28">
        <f>IF($P330="","",IF(INDEX(EntryTxnID,$P330)=0,"",INDEX(EntryTxnID,$P330)))</f>
        <v/>
      </c>
      <c r="P330" s="28">
        <f>IFERROR(MATCH($C$5&amp;"|"&amp;RIGHT("000000"&amp;314,6),CalcRankKey,0),"")</f>
        <v/>
      </c>
    </row>
    <row r="331">
      <c r="A331" s="26">
        <f>IF($B331="","",315)</f>
        <v/>
      </c>
      <c r="B331" s="26">
        <f>IF($P331="","",IF(INDEX(CalcNormDate,$P331)=0,"",INDEX(CalcNormDate,$P331)))</f>
        <v/>
      </c>
      <c r="C331" s="26">
        <f>IF($P331="","",IF(INDEX(CalcTime,$P331)=0,"",INDEX(CalcTime,$P331)))</f>
        <v/>
      </c>
      <c r="D331" s="26">
        <f>IF($P331="","",IF(INDEX(EntryParty,$P331)=0,"",INDEX(EntryParty,$P331)))</f>
        <v/>
      </c>
      <c r="E331" s="26">
        <f>IF($P331="","",IF(INDEX(EntryPartyName,$P331)=0,"",INDEX(EntryPartyName,$P331)))</f>
        <v/>
      </c>
      <c r="F331" s="26">
        <f>IF($P331="","",IF(INDEX(EntryPartyType,$P331)=0,"",INDEX(EntryPartyType,$P331)))</f>
        <v/>
      </c>
      <c r="G331" s="26">
        <f>IF($P331="","",IF(INDEX(EntryTxnType,$P331)=0,"",INDEX(EntryTxnType,$P331)))</f>
        <v/>
      </c>
      <c r="H331" s="27">
        <f>IF($P331="","",IF(INDEX(EntryDep,$P331)=0,"",INDEX(EntryDep,$P331)))</f>
        <v/>
      </c>
      <c r="I331" s="27">
        <f>IF($P331="","",IF(INDEX(EntryWit,$P331)=0,"",INDEX(EntryWit,$P331)))</f>
        <v/>
      </c>
      <c r="J331" s="27">
        <f>IF($B331="","",IF($A331=1,$C$7,IF(J330="",0,J330))+IF($H331="",0,$H331)-IF($I331="",0,$I331))</f>
        <v/>
      </c>
      <c r="K331" s="27">
        <f>IF($P331="","",IF(INDEX(EntryMan,$P331)=0,"",INDEX(EntryMan,$P331)))</f>
        <v/>
      </c>
      <c r="L331" s="26">
        <f>IF($B331="","",IF($K331="","—",IF(ROUND($K331-$J331,0)=0,"√","×")))</f>
        <v/>
      </c>
      <c r="M331" s="26">
        <f>IF($B331="","",IF(COUNTIFS(EntryDates,$B331,CalcTime,$C331,CalcBank,$C$5,EntryParty,$D331,EntryDep,$H331,EntryWit,$I331)&gt;1,"تکرار",""))</f>
        <v/>
      </c>
      <c r="N331" s="26">
        <f>IF($P331="","",IF(INDEX(EntryNotes,$P331)=0,"",INDEX(EntryNotes,$P331)))</f>
        <v/>
      </c>
      <c r="O331" s="26">
        <f>IF($P331="","",IF(INDEX(EntryTxnID,$P331)=0,"",INDEX(EntryTxnID,$P331)))</f>
        <v/>
      </c>
      <c r="P331" s="26">
        <f>IFERROR(MATCH($C$5&amp;"|"&amp;RIGHT("000000"&amp;315,6),CalcRankKey,0),"")</f>
        <v/>
      </c>
    </row>
    <row r="332">
      <c r="A332" s="28">
        <f>IF($B332="","",316)</f>
        <v/>
      </c>
      <c r="B332" s="28">
        <f>IF($P332="","",IF(INDEX(CalcNormDate,$P332)=0,"",INDEX(CalcNormDate,$P332)))</f>
        <v/>
      </c>
      <c r="C332" s="28">
        <f>IF($P332="","",IF(INDEX(CalcTime,$P332)=0,"",INDEX(CalcTime,$P332)))</f>
        <v/>
      </c>
      <c r="D332" s="28">
        <f>IF($P332="","",IF(INDEX(EntryParty,$P332)=0,"",INDEX(EntryParty,$P332)))</f>
        <v/>
      </c>
      <c r="E332" s="28">
        <f>IF($P332="","",IF(INDEX(EntryPartyName,$P332)=0,"",INDEX(EntryPartyName,$P332)))</f>
        <v/>
      </c>
      <c r="F332" s="28">
        <f>IF($P332="","",IF(INDEX(EntryPartyType,$P332)=0,"",INDEX(EntryPartyType,$P332)))</f>
        <v/>
      </c>
      <c r="G332" s="28">
        <f>IF($P332="","",IF(INDEX(EntryTxnType,$P332)=0,"",INDEX(EntryTxnType,$P332)))</f>
        <v/>
      </c>
      <c r="H332" s="29">
        <f>IF($P332="","",IF(INDEX(EntryDep,$P332)=0,"",INDEX(EntryDep,$P332)))</f>
        <v/>
      </c>
      <c r="I332" s="29">
        <f>IF($P332="","",IF(INDEX(EntryWit,$P332)=0,"",INDEX(EntryWit,$P332)))</f>
        <v/>
      </c>
      <c r="J332" s="29">
        <f>IF($B332="","",IF($A332=1,$C$7,IF(J331="",0,J331))+IF($H332="",0,$H332)-IF($I332="",0,$I332))</f>
        <v/>
      </c>
      <c r="K332" s="29">
        <f>IF($P332="","",IF(INDEX(EntryMan,$P332)=0,"",INDEX(EntryMan,$P332)))</f>
        <v/>
      </c>
      <c r="L332" s="28">
        <f>IF($B332="","",IF($K332="","—",IF(ROUND($K332-$J332,0)=0,"√","×")))</f>
        <v/>
      </c>
      <c r="M332" s="28">
        <f>IF($B332="","",IF(COUNTIFS(EntryDates,$B332,CalcTime,$C332,CalcBank,$C$5,EntryParty,$D332,EntryDep,$H332,EntryWit,$I332)&gt;1,"تکرار",""))</f>
        <v/>
      </c>
      <c r="N332" s="28">
        <f>IF($P332="","",IF(INDEX(EntryNotes,$P332)=0,"",INDEX(EntryNotes,$P332)))</f>
        <v/>
      </c>
      <c r="O332" s="28">
        <f>IF($P332="","",IF(INDEX(EntryTxnID,$P332)=0,"",INDEX(EntryTxnID,$P332)))</f>
        <v/>
      </c>
      <c r="P332" s="28">
        <f>IFERROR(MATCH($C$5&amp;"|"&amp;RIGHT("000000"&amp;316,6),CalcRankKey,0),"")</f>
        <v/>
      </c>
    </row>
    <row r="333">
      <c r="A333" s="26">
        <f>IF($B333="","",317)</f>
        <v/>
      </c>
      <c r="B333" s="26">
        <f>IF($P333="","",IF(INDEX(CalcNormDate,$P333)=0,"",INDEX(CalcNormDate,$P333)))</f>
        <v/>
      </c>
      <c r="C333" s="26">
        <f>IF($P333="","",IF(INDEX(CalcTime,$P333)=0,"",INDEX(CalcTime,$P333)))</f>
        <v/>
      </c>
      <c r="D333" s="26">
        <f>IF($P333="","",IF(INDEX(EntryParty,$P333)=0,"",INDEX(EntryParty,$P333)))</f>
        <v/>
      </c>
      <c r="E333" s="26">
        <f>IF($P333="","",IF(INDEX(EntryPartyName,$P333)=0,"",INDEX(EntryPartyName,$P333)))</f>
        <v/>
      </c>
      <c r="F333" s="26">
        <f>IF($P333="","",IF(INDEX(EntryPartyType,$P333)=0,"",INDEX(EntryPartyType,$P333)))</f>
        <v/>
      </c>
      <c r="G333" s="26">
        <f>IF($P333="","",IF(INDEX(EntryTxnType,$P333)=0,"",INDEX(EntryTxnType,$P333)))</f>
        <v/>
      </c>
      <c r="H333" s="27">
        <f>IF($P333="","",IF(INDEX(EntryDep,$P333)=0,"",INDEX(EntryDep,$P333)))</f>
        <v/>
      </c>
      <c r="I333" s="27">
        <f>IF($P333="","",IF(INDEX(EntryWit,$P333)=0,"",INDEX(EntryWit,$P333)))</f>
        <v/>
      </c>
      <c r="J333" s="27">
        <f>IF($B333="","",IF($A333=1,$C$7,IF(J332="",0,J332))+IF($H333="",0,$H333)-IF($I333="",0,$I333))</f>
        <v/>
      </c>
      <c r="K333" s="27">
        <f>IF($P333="","",IF(INDEX(EntryMan,$P333)=0,"",INDEX(EntryMan,$P333)))</f>
        <v/>
      </c>
      <c r="L333" s="26">
        <f>IF($B333="","",IF($K333="","—",IF(ROUND($K333-$J333,0)=0,"√","×")))</f>
        <v/>
      </c>
      <c r="M333" s="26">
        <f>IF($B333="","",IF(COUNTIFS(EntryDates,$B333,CalcTime,$C333,CalcBank,$C$5,EntryParty,$D333,EntryDep,$H333,EntryWit,$I333)&gt;1,"تکرار",""))</f>
        <v/>
      </c>
      <c r="N333" s="26">
        <f>IF($P333="","",IF(INDEX(EntryNotes,$P333)=0,"",INDEX(EntryNotes,$P333)))</f>
        <v/>
      </c>
      <c r="O333" s="26">
        <f>IF($P333="","",IF(INDEX(EntryTxnID,$P333)=0,"",INDEX(EntryTxnID,$P333)))</f>
        <v/>
      </c>
      <c r="P333" s="26">
        <f>IFERROR(MATCH($C$5&amp;"|"&amp;RIGHT("000000"&amp;317,6),CalcRankKey,0),"")</f>
        <v/>
      </c>
    </row>
    <row r="334">
      <c r="A334" s="28">
        <f>IF($B334="","",318)</f>
        <v/>
      </c>
      <c r="B334" s="28">
        <f>IF($P334="","",IF(INDEX(CalcNormDate,$P334)=0,"",INDEX(CalcNormDate,$P334)))</f>
        <v/>
      </c>
      <c r="C334" s="28">
        <f>IF($P334="","",IF(INDEX(CalcTime,$P334)=0,"",INDEX(CalcTime,$P334)))</f>
        <v/>
      </c>
      <c r="D334" s="28">
        <f>IF($P334="","",IF(INDEX(EntryParty,$P334)=0,"",INDEX(EntryParty,$P334)))</f>
        <v/>
      </c>
      <c r="E334" s="28">
        <f>IF($P334="","",IF(INDEX(EntryPartyName,$P334)=0,"",INDEX(EntryPartyName,$P334)))</f>
        <v/>
      </c>
      <c r="F334" s="28">
        <f>IF($P334="","",IF(INDEX(EntryPartyType,$P334)=0,"",INDEX(EntryPartyType,$P334)))</f>
        <v/>
      </c>
      <c r="G334" s="28">
        <f>IF($P334="","",IF(INDEX(EntryTxnType,$P334)=0,"",INDEX(EntryTxnType,$P334)))</f>
        <v/>
      </c>
      <c r="H334" s="29">
        <f>IF($P334="","",IF(INDEX(EntryDep,$P334)=0,"",INDEX(EntryDep,$P334)))</f>
        <v/>
      </c>
      <c r="I334" s="29">
        <f>IF($P334="","",IF(INDEX(EntryWit,$P334)=0,"",INDEX(EntryWit,$P334)))</f>
        <v/>
      </c>
      <c r="J334" s="29">
        <f>IF($B334="","",IF($A334=1,$C$7,IF(J333="",0,J333))+IF($H334="",0,$H334)-IF($I334="",0,$I334))</f>
        <v/>
      </c>
      <c r="K334" s="29">
        <f>IF($P334="","",IF(INDEX(EntryMan,$P334)=0,"",INDEX(EntryMan,$P334)))</f>
        <v/>
      </c>
      <c r="L334" s="28">
        <f>IF($B334="","",IF($K334="","—",IF(ROUND($K334-$J334,0)=0,"√","×")))</f>
        <v/>
      </c>
      <c r="M334" s="28">
        <f>IF($B334="","",IF(COUNTIFS(EntryDates,$B334,CalcTime,$C334,CalcBank,$C$5,EntryParty,$D334,EntryDep,$H334,EntryWit,$I334)&gt;1,"تکرار",""))</f>
        <v/>
      </c>
      <c r="N334" s="28">
        <f>IF($P334="","",IF(INDEX(EntryNotes,$P334)=0,"",INDEX(EntryNotes,$P334)))</f>
        <v/>
      </c>
      <c r="O334" s="28">
        <f>IF($P334="","",IF(INDEX(EntryTxnID,$P334)=0,"",INDEX(EntryTxnID,$P334)))</f>
        <v/>
      </c>
      <c r="P334" s="28">
        <f>IFERROR(MATCH($C$5&amp;"|"&amp;RIGHT("000000"&amp;318,6),CalcRankKey,0),"")</f>
        <v/>
      </c>
    </row>
    <row r="335">
      <c r="A335" s="26">
        <f>IF($B335="","",319)</f>
        <v/>
      </c>
      <c r="B335" s="26">
        <f>IF($P335="","",IF(INDEX(CalcNormDate,$P335)=0,"",INDEX(CalcNormDate,$P335)))</f>
        <v/>
      </c>
      <c r="C335" s="26">
        <f>IF($P335="","",IF(INDEX(CalcTime,$P335)=0,"",INDEX(CalcTime,$P335)))</f>
        <v/>
      </c>
      <c r="D335" s="26">
        <f>IF($P335="","",IF(INDEX(EntryParty,$P335)=0,"",INDEX(EntryParty,$P335)))</f>
        <v/>
      </c>
      <c r="E335" s="26">
        <f>IF($P335="","",IF(INDEX(EntryPartyName,$P335)=0,"",INDEX(EntryPartyName,$P335)))</f>
        <v/>
      </c>
      <c r="F335" s="26">
        <f>IF($P335="","",IF(INDEX(EntryPartyType,$P335)=0,"",INDEX(EntryPartyType,$P335)))</f>
        <v/>
      </c>
      <c r="G335" s="26">
        <f>IF($P335="","",IF(INDEX(EntryTxnType,$P335)=0,"",INDEX(EntryTxnType,$P335)))</f>
        <v/>
      </c>
      <c r="H335" s="27">
        <f>IF($P335="","",IF(INDEX(EntryDep,$P335)=0,"",INDEX(EntryDep,$P335)))</f>
        <v/>
      </c>
      <c r="I335" s="27">
        <f>IF($P335="","",IF(INDEX(EntryWit,$P335)=0,"",INDEX(EntryWit,$P335)))</f>
        <v/>
      </c>
      <c r="J335" s="27">
        <f>IF($B335="","",IF($A335=1,$C$7,IF(J334="",0,J334))+IF($H335="",0,$H335)-IF($I335="",0,$I335))</f>
        <v/>
      </c>
      <c r="K335" s="27">
        <f>IF($P335="","",IF(INDEX(EntryMan,$P335)=0,"",INDEX(EntryMan,$P335)))</f>
        <v/>
      </c>
      <c r="L335" s="26">
        <f>IF($B335="","",IF($K335="","—",IF(ROUND($K335-$J335,0)=0,"√","×")))</f>
        <v/>
      </c>
      <c r="M335" s="26">
        <f>IF($B335="","",IF(COUNTIFS(EntryDates,$B335,CalcTime,$C335,CalcBank,$C$5,EntryParty,$D335,EntryDep,$H335,EntryWit,$I335)&gt;1,"تکرار",""))</f>
        <v/>
      </c>
      <c r="N335" s="26">
        <f>IF($P335="","",IF(INDEX(EntryNotes,$P335)=0,"",INDEX(EntryNotes,$P335)))</f>
        <v/>
      </c>
      <c r="O335" s="26">
        <f>IF($P335="","",IF(INDEX(EntryTxnID,$P335)=0,"",INDEX(EntryTxnID,$P335)))</f>
        <v/>
      </c>
      <c r="P335" s="26">
        <f>IFERROR(MATCH($C$5&amp;"|"&amp;RIGHT("000000"&amp;319,6),CalcRankKey,0),"")</f>
        <v/>
      </c>
    </row>
    <row r="336">
      <c r="A336" s="28">
        <f>IF($B336="","",320)</f>
        <v/>
      </c>
      <c r="B336" s="28">
        <f>IF($P336="","",IF(INDEX(CalcNormDate,$P336)=0,"",INDEX(CalcNormDate,$P336)))</f>
        <v/>
      </c>
      <c r="C336" s="28">
        <f>IF($P336="","",IF(INDEX(CalcTime,$P336)=0,"",INDEX(CalcTime,$P336)))</f>
        <v/>
      </c>
      <c r="D336" s="28">
        <f>IF($P336="","",IF(INDEX(EntryParty,$P336)=0,"",INDEX(EntryParty,$P336)))</f>
        <v/>
      </c>
      <c r="E336" s="28">
        <f>IF($P336="","",IF(INDEX(EntryPartyName,$P336)=0,"",INDEX(EntryPartyName,$P336)))</f>
        <v/>
      </c>
      <c r="F336" s="28">
        <f>IF($P336="","",IF(INDEX(EntryPartyType,$P336)=0,"",INDEX(EntryPartyType,$P336)))</f>
        <v/>
      </c>
      <c r="G336" s="28">
        <f>IF($P336="","",IF(INDEX(EntryTxnType,$P336)=0,"",INDEX(EntryTxnType,$P336)))</f>
        <v/>
      </c>
      <c r="H336" s="29">
        <f>IF($P336="","",IF(INDEX(EntryDep,$P336)=0,"",INDEX(EntryDep,$P336)))</f>
        <v/>
      </c>
      <c r="I336" s="29">
        <f>IF($P336="","",IF(INDEX(EntryWit,$P336)=0,"",INDEX(EntryWit,$P336)))</f>
        <v/>
      </c>
      <c r="J336" s="29">
        <f>IF($B336="","",IF($A336=1,$C$7,IF(J335="",0,J335))+IF($H336="",0,$H336)-IF($I336="",0,$I336))</f>
        <v/>
      </c>
      <c r="K336" s="29">
        <f>IF($P336="","",IF(INDEX(EntryMan,$P336)=0,"",INDEX(EntryMan,$P336)))</f>
        <v/>
      </c>
      <c r="L336" s="28">
        <f>IF($B336="","",IF($K336="","—",IF(ROUND($K336-$J336,0)=0,"√","×")))</f>
        <v/>
      </c>
      <c r="M336" s="28">
        <f>IF($B336="","",IF(COUNTIFS(EntryDates,$B336,CalcTime,$C336,CalcBank,$C$5,EntryParty,$D336,EntryDep,$H336,EntryWit,$I336)&gt;1,"تکرار",""))</f>
        <v/>
      </c>
      <c r="N336" s="28">
        <f>IF($P336="","",IF(INDEX(EntryNotes,$P336)=0,"",INDEX(EntryNotes,$P336)))</f>
        <v/>
      </c>
      <c r="O336" s="28">
        <f>IF($P336="","",IF(INDEX(EntryTxnID,$P336)=0,"",INDEX(EntryTxnID,$P336)))</f>
        <v/>
      </c>
      <c r="P336" s="28">
        <f>IFERROR(MATCH($C$5&amp;"|"&amp;RIGHT("000000"&amp;320,6),CalcRankKey,0),"")</f>
        <v/>
      </c>
    </row>
    <row r="337">
      <c r="A337" s="26">
        <f>IF($B337="","",321)</f>
        <v/>
      </c>
      <c r="B337" s="26">
        <f>IF($P337="","",IF(INDEX(CalcNormDate,$P337)=0,"",INDEX(CalcNormDate,$P337)))</f>
        <v/>
      </c>
      <c r="C337" s="26">
        <f>IF($P337="","",IF(INDEX(CalcTime,$P337)=0,"",INDEX(CalcTime,$P337)))</f>
        <v/>
      </c>
      <c r="D337" s="26">
        <f>IF($P337="","",IF(INDEX(EntryParty,$P337)=0,"",INDEX(EntryParty,$P337)))</f>
        <v/>
      </c>
      <c r="E337" s="26">
        <f>IF($P337="","",IF(INDEX(EntryPartyName,$P337)=0,"",INDEX(EntryPartyName,$P337)))</f>
        <v/>
      </c>
      <c r="F337" s="26">
        <f>IF($P337="","",IF(INDEX(EntryPartyType,$P337)=0,"",INDEX(EntryPartyType,$P337)))</f>
        <v/>
      </c>
      <c r="G337" s="26">
        <f>IF($P337="","",IF(INDEX(EntryTxnType,$P337)=0,"",INDEX(EntryTxnType,$P337)))</f>
        <v/>
      </c>
      <c r="H337" s="27">
        <f>IF($P337="","",IF(INDEX(EntryDep,$P337)=0,"",INDEX(EntryDep,$P337)))</f>
        <v/>
      </c>
      <c r="I337" s="27">
        <f>IF($P337="","",IF(INDEX(EntryWit,$P337)=0,"",INDEX(EntryWit,$P337)))</f>
        <v/>
      </c>
      <c r="J337" s="27">
        <f>IF($B337="","",IF($A337=1,$C$7,IF(J336="",0,J336))+IF($H337="",0,$H337)-IF($I337="",0,$I337))</f>
        <v/>
      </c>
      <c r="K337" s="27">
        <f>IF($P337="","",IF(INDEX(EntryMan,$P337)=0,"",INDEX(EntryMan,$P337)))</f>
        <v/>
      </c>
      <c r="L337" s="26">
        <f>IF($B337="","",IF($K337="","—",IF(ROUND($K337-$J337,0)=0,"√","×")))</f>
        <v/>
      </c>
      <c r="M337" s="26">
        <f>IF($B337="","",IF(COUNTIFS(EntryDates,$B337,CalcTime,$C337,CalcBank,$C$5,EntryParty,$D337,EntryDep,$H337,EntryWit,$I337)&gt;1,"تکرار",""))</f>
        <v/>
      </c>
      <c r="N337" s="26">
        <f>IF($P337="","",IF(INDEX(EntryNotes,$P337)=0,"",INDEX(EntryNotes,$P337)))</f>
        <v/>
      </c>
      <c r="O337" s="26">
        <f>IF($P337="","",IF(INDEX(EntryTxnID,$P337)=0,"",INDEX(EntryTxnID,$P337)))</f>
        <v/>
      </c>
      <c r="P337" s="26">
        <f>IFERROR(MATCH($C$5&amp;"|"&amp;RIGHT("000000"&amp;321,6),CalcRankKey,0),"")</f>
        <v/>
      </c>
    </row>
    <row r="338">
      <c r="A338" s="28">
        <f>IF($B338="","",322)</f>
        <v/>
      </c>
      <c r="B338" s="28">
        <f>IF($P338="","",IF(INDEX(CalcNormDate,$P338)=0,"",INDEX(CalcNormDate,$P338)))</f>
        <v/>
      </c>
      <c r="C338" s="28">
        <f>IF($P338="","",IF(INDEX(CalcTime,$P338)=0,"",INDEX(CalcTime,$P338)))</f>
        <v/>
      </c>
      <c r="D338" s="28">
        <f>IF($P338="","",IF(INDEX(EntryParty,$P338)=0,"",INDEX(EntryParty,$P338)))</f>
        <v/>
      </c>
      <c r="E338" s="28">
        <f>IF($P338="","",IF(INDEX(EntryPartyName,$P338)=0,"",INDEX(EntryPartyName,$P338)))</f>
        <v/>
      </c>
      <c r="F338" s="28">
        <f>IF($P338="","",IF(INDEX(EntryPartyType,$P338)=0,"",INDEX(EntryPartyType,$P338)))</f>
        <v/>
      </c>
      <c r="G338" s="28">
        <f>IF($P338="","",IF(INDEX(EntryTxnType,$P338)=0,"",INDEX(EntryTxnType,$P338)))</f>
        <v/>
      </c>
      <c r="H338" s="29">
        <f>IF($P338="","",IF(INDEX(EntryDep,$P338)=0,"",INDEX(EntryDep,$P338)))</f>
        <v/>
      </c>
      <c r="I338" s="29">
        <f>IF($P338="","",IF(INDEX(EntryWit,$P338)=0,"",INDEX(EntryWit,$P338)))</f>
        <v/>
      </c>
      <c r="J338" s="29">
        <f>IF($B338="","",IF($A338=1,$C$7,IF(J337="",0,J337))+IF($H338="",0,$H338)-IF($I338="",0,$I338))</f>
        <v/>
      </c>
      <c r="K338" s="29">
        <f>IF($P338="","",IF(INDEX(EntryMan,$P338)=0,"",INDEX(EntryMan,$P338)))</f>
        <v/>
      </c>
      <c r="L338" s="28">
        <f>IF($B338="","",IF($K338="","—",IF(ROUND($K338-$J338,0)=0,"√","×")))</f>
        <v/>
      </c>
      <c r="M338" s="28">
        <f>IF($B338="","",IF(COUNTIFS(EntryDates,$B338,CalcTime,$C338,CalcBank,$C$5,EntryParty,$D338,EntryDep,$H338,EntryWit,$I338)&gt;1,"تکرار",""))</f>
        <v/>
      </c>
      <c r="N338" s="28">
        <f>IF($P338="","",IF(INDEX(EntryNotes,$P338)=0,"",INDEX(EntryNotes,$P338)))</f>
        <v/>
      </c>
      <c r="O338" s="28">
        <f>IF($P338="","",IF(INDEX(EntryTxnID,$P338)=0,"",INDEX(EntryTxnID,$P338)))</f>
        <v/>
      </c>
      <c r="P338" s="28">
        <f>IFERROR(MATCH($C$5&amp;"|"&amp;RIGHT("000000"&amp;322,6),CalcRankKey,0),"")</f>
        <v/>
      </c>
    </row>
    <row r="339">
      <c r="A339" s="26">
        <f>IF($B339="","",323)</f>
        <v/>
      </c>
      <c r="B339" s="26">
        <f>IF($P339="","",IF(INDEX(CalcNormDate,$P339)=0,"",INDEX(CalcNormDate,$P339)))</f>
        <v/>
      </c>
      <c r="C339" s="26">
        <f>IF($P339="","",IF(INDEX(CalcTime,$P339)=0,"",INDEX(CalcTime,$P339)))</f>
        <v/>
      </c>
      <c r="D339" s="26">
        <f>IF($P339="","",IF(INDEX(EntryParty,$P339)=0,"",INDEX(EntryParty,$P339)))</f>
        <v/>
      </c>
      <c r="E339" s="26">
        <f>IF($P339="","",IF(INDEX(EntryPartyName,$P339)=0,"",INDEX(EntryPartyName,$P339)))</f>
        <v/>
      </c>
      <c r="F339" s="26">
        <f>IF($P339="","",IF(INDEX(EntryPartyType,$P339)=0,"",INDEX(EntryPartyType,$P339)))</f>
        <v/>
      </c>
      <c r="G339" s="26">
        <f>IF($P339="","",IF(INDEX(EntryTxnType,$P339)=0,"",INDEX(EntryTxnType,$P339)))</f>
        <v/>
      </c>
      <c r="H339" s="27">
        <f>IF($P339="","",IF(INDEX(EntryDep,$P339)=0,"",INDEX(EntryDep,$P339)))</f>
        <v/>
      </c>
      <c r="I339" s="27">
        <f>IF($P339="","",IF(INDEX(EntryWit,$P339)=0,"",INDEX(EntryWit,$P339)))</f>
        <v/>
      </c>
      <c r="J339" s="27">
        <f>IF($B339="","",IF($A339=1,$C$7,IF(J338="",0,J338))+IF($H339="",0,$H339)-IF($I339="",0,$I339))</f>
        <v/>
      </c>
      <c r="K339" s="27">
        <f>IF($P339="","",IF(INDEX(EntryMan,$P339)=0,"",INDEX(EntryMan,$P339)))</f>
        <v/>
      </c>
      <c r="L339" s="26">
        <f>IF($B339="","",IF($K339="","—",IF(ROUND($K339-$J339,0)=0,"√","×")))</f>
        <v/>
      </c>
      <c r="M339" s="26">
        <f>IF($B339="","",IF(COUNTIFS(EntryDates,$B339,CalcTime,$C339,CalcBank,$C$5,EntryParty,$D339,EntryDep,$H339,EntryWit,$I339)&gt;1,"تکرار",""))</f>
        <v/>
      </c>
      <c r="N339" s="26">
        <f>IF($P339="","",IF(INDEX(EntryNotes,$P339)=0,"",INDEX(EntryNotes,$P339)))</f>
        <v/>
      </c>
      <c r="O339" s="26">
        <f>IF($P339="","",IF(INDEX(EntryTxnID,$P339)=0,"",INDEX(EntryTxnID,$P339)))</f>
        <v/>
      </c>
      <c r="P339" s="26">
        <f>IFERROR(MATCH($C$5&amp;"|"&amp;RIGHT("000000"&amp;323,6),CalcRankKey,0),"")</f>
        <v/>
      </c>
    </row>
    <row r="340">
      <c r="A340" s="28">
        <f>IF($B340="","",324)</f>
        <v/>
      </c>
      <c r="B340" s="28">
        <f>IF($P340="","",IF(INDEX(CalcNormDate,$P340)=0,"",INDEX(CalcNormDate,$P340)))</f>
        <v/>
      </c>
      <c r="C340" s="28">
        <f>IF($P340="","",IF(INDEX(CalcTime,$P340)=0,"",INDEX(CalcTime,$P340)))</f>
        <v/>
      </c>
      <c r="D340" s="28">
        <f>IF($P340="","",IF(INDEX(EntryParty,$P340)=0,"",INDEX(EntryParty,$P340)))</f>
        <v/>
      </c>
      <c r="E340" s="28">
        <f>IF($P340="","",IF(INDEX(EntryPartyName,$P340)=0,"",INDEX(EntryPartyName,$P340)))</f>
        <v/>
      </c>
      <c r="F340" s="28">
        <f>IF($P340="","",IF(INDEX(EntryPartyType,$P340)=0,"",INDEX(EntryPartyType,$P340)))</f>
        <v/>
      </c>
      <c r="G340" s="28">
        <f>IF($P340="","",IF(INDEX(EntryTxnType,$P340)=0,"",INDEX(EntryTxnType,$P340)))</f>
        <v/>
      </c>
      <c r="H340" s="29">
        <f>IF($P340="","",IF(INDEX(EntryDep,$P340)=0,"",INDEX(EntryDep,$P340)))</f>
        <v/>
      </c>
      <c r="I340" s="29">
        <f>IF($P340="","",IF(INDEX(EntryWit,$P340)=0,"",INDEX(EntryWit,$P340)))</f>
        <v/>
      </c>
      <c r="J340" s="29">
        <f>IF($B340="","",IF($A340=1,$C$7,IF(J339="",0,J339))+IF($H340="",0,$H340)-IF($I340="",0,$I340))</f>
        <v/>
      </c>
      <c r="K340" s="29">
        <f>IF($P340="","",IF(INDEX(EntryMan,$P340)=0,"",INDEX(EntryMan,$P340)))</f>
        <v/>
      </c>
      <c r="L340" s="28">
        <f>IF($B340="","",IF($K340="","—",IF(ROUND($K340-$J340,0)=0,"√","×")))</f>
        <v/>
      </c>
      <c r="M340" s="28">
        <f>IF($B340="","",IF(COUNTIFS(EntryDates,$B340,CalcTime,$C340,CalcBank,$C$5,EntryParty,$D340,EntryDep,$H340,EntryWit,$I340)&gt;1,"تکرار",""))</f>
        <v/>
      </c>
      <c r="N340" s="28">
        <f>IF($P340="","",IF(INDEX(EntryNotes,$P340)=0,"",INDEX(EntryNotes,$P340)))</f>
        <v/>
      </c>
      <c r="O340" s="28">
        <f>IF($P340="","",IF(INDEX(EntryTxnID,$P340)=0,"",INDEX(EntryTxnID,$P340)))</f>
        <v/>
      </c>
      <c r="P340" s="28">
        <f>IFERROR(MATCH($C$5&amp;"|"&amp;RIGHT("000000"&amp;324,6),CalcRankKey,0),"")</f>
        <v/>
      </c>
    </row>
    <row r="341">
      <c r="A341" s="26">
        <f>IF($B341="","",325)</f>
        <v/>
      </c>
      <c r="B341" s="26">
        <f>IF($P341="","",IF(INDEX(CalcNormDate,$P341)=0,"",INDEX(CalcNormDate,$P341)))</f>
        <v/>
      </c>
      <c r="C341" s="26">
        <f>IF($P341="","",IF(INDEX(CalcTime,$P341)=0,"",INDEX(CalcTime,$P341)))</f>
        <v/>
      </c>
      <c r="D341" s="26">
        <f>IF($P341="","",IF(INDEX(EntryParty,$P341)=0,"",INDEX(EntryParty,$P341)))</f>
        <v/>
      </c>
      <c r="E341" s="26">
        <f>IF($P341="","",IF(INDEX(EntryPartyName,$P341)=0,"",INDEX(EntryPartyName,$P341)))</f>
        <v/>
      </c>
      <c r="F341" s="26">
        <f>IF($P341="","",IF(INDEX(EntryPartyType,$P341)=0,"",INDEX(EntryPartyType,$P341)))</f>
        <v/>
      </c>
      <c r="G341" s="26">
        <f>IF($P341="","",IF(INDEX(EntryTxnType,$P341)=0,"",INDEX(EntryTxnType,$P341)))</f>
        <v/>
      </c>
      <c r="H341" s="27">
        <f>IF($P341="","",IF(INDEX(EntryDep,$P341)=0,"",INDEX(EntryDep,$P341)))</f>
        <v/>
      </c>
      <c r="I341" s="27">
        <f>IF($P341="","",IF(INDEX(EntryWit,$P341)=0,"",INDEX(EntryWit,$P341)))</f>
        <v/>
      </c>
      <c r="J341" s="27">
        <f>IF($B341="","",IF($A341=1,$C$7,IF(J340="",0,J340))+IF($H341="",0,$H341)-IF($I341="",0,$I341))</f>
        <v/>
      </c>
      <c r="K341" s="27">
        <f>IF($P341="","",IF(INDEX(EntryMan,$P341)=0,"",INDEX(EntryMan,$P341)))</f>
        <v/>
      </c>
      <c r="L341" s="26">
        <f>IF($B341="","",IF($K341="","—",IF(ROUND($K341-$J341,0)=0,"√","×")))</f>
        <v/>
      </c>
      <c r="M341" s="26">
        <f>IF($B341="","",IF(COUNTIFS(EntryDates,$B341,CalcTime,$C341,CalcBank,$C$5,EntryParty,$D341,EntryDep,$H341,EntryWit,$I341)&gt;1,"تکرار",""))</f>
        <v/>
      </c>
      <c r="N341" s="26">
        <f>IF($P341="","",IF(INDEX(EntryNotes,$P341)=0,"",INDEX(EntryNotes,$P341)))</f>
        <v/>
      </c>
      <c r="O341" s="26">
        <f>IF($P341="","",IF(INDEX(EntryTxnID,$P341)=0,"",INDEX(EntryTxnID,$P341)))</f>
        <v/>
      </c>
      <c r="P341" s="26">
        <f>IFERROR(MATCH($C$5&amp;"|"&amp;RIGHT("000000"&amp;325,6),CalcRankKey,0),"")</f>
        <v/>
      </c>
    </row>
    <row r="342">
      <c r="A342" s="28">
        <f>IF($B342="","",326)</f>
        <v/>
      </c>
      <c r="B342" s="28">
        <f>IF($P342="","",IF(INDEX(CalcNormDate,$P342)=0,"",INDEX(CalcNormDate,$P342)))</f>
        <v/>
      </c>
      <c r="C342" s="28">
        <f>IF($P342="","",IF(INDEX(CalcTime,$P342)=0,"",INDEX(CalcTime,$P342)))</f>
        <v/>
      </c>
      <c r="D342" s="28">
        <f>IF($P342="","",IF(INDEX(EntryParty,$P342)=0,"",INDEX(EntryParty,$P342)))</f>
        <v/>
      </c>
      <c r="E342" s="28">
        <f>IF($P342="","",IF(INDEX(EntryPartyName,$P342)=0,"",INDEX(EntryPartyName,$P342)))</f>
        <v/>
      </c>
      <c r="F342" s="28">
        <f>IF($P342="","",IF(INDEX(EntryPartyType,$P342)=0,"",INDEX(EntryPartyType,$P342)))</f>
        <v/>
      </c>
      <c r="G342" s="28">
        <f>IF($P342="","",IF(INDEX(EntryTxnType,$P342)=0,"",INDEX(EntryTxnType,$P342)))</f>
        <v/>
      </c>
      <c r="H342" s="29">
        <f>IF($P342="","",IF(INDEX(EntryDep,$P342)=0,"",INDEX(EntryDep,$P342)))</f>
        <v/>
      </c>
      <c r="I342" s="29">
        <f>IF($P342="","",IF(INDEX(EntryWit,$P342)=0,"",INDEX(EntryWit,$P342)))</f>
        <v/>
      </c>
      <c r="J342" s="29">
        <f>IF($B342="","",IF($A342=1,$C$7,IF(J341="",0,J341))+IF($H342="",0,$H342)-IF($I342="",0,$I342))</f>
        <v/>
      </c>
      <c r="K342" s="29">
        <f>IF($P342="","",IF(INDEX(EntryMan,$P342)=0,"",INDEX(EntryMan,$P342)))</f>
        <v/>
      </c>
      <c r="L342" s="28">
        <f>IF($B342="","",IF($K342="","—",IF(ROUND($K342-$J342,0)=0,"√","×")))</f>
        <v/>
      </c>
      <c r="M342" s="28">
        <f>IF($B342="","",IF(COUNTIFS(EntryDates,$B342,CalcTime,$C342,CalcBank,$C$5,EntryParty,$D342,EntryDep,$H342,EntryWit,$I342)&gt;1,"تکرار",""))</f>
        <v/>
      </c>
      <c r="N342" s="28">
        <f>IF($P342="","",IF(INDEX(EntryNotes,$P342)=0,"",INDEX(EntryNotes,$P342)))</f>
        <v/>
      </c>
      <c r="O342" s="28">
        <f>IF($P342="","",IF(INDEX(EntryTxnID,$P342)=0,"",INDEX(EntryTxnID,$P342)))</f>
        <v/>
      </c>
      <c r="P342" s="28">
        <f>IFERROR(MATCH($C$5&amp;"|"&amp;RIGHT("000000"&amp;326,6),CalcRankKey,0),"")</f>
        <v/>
      </c>
    </row>
    <row r="343">
      <c r="A343" s="26">
        <f>IF($B343="","",327)</f>
        <v/>
      </c>
      <c r="B343" s="26">
        <f>IF($P343="","",IF(INDEX(CalcNormDate,$P343)=0,"",INDEX(CalcNormDate,$P343)))</f>
        <v/>
      </c>
      <c r="C343" s="26">
        <f>IF($P343="","",IF(INDEX(CalcTime,$P343)=0,"",INDEX(CalcTime,$P343)))</f>
        <v/>
      </c>
      <c r="D343" s="26">
        <f>IF($P343="","",IF(INDEX(EntryParty,$P343)=0,"",INDEX(EntryParty,$P343)))</f>
        <v/>
      </c>
      <c r="E343" s="26">
        <f>IF($P343="","",IF(INDEX(EntryPartyName,$P343)=0,"",INDEX(EntryPartyName,$P343)))</f>
        <v/>
      </c>
      <c r="F343" s="26">
        <f>IF($P343="","",IF(INDEX(EntryPartyType,$P343)=0,"",INDEX(EntryPartyType,$P343)))</f>
        <v/>
      </c>
      <c r="G343" s="26">
        <f>IF($P343="","",IF(INDEX(EntryTxnType,$P343)=0,"",INDEX(EntryTxnType,$P343)))</f>
        <v/>
      </c>
      <c r="H343" s="27">
        <f>IF($P343="","",IF(INDEX(EntryDep,$P343)=0,"",INDEX(EntryDep,$P343)))</f>
        <v/>
      </c>
      <c r="I343" s="27">
        <f>IF($P343="","",IF(INDEX(EntryWit,$P343)=0,"",INDEX(EntryWit,$P343)))</f>
        <v/>
      </c>
      <c r="J343" s="27">
        <f>IF($B343="","",IF($A343=1,$C$7,IF(J342="",0,J342))+IF($H343="",0,$H343)-IF($I343="",0,$I343))</f>
        <v/>
      </c>
      <c r="K343" s="27">
        <f>IF($P343="","",IF(INDEX(EntryMan,$P343)=0,"",INDEX(EntryMan,$P343)))</f>
        <v/>
      </c>
      <c r="L343" s="26">
        <f>IF($B343="","",IF($K343="","—",IF(ROUND($K343-$J343,0)=0,"√","×")))</f>
        <v/>
      </c>
      <c r="M343" s="26">
        <f>IF($B343="","",IF(COUNTIFS(EntryDates,$B343,CalcTime,$C343,CalcBank,$C$5,EntryParty,$D343,EntryDep,$H343,EntryWit,$I343)&gt;1,"تکرار",""))</f>
        <v/>
      </c>
      <c r="N343" s="26">
        <f>IF($P343="","",IF(INDEX(EntryNotes,$P343)=0,"",INDEX(EntryNotes,$P343)))</f>
        <v/>
      </c>
      <c r="O343" s="26">
        <f>IF($P343="","",IF(INDEX(EntryTxnID,$P343)=0,"",INDEX(EntryTxnID,$P343)))</f>
        <v/>
      </c>
      <c r="P343" s="26">
        <f>IFERROR(MATCH($C$5&amp;"|"&amp;RIGHT("000000"&amp;327,6),CalcRankKey,0),"")</f>
        <v/>
      </c>
    </row>
    <row r="344">
      <c r="A344" s="28">
        <f>IF($B344="","",328)</f>
        <v/>
      </c>
      <c r="B344" s="28">
        <f>IF($P344="","",IF(INDEX(CalcNormDate,$P344)=0,"",INDEX(CalcNormDate,$P344)))</f>
        <v/>
      </c>
      <c r="C344" s="28">
        <f>IF($P344="","",IF(INDEX(CalcTime,$P344)=0,"",INDEX(CalcTime,$P344)))</f>
        <v/>
      </c>
      <c r="D344" s="28">
        <f>IF($P344="","",IF(INDEX(EntryParty,$P344)=0,"",INDEX(EntryParty,$P344)))</f>
        <v/>
      </c>
      <c r="E344" s="28">
        <f>IF($P344="","",IF(INDEX(EntryPartyName,$P344)=0,"",INDEX(EntryPartyName,$P344)))</f>
        <v/>
      </c>
      <c r="F344" s="28">
        <f>IF($P344="","",IF(INDEX(EntryPartyType,$P344)=0,"",INDEX(EntryPartyType,$P344)))</f>
        <v/>
      </c>
      <c r="G344" s="28">
        <f>IF($P344="","",IF(INDEX(EntryTxnType,$P344)=0,"",INDEX(EntryTxnType,$P344)))</f>
        <v/>
      </c>
      <c r="H344" s="29">
        <f>IF($P344="","",IF(INDEX(EntryDep,$P344)=0,"",INDEX(EntryDep,$P344)))</f>
        <v/>
      </c>
      <c r="I344" s="29">
        <f>IF($P344="","",IF(INDEX(EntryWit,$P344)=0,"",INDEX(EntryWit,$P344)))</f>
        <v/>
      </c>
      <c r="J344" s="29">
        <f>IF($B344="","",IF($A344=1,$C$7,IF(J343="",0,J343))+IF($H344="",0,$H344)-IF($I344="",0,$I344))</f>
        <v/>
      </c>
      <c r="K344" s="29">
        <f>IF($P344="","",IF(INDEX(EntryMan,$P344)=0,"",INDEX(EntryMan,$P344)))</f>
        <v/>
      </c>
      <c r="L344" s="28">
        <f>IF($B344="","",IF($K344="","—",IF(ROUND($K344-$J344,0)=0,"√","×")))</f>
        <v/>
      </c>
      <c r="M344" s="28">
        <f>IF($B344="","",IF(COUNTIFS(EntryDates,$B344,CalcTime,$C344,CalcBank,$C$5,EntryParty,$D344,EntryDep,$H344,EntryWit,$I344)&gt;1,"تکرار",""))</f>
        <v/>
      </c>
      <c r="N344" s="28">
        <f>IF($P344="","",IF(INDEX(EntryNotes,$P344)=0,"",INDEX(EntryNotes,$P344)))</f>
        <v/>
      </c>
      <c r="O344" s="28">
        <f>IF($P344="","",IF(INDEX(EntryTxnID,$P344)=0,"",INDEX(EntryTxnID,$P344)))</f>
        <v/>
      </c>
      <c r="P344" s="28">
        <f>IFERROR(MATCH($C$5&amp;"|"&amp;RIGHT("000000"&amp;328,6),CalcRankKey,0),"")</f>
        <v/>
      </c>
    </row>
    <row r="345">
      <c r="A345" s="26">
        <f>IF($B345="","",329)</f>
        <v/>
      </c>
      <c r="B345" s="26">
        <f>IF($P345="","",IF(INDEX(CalcNormDate,$P345)=0,"",INDEX(CalcNormDate,$P345)))</f>
        <v/>
      </c>
      <c r="C345" s="26">
        <f>IF($P345="","",IF(INDEX(CalcTime,$P345)=0,"",INDEX(CalcTime,$P345)))</f>
        <v/>
      </c>
      <c r="D345" s="26">
        <f>IF($P345="","",IF(INDEX(EntryParty,$P345)=0,"",INDEX(EntryParty,$P345)))</f>
        <v/>
      </c>
      <c r="E345" s="26">
        <f>IF($P345="","",IF(INDEX(EntryPartyName,$P345)=0,"",INDEX(EntryPartyName,$P345)))</f>
        <v/>
      </c>
      <c r="F345" s="26">
        <f>IF($P345="","",IF(INDEX(EntryPartyType,$P345)=0,"",INDEX(EntryPartyType,$P345)))</f>
        <v/>
      </c>
      <c r="G345" s="26">
        <f>IF($P345="","",IF(INDEX(EntryTxnType,$P345)=0,"",INDEX(EntryTxnType,$P345)))</f>
        <v/>
      </c>
      <c r="H345" s="27">
        <f>IF($P345="","",IF(INDEX(EntryDep,$P345)=0,"",INDEX(EntryDep,$P345)))</f>
        <v/>
      </c>
      <c r="I345" s="27">
        <f>IF($P345="","",IF(INDEX(EntryWit,$P345)=0,"",INDEX(EntryWit,$P345)))</f>
        <v/>
      </c>
      <c r="J345" s="27">
        <f>IF($B345="","",IF($A345=1,$C$7,IF(J344="",0,J344))+IF($H345="",0,$H345)-IF($I345="",0,$I345))</f>
        <v/>
      </c>
      <c r="K345" s="27">
        <f>IF($P345="","",IF(INDEX(EntryMan,$P345)=0,"",INDEX(EntryMan,$P345)))</f>
        <v/>
      </c>
      <c r="L345" s="26">
        <f>IF($B345="","",IF($K345="","—",IF(ROUND($K345-$J345,0)=0,"√","×")))</f>
        <v/>
      </c>
      <c r="M345" s="26">
        <f>IF($B345="","",IF(COUNTIFS(EntryDates,$B345,CalcTime,$C345,CalcBank,$C$5,EntryParty,$D345,EntryDep,$H345,EntryWit,$I345)&gt;1,"تکرار",""))</f>
        <v/>
      </c>
      <c r="N345" s="26">
        <f>IF($P345="","",IF(INDEX(EntryNotes,$P345)=0,"",INDEX(EntryNotes,$P345)))</f>
        <v/>
      </c>
      <c r="O345" s="26">
        <f>IF($P345="","",IF(INDEX(EntryTxnID,$P345)=0,"",INDEX(EntryTxnID,$P345)))</f>
        <v/>
      </c>
      <c r="P345" s="26">
        <f>IFERROR(MATCH($C$5&amp;"|"&amp;RIGHT("000000"&amp;329,6),CalcRankKey,0),"")</f>
        <v/>
      </c>
    </row>
    <row r="346">
      <c r="A346" s="28">
        <f>IF($B346="","",330)</f>
        <v/>
      </c>
      <c r="B346" s="28">
        <f>IF($P346="","",IF(INDEX(CalcNormDate,$P346)=0,"",INDEX(CalcNormDate,$P346)))</f>
        <v/>
      </c>
      <c r="C346" s="28">
        <f>IF($P346="","",IF(INDEX(CalcTime,$P346)=0,"",INDEX(CalcTime,$P346)))</f>
        <v/>
      </c>
      <c r="D346" s="28">
        <f>IF($P346="","",IF(INDEX(EntryParty,$P346)=0,"",INDEX(EntryParty,$P346)))</f>
        <v/>
      </c>
      <c r="E346" s="28">
        <f>IF($P346="","",IF(INDEX(EntryPartyName,$P346)=0,"",INDEX(EntryPartyName,$P346)))</f>
        <v/>
      </c>
      <c r="F346" s="28">
        <f>IF($P346="","",IF(INDEX(EntryPartyType,$P346)=0,"",INDEX(EntryPartyType,$P346)))</f>
        <v/>
      </c>
      <c r="G346" s="28">
        <f>IF($P346="","",IF(INDEX(EntryTxnType,$P346)=0,"",INDEX(EntryTxnType,$P346)))</f>
        <v/>
      </c>
      <c r="H346" s="29">
        <f>IF($P346="","",IF(INDEX(EntryDep,$P346)=0,"",INDEX(EntryDep,$P346)))</f>
        <v/>
      </c>
      <c r="I346" s="29">
        <f>IF($P346="","",IF(INDEX(EntryWit,$P346)=0,"",INDEX(EntryWit,$P346)))</f>
        <v/>
      </c>
      <c r="J346" s="29">
        <f>IF($B346="","",IF($A346=1,$C$7,IF(J345="",0,J345))+IF($H346="",0,$H346)-IF($I346="",0,$I346))</f>
        <v/>
      </c>
      <c r="K346" s="29">
        <f>IF($P346="","",IF(INDEX(EntryMan,$P346)=0,"",INDEX(EntryMan,$P346)))</f>
        <v/>
      </c>
      <c r="L346" s="28">
        <f>IF($B346="","",IF($K346="","—",IF(ROUND($K346-$J346,0)=0,"√","×")))</f>
        <v/>
      </c>
      <c r="M346" s="28">
        <f>IF($B346="","",IF(COUNTIFS(EntryDates,$B346,CalcTime,$C346,CalcBank,$C$5,EntryParty,$D346,EntryDep,$H346,EntryWit,$I346)&gt;1,"تکرار",""))</f>
        <v/>
      </c>
      <c r="N346" s="28">
        <f>IF($P346="","",IF(INDEX(EntryNotes,$P346)=0,"",INDEX(EntryNotes,$P346)))</f>
        <v/>
      </c>
      <c r="O346" s="28">
        <f>IF($P346="","",IF(INDEX(EntryTxnID,$P346)=0,"",INDEX(EntryTxnID,$P346)))</f>
        <v/>
      </c>
      <c r="P346" s="28">
        <f>IFERROR(MATCH($C$5&amp;"|"&amp;RIGHT("000000"&amp;330,6),CalcRankKey,0),"")</f>
        <v/>
      </c>
    </row>
    <row r="347">
      <c r="A347" s="26">
        <f>IF($B347="","",331)</f>
        <v/>
      </c>
      <c r="B347" s="26">
        <f>IF($P347="","",IF(INDEX(CalcNormDate,$P347)=0,"",INDEX(CalcNormDate,$P347)))</f>
        <v/>
      </c>
      <c r="C347" s="26">
        <f>IF($P347="","",IF(INDEX(CalcTime,$P347)=0,"",INDEX(CalcTime,$P347)))</f>
        <v/>
      </c>
      <c r="D347" s="26">
        <f>IF($P347="","",IF(INDEX(EntryParty,$P347)=0,"",INDEX(EntryParty,$P347)))</f>
        <v/>
      </c>
      <c r="E347" s="26">
        <f>IF($P347="","",IF(INDEX(EntryPartyName,$P347)=0,"",INDEX(EntryPartyName,$P347)))</f>
        <v/>
      </c>
      <c r="F347" s="26">
        <f>IF($P347="","",IF(INDEX(EntryPartyType,$P347)=0,"",INDEX(EntryPartyType,$P347)))</f>
        <v/>
      </c>
      <c r="G347" s="26">
        <f>IF($P347="","",IF(INDEX(EntryTxnType,$P347)=0,"",INDEX(EntryTxnType,$P347)))</f>
        <v/>
      </c>
      <c r="H347" s="27">
        <f>IF($P347="","",IF(INDEX(EntryDep,$P347)=0,"",INDEX(EntryDep,$P347)))</f>
        <v/>
      </c>
      <c r="I347" s="27">
        <f>IF($P347="","",IF(INDEX(EntryWit,$P347)=0,"",INDEX(EntryWit,$P347)))</f>
        <v/>
      </c>
      <c r="J347" s="27">
        <f>IF($B347="","",IF($A347=1,$C$7,IF(J346="",0,J346))+IF($H347="",0,$H347)-IF($I347="",0,$I347))</f>
        <v/>
      </c>
      <c r="K347" s="27">
        <f>IF($P347="","",IF(INDEX(EntryMan,$P347)=0,"",INDEX(EntryMan,$P347)))</f>
        <v/>
      </c>
      <c r="L347" s="26">
        <f>IF($B347="","",IF($K347="","—",IF(ROUND($K347-$J347,0)=0,"√","×")))</f>
        <v/>
      </c>
      <c r="M347" s="26">
        <f>IF($B347="","",IF(COUNTIFS(EntryDates,$B347,CalcTime,$C347,CalcBank,$C$5,EntryParty,$D347,EntryDep,$H347,EntryWit,$I347)&gt;1,"تکرار",""))</f>
        <v/>
      </c>
      <c r="N347" s="26">
        <f>IF($P347="","",IF(INDEX(EntryNotes,$P347)=0,"",INDEX(EntryNotes,$P347)))</f>
        <v/>
      </c>
      <c r="O347" s="26">
        <f>IF($P347="","",IF(INDEX(EntryTxnID,$P347)=0,"",INDEX(EntryTxnID,$P347)))</f>
        <v/>
      </c>
      <c r="P347" s="26">
        <f>IFERROR(MATCH($C$5&amp;"|"&amp;RIGHT("000000"&amp;331,6),CalcRankKey,0),"")</f>
        <v/>
      </c>
    </row>
    <row r="348">
      <c r="A348" s="28">
        <f>IF($B348="","",332)</f>
        <v/>
      </c>
      <c r="B348" s="28">
        <f>IF($P348="","",IF(INDEX(CalcNormDate,$P348)=0,"",INDEX(CalcNormDate,$P348)))</f>
        <v/>
      </c>
      <c r="C348" s="28">
        <f>IF($P348="","",IF(INDEX(CalcTime,$P348)=0,"",INDEX(CalcTime,$P348)))</f>
        <v/>
      </c>
      <c r="D348" s="28">
        <f>IF($P348="","",IF(INDEX(EntryParty,$P348)=0,"",INDEX(EntryParty,$P348)))</f>
        <v/>
      </c>
      <c r="E348" s="28">
        <f>IF($P348="","",IF(INDEX(EntryPartyName,$P348)=0,"",INDEX(EntryPartyName,$P348)))</f>
        <v/>
      </c>
      <c r="F348" s="28">
        <f>IF($P348="","",IF(INDEX(EntryPartyType,$P348)=0,"",INDEX(EntryPartyType,$P348)))</f>
        <v/>
      </c>
      <c r="G348" s="28">
        <f>IF($P348="","",IF(INDEX(EntryTxnType,$P348)=0,"",INDEX(EntryTxnType,$P348)))</f>
        <v/>
      </c>
      <c r="H348" s="29">
        <f>IF($P348="","",IF(INDEX(EntryDep,$P348)=0,"",INDEX(EntryDep,$P348)))</f>
        <v/>
      </c>
      <c r="I348" s="29">
        <f>IF($P348="","",IF(INDEX(EntryWit,$P348)=0,"",INDEX(EntryWit,$P348)))</f>
        <v/>
      </c>
      <c r="J348" s="29">
        <f>IF($B348="","",IF($A348=1,$C$7,IF(J347="",0,J347))+IF($H348="",0,$H348)-IF($I348="",0,$I348))</f>
        <v/>
      </c>
      <c r="K348" s="29">
        <f>IF($P348="","",IF(INDEX(EntryMan,$P348)=0,"",INDEX(EntryMan,$P348)))</f>
        <v/>
      </c>
      <c r="L348" s="28">
        <f>IF($B348="","",IF($K348="","—",IF(ROUND($K348-$J348,0)=0,"√","×")))</f>
        <v/>
      </c>
      <c r="M348" s="28">
        <f>IF($B348="","",IF(COUNTIFS(EntryDates,$B348,CalcTime,$C348,CalcBank,$C$5,EntryParty,$D348,EntryDep,$H348,EntryWit,$I348)&gt;1,"تکرار",""))</f>
        <v/>
      </c>
      <c r="N348" s="28">
        <f>IF($P348="","",IF(INDEX(EntryNotes,$P348)=0,"",INDEX(EntryNotes,$P348)))</f>
        <v/>
      </c>
      <c r="O348" s="28">
        <f>IF($P348="","",IF(INDEX(EntryTxnID,$P348)=0,"",INDEX(EntryTxnID,$P348)))</f>
        <v/>
      </c>
      <c r="P348" s="28">
        <f>IFERROR(MATCH($C$5&amp;"|"&amp;RIGHT("000000"&amp;332,6),CalcRankKey,0),"")</f>
        <v/>
      </c>
    </row>
    <row r="349">
      <c r="A349" s="26">
        <f>IF($B349="","",333)</f>
        <v/>
      </c>
      <c r="B349" s="26">
        <f>IF($P349="","",IF(INDEX(CalcNormDate,$P349)=0,"",INDEX(CalcNormDate,$P349)))</f>
        <v/>
      </c>
      <c r="C349" s="26">
        <f>IF($P349="","",IF(INDEX(CalcTime,$P349)=0,"",INDEX(CalcTime,$P349)))</f>
        <v/>
      </c>
      <c r="D349" s="26">
        <f>IF($P349="","",IF(INDEX(EntryParty,$P349)=0,"",INDEX(EntryParty,$P349)))</f>
        <v/>
      </c>
      <c r="E349" s="26">
        <f>IF($P349="","",IF(INDEX(EntryPartyName,$P349)=0,"",INDEX(EntryPartyName,$P349)))</f>
        <v/>
      </c>
      <c r="F349" s="26">
        <f>IF($P349="","",IF(INDEX(EntryPartyType,$P349)=0,"",INDEX(EntryPartyType,$P349)))</f>
        <v/>
      </c>
      <c r="G349" s="26">
        <f>IF($P349="","",IF(INDEX(EntryTxnType,$P349)=0,"",INDEX(EntryTxnType,$P349)))</f>
        <v/>
      </c>
      <c r="H349" s="27">
        <f>IF($P349="","",IF(INDEX(EntryDep,$P349)=0,"",INDEX(EntryDep,$P349)))</f>
        <v/>
      </c>
      <c r="I349" s="27">
        <f>IF($P349="","",IF(INDEX(EntryWit,$P349)=0,"",INDEX(EntryWit,$P349)))</f>
        <v/>
      </c>
      <c r="J349" s="27">
        <f>IF($B349="","",IF($A349=1,$C$7,IF(J348="",0,J348))+IF($H349="",0,$H349)-IF($I349="",0,$I349))</f>
        <v/>
      </c>
      <c r="K349" s="27">
        <f>IF($P349="","",IF(INDEX(EntryMan,$P349)=0,"",INDEX(EntryMan,$P349)))</f>
        <v/>
      </c>
      <c r="L349" s="26">
        <f>IF($B349="","",IF($K349="","—",IF(ROUND($K349-$J349,0)=0,"√","×")))</f>
        <v/>
      </c>
      <c r="M349" s="26">
        <f>IF($B349="","",IF(COUNTIFS(EntryDates,$B349,CalcTime,$C349,CalcBank,$C$5,EntryParty,$D349,EntryDep,$H349,EntryWit,$I349)&gt;1,"تکرار",""))</f>
        <v/>
      </c>
      <c r="N349" s="26">
        <f>IF($P349="","",IF(INDEX(EntryNotes,$P349)=0,"",INDEX(EntryNotes,$P349)))</f>
        <v/>
      </c>
      <c r="O349" s="26">
        <f>IF($P349="","",IF(INDEX(EntryTxnID,$P349)=0,"",INDEX(EntryTxnID,$P349)))</f>
        <v/>
      </c>
      <c r="P349" s="26">
        <f>IFERROR(MATCH($C$5&amp;"|"&amp;RIGHT("000000"&amp;333,6),CalcRankKey,0),"")</f>
        <v/>
      </c>
    </row>
    <row r="350">
      <c r="A350" s="28">
        <f>IF($B350="","",334)</f>
        <v/>
      </c>
      <c r="B350" s="28">
        <f>IF($P350="","",IF(INDEX(CalcNormDate,$P350)=0,"",INDEX(CalcNormDate,$P350)))</f>
        <v/>
      </c>
      <c r="C350" s="28">
        <f>IF($P350="","",IF(INDEX(CalcTime,$P350)=0,"",INDEX(CalcTime,$P350)))</f>
        <v/>
      </c>
      <c r="D350" s="28">
        <f>IF($P350="","",IF(INDEX(EntryParty,$P350)=0,"",INDEX(EntryParty,$P350)))</f>
        <v/>
      </c>
      <c r="E350" s="28">
        <f>IF($P350="","",IF(INDEX(EntryPartyName,$P350)=0,"",INDEX(EntryPartyName,$P350)))</f>
        <v/>
      </c>
      <c r="F350" s="28">
        <f>IF($P350="","",IF(INDEX(EntryPartyType,$P350)=0,"",INDEX(EntryPartyType,$P350)))</f>
        <v/>
      </c>
      <c r="G350" s="28">
        <f>IF($P350="","",IF(INDEX(EntryTxnType,$P350)=0,"",INDEX(EntryTxnType,$P350)))</f>
        <v/>
      </c>
      <c r="H350" s="29">
        <f>IF($P350="","",IF(INDEX(EntryDep,$P350)=0,"",INDEX(EntryDep,$P350)))</f>
        <v/>
      </c>
      <c r="I350" s="29">
        <f>IF($P350="","",IF(INDEX(EntryWit,$P350)=0,"",INDEX(EntryWit,$P350)))</f>
        <v/>
      </c>
      <c r="J350" s="29">
        <f>IF($B350="","",IF($A350=1,$C$7,IF(J349="",0,J349))+IF($H350="",0,$H350)-IF($I350="",0,$I350))</f>
        <v/>
      </c>
      <c r="K350" s="29">
        <f>IF($P350="","",IF(INDEX(EntryMan,$P350)=0,"",INDEX(EntryMan,$P350)))</f>
        <v/>
      </c>
      <c r="L350" s="28">
        <f>IF($B350="","",IF($K350="","—",IF(ROUND($K350-$J350,0)=0,"√","×")))</f>
        <v/>
      </c>
      <c r="M350" s="28">
        <f>IF($B350="","",IF(COUNTIFS(EntryDates,$B350,CalcTime,$C350,CalcBank,$C$5,EntryParty,$D350,EntryDep,$H350,EntryWit,$I350)&gt;1,"تکرار",""))</f>
        <v/>
      </c>
      <c r="N350" s="28">
        <f>IF($P350="","",IF(INDEX(EntryNotes,$P350)=0,"",INDEX(EntryNotes,$P350)))</f>
        <v/>
      </c>
      <c r="O350" s="28">
        <f>IF($P350="","",IF(INDEX(EntryTxnID,$P350)=0,"",INDEX(EntryTxnID,$P350)))</f>
        <v/>
      </c>
      <c r="P350" s="28">
        <f>IFERROR(MATCH($C$5&amp;"|"&amp;RIGHT("000000"&amp;334,6),CalcRankKey,0),"")</f>
        <v/>
      </c>
    </row>
    <row r="351">
      <c r="A351" s="26">
        <f>IF($B351="","",335)</f>
        <v/>
      </c>
      <c r="B351" s="26">
        <f>IF($P351="","",IF(INDEX(CalcNormDate,$P351)=0,"",INDEX(CalcNormDate,$P351)))</f>
        <v/>
      </c>
      <c r="C351" s="26">
        <f>IF($P351="","",IF(INDEX(CalcTime,$P351)=0,"",INDEX(CalcTime,$P351)))</f>
        <v/>
      </c>
      <c r="D351" s="26">
        <f>IF($P351="","",IF(INDEX(EntryParty,$P351)=0,"",INDEX(EntryParty,$P351)))</f>
        <v/>
      </c>
      <c r="E351" s="26">
        <f>IF($P351="","",IF(INDEX(EntryPartyName,$P351)=0,"",INDEX(EntryPartyName,$P351)))</f>
        <v/>
      </c>
      <c r="F351" s="26">
        <f>IF($P351="","",IF(INDEX(EntryPartyType,$P351)=0,"",INDEX(EntryPartyType,$P351)))</f>
        <v/>
      </c>
      <c r="G351" s="26">
        <f>IF($P351="","",IF(INDEX(EntryTxnType,$P351)=0,"",INDEX(EntryTxnType,$P351)))</f>
        <v/>
      </c>
      <c r="H351" s="27">
        <f>IF($P351="","",IF(INDEX(EntryDep,$P351)=0,"",INDEX(EntryDep,$P351)))</f>
        <v/>
      </c>
      <c r="I351" s="27">
        <f>IF($P351="","",IF(INDEX(EntryWit,$P351)=0,"",INDEX(EntryWit,$P351)))</f>
        <v/>
      </c>
      <c r="J351" s="27">
        <f>IF($B351="","",IF($A351=1,$C$7,IF(J350="",0,J350))+IF($H351="",0,$H351)-IF($I351="",0,$I351))</f>
        <v/>
      </c>
      <c r="K351" s="27">
        <f>IF($P351="","",IF(INDEX(EntryMan,$P351)=0,"",INDEX(EntryMan,$P351)))</f>
        <v/>
      </c>
      <c r="L351" s="26">
        <f>IF($B351="","",IF($K351="","—",IF(ROUND($K351-$J351,0)=0,"√","×")))</f>
        <v/>
      </c>
      <c r="M351" s="26">
        <f>IF($B351="","",IF(COUNTIFS(EntryDates,$B351,CalcTime,$C351,CalcBank,$C$5,EntryParty,$D351,EntryDep,$H351,EntryWit,$I351)&gt;1,"تکرار",""))</f>
        <v/>
      </c>
      <c r="N351" s="26">
        <f>IF($P351="","",IF(INDEX(EntryNotes,$P351)=0,"",INDEX(EntryNotes,$P351)))</f>
        <v/>
      </c>
      <c r="O351" s="26">
        <f>IF($P351="","",IF(INDEX(EntryTxnID,$P351)=0,"",INDEX(EntryTxnID,$P351)))</f>
        <v/>
      </c>
      <c r="P351" s="26">
        <f>IFERROR(MATCH($C$5&amp;"|"&amp;RIGHT("000000"&amp;335,6),CalcRankKey,0),"")</f>
        <v/>
      </c>
    </row>
    <row r="352">
      <c r="A352" s="28">
        <f>IF($B352="","",336)</f>
        <v/>
      </c>
      <c r="B352" s="28">
        <f>IF($P352="","",IF(INDEX(CalcNormDate,$P352)=0,"",INDEX(CalcNormDate,$P352)))</f>
        <v/>
      </c>
      <c r="C352" s="28">
        <f>IF($P352="","",IF(INDEX(CalcTime,$P352)=0,"",INDEX(CalcTime,$P352)))</f>
        <v/>
      </c>
      <c r="D352" s="28">
        <f>IF($P352="","",IF(INDEX(EntryParty,$P352)=0,"",INDEX(EntryParty,$P352)))</f>
        <v/>
      </c>
      <c r="E352" s="28">
        <f>IF($P352="","",IF(INDEX(EntryPartyName,$P352)=0,"",INDEX(EntryPartyName,$P352)))</f>
        <v/>
      </c>
      <c r="F352" s="28">
        <f>IF($P352="","",IF(INDEX(EntryPartyType,$P352)=0,"",INDEX(EntryPartyType,$P352)))</f>
        <v/>
      </c>
      <c r="G352" s="28">
        <f>IF($P352="","",IF(INDEX(EntryTxnType,$P352)=0,"",INDEX(EntryTxnType,$P352)))</f>
        <v/>
      </c>
      <c r="H352" s="29">
        <f>IF($P352="","",IF(INDEX(EntryDep,$P352)=0,"",INDEX(EntryDep,$P352)))</f>
        <v/>
      </c>
      <c r="I352" s="29">
        <f>IF($P352="","",IF(INDEX(EntryWit,$P352)=0,"",INDEX(EntryWit,$P352)))</f>
        <v/>
      </c>
      <c r="J352" s="29">
        <f>IF($B352="","",IF($A352=1,$C$7,IF(J351="",0,J351))+IF($H352="",0,$H352)-IF($I352="",0,$I352))</f>
        <v/>
      </c>
      <c r="K352" s="29">
        <f>IF($P352="","",IF(INDEX(EntryMan,$P352)=0,"",INDEX(EntryMan,$P352)))</f>
        <v/>
      </c>
      <c r="L352" s="28">
        <f>IF($B352="","",IF($K352="","—",IF(ROUND($K352-$J352,0)=0,"√","×")))</f>
        <v/>
      </c>
      <c r="M352" s="28">
        <f>IF($B352="","",IF(COUNTIFS(EntryDates,$B352,CalcTime,$C352,CalcBank,$C$5,EntryParty,$D352,EntryDep,$H352,EntryWit,$I352)&gt;1,"تکرار",""))</f>
        <v/>
      </c>
      <c r="N352" s="28">
        <f>IF($P352="","",IF(INDEX(EntryNotes,$P352)=0,"",INDEX(EntryNotes,$P352)))</f>
        <v/>
      </c>
      <c r="O352" s="28">
        <f>IF($P352="","",IF(INDEX(EntryTxnID,$P352)=0,"",INDEX(EntryTxnID,$P352)))</f>
        <v/>
      </c>
      <c r="P352" s="28">
        <f>IFERROR(MATCH($C$5&amp;"|"&amp;RIGHT("000000"&amp;336,6),CalcRankKey,0),"")</f>
        <v/>
      </c>
    </row>
    <row r="353">
      <c r="A353" s="26">
        <f>IF($B353="","",337)</f>
        <v/>
      </c>
      <c r="B353" s="26">
        <f>IF($P353="","",IF(INDEX(CalcNormDate,$P353)=0,"",INDEX(CalcNormDate,$P353)))</f>
        <v/>
      </c>
      <c r="C353" s="26">
        <f>IF($P353="","",IF(INDEX(CalcTime,$P353)=0,"",INDEX(CalcTime,$P353)))</f>
        <v/>
      </c>
      <c r="D353" s="26">
        <f>IF($P353="","",IF(INDEX(EntryParty,$P353)=0,"",INDEX(EntryParty,$P353)))</f>
        <v/>
      </c>
      <c r="E353" s="26">
        <f>IF($P353="","",IF(INDEX(EntryPartyName,$P353)=0,"",INDEX(EntryPartyName,$P353)))</f>
        <v/>
      </c>
      <c r="F353" s="26">
        <f>IF($P353="","",IF(INDEX(EntryPartyType,$P353)=0,"",INDEX(EntryPartyType,$P353)))</f>
        <v/>
      </c>
      <c r="G353" s="26">
        <f>IF($P353="","",IF(INDEX(EntryTxnType,$P353)=0,"",INDEX(EntryTxnType,$P353)))</f>
        <v/>
      </c>
      <c r="H353" s="27">
        <f>IF($P353="","",IF(INDEX(EntryDep,$P353)=0,"",INDEX(EntryDep,$P353)))</f>
        <v/>
      </c>
      <c r="I353" s="27">
        <f>IF($P353="","",IF(INDEX(EntryWit,$P353)=0,"",INDEX(EntryWit,$P353)))</f>
        <v/>
      </c>
      <c r="J353" s="27">
        <f>IF($B353="","",IF($A353=1,$C$7,IF(J352="",0,J352))+IF($H353="",0,$H353)-IF($I353="",0,$I353))</f>
        <v/>
      </c>
      <c r="K353" s="27">
        <f>IF($P353="","",IF(INDEX(EntryMan,$P353)=0,"",INDEX(EntryMan,$P353)))</f>
        <v/>
      </c>
      <c r="L353" s="26">
        <f>IF($B353="","",IF($K353="","—",IF(ROUND($K353-$J353,0)=0,"√","×")))</f>
        <v/>
      </c>
      <c r="M353" s="26">
        <f>IF($B353="","",IF(COUNTIFS(EntryDates,$B353,CalcTime,$C353,CalcBank,$C$5,EntryParty,$D353,EntryDep,$H353,EntryWit,$I353)&gt;1,"تکرار",""))</f>
        <v/>
      </c>
      <c r="N353" s="26">
        <f>IF($P353="","",IF(INDEX(EntryNotes,$P353)=0,"",INDEX(EntryNotes,$P353)))</f>
        <v/>
      </c>
      <c r="O353" s="26">
        <f>IF($P353="","",IF(INDEX(EntryTxnID,$P353)=0,"",INDEX(EntryTxnID,$P353)))</f>
        <v/>
      </c>
      <c r="P353" s="26">
        <f>IFERROR(MATCH($C$5&amp;"|"&amp;RIGHT("000000"&amp;337,6),CalcRankKey,0),"")</f>
        <v/>
      </c>
    </row>
    <row r="354">
      <c r="A354" s="28">
        <f>IF($B354="","",338)</f>
        <v/>
      </c>
      <c r="B354" s="28">
        <f>IF($P354="","",IF(INDEX(CalcNormDate,$P354)=0,"",INDEX(CalcNormDate,$P354)))</f>
        <v/>
      </c>
      <c r="C354" s="28">
        <f>IF($P354="","",IF(INDEX(CalcTime,$P354)=0,"",INDEX(CalcTime,$P354)))</f>
        <v/>
      </c>
      <c r="D354" s="28">
        <f>IF($P354="","",IF(INDEX(EntryParty,$P354)=0,"",INDEX(EntryParty,$P354)))</f>
        <v/>
      </c>
      <c r="E354" s="28">
        <f>IF($P354="","",IF(INDEX(EntryPartyName,$P354)=0,"",INDEX(EntryPartyName,$P354)))</f>
        <v/>
      </c>
      <c r="F354" s="28">
        <f>IF($P354="","",IF(INDEX(EntryPartyType,$P354)=0,"",INDEX(EntryPartyType,$P354)))</f>
        <v/>
      </c>
      <c r="G354" s="28">
        <f>IF($P354="","",IF(INDEX(EntryTxnType,$P354)=0,"",INDEX(EntryTxnType,$P354)))</f>
        <v/>
      </c>
      <c r="H354" s="29">
        <f>IF($P354="","",IF(INDEX(EntryDep,$P354)=0,"",INDEX(EntryDep,$P354)))</f>
        <v/>
      </c>
      <c r="I354" s="29">
        <f>IF($P354="","",IF(INDEX(EntryWit,$P354)=0,"",INDEX(EntryWit,$P354)))</f>
        <v/>
      </c>
      <c r="J354" s="29">
        <f>IF($B354="","",IF($A354=1,$C$7,IF(J353="",0,J353))+IF($H354="",0,$H354)-IF($I354="",0,$I354))</f>
        <v/>
      </c>
      <c r="K354" s="29">
        <f>IF($P354="","",IF(INDEX(EntryMan,$P354)=0,"",INDEX(EntryMan,$P354)))</f>
        <v/>
      </c>
      <c r="L354" s="28">
        <f>IF($B354="","",IF($K354="","—",IF(ROUND($K354-$J354,0)=0,"√","×")))</f>
        <v/>
      </c>
      <c r="M354" s="28">
        <f>IF($B354="","",IF(COUNTIFS(EntryDates,$B354,CalcTime,$C354,CalcBank,$C$5,EntryParty,$D354,EntryDep,$H354,EntryWit,$I354)&gt;1,"تکرار",""))</f>
        <v/>
      </c>
      <c r="N354" s="28">
        <f>IF($P354="","",IF(INDEX(EntryNotes,$P354)=0,"",INDEX(EntryNotes,$P354)))</f>
        <v/>
      </c>
      <c r="O354" s="28">
        <f>IF($P354="","",IF(INDEX(EntryTxnID,$P354)=0,"",INDEX(EntryTxnID,$P354)))</f>
        <v/>
      </c>
      <c r="P354" s="28">
        <f>IFERROR(MATCH($C$5&amp;"|"&amp;RIGHT("000000"&amp;338,6),CalcRankKey,0),"")</f>
        <v/>
      </c>
    </row>
    <row r="355">
      <c r="A355" s="26">
        <f>IF($B355="","",339)</f>
        <v/>
      </c>
      <c r="B355" s="26">
        <f>IF($P355="","",IF(INDEX(CalcNormDate,$P355)=0,"",INDEX(CalcNormDate,$P355)))</f>
        <v/>
      </c>
      <c r="C355" s="26">
        <f>IF($P355="","",IF(INDEX(CalcTime,$P355)=0,"",INDEX(CalcTime,$P355)))</f>
        <v/>
      </c>
      <c r="D355" s="26">
        <f>IF($P355="","",IF(INDEX(EntryParty,$P355)=0,"",INDEX(EntryParty,$P355)))</f>
        <v/>
      </c>
      <c r="E355" s="26">
        <f>IF($P355="","",IF(INDEX(EntryPartyName,$P355)=0,"",INDEX(EntryPartyName,$P355)))</f>
        <v/>
      </c>
      <c r="F355" s="26">
        <f>IF($P355="","",IF(INDEX(EntryPartyType,$P355)=0,"",INDEX(EntryPartyType,$P355)))</f>
        <v/>
      </c>
      <c r="G355" s="26">
        <f>IF($P355="","",IF(INDEX(EntryTxnType,$P355)=0,"",INDEX(EntryTxnType,$P355)))</f>
        <v/>
      </c>
      <c r="H355" s="27">
        <f>IF($P355="","",IF(INDEX(EntryDep,$P355)=0,"",INDEX(EntryDep,$P355)))</f>
        <v/>
      </c>
      <c r="I355" s="27">
        <f>IF($P355="","",IF(INDEX(EntryWit,$P355)=0,"",INDEX(EntryWit,$P355)))</f>
        <v/>
      </c>
      <c r="J355" s="27">
        <f>IF($B355="","",IF($A355=1,$C$7,IF(J354="",0,J354))+IF($H355="",0,$H355)-IF($I355="",0,$I355))</f>
        <v/>
      </c>
      <c r="K355" s="27">
        <f>IF($P355="","",IF(INDEX(EntryMan,$P355)=0,"",INDEX(EntryMan,$P355)))</f>
        <v/>
      </c>
      <c r="L355" s="26">
        <f>IF($B355="","",IF($K355="","—",IF(ROUND($K355-$J355,0)=0,"√","×")))</f>
        <v/>
      </c>
      <c r="M355" s="26">
        <f>IF($B355="","",IF(COUNTIFS(EntryDates,$B355,CalcTime,$C355,CalcBank,$C$5,EntryParty,$D355,EntryDep,$H355,EntryWit,$I355)&gt;1,"تکرار",""))</f>
        <v/>
      </c>
      <c r="N355" s="26">
        <f>IF($P355="","",IF(INDEX(EntryNotes,$P355)=0,"",INDEX(EntryNotes,$P355)))</f>
        <v/>
      </c>
      <c r="O355" s="26">
        <f>IF($P355="","",IF(INDEX(EntryTxnID,$P355)=0,"",INDEX(EntryTxnID,$P355)))</f>
        <v/>
      </c>
      <c r="P355" s="26">
        <f>IFERROR(MATCH($C$5&amp;"|"&amp;RIGHT("000000"&amp;339,6),CalcRankKey,0),"")</f>
        <v/>
      </c>
    </row>
    <row r="356">
      <c r="A356" s="28">
        <f>IF($B356="","",340)</f>
        <v/>
      </c>
      <c r="B356" s="28">
        <f>IF($P356="","",IF(INDEX(CalcNormDate,$P356)=0,"",INDEX(CalcNormDate,$P356)))</f>
        <v/>
      </c>
      <c r="C356" s="28">
        <f>IF($P356="","",IF(INDEX(CalcTime,$P356)=0,"",INDEX(CalcTime,$P356)))</f>
        <v/>
      </c>
      <c r="D356" s="28">
        <f>IF($P356="","",IF(INDEX(EntryParty,$P356)=0,"",INDEX(EntryParty,$P356)))</f>
        <v/>
      </c>
      <c r="E356" s="28">
        <f>IF($P356="","",IF(INDEX(EntryPartyName,$P356)=0,"",INDEX(EntryPartyName,$P356)))</f>
        <v/>
      </c>
      <c r="F356" s="28">
        <f>IF($P356="","",IF(INDEX(EntryPartyType,$P356)=0,"",INDEX(EntryPartyType,$P356)))</f>
        <v/>
      </c>
      <c r="G356" s="28">
        <f>IF($P356="","",IF(INDEX(EntryTxnType,$P356)=0,"",INDEX(EntryTxnType,$P356)))</f>
        <v/>
      </c>
      <c r="H356" s="29">
        <f>IF($P356="","",IF(INDEX(EntryDep,$P356)=0,"",INDEX(EntryDep,$P356)))</f>
        <v/>
      </c>
      <c r="I356" s="29">
        <f>IF($P356="","",IF(INDEX(EntryWit,$P356)=0,"",INDEX(EntryWit,$P356)))</f>
        <v/>
      </c>
      <c r="J356" s="29">
        <f>IF($B356="","",IF($A356=1,$C$7,IF(J355="",0,J355))+IF($H356="",0,$H356)-IF($I356="",0,$I356))</f>
        <v/>
      </c>
      <c r="K356" s="29">
        <f>IF($P356="","",IF(INDEX(EntryMan,$P356)=0,"",INDEX(EntryMan,$P356)))</f>
        <v/>
      </c>
      <c r="L356" s="28">
        <f>IF($B356="","",IF($K356="","—",IF(ROUND($K356-$J356,0)=0,"√","×")))</f>
        <v/>
      </c>
      <c r="M356" s="28">
        <f>IF($B356="","",IF(COUNTIFS(EntryDates,$B356,CalcTime,$C356,CalcBank,$C$5,EntryParty,$D356,EntryDep,$H356,EntryWit,$I356)&gt;1,"تکرار",""))</f>
        <v/>
      </c>
      <c r="N356" s="28">
        <f>IF($P356="","",IF(INDEX(EntryNotes,$P356)=0,"",INDEX(EntryNotes,$P356)))</f>
        <v/>
      </c>
      <c r="O356" s="28">
        <f>IF($P356="","",IF(INDEX(EntryTxnID,$P356)=0,"",INDEX(EntryTxnID,$P356)))</f>
        <v/>
      </c>
      <c r="P356" s="28">
        <f>IFERROR(MATCH($C$5&amp;"|"&amp;RIGHT("000000"&amp;340,6),CalcRankKey,0),"")</f>
        <v/>
      </c>
    </row>
    <row r="357">
      <c r="A357" s="26">
        <f>IF($B357="","",341)</f>
        <v/>
      </c>
      <c r="B357" s="26">
        <f>IF($P357="","",IF(INDEX(CalcNormDate,$P357)=0,"",INDEX(CalcNormDate,$P357)))</f>
        <v/>
      </c>
      <c r="C357" s="26">
        <f>IF($P357="","",IF(INDEX(CalcTime,$P357)=0,"",INDEX(CalcTime,$P357)))</f>
        <v/>
      </c>
      <c r="D357" s="26">
        <f>IF($P357="","",IF(INDEX(EntryParty,$P357)=0,"",INDEX(EntryParty,$P357)))</f>
        <v/>
      </c>
      <c r="E357" s="26">
        <f>IF($P357="","",IF(INDEX(EntryPartyName,$P357)=0,"",INDEX(EntryPartyName,$P357)))</f>
        <v/>
      </c>
      <c r="F357" s="26">
        <f>IF($P357="","",IF(INDEX(EntryPartyType,$P357)=0,"",INDEX(EntryPartyType,$P357)))</f>
        <v/>
      </c>
      <c r="G357" s="26">
        <f>IF($P357="","",IF(INDEX(EntryTxnType,$P357)=0,"",INDEX(EntryTxnType,$P357)))</f>
        <v/>
      </c>
      <c r="H357" s="27">
        <f>IF($P357="","",IF(INDEX(EntryDep,$P357)=0,"",INDEX(EntryDep,$P357)))</f>
        <v/>
      </c>
      <c r="I357" s="27">
        <f>IF($P357="","",IF(INDEX(EntryWit,$P357)=0,"",INDEX(EntryWit,$P357)))</f>
        <v/>
      </c>
      <c r="J357" s="27">
        <f>IF($B357="","",IF($A357=1,$C$7,IF(J356="",0,J356))+IF($H357="",0,$H357)-IF($I357="",0,$I357))</f>
        <v/>
      </c>
      <c r="K357" s="27">
        <f>IF($P357="","",IF(INDEX(EntryMan,$P357)=0,"",INDEX(EntryMan,$P357)))</f>
        <v/>
      </c>
      <c r="L357" s="26">
        <f>IF($B357="","",IF($K357="","—",IF(ROUND($K357-$J357,0)=0,"√","×")))</f>
        <v/>
      </c>
      <c r="M357" s="26">
        <f>IF($B357="","",IF(COUNTIFS(EntryDates,$B357,CalcTime,$C357,CalcBank,$C$5,EntryParty,$D357,EntryDep,$H357,EntryWit,$I357)&gt;1,"تکرار",""))</f>
        <v/>
      </c>
      <c r="N357" s="26">
        <f>IF($P357="","",IF(INDEX(EntryNotes,$P357)=0,"",INDEX(EntryNotes,$P357)))</f>
        <v/>
      </c>
      <c r="O357" s="26">
        <f>IF($P357="","",IF(INDEX(EntryTxnID,$P357)=0,"",INDEX(EntryTxnID,$P357)))</f>
        <v/>
      </c>
      <c r="P357" s="26">
        <f>IFERROR(MATCH($C$5&amp;"|"&amp;RIGHT("000000"&amp;341,6),CalcRankKey,0),"")</f>
        <v/>
      </c>
    </row>
    <row r="358">
      <c r="A358" s="28">
        <f>IF($B358="","",342)</f>
        <v/>
      </c>
      <c r="B358" s="28">
        <f>IF($P358="","",IF(INDEX(CalcNormDate,$P358)=0,"",INDEX(CalcNormDate,$P358)))</f>
        <v/>
      </c>
      <c r="C358" s="28">
        <f>IF($P358="","",IF(INDEX(CalcTime,$P358)=0,"",INDEX(CalcTime,$P358)))</f>
        <v/>
      </c>
      <c r="D358" s="28">
        <f>IF($P358="","",IF(INDEX(EntryParty,$P358)=0,"",INDEX(EntryParty,$P358)))</f>
        <v/>
      </c>
      <c r="E358" s="28">
        <f>IF($P358="","",IF(INDEX(EntryPartyName,$P358)=0,"",INDEX(EntryPartyName,$P358)))</f>
        <v/>
      </c>
      <c r="F358" s="28">
        <f>IF($P358="","",IF(INDEX(EntryPartyType,$P358)=0,"",INDEX(EntryPartyType,$P358)))</f>
        <v/>
      </c>
      <c r="G358" s="28">
        <f>IF($P358="","",IF(INDEX(EntryTxnType,$P358)=0,"",INDEX(EntryTxnType,$P358)))</f>
        <v/>
      </c>
      <c r="H358" s="29">
        <f>IF($P358="","",IF(INDEX(EntryDep,$P358)=0,"",INDEX(EntryDep,$P358)))</f>
        <v/>
      </c>
      <c r="I358" s="29">
        <f>IF($P358="","",IF(INDEX(EntryWit,$P358)=0,"",INDEX(EntryWit,$P358)))</f>
        <v/>
      </c>
      <c r="J358" s="29">
        <f>IF($B358="","",IF($A358=1,$C$7,IF(J357="",0,J357))+IF($H358="",0,$H358)-IF($I358="",0,$I358))</f>
        <v/>
      </c>
      <c r="K358" s="29">
        <f>IF($P358="","",IF(INDEX(EntryMan,$P358)=0,"",INDEX(EntryMan,$P358)))</f>
        <v/>
      </c>
      <c r="L358" s="28">
        <f>IF($B358="","",IF($K358="","—",IF(ROUND($K358-$J358,0)=0,"√","×")))</f>
        <v/>
      </c>
      <c r="M358" s="28">
        <f>IF($B358="","",IF(COUNTIFS(EntryDates,$B358,CalcTime,$C358,CalcBank,$C$5,EntryParty,$D358,EntryDep,$H358,EntryWit,$I358)&gt;1,"تکرار",""))</f>
        <v/>
      </c>
      <c r="N358" s="28">
        <f>IF($P358="","",IF(INDEX(EntryNotes,$P358)=0,"",INDEX(EntryNotes,$P358)))</f>
        <v/>
      </c>
      <c r="O358" s="28">
        <f>IF($P358="","",IF(INDEX(EntryTxnID,$P358)=0,"",INDEX(EntryTxnID,$P358)))</f>
        <v/>
      </c>
      <c r="P358" s="28">
        <f>IFERROR(MATCH($C$5&amp;"|"&amp;RIGHT("000000"&amp;342,6),CalcRankKey,0),"")</f>
        <v/>
      </c>
    </row>
    <row r="359">
      <c r="A359" s="26">
        <f>IF($B359="","",343)</f>
        <v/>
      </c>
      <c r="B359" s="26">
        <f>IF($P359="","",IF(INDEX(CalcNormDate,$P359)=0,"",INDEX(CalcNormDate,$P359)))</f>
        <v/>
      </c>
      <c r="C359" s="26">
        <f>IF($P359="","",IF(INDEX(CalcTime,$P359)=0,"",INDEX(CalcTime,$P359)))</f>
        <v/>
      </c>
      <c r="D359" s="26">
        <f>IF($P359="","",IF(INDEX(EntryParty,$P359)=0,"",INDEX(EntryParty,$P359)))</f>
        <v/>
      </c>
      <c r="E359" s="26">
        <f>IF($P359="","",IF(INDEX(EntryPartyName,$P359)=0,"",INDEX(EntryPartyName,$P359)))</f>
        <v/>
      </c>
      <c r="F359" s="26">
        <f>IF($P359="","",IF(INDEX(EntryPartyType,$P359)=0,"",INDEX(EntryPartyType,$P359)))</f>
        <v/>
      </c>
      <c r="G359" s="26">
        <f>IF($P359="","",IF(INDEX(EntryTxnType,$P359)=0,"",INDEX(EntryTxnType,$P359)))</f>
        <v/>
      </c>
      <c r="H359" s="27">
        <f>IF($P359="","",IF(INDEX(EntryDep,$P359)=0,"",INDEX(EntryDep,$P359)))</f>
        <v/>
      </c>
      <c r="I359" s="27">
        <f>IF($P359="","",IF(INDEX(EntryWit,$P359)=0,"",INDEX(EntryWit,$P359)))</f>
        <v/>
      </c>
      <c r="J359" s="27">
        <f>IF($B359="","",IF($A359=1,$C$7,IF(J358="",0,J358))+IF($H359="",0,$H359)-IF($I359="",0,$I359))</f>
        <v/>
      </c>
      <c r="K359" s="27">
        <f>IF($P359="","",IF(INDEX(EntryMan,$P359)=0,"",INDEX(EntryMan,$P359)))</f>
        <v/>
      </c>
      <c r="L359" s="26">
        <f>IF($B359="","",IF($K359="","—",IF(ROUND($K359-$J359,0)=0,"√","×")))</f>
        <v/>
      </c>
      <c r="M359" s="26">
        <f>IF($B359="","",IF(COUNTIFS(EntryDates,$B359,CalcTime,$C359,CalcBank,$C$5,EntryParty,$D359,EntryDep,$H359,EntryWit,$I359)&gt;1,"تکرار",""))</f>
        <v/>
      </c>
      <c r="N359" s="26">
        <f>IF($P359="","",IF(INDEX(EntryNotes,$P359)=0,"",INDEX(EntryNotes,$P359)))</f>
        <v/>
      </c>
      <c r="O359" s="26">
        <f>IF($P359="","",IF(INDEX(EntryTxnID,$P359)=0,"",INDEX(EntryTxnID,$P359)))</f>
        <v/>
      </c>
      <c r="P359" s="26">
        <f>IFERROR(MATCH($C$5&amp;"|"&amp;RIGHT("000000"&amp;343,6),CalcRankKey,0),"")</f>
        <v/>
      </c>
    </row>
    <row r="360">
      <c r="A360" s="28">
        <f>IF($B360="","",344)</f>
        <v/>
      </c>
      <c r="B360" s="28">
        <f>IF($P360="","",IF(INDEX(CalcNormDate,$P360)=0,"",INDEX(CalcNormDate,$P360)))</f>
        <v/>
      </c>
      <c r="C360" s="28">
        <f>IF($P360="","",IF(INDEX(CalcTime,$P360)=0,"",INDEX(CalcTime,$P360)))</f>
        <v/>
      </c>
      <c r="D360" s="28">
        <f>IF($P360="","",IF(INDEX(EntryParty,$P360)=0,"",INDEX(EntryParty,$P360)))</f>
        <v/>
      </c>
      <c r="E360" s="28">
        <f>IF($P360="","",IF(INDEX(EntryPartyName,$P360)=0,"",INDEX(EntryPartyName,$P360)))</f>
        <v/>
      </c>
      <c r="F360" s="28">
        <f>IF($P360="","",IF(INDEX(EntryPartyType,$P360)=0,"",INDEX(EntryPartyType,$P360)))</f>
        <v/>
      </c>
      <c r="G360" s="28">
        <f>IF($P360="","",IF(INDEX(EntryTxnType,$P360)=0,"",INDEX(EntryTxnType,$P360)))</f>
        <v/>
      </c>
      <c r="H360" s="29">
        <f>IF($P360="","",IF(INDEX(EntryDep,$P360)=0,"",INDEX(EntryDep,$P360)))</f>
        <v/>
      </c>
      <c r="I360" s="29">
        <f>IF($P360="","",IF(INDEX(EntryWit,$P360)=0,"",INDEX(EntryWit,$P360)))</f>
        <v/>
      </c>
      <c r="J360" s="29">
        <f>IF($B360="","",IF($A360=1,$C$7,IF(J359="",0,J359))+IF($H360="",0,$H360)-IF($I360="",0,$I360))</f>
        <v/>
      </c>
      <c r="K360" s="29">
        <f>IF($P360="","",IF(INDEX(EntryMan,$P360)=0,"",INDEX(EntryMan,$P360)))</f>
        <v/>
      </c>
      <c r="L360" s="28">
        <f>IF($B360="","",IF($K360="","—",IF(ROUND($K360-$J360,0)=0,"√","×")))</f>
        <v/>
      </c>
      <c r="M360" s="28">
        <f>IF($B360="","",IF(COUNTIFS(EntryDates,$B360,CalcTime,$C360,CalcBank,$C$5,EntryParty,$D360,EntryDep,$H360,EntryWit,$I360)&gt;1,"تکرار",""))</f>
        <v/>
      </c>
      <c r="N360" s="28">
        <f>IF($P360="","",IF(INDEX(EntryNotes,$P360)=0,"",INDEX(EntryNotes,$P360)))</f>
        <v/>
      </c>
      <c r="O360" s="28">
        <f>IF($P360="","",IF(INDEX(EntryTxnID,$P360)=0,"",INDEX(EntryTxnID,$P360)))</f>
        <v/>
      </c>
      <c r="P360" s="28">
        <f>IFERROR(MATCH($C$5&amp;"|"&amp;RIGHT("000000"&amp;344,6),CalcRankKey,0),"")</f>
        <v/>
      </c>
    </row>
    <row r="361">
      <c r="A361" s="26">
        <f>IF($B361="","",345)</f>
        <v/>
      </c>
      <c r="B361" s="26">
        <f>IF($P361="","",IF(INDEX(CalcNormDate,$P361)=0,"",INDEX(CalcNormDate,$P361)))</f>
        <v/>
      </c>
      <c r="C361" s="26">
        <f>IF($P361="","",IF(INDEX(CalcTime,$P361)=0,"",INDEX(CalcTime,$P361)))</f>
        <v/>
      </c>
      <c r="D361" s="26">
        <f>IF($P361="","",IF(INDEX(EntryParty,$P361)=0,"",INDEX(EntryParty,$P361)))</f>
        <v/>
      </c>
      <c r="E361" s="26">
        <f>IF($P361="","",IF(INDEX(EntryPartyName,$P361)=0,"",INDEX(EntryPartyName,$P361)))</f>
        <v/>
      </c>
      <c r="F361" s="26">
        <f>IF($P361="","",IF(INDEX(EntryPartyType,$P361)=0,"",INDEX(EntryPartyType,$P361)))</f>
        <v/>
      </c>
      <c r="G361" s="26">
        <f>IF($P361="","",IF(INDEX(EntryTxnType,$P361)=0,"",INDEX(EntryTxnType,$P361)))</f>
        <v/>
      </c>
      <c r="H361" s="27">
        <f>IF($P361="","",IF(INDEX(EntryDep,$P361)=0,"",INDEX(EntryDep,$P361)))</f>
        <v/>
      </c>
      <c r="I361" s="27">
        <f>IF($P361="","",IF(INDEX(EntryWit,$P361)=0,"",INDEX(EntryWit,$P361)))</f>
        <v/>
      </c>
      <c r="J361" s="27">
        <f>IF($B361="","",IF($A361=1,$C$7,IF(J360="",0,J360))+IF($H361="",0,$H361)-IF($I361="",0,$I361))</f>
        <v/>
      </c>
      <c r="K361" s="27">
        <f>IF($P361="","",IF(INDEX(EntryMan,$P361)=0,"",INDEX(EntryMan,$P361)))</f>
        <v/>
      </c>
      <c r="L361" s="26">
        <f>IF($B361="","",IF($K361="","—",IF(ROUND($K361-$J361,0)=0,"√","×")))</f>
        <v/>
      </c>
      <c r="M361" s="26">
        <f>IF($B361="","",IF(COUNTIFS(EntryDates,$B361,CalcTime,$C361,CalcBank,$C$5,EntryParty,$D361,EntryDep,$H361,EntryWit,$I361)&gt;1,"تکرار",""))</f>
        <v/>
      </c>
      <c r="N361" s="26">
        <f>IF($P361="","",IF(INDEX(EntryNotes,$P361)=0,"",INDEX(EntryNotes,$P361)))</f>
        <v/>
      </c>
      <c r="O361" s="26">
        <f>IF($P361="","",IF(INDEX(EntryTxnID,$P361)=0,"",INDEX(EntryTxnID,$P361)))</f>
        <v/>
      </c>
      <c r="P361" s="26">
        <f>IFERROR(MATCH($C$5&amp;"|"&amp;RIGHT("000000"&amp;345,6),CalcRankKey,0),"")</f>
        <v/>
      </c>
    </row>
    <row r="362">
      <c r="A362" s="28">
        <f>IF($B362="","",346)</f>
        <v/>
      </c>
      <c r="B362" s="28">
        <f>IF($P362="","",IF(INDEX(CalcNormDate,$P362)=0,"",INDEX(CalcNormDate,$P362)))</f>
        <v/>
      </c>
      <c r="C362" s="28">
        <f>IF($P362="","",IF(INDEX(CalcTime,$P362)=0,"",INDEX(CalcTime,$P362)))</f>
        <v/>
      </c>
      <c r="D362" s="28">
        <f>IF($P362="","",IF(INDEX(EntryParty,$P362)=0,"",INDEX(EntryParty,$P362)))</f>
        <v/>
      </c>
      <c r="E362" s="28">
        <f>IF($P362="","",IF(INDEX(EntryPartyName,$P362)=0,"",INDEX(EntryPartyName,$P362)))</f>
        <v/>
      </c>
      <c r="F362" s="28">
        <f>IF($P362="","",IF(INDEX(EntryPartyType,$P362)=0,"",INDEX(EntryPartyType,$P362)))</f>
        <v/>
      </c>
      <c r="G362" s="28">
        <f>IF($P362="","",IF(INDEX(EntryTxnType,$P362)=0,"",INDEX(EntryTxnType,$P362)))</f>
        <v/>
      </c>
      <c r="H362" s="29">
        <f>IF($P362="","",IF(INDEX(EntryDep,$P362)=0,"",INDEX(EntryDep,$P362)))</f>
        <v/>
      </c>
      <c r="I362" s="29">
        <f>IF($P362="","",IF(INDEX(EntryWit,$P362)=0,"",INDEX(EntryWit,$P362)))</f>
        <v/>
      </c>
      <c r="J362" s="29">
        <f>IF($B362="","",IF($A362=1,$C$7,IF(J361="",0,J361))+IF($H362="",0,$H362)-IF($I362="",0,$I362))</f>
        <v/>
      </c>
      <c r="K362" s="29">
        <f>IF($P362="","",IF(INDEX(EntryMan,$P362)=0,"",INDEX(EntryMan,$P362)))</f>
        <v/>
      </c>
      <c r="L362" s="28">
        <f>IF($B362="","",IF($K362="","—",IF(ROUND($K362-$J362,0)=0,"√","×")))</f>
        <v/>
      </c>
      <c r="M362" s="28">
        <f>IF($B362="","",IF(COUNTIFS(EntryDates,$B362,CalcTime,$C362,CalcBank,$C$5,EntryParty,$D362,EntryDep,$H362,EntryWit,$I362)&gt;1,"تکرار",""))</f>
        <v/>
      </c>
      <c r="N362" s="28">
        <f>IF($P362="","",IF(INDEX(EntryNotes,$P362)=0,"",INDEX(EntryNotes,$P362)))</f>
        <v/>
      </c>
      <c r="O362" s="28">
        <f>IF($P362="","",IF(INDEX(EntryTxnID,$P362)=0,"",INDEX(EntryTxnID,$P362)))</f>
        <v/>
      </c>
      <c r="P362" s="28">
        <f>IFERROR(MATCH($C$5&amp;"|"&amp;RIGHT("000000"&amp;346,6),CalcRankKey,0),"")</f>
        <v/>
      </c>
    </row>
    <row r="363">
      <c r="A363" s="26">
        <f>IF($B363="","",347)</f>
        <v/>
      </c>
      <c r="B363" s="26">
        <f>IF($P363="","",IF(INDEX(CalcNormDate,$P363)=0,"",INDEX(CalcNormDate,$P363)))</f>
        <v/>
      </c>
      <c r="C363" s="26">
        <f>IF($P363="","",IF(INDEX(CalcTime,$P363)=0,"",INDEX(CalcTime,$P363)))</f>
        <v/>
      </c>
      <c r="D363" s="26">
        <f>IF($P363="","",IF(INDEX(EntryParty,$P363)=0,"",INDEX(EntryParty,$P363)))</f>
        <v/>
      </c>
      <c r="E363" s="26">
        <f>IF($P363="","",IF(INDEX(EntryPartyName,$P363)=0,"",INDEX(EntryPartyName,$P363)))</f>
        <v/>
      </c>
      <c r="F363" s="26">
        <f>IF($P363="","",IF(INDEX(EntryPartyType,$P363)=0,"",INDEX(EntryPartyType,$P363)))</f>
        <v/>
      </c>
      <c r="G363" s="26">
        <f>IF($P363="","",IF(INDEX(EntryTxnType,$P363)=0,"",INDEX(EntryTxnType,$P363)))</f>
        <v/>
      </c>
      <c r="H363" s="27">
        <f>IF($P363="","",IF(INDEX(EntryDep,$P363)=0,"",INDEX(EntryDep,$P363)))</f>
        <v/>
      </c>
      <c r="I363" s="27">
        <f>IF($P363="","",IF(INDEX(EntryWit,$P363)=0,"",INDEX(EntryWit,$P363)))</f>
        <v/>
      </c>
      <c r="J363" s="27">
        <f>IF($B363="","",IF($A363=1,$C$7,IF(J362="",0,J362))+IF($H363="",0,$H363)-IF($I363="",0,$I363))</f>
        <v/>
      </c>
      <c r="K363" s="27">
        <f>IF($P363="","",IF(INDEX(EntryMan,$P363)=0,"",INDEX(EntryMan,$P363)))</f>
        <v/>
      </c>
      <c r="L363" s="26">
        <f>IF($B363="","",IF($K363="","—",IF(ROUND($K363-$J363,0)=0,"√","×")))</f>
        <v/>
      </c>
      <c r="M363" s="26">
        <f>IF($B363="","",IF(COUNTIFS(EntryDates,$B363,CalcTime,$C363,CalcBank,$C$5,EntryParty,$D363,EntryDep,$H363,EntryWit,$I363)&gt;1,"تکرار",""))</f>
        <v/>
      </c>
      <c r="N363" s="26">
        <f>IF($P363="","",IF(INDEX(EntryNotes,$P363)=0,"",INDEX(EntryNotes,$P363)))</f>
        <v/>
      </c>
      <c r="O363" s="26">
        <f>IF($P363="","",IF(INDEX(EntryTxnID,$P363)=0,"",INDEX(EntryTxnID,$P363)))</f>
        <v/>
      </c>
      <c r="P363" s="26">
        <f>IFERROR(MATCH($C$5&amp;"|"&amp;RIGHT("000000"&amp;347,6),CalcRankKey,0),"")</f>
        <v/>
      </c>
    </row>
    <row r="364">
      <c r="A364" s="28">
        <f>IF($B364="","",348)</f>
        <v/>
      </c>
      <c r="B364" s="28">
        <f>IF($P364="","",IF(INDEX(CalcNormDate,$P364)=0,"",INDEX(CalcNormDate,$P364)))</f>
        <v/>
      </c>
      <c r="C364" s="28">
        <f>IF($P364="","",IF(INDEX(CalcTime,$P364)=0,"",INDEX(CalcTime,$P364)))</f>
        <v/>
      </c>
      <c r="D364" s="28">
        <f>IF($P364="","",IF(INDEX(EntryParty,$P364)=0,"",INDEX(EntryParty,$P364)))</f>
        <v/>
      </c>
      <c r="E364" s="28">
        <f>IF($P364="","",IF(INDEX(EntryPartyName,$P364)=0,"",INDEX(EntryPartyName,$P364)))</f>
        <v/>
      </c>
      <c r="F364" s="28">
        <f>IF($P364="","",IF(INDEX(EntryPartyType,$P364)=0,"",INDEX(EntryPartyType,$P364)))</f>
        <v/>
      </c>
      <c r="G364" s="28">
        <f>IF($P364="","",IF(INDEX(EntryTxnType,$P364)=0,"",INDEX(EntryTxnType,$P364)))</f>
        <v/>
      </c>
      <c r="H364" s="29">
        <f>IF($P364="","",IF(INDEX(EntryDep,$P364)=0,"",INDEX(EntryDep,$P364)))</f>
        <v/>
      </c>
      <c r="I364" s="29">
        <f>IF($P364="","",IF(INDEX(EntryWit,$P364)=0,"",INDEX(EntryWit,$P364)))</f>
        <v/>
      </c>
      <c r="J364" s="29">
        <f>IF($B364="","",IF($A364=1,$C$7,IF(J363="",0,J363))+IF($H364="",0,$H364)-IF($I364="",0,$I364))</f>
        <v/>
      </c>
      <c r="K364" s="29">
        <f>IF($P364="","",IF(INDEX(EntryMan,$P364)=0,"",INDEX(EntryMan,$P364)))</f>
        <v/>
      </c>
      <c r="L364" s="28">
        <f>IF($B364="","",IF($K364="","—",IF(ROUND($K364-$J364,0)=0,"√","×")))</f>
        <v/>
      </c>
      <c r="M364" s="28">
        <f>IF($B364="","",IF(COUNTIFS(EntryDates,$B364,CalcTime,$C364,CalcBank,$C$5,EntryParty,$D364,EntryDep,$H364,EntryWit,$I364)&gt;1,"تکرار",""))</f>
        <v/>
      </c>
      <c r="N364" s="28">
        <f>IF($P364="","",IF(INDEX(EntryNotes,$P364)=0,"",INDEX(EntryNotes,$P364)))</f>
        <v/>
      </c>
      <c r="O364" s="28">
        <f>IF($P364="","",IF(INDEX(EntryTxnID,$P364)=0,"",INDEX(EntryTxnID,$P364)))</f>
        <v/>
      </c>
      <c r="P364" s="28">
        <f>IFERROR(MATCH($C$5&amp;"|"&amp;RIGHT("000000"&amp;348,6),CalcRankKey,0),"")</f>
        <v/>
      </c>
    </row>
    <row r="365">
      <c r="A365" s="26">
        <f>IF($B365="","",349)</f>
        <v/>
      </c>
      <c r="B365" s="26">
        <f>IF($P365="","",IF(INDEX(CalcNormDate,$P365)=0,"",INDEX(CalcNormDate,$P365)))</f>
        <v/>
      </c>
      <c r="C365" s="26">
        <f>IF($P365="","",IF(INDEX(CalcTime,$P365)=0,"",INDEX(CalcTime,$P365)))</f>
        <v/>
      </c>
      <c r="D365" s="26">
        <f>IF($P365="","",IF(INDEX(EntryParty,$P365)=0,"",INDEX(EntryParty,$P365)))</f>
        <v/>
      </c>
      <c r="E365" s="26">
        <f>IF($P365="","",IF(INDEX(EntryPartyName,$P365)=0,"",INDEX(EntryPartyName,$P365)))</f>
        <v/>
      </c>
      <c r="F365" s="26">
        <f>IF($P365="","",IF(INDEX(EntryPartyType,$P365)=0,"",INDEX(EntryPartyType,$P365)))</f>
        <v/>
      </c>
      <c r="G365" s="26">
        <f>IF($P365="","",IF(INDEX(EntryTxnType,$P365)=0,"",INDEX(EntryTxnType,$P365)))</f>
        <v/>
      </c>
      <c r="H365" s="27">
        <f>IF($P365="","",IF(INDEX(EntryDep,$P365)=0,"",INDEX(EntryDep,$P365)))</f>
        <v/>
      </c>
      <c r="I365" s="27">
        <f>IF($P365="","",IF(INDEX(EntryWit,$P365)=0,"",INDEX(EntryWit,$P365)))</f>
        <v/>
      </c>
      <c r="J365" s="27">
        <f>IF($B365="","",IF($A365=1,$C$7,IF(J364="",0,J364))+IF($H365="",0,$H365)-IF($I365="",0,$I365))</f>
        <v/>
      </c>
      <c r="K365" s="27">
        <f>IF($P365="","",IF(INDEX(EntryMan,$P365)=0,"",INDEX(EntryMan,$P365)))</f>
        <v/>
      </c>
      <c r="L365" s="26">
        <f>IF($B365="","",IF($K365="","—",IF(ROUND($K365-$J365,0)=0,"√","×")))</f>
        <v/>
      </c>
      <c r="M365" s="26">
        <f>IF($B365="","",IF(COUNTIFS(EntryDates,$B365,CalcTime,$C365,CalcBank,$C$5,EntryParty,$D365,EntryDep,$H365,EntryWit,$I365)&gt;1,"تکرار",""))</f>
        <v/>
      </c>
      <c r="N365" s="26">
        <f>IF($P365="","",IF(INDEX(EntryNotes,$P365)=0,"",INDEX(EntryNotes,$P365)))</f>
        <v/>
      </c>
      <c r="O365" s="26">
        <f>IF($P365="","",IF(INDEX(EntryTxnID,$P365)=0,"",INDEX(EntryTxnID,$P365)))</f>
        <v/>
      </c>
      <c r="P365" s="26">
        <f>IFERROR(MATCH($C$5&amp;"|"&amp;RIGHT("000000"&amp;349,6),CalcRankKey,0),"")</f>
        <v/>
      </c>
    </row>
    <row r="366">
      <c r="A366" s="28">
        <f>IF($B366="","",350)</f>
        <v/>
      </c>
      <c r="B366" s="28">
        <f>IF($P366="","",IF(INDEX(CalcNormDate,$P366)=0,"",INDEX(CalcNormDate,$P366)))</f>
        <v/>
      </c>
      <c r="C366" s="28">
        <f>IF($P366="","",IF(INDEX(CalcTime,$P366)=0,"",INDEX(CalcTime,$P366)))</f>
        <v/>
      </c>
      <c r="D366" s="28">
        <f>IF($P366="","",IF(INDEX(EntryParty,$P366)=0,"",INDEX(EntryParty,$P366)))</f>
        <v/>
      </c>
      <c r="E366" s="28">
        <f>IF($P366="","",IF(INDEX(EntryPartyName,$P366)=0,"",INDEX(EntryPartyName,$P366)))</f>
        <v/>
      </c>
      <c r="F366" s="28">
        <f>IF($P366="","",IF(INDEX(EntryPartyType,$P366)=0,"",INDEX(EntryPartyType,$P366)))</f>
        <v/>
      </c>
      <c r="G366" s="28">
        <f>IF($P366="","",IF(INDEX(EntryTxnType,$P366)=0,"",INDEX(EntryTxnType,$P366)))</f>
        <v/>
      </c>
      <c r="H366" s="29">
        <f>IF($P366="","",IF(INDEX(EntryDep,$P366)=0,"",INDEX(EntryDep,$P366)))</f>
        <v/>
      </c>
      <c r="I366" s="29">
        <f>IF($P366="","",IF(INDEX(EntryWit,$P366)=0,"",INDEX(EntryWit,$P366)))</f>
        <v/>
      </c>
      <c r="J366" s="29">
        <f>IF($B366="","",IF($A366=1,$C$7,IF(J365="",0,J365))+IF($H366="",0,$H366)-IF($I366="",0,$I366))</f>
        <v/>
      </c>
      <c r="K366" s="29">
        <f>IF($P366="","",IF(INDEX(EntryMan,$P366)=0,"",INDEX(EntryMan,$P366)))</f>
        <v/>
      </c>
      <c r="L366" s="28">
        <f>IF($B366="","",IF($K366="","—",IF(ROUND($K366-$J366,0)=0,"√","×")))</f>
        <v/>
      </c>
      <c r="M366" s="28">
        <f>IF($B366="","",IF(COUNTIFS(EntryDates,$B366,CalcTime,$C366,CalcBank,$C$5,EntryParty,$D366,EntryDep,$H366,EntryWit,$I366)&gt;1,"تکرار",""))</f>
        <v/>
      </c>
      <c r="N366" s="28">
        <f>IF($P366="","",IF(INDEX(EntryNotes,$P366)=0,"",INDEX(EntryNotes,$P366)))</f>
        <v/>
      </c>
      <c r="O366" s="28">
        <f>IF($P366="","",IF(INDEX(EntryTxnID,$P366)=0,"",INDEX(EntryTxnID,$P366)))</f>
        <v/>
      </c>
      <c r="P366" s="28">
        <f>IFERROR(MATCH($C$5&amp;"|"&amp;RIGHT("000000"&amp;350,6),CalcRankKey,0),"")</f>
        <v/>
      </c>
    </row>
    <row r="367">
      <c r="A367" s="26">
        <f>IF($B367="","",351)</f>
        <v/>
      </c>
      <c r="B367" s="26">
        <f>IF($P367="","",IF(INDEX(CalcNormDate,$P367)=0,"",INDEX(CalcNormDate,$P367)))</f>
        <v/>
      </c>
      <c r="C367" s="26">
        <f>IF($P367="","",IF(INDEX(CalcTime,$P367)=0,"",INDEX(CalcTime,$P367)))</f>
        <v/>
      </c>
      <c r="D367" s="26">
        <f>IF($P367="","",IF(INDEX(EntryParty,$P367)=0,"",INDEX(EntryParty,$P367)))</f>
        <v/>
      </c>
      <c r="E367" s="26">
        <f>IF($P367="","",IF(INDEX(EntryPartyName,$P367)=0,"",INDEX(EntryPartyName,$P367)))</f>
        <v/>
      </c>
      <c r="F367" s="26">
        <f>IF($P367="","",IF(INDEX(EntryPartyType,$P367)=0,"",INDEX(EntryPartyType,$P367)))</f>
        <v/>
      </c>
      <c r="G367" s="26">
        <f>IF($P367="","",IF(INDEX(EntryTxnType,$P367)=0,"",INDEX(EntryTxnType,$P367)))</f>
        <v/>
      </c>
      <c r="H367" s="27">
        <f>IF($P367="","",IF(INDEX(EntryDep,$P367)=0,"",INDEX(EntryDep,$P367)))</f>
        <v/>
      </c>
      <c r="I367" s="27">
        <f>IF($P367="","",IF(INDEX(EntryWit,$P367)=0,"",INDEX(EntryWit,$P367)))</f>
        <v/>
      </c>
      <c r="J367" s="27">
        <f>IF($B367="","",IF($A367=1,$C$7,IF(J366="",0,J366))+IF($H367="",0,$H367)-IF($I367="",0,$I367))</f>
        <v/>
      </c>
      <c r="K367" s="27">
        <f>IF($P367="","",IF(INDEX(EntryMan,$P367)=0,"",INDEX(EntryMan,$P367)))</f>
        <v/>
      </c>
      <c r="L367" s="26">
        <f>IF($B367="","",IF($K367="","—",IF(ROUND($K367-$J367,0)=0,"√","×")))</f>
        <v/>
      </c>
      <c r="M367" s="26">
        <f>IF($B367="","",IF(COUNTIFS(EntryDates,$B367,CalcTime,$C367,CalcBank,$C$5,EntryParty,$D367,EntryDep,$H367,EntryWit,$I367)&gt;1,"تکرار",""))</f>
        <v/>
      </c>
      <c r="N367" s="26">
        <f>IF($P367="","",IF(INDEX(EntryNotes,$P367)=0,"",INDEX(EntryNotes,$P367)))</f>
        <v/>
      </c>
      <c r="O367" s="26">
        <f>IF($P367="","",IF(INDEX(EntryTxnID,$P367)=0,"",INDEX(EntryTxnID,$P367)))</f>
        <v/>
      </c>
      <c r="P367" s="26">
        <f>IFERROR(MATCH($C$5&amp;"|"&amp;RIGHT("000000"&amp;351,6),CalcRankKey,0),"")</f>
        <v/>
      </c>
    </row>
    <row r="368">
      <c r="A368" s="28">
        <f>IF($B368="","",352)</f>
        <v/>
      </c>
      <c r="B368" s="28">
        <f>IF($P368="","",IF(INDEX(CalcNormDate,$P368)=0,"",INDEX(CalcNormDate,$P368)))</f>
        <v/>
      </c>
      <c r="C368" s="28">
        <f>IF($P368="","",IF(INDEX(CalcTime,$P368)=0,"",INDEX(CalcTime,$P368)))</f>
        <v/>
      </c>
      <c r="D368" s="28">
        <f>IF($P368="","",IF(INDEX(EntryParty,$P368)=0,"",INDEX(EntryParty,$P368)))</f>
        <v/>
      </c>
      <c r="E368" s="28">
        <f>IF($P368="","",IF(INDEX(EntryPartyName,$P368)=0,"",INDEX(EntryPartyName,$P368)))</f>
        <v/>
      </c>
      <c r="F368" s="28">
        <f>IF($P368="","",IF(INDEX(EntryPartyType,$P368)=0,"",INDEX(EntryPartyType,$P368)))</f>
        <v/>
      </c>
      <c r="G368" s="28">
        <f>IF($P368="","",IF(INDEX(EntryTxnType,$P368)=0,"",INDEX(EntryTxnType,$P368)))</f>
        <v/>
      </c>
      <c r="H368" s="29">
        <f>IF($P368="","",IF(INDEX(EntryDep,$P368)=0,"",INDEX(EntryDep,$P368)))</f>
        <v/>
      </c>
      <c r="I368" s="29">
        <f>IF($P368="","",IF(INDEX(EntryWit,$P368)=0,"",INDEX(EntryWit,$P368)))</f>
        <v/>
      </c>
      <c r="J368" s="29">
        <f>IF($B368="","",IF($A368=1,$C$7,IF(J367="",0,J367))+IF($H368="",0,$H368)-IF($I368="",0,$I368))</f>
        <v/>
      </c>
      <c r="K368" s="29">
        <f>IF($P368="","",IF(INDEX(EntryMan,$P368)=0,"",INDEX(EntryMan,$P368)))</f>
        <v/>
      </c>
      <c r="L368" s="28">
        <f>IF($B368="","",IF($K368="","—",IF(ROUND($K368-$J368,0)=0,"√","×")))</f>
        <v/>
      </c>
      <c r="M368" s="28">
        <f>IF($B368="","",IF(COUNTIFS(EntryDates,$B368,CalcTime,$C368,CalcBank,$C$5,EntryParty,$D368,EntryDep,$H368,EntryWit,$I368)&gt;1,"تکرار",""))</f>
        <v/>
      </c>
      <c r="N368" s="28">
        <f>IF($P368="","",IF(INDEX(EntryNotes,$P368)=0,"",INDEX(EntryNotes,$P368)))</f>
        <v/>
      </c>
      <c r="O368" s="28">
        <f>IF($P368="","",IF(INDEX(EntryTxnID,$P368)=0,"",INDEX(EntryTxnID,$P368)))</f>
        <v/>
      </c>
      <c r="P368" s="28">
        <f>IFERROR(MATCH($C$5&amp;"|"&amp;RIGHT("000000"&amp;352,6),CalcRankKey,0),"")</f>
        <v/>
      </c>
    </row>
    <row r="369">
      <c r="A369" s="26">
        <f>IF($B369="","",353)</f>
        <v/>
      </c>
      <c r="B369" s="26">
        <f>IF($P369="","",IF(INDEX(CalcNormDate,$P369)=0,"",INDEX(CalcNormDate,$P369)))</f>
        <v/>
      </c>
      <c r="C369" s="26">
        <f>IF($P369="","",IF(INDEX(CalcTime,$P369)=0,"",INDEX(CalcTime,$P369)))</f>
        <v/>
      </c>
      <c r="D369" s="26">
        <f>IF($P369="","",IF(INDEX(EntryParty,$P369)=0,"",INDEX(EntryParty,$P369)))</f>
        <v/>
      </c>
      <c r="E369" s="26">
        <f>IF($P369="","",IF(INDEX(EntryPartyName,$P369)=0,"",INDEX(EntryPartyName,$P369)))</f>
        <v/>
      </c>
      <c r="F369" s="26">
        <f>IF($P369="","",IF(INDEX(EntryPartyType,$P369)=0,"",INDEX(EntryPartyType,$P369)))</f>
        <v/>
      </c>
      <c r="G369" s="26">
        <f>IF($P369="","",IF(INDEX(EntryTxnType,$P369)=0,"",INDEX(EntryTxnType,$P369)))</f>
        <v/>
      </c>
      <c r="H369" s="27">
        <f>IF($P369="","",IF(INDEX(EntryDep,$P369)=0,"",INDEX(EntryDep,$P369)))</f>
        <v/>
      </c>
      <c r="I369" s="27">
        <f>IF($P369="","",IF(INDEX(EntryWit,$P369)=0,"",INDEX(EntryWit,$P369)))</f>
        <v/>
      </c>
      <c r="J369" s="27">
        <f>IF($B369="","",IF($A369=1,$C$7,IF(J368="",0,J368))+IF($H369="",0,$H369)-IF($I369="",0,$I369))</f>
        <v/>
      </c>
      <c r="K369" s="27">
        <f>IF($P369="","",IF(INDEX(EntryMan,$P369)=0,"",INDEX(EntryMan,$P369)))</f>
        <v/>
      </c>
      <c r="L369" s="26">
        <f>IF($B369="","",IF($K369="","—",IF(ROUND($K369-$J369,0)=0,"√","×")))</f>
        <v/>
      </c>
      <c r="M369" s="26">
        <f>IF($B369="","",IF(COUNTIFS(EntryDates,$B369,CalcTime,$C369,CalcBank,$C$5,EntryParty,$D369,EntryDep,$H369,EntryWit,$I369)&gt;1,"تکرار",""))</f>
        <v/>
      </c>
      <c r="N369" s="26">
        <f>IF($P369="","",IF(INDEX(EntryNotes,$P369)=0,"",INDEX(EntryNotes,$P369)))</f>
        <v/>
      </c>
      <c r="O369" s="26">
        <f>IF($P369="","",IF(INDEX(EntryTxnID,$P369)=0,"",INDEX(EntryTxnID,$P369)))</f>
        <v/>
      </c>
      <c r="P369" s="26">
        <f>IFERROR(MATCH($C$5&amp;"|"&amp;RIGHT("000000"&amp;353,6),CalcRankKey,0),"")</f>
        <v/>
      </c>
    </row>
    <row r="370">
      <c r="A370" s="28">
        <f>IF($B370="","",354)</f>
        <v/>
      </c>
      <c r="B370" s="28">
        <f>IF($P370="","",IF(INDEX(CalcNormDate,$P370)=0,"",INDEX(CalcNormDate,$P370)))</f>
        <v/>
      </c>
      <c r="C370" s="28">
        <f>IF($P370="","",IF(INDEX(CalcTime,$P370)=0,"",INDEX(CalcTime,$P370)))</f>
        <v/>
      </c>
      <c r="D370" s="28">
        <f>IF($P370="","",IF(INDEX(EntryParty,$P370)=0,"",INDEX(EntryParty,$P370)))</f>
        <v/>
      </c>
      <c r="E370" s="28">
        <f>IF($P370="","",IF(INDEX(EntryPartyName,$P370)=0,"",INDEX(EntryPartyName,$P370)))</f>
        <v/>
      </c>
      <c r="F370" s="28">
        <f>IF($P370="","",IF(INDEX(EntryPartyType,$P370)=0,"",INDEX(EntryPartyType,$P370)))</f>
        <v/>
      </c>
      <c r="G370" s="28">
        <f>IF($P370="","",IF(INDEX(EntryTxnType,$P370)=0,"",INDEX(EntryTxnType,$P370)))</f>
        <v/>
      </c>
      <c r="H370" s="29">
        <f>IF($P370="","",IF(INDEX(EntryDep,$P370)=0,"",INDEX(EntryDep,$P370)))</f>
        <v/>
      </c>
      <c r="I370" s="29">
        <f>IF($P370="","",IF(INDEX(EntryWit,$P370)=0,"",INDEX(EntryWit,$P370)))</f>
        <v/>
      </c>
      <c r="J370" s="29">
        <f>IF($B370="","",IF($A370=1,$C$7,IF(J369="",0,J369))+IF($H370="",0,$H370)-IF($I370="",0,$I370))</f>
        <v/>
      </c>
      <c r="K370" s="29">
        <f>IF($P370="","",IF(INDEX(EntryMan,$P370)=0,"",INDEX(EntryMan,$P370)))</f>
        <v/>
      </c>
      <c r="L370" s="28">
        <f>IF($B370="","",IF($K370="","—",IF(ROUND($K370-$J370,0)=0,"√","×")))</f>
        <v/>
      </c>
      <c r="M370" s="28">
        <f>IF($B370="","",IF(COUNTIFS(EntryDates,$B370,CalcTime,$C370,CalcBank,$C$5,EntryParty,$D370,EntryDep,$H370,EntryWit,$I370)&gt;1,"تکرار",""))</f>
        <v/>
      </c>
      <c r="N370" s="28">
        <f>IF($P370="","",IF(INDEX(EntryNotes,$P370)=0,"",INDEX(EntryNotes,$P370)))</f>
        <v/>
      </c>
      <c r="O370" s="28">
        <f>IF($P370="","",IF(INDEX(EntryTxnID,$P370)=0,"",INDEX(EntryTxnID,$P370)))</f>
        <v/>
      </c>
      <c r="P370" s="28">
        <f>IFERROR(MATCH($C$5&amp;"|"&amp;RIGHT("000000"&amp;354,6),CalcRankKey,0),"")</f>
        <v/>
      </c>
    </row>
    <row r="371">
      <c r="A371" s="26">
        <f>IF($B371="","",355)</f>
        <v/>
      </c>
      <c r="B371" s="26">
        <f>IF($P371="","",IF(INDEX(CalcNormDate,$P371)=0,"",INDEX(CalcNormDate,$P371)))</f>
        <v/>
      </c>
      <c r="C371" s="26">
        <f>IF($P371="","",IF(INDEX(CalcTime,$P371)=0,"",INDEX(CalcTime,$P371)))</f>
        <v/>
      </c>
      <c r="D371" s="26">
        <f>IF($P371="","",IF(INDEX(EntryParty,$P371)=0,"",INDEX(EntryParty,$P371)))</f>
        <v/>
      </c>
      <c r="E371" s="26">
        <f>IF($P371="","",IF(INDEX(EntryPartyName,$P371)=0,"",INDEX(EntryPartyName,$P371)))</f>
        <v/>
      </c>
      <c r="F371" s="26">
        <f>IF($P371="","",IF(INDEX(EntryPartyType,$P371)=0,"",INDEX(EntryPartyType,$P371)))</f>
        <v/>
      </c>
      <c r="G371" s="26">
        <f>IF($P371="","",IF(INDEX(EntryTxnType,$P371)=0,"",INDEX(EntryTxnType,$P371)))</f>
        <v/>
      </c>
      <c r="H371" s="27">
        <f>IF($P371="","",IF(INDEX(EntryDep,$P371)=0,"",INDEX(EntryDep,$P371)))</f>
        <v/>
      </c>
      <c r="I371" s="27">
        <f>IF($P371="","",IF(INDEX(EntryWit,$P371)=0,"",INDEX(EntryWit,$P371)))</f>
        <v/>
      </c>
      <c r="J371" s="27">
        <f>IF($B371="","",IF($A371=1,$C$7,IF(J370="",0,J370))+IF($H371="",0,$H371)-IF($I371="",0,$I371))</f>
        <v/>
      </c>
      <c r="K371" s="27">
        <f>IF($P371="","",IF(INDEX(EntryMan,$P371)=0,"",INDEX(EntryMan,$P371)))</f>
        <v/>
      </c>
      <c r="L371" s="26">
        <f>IF($B371="","",IF($K371="","—",IF(ROUND($K371-$J371,0)=0,"√","×")))</f>
        <v/>
      </c>
      <c r="M371" s="26">
        <f>IF($B371="","",IF(COUNTIFS(EntryDates,$B371,CalcTime,$C371,CalcBank,$C$5,EntryParty,$D371,EntryDep,$H371,EntryWit,$I371)&gt;1,"تکرار",""))</f>
        <v/>
      </c>
      <c r="N371" s="26">
        <f>IF($P371="","",IF(INDEX(EntryNotes,$P371)=0,"",INDEX(EntryNotes,$P371)))</f>
        <v/>
      </c>
      <c r="O371" s="26">
        <f>IF($P371="","",IF(INDEX(EntryTxnID,$P371)=0,"",INDEX(EntryTxnID,$P371)))</f>
        <v/>
      </c>
      <c r="P371" s="26">
        <f>IFERROR(MATCH($C$5&amp;"|"&amp;RIGHT("000000"&amp;355,6),CalcRankKey,0),"")</f>
        <v/>
      </c>
    </row>
    <row r="372">
      <c r="A372" s="28">
        <f>IF($B372="","",356)</f>
        <v/>
      </c>
      <c r="B372" s="28">
        <f>IF($P372="","",IF(INDEX(CalcNormDate,$P372)=0,"",INDEX(CalcNormDate,$P372)))</f>
        <v/>
      </c>
      <c r="C372" s="28">
        <f>IF($P372="","",IF(INDEX(CalcTime,$P372)=0,"",INDEX(CalcTime,$P372)))</f>
        <v/>
      </c>
      <c r="D372" s="28">
        <f>IF($P372="","",IF(INDEX(EntryParty,$P372)=0,"",INDEX(EntryParty,$P372)))</f>
        <v/>
      </c>
      <c r="E372" s="28">
        <f>IF($P372="","",IF(INDEX(EntryPartyName,$P372)=0,"",INDEX(EntryPartyName,$P372)))</f>
        <v/>
      </c>
      <c r="F372" s="28">
        <f>IF($P372="","",IF(INDEX(EntryPartyType,$P372)=0,"",INDEX(EntryPartyType,$P372)))</f>
        <v/>
      </c>
      <c r="G372" s="28">
        <f>IF($P372="","",IF(INDEX(EntryTxnType,$P372)=0,"",INDEX(EntryTxnType,$P372)))</f>
        <v/>
      </c>
      <c r="H372" s="29">
        <f>IF($P372="","",IF(INDEX(EntryDep,$P372)=0,"",INDEX(EntryDep,$P372)))</f>
        <v/>
      </c>
      <c r="I372" s="29">
        <f>IF($P372="","",IF(INDEX(EntryWit,$P372)=0,"",INDEX(EntryWit,$P372)))</f>
        <v/>
      </c>
      <c r="J372" s="29">
        <f>IF($B372="","",IF($A372=1,$C$7,IF(J371="",0,J371))+IF($H372="",0,$H372)-IF($I372="",0,$I372))</f>
        <v/>
      </c>
      <c r="K372" s="29">
        <f>IF($P372="","",IF(INDEX(EntryMan,$P372)=0,"",INDEX(EntryMan,$P372)))</f>
        <v/>
      </c>
      <c r="L372" s="28">
        <f>IF($B372="","",IF($K372="","—",IF(ROUND($K372-$J372,0)=0,"√","×")))</f>
        <v/>
      </c>
      <c r="M372" s="28">
        <f>IF($B372="","",IF(COUNTIFS(EntryDates,$B372,CalcTime,$C372,CalcBank,$C$5,EntryParty,$D372,EntryDep,$H372,EntryWit,$I372)&gt;1,"تکرار",""))</f>
        <v/>
      </c>
      <c r="N372" s="28">
        <f>IF($P372="","",IF(INDEX(EntryNotes,$P372)=0,"",INDEX(EntryNotes,$P372)))</f>
        <v/>
      </c>
      <c r="O372" s="28">
        <f>IF($P372="","",IF(INDEX(EntryTxnID,$P372)=0,"",INDEX(EntryTxnID,$P372)))</f>
        <v/>
      </c>
      <c r="P372" s="28">
        <f>IFERROR(MATCH($C$5&amp;"|"&amp;RIGHT("000000"&amp;356,6),CalcRankKey,0),"")</f>
        <v/>
      </c>
    </row>
    <row r="373">
      <c r="A373" s="26">
        <f>IF($B373="","",357)</f>
        <v/>
      </c>
      <c r="B373" s="26">
        <f>IF($P373="","",IF(INDEX(CalcNormDate,$P373)=0,"",INDEX(CalcNormDate,$P373)))</f>
        <v/>
      </c>
      <c r="C373" s="26">
        <f>IF($P373="","",IF(INDEX(CalcTime,$P373)=0,"",INDEX(CalcTime,$P373)))</f>
        <v/>
      </c>
      <c r="D373" s="26">
        <f>IF($P373="","",IF(INDEX(EntryParty,$P373)=0,"",INDEX(EntryParty,$P373)))</f>
        <v/>
      </c>
      <c r="E373" s="26">
        <f>IF($P373="","",IF(INDEX(EntryPartyName,$P373)=0,"",INDEX(EntryPartyName,$P373)))</f>
        <v/>
      </c>
      <c r="F373" s="26">
        <f>IF($P373="","",IF(INDEX(EntryPartyType,$P373)=0,"",INDEX(EntryPartyType,$P373)))</f>
        <v/>
      </c>
      <c r="G373" s="26">
        <f>IF($P373="","",IF(INDEX(EntryTxnType,$P373)=0,"",INDEX(EntryTxnType,$P373)))</f>
        <v/>
      </c>
      <c r="H373" s="27">
        <f>IF($P373="","",IF(INDEX(EntryDep,$P373)=0,"",INDEX(EntryDep,$P373)))</f>
        <v/>
      </c>
      <c r="I373" s="27">
        <f>IF($P373="","",IF(INDEX(EntryWit,$P373)=0,"",INDEX(EntryWit,$P373)))</f>
        <v/>
      </c>
      <c r="J373" s="27">
        <f>IF($B373="","",IF($A373=1,$C$7,IF(J372="",0,J372))+IF($H373="",0,$H373)-IF($I373="",0,$I373))</f>
        <v/>
      </c>
      <c r="K373" s="27">
        <f>IF($P373="","",IF(INDEX(EntryMan,$P373)=0,"",INDEX(EntryMan,$P373)))</f>
        <v/>
      </c>
      <c r="L373" s="26">
        <f>IF($B373="","",IF($K373="","—",IF(ROUND($K373-$J373,0)=0,"√","×")))</f>
        <v/>
      </c>
      <c r="M373" s="26">
        <f>IF($B373="","",IF(COUNTIFS(EntryDates,$B373,CalcTime,$C373,CalcBank,$C$5,EntryParty,$D373,EntryDep,$H373,EntryWit,$I373)&gt;1,"تکرار",""))</f>
        <v/>
      </c>
      <c r="N373" s="26">
        <f>IF($P373="","",IF(INDEX(EntryNotes,$P373)=0,"",INDEX(EntryNotes,$P373)))</f>
        <v/>
      </c>
      <c r="O373" s="26">
        <f>IF($P373="","",IF(INDEX(EntryTxnID,$P373)=0,"",INDEX(EntryTxnID,$P373)))</f>
        <v/>
      </c>
      <c r="P373" s="26">
        <f>IFERROR(MATCH($C$5&amp;"|"&amp;RIGHT("000000"&amp;357,6),CalcRankKey,0),"")</f>
        <v/>
      </c>
    </row>
    <row r="374">
      <c r="A374" s="28">
        <f>IF($B374="","",358)</f>
        <v/>
      </c>
      <c r="B374" s="28">
        <f>IF($P374="","",IF(INDEX(CalcNormDate,$P374)=0,"",INDEX(CalcNormDate,$P374)))</f>
        <v/>
      </c>
      <c r="C374" s="28">
        <f>IF($P374="","",IF(INDEX(CalcTime,$P374)=0,"",INDEX(CalcTime,$P374)))</f>
        <v/>
      </c>
      <c r="D374" s="28">
        <f>IF($P374="","",IF(INDEX(EntryParty,$P374)=0,"",INDEX(EntryParty,$P374)))</f>
        <v/>
      </c>
      <c r="E374" s="28">
        <f>IF($P374="","",IF(INDEX(EntryPartyName,$P374)=0,"",INDEX(EntryPartyName,$P374)))</f>
        <v/>
      </c>
      <c r="F374" s="28">
        <f>IF($P374="","",IF(INDEX(EntryPartyType,$P374)=0,"",INDEX(EntryPartyType,$P374)))</f>
        <v/>
      </c>
      <c r="G374" s="28">
        <f>IF($P374="","",IF(INDEX(EntryTxnType,$P374)=0,"",INDEX(EntryTxnType,$P374)))</f>
        <v/>
      </c>
      <c r="H374" s="29">
        <f>IF($P374="","",IF(INDEX(EntryDep,$P374)=0,"",INDEX(EntryDep,$P374)))</f>
        <v/>
      </c>
      <c r="I374" s="29">
        <f>IF($P374="","",IF(INDEX(EntryWit,$P374)=0,"",INDEX(EntryWit,$P374)))</f>
        <v/>
      </c>
      <c r="J374" s="29">
        <f>IF($B374="","",IF($A374=1,$C$7,IF(J373="",0,J373))+IF($H374="",0,$H374)-IF($I374="",0,$I374))</f>
        <v/>
      </c>
      <c r="K374" s="29">
        <f>IF($P374="","",IF(INDEX(EntryMan,$P374)=0,"",INDEX(EntryMan,$P374)))</f>
        <v/>
      </c>
      <c r="L374" s="28">
        <f>IF($B374="","",IF($K374="","—",IF(ROUND($K374-$J374,0)=0,"√","×")))</f>
        <v/>
      </c>
      <c r="M374" s="28">
        <f>IF($B374="","",IF(COUNTIFS(EntryDates,$B374,CalcTime,$C374,CalcBank,$C$5,EntryParty,$D374,EntryDep,$H374,EntryWit,$I374)&gt;1,"تکرار",""))</f>
        <v/>
      </c>
      <c r="N374" s="28">
        <f>IF($P374="","",IF(INDEX(EntryNotes,$P374)=0,"",INDEX(EntryNotes,$P374)))</f>
        <v/>
      </c>
      <c r="O374" s="28">
        <f>IF($P374="","",IF(INDEX(EntryTxnID,$P374)=0,"",INDEX(EntryTxnID,$P374)))</f>
        <v/>
      </c>
      <c r="P374" s="28">
        <f>IFERROR(MATCH($C$5&amp;"|"&amp;RIGHT("000000"&amp;358,6),CalcRankKey,0),"")</f>
        <v/>
      </c>
    </row>
    <row r="375">
      <c r="A375" s="26">
        <f>IF($B375="","",359)</f>
        <v/>
      </c>
      <c r="B375" s="26">
        <f>IF($P375="","",IF(INDEX(CalcNormDate,$P375)=0,"",INDEX(CalcNormDate,$P375)))</f>
        <v/>
      </c>
      <c r="C375" s="26">
        <f>IF($P375="","",IF(INDEX(CalcTime,$P375)=0,"",INDEX(CalcTime,$P375)))</f>
        <v/>
      </c>
      <c r="D375" s="26">
        <f>IF($P375="","",IF(INDEX(EntryParty,$P375)=0,"",INDEX(EntryParty,$P375)))</f>
        <v/>
      </c>
      <c r="E375" s="26">
        <f>IF($P375="","",IF(INDEX(EntryPartyName,$P375)=0,"",INDEX(EntryPartyName,$P375)))</f>
        <v/>
      </c>
      <c r="F375" s="26">
        <f>IF($P375="","",IF(INDEX(EntryPartyType,$P375)=0,"",INDEX(EntryPartyType,$P375)))</f>
        <v/>
      </c>
      <c r="G375" s="26">
        <f>IF($P375="","",IF(INDEX(EntryTxnType,$P375)=0,"",INDEX(EntryTxnType,$P375)))</f>
        <v/>
      </c>
      <c r="H375" s="27">
        <f>IF($P375="","",IF(INDEX(EntryDep,$P375)=0,"",INDEX(EntryDep,$P375)))</f>
        <v/>
      </c>
      <c r="I375" s="27">
        <f>IF($P375="","",IF(INDEX(EntryWit,$P375)=0,"",INDEX(EntryWit,$P375)))</f>
        <v/>
      </c>
      <c r="J375" s="27">
        <f>IF($B375="","",IF($A375=1,$C$7,IF(J374="",0,J374))+IF($H375="",0,$H375)-IF($I375="",0,$I375))</f>
        <v/>
      </c>
      <c r="K375" s="27">
        <f>IF($P375="","",IF(INDEX(EntryMan,$P375)=0,"",INDEX(EntryMan,$P375)))</f>
        <v/>
      </c>
      <c r="L375" s="26">
        <f>IF($B375="","",IF($K375="","—",IF(ROUND($K375-$J375,0)=0,"√","×")))</f>
        <v/>
      </c>
      <c r="M375" s="26">
        <f>IF($B375="","",IF(COUNTIFS(EntryDates,$B375,CalcTime,$C375,CalcBank,$C$5,EntryParty,$D375,EntryDep,$H375,EntryWit,$I375)&gt;1,"تکرار",""))</f>
        <v/>
      </c>
      <c r="N375" s="26">
        <f>IF($P375="","",IF(INDEX(EntryNotes,$P375)=0,"",INDEX(EntryNotes,$P375)))</f>
        <v/>
      </c>
      <c r="O375" s="26">
        <f>IF($P375="","",IF(INDEX(EntryTxnID,$P375)=0,"",INDEX(EntryTxnID,$P375)))</f>
        <v/>
      </c>
      <c r="P375" s="26">
        <f>IFERROR(MATCH($C$5&amp;"|"&amp;RIGHT("000000"&amp;359,6),CalcRankKey,0),"")</f>
        <v/>
      </c>
    </row>
    <row r="376">
      <c r="A376" s="28">
        <f>IF($B376="","",360)</f>
        <v/>
      </c>
      <c r="B376" s="28">
        <f>IF($P376="","",IF(INDEX(CalcNormDate,$P376)=0,"",INDEX(CalcNormDate,$P376)))</f>
        <v/>
      </c>
      <c r="C376" s="28">
        <f>IF($P376="","",IF(INDEX(CalcTime,$P376)=0,"",INDEX(CalcTime,$P376)))</f>
        <v/>
      </c>
      <c r="D376" s="28">
        <f>IF($P376="","",IF(INDEX(EntryParty,$P376)=0,"",INDEX(EntryParty,$P376)))</f>
        <v/>
      </c>
      <c r="E376" s="28">
        <f>IF($P376="","",IF(INDEX(EntryPartyName,$P376)=0,"",INDEX(EntryPartyName,$P376)))</f>
        <v/>
      </c>
      <c r="F376" s="28">
        <f>IF($P376="","",IF(INDEX(EntryPartyType,$P376)=0,"",INDEX(EntryPartyType,$P376)))</f>
        <v/>
      </c>
      <c r="G376" s="28">
        <f>IF($P376="","",IF(INDEX(EntryTxnType,$P376)=0,"",INDEX(EntryTxnType,$P376)))</f>
        <v/>
      </c>
      <c r="H376" s="29">
        <f>IF($P376="","",IF(INDEX(EntryDep,$P376)=0,"",INDEX(EntryDep,$P376)))</f>
        <v/>
      </c>
      <c r="I376" s="29">
        <f>IF($P376="","",IF(INDEX(EntryWit,$P376)=0,"",INDEX(EntryWit,$P376)))</f>
        <v/>
      </c>
      <c r="J376" s="29">
        <f>IF($B376="","",IF($A376=1,$C$7,IF(J375="",0,J375))+IF($H376="",0,$H376)-IF($I376="",0,$I376))</f>
        <v/>
      </c>
      <c r="K376" s="29">
        <f>IF($P376="","",IF(INDEX(EntryMan,$P376)=0,"",INDEX(EntryMan,$P376)))</f>
        <v/>
      </c>
      <c r="L376" s="28">
        <f>IF($B376="","",IF($K376="","—",IF(ROUND($K376-$J376,0)=0,"√","×")))</f>
        <v/>
      </c>
      <c r="M376" s="28">
        <f>IF($B376="","",IF(COUNTIFS(EntryDates,$B376,CalcTime,$C376,CalcBank,$C$5,EntryParty,$D376,EntryDep,$H376,EntryWit,$I376)&gt;1,"تکرار",""))</f>
        <v/>
      </c>
      <c r="N376" s="28">
        <f>IF($P376="","",IF(INDEX(EntryNotes,$P376)=0,"",INDEX(EntryNotes,$P376)))</f>
        <v/>
      </c>
      <c r="O376" s="28">
        <f>IF($P376="","",IF(INDEX(EntryTxnID,$P376)=0,"",INDEX(EntryTxnID,$P376)))</f>
        <v/>
      </c>
      <c r="P376" s="28">
        <f>IFERROR(MATCH($C$5&amp;"|"&amp;RIGHT("000000"&amp;360,6),CalcRankKey,0),"")</f>
        <v/>
      </c>
    </row>
    <row r="377">
      <c r="A377" s="26">
        <f>IF($B377="","",361)</f>
        <v/>
      </c>
      <c r="B377" s="26">
        <f>IF($P377="","",IF(INDEX(CalcNormDate,$P377)=0,"",INDEX(CalcNormDate,$P377)))</f>
        <v/>
      </c>
      <c r="C377" s="26">
        <f>IF($P377="","",IF(INDEX(CalcTime,$P377)=0,"",INDEX(CalcTime,$P377)))</f>
        <v/>
      </c>
      <c r="D377" s="26">
        <f>IF($P377="","",IF(INDEX(EntryParty,$P377)=0,"",INDEX(EntryParty,$P377)))</f>
        <v/>
      </c>
      <c r="E377" s="26">
        <f>IF($P377="","",IF(INDEX(EntryPartyName,$P377)=0,"",INDEX(EntryPartyName,$P377)))</f>
        <v/>
      </c>
      <c r="F377" s="26">
        <f>IF($P377="","",IF(INDEX(EntryPartyType,$P377)=0,"",INDEX(EntryPartyType,$P377)))</f>
        <v/>
      </c>
      <c r="G377" s="26">
        <f>IF($P377="","",IF(INDEX(EntryTxnType,$P377)=0,"",INDEX(EntryTxnType,$P377)))</f>
        <v/>
      </c>
      <c r="H377" s="27">
        <f>IF($P377="","",IF(INDEX(EntryDep,$P377)=0,"",INDEX(EntryDep,$P377)))</f>
        <v/>
      </c>
      <c r="I377" s="27">
        <f>IF($P377="","",IF(INDEX(EntryWit,$P377)=0,"",INDEX(EntryWit,$P377)))</f>
        <v/>
      </c>
      <c r="J377" s="27">
        <f>IF($B377="","",IF($A377=1,$C$7,IF(J376="",0,J376))+IF($H377="",0,$H377)-IF($I377="",0,$I377))</f>
        <v/>
      </c>
      <c r="K377" s="27">
        <f>IF($P377="","",IF(INDEX(EntryMan,$P377)=0,"",INDEX(EntryMan,$P377)))</f>
        <v/>
      </c>
      <c r="L377" s="26">
        <f>IF($B377="","",IF($K377="","—",IF(ROUND($K377-$J377,0)=0,"√","×")))</f>
        <v/>
      </c>
      <c r="M377" s="26">
        <f>IF($B377="","",IF(COUNTIFS(EntryDates,$B377,CalcTime,$C377,CalcBank,$C$5,EntryParty,$D377,EntryDep,$H377,EntryWit,$I377)&gt;1,"تکرار",""))</f>
        <v/>
      </c>
      <c r="N377" s="26">
        <f>IF($P377="","",IF(INDEX(EntryNotes,$P377)=0,"",INDEX(EntryNotes,$P377)))</f>
        <v/>
      </c>
      <c r="O377" s="26">
        <f>IF($P377="","",IF(INDEX(EntryTxnID,$P377)=0,"",INDEX(EntryTxnID,$P377)))</f>
        <v/>
      </c>
      <c r="P377" s="26">
        <f>IFERROR(MATCH($C$5&amp;"|"&amp;RIGHT("000000"&amp;361,6),CalcRankKey,0),"")</f>
        <v/>
      </c>
    </row>
    <row r="378">
      <c r="A378" s="28">
        <f>IF($B378="","",362)</f>
        <v/>
      </c>
      <c r="B378" s="28">
        <f>IF($P378="","",IF(INDEX(CalcNormDate,$P378)=0,"",INDEX(CalcNormDate,$P378)))</f>
        <v/>
      </c>
      <c r="C378" s="28">
        <f>IF($P378="","",IF(INDEX(CalcTime,$P378)=0,"",INDEX(CalcTime,$P378)))</f>
        <v/>
      </c>
      <c r="D378" s="28">
        <f>IF($P378="","",IF(INDEX(EntryParty,$P378)=0,"",INDEX(EntryParty,$P378)))</f>
        <v/>
      </c>
      <c r="E378" s="28">
        <f>IF($P378="","",IF(INDEX(EntryPartyName,$P378)=0,"",INDEX(EntryPartyName,$P378)))</f>
        <v/>
      </c>
      <c r="F378" s="28">
        <f>IF($P378="","",IF(INDEX(EntryPartyType,$P378)=0,"",INDEX(EntryPartyType,$P378)))</f>
        <v/>
      </c>
      <c r="G378" s="28">
        <f>IF($P378="","",IF(INDEX(EntryTxnType,$P378)=0,"",INDEX(EntryTxnType,$P378)))</f>
        <v/>
      </c>
      <c r="H378" s="29">
        <f>IF($P378="","",IF(INDEX(EntryDep,$P378)=0,"",INDEX(EntryDep,$P378)))</f>
        <v/>
      </c>
      <c r="I378" s="29">
        <f>IF($P378="","",IF(INDEX(EntryWit,$P378)=0,"",INDEX(EntryWit,$P378)))</f>
        <v/>
      </c>
      <c r="J378" s="29">
        <f>IF($B378="","",IF($A378=1,$C$7,IF(J377="",0,J377))+IF($H378="",0,$H378)-IF($I378="",0,$I378))</f>
        <v/>
      </c>
      <c r="K378" s="29">
        <f>IF($P378="","",IF(INDEX(EntryMan,$P378)=0,"",INDEX(EntryMan,$P378)))</f>
        <v/>
      </c>
      <c r="L378" s="28">
        <f>IF($B378="","",IF($K378="","—",IF(ROUND($K378-$J378,0)=0,"√","×")))</f>
        <v/>
      </c>
      <c r="M378" s="28">
        <f>IF($B378="","",IF(COUNTIFS(EntryDates,$B378,CalcTime,$C378,CalcBank,$C$5,EntryParty,$D378,EntryDep,$H378,EntryWit,$I378)&gt;1,"تکرار",""))</f>
        <v/>
      </c>
      <c r="N378" s="28">
        <f>IF($P378="","",IF(INDEX(EntryNotes,$P378)=0,"",INDEX(EntryNotes,$P378)))</f>
        <v/>
      </c>
      <c r="O378" s="28">
        <f>IF($P378="","",IF(INDEX(EntryTxnID,$P378)=0,"",INDEX(EntryTxnID,$P378)))</f>
        <v/>
      </c>
      <c r="P378" s="28">
        <f>IFERROR(MATCH($C$5&amp;"|"&amp;RIGHT("000000"&amp;362,6),CalcRankKey,0),"")</f>
        <v/>
      </c>
    </row>
    <row r="379">
      <c r="A379" s="26">
        <f>IF($B379="","",363)</f>
        <v/>
      </c>
      <c r="B379" s="26">
        <f>IF($P379="","",IF(INDEX(CalcNormDate,$P379)=0,"",INDEX(CalcNormDate,$P379)))</f>
        <v/>
      </c>
      <c r="C379" s="26">
        <f>IF($P379="","",IF(INDEX(CalcTime,$P379)=0,"",INDEX(CalcTime,$P379)))</f>
        <v/>
      </c>
      <c r="D379" s="26">
        <f>IF($P379="","",IF(INDEX(EntryParty,$P379)=0,"",INDEX(EntryParty,$P379)))</f>
        <v/>
      </c>
      <c r="E379" s="26">
        <f>IF($P379="","",IF(INDEX(EntryPartyName,$P379)=0,"",INDEX(EntryPartyName,$P379)))</f>
        <v/>
      </c>
      <c r="F379" s="26">
        <f>IF($P379="","",IF(INDEX(EntryPartyType,$P379)=0,"",INDEX(EntryPartyType,$P379)))</f>
        <v/>
      </c>
      <c r="G379" s="26">
        <f>IF($P379="","",IF(INDEX(EntryTxnType,$P379)=0,"",INDEX(EntryTxnType,$P379)))</f>
        <v/>
      </c>
      <c r="H379" s="27">
        <f>IF($P379="","",IF(INDEX(EntryDep,$P379)=0,"",INDEX(EntryDep,$P379)))</f>
        <v/>
      </c>
      <c r="I379" s="27">
        <f>IF($P379="","",IF(INDEX(EntryWit,$P379)=0,"",INDEX(EntryWit,$P379)))</f>
        <v/>
      </c>
      <c r="J379" s="27">
        <f>IF($B379="","",IF($A379=1,$C$7,IF(J378="",0,J378))+IF($H379="",0,$H379)-IF($I379="",0,$I379))</f>
        <v/>
      </c>
      <c r="K379" s="27">
        <f>IF($P379="","",IF(INDEX(EntryMan,$P379)=0,"",INDEX(EntryMan,$P379)))</f>
        <v/>
      </c>
      <c r="L379" s="26">
        <f>IF($B379="","",IF($K379="","—",IF(ROUND($K379-$J379,0)=0,"√","×")))</f>
        <v/>
      </c>
      <c r="M379" s="26">
        <f>IF($B379="","",IF(COUNTIFS(EntryDates,$B379,CalcTime,$C379,CalcBank,$C$5,EntryParty,$D379,EntryDep,$H379,EntryWit,$I379)&gt;1,"تکرار",""))</f>
        <v/>
      </c>
      <c r="N379" s="26">
        <f>IF($P379="","",IF(INDEX(EntryNotes,$P379)=0,"",INDEX(EntryNotes,$P379)))</f>
        <v/>
      </c>
      <c r="O379" s="26">
        <f>IF($P379="","",IF(INDEX(EntryTxnID,$P379)=0,"",INDEX(EntryTxnID,$P379)))</f>
        <v/>
      </c>
      <c r="P379" s="26">
        <f>IFERROR(MATCH($C$5&amp;"|"&amp;RIGHT("000000"&amp;363,6),CalcRankKey,0),"")</f>
        <v/>
      </c>
    </row>
    <row r="380">
      <c r="A380" s="28">
        <f>IF($B380="","",364)</f>
        <v/>
      </c>
      <c r="B380" s="28">
        <f>IF($P380="","",IF(INDEX(CalcNormDate,$P380)=0,"",INDEX(CalcNormDate,$P380)))</f>
        <v/>
      </c>
      <c r="C380" s="28">
        <f>IF($P380="","",IF(INDEX(CalcTime,$P380)=0,"",INDEX(CalcTime,$P380)))</f>
        <v/>
      </c>
      <c r="D380" s="28">
        <f>IF($P380="","",IF(INDEX(EntryParty,$P380)=0,"",INDEX(EntryParty,$P380)))</f>
        <v/>
      </c>
      <c r="E380" s="28">
        <f>IF($P380="","",IF(INDEX(EntryPartyName,$P380)=0,"",INDEX(EntryPartyName,$P380)))</f>
        <v/>
      </c>
      <c r="F380" s="28">
        <f>IF($P380="","",IF(INDEX(EntryPartyType,$P380)=0,"",INDEX(EntryPartyType,$P380)))</f>
        <v/>
      </c>
      <c r="G380" s="28">
        <f>IF($P380="","",IF(INDEX(EntryTxnType,$P380)=0,"",INDEX(EntryTxnType,$P380)))</f>
        <v/>
      </c>
      <c r="H380" s="29">
        <f>IF($P380="","",IF(INDEX(EntryDep,$P380)=0,"",INDEX(EntryDep,$P380)))</f>
        <v/>
      </c>
      <c r="I380" s="29">
        <f>IF($P380="","",IF(INDEX(EntryWit,$P380)=0,"",INDEX(EntryWit,$P380)))</f>
        <v/>
      </c>
      <c r="J380" s="29">
        <f>IF($B380="","",IF($A380=1,$C$7,IF(J379="",0,J379))+IF($H380="",0,$H380)-IF($I380="",0,$I380))</f>
        <v/>
      </c>
      <c r="K380" s="29">
        <f>IF($P380="","",IF(INDEX(EntryMan,$P380)=0,"",INDEX(EntryMan,$P380)))</f>
        <v/>
      </c>
      <c r="L380" s="28">
        <f>IF($B380="","",IF($K380="","—",IF(ROUND($K380-$J380,0)=0,"√","×")))</f>
        <v/>
      </c>
      <c r="M380" s="28">
        <f>IF($B380="","",IF(COUNTIFS(EntryDates,$B380,CalcTime,$C380,CalcBank,$C$5,EntryParty,$D380,EntryDep,$H380,EntryWit,$I380)&gt;1,"تکرار",""))</f>
        <v/>
      </c>
      <c r="N380" s="28">
        <f>IF($P380="","",IF(INDEX(EntryNotes,$P380)=0,"",INDEX(EntryNotes,$P380)))</f>
        <v/>
      </c>
      <c r="O380" s="28">
        <f>IF($P380="","",IF(INDEX(EntryTxnID,$P380)=0,"",INDEX(EntryTxnID,$P380)))</f>
        <v/>
      </c>
      <c r="P380" s="28">
        <f>IFERROR(MATCH($C$5&amp;"|"&amp;RIGHT("000000"&amp;364,6),CalcRankKey,0),"")</f>
        <v/>
      </c>
    </row>
    <row r="381">
      <c r="A381" s="26">
        <f>IF($B381="","",365)</f>
        <v/>
      </c>
      <c r="B381" s="26">
        <f>IF($P381="","",IF(INDEX(CalcNormDate,$P381)=0,"",INDEX(CalcNormDate,$P381)))</f>
        <v/>
      </c>
      <c r="C381" s="26">
        <f>IF($P381="","",IF(INDEX(CalcTime,$P381)=0,"",INDEX(CalcTime,$P381)))</f>
        <v/>
      </c>
      <c r="D381" s="26">
        <f>IF($P381="","",IF(INDEX(EntryParty,$P381)=0,"",INDEX(EntryParty,$P381)))</f>
        <v/>
      </c>
      <c r="E381" s="26">
        <f>IF($P381="","",IF(INDEX(EntryPartyName,$P381)=0,"",INDEX(EntryPartyName,$P381)))</f>
        <v/>
      </c>
      <c r="F381" s="26">
        <f>IF($P381="","",IF(INDEX(EntryPartyType,$P381)=0,"",INDEX(EntryPartyType,$P381)))</f>
        <v/>
      </c>
      <c r="G381" s="26">
        <f>IF($P381="","",IF(INDEX(EntryTxnType,$P381)=0,"",INDEX(EntryTxnType,$P381)))</f>
        <v/>
      </c>
      <c r="H381" s="27">
        <f>IF($P381="","",IF(INDEX(EntryDep,$P381)=0,"",INDEX(EntryDep,$P381)))</f>
        <v/>
      </c>
      <c r="I381" s="27">
        <f>IF($P381="","",IF(INDEX(EntryWit,$P381)=0,"",INDEX(EntryWit,$P381)))</f>
        <v/>
      </c>
      <c r="J381" s="27">
        <f>IF($B381="","",IF($A381=1,$C$7,IF(J380="",0,J380))+IF($H381="",0,$H381)-IF($I381="",0,$I381))</f>
        <v/>
      </c>
      <c r="K381" s="27">
        <f>IF($P381="","",IF(INDEX(EntryMan,$P381)=0,"",INDEX(EntryMan,$P381)))</f>
        <v/>
      </c>
      <c r="L381" s="26">
        <f>IF($B381="","",IF($K381="","—",IF(ROUND($K381-$J381,0)=0,"√","×")))</f>
        <v/>
      </c>
      <c r="M381" s="26">
        <f>IF($B381="","",IF(COUNTIFS(EntryDates,$B381,CalcTime,$C381,CalcBank,$C$5,EntryParty,$D381,EntryDep,$H381,EntryWit,$I381)&gt;1,"تکرار",""))</f>
        <v/>
      </c>
      <c r="N381" s="26">
        <f>IF($P381="","",IF(INDEX(EntryNotes,$P381)=0,"",INDEX(EntryNotes,$P381)))</f>
        <v/>
      </c>
      <c r="O381" s="26">
        <f>IF($P381="","",IF(INDEX(EntryTxnID,$P381)=0,"",INDEX(EntryTxnID,$P381)))</f>
        <v/>
      </c>
      <c r="P381" s="26">
        <f>IFERROR(MATCH($C$5&amp;"|"&amp;RIGHT("000000"&amp;365,6),CalcRankKey,0),"")</f>
        <v/>
      </c>
    </row>
    <row r="382">
      <c r="A382" s="28">
        <f>IF($B382="","",366)</f>
        <v/>
      </c>
      <c r="B382" s="28">
        <f>IF($P382="","",IF(INDEX(CalcNormDate,$P382)=0,"",INDEX(CalcNormDate,$P382)))</f>
        <v/>
      </c>
      <c r="C382" s="28">
        <f>IF($P382="","",IF(INDEX(CalcTime,$P382)=0,"",INDEX(CalcTime,$P382)))</f>
        <v/>
      </c>
      <c r="D382" s="28">
        <f>IF($P382="","",IF(INDEX(EntryParty,$P382)=0,"",INDEX(EntryParty,$P382)))</f>
        <v/>
      </c>
      <c r="E382" s="28">
        <f>IF($P382="","",IF(INDEX(EntryPartyName,$P382)=0,"",INDEX(EntryPartyName,$P382)))</f>
        <v/>
      </c>
      <c r="F382" s="28">
        <f>IF($P382="","",IF(INDEX(EntryPartyType,$P382)=0,"",INDEX(EntryPartyType,$P382)))</f>
        <v/>
      </c>
      <c r="G382" s="28">
        <f>IF($P382="","",IF(INDEX(EntryTxnType,$P382)=0,"",INDEX(EntryTxnType,$P382)))</f>
        <v/>
      </c>
      <c r="H382" s="29">
        <f>IF($P382="","",IF(INDEX(EntryDep,$P382)=0,"",INDEX(EntryDep,$P382)))</f>
        <v/>
      </c>
      <c r="I382" s="29">
        <f>IF($P382="","",IF(INDEX(EntryWit,$P382)=0,"",INDEX(EntryWit,$P382)))</f>
        <v/>
      </c>
      <c r="J382" s="29">
        <f>IF($B382="","",IF($A382=1,$C$7,IF(J381="",0,J381))+IF($H382="",0,$H382)-IF($I382="",0,$I382))</f>
        <v/>
      </c>
      <c r="K382" s="29">
        <f>IF($P382="","",IF(INDEX(EntryMan,$P382)=0,"",INDEX(EntryMan,$P382)))</f>
        <v/>
      </c>
      <c r="L382" s="28">
        <f>IF($B382="","",IF($K382="","—",IF(ROUND($K382-$J382,0)=0,"√","×")))</f>
        <v/>
      </c>
      <c r="M382" s="28">
        <f>IF($B382="","",IF(COUNTIFS(EntryDates,$B382,CalcTime,$C382,CalcBank,$C$5,EntryParty,$D382,EntryDep,$H382,EntryWit,$I382)&gt;1,"تکرار",""))</f>
        <v/>
      </c>
      <c r="N382" s="28">
        <f>IF($P382="","",IF(INDEX(EntryNotes,$P382)=0,"",INDEX(EntryNotes,$P382)))</f>
        <v/>
      </c>
      <c r="O382" s="28">
        <f>IF($P382="","",IF(INDEX(EntryTxnID,$P382)=0,"",INDEX(EntryTxnID,$P382)))</f>
        <v/>
      </c>
      <c r="P382" s="28">
        <f>IFERROR(MATCH($C$5&amp;"|"&amp;RIGHT("000000"&amp;366,6),CalcRankKey,0),"")</f>
        <v/>
      </c>
    </row>
    <row r="383">
      <c r="A383" s="26">
        <f>IF($B383="","",367)</f>
        <v/>
      </c>
      <c r="B383" s="26">
        <f>IF($P383="","",IF(INDEX(CalcNormDate,$P383)=0,"",INDEX(CalcNormDate,$P383)))</f>
        <v/>
      </c>
      <c r="C383" s="26">
        <f>IF($P383="","",IF(INDEX(CalcTime,$P383)=0,"",INDEX(CalcTime,$P383)))</f>
        <v/>
      </c>
      <c r="D383" s="26">
        <f>IF($P383="","",IF(INDEX(EntryParty,$P383)=0,"",INDEX(EntryParty,$P383)))</f>
        <v/>
      </c>
      <c r="E383" s="26">
        <f>IF($P383="","",IF(INDEX(EntryPartyName,$P383)=0,"",INDEX(EntryPartyName,$P383)))</f>
        <v/>
      </c>
      <c r="F383" s="26">
        <f>IF($P383="","",IF(INDEX(EntryPartyType,$P383)=0,"",INDEX(EntryPartyType,$P383)))</f>
        <v/>
      </c>
      <c r="G383" s="26">
        <f>IF($P383="","",IF(INDEX(EntryTxnType,$P383)=0,"",INDEX(EntryTxnType,$P383)))</f>
        <v/>
      </c>
      <c r="H383" s="27">
        <f>IF($P383="","",IF(INDEX(EntryDep,$P383)=0,"",INDEX(EntryDep,$P383)))</f>
        <v/>
      </c>
      <c r="I383" s="27">
        <f>IF($P383="","",IF(INDEX(EntryWit,$P383)=0,"",INDEX(EntryWit,$P383)))</f>
        <v/>
      </c>
      <c r="J383" s="27">
        <f>IF($B383="","",IF($A383=1,$C$7,IF(J382="",0,J382))+IF($H383="",0,$H383)-IF($I383="",0,$I383))</f>
        <v/>
      </c>
      <c r="K383" s="27">
        <f>IF($P383="","",IF(INDEX(EntryMan,$P383)=0,"",INDEX(EntryMan,$P383)))</f>
        <v/>
      </c>
      <c r="L383" s="26">
        <f>IF($B383="","",IF($K383="","—",IF(ROUND($K383-$J383,0)=0,"√","×")))</f>
        <v/>
      </c>
      <c r="M383" s="26">
        <f>IF($B383="","",IF(COUNTIFS(EntryDates,$B383,CalcTime,$C383,CalcBank,$C$5,EntryParty,$D383,EntryDep,$H383,EntryWit,$I383)&gt;1,"تکرار",""))</f>
        <v/>
      </c>
      <c r="N383" s="26">
        <f>IF($P383="","",IF(INDEX(EntryNotes,$P383)=0,"",INDEX(EntryNotes,$P383)))</f>
        <v/>
      </c>
      <c r="O383" s="26">
        <f>IF($P383="","",IF(INDEX(EntryTxnID,$P383)=0,"",INDEX(EntryTxnID,$P383)))</f>
        <v/>
      </c>
      <c r="P383" s="26">
        <f>IFERROR(MATCH($C$5&amp;"|"&amp;RIGHT("000000"&amp;367,6),CalcRankKey,0),"")</f>
        <v/>
      </c>
    </row>
    <row r="384">
      <c r="A384" s="28">
        <f>IF($B384="","",368)</f>
        <v/>
      </c>
      <c r="B384" s="28">
        <f>IF($P384="","",IF(INDEX(CalcNormDate,$P384)=0,"",INDEX(CalcNormDate,$P384)))</f>
        <v/>
      </c>
      <c r="C384" s="28">
        <f>IF($P384="","",IF(INDEX(CalcTime,$P384)=0,"",INDEX(CalcTime,$P384)))</f>
        <v/>
      </c>
      <c r="D384" s="28">
        <f>IF($P384="","",IF(INDEX(EntryParty,$P384)=0,"",INDEX(EntryParty,$P384)))</f>
        <v/>
      </c>
      <c r="E384" s="28">
        <f>IF($P384="","",IF(INDEX(EntryPartyName,$P384)=0,"",INDEX(EntryPartyName,$P384)))</f>
        <v/>
      </c>
      <c r="F384" s="28">
        <f>IF($P384="","",IF(INDEX(EntryPartyType,$P384)=0,"",INDEX(EntryPartyType,$P384)))</f>
        <v/>
      </c>
      <c r="G384" s="28">
        <f>IF($P384="","",IF(INDEX(EntryTxnType,$P384)=0,"",INDEX(EntryTxnType,$P384)))</f>
        <v/>
      </c>
      <c r="H384" s="29">
        <f>IF($P384="","",IF(INDEX(EntryDep,$P384)=0,"",INDEX(EntryDep,$P384)))</f>
        <v/>
      </c>
      <c r="I384" s="29">
        <f>IF($P384="","",IF(INDEX(EntryWit,$P384)=0,"",INDEX(EntryWit,$P384)))</f>
        <v/>
      </c>
      <c r="J384" s="29">
        <f>IF($B384="","",IF($A384=1,$C$7,IF(J383="",0,J383))+IF($H384="",0,$H384)-IF($I384="",0,$I384))</f>
        <v/>
      </c>
      <c r="K384" s="29">
        <f>IF($P384="","",IF(INDEX(EntryMan,$P384)=0,"",INDEX(EntryMan,$P384)))</f>
        <v/>
      </c>
      <c r="L384" s="28">
        <f>IF($B384="","",IF($K384="","—",IF(ROUND($K384-$J384,0)=0,"√","×")))</f>
        <v/>
      </c>
      <c r="M384" s="28">
        <f>IF($B384="","",IF(COUNTIFS(EntryDates,$B384,CalcTime,$C384,CalcBank,$C$5,EntryParty,$D384,EntryDep,$H384,EntryWit,$I384)&gt;1,"تکرار",""))</f>
        <v/>
      </c>
      <c r="N384" s="28">
        <f>IF($P384="","",IF(INDEX(EntryNotes,$P384)=0,"",INDEX(EntryNotes,$P384)))</f>
        <v/>
      </c>
      <c r="O384" s="28">
        <f>IF($P384="","",IF(INDEX(EntryTxnID,$P384)=0,"",INDEX(EntryTxnID,$P384)))</f>
        <v/>
      </c>
      <c r="P384" s="28">
        <f>IFERROR(MATCH($C$5&amp;"|"&amp;RIGHT("000000"&amp;368,6),CalcRankKey,0),"")</f>
        <v/>
      </c>
    </row>
    <row r="385">
      <c r="A385" s="26">
        <f>IF($B385="","",369)</f>
        <v/>
      </c>
      <c r="B385" s="26">
        <f>IF($P385="","",IF(INDEX(CalcNormDate,$P385)=0,"",INDEX(CalcNormDate,$P385)))</f>
        <v/>
      </c>
      <c r="C385" s="26">
        <f>IF($P385="","",IF(INDEX(CalcTime,$P385)=0,"",INDEX(CalcTime,$P385)))</f>
        <v/>
      </c>
      <c r="D385" s="26">
        <f>IF($P385="","",IF(INDEX(EntryParty,$P385)=0,"",INDEX(EntryParty,$P385)))</f>
        <v/>
      </c>
      <c r="E385" s="26">
        <f>IF($P385="","",IF(INDEX(EntryPartyName,$P385)=0,"",INDEX(EntryPartyName,$P385)))</f>
        <v/>
      </c>
      <c r="F385" s="26">
        <f>IF($P385="","",IF(INDEX(EntryPartyType,$P385)=0,"",INDEX(EntryPartyType,$P385)))</f>
        <v/>
      </c>
      <c r="G385" s="26">
        <f>IF($P385="","",IF(INDEX(EntryTxnType,$P385)=0,"",INDEX(EntryTxnType,$P385)))</f>
        <v/>
      </c>
      <c r="H385" s="27">
        <f>IF($P385="","",IF(INDEX(EntryDep,$P385)=0,"",INDEX(EntryDep,$P385)))</f>
        <v/>
      </c>
      <c r="I385" s="27">
        <f>IF($P385="","",IF(INDEX(EntryWit,$P385)=0,"",INDEX(EntryWit,$P385)))</f>
        <v/>
      </c>
      <c r="J385" s="27">
        <f>IF($B385="","",IF($A385=1,$C$7,IF(J384="",0,J384))+IF($H385="",0,$H385)-IF($I385="",0,$I385))</f>
        <v/>
      </c>
      <c r="K385" s="27">
        <f>IF($P385="","",IF(INDEX(EntryMan,$P385)=0,"",INDEX(EntryMan,$P385)))</f>
        <v/>
      </c>
      <c r="L385" s="26">
        <f>IF($B385="","",IF($K385="","—",IF(ROUND($K385-$J385,0)=0,"√","×")))</f>
        <v/>
      </c>
      <c r="M385" s="26">
        <f>IF($B385="","",IF(COUNTIFS(EntryDates,$B385,CalcTime,$C385,CalcBank,$C$5,EntryParty,$D385,EntryDep,$H385,EntryWit,$I385)&gt;1,"تکرار",""))</f>
        <v/>
      </c>
      <c r="N385" s="26">
        <f>IF($P385="","",IF(INDEX(EntryNotes,$P385)=0,"",INDEX(EntryNotes,$P385)))</f>
        <v/>
      </c>
      <c r="O385" s="26">
        <f>IF($P385="","",IF(INDEX(EntryTxnID,$P385)=0,"",INDEX(EntryTxnID,$P385)))</f>
        <v/>
      </c>
      <c r="P385" s="26">
        <f>IFERROR(MATCH($C$5&amp;"|"&amp;RIGHT("000000"&amp;369,6),CalcRankKey,0),"")</f>
        <v/>
      </c>
    </row>
    <row r="386">
      <c r="A386" s="28">
        <f>IF($B386="","",370)</f>
        <v/>
      </c>
      <c r="B386" s="28">
        <f>IF($P386="","",IF(INDEX(CalcNormDate,$P386)=0,"",INDEX(CalcNormDate,$P386)))</f>
        <v/>
      </c>
      <c r="C386" s="28">
        <f>IF($P386="","",IF(INDEX(CalcTime,$P386)=0,"",INDEX(CalcTime,$P386)))</f>
        <v/>
      </c>
      <c r="D386" s="28">
        <f>IF($P386="","",IF(INDEX(EntryParty,$P386)=0,"",INDEX(EntryParty,$P386)))</f>
        <v/>
      </c>
      <c r="E386" s="28">
        <f>IF($P386="","",IF(INDEX(EntryPartyName,$P386)=0,"",INDEX(EntryPartyName,$P386)))</f>
        <v/>
      </c>
      <c r="F386" s="28">
        <f>IF($P386="","",IF(INDEX(EntryPartyType,$P386)=0,"",INDEX(EntryPartyType,$P386)))</f>
        <v/>
      </c>
      <c r="G386" s="28">
        <f>IF($P386="","",IF(INDEX(EntryTxnType,$P386)=0,"",INDEX(EntryTxnType,$P386)))</f>
        <v/>
      </c>
      <c r="H386" s="29">
        <f>IF($P386="","",IF(INDEX(EntryDep,$P386)=0,"",INDEX(EntryDep,$P386)))</f>
        <v/>
      </c>
      <c r="I386" s="29">
        <f>IF($P386="","",IF(INDEX(EntryWit,$P386)=0,"",INDEX(EntryWit,$P386)))</f>
        <v/>
      </c>
      <c r="J386" s="29">
        <f>IF($B386="","",IF($A386=1,$C$7,IF(J385="",0,J385))+IF($H386="",0,$H386)-IF($I386="",0,$I386))</f>
        <v/>
      </c>
      <c r="K386" s="29">
        <f>IF($P386="","",IF(INDEX(EntryMan,$P386)=0,"",INDEX(EntryMan,$P386)))</f>
        <v/>
      </c>
      <c r="L386" s="28">
        <f>IF($B386="","",IF($K386="","—",IF(ROUND($K386-$J386,0)=0,"√","×")))</f>
        <v/>
      </c>
      <c r="M386" s="28">
        <f>IF($B386="","",IF(COUNTIFS(EntryDates,$B386,CalcTime,$C386,CalcBank,$C$5,EntryParty,$D386,EntryDep,$H386,EntryWit,$I386)&gt;1,"تکرار",""))</f>
        <v/>
      </c>
      <c r="N386" s="28">
        <f>IF($P386="","",IF(INDEX(EntryNotes,$P386)=0,"",INDEX(EntryNotes,$P386)))</f>
        <v/>
      </c>
      <c r="O386" s="28">
        <f>IF($P386="","",IF(INDEX(EntryTxnID,$P386)=0,"",INDEX(EntryTxnID,$P386)))</f>
        <v/>
      </c>
      <c r="P386" s="28">
        <f>IFERROR(MATCH($C$5&amp;"|"&amp;RIGHT("000000"&amp;370,6),CalcRankKey,0),"")</f>
        <v/>
      </c>
    </row>
    <row r="387">
      <c r="A387" s="26">
        <f>IF($B387="","",371)</f>
        <v/>
      </c>
      <c r="B387" s="26">
        <f>IF($P387="","",IF(INDEX(CalcNormDate,$P387)=0,"",INDEX(CalcNormDate,$P387)))</f>
        <v/>
      </c>
      <c r="C387" s="26">
        <f>IF($P387="","",IF(INDEX(CalcTime,$P387)=0,"",INDEX(CalcTime,$P387)))</f>
        <v/>
      </c>
      <c r="D387" s="26">
        <f>IF($P387="","",IF(INDEX(EntryParty,$P387)=0,"",INDEX(EntryParty,$P387)))</f>
        <v/>
      </c>
      <c r="E387" s="26">
        <f>IF($P387="","",IF(INDEX(EntryPartyName,$P387)=0,"",INDEX(EntryPartyName,$P387)))</f>
        <v/>
      </c>
      <c r="F387" s="26">
        <f>IF($P387="","",IF(INDEX(EntryPartyType,$P387)=0,"",INDEX(EntryPartyType,$P387)))</f>
        <v/>
      </c>
      <c r="G387" s="26">
        <f>IF($P387="","",IF(INDEX(EntryTxnType,$P387)=0,"",INDEX(EntryTxnType,$P387)))</f>
        <v/>
      </c>
      <c r="H387" s="27">
        <f>IF($P387="","",IF(INDEX(EntryDep,$P387)=0,"",INDEX(EntryDep,$P387)))</f>
        <v/>
      </c>
      <c r="I387" s="27">
        <f>IF($P387="","",IF(INDEX(EntryWit,$P387)=0,"",INDEX(EntryWit,$P387)))</f>
        <v/>
      </c>
      <c r="J387" s="27">
        <f>IF($B387="","",IF($A387=1,$C$7,IF(J386="",0,J386))+IF($H387="",0,$H387)-IF($I387="",0,$I387))</f>
        <v/>
      </c>
      <c r="K387" s="27">
        <f>IF($P387="","",IF(INDEX(EntryMan,$P387)=0,"",INDEX(EntryMan,$P387)))</f>
        <v/>
      </c>
      <c r="L387" s="26">
        <f>IF($B387="","",IF($K387="","—",IF(ROUND($K387-$J387,0)=0,"√","×")))</f>
        <v/>
      </c>
      <c r="M387" s="26">
        <f>IF($B387="","",IF(COUNTIFS(EntryDates,$B387,CalcTime,$C387,CalcBank,$C$5,EntryParty,$D387,EntryDep,$H387,EntryWit,$I387)&gt;1,"تکرار",""))</f>
        <v/>
      </c>
      <c r="N387" s="26">
        <f>IF($P387="","",IF(INDEX(EntryNotes,$P387)=0,"",INDEX(EntryNotes,$P387)))</f>
        <v/>
      </c>
      <c r="O387" s="26">
        <f>IF($P387="","",IF(INDEX(EntryTxnID,$P387)=0,"",INDEX(EntryTxnID,$P387)))</f>
        <v/>
      </c>
      <c r="P387" s="26">
        <f>IFERROR(MATCH($C$5&amp;"|"&amp;RIGHT("000000"&amp;371,6),CalcRankKey,0),"")</f>
        <v/>
      </c>
    </row>
    <row r="388">
      <c r="A388" s="28">
        <f>IF($B388="","",372)</f>
        <v/>
      </c>
      <c r="B388" s="28">
        <f>IF($P388="","",IF(INDEX(CalcNormDate,$P388)=0,"",INDEX(CalcNormDate,$P388)))</f>
        <v/>
      </c>
      <c r="C388" s="28">
        <f>IF($P388="","",IF(INDEX(CalcTime,$P388)=0,"",INDEX(CalcTime,$P388)))</f>
        <v/>
      </c>
      <c r="D388" s="28">
        <f>IF($P388="","",IF(INDEX(EntryParty,$P388)=0,"",INDEX(EntryParty,$P388)))</f>
        <v/>
      </c>
      <c r="E388" s="28">
        <f>IF($P388="","",IF(INDEX(EntryPartyName,$P388)=0,"",INDEX(EntryPartyName,$P388)))</f>
        <v/>
      </c>
      <c r="F388" s="28">
        <f>IF($P388="","",IF(INDEX(EntryPartyType,$P388)=0,"",INDEX(EntryPartyType,$P388)))</f>
        <v/>
      </c>
      <c r="G388" s="28">
        <f>IF($P388="","",IF(INDEX(EntryTxnType,$P388)=0,"",INDEX(EntryTxnType,$P388)))</f>
        <v/>
      </c>
      <c r="H388" s="29">
        <f>IF($P388="","",IF(INDEX(EntryDep,$P388)=0,"",INDEX(EntryDep,$P388)))</f>
        <v/>
      </c>
      <c r="I388" s="29">
        <f>IF($P388="","",IF(INDEX(EntryWit,$P388)=0,"",INDEX(EntryWit,$P388)))</f>
        <v/>
      </c>
      <c r="J388" s="29">
        <f>IF($B388="","",IF($A388=1,$C$7,IF(J387="",0,J387))+IF($H388="",0,$H388)-IF($I388="",0,$I388))</f>
        <v/>
      </c>
      <c r="K388" s="29">
        <f>IF($P388="","",IF(INDEX(EntryMan,$P388)=0,"",INDEX(EntryMan,$P388)))</f>
        <v/>
      </c>
      <c r="L388" s="28">
        <f>IF($B388="","",IF($K388="","—",IF(ROUND($K388-$J388,0)=0,"√","×")))</f>
        <v/>
      </c>
      <c r="M388" s="28">
        <f>IF($B388="","",IF(COUNTIFS(EntryDates,$B388,CalcTime,$C388,CalcBank,$C$5,EntryParty,$D388,EntryDep,$H388,EntryWit,$I388)&gt;1,"تکرار",""))</f>
        <v/>
      </c>
      <c r="N388" s="28">
        <f>IF($P388="","",IF(INDEX(EntryNotes,$P388)=0,"",INDEX(EntryNotes,$P388)))</f>
        <v/>
      </c>
      <c r="O388" s="28">
        <f>IF($P388="","",IF(INDEX(EntryTxnID,$P388)=0,"",INDEX(EntryTxnID,$P388)))</f>
        <v/>
      </c>
      <c r="P388" s="28">
        <f>IFERROR(MATCH($C$5&amp;"|"&amp;RIGHT("000000"&amp;372,6),CalcRankKey,0),"")</f>
        <v/>
      </c>
    </row>
    <row r="389">
      <c r="A389" s="26">
        <f>IF($B389="","",373)</f>
        <v/>
      </c>
      <c r="B389" s="26">
        <f>IF($P389="","",IF(INDEX(CalcNormDate,$P389)=0,"",INDEX(CalcNormDate,$P389)))</f>
        <v/>
      </c>
      <c r="C389" s="26">
        <f>IF($P389="","",IF(INDEX(CalcTime,$P389)=0,"",INDEX(CalcTime,$P389)))</f>
        <v/>
      </c>
      <c r="D389" s="26">
        <f>IF($P389="","",IF(INDEX(EntryParty,$P389)=0,"",INDEX(EntryParty,$P389)))</f>
        <v/>
      </c>
      <c r="E389" s="26">
        <f>IF($P389="","",IF(INDEX(EntryPartyName,$P389)=0,"",INDEX(EntryPartyName,$P389)))</f>
        <v/>
      </c>
      <c r="F389" s="26">
        <f>IF($P389="","",IF(INDEX(EntryPartyType,$P389)=0,"",INDEX(EntryPartyType,$P389)))</f>
        <v/>
      </c>
      <c r="G389" s="26">
        <f>IF($P389="","",IF(INDEX(EntryTxnType,$P389)=0,"",INDEX(EntryTxnType,$P389)))</f>
        <v/>
      </c>
      <c r="H389" s="27">
        <f>IF($P389="","",IF(INDEX(EntryDep,$P389)=0,"",INDEX(EntryDep,$P389)))</f>
        <v/>
      </c>
      <c r="I389" s="27">
        <f>IF($P389="","",IF(INDEX(EntryWit,$P389)=0,"",INDEX(EntryWit,$P389)))</f>
        <v/>
      </c>
      <c r="J389" s="27">
        <f>IF($B389="","",IF($A389=1,$C$7,IF(J388="",0,J388))+IF($H389="",0,$H389)-IF($I389="",0,$I389))</f>
        <v/>
      </c>
      <c r="K389" s="27">
        <f>IF($P389="","",IF(INDEX(EntryMan,$P389)=0,"",INDEX(EntryMan,$P389)))</f>
        <v/>
      </c>
      <c r="L389" s="26">
        <f>IF($B389="","",IF($K389="","—",IF(ROUND($K389-$J389,0)=0,"√","×")))</f>
        <v/>
      </c>
      <c r="M389" s="26">
        <f>IF($B389="","",IF(COUNTIFS(EntryDates,$B389,CalcTime,$C389,CalcBank,$C$5,EntryParty,$D389,EntryDep,$H389,EntryWit,$I389)&gt;1,"تکرار",""))</f>
        <v/>
      </c>
      <c r="N389" s="26">
        <f>IF($P389="","",IF(INDEX(EntryNotes,$P389)=0,"",INDEX(EntryNotes,$P389)))</f>
        <v/>
      </c>
      <c r="O389" s="26">
        <f>IF($P389="","",IF(INDEX(EntryTxnID,$P389)=0,"",INDEX(EntryTxnID,$P389)))</f>
        <v/>
      </c>
      <c r="P389" s="26">
        <f>IFERROR(MATCH($C$5&amp;"|"&amp;RIGHT("000000"&amp;373,6),CalcRankKey,0),"")</f>
        <v/>
      </c>
    </row>
    <row r="390">
      <c r="A390" s="28">
        <f>IF($B390="","",374)</f>
        <v/>
      </c>
      <c r="B390" s="28">
        <f>IF($P390="","",IF(INDEX(CalcNormDate,$P390)=0,"",INDEX(CalcNormDate,$P390)))</f>
        <v/>
      </c>
      <c r="C390" s="28">
        <f>IF($P390="","",IF(INDEX(CalcTime,$P390)=0,"",INDEX(CalcTime,$P390)))</f>
        <v/>
      </c>
      <c r="D390" s="28">
        <f>IF($P390="","",IF(INDEX(EntryParty,$P390)=0,"",INDEX(EntryParty,$P390)))</f>
        <v/>
      </c>
      <c r="E390" s="28">
        <f>IF($P390="","",IF(INDEX(EntryPartyName,$P390)=0,"",INDEX(EntryPartyName,$P390)))</f>
        <v/>
      </c>
      <c r="F390" s="28">
        <f>IF($P390="","",IF(INDEX(EntryPartyType,$P390)=0,"",INDEX(EntryPartyType,$P390)))</f>
        <v/>
      </c>
      <c r="G390" s="28">
        <f>IF($P390="","",IF(INDEX(EntryTxnType,$P390)=0,"",INDEX(EntryTxnType,$P390)))</f>
        <v/>
      </c>
      <c r="H390" s="29">
        <f>IF($P390="","",IF(INDEX(EntryDep,$P390)=0,"",INDEX(EntryDep,$P390)))</f>
        <v/>
      </c>
      <c r="I390" s="29">
        <f>IF($P390="","",IF(INDEX(EntryWit,$P390)=0,"",INDEX(EntryWit,$P390)))</f>
        <v/>
      </c>
      <c r="J390" s="29">
        <f>IF($B390="","",IF($A390=1,$C$7,IF(J389="",0,J389))+IF($H390="",0,$H390)-IF($I390="",0,$I390))</f>
        <v/>
      </c>
      <c r="K390" s="29">
        <f>IF($P390="","",IF(INDEX(EntryMan,$P390)=0,"",INDEX(EntryMan,$P390)))</f>
        <v/>
      </c>
      <c r="L390" s="28">
        <f>IF($B390="","",IF($K390="","—",IF(ROUND($K390-$J390,0)=0,"√","×")))</f>
        <v/>
      </c>
      <c r="M390" s="28">
        <f>IF($B390="","",IF(COUNTIFS(EntryDates,$B390,CalcTime,$C390,CalcBank,$C$5,EntryParty,$D390,EntryDep,$H390,EntryWit,$I390)&gt;1,"تکرار",""))</f>
        <v/>
      </c>
      <c r="N390" s="28">
        <f>IF($P390="","",IF(INDEX(EntryNotes,$P390)=0,"",INDEX(EntryNotes,$P390)))</f>
        <v/>
      </c>
      <c r="O390" s="28">
        <f>IF($P390="","",IF(INDEX(EntryTxnID,$P390)=0,"",INDEX(EntryTxnID,$P390)))</f>
        <v/>
      </c>
      <c r="P390" s="28">
        <f>IFERROR(MATCH($C$5&amp;"|"&amp;RIGHT("000000"&amp;374,6),CalcRankKey,0),"")</f>
        <v/>
      </c>
    </row>
    <row r="391">
      <c r="A391" s="26">
        <f>IF($B391="","",375)</f>
        <v/>
      </c>
      <c r="B391" s="26">
        <f>IF($P391="","",IF(INDEX(CalcNormDate,$P391)=0,"",INDEX(CalcNormDate,$P391)))</f>
        <v/>
      </c>
      <c r="C391" s="26">
        <f>IF($P391="","",IF(INDEX(CalcTime,$P391)=0,"",INDEX(CalcTime,$P391)))</f>
        <v/>
      </c>
      <c r="D391" s="26">
        <f>IF($P391="","",IF(INDEX(EntryParty,$P391)=0,"",INDEX(EntryParty,$P391)))</f>
        <v/>
      </c>
      <c r="E391" s="26">
        <f>IF($P391="","",IF(INDEX(EntryPartyName,$P391)=0,"",INDEX(EntryPartyName,$P391)))</f>
        <v/>
      </c>
      <c r="F391" s="26">
        <f>IF($P391="","",IF(INDEX(EntryPartyType,$P391)=0,"",INDEX(EntryPartyType,$P391)))</f>
        <v/>
      </c>
      <c r="G391" s="26">
        <f>IF($P391="","",IF(INDEX(EntryTxnType,$P391)=0,"",INDEX(EntryTxnType,$P391)))</f>
        <v/>
      </c>
      <c r="H391" s="27">
        <f>IF($P391="","",IF(INDEX(EntryDep,$P391)=0,"",INDEX(EntryDep,$P391)))</f>
        <v/>
      </c>
      <c r="I391" s="27">
        <f>IF($P391="","",IF(INDEX(EntryWit,$P391)=0,"",INDEX(EntryWit,$P391)))</f>
        <v/>
      </c>
      <c r="J391" s="27">
        <f>IF($B391="","",IF($A391=1,$C$7,IF(J390="",0,J390))+IF($H391="",0,$H391)-IF($I391="",0,$I391))</f>
        <v/>
      </c>
      <c r="K391" s="27">
        <f>IF($P391="","",IF(INDEX(EntryMan,$P391)=0,"",INDEX(EntryMan,$P391)))</f>
        <v/>
      </c>
      <c r="L391" s="26">
        <f>IF($B391="","",IF($K391="","—",IF(ROUND($K391-$J391,0)=0,"√","×")))</f>
        <v/>
      </c>
      <c r="M391" s="26">
        <f>IF($B391="","",IF(COUNTIFS(EntryDates,$B391,CalcTime,$C391,CalcBank,$C$5,EntryParty,$D391,EntryDep,$H391,EntryWit,$I391)&gt;1,"تکرار",""))</f>
        <v/>
      </c>
      <c r="N391" s="26">
        <f>IF($P391="","",IF(INDEX(EntryNotes,$P391)=0,"",INDEX(EntryNotes,$P391)))</f>
        <v/>
      </c>
      <c r="O391" s="26">
        <f>IF($P391="","",IF(INDEX(EntryTxnID,$P391)=0,"",INDEX(EntryTxnID,$P391)))</f>
        <v/>
      </c>
      <c r="P391" s="26">
        <f>IFERROR(MATCH($C$5&amp;"|"&amp;RIGHT("000000"&amp;375,6),CalcRankKey,0),"")</f>
        <v/>
      </c>
    </row>
    <row r="392">
      <c r="A392" s="28">
        <f>IF($B392="","",376)</f>
        <v/>
      </c>
      <c r="B392" s="28">
        <f>IF($P392="","",IF(INDEX(CalcNormDate,$P392)=0,"",INDEX(CalcNormDate,$P392)))</f>
        <v/>
      </c>
      <c r="C392" s="28">
        <f>IF($P392="","",IF(INDEX(CalcTime,$P392)=0,"",INDEX(CalcTime,$P392)))</f>
        <v/>
      </c>
      <c r="D392" s="28">
        <f>IF($P392="","",IF(INDEX(EntryParty,$P392)=0,"",INDEX(EntryParty,$P392)))</f>
        <v/>
      </c>
      <c r="E392" s="28">
        <f>IF($P392="","",IF(INDEX(EntryPartyName,$P392)=0,"",INDEX(EntryPartyName,$P392)))</f>
        <v/>
      </c>
      <c r="F392" s="28">
        <f>IF($P392="","",IF(INDEX(EntryPartyType,$P392)=0,"",INDEX(EntryPartyType,$P392)))</f>
        <v/>
      </c>
      <c r="G392" s="28">
        <f>IF($P392="","",IF(INDEX(EntryTxnType,$P392)=0,"",INDEX(EntryTxnType,$P392)))</f>
        <v/>
      </c>
      <c r="H392" s="29">
        <f>IF($P392="","",IF(INDEX(EntryDep,$P392)=0,"",INDEX(EntryDep,$P392)))</f>
        <v/>
      </c>
      <c r="I392" s="29">
        <f>IF($P392="","",IF(INDEX(EntryWit,$P392)=0,"",INDEX(EntryWit,$P392)))</f>
        <v/>
      </c>
      <c r="J392" s="29">
        <f>IF($B392="","",IF($A392=1,$C$7,IF(J391="",0,J391))+IF($H392="",0,$H392)-IF($I392="",0,$I392))</f>
        <v/>
      </c>
      <c r="K392" s="29">
        <f>IF($P392="","",IF(INDEX(EntryMan,$P392)=0,"",INDEX(EntryMan,$P392)))</f>
        <v/>
      </c>
      <c r="L392" s="28">
        <f>IF($B392="","",IF($K392="","—",IF(ROUND($K392-$J392,0)=0,"√","×")))</f>
        <v/>
      </c>
      <c r="M392" s="28">
        <f>IF($B392="","",IF(COUNTIFS(EntryDates,$B392,CalcTime,$C392,CalcBank,$C$5,EntryParty,$D392,EntryDep,$H392,EntryWit,$I392)&gt;1,"تکرار",""))</f>
        <v/>
      </c>
      <c r="N392" s="28">
        <f>IF($P392="","",IF(INDEX(EntryNotes,$P392)=0,"",INDEX(EntryNotes,$P392)))</f>
        <v/>
      </c>
      <c r="O392" s="28">
        <f>IF($P392="","",IF(INDEX(EntryTxnID,$P392)=0,"",INDEX(EntryTxnID,$P392)))</f>
        <v/>
      </c>
      <c r="P392" s="28">
        <f>IFERROR(MATCH($C$5&amp;"|"&amp;RIGHT("000000"&amp;376,6),CalcRankKey,0),"")</f>
        <v/>
      </c>
    </row>
    <row r="393">
      <c r="A393" s="26">
        <f>IF($B393="","",377)</f>
        <v/>
      </c>
      <c r="B393" s="26">
        <f>IF($P393="","",IF(INDEX(CalcNormDate,$P393)=0,"",INDEX(CalcNormDate,$P393)))</f>
        <v/>
      </c>
      <c r="C393" s="26">
        <f>IF($P393="","",IF(INDEX(CalcTime,$P393)=0,"",INDEX(CalcTime,$P393)))</f>
        <v/>
      </c>
      <c r="D393" s="26">
        <f>IF($P393="","",IF(INDEX(EntryParty,$P393)=0,"",INDEX(EntryParty,$P393)))</f>
        <v/>
      </c>
      <c r="E393" s="26">
        <f>IF($P393="","",IF(INDEX(EntryPartyName,$P393)=0,"",INDEX(EntryPartyName,$P393)))</f>
        <v/>
      </c>
      <c r="F393" s="26">
        <f>IF($P393="","",IF(INDEX(EntryPartyType,$P393)=0,"",INDEX(EntryPartyType,$P393)))</f>
        <v/>
      </c>
      <c r="G393" s="26">
        <f>IF($P393="","",IF(INDEX(EntryTxnType,$P393)=0,"",INDEX(EntryTxnType,$P393)))</f>
        <v/>
      </c>
      <c r="H393" s="27">
        <f>IF($P393="","",IF(INDEX(EntryDep,$P393)=0,"",INDEX(EntryDep,$P393)))</f>
        <v/>
      </c>
      <c r="I393" s="27">
        <f>IF($P393="","",IF(INDEX(EntryWit,$P393)=0,"",INDEX(EntryWit,$P393)))</f>
        <v/>
      </c>
      <c r="J393" s="27">
        <f>IF($B393="","",IF($A393=1,$C$7,IF(J392="",0,J392))+IF($H393="",0,$H393)-IF($I393="",0,$I393))</f>
        <v/>
      </c>
      <c r="K393" s="27">
        <f>IF($P393="","",IF(INDEX(EntryMan,$P393)=0,"",INDEX(EntryMan,$P393)))</f>
        <v/>
      </c>
      <c r="L393" s="26">
        <f>IF($B393="","",IF($K393="","—",IF(ROUND($K393-$J393,0)=0,"√","×")))</f>
        <v/>
      </c>
      <c r="M393" s="26">
        <f>IF($B393="","",IF(COUNTIFS(EntryDates,$B393,CalcTime,$C393,CalcBank,$C$5,EntryParty,$D393,EntryDep,$H393,EntryWit,$I393)&gt;1,"تکرار",""))</f>
        <v/>
      </c>
      <c r="N393" s="26">
        <f>IF($P393="","",IF(INDEX(EntryNotes,$P393)=0,"",INDEX(EntryNotes,$P393)))</f>
        <v/>
      </c>
      <c r="O393" s="26">
        <f>IF($P393="","",IF(INDEX(EntryTxnID,$P393)=0,"",INDEX(EntryTxnID,$P393)))</f>
        <v/>
      </c>
      <c r="P393" s="26">
        <f>IFERROR(MATCH($C$5&amp;"|"&amp;RIGHT("000000"&amp;377,6),CalcRankKey,0),"")</f>
        <v/>
      </c>
    </row>
    <row r="394">
      <c r="A394" s="28">
        <f>IF($B394="","",378)</f>
        <v/>
      </c>
      <c r="B394" s="28">
        <f>IF($P394="","",IF(INDEX(CalcNormDate,$P394)=0,"",INDEX(CalcNormDate,$P394)))</f>
        <v/>
      </c>
      <c r="C394" s="28">
        <f>IF($P394="","",IF(INDEX(CalcTime,$P394)=0,"",INDEX(CalcTime,$P394)))</f>
        <v/>
      </c>
      <c r="D394" s="28">
        <f>IF($P394="","",IF(INDEX(EntryParty,$P394)=0,"",INDEX(EntryParty,$P394)))</f>
        <v/>
      </c>
      <c r="E394" s="28">
        <f>IF($P394="","",IF(INDEX(EntryPartyName,$P394)=0,"",INDEX(EntryPartyName,$P394)))</f>
        <v/>
      </c>
      <c r="F394" s="28">
        <f>IF($P394="","",IF(INDEX(EntryPartyType,$P394)=0,"",INDEX(EntryPartyType,$P394)))</f>
        <v/>
      </c>
      <c r="G394" s="28">
        <f>IF($P394="","",IF(INDEX(EntryTxnType,$P394)=0,"",INDEX(EntryTxnType,$P394)))</f>
        <v/>
      </c>
      <c r="H394" s="29">
        <f>IF($P394="","",IF(INDEX(EntryDep,$P394)=0,"",INDEX(EntryDep,$P394)))</f>
        <v/>
      </c>
      <c r="I394" s="29">
        <f>IF($P394="","",IF(INDEX(EntryWit,$P394)=0,"",INDEX(EntryWit,$P394)))</f>
        <v/>
      </c>
      <c r="J394" s="29">
        <f>IF($B394="","",IF($A394=1,$C$7,IF(J393="",0,J393))+IF($H394="",0,$H394)-IF($I394="",0,$I394))</f>
        <v/>
      </c>
      <c r="K394" s="29">
        <f>IF($P394="","",IF(INDEX(EntryMan,$P394)=0,"",INDEX(EntryMan,$P394)))</f>
        <v/>
      </c>
      <c r="L394" s="28">
        <f>IF($B394="","",IF($K394="","—",IF(ROUND($K394-$J394,0)=0,"√","×")))</f>
        <v/>
      </c>
      <c r="M394" s="28">
        <f>IF($B394="","",IF(COUNTIFS(EntryDates,$B394,CalcTime,$C394,CalcBank,$C$5,EntryParty,$D394,EntryDep,$H394,EntryWit,$I394)&gt;1,"تکرار",""))</f>
        <v/>
      </c>
      <c r="N394" s="28">
        <f>IF($P394="","",IF(INDEX(EntryNotes,$P394)=0,"",INDEX(EntryNotes,$P394)))</f>
        <v/>
      </c>
      <c r="O394" s="28">
        <f>IF($P394="","",IF(INDEX(EntryTxnID,$P394)=0,"",INDEX(EntryTxnID,$P394)))</f>
        <v/>
      </c>
      <c r="P394" s="28">
        <f>IFERROR(MATCH($C$5&amp;"|"&amp;RIGHT("000000"&amp;378,6),CalcRankKey,0),"")</f>
        <v/>
      </c>
    </row>
    <row r="395">
      <c r="A395" s="26">
        <f>IF($B395="","",379)</f>
        <v/>
      </c>
      <c r="B395" s="26">
        <f>IF($P395="","",IF(INDEX(CalcNormDate,$P395)=0,"",INDEX(CalcNormDate,$P395)))</f>
        <v/>
      </c>
      <c r="C395" s="26">
        <f>IF($P395="","",IF(INDEX(CalcTime,$P395)=0,"",INDEX(CalcTime,$P395)))</f>
        <v/>
      </c>
      <c r="D395" s="26">
        <f>IF($P395="","",IF(INDEX(EntryParty,$P395)=0,"",INDEX(EntryParty,$P395)))</f>
        <v/>
      </c>
      <c r="E395" s="26">
        <f>IF($P395="","",IF(INDEX(EntryPartyName,$P395)=0,"",INDEX(EntryPartyName,$P395)))</f>
        <v/>
      </c>
      <c r="F395" s="26">
        <f>IF($P395="","",IF(INDEX(EntryPartyType,$P395)=0,"",INDEX(EntryPartyType,$P395)))</f>
        <v/>
      </c>
      <c r="G395" s="26">
        <f>IF($P395="","",IF(INDEX(EntryTxnType,$P395)=0,"",INDEX(EntryTxnType,$P395)))</f>
        <v/>
      </c>
      <c r="H395" s="27">
        <f>IF($P395="","",IF(INDEX(EntryDep,$P395)=0,"",INDEX(EntryDep,$P395)))</f>
        <v/>
      </c>
      <c r="I395" s="27">
        <f>IF($P395="","",IF(INDEX(EntryWit,$P395)=0,"",INDEX(EntryWit,$P395)))</f>
        <v/>
      </c>
      <c r="J395" s="27">
        <f>IF($B395="","",IF($A395=1,$C$7,IF(J394="",0,J394))+IF($H395="",0,$H395)-IF($I395="",0,$I395))</f>
        <v/>
      </c>
      <c r="K395" s="27">
        <f>IF($P395="","",IF(INDEX(EntryMan,$P395)=0,"",INDEX(EntryMan,$P395)))</f>
        <v/>
      </c>
      <c r="L395" s="26">
        <f>IF($B395="","",IF($K395="","—",IF(ROUND($K395-$J395,0)=0,"√","×")))</f>
        <v/>
      </c>
      <c r="M395" s="26">
        <f>IF($B395="","",IF(COUNTIFS(EntryDates,$B395,CalcTime,$C395,CalcBank,$C$5,EntryParty,$D395,EntryDep,$H395,EntryWit,$I395)&gt;1,"تکرار",""))</f>
        <v/>
      </c>
      <c r="N395" s="26">
        <f>IF($P395="","",IF(INDEX(EntryNotes,$P395)=0,"",INDEX(EntryNotes,$P395)))</f>
        <v/>
      </c>
      <c r="O395" s="26">
        <f>IF($P395="","",IF(INDEX(EntryTxnID,$P395)=0,"",INDEX(EntryTxnID,$P395)))</f>
        <v/>
      </c>
      <c r="P395" s="26">
        <f>IFERROR(MATCH($C$5&amp;"|"&amp;RIGHT("000000"&amp;379,6),CalcRankKey,0),"")</f>
        <v/>
      </c>
    </row>
    <row r="396">
      <c r="A396" s="28">
        <f>IF($B396="","",380)</f>
        <v/>
      </c>
      <c r="B396" s="28">
        <f>IF($P396="","",IF(INDEX(CalcNormDate,$P396)=0,"",INDEX(CalcNormDate,$P396)))</f>
        <v/>
      </c>
      <c r="C396" s="28">
        <f>IF($P396="","",IF(INDEX(CalcTime,$P396)=0,"",INDEX(CalcTime,$P396)))</f>
        <v/>
      </c>
      <c r="D396" s="28">
        <f>IF($P396="","",IF(INDEX(EntryParty,$P396)=0,"",INDEX(EntryParty,$P396)))</f>
        <v/>
      </c>
      <c r="E396" s="28">
        <f>IF($P396="","",IF(INDEX(EntryPartyName,$P396)=0,"",INDEX(EntryPartyName,$P396)))</f>
        <v/>
      </c>
      <c r="F396" s="28">
        <f>IF($P396="","",IF(INDEX(EntryPartyType,$P396)=0,"",INDEX(EntryPartyType,$P396)))</f>
        <v/>
      </c>
      <c r="G396" s="28">
        <f>IF($P396="","",IF(INDEX(EntryTxnType,$P396)=0,"",INDEX(EntryTxnType,$P396)))</f>
        <v/>
      </c>
      <c r="H396" s="29">
        <f>IF($P396="","",IF(INDEX(EntryDep,$P396)=0,"",INDEX(EntryDep,$P396)))</f>
        <v/>
      </c>
      <c r="I396" s="29">
        <f>IF($P396="","",IF(INDEX(EntryWit,$P396)=0,"",INDEX(EntryWit,$P396)))</f>
        <v/>
      </c>
      <c r="J396" s="29">
        <f>IF($B396="","",IF($A396=1,$C$7,IF(J395="",0,J395))+IF($H396="",0,$H396)-IF($I396="",0,$I396))</f>
        <v/>
      </c>
      <c r="K396" s="29">
        <f>IF($P396="","",IF(INDEX(EntryMan,$P396)=0,"",INDEX(EntryMan,$P396)))</f>
        <v/>
      </c>
      <c r="L396" s="28">
        <f>IF($B396="","",IF($K396="","—",IF(ROUND($K396-$J396,0)=0,"√","×")))</f>
        <v/>
      </c>
      <c r="M396" s="28">
        <f>IF($B396="","",IF(COUNTIFS(EntryDates,$B396,CalcTime,$C396,CalcBank,$C$5,EntryParty,$D396,EntryDep,$H396,EntryWit,$I396)&gt;1,"تکرار",""))</f>
        <v/>
      </c>
      <c r="N396" s="28">
        <f>IF($P396="","",IF(INDEX(EntryNotes,$P396)=0,"",INDEX(EntryNotes,$P396)))</f>
        <v/>
      </c>
      <c r="O396" s="28">
        <f>IF($P396="","",IF(INDEX(EntryTxnID,$P396)=0,"",INDEX(EntryTxnID,$P396)))</f>
        <v/>
      </c>
      <c r="P396" s="28">
        <f>IFERROR(MATCH($C$5&amp;"|"&amp;RIGHT("000000"&amp;380,6),CalcRankKey,0),"")</f>
        <v/>
      </c>
    </row>
    <row r="397">
      <c r="A397" s="26">
        <f>IF($B397="","",381)</f>
        <v/>
      </c>
      <c r="B397" s="26">
        <f>IF($P397="","",IF(INDEX(CalcNormDate,$P397)=0,"",INDEX(CalcNormDate,$P397)))</f>
        <v/>
      </c>
      <c r="C397" s="26">
        <f>IF($P397="","",IF(INDEX(CalcTime,$P397)=0,"",INDEX(CalcTime,$P397)))</f>
        <v/>
      </c>
      <c r="D397" s="26">
        <f>IF($P397="","",IF(INDEX(EntryParty,$P397)=0,"",INDEX(EntryParty,$P397)))</f>
        <v/>
      </c>
      <c r="E397" s="26">
        <f>IF($P397="","",IF(INDEX(EntryPartyName,$P397)=0,"",INDEX(EntryPartyName,$P397)))</f>
        <v/>
      </c>
      <c r="F397" s="26">
        <f>IF($P397="","",IF(INDEX(EntryPartyType,$P397)=0,"",INDEX(EntryPartyType,$P397)))</f>
        <v/>
      </c>
      <c r="G397" s="26">
        <f>IF($P397="","",IF(INDEX(EntryTxnType,$P397)=0,"",INDEX(EntryTxnType,$P397)))</f>
        <v/>
      </c>
      <c r="H397" s="27">
        <f>IF($P397="","",IF(INDEX(EntryDep,$P397)=0,"",INDEX(EntryDep,$P397)))</f>
        <v/>
      </c>
      <c r="I397" s="27">
        <f>IF($P397="","",IF(INDEX(EntryWit,$P397)=0,"",INDEX(EntryWit,$P397)))</f>
        <v/>
      </c>
      <c r="J397" s="27">
        <f>IF($B397="","",IF($A397=1,$C$7,IF(J396="",0,J396))+IF($H397="",0,$H397)-IF($I397="",0,$I397))</f>
        <v/>
      </c>
      <c r="K397" s="27">
        <f>IF($P397="","",IF(INDEX(EntryMan,$P397)=0,"",INDEX(EntryMan,$P397)))</f>
        <v/>
      </c>
      <c r="L397" s="26">
        <f>IF($B397="","",IF($K397="","—",IF(ROUND($K397-$J397,0)=0,"√","×")))</f>
        <v/>
      </c>
      <c r="M397" s="26">
        <f>IF($B397="","",IF(COUNTIFS(EntryDates,$B397,CalcTime,$C397,CalcBank,$C$5,EntryParty,$D397,EntryDep,$H397,EntryWit,$I397)&gt;1,"تکرار",""))</f>
        <v/>
      </c>
      <c r="N397" s="26">
        <f>IF($P397="","",IF(INDEX(EntryNotes,$P397)=0,"",INDEX(EntryNotes,$P397)))</f>
        <v/>
      </c>
      <c r="O397" s="26">
        <f>IF($P397="","",IF(INDEX(EntryTxnID,$P397)=0,"",INDEX(EntryTxnID,$P397)))</f>
        <v/>
      </c>
      <c r="P397" s="26">
        <f>IFERROR(MATCH($C$5&amp;"|"&amp;RIGHT("000000"&amp;381,6),CalcRankKey,0),"")</f>
        <v/>
      </c>
    </row>
    <row r="398">
      <c r="A398" s="28">
        <f>IF($B398="","",382)</f>
        <v/>
      </c>
      <c r="B398" s="28">
        <f>IF($P398="","",IF(INDEX(CalcNormDate,$P398)=0,"",INDEX(CalcNormDate,$P398)))</f>
        <v/>
      </c>
      <c r="C398" s="28">
        <f>IF($P398="","",IF(INDEX(CalcTime,$P398)=0,"",INDEX(CalcTime,$P398)))</f>
        <v/>
      </c>
      <c r="D398" s="28">
        <f>IF($P398="","",IF(INDEX(EntryParty,$P398)=0,"",INDEX(EntryParty,$P398)))</f>
        <v/>
      </c>
      <c r="E398" s="28">
        <f>IF($P398="","",IF(INDEX(EntryPartyName,$P398)=0,"",INDEX(EntryPartyName,$P398)))</f>
        <v/>
      </c>
      <c r="F398" s="28">
        <f>IF($P398="","",IF(INDEX(EntryPartyType,$P398)=0,"",INDEX(EntryPartyType,$P398)))</f>
        <v/>
      </c>
      <c r="G398" s="28">
        <f>IF($P398="","",IF(INDEX(EntryTxnType,$P398)=0,"",INDEX(EntryTxnType,$P398)))</f>
        <v/>
      </c>
      <c r="H398" s="29">
        <f>IF($P398="","",IF(INDEX(EntryDep,$P398)=0,"",INDEX(EntryDep,$P398)))</f>
        <v/>
      </c>
      <c r="I398" s="29">
        <f>IF($P398="","",IF(INDEX(EntryWit,$P398)=0,"",INDEX(EntryWit,$P398)))</f>
        <v/>
      </c>
      <c r="J398" s="29">
        <f>IF($B398="","",IF($A398=1,$C$7,IF(J397="",0,J397))+IF($H398="",0,$H398)-IF($I398="",0,$I398))</f>
        <v/>
      </c>
      <c r="K398" s="29">
        <f>IF($P398="","",IF(INDEX(EntryMan,$P398)=0,"",INDEX(EntryMan,$P398)))</f>
        <v/>
      </c>
      <c r="L398" s="28">
        <f>IF($B398="","",IF($K398="","—",IF(ROUND($K398-$J398,0)=0,"√","×")))</f>
        <v/>
      </c>
      <c r="M398" s="28">
        <f>IF($B398="","",IF(COUNTIFS(EntryDates,$B398,CalcTime,$C398,CalcBank,$C$5,EntryParty,$D398,EntryDep,$H398,EntryWit,$I398)&gt;1,"تکرار",""))</f>
        <v/>
      </c>
      <c r="N398" s="28">
        <f>IF($P398="","",IF(INDEX(EntryNotes,$P398)=0,"",INDEX(EntryNotes,$P398)))</f>
        <v/>
      </c>
      <c r="O398" s="28">
        <f>IF($P398="","",IF(INDEX(EntryTxnID,$P398)=0,"",INDEX(EntryTxnID,$P398)))</f>
        <v/>
      </c>
      <c r="P398" s="28">
        <f>IFERROR(MATCH($C$5&amp;"|"&amp;RIGHT("000000"&amp;382,6),CalcRankKey,0),"")</f>
        <v/>
      </c>
    </row>
    <row r="399">
      <c r="A399" s="26">
        <f>IF($B399="","",383)</f>
        <v/>
      </c>
      <c r="B399" s="26">
        <f>IF($P399="","",IF(INDEX(CalcNormDate,$P399)=0,"",INDEX(CalcNormDate,$P399)))</f>
        <v/>
      </c>
      <c r="C399" s="26">
        <f>IF($P399="","",IF(INDEX(CalcTime,$P399)=0,"",INDEX(CalcTime,$P399)))</f>
        <v/>
      </c>
      <c r="D399" s="26">
        <f>IF($P399="","",IF(INDEX(EntryParty,$P399)=0,"",INDEX(EntryParty,$P399)))</f>
        <v/>
      </c>
      <c r="E399" s="26">
        <f>IF($P399="","",IF(INDEX(EntryPartyName,$P399)=0,"",INDEX(EntryPartyName,$P399)))</f>
        <v/>
      </c>
      <c r="F399" s="26">
        <f>IF($P399="","",IF(INDEX(EntryPartyType,$P399)=0,"",INDEX(EntryPartyType,$P399)))</f>
        <v/>
      </c>
      <c r="G399" s="26">
        <f>IF($P399="","",IF(INDEX(EntryTxnType,$P399)=0,"",INDEX(EntryTxnType,$P399)))</f>
        <v/>
      </c>
      <c r="H399" s="27">
        <f>IF($P399="","",IF(INDEX(EntryDep,$P399)=0,"",INDEX(EntryDep,$P399)))</f>
        <v/>
      </c>
      <c r="I399" s="27">
        <f>IF($P399="","",IF(INDEX(EntryWit,$P399)=0,"",INDEX(EntryWit,$P399)))</f>
        <v/>
      </c>
      <c r="J399" s="27">
        <f>IF($B399="","",IF($A399=1,$C$7,IF(J398="",0,J398))+IF($H399="",0,$H399)-IF($I399="",0,$I399))</f>
        <v/>
      </c>
      <c r="K399" s="27">
        <f>IF($P399="","",IF(INDEX(EntryMan,$P399)=0,"",INDEX(EntryMan,$P399)))</f>
        <v/>
      </c>
      <c r="L399" s="26">
        <f>IF($B399="","",IF($K399="","—",IF(ROUND($K399-$J399,0)=0,"√","×")))</f>
        <v/>
      </c>
      <c r="M399" s="26">
        <f>IF($B399="","",IF(COUNTIFS(EntryDates,$B399,CalcTime,$C399,CalcBank,$C$5,EntryParty,$D399,EntryDep,$H399,EntryWit,$I399)&gt;1,"تکرار",""))</f>
        <v/>
      </c>
      <c r="N399" s="26">
        <f>IF($P399="","",IF(INDEX(EntryNotes,$P399)=0,"",INDEX(EntryNotes,$P399)))</f>
        <v/>
      </c>
      <c r="O399" s="26">
        <f>IF($P399="","",IF(INDEX(EntryTxnID,$P399)=0,"",INDEX(EntryTxnID,$P399)))</f>
        <v/>
      </c>
      <c r="P399" s="26">
        <f>IFERROR(MATCH($C$5&amp;"|"&amp;RIGHT("000000"&amp;383,6),CalcRankKey,0),"")</f>
        <v/>
      </c>
    </row>
    <row r="400">
      <c r="A400" s="28">
        <f>IF($B400="","",384)</f>
        <v/>
      </c>
      <c r="B400" s="28">
        <f>IF($P400="","",IF(INDEX(CalcNormDate,$P400)=0,"",INDEX(CalcNormDate,$P400)))</f>
        <v/>
      </c>
      <c r="C400" s="28">
        <f>IF($P400="","",IF(INDEX(CalcTime,$P400)=0,"",INDEX(CalcTime,$P400)))</f>
        <v/>
      </c>
      <c r="D400" s="28">
        <f>IF($P400="","",IF(INDEX(EntryParty,$P400)=0,"",INDEX(EntryParty,$P400)))</f>
        <v/>
      </c>
      <c r="E400" s="28">
        <f>IF($P400="","",IF(INDEX(EntryPartyName,$P400)=0,"",INDEX(EntryPartyName,$P400)))</f>
        <v/>
      </c>
      <c r="F400" s="28">
        <f>IF($P400="","",IF(INDEX(EntryPartyType,$P400)=0,"",INDEX(EntryPartyType,$P400)))</f>
        <v/>
      </c>
      <c r="G400" s="28">
        <f>IF($P400="","",IF(INDEX(EntryTxnType,$P400)=0,"",INDEX(EntryTxnType,$P400)))</f>
        <v/>
      </c>
      <c r="H400" s="29">
        <f>IF($P400="","",IF(INDEX(EntryDep,$P400)=0,"",INDEX(EntryDep,$P400)))</f>
        <v/>
      </c>
      <c r="I400" s="29">
        <f>IF($P400="","",IF(INDEX(EntryWit,$P400)=0,"",INDEX(EntryWit,$P400)))</f>
        <v/>
      </c>
      <c r="J400" s="29">
        <f>IF($B400="","",IF($A400=1,$C$7,IF(J399="",0,J399))+IF($H400="",0,$H400)-IF($I400="",0,$I400))</f>
        <v/>
      </c>
      <c r="K400" s="29">
        <f>IF($P400="","",IF(INDEX(EntryMan,$P400)=0,"",INDEX(EntryMan,$P400)))</f>
        <v/>
      </c>
      <c r="L400" s="28">
        <f>IF($B400="","",IF($K400="","—",IF(ROUND($K400-$J400,0)=0,"√","×")))</f>
        <v/>
      </c>
      <c r="M400" s="28">
        <f>IF($B400="","",IF(COUNTIFS(EntryDates,$B400,CalcTime,$C400,CalcBank,$C$5,EntryParty,$D400,EntryDep,$H400,EntryWit,$I400)&gt;1,"تکرار",""))</f>
        <v/>
      </c>
      <c r="N400" s="28">
        <f>IF($P400="","",IF(INDEX(EntryNotes,$P400)=0,"",INDEX(EntryNotes,$P400)))</f>
        <v/>
      </c>
      <c r="O400" s="28">
        <f>IF($P400="","",IF(INDEX(EntryTxnID,$P400)=0,"",INDEX(EntryTxnID,$P400)))</f>
        <v/>
      </c>
      <c r="P400" s="28">
        <f>IFERROR(MATCH($C$5&amp;"|"&amp;RIGHT("000000"&amp;384,6),CalcRankKey,0),"")</f>
        <v/>
      </c>
    </row>
    <row r="401">
      <c r="A401" s="26">
        <f>IF($B401="","",385)</f>
        <v/>
      </c>
      <c r="B401" s="26">
        <f>IF($P401="","",IF(INDEX(CalcNormDate,$P401)=0,"",INDEX(CalcNormDate,$P401)))</f>
        <v/>
      </c>
      <c r="C401" s="26">
        <f>IF($P401="","",IF(INDEX(CalcTime,$P401)=0,"",INDEX(CalcTime,$P401)))</f>
        <v/>
      </c>
      <c r="D401" s="26">
        <f>IF($P401="","",IF(INDEX(EntryParty,$P401)=0,"",INDEX(EntryParty,$P401)))</f>
        <v/>
      </c>
      <c r="E401" s="26">
        <f>IF($P401="","",IF(INDEX(EntryPartyName,$P401)=0,"",INDEX(EntryPartyName,$P401)))</f>
        <v/>
      </c>
      <c r="F401" s="26">
        <f>IF($P401="","",IF(INDEX(EntryPartyType,$P401)=0,"",INDEX(EntryPartyType,$P401)))</f>
        <v/>
      </c>
      <c r="G401" s="26">
        <f>IF($P401="","",IF(INDEX(EntryTxnType,$P401)=0,"",INDEX(EntryTxnType,$P401)))</f>
        <v/>
      </c>
      <c r="H401" s="27">
        <f>IF($P401="","",IF(INDEX(EntryDep,$P401)=0,"",INDEX(EntryDep,$P401)))</f>
        <v/>
      </c>
      <c r="I401" s="27">
        <f>IF($P401="","",IF(INDEX(EntryWit,$P401)=0,"",INDEX(EntryWit,$P401)))</f>
        <v/>
      </c>
      <c r="J401" s="27">
        <f>IF($B401="","",IF($A401=1,$C$7,IF(J400="",0,J400))+IF($H401="",0,$H401)-IF($I401="",0,$I401))</f>
        <v/>
      </c>
      <c r="K401" s="27">
        <f>IF($P401="","",IF(INDEX(EntryMan,$P401)=0,"",INDEX(EntryMan,$P401)))</f>
        <v/>
      </c>
      <c r="L401" s="26">
        <f>IF($B401="","",IF($K401="","—",IF(ROUND($K401-$J401,0)=0,"√","×")))</f>
        <v/>
      </c>
      <c r="M401" s="26">
        <f>IF($B401="","",IF(COUNTIFS(EntryDates,$B401,CalcTime,$C401,CalcBank,$C$5,EntryParty,$D401,EntryDep,$H401,EntryWit,$I401)&gt;1,"تکرار",""))</f>
        <v/>
      </c>
      <c r="N401" s="26">
        <f>IF($P401="","",IF(INDEX(EntryNotes,$P401)=0,"",INDEX(EntryNotes,$P401)))</f>
        <v/>
      </c>
      <c r="O401" s="26">
        <f>IF($P401="","",IF(INDEX(EntryTxnID,$P401)=0,"",INDEX(EntryTxnID,$P401)))</f>
        <v/>
      </c>
      <c r="P401" s="26">
        <f>IFERROR(MATCH($C$5&amp;"|"&amp;RIGHT("000000"&amp;385,6),CalcRankKey,0),"")</f>
        <v/>
      </c>
    </row>
    <row r="402">
      <c r="A402" s="28">
        <f>IF($B402="","",386)</f>
        <v/>
      </c>
      <c r="B402" s="28">
        <f>IF($P402="","",IF(INDEX(CalcNormDate,$P402)=0,"",INDEX(CalcNormDate,$P402)))</f>
        <v/>
      </c>
      <c r="C402" s="28">
        <f>IF($P402="","",IF(INDEX(CalcTime,$P402)=0,"",INDEX(CalcTime,$P402)))</f>
        <v/>
      </c>
      <c r="D402" s="28">
        <f>IF($P402="","",IF(INDEX(EntryParty,$P402)=0,"",INDEX(EntryParty,$P402)))</f>
        <v/>
      </c>
      <c r="E402" s="28">
        <f>IF($P402="","",IF(INDEX(EntryPartyName,$P402)=0,"",INDEX(EntryPartyName,$P402)))</f>
        <v/>
      </c>
      <c r="F402" s="28">
        <f>IF($P402="","",IF(INDEX(EntryPartyType,$P402)=0,"",INDEX(EntryPartyType,$P402)))</f>
        <v/>
      </c>
      <c r="G402" s="28">
        <f>IF($P402="","",IF(INDEX(EntryTxnType,$P402)=0,"",INDEX(EntryTxnType,$P402)))</f>
        <v/>
      </c>
      <c r="H402" s="29">
        <f>IF($P402="","",IF(INDEX(EntryDep,$P402)=0,"",INDEX(EntryDep,$P402)))</f>
        <v/>
      </c>
      <c r="I402" s="29">
        <f>IF($P402="","",IF(INDEX(EntryWit,$P402)=0,"",INDEX(EntryWit,$P402)))</f>
        <v/>
      </c>
      <c r="J402" s="29">
        <f>IF($B402="","",IF($A402=1,$C$7,IF(J401="",0,J401))+IF($H402="",0,$H402)-IF($I402="",0,$I402))</f>
        <v/>
      </c>
      <c r="K402" s="29">
        <f>IF($P402="","",IF(INDEX(EntryMan,$P402)=0,"",INDEX(EntryMan,$P402)))</f>
        <v/>
      </c>
      <c r="L402" s="28">
        <f>IF($B402="","",IF($K402="","—",IF(ROUND($K402-$J402,0)=0,"√","×")))</f>
        <v/>
      </c>
      <c r="M402" s="28">
        <f>IF($B402="","",IF(COUNTIFS(EntryDates,$B402,CalcTime,$C402,CalcBank,$C$5,EntryParty,$D402,EntryDep,$H402,EntryWit,$I402)&gt;1,"تکرار",""))</f>
        <v/>
      </c>
      <c r="N402" s="28">
        <f>IF($P402="","",IF(INDEX(EntryNotes,$P402)=0,"",INDEX(EntryNotes,$P402)))</f>
        <v/>
      </c>
      <c r="O402" s="28">
        <f>IF($P402="","",IF(INDEX(EntryTxnID,$P402)=0,"",INDEX(EntryTxnID,$P402)))</f>
        <v/>
      </c>
      <c r="P402" s="28">
        <f>IFERROR(MATCH($C$5&amp;"|"&amp;RIGHT("000000"&amp;386,6),CalcRankKey,0),"")</f>
        <v/>
      </c>
    </row>
    <row r="403">
      <c r="A403" s="26">
        <f>IF($B403="","",387)</f>
        <v/>
      </c>
      <c r="B403" s="26">
        <f>IF($P403="","",IF(INDEX(CalcNormDate,$P403)=0,"",INDEX(CalcNormDate,$P403)))</f>
        <v/>
      </c>
      <c r="C403" s="26">
        <f>IF($P403="","",IF(INDEX(CalcTime,$P403)=0,"",INDEX(CalcTime,$P403)))</f>
        <v/>
      </c>
      <c r="D403" s="26">
        <f>IF($P403="","",IF(INDEX(EntryParty,$P403)=0,"",INDEX(EntryParty,$P403)))</f>
        <v/>
      </c>
      <c r="E403" s="26">
        <f>IF($P403="","",IF(INDEX(EntryPartyName,$P403)=0,"",INDEX(EntryPartyName,$P403)))</f>
        <v/>
      </c>
      <c r="F403" s="26">
        <f>IF($P403="","",IF(INDEX(EntryPartyType,$P403)=0,"",INDEX(EntryPartyType,$P403)))</f>
        <v/>
      </c>
      <c r="G403" s="26">
        <f>IF($P403="","",IF(INDEX(EntryTxnType,$P403)=0,"",INDEX(EntryTxnType,$P403)))</f>
        <v/>
      </c>
      <c r="H403" s="27">
        <f>IF($P403="","",IF(INDEX(EntryDep,$P403)=0,"",INDEX(EntryDep,$P403)))</f>
        <v/>
      </c>
      <c r="I403" s="27">
        <f>IF($P403="","",IF(INDEX(EntryWit,$P403)=0,"",INDEX(EntryWit,$P403)))</f>
        <v/>
      </c>
      <c r="J403" s="27">
        <f>IF($B403="","",IF($A403=1,$C$7,IF(J402="",0,J402))+IF($H403="",0,$H403)-IF($I403="",0,$I403))</f>
        <v/>
      </c>
      <c r="K403" s="27">
        <f>IF($P403="","",IF(INDEX(EntryMan,$P403)=0,"",INDEX(EntryMan,$P403)))</f>
        <v/>
      </c>
      <c r="L403" s="26">
        <f>IF($B403="","",IF($K403="","—",IF(ROUND($K403-$J403,0)=0,"√","×")))</f>
        <v/>
      </c>
      <c r="M403" s="26">
        <f>IF($B403="","",IF(COUNTIFS(EntryDates,$B403,CalcTime,$C403,CalcBank,$C$5,EntryParty,$D403,EntryDep,$H403,EntryWit,$I403)&gt;1,"تکرار",""))</f>
        <v/>
      </c>
      <c r="N403" s="26">
        <f>IF($P403="","",IF(INDEX(EntryNotes,$P403)=0,"",INDEX(EntryNotes,$P403)))</f>
        <v/>
      </c>
      <c r="O403" s="26">
        <f>IF($P403="","",IF(INDEX(EntryTxnID,$P403)=0,"",INDEX(EntryTxnID,$P403)))</f>
        <v/>
      </c>
      <c r="P403" s="26">
        <f>IFERROR(MATCH($C$5&amp;"|"&amp;RIGHT("000000"&amp;387,6),CalcRankKey,0),"")</f>
        <v/>
      </c>
    </row>
    <row r="404">
      <c r="A404" s="28">
        <f>IF($B404="","",388)</f>
        <v/>
      </c>
      <c r="B404" s="28">
        <f>IF($P404="","",IF(INDEX(CalcNormDate,$P404)=0,"",INDEX(CalcNormDate,$P404)))</f>
        <v/>
      </c>
      <c r="C404" s="28">
        <f>IF($P404="","",IF(INDEX(CalcTime,$P404)=0,"",INDEX(CalcTime,$P404)))</f>
        <v/>
      </c>
      <c r="D404" s="28">
        <f>IF($P404="","",IF(INDEX(EntryParty,$P404)=0,"",INDEX(EntryParty,$P404)))</f>
        <v/>
      </c>
      <c r="E404" s="28">
        <f>IF($P404="","",IF(INDEX(EntryPartyName,$P404)=0,"",INDEX(EntryPartyName,$P404)))</f>
        <v/>
      </c>
      <c r="F404" s="28">
        <f>IF($P404="","",IF(INDEX(EntryPartyType,$P404)=0,"",INDEX(EntryPartyType,$P404)))</f>
        <v/>
      </c>
      <c r="G404" s="28">
        <f>IF($P404="","",IF(INDEX(EntryTxnType,$P404)=0,"",INDEX(EntryTxnType,$P404)))</f>
        <v/>
      </c>
      <c r="H404" s="29">
        <f>IF($P404="","",IF(INDEX(EntryDep,$P404)=0,"",INDEX(EntryDep,$P404)))</f>
        <v/>
      </c>
      <c r="I404" s="29">
        <f>IF($P404="","",IF(INDEX(EntryWit,$P404)=0,"",INDEX(EntryWit,$P404)))</f>
        <v/>
      </c>
      <c r="J404" s="29">
        <f>IF($B404="","",IF($A404=1,$C$7,IF(J403="",0,J403))+IF($H404="",0,$H404)-IF($I404="",0,$I404))</f>
        <v/>
      </c>
      <c r="K404" s="29">
        <f>IF($P404="","",IF(INDEX(EntryMan,$P404)=0,"",INDEX(EntryMan,$P404)))</f>
        <v/>
      </c>
      <c r="L404" s="28">
        <f>IF($B404="","",IF($K404="","—",IF(ROUND($K404-$J404,0)=0,"√","×")))</f>
        <v/>
      </c>
      <c r="M404" s="28">
        <f>IF($B404="","",IF(COUNTIFS(EntryDates,$B404,CalcTime,$C404,CalcBank,$C$5,EntryParty,$D404,EntryDep,$H404,EntryWit,$I404)&gt;1,"تکرار",""))</f>
        <v/>
      </c>
      <c r="N404" s="28">
        <f>IF($P404="","",IF(INDEX(EntryNotes,$P404)=0,"",INDEX(EntryNotes,$P404)))</f>
        <v/>
      </c>
      <c r="O404" s="28">
        <f>IF($P404="","",IF(INDEX(EntryTxnID,$P404)=0,"",INDEX(EntryTxnID,$P404)))</f>
        <v/>
      </c>
      <c r="P404" s="28">
        <f>IFERROR(MATCH($C$5&amp;"|"&amp;RIGHT("000000"&amp;388,6),CalcRankKey,0),"")</f>
        <v/>
      </c>
    </row>
    <row r="405">
      <c r="A405" s="26">
        <f>IF($B405="","",389)</f>
        <v/>
      </c>
      <c r="B405" s="26">
        <f>IF($P405="","",IF(INDEX(CalcNormDate,$P405)=0,"",INDEX(CalcNormDate,$P405)))</f>
        <v/>
      </c>
      <c r="C405" s="26">
        <f>IF($P405="","",IF(INDEX(CalcTime,$P405)=0,"",INDEX(CalcTime,$P405)))</f>
        <v/>
      </c>
      <c r="D405" s="26">
        <f>IF($P405="","",IF(INDEX(EntryParty,$P405)=0,"",INDEX(EntryParty,$P405)))</f>
        <v/>
      </c>
      <c r="E405" s="26">
        <f>IF($P405="","",IF(INDEX(EntryPartyName,$P405)=0,"",INDEX(EntryPartyName,$P405)))</f>
        <v/>
      </c>
      <c r="F405" s="26">
        <f>IF($P405="","",IF(INDEX(EntryPartyType,$P405)=0,"",INDEX(EntryPartyType,$P405)))</f>
        <v/>
      </c>
      <c r="G405" s="26">
        <f>IF($P405="","",IF(INDEX(EntryTxnType,$P405)=0,"",INDEX(EntryTxnType,$P405)))</f>
        <v/>
      </c>
      <c r="H405" s="27">
        <f>IF($P405="","",IF(INDEX(EntryDep,$P405)=0,"",INDEX(EntryDep,$P405)))</f>
        <v/>
      </c>
      <c r="I405" s="27">
        <f>IF($P405="","",IF(INDEX(EntryWit,$P405)=0,"",INDEX(EntryWit,$P405)))</f>
        <v/>
      </c>
      <c r="J405" s="27">
        <f>IF($B405="","",IF($A405=1,$C$7,IF(J404="",0,J404))+IF($H405="",0,$H405)-IF($I405="",0,$I405))</f>
        <v/>
      </c>
      <c r="K405" s="27">
        <f>IF($P405="","",IF(INDEX(EntryMan,$P405)=0,"",INDEX(EntryMan,$P405)))</f>
        <v/>
      </c>
      <c r="L405" s="26">
        <f>IF($B405="","",IF($K405="","—",IF(ROUND($K405-$J405,0)=0,"√","×")))</f>
        <v/>
      </c>
      <c r="M405" s="26">
        <f>IF($B405="","",IF(COUNTIFS(EntryDates,$B405,CalcTime,$C405,CalcBank,$C$5,EntryParty,$D405,EntryDep,$H405,EntryWit,$I405)&gt;1,"تکرار",""))</f>
        <v/>
      </c>
      <c r="N405" s="26">
        <f>IF($P405="","",IF(INDEX(EntryNotes,$P405)=0,"",INDEX(EntryNotes,$P405)))</f>
        <v/>
      </c>
      <c r="O405" s="26">
        <f>IF($P405="","",IF(INDEX(EntryTxnID,$P405)=0,"",INDEX(EntryTxnID,$P405)))</f>
        <v/>
      </c>
      <c r="P405" s="26">
        <f>IFERROR(MATCH($C$5&amp;"|"&amp;RIGHT("000000"&amp;389,6),CalcRankKey,0),"")</f>
        <v/>
      </c>
    </row>
    <row r="406">
      <c r="A406" s="28">
        <f>IF($B406="","",390)</f>
        <v/>
      </c>
      <c r="B406" s="28">
        <f>IF($P406="","",IF(INDEX(CalcNormDate,$P406)=0,"",INDEX(CalcNormDate,$P406)))</f>
        <v/>
      </c>
      <c r="C406" s="28">
        <f>IF($P406="","",IF(INDEX(CalcTime,$P406)=0,"",INDEX(CalcTime,$P406)))</f>
        <v/>
      </c>
      <c r="D406" s="28">
        <f>IF($P406="","",IF(INDEX(EntryParty,$P406)=0,"",INDEX(EntryParty,$P406)))</f>
        <v/>
      </c>
      <c r="E406" s="28">
        <f>IF($P406="","",IF(INDEX(EntryPartyName,$P406)=0,"",INDEX(EntryPartyName,$P406)))</f>
        <v/>
      </c>
      <c r="F406" s="28">
        <f>IF($P406="","",IF(INDEX(EntryPartyType,$P406)=0,"",INDEX(EntryPartyType,$P406)))</f>
        <v/>
      </c>
      <c r="G406" s="28">
        <f>IF($P406="","",IF(INDEX(EntryTxnType,$P406)=0,"",INDEX(EntryTxnType,$P406)))</f>
        <v/>
      </c>
      <c r="H406" s="29">
        <f>IF($P406="","",IF(INDEX(EntryDep,$P406)=0,"",INDEX(EntryDep,$P406)))</f>
        <v/>
      </c>
      <c r="I406" s="29">
        <f>IF($P406="","",IF(INDEX(EntryWit,$P406)=0,"",INDEX(EntryWit,$P406)))</f>
        <v/>
      </c>
      <c r="J406" s="29">
        <f>IF($B406="","",IF($A406=1,$C$7,IF(J405="",0,J405))+IF($H406="",0,$H406)-IF($I406="",0,$I406))</f>
        <v/>
      </c>
      <c r="K406" s="29">
        <f>IF($P406="","",IF(INDEX(EntryMan,$P406)=0,"",INDEX(EntryMan,$P406)))</f>
        <v/>
      </c>
      <c r="L406" s="28">
        <f>IF($B406="","",IF($K406="","—",IF(ROUND($K406-$J406,0)=0,"√","×")))</f>
        <v/>
      </c>
      <c r="M406" s="28">
        <f>IF($B406="","",IF(COUNTIFS(EntryDates,$B406,CalcTime,$C406,CalcBank,$C$5,EntryParty,$D406,EntryDep,$H406,EntryWit,$I406)&gt;1,"تکرار",""))</f>
        <v/>
      </c>
      <c r="N406" s="28">
        <f>IF($P406="","",IF(INDEX(EntryNotes,$P406)=0,"",INDEX(EntryNotes,$P406)))</f>
        <v/>
      </c>
      <c r="O406" s="28">
        <f>IF($P406="","",IF(INDEX(EntryTxnID,$P406)=0,"",INDEX(EntryTxnID,$P406)))</f>
        <v/>
      </c>
      <c r="P406" s="28">
        <f>IFERROR(MATCH($C$5&amp;"|"&amp;RIGHT("000000"&amp;390,6),CalcRankKey,0),"")</f>
        <v/>
      </c>
    </row>
    <row r="407">
      <c r="A407" s="26">
        <f>IF($B407="","",391)</f>
        <v/>
      </c>
      <c r="B407" s="26">
        <f>IF($P407="","",IF(INDEX(CalcNormDate,$P407)=0,"",INDEX(CalcNormDate,$P407)))</f>
        <v/>
      </c>
      <c r="C407" s="26">
        <f>IF($P407="","",IF(INDEX(CalcTime,$P407)=0,"",INDEX(CalcTime,$P407)))</f>
        <v/>
      </c>
      <c r="D407" s="26">
        <f>IF($P407="","",IF(INDEX(EntryParty,$P407)=0,"",INDEX(EntryParty,$P407)))</f>
        <v/>
      </c>
      <c r="E407" s="26">
        <f>IF($P407="","",IF(INDEX(EntryPartyName,$P407)=0,"",INDEX(EntryPartyName,$P407)))</f>
        <v/>
      </c>
      <c r="F407" s="26">
        <f>IF($P407="","",IF(INDEX(EntryPartyType,$P407)=0,"",INDEX(EntryPartyType,$P407)))</f>
        <v/>
      </c>
      <c r="G407" s="26">
        <f>IF($P407="","",IF(INDEX(EntryTxnType,$P407)=0,"",INDEX(EntryTxnType,$P407)))</f>
        <v/>
      </c>
      <c r="H407" s="27">
        <f>IF($P407="","",IF(INDEX(EntryDep,$P407)=0,"",INDEX(EntryDep,$P407)))</f>
        <v/>
      </c>
      <c r="I407" s="27">
        <f>IF($P407="","",IF(INDEX(EntryWit,$P407)=0,"",INDEX(EntryWit,$P407)))</f>
        <v/>
      </c>
      <c r="J407" s="27">
        <f>IF($B407="","",IF($A407=1,$C$7,IF(J406="",0,J406))+IF($H407="",0,$H407)-IF($I407="",0,$I407))</f>
        <v/>
      </c>
      <c r="K407" s="27">
        <f>IF($P407="","",IF(INDEX(EntryMan,$P407)=0,"",INDEX(EntryMan,$P407)))</f>
        <v/>
      </c>
      <c r="L407" s="26">
        <f>IF($B407="","",IF($K407="","—",IF(ROUND($K407-$J407,0)=0,"√","×")))</f>
        <v/>
      </c>
      <c r="M407" s="26">
        <f>IF($B407="","",IF(COUNTIFS(EntryDates,$B407,CalcTime,$C407,CalcBank,$C$5,EntryParty,$D407,EntryDep,$H407,EntryWit,$I407)&gt;1,"تکرار",""))</f>
        <v/>
      </c>
      <c r="N407" s="26">
        <f>IF($P407="","",IF(INDEX(EntryNotes,$P407)=0,"",INDEX(EntryNotes,$P407)))</f>
        <v/>
      </c>
      <c r="O407" s="26">
        <f>IF($P407="","",IF(INDEX(EntryTxnID,$P407)=0,"",INDEX(EntryTxnID,$P407)))</f>
        <v/>
      </c>
      <c r="P407" s="26">
        <f>IFERROR(MATCH($C$5&amp;"|"&amp;RIGHT("000000"&amp;391,6),CalcRankKey,0),"")</f>
        <v/>
      </c>
    </row>
    <row r="408">
      <c r="A408" s="28">
        <f>IF($B408="","",392)</f>
        <v/>
      </c>
      <c r="B408" s="28">
        <f>IF($P408="","",IF(INDEX(CalcNormDate,$P408)=0,"",INDEX(CalcNormDate,$P408)))</f>
        <v/>
      </c>
      <c r="C408" s="28">
        <f>IF($P408="","",IF(INDEX(CalcTime,$P408)=0,"",INDEX(CalcTime,$P408)))</f>
        <v/>
      </c>
      <c r="D408" s="28">
        <f>IF($P408="","",IF(INDEX(EntryParty,$P408)=0,"",INDEX(EntryParty,$P408)))</f>
        <v/>
      </c>
      <c r="E408" s="28">
        <f>IF($P408="","",IF(INDEX(EntryPartyName,$P408)=0,"",INDEX(EntryPartyName,$P408)))</f>
        <v/>
      </c>
      <c r="F408" s="28">
        <f>IF($P408="","",IF(INDEX(EntryPartyType,$P408)=0,"",INDEX(EntryPartyType,$P408)))</f>
        <v/>
      </c>
      <c r="G408" s="28">
        <f>IF($P408="","",IF(INDEX(EntryTxnType,$P408)=0,"",INDEX(EntryTxnType,$P408)))</f>
        <v/>
      </c>
      <c r="H408" s="29">
        <f>IF($P408="","",IF(INDEX(EntryDep,$P408)=0,"",INDEX(EntryDep,$P408)))</f>
        <v/>
      </c>
      <c r="I408" s="29">
        <f>IF($P408="","",IF(INDEX(EntryWit,$P408)=0,"",INDEX(EntryWit,$P408)))</f>
        <v/>
      </c>
      <c r="J408" s="29">
        <f>IF($B408="","",IF($A408=1,$C$7,IF(J407="",0,J407))+IF($H408="",0,$H408)-IF($I408="",0,$I408))</f>
        <v/>
      </c>
      <c r="K408" s="29">
        <f>IF($P408="","",IF(INDEX(EntryMan,$P408)=0,"",INDEX(EntryMan,$P408)))</f>
        <v/>
      </c>
      <c r="L408" s="28">
        <f>IF($B408="","",IF($K408="","—",IF(ROUND($K408-$J408,0)=0,"√","×")))</f>
        <v/>
      </c>
      <c r="M408" s="28">
        <f>IF($B408="","",IF(COUNTIFS(EntryDates,$B408,CalcTime,$C408,CalcBank,$C$5,EntryParty,$D408,EntryDep,$H408,EntryWit,$I408)&gt;1,"تکرار",""))</f>
        <v/>
      </c>
      <c r="N408" s="28">
        <f>IF($P408="","",IF(INDEX(EntryNotes,$P408)=0,"",INDEX(EntryNotes,$P408)))</f>
        <v/>
      </c>
      <c r="O408" s="28">
        <f>IF($P408="","",IF(INDEX(EntryTxnID,$P408)=0,"",INDEX(EntryTxnID,$P408)))</f>
        <v/>
      </c>
      <c r="P408" s="28">
        <f>IFERROR(MATCH($C$5&amp;"|"&amp;RIGHT("000000"&amp;392,6),CalcRankKey,0),"")</f>
        <v/>
      </c>
    </row>
    <row r="409">
      <c r="A409" s="26">
        <f>IF($B409="","",393)</f>
        <v/>
      </c>
      <c r="B409" s="26">
        <f>IF($P409="","",IF(INDEX(CalcNormDate,$P409)=0,"",INDEX(CalcNormDate,$P409)))</f>
        <v/>
      </c>
      <c r="C409" s="26">
        <f>IF($P409="","",IF(INDEX(CalcTime,$P409)=0,"",INDEX(CalcTime,$P409)))</f>
        <v/>
      </c>
      <c r="D409" s="26">
        <f>IF($P409="","",IF(INDEX(EntryParty,$P409)=0,"",INDEX(EntryParty,$P409)))</f>
        <v/>
      </c>
      <c r="E409" s="26">
        <f>IF($P409="","",IF(INDEX(EntryPartyName,$P409)=0,"",INDEX(EntryPartyName,$P409)))</f>
        <v/>
      </c>
      <c r="F409" s="26">
        <f>IF($P409="","",IF(INDEX(EntryPartyType,$P409)=0,"",INDEX(EntryPartyType,$P409)))</f>
        <v/>
      </c>
      <c r="G409" s="26">
        <f>IF($P409="","",IF(INDEX(EntryTxnType,$P409)=0,"",INDEX(EntryTxnType,$P409)))</f>
        <v/>
      </c>
      <c r="H409" s="27">
        <f>IF($P409="","",IF(INDEX(EntryDep,$P409)=0,"",INDEX(EntryDep,$P409)))</f>
        <v/>
      </c>
      <c r="I409" s="27">
        <f>IF($P409="","",IF(INDEX(EntryWit,$P409)=0,"",INDEX(EntryWit,$P409)))</f>
        <v/>
      </c>
      <c r="J409" s="27">
        <f>IF($B409="","",IF($A409=1,$C$7,IF(J408="",0,J408))+IF($H409="",0,$H409)-IF($I409="",0,$I409))</f>
        <v/>
      </c>
      <c r="K409" s="27">
        <f>IF($P409="","",IF(INDEX(EntryMan,$P409)=0,"",INDEX(EntryMan,$P409)))</f>
        <v/>
      </c>
      <c r="L409" s="26">
        <f>IF($B409="","",IF($K409="","—",IF(ROUND($K409-$J409,0)=0,"√","×")))</f>
        <v/>
      </c>
      <c r="M409" s="26">
        <f>IF($B409="","",IF(COUNTIFS(EntryDates,$B409,CalcTime,$C409,CalcBank,$C$5,EntryParty,$D409,EntryDep,$H409,EntryWit,$I409)&gt;1,"تکرار",""))</f>
        <v/>
      </c>
      <c r="N409" s="26">
        <f>IF($P409="","",IF(INDEX(EntryNotes,$P409)=0,"",INDEX(EntryNotes,$P409)))</f>
        <v/>
      </c>
      <c r="O409" s="26">
        <f>IF($P409="","",IF(INDEX(EntryTxnID,$P409)=0,"",INDEX(EntryTxnID,$P409)))</f>
        <v/>
      </c>
      <c r="P409" s="26">
        <f>IFERROR(MATCH($C$5&amp;"|"&amp;RIGHT("000000"&amp;393,6),CalcRankKey,0),"")</f>
        <v/>
      </c>
    </row>
    <row r="410">
      <c r="A410" s="28">
        <f>IF($B410="","",394)</f>
        <v/>
      </c>
      <c r="B410" s="28">
        <f>IF($P410="","",IF(INDEX(CalcNormDate,$P410)=0,"",INDEX(CalcNormDate,$P410)))</f>
        <v/>
      </c>
      <c r="C410" s="28">
        <f>IF($P410="","",IF(INDEX(CalcTime,$P410)=0,"",INDEX(CalcTime,$P410)))</f>
        <v/>
      </c>
      <c r="D410" s="28">
        <f>IF($P410="","",IF(INDEX(EntryParty,$P410)=0,"",INDEX(EntryParty,$P410)))</f>
        <v/>
      </c>
      <c r="E410" s="28">
        <f>IF($P410="","",IF(INDEX(EntryPartyName,$P410)=0,"",INDEX(EntryPartyName,$P410)))</f>
        <v/>
      </c>
      <c r="F410" s="28">
        <f>IF($P410="","",IF(INDEX(EntryPartyType,$P410)=0,"",INDEX(EntryPartyType,$P410)))</f>
        <v/>
      </c>
      <c r="G410" s="28">
        <f>IF($P410="","",IF(INDEX(EntryTxnType,$P410)=0,"",INDEX(EntryTxnType,$P410)))</f>
        <v/>
      </c>
      <c r="H410" s="29">
        <f>IF($P410="","",IF(INDEX(EntryDep,$P410)=0,"",INDEX(EntryDep,$P410)))</f>
        <v/>
      </c>
      <c r="I410" s="29">
        <f>IF($P410="","",IF(INDEX(EntryWit,$P410)=0,"",INDEX(EntryWit,$P410)))</f>
        <v/>
      </c>
      <c r="J410" s="29">
        <f>IF($B410="","",IF($A410=1,$C$7,IF(J409="",0,J409))+IF($H410="",0,$H410)-IF($I410="",0,$I410))</f>
        <v/>
      </c>
      <c r="K410" s="29">
        <f>IF($P410="","",IF(INDEX(EntryMan,$P410)=0,"",INDEX(EntryMan,$P410)))</f>
        <v/>
      </c>
      <c r="L410" s="28">
        <f>IF($B410="","",IF($K410="","—",IF(ROUND($K410-$J410,0)=0,"√","×")))</f>
        <v/>
      </c>
      <c r="M410" s="28">
        <f>IF($B410="","",IF(COUNTIFS(EntryDates,$B410,CalcTime,$C410,CalcBank,$C$5,EntryParty,$D410,EntryDep,$H410,EntryWit,$I410)&gt;1,"تکرار",""))</f>
        <v/>
      </c>
      <c r="N410" s="28">
        <f>IF($P410="","",IF(INDEX(EntryNotes,$P410)=0,"",INDEX(EntryNotes,$P410)))</f>
        <v/>
      </c>
      <c r="O410" s="28">
        <f>IF($P410="","",IF(INDEX(EntryTxnID,$P410)=0,"",INDEX(EntryTxnID,$P410)))</f>
        <v/>
      </c>
      <c r="P410" s="28">
        <f>IFERROR(MATCH($C$5&amp;"|"&amp;RIGHT("000000"&amp;394,6),CalcRankKey,0),"")</f>
        <v/>
      </c>
    </row>
    <row r="411">
      <c r="A411" s="26">
        <f>IF($B411="","",395)</f>
        <v/>
      </c>
      <c r="B411" s="26">
        <f>IF($P411="","",IF(INDEX(CalcNormDate,$P411)=0,"",INDEX(CalcNormDate,$P411)))</f>
        <v/>
      </c>
      <c r="C411" s="26">
        <f>IF($P411="","",IF(INDEX(CalcTime,$P411)=0,"",INDEX(CalcTime,$P411)))</f>
        <v/>
      </c>
      <c r="D411" s="26">
        <f>IF($P411="","",IF(INDEX(EntryParty,$P411)=0,"",INDEX(EntryParty,$P411)))</f>
        <v/>
      </c>
      <c r="E411" s="26">
        <f>IF($P411="","",IF(INDEX(EntryPartyName,$P411)=0,"",INDEX(EntryPartyName,$P411)))</f>
        <v/>
      </c>
      <c r="F411" s="26">
        <f>IF($P411="","",IF(INDEX(EntryPartyType,$P411)=0,"",INDEX(EntryPartyType,$P411)))</f>
        <v/>
      </c>
      <c r="G411" s="26">
        <f>IF($P411="","",IF(INDEX(EntryTxnType,$P411)=0,"",INDEX(EntryTxnType,$P411)))</f>
        <v/>
      </c>
      <c r="H411" s="27">
        <f>IF($P411="","",IF(INDEX(EntryDep,$P411)=0,"",INDEX(EntryDep,$P411)))</f>
        <v/>
      </c>
      <c r="I411" s="27">
        <f>IF($P411="","",IF(INDEX(EntryWit,$P411)=0,"",INDEX(EntryWit,$P411)))</f>
        <v/>
      </c>
      <c r="J411" s="27">
        <f>IF($B411="","",IF($A411=1,$C$7,IF(J410="",0,J410))+IF($H411="",0,$H411)-IF($I411="",0,$I411))</f>
        <v/>
      </c>
      <c r="K411" s="27">
        <f>IF($P411="","",IF(INDEX(EntryMan,$P411)=0,"",INDEX(EntryMan,$P411)))</f>
        <v/>
      </c>
      <c r="L411" s="26">
        <f>IF($B411="","",IF($K411="","—",IF(ROUND($K411-$J411,0)=0,"√","×")))</f>
        <v/>
      </c>
      <c r="M411" s="26">
        <f>IF($B411="","",IF(COUNTIFS(EntryDates,$B411,CalcTime,$C411,CalcBank,$C$5,EntryParty,$D411,EntryDep,$H411,EntryWit,$I411)&gt;1,"تکرار",""))</f>
        <v/>
      </c>
      <c r="N411" s="26">
        <f>IF($P411="","",IF(INDEX(EntryNotes,$P411)=0,"",INDEX(EntryNotes,$P411)))</f>
        <v/>
      </c>
      <c r="O411" s="26">
        <f>IF($P411="","",IF(INDEX(EntryTxnID,$P411)=0,"",INDEX(EntryTxnID,$P411)))</f>
        <v/>
      </c>
      <c r="P411" s="26">
        <f>IFERROR(MATCH($C$5&amp;"|"&amp;RIGHT("000000"&amp;395,6),CalcRankKey,0),"")</f>
        <v/>
      </c>
    </row>
    <row r="412">
      <c r="A412" s="28">
        <f>IF($B412="","",396)</f>
        <v/>
      </c>
      <c r="B412" s="28">
        <f>IF($P412="","",IF(INDEX(CalcNormDate,$P412)=0,"",INDEX(CalcNormDate,$P412)))</f>
        <v/>
      </c>
      <c r="C412" s="28">
        <f>IF($P412="","",IF(INDEX(CalcTime,$P412)=0,"",INDEX(CalcTime,$P412)))</f>
        <v/>
      </c>
      <c r="D412" s="28">
        <f>IF($P412="","",IF(INDEX(EntryParty,$P412)=0,"",INDEX(EntryParty,$P412)))</f>
        <v/>
      </c>
      <c r="E412" s="28">
        <f>IF($P412="","",IF(INDEX(EntryPartyName,$P412)=0,"",INDEX(EntryPartyName,$P412)))</f>
        <v/>
      </c>
      <c r="F412" s="28">
        <f>IF($P412="","",IF(INDEX(EntryPartyType,$P412)=0,"",INDEX(EntryPartyType,$P412)))</f>
        <v/>
      </c>
      <c r="G412" s="28">
        <f>IF($P412="","",IF(INDEX(EntryTxnType,$P412)=0,"",INDEX(EntryTxnType,$P412)))</f>
        <v/>
      </c>
      <c r="H412" s="29">
        <f>IF($P412="","",IF(INDEX(EntryDep,$P412)=0,"",INDEX(EntryDep,$P412)))</f>
        <v/>
      </c>
      <c r="I412" s="29">
        <f>IF($P412="","",IF(INDEX(EntryWit,$P412)=0,"",INDEX(EntryWit,$P412)))</f>
        <v/>
      </c>
      <c r="J412" s="29">
        <f>IF($B412="","",IF($A412=1,$C$7,IF(J411="",0,J411))+IF($H412="",0,$H412)-IF($I412="",0,$I412))</f>
        <v/>
      </c>
      <c r="K412" s="29">
        <f>IF($P412="","",IF(INDEX(EntryMan,$P412)=0,"",INDEX(EntryMan,$P412)))</f>
        <v/>
      </c>
      <c r="L412" s="28">
        <f>IF($B412="","",IF($K412="","—",IF(ROUND($K412-$J412,0)=0,"√","×")))</f>
        <v/>
      </c>
      <c r="M412" s="28">
        <f>IF($B412="","",IF(COUNTIFS(EntryDates,$B412,CalcTime,$C412,CalcBank,$C$5,EntryParty,$D412,EntryDep,$H412,EntryWit,$I412)&gt;1,"تکرار",""))</f>
        <v/>
      </c>
      <c r="N412" s="28">
        <f>IF($P412="","",IF(INDEX(EntryNotes,$P412)=0,"",INDEX(EntryNotes,$P412)))</f>
        <v/>
      </c>
      <c r="O412" s="28">
        <f>IF($P412="","",IF(INDEX(EntryTxnID,$P412)=0,"",INDEX(EntryTxnID,$P412)))</f>
        <v/>
      </c>
      <c r="P412" s="28">
        <f>IFERROR(MATCH($C$5&amp;"|"&amp;RIGHT("000000"&amp;396,6),CalcRankKey,0),"")</f>
        <v/>
      </c>
    </row>
    <row r="413">
      <c r="A413" s="26">
        <f>IF($B413="","",397)</f>
        <v/>
      </c>
      <c r="B413" s="26">
        <f>IF($P413="","",IF(INDEX(CalcNormDate,$P413)=0,"",INDEX(CalcNormDate,$P413)))</f>
        <v/>
      </c>
      <c r="C413" s="26">
        <f>IF($P413="","",IF(INDEX(CalcTime,$P413)=0,"",INDEX(CalcTime,$P413)))</f>
        <v/>
      </c>
      <c r="D413" s="26">
        <f>IF($P413="","",IF(INDEX(EntryParty,$P413)=0,"",INDEX(EntryParty,$P413)))</f>
        <v/>
      </c>
      <c r="E413" s="26">
        <f>IF($P413="","",IF(INDEX(EntryPartyName,$P413)=0,"",INDEX(EntryPartyName,$P413)))</f>
        <v/>
      </c>
      <c r="F413" s="26">
        <f>IF($P413="","",IF(INDEX(EntryPartyType,$P413)=0,"",INDEX(EntryPartyType,$P413)))</f>
        <v/>
      </c>
      <c r="G413" s="26">
        <f>IF($P413="","",IF(INDEX(EntryTxnType,$P413)=0,"",INDEX(EntryTxnType,$P413)))</f>
        <v/>
      </c>
      <c r="H413" s="27">
        <f>IF($P413="","",IF(INDEX(EntryDep,$P413)=0,"",INDEX(EntryDep,$P413)))</f>
        <v/>
      </c>
      <c r="I413" s="27">
        <f>IF($P413="","",IF(INDEX(EntryWit,$P413)=0,"",INDEX(EntryWit,$P413)))</f>
        <v/>
      </c>
      <c r="J413" s="27">
        <f>IF($B413="","",IF($A413=1,$C$7,IF(J412="",0,J412))+IF($H413="",0,$H413)-IF($I413="",0,$I413))</f>
        <v/>
      </c>
      <c r="K413" s="27">
        <f>IF($P413="","",IF(INDEX(EntryMan,$P413)=0,"",INDEX(EntryMan,$P413)))</f>
        <v/>
      </c>
      <c r="L413" s="26">
        <f>IF($B413="","",IF($K413="","—",IF(ROUND($K413-$J413,0)=0,"√","×")))</f>
        <v/>
      </c>
      <c r="M413" s="26">
        <f>IF($B413="","",IF(COUNTIFS(EntryDates,$B413,CalcTime,$C413,CalcBank,$C$5,EntryParty,$D413,EntryDep,$H413,EntryWit,$I413)&gt;1,"تکرار",""))</f>
        <v/>
      </c>
      <c r="N413" s="26">
        <f>IF($P413="","",IF(INDEX(EntryNotes,$P413)=0,"",INDEX(EntryNotes,$P413)))</f>
        <v/>
      </c>
      <c r="O413" s="26">
        <f>IF($P413="","",IF(INDEX(EntryTxnID,$P413)=0,"",INDEX(EntryTxnID,$P413)))</f>
        <v/>
      </c>
      <c r="P413" s="26">
        <f>IFERROR(MATCH($C$5&amp;"|"&amp;RIGHT("000000"&amp;397,6),CalcRankKey,0),"")</f>
        <v/>
      </c>
    </row>
    <row r="414">
      <c r="A414" s="28">
        <f>IF($B414="","",398)</f>
        <v/>
      </c>
      <c r="B414" s="28">
        <f>IF($P414="","",IF(INDEX(CalcNormDate,$P414)=0,"",INDEX(CalcNormDate,$P414)))</f>
        <v/>
      </c>
      <c r="C414" s="28">
        <f>IF($P414="","",IF(INDEX(CalcTime,$P414)=0,"",INDEX(CalcTime,$P414)))</f>
        <v/>
      </c>
      <c r="D414" s="28">
        <f>IF($P414="","",IF(INDEX(EntryParty,$P414)=0,"",INDEX(EntryParty,$P414)))</f>
        <v/>
      </c>
      <c r="E414" s="28">
        <f>IF($P414="","",IF(INDEX(EntryPartyName,$P414)=0,"",INDEX(EntryPartyName,$P414)))</f>
        <v/>
      </c>
      <c r="F414" s="28">
        <f>IF($P414="","",IF(INDEX(EntryPartyType,$P414)=0,"",INDEX(EntryPartyType,$P414)))</f>
        <v/>
      </c>
      <c r="G414" s="28">
        <f>IF($P414="","",IF(INDEX(EntryTxnType,$P414)=0,"",INDEX(EntryTxnType,$P414)))</f>
        <v/>
      </c>
      <c r="H414" s="29">
        <f>IF($P414="","",IF(INDEX(EntryDep,$P414)=0,"",INDEX(EntryDep,$P414)))</f>
        <v/>
      </c>
      <c r="I414" s="29">
        <f>IF($P414="","",IF(INDEX(EntryWit,$P414)=0,"",INDEX(EntryWit,$P414)))</f>
        <v/>
      </c>
      <c r="J414" s="29">
        <f>IF($B414="","",IF($A414=1,$C$7,IF(J413="",0,J413))+IF($H414="",0,$H414)-IF($I414="",0,$I414))</f>
        <v/>
      </c>
      <c r="K414" s="29">
        <f>IF($P414="","",IF(INDEX(EntryMan,$P414)=0,"",INDEX(EntryMan,$P414)))</f>
        <v/>
      </c>
      <c r="L414" s="28">
        <f>IF($B414="","",IF($K414="","—",IF(ROUND($K414-$J414,0)=0,"√","×")))</f>
        <v/>
      </c>
      <c r="M414" s="28">
        <f>IF($B414="","",IF(COUNTIFS(EntryDates,$B414,CalcTime,$C414,CalcBank,$C$5,EntryParty,$D414,EntryDep,$H414,EntryWit,$I414)&gt;1,"تکرار",""))</f>
        <v/>
      </c>
      <c r="N414" s="28">
        <f>IF($P414="","",IF(INDEX(EntryNotes,$P414)=0,"",INDEX(EntryNotes,$P414)))</f>
        <v/>
      </c>
      <c r="O414" s="28">
        <f>IF($P414="","",IF(INDEX(EntryTxnID,$P414)=0,"",INDEX(EntryTxnID,$P414)))</f>
        <v/>
      </c>
      <c r="P414" s="28">
        <f>IFERROR(MATCH($C$5&amp;"|"&amp;RIGHT("000000"&amp;398,6),CalcRankKey,0),"")</f>
        <v/>
      </c>
    </row>
    <row r="415">
      <c r="A415" s="26">
        <f>IF($B415="","",399)</f>
        <v/>
      </c>
      <c r="B415" s="26">
        <f>IF($P415="","",IF(INDEX(CalcNormDate,$P415)=0,"",INDEX(CalcNormDate,$P415)))</f>
        <v/>
      </c>
      <c r="C415" s="26">
        <f>IF($P415="","",IF(INDEX(CalcTime,$P415)=0,"",INDEX(CalcTime,$P415)))</f>
        <v/>
      </c>
      <c r="D415" s="26">
        <f>IF($P415="","",IF(INDEX(EntryParty,$P415)=0,"",INDEX(EntryParty,$P415)))</f>
        <v/>
      </c>
      <c r="E415" s="26">
        <f>IF($P415="","",IF(INDEX(EntryPartyName,$P415)=0,"",INDEX(EntryPartyName,$P415)))</f>
        <v/>
      </c>
      <c r="F415" s="26">
        <f>IF($P415="","",IF(INDEX(EntryPartyType,$P415)=0,"",INDEX(EntryPartyType,$P415)))</f>
        <v/>
      </c>
      <c r="G415" s="26">
        <f>IF($P415="","",IF(INDEX(EntryTxnType,$P415)=0,"",INDEX(EntryTxnType,$P415)))</f>
        <v/>
      </c>
      <c r="H415" s="27">
        <f>IF($P415="","",IF(INDEX(EntryDep,$P415)=0,"",INDEX(EntryDep,$P415)))</f>
        <v/>
      </c>
      <c r="I415" s="27">
        <f>IF($P415="","",IF(INDEX(EntryWit,$P415)=0,"",INDEX(EntryWit,$P415)))</f>
        <v/>
      </c>
      <c r="J415" s="27">
        <f>IF($B415="","",IF($A415=1,$C$7,IF(J414="",0,J414))+IF($H415="",0,$H415)-IF($I415="",0,$I415))</f>
        <v/>
      </c>
      <c r="K415" s="27">
        <f>IF($P415="","",IF(INDEX(EntryMan,$P415)=0,"",INDEX(EntryMan,$P415)))</f>
        <v/>
      </c>
      <c r="L415" s="26">
        <f>IF($B415="","",IF($K415="","—",IF(ROUND($K415-$J415,0)=0,"√","×")))</f>
        <v/>
      </c>
      <c r="M415" s="26">
        <f>IF($B415="","",IF(COUNTIFS(EntryDates,$B415,CalcTime,$C415,CalcBank,$C$5,EntryParty,$D415,EntryDep,$H415,EntryWit,$I415)&gt;1,"تکرار",""))</f>
        <v/>
      </c>
      <c r="N415" s="26">
        <f>IF($P415="","",IF(INDEX(EntryNotes,$P415)=0,"",INDEX(EntryNotes,$P415)))</f>
        <v/>
      </c>
      <c r="O415" s="26">
        <f>IF($P415="","",IF(INDEX(EntryTxnID,$P415)=0,"",INDEX(EntryTxnID,$P415)))</f>
        <v/>
      </c>
      <c r="P415" s="26">
        <f>IFERROR(MATCH($C$5&amp;"|"&amp;RIGHT("000000"&amp;399,6),CalcRankKey,0),"")</f>
        <v/>
      </c>
    </row>
    <row r="416">
      <c r="A416" s="28">
        <f>IF($B416="","",400)</f>
        <v/>
      </c>
      <c r="B416" s="28">
        <f>IF($P416="","",IF(INDEX(CalcNormDate,$P416)=0,"",INDEX(CalcNormDate,$P416)))</f>
        <v/>
      </c>
      <c r="C416" s="28">
        <f>IF($P416="","",IF(INDEX(CalcTime,$P416)=0,"",INDEX(CalcTime,$P416)))</f>
        <v/>
      </c>
      <c r="D416" s="28">
        <f>IF($P416="","",IF(INDEX(EntryParty,$P416)=0,"",INDEX(EntryParty,$P416)))</f>
        <v/>
      </c>
      <c r="E416" s="28">
        <f>IF($P416="","",IF(INDEX(EntryPartyName,$P416)=0,"",INDEX(EntryPartyName,$P416)))</f>
        <v/>
      </c>
      <c r="F416" s="28">
        <f>IF($P416="","",IF(INDEX(EntryPartyType,$P416)=0,"",INDEX(EntryPartyType,$P416)))</f>
        <v/>
      </c>
      <c r="G416" s="28">
        <f>IF($P416="","",IF(INDEX(EntryTxnType,$P416)=0,"",INDEX(EntryTxnType,$P416)))</f>
        <v/>
      </c>
      <c r="H416" s="29">
        <f>IF($P416="","",IF(INDEX(EntryDep,$P416)=0,"",INDEX(EntryDep,$P416)))</f>
        <v/>
      </c>
      <c r="I416" s="29">
        <f>IF($P416="","",IF(INDEX(EntryWit,$P416)=0,"",INDEX(EntryWit,$P416)))</f>
        <v/>
      </c>
      <c r="J416" s="29">
        <f>IF($B416="","",IF($A416=1,$C$7,IF(J415="",0,J415))+IF($H416="",0,$H416)-IF($I416="",0,$I416))</f>
        <v/>
      </c>
      <c r="K416" s="29">
        <f>IF($P416="","",IF(INDEX(EntryMan,$P416)=0,"",INDEX(EntryMan,$P416)))</f>
        <v/>
      </c>
      <c r="L416" s="28">
        <f>IF($B416="","",IF($K416="","—",IF(ROUND($K416-$J416,0)=0,"√","×")))</f>
        <v/>
      </c>
      <c r="M416" s="28">
        <f>IF($B416="","",IF(COUNTIFS(EntryDates,$B416,CalcTime,$C416,CalcBank,$C$5,EntryParty,$D416,EntryDep,$H416,EntryWit,$I416)&gt;1,"تکرار",""))</f>
        <v/>
      </c>
      <c r="N416" s="28">
        <f>IF($P416="","",IF(INDEX(EntryNotes,$P416)=0,"",INDEX(EntryNotes,$P416)))</f>
        <v/>
      </c>
      <c r="O416" s="28">
        <f>IF($P416="","",IF(INDEX(EntryTxnID,$P416)=0,"",INDEX(EntryTxnID,$P416)))</f>
        <v/>
      </c>
      <c r="P416" s="28">
        <f>IFERROR(MATCH($C$5&amp;"|"&amp;RIGHT("000000"&amp;400,6),CalcRankKey,0),"")</f>
        <v/>
      </c>
    </row>
    <row r="417">
      <c r="A417" s="26">
        <f>IF($B417="","",401)</f>
        <v/>
      </c>
      <c r="B417" s="26">
        <f>IF($P417="","",IF(INDEX(CalcNormDate,$P417)=0,"",INDEX(CalcNormDate,$P417)))</f>
        <v/>
      </c>
      <c r="C417" s="26">
        <f>IF($P417="","",IF(INDEX(CalcTime,$P417)=0,"",INDEX(CalcTime,$P417)))</f>
        <v/>
      </c>
      <c r="D417" s="26">
        <f>IF($P417="","",IF(INDEX(EntryParty,$P417)=0,"",INDEX(EntryParty,$P417)))</f>
        <v/>
      </c>
      <c r="E417" s="26">
        <f>IF($P417="","",IF(INDEX(EntryPartyName,$P417)=0,"",INDEX(EntryPartyName,$P417)))</f>
        <v/>
      </c>
      <c r="F417" s="26">
        <f>IF($P417="","",IF(INDEX(EntryPartyType,$P417)=0,"",INDEX(EntryPartyType,$P417)))</f>
        <v/>
      </c>
      <c r="G417" s="26">
        <f>IF($P417="","",IF(INDEX(EntryTxnType,$P417)=0,"",INDEX(EntryTxnType,$P417)))</f>
        <v/>
      </c>
      <c r="H417" s="27">
        <f>IF($P417="","",IF(INDEX(EntryDep,$P417)=0,"",INDEX(EntryDep,$P417)))</f>
        <v/>
      </c>
      <c r="I417" s="27">
        <f>IF($P417="","",IF(INDEX(EntryWit,$P417)=0,"",INDEX(EntryWit,$P417)))</f>
        <v/>
      </c>
      <c r="J417" s="27">
        <f>IF($B417="","",IF($A417=1,$C$7,IF(J416="",0,J416))+IF($H417="",0,$H417)-IF($I417="",0,$I417))</f>
        <v/>
      </c>
      <c r="K417" s="27">
        <f>IF($P417="","",IF(INDEX(EntryMan,$P417)=0,"",INDEX(EntryMan,$P417)))</f>
        <v/>
      </c>
      <c r="L417" s="26">
        <f>IF($B417="","",IF($K417="","—",IF(ROUND($K417-$J417,0)=0,"√","×")))</f>
        <v/>
      </c>
      <c r="M417" s="26">
        <f>IF($B417="","",IF(COUNTIFS(EntryDates,$B417,CalcTime,$C417,CalcBank,$C$5,EntryParty,$D417,EntryDep,$H417,EntryWit,$I417)&gt;1,"تکرار",""))</f>
        <v/>
      </c>
      <c r="N417" s="26">
        <f>IF($P417="","",IF(INDEX(EntryNotes,$P417)=0,"",INDEX(EntryNotes,$P417)))</f>
        <v/>
      </c>
      <c r="O417" s="26">
        <f>IF($P417="","",IF(INDEX(EntryTxnID,$P417)=0,"",INDEX(EntryTxnID,$P417)))</f>
        <v/>
      </c>
      <c r="P417" s="26">
        <f>IFERROR(MATCH($C$5&amp;"|"&amp;RIGHT("000000"&amp;401,6),CalcRankKey,0),"")</f>
        <v/>
      </c>
    </row>
    <row r="418">
      <c r="A418" s="28">
        <f>IF($B418="","",402)</f>
        <v/>
      </c>
      <c r="B418" s="28">
        <f>IF($P418="","",IF(INDEX(CalcNormDate,$P418)=0,"",INDEX(CalcNormDate,$P418)))</f>
        <v/>
      </c>
      <c r="C418" s="28">
        <f>IF($P418="","",IF(INDEX(CalcTime,$P418)=0,"",INDEX(CalcTime,$P418)))</f>
        <v/>
      </c>
      <c r="D418" s="28">
        <f>IF($P418="","",IF(INDEX(EntryParty,$P418)=0,"",INDEX(EntryParty,$P418)))</f>
        <v/>
      </c>
      <c r="E418" s="28">
        <f>IF($P418="","",IF(INDEX(EntryPartyName,$P418)=0,"",INDEX(EntryPartyName,$P418)))</f>
        <v/>
      </c>
      <c r="F418" s="28">
        <f>IF($P418="","",IF(INDEX(EntryPartyType,$P418)=0,"",INDEX(EntryPartyType,$P418)))</f>
        <v/>
      </c>
      <c r="G418" s="28">
        <f>IF($P418="","",IF(INDEX(EntryTxnType,$P418)=0,"",INDEX(EntryTxnType,$P418)))</f>
        <v/>
      </c>
      <c r="H418" s="29">
        <f>IF($P418="","",IF(INDEX(EntryDep,$P418)=0,"",INDEX(EntryDep,$P418)))</f>
        <v/>
      </c>
      <c r="I418" s="29">
        <f>IF($P418="","",IF(INDEX(EntryWit,$P418)=0,"",INDEX(EntryWit,$P418)))</f>
        <v/>
      </c>
      <c r="J418" s="29">
        <f>IF($B418="","",IF($A418=1,$C$7,IF(J417="",0,J417))+IF($H418="",0,$H418)-IF($I418="",0,$I418))</f>
        <v/>
      </c>
      <c r="K418" s="29">
        <f>IF($P418="","",IF(INDEX(EntryMan,$P418)=0,"",INDEX(EntryMan,$P418)))</f>
        <v/>
      </c>
      <c r="L418" s="28">
        <f>IF($B418="","",IF($K418="","—",IF(ROUND($K418-$J418,0)=0,"√","×")))</f>
        <v/>
      </c>
      <c r="M418" s="28">
        <f>IF($B418="","",IF(COUNTIFS(EntryDates,$B418,CalcTime,$C418,CalcBank,$C$5,EntryParty,$D418,EntryDep,$H418,EntryWit,$I418)&gt;1,"تکرار",""))</f>
        <v/>
      </c>
      <c r="N418" s="28">
        <f>IF($P418="","",IF(INDEX(EntryNotes,$P418)=0,"",INDEX(EntryNotes,$P418)))</f>
        <v/>
      </c>
      <c r="O418" s="28">
        <f>IF($P418="","",IF(INDEX(EntryTxnID,$P418)=0,"",INDEX(EntryTxnID,$P418)))</f>
        <v/>
      </c>
      <c r="P418" s="28">
        <f>IFERROR(MATCH($C$5&amp;"|"&amp;RIGHT("000000"&amp;402,6),CalcRankKey,0),"")</f>
        <v/>
      </c>
    </row>
    <row r="419">
      <c r="A419" s="26">
        <f>IF($B419="","",403)</f>
        <v/>
      </c>
      <c r="B419" s="26">
        <f>IF($P419="","",IF(INDEX(CalcNormDate,$P419)=0,"",INDEX(CalcNormDate,$P419)))</f>
        <v/>
      </c>
      <c r="C419" s="26">
        <f>IF($P419="","",IF(INDEX(CalcTime,$P419)=0,"",INDEX(CalcTime,$P419)))</f>
        <v/>
      </c>
      <c r="D419" s="26">
        <f>IF($P419="","",IF(INDEX(EntryParty,$P419)=0,"",INDEX(EntryParty,$P419)))</f>
        <v/>
      </c>
      <c r="E419" s="26">
        <f>IF($P419="","",IF(INDEX(EntryPartyName,$P419)=0,"",INDEX(EntryPartyName,$P419)))</f>
        <v/>
      </c>
      <c r="F419" s="26">
        <f>IF($P419="","",IF(INDEX(EntryPartyType,$P419)=0,"",INDEX(EntryPartyType,$P419)))</f>
        <v/>
      </c>
      <c r="G419" s="26">
        <f>IF($P419="","",IF(INDEX(EntryTxnType,$P419)=0,"",INDEX(EntryTxnType,$P419)))</f>
        <v/>
      </c>
      <c r="H419" s="27">
        <f>IF($P419="","",IF(INDEX(EntryDep,$P419)=0,"",INDEX(EntryDep,$P419)))</f>
        <v/>
      </c>
      <c r="I419" s="27">
        <f>IF($P419="","",IF(INDEX(EntryWit,$P419)=0,"",INDEX(EntryWit,$P419)))</f>
        <v/>
      </c>
      <c r="J419" s="27">
        <f>IF($B419="","",IF($A419=1,$C$7,IF(J418="",0,J418))+IF($H419="",0,$H419)-IF($I419="",0,$I419))</f>
        <v/>
      </c>
      <c r="K419" s="27">
        <f>IF($P419="","",IF(INDEX(EntryMan,$P419)=0,"",INDEX(EntryMan,$P419)))</f>
        <v/>
      </c>
      <c r="L419" s="26">
        <f>IF($B419="","",IF($K419="","—",IF(ROUND($K419-$J419,0)=0,"√","×")))</f>
        <v/>
      </c>
      <c r="M419" s="26">
        <f>IF($B419="","",IF(COUNTIFS(EntryDates,$B419,CalcTime,$C419,CalcBank,$C$5,EntryParty,$D419,EntryDep,$H419,EntryWit,$I419)&gt;1,"تکرار",""))</f>
        <v/>
      </c>
      <c r="N419" s="26">
        <f>IF($P419="","",IF(INDEX(EntryNotes,$P419)=0,"",INDEX(EntryNotes,$P419)))</f>
        <v/>
      </c>
      <c r="O419" s="26">
        <f>IF($P419="","",IF(INDEX(EntryTxnID,$P419)=0,"",INDEX(EntryTxnID,$P419)))</f>
        <v/>
      </c>
      <c r="P419" s="26">
        <f>IFERROR(MATCH($C$5&amp;"|"&amp;RIGHT("000000"&amp;403,6),CalcRankKey,0),"")</f>
        <v/>
      </c>
    </row>
    <row r="420">
      <c r="A420" s="28">
        <f>IF($B420="","",404)</f>
        <v/>
      </c>
      <c r="B420" s="28">
        <f>IF($P420="","",IF(INDEX(CalcNormDate,$P420)=0,"",INDEX(CalcNormDate,$P420)))</f>
        <v/>
      </c>
      <c r="C420" s="28">
        <f>IF($P420="","",IF(INDEX(CalcTime,$P420)=0,"",INDEX(CalcTime,$P420)))</f>
        <v/>
      </c>
      <c r="D420" s="28">
        <f>IF($P420="","",IF(INDEX(EntryParty,$P420)=0,"",INDEX(EntryParty,$P420)))</f>
        <v/>
      </c>
      <c r="E420" s="28">
        <f>IF($P420="","",IF(INDEX(EntryPartyName,$P420)=0,"",INDEX(EntryPartyName,$P420)))</f>
        <v/>
      </c>
      <c r="F420" s="28">
        <f>IF($P420="","",IF(INDEX(EntryPartyType,$P420)=0,"",INDEX(EntryPartyType,$P420)))</f>
        <v/>
      </c>
      <c r="G420" s="28">
        <f>IF($P420="","",IF(INDEX(EntryTxnType,$P420)=0,"",INDEX(EntryTxnType,$P420)))</f>
        <v/>
      </c>
      <c r="H420" s="29">
        <f>IF($P420="","",IF(INDEX(EntryDep,$P420)=0,"",INDEX(EntryDep,$P420)))</f>
        <v/>
      </c>
      <c r="I420" s="29">
        <f>IF($P420="","",IF(INDEX(EntryWit,$P420)=0,"",INDEX(EntryWit,$P420)))</f>
        <v/>
      </c>
      <c r="J420" s="29">
        <f>IF($B420="","",IF($A420=1,$C$7,IF(J419="",0,J419))+IF($H420="",0,$H420)-IF($I420="",0,$I420))</f>
        <v/>
      </c>
      <c r="K420" s="29">
        <f>IF($P420="","",IF(INDEX(EntryMan,$P420)=0,"",INDEX(EntryMan,$P420)))</f>
        <v/>
      </c>
      <c r="L420" s="28">
        <f>IF($B420="","",IF($K420="","—",IF(ROUND($K420-$J420,0)=0,"√","×")))</f>
        <v/>
      </c>
      <c r="M420" s="28">
        <f>IF($B420="","",IF(COUNTIFS(EntryDates,$B420,CalcTime,$C420,CalcBank,$C$5,EntryParty,$D420,EntryDep,$H420,EntryWit,$I420)&gt;1,"تکرار",""))</f>
        <v/>
      </c>
      <c r="N420" s="28">
        <f>IF($P420="","",IF(INDEX(EntryNotes,$P420)=0,"",INDEX(EntryNotes,$P420)))</f>
        <v/>
      </c>
      <c r="O420" s="28">
        <f>IF($P420="","",IF(INDEX(EntryTxnID,$P420)=0,"",INDEX(EntryTxnID,$P420)))</f>
        <v/>
      </c>
      <c r="P420" s="28">
        <f>IFERROR(MATCH($C$5&amp;"|"&amp;RIGHT("000000"&amp;404,6),CalcRankKey,0),"")</f>
        <v/>
      </c>
    </row>
    <row r="421">
      <c r="A421" s="26">
        <f>IF($B421="","",405)</f>
        <v/>
      </c>
      <c r="B421" s="26">
        <f>IF($P421="","",IF(INDEX(CalcNormDate,$P421)=0,"",INDEX(CalcNormDate,$P421)))</f>
        <v/>
      </c>
      <c r="C421" s="26">
        <f>IF($P421="","",IF(INDEX(CalcTime,$P421)=0,"",INDEX(CalcTime,$P421)))</f>
        <v/>
      </c>
      <c r="D421" s="26">
        <f>IF($P421="","",IF(INDEX(EntryParty,$P421)=0,"",INDEX(EntryParty,$P421)))</f>
        <v/>
      </c>
      <c r="E421" s="26">
        <f>IF($P421="","",IF(INDEX(EntryPartyName,$P421)=0,"",INDEX(EntryPartyName,$P421)))</f>
        <v/>
      </c>
      <c r="F421" s="26">
        <f>IF($P421="","",IF(INDEX(EntryPartyType,$P421)=0,"",INDEX(EntryPartyType,$P421)))</f>
        <v/>
      </c>
      <c r="G421" s="26">
        <f>IF($P421="","",IF(INDEX(EntryTxnType,$P421)=0,"",INDEX(EntryTxnType,$P421)))</f>
        <v/>
      </c>
      <c r="H421" s="27">
        <f>IF($P421="","",IF(INDEX(EntryDep,$P421)=0,"",INDEX(EntryDep,$P421)))</f>
        <v/>
      </c>
      <c r="I421" s="27">
        <f>IF($P421="","",IF(INDEX(EntryWit,$P421)=0,"",INDEX(EntryWit,$P421)))</f>
        <v/>
      </c>
      <c r="J421" s="27">
        <f>IF($B421="","",IF($A421=1,$C$7,IF(J420="",0,J420))+IF($H421="",0,$H421)-IF($I421="",0,$I421))</f>
        <v/>
      </c>
      <c r="K421" s="27">
        <f>IF($P421="","",IF(INDEX(EntryMan,$P421)=0,"",INDEX(EntryMan,$P421)))</f>
        <v/>
      </c>
      <c r="L421" s="26">
        <f>IF($B421="","",IF($K421="","—",IF(ROUND($K421-$J421,0)=0,"√","×")))</f>
        <v/>
      </c>
      <c r="M421" s="26">
        <f>IF($B421="","",IF(COUNTIFS(EntryDates,$B421,CalcTime,$C421,CalcBank,$C$5,EntryParty,$D421,EntryDep,$H421,EntryWit,$I421)&gt;1,"تکرار",""))</f>
        <v/>
      </c>
      <c r="N421" s="26">
        <f>IF($P421="","",IF(INDEX(EntryNotes,$P421)=0,"",INDEX(EntryNotes,$P421)))</f>
        <v/>
      </c>
      <c r="O421" s="26">
        <f>IF($P421="","",IF(INDEX(EntryTxnID,$P421)=0,"",INDEX(EntryTxnID,$P421)))</f>
        <v/>
      </c>
      <c r="P421" s="26">
        <f>IFERROR(MATCH($C$5&amp;"|"&amp;RIGHT("000000"&amp;405,6),CalcRankKey,0),"")</f>
        <v/>
      </c>
    </row>
    <row r="422">
      <c r="A422" s="28">
        <f>IF($B422="","",406)</f>
        <v/>
      </c>
      <c r="B422" s="28">
        <f>IF($P422="","",IF(INDEX(CalcNormDate,$P422)=0,"",INDEX(CalcNormDate,$P422)))</f>
        <v/>
      </c>
      <c r="C422" s="28">
        <f>IF($P422="","",IF(INDEX(CalcTime,$P422)=0,"",INDEX(CalcTime,$P422)))</f>
        <v/>
      </c>
      <c r="D422" s="28">
        <f>IF($P422="","",IF(INDEX(EntryParty,$P422)=0,"",INDEX(EntryParty,$P422)))</f>
        <v/>
      </c>
      <c r="E422" s="28">
        <f>IF($P422="","",IF(INDEX(EntryPartyName,$P422)=0,"",INDEX(EntryPartyName,$P422)))</f>
        <v/>
      </c>
      <c r="F422" s="28">
        <f>IF($P422="","",IF(INDEX(EntryPartyType,$P422)=0,"",INDEX(EntryPartyType,$P422)))</f>
        <v/>
      </c>
      <c r="G422" s="28">
        <f>IF($P422="","",IF(INDEX(EntryTxnType,$P422)=0,"",INDEX(EntryTxnType,$P422)))</f>
        <v/>
      </c>
      <c r="H422" s="29">
        <f>IF($P422="","",IF(INDEX(EntryDep,$P422)=0,"",INDEX(EntryDep,$P422)))</f>
        <v/>
      </c>
      <c r="I422" s="29">
        <f>IF($P422="","",IF(INDEX(EntryWit,$P422)=0,"",INDEX(EntryWit,$P422)))</f>
        <v/>
      </c>
      <c r="J422" s="29">
        <f>IF($B422="","",IF($A422=1,$C$7,IF(J421="",0,J421))+IF($H422="",0,$H422)-IF($I422="",0,$I422))</f>
        <v/>
      </c>
      <c r="K422" s="29">
        <f>IF($P422="","",IF(INDEX(EntryMan,$P422)=0,"",INDEX(EntryMan,$P422)))</f>
        <v/>
      </c>
      <c r="L422" s="28">
        <f>IF($B422="","",IF($K422="","—",IF(ROUND($K422-$J422,0)=0,"√","×")))</f>
        <v/>
      </c>
      <c r="M422" s="28">
        <f>IF($B422="","",IF(COUNTIFS(EntryDates,$B422,CalcTime,$C422,CalcBank,$C$5,EntryParty,$D422,EntryDep,$H422,EntryWit,$I422)&gt;1,"تکرار",""))</f>
        <v/>
      </c>
      <c r="N422" s="28">
        <f>IF($P422="","",IF(INDEX(EntryNotes,$P422)=0,"",INDEX(EntryNotes,$P422)))</f>
        <v/>
      </c>
      <c r="O422" s="28">
        <f>IF($P422="","",IF(INDEX(EntryTxnID,$P422)=0,"",INDEX(EntryTxnID,$P422)))</f>
        <v/>
      </c>
      <c r="P422" s="28">
        <f>IFERROR(MATCH($C$5&amp;"|"&amp;RIGHT("000000"&amp;406,6),CalcRankKey,0),"")</f>
        <v/>
      </c>
    </row>
    <row r="423">
      <c r="A423" s="26">
        <f>IF($B423="","",407)</f>
        <v/>
      </c>
      <c r="B423" s="26">
        <f>IF($P423="","",IF(INDEX(CalcNormDate,$P423)=0,"",INDEX(CalcNormDate,$P423)))</f>
        <v/>
      </c>
      <c r="C423" s="26">
        <f>IF($P423="","",IF(INDEX(CalcTime,$P423)=0,"",INDEX(CalcTime,$P423)))</f>
        <v/>
      </c>
      <c r="D423" s="26">
        <f>IF($P423="","",IF(INDEX(EntryParty,$P423)=0,"",INDEX(EntryParty,$P423)))</f>
        <v/>
      </c>
      <c r="E423" s="26">
        <f>IF($P423="","",IF(INDEX(EntryPartyName,$P423)=0,"",INDEX(EntryPartyName,$P423)))</f>
        <v/>
      </c>
      <c r="F423" s="26">
        <f>IF($P423="","",IF(INDEX(EntryPartyType,$P423)=0,"",INDEX(EntryPartyType,$P423)))</f>
        <v/>
      </c>
      <c r="G423" s="26">
        <f>IF($P423="","",IF(INDEX(EntryTxnType,$P423)=0,"",INDEX(EntryTxnType,$P423)))</f>
        <v/>
      </c>
      <c r="H423" s="27">
        <f>IF($P423="","",IF(INDEX(EntryDep,$P423)=0,"",INDEX(EntryDep,$P423)))</f>
        <v/>
      </c>
      <c r="I423" s="27">
        <f>IF($P423="","",IF(INDEX(EntryWit,$P423)=0,"",INDEX(EntryWit,$P423)))</f>
        <v/>
      </c>
      <c r="J423" s="27">
        <f>IF($B423="","",IF($A423=1,$C$7,IF(J422="",0,J422))+IF($H423="",0,$H423)-IF($I423="",0,$I423))</f>
        <v/>
      </c>
      <c r="K423" s="27">
        <f>IF($P423="","",IF(INDEX(EntryMan,$P423)=0,"",INDEX(EntryMan,$P423)))</f>
        <v/>
      </c>
      <c r="L423" s="26">
        <f>IF($B423="","",IF($K423="","—",IF(ROUND($K423-$J423,0)=0,"√","×")))</f>
        <v/>
      </c>
      <c r="M423" s="26">
        <f>IF($B423="","",IF(COUNTIFS(EntryDates,$B423,CalcTime,$C423,CalcBank,$C$5,EntryParty,$D423,EntryDep,$H423,EntryWit,$I423)&gt;1,"تکرار",""))</f>
        <v/>
      </c>
      <c r="N423" s="26">
        <f>IF($P423="","",IF(INDEX(EntryNotes,$P423)=0,"",INDEX(EntryNotes,$P423)))</f>
        <v/>
      </c>
      <c r="O423" s="26">
        <f>IF($P423="","",IF(INDEX(EntryTxnID,$P423)=0,"",INDEX(EntryTxnID,$P423)))</f>
        <v/>
      </c>
      <c r="P423" s="26">
        <f>IFERROR(MATCH($C$5&amp;"|"&amp;RIGHT("000000"&amp;407,6),CalcRankKey,0),"")</f>
        <v/>
      </c>
    </row>
    <row r="424">
      <c r="A424" s="28">
        <f>IF($B424="","",408)</f>
        <v/>
      </c>
      <c r="B424" s="28">
        <f>IF($P424="","",IF(INDEX(CalcNormDate,$P424)=0,"",INDEX(CalcNormDate,$P424)))</f>
        <v/>
      </c>
      <c r="C424" s="28">
        <f>IF($P424="","",IF(INDEX(CalcTime,$P424)=0,"",INDEX(CalcTime,$P424)))</f>
        <v/>
      </c>
      <c r="D424" s="28">
        <f>IF($P424="","",IF(INDEX(EntryParty,$P424)=0,"",INDEX(EntryParty,$P424)))</f>
        <v/>
      </c>
      <c r="E424" s="28">
        <f>IF($P424="","",IF(INDEX(EntryPartyName,$P424)=0,"",INDEX(EntryPartyName,$P424)))</f>
        <v/>
      </c>
      <c r="F424" s="28">
        <f>IF($P424="","",IF(INDEX(EntryPartyType,$P424)=0,"",INDEX(EntryPartyType,$P424)))</f>
        <v/>
      </c>
      <c r="G424" s="28">
        <f>IF($P424="","",IF(INDEX(EntryTxnType,$P424)=0,"",INDEX(EntryTxnType,$P424)))</f>
        <v/>
      </c>
      <c r="H424" s="29">
        <f>IF($P424="","",IF(INDEX(EntryDep,$P424)=0,"",INDEX(EntryDep,$P424)))</f>
        <v/>
      </c>
      <c r="I424" s="29">
        <f>IF($P424="","",IF(INDEX(EntryWit,$P424)=0,"",INDEX(EntryWit,$P424)))</f>
        <v/>
      </c>
      <c r="J424" s="29">
        <f>IF($B424="","",IF($A424=1,$C$7,IF(J423="",0,J423))+IF($H424="",0,$H424)-IF($I424="",0,$I424))</f>
        <v/>
      </c>
      <c r="K424" s="29">
        <f>IF($P424="","",IF(INDEX(EntryMan,$P424)=0,"",INDEX(EntryMan,$P424)))</f>
        <v/>
      </c>
      <c r="L424" s="28">
        <f>IF($B424="","",IF($K424="","—",IF(ROUND($K424-$J424,0)=0,"√","×")))</f>
        <v/>
      </c>
      <c r="M424" s="28">
        <f>IF($B424="","",IF(COUNTIFS(EntryDates,$B424,CalcTime,$C424,CalcBank,$C$5,EntryParty,$D424,EntryDep,$H424,EntryWit,$I424)&gt;1,"تکرار",""))</f>
        <v/>
      </c>
      <c r="N424" s="28">
        <f>IF($P424="","",IF(INDEX(EntryNotes,$P424)=0,"",INDEX(EntryNotes,$P424)))</f>
        <v/>
      </c>
      <c r="O424" s="28">
        <f>IF($P424="","",IF(INDEX(EntryTxnID,$P424)=0,"",INDEX(EntryTxnID,$P424)))</f>
        <v/>
      </c>
      <c r="P424" s="28">
        <f>IFERROR(MATCH($C$5&amp;"|"&amp;RIGHT("000000"&amp;408,6),CalcRankKey,0),"")</f>
        <v/>
      </c>
    </row>
    <row r="425">
      <c r="A425" s="26">
        <f>IF($B425="","",409)</f>
        <v/>
      </c>
      <c r="B425" s="26">
        <f>IF($P425="","",IF(INDEX(CalcNormDate,$P425)=0,"",INDEX(CalcNormDate,$P425)))</f>
        <v/>
      </c>
      <c r="C425" s="26">
        <f>IF($P425="","",IF(INDEX(CalcTime,$P425)=0,"",INDEX(CalcTime,$P425)))</f>
        <v/>
      </c>
      <c r="D425" s="26">
        <f>IF($P425="","",IF(INDEX(EntryParty,$P425)=0,"",INDEX(EntryParty,$P425)))</f>
        <v/>
      </c>
      <c r="E425" s="26">
        <f>IF($P425="","",IF(INDEX(EntryPartyName,$P425)=0,"",INDEX(EntryPartyName,$P425)))</f>
        <v/>
      </c>
      <c r="F425" s="26">
        <f>IF($P425="","",IF(INDEX(EntryPartyType,$P425)=0,"",INDEX(EntryPartyType,$P425)))</f>
        <v/>
      </c>
      <c r="G425" s="26">
        <f>IF($P425="","",IF(INDEX(EntryTxnType,$P425)=0,"",INDEX(EntryTxnType,$P425)))</f>
        <v/>
      </c>
      <c r="H425" s="27">
        <f>IF($P425="","",IF(INDEX(EntryDep,$P425)=0,"",INDEX(EntryDep,$P425)))</f>
        <v/>
      </c>
      <c r="I425" s="27">
        <f>IF($P425="","",IF(INDEX(EntryWit,$P425)=0,"",INDEX(EntryWit,$P425)))</f>
        <v/>
      </c>
      <c r="J425" s="27">
        <f>IF($B425="","",IF($A425=1,$C$7,IF(J424="",0,J424))+IF($H425="",0,$H425)-IF($I425="",0,$I425))</f>
        <v/>
      </c>
      <c r="K425" s="27">
        <f>IF($P425="","",IF(INDEX(EntryMan,$P425)=0,"",INDEX(EntryMan,$P425)))</f>
        <v/>
      </c>
      <c r="L425" s="26">
        <f>IF($B425="","",IF($K425="","—",IF(ROUND($K425-$J425,0)=0,"√","×")))</f>
        <v/>
      </c>
      <c r="M425" s="26">
        <f>IF($B425="","",IF(COUNTIFS(EntryDates,$B425,CalcTime,$C425,CalcBank,$C$5,EntryParty,$D425,EntryDep,$H425,EntryWit,$I425)&gt;1,"تکرار",""))</f>
        <v/>
      </c>
      <c r="N425" s="26">
        <f>IF($P425="","",IF(INDEX(EntryNotes,$P425)=0,"",INDEX(EntryNotes,$P425)))</f>
        <v/>
      </c>
      <c r="O425" s="26">
        <f>IF($P425="","",IF(INDEX(EntryTxnID,$P425)=0,"",INDEX(EntryTxnID,$P425)))</f>
        <v/>
      </c>
      <c r="P425" s="26">
        <f>IFERROR(MATCH($C$5&amp;"|"&amp;RIGHT("000000"&amp;409,6),CalcRankKey,0),"")</f>
        <v/>
      </c>
    </row>
    <row r="426">
      <c r="A426" s="28">
        <f>IF($B426="","",410)</f>
        <v/>
      </c>
      <c r="B426" s="28">
        <f>IF($P426="","",IF(INDEX(CalcNormDate,$P426)=0,"",INDEX(CalcNormDate,$P426)))</f>
        <v/>
      </c>
      <c r="C426" s="28">
        <f>IF($P426="","",IF(INDEX(CalcTime,$P426)=0,"",INDEX(CalcTime,$P426)))</f>
        <v/>
      </c>
      <c r="D426" s="28">
        <f>IF($P426="","",IF(INDEX(EntryParty,$P426)=0,"",INDEX(EntryParty,$P426)))</f>
        <v/>
      </c>
      <c r="E426" s="28">
        <f>IF($P426="","",IF(INDEX(EntryPartyName,$P426)=0,"",INDEX(EntryPartyName,$P426)))</f>
        <v/>
      </c>
      <c r="F426" s="28">
        <f>IF($P426="","",IF(INDEX(EntryPartyType,$P426)=0,"",INDEX(EntryPartyType,$P426)))</f>
        <v/>
      </c>
      <c r="G426" s="28">
        <f>IF($P426="","",IF(INDEX(EntryTxnType,$P426)=0,"",INDEX(EntryTxnType,$P426)))</f>
        <v/>
      </c>
      <c r="H426" s="29">
        <f>IF($P426="","",IF(INDEX(EntryDep,$P426)=0,"",INDEX(EntryDep,$P426)))</f>
        <v/>
      </c>
      <c r="I426" s="29">
        <f>IF($P426="","",IF(INDEX(EntryWit,$P426)=0,"",INDEX(EntryWit,$P426)))</f>
        <v/>
      </c>
      <c r="J426" s="29">
        <f>IF($B426="","",IF($A426=1,$C$7,IF(J425="",0,J425))+IF($H426="",0,$H426)-IF($I426="",0,$I426))</f>
        <v/>
      </c>
      <c r="K426" s="29">
        <f>IF($P426="","",IF(INDEX(EntryMan,$P426)=0,"",INDEX(EntryMan,$P426)))</f>
        <v/>
      </c>
      <c r="L426" s="28">
        <f>IF($B426="","",IF($K426="","—",IF(ROUND($K426-$J426,0)=0,"√","×")))</f>
        <v/>
      </c>
      <c r="M426" s="28">
        <f>IF($B426="","",IF(COUNTIFS(EntryDates,$B426,CalcTime,$C426,CalcBank,$C$5,EntryParty,$D426,EntryDep,$H426,EntryWit,$I426)&gt;1,"تکرار",""))</f>
        <v/>
      </c>
      <c r="N426" s="28">
        <f>IF($P426="","",IF(INDEX(EntryNotes,$P426)=0,"",INDEX(EntryNotes,$P426)))</f>
        <v/>
      </c>
      <c r="O426" s="28">
        <f>IF($P426="","",IF(INDEX(EntryTxnID,$P426)=0,"",INDEX(EntryTxnID,$P426)))</f>
        <v/>
      </c>
      <c r="P426" s="28">
        <f>IFERROR(MATCH($C$5&amp;"|"&amp;RIGHT("000000"&amp;410,6),CalcRankKey,0),"")</f>
        <v/>
      </c>
    </row>
    <row r="427">
      <c r="A427" s="26">
        <f>IF($B427="","",411)</f>
        <v/>
      </c>
      <c r="B427" s="26">
        <f>IF($P427="","",IF(INDEX(CalcNormDate,$P427)=0,"",INDEX(CalcNormDate,$P427)))</f>
        <v/>
      </c>
      <c r="C427" s="26">
        <f>IF($P427="","",IF(INDEX(CalcTime,$P427)=0,"",INDEX(CalcTime,$P427)))</f>
        <v/>
      </c>
      <c r="D427" s="26">
        <f>IF($P427="","",IF(INDEX(EntryParty,$P427)=0,"",INDEX(EntryParty,$P427)))</f>
        <v/>
      </c>
      <c r="E427" s="26">
        <f>IF($P427="","",IF(INDEX(EntryPartyName,$P427)=0,"",INDEX(EntryPartyName,$P427)))</f>
        <v/>
      </c>
      <c r="F427" s="26">
        <f>IF($P427="","",IF(INDEX(EntryPartyType,$P427)=0,"",INDEX(EntryPartyType,$P427)))</f>
        <v/>
      </c>
      <c r="G427" s="26">
        <f>IF($P427="","",IF(INDEX(EntryTxnType,$P427)=0,"",INDEX(EntryTxnType,$P427)))</f>
        <v/>
      </c>
      <c r="H427" s="27">
        <f>IF($P427="","",IF(INDEX(EntryDep,$P427)=0,"",INDEX(EntryDep,$P427)))</f>
        <v/>
      </c>
      <c r="I427" s="27">
        <f>IF($P427="","",IF(INDEX(EntryWit,$P427)=0,"",INDEX(EntryWit,$P427)))</f>
        <v/>
      </c>
      <c r="J427" s="27">
        <f>IF($B427="","",IF($A427=1,$C$7,IF(J426="",0,J426))+IF($H427="",0,$H427)-IF($I427="",0,$I427))</f>
        <v/>
      </c>
      <c r="K427" s="27">
        <f>IF($P427="","",IF(INDEX(EntryMan,$P427)=0,"",INDEX(EntryMan,$P427)))</f>
        <v/>
      </c>
      <c r="L427" s="26">
        <f>IF($B427="","",IF($K427="","—",IF(ROUND($K427-$J427,0)=0,"√","×")))</f>
        <v/>
      </c>
      <c r="M427" s="26">
        <f>IF($B427="","",IF(COUNTIFS(EntryDates,$B427,CalcTime,$C427,CalcBank,$C$5,EntryParty,$D427,EntryDep,$H427,EntryWit,$I427)&gt;1,"تکرار",""))</f>
        <v/>
      </c>
      <c r="N427" s="26">
        <f>IF($P427="","",IF(INDEX(EntryNotes,$P427)=0,"",INDEX(EntryNotes,$P427)))</f>
        <v/>
      </c>
      <c r="O427" s="26">
        <f>IF($P427="","",IF(INDEX(EntryTxnID,$P427)=0,"",INDEX(EntryTxnID,$P427)))</f>
        <v/>
      </c>
      <c r="P427" s="26">
        <f>IFERROR(MATCH($C$5&amp;"|"&amp;RIGHT("000000"&amp;411,6),CalcRankKey,0),"")</f>
        <v/>
      </c>
    </row>
    <row r="428">
      <c r="A428" s="28">
        <f>IF($B428="","",412)</f>
        <v/>
      </c>
      <c r="B428" s="28">
        <f>IF($P428="","",IF(INDEX(CalcNormDate,$P428)=0,"",INDEX(CalcNormDate,$P428)))</f>
        <v/>
      </c>
      <c r="C428" s="28">
        <f>IF($P428="","",IF(INDEX(CalcTime,$P428)=0,"",INDEX(CalcTime,$P428)))</f>
        <v/>
      </c>
      <c r="D428" s="28">
        <f>IF($P428="","",IF(INDEX(EntryParty,$P428)=0,"",INDEX(EntryParty,$P428)))</f>
        <v/>
      </c>
      <c r="E428" s="28">
        <f>IF($P428="","",IF(INDEX(EntryPartyName,$P428)=0,"",INDEX(EntryPartyName,$P428)))</f>
        <v/>
      </c>
      <c r="F428" s="28">
        <f>IF($P428="","",IF(INDEX(EntryPartyType,$P428)=0,"",INDEX(EntryPartyType,$P428)))</f>
        <v/>
      </c>
      <c r="G428" s="28">
        <f>IF($P428="","",IF(INDEX(EntryTxnType,$P428)=0,"",INDEX(EntryTxnType,$P428)))</f>
        <v/>
      </c>
      <c r="H428" s="29">
        <f>IF($P428="","",IF(INDEX(EntryDep,$P428)=0,"",INDEX(EntryDep,$P428)))</f>
        <v/>
      </c>
      <c r="I428" s="29">
        <f>IF($P428="","",IF(INDEX(EntryWit,$P428)=0,"",INDEX(EntryWit,$P428)))</f>
        <v/>
      </c>
      <c r="J428" s="29">
        <f>IF($B428="","",IF($A428=1,$C$7,IF(J427="",0,J427))+IF($H428="",0,$H428)-IF($I428="",0,$I428))</f>
        <v/>
      </c>
      <c r="K428" s="29">
        <f>IF($P428="","",IF(INDEX(EntryMan,$P428)=0,"",INDEX(EntryMan,$P428)))</f>
        <v/>
      </c>
      <c r="L428" s="28">
        <f>IF($B428="","",IF($K428="","—",IF(ROUND($K428-$J428,0)=0,"√","×")))</f>
        <v/>
      </c>
      <c r="M428" s="28">
        <f>IF($B428="","",IF(COUNTIFS(EntryDates,$B428,CalcTime,$C428,CalcBank,$C$5,EntryParty,$D428,EntryDep,$H428,EntryWit,$I428)&gt;1,"تکرار",""))</f>
        <v/>
      </c>
      <c r="N428" s="28">
        <f>IF($P428="","",IF(INDEX(EntryNotes,$P428)=0,"",INDEX(EntryNotes,$P428)))</f>
        <v/>
      </c>
      <c r="O428" s="28">
        <f>IF($P428="","",IF(INDEX(EntryTxnID,$P428)=0,"",INDEX(EntryTxnID,$P428)))</f>
        <v/>
      </c>
      <c r="P428" s="28">
        <f>IFERROR(MATCH($C$5&amp;"|"&amp;RIGHT("000000"&amp;412,6),CalcRankKey,0),"")</f>
        <v/>
      </c>
    </row>
    <row r="429">
      <c r="A429" s="26">
        <f>IF($B429="","",413)</f>
        <v/>
      </c>
      <c r="B429" s="26">
        <f>IF($P429="","",IF(INDEX(CalcNormDate,$P429)=0,"",INDEX(CalcNormDate,$P429)))</f>
        <v/>
      </c>
      <c r="C429" s="26">
        <f>IF($P429="","",IF(INDEX(CalcTime,$P429)=0,"",INDEX(CalcTime,$P429)))</f>
        <v/>
      </c>
      <c r="D429" s="26">
        <f>IF($P429="","",IF(INDEX(EntryParty,$P429)=0,"",INDEX(EntryParty,$P429)))</f>
        <v/>
      </c>
      <c r="E429" s="26">
        <f>IF($P429="","",IF(INDEX(EntryPartyName,$P429)=0,"",INDEX(EntryPartyName,$P429)))</f>
        <v/>
      </c>
      <c r="F429" s="26">
        <f>IF($P429="","",IF(INDEX(EntryPartyType,$P429)=0,"",INDEX(EntryPartyType,$P429)))</f>
        <v/>
      </c>
      <c r="G429" s="26">
        <f>IF($P429="","",IF(INDEX(EntryTxnType,$P429)=0,"",INDEX(EntryTxnType,$P429)))</f>
        <v/>
      </c>
      <c r="H429" s="27">
        <f>IF($P429="","",IF(INDEX(EntryDep,$P429)=0,"",INDEX(EntryDep,$P429)))</f>
        <v/>
      </c>
      <c r="I429" s="27">
        <f>IF($P429="","",IF(INDEX(EntryWit,$P429)=0,"",INDEX(EntryWit,$P429)))</f>
        <v/>
      </c>
      <c r="J429" s="27">
        <f>IF($B429="","",IF($A429=1,$C$7,IF(J428="",0,J428))+IF($H429="",0,$H429)-IF($I429="",0,$I429))</f>
        <v/>
      </c>
      <c r="K429" s="27">
        <f>IF($P429="","",IF(INDEX(EntryMan,$P429)=0,"",INDEX(EntryMan,$P429)))</f>
        <v/>
      </c>
      <c r="L429" s="26">
        <f>IF($B429="","",IF($K429="","—",IF(ROUND($K429-$J429,0)=0,"√","×")))</f>
        <v/>
      </c>
      <c r="M429" s="26">
        <f>IF($B429="","",IF(COUNTIFS(EntryDates,$B429,CalcTime,$C429,CalcBank,$C$5,EntryParty,$D429,EntryDep,$H429,EntryWit,$I429)&gt;1,"تکرار",""))</f>
        <v/>
      </c>
      <c r="N429" s="26">
        <f>IF($P429="","",IF(INDEX(EntryNotes,$P429)=0,"",INDEX(EntryNotes,$P429)))</f>
        <v/>
      </c>
      <c r="O429" s="26">
        <f>IF($P429="","",IF(INDEX(EntryTxnID,$P429)=0,"",INDEX(EntryTxnID,$P429)))</f>
        <v/>
      </c>
      <c r="P429" s="26">
        <f>IFERROR(MATCH($C$5&amp;"|"&amp;RIGHT("000000"&amp;413,6),CalcRankKey,0),"")</f>
        <v/>
      </c>
    </row>
    <row r="430">
      <c r="A430" s="28">
        <f>IF($B430="","",414)</f>
        <v/>
      </c>
      <c r="B430" s="28">
        <f>IF($P430="","",IF(INDEX(CalcNormDate,$P430)=0,"",INDEX(CalcNormDate,$P430)))</f>
        <v/>
      </c>
      <c r="C430" s="28">
        <f>IF($P430="","",IF(INDEX(CalcTime,$P430)=0,"",INDEX(CalcTime,$P430)))</f>
        <v/>
      </c>
      <c r="D430" s="28">
        <f>IF($P430="","",IF(INDEX(EntryParty,$P430)=0,"",INDEX(EntryParty,$P430)))</f>
        <v/>
      </c>
      <c r="E430" s="28">
        <f>IF($P430="","",IF(INDEX(EntryPartyName,$P430)=0,"",INDEX(EntryPartyName,$P430)))</f>
        <v/>
      </c>
      <c r="F430" s="28">
        <f>IF($P430="","",IF(INDEX(EntryPartyType,$P430)=0,"",INDEX(EntryPartyType,$P430)))</f>
        <v/>
      </c>
      <c r="G430" s="28">
        <f>IF($P430="","",IF(INDEX(EntryTxnType,$P430)=0,"",INDEX(EntryTxnType,$P430)))</f>
        <v/>
      </c>
      <c r="H430" s="29">
        <f>IF($P430="","",IF(INDEX(EntryDep,$P430)=0,"",INDEX(EntryDep,$P430)))</f>
        <v/>
      </c>
      <c r="I430" s="29">
        <f>IF($P430="","",IF(INDEX(EntryWit,$P430)=0,"",INDEX(EntryWit,$P430)))</f>
        <v/>
      </c>
      <c r="J430" s="29">
        <f>IF($B430="","",IF($A430=1,$C$7,IF(J429="",0,J429))+IF($H430="",0,$H430)-IF($I430="",0,$I430))</f>
        <v/>
      </c>
      <c r="K430" s="29">
        <f>IF($P430="","",IF(INDEX(EntryMan,$P430)=0,"",INDEX(EntryMan,$P430)))</f>
        <v/>
      </c>
      <c r="L430" s="28">
        <f>IF($B430="","",IF($K430="","—",IF(ROUND($K430-$J430,0)=0,"√","×")))</f>
        <v/>
      </c>
      <c r="M430" s="28">
        <f>IF($B430="","",IF(COUNTIFS(EntryDates,$B430,CalcTime,$C430,CalcBank,$C$5,EntryParty,$D430,EntryDep,$H430,EntryWit,$I430)&gt;1,"تکرار",""))</f>
        <v/>
      </c>
      <c r="N430" s="28">
        <f>IF($P430="","",IF(INDEX(EntryNotes,$P430)=0,"",INDEX(EntryNotes,$P430)))</f>
        <v/>
      </c>
      <c r="O430" s="28">
        <f>IF($P430="","",IF(INDEX(EntryTxnID,$P430)=0,"",INDEX(EntryTxnID,$P430)))</f>
        <v/>
      </c>
      <c r="P430" s="28">
        <f>IFERROR(MATCH($C$5&amp;"|"&amp;RIGHT("000000"&amp;414,6),CalcRankKey,0),"")</f>
        <v/>
      </c>
    </row>
    <row r="431">
      <c r="A431" s="26">
        <f>IF($B431="","",415)</f>
        <v/>
      </c>
      <c r="B431" s="26">
        <f>IF($P431="","",IF(INDEX(CalcNormDate,$P431)=0,"",INDEX(CalcNormDate,$P431)))</f>
        <v/>
      </c>
      <c r="C431" s="26">
        <f>IF($P431="","",IF(INDEX(CalcTime,$P431)=0,"",INDEX(CalcTime,$P431)))</f>
        <v/>
      </c>
      <c r="D431" s="26">
        <f>IF($P431="","",IF(INDEX(EntryParty,$P431)=0,"",INDEX(EntryParty,$P431)))</f>
        <v/>
      </c>
      <c r="E431" s="26">
        <f>IF($P431="","",IF(INDEX(EntryPartyName,$P431)=0,"",INDEX(EntryPartyName,$P431)))</f>
        <v/>
      </c>
      <c r="F431" s="26">
        <f>IF($P431="","",IF(INDEX(EntryPartyType,$P431)=0,"",INDEX(EntryPartyType,$P431)))</f>
        <v/>
      </c>
      <c r="G431" s="26">
        <f>IF($P431="","",IF(INDEX(EntryTxnType,$P431)=0,"",INDEX(EntryTxnType,$P431)))</f>
        <v/>
      </c>
      <c r="H431" s="27">
        <f>IF($P431="","",IF(INDEX(EntryDep,$P431)=0,"",INDEX(EntryDep,$P431)))</f>
        <v/>
      </c>
      <c r="I431" s="27">
        <f>IF($P431="","",IF(INDEX(EntryWit,$P431)=0,"",INDEX(EntryWit,$P431)))</f>
        <v/>
      </c>
      <c r="J431" s="27">
        <f>IF($B431="","",IF($A431=1,$C$7,IF(J430="",0,J430))+IF($H431="",0,$H431)-IF($I431="",0,$I431))</f>
        <v/>
      </c>
      <c r="K431" s="27">
        <f>IF($P431="","",IF(INDEX(EntryMan,$P431)=0,"",INDEX(EntryMan,$P431)))</f>
        <v/>
      </c>
      <c r="L431" s="26">
        <f>IF($B431="","",IF($K431="","—",IF(ROUND($K431-$J431,0)=0,"√","×")))</f>
        <v/>
      </c>
      <c r="M431" s="26">
        <f>IF($B431="","",IF(COUNTIFS(EntryDates,$B431,CalcTime,$C431,CalcBank,$C$5,EntryParty,$D431,EntryDep,$H431,EntryWit,$I431)&gt;1,"تکرار",""))</f>
        <v/>
      </c>
      <c r="N431" s="26">
        <f>IF($P431="","",IF(INDEX(EntryNotes,$P431)=0,"",INDEX(EntryNotes,$P431)))</f>
        <v/>
      </c>
      <c r="O431" s="26">
        <f>IF($P431="","",IF(INDEX(EntryTxnID,$P431)=0,"",INDEX(EntryTxnID,$P431)))</f>
        <v/>
      </c>
      <c r="P431" s="26">
        <f>IFERROR(MATCH($C$5&amp;"|"&amp;RIGHT("000000"&amp;415,6),CalcRankKey,0),"")</f>
        <v/>
      </c>
    </row>
    <row r="432">
      <c r="A432" s="28">
        <f>IF($B432="","",416)</f>
        <v/>
      </c>
      <c r="B432" s="28">
        <f>IF($P432="","",IF(INDEX(CalcNormDate,$P432)=0,"",INDEX(CalcNormDate,$P432)))</f>
        <v/>
      </c>
      <c r="C432" s="28">
        <f>IF($P432="","",IF(INDEX(CalcTime,$P432)=0,"",INDEX(CalcTime,$P432)))</f>
        <v/>
      </c>
      <c r="D432" s="28">
        <f>IF($P432="","",IF(INDEX(EntryParty,$P432)=0,"",INDEX(EntryParty,$P432)))</f>
        <v/>
      </c>
      <c r="E432" s="28">
        <f>IF($P432="","",IF(INDEX(EntryPartyName,$P432)=0,"",INDEX(EntryPartyName,$P432)))</f>
        <v/>
      </c>
      <c r="F432" s="28">
        <f>IF($P432="","",IF(INDEX(EntryPartyType,$P432)=0,"",INDEX(EntryPartyType,$P432)))</f>
        <v/>
      </c>
      <c r="G432" s="28">
        <f>IF($P432="","",IF(INDEX(EntryTxnType,$P432)=0,"",INDEX(EntryTxnType,$P432)))</f>
        <v/>
      </c>
      <c r="H432" s="29">
        <f>IF($P432="","",IF(INDEX(EntryDep,$P432)=0,"",INDEX(EntryDep,$P432)))</f>
        <v/>
      </c>
      <c r="I432" s="29">
        <f>IF($P432="","",IF(INDEX(EntryWit,$P432)=0,"",INDEX(EntryWit,$P432)))</f>
        <v/>
      </c>
      <c r="J432" s="29">
        <f>IF($B432="","",IF($A432=1,$C$7,IF(J431="",0,J431))+IF($H432="",0,$H432)-IF($I432="",0,$I432))</f>
        <v/>
      </c>
      <c r="K432" s="29">
        <f>IF($P432="","",IF(INDEX(EntryMan,$P432)=0,"",INDEX(EntryMan,$P432)))</f>
        <v/>
      </c>
      <c r="L432" s="28">
        <f>IF($B432="","",IF($K432="","—",IF(ROUND($K432-$J432,0)=0,"√","×")))</f>
        <v/>
      </c>
      <c r="M432" s="28">
        <f>IF($B432="","",IF(COUNTIFS(EntryDates,$B432,CalcTime,$C432,CalcBank,$C$5,EntryParty,$D432,EntryDep,$H432,EntryWit,$I432)&gt;1,"تکرار",""))</f>
        <v/>
      </c>
      <c r="N432" s="28">
        <f>IF($P432="","",IF(INDEX(EntryNotes,$P432)=0,"",INDEX(EntryNotes,$P432)))</f>
        <v/>
      </c>
      <c r="O432" s="28">
        <f>IF($P432="","",IF(INDEX(EntryTxnID,$P432)=0,"",INDEX(EntryTxnID,$P432)))</f>
        <v/>
      </c>
      <c r="P432" s="28">
        <f>IFERROR(MATCH($C$5&amp;"|"&amp;RIGHT("000000"&amp;416,6),CalcRankKey,0),"")</f>
        <v/>
      </c>
    </row>
    <row r="433">
      <c r="A433" s="26">
        <f>IF($B433="","",417)</f>
        <v/>
      </c>
      <c r="B433" s="26">
        <f>IF($P433="","",IF(INDEX(CalcNormDate,$P433)=0,"",INDEX(CalcNormDate,$P433)))</f>
        <v/>
      </c>
      <c r="C433" s="26">
        <f>IF($P433="","",IF(INDEX(CalcTime,$P433)=0,"",INDEX(CalcTime,$P433)))</f>
        <v/>
      </c>
      <c r="D433" s="26">
        <f>IF($P433="","",IF(INDEX(EntryParty,$P433)=0,"",INDEX(EntryParty,$P433)))</f>
        <v/>
      </c>
      <c r="E433" s="26">
        <f>IF($P433="","",IF(INDEX(EntryPartyName,$P433)=0,"",INDEX(EntryPartyName,$P433)))</f>
        <v/>
      </c>
      <c r="F433" s="26">
        <f>IF($P433="","",IF(INDEX(EntryPartyType,$P433)=0,"",INDEX(EntryPartyType,$P433)))</f>
        <v/>
      </c>
      <c r="G433" s="26">
        <f>IF($P433="","",IF(INDEX(EntryTxnType,$P433)=0,"",INDEX(EntryTxnType,$P433)))</f>
        <v/>
      </c>
      <c r="H433" s="27">
        <f>IF($P433="","",IF(INDEX(EntryDep,$P433)=0,"",INDEX(EntryDep,$P433)))</f>
        <v/>
      </c>
      <c r="I433" s="27">
        <f>IF($P433="","",IF(INDEX(EntryWit,$P433)=0,"",INDEX(EntryWit,$P433)))</f>
        <v/>
      </c>
      <c r="J433" s="27">
        <f>IF($B433="","",IF($A433=1,$C$7,IF(J432="",0,J432))+IF($H433="",0,$H433)-IF($I433="",0,$I433))</f>
        <v/>
      </c>
      <c r="K433" s="27">
        <f>IF($P433="","",IF(INDEX(EntryMan,$P433)=0,"",INDEX(EntryMan,$P433)))</f>
        <v/>
      </c>
      <c r="L433" s="26">
        <f>IF($B433="","",IF($K433="","—",IF(ROUND($K433-$J433,0)=0,"√","×")))</f>
        <v/>
      </c>
      <c r="M433" s="26">
        <f>IF($B433="","",IF(COUNTIFS(EntryDates,$B433,CalcTime,$C433,CalcBank,$C$5,EntryParty,$D433,EntryDep,$H433,EntryWit,$I433)&gt;1,"تکرار",""))</f>
        <v/>
      </c>
      <c r="N433" s="26">
        <f>IF($P433="","",IF(INDEX(EntryNotes,$P433)=0,"",INDEX(EntryNotes,$P433)))</f>
        <v/>
      </c>
      <c r="O433" s="26">
        <f>IF($P433="","",IF(INDEX(EntryTxnID,$P433)=0,"",INDEX(EntryTxnID,$P433)))</f>
        <v/>
      </c>
      <c r="P433" s="26">
        <f>IFERROR(MATCH($C$5&amp;"|"&amp;RIGHT("000000"&amp;417,6),CalcRankKey,0),"")</f>
        <v/>
      </c>
    </row>
    <row r="434">
      <c r="A434" s="28">
        <f>IF($B434="","",418)</f>
        <v/>
      </c>
      <c r="B434" s="28">
        <f>IF($P434="","",IF(INDEX(CalcNormDate,$P434)=0,"",INDEX(CalcNormDate,$P434)))</f>
        <v/>
      </c>
      <c r="C434" s="28">
        <f>IF($P434="","",IF(INDEX(CalcTime,$P434)=0,"",INDEX(CalcTime,$P434)))</f>
        <v/>
      </c>
      <c r="D434" s="28">
        <f>IF($P434="","",IF(INDEX(EntryParty,$P434)=0,"",INDEX(EntryParty,$P434)))</f>
        <v/>
      </c>
      <c r="E434" s="28">
        <f>IF($P434="","",IF(INDEX(EntryPartyName,$P434)=0,"",INDEX(EntryPartyName,$P434)))</f>
        <v/>
      </c>
      <c r="F434" s="28">
        <f>IF($P434="","",IF(INDEX(EntryPartyType,$P434)=0,"",INDEX(EntryPartyType,$P434)))</f>
        <v/>
      </c>
      <c r="G434" s="28">
        <f>IF($P434="","",IF(INDEX(EntryTxnType,$P434)=0,"",INDEX(EntryTxnType,$P434)))</f>
        <v/>
      </c>
      <c r="H434" s="29">
        <f>IF($P434="","",IF(INDEX(EntryDep,$P434)=0,"",INDEX(EntryDep,$P434)))</f>
        <v/>
      </c>
      <c r="I434" s="29">
        <f>IF($P434="","",IF(INDEX(EntryWit,$P434)=0,"",INDEX(EntryWit,$P434)))</f>
        <v/>
      </c>
      <c r="J434" s="29">
        <f>IF($B434="","",IF($A434=1,$C$7,IF(J433="",0,J433))+IF($H434="",0,$H434)-IF($I434="",0,$I434))</f>
        <v/>
      </c>
      <c r="K434" s="29">
        <f>IF($P434="","",IF(INDEX(EntryMan,$P434)=0,"",INDEX(EntryMan,$P434)))</f>
        <v/>
      </c>
      <c r="L434" s="28">
        <f>IF($B434="","",IF($K434="","—",IF(ROUND($K434-$J434,0)=0,"√","×")))</f>
        <v/>
      </c>
      <c r="M434" s="28">
        <f>IF($B434="","",IF(COUNTIFS(EntryDates,$B434,CalcTime,$C434,CalcBank,$C$5,EntryParty,$D434,EntryDep,$H434,EntryWit,$I434)&gt;1,"تکرار",""))</f>
        <v/>
      </c>
      <c r="N434" s="28">
        <f>IF($P434="","",IF(INDEX(EntryNotes,$P434)=0,"",INDEX(EntryNotes,$P434)))</f>
        <v/>
      </c>
      <c r="O434" s="28">
        <f>IF($P434="","",IF(INDEX(EntryTxnID,$P434)=0,"",INDEX(EntryTxnID,$P434)))</f>
        <v/>
      </c>
      <c r="P434" s="28">
        <f>IFERROR(MATCH($C$5&amp;"|"&amp;RIGHT("000000"&amp;418,6),CalcRankKey,0),"")</f>
        <v/>
      </c>
    </row>
    <row r="435">
      <c r="A435" s="26">
        <f>IF($B435="","",419)</f>
        <v/>
      </c>
      <c r="B435" s="26">
        <f>IF($P435="","",IF(INDEX(CalcNormDate,$P435)=0,"",INDEX(CalcNormDate,$P435)))</f>
        <v/>
      </c>
      <c r="C435" s="26">
        <f>IF($P435="","",IF(INDEX(CalcTime,$P435)=0,"",INDEX(CalcTime,$P435)))</f>
        <v/>
      </c>
      <c r="D435" s="26">
        <f>IF($P435="","",IF(INDEX(EntryParty,$P435)=0,"",INDEX(EntryParty,$P435)))</f>
        <v/>
      </c>
      <c r="E435" s="26">
        <f>IF($P435="","",IF(INDEX(EntryPartyName,$P435)=0,"",INDEX(EntryPartyName,$P435)))</f>
        <v/>
      </c>
      <c r="F435" s="26">
        <f>IF($P435="","",IF(INDEX(EntryPartyType,$P435)=0,"",INDEX(EntryPartyType,$P435)))</f>
        <v/>
      </c>
      <c r="G435" s="26">
        <f>IF($P435="","",IF(INDEX(EntryTxnType,$P435)=0,"",INDEX(EntryTxnType,$P435)))</f>
        <v/>
      </c>
      <c r="H435" s="27">
        <f>IF($P435="","",IF(INDEX(EntryDep,$P435)=0,"",INDEX(EntryDep,$P435)))</f>
        <v/>
      </c>
      <c r="I435" s="27">
        <f>IF($P435="","",IF(INDEX(EntryWit,$P435)=0,"",INDEX(EntryWit,$P435)))</f>
        <v/>
      </c>
      <c r="J435" s="27">
        <f>IF($B435="","",IF($A435=1,$C$7,IF(J434="",0,J434))+IF($H435="",0,$H435)-IF($I435="",0,$I435))</f>
        <v/>
      </c>
      <c r="K435" s="27">
        <f>IF($P435="","",IF(INDEX(EntryMan,$P435)=0,"",INDEX(EntryMan,$P435)))</f>
        <v/>
      </c>
      <c r="L435" s="26">
        <f>IF($B435="","",IF($K435="","—",IF(ROUND($K435-$J435,0)=0,"√","×")))</f>
        <v/>
      </c>
      <c r="M435" s="26">
        <f>IF($B435="","",IF(COUNTIFS(EntryDates,$B435,CalcTime,$C435,CalcBank,$C$5,EntryParty,$D435,EntryDep,$H435,EntryWit,$I435)&gt;1,"تکرار",""))</f>
        <v/>
      </c>
      <c r="N435" s="26">
        <f>IF($P435="","",IF(INDEX(EntryNotes,$P435)=0,"",INDEX(EntryNotes,$P435)))</f>
        <v/>
      </c>
      <c r="O435" s="26">
        <f>IF($P435="","",IF(INDEX(EntryTxnID,$P435)=0,"",INDEX(EntryTxnID,$P435)))</f>
        <v/>
      </c>
      <c r="P435" s="26">
        <f>IFERROR(MATCH($C$5&amp;"|"&amp;RIGHT("000000"&amp;419,6),CalcRankKey,0),"")</f>
        <v/>
      </c>
    </row>
    <row r="436">
      <c r="A436" s="28">
        <f>IF($B436="","",420)</f>
        <v/>
      </c>
      <c r="B436" s="28">
        <f>IF($P436="","",IF(INDEX(CalcNormDate,$P436)=0,"",INDEX(CalcNormDate,$P436)))</f>
        <v/>
      </c>
      <c r="C436" s="28">
        <f>IF($P436="","",IF(INDEX(CalcTime,$P436)=0,"",INDEX(CalcTime,$P436)))</f>
        <v/>
      </c>
      <c r="D436" s="28">
        <f>IF($P436="","",IF(INDEX(EntryParty,$P436)=0,"",INDEX(EntryParty,$P436)))</f>
        <v/>
      </c>
      <c r="E436" s="28">
        <f>IF($P436="","",IF(INDEX(EntryPartyName,$P436)=0,"",INDEX(EntryPartyName,$P436)))</f>
        <v/>
      </c>
      <c r="F436" s="28">
        <f>IF($P436="","",IF(INDEX(EntryPartyType,$P436)=0,"",INDEX(EntryPartyType,$P436)))</f>
        <v/>
      </c>
      <c r="G436" s="28">
        <f>IF($P436="","",IF(INDEX(EntryTxnType,$P436)=0,"",INDEX(EntryTxnType,$P436)))</f>
        <v/>
      </c>
      <c r="H436" s="29">
        <f>IF($P436="","",IF(INDEX(EntryDep,$P436)=0,"",INDEX(EntryDep,$P436)))</f>
        <v/>
      </c>
      <c r="I436" s="29">
        <f>IF($P436="","",IF(INDEX(EntryWit,$P436)=0,"",INDEX(EntryWit,$P436)))</f>
        <v/>
      </c>
      <c r="J436" s="29">
        <f>IF($B436="","",IF($A436=1,$C$7,IF(J435="",0,J435))+IF($H436="",0,$H436)-IF($I436="",0,$I436))</f>
        <v/>
      </c>
      <c r="K436" s="29">
        <f>IF($P436="","",IF(INDEX(EntryMan,$P436)=0,"",INDEX(EntryMan,$P436)))</f>
        <v/>
      </c>
      <c r="L436" s="28">
        <f>IF($B436="","",IF($K436="","—",IF(ROUND($K436-$J436,0)=0,"√","×")))</f>
        <v/>
      </c>
      <c r="M436" s="28">
        <f>IF($B436="","",IF(COUNTIFS(EntryDates,$B436,CalcTime,$C436,CalcBank,$C$5,EntryParty,$D436,EntryDep,$H436,EntryWit,$I436)&gt;1,"تکرار",""))</f>
        <v/>
      </c>
      <c r="N436" s="28">
        <f>IF($P436="","",IF(INDEX(EntryNotes,$P436)=0,"",INDEX(EntryNotes,$P436)))</f>
        <v/>
      </c>
      <c r="O436" s="28">
        <f>IF($P436="","",IF(INDEX(EntryTxnID,$P436)=0,"",INDEX(EntryTxnID,$P436)))</f>
        <v/>
      </c>
      <c r="P436" s="28">
        <f>IFERROR(MATCH($C$5&amp;"|"&amp;RIGHT("000000"&amp;420,6),CalcRankKey,0),"")</f>
        <v/>
      </c>
    </row>
    <row r="437">
      <c r="A437" s="26">
        <f>IF($B437="","",421)</f>
        <v/>
      </c>
      <c r="B437" s="26">
        <f>IF($P437="","",IF(INDEX(CalcNormDate,$P437)=0,"",INDEX(CalcNormDate,$P437)))</f>
        <v/>
      </c>
      <c r="C437" s="26">
        <f>IF($P437="","",IF(INDEX(CalcTime,$P437)=0,"",INDEX(CalcTime,$P437)))</f>
        <v/>
      </c>
      <c r="D437" s="26">
        <f>IF($P437="","",IF(INDEX(EntryParty,$P437)=0,"",INDEX(EntryParty,$P437)))</f>
        <v/>
      </c>
      <c r="E437" s="26">
        <f>IF($P437="","",IF(INDEX(EntryPartyName,$P437)=0,"",INDEX(EntryPartyName,$P437)))</f>
        <v/>
      </c>
      <c r="F437" s="26">
        <f>IF($P437="","",IF(INDEX(EntryPartyType,$P437)=0,"",INDEX(EntryPartyType,$P437)))</f>
        <v/>
      </c>
      <c r="G437" s="26">
        <f>IF($P437="","",IF(INDEX(EntryTxnType,$P437)=0,"",INDEX(EntryTxnType,$P437)))</f>
        <v/>
      </c>
      <c r="H437" s="27">
        <f>IF($P437="","",IF(INDEX(EntryDep,$P437)=0,"",INDEX(EntryDep,$P437)))</f>
        <v/>
      </c>
      <c r="I437" s="27">
        <f>IF($P437="","",IF(INDEX(EntryWit,$P437)=0,"",INDEX(EntryWit,$P437)))</f>
        <v/>
      </c>
      <c r="J437" s="27">
        <f>IF($B437="","",IF($A437=1,$C$7,IF(J436="",0,J436))+IF($H437="",0,$H437)-IF($I437="",0,$I437))</f>
        <v/>
      </c>
      <c r="K437" s="27">
        <f>IF($P437="","",IF(INDEX(EntryMan,$P437)=0,"",INDEX(EntryMan,$P437)))</f>
        <v/>
      </c>
      <c r="L437" s="26">
        <f>IF($B437="","",IF($K437="","—",IF(ROUND($K437-$J437,0)=0,"√","×")))</f>
        <v/>
      </c>
      <c r="M437" s="26">
        <f>IF($B437="","",IF(COUNTIFS(EntryDates,$B437,CalcTime,$C437,CalcBank,$C$5,EntryParty,$D437,EntryDep,$H437,EntryWit,$I437)&gt;1,"تکرار",""))</f>
        <v/>
      </c>
      <c r="N437" s="26">
        <f>IF($P437="","",IF(INDEX(EntryNotes,$P437)=0,"",INDEX(EntryNotes,$P437)))</f>
        <v/>
      </c>
      <c r="O437" s="26">
        <f>IF($P437="","",IF(INDEX(EntryTxnID,$P437)=0,"",INDEX(EntryTxnID,$P437)))</f>
        <v/>
      </c>
      <c r="P437" s="26">
        <f>IFERROR(MATCH($C$5&amp;"|"&amp;RIGHT("000000"&amp;421,6),CalcRankKey,0),"")</f>
        <v/>
      </c>
    </row>
    <row r="438">
      <c r="A438" s="28">
        <f>IF($B438="","",422)</f>
        <v/>
      </c>
      <c r="B438" s="28">
        <f>IF($P438="","",IF(INDEX(CalcNormDate,$P438)=0,"",INDEX(CalcNormDate,$P438)))</f>
        <v/>
      </c>
      <c r="C438" s="28">
        <f>IF($P438="","",IF(INDEX(CalcTime,$P438)=0,"",INDEX(CalcTime,$P438)))</f>
        <v/>
      </c>
      <c r="D438" s="28">
        <f>IF($P438="","",IF(INDEX(EntryParty,$P438)=0,"",INDEX(EntryParty,$P438)))</f>
        <v/>
      </c>
      <c r="E438" s="28">
        <f>IF($P438="","",IF(INDEX(EntryPartyName,$P438)=0,"",INDEX(EntryPartyName,$P438)))</f>
        <v/>
      </c>
      <c r="F438" s="28">
        <f>IF($P438="","",IF(INDEX(EntryPartyType,$P438)=0,"",INDEX(EntryPartyType,$P438)))</f>
        <v/>
      </c>
      <c r="G438" s="28">
        <f>IF($P438="","",IF(INDEX(EntryTxnType,$P438)=0,"",INDEX(EntryTxnType,$P438)))</f>
        <v/>
      </c>
      <c r="H438" s="29">
        <f>IF($P438="","",IF(INDEX(EntryDep,$P438)=0,"",INDEX(EntryDep,$P438)))</f>
        <v/>
      </c>
      <c r="I438" s="29">
        <f>IF($P438="","",IF(INDEX(EntryWit,$P438)=0,"",INDEX(EntryWit,$P438)))</f>
        <v/>
      </c>
      <c r="J438" s="29">
        <f>IF($B438="","",IF($A438=1,$C$7,IF(J437="",0,J437))+IF($H438="",0,$H438)-IF($I438="",0,$I438))</f>
        <v/>
      </c>
      <c r="K438" s="29">
        <f>IF($P438="","",IF(INDEX(EntryMan,$P438)=0,"",INDEX(EntryMan,$P438)))</f>
        <v/>
      </c>
      <c r="L438" s="28">
        <f>IF($B438="","",IF($K438="","—",IF(ROUND($K438-$J438,0)=0,"√","×")))</f>
        <v/>
      </c>
      <c r="M438" s="28">
        <f>IF($B438="","",IF(COUNTIFS(EntryDates,$B438,CalcTime,$C438,CalcBank,$C$5,EntryParty,$D438,EntryDep,$H438,EntryWit,$I438)&gt;1,"تکرار",""))</f>
        <v/>
      </c>
      <c r="N438" s="28">
        <f>IF($P438="","",IF(INDEX(EntryNotes,$P438)=0,"",INDEX(EntryNotes,$P438)))</f>
        <v/>
      </c>
      <c r="O438" s="28">
        <f>IF($P438="","",IF(INDEX(EntryTxnID,$P438)=0,"",INDEX(EntryTxnID,$P438)))</f>
        <v/>
      </c>
      <c r="P438" s="28">
        <f>IFERROR(MATCH($C$5&amp;"|"&amp;RIGHT("000000"&amp;422,6),CalcRankKey,0),"")</f>
        <v/>
      </c>
    </row>
    <row r="439">
      <c r="A439" s="26">
        <f>IF($B439="","",423)</f>
        <v/>
      </c>
      <c r="B439" s="26">
        <f>IF($P439="","",IF(INDEX(CalcNormDate,$P439)=0,"",INDEX(CalcNormDate,$P439)))</f>
        <v/>
      </c>
      <c r="C439" s="26">
        <f>IF($P439="","",IF(INDEX(CalcTime,$P439)=0,"",INDEX(CalcTime,$P439)))</f>
        <v/>
      </c>
      <c r="D439" s="26">
        <f>IF($P439="","",IF(INDEX(EntryParty,$P439)=0,"",INDEX(EntryParty,$P439)))</f>
        <v/>
      </c>
      <c r="E439" s="26">
        <f>IF($P439="","",IF(INDEX(EntryPartyName,$P439)=0,"",INDEX(EntryPartyName,$P439)))</f>
        <v/>
      </c>
      <c r="F439" s="26">
        <f>IF($P439="","",IF(INDEX(EntryPartyType,$P439)=0,"",INDEX(EntryPartyType,$P439)))</f>
        <v/>
      </c>
      <c r="G439" s="26">
        <f>IF($P439="","",IF(INDEX(EntryTxnType,$P439)=0,"",INDEX(EntryTxnType,$P439)))</f>
        <v/>
      </c>
      <c r="H439" s="27">
        <f>IF($P439="","",IF(INDEX(EntryDep,$P439)=0,"",INDEX(EntryDep,$P439)))</f>
        <v/>
      </c>
      <c r="I439" s="27">
        <f>IF($P439="","",IF(INDEX(EntryWit,$P439)=0,"",INDEX(EntryWit,$P439)))</f>
        <v/>
      </c>
      <c r="J439" s="27">
        <f>IF($B439="","",IF($A439=1,$C$7,IF(J438="",0,J438))+IF($H439="",0,$H439)-IF($I439="",0,$I439))</f>
        <v/>
      </c>
      <c r="K439" s="27">
        <f>IF($P439="","",IF(INDEX(EntryMan,$P439)=0,"",INDEX(EntryMan,$P439)))</f>
        <v/>
      </c>
      <c r="L439" s="26">
        <f>IF($B439="","",IF($K439="","—",IF(ROUND($K439-$J439,0)=0,"√","×")))</f>
        <v/>
      </c>
      <c r="M439" s="26">
        <f>IF($B439="","",IF(COUNTIFS(EntryDates,$B439,CalcTime,$C439,CalcBank,$C$5,EntryParty,$D439,EntryDep,$H439,EntryWit,$I439)&gt;1,"تکرار",""))</f>
        <v/>
      </c>
      <c r="N439" s="26">
        <f>IF($P439="","",IF(INDEX(EntryNotes,$P439)=0,"",INDEX(EntryNotes,$P439)))</f>
        <v/>
      </c>
      <c r="O439" s="26">
        <f>IF($P439="","",IF(INDEX(EntryTxnID,$P439)=0,"",INDEX(EntryTxnID,$P439)))</f>
        <v/>
      </c>
      <c r="P439" s="26">
        <f>IFERROR(MATCH($C$5&amp;"|"&amp;RIGHT("000000"&amp;423,6),CalcRankKey,0),"")</f>
        <v/>
      </c>
    </row>
    <row r="440">
      <c r="A440" s="28">
        <f>IF($B440="","",424)</f>
        <v/>
      </c>
      <c r="B440" s="28">
        <f>IF($P440="","",IF(INDEX(CalcNormDate,$P440)=0,"",INDEX(CalcNormDate,$P440)))</f>
        <v/>
      </c>
      <c r="C440" s="28">
        <f>IF($P440="","",IF(INDEX(CalcTime,$P440)=0,"",INDEX(CalcTime,$P440)))</f>
        <v/>
      </c>
      <c r="D440" s="28">
        <f>IF($P440="","",IF(INDEX(EntryParty,$P440)=0,"",INDEX(EntryParty,$P440)))</f>
        <v/>
      </c>
      <c r="E440" s="28">
        <f>IF($P440="","",IF(INDEX(EntryPartyName,$P440)=0,"",INDEX(EntryPartyName,$P440)))</f>
        <v/>
      </c>
      <c r="F440" s="28">
        <f>IF($P440="","",IF(INDEX(EntryPartyType,$P440)=0,"",INDEX(EntryPartyType,$P440)))</f>
        <v/>
      </c>
      <c r="G440" s="28">
        <f>IF($P440="","",IF(INDEX(EntryTxnType,$P440)=0,"",INDEX(EntryTxnType,$P440)))</f>
        <v/>
      </c>
      <c r="H440" s="29">
        <f>IF($P440="","",IF(INDEX(EntryDep,$P440)=0,"",INDEX(EntryDep,$P440)))</f>
        <v/>
      </c>
      <c r="I440" s="29">
        <f>IF($P440="","",IF(INDEX(EntryWit,$P440)=0,"",INDEX(EntryWit,$P440)))</f>
        <v/>
      </c>
      <c r="J440" s="29">
        <f>IF($B440="","",IF($A440=1,$C$7,IF(J439="",0,J439))+IF($H440="",0,$H440)-IF($I440="",0,$I440))</f>
        <v/>
      </c>
      <c r="K440" s="29">
        <f>IF($P440="","",IF(INDEX(EntryMan,$P440)=0,"",INDEX(EntryMan,$P440)))</f>
        <v/>
      </c>
      <c r="L440" s="28">
        <f>IF($B440="","",IF($K440="","—",IF(ROUND($K440-$J440,0)=0,"√","×")))</f>
        <v/>
      </c>
      <c r="M440" s="28">
        <f>IF($B440="","",IF(COUNTIFS(EntryDates,$B440,CalcTime,$C440,CalcBank,$C$5,EntryParty,$D440,EntryDep,$H440,EntryWit,$I440)&gt;1,"تکرار",""))</f>
        <v/>
      </c>
      <c r="N440" s="28">
        <f>IF($P440="","",IF(INDEX(EntryNotes,$P440)=0,"",INDEX(EntryNotes,$P440)))</f>
        <v/>
      </c>
      <c r="O440" s="28">
        <f>IF($P440="","",IF(INDEX(EntryTxnID,$P440)=0,"",INDEX(EntryTxnID,$P440)))</f>
        <v/>
      </c>
      <c r="P440" s="28">
        <f>IFERROR(MATCH($C$5&amp;"|"&amp;RIGHT("000000"&amp;424,6),CalcRankKey,0),"")</f>
        <v/>
      </c>
    </row>
    <row r="441">
      <c r="A441" s="26">
        <f>IF($B441="","",425)</f>
        <v/>
      </c>
      <c r="B441" s="26">
        <f>IF($P441="","",IF(INDEX(CalcNormDate,$P441)=0,"",INDEX(CalcNormDate,$P441)))</f>
        <v/>
      </c>
      <c r="C441" s="26">
        <f>IF($P441="","",IF(INDEX(CalcTime,$P441)=0,"",INDEX(CalcTime,$P441)))</f>
        <v/>
      </c>
      <c r="D441" s="26">
        <f>IF($P441="","",IF(INDEX(EntryParty,$P441)=0,"",INDEX(EntryParty,$P441)))</f>
        <v/>
      </c>
      <c r="E441" s="26">
        <f>IF($P441="","",IF(INDEX(EntryPartyName,$P441)=0,"",INDEX(EntryPartyName,$P441)))</f>
        <v/>
      </c>
      <c r="F441" s="26">
        <f>IF($P441="","",IF(INDEX(EntryPartyType,$P441)=0,"",INDEX(EntryPartyType,$P441)))</f>
        <v/>
      </c>
      <c r="G441" s="26">
        <f>IF($P441="","",IF(INDEX(EntryTxnType,$P441)=0,"",INDEX(EntryTxnType,$P441)))</f>
        <v/>
      </c>
      <c r="H441" s="27">
        <f>IF($P441="","",IF(INDEX(EntryDep,$P441)=0,"",INDEX(EntryDep,$P441)))</f>
        <v/>
      </c>
      <c r="I441" s="27">
        <f>IF($P441="","",IF(INDEX(EntryWit,$P441)=0,"",INDEX(EntryWit,$P441)))</f>
        <v/>
      </c>
      <c r="J441" s="27">
        <f>IF($B441="","",IF($A441=1,$C$7,IF(J440="",0,J440))+IF($H441="",0,$H441)-IF($I441="",0,$I441))</f>
        <v/>
      </c>
      <c r="K441" s="27">
        <f>IF($P441="","",IF(INDEX(EntryMan,$P441)=0,"",INDEX(EntryMan,$P441)))</f>
        <v/>
      </c>
      <c r="L441" s="26">
        <f>IF($B441="","",IF($K441="","—",IF(ROUND($K441-$J441,0)=0,"√","×")))</f>
        <v/>
      </c>
      <c r="M441" s="26">
        <f>IF($B441="","",IF(COUNTIFS(EntryDates,$B441,CalcTime,$C441,CalcBank,$C$5,EntryParty,$D441,EntryDep,$H441,EntryWit,$I441)&gt;1,"تکرار",""))</f>
        <v/>
      </c>
      <c r="N441" s="26">
        <f>IF($P441="","",IF(INDEX(EntryNotes,$P441)=0,"",INDEX(EntryNotes,$P441)))</f>
        <v/>
      </c>
      <c r="O441" s="26">
        <f>IF($P441="","",IF(INDEX(EntryTxnID,$P441)=0,"",INDEX(EntryTxnID,$P441)))</f>
        <v/>
      </c>
      <c r="P441" s="26">
        <f>IFERROR(MATCH($C$5&amp;"|"&amp;RIGHT("000000"&amp;425,6),CalcRankKey,0),"")</f>
        <v/>
      </c>
    </row>
    <row r="442">
      <c r="A442" s="28">
        <f>IF($B442="","",426)</f>
        <v/>
      </c>
      <c r="B442" s="28">
        <f>IF($P442="","",IF(INDEX(CalcNormDate,$P442)=0,"",INDEX(CalcNormDate,$P442)))</f>
        <v/>
      </c>
      <c r="C442" s="28">
        <f>IF($P442="","",IF(INDEX(CalcTime,$P442)=0,"",INDEX(CalcTime,$P442)))</f>
        <v/>
      </c>
      <c r="D442" s="28">
        <f>IF($P442="","",IF(INDEX(EntryParty,$P442)=0,"",INDEX(EntryParty,$P442)))</f>
        <v/>
      </c>
      <c r="E442" s="28">
        <f>IF($P442="","",IF(INDEX(EntryPartyName,$P442)=0,"",INDEX(EntryPartyName,$P442)))</f>
        <v/>
      </c>
      <c r="F442" s="28">
        <f>IF($P442="","",IF(INDEX(EntryPartyType,$P442)=0,"",INDEX(EntryPartyType,$P442)))</f>
        <v/>
      </c>
      <c r="G442" s="28">
        <f>IF($P442="","",IF(INDEX(EntryTxnType,$P442)=0,"",INDEX(EntryTxnType,$P442)))</f>
        <v/>
      </c>
      <c r="H442" s="29">
        <f>IF($P442="","",IF(INDEX(EntryDep,$P442)=0,"",INDEX(EntryDep,$P442)))</f>
        <v/>
      </c>
      <c r="I442" s="29">
        <f>IF($P442="","",IF(INDEX(EntryWit,$P442)=0,"",INDEX(EntryWit,$P442)))</f>
        <v/>
      </c>
      <c r="J442" s="29">
        <f>IF($B442="","",IF($A442=1,$C$7,IF(J441="",0,J441))+IF($H442="",0,$H442)-IF($I442="",0,$I442))</f>
        <v/>
      </c>
      <c r="K442" s="29">
        <f>IF($P442="","",IF(INDEX(EntryMan,$P442)=0,"",INDEX(EntryMan,$P442)))</f>
        <v/>
      </c>
      <c r="L442" s="28">
        <f>IF($B442="","",IF($K442="","—",IF(ROUND($K442-$J442,0)=0,"√","×")))</f>
        <v/>
      </c>
      <c r="M442" s="28">
        <f>IF($B442="","",IF(COUNTIFS(EntryDates,$B442,CalcTime,$C442,CalcBank,$C$5,EntryParty,$D442,EntryDep,$H442,EntryWit,$I442)&gt;1,"تکرار",""))</f>
        <v/>
      </c>
      <c r="N442" s="28">
        <f>IF($P442="","",IF(INDEX(EntryNotes,$P442)=0,"",INDEX(EntryNotes,$P442)))</f>
        <v/>
      </c>
      <c r="O442" s="28">
        <f>IF($P442="","",IF(INDEX(EntryTxnID,$P442)=0,"",INDEX(EntryTxnID,$P442)))</f>
        <v/>
      </c>
      <c r="P442" s="28">
        <f>IFERROR(MATCH($C$5&amp;"|"&amp;RIGHT("000000"&amp;426,6),CalcRankKey,0),"")</f>
        <v/>
      </c>
    </row>
    <row r="443">
      <c r="A443" s="26">
        <f>IF($B443="","",427)</f>
        <v/>
      </c>
      <c r="B443" s="26">
        <f>IF($P443="","",IF(INDEX(CalcNormDate,$P443)=0,"",INDEX(CalcNormDate,$P443)))</f>
        <v/>
      </c>
      <c r="C443" s="26">
        <f>IF($P443="","",IF(INDEX(CalcTime,$P443)=0,"",INDEX(CalcTime,$P443)))</f>
        <v/>
      </c>
      <c r="D443" s="26">
        <f>IF($P443="","",IF(INDEX(EntryParty,$P443)=0,"",INDEX(EntryParty,$P443)))</f>
        <v/>
      </c>
      <c r="E443" s="26">
        <f>IF($P443="","",IF(INDEX(EntryPartyName,$P443)=0,"",INDEX(EntryPartyName,$P443)))</f>
        <v/>
      </c>
      <c r="F443" s="26">
        <f>IF($P443="","",IF(INDEX(EntryPartyType,$P443)=0,"",INDEX(EntryPartyType,$P443)))</f>
        <v/>
      </c>
      <c r="G443" s="26">
        <f>IF($P443="","",IF(INDEX(EntryTxnType,$P443)=0,"",INDEX(EntryTxnType,$P443)))</f>
        <v/>
      </c>
      <c r="H443" s="27">
        <f>IF($P443="","",IF(INDEX(EntryDep,$P443)=0,"",INDEX(EntryDep,$P443)))</f>
        <v/>
      </c>
      <c r="I443" s="27">
        <f>IF($P443="","",IF(INDEX(EntryWit,$P443)=0,"",INDEX(EntryWit,$P443)))</f>
        <v/>
      </c>
      <c r="J443" s="27">
        <f>IF($B443="","",IF($A443=1,$C$7,IF(J442="",0,J442))+IF($H443="",0,$H443)-IF($I443="",0,$I443))</f>
        <v/>
      </c>
      <c r="K443" s="27">
        <f>IF($P443="","",IF(INDEX(EntryMan,$P443)=0,"",INDEX(EntryMan,$P443)))</f>
        <v/>
      </c>
      <c r="L443" s="26">
        <f>IF($B443="","",IF($K443="","—",IF(ROUND($K443-$J443,0)=0,"√","×")))</f>
        <v/>
      </c>
      <c r="M443" s="26">
        <f>IF($B443="","",IF(COUNTIFS(EntryDates,$B443,CalcTime,$C443,CalcBank,$C$5,EntryParty,$D443,EntryDep,$H443,EntryWit,$I443)&gt;1,"تکرار",""))</f>
        <v/>
      </c>
      <c r="N443" s="26">
        <f>IF($P443="","",IF(INDEX(EntryNotes,$P443)=0,"",INDEX(EntryNotes,$P443)))</f>
        <v/>
      </c>
      <c r="O443" s="26">
        <f>IF($P443="","",IF(INDEX(EntryTxnID,$P443)=0,"",INDEX(EntryTxnID,$P443)))</f>
        <v/>
      </c>
      <c r="P443" s="26">
        <f>IFERROR(MATCH($C$5&amp;"|"&amp;RIGHT("000000"&amp;427,6),CalcRankKey,0),"")</f>
        <v/>
      </c>
    </row>
    <row r="444">
      <c r="A444" s="28">
        <f>IF($B444="","",428)</f>
        <v/>
      </c>
      <c r="B444" s="28">
        <f>IF($P444="","",IF(INDEX(CalcNormDate,$P444)=0,"",INDEX(CalcNormDate,$P444)))</f>
        <v/>
      </c>
      <c r="C444" s="28">
        <f>IF($P444="","",IF(INDEX(CalcTime,$P444)=0,"",INDEX(CalcTime,$P444)))</f>
        <v/>
      </c>
      <c r="D444" s="28">
        <f>IF($P444="","",IF(INDEX(EntryParty,$P444)=0,"",INDEX(EntryParty,$P444)))</f>
        <v/>
      </c>
      <c r="E444" s="28">
        <f>IF($P444="","",IF(INDEX(EntryPartyName,$P444)=0,"",INDEX(EntryPartyName,$P444)))</f>
        <v/>
      </c>
      <c r="F444" s="28">
        <f>IF($P444="","",IF(INDEX(EntryPartyType,$P444)=0,"",INDEX(EntryPartyType,$P444)))</f>
        <v/>
      </c>
      <c r="G444" s="28">
        <f>IF($P444="","",IF(INDEX(EntryTxnType,$P444)=0,"",INDEX(EntryTxnType,$P444)))</f>
        <v/>
      </c>
      <c r="H444" s="29">
        <f>IF($P444="","",IF(INDEX(EntryDep,$P444)=0,"",INDEX(EntryDep,$P444)))</f>
        <v/>
      </c>
      <c r="I444" s="29">
        <f>IF($P444="","",IF(INDEX(EntryWit,$P444)=0,"",INDEX(EntryWit,$P444)))</f>
        <v/>
      </c>
      <c r="J444" s="29">
        <f>IF($B444="","",IF($A444=1,$C$7,IF(J443="",0,J443))+IF($H444="",0,$H444)-IF($I444="",0,$I444))</f>
        <v/>
      </c>
      <c r="K444" s="29">
        <f>IF($P444="","",IF(INDEX(EntryMan,$P444)=0,"",INDEX(EntryMan,$P444)))</f>
        <v/>
      </c>
      <c r="L444" s="28">
        <f>IF($B444="","",IF($K444="","—",IF(ROUND($K444-$J444,0)=0,"√","×")))</f>
        <v/>
      </c>
      <c r="M444" s="28">
        <f>IF($B444="","",IF(COUNTIFS(EntryDates,$B444,CalcTime,$C444,CalcBank,$C$5,EntryParty,$D444,EntryDep,$H444,EntryWit,$I444)&gt;1,"تکرار",""))</f>
        <v/>
      </c>
      <c r="N444" s="28">
        <f>IF($P444="","",IF(INDEX(EntryNotes,$P444)=0,"",INDEX(EntryNotes,$P444)))</f>
        <v/>
      </c>
      <c r="O444" s="28">
        <f>IF($P444="","",IF(INDEX(EntryTxnID,$P444)=0,"",INDEX(EntryTxnID,$P444)))</f>
        <v/>
      </c>
      <c r="P444" s="28">
        <f>IFERROR(MATCH($C$5&amp;"|"&amp;RIGHT("000000"&amp;428,6),CalcRankKey,0),"")</f>
        <v/>
      </c>
    </row>
    <row r="445">
      <c r="A445" s="26">
        <f>IF($B445="","",429)</f>
        <v/>
      </c>
      <c r="B445" s="26">
        <f>IF($P445="","",IF(INDEX(CalcNormDate,$P445)=0,"",INDEX(CalcNormDate,$P445)))</f>
        <v/>
      </c>
      <c r="C445" s="26">
        <f>IF($P445="","",IF(INDEX(CalcTime,$P445)=0,"",INDEX(CalcTime,$P445)))</f>
        <v/>
      </c>
      <c r="D445" s="26">
        <f>IF($P445="","",IF(INDEX(EntryParty,$P445)=0,"",INDEX(EntryParty,$P445)))</f>
        <v/>
      </c>
      <c r="E445" s="26">
        <f>IF($P445="","",IF(INDEX(EntryPartyName,$P445)=0,"",INDEX(EntryPartyName,$P445)))</f>
        <v/>
      </c>
      <c r="F445" s="26">
        <f>IF($P445="","",IF(INDEX(EntryPartyType,$P445)=0,"",INDEX(EntryPartyType,$P445)))</f>
        <v/>
      </c>
      <c r="G445" s="26">
        <f>IF($P445="","",IF(INDEX(EntryTxnType,$P445)=0,"",INDEX(EntryTxnType,$P445)))</f>
        <v/>
      </c>
      <c r="H445" s="27">
        <f>IF($P445="","",IF(INDEX(EntryDep,$P445)=0,"",INDEX(EntryDep,$P445)))</f>
        <v/>
      </c>
      <c r="I445" s="27">
        <f>IF($P445="","",IF(INDEX(EntryWit,$P445)=0,"",INDEX(EntryWit,$P445)))</f>
        <v/>
      </c>
      <c r="J445" s="27">
        <f>IF($B445="","",IF($A445=1,$C$7,IF(J444="",0,J444))+IF($H445="",0,$H445)-IF($I445="",0,$I445))</f>
        <v/>
      </c>
      <c r="K445" s="27">
        <f>IF($P445="","",IF(INDEX(EntryMan,$P445)=0,"",INDEX(EntryMan,$P445)))</f>
        <v/>
      </c>
      <c r="L445" s="26">
        <f>IF($B445="","",IF($K445="","—",IF(ROUND($K445-$J445,0)=0,"√","×")))</f>
        <v/>
      </c>
      <c r="M445" s="26">
        <f>IF($B445="","",IF(COUNTIFS(EntryDates,$B445,CalcTime,$C445,CalcBank,$C$5,EntryParty,$D445,EntryDep,$H445,EntryWit,$I445)&gt;1,"تکرار",""))</f>
        <v/>
      </c>
      <c r="N445" s="26">
        <f>IF($P445="","",IF(INDEX(EntryNotes,$P445)=0,"",INDEX(EntryNotes,$P445)))</f>
        <v/>
      </c>
      <c r="O445" s="26">
        <f>IF($P445="","",IF(INDEX(EntryTxnID,$P445)=0,"",INDEX(EntryTxnID,$P445)))</f>
        <v/>
      </c>
      <c r="P445" s="26">
        <f>IFERROR(MATCH($C$5&amp;"|"&amp;RIGHT("000000"&amp;429,6),CalcRankKey,0),"")</f>
        <v/>
      </c>
    </row>
    <row r="446">
      <c r="A446" s="28">
        <f>IF($B446="","",430)</f>
        <v/>
      </c>
      <c r="B446" s="28">
        <f>IF($P446="","",IF(INDEX(CalcNormDate,$P446)=0,"",INDEX(CalcNormDate,$P446)))</f>
        <v/>
      </c>
      <c r="C446" s="28">
        <f>IF($P446="","",IF(INDEX(CalcTime,$P446)=0,"",INDEX(CalcTime,$P446)))</f>
        <v/>
      </c>
      <c r="D446" s="28">
        <f>IF($P446="","",IF(INDEX(EntryParty,$P446)=0,"",INDEX(EntryParty,$P446)))</f>
        <v/>
      </c>
      <c r="E446" s="28">
        <f>IF($P446="","",IF(INDEX(EntryPartyName,$P446)=0,"",INDEX(EntryPartyName,$P446)))</f>
        <v/>
      </c>
      <c r="F446" s="28">
        <f>IF($P446="","",IF(INDEX(EntryPartyType,$P446)=0,"",INDEX(EntryPartyType,$P446)))</f>
        <v/>
      </c>
      <c r="G446" s="28">
        <f>IF($P446="","",IF(INDEX(EntryTxnType,$P446)=0,"",INDEX(EntryTxnType,$P446)))</f>
        <v/>
      </c>
      <c r="H446" s="29">
        <f>IF($P446="","",IF(INDEX(EntryDep,$P446)=0,"",INDEX(EntryDep,$P446)))</f>
        <v/>
      </c>
      <c r="I446" s="29">
        <f>IF($P446="","",IF(INDEX(EntryWit,$P446)=0,"",INDEX(EntryWit,$P446)))</f>
        <v/>
      </c>
      <c r="J446" s="29">
        <f>IF($B446="","",IF($A446=1,$C$7,IF(J445="",0,J445))+IF($H446="",0,$H446)-IF($I446="",0,$I446))</f>
        <v/>
      </c>
      <c r="K446" s="29">
        <f>IF($P446="","",IF(INDEX(EntryMan,$P446)=0,"",INDEX(EntryMan,$P446)))</f>
        <v/>
      </c>
      <c r="L446" s="28">
        <f>IF($B446="","",IF($K446="","—",IF(ROUND($K446-$J446,0)=0,"√","×")))</f>
        <v/>
      </c>
      <c r="M446" s="28">
        <f>IF($B446="","",IF(COUNTIFS(EntryDates,$B446,CalcTime,$C446,CalcBank,$C$5,EntryParty,$D446,EntryDep,$H446,EntryWit,$I446)&gt;1,"تکرار",""))</f>
        <v/>
      </c>
      <c r="N446" s="28">
        <f>IF($P446="","",IF(INDEX(EntryNotes,$P446)=0,"",INDEX(EntryNotes,$P446)))</f>
        <v/>
      </c>
      <c r="O446" s="28">
        <f>IF($P446="","",IF(INDEX(EntryTxnID,$P446)=0,"",INDEX(EntryTxnID,$P446)))</f>
        <v/>
      </c>
      <c r="P446" s="28">
        <f>IFERROR(MATCH($C$5&amp;"|"&amp;RIGHT("000000"&amp;430,6),CalcRankKey,0),"")</f>
        <v/>
      </c>
    </row>
    <row r="447">
      <c r="A447" s="26">
        <f>IF($B447="","",431)</f>
        <v/>
      </c>
      <c r="B447" s="26">
        <f>IF($P447="","",IF(INDEX(CalcNormDate,$P447)=0,"",INDEX(CalcNormDate,$P447)))</f>
        <v/>
      </c>
      <c r="C447" s="26">
        <f>IF($P447="","",IF(INDEX(CalcTime,$P447)=0,"",INDEX(CalcTime,$P447)))</f>
        <v/>
      </c>
      <c r="D447" s="26">
        <f>IF($P447="","",IF(INDEX(EntryParty,$P447)=0,"",INDEX(EntryParty,$P447)))</f>
        <v/>
      </c>
      <c r="E447" s="26">
        <f>IF($P447="","",IF(INDEX(EntryPartyName,$P447)=0,"",INDEX(EntryPartyName,$P447)))</f>
        <v/>
      </c>
      <c r="F447" s="26">
        <f>IF($P447="","",IF(INDEX(EntryPartyType,$P447)=0,"",INDEX(EntryPartyType,$P447)))</f>
        <v/>
      </c>
      <c r="G447" s="26">
        <f>IF($P447="","",IF(INDEX(EntryTxnType,$P447)=0,"",INDEX(EntryTxnType,$P447)))</f>
        <v/>
      </c>
      <c r="H447" s="27">
        <f>IF($P447="","",IF(INDEX(EntryDep,$P447)=0,"",INDEX(EntryDep,$P447)))</f>
        <v/>
      </c>
      <c r="I447" s="27">
        <f>IF($P447="","",IF(INDEX(EntryWit,$P447)=0,"",INDEX(EntryWit,$P447)))</f>
        <v/>
      </c>
      <c r="J447" s="27">
        <f>IF($B447="","",IF($A447=1,$C$7,IF(J446="",0,J446))+IF($H447="",0,$H447)-IF($I447="",0,$I447))</f>
        <v/>
      </c>
      <c r="K447" s="27">
        <f>IF($P447="","",IF(INDEX(EntryMan,$P447)=0,"",INDEX(EntryMan,$P447)))</f>
        <v/>
      </c>
      <c r="L447" s="26">
        <f>IF($B447="","",IF($K447="","—",IF(ROUND($K447-$J447,0)=0,"√","×")))</f>
        <v/>
      </c>
      <c r="M447" s="26">
        <f>IF($B447="","",IF(COUNTIFS(EntryDates,$B447,CalcTime,$C447,CalcBank,$C$5,EntryParty,$D447,EntryDep,$H447,EntryWit,$I447)&gt;1,"تکرار",""))</f>
        <v/>
      </c>
      <c r="N447" s="26">
        <f>IF($P447="","",IF(INDEX(EntryNotes,$P447)=0,"",INDEX(EntryNotes,$P447)))</f>
        <v/>
      </c>
      <c r="O447" s="26">
        <f>IF($P447="","",IF(INDEX(EntryTxnID,$P447)=0,"",INDEX(EntryTxnID,$P447)))</f>
        <v/>
      </c>
      <c r="P447" s="26">
        <f>IFERROR(MATCH($C$5&amp;"|"&amp;RIGHT("000000"&amp;431,6),CalcRankKey,0),"")</f>
        <v/>
      </c>
    </row>
    <row r="448">
      <c r="A448" s="28">
        <f>IF($B448="","",432)</f>
        <v/>
      </c>
      <c r="B448" s="28">
        <f>IF($P448="","",IF(INDEX(CalcNormDate,$P448)=0,"",INDEX(CalcNormDate,$P448)))</f>
        <v/>
      </c>
      <c r="C448" s="28">
        <f>IF($P448="","",IF(INDEX(CalcTime,$P448)=0,"",INDEX(CalcTime,$P448)))</f>
        <v/>
      </c>
      <c r="D448" s="28">
        <f>IF($P448="","",IF(INDEX(EntryParty,$P448)=0,"",INDEX(EntryParty,$P448)))</f>
        <v/>
      </c>
      <c r="E448" s="28">
        <f>IF($P448="","",IF(INDEX(EntryPartyName,$P448)=0,"",INDEX(EntryPartyName,$P448)))</f>
        <v/>
      </c>
      <c r="F448" s="28">
        <f>IF($P448="","",IF(INDEX(EntryPartyType,$P448)=0,"",INDEX(EntryPartyType,$P448)))</f>
        <v/>
      </c>
      <c r="G448" s="28">
        <f>IF($P448="","",IF(INDEX(EntryTxnType,$P448)=0,"",INDEX(EntryTxnType,$P448)))</f>
        <v/>
      </c>
      <c r="H448" s="29">
        <f>IF($P448="","",IF(INDEX(EntryDep,$P448)=0,"",INDEX(EntryDep,$P448)))</f>
        <v/>
      </c>
      <c r="I448" s="29">
        <f>IF($P448="","",IF(INDEX(EntryWit,$P448)=0,"",INDEX(EntryWit,$P448)))</f>
        <v/>
      </c>
      <c r="J448" s="29">
        <f>IF($B448="","",IF($A448=1,$C$7,IF(J447="",0,J447))+IF($H448="",0,$H448)-IF($I448="",0,$I448))</f>
        <v/>
      </c>
      <c r="K448" s="29">
        <f>IF($P448="","",IF(INDEX(EntryMan,$P448)=0,"",INDEX(EntryMan,$P448)))</f>
        <v/>
      </c>
      <c r="L448" s="28">
        <f>IF($B448="","",IF($K448="","—",IF(ROUND($K448-$J448,0)=0,"√","×")))</f>
        <v/>
      </c>
      <c r="M448" s="28">
        <f>IF($B448="","",IF(COUNTIFS(EntryDates,$B448,CalcTime,$C448,CalcBank,$C$5,EntryParty,$D448,EntryDep,$H448,EntryWit,$I448)&gt;1,"تکرار",""))</f>
        <v/>
      </c>
      <c r="N448" s="28">
        <f>IF($P448="","",IF(INDEX(EntryNotes,$P448)=0,"",INDEX(EntryNotes,$P448)))</f>
        <v/>
      </c>
      <c r="O448" s="28">
        <f>IF($P448="","",IF(INDEX(EntryTxnID,$P448)=0,"",INDEX(EntryTxnID,$P448)))</f>
        <v/>
      </c>
      <c r="P448" s="28">
        <f>IFERROR(MATCH($C$5&amp;"|"&amp;RIGHT("000000"&amp;432,6),CalcRankKey,0),"")</f>
        <v/>
      </c>
    </row>
    <row r="449">
      <c r="A449" s="26">
        <f>IF($B449="","",433)</f>
        <v/>
      </c>
      <c r="B449" s="26">
        <f>IF($P449="","",IF(INDEX(CalcNormDate,$P449)=0,"",INDEX(CalcNormDate,$P449)))</f>
        <v/>
      </c>
      <c r="C449" s="26">
        <f>IF($P449="","",IF(INDEX(CalcTime,$P449)=0,"",INDEX(CalcTime,$P449)))</f>
        <v/>
      </c>
      <c r="D449" s="26">
        <f>IF($P449="","",IF(INDEX(EntryParty,$P449)=0,"",INDEX(EntryParty,$P449)))</f>
        <v/>
      </c>
      <c r="E449" s="26">
        <f>IF($P449="","",IF(INDEX(EntryPartyName,$P449)=0,"",INDEX(EntryPartyName,$P449)))</f>
        <v/>
      </c>
      <c r="F449" s="26">
        <f>IF($P449="","",IF(INDEX(EntryPartyType,$P449)=0,"",INDEX(EntryPartyType,$P449)))</f>
        <v/>
      </c>
      <c r="G449" s="26">
        <f>IF($P449="","",IF(INDEX(EntryTxnType,$P449)=0,"",INDEX(EntryTxnType,$P449)))</f>
        <v/>
      </c>
      <c r="H449" s="27">
        <f>IF($P449="","",IF(INDEX(EntryDep,$P449)=0,"",INDEX(EntryDep,$P449)))</f>
        <v/>
      </c>
      <c r="I449" s="27">
        <f>IF($P449="","",IF(INDEX(EntryWit,$P449)=0,"",INDEX(EntryWit,$P449)))</f>
        <v/>
      </c>
      <c r="J449" s="27">
        <f>IF($B449="","",IF($A449=1,$C$7,IF(J448="",0,J448))+IF($H449="",0,$H449)-IF($I449="",0,$I449))</f>
        <v/>
      </c>
      <c r="K449" s="27">
        <f>IF($P449="","",IF(INDEX(EntryMan,$P449)=0,"",INDEX(EntryMan,$P449)))</f>
        <v/>
      </c>
      <c r="L449" s="26">
        <f>IF($B449="","",IF($K449="","—",IF(ROUND($K449-$J449,0)=0,"√","×")))</f>
        <v/>
      </c>
      <c r="M449" s="26">
        <f>IF($B449="","",IF(COUNTIFS(EntryDates,$B449,CalcTime,$C449,CalcBank,$C$5,EntryParty,$D449,EntryDep,$H449,EntryWit,$I449)&gt;1,"تکرار",""))</f>
        <v/>
      </c>
      <c r="N449" s="26">
        <f>IF($P449="","",IF(INDEX(EntryNotes,$P449)=0,"",INDEX(EntryNotes,$P449)))</f>
        <v/>
      </c>
      <c r="O449" s="26">
        <f>IF($P449="","",IF(INDEX(EntryTxnID,$P449)=0,"",INDEX(EntryTxnID,$P449)))</f>
        <v/>
      </c>
      <c r="P449" s="26">
        <f>IFERROR(MATCH($C$5&amp;"|"&amp;RIGHT("000000"&amp;433,6),CalcRankKey,0),"")</f>
        <v/>
      </c>
    </row>
    <row r="450">
      <c r="A450" s="28">
        <f>IF($B450="","",434)</f>
        <v/>
      </c>
      <c r="B450" s="28">
        <f>IF($P450="","",IF(INDEX(CalcNormDate,$P450)=0,"",INDEX(CalcNormDate,$P450)))</f>
        <v/>
      </c>
      <c r="C450" s="28">
        <f>IF($P450="","",IF(INDEX(CalcTime,$P450)=0,"",INDEX(CalcTime,$P450)))</f>
        <v/>
      </c>
      <c r="D450" s="28">
        <f>IF($P450="","",IF(INDEX(EntryParty,$P450)=0,"",INDEX(EntryParty,$P450)))</f>
        <v/>
      </c>
      <c r="E450" s="28">
        <f>IF($P450="","",IF(INDEX(EntryPartyName,$P450)=0,"",INDEX(EntryPartyName,$P450)))</f>
        <v/>
      </c>
      <c r="F450" s="28">
        <f>IF($P450="","",IF(INDEX(EntryPartyType,$P450)=0,"",INDEX(EntryPartyType,$P450)))</f>
        <v/>
      </c>
      <c r="G450" s="28">
        <f>IF($P450="","",IF(INDEX(EntryTxnType,$P450)=0,"",INDEX(EntryTxnType,$P450)))</f>
        <v/>
      </c>
      <c r="H450" s="29">
        <f>IF($P450="","",IF(INDEX(EntryDep,$P450)=0,"",INDEX(EntryDep,$P450)))</f>
        <v/>
      </c>
      <c r="I450" s="29">
        <f>IF($P450="","",IF(INDEX(EntryWit,$P450)=0,"",INDEX(EntryWit,$P450)))</f>
        <v/>
      </c>
      <c r="J450" s="29">
        <f>IF($B450="","",IF($A450=1,$C$7,IF(J449="",0,J449))+IF($H450="",0,$H450)-IF($I450="",0,$I450))</f>
        <v/>
      </c>
      <c r="K450" s="29">
        <f>IF($P450="","",IF(INDEX(EntryMan,$P450)=0,"",INDEX(EntryMan,$P450)))</f>
        <v/>
      </c>
      <c r="L450" s="28">
        <f>IF($B450="","",IF($K450="","—",IF(ROUND($K450-$J450,0)=0,"√","×")))</f>
        <v/>
      </c>
      <c r="M450" s="28">
        <f>IF($B450="","",IF(COUNTIFS(EntryDates,$B450,CalcTime,$C450,CalcBank,$C$5,EntryParty,$D450,EntryDep,$H450,EntryWit,$I450)&gt;1,"تکرار",""))</f>
        <v/>
      </c>
      <c r="N450" s="28">
        <f>IF($P450="","",IF(INDEX(EntryNotes,$P450)=0,"",INDEX(EntryNotes,$P450)))</f>
        <v/>
      </c>
      <c r="O450" s="28">
        <f>IF($P450="","",IF(INDEX(EntryTxnID,$P450)=0,"",INDEX(EntryTxnID,$P450)))</f>
        <v/>
      </c>
      <c r="P450" s="28">
        <f>IFERROR(MATCH($C$5&amp;"|"&amp;RIGHT("000000"&amp;434,6),CalcRankKey,0),"")</f>
        <v/>
      </c>
    </row>
    <row r="451">
      <c r="A451" s="26">
        <f>IF($B451="","",435)</f>
        <v/>
      </c>
      <c r="B451" s="26">
        <f>IF($P451="","",IF(INDEX(CalcNormDate,$P451)=0,"",INDEX(CalcNormDate,$P451)))</f>
        <v/>
      </c>
      <c r="C451" s="26">
        <f>IF($P451="","",IF(INDEX(CalcTime,$P451)=0,"",INDEX(CalcTime,$P451)))</f>
        <v/>
      </c>
      <c r="D451" s="26">
        <f>IF($P451="","",IF(INDEX(EntryParty,$P451)=0,"",INDEX(EntryParty,$P451)))</f>
        <v/>
      </c>
      <c r="E451" s="26">
        <f>IF($P451="","",IF(INDEX(EntryPartyName,$P451)=0,"",INDEX(EntryPartyName,$P451)))</f>
        <v/>
      </c>
      <c r="F451" s="26">
        <f>IF($P451="","",IF(INDEX(EntryPartyType,$P451)=0,"",INDEX(EntryPartyType,$P451)))</f>
        <v/>
      </c>
      <c r="G451" s="26">
        <f>IF($P451="","",IF(INDEX(EntryTxnType,$P451)=0,"",INDEX(EntryTxnType,$P451)))</f>
        <v/>
      </c>
      <c r="H451" s="27">
        <f>IF($P451="","",IF(INDEX(EntryDep,$P451)=0,"",INDEX(EntryDep,$P451)))</f>
        <v/>
      </c>
      <c r="I451" s="27">
        <f>IF($P451="","",IF(INDEX(EntryWit,$P451)=0,"",INDEX(EntryWit,$P451)))</f>
        <v/>
      </c>
      <c r="J451" s="27">
        <f>IF($B451="","",IF($A451=1,$C$7,IF(J450="",0,J450))+IF($H451="",0,$H451)-IF($I451="",0,$I451))</f>
        <v/>
      </c>
      <c r="K451" s="27">
        <f>IF($P451="","",IF(INDEX(EntryMan,$P451)=0,"",INDEX(EntryMan,$P451)))</f>
        <v/>
      </c>
      <c r="L451" s="26">
        <f>IF($B451="","",IF($K451="","—",IF(ROUND($K451-$J451,0)=0,"√","×")))</f>
        <v/>
      </c>
      <c r="M451" s="26">
        <f>IF($B451="","",IF(COUNTIFS(EntryDates,$B451,CalcTime,$C451,CalcBank,$C$5,EntryParty,$D451,EntryDep,$H451,EntryWit,$I451)&gt;1,"تکرار",""))</f>
        <v/>
      </c>
      <c r="N451" s="26">
        <f>IF($P451="","",IF(INDEX(EntryNotes,$P451)=0,"",INDEX(EntryNotes,$P451)))</f>
        <v/>
      </c>
      <c r="O451" s="26">
        <f>IF($P451="","",IF(INDEX(EntryTxnID,$P451)=0,"",INDEX(EntryTxnID,$P451)))</f>
        <v/>
      </c>
      <c r="P451" s="26">
        <f>IFERROR(MATCH($C$5&amp;"|"&amp;RIGHT("000000"&amp;435,6),CalcRankKey,0),"")</f>
        <v/>
      </c>
    </row>
    <row r="452">
      <c r="A452" s="28">
        <f>IF($B452="","",436)</f>
        <v/>
      </c>
      <c r="B452" s="28">
        <f>IF($P452="","",IF(INDEX(CalcNormDate,$P452)=0,"",INDEX(CalcNormDate,$P452)))</f>
        <v/>
      </c>
      <c r="C452" s="28">
        <f>IF($P452="","",IF(INDEX(CalcTime,$P452)=0,"",INDEX(CalcTime,$P452)))</f>
        <v/>
      </c>
      <c r="D452" s="28">
        <f>IF($P452="","",IF(INDEX(EntryParty,$P452)=0,"",INDEX(EntryParty,$P452)))</f>
        <v/>
      </c>
      <c r="E452" s="28">
        <f>IF($P452="","",IF(INDEX(EntryPartyName,$P452)=0,"",INDEX(EntryPartyName,$P452)))</f>
        <v/>
      </c>
      <c r="F452" s="28">
        <f>IF($P452="","",IF(INDEX(EntryPartyType,$P452)=0,"",INDEX(EntryPartyType,$P452)))</f>
        <v/>
      </c>
      <c r="G452" s="28">
        <f>IF($P452="","",IF(INDEX(EntryTxnType,$P452)=0,"",INDEX(EntryTxnType,$P452)))</f>
        <v/>
      </c>
      <c r="H452" s="29">
        <f>IF($P452="","",IF(INDEX(EntryDep,$P452)=0,"",INDEX(EntryDep,$P452)))</f>
        <v/>
      </c>
      <c r="I452" s="29">
        <f>IF($P452="","",IF(INDEX(EntryWit,$P452)=0,"",INDEX(EntryWit,$P452)))</f>
        <v/>
      </c>
      <c r="J452" s="29">
        <f>IF($B452="","",IF($A452=1,$C$7,IF(J451="",0,J451))+IF($H452="",0,$H452)-IF($I452="",0,$I452))</f>
        <v/>
      </c>
      <c r="K452" s="29">
        <f>IF($P452="","",IF(INDEX(EntryMan,$P452)=0,"",INDEX(EntryMan,$P452)))</f>
        <v/>
      </c>
      <c r="L452" s="28">
        <f>IF($B452="","",IF($K452="","—",IF(ROUND($K452-$J452,0)=0,"√","×")))</f>
        <v/>
      </c>
      <c r="M452" s="28">
        <f>IF($B452="","",IF(COUNTIFS(EntryDates,$B452,CalcTime,$C452,CalcBank,$C$5,EntryParty,$D452,EntryDep,$H452,EntryWit,$I452)&gt;1,"تکرار",""))</f>
        <v/>
      </c>
      <c r="N452" s="28">
        <f>IF($P452="","",IF(INDEX(EntryNotes,$P452)=0,"",INDEX(EntryNotes,$P452)))</f>
        <v/>
      </c>
      <c r="O452" s="28">
        <f>IF($P452="","",IF(INDEX(EntryTxnID,$P452)=0,"",INDEX(EntryTxnID,$P452)))</f>
        <v/>
      </c>
      <c r="P452" s="28">
        <f>IFERROR(MATCH($C$5&amp;"|"&amp;RIGHT("000000"&amp;436,6),CalcRankKey,0),"")</f>
        <v/>
      </c>
    </row>
    <row r="453">
      <c r="A453" s="26">
        <f>IF($B453="","",437)</f>
        <v/>
      </c>
      <c r="B453" s="26">
        <f>IF($P453="","",IF(INDEX(CalcNormDate,$P453)=0,"",INDEX(CalcNormDate,$P453)))</f>
        <v/>
      </c>
      <c r="C453" s="26">
        <f>IF($P453="","",IF(INDEX(CalcTime,$P453)=0,"",INDEX(CalcTime,$P453)))</f>
        <v/>
      </c>
      <c r="D453" s="26">
        <f>IF($P453="","",IF(INDEX(EntryParty,$P453)=0,"",INDEX(EntryParty,$P453)))</f>
        <v/>
      </c>
      <c r="E453" s="26">
        <f>IF($P453="","",IF(INDEX(EntryPartyName,$P453)=0,"",INDEX(EntryPartyName,$P453)))</f>
        <v/>
      </c>
      <c r="F453" s="26">
        <f>IF($P453="","",IF(INDEX(EntryPartyType,$P453)=0,"",INDEX(EntryPartyType,$P453)))</f>
        <v/>
      </c>
      <c r="G453" s="26">
        <f>IF($P453="","",IF(INDEX(EntryTxnType,$P453)=0,"",INDEX(EntryTxnType,$P453)))</f>
        <v/>
      </c>
      <c r="H453" s="27">
        <f>IF($P453="","",IF(INDEX(EntryDep,$P453)=0,"",INDEX(EntryDep,$P453)))</f>
        <v/>
      </c>
      <c r="I453" s="27">
        <f>IF($P453="","",IF(INDEX(EntryWit,$P453)=0,"",INDEX(EntryWit,$P453)))</f>
        <v/>
      </c>
      <c r="J453" s="27">
        <f>IF($B453="","",IF($A453=1,$C$7,IF(J452="",0,J452))+IF($H453="",0,$H453)-IF($I453="",0,$I453))</f>
        <v/>
      </c>
      <c r="K453" s="27">
        <f>IF($P453="","",IF(INDEX(EntryMan,$P453)=0,"",INDEX(EntryMan,$P453)))</f>
        <v/>
      </c>
      <c r="L453" s="26">
        <f>IF($B453="","",IF($K453="","—",IF(ROUND($K453-$J453,0)=0,"√","×")))</f>
        <v/>
      </c>
      <c r="M453" s="26">
        <f>IF($B453="","",IF(COUNTIFS(EntryDates,$B453,CalcTime,$C453,CalcBank,$C$5,EntryParty,$D453,EntryDep,$H453,EntryWit,$I453)&gt;1,"تکرار",""))</f>
        <v/>
      </c>
      <c r="N453" s="26">
        <f>IF($P453="","",IF(INDEX(EntryNotes,$P453)=0,"",INDEX(EntryNotes,$P453)))</f>
        <v/>
      </c>
      <c r="O453" s="26">
        <f>IF($P453="","",IF(INDEX(EntryTxnID,$P453)=0,"",INDEX(EntryTxnID,$P453)))</f>
        <v/>
      </c>
      <c r="P453" s="26">
        <f>IFERROR(MATCH($C$5&amp;"|"&amp;RIGHT("000000"&amp;437,6),CalcRankKey,0),"")</f>
        <v/>
      </c>
    </row>
    <row r="454">
      <c r="A454" s="28">
        <f>IF($B454="","",438)</f>
        <v/>
      </c>
      <c r="B454" s="28">
        <f>IF($P454="","",IF(INDEX(CalcNormDate,$P454)=0,"",INDEX(CalcNormDate,$P454)))</f>
        <v/>
      </c>
      <c r="C454" s="28">
        <f>IF($P454="","",IF(INDEX(CalcTime,$P454)=0,"",INDEX(CalcTime,$P454)))</f>
        <v/>
      </c>
      <c r="D454" s="28">
        <f>IF($P454="","",IF(INDEX(EntryParty,$P454)=0,"",INDEX(EntryParty,$P454)))</f>
        <v/>
      </c>
      <c r="E454" s="28">
        <f>IF($P454="","",IF(INDEX(EntryPartyName,$P454)=0,"",INDEX(EntryPartyName,$P454)))</f>
        <v/>
      </c>
      <c r="F454" s="28">
        <f>IF($P454="","",IF(INDEX(EntryPartyType,$P454)=0,"",INDEX(EntryPartyType,$P454)))</f>
        <v/>
      </c>
      <c r="G454" s="28">
        <f>IF($P454="","",IF(INDEX(EntryTxnType,$P454)=0,"",INDEX(EntryTxnType,$P454)))</f>
        <v/>
      </c>
      <c r="H454" s="29">
        <f>IF($P454="","",IF(INDEX(EntryDep,$P454)=0,"",INDEX(EntryDep,$P454)))</f>
        <v/>
      </c>
      <c r="I454" s="29">
        <f>IF($P454="","",IF(INDEX(EntryWit,$P454)=0,"",INDEX(EntryWit,$P454)))</f>
        <v/>
      </c>
      <c r="J454" s="29">
        <f>IF($B454="","",IF($A454=1,$C$7,IF(J453="",0,J453))+IF($H454="",0,$H454)-IF($I454="",0,$I454))</f>
        <v/>
      </c>
      <c r="K454" s="29">
        <f>IF($P454="","",IF(INDEX(EntryMan,$P454)=0,"",INDEX(EntryMan,$P454)))</f>
        <v/>
      </c>
      <c r="L454" s="28">
        <f>IF($B454="","",IF($K454="","—",IF(ROUND($K454-$J454,0)=0,"√","×")))</f>
        <v/>
      </c>
      <c r="M454" s="28">
        <f>IF($B454="","",IF(COUNTIFS(EntryDates,$B454,CalcTime,$C454,CalcBank,$C$5,EntryParty,$D454,EntryDep,$H454,EntryWit,$I454)&gt;1,"تکرار",""))</f>
        <v/>
      </c>
      <c r="N454" s="28">
        <f>IF($P454="","",IF(INDEX(EntryNotes,$P454)=0,"",INDEX(EntryNotes,$P454)))</f>
        <v/>
      </c>
      <c r="O454" s="28">
        <f>IF($P454="","",IF(INDEX(EntryTxnID,$P454)=0,"",INDEX(EntryTxnID,$P454)))</f>
        <v/>
      </c>
      <c r="P454" s="28">
        <f>IFERROR(MATCH($C$5&amp;"|"&amp;RIGHT("000000"&amp;438,6),CalcRankKey,0),"")</f>
        <v/>
      </c>
    </row>
    <row r="455">
      <c r="A455" s="26">
        <f>IF($B455="","",439)</f>
        <v/>
      </c>
      <c r="B455" s="26">
        <f>IF($P455="","",IF(INDEX(CalcNormDate,$P455)=0,"",INDEX(CalcNormDate,$P455)))</f>
        <v/>
      </c>
      <c r="C455" s="26">
        <f>IF($P455="","",IF(INDEX(CalcTime,$P455)=0,"",INDEX(CalcTime,$P455)))</f>
        <v/>
      </c>
      <c r="D455" s="26">
        <f>IF($P455="","",IF(INDEX(EntryParty,$P455)=0,"",INDEX(EntryParty,$P455)))</f>
        <v/>
      </c>
      <c r="E455" s="26">
        <f>IF($P455="","",IF(INDEX(EntryPartyName,$P455)=0,"",INDEX(EntryPartyName,$P455)))</f>
        <v/>
      </c>
      <c r="F455" s="26">
        <f>IF($P455="","",IF(INDEX(EntryPartyType,$P455)=0,"",INDEX(EntryPartyType,$P455)))</f>
        <v/>
      </c>
      <c r="G455" s="26">
        <f>IF($P455="","",IF(INDEX(EntryTxnType,$P455)=0,"",INDEX(EntryTxnType,$P455)))</f>
        <v/>
      </c>
      <c r="H455" s="27">
        <f>IF($P455="","",IF(INDEX(EntryDep,$P455)=0,"",INDEX(EntryDep,$P455)))</f>
        <v/>
      </c>
      <c r="I455" s="27">
        <f>IF($P455="","",IF(INDEX(EntryWit,$P455)=0,"",INDEX(EntryWit,$P455)))</f>
        <v/>
      </c>
      <c r="J455" s="27">
        <f>IF($B455="","",IF($A455=1,$C$7,IF(J454="",0,J454))+IF($H455="",0,$H455)-IF($I455="",0,$I455))</f>
        <v/>
      </c>
      <c r="K455" s="27">
        <f>IF($P455="","",IF(INDEX(EntryMan,$P455)=0,"",INDEX(EntryMan,$P455)))</f>
        <v/>
      </c>
      <c r="L455" s="26">
        <f>IF($B455="","",IF($K455="","—",IF(ROUND($K455-$J455,0)=0,"√","×")))</f>
        <v/>
      </c>
      <c r="M455" s="26">
        <f>IF($B455="","",IF(COUNTIFS(EntryDates,$B455,CalcTime,$C455,CalcBank,$C$5,EntryParty,$D455,EntryDep,$H455,EntryWit,$I455)&gt;1,"تکرار",""))</f>
        <v/>
      </c>
      <c r="N455" s="26">
        <f>IF($P455="","",IF(INDEX(EntryNotes,$P455)=0,"",INDEX(EntryNotes,$P455)))</f>
        <v/>
      </c>
      <c r="O455" s="26">
        <f>IF($P455="","",IF(INDEX(EntryTxnID,$P455)=0,"",INDEX(EntryTxnID,$P455)))</f>
        <v/>
      </c>
      <c r="P455" s="26">
        <f>IFERROR(MATCH($C$5&amp;"|"&amp;RIGHT("000000"&amp;439,6),CalcRankKey,0),"")</f>
        <v/>
      </c>
    </row>
    <row r="456">
      <c r="A456" s="28">
        <f>IF($B456="","",440)</f>
        <v/>
      </c>
      <c r="B456" s="28">
        <f>IF($P456="","",IF(INDEX(CalcNormDate,$P456)=0,"",INDEX(CalcNormDate,$P456)))</f>
        <v/>
      </c>
      <c r="C456" s="28">
        <f>IF($P456="","",IF(INDEX(CalcTime,$P456)=0,"",INDEX(CalcTime,$P456)))</f>
        <v/>
      </c>
      <c r="D456" s="28">
        <f>IF($P456="","",IF(INDEX(EntryParty,$P456)=0,"",INDEX(EntryParty,$P456)))</f>
        <v/>
      </c>
      <c r="E456" s="28">
        <f>IF($P456="","",IF(INDEX(EntryPartyName,$P456)=0,"",INDEX(EntryPartyName,$P456)))</f>
        <v/>
      </c>
      <c r="F456" s="28">
        <f>IF($P456="","",IF(INDEX(EntryPartyType,$P456)=0,"",INDEX(EntryPartyType,$P456)))</f>
        <v/>
      </c>
      <c r="G456" s="28">
        <f>IF($P456="","",IF(INDEX(EntryTxnType,$P456)=0,"",INDEX(EntryTxnType,$P456)))</f>
        <v/>
      </c>
      <c r="H456" s="29">
        <f>IF($P456="","",IF(INDEX(EntryDep,$P456)=0,"",INDEX(EntryDep,$P456)))</f>
        <v/>
      </c>
      <c r="I456" s="29">
        <f>IF($P456="","",IF(INDEX(EntryWit,$P456)=0,"",INDEX(EntryWit,$P456)))</f>
        <v/>
      </c>
      <c r="J456" s="29">
        <f>IF($B456="","",IF($A456=1,$C$7,IF(J455="",0,J455))+IF($H456="",0,$H456)-IF($I456="",0,$I456))</f>
        <v/>
      </c>
      <c r="K456" s="29">
        <f>IF($P456="","",IF(INDEX(EntryMan,$P456)=0,"",INDEX(EntryMan,$P456)))</f>
        <v/>
      </c>
      <c r="L456" s="28">
        <f>IF($B456="","",IF($K456="","—",IF(ROUND($K456-$J456,0)=0,"√","×")))</f>
        <v/>
      </c>
      <c r="M456" s="28">
        <f>IF($B456="","",IF(COUNTIFS(EntryDates,$B456,CalcTime,$C456,CalcBank,$C$5,EntryParty,$D456,EntryDep,$H456,EntryWit,$I456)&gt;1,"تکرار",""))</f>
        <v/>
      </c>
      <c r="N456" s="28">
        <f>IF($P456="","",IF(INDEX(EntryNotes,$P456)=0,"",INDEX(EntryNotes,$P456)))</f>
        <v/>
      </c>
      <c r="O456" s="28">
        <f>IF($P456="","",IF(INDEX(EntryTxnID,$P456)=0,"",INDEX(EntryTxnID,$P456)))</f>
        <v/>
      </c>
      <c r="P456" s="28">
        <f>IFERROR(MATCH($C$5&amp;"|"&amp;RIGHT("000000"&amp;440,6),CalcRankKey,0),"")</f>
        <v/>
      </c>
    </row>
    <row r="457">
      <c r="A457" s="26">
        <f>IF($B457="","",441)</f>
        <v/>
      </c>
      <c r="B457" s="26">
        <f>IF($P457="","",IF(INDEX(CalcNormDate,$P457)=0,"",INDEX(CalcNormDate,$P457)))</f>
        <v/>
      </c>
      <c r="C457" s="26">
        <f>IF($P457="","",IF(INDEX(CalcTime,$P457)=0,"",INDEX(CalcTime,$P457)))</f>
        <v/>
      </c>
      <c r="D457" s="26">
        <f>IF($P457="","",IF(INDEX(EntryParty,$P457)=0,"",INDEX(EntryParty,$P457)))</f>
        <v/>
      </c>
      <c r="E457" s="26">
        <f>IF($P457="","",IF(INDEX(EntryPartyName,$P457)=0,"",INDEX(EntryPartyName,$P457)))</f>
        <v/>
      </c>
      <c r="F457" s="26">
        <f>IF($P457="","",IF(INDEX(EntryPartyType,$P457)=0,"",INDEX(EntryPartyType,$P457)))</f>
        <v/>
      </c>
      <c r="G457" s="26">
        <f>IF($P457="","",IF(INDEX(EntryTxnType,$P457)=0,"",INDEX(EntryTxnType,$P457)))</f>
        <v/>
      </c>
      <c r="H457" s="27">
        <f>IF($P457="","",IF(INDEX(EntryDep,$P457)=0,"",INDEX(EntryDep,$P457)))</f>
        <v/>
      </c>
      <c r="I457" s="27">
        <f>IF($P457="","",IF(INDEX(EntryWit,$P457)=0,"",INDEX(EntryWit,$P457)))</f>
        <v/>
      </c>
      <c r="J457" s="27">
        <f>IF($B457="","",IF($A457=1,$C$7,IF(J456="",0,J456))+IF($H457="",0,$H457)-IF($I457="",0,$I457))</f>
        <v/>
      </c>
      <c r="K457" s="27">
        <f>IF($P457="","",IF(INDEX(EntryMan,$P457)=0,"",INDEX(EntryMan,$P457)))</f>
        <v/>
      </c>
      <c r="L457" s="26">
        <f>IF($B457="","",IF($K457="","—",IF(ROUND($K457-$J457,0)=0,"√","×")))</f>
        <v/>
      </c>
      <c r="M457" s="26">
        <f>IF($B457="","",IF(COUNTIFS(EntryDates,$B457,CalcTime,$C457,CalcBank,$C$5,EntryParty,$D457,EntryDep,$H457,EntryWit,$I457)&gt;1,"تکرار",""))</f>
        <v/>
      </c>
      <c r="N457" s="26">
        <f>IF($P457="","",IF(INDEX(EntryNotes,$P457)=0,"",INDEX(EntryNotes,$P457)))</f>
        <v/>
      </c>
      <c r="O457" s="26">
        <f>IF($P457="","",IF(INDEX(EntryTxnID,$P457)=0,"",INDEX(EntryTxnID,$P457)))</f>
        <v/>
      </c>
      <c r="P457" s="26">
        <f>IFERROR(MATCH($C$5&amp;"|"&amp;RIGHT("000000"&amp;441,6),CalcRankKey,0),"")</f>
        <v/>
      </c>
    </row>
    <row r="458">
      <c r="A458" s="28">
        <f>IF($B458="","",442)</f>
        <v/>
      </c>
      <c r="B458" s="28">
        <f>IF($P458="","",IF(INDEX(CalcNormDate,$P458)=0,"",INDEX(CalcNormDate,$P458)))</f>
        <v/>
      </c>
      <c r="C458" s="28">
        <f>IF($P458="","",IF(INDEX(CalcTime,$P458)=0,"",INDEX(CalcTime,$P458)))</f>
        <v/>
      </c>
      <c r="D458" s="28">
        <f>IF($P458="","",IF(INDEX(EntryParty,$P458)=0,"",INDEX(EntryParty,$P458)))</f>
        <v/>
      </c>
      <c r="E458" s="28">
        <f>IF($P458="","",IF(INDEX(EntryPartyName,$P458)=0,"",INDEX(EntryPartyName,$P458)))</f>
        <v/>
      </c>
      <c r="F458" s="28">
        <f>IF($P458="","",IF(INDEX(EntryPartyType,$P458)=0,"",INDEX(EntryPartyType,$P458)))</f>
        <v/>
      </c>
      <c r="G458" s="28">
        <f>IF($P458="","",IF(INDEX(EntryTxnType,$P458)=0,"",INDEX(EntryTxnType,$P458)))</f>
        <v/>
      </c>
      <c r="H458" s="29">
        <f>IF($P458="","",IF(INDEX(EntryDep,$P458)=0,"",INDEX(EntryDep,$P458)))</f>
        <v/>
      </c>
      <c r="I458" s="29">
        <f>IF($P458="","",IF(INDEX(EntryWit,$P458)=0,"",INDEX(EntryWit,$P458)))</f>
        <v/>
      </c>
      <c r="J458" s="29">
        <f>IF($B458="","",IF($A458=1,$C$7,IF(J457="",0,J457))+IF($H458="",0,$H458)-IF($I458="",0,$I458))</f>
        <v/>
      </c>
      <c r="K458" s="29">
        <f>IF($P458="","",IF(INDEX(EntryMan,$P458)=0,"",INDEX(EntryMan,$P458)))</f>
        <v/>
      </c>
      <c r="L458" s="28">
        <f>IF($B458="","",IF($K458="","—",IF(ROUND($K458-$J458,0)=0,"√","×")))</f>
        <v/>
      </c>
      <c r="M458" s="28">
        <f>IF($B458="","",IF(COUNTIFS(EntryDates,$B458,CalcTime,$C458,CalcBank,$C$5,EntryParty,$D458,EntryDep,$H458,EntryWit,$I458)&gt;1,"تکرار",""))</f>
        <v/>
      </c>
      <c r="N458" s="28">
        <f>IF($P458="","",IF(INDEX(EntryNotes,$P458)=0,"",INDEX(EntryNotes,$P458)))</f>
        <v/>
      </c>
      <c r="O458" s="28">
        <f>IF($P458="","",IF(INDEX(EntryTxnID,$P458)=0,"",INDEX(EntryTxnID,$P458)))</f>
        <v/>
      </c>
      <c r="P458" s="28">
        <f>IFERROR(MATCH($C$5&amp;"|"&amp;RIGHT("000000"&amp;442,6),CalcRankKey,0),"")</f>
        <v/>
      </c>
    </row>
    <row r="459">
      <c r="A459" s="26">
        <f>IF($B459="","",443)</f>
        <v/>
      </c>
      <c r="B459" s="26">
        <f>IF($P459="","",IF(INDEX(CalcNormDate,$P459)=0,"",INDEX(CalcNormDate,$P459)))</f>
        <v/>
      </c>
      <c r="C459" s="26">
        <f>IF($P459="","",IF(INDEX(CalcTime,$P459)=0,"",INDEX(CalcTime,$P459)))</f>
        <v/>
      </c>
      <c r="D459" s="26">
        <f>IF($P459="","",IF(INDEX(EntryParty,$P459)=0,"",INDEX(EntryParty,$P459)))</f>
        <v/>
      </c>
      <c r="E459" s="26">
        <f>IF($P459="","",IF(INDEX(EntryPartyName,$P459)=0,"",INDEX(EntryPartyName,$P459)))</f>
        <v/>
      </c>
      <c r="F459" s="26">
        <f>IF($P459="","",IF(INDEX(EntryPartyType,$P459)=0,"",INDEX(EntryPartyType,$P459)))</f>
        <v/>
      </c>
      <c r="G459" s="26">
        <f>IF($P459="","",IF(INDEX(EntryTxnType,$P459)=0,"",INDEX(EntryTxnType,$P459)))</f>
        <v/>
      </c>
      <c r="H459" s="27">
        <f>IF($P459="","",IF(INDEX(EntryDep,$P459)=0,"",INDEX(EntryDep,$P459)))</f>
        <v/>
      </c>
      <c r="I459" s="27">
        <f>IF($P459="","",IF(INDEX(EntryWit,$P459)=0,"",INDEX(EntryWit,$P459)))</f>
        <v/>
      </c>
      <c r="J459" s="27">
        <f>IF($B459="","",IF($A459=1,$C$7,IF(J458="",0,J458))+IF($H459="",0,$H459)-IF($I459="",0,$I459))</f>
        <v/>
      </c>
      <c r="K459" s="27">
        <f>IF($P459="","",IF(INDEX(EntryMan,$P459)=0,"",INDEX(EntryMan,$P459)))</f>
        <v/>
      </c>
      <c r="L459" s="26">
        <f>IF($B459="","",IF($K459="","—",IF(ROUND($K459-$J459,0)=0,"√","×")))</f>
        <v/>
      </c>
      <c r="M459" s="26">
        <f>IF($B459="","",IF(COUNTIFS(EntryDates,$B459,CalcTime,$C459,CalcBank,$C$5,EntryParty,$D459,EntryDep,$H459,EntryWit,$I459)&gt;1,"تکرار",""))</f>
        <v/>
      </c>
      <c r="N459" s="26">
        <f>IF($P459="","",IF(INDEX(EntryNotes,$P459)=0,"",INDEX(EntryNotes,$P459)))</f>
        <v/>
      </c>
      <c r="O459" s="26">
        <f>IF($P459="","",IF(INDEX(EntryTxnID,$P459)=0,"",INDEX(EntryTxnID,$P459)))</f>
        <v/>
      </c>
      <c r="P459" s="26">
        <f>IFERROR(MATCH($C$5&amp;"|"&amp;RIGHT("000000"&amp;443,6),CalcRankKey,0),"")</f>
        <v/>
      </c>
    </row>
    <row r="460">
      <c r="A460" s="28">
        <f>IF($B460="","",444)</f>
        <v/>
      </c>
      <c r="B460" s="28">
        <f>IF($P460="","",IF(INDEX(CalcNormDate,$P460)=0,"",INDEX(CalcNormDate,$P460)))</f>
        <v/>
      </c>
      <c r="C460" s="28">
        <f>IF($P460="","",IF(INDEX(CalcTime,$P460)=0,"",INDEX(CalcTime,$P460)))</f>
        <v/>
      </c>
      <c r="D460" s="28">
        <f>IF($P460="","",IF(INDEX(EntryParty,$P460)=0,"",INDEX(EntryParty,$P460)))</f>
        <v/>
      </c>
      <c r="E460" s="28">
        <f>IF($P460="","",IF(INDEX(EntryPartyName,$P460)=0,"",INDEX(EntryPartyName,$P460)))</f>
        <v/>
      </c>
      <c r="F460" s="28">
        <f>IF($P460="","",IF(INDEX(EntryPartyType,$P460)=0,"",INDEX(EntryPartyType,$P460)))</f>
        <v/>
      </c>
      <c r="G460" s="28">
        <f>IF($P460="","",IF(INDEX(EntryTxnType,$P460)=0,"",INDEX(EntryTxnType,$P460)))</f>
        <v/>
      </c>
      <c r="H460" s="29">
        <f>IF($P460="","",IF(INDEX(EntryDep,$P460)=0,"",INDEX(EntryDep,$P460)))</f>
        <v/>
      </c>
      <c r="I460" s="29">
        <f>IF($P460="","",IF(INDEX(EntryWit,$P460)=0,"",INDEX(EntryWit,$P460)))</f>
        <v/>
      </c>
      <c r="J460" s="29">
        <f>IF($B460="","",IF($A460=1,$C$7,IF(J459="",0,J459))+IF($H460="",0,$H460)-IF($I460="",0,$I460))</f>
        <v/>
      </c>
      <c r="K460" s="29">
        <f>IF($P460="","",IF(INDEX(EntryMan,$P460)=0,"",INDEX(EntryMan,$P460)))</f>
        <v/>
      </c>
      <c r="L460" s="28">
        <f>IF($B460="","",IF($K460="","—",IF(ROUND($K460-$J460,0)=0,"√","×")))</f>
        <v/>
      </c>
      <c r="M460" s="28">
        <f>IF($B460="","",IF(COUNTIFS(EntryDates,$B460,CalcTime,$C460,CalcBank,$C$5,EntryParty,$D460,EntryDep,$H460,EntryWit,$I460)&gt;1,"تکرار",""))</f>
        <v/>
      </c>
      <c r="N460" s="28">
        <f>IF($P460="","",IF(INDEX(EntryNotes,$P460)=0,"",INDEX(EntryNotes,$P460)))</f>
        <v/>
      </c>
      <c r="O460" s="28">
        <f>IF($P460="","",IF(INDEX(EntryTxnID,$P460)=0,"",INDEX(EntryTxnID,$P460)))</f>
        <v/>
      </c>
      <c r="P460" s="28">
        <f>IFERROR(MATCH($C$5&amp;"|"&amp;RIGHT("000000"&amp;444,6),CalcRankKey,0),"")</f>
        <v/>
      </c>
    </row>
    <row r="461">
      <c r="A461" s="26">
        <f>IF($B461="","",445)</f>
        <v/>
      </c>
      <c r="B461" s="26">
        <f>IF($P461="","",IF(INDEX(CalcNormDate,$P461)=0,"",INDEX(CalcNormDate,$P461)))</f>
        <v/>
      </c>
      <c r="C461" s="26">
        <f>IF($P461="","",IF(INDEX(CalcTime,$P461)=0,"",INDEX(CalcTime,$P461)))</f>
        <v/>
      </c>
      <c r="D461" s="26">
        <f>IF($P461="","",IF(INDEX(EntryParty,$P461)=0,"",INDEX(EntryParty,$P461)))</f>
        <v/>
      </c>
      <c r="E461" s="26">
        <f>IF($P461="","",IF(INDEX(EntryPartyName,$P461)=0,"",INDEX(EntryPartyName,$P461)))</f>
        <v/>
      </c>
      <c r="F461" s="26">
        <f>IF($P461="","",IF(INDEX(EntryPartyType,$P461)=0,"",INDEX(EntryPartyType,$P461)))</f>
        <v/>
      </c>
      <c r="G461" s="26">
        <f>IF($P461="","",IF(INDEX(EntryTxnType,$P461)=0,"",INDEX(EntryTxnType,$P461)))</f>
        <v/>
      </c>
      <c r="H461" s="27">
        <f>IF($P461="","",IF(INDEX(EntryDep,$P461)=0,"",INDEX(EntryDep,$P461)))</f>
        <v/>
      </c>
      <c r="I461" s="27">
        <f>IF($P461="","",IF(INDEX(EntryWit,$P461)=0,"",INDEX(EntryWit,$P461)))</f>
        <v/>
      </c>
      <c r="J461" s="27">
        <f>IF($B461="","",IF($A461=1,$C$7,IF(J460="",0,J460))+IF($H461="",0,$H461)-IF($I461="",0,$I461))</f>
        <v/>
      </c>
      <c r="K461" s="27">
        <f>IF($P461="","",IF(INDEX(EntryMan,$P461)=0,"",INDEX(EntryMan,$P461)))</f>
        <v/>
      </c>
      <c r="L461" s="26">
        <f>IF($B461="","",IF($K461="","—",IF(ROUND($K461-$J461,0)=0,"√","×")))</f>
        <v/>
      </c>
      <c r="M461" s="26">
        <f>IF($B461="","",IF(COUNTIFS(EntryDates,$B461,CalcTime,$C461,CalcBank,$C$5,EntryParty,$D461,EntryDep,$H461,EntryWit,$I461)&gt;1,"تکرار",""))</f>
        <v/>
      </c>
      <c r="N461" s="26">
        <f>IF($P461="","",IF(INDEX(EntryNotes,$P461)=0,"",INDEX(EntryNotes,$P461)))</f>
        <v/>
      </c>
      <c r="O461" s="26">
        <f>IF($P461="","",IF(INDEX(EntryTxnID,$P461)=0,"",INDEX(EntryTxnID,$P461)))</f>
        <v/>
      </c>
      <c r="P461" s="26">
        <f>IFERROR(MATCH($C$5&amp;"|"&amp;RIGHT("000000"&amp;445,6),CalcRankKey,0),"")</f>
        <v/>
      </c>
    </row>
    <row r="462">
      <c r="A462" s="28">
        <f>IF($B462="","",446)</f>
        <v/>
      </c>
      <c r="B462" s="28">
        <f>IF($P462="","",IF(INDEX(CalcNormDate,$P462)=0,"",INDEX(CalcNormDate,$P462)))</f>
        <v/>
      </c>
      <c r="C462" s="28">
        <f>IF($P462="","",IF(INDEX(CalcTime,$P462)=0,"",INDEX(CalcTime,$P462)))</f>
        <v/>
      </c>
      <c r="D462" s="28">
        <f>IF($P462="","",IF(INDEX(EntryParty,$P462)=0,"",INDEX(EntryParty,$P462)))</f>
        <v/>
      </c>
      <c r="E462" s="28">
        <f>IF($P462="","",IF(INDEX(EntryPartyName,$P462)=0,"",INDEX(EntryPartyName,$P462)))</f>
        <v/>
      </c>
      <c r="F462" s="28">
        <f>IF($P462="","",IF(INDEX(EntryPartyType,$P462)=0,"",INDEX(EntryPartyType,$P462)))</f>
        <v/>
      </c>
      <c r="G462" s="28">
        <f>IF($P462="","",IF(INDEX(EntryTxnType,$P462)=0,"",INDEX(EntryTxnType,$P462)))</f>
        <v/>
      </c>
      <c r="H462" s="29">
        <f>IF($P462="","",IF(INDEX(EntryDep,$P462)=0,"",INDEX(EntryDep,$P462)))</f>
        <v/>
      </c>
      <c r="I462" s="29">
        <f>IF($P462="","",IF(INDEX(EntryWit,$P462)=0,"",INDEX(EntryWit,$P462)))</f>
        <v/>
      </c>
      <c r="J462" s="29">
        <f>IF($B462="","",IF($A462=1,$C$7,IF(J461="",0,J461))+IF($H462="",0,$H462)-IF($I462="",0,$I462))</f>
        <v/>
      </c>
      <c r="K462" s="29">
        <f>IF($P462="","",IF(INDEX(EntryMan,$P462)=0,"",INDEX(EntryMan,$P462)))</f>
        <v/>
      </c>
      <c r="L462" s="28">
        <f>IF($B462="","",IF($K462="","—",IF(ROUND($K462-$J462,0)=0,"√","×")))</f>
        <v/>
      </c>
      <c r="M462" s="28">
        <f>IF($B462="","",IF(COUNTIFS(EntryDates,$B462,CalcTime,$C462,CalcBank,$C$5,EntryParty,$D462,EntryDep,$H462,EntryWit,$I462)&gt;1,"تکرار",""))</f>
        <v/>
      </c>
      <c r="N462" s="28">
        <f>IF($P462="","",IF(INDEX(EntryNotes,$P462)=0,"",INDEX(EntryNotes,$P462)))</f>
        <v/>
      </c>
      <c r="O462" s="28">
        <f>IF($P462="","",IF(INDEX(EntryTxnID,$P462)=0,"",INDEX(EntryTxnID,$P462)))</f>
        <v/>
      </c>
      <c r="P462" s="28">
        <f>IFERROR(MATCH($C$5&amp;"|"&amp;RIGHT("000000"&amp;446,6),CalcRankKey,0),"")</f>
        <v/>
      </c>
    </row>
    <row r="463">
      <c r="A463" s="26">
        <f>IF($B463="","",447)</f>
        <v/>
      </c>
      <c r="B463" s="26">
        <f>IF($P463="","",IF(INDEX(CalcNormDate,$P463)=0,"",INDEX(CalcNormDate,$P463)))</f>
        <v/>
      </c>
      <c r="C463" s="26">
        <f>IF($P463="","",IF(INDEX(CalcTime,$P463)=0,"",INDEX(CalcTime,$P463)))</f>
        <v/>
      </c>
      <c r="D463" s="26">
        <f>IF($P463="","",IF(INDEX(EntryParty,$P463)=0,"",INDEX(EntryParty,$P463)))</f>
        <v/>
      </c>
      <c r="E463" s="26">
        <f>IF($P463="","",IF(INDEX(EntryPartyName,$P463)=0,"",INDEX(EntryPartyName,$P463)))</f>
        <v/>
      </c>
      <c r="F463" s="26">
        <f>IF($P463="","",IF(INDEX(EntryPartyType,$P463)=0,"",INDEX(EntryPartyType,$P463)))</f>
        <v/>
      </c>
      <c r="G463" s="26">
        <f>IF($P463="","",IF(INDEX(EntryTxnType,$P463)=0,"",INDEX(EntryTxnType,$P463)))</f>
        <v/>
      </c>
      <c r="H463" s="27">
        <f>IF($P463="","",IF(INDEX(EntryDep,$P463)=0,"",INDEX(EntryDep,$P463)))</f>
        <v/>
      </c>
      <c r="I463" s="27">
        <f>IF($P463="","",IF(INDEX(EntryWit,$P463)=0,"",INDEX(EntryWit,$P463)))</f>
        <v/>
      </c>
      <c r="J463" s="27">
        <f>IF($B463="","",IF($A463=1,$C$7,IF(J462="",0,J462))+IF($H463="",0,$H463)-IF($I463="",0,$I463))</f>
        <v/>
      </c>
      <c r="K463" s="27">
        <f>IF($P463="","",IF(INDEX(EntryMan,$P463)=0,"",INDEX(EntryMan,$P463)))</f>
        <v/>
      </c>
      <c r="L463" s="26">
        <f>IF($B463="","",IF($K463="","—",IF(ROUND($K463-$J463,0)=0,"√","×")))</f>
        <v/>
      </c>
      <c r="M463" s="26">
        <f>IF($B463="","",IF(COUNTIFS(EntryDates,$B463,CalcTime,$C463,CalcBank,$C$5,EntryParty,$D463,EntryDep,$H463,EntryWit,$I463)&gt;1,"تکرار",""))</f>
        <v/>
      </c>
      <c r="N463" s="26">
        <f>IF($P463="","",IF(INDEX(EntryNotes,$P463)=0,"",INDEX(EntryNotes,$P463)))</f>
        <v/>
      </c>
      <c r="O463" s="26">
        <f>IF($P463="","",IF(INDEX(EntryTxnID,$P463)=0,"",INDEX(EntryTxnID,$P463)))</f>
        <v/>
      </c>
      <c r="P463" s="26">
        <f>IFERROR(MATCH($C$5&amp;"|"&amp;RIGHT("000000"&amp;447,6),CalcRankKey,0),"")</f>
        <v/>
      </c>
    </row>
    <row r="464">
      <c r="A464" s="28">
        <f>IF($B464="","",448)</f>
        <v/>
      </c>
      <c r="B464" s="28">
        <f>IF($P464="","",IF(INDEX(CalcNormDate,$P464)=0,"",INDEX(CalcNormDate,$P464)))</f>
        <v/>
      </c>
      <c r="C464" s="28">
        <f>IF($P464="","",IF(INDEX(CalcTime,$P464)=0,"",INDEX(CalcTime,$P464)))</f>
        <v/>
      </c>
      <c r="D464" s="28">
        <f>IF($P464="","",IF(INDEX(EntryParty,$P464)=0,"",INDEX(EntryParty,$P464)))</f>
        <v/>
      </c>
      <c r="E464" s="28">
        <f>IF($P464="","",IF(INDEX(EntryPartyName,$P464)=0,"",INDEX(EntryPartyName,$P464)))</f>
        <v/>
      </c>
      <c r="F464" s="28">
        <f>IF($P464="","",IF(INDEX(EntryPartyType,$P464)=0,"",INDEX(EntryPartyType,$P464)))</f>
        <v/>
      </c>
      <c r="G464" s="28">
        <f>IF($P464="","",IF(INDEX(EntryTxnType,$P464)=0,"",INDEX(EntryTxnType,$P464)))</f>
        <v/>
      </c>
      <c r="H464" s="29">
        <f>IF($P464="","",IF(INDEX(EntryDep,$P464)=0,"",INDEX(EntryDep,$P464)))</f>
        <v/>
      </c>
      <c r="I464" s="29">
        <f>IF($P464="","",IF(INDEX(EntryWit,$P464)=0,"",INDEX(EntryWit,$P464)))</f>
        <v/>
      </c>
      <c r="J464" s="29">
        <f>IF($B464="","",IF($A464=1,$C$7,IF(J463="",0,J463))+IF($H464="",0,$H464)-IF($I464="",0,$I464))</f>
        <v/>
      </c>
      <c r="K464" s="29">
        <f>IF($P464="","",IF(INDEX(EntryMan,$P464)=0,"",INDEX(EntryMan,$P464)))</f>
        <v/>
      </c>
      <c r="L464" s="28">
        <f>IF($B464="","",IF($K464="","—",IF(ROUND($K464-$J464,0)=0,"√","×")))</f>
        <v/>
      </c>
      <c r="M464" s="28">
        <f>IF($B464="","",IF(COUNTIFS(EntryDates,$B464,CalcTime,$C464,CalcBank,$C$5,EntryParty,$D464,EntryDep,$H464,EntryWit,$I464)&gt;1,"تکرار",""))</f>
        <v/>
      </c>
      <c r="N464" s="28">
        <f>IF($P464="","",IF(INDEX(EntryNotes,$P464)=0,"",INDEX(EntryNotes,$P464)))</f>
        <v/>
      </c>
      <c r="O464" s="28">
        <f>IF($P464="","",IF(INDEX(EntryTxnID,$P464)=0,"",INDEX(EntryTxnID,$P464)))</f>
        <v/>
      </c>
      <c r="P464" s="28">
        <f>IFERROR(MATCH($C$5&amp;"|"&amp;RIGHT("000000"&amp;448,6),CalcRankKey,0),"")</f>
        <v/>
      </c>
    </row>
    <row r="465">
      <c r="A465" s="26">
        <f>IF($B465="","",449)</f>
        <v/>
      </c>
      <c r="B465" s="26">
        <f>IF($P465="","",IF(INDEX(CalcNormDate,$P465)=0,"",INDEX(CalcNormDate,$P465)))</f>
        <v/>
      </c>
      <c r="C465" s="26">
        <f>IF($P465="","",IF(INDEX(CalcTime,$P465)=0,"",INDEX(CalcTime,$P465)))</f>
        <v/>
      </c>
      <c r="D465" s="26">
        <f>IF($P465="","",IF(INDEX(EntryParty,$P465)=0,"",INDEX(EntryParty,$P465)))</f>
        <v/>
      </c>
      <c r="E465" s="26">
        <f>IF($P465="","",IF(INDEX(EntryPartyName,$P465)=0,"",INDEX(EntryPartyName,$P465)))</f>
        <v/>
      </c>
      <c r="F465" s="26">
        <f>IF($P465="","",IF(INDEX(EntryPartyType,$P465)=0,"",INDEX(EntryPartyType,$P465)))</f>
        <v/>
      </c>
      <c r="G465" s="26">
        <f>IF($P465="","",IF(INDEX(EntryTxnType,$P465)=0,"",INDEX(EntryTxnType,$P465)))</f>
        <v/>
      </c>
      <c r="H465" s="27">
        <f>IF($P465="","",IF(INDEX(EntryDep,$P465)=0,"",INDEX(EntryDep,$P465)))</f>
        <v/>
      </c>
      <c r="I465" s="27">
        <f>IF($P465="","",IF(INDEX(EntryWit,$P465)=0,"",INDEX(EntryWit,$P465)))</f>
        <v/>
      </c>
      <c r="J465" s="27">
        <f>IF($B465="","",IF($A465=1,$C$7,IF(J464="",0,J464))+IF($H465="",0,$H465)-IF($I465="",0,$I465))</f>
        <v/>
      </c>
      <c r="K465" s="27">
        <f>IF($P465="","",IF(INDEX(EntryMan,$P465)=0,"",INDEX(EntryMan,$P465)))</f>
        <v/>
      </c>
      <c r="L465" s="26">
        <f>IF($B465="","",IF($K465="","—",IF(ROUND($K465-$J465,0)=0,"√","×")))</f>
        <v/>
      </c>
      <c r="M465" s="26">
        <f>IF($B465="","",IF(COUNTIFS(EntryDates,$B465,CalcTime,$C465,CalcBank,$C$5,EntryParty,$D465,EntryDep,$H465,EntryWit,$I465)&gt;1,"تکرار",""))</f>
        <v/>
      </c>
      <c r="N465" s="26">
        <f>IF($P465="","",IF(INDEX(EntryNotes,$P465)=0,"",INDEX(EntryNotes,$P465)))</f>
        <v/>
      </c>
      <c r="O465" s="26">
        <f>IF($P465="","",IF(INDEX(EntryTxnID,$P465)=0,"",INDEX(EntryTxnID,$P465)))</f>
        <v/>
      </c>
      <c r="P465" s="26">
        <f>IFERROR(MATCH($C$5&amp;"|"&amp;RIGHT("000000"&amp;449,6),CalcRankKey,0),"")</f>
        <v/>
      </c>
    </row>
    <row r="466">
      <c r="A466" s="28">
        <f>IF($B466="","",450)</f>
        <v/>
      </c>
      <c r="B466" s="28">
        <f>IF($P466="","",IF(INDEX(CalcNormDate,$P466)=0,"",INDEX(CalcNormDate,$P466)))</f>
        <v/>
      </c>
      <c r="C466" s="28">
        <f>IF($P466="","",IF(INDEX(CalcTime,$P466)=0,"",INDEX(CalcTime,$P466)))</f>
        <v/>
      </c>
      <c r="D466" s="28">
        <f>IF($P466="","",IF(INDEX(EntryParty,$P466)=0,"",INDEX(EntryParty,$P466)))</f>
        <v/>
      </c>
      <c r="E466" s="28">
        <f>IF($P466="","",IF(INDEX(EntryPartyName,$P466)=0,"",INDEX(EntryPartyName,$P466)))</f>
        <v/>
      </c>
      <c r="F466" s="28">
        <f>IF($P466="","",IF(INDEX(EntryPartyType,$P466)=0,"",INDEX(EntryPartyType,$P466)))</f>
        <v/>
      </c>
      <c r="G466" s="28">
        <f>IF($P466="","",IF(INDEX(EntryTxnType,$P466)=0,"",INDEX(EntryTxnType,$P466)))</f>
        <v/>
      </c>
      <c r="H466" s="29">
        <f>IF($P466="","",IF(INDEX(EntryDep,$P466)=0,"",INDEX(EntryDep,$P466)))</f>
        <v/>
      </c>
      <c r="I466" s="29">
        <f>IF($P466="","",IF(INDEX(EntryWit,$P466)=0,"",INDEX(EntryWit,$P466)))</f>
        <v/>
      </c>
      <c r="J466" s="29">
        <f>IF($B466="","",IF($A466=1,$C$7,IF(J465="",0,J465))+IF($H466="",0,$H466)-IF($I466="",0,$I466))</f>
        <v/>
      </c>
      <c r="K466" s="29">
        <f>IF($P466="","",IF(INDEX(EntryMan,$P466)=0,"",INDEX(EntryMan,$P466)))</f>
        <v/>
      </c>
      <c r="L466" s="28">
        <f>IF($B466="","",IF($K466="","—",IF(ROUND($K466-$J466,0)=0,"√","×")))</f>
        <v/>
      </c>
      <c r="M466" s="28">
        <f>IF($B466="","",IF(COUNTIFS(EntryDates,$B466,CalcTime,$C466,CalcBank,$C$5,EntryParty,$D466,EntryDep,$H466,EntryWit,$I466)&gt;1,"تکرار",""))</f>
        <v/>
      </c>
      <c r="N466" s="28">
        <f>IF($P466="","",IF(INDEX(EntryNotes,$P466)=0,"",INDEX(EntryNotes,$P466)))</f>
        <v/>
      </c>
      <c r="O466" s="28">
        <f>IF($P466="","",IF(INDEX(EntryTxnID,$P466)=0,"",INDEX(EntryTxnID,$P466)))</f>
        <v/>
      </c>
      <c r="P466" s="28">
        <f>IFERROR(MATCH($C$5&amp;"|"&amp;RIGHT("000000"&amp;450,6),CalcRankKey,0),"")</f>
        <v/>
      </c>
    </row>
    <row r="467">
      <c r="A467" s="26">
        <f>IF($B467="","",451)</f>
        <v/>
      </c>
      <c r="B467" s="26">
        <f>IF($P467="","",IF(INDEX(CalcNormDate,$P467)=0,"",INDEX(CalcNormDate,$P467)))</f>
        <v/>
      </c>
      <c r="C467" s="26">
        <f>IF($P467="","",IF(INDEX(CalcTime,$P467)=0,"",INDEX(CalcTime,$P467)))</f>
        <v/>
      </c>
      <c r="D467" s="26">
        <f>IF($P467="","",IF(INDEX(EntryParty,$P467)=0,"",INDEX(EntryParty,$P467)))</f>
        <v/>
      </c>
      <c r="E467" s="26">
        <f>IF($P467="","",IF(INDEX(EntryPartyName,$P467)=0,"",INDEX(EntryPartyName,$P467)))</f>
        <v/>
      </c>
      <c r="F467" s="26">
        <f>IF($P467="","",IF(INDEX(EntryPartyType,$P467)=0,"",INDEX(EntryPartyType,$P467)))</f>
        <v/>
      </c>
      <c r="G467" s="26">
        <f>IF($P467="","",IF(INDEX(EntryTxnType,$P467)=0,"",INDEX(EntryTxnType,$P467)))</f>
        <v/>
      </c>
      <c r="H467" s="27">
        <f>IF($P467="","",IF(INDEX(EntryDep,$P467)=0,"",INDEX(EntryDep,$P467)))</f>
        <v/>
      </c>
      <c r="I467" s="27">
        <f>IF($P467="","",IF(INDEX(EntryWit,$P467)=0,"",INDEX(EntryWit,$P467)))</f>
        <v/>
      </c>
      <c r="J467" s="27">
        <f>IF($B467="","",IF($A467=1,$C$7,IF(J466="",0,J466))+IF($H467="",0,$H467)-IF($I467="",0,$I467))</f>
        <v/>
      </c>
      <c r="K467" s="27">
        <f>IF($P467="","",IF(INDEX(EntryMan,$P467)=0,"",INDEX(EntryMan,$P467)))</f>
        <v/>
      </c>
      <c r="L467" s="26">
        <f>IF($B467="","",IF($K467="","—",IF(ROUND($K467-$J467,0)=0,"√","×")))</f>
        <v/>
      </c>
      <c r="M467" s="26">
        <f>IF($B467="","",IF(COUNTIFS(EntryDates,$B467,CalcTime,$C467,CalcBank,$C$5,EntryParty,$D467,EntryDep,$H467,EntryWit,$I467)&gt;1,"تکرار",""))</f>
        <v/>
      </c>
      <c r="N467" s="26">
        <f>IF($P467="","",IF(INDEX(EntryNotes,$P467)=0,"",INDEX(EntryNotes,$P467)))</f>
        <v/>
      </c>
      <c r="O467" s="26">
        <f>IF($P467="","",IF(INDEX(EntryTxnID,$P467)=0,"",INDEX(EntryTxnID,$P467)))</f>
        <v/>
      </c>
      <c r="P467" s="26">
        <f>IFERROR(MATCH($C$5&amp;"|"&amp;RIGHT("000000"&amp;451,6),CalcRankKey,0),"")</f>
        <v/>
      </c>
    </row>
    <row r="468">
      <c r="A468" s="28">
        <f>IF($B468="","",452)</f>
        <v/>
      </c>
      <c r="B468" s="28">
        <f>IF($P468="","",IF(INDEX(CalcNormDate,$P468)=0,"",INDEX(CalcNormDate,$P468)))</f>
        <v/>
      </c>
      <c r="C468" s="28">
        <f>IF($P468="","",IF(INDEX(CalcTime,$P468)=0,"",INDEX(CalcTime,$P468)))</f>
        <v/>
      </c>
      <c r="D468" s="28">
        <f>IF($P468="","",IF(INDEX(EntryParty,$P468)=0,"",INDEX(EntryParty,$P468)))</f>
        <v/>
      </c>
      <c r="E468" s="28">
        <f>IF($P468="","",IF(INDEX(EntryPartyName,$P468)=0,"",INDEX(EntryPartyName,$P468)))</f>
        <v/>
      </c>
      <c r="F468" s="28">
        <f>IF($P468="","",IF(INDEX(EntryPartyType,$P468)=0,"",INDEX(EntryPartyType,$P468)))</f>
        <v/>
      </c>
      <c r="G468" s="28">
        <f>IF($P468="","",IF(INDEX(EntryTxnType,$P468)=0,"",INDEX(EntryTxnType,$P468)))</f>
        <v/>
      </c>
      <c r="H468" s="29">
        <f>IF($P468="","",IF(INDEX(EntryDep,$P468)=0,"",INDEX(EntryDep,$P468)))</f>
        <v/>
      </c>
      <c r="I468" s="29">
        <f>IF($P468="","",IF(INDEX(EntryWit,$P468)=0,"",INDEX(EntryWit,$P468)))</f>
        <v/>
      </c>
      <c r="J468" s="29">
        <f>IF($B468="","",IF($A468=1,$C$7,IF(J467="",0,J467))+IF($H468="",0,$H468)-IF($I468="",0,$I468))</f>
        <v/>
      </c>
      <c r="K468" s="29">
        <f>IF($P468="","",IF(INDEX(EntryMan,$P468)=0,"",INDEX(EntryMan,$P468)))</f>
        <v/>
      </c>
      <c r="L468" s="28">
        <f>IF($B468="","",IF($K468="","—",IF(ROUND($K468-$J468,0)=0,"√","×")))</f>
        <v/>
      </c>
      <c r="M468" s="28">
        <f>IF($B468="","",IF(COUNTIFS(EntryDates,$B468,CalcTime,$C468,CalcBank,$C$5,EntryParty,$D468,EntryDep,$H468,EntryWit,$I468)&gt;1,"تکرار",""))</f>
        <v/>
      </c>
      <c r="N468" s="28">
        <f>IF($P468="","",IF(INDEX(EntryNotes,$P468)=0,"",INDEX(EntryNotes,$P468)))</f>
        <v/>
      </c>
      <c r="O468" s="28">
        <f>IF($P468="","",IF(INDEX(EntryTxnID,$P468)=0,"",INDEX(EntryTxnID,$P468)))</f>
        <v/>
      </c>
      <c r="P468" s="28">
        <f>IFERROR(MATCH($C$5&amp;"|"&amp;RIGHT("000000"&amp;452,6),CalcRankKey,0),"")</f>
        <v/>
      </c>
    </row>
    <row r="469">
      <c r="A469" s="26">
        <f>IF($B469="","",453)</f>
        <v/>
      </c>
      <c r="B469" s="26">
        <f>IF($P469="","",IF(INDEX(CalcNormDate,$P469)=0,"",INDEX(CalcNormDate,$P469)))</f>
        <v/>
      </c>
      <c r="C469" s="26">
        <f>IF($P469="","",IF(INDEX(CalcTime,$P469)=0,"",INDEX(CalcTime,$P469)))</f>
        <v/>
      </c>
      <c r="D469" s="26">
        <f>IF($P469="","",IF(INDEX(EntryParty,$P469)=0,"",INDEX(EntryParty,$P469)))</f>
        <v/>
      </c>
      <c r="E469" s="26">
        <f>IF($P469="","",IF(INDEX(EntryPartyName,$P469)=0,"",INDEX(EntryPartyName,$P469)))</f>
        <v/>
      </c>
      <c r="F469" s="26">
        <f>IF($P469="","",IF(INDEX(EntryPartyType,$P469)=0,"",INDEX(EntryPartyType,$P469)))</f>
        <v/>
      </c>
      <c r="G469" s="26">
        <f>IF($P469="","",IF(INDEX(EntryTxnType,$P469)=0,"",INDEX(EntryTxnType,$P469)))</f>
        <v/>
      </c>
      <c r="H469" s="27">
        <f>IF($P469="","",IF(INDEX(EntryDep,$P469)=0,"",INDEX(EntryDep,$P469)))</f>
        <v/>
      </c>
      <c r="I469" s="27">
        <f>IF($P469="","",IF(INDEX(EntryWit,$P469)=0,"",INDEX(EntryWit,$P469)))</f>
        <v/>
      </c>
      <c r="J469" s="27">
        <f>IF($B469="","",IF($A469=1,$C$7,IF(J468="",0,J468))+IF($H469="",0,$H469)-IF($I469="",0,$I469))</f>
        <v/>
      </c>
      <c r="K469" s="27">
        <f>IF($P469="","",IF(INDEX(EntryMan,$P469)=0,"",INDEX(EntryMan,$P469)))</f>
        <v/>
      </c>
      <c r="L469" s="26">
        <f>IF($B469="","",IF($K469="","—",IF(ROUND($K469-$J469,0)=0,"√","×")))</f>
        <v/>
      </c>
      <c r="M469" s="26">
        <f>IF($B469="","",IF(COUNTIFS(EntryDates,$B469,CalcTime,$C469,CalcBank,$C$5,EntryParty,$D469,EntryDep,$H469,EntryWit,$I469)&gt;1,"تکرار",""))</f>
        <v/>
      </c>
      <c r="N469" s="26">
        <f>IF($P469="","",IF(INDEX(EntryNotes,$P469)=0,"",INDEX(EntryNotes,$P469)))</f>
        <v/>
      </c>
      <c r="O469" s="26">
        <f>IF($P469="","",IF(INDEX(EntryTxnID,$P469)=0,"",INDEX(EntryTxnID,$P469)))</f>
        <v/>
      </c>
      <c r="P469" s="26">
        <f>IFERROR(MATCH($C$5&amp;"|"&amp;RIGHT("000000"&amp;453,6),CalcRankKey,0),"")</f>
        <v/>
      </c>
    </row>
    <row r="470">
      <c r="A470" s="28">
        <f>IF($B470="","",454)</f>
        <v/>
      </c>
      <c r="B470" s="28">
        <f>IF($P470="","",IF(INDEX(CalcNormDate,$P470)=0,"",INDEX(CalcNormDate,$P470)))</f>
        <v/>
      </c>
      <c r="C470" s="28">
        <f>IF($P470="","",IF(INDEX(CalcTime,$P470)=0,"",INDEX(CalcTime,$P470)))</f>
        <v/>
      </c>
      <c r="D470" s="28">
        <f>IF($P470="","",IF(INDEX(EntryParty,$P470)=0,"",INDEX(EntryParty,$P470)))</f>
        <v/>
      </c>
      <c r="E470" s="28">
        <f>IF($P470="","",IF(INDEX(EntryPartyName,$P470)=0,"",INDEX(EntryPartyName,$P470)))</f>
        <v/>
      </c>
      <c r="F470" s="28">
        <f>IF($P470="","",IF(INDEX(EntryPartyType,$P470)=0,"",INDEX(EntryPartyType,$P470)))</f>
        <v/>
      </c>
      <c r="G470" s="28">
        <f>IF($P470="","",IF(INDEX(EntryTxnType,$P470)=0,"",INDEX(EntryTxnType,$P470)))</f>
        <v/>
      </c>
      <c r="H470" s="29">
        <f>IF($P470="","",IF(INDEX(EntryDep,$P470)=0,"",INDEX(EntryDep,$P470)))</f>
        <v/>
      </c>
      <c r="I470" s="29">
        <f>IF($P470="","",IF(INDEX(EntryWit,$P470)=0,"",INDEX(EntryWit,$P470)))</f>
        <v/>
      </c>
      <c r="J470" s="29">
        <f>IF($B470="","",IF($A470=1,$C$7,IF(J469="",0,J469))+IF($H470="",0,$H470)-IF($I470="",0,$I470))</f>
        <v/>
      </c>
      <c r="K470" s="29">
        <f>IF($P470="","",IF(INDEX(EntryMan,$P470)=0,"",INDEX(EntryMan,$P470)))</f>
        <v/>
      </c>
      <c r="L470" s="28">
        <f>IF($B470="","",IF($K470="","—",IF(ROUND($K470-$J470,0)=0,"√","×")))</f>
        <v/>
      </c>
      <c r="M470" s="28">
        <f>IF($B470="","",IF(COUNTIFS(EntryDates,$B470,CalcTime,$C470,CalcBank,$C$5,EntryParty,$D470,EntryDep,$H470,EntryWit,$I470)&gt;1,"تکرار",""))</f>
        <v/>
      </c>
      <c r="N470" s="28">
        <f>IF($P470="","",IF(INDEX(EntryNotes,$P470)=0,"",INDEX(EntryNotes,$P470)))</f>
        <v/>
      </c>
      <c r="O470" s="28">
        <f>IF($P470="","",IF(INDEX(EntryTxnID,$P470)=0,"",INDEX(EntryTxnID,$P470)))</f>
        <v/>
      </c>
      <c r="P470" s="28">
        <f>IFERROR(MATCH($C$5&amp;"|"&amp;RIGHT("000000"&amp;454,6),CalcRankKey,0),"")</f>
        <v/>
      </c>
    </row>
    <row r="471">
      <c r="A471" s="26">
        <f>IF($B471="","",455)</f>
        <v/>
      </c>
      <c r="B471" s="26">
        <f>IF($P471="","",IF(INDEX(CalcNormDate,$P471)=0,"",INDEX(CalcNormDate,$P471)))</f>
        <v/>
      </c>
      <c r="C471" s="26">
        <f>IF($P471="","",IF(INDEX(CalcTime,$P471)=0,"",INDEX(CalcTime,$P471)))</f>
        <v/>
      </c>
      <c r="D471" s="26">
        <f>IF($P471="","",IF(INDEX(EntryParty,$P471)=0,"",INDEX(EntryParty,$P471)))</f>
        <v/>
      </c>
      <c r="E471" s="26">
        <f>IF($P471="","",IF(INDEX(EntryPartyName,$P471)=0,"",INDEX(EntryPartyName,$P471)))</f>
        <v/>
      </c>
      <c r="F471" s="26">
        <f>IF($P471="","",IF(INDEX(EntryPartyType,$P471)=0,"",INDEX(EntryPartyType,$P471)))</f>
        <v/>
      </c>
      <c r="G471" s="26">
        <f>IF($P471="","",IF(INDEX(EntryTxnType,$P471)=0,"",INDEX(EntryTxnType,$P471)))</f>
        <v/>
      </c>
      <c r="H471" s="27">
        <f>IF($P471="","",IF(INDEX(EntryDep,$P471)=0,"",INDEX(EntryDep,$P471)))</f>
        <v/>
      </c>
      <c r="I471" s="27">
        <f>IF($P471="","",IF(INDEX(EntryWit,$P471)=0,"",INDEX(EntryWit,$P471)))</f>
        <v/>
      </c>
      <c r="J471" s="27">
        <f>IF($B471="","",IF($A471=1,$C$7,IF(J470="",0,J470))+IF($H471="",0,$H471)-IF($I471="",0,$I471))</f>
        <v/>
      </c>
      <c r="K471" s="27">
        <f>IF($P471="","",IF(INDEX(EntryMan,$P471)=0,"",INDEX(EntryMan,$P471)))</f>
        <v/>
      </c>
      <c r="L471" s="26">
        <f>IF($B471="","",IF($K471="","—",IF(ROUND($K471-$J471,0)=0,"√","×")))</f>
        <v/>
      </c>
      <c r="M471" s="26">
        <f>IF($B471="","",IF(COUNTIFS(EntryDates,$B471,CalcTime,$C471,CalcBank,$C$5,EntryParty,$D471,EntryDep,$H471,EntryWit,$I471)&gt;1,"تکرار",""))</f>
        <v/>
      </c>
      <c r="N471" s="26">
        <f>IF($P471="","",IF(INDEX(EntryNotes,$P471)=0,"",INDEX(EntryNotes,$P471)))</f>
        <v/>
      </c>
      <c r="O471" s="26">
        <f>IF($P471="","",IF(INDEX(EntryTxnID,$P471)=0,"",INDEX(EntryTxnID,$P471)))</f>
        <v/>
      </c>
      <c r="P471" s="26">
        <f>IFERROR(MATCH($C$5&amp;"|"&amp;RIGHT("000000"&amp;455,6),CalcRankKey,0),"")</f>
        <v/>
      </c>
    </row>
    <row r="472">
      <c r="A472" s="28">
        <f>IF($B472="","",456)</f>
        <v/>
      </c>
      <c r="B472" s="28">
        <f>IF($P472="","",IF(INDEX(CalcNormDate,$P472)=0,"",INDEX(CalcNormDate,$P472)))</f>
        <v/>
      </c>
      <c r="C472" s="28">
        <f>IF($P472="","",IF(INDEX(CalcTime,$P472)=0,"",INDEX(CalcTime,$P472)))</f>
        <v/>
      </c>
      <c r="D472" s="28">
        <f>IF($P472="","",IF(INDEX(EntryParty,$P472)=0,"",INDEX(EntryParty,$P472)))</f>
        <v/>
      </c>
      <c r="E472" s="28">
        <f>IF($P472="","",IF(INDEX(EntryPartyName,$P472)=0,"",INDEX(EntryPartyName,$P472)))</f>
        <v/>
      </c>
      <c r="F472" s="28">
        <f>IF($P472="","",IF(INDEX(EntryPartyType,$P472)=0,"",INDEX(EntryPartyType,$P472)))</f>
        <v/>
      </c>
      <c r="G472" s="28">
        <f>IF($P472="","",IF(INDEX(EntryTxnType,$P472)=0,"",INDEX(EntryTxnType,$P472)))</f>
        <v/>
      </c>
      <c r="H472" s="29">
        <f>IF($P472="","",IF(INDEX(EntryDep,$P472)=0,"",INDEX(EntryDep,$P472)))</f>
        <v/>
      </c>
      <c r="I472" s="29">
        <f>IF($P472="","",IF(INDEX(EntryWit,$P472)=0,"",INDEX(EntryWit,$P472)))</f>
        <v/>
      </c>
      <c r="J472" s="29">
        <f>IF($B472="","",IF($A472=1,$C$7,IF(J471="",0,J471))+IF($H472="",0,$H472)-IF($I472="",0,$I472))</f>
        <v/>
      </c>
      <c r="K472" s="29">
        <f>IF($P472="","",IF(INDEX(EntryMan,$P472)=0,"",INDEX(EntryMan,$P472)))</f>
        <v/>
      </c>
      <c r="L472" s="28">
        <f>IF($B472="","",IF($K472="","—",IF(ROUND($K472-$J472,0)=0,"√","×")))</f>
        <v/>
      </c>
      <c r="M472" s="28">
        <f>IF($B472="","",IF(COUNTIFS(EntryDates,$B472,CalcTime,$C472,CalcBank,$C$5,EntryParty,$D472,EntryDep,$H472,EntryWit,$I472)&gt;1,"تکرار",""))</f>
        <v/>
      </c>
      <c r="N472" s="28">
        <f>IF($P472="","",IF(INDEX(EntryNotes,$P472)=0,"",INDEX(EntryNotes,$P472)))</f>
        <v/>
      </c>
      <c r="O472" s="28">
        <f>IF($P472="","",IF(INDEX(EntryTxnID,$P472)=0,"",INDEX(EntryTxnID,$P472)))</f>
        <v/>
      </c>
      <c r="P472" s="28">
        <f>IFERROR(MATCH($C$5&amp;"|"&amp;RIGHT("000000"&amp;456,6),CalcRankKey,0),"")</f>
        <v/>
      </c>
    </row>
    <row r="473">
      <c r="A473" s="26">
        <f>IF($B473="","",457)</f>
        <v/>
      </c>
      <c r="B473" s="26">
        <f>IF($P473="","",IF(INDEX(CalcNormDate,$P473)=0,"",INDEX(CalcNormDate,$P473)))</f>
        <v/>
      </c>
      <c r="C473" s="26">
        <f>IF($P473="","",IF(INDEX(CalcTime,$P473)=0,"",INDEX(CalcTime,$P473)))</f>
        <v/>
      </c>
      <c r="D473" s="26">
        <f>IF($P473="","",IF(INDEX(EntryParty,$P473)=0,"",INDEX(EntryParty,$P473)))</f>
        <v/>
      </c>
      <c r="E473" s="26">
        <f>IF($P473="","",IF(INDEX(EntryPartyName,$P473)=0,"",INDEX(EntryPartyName,$P473)))</f>
        <v/>
      </c>
      <c r="F473" s="26">
        <f>IF($P473="","",IF(INDEX(EntryPartyType,$P473)=0,"",INDEX(EntryPartyType,$P473)))</f>
        <v/>
      </c>
      <c r="G473" s="26">
        <f>IF($P473="","",IF(INDEX(EntryTxnType,$P473)=0,"",INDEX(EntryTxnType,$P473)))</f>
        <v/>
      </c>
      <c r="H473" s="27">
        <f>IF($P473="","",IF(INDEX(EntryDep,$P473)=0,"",INDEX(EntryDep,$P473)))</f>
        <v/>
      </c>
      <c r="I473" s="27">
        <f>IF($P473="","",IF(INDEX(EntryWit,$P473)=0,"",INDEX(EntryWit,$P473)))</f>
        <v/>
      </c>
      <c r="J473" s="27">
        <f>IF($B473="","",IF($A473=1,$C$7,IF(J472="",0,J472))+IF($H473="",0,$H473)-IF($I473="",0,$I473))</f>
        <v/>
      </c>
      <c r="K473" s="27">
        <f>IF($P473="","",IF(INDEX(EntryMan,$P473)=0,"",INDEX(EntryMan,$P473)))</f>
        <v/>
      </c>
      <c r="L473" s="26">
        <f>IF($B473="","",IF($K473="","—",IF(ROUND($K473-$J473,0)=0,"√","×")))</f>
        <v/>
      </c>
      <c r="M473" s="26">
        <f>IF($B473="","",IF(COUNTIFS(EntryDates,$B473,CalcTime,$C473,CalcBank,$C$5,EntryParty,$D473,EntryDep,$H473,EntryWit,$I473)&gt;1,"تکرار",""))</f>
        <v/>
      </c>
      <c r="N473" s="26">
        <f>IF($P473="","",IF(INDEX(EntryNotes,$P473)=0,"",INDEX(EntryNotes,$P473)))</f>
        <v/>
      </c>
      <c r="O473" s="26">
        <f>IF($P473="","",IF(INDEX(EntryTxnID,$P473)=0,"",INDEX(EntryTxnID,$P473)))</f>
        <v/>
      </c>
      <c r="P473" s="26">
        <f>IFERROR(MATCH($C$5&amp;"|"&amp;RIGHT("000000"&amp;457,6),CalcRankKey,0),"")</f>
        <v/>
      </c>
    </row>
    <row r="474">
      <c r="A474" s="28">
        <f>IF($B474="","",458)</f>
        <v/>
      </c>
      <c r="B474" s="28">
        <f>IF($P474="","",IF(INDEX(CalcNormDate,$P474)=0,"",INDEX(CalcNormDate,$P474)))</f>
        <v/>
      </c>
      <c r="C474" s="28">
        <f>IF($P474="","",IF(INDEX(CalcTime,$P474)=0,"",INDEX(CalcTime,$P474)))</f>
        <v/>
      </c>
      <c r="D474" s="28">
        <f>IF($P474="","",IF(INDEX(EntryParty,$P474)=0,"",INDEX(EntryParty,$P474)))</f>
        <v/>
      </c>
      <c r="E474" s="28">
        <f>IF($P474="","",IF(INDEX(EntryPartyName,$P474)=0,"",INDEX(EntryPartyName,$P474)))</f>
        <v/>
      </c>
      <c r="F474" s="28">
        <f>IF($P474="","",IF(INDEX(EntryPartyType,$P474)=0,"",INDEX(EntryPartyType,$P474)))</f>
        <v/>
      </c>
      <c r="G474" s="28">
        <f>IF($P474="","",IF(INDEX(EntryTxnType,$P474)=0,"",INDEX(EntryTxnType,$P474)))</f>
        <v/>
      </c>
      <c r="H474" s="29">
        <f>IF($P474="","",IF(INDEX(EntryDep,$P474)=0,"",INDEX(EntryDep,$P474)))</f>
        <v/>
      </c>
      <c r="I474" s="29">
        <f>IF($P474="","",IF(INDEX(EntryWit,$P474)=0,"",INDEX(EntryWit,$P474)))</f>
        <v/>
      </c>
      <c r="J474" s="29">
        <f>IF($B474="","",IF($A474=1,$C$7,IF(J473="",0,J473))+IF($H474="",0,$H474)-IF($I474="",0,$I474))</f>
        <v/>
      </c>
      <c r="K474" s="29">
        <f>IF($P474="","",IF(INDEX(EntryMan,$P474)=0,"",INDEX(EntryMan,$P474)))</f>
        <v/>
      </c>
      <c r="L474" s="28">
        <f>IF($B474="","",IF($K474="","—",IF(ROUND($K474-$J474,0)=0,"√","×")))</f>
        <v/>
      </c>
      <c r="M474" s="28">
        <f>IF($B474="","",IF(COUNTIFS(EntryDates,$B474,CalcTime,$C474,CalcBank,$C$5,EntryParty,$D474,EntryDep,$H474,EntryWit,$I474)&gt;1,"تکرار",""))</f>
        <v/>
      </c>
      <c r="N474" s="28">
        <f>IF($P474="","",IF(INDEX(EntryNotes,$P474)=0,"",INDEX(EntryNotes,$P474)))</f>
        <v/>
      </c>
      <c r="O474" s="28">
        <f>IF($P474="","",IF(INDEX(EntryTxnID,$P474)=0,"",INDEX(EntryTxnID,$P474)))</f>
        <v/>
      </c>
      <c r="P474" s="28">
        <f>IFERROR(MATCH($C$5&amp;"|"&amp;RIGHT("000000"&amp;458,6),CalcRankKey,0),"")</f>
        <v/>
      </c>
    </row>
    <row r="475">
      <c r="A475" s="26">
        <f>IF($B475="","",459)</f>
        <v/>
      </c>
      <c r="B475" s="26">
        <f>IF($P475="","",IF(INDEX(CalcNormDate,$P475)=0,"",INDEX(CalcNormDate,$P475)))</f>
        <v/>
      </c>
      <c r="C475" s="26">
        <f>IF($P475="","",IF(INDEX(CalcTime,$P475)=0,"",INDEX(CalcTime,$P475)))</f>
        <v/>
      </c>
      <c r="D475" s="26">
        <f>IF($P475="","",IF(INDEX(EntryParty,$P475)=0,"",INDEX(EntryParty,$P475)))</f>
        <v/>
      </c>
      <c r="E475" s="26">
        <f>IF($P475="","",IF(INDEX(EntryPartyName,$P475)=0,"",INDEX(EntryPartyName,$P475)))</f>
        <v/>
      </c>
      <c r="F475" s="26">
        <f>IF($P475="","",IF(INDEX(EntryPartyType,$P475)=0,"",INDEX(EntryPartyType,$P475)))</f>
        <v/>
      </c>
      <c r="G475" s="26">
        <f>IF($P475="","",IF(INDEX(EntryTxnType,$P475)=0,"",INDEX(EntryTxnType,$P475)))</f>
        <v/>
      </c>
      <c r="H475" s="27">
        <f>IF($P475="","",IF(INDEX(EntryDep,$P475)=0,"",INDEX(EntryDep,$P475)))</f>
        <v/>
      </c>
      <c r="I475" s="27">
        <f>IF($P475="","",IF(INDEX(EntryWit,$P475)=0,"",INDEX(EntryWit,$P475)))</f>
        <v/>
      </c>
      <c r="J475" s="27">
        <f>IF($B475="","",IF($A475=1,$C$7,IF(J474="",0,J474))+IF($H475="",0,$H475)-IF($I475="",0,$I475))</f>
        <v/>
      </c>
      <c r="K475" s="27">
        <f>IF($P475="","",IF(INDEX(EntryMan,$P475)=0,"",INDEX(EntryMan,$P475)))</f>
        <v/>
      </c>
      <c r="L475" s="26">
        <f>IF($B475="","",IF($K475="","—",IF(ROUND($K475-$J475,0)=0,"√","×")))</f>
        <v/>
      </c>
      <c r="M475" s="26">
        <f>IF($B475="","",IF(COUNTIFS(EntryDates,$B475,CalcTime,$C475,CalcBank,$C$5,EntryParty,$D475,EntryDep,$H475,EntryWit,$I475)&gt;1,"تکرار",""))</f>
        <v/>
      </c>
      <c r="N475" s="26">
        <f>IF($P475="","",IF(INDEX(EntryNotes,$P475)=0,"",INDEX(EntryNotes,$P475)))</f>
        <v/>
      </c>
      <c r="O475" s="26">
        <f>IF($P475="","",IF(INDEX(EntryTxnID,$P475)=0,"",INDEX(EntryTxnID,$P475)))</f>
        <v/>
      </c>
      <c r="P475" s="26">
        <f>IFERROR(MATCH($C$5&amp;"|"&amp;RIGHT("000000"&amp;459,6),CalcRankKey,0),"")</f>
        <v/>
      </c>
    </row>
    <row r="476">
      <c r="A476" s="28">
        <f>IF($B476="","",460)</f>
        <v/>
      </c>
      <c r="B476" s="28">
        <f>IF($P476="","",IF(INDEX(CalcNormDate,$P476)=0,"",INDEX(CalcNormDate,$P476)))</f>
        <v/>
      </c>
      <c r="C476" s="28">
        <f>IF($P476="","",IF(INDEX(CalcTime,$P476)=0,"",INDEX(CalcTime,$P476)))</f>
        <v/>
      </c>
      <c r="D476" s="28">
        <f>IF($P476="","",IF(INDEX(EntryParty,$P476)=0,"",INDEX(EntryParty,$P476)))</f>
        <v/>
      </c>
      <c r="E476" s="28">
        <f>IF($P476="","",IF(INDEX(EntryPartyName,$P476)=0,"",INDEX(EntryPartyName,$P476)))</f>
        <v/>
      </c>
      <c r="F476" s="28">
        <f>IF($P476="","",IF(INDEX(EntryPartyType,$P476)=0,"",INDEX(EntryPartyType,$P476)))</f>
        <v/>
      </c>
      <c r="G476" s="28">
        <f>IF($P476="","",IF(INDEX(EntryTxnType,$P476)=0,"",INDEX(EntryTxnType,$P476)))</f>
        <v/>
      </c>
      <c r="H476" s="29">
        <f>IF($P476="","",IF(INDEX(EntryDep,$P476)=0,"",INDEX(EntryDep,$P476)))</f>
        <v/>
      </c>
      <c r="I476" s="29">
        <f>IF($P476="","",IF(INDEX(EntryWit,$P476)=0,"",INDEX(EntryWit,$P476)))</f>
        <v/>
      </c>
      <c r="J476" s="29">
        <f>IF($B476="","",IF($A476=1,$C$7,IF(J475="",0,J475))+IF($H476="",0,$H476)-IF($I476="",0,$I476))</f>
        <v/>
      </c>
      <c r="K476" s="29">
        <f>IF($P476="","",IF(INDEX(EntryMan,$P476)=0,"",INDEX(EntryMan,$P476)))</f>
        <v/>
      </c>
      <c r="L476" s="28">
        <f>IF($B476="","",IF($K476="","—",IF(ROUND($K476-$J476,0)=0,"√","×")))</f>
        <v/>
      </c>
      <c r="M476" s="28">
        <f>IF($B476="","",IF(COUNTIFS(EntryDates,$B476,CalcTime,$C476,CalcBank,$C$5,EntryParty,$D476,EntryDep,$H476,EntryWit,$I476)&gt;1,"تکرار",""))</f>
        <v/>
      </c>
      <c r="N476" s="28">
        <f>IF($P476="","",IF(INDEX(EntryNotes,$P476)=0,"",INDEX(EntryNotes,$P476)))</f>
        <v/>
      </c>
      <c r="O476" s="28">
        <f>IF($P476="","",IF(INDEX(EntryTxnID,$P476)=0,"",INDEX(EntryTxnID,$P476)))</f>
        <v/>
      </c>
      <c r="P476" s="28">
        <f>IFERROR(MATCH($C$5&amp;"|"&amp;RIGHT("000000"&amp;460,6),CalcRankKey,0),"")</f>
        <v/>
      </c>
    </row>
    <row r="477">
      <c r="A477" s="26">
        <f>IF($B477="","",461)</f>
        <v/>
      </c>
      <c r="B477" s="26">
        <f>IF($P477="","",IF(INDEX(CalcNormDate,$P477)=0,"",INDEX(CalcNormDate,$P477)))</f>
        <v/>
      </c>
      <c r="C477" s="26">
        <f>IF($P477="","",IF(INDEX(CalcTime,$P477)=0,"",INDEX(CalcTime,$P477)))</f>
        <v/>
      </c>
      <c r="D477" s="26">
        <f>IF($P477="","",IF(INDEX(EntryParty,$P477)=0,"",INDEX(EntryParty,$P477)))</f>
        <v/>
      </c>
      <c r="E477" s="26">
        <f>IF($P477="","",IF(INDEX(EntryPartyName,$P477)=0,"",INDEX(EntryPartyName,$P477)))</f>
        <v/>
      </c>
      <c r="F477" s="26">
        <f>IF($P477="","",IF(INDEX(EntryPartyType,$P477)=0,"",INDEX(EntryPartyType,$P477)))</f>
        <v/>
      </c>
      <c r="G477" s="26">
        <f>IF($P477="","",IF(INDEX(EntryTxnType,$P477)=0,"",INDEX(EntryTxnType,$P477)))</f>
        <v/>
      </c>
      <c r="H477" s="27">
        <f>IF($P477="","",IF(INDEX(EntryDep,$P477)=0,"",INDEX(EntryDep,$P477)))</f>
        <v/>
      </c>
      <c r="I477" s="27">
        <f>IF($P477="","",IF(INDEX(EntryWit,$P477)=0,"",INDEX(EntryWit,$P477)))</f>
        <v/>
      </c>
      <c r="J477" s="27">
        <f>IF($B477="","",IF($A477=1,$C$7,IF(J476="",0,J476))+IF($H477="",0,$H477)-IF($I477="",0,$I477))</f>
        <v/>
      </c>
      <c r="K477" s="27">
        <f>IF($P477="","",IF(INDEX(EntryMan,$P477)=0,"",INDEX(EntryMan,$P477)))</f>
        <v/>
      </c>
      <c r="L477" s="26">
        <f>IF($B477="","",IF($K477="","—",IF(ROUND($K477-$J477,0)=0,"√","×")))</f>
        <v/>
      </c>
      <c r="M477" s="26">
        <f>IF($B477="","",IF(COUNTIFS(EntryDates,$B477,CalcTime,$C477,CalcBank,$C$5,EntryParty,$D477,EntryDep,$H477,EntryWit,$I477)&gt;1,"تکرار",""))</f>
        <v/>
      </c>
      <c r="N477" s="26">
        <f>IF($P477="","",IF(INDEX(EntryNotes,$P477)=0,"",INDEX(EntryNotes,$P477)))</f>
        <v/>
      </c>
      <c r="O477" s="26">
        <f>IF($P477="","",IF(INDEX(EntryTxnID,$P477)=0,"",INDEX(EntryTxnID,$P477)))</f>
        <v/>
      </c>
      <c r="P477" s="26">
        <f>IFERROR(MATCH($C$5&amp;"|"&amp;RIGHT("000000"&amp;461,6),CalcRankKey,0),"")</f>
        <v/>
      </c>
    </row>
    <row r="478">
      <c r="A478" s="28">
        <f>IF($B478="","",462)</f>
        <v/>
      </c>
      <c r="B478" s="28">
        <f>IF($P478="","",IF(INDEX(CalcNormDate,$P478)=0,"",INDEX(CalcNormDate,$P478)))</f>
        <v/>
      </c>
      <c r="C478" s="28">
        <f>IF($P478="","",IF(INDEX(CalcTime,$P478)=0,"",INDEX(CalcTime,$P478)))</f>
        <v/>
      </c>
      <c r="D478" s="28">
        <f>IF($P478="","",IF(INDEX(EntryParty,$P478)=0,"",INDEX(EntryParty,$P478)))</f>
        <v/>
      </c>
      <c r="E478" s="28">
        <f>IF($P478="","",IF(INDEX(EntryPartyName,$P478)=0,"",INDEX(EntryPartyName,$P478)))</f>
        <v/>
      </c>
      <c r="F478" s="28">
        <f>IF($P478="","",IF(INDEX(EntryPartyType,$P478)=0,"",INDEX(EntryPartyType,$P478)))</f>
        <v/>
      </c>
      <c r="G478" s="28">
        <f>IF($P478="","",IF(INDEX(EntryTxnType,$P478)=0,"",INDEX(EntryTxnType,$P478)))</f>
        <v/>
      </c>
      <c r="H478" s="29">
        <f>IF($P478="","",IF(INDEX(EntryDep,$P478)=0,"",INDEX(EntryDep,$P478)))</f>
        <v/>
      </c>
      <c r="I478" s="29">
        <f>IF($P478="","",IF(INDEX(EntryWit,$P478)=0,"",INDEX(EntryWit,$P478)))</f>
        <v/>
      </c>
      <c r="J478" s="29">
        <f>IF($B478="","",IF($A478=1,$C$7,IF(J477="",0,J477))+IF($H478="",0,$H478)-IF($I478="",0,$I478))</f>
        <v/>
      </c>
      <c r="K478" s="29">
        <f>IF($P478="","",IF(INDEX(EntryMan,$P478)=0,"",INDEX(EntryMan,$P478)))</f>
        <v/>
      </c>
      <c r="L478" s="28">
        <f>IF($B478="","",IF($K478="","—",IF(ROUND($K478-$J478,0)=0,"√","×")))</f>
        <v/>
      </c>
      <c r="M478" s="28">
        <f>IF($B478="","",IF(COUNTIFS(EntryDates,$B478,CalcTime,$C478,CalcBank,$C$5,EntryParty,$D478,EntryDep,$H478,EntryWit,$I478)&gt;1,"تکرار",""))</f>
        <v/>
      </c>
      <c r="N478" s="28">
        <f>IF($P478="","",IF(INDEX(EntryNotes,$P478)=0,"",INDEX(EntryNotes,$P478)))</f>
        <v/>
      </c>
      <c r="O478" s="28">
        <f>IF($P478="","",IF(INDEX(EntryTxnID,$P478)=0,"",INDEX(EntryTxnID,$P478)))</f>
        <v/>
      </c>
      <c r="P478" s="28">
        <f>IFERROR(MATCH($C$5&amp;"|"&amp;RIGHT("000000"&amp;462,6),CalcRankKey,0),"")</f>
        <v/>
      </c>
    </row>
    <row r="479">
      <c r="A479" s="26">
        <f>IF($B479="","",463)</f>
        <v/>
      </c>
      <c r="B479" s="26">
        <f>IF($P479="","",IF(INDEX(CalcNormDate,$P479)=0,"",INDEX(CalcNormDate,$P479)))</f>
        <v/>
      </c>
      <c r="C479" s="26">
        <f>IF($P479="","",IF(INDEX(CalcTime,$P479)=0,"",INDEX(CalcTime,$P479)))</f>
        <v/>
      </c>
      <c r="D479" s="26">
        <f>IF($P479="","",IF(INDEX(EntryParty,$P479)=0,"",INDEX(EntryParty,$P479)))</f>
        <v/>
      </c>
      <c r="E479" s="26">
        <f>IF($P479="","",IF(INDEX(EntryPartyName,$P479)=0,"",INDEX(EntryPartyName,$P479)))</f>
        <v/>
      </c>
      <c r="F479" s="26">
        <f>IF($P479="","",IF(INDEX(EntryPartyType,$P479)=0,"",INDEX(EntryPartyType,$P479)))</f>
        <v/>
      </c>
      <c r="G479" s="26">
        <f>IF($P479="","",IF(INDEX(EntryTxnType,$P479)=0,"",INDEX(EntryTxnType,$P479)))</f>
        <v/>
      </c>
      <c r="H479" s="27">
        <f>IF($P479="","",IF(INDEX(EntryDep,$P479)=0,"",INDEX(EntryDep,$P479)))</f>
        <v/>
      </c>
      <c r="I479" s="27">
        <f>IF($P479="","",IF(INDEX(EntryWit,$P479)=0,"",INDEX(EntryWit,$P479)))</f>
        <v/>
      </c>
      <c r="J479" s="27">
        <f>IF($B479="","",IF($A479=1,$C$7,IF(J478="",0,J478))+IF($H479="",0,$H479)-IF($I479="",0,$I479))</f>
        <v/>
      </c>
      <c r="K479" s="27">
        <f>IF($P479="","",IF(INDEX(EntryMan,$P479)=0,"",INDEX(EntryMan,$P479)))</f>
        <v/>
      </c>
      <c r="L479" s="26">
        <f>IF($B479="","",IF($K479="","—",IF(ROUND($K479-$J479,0)=0,"√","×")))</f>
        <v/>
      </c>
      <c r="M479" s="26">
        <f>IF($B479="","",IF(COUNTIFS(EntryDates,$B479,CalcTime,$C479,CalcBank,$C$5,EntryParty,$D479,EntryDep,$H479,EntryWit,$I479)&gt;1,"تکرار",""))</f>
        <v/>
      </c>
      <c r="N479" s="26">
        <f>IF($P479="","",IF(INDEX(EntryNotes,$P479)=0,"",INDEX(EntryNotes,$P479)))</f>
        <v/>
      </c>
      <c r="O479" s="26">
        <f>IF($P479="","",IF(INDEX(EntryTxnID,$P479)=0,"",INDEX(EntryTxnID,$P479)))</f>
        <v/>
      </c>
      <c r="P479" s="26">
        <f>IFERROR(MATCH($C$5&amp;"|"&amp;RIGHT("000000"&amp;463,6),CalcRankKey,0),"")</f>
        <v/>
      </c>
    </row>
    <row r="480">
      <c r="A480" s="28">
        <f>IF($B480="","",464)</f>
        <v/>
      </c>
      <c r="B480" s="28">
        <f>IF($P480="","",IF(INDEX(CalcNormDate,$P480)=0,"",INDEX(CalcNormDate,$P480)))</f>
        <v/>
      </c>
      <c r="C480" s="28">
        <f>IF($P480="","",IF(INDEX(CalcTime,$P480)=0,"",INDEX(CalcTime,$P480)))</f>
        <v/>
      </c>
      <c r="D480" s="28">
        <f>IF($P480="","",IF(INDEX(EntryParty,$P480)=0,"",INDEX(EntryParty,$P480)))</f>
        <v/>
      </c>
      <c r="E480" s="28">
        <f>IF($P480="","",IF(INDEX(EntryPartyName,$P480)=0,"",INDEX(EntryPartyName,$P480)))</f>
        <v/>
      </c>
      <c r="F480" s="28">
        <f>IF($P480="","",IF(INDEX(EntryPartyType,$P480)=0,"",INDEX(EntryPartyType,$P480)))</f>
        <v/>
      </c>
      <c r="G480" s="28">
        <f>IF($P480="","",IF(INDEX(EntryTxnType,$P480)=0,"",INDEX(EntryTxnType,$P480)))</f>
        <v/>
      </c>
      <c r="H480" s="29">
        <f>IF($P480="","",IF(INDEX(EntryDep,$P480)=0,"",INDEX(EntryDep,$P480)))</f>
        <v/>
      </c>
      <c r="I480" s="29">
        <f>IF($P480="","",IF(INDEX(EntryWit,$P480)=0,"",INDEX(EntryWit,$P480)))</f>
        <v/>
      </c>
      <c r="J480" s="29">
        <f>IF($B480="","",IF($A480=1,$C$7,IF(J479="",0,J479))+IF($H480="",0,$H480)-IF($I480="",0,$I480))</f>
        <v/>
      </c>
      <c r="K480" s="29">
        <f>IF($P480="","",IF(INDEX(EntryMan,$P480)=0,"",INDEX(EntryMan,$P480)))</f>
        <v/>
      </c>
      <c r="L480" s="28">
        <f>IF($B480="","",IF($K480="","—",IF(ROUND($K480-$J480,0)=0,"√","×")))</f>
        <v/>
      </c>
      <c r="M480" s="28">
        <f>IF($B480="","",IF(COUNTIFS(EntryDates,$B480,CalcTime,$C480,CalcBank,$C$5,EntryParty,$D480,EntryDep,$H480,EntryWit,$I480)&gt;1,"تکرار",""))</f>
        <v/>
      </c>
      <c r="N480" s="28">
        <f>IF($P480="","",IF(INDEX(EntryNotes,$P480)=0,"",INDEX(EntryNotes,$P480)))</f>
        <v/>
      </c>
      <c r="O480" s="28">
        <f>IF($P480="","",IF(INDEX(EntryTxnID,$P480)=0,"",INDEX(EntryTxnID,$P480)))</f>
        <v/>
      </c>
      <c r="P480" s="28">
        <f>IFERROR(MATCH($C$5&amp;"|"&amp;RIGHT("000000"&amp;464,6),CalcRankKey,0),"")</f>
        <v/>
      </c>
    </row>
    <row r="481">
      <c r="A481" s="26">
        <f>IF($B481="","",465)</f>
        <v/>
      </c>
      <c r="B481" s="26">
        <f>IF($P481="","",IF(INDEX(CalcNormDate,$P481)=0,"",INDEX(CalcNormDate,$P481)))</f>
        <v/>
      </c>
      <c r="C481" s="26">
        <f>IF($P481="","",IF(INDEX(CalcTime,$P481)=0,"",INDEX(CalcTime,$P481)))</f>
        <v/>
      </c>
      <c r="D481" s="26">
        <f>IF($P481="","",IF(INDEX(EntryParty,$P481)=0,"",INDEX(EntryParty,$P481)))</f>
        <v/>
      </c>
      <c r="E481" s="26">
        <f>IF($P481="","",IF(INDEX(EntryPartyName,$P481)=0,"",INDEX(EntryPartyName,$P481)))</f>
        <v/>
      </c>
      <c r="F481" s="26">
        <f>IF($P481="","",IF(INDEX(EntryPartyType,$P481)=0,"",INDEX(EntryPartyType,$P481)))</f>
        <v/>
      </c>
      <c r="G481" s="26">
        <f>IF($P481="","",IF(INDEX(EntryTxnType,$P481)=0,"",INDEX(EntryTxnType,$P481)))</f>
        <v/>
      </c>
      <c r="H481" s="27">
        <f>IF($P481="","",IF(INDEX(EntryDep,$P481)=0,"",INDEX(EntryDep,$P481)))</f>
        <v/>
      </c>
      <c r="I481" s="27">
        <f>IF($P481="","",IF(INDEX(EntryWit,$P481)=0,"",INDEX(EntryWit,$P481)))</f>
        <v/>
      </c>
      <c r="J481" s="27">
        <f>IF($B481="","",IF($A481=1,$C$7,IF(J480="",0,J480))+IF($H481="",0,$H481)-IF($I481="",0,$I481))</f>
        <v/>
      </c>
      <c r="K481" s="27">
        <f>IF($P481="","",IF(INDEX(EntryMan,$P481)=0,"",INDEX(EntryMan,$P481)))</f>
        <v/>
      </c>
      <c r="L481" s="26">
        <f>IF($B481="","",IF($K481="","—",IF(ROUND($K481-$J481,0)=0,"√","×")))</f>
        <v/>
      </c>
      <c r="M481" s="26">
        <f>IF($B481="","",IF(COUNTIFS(EntryDates,$B481,CalcTime,$C481,CalcBank,$C$5,EntryParty,$D481,EntryDep,$H481,EntryWit,$I481)&gt;1,"تکرار",""))</f>
        <v/>
      </c>
      <c r="N481" s="26">
        <f>IF($P481="","",IF(INDEX(EntryNotes,$P481)=0,"",INDEX(EntryNotes,$P481)))</f>
        <v/>
      </c>
      <c r="O481" s="26">
        <f>IF($P481="","",IF(INDEX(EntryTxnID,$P481)=0,"",INDEX(EntryTxnID,$P481)))</f>
        <v/>
      </c>
      <c r="P481" s="26">
        <f>IFERROR(MATCH($C$5&amp;"|"&amp;RIGHT("000000"&amp;465,6),CalcRankKey,0),"")</f>
        <v/>
      </c>
    </row>
    <row r="482">
      <c r="A482" s="28">
        <f>IF($B482="","",466)</f>
        <v/>
      </c>
      <c r="B482" s="28">
        <f>IF($P482="","",IF(INDEX(CalcNormDate,$P482)=0,"",INDEX(CalcNormDate,$P482)))</f>
        <v/>
      </c>
      <c r="C482" s="28">
        <f>IF($P482="","",IF(INDEX(CalcTime,$P482)=0,"",INDEX(CalcTime,$P482)))</f>
        <v/>
      </c>
      <c r="D482" s="28">
        <f>IF($P482="","",IF(INDEX(EntryParty,$P482)=0,"",INDEX(EntryParty,$P482)))</f>
        <v/>
      </c>
      <c r="E482" s="28">
        <f>IF($P482="","",IF(INDEX(EntryPartyName,$P482)=0,"",INDEX(EntryPartyName,$P482)))</f>
        <v/>
      </c>
      <c r="F482" s="28">
        <f>IF($P482="","",IF(INDEX(EntryPartyType,$P482)=0,"",INDEX(EntryPartyType,$P482)))</f>
        <v/>
      </c>
      <c r="G482" s="28">
        <f>IF($P482="","",IF(INDEX(EntryTxnType,$P482)=0,"",INDEX(EntryTxnType,$P482)))</f>
        <v/>
      </c>
      <c r="H482" s="29">
        <f>IF($P482="","",IF(INDEX(EntryDep,$P482)=0,"",INDEX(EntryDep,$P482)))</f>
        <v/>
      </c>
      <c r="I482" s="29">
        <f>IF($P482="","",IF(INDEX(EntryWit,$P482)=0,"",INDEX(EntryWit,$P482)))</f>
        <v/>
      </c>
      <c r="J482" s="29">
        <f>IF($B482="","",IF($A482=1,$C$7,IF(J481="",0,J481))+IF($H482="",0,$H482)-IF($I482="",0,$I482))</f>
        <v/>
      </c>
      <c r="K482" s="29">
        <f>IF($P482="","",IF(INDEX(EntryMan,$P482)=0,"",INDEX(EntryMan,$P482)))</f>
        <v/>
      </c>
      <c r="L482" s="28">
        <f>IF($B482="","",IF($K482="","—",IF(ROUND($K482-$J482,0)=0,"√","×")))</f>
        <v/>
      </c>
      <c r="M482" s="28">
        <f>IF($B482="","",IF(COUNTIFS(EntryDates,$B482,CalcTime,$C482,CalcBank,$C$5,EntryParty,$D482,EntryDep,$H482,EntryWit,$I482)&gt;1,"تکرار",""))</f>
        <v/>
      </c>
      <c r="N482" s="28">
        <f>IF($P482="","",IF(INDEX(EntryNotes,$P482)=0,"",INDEX(EntryNotes,$P482)))</f>
        <v/>
      </c>
      <c r="O482" s="28">
        <f>IF($P482="","",IF(INDEX(EntryTxnID,$P482)=0,"",INDEX(EntryTxnID,$P482)))</f>
        <v/>
      </c>
      <c r="P482" s="28">
        <f>IFERROR(MATCH($C$5&amp;"|"&amp;RIGHT("000000"&amp;466,6),CalcRankKey,0),"")</f>
        <v/>
      </c>
    </row>
    <row r="483">
      <c r="A483" s="26">
        <f>IF($B483="","",467)</f>
        <v/>
      </c>
      <c r="B483" s="26">
        <f>IF($P483="","",IF(INDEX(CalcNormDate,$P483)=0,"",INDEX(CalcNormDate,$P483)))</f>
        <v/>
      </c>
      <c r="C483" s="26">
        <f>IF($P483="","",IF(INDEX(CalcTime,$P483)=0,"",INDEX(CalcTime,$P483)))</f>
        <v/>
      </c>
      <c r="D483" s="26">
        <f>IF($P483="","",IF(INDEX(EntryParty,$P483)=0,"",INDEX(EntryParty,$P483)))</f>
        <v/>
      </c>
      <c r="E483" s="26">
        <f>IF($P483="","",IF(INDEX(EntryPartyName,$P483)=0,"",INDEX(EntryPartyName,$P483)))</f>
        <v/>
      </c>
      <c r="F483" s="26">
        <f>IF($P483="","",IF(INDEX(EntryPartyType,$P483)=0,"",INDEX(EntryPartyType,$P483)))</f>
        <v/>
      </c>
      <c r="G483" s="26">
        <f>IF($P483="","",IF(INDEX(EntryTxnType,$P483)=0,"",INDEX(EntryTxnType,$P483)))</f>
        <v/>
      </c>
      <c r="H483" s="27">
        <f>IF($P483="","",IF(INDEX(EntryDep,$P483)=0,"",INDEX(EntryDep,$P483)))</f>
        <v/>
      </c>
      <c r="I483" s="27">
        <f>IF($P483="","",IF(INDEX(EntryWit,$P483)=0,"",INDEX(EntryWit,$P483)))</f>
        <v/>
      </c>
      <c r="J483" s="27">
        <f>IF($B483="","",IF($A483=1,$C$7,IF(J482="",0,J482))+IF($H483="",0,$H483)-IF($I483="",0,$I483))</f>
        <v/>
      </c>
      <c r="K483" s="27">
        <f>IF($P483="","",IF(INDEX(EntryMan,$P483)=0,"",INDEX(EntryMan,$P483)))</f>
        <v/>
      </c>
      <c r="L483" s="26">
        <f>IF($B483="","",IF($K483="","—",IF(ROUND($K483-$J483,0)=0,"√","×")))</f>
        <v/>
      </c>
      <c r="M483" s="26">
        <f>IF($B483="","",IF(COUNTIFS(EntryDates,$B483,CalcTime,$C483,CalcBank,$C$5,EntryParty,$D483,EntryDep,$H483,EntryWit,$I483)&gt;1,"تکرار",""))</f>
        <v/>
      </c>
      <c r="N483" s="26">
        <f>IF($P483="","",IF(INDEX(EntryNotes,$P483)=0,"",INDEX(EntryNotes,$P483)))</f>
        <v/>
      </c>
      <c r="O483" s="26">
        <f>IF($P483="","",IF(INDEX(EntryTxnID,$P483)=0,"",INDEX(EntryTxnID,$P483)))</f>
        <v/>
      </c>
      <c r="P483" s="26">
        <f>IFERROR(MATCH($C$5&amp;"|"&amp;RIGHT("000000"&amp;467,6),CalcRankKey,0),"")</f>
        <v/>
      </c>
    </row>
    <row r="484">
      <c r="A484" s="28">
        <f>IF($B484="","",468)</f>
        <v/>
      </c>
      <c r="B484" s="28">
        <f>IF($P484="","",IF(INDEX(CalcNormDate,$P484)=0,"",INDEX(CalcNormDate,$P484)))</f>
        <v/>
      </c>
      <c r="C484" s="28">
        <f>IF($P484="","",IF(INDEX(CalcTime,$P484)=0,"",INDEX(CalcTime,$P484)))</f>
        <v/>
      </c>
      <c r="D484" s="28">
        <f>IF($P484="","",IF(INDEX(EntryParty,$P484)=0,"",INDEX(EntryParty,$P484)))</f>
        <v/>
      </c>
      <c r="E484" s="28">
        <f>IF($P484="","",IF(INDEX(EntryPartyName,$P484)=0,"",INDEX(EntryPartyName,$P484)))</f>
        <v/>
      </c>
      <c r="F484" s="28">
        <f>IF($P484="","",IF(INDEX(EntryPartyType,$P484)=0,"",INDEX(EntryPartyType,$P484)))</f>
        <v/>
      </c>
      <c r="G484" s="28">
        <f>IF($P484="","",IF(INDEX(EntryTxnType,$P484)=0,"",INDEX(EntryTxnType,$P484)))</f>
        <v/>
      </c>
      <c r="H484" s="29">
        <f>IF($P484="","",IF(INDEX(EntryDep,$P484)=0,"",INDEX(EntryDep,$P484)))</f>
        <v/>
      </c>
      <c r="I484" s="29">
        <f>IF($P484="","",IF(INDEX(EntryWit,$P484)=0,"",INDEX(EntryWit,$P484)))</f>
        <v/>
      </c>
      <c r="J484" s="29">
        <f>IF($B484="","",IF($A484=1,$C$7,IF(J483="",0,J483))+IF($H484="",0,$H484)-IF($I484="",0,$I484))</f>
        <v/>
      </c>
      <c r="K484" s="29">
        <f>IF($P484="","",IF(INDEX(EntryMan,$P484)=0,"",INDEX(EntryMan,$P484)))</f>
        <v/>
      </c>
      <c r="L484" s="28">
        <f>IF($B484="","",IF($K484="","—",IF(ROUND($K484-$J484,0)=0,"√","×")))</f>
        <v/>
      </c>
      <c r="M484" s="28">
        <f>IF($B484="","",IF(COUNTIFS(EntryDates,$B484,CalcTime,$C484,CalcBank,$C$5,EntryParty,$D484,EntryDep,$H484,EntryWit,$I484)&gt;1,"تکرار",""))</f>
        <v/>
      </c>
      <c r="N484" s="28">
        <f>IF($P484="","",IF(INDEX(EntryNotes,$P484)=0,"",INDEX(EntryNotes,$P484)))</f>
        <v/>
      </c>
      <c r="O484" s="28">
        <f>IF($P484="","",IF(INDEX(EntryTxnID,$P484)=0,"",INDEX(EntryTxnID,$P484)))</f>
        <v/>
      </c>
      <c r="P484" s="28">
        <f>IFERROR(MATCH($C$5&amp;"|"&amp;RIGHT("000000"&amp;468,6),CalcRankKey,0),"")</f>
        <v/>
      </c>
    </row>
    <row r="485">
      <c r="A485" s="26">
        <f>IF($B485="","",469)</f>
        <v/>
      </c>
      <c r="B485" s="26">
        <f>IF($P485="","",IF(INDEX(CalcNormDate,$P485)=0,"",INDEX(CalcNormDate,$P485)))</f>
        <v/>
      </c>
      <c r="C485" s="26">
        <f>IF($P485="","",IF(INDEX(CalcTime,$P485)=0,"",INDEX(CalcTime,$P485)))</f>
        <v/>
      </c>
      <c r="D485" s="26">
        <f>IF($P485="","",IF(INDEX(EntryParty,$P485)=0,"",INDEX(EntryParty,$P485)))</f>
        <v/>
      </c>
      <c r="E485" s="26">
        <f>IF($P485="","",IF(INDEX(EntryPartyName,$P485)=0,"",INDEX(EntryPartyName,$P485)))</f>
        <v/>
      </c>
      <c r="F485" s="26">
        <f>IF($P485="","",IF(INDEX(EntryPartyType,$P485)=0,"",INDEX(EntryPartyType,$P485)))</f>
        <v/>
      </c>
      <c r="G485" s="26">
        <f>IF($P485="","",IF(INDEX(EntryTxnType,$P485)=0,"",INDEX(EntryTxnType,$P485)))</f>
        <v/>
      </c>
      <c r="H485" s="27">
        <f>IF($P485="","",IF(INDEX(EntryDep,$P485)=0,"",INDEX(EntryDep,$P485)))</f>
        <v/>
      </c>
      <c r="I485" s="27">
        <f>IF($P485="","",IF(INDEX(EntryWit,$P485)=0,"",INDEX(EntryWit,$P485)))</f>
        <v/>
      </c>
      <c r="J485" s="27">
        <f>IF($B485="","",IF($A485=1,$C$7,IF(J484="",0,J484))+IF($H485="",0,$H485)-IF($I485="",0,$I485))</f>
        <v/>
      </c>
      <c r="K485" s="27">
        <f>IF($P485="","",IF(INDEX(EntryMan,$P485)=0,"",INDEX(EntryMan,$P485)))</f>
        <v/>
      </c>
      <c r="L485" s="26">
        <f>IF($B485="","",IF($K485="","—",IF(ROUND($K485-$J485,0)=0,"√","×")))</f>
        <v/>
      </c>
      <c r="M485" s="26">
        <f>IF($B485="","",IF(COUNTIFS(EntryDates,$B485,CalcTime,$C485,CalcBank,$C$5,EntryParty,$D485,EntryDep,$H485,EntryWit,$I485)&gt;1,"تکرار",""))</f>
        <v/>
      </c>
      <c r="N485" s="26">
        <f>IF($P485="","",IF(INDEX(EntryNotes,$P485)=0,"",INDEX(EntryNotes,$P485)))</f>
        <v/>
      </c>
      <c r="O485" s="26">
        <f>IF($P485="","",IF(INDEX(EntryTxnID,$P485)=0,"",INDEX(EntryTxnID,$P485)))</f>
        <v/>
      </c>
      <c r="P485" s="26">
        <f>IFERROR(MATCH($C$5&amp;"|"&amp;RIGHT("000000"&amp;469,6),CalcRankKey,0),"")</f>
        <v/>
      </c>
    </row>
    <row r="486">
      <c r="A486" s="28">
        <f>IF($B486="","",470)</f>
        <v/>
      </c>
      <c r="B486" s="28">
        <f>IF($P486="","",IF(INDEX(CalcNormDate,$P486)=0,"",INDEX(CalcNormDate,$P486)))</f>
        <v/>
      </c>
      <c r="C486" s="28">
        <f>IF($P486="","",IF(INDEX(CalcTime,$P486)=0,"",INDEX(CalcTime,$P486)))</f>
        <v/>
      </c>
      <c r="D486" s="28">
        <f>IF($P486="","",IF(INDEX(EntryParty,$P486)=0,"",INDEX(EntryParty,$P486)))</f>
        <v/>
      </c>
      <c r="E486" s="28">
        <f>IF($P486="","",IF(INDEX(EntryPartyName,$P486)=0,"",INDEX(EntryPartyName,$P486)))</f>
        <v/>
      </c>
      <c r="F486" s="28">
        <f>IF($P486="","",IF(INDEX(EntryPartyType,$P486)=0,"",INDEX(EntryPartyType,$P486)))</f>
        <v/>
      </c>
      <c r="G486" s="28">
        <f>IF($P486="","",IF(INDEX(EntryTxnType,$P486)=0,"",INDEX(EntryTxnType,$P486)))</f>
        <v/>
      </c>
      <c r="H486" s="29">
        <f>IF($P486="","",IF(INDEX(EntryDep,$P486)=0,"",INDEX(EntryDep,$P486)))</f>
        <v/>
      </c>
      <c r="I486" s="29">
        <f>IF($P486="","",IF(INDEX(EntryWit,$P486)=0,"",INDEX(EntryWit,$P486)))</f>
        <v/>
      </c>
      <c r="J486" s="29">
        <f>IF($B486="","",IF($A486=1,$C$7,IF(J485="",0,J485))+IF($H486="",0,$H486)-IF($I486="",0,$I486))</f>
        <v/>
      </c>
      <c r="K486" s="29">
        <f>IF($P486="","",IF(INDEX(EntryMan,$P486)=0,"",INDEX(EntryMan,$P486)))</f>
        <v/>
      </c>
      <c r="L486" s="28">
        <f>IF($B486="","",IF($K486="","—",IF(ROUND($K486-$J486,0)=0,"√","×")))</f>
        <v/>
      </c>
      <c r="M486" s="28">
        <f>IF($B486="","",IF(COUNTIFS(EntryDates,$B486,CalcTime,$C486,CalcBank,$C$5,EntryParty,$D486,EntryDep,$H486,EntryWit,$I486)&gt;1,"تکرار",""))</f>
        <v/>
      </c>
      <c r="N486" s="28">
        <f>IF($P486="","",IF(INDEX(EntryNotes,$P486)=0,"",INDEX(EntryNotes,$P486)))</f>
        <v/>
      </c>
      <c r="O486" s="28">
        <f>IF($P486="","",IF(INDEX(EntryTxnID,$P486)=0,"",INDEX(EntryTxnID,$P486)))</f>
        <v/>
      </c>
      <c r="P486" s="28">
        <f>IFERROR(MATCH($C$5&amp;"|"&amp;RIGHT("000000"&amp;470,6),CalcRankKey,0),"")</f>
        <v/>
      </c>
    </row>
    <row r="487">
      <c r="A487" s="26">
        <f>IF($B487="","",471)</f>
        <v/>
      </c>
      <c r="B487" s="26">
        <f>IF($P487="","",IF(INDEX(CalcNormDate,$P487)=0,"",INDEX(CalcNormDate,$P487)))</f>
        <v/>
      </c>
      <c r="C487" s="26">
        <f>IF($P487="","",IF(INDEX(CalcTime,$P487)=0,"",INDEX(CalcTime,$P487)))</f>
        <v/>
      </c>
      <c r="D487" s="26">
        <f>IF($P487="","",IF(INDEX(EntryParty,$P487)=0,"",INDEX(EntryParty,$P487)))</f>
        <v/>
      </c>
      <c r="E487" s="26">
        <f>IF($P487="","",IF(INDEX(EntryPartyName,$P487)=0,"",INDEX(EntryPartyName,$P487)))</f>
        <v/>
      </c>
      <c r="F487" s="26">
        <f>IF($P487="","",IF(INDEX(EntryPartyType,$P487)=0,"",INDEX(EntryPartyType,$P487)))</f>
        <v/>
      </c>
      <c r="G487" s="26">
        <f>IF($P487="","",IF(INDEX(EntryTxnType,$P487)=0,"",INDEX(EntryTxnType,$P487)))</f>
        <v/>
      </c>
      <c r="H487" s="27">
        <f>IF($P487="","",IF(INDEX(EntryDep,$P487)=0,"",INDEX(EntryDep,$P487)))</f>
        <v/>
      </c>
      <c r="I487" s="27">
        <f>IF($P487="","",IF(INDEX(EntryWit,$P487)=0,"",INDEX(EntryWit,$P487)))</f>
        <v/>
      </c>
      <c r="J487" s="27">
        <f>IF($B487="","",IF($A487=1,$C$7,IF(J486="",0,J486))+IF($H487="",0,$H487)-IF($I487="",0,$I487))</f>
        <v/>
      </c>
      <c r="K487" s="27">
        <f>IF($P487="","",IF(INDEX(EntryMan,$P487)=0,"",INDEX(EntryMan,$P487)))</f>
        <v/>
      </c>
      <c r="L487" s="26">
        <f>IF($B487="","",IF($K487="","—",IF(ROUND($K487-$J487,0)=0,"√","×")))</f>
        <v/>
      </c>
      <c r="M487" s="26">
        <f>IF($B487="","",IF(COUNTIFS(EntryDates,$B487,CalcTime,$C487,CalcBank,$C$5,EntryParty,$D487,EntryDep,$H487,EntryWit,$I487)&gt;1,"تکرار",""))</f>
        <v/>
      </c>
      <c r="N487" s="26">
        <f>IF($P487="","",IF(INDEX(EntryNotes,$P487)=0,"",INDEX(EntryNotes,$P487)))</f>
        <v/>
      </c>
      <c r="O487" s="26">
        <f>IF($P487="","",IF(INDEX(EntryTxnID,$P487)=0,"",INDEX(EntryTxnID,$P487)))</f>
        <v/>
      </c>
      <c r="P487" s="26">
        <f>IFERROR(MATCH($C$5&amp;"|"&amp;RIGHT("000000"&amp;471,6),CalcRankKey,0),"")</f>
        <v/>
      </c>
    </row>
    <row r="488">
      <c r="A488" s="28">
        <f>IF($B488="","",472)</f>
        <v/>
      </c>
      <c r="B488" s="28">
        <f>IF($P488="","",IF(INDEX(CalcNormDate,$P488)=0,"",INDEX(CalcNormDate,$P488)))</f>
        <v/>
      </c>
      <c r="C488" s="28">
        <f>IF($P488="","",IF(INDEX(CalcTime,$P488)=0,"",INDEX(CalcTime,$P488)))</f>
        <v/>
      </c>
      <c r="D488" s="28">
        <f>IF($P488="","",IF(INDEX(EntryParty,$P488)=0,"",INDEX(EntryParty,$P488)))</f>
        <v/>
      </c>
      <c r="E488" s="28">
        <f>IF($P488="","",IF(INDEX(EntryPartyName,$P488)=0,"",INDEX(EntryPartyName,$P488)))</f>
        <v/>
      </c>
      <c r="F488" s="28">
        <f>IF($P488="","",IF(INDEX(EntryPartyType,$P488)=0,"",INDEX(EntryPartyType,$P488)))</f>
        <v/>
      </c>
      <c r="G488" s="28">
        <f>IF($P488="","",IF(INDEX(EntryTxnType,$P488)=0,"",INDEX(EntryTxnType,$P488)))</f>
        <v/>
      </c>
      <c r="H488" s="29">
        <f>IF($P488="","",IF(INDEX(EntryDep,$P488)=0,"",INDEX(EntryDep,$P488)))</f>
        <v/>
      </c>
      <c r="I488" s="29">
        <f>IF($P488="","",IF(INDEX(EntryWit,$P488)=0,"",INDEX(EntryWit,$P488)))</f>
        <v/>
      </c>
      <c r="J488" s="29">
        <f>IF($B488="","",IF($A488=1,$C$7,IF(J487="",0,J487))+IF($H488="",0,$H488)-IF($I488="",0,$I488))</f>
        <v/>
      </c>
      <c r="K488" s="29">
        <f>IF($P488="","",IF(INDEX(EntryMan,$P488)=0,"",INDEX(EntryMan,$P488)))</f>
        <v/>
      </c>
      <c r="L488" s="28">
        <f>IF($B488="","",IF($K488="","—",IF(ROUND($K488-$J488,0)=0,"√","×")))</f>
        <v/>
      </c>
      <c r="M488" s="28">
        <f>IF($B488="","",IF(COUNTIFS(EntryDates,$B488,CalcTime,$C488,CalcBank,$C$5,EntryParty,$D488,EntryDep,$H488,EntryWit,$I488)&gt;1,"تکرار",""))</f>
        <v/>
      </c>
      <c r="N488" s="28">
        <f>IF($P488="","",IF(INDEX(EntryNotes,$P488)=0,"",INDEX(EntryNotes,$P488)))</f>
        <v/>
      </c>
      <c r="O488" s="28">
        <f>IF($P488="","",IF(INDEX(EntryTxnID,$P488)=0,"",INDEX(EntryTxnID,$P488)))</f>
        <v/>
      </c>
      <c r="P488" s="28">
        <f>IFERROR(MATCH($C$5&amp;"|"&amp;RIGHT("000000"&amp;472,6),CalcRankKey,0),"")</f>
        <v/>
      </c>
    </row>
    <row r="489">
      <c r="A489" s="26">
        <f>IF($B489="","",473)</f>
        <v/>
      </c>
      <c r="B489" s="26">
        <f>IF($P489="","",IF(INDEX(CalcNormDate,$P489)=0,"",INDEX(CalcNormDate,$P489)))</f>
        <v/>
      </c>
      <c r="C489" s="26">
        <f>IF($P489="","",IF(INDEX(CalcTime,$P489)=0,"",INDEX(CalcTime,$P489)))</f>
        <v/>
      </c>
      <c r="D489" s="26">
        <f>IF($P489="","",IF(INDEX(EntryParty,$P489)=0,"",INDEX(EntryParty,$P489)))</f>
        <v/>
      </c>
      <c r="E489" s="26">
        <f>IF($P489="","",IF(INDEX(EntryPartyName,$P489)=0,"",INDEX(EntryPartyName,$P489)))</f>
        <v/>
      </c>
      <c r="F489" s="26">
        <f>IF($P489="","",IF(INDEX(EntryPartyType,$P489)=0,"",INDEX(EntryPartyType,$P489)))</f>
        <v/>
      </c>
      <c r="G489" s="26">
        <f>IF($P489="","",IF(INDEX(EntryTxnType,$P489)=0,"",INDEX(EntryTxnType,$P489)))</f>
        <v/>
      </c>
      <c r="H489" s="27">
        <f>IF($P489="","",IF(INDEX(EntryDep,$P489)=0,"",INDEX(EntryDep,$P489)))</f>
        <v/>
      </c>
      <c r="I489" s="27">
        <f>IF($P489="","",IF(INDEX(EntryWit,$P489)=0,"",INDEX(EntryWit,$P489)))</f>
        <v/>
      </c>
      <c r="J489" s="27">
        <f>IF($B489="","",IF($A489=1,$C$7,IF(J488="",0,J488))+IF($H489="",0,$H489)-IF($I489="",0,$I489))</f>
        <v/>
      </c>
      <c r="K489" s="27">
        <f>IF($P489="","",IF(INDEX(EntryMan,$P489)=0,"",INDEX(EntryMan,$P489)))</f>
        <v/>
      </c>
      <c r="L489" s="26">
        <f>IF($B489="","",IF($K489="","—",IF(ROUND($K489-$J489,0)=0,"√","×")))</f>
        <v/>
      </c>
      <c r="M489" s="26">
        <f>IF($B489="","",IF(COUNTIFS(EntryDates,$B489,CalcTime,$C489,CalcBank,$C$5,EntryParty,$D489,EntryDep,$H489,EntryWit,$I489)&gt;1,"تکرار",""))</f>
        <v/>
      </c>
      <c r="N489" s="26">
        <f>IF($P489="","",IF(INDEX(EntryNotes,$P489)=0,"",INDEX(EntryNotes,$P489)))</f>
        <v/>
      </c>
      <c r="O489" s="26">
        <f>IF($P489="","",IF(INDEX(EntryTxnID,$P489)=0,"",INDEX(EntryTxnID,$P489)))</f>
        <v/>
      </c>
      <c r="P489" s="26">
        <f>IFERROR(MATCH($C$5&amp;"|"&amp;RIGHT("000000"&amp;473,6),CalcRankKey,0),"")</f>
        <v/>
      </c>
    </row>
    <row r="490">
      <c r="A490" s="28">
        <f>IF($B490="","",474)</f>
        <v/>
      </c>
      <c r="B490" s="28">
        <f>IF($P490="","",IF(INDEX(CalcNormDate,$P490)=0,"",INDEX(CalcNormDate,$P490)))</f>
        <v/>
      </c>
      <c r="C490" s="28">
        <f>IF($P490="","",IF(INDEX(CalcTime,$P490)=0,"",INDEX(CalcTime,$P490)))</f>
        <v/>
      </c>
      <c r="D490" s="28">
        <f>IF($P490="","",IF(INDEX(EntryParty,$P490)=0,"",INDEX(EntryParty,$P490)))</f>
        <v/>
      </c>
      <c r="E490" s="28">
        <f>IF($P490="","",IF(INDEX(EntryPartyName,$P490)=0,"",INDEX(EntryPartyName,$P490)))</f>
        <v/>
      </c>
      <c r="F490" s="28">
        <f>IF($P490="","",IF(INDEX(EntryPartyType,$P490)=0,"",INDEX(EntryPartyType,$P490)))</f>
        <v/>
      </c>
      <c r="G490" s="28">
        <f>IF($P490="","",IF(INDEX(EntryTxnType,$P490)=0,"",INDEX(EntryTxnType,$P490)))</f>
        <v/>
      </c>
      <c r="H490" s="29">
        <f>IF($P490="","",IF(INDEX(EntryDep,$P490)=0,"",INDEX(EntryDep,$P490)))</f>
        <v/>
      </c>
      <c r="I490" s="29">
        <f>IF($P490="","",IF(INDEX(EntryWit,$P490)=0,"",INDEX(EntryWit,$P490)))</f>
        <v/>
      </c>
      <c r="J490" s="29">
        <f>IF($B490="","",IF($A490=1,$C$7,IF(J489="",0,J489))+IF($H490="",0,$H490)-IF($I490="",0,$I490))</f>
        <v/>
      </c>
      <c r="K490" s="29">
        <f>IF($P490="","",IF(INDEX(EntryMan,$P490)=0,"",INDEX(EntryMan,$P490)))</f>
        <v/>
      </c>
      <c r="L490" s="28">
        <f>IF($B490="","",IF($K490="","—",IF(ROUND($K490-$J490,0)=0,"√","×")))</f>
        <v/>
      </c>
      <c r="M490" s="28">
        <f>IF($B490="","",IF(COUNTIFS(EntryDates,$B490,CalcTime,$C490,CalcBank,$C$5,EntryParty,$D490,EntryDep,$H490,EntryWit,$I490)&gt;1,"تکرار",""))</f>
        <v/>
      </c>
      <c r="N490" s="28">
        <f>IF($P490="","",IF(INDEX(EntryNotes,$P490)=0,"",INDEX(EntryNotes,$P490)))</f>
        <v/>
      </c>
      <c r="O490" s="28">
        <f>IF($P490="","",IF(INDEX(EntryTxnID,$P490)=0,"",INDEX(EntryTxnID,$P490)))</f>
        <v/>
      </c>
      <c r="P490" s="28">
        <f>IFERROR(MATCH($C$5&amp;"|"&amp;RIGHT("000000"&amp;474,6),CalcRankKey,0),"")</f>
        <v/>
      </c>
    </row>
    <row r="491">
      <c r="A491" s="26">
        <f>IF($B491="","",475)</f>
        <v/>
      </c>
      <c r="B491" s="26">
        <f>IF($P491="","",IF(INDEX(CalcNormDate,$P491)=0,"",INDEX(CalcNormDate,$P491)))</f>
        <v/>
      </c>
      <c r="C491" s="26">
        <f>IF($P491="","",IF(INDEX(CalcTime,$P491)=0,"",INDEX(CalcTime,$P491)))</f>
        <v/>
      </c>
      <c r="D491" s="26">
        <f>IF($P491="","",IF(INDEX(EntryParty,$P491)=0,"",INDEX(EntryParty,$P491)))</f>
        <v/>
      </c>
      <c r="E491" s="26">
        <f>IF($P491="","",IF(INDEX(EntryPartyName,$P491)=0,"",INDEX(EntryPartyName,$P491)))</f>
        <v/>
      </c>
      <c r="F491" s="26">
        <f>IF($P491="","",IF(INDEX(EntryPartyType,$P491)=0,"",INDEX(EntryPartyType,$P491)))</f>
        <v/>
      </c>
      <c r="G491" s="26">
        <f>IF($P491="","",IF(INDEX(EntryTxnType,$P491)=0,"",INDEX(EntryTxnType,$P491)))</f>
        <v/>
      </c>
      <c r="H491" s="27">
        <f>IF($P491="","",IF(INDEX(EntryDep,$P491)=0,"",INDEX(EntryDep,$P491)))</f>
        <v/>
      </c>
      <c r="I491" s="27">
        <f>IF($P491="","",IF(INDEX(EntryWit,$P491)=0,"",INDEX(EntryWit,$P491)))</f>
        <v/>
      </c>
      <c r="J491" s="27">
        <f>IF($B491="","",IF($A491=1,$C$7,IF(J490="",0,J490))+IF($H491="",0,$H491)-IF($I491="",0,$I491))</f>
        <v/>
      </c>
      <c r="K491" s="27">
        <f>IF($P491="","",IF(INDEX(EntryMan,$P491)=0,"",INDEX(EntryMan,$P491)))</f>
        <v/>
      </c>
      <c r="L491" s="26">
        <f>IF($B491="","",IF($K491="","—",IF(ROUND($K491-$J491,0)=0,"√","×")))</f>
        <v/>
      </c>
      <c r="M491" s="26">
        <f>IF($B491="","",IF(COUNTIFS(EntryDates,$B491,CalcTime,$C491,CalcBank,$C$5,EntryParty,$D491,EntryDep,$H491,EntryWit,$I491)&gt;1,"تکرار",""))</f>
        <v/>
      </c>
      <c r="N491" s="26">
        <f>IF($P491="","",IF(INDEX(EntryNotes,$P491)=0,"",INDEX(EntryNotes,$P491)))</f>
        <v/>
      </c>
      <c r="O491" s="26">
        <f>IF($P491="","",IF(INDEX(EntryTxnID,$P491)=0,"",INDEX(EntryTxnID,$P491)))</f>
        <v/>
      </c>
      <c r="P491" s="26">
        <f>IFERROR(MATCH($C$5&amp;"|"&amp;RIGHT("000000"&amp;475,6),CalcRankKey,0),"")</f>
        <v/>
      </c>
    </row>
    <row r="492">
      <c r="A492" s="28">
        <f>IF($B492="","",476)</f>
        <v/>
      </c>
      <c r="B492" s="28">
        <f>IF($P492="","",IF(INDEX(CalcNormDate,$P492)=0,"",INDEX(CalcNormDate,$P492)))</f>
        <v/>
      </c>
      <c r="C492" s="28">
        <f>IF($P492="","",IF(INDEX(CalcTime,$P492)=0,"",INDEX(CalcTime,$P492)))</f>
        <v/>
      </c>
      <c r="D492" s="28">
        <f>IF($P492="","",IF(INDEX(EntryParty,$P492)=0,"",INDEX(EntryParty,$P492)))</f>
        <v/>
      </c>
      <c r="E492" s="28">
        <f>IF($P492="","",IF(INDEX(EntryPartyName,$P492)=0,"",INDEX(EntryPartyName,$P492)))</f>
        <v/>
      </c>
      <c r="F492" s="28">
        <f>IF($P492="","",IF(INDEX(EntryPartyType,$P492)=0,"",INDEX(EntryPartyType,$P492)))</f>
        <v/>
      </c>
      <c r="G492" s="28">
        <f>IF($P492="","",IF(INDEX(EntryTxnType,$P492)=0,"",INDEX(EntryTxnType,$P492)))</f>
        <v/>
      </c>
      <c r="H492" s="29">
        <f>IF($P492="","",IF(INDEX(EntryDep,$P492)=0,"",INDEX(EntryDep,$P492)))</f>
        <v/>
      </c>
      <c r="I492" s="29">
        <f>IF($P492="","",IF(INDEX(EntryWit,$P492)=0,"",INDEX(EntryWit,$P492)))</f>
        <v/>
      </c>
      <c r="J492" s="29">
        <f>IF($B492="","",IF($A492=1,$C$7,IF(J491="",0,J491))+IF($H492="",0,$H492)-IF($I492="",0,$I492))</f>
        <v/>
      </c>
      <c r="K492" s="29">
        <f>IF($P492="","",IF(INDEX(EntryMan,$P492)=0,"",INDEX(EntryMan,$P492)))</f>
        <v/>
      </c>
      <c r="L492" s="28">
        <f>IF($B492="","",IF($K492="","—",IF(ROUND($K492-$J492,0)=0,"√","×")))</f>
        <v/>
      </c>
      <c r="M492" s="28">
        <f>IF($B492="","",IF(COUNTIFS(EntryDates,$B492,CalcTime,$C492,CalcBank,$C$5,EntryParty,$D492,EntryDep,$H492,EntryWit,$I492)&gt;1,"تکرار",""))</f>
        <v/>
      </c>
      <c r="N492" s="28">
        <f>IF($P492="","",IF(INDEX(EntryNotes,$P492)=0,"",INDEX(EntryNotes,$P492)))</f>
        <v/>
      </c>
      <c r="O492" s="28">
        <f>IF($P492="","",IF(INDEX(EntryTxnID,$P492)=0,"",INDEX(EntryTxnID,$P492)))</f>
        <v/>
      </c>
      <c r="P492" s="28">
        <f>IFERROR(MATCH($C$5&amp;"|"&amp;RIGHT("000000"&amp;476,6),CalcRankKey,0),"")</f>
        <v/>
      </c>
    </row>
    <row r="493">
      <c r="A493" s="26">
        <f>IF($B493="","",477)</f>
        <v/>
      </c>
      <c r="B493" s="26">
        <f>IF($P493="","",IF(INDEX(CalcNormDate,$P493)=0,"",INDEX(CalcNormDate,$P493)))</f>
        <v/>
      </c>
      <c r="C493" s="26">
        <f>IF($P493="","",IF(INDEX(CalcTime,$P493)=0,"",INDEX(CalcTime,$P493)))</f>
        <v/>
      </c>
      <c r="D493" s="26">
        <f>IF($P493="","",IF(INDEX(EntryParty,$P493)=0,"",INDEX(EntryParty,$P493)))</f>
        <v/>
      </c>
      <c r="E493" s="26">
        <f>IF($P493="","",IF(INDEX(EntryPartyName,$P493)=0,"",INDEX(EntryPartyName,$P493)))</f>
        <v/>
      </c>
      <c r="F493" s="26">
        <f>IF($P493="","",IF(INDEX(EntryPartyType,$P493)=0,"",INDEX(EntryPartyType,$P493)))</f>
        <v/>
      </c>
      <c r="G493" s="26">
        <f>IF($P493="","",IF(INDEX(EntryTxnType,$P493)=0,"",INDEX(EntryTxnType,$P493)))</f>
        <v/>
      </c>
      <c r="H493" s="27">
        <f>IF($P493="","",IF(INDEX(EntryDep,$P493)=0,"",INDEX(EntryDep,$P493)))</f>
        <v/>
      </c>
      <c r="I493" s="27">
        <f>IF($P493="","",IF(INDEX(EntryWit,$P493)=0,"",INDEX(EntryWit,$P493)))</f>
        <v/>
      </c>
      <c r="J493" s="27">
        <f>IF($B493="","",IF($A493=1,$C$7,IF(J492="",0,J492))+IF($H493="",0,$H493)-IF($I493="",0,$I493))</f>
        <v/>
      </c>
      <c r="K493" s="27">
        <f>IF($P493="","",IF(INDEX(EntryMan,$P493)=0,"",INDEX(EntryMan,$P493)))</f>
        <v/>
      </c>
      <c r="L493" s="26">
        <f>IF($B493="","",IF($K493="","—",IF(ROUND($K493-$J493,0)=0,"√","×")))</f>
        <v/>
      </c>
      <c r="M493" s="26">
        <f>IF($B493="","",IF(COUNTIFS(EntryDates,$B493,CalcTime,$C493,CalcBank,$C$5,EntryParty,$D493,EntryDep,$H493,EntryWit,$I493)&gt;1,"تکرار",""))</f>
        <v/>
      </c>
      <c r="N493" s="26">
        <f>IF($P493="","",IF(INDEX(EntryNotes,$P493)=0,"",INDEX(EntryNotes,$P493)))</f>
        <v/>
      </c>
      <c r="O493" s="26">
        <f>IF($P493="","",IF(INDEX(EntryTxnID,$P493)=0,"",INDEX(EntryTxnID,$P493)))</f>
        <v/>
      </c>
      <c r="P493" s="26">
        <f>IFERROR(MATCH($C$5&amp;"|"&amp;RIGHT("000000"&amp;477,6),CalcRankKey,0),"")</f>
        <v/>
      </c>
    </row>
    <row r="494">
      <c r="A494" s="28">
        <f>IF($B494="","",478)</f>
        <v/>
      </c>
      <c r="B494" s="28">
        <f>IF($P494="","",IF(INDEX(CalcNormDate,$P494)=0,"",INDEX(CalcNormDate,$P494)))</f>
        <v/>
      </c>
      <c r="C494" s="28">
        <f>IF($P494="","",IF(INDEX(CalcTime,$P494)=0,"",INDEX(CalcTime,$P494)))</f>
        <v/>
      </c>
      <c r="D494" s="28">
        <f>IF($P494="","",IF(INDEX(EntryParty,$P494)=0,"",INDEX(EntryParty,$P494)))</f>
        <v/>
      </c>
      <c r="E494" s="28">
        <f>IF($P494="","",IF(INDEX(EntryPartyName,$P494)=0,"",INDEX(EntryPartyName,$P494)))</f>
        <v/>
      </c>
      <c r="F494" s="28">
        <f>IF($P494="","",IF(INDEX(EntryPartyType,$P494)=0,"",INDEX(EntryPartyType,$P494)))</f>
        <v/>
      </c>
      <c r="G494" s="28">
        <f>IF($P494="","",IF(INDEX(EntryTxnType,$P494)=0,"",INDEX(EntryTxnType,$P494)))</f>
        <v/>
      </c>
      <c r="H494" s="29">
        <f>IF($P494="","",IF(INDEX(EntryDep,$P494)=0,"",INDEX(EntryDep,$P494)))</f>
        <v/>
      </c>
      <c r="I494" s="29">
        <f>IF($P494="","",IF(INDEX(EntryWit,$P494)=0,"",INDEX(EntryWit,$P494)))</f>
        <v/>
      </c>
      <c r="J494" s="29">
        <f>IF($B494="","",IF($A494=1,$C$7,IF(J493="",0,J493))+IF($H494="",0,$H494)-IF($I494="",0,$I494))</f>
        <v/>
      </c>
      <c r="K494" s="29">
        <f>IF($P494="","",IF(INDEX(EntryMan,$P494)=0,"",INDEX(EntryMan,$P494)))</f>
        <v/>
      </c>
      <c r="L494" s="28">
        <f>IF($B494="","",IF($K494="","—",IF(ROUND($K494-$J494,0)=0,"√","×")))</f>
        <v/>
      </c>
      <c r="M494" s="28">
        <f>IF($B494="","",IF(COUNTIFS(EntryDates,$B494,CalcTime,$C494,CalcBank,$C$5,EntryParty,$D494,EntryDep,$H494,EntryWit,$I494)&gt;1,"تکرار",""))</f>
        <v/>
      </c>
      <c r="N494" s="28">
        <f>IF($P494="","",IF(INDEX(EntryNotes,$P494)=0,"",INDEX(EntryNotes,$P494)))</f>
        <v/>
      </c>
      <c r="O494" s="28">
        <f>IF($P494="","",IF(INDEX(EntryTxnID,$P494)=0,"",INDEX(EntryTxnID,$P494)))</f>
        <v/>
      </c>
      <c r="P494" s="28">
        <f>IFERROR(MATCH($C$5&amp;"|"&amp;RIGHT("000000"&amp;478,6),CalcRankKey,0),"")</f>
        <v/>
      </c>
    </row>
    <row r="495">
      <c r="A495" s="26">
        <f>IF($B495="","",479)</f>
        <v/>
      </c>
      <c r="B495" s="26">
        <f>IF($P495="","",IF(INDEX(CalcNormDate,$P495)=0,"",INDEX(CalcNormDate,$P495)))</f>
        <v/>
      </c>
      <c r="C495" s="26">
        <f>IF($P495="","",IF(INDEX(CalcTime,$P495)=0,"",INDEX(CalcTime,$P495)))</f>
        <v/>
      </c>
      <c r="D495" s="26">
        <f>IF($P495="","",IF(INDEX(EntryParty,$P495)=0,"",INDEX(EntryParty,$P495)))</f>
        <v/>
      </c>
      <c r="E495" s="26">
        <f>IF($P495="","",IF(INDEX(EntryPartyName,$P495)=0,"",INDEX(EntryPartyName,$P495)))</f>
        <v/>
      </c>
      <c r="F495" s="26">
        <f>IF($P495="","",IF(INDEX(EntryPartyType,$P495)=0,"",INDEX(EntryPartyType,$P495)))</f>
        <v/>
      </c>
      <c r="G495" s="26">
        <f>IF($P495="","",IF(INDEX(EntryTxnType,$P495)=0,"",INDEX(EntryTxnType,$P495)))</f>
        <v/>
      </c>
      <c r="H495" s="27">
        <f>IF($P495="","",IF(INDEX(EntryDep,$P495)=0,"",INDEX(EntryDep,$P495)))</f>
        <v/>
      </c>
      <c r="I495" s="27">
        <f>IF($P495="","",IF(INDEX(EntryWit,$P495)=0,"",INDEX(EntryWit,$P495)))</f>
        <v/>
      </c>
      <c r="J495" s="27">
        <f>IF($B495="","",IF($A495=1,$C$7,IF(J494="",0,J494))+IF($H495="",0,$H495)-IF($I495="",0,$I495))</f>
        <v/>
      </c>
      <c r="K495" s="27">
        <f>IF($P495="","",IF(INDEX(EntryMan,$P495)=0,"",INDEX(EntryMan,$P495)))</f>
        <v/>
      </c>
      <c r="L495" s="26">
        <f>IF($B495="","",IF($K495="","—",IF(ROUND($K495-$J495,0)=0,"√","×")))</f>
        <v/>
      </c>
      <c r="M495" s="26">
        <f>IF($B495="","",IF(COUNTIFS(EntryDates,$B495,CalcTime,$C495,CalcBank,$C$5,EntryParty,$D495,EntryDep,$H495,EntryWit,$I495)&gt;1,"تکرار",""))</f>
        <v/>
      </c>
      <c r="N495" s="26">
        <f>IF($P495="","",IF(INDEX(EntryNotes,$P495)=0,"",INDEX(EntryNotes,$P495)))</f>
        <v/>
      </c>
      <c r="O495" s="26">
        <f>IF($P495="","",IF(INDEX(EntryTxnID,$P495)=0,"",INDEX(EntryTxnID,$P495)))</f>
        <v/>
      </c>
      <c r="P495" s="26">
        <f>IFERROR(MATCH($C$5&amp;"|"&amp;RIGHT("000000"&amp;479,6),CalcRankKey,0),"")</f>
        <v/>
      </c>
    </row>
    <row r="496">
      <c r="A496" s="28">
        <f>IF($B496="","",480)</f>
        <v/>
      </c>
      <c r="B496" s="28">
        <f>IF($P496="","",IF(INDEX(CalcNormDate,$P496)=0,"",INDEX(CalcNormDate,$P496)))</f>
        <v/>
      </c>
      <c r="C496" s="28">
        <f>IF($P496="","",IF(INDEX(CalcTime,$P496)=0,"",INDEX(CalcTime,$P496)))</f>
        <v/>
      </c>
      <c r="D496" s="28">
        <f>IF($P496="","",IF(INDEX(EntryParty,$P496)=0,"",INDEX(EntryParty,$P496)))</f>
        <v/>
      </c>
      <c r="E496" s="28">
        <f>IF($P496="","",IF(INDEX(EntryPartyName,$P496)=0,"",INDEX(EntryPartyName,$P496)))</f>
        <v/>
      </c>
      <c r="F496" s="28">
        <f>IF($P496="","",IF(INDEX(EntryPartyType,$P496)=0,"",INDEX(EntryPartyType,$P496)))</f>
        <v/>
      </c>
      <c r="G496" s="28">
        <f>IF($P496="","",IF(INDEX(EntryTxnType,$P496)=0,"",INDEX(EntryTxnType,$P496)))</f>
        <v/>
      </c>
      <c r="H496" s="29">
        <f>IF($P496="","",IF(INDEX(EntryDep,$P496)=0,"",INDEX(EntryDep,$P496)))</f>
        <v/>
      </c>
      <c r="I496" s="29">
        <f>IF($P496="","",IF(INDEX(EntryWit,$P496)=0,"",INDEX(EntryWit,$P496)))</f>
        <v/>
      </c>
      <c r="J496" s="29">
        <f>IF($B496="","",IF($A496=1,$C$7,IF(J495="",0,J495))+IF($H496="",0,$H496)-IF($I496="",0,$I496))</f>
        <v/>
      </c>
      <c r="K496" s="29">
        <f>IF($P496="","",IF(INDEX(EntryMan,$P496)=0,"",INDEX(EntryMan,$P496)))</f>
        <v/>
      </c>
      <c r="L496" s="28">
        <f>IF($B496="","",IF($K496="","—",IF(ROUND($K496-$J496,0)=0,"√","×")))</f>
        <v/>
      </c>
      <c r="M496" s="28">
        <f>IF($B496="","",IF(COUNTIFS(EntryDates,$B496,CalcTime,$C496,CalcBank,$C$5,EntryParty,$D496,EntryDep,$H496,EntryWit,$I496)&gt;1,"تکرار",""))</f>
        <v/>
      </c>
      <c r="N496" s="28">
        <f>IF($P496="","",IF(INDEX(EntryNotes,$P496)=0,"",INDEX(EntryNotes,$P496)))</f>
        <v/>
      </c>
      <c r="O496" s="28">
        <f>IF($P496="","",IF(INDEX(EntryTxnID,$P496)=0,"",INDEX(EntryTxnID,$P496)))</f>
        <v/>
      </c>
      <c r="P496" s="28">
        <f>IFERROR(MATCH($C$5&amp;"|"&amp;RIGHT("000000"&amp;480,6),CalcRankKey,0),"")</f>
        <v/>
      </c>
    </row>
    <row r="497">
      <c r="A497" s="26">
        <f>IF($B497="","",481)</f>
        <v/>
      </c>
      <c r="B497" s="26">
        <f>IF($P497="","",IF(INDEX(CalcNormDate,$P497)=0,"",INDEX(CalcNormDate,$P497)))</f>
        <v/>
      </c>
      <c r="C497" s="26">
        <f>IF($P497="","",IF(INDEX(CalcTime,$P497)=0,"",INDEX(CalcTime,$P497)))</f>
        <v/>
      </c>
      <c r="D497" s="26">
        <f>IF($P497="","",IF(INDEX(EntryParty,$P497)=0,"",INDEX(EntryParty,$P497)))</f>
        <v/>
      </c>
      <c r="E497" s="26">
        <f>IF($P497="","",IF(INDEX(EntryPartyName,$P497)=0,"",INDEX(EntryPartyName,$P497)))</f>
        <v/>
      </c>
      <c r="F497" s="26">
        <f>IF($P497="","",IF(INDEX(EntryPartyType,$P497)=0,"",INDEX(EntryPartyType,$P497)))</f>
        <v/>
      </c>
      <c r="G497" s="26">
        <f>IF($P497="","",IF(INDEX(EntryTxnType,$P497)=0,"",INDEX(EntryTxnType,$P497)))</f>
        <v/>
      </c>
      <c r="H497" s="27">
        <f>IF($P497="","",IF(INDEX(EntryDep,$P497)=0,"",INDEX(EntryDep,$P497)))</f>
        <v/>
      </c>
      <c r="I497" s="27">
        <f>IF($P497="","",IF(INDEX(EntryWit,$P497)=0,"",INDEX(EntryWit,$P497)))</f>
        <v/>
      </c>
      <c r="J497" s="27">
        <f>IF($B497="","",IF($A497=1,$C$7,IF(J496="",0,J496))+IF($H497="",0,$H497)-IF($I497="",0,$I497))</f>
        <v/>
      </c>
      <c r="K497" s="27">
        <f>IF($P497="","",IF(INDEX(EntryMan,$P497)=0,"",INDEX(EntryMan,$P497)))</f>
        <v/>
      </c>
      <c r="L497" s="26">
        <f>IF($B497="","",IF($K497="","—",IF(ROUND($K497-$J497,0)=0,"√","×")))</f>
        <v/>
      </c>
      <c r="M497" s="26">
        <f>IF($B497="","",IF(COUNTIFS(EntryDates,$B497,CalcTime,$C497,CalcBank,$C$5,EntryParty,$D497,EntryDep,$H497,EntryWit,$I497)&gt;1,"تکرار",""))</f>
        <v/>
      </c>
      <c r="N497" s="26">
        <f>IF($P497="","",IF(INDEX(EntryNotes,$P497)=0,"",INDEX(EntryNotes,$P497)))</f>
        <v/>
      </c>
      <c r="O497" s="26">
        <f>IF($P497="","",IF(INDEX(EntryTxnID,$P497)=0,"",INDEX(EntryTxnID,$P497)))</f>
        <v/>
      </c>
      <c r="P497" s="26">
        <f>IFERROR(MATCH($C$5&amp;"|"&amp;RIGHT("000000"&amp;481,6),CalcRankKey,0),"")</f>
        <v/>
      </c>
    </row>
    <row r="498">
      <c r="A498" s="28">
        <f>IF($B498="","",482)</f>
        <v/>
      </c>
      <c r="B498" s="28">
        <f>IF($P498="","",IF(INDEX(CalcNormDate,$P498)=0,"",INDEX(CalcNormDate,$P498)))</f>
        <v/>
      </c>
      <c r="C498" s="28">
        <f>IF($P498="","",IF(INDEX(CalcTime,$P498)=0,"",INDEX(CalcTime,$P498)))</f>
        <v/>
      </c>
      <c r="D498" s="28">
        <f>IF($P498="","",IF(INDEX(EntryParty,$P498)=0,"",INDEX(EntryParty,$P498)))</f>
        <v/>
      </c>
      <c r="E498" s="28">
        <f>IF($P498="","",IF(INDEX(EntryPartyName,$P498)=0,"",INDEX(EntryPartyName,$P498)))</f>
        <v/>
      </c>
      <c r="F498" s="28">
        <f>IF($P498="","",IF(INDEX(EntryPartyType,$P498)=0,"",INDEX(EntryPartyType,$P498)))</f>
        <v/>
      </c>
      <c r="G498" s="28">
        <f>IF($P498="","",IF(INDEX(EntryTxnType,$P498)=0,"",INDEX(EntryTxnType,$P498)))</f>
        <v/>
      </c>
      <c r="H498" s="29">
        <f>IF($P498="","",IF(INDEX(EntryDep,$P498)=0,"",INDEX(EntryDep,$P498)))</f>
        <v/>
      </c>
      <c r="I498" s="29">
        <f>IF($P498="","",IF(INDEX(EntryWit,$P498)=0,"",INDEX(EntryWit,$P498)))</f>
        <v/>
      </c>
      <c r="J498" s="29">
        <f>IF($B498="","",IF($A498=1,$C$7,IF(J497="",0,J497))+IF($H498="",0,$H498)-IF($I498="",0,$I498))</f>
        <v/>
      </c>
      <c r="K498" s="29">
        <f>IF($P498="","",IF(INDEX(EntryMan,$P498)=0,"",INDEX(EntryMan,$P498)))</f>
        <v/>
      </c>
      <c r="L498" s="28">
        <f>IF($B498="","",IF($K498="","—",IF(ROUND($K498-$J498,0)=0,"√","×")))</f>
        <v/>
      </c>
      <c r="M498" s="28">
        <f>IF($B498="","",IF(COUNTIFS(EntryDates,$B498,CalcTime,$C498,CalcBank,$C$5,EntryParty,$D498,EntryDep,$H498,EntryWit,$I498)&gt;1,"تکرار",""))</f>
        <v/>
      </c>
      <c r="N498" s="28">
        <f>IF($P498="","",IF(INDEX(EntryNotes,$P498)=0,"",INDEX(EntryNotes,$P498)))</f>
        <v/>
      </c>
      <c r="O498" s="28">
        <f>IF($P498="","",IF(INDEX(EntryTxnID,$P498)=0,"",INDEX(EntryTxnID,$P498)))</f>
        <v/>
      </c>
      <c r="P498" s="28">
        <f>IFERROR(MATCH($C$5&amp;"|"&amp;RIGHT("000000"&amp;482,6),CalcRankKey,0),"")</f>
        <v/>
      </c>
    </row>
    <row r="499">
      <c r="A499" s="26">
        <f>IF($B499="","",483)</f>
        <v/>
      </c>
      <c r="B499" s="26">
        <f>IF($P499="","",IF(INDEX(CalcNormDate,$P499)=0,"",INDEX(CalcNormDate,$P499)))</f>
        <v/>
      </c>
      <c r="C499" s="26">
        <f>IF($P499="","",IF(INDEX(CalcTime,$P499)=0,"",INDEX(CalcTime,$P499)))</f>
        <v/>
      </c>
      <c r="D499" s="26">
        <f>IF($P499="","",IF(INDEX(EntryParty,$P499)=0,"",INDEX(EntryParty,$P499)))</f>
        <v/>
      </c>
      <c r="E499" s="26">
        <f>IF($P499="","",IF(INDEX(EntryPartyName,$P499)=0,"",INDEX(EntryPartyName,$P499)))</f>
        <v/>
      </c>
      <c r="F499" s="26">
        <f>IF($P499="","",IF(INDEX(EntryPartyType,$P499)=0,"",INDEX(EntryPartyType,$P499)))</f>
        <v/>
      </c>
      <c r="G499" s="26">
        <f>IF($P499="","",IF(INDEX(EntryTxnType,$P499)=0,"",INDEX(EntryTxnType,$P499)))</f>
        <v/>
      </c>
      <c r="H499" s="27">
        <f>IF($P499="","",IF(INDEX(EntryDep,$P499)=0,"",INDEX(EntryDep,$P499)))</f>
        <v/>
      </c>
      <c r="I499" s="27">
        <f>IF($P499="","",IF(INDEX(EntryWit,$P499)=0,"",INDEX(EntryWit,$P499)))</f>
        <v/>
      </c>
      <c r="J499" s="27">
        <f>IF($B499="","",IF($A499=1,$C$7,IF(J498="",0,J498))+IF($H499="",0,$H499)-IF($I499="",0,$I499))</f>
        <v/>
      </c>
      <c r="K499" s="27">
        <f>IF($P499="","",IF(INDEX(EntryMan,$P499)=0,"",INDEX(EntryMan,$P499)))</f>
        <v/>
      </c>
      <c r="L499" s="26">
        <f>IF($B499="","",IF($K499="","—",IF(ROUND($K499-$J499,0)=0,"√","×")))</f>
        <v/>
      </c>
      <c r="M499" s="26">
        <f>IF($B499="","",IF(COUNTIFS(EntryDates,$B499,CalcTime,$C499,CalcBank,$C$5,EntryParty,$D499,EntryDep,$H499,EntryWit,$I499)&gt;1,"تکرار",""))</f>
        <v/>
      </c>
      <c r="N499" s="26">
        <f>IF($P499="","",IF(INDEX(EntryNotes,$P499)=0,"",INDEX(EntryNotes,$P499)))</f>
        <v/>
      </c>
      <c r="O499" s="26">
        <f>IF($P499="","",IF(INDEX(EntryTxnID,$P499)=0,"",INDEX(EntryTxnID,$P499)))</f>
        <v/>
      </c>
      <c r="P499" s="26">
        <f>IFERROR(MATCH($C$5&amp;"|"&amp;RIGHT("000000"&amp;483,6),CalcRankKey,0),"")</f>
        <v/>
      </c>
    </row>
    <row r="500">
      <c r="A500" s="28">
        <f>IF($B500="","",484)</f>
        <v/>
      </c>
      <c r="B500" s="28">
        <f>IF($P500="","",IF(INDEX(CalcNormDate,$P500)=0,"",INDEX(CalcNormDate,$P500)))</f>
        <v/>
      </c>
      <c r="C500" s="28">
        <f>IF($P500="","",IF(INDEX(CalcTime,$P500)=0,"",INDEX(CalcTime,$P500)))</f>
        <v/>
      </c>
      <c r="D500" s="28">
        <f>IF($P500="","",IF(INDEX(EntryParty,$P500)=0,"",INDEX(EntryParty,$P500)))</f>
        <v/>
      </c>
      <c r="E500" s="28">
        <f>IF($P500="","",IF(INDEX(EntryPartyName,$P500)=0,"",INDEX(EntryPartyName,$P500)))</f>
        <v/>
      </c>
      <c r="F500" s="28">
        <f>IF($P500="","",IF(INDEX(EntryPartyType,$P500)=0,"",INDEX(EntryPartyType,$P500)))</f>
        <v/>
      </c>
      <c r="G500" s="28">
        <f>IF($P500="","",IF(INDEX(EntryTxnType,$P500)=0,"",INDEX(EntryTxnType,$P500)))</f>
        <v/>
      </c>
      <c r="H500" s="29">
        <f>IF($P500="","",IF(INDEX(EntryDep,$P500)=0,"",INDEX(EntryDep,$P500)))</f>
        <v/>
      </c>
      <c r="I500" s="29">
        <f>IF($P500="","",IF(INDEX(EntryWit,$P500)=0,"",INDEX(EntryWit,$P500)))</f>
        <v/>
      </c>
      <c r="J500" s="29">
        <f>IF($B500="","",IF($A500=1,$C$7,IF(J499="",0,J499))+IF($H500="",0,$H500)-IF($I500="",0,$I500))</f>
        <v/>
      </c>
      <c r="K500" s="29">
        <f>IF($P500="","",IF(INDEX(EntryMan,$P500)=0,"",INDEX(EntryMan,$P500)))</f>
        <v/>
      </c>
      <c r="L500" s="28">
        <f>IF($B500="","",IF($K500="","—",IF(ROUND($K500-$J500,0)=0,"√","×")))</f>
        <v/>
      </c>
      <c r="M500" s="28">
        <f>IF($B500="","",IF(COUNTIFS(EntryDates,$B500,CalcTime,$C500,CalcBank,$C$5,EntryParty,$D500,EntryDep,$H500,EntryWit,$I500)&gt;1,"تکرار",""))</f>
        <v/>
      </c>
      <c r="N500" s="28">
        <f>IF($P500="","",IF(INDEX(EntryNotes,$P500)=0,"",INDEX(EntryNotes,$P500)))</f>
        <v/>
      </c>
      <c r="O500" s="28">
        <f>IF($P500="","",IF(INDEX(EntryTxnID,$P500)=0,"",INDEX(EntryTxnID,$P500)))</f>
        <v/>
      </c>
      <c r="P500" s="28">
        <f>IFERROR(MATCH($C$5&amp;"|"&amp;RIGHT("000000"&amp;484,6),CalcRankKey,0),"")</f>
        <v/>
      </c>
    </row>
    <row r="501">
      <c r="A501" s="26">
        <f>IF($B501="","",485)</f>
        <v/>
      </c>
      <c r="B501" s="26">
        <f>IF($P501="","",IF(INDEX(CalcNormDate,$P501)=0,"",INDEX(CalcNormDate,$P501)))</f>
        <v/>
      </c>
      <c r="C501" s="26">
        <f>IF($P501="","",IF(INDEX(CalcTime,$P501)=0,"",INDEX(CalcTime,$P501)))</f>
        <v/>
      </c>
      <c r="D501" s="26">
        <f>IF($P501="","",IF(INDEX(EntryParty,$P501)=0,"",INDEX(EntryParty,$P501)))</f>
        <v/>
      </c>
      <c r="E501" s="26">
        <f>IF($P501="","",IF(INDEX(EntryPartyName,$P501)=0,"",INDEX(EntryPartyName,$P501)))</f>
        <v/>
      </c>
      <c r="F501" s="26">
        <f>IF($P501="","",IF(INDEX(EntryPartyType,$P501)=0,"",INDEX(EntryPartyType,$P501)))</f>
        <v/>
      </c>
      <c r="G501" s="26">
        <f>IF($P501="","",IF(INDEX(EntryTxnType,$P501)=0,"",INDEX(EntryTxnType,$P501)))</f>
        <v/>
      </c>
      <c r="H501" s="27">
        <f>IF($P501="","",IF(INDEX(EntryDep,$P501)=0,"",INDEX(EntryDep,$P501)))</f>
        <v/>
      </c>
      <c r="I501" s="27">
        <f>IF($P501="","",IF(INDEX(EntryWit,$P501)=0,"",INDEX(EntryWit,$P501)))</f>
        <v/>
      </c>
      <c r="J501" s="27">
        <f>IF($B501="","",IF($A501=1,$C$7,IF(J500="",0,J500))+IF($H501="",0,$H501)-IF($I501="",0,$I501))</f>
        <v/>
      </c>
      <c r="K501" s="27">
        <f>IF($P501="","",IF(INDEX(EntryMan,$P501)=0,"",INDEX(EntryMan,$P501)))</f>
        <v/>
      </c>
      <c r="L501" s="26">
        <f>IF($B501="","",IF($K501="","—",IF(ROUND($K501-$J501,0)=0,"√","×")))</f>
        <v/>
      </c>
      <c r="M501" s="26">
        <f>IF($B501="","",IF(COUNTIFS(EntryDates,$B501,CalcTime,$C501,CalcBank,$C$5,EntryParty,$D501,EntryDep,$H501,EntryWit,$I501)&gt;1,"تکرار",""))</f>
        <v/>
      </c>
      <c r="N501" s="26">
        <f>IF($P501="","",IF(INDEX(EntryNotes,$P501)=0,"",INDEX(EntryNotes,$P501)))</f>
        <v/>
      </c>
      <c r="O501" s="26">
        <f>IF($P501="","",IF(INDEX(EntryTxnID,$P501)=0,"",INDEX(EntryTxnID,$P501)))</f>
        <v/>
      </c>
      <c r="P501" s="26">
        <f>IFERROR(MATCH($C$5&amp;"|"&amp;RIGHT("000000"&amp;485,6),CalcRankKey,0),"")</f>
        <v/>
      </c>
    </row>
    <row r="502">
      <c r="A502" s="28">
        <f>IF($B502="","",486)</f>
        <v/>
      </c>
      <c r="B502" s="28">
        <f>IF($P502="","",IF(INDEX(CalcNormDate,$P502)=0,"",INDEX(CalcNormDate,$P502)))</f>
        <v/>
      </c>
      <c r="C502" s="28">
        <f>IF($P502="","",IF(INDEX(CalcTime,$P502)=0,"",INDEX(CalcTime,$P502)))</f>
        <v/>
      </c>
      <c r="D502" s="28">
        <f>IF($P502="","",IF(INDEX(EntryParty,$P502)=0,"",INDEX(EntryParty,$P502)))</f>
        <v/>
      </c>
      <c r="E502" s="28">
        <f>IF($P502="","",IF(INDEX(EntryPartyName,$P502)=0,"",INDEX(EntryPartyName,$P502)))</f>
        <v/>
      </c>
      <c r="F502" s="28">
        <f>IF($P502="","",IF(INDEX(EntryPartyType,$P502)=0,"",INDEX(EntryPartyType,$P502)))</f>
        <v/>
      </c>
      <c r="G502" s="28">
        <f>IF($P502="","",IF(INDEX(EntryTxnType,$P502)=0,"",INDEX(EntryTxnType,$P502)))</f>
        <v/>
      </c>
      <c r="H502" s="29">
        <f>IF($P502="","",IF(INDEX(EntryDep,$P502)=0,"",INDEX(EntryDep,$P502)))</f>
        <v/>
      </c>
      <c r="I502" s="29">
        <f>IF($P502="","",IF(INDEX(EntryWit,$P502)=0,"",INDEX(EntryWit,$P502)))</f>
        <v/>
      </c>
      <c r="J502" s="29">
        <f>IF($B502="","",IF($A502=1,$C$7,IF(J501="",0,J501))+IF($H502="",0,$H502)-IF($I502="",0,$I502))</f>
        <v/>
      </c>
      <c r="K502" s="29">
        <f>IF($P502="","",IF(INDEX(EntryMan,$P502)=0,"",INDEX(EntryMan,$P502)))</f>
        <v/>
      </c>
      <c r="L502" s="28">
        <f>IF($B502="","",IF($K502="","—",IF(ROUND($K502-$J502,0)=0,"√","×")))</f>
        <v/>
      </c>
      <c r="M502" s="28">
        <f>IF($B502="","",IF(COUNTIFS(EntryDates,$B502,CalcTime,$C502,CalcBank,$C$5,EntryParty,$D502,EntryDep,$H502,EntryWit,$I502)&gt;1,"تکرار",""))</f>
        <v/>
      </c>
      <c r="N502" s="28">
        <f>IF($P502="","",IF(INDEX(EntryNotes,$P502)=0,"",INDEX(EntryNotes,$P502)))</f>
        <v/>
      </c>
      <c r="O502" s="28">
        <f>IF($P502="","",IF(INDEX(EntryTxnID,$P502)=0,"",INDEX(EntryTxnID,$P502)))</f>
        <v/>
      </c>
      <c r="P502" s="28">
        <f>IFERROR(MATCH($C$5&amp;"|"&amp;RIGHT("000000"&amp;486,6),CalcRankKey,0),"")</f>
        <v/>
      </c>
    </row>
    <row r="503">
      <c r="A503" s="26">
        <f>IF($B503="","",487)</f>
        <v/>
      </c>
      <c r="B503" s="26">
        <f>IF($P503="","",IF(INDEX(CalcNormDate,$P503)=0,"",INDEX(CalcNormDate,$P503)))</f>
        <v/>
      </c>
      <c r="C503" s="26">
        <f>IF($P503="","",IF(INDEX(CalcTime,$P503)=0,"",INDEX(CalcTime,$P503)))</f>
        <v/>
      </c>
      <c r="D503" s="26">
        <f>IF($P503="","",IF(INDEX(EntryParty,$P503)=0,"",INDEX(EntryParty,$P503)))</f>
        <v/>
      </c>
      <c r="E503" s="26">
        <f>IF($P503="","",IF(INDEX(EntryPartyName,$P503)=0,"",INDEX(EntryPartyName,$P503)))</f>
        <v/>
      </c>
      <c r="F503" s="26">
        <f>IF($P503="","",IF(INDEX(EntryPartyType,$P503)=0,"",INDEX(EntryPartyType,$P503)))</f>
        <v/>
      </c>
      <c r="G503" s="26">
        <f>IF($P503="","",IF(INDEX(EntryTxnType,$P503)=0,"",INDEX(EntryTxnType,$P503)))</f>
        <v/>
      </c>
      <c r="H503" s="27">
        <f>IF($P503="","",IF(INDEX(EntryDep,$P503)=0,"",INDEX(EntryDep,$P503)))</f>
        <v/>
      </c>
      <c r="I503" s="27">
        <f>IF($P503="","",IF(INDEX(EntryWit,$P503)=0,"",INDEX(EntryWit,$P503)))</f>
        <v/>
      </c>
      <c r="J503" s="27">
        <f>IF($B503="","",IF($A503=1,$C$7,IF(J502="",0,J502))+IF($H503="",0,$H503)-IF($I503="",0,$I503))</f>
        <v/>
      </c>
      <c r="K503" s="27">
        <f>IF($P503="","",IF(INDEX(EntryMan,$P503)=0,"",INDEX(EntryMan,$P503)))</f>
        <v/>
      </c>
      <c r="L503" s="26">
        <f>IF($B503="","",IF($K503="","—",IF(ROUND($K503-$J503,0)=0,"√","×")))</f>
        <v/>
      </c>
      <c r="M503" s="26">
        <f>IF($B503="","",IF(COUNTIFS(EntryDates,$B503,CalcTime,$C503,CalcBank,$C$5,EntryParty,$D503,EntryDep,$H503,EntryWit,$I503)&gt;1,"تکرار",""))</f>
        <v/>
      </c>
      <c r="N503" s="26">
        <f>IF($P503="","",IF(INDEX(EntryNotes,$P503)=0,"",INDEX(EntryNotes,$P503)))</f>
        <v/>
      </c>
      <c r="O503" s="26">
        <f>IF($P503="","",IF(INDEX(EntryTxnID,$P503)=0,"",INDEX(EntryTxnID,$P503)))</f>
        <v/>
      </c>
      <c r="P503" s="26">
        <f>IFERROR(MATCH($C$5&amp;"|"&amp;RIGHT("000000"&amp;487,6),CalcRankKey,0),"")</f>
        <v/>
      </c>
    </row>
    <row r="504">
      <c r="A504" s="28">
        <f>IF($B504="","",488)</f>
        <v/>
      </c>
      <c r="B504" s="28">
        <f>IF($P504="","",IF(INDEX(CalcNormDate,$P504)=0,"",INDEX(CalcNormDate,$P504)))</f>
        <v/>
      </c>
      <c r="C504" s="28">
        <f>IF($P504="","",IF(INDEX(CalcTime,$P504)=0,"",INDEX(CalcTime,$P504)))</f>
        <v/>
      </c>
      <c r="D504" s="28">
        <f>IF($P504="","",IF(INDEX(EntryParty,$P504)=0,"",INDEX(EntryParty,$P504)))</f>
        <v/>
      </c>
      <c r="E504" s="28">
        <f>IF($P504="","",IF(INDEX(EntryPartyName,$P504)=0,"",INDEX(EntryPartyName,$P504)))</f>
        <v/>
      </c>
      <c r="F504" s="28">
        <f>IF($P504="","",IF(INDEX(EntryPartyType,$P504)=0,"",INDEX(EntryPartyType,$P504)))</f>
        <v/>
      </c>
      <c r="G504" s="28">
        <f>IF($P504="","",IF(INDEX(EntryTxnType,$P504)=0,"",INDEX(EntryTxnType,$P504)))</f>
        <v/>
      </c>
      <c r="H504" s="29">
        <f>IF($P504="","",IF(INDEX(EntryDep,$P504)=0,"",INDEX(EntryDep,$P504)))</f>
        <v/>
      </c>
      <c r="I504" s="29">
        <f>IF($P504="","",IF(INDEX(EntryWit,$P504)=0,"",INDEX(EntryWit,$P504)))</f>
        <v/>
      </c>
      <c r="J504" s="29">
        <f>IF($B504="","",IF($A504=1,$C$7,IF(J503="",0,J503))+IF($H504="",0,$H504)-IF($I504="",0,$I504))</f>
        <v/>
      </c>
      <c r="K504" s="29">
        <f>IF($P504="","",IF(INDEX(EntryMan,$P504)=0,"",INDEX(EntryMan,$P504)))</f>
        <v/>
      </c>
      <c r="L504" s="28">
        <f>IF($B504="","",IF($K504="","—",IF(ROUND($K504-$J504,0)=0,"√","×")))</f>
        <v/>
      </c>
      <c r="M504" s="28">
        <f>IF($B504="","",IF(COUNTIFS(EntryDates,$B504,CalcTime,$C504,CalcBank,$C$5,EntryParty,$D504,EntryDep,$H504,EntryWit,$I504)&gt;1,"تکرار",""))</f>
        <v/>
      </c>
      <c r="N504" s="28">
        <f>IF($P504="","",IF(INDEX(EntryNotes,$P504)=0,"",INDEX(EntryNotes,$P504)))</f>
        <v/>
      </c>
      <c r="O504" s="28">
        <f>IF($P504="","",IF(INDEX(EntryTxnID,$P504)=0,"",INDEX(EntryTxnID,$P504)))</f>
        <v/>
      </c>
      <c r="P504" s="28">
        <f>IFERROR(MATCH($C$5&amp;"|"&amp;RIGHT("000000"&amp;488,6),CalcRankKey,0),"")</f>
        <v/>
      </c>
    </row>
    <row r="505">
      <c r="A505" s="26">
        <f>IF($B505="","",489)</f>
        <v/>
      </c>
      <c r="B505" s="26">
        <f>IF($P505="","",IF(INDEX(CalcNormDate,$P505)=0,"",INDEX(CalcNormDate,$P505)))</f>
        <v/>
      </c>
      <c r="C505" s="26">
        <f>IF($P505="","",IF(INDEX(CalcTime,$P505)=0,"",INDEX(CalcTime,$P505)))</f>
        <v/>
      </c>
      <c r="D505" s="26">
        <f>IF($P505="","",IF(INDEX(EntryParty,$P505)=0,"",INDEX(EntryParty,$P505)))</f>
        <v/>
      </c>
      <c r="E505" s="26">
        <f>IF($P505="","",IF(INDEX(EntryPartyName,$P505)=0,"",INDEX(EntryPartyName,$P505)))</f>
        <v/>
      </c>
      <c r="F505" s="26">
        <f>IF($P505="","",IF(INDEX(EntryPartyType,$P505)=0,"",INDEX(EntryPartyType,$P505)))</f>
        <v/>
      </c>
      <c r="G505" s="26">
        <f>IF($P505="","",IF(INDEX(EntryTxnType,$P505)=0,"",INDEX(EntryTxnType,$P505)))</f>
        <v/>
      </c>
      <c r="H505" s="27">
        <f>IF($P505="","",IF(INDEX(EntryDep,$P505)=0,"",INDEX(EntryDep,$P505)))</f>
        <v/>
      </c>
      <c r="I505" s="27">
        <f>IF($P505="","",IF(INDEX(EntryWit,$P505)=0,"",INDEX(EntryWit,$P505)))</f>
        <v/>
      </c>
      <c r="J505" s="27">
        <f>IF($B505="","",IF($A505=1,$C$7,IF(J504="",0,J504))+IF($H505="",0,$H505)-IF($I505="",0,$I505))</f>
        <v/>
      </c>
      <c r="K505" s="27">
        <f>IF($P505="","",IF(INDEX(EntryMan,$P505)=0,"",INDEX(EntryMan,$P505)))</f>
        <v/>
      </c>
      <c r="L505" s="26">
        <f>IF($B505="","",IF($K505="","—",IF(ROUND($K505-$J505,0)=0,"√","×")))</f>
        <v/>
      </c>
      <c r="M505" s="26">
        <f>IF($B505="","",IF(COUNTIFS(EntryDates,$B505,CalcTime,$C505,CalcBank,$C$5,EntryParty,$D505,EntryDep,$H505,EntryWit,$I505)&gt;1,"تکرار",""))</f>
        <v/>
      </c>
      <c r="N505" s="26">
        <f>IF($P505="","",IF(INDEX(EntryNotes,$P505)=0,"",INDEX(EntryNotes,$P505)))</f>
        <v/>
      </c>
      <c r="O505" s="26">
        <f>IF($P505="","",IF(INDEX(EntryTxnID,$P505)=0,"",INDEX(EntryTxnID,$P505)))</f>
        <v/>
      </c>
      <c r="P505" s="26">
        <f>IFERROR(MATCH($C$5&amp;"|"&amp;RIGHT("000000"&amp;489,6),CalcRankKey,0),"")</f>
        <v/>
      </c>
    </row>
    <row r="506">
      <c r="A506" s="28">
        <f>IF($B506="","",490)</f>
        <v/>
      </c>
      <c r="B506" s="28">
        <f>IF($P506="","",IF(INDEX(CalcNormDate,$P506)=0,"",INDEX(CalcNormDate,$P506)))</f>
        <v/>
      </c>
      <c r="C506" s="28">
        <f>IF($P506="","",IF(INDEX(CalcTime,$P506)=0,"",INDEX(CalcTime,$P506)))</f>
        <v/>
      </c>
      <c r="D506" s="28">
        <f>IF($P506="","",IF(INDEX(EntryParty,$P506)=0,"",INDEX(EntryParty,$P506)))</f>
        <v/>
      </c>
      <c r="E506" s="28">
        <f>IF($P506="","",IF(INDEX(EntryPartyName,$P506)=0,"",INDEX(EntryPartyName,$P506)))</f>
        <v/>
      </c>
      <c r="F506" s="28">
        <f>IF($P506="","",IF(INDEX(EntryPartyType,$P506)=0,"",INDEX(EntryPartyType,$P506)))</f>
        <v/>
      </c>
      <c r="G506" s="28">
        <f>IF($P506="","",IF(INDEX(EntryTxnType,$P506)=0,"",INDEX(EntryTxnType,$P506)))</f>
        <v/>
      </c>
      <c r="H506" s="29">
        <f>IF($P506="","",IF(INDEX(EntryDep,$P506)=0,"",INDEX(EntryDep,$P506)))</f>
        <v/>
      </c>
      <c r="I506" s="29">
        <f>IF($P506="","",IF(INDEX(EntryWit,$P506)=0,"",INDEX(EntryWit,$P506)))</f>
        <v/>
      </c>
      <c r="J506" s="29">
        <f>IF($B506="","",IF($A506=1,$C$7,IF(J505="",0,J505))+IF($H506="",0,$H506)-IF($I506="",0,$I506))</f>
        <v/>
      </c>
      <c r="K506" s="29">
        <f>IF($P506="","",IF(INDEX(EntryMan,$P506)=0,"",INDEX(EntryMan,$P506)))</f>
        <v/>
      </c>
      <c r="L506" s="28">
        <f>IF($B506="","",IF($K506="","—",IF(ROUND($K506-$J506,0)=0,"√","×")))</f>
        <v/>
      </c>
      <c r="M506" s="28">
        <f>IF($B506="","",IF(COUNTIFS(EntryDates,$B506,CalcTime,$C506,CalcBank,$C$5,EntryParty,$D506,EntryDep,$H506,EntryWit,$I506)&gt;1,"تکرار",""))</f>
        <v/>
      </c>
      <c r="N506" s="28">
        <f>IF($P506="","",IF(INDEX(EntryNotes,$P506)=0,"",INDEX(EntryNotes,$P506)))</f>
        <v/>
      </c>
      <c r="O506" s="28">
        <f>IF($P506="","",IF(INDEX(EntryTxnID,$P506)=0,"",INDEX(EntryTxnID,$P506)))</f>
        <v/>
      </c>
      <c r="P506" s="28">
        <f>IFERROR(MATCH($C$5&amp;"|"&amp;RIGHT("000000"&amp;490,6),CalcRankKey,0),"")</f>
        <v/>
      </c>
    </row>
    <row r="507">
      <c r="A507" s="26">
        <f>IF($B507="","",491)</f>
        <v/>
      </c>
      <c r="B507" s="26">
        <f>IF($P507="","",IF(INDEX(CalcNormDate,$P507)=0,"",INDEX(CalcNormDate,$P507)))</f>
        <v/>
      </c>
      <c r="C507" s="26">
        <f>IF($P507="","",IF(INDEX(CalcTime,$P507)=0,"",INDEX(CalcTime,$P507)))</f>
        <v/>
      </c>
      <c r="D507" s="26">
        <f>IF($P507="","",IF(INDEX(EntryParty,$P507)=0,"",INDEX(EntryParty,$P507)))</f>
        <v/>
      </c>
      <c r="E507" s="26">
        <f>IF($P507="","",IF(INDEX(EntryPartyName,$P507)=0,"",INDEX(EntryPartyName,$P507)))</f>
        <v/>
      </c>
      <c r="F507" s="26">
        <f>IF($P507="","",IF(INDEX(EntryPartyType,$P507)=0,"",INDEX(EntryPartyType,$P507)))</f>
        <v/>
      </c>
      <c r="G507" s="26">
        <f>IF($P507="","",IF(INDEX(EntryTxnType,$P507)=0,"",INDEX(EntryTxnType,$P507)))</f>
        <v/>
      </c>
      <c r="H507" s="27">
        <f>IF($P507="","",IF(INDEX(EntryDep,$P507)=0,"",INDEX(EntryDep,$P507)))</f>
        <v/>
      </c>
      <c r="I507" s="27">
        <f>IF($P507="","",IF(INDEX(EntryWit,$P507)=0,"",INDEX(EntryWit,$P507)))</f>
        <v/>
      </c>
      <c r="J507" s="27">
        <f>IF($B507="","",IF($A507=1,$C$7,IF(J506="",0,J506))+IF($H507="",0,$H507)-IF($I507="",0,$I507))</f>
        <v/>
      </c>
      <c r="K507" s="27">
        <f>IF($P507="","",IF(INDEX(EntryMan,$P507)=0,"",INDEX(EntryMan,$P507)))</f>
        <v/>
      </c>
      <c r="L507" s="26">
        <f>IF($B507="","",IF($K507="","—",IF(ROUND($K507-$J507,0)=0,"√","×")))</f>
        <v/>
      </c>
      <c r="M507" s="26">
        <f>IF($B507="","",IF(COUNTIFS(EntryDates,$B507,CalcTime,$C507,CalcBank,$C$5,EntryParty,$D507,EntryDep,$H507,EntryWit,$I507)&gt;1,"تکرار",""))</f>
        <v/>
      </c>
      <c r="N507" s="26">
        <f>IF($P507="","",IF(INDEX(EntryNotes,$P507)=0,"",INDEX(EntryNotes,$P507)))</f>
        <v/>
      </c>
      <c r="O507" s="26">
        <f>IF($P507="","",IF(INDEX(EntryTxnID,$P507)=0,"",INDEX(EntryTxnID,$P507)))</f>
        <v/>
      </c>
      <c r="P507" s="26">
        <f>IFERROR(MATCH($C$5&amp;"|"&amp;RIGHT("000000"&amp;491,6),CalcRankKey,0),"")</f>
        <v/>
      </c>
    </row>
    <row r="508">
      <c r="A508" s="28">
        <f>IF($B508="","",492)</f>
        <v/>
      </c>
      <c r="B508" s="28">
        <f>IF($P508="","",IF(INDEX(CalcNormDate,$P508)=0,"",INDEX(CalcNormDate,$P508)))</f>
        <v/>
      </c>
      <c r="C508" s="28">
        <f>IF($P508="","",IF(INDEX(CalcTime,$P508)=0,"",INDEX(CalcTime,$P508)))</f>
        <v/>
      </c>
      <c r="D508" s="28">
        <f>IF($P508="","",IF(INDEX(EntryParty,$P508)=0,"",INDEX(EntryParty,$P508)))</f>
        <v/>
      </c>
      <c r="E508" s="28">
        <f>IF($P508="","",IF(INDEX(EntryPartyName,$P508)=0,"",INDEX(EntryPartyName,$P508)))</f>
        <v/>
      </c>
      <c r="F508" s="28">
        <f>IF($P508="","",IF(INDEX(EntryPartyType,$P508)=0,"",INDEX(EntryPartyType,$P508)))</f>
        <v/>
      </c>
      <c r="G508" s="28">
        <f>IF($P508="","",IF(INDEX(EntryTxnType,$P508)=0,"",INDEX(EntryTxnType,$P508)))</f>
        <v/>
      </c>
      <c r="H508" s="29">
        <f>IF($P508="","",IF(INDEX(EntryDep,$P508)=0,"",INDEX(EntryDep,$P508)))</f>
        <v/>
      </c>
      <c r="I508" s="29">
        <f>IF($P508="","",IF(INDEX(EntryWit,$P508)=0,"",INDEX(EntryWit,$P508)))</f>
        <v/>
      </c>
      <c r="J508" s="29">
        <f>IF($B508="","",IF($A508=1,$C$7,IF(J507="",0,J507))+IF($H508="",0,$H508)-IF($I508="",0,$I508))</f>
        <v/>
      </c>
      <c r="K508" s="29">
        <f>IF($P508="","",IF(INDEX(EntryMan,$P508)=0,"",INDEX(EntryMan,$P508)))</f>
        <v/>
      </c>
      <c r="L508" s="28">
        <f>IF($B508="","",IF($K508="","—",IF(ROUND($K508-$J508,0)=0,"√","×")))</f>
        <v/>
      </c>
      <c r="M508" s="28">
        <f>IF($B508="","",IF(COUNTIFS(EntryDates,$B508,CalcTime,$C508,CalcBank,$C$5,EntryParty,$D508,EntryDep,$H508,EntryWit,$I508)&gt;1,"تکرار",""))</f>
        <v/>
      </c>
      <c r="N508" s="28">
        <f>IF($P508="","",IF(INDEX(EntryNotes,$P508)=0,"",INDEX(EntryNotes,$P508)))</f>
        <v/>
      </c>
      <c r="O508" s="28">
        <f>IF($P508="","",IF(INDEX(EntryTxnID,$P508)=0,"",INDEX(EntryTxnID,$P508)))</f>
        <v/>
      </c>
      <c r="P508" s="28">
        <f>IFERROR(MATCH($C$5&amp;"|"&amp;RIGHT("000000"&amp;492,6),CalcRankKey,0),"")</f>
        <v/>
      </c>
    </row>
    <row r="509">
      <c r="A509" s="26">
        <f>IF($B509="","",493)</f>
        <v/>
      </c>
      <c r="B509" s="26">
        <f>IF($P509="","",IF(INDEX(CalcNormDate,$P509)=0,"",INDEX(CalcNormDate,$P509)))</f>
        <v/>
      </c>
      <c r="C509" s="26">
        <f>IF($P509="","",IF(INDEX(CalcTime,$P509)=0,"",INDEX(CalcTime,$P509)))</f>
        <v/>
      </c>
      <c r="D509" s="26">
        <f>IF($P509="","",IF(INDEX(EntryParty,$P509)=0,"",INDEX(EntryParty,$P509)))</f>
        <v/>
      </c>
      <c r="E509" s="26">
        <f>IF($P509="","",IF(INDEX(EntryPartyName,$P509)=0,"",INDEX(EntryPartyName,$P509)))</f>
        <v/>
      </c>
      <c r="F509" s="26">
        <f>IF($P509="","",IF(INDEX(EntryPartyType,$P509)=0,"",INDEX(EntryPartyType,$P509)))</f>
        <v/>
      </c>
      <c r="G509" s="26">
        <f>IF($P509="","",IF(INDEX(EntryTxnType,$P509)=0,"",INDEX(EntryTxnType,$P509)))</f>
        <v/>
      </c>
      <c r="H509" s="27">
        <f>IF($P509="","",IF(INDEX(EntryDep,$P509)=0,"",INDEX(EntryDep,$P509)))</f>
        <v/>
      </c>
      <c r="I509" s="27">
        <f>IF($P509="","",IF(INDEX(EntryWit,$P509)=0,"",INDEX(EntryWit,$P509)))</f>
        <v/>
      </c>
      <c r="J509" s="27">
        <f>IF($B509="","",IF($A509=1,$C$7,IF(J508="",0,J508))+IF($H509="",0,$H509)-IF($I509="",0,$I509))</f>
        <v/>
      </c>
      <c r="K509" s="27">
        <f>IF($P509="","",IF(INDEX(EntryMan,$P509)=0,"",INDEX(EntryMan,$P509)))</f>
        <v/>
      </c>
      <c r="L509" s="26">
        <f>IF($B509="","",IF($K509="","—",IF(ROUND($K509-$J509,0)=0,"√","×")))</f>
        <v/>
      </c>
      <c r="M509" s="26">
        <f>IF($B509="","",IF(COUNTIFS(EntryDates,$B509,CalcTime,$C509,CalcBank,$C$5,EntryParty,$D509,EntryDep,$H509,EntryWit,$I509)&gt;1,"تکرار",""))</f>
        <v/>
      </c>
      <c r="N509" s="26">
        <f>IF($P509="","",IF(INDEX(EntryNotes,$P509)=0,"",INDEX(EntryNotes,$P509)))</f>
        <v/>
      </c>
      <c r="O509" s="26">
        <f>IF($P509="","",IF(INDEX(EntryTxnID,$P509)=0,"",INDEX(EntryTxnID,$P509)))</f>
        <v/>
      </c>
      <c r="P509" s="26">
        <f>IFERROR(MATCH($C$5&amp;"|"&amp;RIGHT("000000"&amp;493,6),CalcRankKey,0),"")</f>
        <v/>
      </c>
    </row>
    <row r="510">
      <c r="A510" s="28">
        <f>IF($B510="","",494)</f>
        <v/>
      </c>
      <c r="B510" s="28">
        <f>IF($P510="","",IF(INDEX(CalcNormDate,$P510)=0,"",INDEX(CalcNormDate,$P510)))</f>
        <v/>
      </c>
      <c r="C510" s="28">
        <f>IF($P510="","",IF(INDEX(CalcTime,$P510)=0,"",INDEX(CalcTime,$P510)))</f>
        <v/>
      </c>
      <c r="D510" s="28">
        <f>IF($P510="","",IF(INDEX(EntryParty,$P510)=0,"",INDEX(EntryParty,$P510)))</f>
        <v/>
      </c>
      <c r="E510" s="28">
        <f>IF($P510="","",IF(INDEX(EntryPartyName,$P510)=0,"",INDEX(EntryPartyName,$P510)))</f>
        <v/>
      </c>
      <c r="F510" s="28">
        <f>IF($P510="","",IF(INDEX(EntryPartyType,$P510)=0,"",INDEX(EntryPartyType,$P510)))</f>
        <v/>
      </c>
      <c r="G510" s="28">
        <f>IF($P510="","",IF(INDEX(EntryTxnType,$P510)=0,"",INDEX(EntryTxnType,$P510)))</f>
        <v/>
      </c>
      <c r="H510" s="29">
        <f>IF($P510="","",IF(INDEX(EntryDep,$P510)=0,"",INDEX(EntryDep,$P510)))</f>
        <v/>
      </c>
      <c r="I510" s="29">
        <f>IF($P510="","",IF(INDEX(EntryWit,$P510)=0,"",INDEX(EntryWit,$P510)))</f>
        <v/>
      </c>
      <c r="J510" s="29">
        <f>IF($B510="","",IF($A510=1,$C$7,IF(J509="",0,J509))+IF($H510="",0,$H510)-IF($I510="",0,$I510))</f>
        <v/>
      </c>
      <c r="K510" s="29">
        <f>IF($P510="","",IF(INDEX(EntryMan,$P510)=0,"",INDEX(EntryMan,$P510)))</f>
        <v/>
      </c>
      <c r="L510" s="28">
        <f>IF($B510="","",IF($K510="","—",IF(ROUND($K510-$J510,0)=0,"√","×")))</f>
        <v/>
      </c>
      <c r="M510" s="28">
        <f>IF($B510="","",IF(COUNTIFS(EntryDates,$B510,CalcTime,$C510,CalcBank,$C$5,EntryParty,$D510,EntryDep,$H510,EntryWit,$I510)&gt;1,"تکرار",""))</f>
        <v/>
      </c>
      <c r="N510" s="28">
        <f>IF($P510="","",IF(INDEX(EntryNotes,$P510)=0,"",INDEX(EntryNotes,$P510)))</f>
        <v/>
      </c>
      <c r="O510" s="28">
        <f>IF($P510="","",IF(INDEX(EntryTxnID,$P510)=0,"",INDEX(EntryTxnID,$P510)))</f>
        <v/>
      </c>
      <c r="P510" s="28">
        <f>IFERROR(MATCH($C$5&amp;"|"&amp;RIGHT("000000"&amp;494,6),CalcRankKey,0),"")</f>
        <v/>
      </c>
    </row>
    <row r="511">
      <c r="A511" s="26">
        <f>IF($B511="","",495)</f>
        <v/>
      </c>
      <c r="B511" s="26">
        <f>IF($P511="","",IF(INDEX(CalcNormDate,$P511)=0,"",INDEX(CalcNormDate,$P511)))</f>
        <v/>
      </c>
      <c r="C511" s="26">
        <f>IF($P511="","",IF(INDEX(CalcTime,$P511)=0,"",INDEX(CalcTime,$P511)))</f>
        <v/>
      </c>
      <c r="D511" s="26">
        <f>IF($P511="","",IF(INDEX(EntryParty,$P511)=0,"",INDEX(EntryParty,$P511)))</f>
        <v/>
      </c>
      <c r="E511" s="26">
        <f>IF($P511="","",IF(INDEX(EntryPartyName,$P511)=0,"",INDEX(EntryPartyName,$P511)))</f>
        <v/>
      </c>
      <c r="F511" s="26">
        <f>IF($P511="","",IF(INDEX(EntryPartyType,$P511)=0,"",INDEX(EntryPartyType,$P511)))</f>
        <v/>
      </c>
      <c r="G511" s="26">
        <f>IF($P511="","",IF(INDEX(EntryTxnType,$P511)=0,"",INDEX(EntryTxnType,$P511)))</f>
        <v/>
      </c>
      <c r="H511" s="27">
        <f>IF($P511="","",IF(INDEX(EntryDep,$P511)=0,"",INDEX(EntryDep,$P511)))</f>
        <v/>
      </c>
      <c r="I511" s="27">
        <f>IF($P511="","",IF(INDEX(EntryWit,$P511)=0,"",INDEX(EntryWit,$P511)))</f>
        <v/>
      </c>
      <c r="J511" s="27">
        <f>IF($B511="","",IF($A511=1,$C$7,IF(J510="",0,J510))+IF($H511="",0,$H511)-IF($I511="",0,$I511))</f>
        <v/>
      </c>
      <c r="K511" s="27">
        <f>IF($P511="","",IF(INDEX(EntryMan,$P511)=0,"",INDEX(EntryMan,$P511)))</f>
        <v/>
      </c>
      <c r="L511" s="26">
        <f>IF($B511="","",IF($K511="","—",IF(ROUND($K511-$J511,0)=0,"√","×")))</f>
        <v/>
      </c>
      <c r="M511" s="26">
        <f>IF($B511="","",IF(COUNTIFS(EntryDates,$B511,CalcTime,$C511,CalcBank,$C$5,EntryParty,$D511,EntryDep,$H511,EntryWit,$I511)&gt;1,"تکرار",""))</f>
        <v/>
      </c>
      <c r="N511" s="26">
        <f>IF($P511="","",IF(INDEX(EntryNotes,$P511)=0,"",INDEX(EntryNotes,$P511)))</f>
        <v/>
      </c>
      <c r="O511" s="26">
        <f>IF($P511="","",IF(INDEX(EntryTxnID,$P511)=0,"",INDEX(EntryTxnID,$P511)))</f>
        <v/>
      </c>
      <c r="P511" s="26">
        <f>IFERROR(MATCH($C$5&amp;"|"&amp;RIGHT("000000"&amp;495,6),CalcRankKey,0),"")</f>
        <v/>
      </c>
    </row>
    <row r="512">
      <c r="A512" s="28">
        <f>IF($B512="","",496)</f>
        <v/>
      </c>
      <c r="B512" s="28">
        <f>IF($P512="","",IF(INDEX(CalcNormDate,$P512)=0,"",INDEX(CalcNormDate,$P512)))</f>
        <v/>
      </c>
      <c r="C512" s="28">
        <f>IF($P512="","",IF(INDEX(CalcTime,$P512)=0,"",INDEX(CalcTime,$P512)))</f>
        <v/>
      </c>
      <c r="D512" s="28">
        <f>IF($P512="","",IF(INDEX(EntryParty,$P512)=0,"",INDEX(EntryParty,$P512)))</f>
        <v/>
      </c>
      <c r="E512" s="28">
        <f>IF($P512="","",IF(INDEX(EntryPartyName,$P512)=0,"",INDEX(EntryPartyName,$P512)))</f>
        <v/>
      </c>
      <c r="F512" s="28">
        <f>IF($P512="","",IF(INDEX(EntryPartyType,$P512)=0,"",INDEX(EntryPartyType,$P512)))</f>
        <v/>
      </c>
      <c r="G512" s="28">
        <f>IF($P512="","",IF(INDEX(EntryTxnType,$P512)=0,"",INDEX(EntryTxnType,$P512)))</f>
        <v/>
      </c>
      <c r="H512" s="29">
        <f>IF($P512="","",IF(INDEX(EntryDep,$P512)=0,"",INDEX(EntryDep,$P512)))</f>
        <v/>
      </c>
      <c r="I512" s="29">
        <f>IF($P512="","",IF(INDEX(EntryWit,$P512)=0,"",INDEX(EntryWit,$P512)))</f>
        <v/>
      </c>
      <c r="J512" s="29">
        <f>IF($B512="","",IF($A512=1,$C$7,IF(J511="",0,J511))+IF($H512="",0,$H512)-IF($I512="",0,$I512))</f>
        <v/>
      </c>
      <c r="K512" s="29">
        <f>IF($P512="","",IF(INDEX(EntryMan,$P512)=0,"",INDEX(EntryMan,$P512)))</f>
        <v/>
      </c>
      <c r="L512" s="28">
        <f>IF($B512="","",IF($K512="","—",IF(ROUND($K512-$J512,0)=0,"√","×")))</f>
        <v/>
      </c>
      <c r="M512" s="28">
        <f>IF($B512="","",IF(COUNTIFS(EntryDates,$B512,CalcTime,$C512,CalcBank,$C$5,EntryParty,$D512,EntryDep,$H512,EntryWit,$I512)&gt;1,"تکرار",""))</f>
        <v/>
      </c>
      <c r="N512" s="28">
        <f>IF($P512="","",IF(INDEX(EntryNotes,$P512)=0,"",INDEX(EntryNotes,$P512)))</f>
        <v/>
      </c>
      <c r="O512" s="28">
        <f>IF($P512="","",IF(INDEX(EntryTxnID,$P512)=0,"",INDEX(EntryTxnID,$P512)))</f>
        <v/>
      </c>
      <c r="P512" s="28">
        <f>IFERROR(MATCH($C$5&amp;"|"&amp;RIGHT("000000"&amp;496,6),CalcRankKey,0),"")</f>
        <v/>
      </c>
    </row>
    <row r="513">
      <c r="A513" s="26">
        <f>IF($B513="","",497)</f>
        <v/>
      </c>
      <c r="B513" s="26">
        <f>IF($P513="","",IF(INDEX(CalcNormDate,$P513)=0,"",INDEX(CalcNormDate,$P513)))</f>
        <v/>
      </c>
      <c r="C513" s="26">
        <f>IF($P513="","",IF(INDEX(CalcTime,$P513)=0,"",INDEX(CalcTime,$P513)))</f>
        <v/>
      </c>
      <c r="D513" s="26">
        <f>IF($P513="","",IF(INDEX(EntryParty,$P513)=0,"",INDEX(EntryParty,$P513)))</f>
        <v/>
      </c>
      <c r="E513" s="26">
        <f>IF($P513="","",IF(INDEX(EntryPartyName,$P513)=0,"",INDEX(EntryPartyName,$P513)))</f>
        <v/>
      </c>
      <c r="F513" s="26">
        <f>IF($P513="","",IF(INDEX(EntryPartyType,$P513)=0,"",INDEX(EntryPartyType,$P513)))</f>
        <v/>
      </c>
      <c r="G513" s="26">
        <f>IF($P513="","",IF(INDEX(EntryTxnType,$P513)=0,"",INDEX(EntryTxnType,$P513)))</f>
        <v/>
      </c>
      <c r="H513" s="27">
        <f>IF($P513="","",IF(INDEX(EntryDep,$P513)=0,"",INDEX(EntryDep,$P513)))</f>
        <v/>
      </c>
      <c r="I513" s="27">
        <f>IF($P513="","",IF(INDEX(EntryWit,$P513)=0,"",INDEX(EntryWit,$P513)))</f>
        <v/>
      </c>
      <c r="J513" s="27">
        <f>IF($B513="","",IF($A513=1,$C$7,IF(J512="",0,J512))+IF($H513="",0,$H513)-IF($I513="",0,$I513))</f>
        <v/>
      </c>
      <c r="K513" s="27">
        <f>IF($P513="","",IF(INDEX(EntryMan,$P513)=0,"",INDEX(EntryMan,$P513)))</f>
        <v/>
      </c>
      <c r="L513" s="26">
        <f>IF($B513="","",IF($K513="","—",IF(ROUND($K513-$J513,0)=0,"√","×")))</f>
        <v/>
      </c>
      <c r="M513" s="26">
        <f>IF($B513="","",IF(COUNTIFS(EntryDates,$B513,CalcTime,$C513,CalcBank,$C$5,EntryParty,$D513,EntryDep,$H513,EntryWit,$I513)&gt;1,"تکرار",""))</f>
        <v/>
      </c>
      <c r="N513" s="26">
        <f>IF($P513="","",IF(INDEX(EntryNotes,$P513)=0,"",INDEX(EntryNotes,$P513)))</f>
        <v/>
      </c>
      <c r="O513" s="26">
        <f>IF($P513="","",IF(INDEX(EntryTxnID,$P513)=0,"",INDEX(EntryTxnID,$P513)))</f>
        <v/>
      </c>
      <c r="P513" s="26">
        <f>IFERROR(MATCH($C$5&amp;"|"&amp;RIGHT("000000"&amp;497,6),CalcRankKey,0),"")</f>
        <v/>
      </c>
    </row>
    <row r="514">
      <c r="A514" s="28">
        <f>IF($B514="","",498)</f>
        <v/>
      </c>
      <c r="B514" s="28">
        <f>IF($P514="","",IF(INDEX(CalcNormDate,$P514)=0,"",INDEX(CalcNormDate,$P514)))</f>
        <v/>
      </c>
      <c r="C514" s="28">
        <f>IF($P514="","",IF(INDEX(CalcTime,$P514)=0,"",INDEX(CalcTime,$P514)))</f>
        <v/>
      </c>
      <c r="D514" s="28">
        <f>IF($P514="","",IF(INDEX(EntryParty,$P514)=0,"",INDEX(EntryParty,$P514)))</f>
        <v/>
      </c>
      <c r="E514" s="28">
        <f>IF($P514="","",IF(INDEX(EntryPartyName,$P514)=0,"",INDEX(EntryPartyName,$P514)))</f>
        <v/>
      </c>
      <c r="F514" s="28">
        <f>IF($P514="","",IF(INDEX(EntryPartyType,$P514)=0,"",INDEX(EntryPartyType,$P514)))</f>
        <v/>
      </c>
      <c r="G514" s="28">
        <f>IF($P514="","",IF(INDEX(EntryTxnType,$P514)=0,"",INDEX(EntryTxnType,$P514)))</f>
        <v/>
      </c>
      <c r="H514" s="29">
        <f>IF($P514="","",IF(INDEX(EntryDep,$P514)=0,"",INDEX(EntryDep,$P514)))</f>
        <v/>
      </c>
      <c r="I514" s="29">
        <f>IF($P514="","",IF(INDEX(EntryWit,$P514)=0,"",INDEX(EntryWit,$P514)))</f>
        <v/>
      </c>
      <c r="J514" s="29">
        <f>IF($B514="","",IF($A514=1,$C$7,IF(J513="",0,J513))+IF($H514="",0,$H514)-IF($I514="",0,$I514))</f>
        <v/>
      </c>
      <c r="K514" s="29">
        <f>IF($P514="","",IF(INDEX(EntryMan,$P514)=0,"",INDEX(EntryMan,$P514)))</f>
        <v/>
      </c>
      <c r="L514" s="28">
        <f>IF($B514="","",IF($K514="","—",IF(ROUND($K514-$J514,0)=0,"√","×")))</f>
        <v/>
      </c>
      <c r="M514" s="28">
        <f>IF($B514="","",IF(COUNTIFS(EntryDates,$B514,CalcTime,$C514,CalcBank,$C$5,EntryParty,$D514,EntryDep,$H514,EntryWit,$I514)&gt;1,"تکرار",""))</f>
        <v/>
      </c>
      <c r="N514" s="28">
        <f>IF($P514="","",IF(INDEX(EntryNotes,$P514)=0,"",INDEX(EntryNotes,$P514)))</f>
        <v/>
      </c>
      <c r="O514" s="28">
        <f>IF($P514="","",IF(INDEX(EntryTxnID,$P514)=0,"",INDEX(EntryTxnID,$P514)))</f>
        <v/>
      </c>
      <c r="P514" s="28">
        <f>IFERROR(MATCH($C$5&amp;"|"&amp;RIGHT("000000"&amp;498,6),CalcRankKey,0),"")</f>
        <v/>
      </c>
    </row>
    <row r="515">
      <c r="A515" s="26">
        <f>IF($B515="","",499)</f>
        <v/>
      </c>
      <c r="B515" s="26">
        <f>IF($P515="","",IF(INDEX(CalcNormDate,$P515)=0,"",INDEX(CalcNormDate,$P515)))</f>
        <v/>
      </c>
      <c r="C515" s="26">
        <f>IF($P515="","",IF(INDEX(CalcTime,$P515)=0,"",INDEX(CalcTime,$P515)))</f>
        <v/>
      </c>
      <c r="D515" s="26">
        <f>IF($P515="","",IF(INDEX(EntryParty,$P515)=0,"",INDEX(EntryParty,$P515)))</f>
        <v/>
      </c>
      <c r="E515" s="26">
        <f>IF($P515="","",IF(INDEX(EntryPartyName,$P515)=0,"",INDEX(EntryPartyName,$P515)))</f>
        <v/>
      </c>
      <c r="F515" s="26">
        <f>IF($P515="","",IF(INDEX(EntryPartyType,$P515)=0,"",INDEX(EntryPartyType,$P515)))</f>
        <v/>
      </c>
      <c r="G515" s="26">
        <f>IF($P515="","",IF(INDEX(EntryTxnType,$P515)=0,"",INDEX(EntryTxnType,$P515)))</f>
        <v/>
      </c>
      <c r="H515" s="27">
        <f>IF($P515="","",IF(INDEX(EntryDep,$P515)=0,"",INDEX(EntryDep,$P515)))</f>
        <v/>
      </c>
      <c r="I515" s="27">
        <f>IF($P515="","",IF(INDEX(EntryWit,$P515)=0,"",INDEX(EntryWit,$P515)))</f>
        <v/>
      </c>
      <c r="J515" s="27">
        <f>IF($B515="","",IF($A515=1,$C$7,IF(J514="",0,J514))+IF($H515="",0,$H515)-IF($I515="",0,$I515))</f>
        <v/>
      </c>
      <c r="K515" s="27">
        <f>IF($P515="","",IF(INDEX(EntryMan,$P515)=0,"",INDEX(EntryMan,$P515)))</f>
        <v/>
      </c>
      <c r="L515" s="26">
        <f>IF($B515="","",IF($K515="","—",IF(ROUND($K515-$J515,0)=0,"√","×")))</f>
        <v/>
      </c>
      <c r="M515" s="26">
        <f>IF($B515="","",IF(COUNTIFS(EntryDates,$B515,CalcTime,$C515,CalcBank,$C$5,EntryParty,$D515,EntryDep,$H515,EntryWit,$I515)&gt;1,"تکرار",""))</f>
        <v/>
      </c>
      <c r="N515" s="26">
        <f>IF($P515="","",IF(INDEX(EntryNotes,$P515)=0,"",INDEX(EntryNotes,$P515)))</f>
        <v/>
      </c>
      <c r="O515" s="26">
        <f>IF($P515="","",IF(INDEX(EntryTxnID,$P515)=0,"",INDEX(EntryTxnID,$P515)))</f>
        <v/>
      </c>
      <c r="P515" s="26">
        <f>IFERROR(MATCH($C$5&amp;"|"&amp;RIGHT("000000"&amp;499,6),CalcRankKey,0),"")</f>
        <v/>
      </c>
    </row>
    <row r="516">
      <c r="A516" s="28">
        <f>IF($B516="","",500)</f>
        <v/>
      </c>
      <c r="B516" s="28">
        <f>IF($P516="","",IF(INDEX(CalcNormDate,$P516)=0,"",INDEX(CalcNormDate,$P516)))</f>
        <v/>
      </c>
      <c r="C516" s="28">
        <f>IF($P516="","",IF(INDEX(CalcTime,$P516)=0,"",INDEX(CalcTime,$P516)))</f>
        <v/>
      </c>
      <c r="D516" s="28">
        <f>IF($P516="","",IF(INDEX(EntryParty,$P516)=0,"",INDEX(EntryParty,$P516)))</f>
        <v/>
      </c>
      <c r="E516" s="28">
        <f>IF($P516="","",IF(INDEX(EntryPartyName,$P516)=0,"",INDEX(EntryPartyName,$P516)))</f>
        <v/>
      </c>
      <c r="F516" s="28">
        <f>IF($P516="","",IF(INDEX(EntryPartyType,$P516)=0,"",INDEX(EntryPartyType,$P516)))</f>
        <v/>
      </c>
      <c r="G516" s="28">
        <f>IF($P516="","",IF(INDEX(EntryTxnType,$P516)=0,"",INDEX(EntryTxnType,$P516)))</f>
        <v/>
      </c>
      <c r="H516" s="29">
        <f>IF($P516="","",IF(INDEX(EntryDep,$P516)=0,"",INDEX(EntryDep,$P516)))</f>
        <v/>
      </c>
      <c r="I516" s="29">
        <f>IF($P516="","",IF(INDEX(EntryWit,$P516)=0,"",INDEX(EntryWit,$P516)))</f>
        <v/>
      </c>
      <c r="J516" s="29">
        <f>IF($B516="","",IF($A516=1,$C$7,IF(J515="",0,J515))+IF($H516="",0,$H516)-IF($I516="",0,$I516))</f>
        <v/>
      </c>
      <c r="K516" s="29">
        <f>IF($P516="","",IF(INDEX(EntryMan,$P516)=0,"",INDEX(EntryMan,$P516)))</f>
        <v/>
      </c>
      <c r="L516" s="28">
        <f>IF($B516="","",IF($K516="","—",IF(ROUND($K516-$J516,0)=0,"√","×")))</f>
        <v/>
      </c>
      <c r="M516" s="28">
        <f>IF($B516="","",IF(COUNTIFS(EntryDates,$B516,CalcTime,$C516,CalcBank,$C$5,EntryParty,$D516,EntryDep,$H516,EntryWit,$I516)&gt;1,"تکرار",""))</f>
        <v/>
      </c>
      <c r="N516" s="28">
        <f>IF($P516="","",IF(INDEX(EntryNotes,$P516)=0,"",INDEX(EntryNotes,$P516)))</f>
        <v/>
      </c>
      <c r="O516" s="28">
        <f>IF($P516="","",IF(INDEX(EntryTxnID,$P516)=0,"",INDEX(EntryTxnID,$P516)))</f>
        <v/>
      </c>
      <c r="P516" s="28">
        <f>IFERROR(MATCH($C$5&amp;"|"&amp;RIGHT("000000"&amp;500,6),CalcRankKey,0),"")</f>
        <v/>
      </c>
    </row>
  </sheetData>
  <mergeCells count="43">
    <mergeCell ref="E12:F12"/>
    <mergeCell ref="G12:H12"/>
    <mergeCell ref="O12"/>
    <mergeCell ref="H10:I10"/>
    <mergeCell ref="I4:O4"/>
    <mergeCell ref="A6:B6"/>
    <mergeCell ref="H9:I9"/>
    <mergeCell ref="J7:O7"/>
    <mergeCell ref="O13"/>
    <mergeCell ref="A2:O2"/>
    <mergeCell ref="A7:B7"/>
    <mergeCell ref="H6:I6"/>
    <mergeCell ref="C8:E8"/>
    <mergeCell ref="E13:F13"/>
    <mergeCell ref="G13:H13"/>
    <mergeCell ref="C7:E7"/>
    <mergeCell ref="A9:E10"/>
    <mergeCell ref="A12:B12"/>
    <mergeCell ref="M13:N13"/>
    <mergeCell ref="C12:D12"/>
    <mergeCell ref="A3:H3"/>
    <mergeCell ref="I12:J12"/>
    <mergeCell ref="K12:L12"/>
    <mergeCell ref="M12:N12"/>
    <mergeCell ref="H7:I7"/>
    <mergeCell ref="A5:B5"/>
    <mergeCell ref="J8:O8"/>
    <mergeCell ref="A8:B8"/>
    <mergeCell ref="C6:E6"/>
    <mergeCell ref="A4:H4"/>
    <mergeCell ref="J5:O5"/>
    <mergeCell ref="C5:E5"/>
    <mergeCell ref="J10:O10"/>
    <mergeCell ref="I3:O3"/>
    <mergeCell ref="A1:O1"/>
    <mergeCell ref="A13:B13"/>
    <mergeCell ref="H5:I5"/>
    <mergeCell ref="J9:O9"/>
    <mergeCell ref="C13:D13"/>
    <mergeCell ref="H8:I8"/>
    <mergeCell ref="I13:J13"/>
    <mergeCell ref="K13:L13"/>
    <mergeCell ref="J6:O6"/>
  </mergeCells>
  <conditionalFormatting sqref="L17:L516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3">
      <formula>"—"</formula>
    </cfRule>
  </conditionalFormatting>
  <conditionalFormatting sqref="M17:M516">
    <cfRule type="cellIs" priority="4" operator="equal" dxfId="4">
      <formula>"تکرار"</formula>
    </cfRule>
  </conditionalFormatting>
  <conditionalFormatting sqref="J17:J516">
    <cfRule type="cellIs" priority="5" operator="lessThan" dxfId="5">
      <formula>0</formula>
    </cfRule>
  </conditionalFormatting>
  <conditionalFormatting sqref="H17:H516">
    <cfRule type="dataBar" priority="6">
      <dataBar showValue="1">
        <cfvo type="num" val="0"/>
        <cfvo type="max"/>
        <color rgb="0081C784"/>
      </dataBar>
    </cfRule>
  </conditionalFormatting>
  <conditionalFormatting sqref="I17:I516">
    <cfRule type="dataBar" priority="7">
      <dataBar showValue="1">
        <cfvo type="num" val="0"/>
        <cfvo type="max"/>
        <color rgb="00FF8A65"/>
      </dataBar>
    </cfRule>
  </conditionalFormatting>
  <conditionalFormatting sqref="A4:H4">
    <cfRule type="expression" priority="8" dxfId="6">
      <formula>LEN($A$4)&gt;0</formula>
    </cfRule>
  </conditionalFormatting>
  <conditionalFormatting sqref="I13">
    <cfRule type="expression" priority="9" dxfId="7">
      <formula>ISNUMBER(SEARCH("×",$I$13))</formula>
    </cfRule>
    <cfRule type="expression" priority="10" dxfId="8">
      <formula>ISNUMBER(SEARCH("√",$I$13))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بانکی — BANK02&amp;R&amp;"Tahoma"&amp;8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P5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.5" customWidth="1" min="3" max="3"/>
    <col width="10" customWidth="1" min="4" max="4"/>
    <col width="2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0" customWidth="1" min="13" max="13"/>
    <col width="27" customWidth="1" min="14" max="14"/>
    <col width="11" customWidth="1" min="15" max="15"/>
    <col hidden="1" width="6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15">
        <f>IFERROR("صورت حساب بانکی — "&amp;IF(VLOOKUP("BANK03",BankTbl,2,0)="","(بدون عنوان)",VLOOKUP("BANK03",BankTbl,2,0)),"صورت حساب بانکی")</f>
        <v/>
      </c>
      <c r="B3" s="15" t="n"/>
      <c r="C3" s="15" t="n"/>
      <c r="D3" s="15" t="n"/>
      <c r="E3" s="15" t="n"/>
      <c r="F3" s="15" t="n"/>
      <c r="G3" s="15" t="n"/>
      <c r="H3" s="15" t="n"/>
      <c r="I3" s="16">
        <f>"کد حساب: BANK03"</f>
        <v/>
      </c>
      <c r="J3" s="16" t="n"/>
      <c r="K3" s="16" t="n"/>
      <c r="L3" s="16" t="n"/>
      <c r="M3" s="16" t="n"/>
      <c r="N3" s="16" t="n"/>
      <c r="O3" s="16" t="n"/>
    </row>
    <row r="4" ht="14" customHeight="1">
      <c r="A4" s="17">
        <f>IF(COUNTIFS(CalcBank,"BANK03")&gt;500,"× ظرفیت 500 ردیف این برگه پر شده — آخرین ردیف را به پایین کپی کنید","")</f>
        <v/>
      </c>
      <c r="B4" s="17" t="n"/>
      <c r="C4" s="17" t="n"/>
      <c r="D4" s="17" t="n"/>
      <c r="E4" s="17" t="n"/>
      <c r="F4" s="17" t="n"/>
      <c r="G4" s="17" t="n"/>
      <c r="H4" s="17" t="n"/>
      <c r="I4" s="18" t="inlineStr">
        <is>
          <t>مشخصات رسمی زیر، دستی وارد می‌شود (زردرنگ).</t>
        </is>
      </c>
      <c r="J4" s="18" t="n"/>
      <c r="K4" s="18" t="n"/>
      <c r="L4" s="18" t="n"/>
      <c r="M4" s="18" t="n"/>
      <c r="N4" s="18" t="n"/>
      <c r="O4" s="18" t="n"/>
    </row>
    <row r="5" ht="18" customHeight="1">
      <c r="A5" s="19" t="inlineStr">
        <is>
          <t>کد حساب:</t>
        </is>
      </c>
      <c r="B5" s="19" t="n"/>
      <c r="C5" s="20" t="inlineStr">
        <is>
          <t>BANK03</t>
        </is>
      </c>
      <c r="D5" s="20" t="n"/>
      <c r="E5" s="20" t="n"/>
      <c r="H5" s="19" t="inlineStr">
        <is>
          <t>نام رسمی بانک:</t>
        </is>
      </c>
      <c r="I5" s="19" t="n"/>
      <c r="J5" s="21" t="n"/>
      <c r="K5" s="21" t="n"/>
      <c r="L5" s="21" t="n"/>
      <c r="M5" s="21" t="n"/>
      <c r="N5" s="21" t="n"/>
      <c r="O5" s="21" t="n"/>
    </row>
    <row r="6" ht="18" customHeight="1">
      <c r="A6" s="19" t="inlineStr">
        <is>
          <t>عنوان نمایشی:</t>
        </is>
      </c>
      <c r="B6" s="19" t="n"/>
      <c r="C6" s="22">
        <f>IFERROR(IF(VLOOKUP("BANK03",BankTbl,2,0)="","(بدون عنوان)",VLOOKUP("BANK03",BankTbl,2,0)),"—")</f>
        <v/>
      </c>
      <c r="D6" s="22" t="n"/>
      <c r="E6" s="22" t="n"/>
      <c r="H6" s="19" t="inlineStr">
        <is>
          <t>شعبه:</t>
        </is>
      </c>
      <c r="I6" s="19" t="n"/>
      <c r="J6" s="21" t="n"/>
      <c r="K6" s="21" t="n"/>
      <c r="L6" s="21" t="n"/>
      <c r="M6" s="21" t="n"/>
      <c r="N6" s="21" t="n"/>
      <c r="O6" s="21" t="n"/>
    </row>
    <row r="7" ht="18" customHeight="1">
      <c r="A7" s="19" t="inlineStr">
        <is>
          <t>مانده اولیه (ریال):</t>
        </is>
      </c>
      <c r="B7" s="19" t="n"/>
      <c r="C7" s="23">
        <f>IFERROR(VLOOKUP("BANK03",BankTbl,3,0),0)</f>
        <v/>
      </c>
      <c r="D7" s="23" t="n"/>
      <c r="E7" s="23" t="n"/>
      <c r="H7" s="19" t="inlineStr">
        <is>
          <t>شماره حساب:</t>
        </is>
      </c>
      <c r="I7" s="19" t="n"/>
      <c r="J7" s="24" t="n"/>
      <c r="K7" s="24" t="n"/>
      <c r="L7" s="24" t="n"/>
      <c r="M7" s="24" t="n"/>
      <c r="N7" s="24" t="n"/>
      <c r="O7" s="24" t="n"/>
    </row>
    <row r="8" ht="18" customHeight="1">
      <c r="A8" s="19" t="inlineStr">
        <is>
          <t>وضعیت فعال:</t>
        </is>
      </c>
      <c r="B8" s="19" t="n"/>
      <c r="C8" s="10">
        <f>IFERROR(IF(VLOOKUP("BANK03",BankTbl,4,0)=0,"—",VLOOKUP("BANK03",BankTbl,4,0)),"—")</f>
        <v/>
      </c>
      <c r="D8" s="10" t="n"/>
      <c r="E8" s="10" t="n"/>
      <c r="H8" s="19" t="inlineStr">
        <is>
          <t>شماره شبا (۲۴ رقم):</t>
        </is>
      </c>
      <c r="I8" s="19" t="n"/>
      <c r="J8" s="24" t="n"/>
      <c r="K8" s="24" t="n"/>
      <c r="L8" s="24" t="n"/>
      <c r="M8" s="24" t="n"/>
      <c r="N8" s="24" t="n"/>
      <c r="O8" s="24" t="n"/>
    </row>
    <row r="9" ht="18" customHeight="1">
      <c r="A9" s="25" t="inlineStr">
        <is>
          <t>این چهار سلول از فایل مادر خوانده می‌شوند؛ برای تغییر: Mazandasht_INFO.xlsx ← شیت Banks. مشخصات رسمی (زردرنگ) دستی وارد می‌شود.</t>
        </is>
      </c>
      <c r="B9" s="25" t="n"/>
      <c r="C9" s="25" t="n"/>
      <c r="D9" s="25" t="n"/>
      <c r="E9" s="25" t="n"/>
      <c r="H9" s="19" t="inlineStr">
        <is>
          <t>صاحب حساب:</t>
        </is>
      </c>
      <c r="I9" s="19" t="n"/>
      <c r="J9" s="21" t="n"/>
      <c r="K9" s="21" t="n"/>
      <c r="L9" s="21" t="n"/>
      <c r="M9" s="21" t="n"/>
      <c r="N9" s="21" t="n"/>
      <c r="O9" s="21" t="n"/>
    </row>
    <row r="10" ht="18" customHeight="1">
      <c r="A10" s="25" t="n"/>
      <c r="B10" s="25" t="n"/>
      <c r="C10" s="25" t="n"/>
      <c r="D10" s="25" t="n"/>
      <c r="E10" s="25" t="n"/>
      <c r="H10" s="19" t="inlineStr">
        <is>
          <t>تلفن شعبه:</t>
        </is>
      </c>
      <c r="I10" s="19" t="n"/>
      <c r="J10" s="21" t="n"/>
      <c r="K10" s="21" t="n"/>
      <c r="L10" s="21" t="n"/>
      <c r="M10" s="21" t="n"/>
      <c r="N10" s="21" t="n"/>
      <c r="O10" s="21" t="n"/>
    </row>
    <row r="12" ht="13" customHeight="1">
      <c r="A12" s="5" t="inlineStr">
        <is>
          <t>جمع واریز (ریال)</t>
        </is>
      </c>
      <c r="B12" s="5" t="n"/>
      <c r="C12" s="5" t="inlineStr">
        <is>
          <t>جمع برداشت (ریال)</t>
        </is>
      </c>
      <c r="D12" s="5" t="n"/>
      <c r="E12" s="5" t="inlineStr">
        <is>
          <t>مانده نهایی سیستم</t>
        </is>
      </c>
      <c r="F12" s="5" t="n"/>
      <c r="G12" s="5" t="inlineStr">
        <is>
          <t>آخرین موجودی بانک</t>
        </is>
      </c>
      <c r="H12" s="5" t="n"/>
      <c r="I12" s="5" t="inlineStr">
        <is>
          <t>وضعیت مغایرت</t>
        </is>
      </c>
      <c r="J12" s="5" t="n"/>
      <c r="K12" s="5" t="inlineStr">
        <is>
          <t>تعداد تراکنش</t>
        </is>
      </c>
      <c r="L12" s="5" t="n"/>
      <c r="M12" s="5" t="inlineStr">
        <is>
          <t>ردیف تکراری</t>
        </is>
      </c>
      <c r="N12" s="5" t="n"/>
      <c r="O12" s="5" t="inlineStr">
        <is>
          <t>آخرین تاریخ</t>
        </is>
      </c>
    </row>
    <row r="13" ht="22" customHeight="1">
      <c r="A13" s="7">
        <f>SUM($H$17:$H$516)</f>
        <v/>
      </c>
      <c r="B13" s="7" t="n"/>
      <c r="C13" s="7">
        <f>SUM($I$17:$I$516)</f>
        <v/>
      </c>
      <c r="D13" s="7" t="n"/>
      <c r="E13" s="7">
        <f>IFERROR(LOOKUP(9.99E+307,$J$17:$J$516),$C$7)</f>
        <v/>
      </c>
      <c r="F13" s="7" t="n"/>
      <c r="G13" s="7">
        <f>IFERROR(LOOKUP(9.99E+307,$K$17:$K$516),"—")</f>
        <v/>
      </c>
      <c r="H13" s="7" t="n"/>
      <c r="I13" s="7">
        <f>IF(NOT(ISNUMBER($G$13)),"— بدون کنترل",IF(ROUND($G$13-$E$13,0)=0,"√ منطبق","× مغایرت ("&amp;TEXT(ROUND($G$13-$E$13,0),"#,##0")&amp;" ریال)"))</f>
        <v/>
      </c>
      <c r="J13" s="7" t="n"/>
      <c r="K13" s="7">
        <f>COUNT($A$17:$A$516)</f>
        <v/>
      </c>
      <c r="L13" s="7" t="n"/>
      <c r="M13" s="7">
        <f>COUNTIF($M$17:$M$516,"تکرار")</f>
        <v/>
      </c>
      <c r="N13" s="7" t="n"/>
      <c r="O13" s="7">
        <f>IF(COUNT($A$17:$A$516)=0,"—",INDEX($B$17:$B$516,COUNT($A$17:$A$516)))</f>
        <v/>
      </c>
    </row>
    <row r="14" ht="6" customHeight="1"/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ساعت</t>
        </is>
      </c>
      <c r="D15" s="8" t="inlineStr">
        <is>
          <t>کد طرف</t>
        </is>
      </c>
      <c r="E15" s="8" t="inlineStr">
        <is>
          <t>طرف حساب</t>
        </is>
      </c>
      <c r="F15" s="8" t="inlineStr">
        <is>
          <t>نوع طرف حساب</t>
        </is>
      </c>
      <c r="G15" s="8" t="inlineStr">
        <is>
          <t>نوع تراکنش</t>
        </is>
      </c>
      <c r="H15" s="8" t="inlineStr">
        <is>
          <t>واریز (ریال)</t>
        </is>
      </c>
      <c r="I15" s="8" t="inlineStr">
        <is>
          <t>برداشت (ریال)</t>
        </is>
      </c>
      <c r="J15" s="8" t="inlineStr">
        <is>
          <t>مانده سیستم (ریال)</t>
        </is>
      </c>
      <c r="K15" s="8" t="inlineStr">
        <is>
          <t>موجودی بانک (ریال)</t>
        </is>
      </c>
      <c r="L15" s="8" t="inlineStr">
        <is>
          <t>وضعیت</t>
        </is>
      </c>
      <c r="M15" s="8" t="inlineStr">
        <is>
          <t>کنترل تکرار</t>
        </is>
      </c>
      <c r="N15" s="8" t="inlineStr">
        <is>
          <t>توضیحات</t>
        </is>
      </c>
      <c r="O15" s="8" t="inlineStr">
        <is>
          <t>شناسه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Time</t>
        </is>
      </c>
      <c r="D16" s="9" t="inlineStr">
        <is>
          <t>Party Code</t>
        </is>
      </c>
      <c r="E16" s="9" t="inlineStr">
        <is>
          <t>Party</t>
        </is>
      </c>
      <c r="F16" s="9" t="inlineStr">
        <is>
          <t>Party Type</t>
        </is>
      </c>
      <c r="G16" s="9" t="inlineStr">
        <is>
          <t>Txn Type</t>
        </is>
      </c>
      <c r="H16" s="9" t="inlineStr">
        <is>
          <t>Deposit</t>
        </is>
      </c>
      <c r="I16" s="9" t="inlineStr">
        <is>
          <t>Withdrawal</t>
        </is>
      </c>
      <c r="J16" s="9" t="inlineStr">
        <is>
          <t>System Balance</t>
        </is>
      </c>
      <c r="K16" s="9" t="inlineStr">
        <is>
          <t>Bank Balance</t>
        </is>
      </c>
      <c r="L16" s="9" t="inlineStr">
        <is>
          <t>Status</t>
        </is>
      </c>
      <c r="M16" s="9" t="inlineStr">
        <is>
          <t>Dup Check</t>
        </is>
      </c>
      <c r="N16" s="9" t="inlineStr">
        <is>
          <t>Notes</t>
        </is>
      </c>
      <c r="O16" s="9" t="inlineStr">
        <is>
          <t>TxnID</t>
        </is>
      </c>
    </row>
    <row r="17">
      <c r="A17" s="26">
        <f>IF($B17="","",1)</f>
        <v/>
      </c>
      <c r="B17" s="26">
        <f>IF($P17="","",IF(INDEX(CalcNormDate,$P17)=0,"",INDEX(CalcNormDate,$P17)))</f>
        <v/>
      </c>
      <c r="C17" s="26">
        <f>IF($P17="","",IF(INDEX(CalcTime,$P17)=0,"",INDEX(CalcTime,$P17)))</f>
        <v/>
      </c>
      <c r="D17" s="26">
        <f>IF($P17="","",IF(INDEX(EntryParty,$P17)=0,"",INDEX(EntryParty,$P17)))</f>
        <v/>
      </c>
      <c r="E17" s="26">
        <f>IF($P17="","",IF(INDEX(EntryPartyName,$P17)=0,"",INDEX(EntryPartyName,$P17)))</f>
        <v/>
      </c>
      <c r="F17" s="26">
        <f>IF($P17="","",IF(INDEX(EntryPartyType,$P17)=0,"",INDEX(EntryPartyType,$P17)))</f>
        <v/>
      </c>
      <c r="G17" s="26">
        <f>IF($P17="","",IF(INDEX(EntryTxnType,$P17)=0,"",INDEX(EntryTxnType,$P17)))</f>
        <v/>
      </c>
      <c r="H17" s="27">
        <f>IF($P17="","",IF(INDEX(EntryDep,$P17)=0,"",INDEX(EntryDep,$P17)))</f>
        <v/>
      </c>
      <c r="I17" s="27">
        <f>IF($P17="","",IF(INDEX(EntryWit,$P17)=0,"",INDEX(EntryWit,$P17)))</f>
        <v/>
      </c>
      <c r="J17" s="27">
        <f>IF($B17="","",IF($A17=1,$C$7,IF(J16="",0,J16))+IF($H17="",0,$H17)-IF($I17="",0,$I17))</f>
        <v/>
      </c>
      <c r="K17" s="27">
        <f>IF($P17="","",IF(INDEX(EntryMan,$P17)=0,"",INDEX(EntryMan,$P17)))</f>
        <v/>
      </c>
      <c r="L17" s="26">
        <f>IF($B17="","",IF($K17="","—",IF(ROUND($K17-$J17,0)=0,"√","×")))</f>
        <v/>
      </c>
      <c r="M17" s="26">
        <f>IF($B17="","",IF(COUNTIFS(EntryDates,$B17,CalcTime,$C17,CalcBank,$C$5,EntryParty,$D17,EntryDep,$H17,EntryWit,$I17)&gt;1,"تکرار",""))</f>
        <v/>
      </c>
      <c r="N17" s="26">
        <f>IF($P17="","",IF(INDEX(EntryNotes,$P17)=0,"",INDEX(EntryNotes,$P17)))</f>
        <v/>
      </c>
      <c r="O17" s="26">
        <f>IF($P17="","",IF(INDEX(EntryTxnID,$P17)=0,"",INDEX(EntryTxnID,$P17)))</f>
        <v/>
      </c>
      <c r="P17" s="26">
        <f>IFERROR(MATCH($C$5&amp;"|"&amp;RIGHT("000000"&amp;1,6),CalcRankKey,0),"")</f>
        <v/>
      </c>
    </row>
    <row r="18">
      <c r="A18" s="28">
        <f>IF($B18="","",2)</f>
        <v/>
      </c>
      <c r="B18" s="28">
        <f>IF($P18="","",IF(INDEX(CalcNormDate,$P18)=0,"",INDEX(CalcNormDate,$P18)))</f>
        <v/>
      </c>
      <c r="C18" s="28">
        <f>IF($P18="","",IF(INDEX(CalcTime,$P18)=0,"",INDEX(CalcTime,$P18)))</f>
        <v/>
      </c>
      <c r="D18" s="28">
        <f>IF($P18="","",IF(INDEX(EntryParty,$P18)=0,"",INDEX(EntryParty,$P18)))</f>
        <v/>
      </c>
      <c r="E18" s="28">
        <f>IF($P18="","",IF(INDEX(EntryPartyName,$P18)=0,"",INDEX(EntryPartyName,$P18)))</f>
        <v/>
      </c>
      <c r="F18" s="28">
        <f>IF($P18="","",IF(INDEX(EntryPartyType,$P18)=0,"",INDEX(EntryPartyType,$P18)))</f>
        <v/>
      </c>
      <c r="G18" s="28">
        <f>IF($P18="","",IF(INDEX(EntryTxnType,$P18)=0,"",INDEX(EntryTxnType,$P18)))</f>
        <v/>
      </c>
      <c r="H18" s="29">
        <f>IF($P18="","",IF(INDEX(EntryDep,$P18)=0,"",INDEX(EntryDep,$P18)))</f>
        <v/>
      </c>
      <c r="I18" s="29">
        <f>IF($P18="","",IF(INDEX(EntryWit,$P18)=0,"",INDEX(EntryWit,$P18)))</f>
        <v/>
      </c>
      <c r="J18" s="29">
        <f>IF($B18="","",IF($A18=1,$C$7,IF(J17="",0,J17))+IF($H18="",0,$H18)-IF($I18="",0,$I18))</f>
        <v/>
      </c>
      <c r="K18" s="29">
        <f>IF($P18="","",IF(INDEX(EntryMan,$P18)=0,"",INDEX(EntryMan,$P18)))</f>
        <v/>
      </c>
      <c r="L18" s="28">
        <f>IF($B18="","",IF($K18="","—",IF(ROUND($K18-$J18,0)=0,"√","×")))</f>
        <v/>
      </c>
      <c r="M18" s="28">
        <f>IF($B18="","",IF(COUNTIFS(EntryDates,$B18,CalcTime,$C18,CalcBank,$C$5,EntryParty,$D18,EntryDep,$H18,EntryWit,$I18)&gt;1,"تکرار",""))</f>
        <v/>
      </c>
      <c r="N18" s="28">
        <f>IF($P18="","",IF(INDEX(EntryNotes,$P18)=0,"",INDEX(EntryNotes,$P18)))</f>
        <v/>
      </c>
      <c r="O18" s="28">
        <f>IF($P18="","",IF(INDEX(EntryTxnID,$P18)=0,"",INDEX(EntryTxnID,$P18)))</f>
        <v/>
      </c>
      <c r="P18" s="28">
        <f>IFERROR(MATCH($C$5&amp;"|"&amp;RIGHT("000000"&amp;2,6),CalcRankKey,0),"")</f>
        <v/>
      </c>
    </row>
    <row r="19">
      <c r="A19" s="26">
        <f>IF($B19="","",3)</f>
        <v/>
      </c>
      <c r="B19" s="26">
        <f>IF($P19="","",IF(INDEX(CalcNormDate,$P19)=0,"",INDEX(CalcNormDate,$P19)))</f>
        <v/>
      </c>
      <c r="C19" s="26">
        <f>IF($P19="","",IF(INDEX(CalcTime,$P19)=0,"",INDEX(CalcTime,$P19)))</f>
        <v/>
      </c>
      <c r="D19" s="26">
        <f>IF($P19="","",IF(INDEX(EntryParty,$P19)=0,"",INDEX(EntryParty,$P19)))</f>
        <v/>
      </c>
      <c r="E19" s="26">
        <f>IF($P19="","",IF(INDEX(EntryPartyName,$P19)=0,"",INDEX(EntryPartyName,$P19)))</f>
        <v/>
      </c>
      <c r="F19" s="26">
        <f>IF($P19="","",IF(INDEX(EntryPartyType,$P19)=0,"",INDEX(EntryPartyType,$P19)))</f>
        <v/>
      </c>
      <c r="G19" s="26">
        <f>IF($P19="","",IF(INDEX(EntryTxnType,$P19)=0,"",INDEX(EntryTxnType,$P19)))</f>
        <v/>
      </c>
      <c r="H19" s="27">
        <f>IF($P19="","",IF(INDEX(EntryDep,$P19)=0,"",INDEX(EntryDep,$P19)))</f>
        <v/>
      </c>
      <c r="I19" s="27">
        <f>IF($P19="","",IF(INDEX(EntryWit,$P19)=0,"",INDEX(EntryWit,$P19)))</f>
        <v/>
      </c>
      <c r="J19" s="27">
        <f>IF($B19="","",IF($A19=1,$C$7,IF(J18="",0,J18))+IF($H19="",0,$H19)-IF($I19="",0,$I19))</f>
        <v/>
      </c>
      <c r="K19" s="27">
        <f>IF($P19="","",IF(INDEX(EntryMan,$P19)=0,"",INDEX(EntryMan,$P19)))</f>
        <v/>
      </c>
      <c r="L19" s="26">
        <f>IF($B19="","",IF($K19="","—",IF(ROUND($K19-$J19,0)=0,"√","×")))</f>
        <v/>
      </c>
      <c r="M19" s="26">
        <f>IF($B19="","",IF(COUNTIFS(EntryDates,$B19,CalcTime,$C19,CalcBank,$C$5,EntryParty,$D19,EntryDep,$H19,EntryWit,$I19)&gt;1,"تکرار",""))</f>
        <v/>
      </c>
      <c r="N19" s="26">
        <f>IF($P19="","",IF(INDEX(EntryNotes,$P19)=0,"",INDEX(EntryNotes,$P19)))</f>
        <v/>
      </c>
      <c r="O19" s="26">
        <f>IF($P19="","",IF(INDEX(EntryTxnID,$P19)=0,"",INDEX(EntryTxnID,$P19)))</f>
        <v/>
      </c>
      <c r="P19" s="26">
        <f>IFERROR(MATCH($C$5&amp;"|"&amp;RIGHT("000000"&amp;3,6),CalcRankKey,0),"")</f>
        <v/>
      </c>
    </row>
    <row r="20">
      <c r="A20" s="28">
        <f>IF($B20="","",4)</f>
        <v/>
      </c>
      <c r="B20" s="28">
        <f>IF($P20="","",IF(INDEX(CalcNormDate,$P20)=0,"",INDEX(CalcNormDate,$P20)))</f>
        <v/>
      </c>
      <c r="C20" s="28">
        <f>IF($P20="","",IF(INDEX(CalcTime,$P20)=0,"",INDEX(CalcTime,$P20)))</f>
        <v/>
      </c>
      <c r="D20" s="28">
        <f>IF($P20="","",IF(INDEX(EntryParty,$P20)=0,"",INDEX(EntryParty,$P20)))</f>
        <v/>
      </c>
      <c r="E20" s="28">
        <f>IF($P20="","",IF(INDEX(EntryPartyName,$P20)=0,"",INDEX(EntryPartyName,$P20)))</f>
        <v/>
      </c>
      <c r="F20" s="28">
        <f>IF($P20="","",IF(INDEX(EntryPartyType,$P20)=0,"",INDEX(EntryPartyType,$P20)))</f>
        <v/>
      </c>
      <c r="G20" s="28">
        <f>IF($P20="","",IF(INDEX(EntryTxnType,$P20)=0,"",INDEX(EntryTxnType,$P20)))</f>
        <v/>
      </c>
      <c r="H20" s="29">
        <f>IF($P20="","",IF(INDEX(EntryDep,$P20)=0,"",INDEX(EntryDep,$P20)))</f>
        <v/>
      </c>
      <c r="I20" s="29">
        <f>IF($P20="","",IF(INDEX(EntryWit,$P20)=0,"",INDEX(EntryWit,$P20)))</f>
        <v/>
      </c>
      <c r="J20" s="29">
        <f>IF($B20="","",IF($A20=1,$C$7,IF(J19="",0,J19))+IF($H20="",0,$H20)-IF($I20="",0,$I20))</f>
        <v/>
      </c>
      <c r="K20" s="29">
        <f>IF($P20="","",IF(INDEX(EntryMan,$P20)=0,"",INDEX(EntryMan,$P20)))</f>
        <v/>
      </c>
      <c r="L20" s="28">
        <f>IF($B20="","",IF($K20="","—",IF(ROUND($K20-$J20,0)=0,"√","×")))</f>
        <v/>
      </c>
      <c r="M20" s="28">
        <f>IF($B20="","",IF(COUNTIFS(EntryDates,$B20,CalcTime,$C20,CalcBank,$C$5,EntryParty,$D20,EntryDep,$H20,EntryWit,$I20)&gt;1,"تکرار",""))</f>
        <v/>
      </c>
      <c r="N20" s="28">
        <f>IF($P20="","",IF(INDEX(EntryNotes,$P20)=0,"",INDEX(EntryNotes,$P20)))</f>
        <v/>
      </c>
      <c r="O20" s="28">
        <f>IF($P20="","",IF(INDEX(EntryTxnID,$P20)=0,"",INDEX(EntryTxnID,$P20)))</f>
        <v/>
      </c>
      <c r="P20" s="28">
        <f>IFERROR(MATCH($C$5&amp;"|"&amp;RIGHT("000000"&amp;4,6),CalcRankKey,0),"")</f>
        <v/>
      </c>
    </row>
    <row r="21">
      <c r="A21" s="26">
        <f>IF($B21="","",5)</f>
        <v/>
      </c>
      <c r="B21" s="26">
        <f>IF($P21="","",IF(INDEX(CalcNormDate,$P21)=0,"",INDEX(CalcNormDate,$P21)))</f>
        <v/>
      </c>
      <c r="C21" s="26">
        <f>IF($P21="","",IF(INDEX(CalcTime,$P21)=0,"",INDEX(CalcTime,$P21)))</f>
        <v/>
      </c>
      <c r="D21" s="26">
        <f>IF($P21="","",IF(INDEX(EntryParty,$P21)=0,"",INDEX(EntryParty,$P21)))</f>
        <v/>
      </c>
      <c r="E21" s="26">
        <f>IF($P21="","",IF(INDEX(EntryPartyName,$P21)=0,"",INDEX(EntryPartyName,$P21)))</f>
        <v/>
      </c>
      <c r="F21" s="26">
        <f>IF($P21="","",IF(INDEX(EntryPartyType,$P21)=0,"",INDEX(EntryPartyType,$P21)))</f>
        <v/>
      </c>
      <c r="G21" s="26">
        <f>IF($P21="","",IF(INDEX(EntryTxnType,$P21)=0,"",INDEX(EntryTxnType,$P21)))</f>
        <v/>
      </c>
      <c r="H21" s="27">
        <f>IF($P21="","",IF(INDEX(EntryDep,$P21)=0,"",INDEX(EntryDep,$P21)))</f>
        <v/>
      </c>
      <c r="I21" s="27">
        <f>IF($P21="","",IF(INDEX(EntryWit,$P21)=0,"",INDEX(EntryWit,$P21)))</f>
        <v/>
      </c>
      <c r="J21" s="27">
        <f>IF($B21="","",IF($A21=1,$C$7,IF(J20="",0,J20))+IF($H21="",0,$H21)-IF($I21="",0,$I21))</f>
        <v/>
      </c>
      <c r="K21" s="27">
        <f>IF($P21="","",IF(INDEX(EntryMan,$P21)=0,"",INDEX(EntryMan,$P21)))</f>
        <v/>
      </c>
      <c r="L21" s="26">
        <f>IF($B21="","",IF($K21="","—",IF(ROUND($K21-$J21,0)=0,"√","×")))</f>
        <v/>
      </c>
      <c r="M21" s="26">
        <f>IF($B21="","",IF(COUNTIFS(EntryDates,$B21,CalcTime,$C21,CalcBank,$C$5,EntryParty,$D21,EntryDep,$H21,EntryWit,$I21)&gt;1,"تکرار",""))</f>
        <v/>
      </c>
      <c r="N21" s="26">
        <f>IF($P21="","",IF(INDEX(EntryNotes,$P21)=0,"",INDEX(EntryNotes,$P21)))</f>
        <v/>
      </c>
      <c r="O21" s="26">
        <f>IF($P21="","",IF(INDEX(EntryTxnID,$P21)=0,"",INDEX(EntryTxnID,$P21)))</f>
        <v/>
      </c>
      <c r="P21" s="26">
        <f>IFERROR(MATCH($C$5&amp;"|"&amp;RIGHT("000000"&amp;5,6),CalcRankKey,0),"")</f>
        <v/>
      </c>
    </row>
    <row r="22">
      <c r="A22" s="28">
        <f>IF($B22="","",6)</f>
        <v/>
      </c>
      <c r="B22" s="28">
        <f>IF($P22="","",IF(INDEX(CalcNormDate,$P22)=0,"",INDEX(CalcNormDate,$P22)))</f>
        <v/>
      </c>
      <c r="C22" s="28">
        <f>IF($P22="","",IF(INDEX(CalcTime,$P22)=0,"",INDEX(CalcTime,$P22)))</f>
        <v/>
      </c>
      <c r="D22" s="28">
        <f>IF($P22="","",IF(INDEX(EntryParty,$P22)=0,"",INDEX(EntryParty,$P22)))</f>
        <v/>
      </c>
      <c r="E22" s="28">
        <f>IF($P22="","",IF(INDEX(EntryPartyName,$P22)=0,"",INDEX(EntryPartyName,$P22)))</f>
        <v/>
      </c>
      <c r="F22" s="28">
        <f>IF($P22="","",IF(INDEX(EntryPartyType,$P22)=0,"",INDEX(EntryPartyType,$P22)))</f>
        <v/>
      </c>
      <c r="G22" s="28">
        <f>IF($P22="","",IF(INDEX(EntryTxnType,$P22)=0,"",INDEX(EntryTxnType,$P22)))</f>
        <v/>
      </c>
      <c r="H22" s="29">
        <f>IF($P22="","",IF(INDEX(EntryDep,$P22)=0,"",INDEX(EntryDep,$P22)))</f>
        <v/>
      </c>
      <c r="I22" s="29">
        <f>IF($P22="","",IF(INDEX(EntryWit,$P22)=0,"",INDEX(EntryWit,$P22)))</f>
        <v/>
      </c>
      <c r="J22" s="29">
        <f>IF($B22="","",IF($A22=1,$C$7,IF(J21="",0,J21))+IF($H22="",0,$H22)-IF($I22="",0,$I22))</f>
        <v/>
      </c>
      <c r="K22" s="29">
        <f>IF($P22="","",IF(INDEX(EntryMan,$P22)=0,"",INDEX(EntryMan,$P22)))</f>
        <v/>
      </c>
      <c r="L22" s="28">
        <f>IF($B22="","",IF($K22="","—",IF(ROUND($K22-$J22,0)=0,"√","×")))</f>
        <v/>
      </c>
      <c r="M22" s="28">
        <f>IF($B22="","",IF(COUNTIFS(EntryDates,$B22,CalcTime,$C22,CalcBank,$C$5,EntryParty,$D22,EntryDep,$H22,EntryWit,$I22)&gt;1,"تکرار",""))</f>
        <v/>
      </c>
      <c r="N22" s="28">
        <f>IF($P22="","",IF(INDEX(EntryNotes,$P22)=0,"",INDEX(EntryNotes,$P22)))</f>
        <v/>
      </c>
      <c r="O22" s="28">
        <f>IF($P22="","",IF(INDEX(EntryTxnID,$P22)=0,"",INDEX(EntryTxnID,$P22)))</f>
        <v/>
      </c>
      <c r="P22" s="28">
        <f>IFERROR(MATCH($C$5&amp;"|"&amp;RIGHT("000000"&amp;6,6),CalcRankKey,0),"")</f>
        <v/>
      </c>
    </row>
    <row r="23">
      <c r="A23" s="26">
        <f>IF($B23="","",7)</f>
        <v/>
      </c>
      <c r="B23" s="26">
        <f>IF($P23="","",IF(INDEX(CalcNormDate,$P23)=0,"",INDEX(CalcNormDate,$P23)))</f>
        <v/>
      </c>
      <c r="C23" s="26">
        <f>IF($P23="","",IF(INDEX(CalcTime,$P23)=0,"",INDEX(CalcTime,$P23)))</f>
        <v/>
      </c>
      <c r="D23" s="26">
        <f>IF($P23="","",IF(INDEX(EntryParty,$P23)=0,"",INDEX(EntryParty,$P23)))</f>
        <v/>
      </c>
      <c r="E23" s="26">
        <f>IF($P23="","",IF(INDEX(EntryPartyName,$P23)=0,"",INDEX(EntryPartyName,$P23)))</f>
        <v/>
      </c>
      <c r="F23" s="26">
        <f>IF($P23="","",IF(INDEX(EntryPartyType,$P23)=0,"",INDEX(EntryPartyType,$P23)))</f>
        <v/>
      </c>
      <c r="G23" s="26">
        <f>IF($P23="","",IF(INDEX(EntryTxnType,$P23)=0,"",INDEX(EntryTxnType,$P23)))</f>
        <v/>
      </c>
      <c r="H23" s="27">
        <f>IF($P23="","",IF(INDEX(EntryDep,$P23)=0,"",INDEX(EntryDep,$P23)))</f>
        <v/>
      </c>
      <c r="I23" s="27">
        <f>IF($P23="","",IF(INDEX(EntryWit,$P23)=0,"",INDEX(EntryWit,$P23)))</f>
        <v/>
      </c>
      <c r="J23" s="27">
        <f>IF($B23="","",IF($A23=1,$C$7,IF(J22="",0,J22))+IF($H23="",0,$H23)-IF($I23="",0,$I23))</f>
        <v/>
      </c>
      <c r="K23" s="27">
        <f>IF($P23="","",IF(INDEX(EntryMan,$P23)=0,"",INDEX(EntryMan,$P23)))</f>
        <v/>
      </c>
      <c r="L23" s="26">
        <f>IF($B23="","",IF($K23="","—",IF(ROUND($K23-$J23,0)=0,"√","×")))</f>
        <v/>
      </c>
      <c r="M23" s="26">
        <f>IF($B23="","",IF(COUNTIFS(EntryDates,$B23,CalcTime,$C23,CalcBank,$C$5,EntryParty,$D23,EntryDep,$H23,EntryWit,$I23)&gt;1,"تکرار",""))</f>
        <v/>
      </c>
      <c r="N23" s="26">
        <f>IF($P23="","",IF(INDEX(EntryNotes,$P23)=0,"",INDEX(EntryNotes,$P23)))</f>
        <v/>
      </c>
      <c r="O23" s="26">
        <f>IF($P23="","",IF(INDEX(EntryTxnID,$P23)=0,"",INDEX(EntryTxnID,$P23)))</f>
        <v/>
      </c>
      <c r="P23" s="26">
        <f>IFERROR(MATCH($C$5&amp;"|"&amp;RIGHT("000000"&amp;7,6),CalcRankKey,0),"")</f>
        <v/>
      </c>
    </row>
    <row r="24">
      <c r="A24" s="28">
        <f>IF($B24="","",8)</f>
        <v/>
      </c>
      <c r="B24" s="28">
        <f>IF($P24="","",IF(INDEX(CalcNormDate,$P24)=0,"",INDEX(CalcNormDate,$P24)))</f>
        <v/>
      </c>
      <c r="C24" s="28">
        <f>IF($P24="","",IF(INDEX(CalcTime,$P24)=0,"",INDEX(CalcTime,$P24)))</f>
        <v/>
      </c>
      <c r="D24" s="28">
        <f>IF($P24="","",IF(INDEX(EntryParty,$P24)=0,"",INDEX(EntryParty,$P24)))</f>
        <v/>
      </c>
      <c r="E24" s="28">
        <f>IF($P24="","",IF(INDEX(EntryPartyName,$P24)=0,"",INDEX(EntryPartyName,$P24)))</f>
        <v/>
      </c>
      <c r="F24" s="28">
        <f>IF($P24="","",IF(INDEX(EntryPartyType,$P24)=0,"",INDEX(EntryPartyType,$P24)))</f>
        <v/>
      </c>
      <c r="G24" s="28">
        <f>IF($P24="","",IF(INDEX(EntryTxnType,$P24)=0,"",INDEX(EntryTxnType,$P24)))</f>
        <v/>
      </c>
      <c r="H24" s="29">
        <f>IF($P24="","",IF(INDEX(EntryDep,$P24)=0,"",INDEX(EntryDep,$P24)))</f>
        <v/>
      </c>
      <c r="I24" s="29">
        <f>IF($P24="","",IF(INDEX(EntryWit,$P24)=0,"",INDEX(EntryWit,$P24)))</f>
        <v/>
      </c>
      <c r="J24" s="29">
        <f>IF($B24="","",IF($A24=1,$C$7,IF(J23="",0,J23))+IF($H24="",0,$H24)-IF($I24="",0,$I24))</f>
        <v/>
      </c>
      <c r="K24" s="29">
        <f>IF($P24="","",IF(INDEX(EntryMan,$P24)=0,"",INDEX(EntryMan,$P24)))</f>
        <v/>
      </c>
      <c r="L24" s="28">
        <f>IF($B24="","",IF($K24="","—",IF(ROUND($K24-$J24,0)=0,"√","×")))</f>
        <v/>
      </c>
      <c r="M24" s="28">
        <f>IF($B24="","",IF(COUNTIFS(EntryDates,$B24,CalcTime,$C24,CalcBank,$C$5,EntryParty,$D24,EntryDep,$H24,EntryWit,$I24)&gt;1,"تکرار",""))</f>
        <v/>
      </c>
      <c r="N24" s="28">
        <f>IF($P24="","",IF(INDEX(EntryNotes,$P24)=0,"",INDEX(EntryNotes,$P24)))</f>
        <v/>
      </c>
      <c r="O24" s="28">
        <f>IF($P24="","",IF(INDEX(EntryTxnID,$P24)=0,"",INDEX(EntryTxnID,$P24)))</f>
        <v/>
      </c>
      <c r="P24" s="28">
        <f>IFERROR(MATCH($C$5&amp;"|"&amp;RIGHT("000000"&amp;8,6),CalcRankKey,0),"")</f>
        <v/>
      </c>
    </row>
    <row r="25">
      <c r="A25" s="26">
        <f>IF($B25="","",9)</f>
        <v/>
      </c>
      <c r="B25" s="26">
        <f>IF($P25="","",IF(INDEX(CalcNormDate,$P25)=0,"",INDEX(CalcNormDate,$P25)))</f>
        <v/>
      </c>
      <c r="C25" s="26">
        <f>IF($P25="","",IF(INDEX(CalcTime,$P25)=0,"",INDEX(CalcTime,$P25)))</f>
        <v/>
      </c>
      <c r="D25" s="26">
        <f>IF($P25="","",IF(INDEX(EntryParty,$P25)=0,"",INDEX(EntryParty,$P25)))</f>
        <v/>
      </c>
      <c r="E25" s="26">
        <f>IF($P25="","",IF(INDEX(EntryPartyName,$P25)=0,"",INDEX(EntryPartyName,$P25)))</f>
        <v/>
      </c>
      <c r="F25" s="26">
        <f>IF($P25="","",IF(INDEX(EntryPartyType,$P25)=0,"",INDEX(EntryPartyType,$P25)))</f>
        <v/>
      </c>
      <c r="G25" s="26">
        <f>IF($P25="","",IF(INDEX(EntryTxnType,$P25)=0,"",INDEX(EntryTxnType,$P25)))</f>
        <v/>
      </c>
      <c r="H25" s="27">
        <f>IF($P25="","",IF(INDEX(EntryDep,$P25)=0,"",INDEX(EntryDep,$P25)))</f>
        <v/>
      </c>
      <c r="I25" s="27">
        <f>IF($P25="","",IF(INDEX(EntryWit,$P25)=0,"",INDEX(EntryWit,$P25)))</f>
        <v/>
      </c>
      <c r="J25" s="27">
        <f>IF($B25="","",IF($A25=1,$C$7,IF(J24="",0,J24))+IF($H25="",0,$H25)-IF($I25="",0,$I25))</f>
        <v/>
      </c>
      <c r="K25" s="27">
        <f>IF($P25="","",IF(INDEX(EntryMan,$P25)=0,"",INDEX(EntryMan,$P25)))</f>
        <v/>
      </c>
      <c r="L25" s="26">
        <f>IF($B25="","",IF($K25="","—",IF(ROUND($K25-$J25,0)=0,"√","×")))</f>
        <v/>
      </c>
      <c r="M25" s="26">
        <f>IF($B25="","",IF(COUNTIFS(EntryDates,$B25,CalcTime,$C25,CalcBank,$C$5,EntryParty,$D25,EntryDep,$H25,EntryWit,$I25)&gt;1,"تکرار",""))</f>
        <v/>
      </c>
      <c r="N25" s="26">
        <f>IF($P25="","",IF(INDEX(EntryNotes,$P25)=0,"",INDEX(EntryNotes,$P25)))</f>
        <v/>
      </c>
      <c r="O25" s="26">
        <f>IF($P25="","",IF(INDEX(EntryTxnID,$P25)=0,"",INDEX(EntryTxnID,$P25)))</f>
        <v/>
      </c>
      <c r="P25" s="26">
        <f>IFERROR(MATCH($C$5&amp;"|"&amp;RIGHT("000000"&amp;9,6),CalcRankKey,0),"")</f>
        <v/>
      </c>
    </row>
    <row r="26">
      <c r="A26" s="28">
        <f>IF($B26="","",10)</f>
        <v/>
      </c>
      <c r="B26" s="28">
        <f>IF($P26="","",IF(INDEX(CalcNormDate,$P26)=0,"",INDEX(CalcNormDate,$P26)))</f>
        <v/>
      </c>
      <c r="C26" s="28">
        <f>IF($P26="","",IF(INDEX(CalcTime,$P26)=0,"",INDEX(CalcTime,$P26)))</f>
        <v/>
      </c>
      <c r="D26" s="28">
        <f>IF($P26="","",IF(INDEX(EntryParty,$P26)=0,"",INDEX(EntryParty,$P26)))</f>
        <v/>
      </c>
      <c r="E26" s="28">
        <f>IF($P26="","",IF(INDEX(EntryPartyName,$P26)=0,"",INDEX(EntryPartyName,$P26)))</f>
        <v/>
      </c>
      <c r="F26" s="28">
        <f>IF($P26="","",IF(INDEX(EntryPartyType,$P26)=0,"",INDEX(EntryPartyType,$P26)))</f>
        <v/>
      </c>
      <c r="G26" s="28">
        <f>IF($P26="","",IF(INDEX(EntryTxnType,$P26)=0,"",INDEX(EntryTxnType,$P26)))</f>
        <v/>
      </c>
      <c r="H26" s="29">
        <f>IF($P26="","",IF(INDEX(EntryDep,$P26)=0,"",INDEX(EntryDep,$P26)))</f>
        <v/>
      </c>
      <c r="I26" s="29">
        <f>IF($P26="","",IF(INDEX(EntryWit,$P26)=0,"",INDEX(EntryWit,$P26)))</f>
        <v/>
      </c>
      <c r="J26" s="29">
        <f>IF($B26="","",IF($A26=1,$C$7,IF(J25="",0,J25))+IF($H26="",0,$H26)-IF($I26="",0,$I26))</f>
        <v/>
      </c>
      <c r="K26" s="29">
        <f>IF($P26="","",IF(INDEX(EntryMan,$P26)=0,"",INDEX(EntryMan,$P26)))</f>
        <v/>
      </c>
      <c r="L26" s="28">
        <f>IF($B26="","",IF($K26="","—",IF(ROUND($K26-$J26,0)=0,"√","×")))</f>
        <v/>
      </c>
      <c r="M26" s="28">
        <f>IF($B26="","",IF(COUNTIFS(EntryDates,$B26,CalcTime,$C26,CalcBank,$C$5,EntryParty,$D26,EntryDep,$H26,EntryWit,$I26)&gt;1,"تکرار",""))</f>
        <v/>
      </c>
      <c r="N26" s="28">
        <f>IF($P26="","",IF(INDEX(EntryNotes,$P26)=0,"",INDEX(EntryNotes,$P26)))</f>
        <v/>
      </c>
      <c r="O26" s="28">
        <f>IF($P26="","",IF(INDEX(EntryTxnID,$P26)=0,"",INDEX(EntryTxnID,$P26)))</f>
        <v/>
      </c>
      <c r="P26" s="28">
        <f>IFERROR(MATCH($C$5&amp;"|"&amp;RIGHT("000000"&amp;10,6),CalcRankKey,0),"")</f>
        <v/>
      </c>
    </row>
    <row r="27">
      <c r="A27" s="26">
        <f>IF($B27="","",11)</f>
        <v/>
      </c>
      <c r="B27" s="26">
        <f>IF($P27="","",IF(INDEX(CalcNormDate,$P27)=0,"",INDEX(CalcNormDate,$P27)))</f>
        <v/>
      </c>
      <c r="C27" s="26">
        <f>IF($P27="","",IF(INDEX(CalcTime,$P27)=0,"",INDEX(CalcTime,$P27)))</f>
        <v/>
      </c>
      <c r="D27" s="26">
        <f>IF($P27="","",IF(INDEX(EntryParty,$P27)=0,"",INDEX(EntryParty,$P27)))</f>
        <v/>
      </c>
      <c r="E27" s="26">
        <f>IF($P27="","",IF(INDEX(EntryPartyName,$P27)=0,"",INDEX(EntryPartyName,$P27)))</f>
        <v/>
      </c>
      <c r="F27" s="26">
        <f>IF($P27="","",IF(INDEX(EntryPartyType,$P27)=0,"",INDEX(EntryPartyType,$P27)))</f>
        <v/>
      </c>
      <c r="G27" s="26">
        <f>IF($P27="","",IF(INDEX(EntryTxnType,$P27)=0,"",INDEX(EntryTxnType,$P27)))</f>
        <v/>
      </c>
      <c r="H27" s="27">
        <f>IF($P27="","",IF(INDEX(EntryDep,$P27)=0,"",INDEX(EntryDep,$P27)))</f>
        <v/>
      </c>
      <c r="I27" s="27">
        <f>IF($P27="","",IF(INDEX(EntryWit,$P27)=0,"",INDEX(EntryWit,$P27)))</f>
        <v/>
      </c>
      <c r="J27" s="27">
        <f>IF($B27="","",IF($A27=1,$C$7,IF(J26="",0,J26))+IF($H27="",0,$H27)-IF($I27="",0,$I27))</f>
        <v/>
      </c>
      <c r="K27" s="27">
        <f>IF($P27="","",IF(INDEX(EntryMan,$P27)=0,"",INDEX(EntryMan,$P27)))</f>
        <v/>
      </c>
      <c r="L27" s="26">
        <f>IF($B27="","",IF($K27="","—",IF(ROUND($K27-$J27,0)=0,"√","×")))</f>
        <v/>
      </c>
      <c r="M27" s="26">
        <f>IF($B27="","",IF(COUNTIFS(EntryDates,$B27,CalcTime,$C27,CalcBank,$C$5,EntryParty,$D27,EntryDep,$H27,EntryWit,$I27)&gt;1,"تکرار",""))</f>
        <v/>
      </c>
      <c r="N27" s="26">
        <f>IF($P27="","",IF(INDEX(EntryNotes,$P27)=0,"",INDEX(EntryNotes,$P27)))</f>
        <v/>
      </c>
      <c r="O27" s="26">
        <f>IF($P27="","",IF(INDEX(EntryTxnID,$P27)=0,"",INDEX(EntryTxnID,$P27)))</f>
        <v/>
      </c>
      <c r="P27" s="26">
        <f>IFERROR(MATCH($C$5&amp;"|"&amp;RIGHT("000000"&amp;11,6),CalcRankKey,0),"")</f>
        <v/>
      </c>
    </row>
    <row r="28">
      <c r="A28" s="28">
        <f>IF($B28="","",12)</f>
        <v/>
      </c>
      <c r="B28" s="28">
        <f>IF($P28="","",IF(INDEX(CalcNormDate,$P28)=0,"",INDEX(CalcNormDate,$P28)))</f>
        <v/>
      </c>
      <c r="C28" s="28">
        <f>IF($P28="","",IF(INDEX(CalcTime,$P28)=0,"",INDEX(CalcTime,$P28)))</f>
        <v/>
      </c>
      <c r="D28" s="28">
        <f>IF($P28="","",IF(INDEX(EntryParty,$P28)=0,"",INDEX(EntryParty,$P28)))</f>
        <v/>
      </c>
      <c r="E28" s="28">
        <f>IF($P28="","",IF(INDEX(EntryPartyName,$P28)=0,"",INDEX(EntryPartyName,$P28)))</f>
        <v/>
      </c>
      <c r="F28" s="28">
        <f>IF($P28="","",IF(INDEX(EntryPartyType,$P28)=0,"",INDEX(EntryPartyType,$P28)))</f>
        <v/>
      </c>
      <c r="G28" s="28">
        <f>IF($P28="","",IF(INDEX(EntryTxnType,$P28)=0,"",INDEX(EntryTxnType,$P28)))</f>
        <v/>
      </c>
      <c r="H28" s="29">
        <f>IF($P28="","",IF(INDEX(EntryDep,$P28)=0,"",INDEX(EntryDep,$P28)))</f>
        <v/>
      </c>
      <c r="I28" s="29">
        <f>IF($P28="","",IF(INDEX(EntryWit,$P28)=0,"",INDEX(EntryWit,$P28)))</f>
        <v/>
      </c>
      <c r="J28" s="29">
        <f>IF($B28="","",IF($A28=1,$C$7,IF(J27="",0,J27))+IF($H28="",0,$H28)-IF($I28="",0,$I28))</f>
        <v/>
      </c>
      <c r="K28" s="29">
        <f>IF($P28="","",IF(INDEX(EntryMan,$P28)=0,"",INDEX(EntryMan,$P28)))</f>
        <v/>
      </c>
      <c r="L28" s="28">
        <f>IF($B28="","",IF($K28="","—",IF(ROUND($K28-$J28,0)=0,"√","×")))</f>
        <v/>
      </c>
      <c r="M28" s="28">
        <f>IF($B28="","",IF(COUNTIFS(EntryDates,$B28,CalcTime,$C28,CalcBank,$C$5,EntryParty,$D28,EntryDep,$H28,EntryWit,$I28)&gt;1,"تکرار",""))</f>
        <v/>
      </c>
      <c r="N28" s="28">
        <f>IF($P28="","",IF(INDEX(EntryNotes,$P28)=0,"",INDEX(EntryNotes,$P28)))</f>
        <v/>
      </c>
      <c r="O28" s="28">
        <f>IF($P28="","",IF(INDEX(EntryTxnID,$P28)=0,"",INDEX(EntryTxnID,$P28)))</f>
        <v/>
      </c>
      <c r="P28" s="28">
        <f>IFERROR(MATCH($C$5&amp;"|"&amp;RIGHT("000000"&amp;12,6),CalcRankKey,0),"")</f>
        <v/>
      </c>
    </row>
    <row r="29">
      <c r="A29" s="26">
        <f>IF($B29="","",13)</f>
        <v/>
      </c>
      <c r="B29" s="26">
        <f>IF($P29="","",IF(INDEX(CalcNormDate,$P29)=0,"",INDEX(CalcNormDate,$P29)))</f>
        <v/>
      </c>
      <c r="C29" s="26">
        <f>IF($P29="","",IF(INDEX(CalcTime,$P29)=0,"",INDEX(CalcTime,$P29)))</f>
        <v/>
      </c>
      <c r="D29" s="26">
        <f>IF($P29="","",IF(INDEX(EntryParty,$P29)=0,"",INDEX(EntryParty,$P29)))</f>
        <v/>
      </c>
      <c r="E29" s="26">
        <f>IF($P29="","",IF(INDEX(EntryPartyName,$P29)=0,"",INDEX(EntryPartyName,$P29)))</f>
        <v/>
      </c>
      <c r="F29" s="26">
        <f>IF($P29="","",IF(INDEX(EntryPartyType,$P29)=0,"",INDEX(EntryPartyType,$P29)))</f>
        <v/>
      </c>
      <c r="G29" s="26">
        <f>IF($P29="","",IF(INDEX(EntryTxnType,$P29)=0,"",INDEX(EntryTxnType,$P29)))</f>
        <v/>
      </c>
      <c r="H29" s="27">
        <f>IF($P29="","",IF(INDEX(EntryDep,$P29)=0,"",INDEX(EntryDep,$P29)))</f>
        <v/>
      </c>
      <c r="I29" s="27">
        <f>IF($P29="","",IF(INDEX(EntryWit,$P29)=0,"",INDEX(EntryWit,$P29)))</f>
        <v/>
      </c>
      <c r="J29" s="27">
        <f>IF($B29="","",IF($A29=1,$C$7,IF(J28="",0,J28))+IF($H29="",0,$H29)-IF($I29="",0,$I29))</f>
        <v/>
      </c>
      <c r="K29" s="27">
        <f>IF($P29="","",IF(INDEX(EntryMan,$P29)=0,"",INDEX(EntryMan,$P29)))</f>
        <v/>
      </c>
      <c r="L29" s="26">
        <f>IF($B29="","",IF($K29="","—",IF(ROUND($K29-$J29,0)=0,"√","×")))</f>
        <v/>
      </c>
      <c r="M29" s="26">
        <f>IF($B29="","",IF(COUNTIFS(EntryDates,$B29,CalcTime,$C29,CalcBank,$C$5,EntryParty,$D29,EntryDep,$H29,EntryWit,$I29)&gt;1,"تکرار",""))</f>
        <v/>
      </c>
      <c r="N29" s="26">
        <f>IF($P29="","",IF(INDEX(EntryNotes,$P29)=0,"",INDEX(EntryNotes,$P29)))</f>
        <v/>
      </c>
      <c r="O29" s="26">
        <f>IF($P29="","",IF(INDEX(EntryTxnID,$P29)=0,"",INDEX(EntryTxnID,$P29)))</f>
        <v/>
      </c>
      <c r="P29" s="26">
        <f>IFERROR(MATCH($C$5&amp;"|"&amp;RIGHT("000000"&amp;13,6),CalcRankKey,0),"")</f>
        <v/>
      </c>
    </row>
    <row r="30">
      <c r="A30" s="28">
        <f>IF($B30="","",14)</f>
        <v/>
      </c>
      <c r="B30" s="28">
        <f>IF($P30="","",IF(INDEX(CalcNormDate,$P30)=0,"",INDEX(CalcNormDate,$P30)))</f>
        <v/>
      </c>
      <c r="C30" s="28">
        <f>IF($P30="","",IF(INDEX(CalcTime,$P30)=0,"",INDEX(CalcTime,$P30)))</f>
        <v/>
      </c>
      <c r="D30" s="28">
        <f>IF($P30="","",IF(INDEX(EntryParty,$P30)=0,"",INDEX(EntryParty,$P30)))</f>
        <v/>
      </c>
      <c r="E30" s="28">
        <f>IF($P30="","",IF(INDEX(EntryPartyName,$P30)=0,"",INDEX(EntryPartyName,$P30)))</f>
        <v/>
      </c>
      <c r="F30" s="28">
        <f>IF($P30="","",IF(INDEX(EntryPartyType,$P30)=0,"",INDEX(EntryPartyType,$P30)))</f>
        <v/>
      </c>
      <c r="G30" s="28">
        <f>IF($P30="","",IF(INDEX(EntryTxnType,$P30)=0,"",INDEX(EntryTxnType,$P30)))</f>
        <v/>
      </c>
      <c r="H30" s="29">
        <f>IF($P30="","",IF(INDEX(EntryDep,$P30)=0,"",INDEX(EntryDep,$P30)))</f>
        <v/>
      </c>
      <c r="I30" s="29">
        <f>IF($P30="","",IF(INDEX(EntryWit,$P30)=0,"",INDEX(EntryWit,$P30)))</f>
        <v/>
      </c>
      <c r="J30" s="29">
        <f>IF($B30="","",IF($A30=1,$C$7,IF(J29="",0,J29))+IF($H30="",0,$H30)-IF($I30="",0,$I30))</f>
        <v/>
      </c>
      <c r="K30" s="29">
        <f>IF($P30="","",IF(INDEX(EntryMan,$P30)=0,"",INDEX(EntryMan,$P30)))</f>
        <v/>
      </c>
      <c r="L30" s="28">
        <f>IF($B30="","",IF($K30="","—",IF(ROUND($K30-$J30,0)=0,"√","×")))</f>
        <v/>
      </c>
      <c r="M30" s="28">
        <f>IF($B30="","",IF(COUNTIFS(EntryDates,$B30,CalcTime,$C30,CalcBank,$C$5,EntryParty,$D30,EntryDep,$H30,EntryWit,$I30)&gt;1,"تکرار",""))</f>
        <v/>
      </c>
      <c r="N30" s="28">
        <f>IF($P30="","",IF(INDEX(EntryNotes,$P30)=0,"",INDEX(EntryNotes,$P30)))</f>
        <v/>
      </c>
      <c r="O30" s="28">
        <f>IF($P30="","",IF(INDEX(EntryTxnID,$P30)=0,"",INDEX(EntryTxnID,$P30)))</f>
        <v/>
      </c>
      <c r="P30" s="28">
        <f>IFERROR(MATCH($C$5&amp;"|"&amp;RIGHT("000000"&amp;14,6),CalcRankKey,0),"")</f>
        <v/>
      </c>
    </row>
    <row r="31">
      <c r="A31" s="26">
        <f>IF($B31="","",15)</f>
        <v/>
      </c>
      <c r="B31" s="26">
        <f>IF($P31="","",IF(INDEX(CalcNormDate,$P31)=0,"",INDEX(CalcNormDate,$P31)))</f>
        <v/>
      </c>
      <c r="C31" s="26">
        <f>IF($P31="","",IF(INDEX(CalcTime,$P31)=0,"",INDEX(CalcTime,$P31)))</f>
        <v/>
      </c>
      <c r="D31" s="26">
        <f>IF($P31="","",IF(INDEX(EntryParty,$P31)=0,"",INDEX(EntryParty,$P31)))</f>
        <v/>
      </c>
      <c r="E31" s="26">
        <f>IF($P31="","",IF(INDEX(EntryPartyName,$P31)=0,"",INDEX(EntryPartyName,$P31)))</f>
        <v/>
      </c>
      <c r="F31" s="26">
        <f>IF($P31="","",IF(INDEX(EntryPartyType,$P31)=0,"",INDEX(EntryPartyType,$P31)))</f>
        <v/>
      </c>
      <c r="G31" s="26">
        <f>IF($P31="","",IF(INDEX(EntryTxnType,$P31)=0,"",INDEX(EntryTxnType,$P31)))</f>
        <v/>
      </c>
      <c r="H31" s="27">
        <f>IF($P31="","",IF(INDEX(EntryDep,$P31)=0,"",INDEX(EntryDep,$P31)))</f>
        <v/>
      </c>
      <c r="I31" s="27">
        <f>IF($P31="","",IF(INDEX(EntryWit,$P31)=0,"",INDEX(EntryWit,$P31)))</f>
        <v/>
      </c>
      <c r="J31" s="27">
        <f>IF($B31="","",IF($A31=1,$C$7,IF(J30="",0,J30))+IF($H31="",0,$H31)-IF($I31="",0,$I31))</f>
        <v/>
      </c>
      <c r="K31" s="27">
        <f>IF($P31="","",IF(INDEX(EntryMan,$P31)=0,"",INDEX(EntryMan,$P31)))</f>
        <v/>
      </c>
      <c r="L31" s="26">
        <f>IF($B31="","",IF($K31="","—",IF(ROUND($K31-$J31,0)=0,"√","×")))</f>
        <v/>
      </c>
      <c r="M31" s="26">
        <f>IF($B31="","",IF(COUNTIFS(EntryDates,$B31,CalcTime,$C31,CalcBank,$C$5,EntryParty,$D31,EntryDep,$H31,EntryWit,$I31)&gt;1,"تکرار",""))</f>
        <v/>
      </c>
      <c r="N31" s="26">
        <f>IF($P31="","",IF(INDEX(EntryNotes,$P31)=0,"",INDEX(EntryNotes,$P31)))</f>
        <v/>
      </c>
      <c r="O31" s="26">
        <f>IF($P31="","",IF(INDEX(EntryTxnID,$P31)=0,"",INDEX(EntryTxnID,$P31)))</f>
        <v/>
      </c>
      <c r="P31" s="26">
        <f>IFERROR(MATCH($C$5&amp;"|"&amp;RIGHT("000000"&amp;15,6),CalcRankKey,0),"")</f>
        <v/>
      </c>
    </row>
    <row r="32">
      <c r="A32" s="28">
        <f>IF($B32="","",16)</f>
        <v/>
      </c>
      <c r="B32" s="28">
        <f>IF($P32="","",IF(INDEX(CalcNormDate,$P32)=0,"",INDEX(CalcNormDate,$P32)))</f>
        <v/>
      </c>
      <c r="C32" s="28">
        <f>IF($P32="","",IF(INDEX(CalcTime,$P32)=0,"",INDEX(CalcTime,$P32)))</f>
        <v/>
      </c>
      <c r="D32" s="28">
        <f>IF($P32="","",IF(INDEX(EntryParty,$P32)=0,"",INDEX(EntryParty,$P32)))</f>
        <v/>
      </c>
      <c r="E32" s="28">
        <f>IF($P32="","",IF(INDEX(EntryPartyName,$P32)=0,"",INDEX(EntryPartyName,$P32)))</f>
        <v/>
      </c>
      <c r="F32" s="28">
        <f>IF($P32="","",IF(INDEX(EntryPartyType,$P32)=0,"",INDEX(EntryPartyType,$P32)))</f>
        <v/>
      </c>
      <c r="G32" s="28">
        <f>IF($P32="","",IF(INDEX(EntryTxnType,$P32)=0,"",INDEX(EntryTxnType,$P32)))</f>
        <v/>
      </c>
      <c r="H32" s="29">
        <f>IF($P32="","",IF(INDEX(EntryDep,$P32)=0,"",INDEX(EntryDep,$P32)))</f>
        <v/>
      </c>
      <c r="I32" s="29">
        <f>IF($P32="","",IF(INDEX(EntryWit,$P32)=0,"",INDEX(EntryWit,$P32)))</f>
        <v/>
      </c>
      <c r="J32" s="29">
        <f>IF($B32="","",IF($A32=1,$C$7,IF(J31="",0,J31))+IF($H32="",0,$H32)-IF($I32="",0,$I32))</f>
        <v/>
      </c>
      <c r="K32" s="29">
        <f>IF($P32="","",IF(INDEX(EntryMan,$P32)=0,"",INDEX(EntryMan,$P32)))</f>
        <v/>
      </c>
      <c r="L32" s="28">
        <f>IF($B32="","",IF($K32="","—",IF(ROUND($K32-$J32,0)=0,"√","×")))</f>
        <v/>
      </c>
      <c r="M32" s="28">
        <f>IF($B32="","",IF(COUNTIFS(EntryDates,$B32,CalcTime,$C32,CalcBank,$C$5,EntryParty,$D32,EntryDep,$H32,EntryWit,$I32)&gt;1,"تکرار",""))</f>
        <v/>
      </c>
      <c r="N32" s="28">
        <f>IF($P32="","",IF(INDEX(EntryNotes,$P32)=0,"",INDEX(EntryNotes,$P32)))</f>
        <v/>
      </c>
      <c r="O32" s="28">
        <f>IF($P32="","",IF(INDEX(EntryTxnID,$P32)=0,"",INDEX(EntryTxnID,$P32)))</f>
        <v/>
      </c>
      <c r="P32" s="28">
        <f>IFERROR(MATCH($C$5&amp;"|"&amp;RIGHT("000000"&amp;16,6),CalcRankKey,0),"")</f>
        <v/>
      </c>
    </row>
    <row r="33">
      <c r="A33" s="26">
        <f>IF($B33="","",17)</f>
        <v/>
      </c>
      <c r="B33" s="26">
        <f>IF($P33="","",IF(INDEX(CalcNormDate,$P33)=0,"",INDEX(CalcNormDate,$P33)))</f>
        <v/>
      </c>
      <c r="C33" s="26">
        <f>IF($P33="","",IF(INDEX(CalcTime,$P33)=0,"",INDEX(CalcTime,$P33)))</f>
        <v/>
      </c>
      <c r="D33" s="26">
        <f>IF($P33="","",IF(INDEX(EntryParty,$P33)=0,"",INDEX(EntryParty,$P33)))</f>
        <v/>
      </c>
      <c r="E33" s="26">
        <f>IF($P33="","",IF(INDEX(EntryPartyName,$P33)=0,"",INDEX(EntryPartyName,$P33)))</f>
        <v/>
      </c>
      <c r="F33" s="26">
        <f>IF($P33="","",IF(INDEX(EntryPartyType,$P33)=0,"",INDEX(EntryPartyType,$P33)))</f>
        <v/>
      </c>
      <c r="G33" s="26">
        <f>IF($P33="","",IF(INDEX(EntryTxnType,$P33)=0,"",INDEX(EntryTxnType,$P33)))</f>
        <v/>
      </c>
      <c r="H33" s="27">
        <f>IF($P33="","",IF(INDEX(EntryDep,$P33)=0,"",INDEX(EntryDep,$P33)))</f>
        <v/>
      </c>
      <c r="I33" s="27">
        <f>IF($P33="","",IF(INDEX(EntryWit,$P33)=0,"",INDEX(EntryWit,$P33)))</f>
        <v/>
      </c>
      <c r="J33" s="27">
        <f>IF($B33="","",IF($A33=1,$C$7,IF(J32="",0,J32))+IF($H33="",0,$H33)-IF($I33="",0,$I33))</f>
        <v/>
      </c>
      <c r="K33" s="27">
        <f>IF($P33="","",IF(INDEX(EntryMan,$P33)=0,"",INDEX(EntryMan,$P33)))</f>
        <v/>
      </c>
      <c r="L33" s="26">
        <f>IF($B33="","",IF($K33="","—",IF(ROUND($K33-$J33,0)=0,"√","×")))</f>
        <v/>
      </c>
      <c r="M33" s="26">
        <f>IF($B33="","",IF(COUNTIFS(EntryDates,$B33,CalcTime,$C33,CalcBank,$C$5,EntryParty,$D33,EntryDep,$H33,EntryWit,$I33)&gt;1,"تکرار",""))</f>
        <v/>
      </c>
      <c r="N33" s="26">
        <f>IF($P33="","",IF(INDEX(EntryNotes,$P33)=0,"",INDEX(EntryNotes,$P33)))</f>
        <v/>
      </c>
      <c r="O33" s="26">
        <f>IF($P33="","",IF(INDEX(EntryTxnID,$P33)=0,"",INDEX(EntryTxnID,$P33)))</f>
        <v/>
      </c>
      <c r="P33" s="26">
        <f>IFERROR(MATCH($C$5&amp;"|"&amp;RIGHT("000000"&amp;17,6),CalcRankKey,0),"")</f>
        <v/>
      </c>
    </row>
    <row r="34">
      <c r="A34" s="28">
        <f>IF($B34="","",18)</f>
        <v/>
      </c>
      <c r="B34" s="28">
        <f>IF($P34="","",IF(INDEX(CalcNormDate,$P34)=0,"",INDEX(CalcNormDate,$P34)))</f>
        <v/>
      </c>
      <c r="C34" s="28">
        <f>IF($P34="","",IF(INDEX(CalcTime,$P34)=0,"",INDEX(CalcTime,$P34)))</f>
        <v/>
      </c>
      <c r="D34" s="28">
        <f>IF($P34="","",IF(INDEX(EntryParty,$P34)=0,"",INDEX(EntryParty,$P34)))</f>
        <v/>
      </c>
      <c r="E34" s="28">
        <f>IF($P34="","",IF(INDEX(EntryPartyName,$P34)=0,"",INDEX(EntryPartyName,$P34)))</f>
        <v/>
      </c>
      <c r="F34" s="28">
        <f>IF($P34="","",IF(INDEX(EntryPartyType,$P34)=0,"",INDEX(EntryPartyType,$P34)))</f>
        <v/>
      </c>
      <c r="G34" s="28">
        <f>IF($P34="","",IF(INDEX(EntryTxnType,$P34)=0,"",INDEX(EntryTxnType,$P34)))</f>
        <v/>
      </c>
      <c r="H34" s="29">
        <f>IF($P34="","",IF(INDEX(EntryDep,$P34)=0,"",INDEX(EntryDep,$P34)))</f>
        <v/>
      </c>
      <c r="I34" s="29">
        <f>IF($P34="","",IF(INDEX(EntryWit,$P34)=0,"",INDEX(EntryWit,$P34)))</f>
        <v/>
      </c>
      <c r="J34" s="29">
        <f>IF($B34="","",IF($A34=1,$C$7,IF(J33="",0,J33))+IF($H34="",0,$H34)-IF($I34="",0,$I34))</f>
        <v/>
      </c>
      <c r="K34" s="29">
        <f>IF($P34="","",IF(INDEX(EntryMan,$P34)=0,"",INDEX(EntryMan,$P34)))</f>
        <v/>
      </c>
      <c r="L34" s="28">
        <f>IF($B34="","",IF($K34="","—",IF(ROUND($K34-$J34,0)=0,"√","×")))</f>
        <v/>
      </c>
      <c r="M34" s="28">
        <f>IF($B34="","",IF(COUNTIFS(EntryDates,$B34,CalcTime,$C34,CalcBank,$C$5,EntryParty,$D34,EntryDep,$H34,EntryWit,$I34)&gt;1,"تکرار",""))</f>
        <v/>
      </c>
      <c r="N34" s="28">
        <f>IF($P34="","",IF(INDEX(EntryNotes,$P34)=0,"",INDEX(EntryNotes,$P34)))</f>
        <v/>
      </c>
      <c r="O34" s="28">
        <f>IF($P34="","",IF(INDEX(EntryTxnID,$P34)=0,"",INDEX(EntryTxnID,$P34)))</f>
        <v/>
      </c>
      <c r="P34" s="28">
        <f>IFERROR(MATCH($C$5&amp;"|"&amp;RIGHT("000000"&amp;18,6),CalcRankKey,0),"")</f>
        <v/>
      </c>
    </row>
    <row r="35">
      <c r="A35" s="26">
        <f>IF($B35="","",19)</f>
        <v/>
      </c>
      <c r="B35" s="26">
        <f>IF($P35="","",IF(INDEX(CalcNormDate,$P35)=0,"",INDEX(CalcNormDate,$P35)))</f>
        <v/>
      </c>
      <c r="C35" s="26">
        <f>IF($P35="","",IF(INDEX(CalcTime,$P35)=0,"",INDEX(CalcTime,$P35)))</f>
        <v/>
      </c>
      <c r="D35" s="26">
        <f>IF($P35="","",IF(INDEX(EntryParty,$P35)=0,"",INDEX(EntryParty,$P35)))</f>
        <v/>
      </c>
      <c r="E35" s="26">
        <f>IF($P35="","",IF(INDEX(EntryPartyName,$P35)=0,"",INDEX(EntryPartyName,$P35)))</f>
        <v/>
      </c>
      <c r="F35" s="26">
        <f>IF($P35="","",IF(INDEX(EntryPartyType,$P35)=0,"",INDEX(EntryPartyType,$P35)))</f>
        <v/>
      </c>
      <c r="G35" s="26">
        <f>IF($P35="","",IF(INDEX(EntryTxnType,$P35)=0,"",INDEX(EntryTxnType,$P35)))</f>
        <v/>
      </c>
      <c r="H35" s="27">
        <f>IF($P35="","",IF(INDEX(EntryDep,$P35)=0,"",INDEX(EntryDep,$P35)))</f>
        <v/>
      </c>
      <c r="I35" s="27">
        <f>IF($P35="","",IF(INDEX(EntryWit,$P35)=0,"",INDEX(EntryWit,$P35)))</f>
        <v/>
      </c>
      <c r="J35" s="27">
        <f>IF($B35="","",IF($A35=1,$C$7,IF(J34="",0,J34))+IF($H35="",0,$H35)-IF($I35="",0,$I35))</f>
        <v/>
      </c>
      <c r="K35" s="27">
        <f>IF($P35="","",IF(INDEX(EntryMan,$P35)=0,"",INDEX(EntryMan,$P35)))</f>
        <v/>
      </c>
      <c r="L35" s="26">
        <f>IF($B35="","",IF($K35="","—",IF(ROUND($K35-$J35,0)=0,"√","×")))</f>
        <v/>
      </c>
      <c r="M35" s="26">
        <f>IF($B35="","",IF(COUNTIFS(EntryDates,$B35,CalcTime,$C35,CalcBank,$C$5,EntryParty,$D35,EntryDep,$H35,EntryWit,$I35)&gt;1,"تکرار",""))</f>
        <v/>
      </c>
      <c r="N35" s="26">
        <f>IF($P35="","",IF(INDEX(EntryNotes,$P35)=0,"",INDEX(EntryNotes,$P35)))</f>
        <v/>
      </c>
      <c r="O35" s="26">
        <f>IF($P35="","",IF(INDEX(EntryTxnID,$P35)=0,"",INDEX(EntryTxnID,$P35)))</f>
        <v/>
      </c>
      <c r="P35" s="26">
        <f>IFERROR(MATCH($C$5&amp;"|"&amp;RIGHT("000000"&amp;19,6),CalcRankKey,0),"")</f>
        <v/>
      </c>
    </row>
    <row r="36">
      <c r="A36" s="28">
        <f>IF($B36="","",20)</f>
        <v/>
      </c>
      <c r="B36" s="28">
        <f>IF($P36="","",IF(INDEX(CalcNormDate,$P36)=0,"",INDEX(CalcNormDate,$P36)))</f>
        <v/>
      </c>
      <c r="C36" s="28">
        <f>IF($P36="","",IF(INDEX(CalcTime,$P36)=0,"",INDEX(CalcTime,$P36)))</f>
        <v/>
      </c>
      <c r="D36" s="28">
        <f>IF($P36="","",IF(INDEX(EntryParty,$P36)=0,"",INDEX(EntryParty,$P36)))</f>
        <v/>
      </c>
      <c r="E36" s="28">
        <f>IF($P36="","",IF(INDEX(EntryPartyName,$P36)=0,"",INDEX(EntryPartyName,$P36)))</f>
        <v/>
      </c>
      <c r="F36" s="28">
        <f>IF($P36="","",IF(INDEX(EntryPartyType,$P36)=0,"",INDEX(EntryPartyType,$P36)))</f>
        <v/>
      </c>
      <c r="G36" s="28">
        <f>IF($P36="","",IF(INDEX(EntryTxnType,$P36)=0,"",INDEX(EntryTxnType,$P36)))</f>
        <v/>
      </c>
      <c r="H36" s="29">
        <f>IF($P36="","",IF(INDEX(EntryDep,$P36)=0,"",INDEX(EntryDep,$P36)))</f>
        <v/>
      </c>
      <c r="I36" s="29">
        <f>IF($P36="","",IF(INDEX(EntryWit,$P36)=0,"",INDEX(EntryWit,$P36)))</f>
        <v/>
      </c>
      <c r="J36" s="29">
        <f>IF($B36="","",IF($A36=1,$C$7,IF(J35="",0,J35))+IF($H36="",0,$H36)-IF($I36="",0,$I36))</f>
        <v/>
      </c>
      <c r="K36" s="29">
        <f>IF($P36="","",IF(INDEX(EntryMan,$P36)=0,"",INDEX(EntryMan,$P36)))</f>
        <v/>
      </c>
      <c r="L36" s="28">
        <f>IF($B36="","",IF($K36="","—",IF(ROUND($K36-$J36,0)=0,"√","×")))</f>
        <v/>
      </c>
      <c r="M36" s="28">
        <f>IF($B36="","",IF(COUNTIFS(EntryDates,$B36,CalcTime,$C36,CalcBank,$C$5,EntryParty,$D36,EntryDep,$H36,EntryWit,$I36)&gt;1,"تکرار",""))</f>
        <v/>
      </c>
      <c r="N36" s="28">
        <f>IF($P36="","",IF(INDEX(EntryNotes,$P36)=0,"",INDEX(EntryNotes,$P36)))</f>
        <v/>
      </c>
      <c r="O36" s="28">
        <f>IF($P36="","",IF(INDEX(EntryTxnID,$P36)=0,"",INDEX(EntryTxnID,$P36)))</f>
        <v/>
      </c>
      <c r="P36" s="28">
        <f>IFERROR(MATCH($C$5&amp;"|"&amp;RIGHT("000000"&amp;20,6),CalcRankKey,0),"")</f>
        <v/>
      </c>
    </row>
    <row r="37">
      <c r="A37" s="26">
        <f>IF($B37="","",21)</f>
        <v/>
      </c>
      <c r="B37" s="26">
        <f>IF($P37="","",IF(INDEX(CalcNormDate,$P37)=0,"",INDEX(CalcNormDate,$P37)))</f>
        <v/>
      </c>
      <c r="C37" s="26">
        <f>IF($P37="","",IF(INDEX(CalcTime,$P37)=0,"",INDEX(CalcTime,$P37)))</f>
        <v/>
      </c>
      <c r="D37" s="26">
        <f>IF($P37="","",IF(INDEX(EntryParty,$P37)=0,"",INDEX(EntryParty,$P37)))</f>
        <v/>
      </c>
      <c r="E37" s="26">
        <f>IF($P37="","",IF(INDEX(EntryPartyName,$P37)=0,"",INDEX(EntryPartyName,$P37)))</f>
        <v/>
      </c>
      <c r="F37" s="26">
        <f>IF($P37="","",IF(INDEX(EntryPartyType,$P37)=0,"",INDEX(EntryPartyType,$P37)))</f>
        <v/>
      </c>
      <c r="G37" s="26">
        <f>IF($P37="","",IF(INDEX(EntryTxnType,$P37)=0,"",INDEX(EntryTxnType,$P37)))</f>
        <v/>
      </c>
      <c r="H37" s="27">
        <f>IF($P37="","",IF(INDEX(EntryDep,$P37)=0,"",INDEX(EntryDep,$P37)))</f>
        <v/>
      </c>
      <c r="I37" s="27">
        <f>IF($P37="","",IF(INDEX(EntryWit,$P37)=0,"",INDEX(EntryWit,$P37)))</f>
        <v/>
      </c>
      <c r="J37" s="27">
        <f>IF($B37="","",IF($A37=1,$C$7,IF(J36="",0,J36))+IF($H37="",0,$H37)-IF($I37="",0,$I37))</f>
        <v/>
      </c>
      <c r="K37" s="27">
        <f>IF($P37="","",IF(INDEX(EntryMan,$P37)=0,"",INDEX(EntryMan,$P37)))</f>
        <v/>
      </c>
      <c r="L37" s="26">
        <f>IF($B37="","",IF($K37="","—",IF(ROUND($K37-$J37,0)=0,"√","×")))</f>
        <v/>
      </c>
      <c r="M37" s="26">
        <f>IF($B37="","",IF(COUNTIFS(EntryDates,$B37,CalcTime,$C37,CalcBank,$C$5,EntryParty,$D37,EntryDep,$H37,EntryWit,$I37)&gt;1,"تکرار",""))</f>
        <v/>
      </c>
      <c r="N37" s="26">
        <f>IF($P37="","",IF(INDEX(EntryNotes,$P37)=0,"",INDEX(EntryNotes,$P37)))</f>
        <v/>
      </c>
      <c r="O37" s="26">
        <f>IF($P37="","",IF(INDEX(EntryTxnID,$P37)=0,"",INDEX(EntryTxnID,$P37)))</f>
        <v/>
      </c>
      <c r="P37" s="26">
        <f>IFERROR(MATCH($C$5&amp;"|"&amp;RIGHT("000000"&amp;21,6),CalcRankKey,0),"")</f>
        <v/>
      </c>
    </row>
    <row r="38">
      <c r="A38" s="28">
        <f>IF($B38="","",22)</f>
        <v/>
      </c>
      <c r="B38" s="28">
        <f>IF($P38="","",IF(INDEX(CalcNormDate,$P38)=0,"",INDEX(CalcNormDate,$P38)))</f>
        <v/>
      </c>
      <c r="C38" s="28">
        <f>IF($P38="","",IF(INDEX(CalcTime,$P38)=0,"",INDEX(CalcTime,$P38)))</f>
        <v/>
      </c>
      <c r="D38" s="28">
        <f>IF($P38="","",IF(INDEX(EntryParty,$P38)=0,"",INDEX(EntryParty,$P38)))</f>
        <v/>
      </c>
      <c r="E38" s="28">
        <f>IF($P38="","",IF(INDEX(EntryPartyName,$P38)=0,"",INDEX(EntryPartyName,$P38)))</f>
        <v/>
      </c>
      <c r="F38" s="28">
        <f>IF($P38="","",IF(INDEX(EntryPartyType,$P38)=0,"",INDEX(EntryPartyType,$P38)))</f>
        <v/>
      </c>
      <c r="G38" s="28">
        <f>IF($P38="","",IF(INDEX(EntryTxnType,$P38)=0,"",INDEX(EntryTxnType,$P38)))</f>
        <v/>
      </c>
      <c r="H38" s="29">
        <f>IF($P38="","",IF(INDEX(EntryDep,$P38)=0,"",INDEX(EntryDep,$P38)))</f>
        <v/>
      </c>
      <c r="I38" s="29">
        <f>IF($P38="","",IF(INDEX(EntryWit,$P38)=0,"",INDEX(EntryWit,$P38)))</f>
        <v/>
      </c>
      <c r="J38" s="29">
        <f>IF($B38="","",IF($A38=1,$C$7,IF(J37="",0,J37))+IF($H38="",0,$H38)-IF($I38="",0,$I38))</f>
        <v/>
      </c>
      <c r="K38" s="29">
        <f>IF($P38="","",IF(INDEX(EntryMan,$P38)=0,"",INDEX(EntryMan,$P38)))</f>
        <v/>
      </c>
      <c r="L38" s="28">
        <f>IF($B38="","",IF($K38="","—",IF(ROUND($K38-$J38,0)=0,"√","×")))</f>
        <v/>
      </c>
      <c r="M38" s="28">
        <f>IF($B38="","",IF(COUNTIFS(EntryDates,$B38,CalcTime,$C38,CalcBank,$C$5,EntryParty,$D38,EntryDep,$H38,EntryWit,$I38)&gt;1,"تکرار",""))</f>
        <v/>
      </c>
      <c r="N38" s="28">
        <f>IF($P38="","",IF(INDEX(EntryNotes,$P38)=0,"",INDEX(EntryNotes,$P38)))</f>
        <v/>
      </c>
      <c r="O38" s="28">
        <f>IF($P38="","",IF(INDEX(EntryTxnID,$P38)=0,"",INDEX(EntryTxnID,$P38)))</f>
        <v/>
      </c>
      <c r="P38" s="28">
        <f>IFERROR(MATCH($C$5&amp;"|"&amp;RIGHT("000000"&amp;22,6),CalcRankKey,0),"")</f>
        <v/>
      </c>
    </row>
    <row r="39">
      <c r="A39" s="26">
        <f>IF($B39="","",23)</f>
        <v/>
      </c>
      <c r="B39" s="26">
        <f>IF($P39="","",IF(INDEX(CalcNormDate,$P39)=0,"",INDEX(CalcNormDate,$P39)))</f>
        <v/>
      </c>
      <c r="C39" s="26">
        <f>IF($P39="","",IF(INDEX(CalcTime,$P39)=0,"",INDEX(CalcTime,$P39)))</f>
        <v/>
      </c>
      <c r="D39" s="26">
        <f>IF($P39="","",IF(INDEX(EntryParty,$P39)=0,"",INDEX(EntryParty,$P39)))</f>
        <v/>
      </c>
      <c r="E39" s="26">
        <f>IF($P39="","",IF(INDEX(EntryPartyName,$P39)=0,"",INDEX(EntryPartyName,$P39)))</f>
        <v/>
      </c>
      <c r="F39" s="26">
        <f>IF($P39="","",IF(INDEX(EntryPartyType,$P39)=0,"",INDEX(EntryPartyType,$P39)))</f>
        <v/>
      </c>
      <c r="G39" s="26">
        <f>IF($P39="","",IF(INDEX(EntryTxnType,$P39)=0,"",INDEX(EntryTxnType,$P39)))</f>
        <v/>
      </c>
      <c r="H39" s="27">
        <f>IF($P39="","",IF(INDEX(EntryDep,$P39)=0,"",INDEX(EntryDep,$P39)))</f>
        <v/>
      </c>
      <c r="I39" s="27">
        <f>IF($P39="","",IF(INDEX(EntryWit,$P39)=0,"",INDEX(EntryWit,$P39)))</f>
        <v/>
      </c>
      <c r="J39" s="27">
        <f>IF($B39="","",IF($A39=1,$C$7,IF(J38="",0,J38))+IF($H39="",0,$H39)-IF($I39="",0,$I39))</f>
        <v/>
      </c>
      <c r="K39" s="27">
        <f>IF($P39="","",IF(INDEX(EntryMan,$P39)=0,"",INDEX(EntryMan,$P39)))</f>
        <v/>
      </c>
      <c r="L39" s="26">
        <f>IF($B39="","",IF($K39="","—",IF(ROUND($K39-$J39,0)=0,"√","×")))</f>
        <v/>
      </c>
      <c r="M39" s="26">
        <f>IF($B39="","",IF(COUNTIFS(EntryDates,$B39,CalcTime,$C39,CalcBank,$C$5,EntryParty,$D39,EntryDep,$H39,EntryWit,$I39)&gt;1,"تکرار",""))</f>
        <v/>
      </c>
      <c r="N39" s="26">
        <f>IF($P39="","",IF(INDEX(EntryNotes,$P39)=0,"",INDEX(EntryNotes,$P39)))</f>
        <v/>
      </c>
      <c r="O39" s="26">
        <f>IF($P39="","",IF(INDEX(EntryTxnID,$P39)=0,"",INDEX(EntryTxnID,$P39)))</f>
        <v/>
      </c>
      <c r="P39" s="26">
        <f>IFERROR(MATCH($C$5&amp;"|"&amp;RIGHT("000000"&amp;23,6),CalcRankKey,0),"")</f>
        <v/>
      </c>
    </row>
    <row r="40">
      <c r="A40" s="28">
        <f>IF($B40="","",24)</f>
        <v/>
      </c>
      <c r="B40" s="28">
        <f>IF($P40="","",IF(INDEX(CalcNormDate,$P40)=0,"",INDEX(CalcNormDate,$P40)))</f>
        <v/>
      </c>
      <c r="C40" s="28">
        <f>IF($P40="","",IF(INDEX(CalcTime,$P40)=0,"",INDEX(CalcTime,$P40)))</f>
        <v/>
      </c>
      <c r="D40" s="28">
        <f>IF($P40="","",IF(INDEX(EntryParty,$P40)=0,"",INDEX(EntryParty,$P40)))</f>
        <v/>
      </c>
      <c r="E40" s="28">
        <f>IF($P40="","",IF(INDEX(EntryPartyName,$P40)=0,"",INDEX(EntryPartyName,$P40)))</f>
        <v/>
      </c>
      <c r="F40" s="28">
        <f>IF($P40="","",IF(INDEX(EntryPartyType,$P40)=0,"",INDEX(EntryPartyType,$P40)))</f>
        <v/>
      </c>
      <c r="G40" s="28">
        <f>IF($P40="","",IF(INDEX(EntryTxnType,$P40)=0,"",INDEX(EntryTxnType,$P40)))</f>
        <v/>
      </c>
      <c r="H40" s="29">
        <f>IF($P40="","",IF(INDEX(EntryDep,$P40)=0,"",INDEX(EntryDep,$P40)))</f>
        <v/>
      </c>
      <c r="I40" s="29">
        <f>IF($P40="","",IF(INDEX(EntryWit,$P40)=0,"",INDEX(EntryWit,$P40)))</f>
        <v/>
      </c>
      <c r="J40" s="29">
        <f>IF($B40="","",IF($A40=1,$C$7,IF(J39="",0,J39))+IF($H40="",0,$H40)-IF($I40="",0,$I40))</f>
        <v/>
      </c>
      <c r="K40" s="29">
        <f>IF($P40="","",IF(INDEX(EntryMan,$P40)=0,"",INDEX(EntryMan,$P40)))</f>
        <v/>
      </c>
      <c r="L40" s="28">
        <f>IF($B40="","",IF($K40="","—",IF(ROUND($K40-$J40,0)=0,"√","×")))</f>
        <v/>
      </c>
      <c r="M40" s="28">
        <f>IF($B40="","",IF(COUNTIFS(EntryDates,$B40,CalcTime,$C40,CalcBank,$C$5,EntryParty,$D40,EntryDep,$H40,EntryWit,$I40)&gt;1,"تکرار",""))</f>
        <v/>
      </c>
      <c r="N40" s="28">
        <f>IF($P40="","",IF(INDEX(EntryNotes,$P40)=0,"",INDEX(EntryNotes,$P40)))</f>
        <v/>
      </c>
      <c r="O40" s="28">
        <f>IF($P40="","",IF(INDEX(EntryTxnID,$P40)=0,"",INDEX(EntryTxnID,$P40)))</f>
        <v/>
      </c>
      <c r="P40" s="28">
        <f>IFERROR(MATCH($C$5&amp;"|"&amp;RIGHT("000000"&amp;24,6),CalcRankKey,0),"")</f>
        <v/>
      </c>
    </row>
    <row r="41">
      <c r="A41" s="26">
        <f>IF($B41="","",25)</f>
        <v/>
      </c>
      <c r="B41" s="26">
        <f>IF($P41="","",IF(INDEX(CalcNormDate,$P41)=0,"",INDEX(CalcNormDate,$P41)))</f>
        <v/>
      </c>
      <c r="C41" s="26">
        <f>IF($P41="","",IF(INDEX(CalcTime,$P41)=0,"",INDEX(CalcTime,$P41)))</f>
        <v/>
      </c>
      <c r="D41" s="26">
        <f>IF($P41="","",IF(INDEX(EntryParty,$P41)=0,"",INDEX(EntryParty,$P41)))</f>
        <v/>
      </c>
      <c r="E41" s="26">
        <f>IF($P41="","",IF(INDEX(EntryPartyName,$P41)=0,"",INDEX(EntryPartyName,$P41)))</f>
        <v/>
      </c>
      <c r="F41" s="26">
        <f>IF($P41="","",IF(INDEX(EntryPartyType,$P41)=0,"",INDEX(EntryPartyType,$P41)))</f>
        <v/>
      </c>
      <c r="G41" s="26">
        <f>IF($P41="","",IF(INDEX(EntryTxnType,$P41)=0,"",INDEX(EntryTxnType,$P41)))</f>
        <v/>
      </c>
      <c r="H41" s="27">
        <f>IF($P41="","",IF(INDEX(EntryDep,$P41)=0,"",INDEX(EntryDep,$P41)))</f>
        <v/>
      </c>
      <c r="I41" s="27">
        <f>IF($P41="","",IF(INDEX(EntryWit,$P41)=0,"",INDEX(EntryWit,$P41)))</f>
        <v/>
      </c>
      <c r="J41" s="27">
        <f>IF($B41="","",IF($A41=1,$C$7,IF(J40="",0,J40))+IF($H41="",0,$H41)-IF($I41="",0,$I41))</f>
        <v/>
      </c>
      <c r="K41" s="27">
        <f>IF($P41="","",IF(INDEX(EntryMan,$P41)=0,"",INDEX(EntryMan,$P41)))</f>
        <v/>
      </c>
      <c r="L41" s="26">
        <f>IF($B41="","",IF($K41="","—",IF(ROUND($K41-$J41,0)=0,"√","×")))</f>
        <v/>
      </c>
      <c r="M41" s="26">
        <f>IF($B41="","",IF(COUNTIFS(EntryDates,$B41,CalcTime,$C41,CalcBank,$C$5,EntryParty,$D41,EntryDep,$H41,EntryWit,$I41)&gt;1,"تکرار",""))</f>
        <v/>
      </c>
      <c r="N41" s="26">
        <f>IF($P41="","",IF(INDEX(EntryNotes,$P41)=0,"",INDEX(EntryNotes,$P41)))</f>
        <v/>
      </c>
      <c r="O41" s="26">
        <f>IF($P41="","",IF(INDEX(EntryTxnID,$P41)=0,"",INDEX(EntryTxnID,$P41)))</f>
        <v/>
      </c>
      <c r="P41" s="26">
        <f>IFERROR(MATCH($C$5&amp;"|"&amp;RIGHT("000000"&amp;25,6),CalcRankKey,0),"")</f>
        <v/>
      </c>
    </row>
    <row r="42">
      <c r="A42" s="28">
        <f>IF($B42="","",26)</f>
        <v/>
      </c>
      <c r="B42" s="28">
        <f>IF($P42="","",IF(INDEX(CalcNormDate,$P42)=0,"",INDEX(CalcNormDate,$P42)))</f>
        <v/>
      </c>
      <c r="C42" s="28">
        <f>IF($P42="","",IF(INDEX(CalcTime,$P42)=0,"",INDEX(CalcTime,$P42)))</f>
        <v/>
      </c>
      <c r="D42" s="28">
        <f>IF($P42="","",IF(INDEX(EntryParty,$P42)=0,"",INDEX(EntryParty,$P42)))</f>
        <v/>
      </c>
      <c r="E42" s="28">
        <f>IF($P42="","",IF(INDEX(EntryPartyName,$P42)=0,"",INDEX(EntryPartyName,$P42)))</f>
        <v/>
      </c>
      <c r="F42" s="28">
        <f>IF($P42="","",IF(INDEX(EntryPartyType,$P42)=0,"",INDEX(EntryPartyType,$P42)))</f>
        <v/>
      </c>
      <c r="G42" s="28">
        <f>IF($P42="","",IF(INDEX(EntryTxnType,$P42)=0,"",INDEX(EntryTxnType,$P42)))</f>
        <v/>
      </c>
      <c r="H42" s="29">
        <f>IF($P42="","",IF(INDEX(EntryDep,$P42)=0,"",INDEX(EntryDep,$P42)))</f>
        <v/>
      </c>
      <c r="I42" s="29">
        <f>IF($P42="","",IF(INDEX(EntryWit,$P42)=0,"",INDEX(EntryWit,$P42)))</f>
        <v/>
      </c>
      <c r="J42" s="29">
        <f>IF($B42="","",IF($A42=1,$C$7,IF(J41="",0,J41))+IF($H42="",0,$H42)-IF($I42="",0,$I42))</f>
        <v/>
      </c>
      <c r="K42" s="29">
        <f>IF($P42="","",IF(INDEX(EntryMan,$P42)=0,"",INDEX(EntryMan,$P42)))</f>
        <v/>
      </c>
      <c r="L42" s="28">
        <f>IF($B42="","",IF($K42="","—",IF(ROUND($K42-$J42,0)=0,"√","×")))</f>
        <v/>
      </c>
      <c r="M42" s="28">
        <f>IF($B42="","",IF(COUNTIFS(EntryDates,$B42,CalcTime,$C42,CalcBank,$C$5,EntryParty,$D42,EntryDep,$H42,EntryWit,$I42)&gt;1,"تکرار",""))</f>
        <v/>
      </c>
      <c r="N42" s="28">
        <f>IF($P42="","",IF(INDEX(EntryNotes,$P42)=0,"",INDEX(EntryNotes,$P42)))</f>
        <v/>
      </c>
      <c r="O42" s="28">
        <f>IF($P42="","",IF(INDEX(EntryTxnID,$P42)=0,"",INDEX(EntryTxnID,$P42)))</f>
        <v/>
      </c>
      <c r="P42" s="28">
        <f>IFERROR(MATCH($C$5&amp;"|"&amp;RIGHT("000000"&amp;26,6),CalcRankKey,0),"")</f>
        <v/>
      </c>
    </row>
    <row r="43">
      <c r="A43" s="26">
        <f>IF($B43="","",27)</f>
        <v/>
      </c>
      <c r="B43" s="26">
        <f>IF($P43="","",IF(INDEX(CalcNormDate,$P43)=0,"",INDEX(CalcNormDate,$P43)))</f>
        <v/>
      </c>
      <c r="C43" s="26">
        <f>IF($P43="","",IF(INDEX(CalcTime,$P43)=0,"",INDEX(CalcTime,$P43)))</f>
        <v/>
      </c>
      <c r="D43" s="26">
        <f>IF($P43="","",IF(INDEX(EntryParty,$P43)=0,"",INDEX(EntryParty,$P43)))</f>
        <v/>
      </c>
      <c r="E43" s="26">
        <f>IF($P43="","",IF(INDEX(EntryPartyName,$P43)=0,"",INDEX(EntryPartyName,$P43)))</f>
        <v/>
      </c>
      <c r="F43" s="26">
        <f>IF($P43="","",IF(INDEX(EntryPartyType,$P43)=0,"",INDEX(EntryPartyType,$P43)))</f>
        <v/>
      </c>
      <c r="G43" s="26">
        <f>IF($P43="","",IF(INDEX(EntryTxnType,$P43)=0,"",INDEX(EntryTxnType,$P43)))</f>
        <v/>
      </c>
      <c r="H43" s="27">
        <f>IF($P43="","",IF(INDEX(EntryDep,$P43)=0,"",INDEX(EntryDep,$P43)))</f>
        <v/>
      </c>
      <c r="I43" s="27">
        <f>IF($P43="","",IF(INDEX(EntryWit,$P43)=0,"",INDEX(EntryWit,$P43)))</f>
        <v/>
      </c>
      <c r="J43" s="27">
        <f>IF($B43="","",IF($A43=1,$C$7,IF(J42="",0,J42))+IF($H43="",0,$H43)-IF($I43="",0,$I43))</f>
        <v/>
      </c>
      <c r="K43" s="27">
        <f>IF($P43="","",IF(INDEX(EntryMan,$P43)=0,"",INDEX(EntryMan,$P43)))</f>
        <v/>
      </c>
      <c r="L43" s="26">
        <f>IF($B43="","",IF($K43="","—",IF(ROUND($K43-$J43,0)=0,"√","×")))</f>
        <v/>
      </c>
      <c r="M43" s="26">
        <f>IF($B43="","",IF(COUNTIFS(EntryDates,$B43,CalcTime,$C43,CalcBank,$C$5,EntryParty,$D43,EntryDep,$H43,EntryWit,$I43)&gt;1,"تکرار",""))</f>
        <v/>
      </c>
      <c r="N43" s="26">
        <f>IF($P43="","",IF(INDEX(EntryNotes,$P43)=0,"",INDEX(EntryNotes,$P43)))</f>
        <v/>
      </c>
      <c r="O43" s="26">
        <f>IF($P43="","",IF(INDEX(EntryTxnID,$P43)=0,"",INDEX(EntryTxnID,$P43)))</f>
        <v/>
      </c>
      <c r="P43" s="26">
        <f>IFERROR(MATCH($C$5&amp;"|"&amp;RIGHT("000000"&amp;27,6),CalcRankKey,0),"")</f>
        <v/>
      </c>
    </row>
    <row r="44">
      <c r="A44" s="28">
        <f>IF($B44="","",28)</f>
        <v/>
      </c>
      <c r="B44" s="28">
        <f>IF($P44="","",IF(INDEX(CalcNormDate,$P44)=0,"",INDEX(CalcNormDate,$P44)))</f>
        <v/>
      </c>
      <c r="C44" s="28">
        <f>IF($P44="","",IF(INDEX(CalcTime,$P44)=0,"",INDEX(CalcTime,$P44)))</f>
        <v/>
      </c>
      <c r="D44" s="28">
        <f>IF($P44="","",IF(INDEX(EntryParty,$P44)=0,"",INDEX(EntryParty,$P44)))</f>
        <v/>
      </c>
      <c r="E44" s="28">
        <f>IF($P44="","",IF(INDEX(EntryPartyName,$P44)=0,"",INDEX(EntryPartyName,$P44)))</f>
        <v/>
      </c>
      <c r="F44" s="28">
        <f>IF($P44="","",IF(INDEX(EntryPartyType,$P44)=0,"",INDEX(EntryPartyType,$P44)))</f>
        <v/>
      </c>
      <c r="G44" s="28">
        <f>IF($P44="","",IF(INDEX(EntryTxnType,$P44)=0,"",INDEX(EntryTxnType,$P44)))</f>
        <v/>
      </c>
      <c r="H44" s="29">
        <f>IF($P44="","",IF(INDEX(EntryDep,$P44)=0,"",INDEX(EntryDep,$P44)))</f>
        <v/>
      </c>
      <c r="I44" s="29">
        <f>IF($P44="","",IF(INDEX(EntryWit,$P44)=0,"",INDEX(EntryWit,$P44)))</f>
        <v/>
      </c>
      <c r="J44" s="29">
        <f>IF($B44="","",IF($A44=1,$C$7,IF(J43="",0,J43))+IF($H44="",0,$H44)-IF($I44="",0,$I44))</f>
        <v/>
      </c>
      <c r="K44" s="29">
        <f>IF($P44="","",IF(INDEX(EntryMan,$P44)=0,"",INDEX(EntryMan,$P44)))</f>
        <v/>
      </c>
      <c r="L44" s="28">
        <f>IF($B44="","",IF($K44="","—",IF(ROUND($K44-$J44,0)=0,"√","×")))</f>
        <v/>
      </c>
      <c r="M44" s="28">
        <f>IF($B44="","",IF(COUNTIFS(EntryDates,$B44,CalcTime,$C44,CalcBank,$C$5,EntryParty,$D44,EntryDep,$H44,EntryWit,$I44)&gt;1,"تکرار",""))</f>
        <v/>
      </c>
      <c r="N44" s="28">
        <f>IF($P44="","",IF(INDEX(EntryNotes,$P44)=0,"",INDEX(EntryNotes,$P44)))</f>
        <v/>
      </c>
      <c r="O44" s="28">
        <f>IF($P44="","",IF(INDEX(EntryTxnID,$P44)=0,"",INDEX(EntryTxnID,$P44)))</f>
        <v/>
      </c>
      <c r="P44" s="28">
        <f>IFERROR(MATCH($C$5&amp;"|"&amp;RIGHT("000000"&amp;28,6),CalcRankKey,0),"")</f>
        <v/>
      </c>
    </row>
    <row r="45">
      <c r="A45" s="26">
        <f>IF($B45="","",29)</f>
        <v/>
      </c>
      <c r="B45" s="26">
        <f>IF($P45="","",IF(INDEX(CalcNormDate,$P45)=0,"",INDEX(CalcNormDate,$P45)))</f>
        <v/>
      </c>
      <c r="C45" s="26">
        <f>IF($P45="","",IF(INDEX(CalcTime,$P45)=0,"",INDEX(CalcTime,$P45)))</f>
        <v/>
      </c>
      <c r="D45" s="26">
        <f>IF($P45="","",IF(INDEX(EntryParty,$P45)=0,"",INDEX(EntryParty,$P45)))</f>
        <v/>
      </c>
      <c r="E45" s="26">
        <f>IF($P45="","",IF(INDEX(EntryPartyName,$P45)=0,"",INDEX(EntryPartyName,$P45)))</f>
        <v/>
      </c>
      <c r="F45" s="26">
        <f>IF($P45="","",IF(INDEX(EntryPartyType,$P45)=0,"",INDEX(EntryPartyType,$P45)))</f>
        <v/>
      </c>
      <c r="G45" s="26">
        <f>IF($P45="","",IF(INDEX(EntryTxnType,$P45)=0,"",INDEX(EntryTxnType,$P45)))</f>
        <v/>
      </c>
      <c r="H45" s="27">
        <f>IF($P45="","",IF(INDEX(EntryDep,$P45)=0,"",INDEX(EntryDep,$P45)))</f>
        <v/>
      </c>
      <c r="I45" s="27">
        <f>IF($P45="","",IF(INDEX(EntryWit,$P45)=0,"",INDEX(EntryWit,$P45)))</f>
        <v/>
      </c>
      <c r="J45" s="27">
        <f>IF($B45="","",IF($A45=1,$C$7,IF(J44="",0,J44))+IF($H45="",0,$H45)-IF($I45="",0,$I45))</f>
        <v/>
      </c>
      <c r="K45" s="27">
        <f>IF($P45="","",IF(INDEX(EntryMan,$P45)=0,"",INDEX(EntryMan,$P45)))</f>
        <v/>
      </c>
      <c r="L45" s="26">
        <f>IF($B45="","",IF($K45="","—",IF(ROUND($K45-$J45,0)=0,"√","×")))</f>
        <v/>
      </c>
      <c r="M45" s="26">
        <f>IF($B45="","",IF(COUNTIFS(EntryDates,$B45,CalcTime,$C45,CalcBank,$C$5,EntryParty,$D45,EntryDep,$H45,EntryWit,$I45)&gt;1,"تکرار",""))</f>
        <v/>
      </c>
      <c r="N45" s="26">
        <f>IF($P45="","",IF(INDEX(EntryNotes,$P45)=0,"",INDEX(EntryNotes,$P45)))</f>
        <v/>
      </c>
      <c r="O45" s="26">
        <f>IF($P45="","",IF(INDEX(EntryTxnID,$P45)=0,"",INDEX(EntryTxnID,$P45)))</f>
        <v/>
      </c>
      <c r="P45" s="26">
        <f>IFERROR(MATCH($C$5&amp;"|"&amp;RIGHT("000000"&amp;29,6),CalcRankKey,0),"")</f>
        <v/>
      </c>
    </row>
    <row r="46">
      <c r="A46" s="28">
        <f>IF($B46="","",30)</f>
        <v/>
      </c>
      <c r="B46" s="28">
        <f>IF($P46="","",IF(INDEX(CalcNormDate,$P46)=0,"",INDEX(CalcNormDate,$P46)))</f>
        <v/>
      </c>
      <c r="C46" s="28">
        <f>IF($P46="","",IF(INDEX(CalcTime,$P46)=0,"",INDEX(CalcTime,$P46)))</f>
        <v/>
      </c>
      <c r="D46" s="28">
        <f>IF($P46="","",IF(INDEX(EntryParty,$P46)=0,"",INDEX(EntryParty,$P46)))</f>
        <v/>
      </c>
      <c r="E46" s="28">
        <f>IF($P46="","",IF(INDEX(EntryPartyName,$P46)=0,"",INDEX(EntryPartyName,$P46)))</f>
        <v/>
      </c>
      <c r="F46" s="28">
        <f>IF($P46="","",IF(INDEX(EntryPartyType,$P46)=0,"",INDEX(EntryPartyType,$P46)))</f>
        <v/>
      </c>
      <c r="G46" s="28">
        <f>IF($P46="","",IF(INDEX(EntryTxnType,$P46)=0,"",INDEX(EntryTxnType,$P46)))</f>
        <v/>
      </c>
      <c r="H46" s="29">
        <f>IF($P46="","",IF(INDEX(EntryDep,$P46)=0,"",INDEX(EntryDep,$P46)))</f>
        <v/>
      </c>
      <c r="I46" s="29">
        <f>IF($P46="","",IF(INDEX(EntryWit,$P46)=0,"",INDEX(EntryWit,$P46)))</f>
        <v/>
      </c>
      <c r="J46" s="29">
        <f>IF($B46="","",IF($A46=1,$C$7,IF(J45="",0,J45))+IF($H46="",0,$H46)-IF($I46="",0,$I46))</f>
        <v/>
      </c>
      <c r="K46" s="29">
        <f>IF($P46="","",IF(INDEX(EntryMan,$P46)=0,"",INDEX(EntryMan,$P46)))</f>
        <v/>
      </c>
      <c r="L46" s="28">
        <f>IF($B46="","",IF($K46="","—",IF(ROUND($K46-$J46,0)=0,"√","×")))</f>
        <v/>
      </c>
      <c r="M46" s="28">
        <f>IF($B46="","",IF(COUNTIFS(EntryDates,$B46,CalcTime,$C46,CalcBank,$C$5,EntryParty,$D46,EntryDep,$H46,EntryWit,$I46)&gt;1,"تکرار",""))</f>
        <v/>
      </c>
      <c r="N46" s="28">
        <f>IF($P46="","",IF(INDEX(EntryNotes,$P46)=0,"",INDEX(EntryNotes,$P46)))</f>
        <v/>
      </c>
      <c r="O46" s="28">
        <f>IF($P46="","",IF(INDEX(EntryTxnID,$P46)=0,"",INDEX(EntryTxnID,$P46)))</f>
        <v/>
      </c>
      <c r="P46" s="28">
        <f>IFERROR(MATCH($C$5&amp;"|"&amp;RIGHT("000000"&amp;30,6),CalcRankKey,0),"")</f>
        <v/>
      </c>
    </row>
    <row r="47">
      <c r="A47" s="26">
        <f>IF($B47="","",31)</f>
        <v/>
      </c>
      <c r="B47" s="26">
        <f>IF($P47="","",IF(INDEX(CalcNormDate,$P47)=0,"",INDEX(CalcNormDate,$P47)))</f>
        <v/>
      </c>
      <c r="C47" s="26">
        <f>IF($P47="","",IF(INDEX(CalcTime,$P47)=0,"",INDEX(CalcTime,$P47)))</f>
        <v/>
      </c>
      <c r="D47" s="26">
        <f>IF($P47="","",IF(INDEX(EntryParty,$P47)=0,"",INDEX(EntryParty,$P47)))</f>
        <v/>
      </c>
      <c r="E47" s="26">
        <f>IF($P47="","",IF(INDEX(EntryPartyName,$P47)=0,"",INDEX(EntryPartyName,$P47)))</f>
        <v/>
      </c>
      <c r="F47" s="26">
        <f>IF($P47="","",IF(INDEX(EntryPartyType,$P47)=0,"",INDEX(EntryPartyType,$P47)))</f>
        <v/>
      </c>
      <c r="G47" s="26">
        <f>IF($P47="","",IF(INDEX(EntryTxnType,$P47)=0,"",INDEX(EntryTxnType,$P47)))</f>
        <v/>
      </c>
      <c r="H47" s="27">
        <f>IF($P47="","",IF(INDEX(EntryDep,$P47)=0,"",INDEX(EntryDep,$P47)))</f>
        <v/>
      </c>
      <c r="I47" s="27">
        <f>IF($P47="","",IF(INDEX(EntryWit,$P47)=0,"",INDEX(EntryWit,$P47)))</f>
        <v/>
      </c>
      <c r="J47" s="27">
        <f>IF($B47="","",IF($A47=1,$C$7,IF(J46="",0,J46))+IF($H47="",0,$H47)-IF($I47="",0,$I47))</f>
        <v/>
      </c>
      <c r="K47" s="27">
        <f>IF($P47="","",IF(INDEX(EntryMan,$P47)=0,"",INDEX(EntryMan,$P47)))</f>
        <v/>
      </c>
      <c r="L47" s="26">
        <f>IF($B47="","",IF($K47="","—",IF(ROUND($K47-$J47,0)=0,"√","×")))</f>
        <v/>
      </c>
      <c r="M47" s="26">
        <f>IF($B47="","",IF(COUNTIFS(EntryDates,$B47,CalcTime,$C47,CalcBank,$C$5,EntryParty,$D47,EntryDep,$H47,EntryWit,$I47)&gt;1,"تکرار",""))</f>
        <v/>
      </c>
      <c r="N47" s="26">
        <f>IF($P47="","",IF(INDEX(EntryNotes,$P47)=0,"",INDEX(EntryNotes,$P47)))</f>
        <v/>
      </c>
      <c r="O47" s="26">
        <f>IF($P47="","",IF(INDEX(EntryTxnID,$P47)=0,"",INDEX(EntryTxnID,$P47)))</f>
        <v/>
      </c>
      <c r="P47" s="26">
        <f>IFERROR(MATCH($C$5&amp;"|"&amp;RIGHT("000000"&amp;31,6),CalcRankKey,0),"")</f>
        <v/>
      </c>
    </row>
    <row r="48">
      <c r="A48" s="28">
        <f>IF($B48="","",32)</f>
        <v/>
      </c>
      <c r="B48" s="28">
        <f>IF($P48="","",IF(INDEX(CalcNormDate,$P48)=0,"",INDEX(CalcNormDate,$P48)))</f>
        <v/>
      </c>
      <c r="C48" s="28">
        <f>IF($P48="","",IF(INDEX(CalcTime,$P48)=0,"",INDEX(CalcTime,$P48)))</f>
        <v/>
      </c>
      <c r="D48" s="28">
        <f>IF($P48="","",IF(INDEX(EntryParty,$P48)=0,"",INDEX(EntryParty,$P48)))</f>
        <v/>
      </c>
      <c r="E48" s="28">
        <f>IF($P48="","",IF(INDEX(EntryPartyName,$P48)=0,"",INDEX(EntryPartyName,$P48)))</f>
        <v/>
      </c>
      <c r="F48" s="28">
        <f>IF($P48="","",IF(INDEX(EntryPartyType,$P48)=0,"",INDEX(EntryPartyType,$P48)))</f>
        <v/>
      </c>
      <c r="G48" s="28">
        <f>IF($P48="","",IF(INDEX(EntryTxnType,$P48)=0,"",INDEX(EntryTxnType,$P48)))</f>
        <v/>
      </c>
      <c r="H48" s="29">
        <f>IF($P48="","",IF(INDEX(EntryDep,$P48)=0,"",INDEX(EntryDep,$P48)))</f>
        <v/>
      </c>
      <c r="I48" s="29">
        <f>IF($P48="","",IF(INDEX(EntryWit,$P48)=0,"",INDEX(EntryWit,$P48)))</f>
        <v/>
      </c>
      <c r="J48" s="29">
        <f>IF($B48="","",IF($A48=1,$C$7,IF(J47="",0,J47))+IF($H48="",0,$H48)-IF($I48="",0,$I48))</f>
        <v/>
      </c>
      <c r="K48" s="29">
        <f>IF($P48="","",IF(INDEX(EntryMan,$P48)=0,"",INDEX(EntryMan,$P48)))</f>
        <v/>
      </c>
      <c r="L48" s="28">
        <f>IF($B48="","",IF($K48="","—",IF(ROUND($K48-$J48,0)=0,"√","×")))</f>
        <v/>
      </c>
      <c r="M48" s="28">
        <f>IF($B48="","",IF(COUNTIFS(EntryDates,$B48,CalcTime,$C48,CalcBank,$C$5,EntryParty,$D48,EntryDep,$H48,EntryWit,$I48)&gt;1,"تکرار",""))</f>
        <v/>
      </c>
      <c r="N48" s="28">
        <f>IF($P48="","",IF(INDEX(EntryNotes,$P48)=0,"",INDEX(EntryNotes,$P48)))</f>
        <v/>
      </c>
      <c r="O48" s="28">
        <f>IF($P48="","",IF(INDEX(EntryTxnID,$P48)=0,"",INDEX(EntryTxnID,$P48)))</f>
        <v/>
      </c>
      <c r="P48" s="28">
        <f>IFERROR(MATCH($C$5&amp;"|"&amp;RIGHT("000000"&amp;32,6),CalcRankKey,0),"")</f>
        <v/>
      </c>
    </row>
    <row r="49">
      <c r="A49" s="26">
        <f>IF($B49="","",33)</f>
        <v/>
      </c>
      <c r="B49" s="26">
        <f>IF($P49="","",IF(INDEX(CalcNormDate,$P49)=0,"",INDEX(CalcNormDate,$P49)))</f>
        <v/>
      </c>
      <c r="C49" s="26">
        <f>IF($P49="","",IF(INDEX(CalcTime,$P49)=0,"",INDEX(CalcTime,$P49)))</f>
        <v/>
      </c>
      <c r="D49" s="26">
        <f>IF($P49="","",IF(INDEX(EntryParty,$P49)=0,"",INDEX(EntryParty,$P49)))</f>
        <v/>
      </c>
      <c r="E49" s="26">
        <f>IF($P49="","",IF(INDEX(EntryPartyName,$P49)=0,"",INDEX(EntryPartyName,$P49)))</f>
        <v/>
      </c>
      <c r="F49" s="26">
        <f>IF($P49="","",IF(INDEX(EntryPartyType,$P49)=0,"",INDEX(EntryPartyType,$P49)))</f>
        <v/>
      </c>
      <c r="G49" s="26">
        <f>IF($P49="","",IF(INDEX(EntryTxnType,$P49)=0,"",INDEX(EntryTxnType,$P49)))</f>
        <v/>
      </c>
      <c r="H49" s="27">
        <f>IF($P49="","",IF(INDEX(EntryDep,$P49)=0,"",INDEX(EntryDep,$P49)))</f>
        <v/>
      </c>
      <c r="I49" s="27">
        <f>IF($P49="","",IF(INDEX(EntryWit,$P49)=0,"",INDEX(EntryWit,$P49)))</f>
        <v/>
      </c>
      <c r="J49" s="27">
        <f>IF($B49="","",IF($A49=1,$C$7,IF(J48="",0,J48))+IF($H49="",0,$H49)-IF($I49="",0,$I49))</f>
        <v/>
      </c>
      <c r="K49" s="27">
        <f>IF($P49="","",IF(INDEX(EntryMan,$P49)=0,"",INDEX(EntryMan,$P49)))</f>
        <v/>
      </c>
      <c r="L49" s="26">
        <f>IF($B49="","",IF($K49="","—",IF(ROUND($K49-$J49,0)=0,"√","×")))</f>
        <v/>
      </c>
      <c r="M49" s="26">
        <f>IF($B49="","",IF(COUNTIFS(EntryDates,$B49,CalcTime,$C49,CalcBank,$C$5,EntryParty,$D49,EntryDep,$H49,EntryWit,$I49)&gt;1,"تکرار",""))</f>
        <v/>
      </c>
      <c r="N49" s="26">
        <f>IF($P49="","",IF(INDEX(EntryNotes,$P49)=0,"",INDEX(EntryNotes,$P49)))</f>
        <v/>
      </c>
      <c r="O49" s="26">
        <f>IF($P49="","",IF(INDEX(EntryTxnID,$P49)=0,"",INDEX(EntryTxnID,$P49)))</f>
        <v/>
      </c>
      <c r="P49" s="26">
        <f>IFERROR(MATCH($C$5&amp;"|"&amp;RIGHT("000000"&amp;33,6),CalcRankKey,0),"")</f>
        <v/>
      </c>
    </row>
    <row r="50">
      <c r="A50" s="28">
        <f>IF($B50="","",34)</f>
        <v/>
      </c>
      <c r="B50" s="28">
        <f>IF($P50="","",IF(INDEX(CalcNormDate,$P50)=0,"",INDEX(CalcNormDate,$P50)))</f>
        <v/>
      </c>
      <c r="C50" s="28">
        <f>IF($P50="","",IF(INDEX(CalcTime,$P50)=0,"",INDEX(CalcTime,$P50)))</f>
        <v/>
      </c>
      <c r="D50" s="28">
        <f>IF($P50="","",IF(INDEX(EntryParty,$P50)=0,"",INDEX(EntryParty,$P50)))</f>
        <v/>
      </c>
      <c r="E50" s="28">
        <f>IF($P50="","",IF(INDEX(EntryPartyName,$P50)=0,"",INDEX(EntryPartyName,$P50)))</f>
        <v/>
      </c>
      <c r="F50" s="28">
        <f>IF($P50="","",IF(INDEX(EntryPartyType,$P50)=0,"",INDEX(EntryPartyType,$P50)))</f>
        <v/>
      </c>
      <c r="G50" s="28">
        <f>IF($P50="","",IF(INDEX(EntryTxnType,$P50)=0,"",INDEX(EntryTxnType,$P50)))</f>
        <v/>
      </c>
      <c r="H50" s="29">
        <f>IF($P50="","",IF(INDEX(EntryDep,$P50)=0,"",INDEX(EntryDep,$P50)))</f>
        <v/>
      </c>
      <c r="I50" s="29">
        <f>IF($P50="","",IF(INDEX(EntryWit,$P50)=0,"",INDEX(EntryWit,$P50)))</f>
        <v/>
      </c>
      <c r="J50" s="29">
        <f>IF($B50="","",IF($A50=1,$C$7,IF(J49="",0,J49))+IF($H50="",0,$H50)-IF($I50="",0,$I50))</f>
        <v/>
      </c>
      <c r="K50" s="29">
        <f>IF($P50="","",IF(INDEX(EntryMan,$P50)=0,"",INDEX(EntryMan,$P50)))</f>
        <v/>
      </c>
      <c r="L50" s="28">
        <f>IF($B50="","",IF($K50="","—",IF(ROUND($K50-$J50,0)=0,"√","×")))</f>
        <v/>
      </c>
      <c r="M50" s="28">
        <f>IF($B50="","",IF(COUNTIFS(EntryDates,$B50,CalcTime,$C50,CalcBank,$C$5,EntryParty,$D50,EntryDep,$H50,EntryWit,$I50)&gt;1,"تکرار",""))</f>
        <v/>
      </c>
      <c r="N50" s="28">
        <f>IF($P50="","",IF(INDEX(EntryNotes,$P50)=0,"",INDEX(EntryNotes,$P50)))</f>
        <v/>
      </c>
      <c r="O50" s="28">
        <f>IF($P50="","",IF(INDEX(EntryTxnID,$P50)=0,"",INDEX(EntryTxnID,$P50)))</f>
        <v/>
      </c>
      <c r="P50" s="28">
        <f>IFERROR(MATCH($C$5&amp;"|"&amp;RIGHT("000000"&amp;34,6),CalcRankKey,0),"")</f>
        <v/>
      </c>
    </row>
    <row r="51">
      <c r="A51" s="26">
        <f>IF($B51="","",35)</f>
        <v/>
      </c>
      <c r="B51" s="26">
        <f>IF($P51="","",IF(INDEX(CalcNormDate,$P51)=0,"",INDEX(CalcNormDate,$P51)))</f>
        <v/>
      </c>
      <c r="C51" s="26">
        <f>IF($P51="","",IF(INDEX(CalcTime,$P51)=0,"",INDEX(CalcTime,$P51)))</f>
        <v/>
      </c>
      <c r="D51" s="26">
        <f>IF($P51="","",IF(INDEX(EntryParty,$P51)=0,"",INDEX(EntryParty,$P51)))</f>
        <v/>
      </c>
      <c r="E51" s="26">
        <f>IF($P51="","",IF(INDEX(EntryPartyName,$P51)=0,"",INDEX(EntryPartyName,$P51)))</f>
        <v/>
      </c>
      <c r="F51" s="26">
        <f>IF($P51="","",IF(INDEX(EntryPartyType,$P51)=0,"",INDEX(EntryPartyType,$P51)))</f>
        <v/>
      </c>
      <c r="G51" s="26">
        <f>IF($P51="","",IF(INDEX(EntryTxnType,$P51)=0,"",INDEX(EntryTxnType,$P51)))</f>
        <v/>
      </c>
      <c r="H51" s="27">
        <f>IF($P51="","",IF(INDEX(EntryDep,$P51)=0,"",INDEX(EntryDep,$P51)))</f>
        <v/>
      </c>
      <c r="I51" s="27">
        <f>IF($P51="","",IF(INDEX(EntryWit,$P51)=0,"",INDEX(EntryWit,$P51)))</f>
        <v/>
      </c>
      <c r="J51" s="27">
        <f>IF($B51="","",IF($A51=1,$C$7,IF(J50="",0,J50))+IF($H51="",0,$H51)-IF($I51="",0,$I51))</f>
        <v/>
      </c>
      <c r="K51" s="27">
        <f>IF($P51="","",IF(INDEX(EntryMan,$P51)=0,"",INDEX(EntryMan,$P51)))</f>
        <v/>
      </c>
      <c r="L51" s="26">
        <f>IF($B51="","",IF($K51="","—",IF(ROUND($K51-$J51,0)=0,"√","×")))</f>
        <v/>
      </c>
      <c r="M51" s="26">
        <f>IF($B51="","",IF(COUNTIFS(EntryDates,$B51,CalcTime,$C51,CalcBank,$C$5,EntryParty,$D51,EntryDep,$H51,EntryWit,$I51)&gt;1,"تکرار",""))</f>
        <v/>
      </c>
      <c r="N51" s="26">
        <f>IF($P51="","",IF(INDEX(EntryNotes,$P51)=0,"",INDEX(EntryNotes,$P51)))</f>
        <v/>
      </c>
      <c r="O51" s="26">
        <f>IF($P51="","",IF(INDEX(EntryTxnID,$P51)=0,"",INDEX(EntryTxnID,$P51)))</f>
        <v/>
      </c>
      <c r="P51" s="26">
        <f>IFERROR(MATCH($C$5&amp;"|"&amp;RIGHT("000000"&amp;35,6),CalcRankKey,0),"")</f>
        <v/>
      </c>
    </row>
    <row r="52">
      <c r="A52" s="28">
        <f>IF($B52="","",36)</f>
        <v/>
      </c>
      <c r="B52" s="28">
        <f>IF($P52="","",IF(INDEX(CalcNormDate,$P52)=0,"",INDEX(CalcNormDate,$P52)))</f>
        <v/>
      </c>
      <c r="C52" s="28">
        <f>IF($P52="","",IF(INDEX(CalcTime,$P52)=0,"",INDEX(CalcTime,$P52)))</f>
        <v/>
      </c>
      <c r="D52" s="28">
        <f>IF($P52="","",IF(INDEX(EntryParty,$P52)=0,"",INDEX(EntryParty,$P52)))</f>
        <v/>
      </c>
      <c r="E52" s="28">
        <f>IF($P52="","",IF(INDEX(EntryPartyName,$P52)=0,"",INDEX(EntryPartyName,$P52)))</f>
        <v/>
      </c>
      <c r="F52" s="28">
        <f>IF($P52="","",IF(INDEX(EntryPartyType,$P52)=0,"",INDEX(EntryPartyType,$P52)))</f>
        <v/>
      </c>
      <c r="G52" s="28">
        <f>IF($P52="","",IF(INDEX(EntryTxnType,$P52)=0,"",INDEX(EntryTxnType,$P52)))</f>
        <v/>
      </c>
      <c r="H52" s="29">
        <f>IF($P52="","",IF(INDEX(EntryDep,$P52)=0,"",INDEX(EntryDep,$P52)))</f>
        <v/>
      </c>
      <c r="I52" s="29">
        <f>IF($P52="","",IF(INDEX(EntryWit,$P52)=0,"",INDEX(EntryWit,$P52)))</f>
        <v/>
      </c>
      <c r="J52" s="29">
        <f>IF($B52="","",IF($A52=1,$C$7,IF(J51="",0,J51))+IF($H52="",0,$H52)-IF($I52="",0,$I52))</f>
        <v/>
      </c>
      <c r="K52" s="29">
        <f>IF($P52="","",IF(INDEX(EntryMan,$P52)=0,"",INDEX(EntryMan,$P52)))</f>
        <v/>
      </c>
      <c r="L52" s="28">
        <f>IF($B52="","",IF($K52="","—",IF(ROUND($K52-$J52,0)=0,"√","×")))</f>
        <v/>
      </c>
      <c r="M52" s="28">
        <f>IF($B52="","",IF(COUNTIFS(EntryDates,$B52,CalcTime,$C52,CalcBank,$C$5,EntryParty,$D52,EntryDep,$H52,EntryWit,$I52)&gt;1,"تکرار",""))</f>
        <v/>
      </c>
      <c r="N52" s="28">
        <f>IF($P52="","",IF(INDEX(EntryNotes,$P52)=0,"",INDEX(EntryNotes,$P52)))</f>
        <v/>
      </c>
      <c r="O52" s="28">
        <f>IF($P52="","",IF(INDEX(EntryTxnID,$P52)=0,"",INDEX(EntryTxnID,$P52)))</f>
        <v/>
      </c>
      <c r="P52" s="28">
        <f>IFERROR(MATCH($C$5&amp;"|"&amp;RIGHT("000000"&amp;36,6),CalcRankKey,0),"")</f>
        <v/>
      </c>
    </row>
    <row r="53">
      <c r="A53" s="26">
        <f>IF($B53="","",37)</f>
        <v/>
      </c>
      <c r="B53" s="26">
        <f>IF($P53="","",IF(INDEX(CalcNormDate,$P53)=0,"",INDEX(CalcNormDate,$P53)))</f>
        <v/>
      </c>
      <c r="C53" s="26">
        <f>IF($P53="","",IF(INDEX(CalcTime,$P53)=0,"",INDEX(CalcTime,$P53)))</f>
        <v/>
      </c>
      <c r="D53" s="26">
        <f>IF($P53="","",IF(INDEX(EntryParty,$P53)=0,"",INDEX(EntryParty,$P53)))</f>
        <v/>
      </c>
      <c r="E53" s="26">
        <f>IF($P53="","",IF(INDEX(EntryPartyName,$P53)=0,"",INDEX(EntryPartyName,$P53)))</f>
        <v/>
      </c>
      <c r="F53" s="26">
        <f>IF($P53="","",IF(INDEX(EntryPartyType,$P53)=0,"",INDEX(EntryPartyType,$P53)))</f>
        <v/>
      </c>
      <c r="G53" s="26">
        <f>IF($P53="","",IF(INDEX(EntryTxnType,$P53)=0,"",INDEX(EntryTxnType,$P53)))</f>
        <v/>
      </c>
      <c r="H53" s="27">
        <f>IF($P53="","",IF(INDEX(EntryDep,$P53)=0,"",INDEX(EntryDep,$P53)))</f>
        <v/>
      </c>
      <c r="I53" s="27">
        <f>IF($P53="","",IF(INDEX(EntryWit,$P53)=0,"",INDEX(EntryWit,$P53)))</f>
        <v/>
      </c>
      <c r="J53" s="27">
        <f>IF($B53="","",IF($A53=1,$C$7,IF(J52="",0,J52))+IF($H53="",0,$H53)-IF($I53="",0,$I53))</f>
        <v/>
      </c>
      <c r="K53" s="27">
        <f>IF($P53="","",IF(INDEX(EntryMan,$P53)=0,"",INDEX(EntryMan,$P53)))</f>
        <v/>
      </c>
      <c r="L53" s="26">
        <f>IF($B53="","",IF($K53="","—",IF(ROUND($K53-$J53,0)=0,"√","×")))</f>
        <v/>
      </c>
      <c r="M53" s="26">
        <f>IF($B53="","",IF(COUNTIFS(EntryDates,$B53,CalcTime,$C53,CalcBank,$C$5,EntryParty,$D53,EntryDep,$H53,EntryWit,$I53)&gt;1,"تکرار",""))</f>
        <v/>
      </c>
      <c r="N53" s="26">
        <f>IF($P53="","",IF(INDEX(EntryNotes,$P53)=0,"",INDEX(EntryNotes,$P53)))</f>
        <v/>
      </c>
      <c r="O53" s="26">
        <f>IF($P53="","",IF(INDEX(EntryTxnID,$P53)=0,"",INDEX(EntryTxnID,$P53)))</f>
        <v/>
      </c>
      <c r="P53" s="26">
        <f>IFERROR(MATCH($C$5&amp;"|"&amp;RIGHT("000000"&amp;37,6),CalcRankKey,0),"")</f>
        <v/>
      </c>
    </row>
    <row r="54">
      <c r="A54" s="28">
        <f>IF($B54="","",38)</f>
        <v/>
      </c>
      <c r="B54" s="28">
        <f>IF($P54="","",IF(INDEX(CalcNormDate,$P54)=0,"",INDEX(CalcNormDate,$P54)))</f>
        <v/>
      </c>
      <c r="C54" s="28">
        <f>IF($P54="","",IF(INDEX(CalcTime,$P54)=0,"",INDEX(CalcTime,$P54)))</f>
        <v/>
      </c>
      <c r="D54" s="28">
        <f>IF($P54="","",IF(INDEX(EntryParty,$P54)=0,"",INDEX(EntryParty,$P54)))</f>
        <v/>
      </c>
      <c r="E54" s="28">
        <f>IF($P54="","",IF(INDEX(EntryPartyName,$P54)=0,"",INDEX(EntryPartyName,$P54)))</f>
        <v/>
      </c>
      <c r="F54" s="28">
        <f>IF($P54="","",IF(INDEX(EntryPartyType,$P54)=0,"",INDEX(EntryPartyType,$P54)))</f>
        <v/>
      </c>
      <c r="G54" s="28">
        <f>IF($P54="","",IF(INDEX(EntryTxnType,$P54)=0,"",INDEX(EntryTxnType,$P54)))</f>
        <v/>
      </c>
      <c r="H54" s="29">
        <f>IF($P54="","",IF(INDEX(EntryDep,$P54)=0,"",INDEX(EntryDep,$P54)))</f>
        <v/>
      </c>
      <c r="I54" s="29">
        <f>IF($P54="","",IF(INDEX(EntryWit,$P54)=0,"",INDEX(EntryWit,$P54)))</f>
        <v/>
      </c>
      <c r="J54" s="29">
        <f>IF($B54="","",IF($A54=1,$C$7,IF(J53="",0,J53))+IF($H54="",0,$H54)-IF($I54="",0,$I54))</f>
        <v/>
      </c>
      <c r="K54" s="29">
        <f>IF($P54="","",IF(INDEX(EntryMan,$P54)=0,"",INDEX(EntryMan,$P54)))</f>
        <v/>
      </c>
      <c r="L54" s="28">
        <f>IF($B54="","",IF($K54="","—",IF(ROUND($K54-$J54,0)=0,"√","×")))</f>
        <v/>
      </c>
      <c r="M54" s="28">
        <f>IF($B54="","",IF(COUNTIFS(EntryDates,$B54,CalcTime,$C54,CalcBank,$C$5,EntryParty,$D54,EntryDep,$H54,EntryWit,$I54)&gt;1,"تکرار",""))</f>
        <v/>
      </c>
      <c r="N54" s="28">
        <f>IF($P54="","",IF(INDEX(EntryNotes,$P54)=0,"",INDEX(EntryNotes,$P54)))</f>
        <v/>
      </c>
      <c r="O54" s="28">
        <f>IF($P54="","",IF(INDEX(EntryTxnID,$P54)=0,"",INDEX(EntryTxnID,$P54)))</f>
        <v/>
      </c>
      <c r="P54" s="28">
        <f>IFERROR(MATCH($C$5&amp;"|"&amp;RIGHT("000000"&amp;38,6),CalcRankKey,0),"")</f>
        <v/>
      </c>
    </row>
    <row r="55">
      <c r="A55" s="26">
        <f>IF($B55="","",39)</f>
        <v/>
      </c>
      <c r="B55" s="26">
        <f>IF($P55="","",IF(INDEX(CalcNormDate,$P55)=0,"",INDEX(CalcNormDate,$P55)))</f>
        <v/>
      </c>
      <c r="C55" s="26">
        <f>IF($P55="","",IF(INDEX(CalcTime,$P55)=0,"",INDEX(CalcTime,$P55)))</f>
        <v/>
      </c>
      <c r="D55" s="26">
        <f>IF($P55="","",IF(INDEX(EntryParty,$P55)=0,"",INDEX(EntryParty,$P55)))</f>
        <v/>
      </c>
      <c r="E55" s="26">
        <f>IF($P55="","",IF(INDEX(EntryPartyName,$P55)=0,"",INDEX(EntryPartyName,$P55)))</f>
        <v/>
      </c>
      <c r="F55" s="26">
        <f>IF($P55="","",IF(INDEX(EntryPartyType,$P55)=0,"",INDEX(EntryPartyType,$P55)))</f>
        <v/>
      </c>
      <c r="G55" s="26">
        <f>IF($P55="","",IF(INDEX(EntryTxnType,$P55)=0,"",INDEX(EntryTxnType,$P55)))</f>
        <v/>
      </c>
      <c r="H55" s="27">
        <f>IF($P55="","",IF(INDEX(EntryDep,$P55)=0,"",INDEX(EntryDep,$P55)))</f>
        <v/>
      </c>
      <c r="I55" s="27">
        <f>IF($P55="","",IF(INDEX(EntryWit,$P55)=0,"",INDEX(EntryWit,$P55)))</f>
        <v/>
      </c>
      <c r="J55" s="27">
        <f>IF($B55="","",IF($A55=1,$C$7,IF(J54="",0,J54))+IF($H55="",0,$H55)-IF($I55="",0,$I55))</f>
        <v/>
      </c>
      <c r="K55" s="27">
        <f>IF($P55="","",IF(INDEX(EntryMan,$P55)=0,"",INDEX(EntryMan,$P55)))</f>
        <v/>
      </c>
      <c r="L55" s="26">
        <f>IF($B55="","",IF($K55="","—",IF(ROUND($K55-$J55,0)=0,"√","×")))</f>
        <v/>
      </c>
      <c r="M55" s="26">
        <f>IF($B55="","",IF(COUNTIFS(EntryDates,$B55,CalcTime,$C55,CalcBank,$C$5,EntryParty,$D55,EntryDep,$H55,EntryWit,$I55)&gt;1,"تکرار",""))</f>
        <v/>
      </c>
      <c r="N55" s="26">
        <f>IF($P55="","",IF(INDEX(EntryNotes,$P55)=0,"",INDEX(EntryNotes,$P55)))</f>
        <v/>
      </c>
      <c r="O55" s="26">
        <f>IF($P55="","",IF(INDEX(EntryTxnID,$P55)=0,"",INDEX(EntryTxnID,$P55)))</f>
        <v/>
      </c>
      <c r="P55" s="26">
        <f>IFERROR(MATCH($C$5&amp;"|"&amp;RIGHT("000000"&amp;39,6),CalcRankKey,0),"")</f>
        <v/>
      </c>
    </row>
    <row r="56">
      <c r="A56" s="28">
        <f>IF($B56="","",40)</f>
        <v/>
      </c>
      <c r="B56" s="28">
        <f>IF($P56="","",IF(INDEX(CalcNormDate,$P56)=0,"",INDEX(CalcNormDate,$P56)))</f>
        <v/>
      </c>
      <c r="C56" s="28">
        <f>IF($P56="","",IF(INDEX(CalcTime,$P56)=0,"",INDEX(CalcTime,$P56)))</f>
        <v/>
      </c>
      <c r="D56" s="28">
        <f>IF($P56="","",IF(INDEX(EntryParty,$P56)=0,"",INDEX(EntryParty,$P56)))</f>
        <v/>
      </c>
      <c r="E56" s="28">
        <f>IF($P56="","",IF(INDEX(EntryPartyName,$P56)=0,"",INDEX(EntryPartyName,$P56)))</f>
        <v/>
      </c>
      <c r="F56" s="28">
        <f>IF($P56="","",IF(INDEX(EntryPartyType,$P56)=0,"",INDEX(EntryPartyType,$P56)))</f>
        <v/>
      </c>
      <c r="G56" s="28">
        <f>IF($P56="","",IF(INDEX(EntryTxnType,$P56)=0,"",INDEX(EntryTxnType,$P56)))</f>
        <v/>
      </c>
      <c r="H56" s="29">
        <f>IF($P56="","",IF(INDEX(EntryDep,$P56)=0,"",INDEX(EntryDep,$P56)))</f>
        <v/>
      </c>
      <c r="I56" s="29">
        <f>IF($P56="","",IF(INDEX(EntryWit,$P56)=0,"",INDEX(EntryWit,$P56)))</f>
        <v/>
      </c>
      <c r="J56" s="29">
        <f>IF($B56="","",IF($A56=1,$C$7,IF(J55="",0,J55))+IF($H56="",0,$H56)-IF($I56="",0,$I56))</f>
        <v/>
      </c>
      <c r="K56" s="29">
        <f>IF($P56="","",IF(INDEX(EntryMan,$P56)=0,"",INDEX(EntryMan,$P56)))</f>
        <v/>
      </c>
      <c r="L56" s="28">
        <f>IF($B56="","",IF($K56="","—",IF(ROUND($K56-$J56,0)=0,"√","×")))</f>
        <v/>
      </c>
      <c r="M56" s="28">
        <f>IF($B56="","",IF(COUNTIFS(EntryDates,$B56,CalcTime,$C56,CalcBank,$C$5,EntryParty,$D56,EntryDep,$H56,EntryWit,$I56)&gt;1,"تکرار",""))</f>
        <v/>
      </c>
      <c r="N56" s="28">
        <f>IF($P56="","",IF(INDEX(EntryNotes,$P56)=0,"",INDEX(EntryNotes,$P56)))</f>
        <v/>
      </c>
      <c r="O56" s="28">
        <f>IF($P56="","",IF(INDEX(EntryTxnID,$P56)=0,"",INDEX(EntryTxnID,$P56)))</f>
        <v/>
      </c>
      <c r="P56" s="28">
        <f>IFERROR(MATCH($C$5&amp;"|"&amp;RIGHT("000000"&amp;40,6),CalcRankKey,0),"")</f>
        <v/>
      </c>
    </row>
    <row r="57">
      <c r="A57" s="26">
        <f>IF($B57="","",41)</f>
        <v/>
      </c>
      <c r="B57" s="26">
        <f>IF($P57="","",IF(INDEX(CalcNormDate,$P57)=0,"",INDEX(CalcNormDate,$P57)))</f>
        <v/>
      </c>
      <c r="C57" s="26">
        <f>IF($P57="","",IF(INDEX(CalcTime,$P57)=0,"",INDEX(CalcTime,$P57)))</f>
        <v/>
      </c>
      <c r="D57" s="26">
        <f>IF($P57="","",IF(INDEX(EntryParty,$P57)=0,"",INDEX(EntryParty,$P57)))</f>
        <v/>
      </c>
      <c r="E57" s="26">
        <f>IF($P57="","",IF(INDEX(EntryPartyName,$P57)=0,"",INDEX(EntryPartyName,$P57)))</f>
        <v/>
      </c>
      <c r="F57" s="26">
        <f>IF($P57="","",IF(INDEX(EntryPartyType,$P57)=0,"",INDEX(EntryPartyType,$P57)))</f>
        <v/>
      </c>
      <c r="G57" s="26">
        <f>IF($P57="","",IF(INDEX(EntryTxnType,$P57)=0,"",INDEX(EntryTxnType,$P57)))</f>
        <v/>
      </c>
      <c r="H57" s="27">
        <f>IF($P57="","",IF(INDEX(EntryDep,$P57)=0,"",INDEX(EntryDep,$P57)))</f>
        <v/>
      </c>
      <c r="I57" s="27">
        <f>IF($P57="","",IF(INDEX(EntryWit,$P57)=0,"",INDEX(EntryWit,$P57)))</f>
        <v/>
      </c>
      <c r="J57" s="27">
        <f>IF($B57="","",IF($A57=1,$C$7,IF(J56="",0,J56))+IF($H57="",0,$H57)-IF($I57="",0,$I57))</f>
        <v/>
      </c>
      <c r="K57" s="27">
        <f>IF($P57="","",IF(INDEX(EntryMan,$P57)=0,"",INDEX(EntryMan,$P57)))</f>
        <v/>
      </c>
      <c r="L57" s="26">
        <f>IF($B57="","",IF($K57="","—",IF(ROUND($K57-$J57,0)=0,"√","×")))</f>
        <v/>
      </c>
      <c r="M57" s="26">
        <f>IF($B57="","",IF(COUNTIFS(EntryDates,$B57,CalcTime,$C57,CalcBank,$C$5,EntryParty,$D57,EntryDep,$H57,EntryWit,$I57)&gt;1,"تکرار",""))</f>
        <v/>
      </c>
      <c r="N57" s="26">
        <f>IF($P57="","",IF(INDEX(EntryNotes,$P57)=0,"",INDEX(EntryNotes,$P57)))</f>
        <v/>
      </c>
      <c r="O57" s="26">
        <f>IF($P57="","",IF(INDEX(EntryTxnID,$P57)=0,"",INDEX(EntryTxnID,$P57)))</f>
        <v/>
      </c>
      <c r="P57" s="26">
        <f>IFERROR(MATCH($C$5&amp;"|"&amp;RIGHT("000000"&amp;41,6),CalcRankKey,0),"")</f>
        <v/>
      </c>
    </row>
    <row r="58">
      <c r="A58" s="28">
        <f>IF($B58="","",42)</f>
        <v/>
      </c>
      <c r="B58" s="28">
        <f>IF($P58="","",IF(INDEX(CalcNormDate,$P58)=0,"",INDEX(CalcNormDate,$P58)))</f>
        <v/>
      </c>
      <c r="C58" s="28">
        <f>IF($P58="","",IF(INDEX(CalcTime,$P58)=0,"",INDEX(CalcTime,$P58)))</f>
        <v/>
      </c>
      <c r="D58" s="28">
        <f>IF($P58="","",IF(INDEX(EntryParty,$P58)=0,"",INDEX(EntryParty,$P58)))</f>
        <v/>
      </c>
      <c r="E58" s="28">
        <f>IF($P58="","",IF(INDEX(EntryPartyName,$P58)=0,"",INDEX(EntryPartyName,$P58)))</f>
        <v/>
      </c>
      <c r="F58" s="28">
        <f>IF($P58="","",IF(INDEX(EntryPartyType,$P58)=0,"",INDEX(EntryPartyType,$P58)))</f>
        <v/>
      </c>
      <c r="G58" s="28">
        <f>IF($P58="","",IF(INDEX(EntryTxnType,$P58)=0,"",INDEX(EntryTxnType,$P58)))</f>
        <v/>
      </c>
      <c r="H58" s="29">
        <f>IF($P58="","",IF(INDEX(EntryDep,$P58)=0,"",INDEX(EntryDep,$P58)))</f>
        <v/>
      </c>
      <c r="I58" s="29">
        <f>IF($P58="","",IF(INDEX(EntryWit,$P58)=0,"",INDEX(EntryWit,$P58)))</f>
        <v/>
      </c>
      <c r="J58" s="29">
        <f>IF($B58="","",IF($A58=1,$C$7,IF(J57="",0,J57))+IF($H58="",0,$H58)-IF($I58="",0,$I58))</f>
        <v/>
      </c>
      <c r="K58" s="29">
        <f>IF($P58="","",IF(INDEX(EntryMan,$P58)=0,"",INDEX(EntryMan,$P58)))</f>
        <v/>
      </c>
      <c r="L58" s="28">
        <f>IF($B58="","",IF($K58="","—",IF(ROUND($K58-$J58,0)=0,"√","×")))</f>
        <v/>
      </c>
      <c r="M58" s="28">
        <f>IF($B58="","",IF(COUNTIFS(EntryDates,$B58,CalcTime,$C58,CalcBank,$C$5,EntryParty,$D58,EntryDep,$H58,EntryWit,$I58)&gt;1,"تکرار",""))</f>
        <v/>
      </c>
      <c r="N58" s="28">
        <f>IF($P58="","",IF(INDEX(EntryNotes,$P58)=0,"",INDEX(EntryNotes,$P58)))</f>
        <v/>
      </c>
      <c r="O58" s="28">
        <f>IF($P58="","",IF(INDEX(EntryTxnID,$P58)=0,"",INDEX(EntryTxnID,$P58)))</f>
        <v/>
      </c>
      <c r="P58" s="28">
        <f>IFERROR(MATCH($C$5&amp;"|"&amp;RIGHT("000000"&amp;42,6),CalcRankKey,0),"")</f>
        <v/>
      </c>
    </row>
    <row r="59">
      <c r="A59" s="26">
        <f>IF($B59="","",43)</f>
        <v/>
      </c>
      <c r="B59" s="26">
        <f>IF($P59="","",IF(INDEX(CalcNormDate,$P59)=0,"",INDEX(CalcNormDate,$P59)))</f>
        <v/>
      </c>
      <c r="C59" s="26">
        <f>IF($P59="","",IF(INDEX(CalcTime,$P59)=0,"",INDEX(CalcTime,$P59)))</f>
        <v/>
      </c>
      <c r="D59" s="26">
        <f>IF($P59="","",IF(INDEX(EntryParty,$P59)=0,"",INDEX(EntryParty,$P59)))</f>
        <v/>
      </c>
      <c r="E59" s="26">
        <f>IF($P59="","",IF(INDEX(EntryPartyName,$P59)=0,"",INDEX(EntryPartyName,$P59)))</f>
        <v/>
      </c>
      <c r="F59" s="26">
        <f>IF($P59="","",IF(INDEX(EntryPartyType,$P59)=0,"",INDEX(EntryPartyType,$P59)))</f>
        <v/>
      </c>
      <c r="G59" s="26">
        <f>IF($P59="","",IF(INDEX(EntryTxnType,$P59)=0,"",INDEX(EntryTxnType,$P59)))</f>
        <v/>
      </c>
      <c r="H59" s="27">
        <f>IF($P59="","",IF(INDEX(EntryDep,$P59)=0,"",INDEX(EntryDep,$P59)))</f>
        <v/>
      </c>
      <c r="I59" s="27">
        <f>IF($P59="","",IF(INDEX(EntryWit,$P59)=0,"",INDEX(EntryWit,$P59)))</f>
        <v/>
      </c>
      <c r="J59" s="27">
        <f>IF($B59="","",IF($A59=1,$C$7,IF(J58="",0,J58))+IF($H59="",0,$H59)-IF($I59="",0,$I59))</f>
        <v/>
      </c>
      <c r="K59" s="27">
        <f>IF($P59="","",IF(INDEX(EntryMan,$P59)=0,"",INDEX(EntryMan,$P59)))</f>
        <v/>
      </c>
      <c r="L59" s="26">
        <f>IF($B59="","",IF($K59="","—",IF(ROUND($K59-$J59,0)=0,"√","×")))</f>
        <v/>
      </c>
      <c r="M59" s="26">
        <f>IF($B59="","",IF(COUNTIFS(EntryDates,$B59,CalcTime,$C59,CalcBank,$C$5,EntryParty,$D59,EntryDep,$H59,EntryWit,$I59)&gt;1,"تکرار",""))</f>
        <v/>
      </c>
      <c r="N59" s="26">
        <f>IF($P59="","",IF(INDEX(EntryNotes,$P59)=0,"",INDEX(EntryNotes,$P59)))</f>
        <v/>
      </c>
      <c r="O59" s="26">
        <f>IF($P59="","",IF(INDEX(EntryTxnID,$P59)=0,"",INDEX(EntryTxnID,$P59)))</f>
        <v/>
      </c>
      <c r="P59" s="26">
        <f>IFERROR(MATCH($C$5&amp;"|"&amp;RIGHT("000000"&amp;43,6),CalcRankKey,0),"")</f>
        <v/>
      </c>
    </row>
    <row r="60">
      <c r="A60" s="28">
        <f>IF($B60="","",44)</f>
        <v/>
      </c>
      <c r="B60" s="28">
        <f>IF($P60="","",IF(INDEX(CalcNormDate,$P60)=0,"",INDEX(CalcNormDate,$P60)))</f>
        <v/>
      </c>
      <c r="C60" s="28">
        <f>IF($P60="","",IF(INDEX(CalcTime,$P60)=0,"",INDEX(CalcTime,$P60)))</f>
        <v/>
      </c>
      <c r="D60" s="28">
        <f>IF($P60="","",IF(INDEX(EntryParty,$P60)=0,"",INDEX(EntryParty,$P60)))</f>
        <v/>
      </c>
      <c r="E60" s="28">
        <f>IF($P60="","",IF(INDEX(EntryPartyName,$P60)=0,"",INDEX(EntryPartyName,$P60)))</f>
        <v/>
      </c>
      <c r="F60" s="28">
        <f>IF($P60="","",IF(INDEX(EntryPartyType,$P60)=0,"",INDEX(EntryPartyType,$P60)))</f>
        <v/>
      </c>
      <c r="G60" s="28">
        <f>IF($P60="","",IF(INDEX(EntryTxnType,$P60)=0,"",INDEX(EntryTxnType,$P60)))</f>
        <v/>
      </c>
      <c r="H60" s="29">
        <f>IF($P60="","",IF(INDEX(EntryDep,$P60)=0,"",INDEX(EntryDep,$P60)))</f>
        <v/>
      </c>
      <c r="I60" s="29">
        <f>IF($P60="","",IF(INDEX(EntryWit,$P60)=0,"",INDEX(EntryWit,$P60)))</f>
        <v/>
      </c>
      <c r="J60" s="29">
        <f>IF($B60="","",IF($A60=1,$C$7,IF(J59="",0,J59))+IF($H60="",0,$H60)-IF($I60="",0,$I60))</f>
        <v/>
      </c>
      <c r="K60" s="29">
        <f>IF($P60="","",IF(INDEX(EntryMan,$P60)=0,"",INDEX(EntryMan,$P60)))</f>
        <v/>
      </c>
      <c r="L60" s="28">
        <f>IF($B60="","",IF($K60="","—",IF(ROUND($K60-$J60,0)=0,"√","×")))</f>
        <v/>
      </c>
      <c r="M60" s="28">
        <f>IF($B60="","",IF(COUNTIFS(EntryDates,$B60,CalcTime,$C60,CalcBank,$C$5,EntryParty,$D60,EntryDep,$H60,EntryWit,$I60)&gt;1,"تکرار",""))</f>
        <v/>
      </c>
      <c r="N60" s="28">
        <f>IF($P60="","",IF(INDEX(EntryNotes,$P60)=0,"",INDEX(EntryNotes,$P60)))</f>
        <v/>
      </c>
      <c r="O60" s="28">
        <f>IF($P60="","",IF(INDEX(EntryTxnID,$P60)=0,"",INDEX(EntryTxnID,$P60)))</f>
        <v/>
      </c>
      <c r="P60" s="28">
        <f>IFERROR(MATCH($C$5&amp;"|"&amp;RIGHT("000000"&amp;44,6),CalcRankKey,0),"")</f>
        <v/>
      </c>
    </row>
    <row r="61">
      <c r="A61" s="26">
        <f>IF($B61="","",45)</f>
        <v/>
      </c>
      <c r="B61" s="26">
        <f>IF($P61="","",IF(INDEX(CalcNormDate,$P61)=0,"",INDEX(CalcNormDate,$P61)))</f>
        <v/>
      </c>
      <c r="C61" s="26">
        <f>IF($P61="","",IF(INDEX(CalcTime,$P61)=0,"",INDEX(CalcTime,$P61)))</f>
        <v/>
      </c>
      <c r="D61" s="26">
        <f>IF($P61="","",IF(INDEX(EntryParty,$P61)=0,"",INDEX(EntryParty,$P61)))</f>
        <v/>
      </c>
      <c r="E61" s="26">
        <f>IF($P61="","",IF(INDEX(EntryPartyName,$P61)=0,"",INDEX(EntryPartyName,$P61)))</f>
        <v/>
      </c>
      <c r="F61" s="26">
        <f>IF($P61="","",IF(INDEX(EntryPartyType,$P61)=0,"",INDEX(EntryPartyType,$P61)))</f>
        <v/>
      </c>
      <c r="G61" s="26">
        <f>IF($P61="","",IF(INDEX(EntryTxnType,$P61)=0,"",INDEX(EntryTxnType,$P61)))</f>
        <v/>
      </c>
      <c r="H61" s="27">
        <f>IF($P61="","",IF(INDEX(EntryDep,$P61)=0,"",INDEX(EntryDep,$P61)))</f>
        <v/>
      </c>
      <c r="I61" s="27">
        <f>IF($P61="","",IF(INDEX(EntryWit,$P61)=0,"",INDEX(EntryWit,$P61)))</f>
        <v/>
      </c>
      <c r="J61" s="27">
        <f>IF($B61="","",IF($A61=1,$C$7,IF(J60="",0,J60))+IF($H61="",0,$H61)-IF($I61="",0,$I61))</f>
        <v/>
      </c>
      <c r="K61" s="27">
        <f>IF($P61="","",IF(INDEX(EntryMan,$P61)=0,"",INDEX(EntryMan,$P61)))</f>
        <v/>
      </c>
      <c r="L61" s="26">
        <f>IF($B61="","",IF($K61="","—",IF(ROUND($K61-$J61,0)=0,"√","×")))</f>
        <v/>
      </c>
      <c r="M61" s="26">
        <f>IF($B61="","",IF(COUNTIFS(EntryDates,$B61,CalcTime,$C61,CalcBank,$C$5,EntryParty,$D61,EntryDep,$H61,EntryWit,$I61)&gt;1,"تکرار",""))</f>
        <v/>
      </c>
      <c r="N61" s="26">
        <f>IF($P61="","",IF(INDEX(EntryNotes,$P61)=0,"",INDEX(EntryNotes,$P61)))</f>
        <v/>
      </c>
      <c r="O61" s="26">
        <f>IF($P61="","",IF(INDEX(EntryTxnID,$P61)=0,"",INDEX(EntryTxnID,$P61)))</f>
        <v/>
      </c>
      <c r="P61" s="26">
        <f>IFERROR(MATCH($C$5&amp;"|"&amp;RIGHT("000000"&amp;45,6),CalcRankKey,0),"")</f>
        <v/>
      </c>
    </row>
    <row r="62">
      <c r="A62" s="28">
        <f>IF($B62="","",46)</f>
        <v/>
      </c>
      <c r="B62" s="28">
        <f>IF($P62="","",IF(INDEX(CalcNormDate,$P62)=0,"",INDEX(CalcNormDate,$P62)))</f>
        <v/>
      </c>
      <c r="C62" s="28">
        <f>IF($P62="","",IF(INDEX(CalcTime,$P62)=0,"",INDEX(CalcTime,$P62)))</f>
        <v/>
      </c>
      <c r="D62" s="28">
        <f>IF($P62="","",IF(INDEX(EntryParty,$P62)=0,"",INDEX(EntryParty,$P62)))</f>
        <v/>
      </c>
      <c r="E62" s="28">
        <f>IF($P62="","",IF(INDEX(EntryPartyName,$P62)=0,"",INDEX(EntryPartyName,$P62)))</f>
        <v/>
      </c>
      <c r="F62" s="28">
        <f>IF($P62="","",IF(INDEX(EntryPartyType,$P62)=0,"",INDEX(EntryPartyType,$P62)))</f>
        <v/>
      </c>
      <c r="G62" s="28">
        <f>IF($P62="","",IF(INDEX(EntryTxnType,$P62)=0,"",INDEX(EntryTxnType,$P62)))</f>
        <v/>
      </c>
      <c r="H62" s="29">
        <f>IF($P62="","",IF(INDEX(EntryDep,$P62)=0,"",INDEX(EntryDep,$P62)))</f>
        <v/>
      </c>
      <c r="I62" s="29">
        <f>IF($P62="","",IF(INDEX(EntryWit,$P62)=0,"",INDEX(EntryWit,$P62)))</f>
        <v/>
      </c>
      <c r="J62" s="29">
        <f>IF($B62="","",IF($A62=1,$C$7,IF(J61="",0,J61))+IF($H62="",0,$H62)-IF($I62="",0,$I62))</f>
        <v/>
      </c>
      <c r="K62" s="29">
        <f>IF($P62="","",IF(INDEX(EntryMan,$P62)=0,"",INDEX(EntryMan,$P62)))</f>
        <v/>
      </c>
      <c r="L62" s="28">
        <f>IF($B62="","",IF($K62="","—",IF(ROUND($K62-$J62,0)=0,"√","×")))</f>
        <v/>
      </c>
      <c r="M62" s="28">
        <f>IF($B62="","",IF(COUNTIFS(EntryDates,$B62,CalcTime,$C62,CalcBank,$C$5,EntryParty,$D62,EntryDep,$H62,EntryWit,$I62)&gt;1,"تکرار",""))</f>
        <v/>
      </c>
      <c r="N62" s="28">
        <f>IF($P62="","",IF(INDEX(EntryNotes,$P62)=0,"",INDEX(EntryNotes,$P62)))</f>
        <v/>
      </c>
      <c r="O62" s="28">
        <f>IF($P62="","",IF(INDEX(EntryTxnID,$P62)=0,"",INDEX(EntryTxnID,$P62)))</f>
        <v/>
      </c>
      <c r="P62" s="28">
        <f>IFERROR(MATCH($C$5&amp;"|"&amp;RIGHT("000000"&amp;46,6),CalcRankKey,0),"")</f>
        <v/>
      </c>
    </row>
    <row r="63">
      <c r="A63" s="26">
        <f>IF($B63="","",47)</f>
        <v/>
      </c>
      <c r="B63" s="26">
        <f>IF($P63="","",IF(INDEX(CalcNormDate,$P63)=0,"",INDEX(CalcNormDate,$P63)))</f>
        <v/>
      </c>
      <c r="C63" s="26">
        <f>IF($P63="","",IF(INDEX(CalcTime,$P63)=0,"",INDEX(CalcTime,$P63)))</f>
        <v/>
      </c>
      <c r="D63" s="26">
        <f>IF($P63="","",IF(INDEX(EntryParty,$P63)=0,"",INDEX(EntryParty,$P63)))</f>
        <v/>
      </c>
      <c r="E63" s="26">
        <f>IF($P63="","",IF(INDEX(EntryPartyName,$P63)=0,"",INDEX(EntryPartyName,$P63)))</f>
        <v/>
      </c>
      <c r="F63" s="26">
        <f>IF($P63="","",IF(INDEX(EntryPartyType,$P63)=0,"",INDEX(EntryPartyType,$P63)))</f>
        <v/>
      </c>
      <c r="G63" s="26">
        <f>IF($P63="","",IF(INDEX(EntryTxnType,$P63)=0,"",INDEX(EntryTxnType,$P63)))</f>
        <v/>
      </c>
      <c r="H63" s="27">
        <f>IF($P63="","",IF(INDEX(EntryDep,$P63)=0,"",INDEX(EntryDep,$P63)))</f>
        <v/>
      </c>
      <c r="I63" s="27">
        <f>IF($P63="","",IF(INDEX(EntryWit,$P63)=0,"",INDEX(EntryWit,$P63)))</f>
        <v/>
      </c>
      <c r="J63" s="27">
        <f>IF($B63="","",IF($A63=1,$C$7,IF(J62="",0,J62))+IF($H63="",0,$H63)-IF($I63="",0,$I63))</f>
        <v/>
      </c>
      <c r="K63" s="27">
        <f>IF($P63="","",IF(INDEX(EntryMan,$P63)=0,"",INDEX(EntryMan,$P63)))</f>
        <v/>
      </c>
      <c r="L63" s="26">
        <f>IF($B63="","",IF($K63="","—",IF(ROUND($K63-$J63,0)=0,"√","×")))</f>
        <v/>
      </c>
      <c r="M63" s="26">
        <f>IF($B63="","",IF(COUNTIFS(EntryDates,$B63,CalcTime,$C63,CalcBank,$C$5,EntryParty,$D63,EntryDep,$H63,EntryWit,$I63)&gt;1,"تکرار",""))</f>
        <v/>
      </c>
      <c r="N63" s="26">
        <f>IF($P63="","",IF(INDEX(EntryNotes,$P63)=0,"",INDEX(EntryNotes,$P63)))</f>
        <v/>
      </c>
      <c r="O63" s="26">
        <f>IF($P63="","",IF(INDEX(EntryTxnID,$P63)=0,"",INDEX(EntryTxnID,$P63)))</f>
        <v/>
      </c>
      <c r="P63" s="26">
        <f>IFERROR(MATCH($C$5&amp;"|"&amp;RIGHT("000000"&amp;47,6),CalcRankKey,0),"")</f>
        <v/>
      </c>
    </row>
    <row r="64">
      <c r="A64" s="28">
        <f>IF($B64="","",48)</f>
        <v/>
      </c>
      <c r="B64" s="28">
        <f>IF($P64="","",IF(INDEX(CalcNormDate,$P64)=0,"",INDEX(CalcNormDate,$P64)))</f>
        <v/>
      </c>
      <c r="C64" s="28">
        <f>IF($P64="","",IF(INDEX(CalcTime,$P64)=0,"",INDEX(CalcTime,$P64)))</f>
        <v/>
      </c>
      <c r="D64" s="28">
        <f>IF($P64="","",IF(INDEX(EntryParty,$P64)=0,"",INDEX(EntryParty,$P64)))</f>
        <v/>
      </c>
      <c r="E64" s="28">
        <f>IF($P64="","",IF(INDEX(EntryPartyName,$P64)=0,"",INDEX(EntryPartyName,$P64)))</f>
        <v/>
      </c>
      <c r="F64" s="28">
        <f>IF($P64="","",IF(INDEX(EntryPartyType,$P64)=0,"",INDEX(EntryPartyType,$P64)))</f>
        <v/>
      </c>
      <c r="G64" s="28">
        <f>IF($P64="","",IF(INDEX(EntryTxnType,$P64)=0,"",INDEX(EntryTxnType,$P64)))</f>
        <v/>
      </c>
      <c r="H64" s="29">
        <f>IF($P64="","",IF(INDEX(EntryDep,$P64)=0,"",INDEX(EntryDep,$P64)))</f>
        <v/>
      </c>
      <c r="I64" s="29">
        <f>IF($P64="","",IF(INDEX(EntryWit,$P64)=0,"",INDEX(EntryWit,$P64)))</f>
        <v/>
      </c>
      <c r="J64" s="29">
        <f>IF($B64="","",IF($A64=1,$C$7,IF(J63="",0,J63))+IF($H64="",0,$H64)-IF($I64="",0,$I64))</f>
        <v/>
      </c>
      <c r="K64" s="29">
        <f>IF($P64="","",IF(INDEX(EntryMan,$P64)=0,"",INDEX(EntryMan,$P64)))</f>
        <v/>
      </c>
      <c r="L64" s="28">
        <f>IF($B64="","",IF($K64="","—",IF(ROUND($K64-$J64,0)=0,"√","×")))</f>
        <v/>
      </c>
      <c r="M64" s="28">
        <f>IF($B64="","",IF(COUNTIFS(EntryDates,$B64,CalcTime,$C64,CalcBank,$C$5,EntryParty,$D64,EntryDep,$H64,EntryWit,$I64)&gt;1,"تکرار",""))</f>
        <v/>
      </c>
      <c r="N64" s="28">
        <f>IF($P64="","",IF(INDEX(EntryNotes,$P64)=0,"",INDEX(EntryNotes,$P64)))</f>
        <v/>
      </c>
      <c r="O64" s="28">
        <f>IF($P64="","",IF(INDEX(EntryTxnID,$P64)=0,"",INDEX(EntryTxnID,$P64)))</f>
        <v/>
      </c>
      <c r="P64" s="28">
        <f>IFERROR(MATCH($C$5&amp;"|"&amp;RIGHT("000000"&amp;48,6),CalcRankKey,0),"")</f>
        <v/>
      </c>
    </row>
    <row r="65">
      <c r="A65" s="26">
        <f>IF($B65="","",49)</f>
        <v/>
      </c>
      <c r="B65" s="26">
        <f>IF($P65="","",IF(INDEX(CalcNormDate,$P65)=0,"",INDEX(CalcNormDate,$P65)))</f>
        <v/>
      </c>
      <c r="C65" s="26">
        <f>IF($P65="","",IF(INDEX(CalcTime,$P65)=0,"",INDEX(CalcTime,$P65)))</f>
        <v/>
      </c>
      <c r="D65" s="26">
        <f>IF($P65="","",IF(INDEX(EntryParty,$P65)=0,"",INDEX(EntryParty,$P65)))</f>
        <v/>
      </c>
      <c r="E65" s="26">
        <f>IF($P65="","",IF(INDEX(EntryPartyName,$P65)=0,"",INDEX(EntryPartyName,$P65)))</f>
        <v/>
      </c>
      <c r="F65" s="26">
        <f>IF($P65="","",IF(INDEX(EntryPartyType,$P65)=0,"",INDEX(EntryPartyType,$P65)))</f>
        <v/>
      </c>
      <c r="G65" s="26">
        <f>IF($P65="","",IF(INDEX(EntryTxnType,$P65)=0,"",INDEX(EntryTxnType,$P65)))</f>
        <v/>
      </c>
      <c r="H65" s="27">
        <f>IF($P65="","",IF(INDEX(EntryDep,$P65)=0,"",INDEX(EntryDep,$P65)))</f>
        <v/>
      </c>
      <c r="I65" s="27">
        <f>IF($P65="","",IF(INDEX(EntryWit,$P65)=0,"",INDEX(EntryWit,$P65)))</f>
        <v/>
      </c>
      <c r="J65" s="27">
        <f>IF($B65="","",IF($A65=1,$C$7,IF(J64="",0,J64))+IF($H65="",0,$H65)-IF($I65="",0,$I65))</f>
        <v/>
      </c>
      <c r="K65" s="27">
        <f>IF($P65="","",IF(INDEX(EntryMan,$P65)=0,"",INDEX(EntryMan,$P65)))</f>
        <v/>
      </c>
      <c r="L65" s="26">
        <f>IF($B65="","",IF($K65="","—",IF(ROUND($K65-$J65,0)=0,"√","×")))</f>
        <v/>
      </c>
      <c r="M65" s="26">
        <f>IF($B65="","",IF(COUNTIFS(EntryDates,$B65,CalcTime,$C65,CalcBank,$C$5,EntryParty,$D65,EntryDep,$H65,EntryWit,$I65)&gt;1,"تکرار",""))</f>
        <v/>
      </c>
      <c r="N65" s="26">
        <f>IF($P65="","",IF(INDEX(EntryNotes,$P65)=0,"",INDEX(EntryNotes,$P65)))</f>
        <v/>
      </c>
      <c r="O65" s="26">
        <f>IF($P65="","",IF(INDEX(EntryTxnID,$P65)=0,"",INDEX(EntryTxnID,$P65)))</f>
        <v/>
      </c>
      <c r="P65" s="26">
        <f>IFERROR(MATCH($C$5&amp;"|"&amp;RIGHT("000000"&amp;49,6),CalcRankKey,0),"")</f>
        <v/>
      </c>
    </row>
    <row r="66">
      <c r="A66" s="28">
        <f>IF($B66="","",50)</f>
        <v/>
      </c>
      <c r="B66" s="28">
        <f>IF($P66="","",IF(INDEX(CalcNormDate,$P66)=0,"",INDEX(CalcNormDate,$P66)))</f>
        <v/>
      </c>
      <c r="C66" s="28">
        <f>IF($P66="","",IF(INDEX(CalcTime,$P66)=0,"",INDEX(CalcTime,$P66)))</f>
        <v/>
      </c>
      <c r="D66" s="28">
        <f>IF($P66="","",IF(INDEX(EntryParty,$P66)=0,"",INDEX(EntryParty,$P66)))</f>
        <v/>
      </c>
      <c r="E66" s="28">
        <f>IF($P66="","",IF(INDEX(EntryPartyName,$P66)=0,"",INDEX(EntryPartyName,$P66)))</f>
        <v/>
      </c>
      <c r="F66" s="28">
        <f>IF($P66="","",IF(INDEX(EntryPartyType,$P66)=0,"",INDEX(EntryPartyType,$P66)))</f>
        <v/>
      </c>
      <c r="G66" s="28">
        <f>IF($P66="","",IF(INDEX(EntryTxnType,$P66)=0,"",INDEX(EntryTxnType,$P66)))</f>
        <v/>
      </c>
      <c r="H66" s="29">
        <f>IF($P66="","",IF(INDEX(EntryDep,$P66)=0,"",INDEX(EntryDep,$P66)))</f>
        <v/>
      </c>
      <c r="I66" s="29">
        <f>IF($P66="","",IF(INDEX(EntryWit,$P66)=0,"",INDEX(EntryWit,$P66)))</f>
        <v/>
      </c>
      <c r="J66" s="29">
        <f>IF($B66="","",IF($A66=1,$C$7,IF(J65="",0,J65))+IF($H66="",0,$H66)-IF($I66="",0,$I66))</f>
        <v/>
      </c>
      <c r="K66" s="29">
        <f>IF($P66="","",IF(INDEX(EntryMan,$P66)=0,"",INDEX(EntryMan,$P66)))</f>
        <v/>
      </c>
      <c r="L66" s="28">
        <f>IF($B66="","",IF($K66="","—",IF(ROUND($K66-$J66,0)=0,"√","×")))</f>
        <v/>
      </c>
      <c r="M66" s="28">
        <f>IF($B66="","",IF(COUNTIFS(EntryDates,$B66,CalcTime,$C66,CalcBank,$C$5,EntryParty,$D66,EntryDep,$H66,EntryWit,$I66)&gt;1,"تکرار",""))</f>
        <v/>
      </c>
      <c r="N66" s="28">
        <f>IF($P66="","",IF(INDEX(EntryNotes,$P66)=0,"",INDEX(EntryNotes,$P66)))</f>
        <v/>
      </c>
      <c r="O66" s="28">
        <f>IF($P66="","",IF(INDEX(EntryTxnID,$P66)=0,"",INDEX(EntryTxnID,$P66)))</f>
        <v/>
      </c>
      <c r="P66" s="28">
        <f>IFERROR(MATCH($C$5&amp;"|"&amp;RIGHT("000000"&amp;50,6),CalcRankKey,0),"")</f>
        <v/>
      </c>
    </row>
    <row r="67">
      <c r="A67" s="26">
        <f>IF($B67="","",51)</f>
        <v/>
      </c>
      <c r="B67" s="26">
        <f>IF($P67="","",IF(INDEX(CalcNormDate,$P67)=0,"",INDEX(CalcNormDate,$P67)))</f>
        <v/>
      </c>
      <c r="C67" s="26">
        <f>IF($P67="","",IF(INDEX(CalcTime,$P67)=0,"",INDEX(CalcTime,$P67)))</f>
        <v/>
      </c>
      <c r="D67" s="26">
        <f>IF($P67="","",IF(INDEX(EntryParty,$P67)=0,"",INDEX(EntryParty,$P67)))</f>
        <v/>
      </c>
      <c r="E67" s="26">
        <f>IF($P67="","",IF(INDEX(EntryPartyName,$P67)=0,"",INDEX(EntryPartyName,$P67)))</f>
        <v/>
      </c>
      <c r="F67" s="26">
        <f>IF($P67="","",IF(INDEX(EntryPartyType,$P67)=0,"",INDEX(EntryPartyType,$P67)))</f>
        <v/>
      </c>
      <c r="G67" s="26">
        <f>IF($P67="","",IF(INDEX(EntryTxnType,$P67)=0,"",INDEX(EntryTxnType,$P67)))</f>
        <v/>
      </c>
      <c r="H67" s="27">
        <f>IF($P67="","",IF(INDEX(EntryDep,$P67)=0,"",INDEX(EntryDep,$P67)))</f>
        <v/>
      </c>
      <c r="I67" s="27">
        <f>IF($P67="","",IF(INDEX(EntryWit,$P67)=0,"",INDEX(EntryWit,$P67)))</f>
        <v/>
      </c>
      <c r="J67" s="27">
        <f>IF($B67="","",IF($A67=1,$C$7,IF(J66="",0,J66))+IF($H67="",0,$H67)-IF($I67="",0,$I67))</f>
        <v/>
      </c>
      <c r="K67" s="27">
        <f>IF($P67="","",IF(INDEX(EntryMan,$P67)=0,"",INDEX(EntryMan,$P67)))</f>
        <v/>
      </c>
      <c r="L67" s="26">
        <f>IF($B67="","",IF($K67="","—",IF(ROUND($K67-$J67,0)=0,"√","×")))</f>
        <v/>
      </c>
      <c r="M67" s="26">
        <f>IF($B67="","",IF(COUNTIFS(EntryDates,$B67,CalcTime,$C67,CalcBank,$C$5,EntryParty,$D67,EntryDep,$H67,EntryWit,$I67)&gt;1,"تکرار",""))</f>
        <v/>
      </c>
      <c r="N67" s="26">
        <f>IF($P67="","",IF(INDEX(EntryNotes,$P67)=0,"",INDEX(EntryNotes,$P67)))</f>
        <v/>
      </c>
      <c r="O67" s="26">
        <f>IF($P67="","",IF(INDEX(EntryTxnID,$P67)=0,"",INDEX(EntryTxnID,$P67)))</f>
        <v/>
      </c>
      <c r="P67" s="26">
        <f>IFERROR(MATCH($C$5&amp;"|"&amp;RIGHT("000000"&amp;51,6),CalcRankKey,0),"")</f>
        <v/>
      </c>
    </row>
    <row r="68">
      <c r="A68" s="28">
        <f>IF($B68="","",52)</f>
        <v/>
      </c>
      <c r="B68" s="28">
        <f>IF($P68="","",IF(INDEX(CalcNormDate,$P68)=0,"",INDEX(CalcNormDate,$P68)))</f>
        <v/>
      </c>
      <c r="C68" s="28">
        <f>IF($P68="","",IF(INDEX(CalcTime,$P68)=0,"",INDEX(CalcTime,$P68)))</f>
        <v/>
      </c>
      <c r="D68" s="28">
        <f>IF($P68="","",IF(INDEX(EntryParty,$P68)=0,"",INDEX(EntryParty,$P68)))</f>
        <v/>
      </c>
      <c r="E68" s="28">
        <f>IF($P68="","",IF(INDEX(EntryPartyName,$P68)=0,"",INDEX(EntryPartyName,$P68)))</f>
        <v/>
      </c>
      <c r="F68" s="28">
        <f>IF($P68="","",IF(INDEX(EntryPartyType,$P68)=0,"",INDEX(EntryPartyType,$P68)))</f>
        <v/>
      </c>
      <c r="G68" s="28">
        <f>IF($P68="","",IF(INDEX(EntryTxnType,$P68)=0,"",INDEX(EntryTxnType,$P68)))</f>
        <v/>
      </c>
      <c r="H68" s="29">
        <f>IF($P68="","",IF(INDEX(EntryDep,$P68)=0,"",INDEX(EntryDep,$P68)))</f>
        <v/>
      </c>
      <c r="I68" s="29">
        <f>IF($P68="","",IF(INDEX(EntryWit,$P68)=0,"",INDEX(EntryWit,$P68)))</f>
        <v/>
      </c>
      <c r="J68" s="29">
        <f>IF($B68="","",IF($A68=1,$C$7,IF(J67="",0,J67))+IF($H68="",0,$H68)-IF($I68="",0,$I68))</f>
        <v/>
      </c>
      <c r="K68" s="29">
        <f>IF($P68="","",IF(INDEX(EntryMan,$P68)=0,"",INDEX(EntryMan,$P68)))</f>
        <v/>
      </c>
      <c r="L68" s="28">
        <f>IF($B68="","",IF($K68="","—",IF(ROUND($K68-$J68,0)=0,"√","×")))</f>
        <v/>
      </c>
      <c r="M68" s="28">
        <f>IF($B68="","",IF(COUNTIFS(EntryDates,$B68,CalcTime,$C68,CalcBank,$C$5,EntryParty,$D68,EntryDep,$H68,EntryWit,$I68)&gt;1,"تکرار",""))</f>
        <v/>
      </c>
      <c r="N68" s="28">
        <f>IF($P68="","",IF(INDEX(EntryNotes,$P68)=0,"",INDEX(EntryNotes,$P68)))</f>
        <v/>
      </c>
      <c r="O68" s="28">
        <f>IF($P68="","",IF(INDEX(EntryTxnID,$P68)=0,"",INDEX(EntryTxnID,$P68)))</f>
        <v/>
      </c>
      <c r="P68" s="28">
        <f>IFERROR(MATCH($C$5&amp;"|"&amp;RIGHT("000000"&amp;52,6),CalcRankKey,0),"")</f>
        <v/>
      </c>
    </row>
    <row r="69">
      <c r="A69" s="26">
        <f>IF($B69="","",53)</f>
        <v/>
      </c>
      <c r="B69" s="26">
        <f>IF($P69="","",IF(INDEX(CalcNormDate,$P69)=0,"",INDEX(CalcNormDate,$P69)))</f>
        <v/>
      </c>
      <c r="C69" s="26">
        <f>IF($P69="","",IF(INDEX(CalcTime,$P69)=0,"",INDEX(CalcTime,$P69)))</f>
        <v/>
      </c>
      <c r="D69" s="26">
        <f>IF($P69="","",IF(INDEX(EntryParty,$P69)=0,"",INDEX(EntryParty,$P69)))</f>
        <v/>
      </c>
      <c r="E69" s="26">
        <f>IF($P69="","",IF(INDEX(EntryPartyName,$P69)=0,"",INDEX(EntryPartyName,$P69)))</f>
        <v/>
      </c>
      <c r="F69" s="26">
        <f>IF($P69="","",IF(INDEX(EntryPartyType,$P69)=0,"",INDEX(EntryPartyType,$P69)))</f>
        <v/>
      </c>
      <c r="G69" s="26">
        <f>IF($P69="","",IF(INDEX(EntryTxnType,$P69)=0,"",INDEX(EntryTxnType,$P69)))</f>
        <v/>
      </c>
      <c r="H69" s="27">
        <f>IF($P69="","",IF(INDEX(EntryDep,$P69)=0,"",INDEX(EntryDep,$P69)))</f>
        <v/>
      </c>
      <c r="I69" s="27">
        <f>IF($P69="","",IF(INDEX(EntryWit,$P69)=0,"",INDEX(EntryWit,$P69)))</f>
        <v/>
      </c>
      <c r="J69" s="27">
        <f>IF($B69="","",IF($A69=1,$C$7,IF(J68="",0,J68))+IF($H69="",0,$H69)-IF($I69="",0,$I69))</f>
        <v/>
      </c>
      <c r="K69" s="27">
        <f>IF($P69="","",IF(INDEX(EntryMan,$P69)=0,"",INDEX(EntryMan,$P69)))</f>
        <v/>
      </c>
      <c r="L69" s="26">
        <f>IF($B69="","",IF($K69="","—",IF(ROUND($K69-$J69,0)=0,"√","×")))</f>
        <v/>
      </c>
      <c r="M69" s="26">
        <f>IF($B69="","",IF(COUNTIFS(EntryDates,$B69,CalcTime,$C69,CalcBank,$C$5,EntryParty,$D69,EntryDep,$H69,EntryWit,$I69)&gt;1,"تکرار",""))</f>
        <v/>
      </c>
      <c r="N69" s="26">
        <f>IF($P69="","",IF(INDEX(EntryNotes,$P69)=0,"",INDEX(EntryNotes,$P69)))</f>
        <v/>
      </c>
      <c r="O69" s="26">
        <f>IF($P69="","",IF(INDEX(EntryTxnID,$P69)=0,"",INDEX(EntryTxnID,$P69)))</f>
        <v/>
      </c>
      <c r="P69" s="26">
        <f>IFERROR(MATCH($C$5&amp;"|"&amp;RIGHT("000000"&amp;53,6),CalcRankKey,0),"")</f>
        <v/>
      </c>
    </row>
    <row r="70">
      <c r="A70" s="28">
        <f>IF($B70="","",54)</f>
        <v/>
      </c>
      <c r="B70" s="28">
        <f>IF($P70="","",IF(INDEX(CalcNormDate,$P70)=0,"",INDEX(CalcNormDate,$P70)))</f>
        <v/>
      </c>
      <c r="C70" s="28">
        <f>IF($P70="","",IF(INDEX(CalcTime,$P70)=0,"",INDEX(CalcTime,$P70)))</f>
        <v/>
      </c>
      <c r="D70" s="28">
        <f>IF($P70="","",IF(INDEX(EntryParty,$P70)=0,"",INDEX(EntryParty,$P70)))</f>
        <v/>
      </c>
      <c r="E70" s="28">
        <f>IF($P70="","",IF(INDEX(EntryPartyName,$P70)=0,"",INDEX(EntryPartyName,$P70)))</f>
        <v/>
      </c>
      <c r="F70" s="28">
        <f>IF($P70="","",IF(INDEX(EntryPartyType,$P70)=0,"",INDEX(EntryPartyType,$P70)))</f>
        <v/>
      </c>
      <c r="G70" s="28">
        <f>IF($P70="","",IF(INDEX(EntryTxnType,$P70)=0,"",INDEX(EntryTxnType,$P70)))</f>
        <v/>
      </c>
      <c r="H70" s="29">
        <f>IF($P70="","",IF(INDEX(EntryDep,$P70)=0,"",INDEX(EntryDep,$P70)))</f>
        <v/>
      </c>
      <c r="I70" s="29">
        <f>IF($P70="","",IF(INDEX(EntryWit,$P70)=0,"",INDEX(EntryWit,$P70)))</f>
        <v/>
      </c>
      <c r="J70" s="29">
        <f>IF($B70="","",IF($A70=1,$C$7,IF(J69="",0,J69))+IF($H70="",0,$H70)-IF($I70="",0,$I70))</f>
        <v/>
      </c>
      <c r="K70" s="29">
        <f>IF($P70="","",IF(INDEX(EntryMan,$P70)=0,"",INDEX(EntryMan,$P70)))</f>
        <v/>
      </c>
      <c r="L70" s="28">
        <f>IF($B70="","",IF($K70="","—",IF(ROUND($K70-$J70,0)=0,"√","×")))</f>
        <v/>
      </c>
      <c r="M70" s="28">
        <f>IF($B70="","",IF(COUNTIFS(EntryDates,$B70,CalcTime,$C70,CalcBank,$C$5,EntryParty,$D70,EntryDep,$H70,EntryWit,$I70)&gt;1,"تکرار",""))</f>
        <v/>
      </c>
      <c r="N70" s="28">
        <f>IF($P70="","",IF(INDEX(EntryNotes,$P70)=0,"",INDEX(EntryNotes,$P70)))</f>
        <v/>
      </c>
      <c r="O70" s="28">
        <f>IF($P70="","",IF(INDEX(EntryTxnID,$P70)=0,"",INDEX(EntryTxnID,$P70)))</f>
        <v/>
      </c>
      <c r="P70" s="28">
        <f>IFERROR(MATCH($C$5&amp;"|"&amp;RIGHT("000000"&amp;54,6),CalcRankKey,0),"")</f>
        <v/>
      </c>
    </row>
    <row r="71">
      <c r="A71" s="26">
        <f>IF($B71="","",55)</f>
        <v/>
      </c>
      <c r="B71" s="26">
        <f>IF($P71="","",IF(INDEX(CalcNormDate,$P71)=0,"",INDEX(CalcNormDate,$P71)))</f>
        <v/>
      </c>
      <c r="C71" s="26">
        <f>IF($P71="","",IF(INDEX(CalcTime,$P71)=0,"",INDEX(CalcTime,$P71)))</f>
        <v/>
      </c>
      <c r="D71" s="26">
        <f>IF($P71="","",IF(INDEX(EntryParty,$P71)=0,"",INDEX(EntryParty,$P71)))</f>
        <v/>
      </c>
      <c r="E71" s="26">
        <f>IF($P71="","",IF(INDEX(EntryPartyName,$P71)=0,"",INDEX(EntryPartyName,$P71)))</f>
        <v/>
      </c>
      <c r="F71" s="26">
        <f>IF($P71="","",IF(INDEX(EntryPartyType,$P71)=0,"",INDEX(EntryPartyType,$P71)))</f>
        <v/>
      </c>
      <c r="G71" s="26">
        <f>IF($P71="","",IF(INDEX(EntryTxnType,$P71)=0,"",INDEX(EntryTxnType,$P71)))</f>
        <v/>
      </c>
      <c r="H71" s="27">
        <f>IF($P71="","",IF(INDEX(EntryDep,$P71)=0,"",INDEX(EntryDep,$P71)))</f>
        <v/>
      </c>
      <c r="I71" s="27">
        <f>IF($P71="","",IF(INDEX(EntryWit,$P71)=0,"",INDEX(EntryWit,$P71)))</f>
        <v/>
      </c>
      <c r="J71" s="27">
        <f>IF($B71="","",IF($A71=1,$C$7,IF(J70="",0,J70))+IF($H71="",0,$H71)-IF($I71="",0,$I71))</f>
        <v/>
      </c>
      <c r="K71" s="27">
        <f>IF($P71="","",IF(INDEX(EntryMan,$P71)=0,"",INDEX(EntryMan,$P71)))</f>
        <v/>
      </c>
      <c r="L71" s="26">
        <f>IF($B71="","",IF($K71="","—",IF(ROUND($K71-$J71,0)=0,"√","×")))</f>
        <v/>
      </c>
      <c r="M71" s="26">
        <f>IF($B71="","",IF(COUNTIFS(EntryDates,$B71,CalcTime,$C71,CalcBank,$C$5,EntryParty,$D71,EntryDep,$H71,EntryWit,$I71)&gt;1,"تکرار",""))</f>
        <v/>
      </c>
      <c r="N71" s="26">
        <f>IF($P71="","",IF(INDEX(EntryNotes,$P71)=0,"",INDEX(EntryNotes,$P71)))</f>
        <v/>
      </c>
      <c r="O71" s="26">
        <f>IF($P71="","",IF(INDEX(EntryTxnID,$P71)=0,"",INDEX(EntryTxnID,$P71)))</f>
        <v/>
      </c>
      <c r="P71" s="26">
        <f>IFERROR(MATCH($C$5&amp;"|"&amp;RIGHT("000000"&amp;55,6),CalcRankKey,0),"")</f>
        <v/>
      </c>
    </row>
    <row r="72">
      <c r="A72" s="28">
        <f>IF($B72="","",56)</f>
        <v/>
      </c>
      <c r="B72" s="28">
        <f>IF($P72="","",IF(INDEX(CalcNormDate,$P72)=0,"",INDEX(CalcNormDate,$P72)))</f>
        <v/>
      </c>
      <c r="C72" s="28">
        <f>IF($P72="","",IF(INDEX(CalcTime,$P72)=0,"",INDEX(CalcTime,$P72)))</f>
        <v/>
      </c>
      <c r="D72" s="28">
        <f>IF($P72="","",IF(INDEX(EntryParty,$P72)=0,"",INDEX(EntryParty,$P72)))</f>
        <v/>
      </c>
      <c r="E72" s="28">
        <f>IF($P72="","",IF(INDEX(EntryPartyName,$P72)=0,"",INDEX(EntryPartyName,$P72)))</f>
        <v/>
      </c>
      <c r="F72" s="28">
        <f>IF($P72="","",IF(INDEX(EntryPartyType,$P72)=0,"",INDEX(EntryPartyType,$P72)))</f>
        <v/>
      </c>
      <c r="G72" s="28">
        <f>IF($P72="","",IF(INDEX(EntryTxnType,$P72)=0,"",INDEX(EntryTxnType,$P72)))</f>
        <v/>
      </c>
      <c r="H72" s="29">
        <f>IF($P72="","",IF(INDEX(EntryDep,$P72)=0,"",INDEX(EntryDep,$P72)))</f>
        <v/>
      </c>
      <c r="I72" s="29">
        <f>IF($P72="","",IF(INDEX(EntryWit,$P72)=0,"",INDEX(EntryWit,$P72)))</f>
        <v/>
      </c>
      <c r="J72" s="29">
        <f>IF($B72="","",IF($A72=1,$C$7,IF(J71="",0,J71))+IF($H72="",0,$H72)-IF($I72="",0,$I72))</f>
        <v/>
      </c>
      <c r="K72" s="29">
        <f>IF($P72="","",IF(INDEX(EntryMan,$P72)=0,"",INDEX(EntryMan,$P72)))</f>
        <v/>
      </c>
      <c r="L72" s="28">
        <f>IF($B72="","",IF($K72="","—",IF(ROUND($K72-$J72,0)=0,"√","×")))</f>
        <v/>
      </c>
      <c r="M72" s="28">
        <f>IF($B72="","",IF(COUNTIFS(EntryDates,$B72,CalcTime,$C72,CalcBank,$C$5,EntryParty,$D72,EntryDep,$H72,EntryWit,$I72)&gt;1,"تکرار",""))</f>
        <v/>
      </c>
      <c r="N72" s="28">
        <f>IF($P72="","",IF(INDEX(EntryNotes,$P72)=0,"",INDEX(EntryNotes,$P72)))</f>
        <v/>
      </c>
      <c r="O72" s="28">
        <f>IF($P72="","",IF(INDEX(EntryTxnID,$P72)=0,"",INDEX(EntryTxnID,$P72)))</f>
        <v/>
      </c>
      <c r="P72" s="28">
        <f>IFERROR(MATCH($C$5&amp;"|"&amp;RIGHT("000000"&amp;56,6),CalcRankKey,0),"")</f>
        <v/>
      </c>
    </row>
    <row r="73">
      <c r="A73" s="26">
        <f>IF($B73="","",57)</f>
        <v/>
      </c>
      <c r="B73" s="26">
        <f>IF($P73="","",IF(INDEX(CalcNormDate,$P73)=0,"",INDEX(CalcNormDate,$P73)))</f>
        <v/>
      </c>
      <c r="C73" s="26">
        <f>IF($P73="","",IF(INDEX(CalcTime,$P73)=0,"",INDEX(CalcTime,$P73)))</f>
        <v/>
      </c>
      <c r="D73" s="26">
        <f>IF($P73="","",IF(INDEX(EntryParty,$P73)=0,"",INDEX(EntryParty,$P73)))</f>
        <v/>
      </c>
      <c r="E73" s="26">
        <f>IF($P73="","",IF(INDEX(EntryPartyName,$P73)=0,"",INDEX(EntryPartyName,$P73)))</f>
        <v/>
      </c>
      <c r="F73" s="26">
        <f>IF($P73="","",IF(INDEX(EntryPartyType,$P73)=0,"",INDEX(EntryPartyType,$P73)))</f>
        <v/>
      </c>
      <c r="G73" s="26">
        <f>IF($P73="","",IF(INDEX(EntryTxnType,$P73)=0,"",INDEX(EntryTxnType,$P73)))</f>
        <v/>
      </c>
      <c r="H73" s="27">
        <f>IF($P73="","",IF(INDEX(EntryDep,$P73)=0,"",INDEX(EntryDep,$P73)))</f>
        <v/>
      </c>
      <c r="I73" s="27">
        <f>IF($P73="","",IF(INDEX(EntryWit,$P73)=0,"",INDEX(EntryWit,$P73)))</f>
        <v/>
      </c>
      <c r="J73" s="27">
        <f>IF($B73="","",IF($A73=1,$C$7,IF(J72="",0,J72))+IF($H73="",0,$H73)-IF($I73="",0,$I73))</f>
        <v/>
      </c>
      <c r="K73" s="27">
        <f>IF($P73="","",IF(INDEX(EntryMan,$P73)=0,"",INDEX(EntryMan,$P73)))</f>
        <v/>
      </c>
      <c r="L73" s="26">
        <f>IF($B73="","",IF($K73="","—",IF(ROUND($K73-$J73,0)=0,"√","×")))</f>
        <v/>
      </c>
      <c r="M73" s="26">
        <f>IF($B73="","",IF(COUNTIFS(EntryDates,$B73,CalcTime,$C73,CalcBank,$C$5,EntryParty,$D73,EntryDep,$H73,EntryWit,$I73)&gt;1,"تکرار",""))</f>
        <v/>
      </c>
      <c r="N73" s="26">
        <f>IF($P73="","",IF(INDEX(EntryNotes,$P73)=0,"",INDEX(EntryNotes,$P73)))</f>
        <v/>
      </c>
      <c r="O73" s="26">
        <f>IF($P73="","",IF(INDEX(EntryTxnID,$P73)=0,"",INDEX(EntryTxnID,$P73)))</f>
        <v/>
      </c>
      <c r="P73" s="26">
        <f>IFERROR(MATCH($C$5&amp;"|"&amp;RIGHT("000000"&amp;57,6),CalcRankKey,0),"")</f>
        <v/>
      </c>
    </row>
    <row r="74">
      <c r="A74" s="28">
        <f>IF($B74="","",58)</f>
        <v/>
      </c>
      <c r="B74" s="28">
        <f>IF($P74="","",IF(INDEX(CalcNormDate,$P74)=0,"",INDEX(CalcNormDate,$P74)))</f>
        <v/>
      </c>
      <c r="C74" s="28">
        <f>IF($P74="","",IF(INDEX(CalcTime,$P74)=0,"",INDEX(CalcTime,$P74)))</f>
        <v/>
      </c>
      <c r="D74" s="28">
        <f>IF($P74="","",IF(INDEX(EntryParty,$P74)=0,"",INDEX(EntryParty,$P74)))</f>
        <v/>
      </c>
      <c r="E74" s="28">
        <f>IF($P74="","",IF(INDEX(EntryPartyName,$P74)=0,"",INDEX(EntryPartyName,$P74)))</f>
        <v/>
      </c>
      <c r="F74" s="28">
        <f>IF($P74="","",IF(INDEX(EntryPartyType,$P74)=0,"",INDEX(EntryPartyType,$P74)))</f>
        <v/>
      </c>
      <c r="G74" s="28">
        <f>IF($P74="","",IF(INDEX(EntryTxnType,$P74)=0,"",INDEX(EntryTxnType,$P74)))</f>
        <v/>
      </c>
      <c r="H74" s="29">
        <f>IF($P74="","",IF(INDEX(EntryDep,$P74)=0,"",INDEX(EntryDep,$P74)))</f>
        <v/>
      </c>
      <c r="I74" s="29">
        <f>IF($P74="","",IF(INDEX(EntryWit,$P74)=0,"",INDEX(EntryWit,$P74)))</f>
        <v/>
      </c>
      <c r="J74" s="29">
        <f>IF($B74="","",IF($A74=1,$C$7,IF(J73="",0,J73))+IF($H74="",0,$H74)-IF($I74="",0,$I74))</f>
        <v/>
      </c>
      <c r="K74" s="29">
        <f>IF($P74="","",IF(INDEX(EntryMan,$P74)=0,"",INDEX(EntryMan,$P74)))</f>
        <v/>
      </c>
      <c r="L74" s="28">
        <f>IF($B74="","",IF($K74="","—",IF(ROUND($K74-$J74,0)=0,"√","×")))</f>
        <v/>
      </c>
      <c r="M74" s="28">
        <f>IF($B74="","",IF(COUNTIFS(EntryDates,$B74,CalcTime,$C74,CalcBank,$C$5,EntryParty,$D74,EntryDep,$H74,EntryWit,$I74)&gt;1,"تکرار",""))</f>
        <v/>
      </c>
      <c r="N74" s="28">
        <f>IF($P74="","",IF(INDEX(EntryNotes,$P74)=0,"",INDEX(EntryNotes,$P74)))</f>
        <v/>
      </c>
      <c r="O74" s="28">
        <f>IF($P74="","",IF(INDEX(EntryTxnID,$P74)=0,"",INDEX(EntryTxnID,$P74)))</f>
        <v/>
      </c>
      <c r="P74" s="28">
        <f>IFERROR(MATCH($C$5&amp;"|"&amp;RIGHT("000000"&amp;58,6),CalcRankKey,0),"")</f>
        <v/>
      </c>
    </row>
    <row r="75">
      <c r="A75" s="26">
        <f>IF($B75="","",59)</f>
        <v/>
      </c>
      <c r="B75" s="26">
        <f>IF($P75="","",IF(INDEX(CalcNormDate,$P75)=0,"",INDEX(CalcNormDate,$P75)))</f>
        <v/>
      </c>
      <c r="C75" s="26">
        <f>IF($P75="","",IF(INDEX(CalcTime,$P75)=0,"",INDEX(CalcTime,$P75)))</f>
        <v/>
      </c>
      <c r="D75" s="26">
        <f>IF($P75="","",IF(INDEX(EntryParty,$P75)=0,"",INDEX(EntryParty,$P75)))</f>
        <v/>
      </c>
      <c r="E75" s="26">
        <f>IF($P75="","",IF(INDEX(EntryPartyName,$P75)=0,"",INDEX(EntryPartyName,$P75)))</f>
        <v/>
      </c>
      <c r="F75" s="26">
        <f>IF($P75="","",IF(INDEX(EntryPartyType,$P75)=0,"",INDEX(EntryPartyType,$P75)))</f>
        <v/>
      </c>
      <c r="G75" s="26">
        <f>IF($P75="","",IF(INDEX(EntryTxnType,$P75)=0,"",INDEX(EntryTxnType,$P75)))</f>
        <v/>
      </c>
      <c r="H75" s="27">
        <f>IF($P75="","",IF(INDEX(EntryDep,$P75)=0,"",INDEX(EntryDep,$P75)))</f>
        <v/>
      </c>
      <c r="I75" s="27">
        <f>IF($P75="","",IF(INDEX(EntryWit,$P75)=0,"",INDEX(EntryWit,$P75)))</f>
        <v/>
      </c>
      <c r="J75" s="27">
        <f>IF($B75="","",IF($A75=1,$C$7,IF(J74="",0,J74))+IF($H75="",0,$H75)-IF($I75="",0,$I75))</f>
        <v/>
      </c>
      <c r="K75" s="27">
        <f>IF($P75="","",IF(INDEX(EntryMan,$P75)=0,"",INDEX(EntryMan,$P75)))</f>
        <v/>
      </c>
      <c r="L75" s="26">
        <f>IF($B75="","",IF($K75="","—",IF(ROUND($K75-$J75,0)=0,"√","×")))</f>
        <v/>
      </c>
      <c r="M75" s="26">
        <f>IF($B75="","",IF(COUNTIFS(EntryDates,$B75,CalcTime,$C75,CalcBank,$C$5,EntryParty,$D75,EntryDep,$H75,EntryWit,$I75)&gt;1,"تکرار",""))</f>
        <v/>
      </c>
      <c r="N75" s="26">
        <f>IF($P75="","",IF(INDEX(EntryNotes,$P75)=0,"",INDEX(EntryNotes,$P75)))</f>
        <v/>
      </c>
      <c r="O75" s="26">
        <f>IF($P75="","",IF(INDEX(EntryTxnID,$P75)=0,"",INDEX(EntryTxnID,$P75)))</f>
        <v/>
      </c>
      <c r="P75" s="26">
        <f>IFERROR(MATCH($C$5&amp;"|"&amp;RIGHT("000000"&amp;59,6),CalcRankKey,0),"")</f>
        <v/>
      </c>
    </row>
    <row r="76">
      <c r="A76" s="28">
        <f>IF($B76="","",60)</f>
        <v/>
      </c>
      <c r="B76" s="28">
        <f>IF($P76="","",IF(INDEX(CalcNormDate,$P76)=0,"",INDEX(CalcNormDate,$P76)))</f>
        <v/>
      </c>
      <c r="C76" s="28">
        <f>IF($P76="","",IF(INDEX(CalcTime,$P76)=0,"",INDEX(CalcTime,$P76)))</f>
        <v/>
      </c>
      <c r="D76" s="28">
        <f>IF($P76="","",IF(INDEX(EntryParty,$P76)=0,"",INDEX(EntryParty,$P76)))</f>
        <v/>
      </c>
      <c r="E76" s="28">
        <f>IF($P76="","",IF(INDEX(EntryPartyName,$P76)=0,"",INDEX(EntryPartyName,$P76)))</f>
        <v/>
      </c>
      <c r="F76" s="28">
        <f>IF($P76="","",IF(INDEX(EntryPartyType,$P76)=0,"",INDEX(EntryPartyType,$P76)))</f>
        <v/>
      </c>
      <c r="G76" s="28">
        <f>IF($P76="","",IF(INDEX(EntryTxnType,$P76)=0,"",INDEX(EntryTxnType,$P76)))</f>
        <v/>
      </c>
      <c r="H76" s="29">
        <f>IF($P76="","",IF(INDEX(EntryDep,$P76)=0,"",INDEX(EntryDep,$P76)))</f>
        <v/>
      </c>
      <c r="I76" s="29">
        <f>IF($P76="","",IF(INDEX(EntryWit,$P76)=0,"",INDEX(EntryWit,$P76)))</f>
        <v/>
      </c>
      <c r="J76" s="29">
        <f>IF($B76="","",IF($A76=1,$C$7,IF(J75="",0,J75))+IF($H76="",0,$H76)-IF($I76="",0,$I76))</f>
        <v/>
      </c>
      <c r="K76" s="29">
        <f>IF($P76="","",IF(INDEX(EntryMan,$P76)=0,"",INDEX(EntryMan,$P76)))</f>
        <v/>
      </c>
      <c r="L76" s="28">
        <f>IF($B76="","",IF($K76="","—",IF(ROUND($K76-$J76,0)=0,"√","×")))</f>
        <v/>
      </c>
      <c r="M76" s="28">
        <f>IF($B76="","",IF(COUNTIFS(EntryDates,$B76,CalcTime,$C76,CalcBank,$C$5,EntryParty,$D76,EntryDep,$H76,EntryWit,$I76)&gt;1,"تکرار",""))</f>
        <v/>
      </c>
      <c r="N76" s="28">
        <f>IF($P76="","",IF(INDEX(EntryNotes,$P76)=0,"",INDEX(EntryNotes,$P76)))</f>
        <v/>
      </c>
      <c r="O76" s="28">
        <f>IF($P76="","",IF(INDEX(EntryTxnID,$P76)=0,"",INDEX(EntryTxnID,$P76)))</f>
        <v/>
      </c>
      <c r="P76" s="28">
        <f>IFERROR(MATCH($C$5&amp;"|"&amp;RIGHT("000000"&amp;60,6),CalcRankKey,0),"")</f>
        <v/>
      </c>
    </row>
    <row r="77">
      <c r="A77" s="26">
        <f>IF($B77="","",61)</f>
        <v/>
      </c>
      <c r="B77" s="26">
        <f>IF($P77="","",IF(INDEX(CalcNormDate,$P77)=0,"",INDEX(CalcNormDate,$P77)))</f>
        <v/>
      </c>
      <c r="C77" s="26">
        <f>IF($P77="","",IF(INDEX(CalcTime,$P77)=0,"",INDEX(CalcTime,$P77)))</f>
        <v/>
      </c>
      <c r="D77" s="26">
        <f>IF($P77="","",IF(INDEX(EntryParty,$P77)=0,"",INDEX(EntryParty,$P77)))</f>
        <v/>
      </c>
      <c r="E77" s="26">
        <f>IF($P77="","",IF(INDEX(EntryPartyName,$P77)=0,"",INDEX(EntryPartyName,$P77)))</f>
        <v/>
      </c>
      <c r="F77" s="26">
        <f>IF($P77="","",IF(INDEX(EntryPartyType,$P77)=0,"",INDEX(EntryPartyType,$P77)))</f>
        <v/>
      </c>
      <c r="G77" s="26">
        <f>IF($P77="","",IF(INDEX(EntryTxnType,$P77)=0,"",INDEX(EntryTxnType,$P77)))</f>
        <v/>
      </c>
      <c r="H77" s="27">
        <f>IF($P77="","",IF(INDEX(EntryDep,$P77)=0,"",INDEX(EntryDep,$P77)))</f>
        <v/>
      </c>
      <c r="I77" s="27">
        <f>IF($P77="","",IF(INDEX(EntryWit,$P77)=0,"",INDEX(EntryWit,$P77)))</f>
        <v/>
      </c>
      <c r="J77" s="27">
        <f>IF($B77="","",IF($A77=1,$C$7,IF(J76="",0,J76))+IF($H77="",0,$H77)-IF($I77="",0,$I77))</f>
        <v/>
      </c>
      <c r="K77" s="27">
        <f>IF($P77="","",IF(INDEX(EntryMan,$P77)=0,"",INDEX(EntryMan,$P77)))</f>
        <v/>
      </c>
      <c r="L77" s="26">
        <f>IF($B77="","",IF($K77="","—",IF(ROUND($K77-$J77,0)=0,"√","×")))</f>
        <v/>
      </c>
      <c r="M77" s="26">
        <f>IF($B77="","",IF(COUNTIFS(EntryDates,$B77,CalcTime,$C77,CalcBank,$C$5,EntryParty,$D77,EntryDep,$H77,EntryWit,$I77)&gt;1,"تکرار",""))</f>
        <v/>
      </c>
      <c r="N77" s="26">
        <f>IF($P77="","",IF(INDEX(EntryNotes,$P77)=0,"",INDEX(EntryNotes,$P77)))</f>
        <v/>
      </c>
      <c r="O77" s="26">
        <f>IF($P77="","",IF(INDEX(EntryTxnID,$P77)=0,"",INDEX(EntryTxnID,$P77)))</f>
        <v/>
      </c>
      <c r="P77" s="26">
        <f>IFERROR(MATCH($C$5&amp;"|"&amp;RIGHT("000000"&amp;61,6),CalcRankKey,0),"")</f>
        <v/>
      </c>
    </row>
    <row r="78">
      <c r="A78" s="28">
        <f>IF($B78="","",62)</f>
        <v/>
      </c>
      <c r="B78" s="28">
        <f>IF($P78="","",IF(INDEX(CalcNormDate,$P78)=0,"",INDEX(CalcNormDate,$P78)))</f>
        <v/>
      </c>
      <c r="C78" s="28">
        <f>IF($P78="","",IF(INDEX(CalcTime,$P78)=0,"",INDEX(CalcTime,$P78)))</f>
        <v/>
      </c>
      <c r="D78" s="28">
        <f>IF($P78="","",IF(INDEX(EntryParty,$P78)=0,"",INDEX(EntryParty,$P78)))</f>
        <v/>
      </c>
      <c r="E78" s="28">
        <f>IF($P78="","",IF(INDEX(EntryPartyName,$P78)=0,"",INDEX(EntryPartyName,$P78)))</f>
        <v/>
      </c>
      <c r="F78" s="28">
        <f>IF($P78="","",IF(INDEX(EntryPartyType,$P78)=0,"",INDEX(EntryPartyType,$P78)))</f>
        <v/>
      </c>
      <c r="G78" s="28">
        <f>IF($P78="","",IF(INDEX(EntryTxnType,$P78)=0,"",INDEX(EntryTxnType,$P78)))</f>
        <v/>
      </c>
      <c r="H78" s="29">
        <f>IF($P78="","",IF(INDEX(EntryDep,$P78)=0,"",INDEX(EntryDep,$P78)))</f>
        <v/>
      </c>
      <c r="I78" s="29">
        <f>IF($P78="","",IF(INDEX(EntryWit,$P78)=0,"",INDEX(EntryWit,$P78)))</f>
        <v/>
      </c>
      <c r="J78" s="29">
        <f>IF($B78="","",IF($A78=1,$C$7,IF(J77="",0,J77))+IF($H78="",0,$H78)-IF($I78="",0,$I78))</f>
        <v/>
      </c>
      <c r="K78" s="29">
        <f>IF($P78="","",IF(INDEX(EntryMan,$P78)=0,"",INDEX(EntryMan,$P78)))</f>
        <v/>
      </c>
      <c r="L78" s="28">
        <f>IF($B78="","",IF($K78="","—",IF(ROUND($K78-$J78,0)=0,"√","×")))</f>
        <v/>
      </c>
      <c r="M78" s="28">
        <f>IF($B78="","",IF(COUNTIFS(EntryDates,$B78,CalcTime,$C78,CalcBank,$C$5,EntryParty,$D78,EntryDep,$H78,EntryWit,$I78)&gt;1,"تکرار",""))</f>
        <v/>
      </c>
      <c r="N78" s="28">
        <f>IF($P78="","",IF(INDEX(EntryNotes,$P78)=0,"",INDEX(EntryNotes,$P78)))</f>
        <v/>
      </c>
      <c r="O78" s="28">
        <f>IF($P78="","",IF(INDEX(EntryTxnID,$P78)=0,"",INDEX(EntryTxnID,$P78)))</f>
        <v/>
      </c>
      <c r="P78" s="28">
        <f>IFERROR(MATCH($C$5&amp;"|"&amp;RIGHT("000000"&amp;62,6),CalcRankKey,0),"")</f>
        <v/>
      </c>
    </row>
    <row r="79">
      <c r="A79" s="26">
        <f>IF($B79="","",63)</f>
        <v/>
      </c>
      <c r="B79" s="26">
        <f>IF($P79="","",IF(INDEX(CalcNormDate,$P79)=0,"",INDEX(CalcNormDate,$P79)))</f>
        <v/>
      </c>
      <c r="C79" s="26">
        <f>IF($P79="","",IF(INDEX(CalcTime,$P79)=0,"",INDEX(CalcTime,$P79)))</f>
        <v/>
      </c>
      <c r="D79" s="26">
        <f>IF($P79="","",IF(INDEX(EntryParty,$P79)=0,"",INDEX(EntryParty,$P79)))</f>
        <v/>
      </c>
      <c r="E79" s="26">
        <f>IF($P79="","",IF(INDEX(EntryPartyName,$P79)=0,"",INDEX(EntryPartyName,$P79)))</f>
        <v/>
      </c>
      <c r="F79" s="26">
        <f>IF($P79="","",IF(INDEX(EntryPartyType,$P79)=0,"",INDEX(EntryPartyType,$P79)))</f>
        <v/>
      </c>
      <c r="G79" s="26">
        <f>IF($P79="","",IF(INDEX(EntryTxnType,$P79)=0,"",INDEX(EntryTxnType,$P79)))</f>
        <v/>
      </c>
      <c r="H79" s="27">
        <f>IF($P79="","",IF(INDEX(EntryDep,$P79)=0,"",INDEX(EntryDep,$P79)))</f>
        <v/>
      </c>
      <c r="I79" s="27">
        <f>IF($P79="","",IF(INDEX(EntryWit,$P79)=0,"",INDEX(EntryWit,$P79)))</f>
        <v/>
      </c>
      <c r="J79" s="27">
        <f>IF($B79="","",IF($A79=1,$C$7,IF(J78="",0,J78))+IF($H79="",0,$H79)-IF($I79="",0,$I79))</f>
        <v/>
      </c>
      <c r="K79" s="27">
        <f>IF($P79="","",IF(INDEX(EntryMan,$P79)=0,"",INDEX(EntryMan,$P79)))</f>
        <v/>
      </c>
      <c r="L79" s="26">
        <f>IF($B79="","",IF($K79="","—",IF(ROUND($K79-$J79,0)=0,"√","×")))</f>
        <v/>
      </c>
      <c r="M79" s="26">
        <f>IF($B79="","",IF(COUNTIFS(EntryDates,$B79,CalcTime,$C79,CalcBank,$C$5,EntryParty,$D79,EntryDep,$H79,EntryWit,$I79)&gt;1,"تکرار",""))</f>
        <v/>
      </c>
      <c r="N79" s="26">
        <f>IF($P79="","",IF(INDEX(EntryNotes,$P79)=0,"",INDEX(EntryNotes,$P79)))</f>
        <v/>
      </c>
      <c r="O79" s="26">
        <f>IF($P79="","",IF(INDEX(EntryTxnID,$P79)=0,"",INDEX(EntryTxnID,$P79)))</f>
        <v/>
      </c>
      <c r="P79" s="26">
        <f>IFERROR(MATCH($C$5&amp;"|"&amp;RIGHT("000000"&amp;63,6),CalcRankKey,0),"")</f>
        <v/>
      </c>
    </row>
    <row r="80">
      <c r="A80" s="28">
        <f>IF($B80="","",64)</f>
        <v/>
      </c>
      <c r="B80" s="28">
        <f>IF($P80="","",IF(INDEX(CalcNormDate,$P80)=0,"",INDEX(CalcNormDate,$P80)))</f>
        <v/>
      </c>
      <c r="C80" s="28">
        <f>IF($P80="","",IF(INDEX(CalcTime,$P80)=0,"",INDEX(CalcTime,$P80)))</f>
        <v/>
      </c>
      <c r="D80" s="28">
        <f>IF($P80="","",IF(INDEX(EntryParty,$P80)=0,"",INDEX(EntryParty,$P80)))</f>
        <v/>
      </c>
      <c r="E80" s="28">
        <f>IF($P80="","",IF(INDEX(EntryPartyName,$P80)=0,"",INDEX(EntryPartyName,$P80)))</f>
        <v/>
      </c>
      <c r="F80" s="28">
        <f>IF($P80="","",IF(INDEX(EntryPartyType,$P80)=0,"",INDEX(EntryPartyType,$P80)))</f>
        <v/>
      </c>
      <c r="G80" s="28">
        <f>IF($P80="","",IF(INDEX(EntryTxnType,$P80)=0,"",INDEX(EntryTxnType,$P80)))</f>
        <v/>
      </c>
      <c r="H80" s="29">
        <f>IF($P80="","",IF(INDEX(EntryDep,$P80)=0,"",INDEX(EntryDep,$P80)))</f>
        <v/>
      </c>
      <c r="I80" s="29">
        <f>IF($P80="","",IF(INDEX(EntryWit,$P80)=0,"",INDEX(EntryWit,$P80)))</f>
        <v/>
      </c>
      <c r="J80" s="29">
        <f>IF($B80="","",IF($A80=1,$C$7,IF(J79="",0,J79))+IF($H80="",0,$H80)-IF($I80="",0,$I80))</f>
        <v/>
      </c>
      <c r="K80" s="29">
        <f>IF($P80="","",IF(INDEX(EntryMan,$P80)=0,"",INDEX(EntryMan,$P80)))</f>
        <v/>
      </c>
      <c r="L80" s="28">
        <f>IF($B80="","",IF($K80="","—",IF(ROUND($K80-$J80,0)=0,"√","×")))</f>
        <v/>
      </c>
      <c r="M80" s="28">
        <f>IF($B80="","",IF(COUNTIFS(EntryDates,$B80,CalcTime,$C80,CalcBank,$C$5,EntryParty,$D80,EntryDep,$H80,EntryWit,$I80)&gt;1,"تکرار",""))</f>
        <v/>
      </c>
      <c r="N80" s="28">
        <f>IF($P80="","",IF(INDEX(EntryNotes,$P80)=0,"",INDEX(EntryNotes,$P80)))</f>
        <v/>
      </c>
      <c r="O80" s="28">
        <f>IF($P80="","",IF(INDEX(EntryTxnID,$P80)=0,"",INDEX(EntryTxnID,$P80)))</f>
        <v/>
      </c>
      <c r="P80" s="28">
        <f>IFERROR(MATCH($C$5&amp;"|"&amp;RIGHT("000000"&amp;64,6),CalcRankKey,0),"")</f>
        <v/>
      </c>
    </row>
    <row r="81">
      <c r="A81" s="26">
        <f>IF($B81="","",65)</f>
        <v/>
      </c>
      <c r="B81" s="26">
        <f>IF($P81="","",IF(INDEX(CalcNormDate,$P81)=0,"",INDEX(CalcNormDate,$P81)))</f>
        <v/>
      </c>
      <c r="C81" s="26">
        <f>IF($P81="","",IF(INDEX(CalcTime,$P81)=0,"",INDEX(CalcTime,$P81)))</f>
        <v/>
      </c>
      <c r="D81" s="26">
        <f>IF($P81="","",IF(INDEX(EntryParty,$P81)=0,"",INDEX(EntryParty,$P81)))</f>
        <v/>
      </c>
      <c r="E81" s="26">
        <f>IF($P81="","",IF(INDEX(EntryPartyName,$P81)=0,"",INDEX(EntryPartyName,$P81)))</f>
        <v/>
      </c>
      <c r="F81" s="26">
        <f>IF($P81="","",IF(INDEX(EntryPartyType,$P81)=0,"",INDEX(EntryPartyType,$P81)))</f>
        <v/>
      </c>
      <c r="G81" s="26">
        <f>IF($P81="","",IF(INDEX(EntryTxnType,$P81)=0,"",INDEX(EntryTxnType,$P81)))</f>
        <v/>
      </c>
      <c r="H81" s="27">
        <f>IF($P81="","",IF(INDEX(EntryDep,$P81)=0,"",INDEX(EntryDep,$P81)))</f>
        <v/>
      </c>
      <c r="I81" s="27">
        <f>IF($P81="","",IF(INDEX(EntryWit,$P81)=0,"",INDEX(EntryWit,$P81)))</f>
        <v/>
      </c>
      <c r="J81" s="27">
        <f>IF($B81="","",IF($A81=1,$C$7,IF(J80="",0,J80))+IF($H81="",0,$H81)-IF($I81="",0,$I81))</f>
        <v/>
      </c>
      <c r="K81" s="27">
        <f>IF($P81="","",IF(INDEX(EntryMan,$P81)=0,"",INDEX(EntryMan,$P81)))</f>
        <v/>
      </c>
      <c r="L81" s="26">
        <f>IF($B81="","",IF($K81="","—",IF(ROUND($K81-$J81,0)=0,"√","×")))</f>
        <v/>
      </c>
      <c r="M81" s="26">
        <f>IF($B81="","",IF(COUNTIFS(EntryDates,$B81,CalcTime,$C81,CalcBank,$C$5,EntryParty,$D81,EntryDep,$H81,EntryWit,$I81)&gt;1,"تکرار",""))</f>
        <v/>
      </c>
      <c r="N81" s="26">
        <f>IF($P81="","",IF(INDEX(EntryNotes,$P81)=0,"",INDEX(EntryNotes,$P81)))</f>
        <v/>
      </c>
      <c r="O81" s="26">
        <f>IF($P81="","",IF(INDEX(EntryTxnID,$P81)=0,"",INDEX(EntryTxnID,$P81)))</f>
        <v/>
      </c>
      <c r="P81" s="26">
        <f>IFERROR(MATCH($C$5&amp;"|"&amp;RIGHT("000000"&amp;65,6),CalcRankKey,0),"")</f>
        <v/>
      </c>
    </row>
    <row r="82">
      <c r="A82" s="28">
        <f>IF($B82="","",66)</f>
        <v/>
      </c>
      <c r="B82" s="28">
        <f>IF($P82="","",IF(INDEX(CalcNormDate,$P82)=0,"",INDEX(CalcNormDate,$P82)))</f>
        <v/>
      </c>
      <c r="C82" s="28">
        <f>IF($P82="","",IF(INDEX(CalcTime,$P82)=0,"",INDEX(CalcTime,$P82)))</f>
        <v/>
      </c>
      <c r="D82" s="28">
        <f>IF($P82="","",IF(INDEX(EntryParty,$P82)=0,"",INDEX(EntryParty,$P82)))</f>
        <v/>
      </c>
      <c r="E82" s="28">
        <f>IF($P82="","",IF(INDEX(EntryPartyName,$P82)=0,"",INDEX(EntryPartyName,$P82)))</f>
        <v/>
      </c>
      <c r="F82" s="28">
        <f>IF($P82="","",IF(INDEX(EntryPartyType,$P82)=0,"",INDEX(EntryPartyType,$P82)))</f>
        <v/>
      </c>
      <c r="G82" s="28">
        <f>IF($P82="","",IF(INDEX(EntryTxnType,$P82)=0,"",INDEX(EntryTxnType,$P82)))</f>
        <v/>
      </c>
      <c r="H82" s="29">
        <f>IF($P82="","",IF(INDEX(EntryDep,$P82)=0,"",INDEX(EntryDep,$P82)))</f>
        <v/>
      </c>
      <c r="I82" s="29">
        <f>IF($P82="","",IF(INDEX(EntryWit,$P82)=0,"",INDEX(EntryWit,$P82)))</f>
        <v/>
      </c>
      <c r="J82" s="29">
        <f>IF($B82="","",IF($A82=1,$C$7,IF(J81="",0,J81))+IF($H82="",0,$H82)-IF($I82="",0,$I82))</f>
        <v/>
      </c>
      <c r="K82" s="29">
        <f>IF($P82="","",IF(INDEX(EntryMan,$P82)=0,"",INDEX(EntryMan,$P82)))</f>
        <v/>
      </c>
      <c r="L82" s="28">
        <f>IF($B82="","",IF($K82="","—",IF(ROUND($K82-$J82,0)=0,"√","×")))</f>
        <v/>
      </c>
      <c r="M82" s="28">
        <f>IF($B82="","",IF(COUNTIFS(EntryDates,$B82,CalcTime,$C82,CalcBank,$C$5,EntryParty,$D82,EntryDep,$H82,EntryWit,$I82)&gt;1,"تکرار",""))</f>
        <v/>
      </c>
      <c r="N82" s="28">
        <f>IF($P82="","",IF(INDEX(EntryNotes,$P82)=0,"",INDEX(EntryNotes,$P82)))</f>
        <v/>
      </c>
      <c r="O82" s="28">
        <f>IF($P82="","",IF(INDEX(EntryTxnID,$P82)=0,"",INDEX(EntryTxnID,$P82)))</f>
        <v/>
      </c>
      <c r="P82" s="28">
        <f>IFERROR(MATCH($C$5&amp;"|"&amp;RIGHT("000000"&amp;66,6),CalcRankKey,0),"")</f>
        <v/>
      </c>
    </row>
    <row r="83">
      <c r="A83" s="26">
        <f>IF($B83="","",67)</f>
        <v/>
      </c>
      <c r="B83" s="26">
        <f>IF($P83="","",IF(INDEX(CalcNormDate,$P83)=0,"",INDEX(CalcNormDate,$P83)))</f>
        <v/>
      </c>
      <c r="C83" s="26">
        <f>IF($P83="","",IF(INDEX(CalcTime,$P83)=0,"",INDEX(CalcTime,$P83)))</f>
        <v/>
      </c>
      <c r="D83" s="26">
        <f>IF($P83="","",IF(INDEX(EntryParty,$P83)=0,"",INDEX(EntryParty,$P83)))</f>
        <v/>
      </c>
      <c r="E83" s="26">
        <f>IF($P83="","",IF(INDEX(EntryPartyName,$P83)=0,"",INDEX(EntryPartyName,$P83)))</f>
        <v/>
      </c>
      <c r="F83" s="26">
        <f>IF($P83="","",IF(INDEX(EntryPartyType,$P83)=0,"",INDEX(EntryPartyType,$P83)))</f>
        <v/>
      </c>
      <c r="G83" s="26">
        <f>IF($P83="","",IF(INDEX(EntryTxnType,$P83)=0,"",INDEX(EntryTxnType,$P83)))</f>
        <v/>
      </c>
      <c r="H83" s="27">
        <f>IF($P83="","",IF(INDEX(EntryDep,$P83)=0,"",INDEX(EntryDep,$P83)))</f>
        <v/>
      </c>
      <c r="I83" s="27">
        <f>IF($P83="","",IF(INDEX(EntryWit,$P83)=0,"",INDEX(EntryWit,$P83)))</f>
        <v/>
      </c>
      <c r="J83" s="27">
        <f>IF($B83="","",IF($A83=1,$C$7,IF(J82="",0,J82))+IF($H83="",0,$H83)-IF($I83="",0,$I83))</f>
        <v/>
      </c>
      <c r="K83" s="27">
        <f>IF($P83="","",IF(INDEX(EntryMan,$P83)=0,"",INDEX(EntryMan,$P83)))</f>
        <v/>
      </c>
      <c r="L83" s="26">
        <f>IF($B83="","",IF($K83="","—",IF(ROUND($K83-$J83,0)=0,"√","×")))</f>
        <v/>
      </c>
      <c r="M83" s="26">
        <f>IF($B83="","",IF(COUNTIFS(EntryDates,$B83,CalcTime,$C83,CalcBank,$C$5,EntryParty,$D83,EntryDep,$H83,EntryWit,$I83)&gt;1,"تکرار",""))</f>
        <v/>
      </c>
      <c r="N83" s="26">
        <f>IF($P83="","",IF(INDEX(EntryNotes,$P83)=0,"",INDEX(EntryNotes,$P83)))</f>
        <v/>
      </c>
      <c r="O83" s="26">
        <f>IF($P83="","",IF(INDEX(EntryTxnID,$P83)=0,"",INDEX(EntryTxnID,$P83)))</f>
        <v/>
      </c>
      <c r="P83" s="26">
        <f>IFERROR(MATCH($C$5&amp;"|"&amp;RIGHT("000000"&amp;67,6),CalcRankKey,0),"")</f>
        <v/>
      </c>
    </row>
    <row r="84">
      <c r="A84" s="28">
        <f>IF($B84="","",68)</f>
        <v/>
      </c>
      <c r="B84" s="28">
        <f>IF($P84="","",IF(INDEX(CalcNormDate,$P84)=0,"",INDEX(CalcNormDate,$P84)))</f>
        <v/>
      </c>
      <c r="C84" s="28">
        <f>IF($P84="","",IF(INDEX(CalcTime,$P84)=0,"",INDEX(CalcTime,$P84)))</f>
        <v/>
      </c>
      <c r="D84" s="28">
        <f>IF($P84="","",IF(INDEX(EntryParty,$P84)=0,"",INDEX(EntryParty,$P84)))</f>
        <v/>
      </c>
      <c r="E84" s="28">
        <f>IF($P84="","",IF(INDEX(EntryPartyName,$P84)=0,"",INDEX(EntryPartyName,$P84)))</f>
        <v/>
      </c>
      <c r="F84" s="28">
        <f>IF($P84="","",IF(INDEX(EntryPartyType,$P84)=0,"",INDEX(EntryPartyType,$P84)))</f>
        <v/>
      </c>
      <c r="G84" s="28">
        <f>IF($P84="","",IF(INDEX(EntryTxnType,$P84)=0,"",INDEX(EntryTxnType,$P84)))</f>
        <v/>
      </c>
      <c r="H84" s="29">
        <f>IF($P84="","",IF(INDEX(EntryDep,$P84)=0,"",INDEX(EntryDep,$P84)))</f>
        <v/>
      </c>
      <c r="I84" s="29">
        <f>IF($P84="","",IF(INDEX(EntryWit,$P84)=0,"",INDEX(EntryWit,$P84)))</f>
        <v/>
      </c>
      <c r="J84" s="29">
        <f>IF($B84="","",IF($A84=1,$C$7,IF(J83="",0,J83))+IF($H84="",0,$H84)-IF($I84="",0,$I84))</f>
        <v/>
      </c>
      <c r="K84" s="29">
        <f>IF($P84="","",IF(INDEX(EntryMan,$P84)=0,"",INDEX(EntryMan,$P84)))</f>
        <v/>
      </c>
      <c r="L84" s="28">
        <f>IF($B84="","",IF($K84="","—",IF(ROUND($K84-$J84,0)=0,"√","×")))</f>
        <v/>
      </c>
      <c r="M84" s="28">
        <f>IF($B84="","",IF(COUNTIFS(EntryDates,$B84,CalcTime,$C84,CalcBank,$C$5,EntryParty,$D84,EntryDep,$H84,EntryWit,$I84)&gt;1,"تکرار",""))</f>
        <v/>
      </c>
      <c r="N84" s="28">
        <f>IF($P84="","",IF(INDEX(EntryNotes,$P84)=0,"",INDEX(EntryNotes,$P84)))</f>
        <v/>
      </c>
      <c r="O84" s="28">
        <f>IF($P84="","",IF(INDEX(EntryTxnID,$P84)=0,"",INDEX(EntryTxnID,$P84)))</f>
        <v/>
      </c>
      <c r="P84" s="28">
        <f>IFERROR(MATCH($C$5&amp;"|"&amp;RIGHT("000000"&amp;68,6),CalcRankKey,0),"")</f>
        <v/>
      </c>
    </row>
    <row r="85">
      <c r="A85" s="26">
        <f>IF($B85="","",69)</f>
        <v/>
      </c>
      <c r="B85" s="26">
        <f>IF($P85="","",IF(INDEX(CalcNormDate,$P85)=0,"",INDEX(CalcNormDate,$P85)))</f>
        <v/>
      </c>
      <c r="C85" s="26">
        <f>IF($P85="","",IF(INDEX(CalcTime,$P85)=0,"",INDEX(CalcTime,$P85)))</f>
        <v/>
      </c>
      <c r="D85" s="26">
        <f>IF($P85="","",IF(INDEX(EntryParty,$P85)=0,"",INDEX(EntryParty,$P85)))</f>
        <v/>
      </c>
      <c r="E85" s="26">
        <f>IF($P85="","",IF(INDEX(EntryPartyName,$P85)=0,"",INDEX(EntryPartyName,$P85)))</f>
        <v/>
      </c>
      <c r="F85" s="26">
        <f>IF($P85="","",IF(INDEX(EntryPartyType,$P85)=0,"",INDEX(EntryPartyType,$P85)))</f>
        <v/>
      </c>
      <c r="G85" s="26">
        <f>IF($P85="","",IF(INDEX(EntryTxnType,$P85)=0,"",INDEX(EntryTxnType,$P85)))</f>
        <v/>
      </c>
      <c r="H85" s="27">
        <f>IF($P85="","",IF(INDEX(EntryDep,$P85)=0,"",INDEX(EntryDep,$P85)))</f>
        <v/>
      </c>
      <c r="I85" s="27">
        <f>IF($P85="","",IF(INDEX(EntryWit,$P85)=0,"",INDEX(EntryWit,$P85)))</f>
        <v/>
      </c>
      <c r="J85" s="27">
        <f>IF($B85="","",IF($A85=1,$C$7,IF(J84="",0,J84))+IF($H85="",0,$H85)-IF($I85="",0,$I85))</f>
        <v/>
      </c>
      <c r="K85" s="27">
        <f>IF($P85="","",IF(INDEX(EntryMan,$P85)=0,"",INDEX(EntryMan,$P85)))</f>
        <v/>
      </c>
      <c r="L85" s="26">
        <f>IF($B85="","",IF($K85="","—",IF(ROUND($K85-$J85,0)=0,"√","×")))</f>
        <v/>
      </c>
      <c r="M85" s="26">
        <f>IF($B85="","",IF(COUNTIFS(EntryDates,$B85,CalcTime,$C85,CalcBank,$C$5,EntryParty,$D85,EntryDep,$H85,EntryWit,$I85)&gt;1,"تکرار",""))</f>
        <v/>
      </c>
      <c r="N85" s="26">
        <f>IF($P85="","",IF(INDEX(EntryNotes,$P85)=0,"",INDEX(EntryNotes,$P85)))</f>
        <v/>
      </c>
      <c r="O85" s="26">
        <f>IF($P85="","",IF(INDEX(EntryTxnID,$P85)=0,"",INDEX(EntryTxnID,$P85)))</f>
        <v/>
      </c>
      <c r="P85" s="26">
        <f>IFERROR(MATCH($C$5&amp;"|"&amp;RIGHT("000000"&amp;69,6),CalcRankKey,0),"")</f>
        <v/>
      </c>
    </row>
    <row r="86">
      <c r="A86" s="28">
        <f>IF($B86="","",70)</f>
        <v/>
      </c>
      <c r="B86" s="28">
        <f>IF($P86="","",IF(INDEX(CalcNormDate,$P86)=0,"",INDEX(CalcNormDate,$P86)))</f>
        <v/>
      </c>
      <c r="C86" s="28">
        <f>IF($P86="","",IF(INDEX(CalcTime,$P86)=0,"",INDEX(CalcTime,$P86)))</f>
        <v/>
      </c>
      <c r="D86" s="28">
        <f>IF($P86="","",IF(INDEX(EntryParty,$P86)=0,"",INDEX(EntryParty,$P86)))</f>
        <v/>
      </c>
      <c r="E86" s="28">
        <f>IF($P86="","",IF(INDEX(EntryPartyName,$P86)=0,"",INDEX(EntryPartyName,$P86)))</f>
        <v/>
      </c>
      <c r="F86" s="28">
        <f>IF($P86="","",IF(INDEX(EntryPartyType,$P86)=0,"",INDEX(EntryPartyType,$P86)))</f>
        <v/>
      </c>
      <c r="G86" s="28">
        <f>IF($P86="","",IF(INDEX(EntryTxnType,$P86)=0,"",INDEX(EntryTxnType,$P86)))</f>
        <v/>
      </c>
      <c r="H86" s="29">
        <f>IF($P86="","",IF(INDEX(EntryDep,$P86)=0,"",INDEX(EntryDep,$P86)))</f>
        <v/>
      </c>
      <c r="I86" s="29">
        <f>IF($P86="","",IF(INDEX(EntryWit,$P86)=0,"",INDEX(EntryWit,$P86)))</f>
        <v/>
      </c>
      <c r="J86" s="29">
        <f>IF($B86="","",IF($A86=1,$C$7,IF(J85="",0,J85))+IF($H86="",0,$H86)-IF($I86="",0,$I86))</f>
        <v/>
      </c>
      <c r="K86" s="29">
        <f>IF($P86="","",IF(INDEX(EntryMan,$P86)=0,"",INDEX(EntryMan,$P86)))</f>
        <v/>
      </c>
      <c r="L86" s="28">
        <f>IF($B86="","",IF($K86="","—",IF(ROUND($K86-$J86,0)=0,"√","×")))</f>
        <v/>
      </c>
      <c r="M86" s="28">
        <f>IF($B86="","",IF(COUNTIFS(EntryDates,$B86,CalcTime,$C86,CalcBank,$C$5,EntryParty,$D86,EntryDep,$H86,EntryWit,$I86)&gt;1,"تکرار",""))</f>
        <v/>
      </c>
      <c r="N86" s="28">
        <f>IF($P86="","",IF(INDEX(EntryNotes,$P86)=0,"",INDEX(EntryNotes,$P86)))</f>
        <v/>
      </c>
      <c r="O86" s="28">
        <f>IF($P86="","",IF(INDEX(EntryTxnID,$P86)=0,"",INDEX(EntryTxnID,$P86)))</f>
        <v/>
      </c>
      <c r="P86" s="28">
        <f>IFERROR(MATCH($C$5&amp;"|"&amp;RIGHT("000000"&amp;70,6),CalcRankKey,0),"")</f>
        <v/>
      </c>
    </row>
    <row r="87">
      <c r="A87" s="26">
        <f>IF($B87="","",71)</f>
        <v/>
      </c>
      <c r="B87" s="26">
        <f>IF($P87="","",IF(INDEX(CalcNormDate,$P87)=0,"",INDEX(CalcNormDate,$P87)))</f>
        <v/>
      </c>
      <c r="C87" s="26">
        <f>IF($P87="","",IF(INDEX(CalcTime,$P87)=0,"",INDEX(CalcTime,$P87)))</f>
        <v/>
      </c>
      <c r="D87" s="26">
        <f>IF($P87="","",IF(INDEX(EntryParty,$P87)=0,"",INDEX(EntryParty,$P87)))</f>
        <v/>
      </c>
      <c r="E87" s="26">
        <f>IF($P87="","",IF(INDEX(EntryPartyName,$P87)=0,"",INDEX(EntryPartyName,$P87)))</f>
        <v/>
      </c>
      <c r="F87" s="26">
        <f>IF($P87="","",IF(INDEX(EntryPartyType,$P87)=0,"",INDEX(EntryPartyType,$P87)))</f>
        <v/>
      </c>
      <c r="G87" s="26">
        <f>IF($P87="","",IF(INDEX(EntryTxnType,$P87)=0,"",INDEX(EntryTxnType,$P87)))</f>
        <v/>
      </c>
      <c r="H87" s="27">
        <f>IF($P87="","",IF(INDEX(EntryDep,$P87)=0,"",INDEX(EntryDep,$P87)))</f>
        <v/>
      </c>
      <c r="I87" s="27">
        <f>IF($P87="","",IF(INDEX(EntryWit,$P87)=0,"",INDEX(EntryWit,$P87)))</f>
        <v/>
      </c>
      <c r="J87" s="27">
        <f>IF($B87="","",IF($A87=1,$C$7,IF(J86="",0,J86))+IF($H87="",0,$H87)-IF($I87="",0,$I87))</f>
        <v/>
      </c>
      <c r="K87" s="27">
        <f>IF($P87="","",IF(INDEX(EntryMan,$P87)=0,"",INDEX(EntryMan,$P87)))</f>
        <v/>
      </c>
      <c r="L87" s="26">
        <f>IF($B87="","",IF($K87="","—",IF(ROUND($K87-$J87,0)=0,"√","×")))</f>
        <v/>
      </c>
      <c r="M87" s="26">
        <f>IF($B87="","",IF(COUNTIFS(EntryDates,$B87,CalcTime,$C87,CalcBank,$C$5,EntryParty,$D87,EntryDep,$H87,EntryWit,$I87)&gt;1,"تکرار",""))</f>
        <v/>
      </c>
      <c r="N87" s="26">
        <f>IF($P87="","",IF(INDEX(EntryNotes,$P87)=0,"",INDEX(EntryNotes,$P87)))</f>
        <v/>
      </c>
      <c r="O87" s="26">
        <f>IF($P87="","",IF(INDEX(EntryTxnID,$P87)=0,"",INDEX(EntryTxnID,$P87)))</f>
        <v/>
      </c>
      <c r="P87" s="26">
        <f>IFERROR(MATCH($C$5&amp;"|"&amp;RIGHT("000000"&amp;71,6),CalcRankKey,0),"")</f>
        <v/>
      </c>
    </row>
    <row r="88">
      <c r="A88" s="28">
        <f>IF($B88="","",72)</f>
        <v/>
      </c>
      <c r="B88" s="28">
        <f>IF($P88="","",IF(INDEX(CalcNormDate,$P88)=0,"",INDEX(CalcNormDate,$P88)))</f>
        <v/>
      </c>
      <c r="C88" s="28">
        <f>IF($P88="","",IF(INDEX(CalcTime,$P88)=0,"",INDEX(CalcTime,$P88)))</f>
        <v/>
      </c>
      <c r="D88" s="28">
        <f>IF($P88="","",IF(INDEX(EntryParty,$P88)=0,"",INDEX(EntryParty,$P88)))</f>
        <v/>
      </c>
      <c r="E88" s="28">
        <f>IF($P88="","",IF(INDEX(EntryPartyName,$P88)=0,"",INDEX(EntryPartyName,$P88)))</f>
        <v/>
      </c>
      <c r="F88" s="28">
        <f>IF($P88="","",IF(INDEX(EntryPartyType,$P88)=0,"",INDEX(EntryPartyType,$P88)))</f>
        <v/>
      </c>
      <c r="G88" s="28">
        <f>IF($P88="","",IF(INDEX(EntryTxnType,$P88)=0,"",INDEX(EntryTxnType,$P88)))</f>
        <v/>
      </c>
      <c r="H88" s="29">
        <f>IF($P88="","",IF(INDEX(EntryDep,$P88)=0,"",INDEX(EntryDep,$P88)))</f>
        <v/>
      </c>
      <c r="I88" s="29">
        <f>IF($P88="","",IF(INDEX(EntryWit,$P88)=0,"",INDEX(EntryWit,$P88)))</f>
        <v/>
      </c>
      <c r="J88" s="29">
        <f>IF($B88="","",IF($A88=1,$C$7,IF(J87="",0,J87))+IF($H88="",0,$H88)-IF($I88="",0,$I88))</f>
        <v/>
      </c>
      <c r="K88" s="29">
        <f>IF($P88="","",IF(INDEX(EntryMan,$P88)=0,"",INDEX(EntryMan,$P88)))</f>
        <v/>
      </c>
      <c r="L88" s="28">
        <f>IF($B88="","",IF($K88="","—",IF(ROUND($K88-$J88,0)=0,"√","×")))</f>
        <v/>
      </c>
      <c r="M88" s="28">
        <f>IF($B88="","",IF(COUNTIFS(EntryDates,$B88,CalcTime,$C88,CalcBank,$C$5,EntryParty,$D88,EntryDep,$H88,EntryWit,$I88)&gt;1,"تکرار",""))</f>
        <v/>
      </c>
      <c r="N88" s="28">
        <f>IF($P88="","",IF(INDEX(EntryNotes,$P88)=0,"",INDEX(EntryNotes,$P88)))</f>
        <v/>
      </c>
      <c r="O88" s="28">
        <f>IF($P88="","",IF(INDEX(EntryTxnID,$P88)=0,"",INDEX(EntryTxnID,$P88)))</f>
        <v/>
      </c>
      <c r="P88" s="28">
        <f>IFERROR(MATCH($C$5&amp;"|"&amp;RIGHT("000000"&amp;72,6),CalcRankKey,0),"")</f>
        <v/>
      </c>
    </row>
    <row r="89">
      <c r="A89" s="26">
        <f>IF($B89="","",73)</f>
        <v/>
      </c>
      <c r="B89" s="26">
        <f>IF($P89="","",IF(INDEX(CalcNormDate,$P89)=0,"",INDEX(CalcNormDate,$P89)))</f>
        <v/>
      </c>
      <c r="C89" s="26">
        <f>IF($P89="","",IF(INDEX(CalcTime,$P89)=0,"",INDEX(CalcTime,$P89)))</f>
        <v/>
      </c>
      <c r="D89" s="26">
        <f>IF($P89="","",IF(INDEX(EntryParty,$P89)=0,"",INDEX(EntryParty,$P89)))</f>
        <v/>
      </c>
      <c r="E89" s="26">
        <f>IF($P89="","",IF(INDEX(EntryPartyName,$P89)=0,"",INDEX(EntryPartyName,$P89)))</f>
        <v/>
      </c>
      <c r="F89" s="26">
        <f>IF($P89="","",IF(INDEX(EntryPartyType,$P89)=0,"",INDEX(EntryPartyType,$P89)))</f>
        <v/>
      </c>
      <c r="G89" s="26">
        <f>IF($P89="","",IF(INDEX(EntryTxnType,$P89)=0,"",INDEX(EntryTxnType,$P89)))</f>
        <v/>
      </c>
      <c r="H89" s="27">
        <f>IF($P89="","",IF(INDEX(EntryDep,$P89)=0,"",INDEX(EntryDep,$P89)))</f>
        <v/>
      </c>
      <c r="I89" s="27">
        <f>IF($P89="","",IF(INDEX(EntryWit,$P89)=0,"",INDEX(EntryWit,$P89)))</f>
        <v/>
      </c>
      <c r="J89" s="27">
        <f>IF($B89="","",IF($A89=1,$C$7,IF(J88="",0,J88))+IF($H89="",0,$H89)-IF($I89="",0,$I89))</f>
        <v/>
      </c>
      <c r="K89" s="27">
        <f>IF($P89="","",IF(INDEX(EntryMan,$P89)=0,"",INDEX(EntryMan,$P89)))</f>
        <v/>
      </c>
      <c r="L89" s="26">
        <f>IF($B89="","",IF($K89="","—",IF(ROUND($K89-$J89,0)=0,"√","×")))</f>
        <v/>
      </c>
      <c r="M89" s="26">
        <f>IF($B89="","",IF(COUNTIFS(EntryDates,$B89,CalcTime,$C89,CalcBank,$C$5,EntryParty,$D89,EntryDep,$H89,EntryWit,$I89)&gt;1,"تکرار",""))</f>
        <v/>
      </c>
      <c r="N89" s="26">
        <f>IF($P89="","",IF(INDEX(EntryNotes,$P89)=0,"",INDEX(EntryNotes,$P89)))</f>
        <v/>
      </c>
      <c r="O89" s="26">
        <f>IF($P89="","",IF(INDEX(EntryTxnID,$P89)=0,"",INDEX(EntryTxnID,$P89)))</f>
        <v/>
      </c>
      <c r="P89" s="26">
        <f>IFERROR(MATCH($C$5&amp;"|"&amp;RIGHT("000000"&amp;73,6),CalcRankKey,0),"")</f>
        <v/>
      </c>
    </row>
    <row r="90">
      <c r="A90" s="28">
        <f>IF($B90="","",74)</f>
        <v/>
      </c>
      <c r="B90" s="28">
        <f>IF($P90="","",IF(INDEX(CalcNormDate,$P90)=0,"",INDEX(CalcNormDate,$P90)))</f>
        <v/>
      </c>
      <c r="C90" s="28">
        <f>IF($P90="","",IF(INDEX(CalcTime,$P90)=0,"",INDEX(CalcTime,$P90)))</f>
        <v/>
      </c>
      <c r="D90" s="28">
        <f>IF($P90="","",IF(INDEX(EntryParty,$P90)=0,"",INDEX(EntryParty,$P90)))</f>
        <v/>
      </c>
      <c r="E90" s="28">
        <f>IF($P90="","",IF(INDEX(EntryPartyName,$P90)=0,"",INDEX(EntryPartyName,$P90)))</f>
        <v/>
      </c>
      <c r="F90" s="28">
        <f>IF($P90="","",IF(INDEX(EntryPartyType,$P90)=0,"",INDEX(EntryPartyType,$P90)))</f>
        <v/>
      </c>
      <c r="G90" s="28">
        <f>IF($P90="","",IF(INDEX(EntryTxnType,$P90)=0,"",INDEX(EntryTxnType,$P90)))</f>
        <v/>
      </c>
      <c r="H90" s="29">
        <f>IF($P90="","",IF(INDEX(EntryDep,$P90)=0,"",INDEX(EntryDep,$P90)))</f>
        <v/>
      </c>
      <c r="I90" s="29">
        <f>IF($P90="","",IF(INDEX(EntryWit,$P90)=0,"",INDEX(EntryWit,$P90)))</f>
        <v/>
      </c>
      <c r="J90" s="29">
        <f>IF($B90="","",IF($A90=1,$C$7,IF(J89="",0,J89))+IF($H90="",0,$H90)-IF($I90="",0,$I90))</f>
        <v/>
      </c>
      <c r="K90" s="29">
        <f>IF($P90="","",IF(INDEX(EntryMan,$P90)=0,"",INDEX(EntryMan,$P90)))</f>
        <v/>
      </c>
      <c r="L90" s="28">
        <f>IF($B90="","",IF($K90="","—",IF(ROUND($K90-$J90,0)=0,"√","×")))</f>
        <v/>
      </c>
      <c r="M90" s="28">
        <f>IF($B90="","",IF(COUNTIFS(EntryDates,$B90,CalcTime,$C90,CalcBank,$C$5,EntryParty,$D90,EntryDep,$H90,EntryWit,$I90)&gt;1,"تکرار",""))</f>
        <v/>
      </c>
      <c r="N90" s="28">
        <f>IF($P90="","",IF(INDEX(EntryNotes,$P90)=0,"",INDEX(EntryNotes,$P90)))</f>
        <v/>
      </c>
      <c r="O90" s="28">
        <f>IF($P90="","",IF(INDEX(EntryTxnID,$P90)=0,"",INDEX(EntryTxnID,$P90)))</f>
        <v/>
      </c>
      <c r="P90" s="28">
        <f>IFERROR(MATCH($C$5&amp;"|"&amp;RIGHT("000000"&amp;74,6),CalcRankKey,0),"")</f>
        <v/>
      </c>
    </row>
    <row r="91">
      <c r="A91" s="26">
        <f>IF($B91="","",75)</f>
        <v/>
      </c>
      <c r="B91" s="26">
        <f>IF($P91="","",IF(INDEX(CalcNormDate,$P91)=0,"",INDEX(CalcNormDate,$P91)))</f>
        <v/>
      </c>
      <c r="C91" s="26">
        <f>IF($P91="","",IF(INDEX(CalcTime,$P91)=0,"",INDEX(CalcTime,$P91)))</f>
        <v/>
      </c>
      <c r="D91" s="26">
        <f>IF($P91="","",IF(INDEX(EntryParty,$P91)=0,"",INDEX(EntryParty,$P91)))</f>
        <v/>
      </c>
      <c r="E91" s="26">
        <f>IF($P91="","",IF(INDEX(EntryPartyName,$P91)=0,"",INDEX(EntryPartyName,$P91)))</f>
        <v/>
      </c>
      <c r="F91" s="26">
        <f>IF($P91="","",IF(INDEX(EntryPartyType,$P91)=0,"",INDEX(EntryPartyType,$P91)))</f>
        <v/>
      </c>
      <c r="G91" s="26">
        <f>IF($P91="","",IF(INDEX(EntryTxnType,$P91)=0,"",INDEX(EntryTxnType,$P91)))</f>
        <v/>
      </c>
      <c r="H91" s="27">
        <f>IF($P91="","",IF(INDEX(EntryDep,$P91)=0,"",INDEX(EntryDep,$P91)))</f>
        <v/>
      </c>
      <c r="I91" s="27">
        <f>IF($P91="","",IF(INDEX(EntryWit,$P91)=0,"",INDEX(EntryWit,$P91)))</f>
        <v/>
      </c>
      <c r="J91" s="27">
        <f>IF($B91="","",IF($A91=1,$C$7,IF(J90="",0,J90))+IF($H91="",0,$H91)-IF($I91="",0,$I91))</f>
        <v/>
      </c>
      <c r="K91" s="27">
        <f>IF($P91="","",IF(INDEX(EntryMan,$P91)=0,"",INDEX(EntryMan,$P91)))</f>
        <v/>
      </c>
      <c r="L91" s="26">
        <f>IF($B91="","",IF($K91="","—",IF(ROUND($K91-$J91,0)=0,"√","×")))</f>
        <v/>
      </c>
      <c r="M91" s="26">
        <f>IF($B91="","",IF(COUNTIFS(EntryDates,$B91,CalcTime,$C91,CalcBank,$C$5,EntryParty,$D91,EntryDep,$H91,EntryWit,$I91)&gt;1,"تکرار",""))</f>
        <v/>
      </c>
      <c r="N91" s="26">
        <f>IF($P91="","",IF(INDEX(EntryNotes,$P91)=0,"",INDEX(EntryNotes,$P91)))</f>
        <v/>
      </c>
      <c r="O91" s="26">
        <f>IF($P91="","",IF(INDEX(EntryTxnID,$P91)=0,"",INDEX(EntryTxnID,$P91)))</f>
        <v/>
      </c>
      <c r="P91" s="26">
        <f>IFERROR(MATCH($C$5&amp;"|"&amp;RIGHT("000000"&amp;75,6),CalcRankKey,0),"")</f>
        <v/>
      </c>
    </row>
    <row r="92">
      <c r="A92" s="28">
        <f>IF($B92="","",76)</f>
        <v/>
      </c>
      <c r="B92" s="28">
        <f>IF($P92="","",IF(INDEX(CalcNormDate,$P92)=0,"",INDEX(CalcNormDate,$P92)))</f>
        <v/>
      </c>
      <c r="C92" s="28">
        <f>IF($P92="","",IF(INDEX(CalcTime,$P92)=0,"",INDEX(CalcTime,$P92)))</f>
        <v/>
      </c>
      <c r="D92" s="28">
        <f>IF($P92="","",IF(INDEX(EntryParty,$P92)=0,"",INDEX(EntryParty,$P92)))</f>
        <v/>
      </c>
      <c r="E92" s="28">
        <f>IF($P92="","",IF(INDEX(EntryPartyName,$P92)=0,"",INDEX(EntryPartyName,$P92)))</f>
        <v/>
      </c>
      <c r="F92" s="28">
        <f>IF($P92="","",IF(INDEX(EntryPartyType,$P92)=0,"",INDEX(EntryPartyType,$P92)))</f>
        <v/>
      </c>
      <c r="G92" s="28">
        <f>IF($P92="","",IF(INDEX(EntryTxnType,$P92)=0,"",INDEX(EntryTxnType,$P92)))</f>
        <v/>
      </c>
      <c r="H92" s="29">
        <f>IF($P92="","",IF(INDEX(EntryDep,$P92)=0,"",INDEX(EntryDep,$P92)))</f>
        <v/>
      </c>
      <c r="I92" s="29">
        <f>IF($P92="","",IF(INDEX(EntryWit,$P92)=0,"",INDEX(EntryWit,$P92)))</f>
        <v/>
      </c>
      <c r="J92" s="29">
        <f>IF($B92="","",IF($A92=1,$C$7,IF(J91="",0,J91))+IF($H92="",0,$H92)-IF($I92="",0,$I92))</f>
        <v/>
      </c>
      <c r="K92" s="29">
        <f>IF($P92="","",IF(INDEX(EntryMan,$P92)=0,"",INDEX(EntryMan,$P92)))</f>
        <v/>
      </c>
      <c r="L92" s="28">
        <f>IF($B92="","",IF($K92="","—",IF(ROUND($K92-$J92,0)=0,"√","×")))</f>
        <v/>
      </c>
      <c r="M92" s="28">
        <f>IF($B92="","",IF(COUNTIFS(EntryDates,$B92,CalcTime,$C92,CalcBank,$C$5,EntryParty,$D92,EntryDep,$H92,EntryWit,$I92)&gt;1,"تکرار",""))</f>
        <v/>
      </c>
      <c r="N92" s="28">
        <f>IF($P92="","",IF(INDEX(EntryNotes,$P92)=0,"",INDEX(EntryNotes,$P92)))</f>
        <v/>
      </c>
      <c r="O92" s="28">
        <f>IF($P92="","",IF(INDEX(EntryTxnID,$P92)=0,"",INDEX(EntryTxnID,$P92)))</f>
        <v/>
      </c>
      <c r="P92" s="28">
        <f>IFERROR(MATCH($C$5&amp;"|"&amp;RIGHT("000000"&amp;76,6),CalcRankKey,0),"")</f>
        <v/>
      </c>
    </row>
    <row r="93">
      <c r="A93" s="26">
        <f>IF($B93="","",77)</f>
        <v/>
      </c>
      <c r="B93" s="26">
        <f>IF($P93="","",IF(INDEX(CalcNormDate,$P93)=0,"",INDEX(CalcNormDate,$P93)))</f>
        <v/>
      </c>
      <c r="C93" s="26">
        <f>IF($P93="","",IF(INDEX(CalcTime,$P93)=0,"",INDEX(CalcTime,$P93)))</f>
        <v/>
      </c>
      <c r="D93" s="26">
        <f>IF($P93="","",IF(INDEX(EntryParty,$P93)=0,"",INDEX(EntryParty,$P93)))</f>
        <v/>
      </c>
      <c r="E93" s="26">
        <f>IF($P93="","",IF(INDEX(EntryPartyName,$P93)=0,"",INDEX(EntryPartyName,$P93)))</f>
        <v/>
      </c>
      <c r="F93" s="26">
        <f>IF($P93="","",IF(INDEX(EntryPartyType,$P93)=0,"",INDEX(EntryPartyType,$P93)))</f>
        <v/>
      </c>
      <c r="G93" s="26">
        <f>IF($P93="","",IF(INDEX(EntryTxnType,$P93)=0,"",INDEX(EntryTxnType,$P93)))</f>
        <v/>
      </c>
      <c r="H93" s="27">
        <f>IF($P93="","",IF(INDEX(EntryDep,$P93)=0,"",INDEX(EntryDep,$P93)))</f>
        <v/>
      </c>
      <c r="I93" s="27">
        <f>IF($P93="","",IF(INDEX(EntryWit,$P93)=0,"",INDEX(EntryWit,$P93)))</f>
        <v/>
      </c>
      <c r="J93" s="27">
        <f>IF($B93="","",IF($A93=1,$C$7,IF(J92="",0,J92))+IF($H93="",0,$H93)-IF($I93="",0,$I93))</f>
        <v/>
      </c>
      <c r="K93" s="27">
        <f>IF($P93="","",IF(INDEX(EntryMan,$P93)=0,"",INDEX(EntryMan,$P93)))</f>
        <v/>
      </c>
      <c r="L93" s="26">
        <f>IF($B93="","",IF($K93="","—",IF(ROUND($K93-$J93,0)=0,"√","×")))</f>
        <v/>
      </c>
      <c r="M93" s="26">
        <f>IF($B93="","",IF(COUNTIFS(EntryDates,$B93,CalcTime,$C93,CalcBank,$C$5,EntryParty,$D93,EntryDep,$H93,EntryWit,$I93)&gt;1,"تکرار",""))</f>
        <v/>
      </c>
      <c r="N93" s="26">
        <f>IF($P93="","",IF(INDEX(EntryNotes,$P93)=0,"",INDEX(EntryNotes,$P93)))</f>
        <v/>
      </c>
      <c r="O93" s="26">
        <f>IF($P93="","",IF(INDEX(EntryTxnID,$P93)=0,"",INDEX(EntryTxnID,$P93)))</f>
        <v/>
      </c>
      <c r="P93" s="26">
        <f>IFERROR(MATCH($C$5&amp;"|"&amp;RIGHT("000000"&amp;77,6),CalcRankKey,0),"")</f>
        <v/>
      </c>
    </row>
    <row r="94">
      <c r="A94" s="28">
        <f>IF($B94="","",78)</f>
        <v/>
      </c>
      <c r="B94" s="28">
        <f>IF($P94="","",IF(INDEX(CalcNormDate,$P94)=0,"",INDEX(CalcNormDate,$P94)))</f>
        <v/>
      </c>
      <c r="C94" s="28">
        <f>IF($P94="","",IF(INDEX(CalcTime,$P94)=0,"",INDEX(CalcTime,$P94)))</f>
        <v/>
      </c>
      <c r="D94" s="28">
        <f>IF($P94="","",IF(INDEX(EntryParty,$P94)=0,"",INDEX(EntryParty,$P94)))</f>
        <v/>
      </c>
      <c r="E94" s="28">
        <f>IF($P94="","",IF(INDEX(EntryPartyName,$P94)=0,"",INDEX(EntryPartyName,$P94)))</f>
        <v/>
      </c>
      <c r="F94" s="28">
        <f>IF($P94="","",IF(INDEX(EntryPartyType,$P94)=0,"",INDEX(EntryPartyType,$P94)))</f>
        <v/>
      </c>
      <c r="G94" s="28">
        <f>IF($P94="","",IF(INDEX(EntryTxnType,$P94)=0,"",INDEX(EntryTxnType,$P94)))</f>
        <v/>
      </c>
      <c r="H94" s="29">
        <f>IF($P94="","",IF(INDEX(EntryDep,$P94)=0,"",INDEX(EntryDep,$P94)))</f>
        <v/>
      </c>
      <c r="I94" s="29">
        <f>IF($P94="","",IF(INDEX(EntryWit,$P94)=0,"",INDEX(EntryWit,$P94)))</f>
        <v/>
      </c>
      <c r="J94" s="29">
        <f>IF($B94="","",IF($A94=1,$C$7,IF(J93="",0,J93))+IF($H94="",0,$H94)-IF($I94="",0,$I94))</f>
        <v/>
      </c>
      <c r="K94" s="29">
        <f>IF($P94="","",IF(INDEX(EntryMan,$P94)=0,"",INDEX(EntryMan,$P94)))</f>
        <v/>
      </c>
      <c r="L94" s="28">
        <f>IF($B94="","",IF($K94="","—",IF(ROUND($K94-$J94,0)=0,"√","×")))</f>
        <v/>
      </c>
      <c r="M94" s="28">
        <f>IF($B94="","",IF(COUNTIFS(EntryDates,$B94,CalcTime,$C94,CalcBank,$C$5,EntryParty,$D94,EntryDep,$H94,EntryWit,$I94)&gt;1,"تکرار",""))</f>
        <v/>
      </c>
      <c r="N94" s="28">
        <f>IF($P94="","",IF(INDEX(EntryNotes,$P94)=0,"",INDEX(EntryNotes,$P94)))</f>
        <v/>
      </c>
      <c r="O94" s="28">
        <f>IF($P94="","",IF(INDEX(EntryTxnID,$P94)=0,"",INDEX(EntryTxnID,$P94)))</f>
        <v/>
      </c>
      <c r="P94" s="28">
        <f>IFERROR(MATCH($C$5&amp;"|"&amp;RIGHT("000000"&amp;78,6),CalcRankKey,0),"")</f>
        <v/>
      </c>
    </row>
    <row r="95">
      <c r="A95" s="26">
        <f>IF($B95="","",79)</f>
        <v/>
      </c>
      <c r="B95" s="26">
        <f>IF($P95="","",IF(INDEX(CalcNormDate,$P95)=0,"",INDEX(CalcNormDate,$P95)))</f>
        <v/>
      </c>
      <c r="C95" s="26">
        <f>IF($P95="","",IF(INDEX(CalcTime,$P95)=0,"",INDEX(CalcTime,$P95)))</f>
        <v/>
      </c>
      <c r="D95" s="26">
        <f>IF($P95="","",IF(INDEX(EntryParty,$P95)=0,"",INDEX(EntryParty,$P95)))</f>
        <v/>
      </c>
      <c r="E95" s="26">
        <f>IF($P95="","",IF(INDEX(EntryPartyName,$P95)=0,"",INDEX(EntryPartyName,$P95)))</f>
        <v/>
      </c>
      <c r="F95" s="26">
        <f>IF($P95="","",IF(INDEX(EntryPartyType,$P95)=0,"",INDEX(EntryPartyType,$P95)))</f>
        <v/>
      </c>
      <c r="G95" s="26">
        <f>IF($P95="","",IF(INDEX(EntryTxnType,$P95)=0,"",INDEX(EntryTxnType,$P95)))</f>
        <v/>
      </c>
      <c r="H95" s="27">
        <f>IF($P95="","",IF(INDEX(EntryDep,$P95)=0,"",INDEX(EntryDep,$P95)))</f>
        <v/>
      </c>
      <c r="I95" s="27">
        <f>IF($P95="","",IF(INDEX(EntryWit,$P95)=0,"",INDEX(EntryWit,$P95)))</f>
        <v/>
      </c>
      <c r="J95" s="27">
        <f>IF($B95="","",IF($A95=1,$C$7,IF(J94="",0,J94))+IF($H95="",0,$H95)-IF($I95="",0,$I95))</f>
        <v/>
      </c>
      <c r="K95" s="27">
        <f>IF($P95="","",IF(INDEX(EntryMan,$P95)=0,"",INDEX(EntryMan,$P95)))</f>
        <v/>
      </c>
      <c r="L95" s="26">
        <f>IF($B95="","",IF($K95="","—",IF(ROUND($K95-$J95,0)=0,"√","×")))</f>
        <v/>
      </c>
      <c r="M95" s="26">
        <f>IF($B95="","",IF(COUNTIFS(EntryDates,$B95,CalcTime,$C95,CalcBank,$C$5,EntryParty,$D95,EntryDep,$H95,EntryWit,$I95)&gt;1,"تکرار",""))</f>
        <v/>
      </c>
      <c r="N95" s="26">
        <f>IF($P95="","",IF(INDEX(EntryNotes,$P95)=0,"",INDEX(EntryNotes,$P95)))</f>
        <v/>
      </c>
      <c r="O95" s="26">
        <f>IF($P95="","",IF(INDEX(EntryTxnID,$P95)=0,"",INDEX(EntryTxnID,$P95)))</f>
        <v/>
      </c>
      <c r="P95" s="26">
        <f>IFERROR(MATCH($C$5&amp;"|"&amp;RIGHT("000000"&amp;79,6),CalcRankKey,0),"")</f>
        <v/>
      </c>
    </row>
    <row r="96">
      <c r="A96" s="28">
        <f>IF($B96="","",80)</f>
        <v/>
      </c>
      <c r="B96" s="28">
        <f>IF($P96="","",IF(INDEX(CalcNormDate,$P96)=0,"",INDEX(CalcNormDate,$P96)))</f>
        <v/>
      </c>
      <c r="C96" s="28">
        <f>IF($P96="","",IF(INDEX(CalcTime,$P96)=0,"",INDEX(CalcTime,$P96)))</f>
        <v/>
      </c>
      <c r="D96" s="28">
        <f>IF($P96="","",IF(INDEX(EntryParty,$P96)=0,"",INDEX(EntryParty,$P96)))</f>
        <v/>
      </c>
      <c r="E96" s="28">
        <f>IF($P96="","",IF(INDEX(EntryPartyName,$P96)=0,"",INDEX(EntryPartyName,$P96)))</f>
        <v/>
      </c>
      <c r="F96" s="28">
        <f>IF($P96="","",IF(INDEX(EntryPartyType,$P96)=0,"",INDEX(EntryPartyType,$P96)))</f>
        <v/>
      </c>
      <c r="G96" s="28">
        <f>IF($P96="","",IF(INDEX(EntryTxnType,$P96)=0,"",INDEX(EntryTxnType,$P96)))</f>
        <v/>
      </c>
      <c r="H96" s="29">
        <f>IF($P96="","",IF(INDEX(EntryDep,$P96)=0,"",INDEX(EntryDep,$P96)))</f>
        <v/>
      </c>
      <c r="I96" s="29">
        <f>IF($P96="","",IF(INDEX(EntryWit,$P96)=0,"",INDEX(EntryWit,$P96)))</f>
        <v/>
      </c>
      <c r="J96" s="29">
        <f>IF($B96="","",IF($A96=1,$C$7,IF(J95="",0,J95))+IF($H96="",0,$H96)-IF($I96="",0,$I96))</f>
        <v/>
      </c>
      <c r="K96" s="29">
        <f>IF($P96="","",IF(INDEX(EntryMan,$P96)=0,"",INDEX(EntryMan,$P96)))</f>
        <v/>
      </c>
      <c r="L96" s="28">
        <f>IF($B96="","",IF($K96="","—",IF(ROUND($K96-$J96,0)=0,"√","×")))</f>
        <v/>
      </c>
      <c r="M96" s="28">
        <f>IF($B96="","",IF(COUNTIFS(EntryDates,$B96,CalcTime,$C96,CalcBank,$C$5,EntryParty,$D96,EntryDep,$H96,EntryWit,$I96)&gt;1,"تکرار",""))</f>
        <v/>
      </c>
      <c r="N96" s="28">
        <f>IF($P96="","",IF(INDEX(EntryNotes,$P96)=0,"",INDEX(EntryNotes,$P96)))</f>
        <v/>
      </c>
      <c r="O96" s="28">
        <f>IF($P96="","",IF(INDEX(EntryTxnID,$P96)=0,"",INDEX(EntryTxnID,$P96)))</f>
        <v/>
      </c>
      <c r="P96" s="28">
        <f>IFERROR(MATCH($C$5&amp;"|"&amp;RIGHT("000000"&amp;80,6),CalcRankKey,0),"")</f>
        <v/>
      </c>
    </row>
    <row r="97">
      <c r="A97" s="26">
        <f>IF($B97="","",81)</f>
        <v/>
      </c>
      <c r="B97" s="26">
        <f>IF($P97="","",IF(INDEX(CalcNormDate,$P97)=0,"",INDEX(CalcNormDate,$P97)))</f>
        <v/>
      </c>
      <c r="C97" s="26">
        <f>IF($P97="","",IF(INDEX(CalcTime,$P97)=0,"",INDEX(CalcTime,$P97)))</f>
        <v/>
      </c>
      <c r="D97" s="26">
        <f>IF($P97="","",IF(INDEX(EntryParty,$P97)=0,"",INDEX(EntryParty,$P97)))</f>
        <v/>
      </c>
      <c r="E97" s="26">
        <f>IF($P97="","",IF(INDEX(EntryPartyName,$P97)=0,"",INDEX(EntryPartyName,$P97)))</f>
        <v/>
      </c>
      <c r="F97" s="26">
        <f>IF($P97="","",IF(INDEX(EntryPartyType,$P97)=0,"",INDEX(EntryPartyType,$P97)))</f>
        <v/>
      </c>
      <c r="G97" s="26">
        <f>IF($P97="","",IF(INDEX(EntryTxnType,$P97)=0,"",INDEX(EntryTxnType,$P97)))</f>
        <v/>
      </c>
      <c r="H97" s="27">
        <f>IF($P97="","",IF(INDEX(EntryDep,$P97)=0,"",INDEX(EntryDep,$P97)))</f>
        <v/>
      </c>
      <c r="I97" s="27">
        <f>IF($P97="","",IF(INDEX(EntryWit,$P97)=0,"",INDEX(EntryWit,$P97)))</f>
        <v/>
      </c>
      <c r="J97" s="27">
        <f>IF($B97="","",IF($A97=1,$C$7,IF(J96="",0,J96))+IF($H97="",0,$H97)-IF($I97="",0,$I97))</f>
        <v/>
      </c>
      <c r="K97" s="27">
        <f>IF($P97="","",IF(INDEX(EntryMan,$P97)=0,"",INDEX(EntryMan,$P97)))</f>
        <v/>
      </c>
      <c r="L97" s="26">
        <f>IF($B97="","",IF($K97="","—",IF(ROUND($K97-$J97,0)=0,"√","×")))</f>
        <v/>
      </c>
      <c r="M97" s="26">
        <f>IF($B97="","",IF(COUNTIFS(EntryDates,$B97,CalcTime,$C97,CalcBank,$C$5,EntryParty,$D97,EntryDep,$H97,EntryWit,$I97)&gt;1,"تکرار",""))</f>
        <v/>
      </c>
      <c r="N97" s="26">
        <f>IF($P97="","",IF(INDEX(EntryNotes,$P97)=0,"",INDEX(EntryNotes,$P97)))</f>
        <v/>
      </c>
      <c r="O97" s="26">
        <f>IF($P97="","",IF(INDEX(EntryTxnID,$P97)=0,"",INDEX(EntryTxnID,$P97)))</f>
        <v/>
      </c>
      <c r="P97" s="26">
        <f>IFERROR(MATCH($C$5&amp;"|"&amp;RIGHT("000000"&amp;81,6),CalcRankKey,0),"")</f>
        <v/>
      </c>
    </row>
    <row r="98">
      <c r="A98" s="28">
        <f>IF($B98="","",82)</f>
        <v/>
      </c>
      <c r="B98" s="28">
        <f>IF($P98="","",IF(INDEX(CalcNormDate,$P98)=0,"",INDEX(CalcNormDate,$P98)))</f>
        <v/>
      </c>
      <c r="C98" s="28">
        <f>IF($P98="","",IF(INDEX(CalcTime,$P98)=0,"",INDEX(CalcTime,$P98)))</f>
        <v/>
      </c>
      <c r="D98" s="28">
        <f>IF($P98="","",IF(INDEX(EntryParty,$P98)=0,"",INDEX(EntryParty,$P98)))</f>
        <v/>
      </c>
      <c r="E98" s="28">
        <f>IF($P98="","",IF(INDEX(EntryPartyName,$P98)=0,"",INDEX(EntryPartyName,$P98)))</f>
        <v/>
      </c>
      <c r="F98" s="28">
        <f>IF($P98="","",IF(INDEX(EntryPartyType,$P98)=0,"",INDEX(EntryPartyType,$P98)))</f>
        <v/>
      </c>
      <c r="G98" s="28">
        <f>IF($P98="","",IF(INDEX(EntryTxnType,$P98)=0,"",INDEX(EntryTxnType,$P98)))</f>
        <v/>
      </c>
      <c r="H98" s="29">
        <f>IF($P98="","",IF(INDEX(EntryDep,$P98)=0,"",INDEX(EntryDep,$P98)))</f>
        <v/>
      </c>
      <c r="I98" s="29">
        <f>IF($P98="","",IF(INDEX(EntryWit,$P98)=0,"",INDEX(EntryWit,$P98)))</f>
        <v/>
      </c>
      <c r="J98" s="29">
        <f>IF($B98="","",IF($A98=1,$C$7,IF(J97="",0,J97))+IF($H98="",0,$H98)-IF($I98="",0,$I98))</f>
        <v/>
      </c>
      <c r="K98" s="29">
        <f>IF($P98="","",IF(INDEX(EntryMan,$P98)=0,"",INDEX(EntryMan,$P98)))</f>
        <v/>
      </c>
      <c r="L98" s="28">
        <f>IF($B98="","",IF($K98="","—",IF(ROUND($K98-$J98,0)=0,"√","×")))</f>
        <v/>
      </c>
      <c r="M98" s="28">
        <f>IF($B98="","",IF(COUNTIFS(EntryDates,$B98,CalcTime,$C98,CalcBank,$C$5,EntryParty,$D98,EntryDep,$H98,EntryWit,$I98)&gt;1,"تکرار",""))</f>
        <v/>
      </c>
      <c r="N98" s="28">
        <f>IF($P98="","",IF(INDEX(EntryNotes,$P98)=0,"",INDEX(EntryNotes,$P98)))</f>
        <v/>
      </c>
      <c r="O98" s="28">
        <f>IF($P98="","",IF(INDEX(EntryTxnID,$P98)=0,"",INDEX(EntryTxnID,$P98)))</f>
        <v/>
      </c>
      <c r="P98" s="28">
        <f>IFERROR(MATCH($C$5&amp;"|"&amp;RIGHT("000000"&amp;82,6),CalcRankKey,0),"")</f>
        <v/>
      </c>
    </row>
    <row r="99">
      <c r="A99" s="26">
        <f>IF($B99="","",83)</f>
        <v/>
      </c>
      <c r="B99" s="26">
        <f>IF($P99="","",IF(INDEX(CalcNormDate,$P99)=0,"",INDEX(CalcNormDate,$P99)))</f>
        <v/>
      </c>
      <c r="C99" s="26">
        <f>IF($P99="","",IF(INDEX(CalcTime,$P99)=0,"",INDEX(CalcTime,$P99)))</f>
        <v/>
      </c>
      <c r="D99" s="26">
        <f>IF($P99="","",IF(INDEX(EntryParty,$P99)=0,"",INDEX(EntryParty,$P99)))</f>
        <v/>
      </c>
      <c r="E99" s="26">
        <f>IF($P99="","",IF(INDEX(EntryPartyName,$P99)=0,"",INDEX(EntryPartyName,$P99)))</f>
        <v/>
      </c>
      <c r="F99" s="26">
        <f>IF($P99="","",IF(INDEX(EntryPartyType,$P99)=0,"",INDEX(EntryPartyType,$P99)))</f>
        <v/>
      </c>
      <c r="G99" s="26">
        <f>IF($P99="","",IF(INDEX(EntryTxnType,$P99)=0,"",INDEX(EntryTxnType,$P99)))</f>
        <v/>
      </c>
      <c r="H99" s="27">
        <f>IF($P99="","",IF(INDEX(EntryDep,$P99)=0,"",INDEX(EntryDep,$P99)))</f>
        <v/>
      </c>
      <c r="I99" s="27">
        <f>IF($P99="","",IF(INDEX(EntryWit,$P99)=0,"",INDEX(EntryWit,$P99)))</f>
        <v/>
      </c>
      <c r="J99" s="27">
        <f>IF($B99="","",IF($A99=1,$C$7,IF(J98="",0,J98))+IF($H99="",0,$H99)-IF($I99="",0,$I99))</f>
        <v/>
      </c>
      <c r="K99" s="27">
        <f>IF($P99="","",IF(INDEX(EntryMan,$P99)=0,"",INDEX(EntryMan,$P99)))</f>
        <v/>
      </c>
      <c r="L99" s="26">
        <f>IF($B99="","",IF($K99="","—",IF(ROUND($K99-$J99,0)=0,"√","×")))</f>
        <v/>
      </c>
      <c r="M99" s="26">
        <f>IF($B99="","",IF(COUNTIFS(EntryDates,$B99,CalcTime,$C99,CalcBank,$C$5,EntryParty,$D99,EntryDep,$H99,EntryWit,$I99)&gt;1,"تکرار",""))</f>
        <v/>
      </c>
      <c r="N99" s="26">
        <f>IF($P99="","",IF(INDEX(EntryNotes,$P99)=0,"",INDEX(EntryNotes,$P99)))</f>
        <v/>
      </c>
      <c r="O99" s="26">
        <f>IF($P99="","",IF(INDEX(EntryTxnID,$P99)=0,"",INDEX(EntryTxnID,$P99)))</f>
        <v/>
      </c>
      <c r="P99" s="26">
        <f>IFERROR(MATCH($C$5&amp;"|"&amp;RIGHT("000000"&amp;83,6),CalcRankKey,0),"")</f>
        <v/>
      </c>
    </row>
    <row r="100">
      <c r="A100" s="28">
        <f>IF($B100="","",84)</f>
        <v/>
      </c>
      <c r="B100" s="28">
        <f>IF($P100="","",IF(INDEX(CalcNormDate,$P100)=0,"",INDEX(CalcNormDate,$P100)))</f>
        <v/>
      </c>
      <c r="C100" s="28">
        <f>IF($P100="","",IF(INDEX(CalcTime,$P100)=0,"",INDEX(CalcTime,$P100)))</f>
        <v/>
      </c>
      <c r="D100" s="28">
        <f>IF($P100="","",IF(INDEX(EntryParty,$P100)=0,"",INDEX(EntryParty,$P100)))</f>
        <v/>
      </c>
      <c r="E100" s="28">
        <f>IF($P100="","",IF(INDEX(EntryPartyName,$P100)=0,"",INDEX(EntryPartyName,$P100)))</f>
        <v/>
      </c>
      <c r="F100" s="28">
        <f>IF($P100="","",IF(INDEX(EntryPartyType,$P100)=0,"",INDEX(EntryPartyType,$P100)))</f>
        <v/>
      </c>
      <c r="G100" s="28">
        <f>IF($P100="","",IF(INDEX(EntryTxnType,$P100)=0,"",INDEX(EntryTxnType,$P100)))</f>
        <v/>
      </c>
      <c r="H100" s="29">
        <f>IF($P100="","",IF(INDEX(EntryDep,$P100)=0,"",INDEX(EntryDep,$P100)))</f>
        <v/>
      </c>
      <c r="I100" s="29">
        <f>IF($P100="","",IF(INDEX(EntryWit,$P100)=0,"",INDEX(EntryWit,$P100)))</f>
        <v/>
      </c>
      <c r="J100" s="29">
        <f>IF($B100="","",IF($A100=1,$C$7,IF(J99="",0,J99))+IF($H100="",0,$H100)-IF($I100="",0,$I100))</f>
        <v/>
      </c>
      <c r="K100" s="29">
        <f>IF($P100="","",IF(INDEX(EntryMan,$P100)=0,"",INDEX(EntryMan,$P100)))</f>
        <v/>
      </c>
      <c r="L100" s="28">
        <f>IF($B100="","",IF($K100="","—",IF(ROUND($K100-$J100,0)=0,"√","×")))</f>
        <v/>
      </c>
      <c r="M100" s="28">
        <f>IF($B100="","",IF(COUNTIFS(EntryDates,$B100,CalcTime,$C100,CalcBank,$C$5,EntryParty,$D100,EntryDep,$H100,EntryWit,$I100)&gt;1,"تکرار",""))</f>
        <v/>
      </c>
      <c r="N100" s="28">
        <f>IF($P100="","",IF(INDEX(EntryNotes,$P100)=0,"",INDEX(EntryNotes,$P100)))</f>
        <v/>
      </c>
      <c r="O100" s="28">
        <f>IF($P100="","",IF(INDEX(EntryTxnID,$P100)=0,"",INDEX(EntryTxnID,$P100)))</f>
        <v/>
      </c>
      <c r="P100" s="28">
        <f>IFERROR(MATCH($C$5&amp;"|"&amp;RIGHT("000000"&amp;84,6),CalcRankKey,0),"")</f>
        <v/>
      </c>
    </row>
    <row r="101">
      <c r="A101" s="26">
        <f>IF($B101="","",85)</f>
        <v/>
      </c>
      <c r="B101" s="26">
        <f>IF($P101="","",IF(INDEX(CalcNormDate,$P101)=0,"",INDEX(CalcNormDate,$P101)))</f>
        <v/>
      </c>
      <c r="C101" s="26">
        <f>IF($P101="","",IF(INDEX(CalcTime,$P101)=0,"",INDEX(CalcTime,$P101)))</f>
        <v/>
      </c>
      <c r="D101" s="26">
        <f>IF($P101="","",IF(INDEX(EntryParty,$P101)=0,"",INDEX(EntryParty,$P101)))</f>
        <v/>
      </c>
      <c r="E101" s="26">
        <f>IF($P101="","",IF(INDEX(EntryPartyName,$P101)=0,"",INDEX(EntryPartyName,$P101)))</f>
        <v/>
      </c>
      <c r="F101" s="26">
        <f>IF($P101="","",IF(INDEX(EntryPartyType,$P101)=0,"",INDEX(EntryPartyType,$P101)))</f>
        <v/>
      </c>
      <c r="G101" s="26">
        <f>IF($P101="","",IF(INDEX(EntryTxnType,$P101)=0,"",INDEX(EntryTxnType,$P101)))</f>
        <v/>
      </c>
      <c r="H101" s="27">
        <f>IF($P101="","",IF(INDEX(EntryDep,$P101)=0,"",INDEX(EntryDep,$P101)))</f>
        <v/>
      </c>
      <c r="I101" s="27">
        <f>IF($P101="","",IF(INDEX(EntryWit,$P101)=0,"",INDEX(EntryWit,$P101)))</f>
        <v/>
      </c>
      <c r="J101" s="27">
        <f>IF($B101="","",IF($A101=1,$C$7,IF(J100="",0,J100))+IF($H101="",0,$H101)-IF($I101="",0,$I101))</f>
        <v/>
      </c>
      <c r="K101" s="27">
        <f>IF($P101="","",IF(INDEX(EntryMan,$P101)=0,"",INDEX(EntryMan,$P101)))</f>
        <v/>
      </c>
      <c r="L101" s="26">
        <f>IF($B101="","",IF($K101="","—",IF(ROUND($K101-$J101,0)=0,"√","×")))</f>
        <v/>
      </c>
      <c r="M101" s="26">
        <f>IF($B101="","",IF(COUNTIFS(EntryDates,$B101,CalcTime,$C101,CalcBank,$C$5,EntryParty,$D101,EntryDep,$H101,EntryWit,$I101)&gt;1,"تکرار",""))</f>
        <v/>
      </c>
      <c r="N101" s="26">
        <f>IF($P101="","",IF(INDEX(EntryNotes,$P101)=0,"",INDEX(EntryNotes,$P101)))</f>
        <v/>
      </c>
      <c r="O101" s="26">
        <f>IF($P101="","",IF(INDEX(EntryTxnID,$P101)=0,"",INDEX(EntryTxnID,$P101)))</f>
        <v/>
      </c>
      <c r="P101" s="26">
        <f>IFERROR(MATCH($C$5&amp;"|"&amp;RIGHT("000000"&amp;85,6),CalcRankKey,0),"")</f>
        <v/>
      </c>
    </row>
    <row r="102">
      <c r="A102" s="28">
        <f>IF($B102="","",86)</f>
        <v/>
      </c>
      <c r="B102" s="28">
        <f>IF($P102="","",IF(INDEX(CalcNormDate,$P102)=0,"",INDEX(CalcNormDate,$P102)))</f>
        <v/>
      </c>
      <c r="C102" s="28">
        <f>IF($P102="","",IF(INDEX(CalcTime,$P102)=0,"",INDEX(CalcTime,$P102)))</f>
        <v/>
      </c>
      <c r="D102" s="28">
        <f>IF($P102="","",IF(INDEX(EntryParty,$P102)=0,"",INDEX(EntryParty,$P102)))</f>
        <v/>
      </c>
      <c r="E102" s="28">
        <f>IF($P102="","",IF(INDEX(EntryPartyName,$P102)=0,"",INDEX(EntryPartyName,$P102)))</f>
        <v/>
      </c>
      <c r="F102" s="28">
        <f>IF($P102="","",IF(INDEX(EntryPartyType,$P102)=0,"",INDEX(EntryPartyType,$P102)))</f>
        <v/>
      </c>
      <c r="G102" s="28">
        <f>IF($P102="","",IF(INDEX(EntryTxnType,$P102)=0,"",INDEX(EntryTxnType,$P102)))</f>
        <v/>
      </c>
      <c r="H102" s="29">
        <f>IF($P102="","",IF(INDEX(EntryDep,$P102)=0,"",INDEX(EntryDep,$P102)))</f>
        <v/>
      </c>
      <c r="I102" s="29">
        <f>IF($P102="","",IF(INDEX(EntryWit,$P102)=0,"",INDEX(EntryWit,$P102)))</f>
        <v/>
      </c>
      <c r="J102" s="29">
        <f>IF($B102="","",IF($A102=1,$C$7,IF(J101="",0,J101))+IF($H102="",0,$H102)-IF($I102="",0,$I102))</f>
        <v/>
      </c>
      <c r="K102" s="29">
        <f>IF($P102="","",IF(INDEX(EntryMan,$P102)=0,"",INDEX(EntryMan,$P102)))</f>
        <v/>
      </c>
      <c r="L102" s="28">
        <f>IF($B102="","",IF($K102="","—",IF(ROUND($K102-$J102,0)=0,"√","×")))</f>
        <v/>
      </c>
      <c r="M102" s="28">
        <f>IF($B102="","",IF(COUNTIFS(EntryDates,$B102,CalcTime,$C102,CalcBank,$C$5,EntryParty,$D102,EntryDep,$H102,EntryWit,$I102)&gt;1,"تکرار",""))</f>
        <v/>
      </c>
      <c r="N102" s="28">
        <f>IF($P102="","",IF(INDEX(EntryNotes,$P102)=0,"",INDEX(EntryNotes,$P102)))</f>
        <v/>
      </c>
      <c r="O102" s="28">
        <f>IF($P102="","",IF(INDEX(EntryTxnID,$P102)=0,"",INDEX(EntryTxnID,$P102)))</f>
        <v/>
      </c>
      <c r="P102" s="28">
        <f>IFERROR(MATCH($C$5&amp;"|"&amp;RIGHT("000000"&amp;86,6),CalcRankKey,0),"")</f>
        <v/>
      </c>
    </row>
    <row r="103">
      <c r="A103" s="26">
        <f>IF($B103="","",87)</f>
        <v/>
      </c>
      <c r="B103" s="26">
        <f>IF($P103="","",IF(INDEX(CalcNormDate,$P103)=0,"",INDEX(CalcNormDate,$P103)))</f>
        <v/>
      </c>
      <c r="C103" s="26">
        <f>IF($P103="","",IF(INDEX(CalcTime,$P103)=0,"",INDEX(CalcTime,$P103)))</f>
        <v/>
      </c>
      <c r="D103" s="26">
        <f>IF($P103="","",IF(INDEX(EntryParty,$P103)=0,"",INDEX(EntryParty,$P103)))</f>
        <v/>
      </c>
      <c r="E103" s="26">
        <f>IF($P103="","",IF(INDEX(EntryPartyName,$P103)=0,"",INDEX(EntryPartyName,$P103)))</f>
        <v/>
      </c>
      <c r="F103" s="26">
        <f>IF($P103="","",IF(INDEX(EntryPartyType,$P103)=0,"",INDEX(EntryPartyType,$P103)))</f>
        <v/>
      </c>
      <c r="G103" s="26">
        <f>IF($P103="","",IF(INDEX(EntryTxnType,$P103)=0,"",INDEX(EntryTxnType,$P103)))</f>
        <v/>
      </c>
      <c r="H103" s="27">
        <f>IF($P103="","",IF(INDEX(EntryDep,$P103)=0,"",INDEX(EntryDep,$P103)))</f>
        <v/>
      </c>
      <c r="I103" s="27">
        <f>IF($P103="","",IF(INDEX(EntryWit,$P103)=0,"",INDEX(EntryWit,$P103)))</f>
        <v/>
      </c>
      <c r="J103" s="27">
        <f>IF($B103="","",IF($A103=1,$C$7,IF(J102="",0,J102))+IF($H103="",0,$H103)-IF($I103="",0,$I103))</f>
        <v/>
      </c>
      <c r="K103" s="27">
        <f>IF($P103="","",IF(INDEX(EntryMan,$P103)=0,"",INDEX(EntryMan,$P103)))</f>
        <v/>
      </c>
      <c r="L103" s="26">
        <f>IF($B103="","",IF($K103="","—",IF(ROUND($K103-$J103,0)=0,"√","×")))</f>
        <v/>
      </c>
      <c r="M103" s="26">
        <f>IF($B103="","",IF(COUNTIFS(EntryDates,$B103,CalcTime,$C103,CalcBank,$C$5,EntryParty,$D103,EntryDep,$H103,EntryWit,$I103)&gt;1,"تکرار",""))</f>
        <v/>
      </c>
      <c r="N103" s="26">
        <f>IF($P103="","",IF(INDEX(EntryNotes,$P103)=0,"",INDEX(EntryNotes,$P103)))</f>
        <v/>
      </c>
      <c r="O103" s="26">
        <f>IF($P103="","",IF(INDEX(EntryTxnID,$P103)=0,"",INDEX(EntryTxnID,$P103)))</f>
        <v/>
      </c>
      <c r="P103" s="26">
        <f>IFERROR(MATCH($C$5&amp;"|"&amp;RIGHT("000000"&amp;87,6),CalcRankKey,0),"")</f>
        <v/>
      </c>
    </row>
    <row r="104">
      <c r="A104" s="28">
        <f>IF($B104="","",88)</f>
        <v/>
      </c>
      <c r="B104" s="28">
        <f>IF($P104="","",IF(INDEX(CalcNormDate,$P104)=0,"",INDEX(CalcNormDate,$P104)))</f>
        <v/>
      </c>
      <c r="C104" s="28">
        <f>IF($P104="","",IF(INDEX(CalcTime,$P104)=0,"",INDEX(CalcTime,$P104)))</f>
        <v/>
      </c>
      <c r="D104" s="28">
        <f>IF($P104="","",IF(INDEX(EntryParty,$P104)=0,"",INDEX(EntryParty,$P104)))</f>
        <v/>
      </c>
      <c r="E104" s="28">
        <f>IF($P104="","",IF(INDEX(EntryPartyName,$P104)=0,"",INDEX(EntryPartyName,$P104)))</f>
        <v/>
      </c>
      <c r="F104" s="28">
        <f>IF($P104="","",IF(INDEX(EntryPartyType,$P104)=0,"",INDEX(EntryPartyType,$P104)))</f>
        <v/>
      </c>
      <c r="G104" s="28">
        <f>IF($P104="","",IF(INDEX(EntryTxnType,$P104)=0,"",INDEX(EntryTxnType,$P104)))</f>
        <v/>
      </c>
      <c r="H104" s="29">
        <f>IF($P104="","",IF(INDEX(EntryDep,$P104)=0,"",INDEX(EntryDep,$P104)))</f>
        <v/>
      </c>
      <c r="I104" s="29">
        <f>IF($P104="","",IF(INDEX(EntryWit,$P104)=0,"",INDEX(EntryWit,$P104)))</f>
        <v/>
      </c>
      <c r="J104" s="29">
        <f>IF($B104="","",IF($A104=1,$C$7,IF(J103="",0,J103))+IF($H104="",0,$H104)-IF($I104="",0,$I104))</f>
        <v/>
      </c>
      <c r="K104" s="29">
        <f>IF($P104="","",IF(INDEX(EntryMan,$P104)=0,"",INDEX(EntryMan,$P104)))</f>
        <v/>
      </c>
      <c r="L104" s="28">
        <f>IF($B104="","",IF($K104="","—",IF(ROUND($K104-$J104,0)=0,"√","×")))</f>
        <v/>
      </c>
      <c r="M104" s="28">
        <f>IF($B104="","",IF(COUNTIFS(EntryDates,$B104,CalcTime,$C104,CalcBank,$C$5,EntryParty,$D104,EntryDep,$H104,EntryWit,$I104)&gt;1,"تکرار",""))</f>
        <v/>
      </c>
      <c r="N104" s="28">
        <f>IF($P104="","",IF(INDEX(EntryNotes,$P104)=0,"",INDEX(EntryNotes,$P104)))</f>
        <v/>
      </c>
      <c r="O104" s="28">
        <f>IF($P104="","",IF(INDEX(EntryTxnID,$P104)=0,"",INDEX(EntryTxnID,$P104)))</f>
        <v/>
      </c>
      <c r="P104" s="28">
        <f>IFERROR(MATCH($C$5&amp;"|"&amp;RIGHT("000000"&amp;88,6),CalcRankKey,0),"")</f>
        <v/>
      </c>
    </row>
    <row r="105">
      <c r="A105" s="26">
        <f>IF($B105="","",89)</f>
        <v/>
      </c>
      <c r="B105" s="26">
        <f>IF($P105="","",IF(INDEX(CalcNormDate,$P105)=0,"",INDEX(CalcNormDate,$P105)))</f>
        <v/>
      </c>
      <c r="C105" s="26">
        <f>IF($P105="","",IF(INDEX(CalcTime,$P105)=0,"",INDEX(CalcTime,$P105)))</f>
        <v/>
      </c>
      <c r="D105" s="26">
        <f>IF($P105="","",IF(INDEX(EntryParty,$P105)=0,"",INDEX(EntryParty,$P105)))</f>
        <v/>
      </c>
      <c r="E105" s="26">
        <f>IF($P105="","",IF(INDEX(EntryPartyName,$P105)=0,"",INDEX(EntryPartyName,$P105)))</f>
        <v/>
      </c>
      <c r="F105" s="26">
        <f>IF($P105="","",IF(INDEX(EntryPartyType,$P105)=0,"",INDEX(EntryPartyType,$P105)))</f>
        <v/>
      </c>
      <c r="G105" s="26">
        <f>IF($P105="","",IF(INDEX(EntryTxnType,$P105)=0,"",INDEX(EntryTxnType,$P105)))</f>
        <v/>
      </c>
      <c r="H105" s="27">
        <f>IF($P105="","",IF(INDEX(EntryDep,$P105)=0,"",INDEX(EntryDep,$P105)))</f>
        <v/>
      </c>
      <c r="I105" s="27">
        <f>IF($P105="","",IF(INDEX(EntryWit,$P105)=0,"",INDEX(EntryWit,$P105)))</f>
        <v/>
      </c>
      <c r="J105" s="27">
        <f>IF($B105="","",IF($A105=1,$C$7,IF(J104="",0,J104))+IF($H105="",0,$H105)-IF($I105="",0,$I105))</f>
        <v/>
      </c>
      <c r="K105" s="27">
        <f>IF($P105="","",IF(INDEX(EntryMan,$P105)=0,"",INDEX(EntryMan,$P105)))</f>
        <v/>
      </c>
      <c r="L105" s="26">
        <f>IF($B105="","",IF($K105="","—",IF(ROUND($K105-$J105,0)=0,"√","×")))</f>
        <v/>
      </c>
      <c r="M105" s="26">
        <f>IF($B105="","",IF(COUNTIFS(EntryDates,$B105,CalcTime,$C105,CalcBank,$C$5,EntryParty,$D105,EntryDep,$H105,EntryWit,$I105)&gt;1,"تکرار",""))</f>
        <v/>
      </c>
      <c r="N105" s="26">
        <f>IF($P105="","",IF(INDEX(EntryNotes,$P105)=0,"",INDEX(EntryNotes,$P105)))</f>
        <v/>
      </c>
      <c r="O105" s="26">
        <f>IF($P105="","",IF(INDEX(EntryTxnID,$P105)=0,"",INDEX(EntryTxnID,$P105)))</f>
        <v/>
      </c>
      <c r="P105" s="26">
        <f>IFERROR(MATCH($C$5&amp;"|"&amp;RIGHT("000000"&amp;89,6),CalcRankKey,0),"")</f>
        <v/>
      </c>
    </row>
    <row r="106">
      <c r="A106" s="28">
        <f>IF($B106="","",90)</f>
        <v/>
      </c>
      <c r="B106" s="28">
        <f>IF($P106="","",IF(INDEX(CalcNormDate,$P106)=0,"",INDEX(CalcNormDate,$P106)))</f>
        <v/>
      </c>
      <c r="C106" s="28">
        <f>IF($P106="","",IF(INDEX(CalcTime,$P106)=0,"",INDEX(CalcTime,$P106)))</f>
        <v/>
      </c>
      <c r="D106" s="28">
        <f>IF($P106="","",IF(INDEX(EntryParty,$P106)=0,"",INDEX(EntryParty,$P106)))</f>
        <v/>
      </c>
      <c r="E106" s="28">
        <f>IF($P106="","",IF(INDEX(EntryPartyName,$P106)=0,"",INDEX(EntryPartyName,$P106)))</f>
        <v/>
      </c>
      <c r="F106" s="28">
        <f>IF($P106="","",IF(INDEX(EntryPartyType,$P106)=0,"",INDEX(EntryPartyType,$P106)))</f>
        <v/>
      </c>
      <c r="G106" s="28">
        <f>IF($P106="","",IF(INDEX(EntryTxnType,$P106)=0,"",INDEX(EntryTxnType,$P106)))</f>
        <v/>
      </c>
      <c r="H106" s="29">
        <f>IF($P106="","",IF(INDEX(EntryDep,$P106)=0,"",INDEX(EntryDep,$P106)))</f>
        <v/>
      </c>
      <c r="I106" s="29">
        <f>IF($P106="","",IF(INDEX(EntryWit,$P106)=0,"",INDEX(EntryWit,$P106)))</f>
        <v/>
      </c>
      <c r="J106" s="29">
        <f>IF($B106="","",IF($A106=1,$C$7,IF(J105="",0,J105))+IF($H106="",0,$H106)-IF($I106="",0,$I106))</f>
        <v/>
      </c>
      <c r="K106" s="29">
        <f>IF($P106="","",IF(INDEX(EntryMan,$P106)=0,"",INDEX(EntryMan,$P106)))</f>
        <v/>
      </c>
      <c r="L106" s="28">
        <f>IF($B106="","",IF($K106="","—",IF(ROUND($K106-$J106,0)=0,"√","×")))</f>
        <v/>
      </c>
      <c r="M106" s="28">
        <f>IF($B106="","",IF(COUNTIFS(EntryDates,$B106,CalcTime,$C106,CalcBank,$C$5,EntryParty,$D106,EntryDep,$H106,EntryWit,$I106)&gt;1,"تکرار",""))</f>
        <v/>
      </c>
      <c r="N106" s="28">
        <f>IF($P106="","",IF(INDEX(EntryNotes,$P106)=0,"",INDEX(EntryNotes,$P106)))</f>
        <v/>
      </c>
      <c r="O106" s="28">
        <f>IF($P106="","",IF(INDEX(EntryTxnID,$P106)=0,"",INDEX(EntryTxnID,$P106)))</f>
        <v/>
      </c>
      <c r="P106" s="28">
        <f>IFERROR(MATCH($C$5&amp;"|"&amp;RIGHT("000000"&amp;90,6),CalcRankKey,0),"")</f>
        <v/>
      </c>
    </row>
    <row r="107">
      <c r="A107" s="26">
        <f>IF($B107="","",91)</f>
        <v/>
      </c>
      <c r="B107" s="26">
        <f>IF($P107="","",IF(INDEX(CalcNormDate,$P107)=0,"",INDEX(CalcNormDate,$P107)))</f>
        <v/>
      </c>
      <c r="C107" s="26">
        <f>IF($P107="","",IF(INDEX(CalcTime,$P107)=0,"",INDEX(CalcTime,$P107)))</f>
        <v/>
      </c>
      <c r="D107" s="26">
        <f>IF($P107="","",IF(INDEX(EntryParty,$P107)=0,"",INDEX(EntryParty,$P107)))</f>
        <v/>
      </c>
      <c r="E107" s="26">
        <f>IF($P107="","",IF(INDEX(EntryPartyName,$P107)=0,"",INDEX(EntryPartyName,$P107)))</f>
        <v/>
      </c>
      <c r="F107" s="26">
        <f>IF($P107="","",IF(INDEX(EntryPartyType,$P107)=0,"",INDEX(EntryPartyType,$P107)))</f>
        <v/>
      </c>
      <c r="G107" s="26">
        <f>IF($P107="","",IF(INDEX(EntryTxnType,$P107)=0,"",INDEX(EntryTxnType,$P107)))</f>
        <v/>
      </c>
      <c r="H107" s="27">
        <f>IF($P107="","",IF(INDEX(EntryDep,$P107)=0,"",INDEX(EntryDep,$P107)))</f>
        <v/>
      </c>
      <c r="I107" s="27">
        <f>IF($P107="","",IF(INDEX(EntryWit,$P107)=0,"",INDEX(EntryWit,$P107)))</f>
        <v/>
      </c>
      <c r="J107" s="27">
        <f>IF($B107="","",IF($A107=1,$C$7,IF(J106="",0,J106))+IF($H107="",0,$H107)-IF($I107="",0,$I107))</f>
        <v/>
      </c>
      <c r="K107" s="27">
        <f>IF($P107="","",IF(INDEX(EntryMan,$P107)=0,"",INDEX(EntryMan,$P107)))</f>
        <v/>
      </c>
      <c r="L107" s="26">
        <f>IF($B107="","",IF($K107="","—",IF(ROUND($K107-$J107,0)=0,"√","×")))</f>
        <v/>
      </c>
      <c r="M107" s="26">
        <f>IF($B107="","",IF(COUNTIFS(EntryDates,$B107,CalcTime,$C107,CalcBank,$C$5,EntryParty,$D107,EntryDep,$H107,EntryWit,$I107)&gt;1,"تکرار",""))</f>
        <v/>
      </c>
      <c r="N107" s="26">
        <f>IF($P107="","",IF(INDEX(EntryNotes,$P107)=0,"",INDEX(EntryNotes,$P107)))</f>
        <v/>
      </c>
      <c r="O107" s="26">
        <f>IF($P107="","",IF(INDEX(EntryTxnID,$P107)=0,"",INDEX(EntryTxnID,$P107)))</f>
        <v/>
      </c>
      <c r="P107" s="26">
        <f>IFERROR(MATCH($C$5&amp;"|"&amp;RIGHT("000000"&amp;91,6),CalcRankKey,0),"")</f>
        <v/>
      </c>
    </row>
    <row r="108">
      <c r="A108" s="28">
        <f>IF($B108="","",92)</f>
        <v/>
      </c>
      <c r="B108" s="28">
        <f>IF($P108="","",IF(INDEX(CalcNormDate,$P108)=0,"",INDEX(CalcNormDate,$P108)))</f>
        <v/>
      </c>
      <c r="C108" s="28">
        <f>IF($P108="","",IF(INDEX(CalcTime,$P108)=0,"",INDEX(CalcTime,$P108)))</f>
        <v/>
      </c>
      <c r="D108" s="28">
        <f>IF($P108="","",IF(INDEX(EntryParty,$P108)=0,"",INDEX(EntryParty,$P108)))</f>
        <v/>
      </c>
      <c r="E108" s="28">
        <f>IF($P108="","",IF(INDEX(EntryPartyName,$P108)=0,"",INDEX(EntryPartyName,$P108)))</f>
        <v/>
      </c>
      <c r="F108" s="28">
        <f>IF($P108="","",IF(INDEX(EntryPartyType,$P108)=0,"",INDEX(EntryPartyType,$P108)))</f>
        <v/>
      </c>
      <c r="G108" s="28">
        <f>IF($P108="","",IF(INDEX(EntryTxnType,$P108)=0,"",INDEX(EntryTxnType,$P108)))</f>
        <v/>
      </c>
      <c r="H108" s="29">
        <f>IF($P108="","",IF(INDEX(EntryDep,$P108)=0,"",INDEX(EntryDep,$P108)))</f>
        <v/>
      </c>
      <c r="I108" s="29">
        <f>IF($P108="","",IF(INDEX(EntryWit,$P108)=0,"",INDEX(EntryWit,$P108)))</f>
        <v/>
      </c>
      <c r="J108" s="29">
        <f>IF($B108="","",IF($A108=1,$C$7,IF(J107="",0,J107))+IF($H108="",0,$H108)-IF($I108="",0,$I108))</f>
        <v/>
      </c>
      <c r="K108" s="29">
        <f>IF($P108="","",IF(INDEX(EntryMan,$P108)=0,"",INDEX(EntryMan,$P108)))</f>
        <v/>
      </c>
      <c r="L108" s="28">
        <f>IF($B108="","",IF($K108="","—",IF(ROUND($K108-$J108,0)=0,"√","×")))</f>
        <v/>
      </c>
      <c r="M108" s="28">
        <f>IF($B108="","",IF(COUNTIFS(EntryDates,$B108,CalcTime,$C108,CalcBank,$C$5,EntryParty,$D108,EntryDep,$H108,EntryWit,$I108)&gt;1,"تکرار",""))</f>
        <v/>
      </c>
      <c r="N108" s="28">
        <f>IF($P108="","",IF(INDEX(EntryNotes,$P108)=0,"",INDEX(EntryNotes,$P108)))</f>
        <v/>
      </c>
      <c r="O108" s="28">
        <f>IF($P108="","",IF(INDEX(EntryTxnID,$P108)=0,"",INDEX(EntryTxnID,$P108)))</f>
        <v/>
      </c>
      <c r="P108" s="28">
        <f>IFERROR(MATCH($C$5&amp;"|"&amp;RIGHT("000000"&amp;92,6),CalcRankKey,0),"")</f>
        <v/>
      </c>
    </row>
    <row r="109">
      <c r="A109" s="26">
        <f>IF($B109="","",93)</f>
        <v/>
      </c>
      <c r="B109" s="26">
        <f>IF($P109="","",IF(INDEX(CalcNormDate,$P109)=0,"",INDEX(CalcNormDate,$P109)))</f>
        <v/>
      </c>
      <c r="C109" s="26">
        <f>IF($P109="","",IF(INDEX(CalcTime,$P109)=0,"",INDEX(CalcTime,$P109)))</f>
        <v/>
      </c>
      <c r="D109" s="26">
        <f>IF($P109="","",IF(INDEX(EntryParty,$P109)=0,"",INDEX(EntryParty,$P109)))</f>
        <v/>
      </c>
      <c r="E109" s="26">
        <f>IF($P109="","",IF(INDEX(EntryPartyName,$P109)=0,"",INDEX(EntryPartyName,$P109)))</f>
        <v/>
      </c>
      <c r="F109" s="26">
        <f>IF($P109="","",IF(INDEX(EntryPartyType,$P109)=0,"",INDEX(EntryPartyType,$P109)))</f>
        <v/>
      </c>
      <c r="G109" s="26">
        <f>IF($P109="","",IF(INDEX(EntryTxnType,$P109)=0,"",INDEX(EntryTxnType,$P109)))</f>
        <v/>
      </c>
      <c r="H109" s="27">
        <f>IF($P109="","",IF(INDEX(EntryDep,$P109)=0,"",INDEX(EntryDep,$P109)))</f>
        <v/>
      </c>
      <c r="I109" s="27">
        <f>IF($P109="","",IF(INDEX(EntryWit,$P109)=0,"",INDEX(EntryWit,$P109)))</f>
        <v/>
      </c>
      <c r="J109" s="27">
        <f>IF($B109="","",IF($A109=1,$C$7,IF(J108="",0,J108))+IF($H109="",0,$H109)-IF($I109="",0,$I109))</f>
        <v/>
      </c>
      <c r="K109" s="27">
        <f>IF($P109="","",IF(INDEX(EntryMan,$P109)=0,"",INDEX(EntryMan,$P109)))</f>
        <v/>
      </c>
      <c r="L109" s="26">
        <f>IF($B109="","",IF($K109="","—",IF(ROUND($K109-$J109,0)=0,"√","×")))</f>
        <v/>
      </c>
      <c r="M109" s="26">
        <f>IF($B109="","",IF(COUNTIFS(EntryDates,$B109,CalcTime,$C109,CalcBank,$C$5,EntryParty,$D109,EntryDep,$H109,EntryWit,$I109)&gt;1,"تکرار",""))</f>
        <v/>
      </c>
      <c r="N109" s="26">
        <f>IF($P109="","",IF(INDEX(EntryNotes,$P109)=0,"",INDEX(EntryNotes,$P109)))</f>
        <v/>
      </c>
      <c r="O109" s="26">
        <f>IF($P109="","",IF(INDEX(EntryTxnID,$P109)=0,"",INDEX(EntryTxnID,$P109)))</f>
        <v/>
      </c>
      <c r="P109" s="26">
        <f>IFERROR(MATCH($C$5&amp;"|"&amp;RIGHT("000000"&amp;93,6),CalcRankKey,0),"")</f>
        <v/>
      </c>
    </row>
    <row r="110">
      <c r="A110" s="28">
        <f>IF($B110="","",94)</f>
        <v/>
      </c>
      <c r="B110" s="28">
        <f>IF($P110="","",IF(INDEX(CalcNormDate,$P110)=0,"",INDEX(CalcNormDate,$P110)))</f>
        <v/>
      </c>
      <c r="C110" s="28">
        <f>IF($P110="","",IF(INDEX(CalcTime,$P110)=0,"",INDEX(CalcTime,$P110)))</f>
        <v/>
      </c>
      <c r="D110" s="28">
        <f>IF($P110="","",IF(INDEX(EntryParty,$P110)=0,"",INDEX(EntryParty,$P110)))</f>
        <v/>
      </c>
      <c r="E110" s="28">
        <f>IF($P110="","",IF(INDEX(EntryPartyName,$P110)=0,"",INDEX(EntryPartyName,$P110)))</f>
        <v/>
      </c>
      <c r="F110" s="28">
        <f>IF($P110="","",IF(INDEX(EntryPartyType,$P110)=0,"",INDEX(EntryPartyType,$P110)))</f>
        <v/>
      </c>
      <c r="G110" s="28">
        <f>IF($P110="","",IF(INDEX(EntryTxnType,$P110)=0,"",INDEX(EntryTxnType,$P110)))</f>
        <v/>
      </c>
      <c r="H110" s="29">
        <f>IF($P110="","",IF(INDEX(EntryDep,$P110)=0,"",INDEX(EntryDep,$P110)))</f>
        <v/>
      </c>
      <c r="I110" s="29">
        <f>IF($P110="","",IF(INDEX(EntryWit,$P110)=0,"",INDEX(EntryWit,$P110)))</f>
        <v/>
      </c>
      <c r="J110" s="29">
        <f>IF($B110="","",IF($A110=1,$C$7,IF(J109="",0,J109))+IF($H110="",0,$H110)-IF($I110="",0,$I110))</f>
        <v/>
      </c>
      <c r="K110" s="29">
        <f>IF($P110="","",IF(INDEX(EntryMan,$P110)=0,"",INDEX(EntryMan,$P110)))</f>
        <v/>
      </c>
      <c r="L110" s="28">
        <f>IF($B110="","",IF($K110="","—",IF(ROUND($K110-$J110,0)=0,"√","×")))</f>
        <v/>
      </c>
      <c r="M110" s="28">
        <f>IF($B110="","",IF(COUNTIFS(EntryDates,$B110,CalcTime,$C110,CalcBank,$C$5,EntryParty,$D110,EntryDep,$H110,EntryWit,$I110)&gt;1,"تکرار",""))</f>
        <v/>
      </c>
      <c r="N110" s="28">
        <f>IF($P110="","",IF(INDEX(EntryNotes,$P110)=0,"",INDEX(EntryNotes,$P110)))</f>
        <v/>
      </c>
      <c r="O110" s="28">
        <f>IF($P110="","",IF(INDEX(EntryTxnID,$P110)=0,"",INDEX(EntryTxnID,$P110)))</f>
        <v/>
      </c>
      <c r="P110" s="28">
        <f>IFERROR(MATCH($C$5&amp;"|"&amp;RIGHT("000000"&amp;94,6),CalcRankKey,0),"")</f>
        <v/>
      </c>
    </row>
    <row r="111">
      <c r="A111" s="26">
        <f>IF($B111="","",95)</f>
        <v/>
      </c>
      <c r="B111" s="26">
        <f>IF($P111="","",IF(INDEX(CalcNormDate,$P111)=0,"",INDEX(CalcNormDate,$P111)))</f>
        <v/>
      </c>
      <c r="C111" s="26">
        <f>IF($P111="","",IF(INDEX(CalcTime,$P111)=0,"",INDEX(CalcTime,$P111)))</f>
        <v/>
      </c>
      <c r="D111" s="26">
        <f>IF($P111="","",IF(INDEX(EntryParty,$P111)=0,"",INDEX(EntryParty,$P111)))</f>
        <v/>
      </c>
      <c r="E111" s="26">
        <f>IF($P111="","",IF(INDEX(EntryPartyName,$P111)=0,"",INDEX(EntryPartyName,$P111)))</f>
        <v/>
      </c>
      <c r="F111" s="26">
        <f>IF($P111="","",IF(INDEX(EntryPartyType,$P111)=0,"",INDEX(EntryPartyType,$P111)))</f>
        <v/>
      </c>
      <c r="G111" s="26">
        <f>IF($P111="","",IF(INDEX(EntryTxnType,$P111)=0,"",INDEX(EntryTxnType,$P111)))</f>
        <v/>
      </c>
      <c r="H111" s="27">
        <f>IF($P111="","",IF(INDEX(EntryDep,$P111)=0,"",INDEX(EntryDep,$P111)))</f>
        <v/>
      </c>
      <c r="I111" s="27">
        <f>IF($P111="","",IF(INDEX(EntryWit,$P111)=0,"",INDEX(EntryWit,$P111)))</f>
        <v/>
      </c>
      <c r="J111" s="27">
        <f>IF($B111="","",IF($A111=1,$C$7,IF(J110="",0,J110))+IF($H111="",0,$H111)-IF($I111="",0,$I111))</f>
        <v/>
      </c>
      <c r="K111" s="27">
        <f>IF($P111="","",IF(INDEX(EntryMan,$P111)=0,"",INDEX(EntryMan,$P111)))</f>
        <v/>
      </c>
      <c r="L111" s="26">
        <f>IF($B111="","",IF($K111="","—",IF(ROUND($K111-$J111,0)=0,"√","×")))</f>
        <v/>
      </c>
      <c r="M111" s="26">
        <f>IF($B111="","",IF(COUNTIFS(EntryDates,$B111,CalcTime,$C111,CalcBank,$C$5,EntryParty,$D111,EntryDep,$H111,EntryWit,$I111)&gt;1,"تکرار",""))</f>
        <v/>
      </c>
      <c r="N111" s="26">
        <f>IF($P111="","",IF(INDEX(EntryNotes,$P111)=0,"",INDEX(EntryNotes,$P111)))</f>
        <v/>
      </c>
      <c r="O111" s="26">
        <f>IF($P111="","",IF(INDEX(EntryTxnID,$P111)=0,"",INDEX(EntryTxnID,$P111)))</f>
        <v/>
      </c>
      <c r="P111" s="26">
        <f>IFERROR(MATCH($C$5&amp;"|"&amp;RIGHT("000000"&amp;95,6),CalcRankKey,0),"")</f>
        <v/>
      </c>
    </row>
    <row r="112">
      <c r="A112" s="28">
        <f>IF($B112="","",96)</f>
        <v/>
      </c>
      <c r="B112" s="28">
        <f>IF($P112="","",IF(INDEX(CalcNormDate,$P112)=0,"",INDEX(CalcNormDate,$P112)))</f>
        <v/>
      </c>
      <c r="C112" s="28">
        <f>IF($P112="","",IF(INDEX(CalcTime,$P112)=0,"",INDEX(CalcTime,$P112)))</f>
        <v/>
      </c>
      <c r="D112" s="28">
        <f>IF($P112="","",IF(INDEX(EntryParty,$P112)=0,"",INDEX(EntryParty,$P112)))</f>
        <v/>
      </c>
      <c r="E112" s="28">
        <f>IF($P112="","",IF(INDEX(EntryPartyName,$P112)=0,"",INDEX(EntryPartyName,$P112)))</f>
        <v/>
      </c>
      <c r="F112" s="28">
        <f>IF($P112="","",IF(INDEX(EntryPartyType,$P112)=0,"",INDEX(EntryPartyType,$P112)))</f>
        <v/>
      </c>
      <c r="G112" s="28">
        <f>IF($P112="","",IF(INDEX(EntryTxnType,$P112)=0,"",INDEX(EntryTxnType,$P112)))</f>
        <v/>
      </c>
      <c r="H112" s="29">
        <f>IF($P112="","",IF(INDEX(EntryDep,$P112)=0,"",INDEX(EntryDep,$P112)))</f>
        <v/>
      </c>
      <c r="I112" s="29">
        <f>IF($P112="","",IF(INDEX(EntryWit,$P112)=0,"",INDEX(EntryWit,$P112)))</f>
        <v/>
      </c>
      <c r="J112" s="29">
        <f>IF($B112="","",IF($A112=1,$C$7,IF(J111="",0,J111))+IF($H112="",0,$H112)-IF($I112="",0,$I112))</f>
        <v/>
      </c>
      <c r="K112" s="29">
        <f>IF($P112="","",IF(INDEX(EntryMan,$P112)=0,"",INDEX(EntryMan,$P112)))</f>
        <v/>
      </c>
      <c r="L112" s="28">
        <f>IF($B112="","",IF($K112="","—",IF(ROUND($K112-$J112,0)=0,"√","×")))</f>
        <v/>
      </c>
      <c r="M112" s="28">
        <f>IF($B112="","",IF(COUNTIFS(EntryDates,$B112,CalcTime,$C112,CalcBank,$C$5,EntryParty,$D112,EntryDep,$H112,EntryWit,$I112)&gt;1,"تکرار",""))</f>
        <v/>
      </c>
      <c r="N112" s="28">
        <f>IF($P112="","",IF(INDEX(EntryNotes,$P112)=0,"",INDEX(EntryNotes,$P112)))</f>
        <v/>
      </c>
      <c r="O112" s="28">
        <f>IF($P112="","",IF(INDEX(EntryTxnID,$P112)=0,"",INDEX(EntryTxnID,$P112)))</f>
        <v/>
      </c>
      <c r="P112" s="28">
        <f>IFERROR(MATCH($C$5&amp;"|"&amp;RIGHT("000000"&amp;96,6),CalcRankKey,0),"")</f>
        <v/>
      </c>
    </row>
    <row r="113">
      <c r="A113" s="26">
        <f>IF($B113="","",97)</f>
        <v/>
      </c>
      <c r="B113" s="26">
        <f>IF($P113="","",IF(INDEX(CalcNormDate,$P113)=0,"",INDEX(CalcNormDate,$P113)))</f>
        <v/>
      </c>
      <c r="C113" s="26">
        <f>IF($P113="","",IF(INDEX(CalcTime,$P113)=0,"",INDEX(CalcTime,$P113)))</f>
        <v/>
      </c>
      <c r="D113" s="26">
        <f>IF($P113="","",IF(INDEX(EntryParty,$P113)=0,"",INDEX(EntryParty,$P113)))</f>
        <v/>
      </c>
      <c r="E113" s="26">
        <f>IF($P113="","",IF(INDEX(EntryPartyName,$P113)=0,"",INDEX(EntryPartyName,$P113)))</f>
        <v/>
      </c>
      <c r="F113" s="26">
        <f>IF($P113="","",IF(INDEX(EntryPartyType,$P113)=0,"",INDEX(EntryPartyType,$P113)))</f>
        <v/>
      </c>
      <c r="G113" s="26">
        <f>IF($P113="","",IF(INDEX(EntryTxnType,$P113)=0,"",INDEX(EntryTxnType,$P113)))</f>
        <v/>
      </c>
      <c r="H113" s="27">
        <f>IF($P113="","",IF(INDEX(EntryDep,$P113)=0,"",INDEX(EntryDep,$P113)))</f>
        <v/>
      </c>
      <c r="I113" s="27">
        <f>IF($P113="","",IF(INDEX(EntryWit,$P113)=0,"",INDEX(EntryWit,$P113)))</f>
        <v/>
      </c>
      <c r="J113" s="27">
        <f>IF($B113="","",IF($A113=1,$C$7,IF(J112="",0,J112))+IF($H113="",0,$H113)-IF($I113="",0,$I113))</f>
        <v/>
      </c>
      <c r="K113" s="27">
        <f>IF($P113="","",IF(INDEX(EntryMan,$P113)=0,"",INDEX(EntryMan,$P113)))</f>
        <v/>
      </c>
      <c r="L113" s="26">
        <f>IF($B113="","",IF($K113="","—",IF(ROUND($K113-$J113,0)=0,"√","×")))</f>
        <v/>
      </c>
      <c r="M113" s="26">
        <f>IF($B113="","",IF(COUNTIFS(EntryDates,$B113,CalcTime,$C113,CalcBank,$C$5,EntryParty,$D113,EntryDep,$H113,EntryWit,$I113)&gt;1,"تکرار",""))</f>
        <v/>
      </c>
      <c r="N113" s="26">
        <f>IF($P113="","",IF(INDEX(EntryNotes,$P113)=0,"",INDEX(EntryNotes,$P113)))</f>
        <v/>
      </c>
      <c r="O113" s="26">
        <f>IF($P113="","",IF(INDEX(EntryTxnID,$P113)=0,"",INDEX(EntryTxnID,$P113)))</f>
        <v/>
      </c>
      <c r="P113" s="26">
        <f>IFERROR(MATCH($C$5&amp;"|"&amp;RIGHT("000000"&amp;97,6),CalcRankKey,0),"")</f>
        <v/>
      </c>
    </row>
    <row r="114">
      <c r="A114" s="28">
        <f>IF($B114="","",98)</f>
        <v/>
      </c>
      <c r="B114" s="28">
        <f>IF($P114="","",IF(INDEX(CalcNormDate,$P114)=0,"",INDEX(CalcNormDate,$P114)))</f>
        <v/>
      </c>
      <c r="C114" s="28">
        <f>IF($P114="","",IF(INDEX(CalcTime,$P114)=0,"",INDEX(CalcTime,$P114)))</f>
        <v/>
      </c>
      <c r="D114" s="28">
        <f>IF($P114="","",IF(INDEX(EntryParty,$P114)=0,"",INDEX(EntryParty,$P114)))</f>
        <v/>
      </c>
      <c r="E114" s="28">
        <f>IF($P114="","",IF(INDEX(EntryPartyName,$P114)=0,"",INDEX(EntryPartyName,$P114)))</f>
        <v/>
      </c>
      <c r="F114" s="28">
        <f>IF($P114="","",IF(INDEX(EntryPartyType,$P114)=0,"",INDEX(EntryPartyType,$P114)))</f>
        <v/>
      </c>
      <c r="G114" s="28">
        <f>IF($P114="","",IF(INDEX(EntryTxnType,$P114)=0,"",INDEX(EntryTxnType,$P114)))</f>
        <v/>
      </c>
      <c r="H114" s="29">
        <f>IF($P114="","",IF(INDEX(EntryDep,$P114)=0,"",INDEX(EntryDep,$P114)))</f>
        <v/>
      </c>
      <c r="I114" s="29">
        <f>IF($P114="","",IF(INDEX(EntryWit,$P114)=0,"",INDEX(EntryWit,$P114)))</f>
        <v/>
      </c>
      <c r="J114" s="29">
        <f>IF($B114="","",IF($A114=1,$C$7,IF(J113="",0,J113))+IF($H114="",0,$H114)-IF($I114="",0,$I114))</f>
        <v/>
      </c>
      <c r="K114" s="29">
        <f>IF($P114="","",IF(INDEX(EntryMan,$P114)=0,"",INDEX(EntryMan,$P114)))</f>
        <v/>
      </c>
      <c r="L114" s="28">
        <f>IF($B114="","",IF($K114="","—",IF(ROUND($K114-$J114,0)=0,"√","×")))</f>
        <v/>
      </c>
      <c r="M114" s="28">
        <f>IF($B114="","",IF(COUNTIFS(EntryDates,$B114,CalcTime,$C114,CalcBank,$C$5,EntryParty,$D114,EntryDep,$H114,EntryWit,$I114)&gt;1,"تکرار",""))</f>
        <v/>
      </c>
      <c r="N114" s="28">
        <f>IF($P114="","",IF(INDEX(EntryNotes,$P114)=0,"",INDEX(EntryNotes,$P114)))</f>
        <v/>
      </c>
      <c r="O114" s="28">
        <f>IF($P114="","",IF(INDEX(EntryTxnID,$P114)=0,"",INDEX(EntryTxnID,$P114)))</f>
        <v/>
      </c>
      <c r="P114" s="28">
        <f>IFERROR(MATCH($C$5&amp;"|"&amp;RIGHT("000000"&amp;98,6),CalcRankKey,0),"")</f>
        <v/>
      </c>
    </row>
    <row r="115">
      <c r="A115" s="26">
        <f>IF($B115="","",99)</f>
        <v/>
      </c>
      <c r="B115" s="26">
        <f>IF($P115="","",IF(INDEX(CalcNormDate,$P115)=0,"",INDEX(CalcNormDate,$P115)))</f>
        <v/>
      </c>
      <c r="C115" s="26">
        <f>IF($P115="","",IF(INDEX(CalcTime,$P115)=0,"",INDEX(CalcTime,$P115)))</f>
        <v/>
      </c>
      <c r="D115" s="26">
        <f>IF($P115="","",IF(INDEX(EntryParty,$P115)=0,"",INDEX(EntryParty,$P115)))</f>
        <v/>
      </c>
      <c r="E115" s="26">
        <f>IF($P115="","",IF(INDEX(EntryPartyName,$P115)=0,"",INDEX(EntryPartyName,$P115)))</f>
        <v/>
      </c>
      <c r="F115" s="26">
        <f>IF($P115="","",IF(INDEX(EntryPartyType,$P115)=0,"",INDEX(EntryPartyType,$P115)))</f>
        <v/>
      </c>
      <c r="G115" s="26">
        <f>IF($P115="","",IF(INDEX(EntryTxnType,$P115)=0,"",INDEX(EntryTxnType,$P115)))</f>
        <v/>
      </c>
      <c r="H115" s="27">
        <f>IF($P115="","",IF(INDEX(EntryDep,$P115)=0,"",INDEX(EntryDep,$P115)))</f>
        <v/>
      </c>
      <c r="I115" s="27">
        <f>IF($P115="","",IF(INDEX(EntryWit,$P115)=0,"",INDEX(EntryWit,$P115)))</f>
        <v/>
      </c>
      <c r="J115" s="27">
        <f>IF($B115="","",IF($A115=1,$C$7,IF(J114="",0,J114))+IF($H115="",0,$H115)-IF($I115="",0,$I115))</f>
        <v/>
      </c>
      <c r="K115" s="27">
        <f>IF($P115="","",IF(INDEX(EntryMan,$P115)=0,"",INDEX(EntryMan,$P115)))</f>
        <v/>
      </c>
      <c r="L115" s="26">
        <f>IF($B115="","",IF($K115="","—",IF(ROUND($K115-$J115,0)=0,"√","×")))</f>
        <v/>
      </c>
      <c r="M115" s="26">
        <f>IF($B115="","",IF(COUNTIFS(EntryDates,$B115,CalcTime,$C115,CalcBank,$C$5,EntryParty,$D115,EntryDep,$H115,EntryWit,$I115)&gt;1,"تکرار",""))</f>
        <v/>
      </c>
      <c r="N115" s="26">
        <f>IF($P115="","",IF(INDEX(EntryNotes,$P115)=0,"",INDEX(EntryNotes,$P115)))</f>
        <v/>
      </c>
      <c r="O115" s="26">
        <f>IF($P115="","",IF(INDEX(EntryTxnID,$P115)=0,"",INDEX(EntryTxnID,$P115)))</f>
        <v/>
      </c>
      <c r="P115" s="26">
        <f>IFERROR(MATCH($C$5&amp;"|"&amp;RIGHT("000000"&amp;99,6),CalcRankKey,0),"")</f>
        <v/>
      </c>
    </row>
    <row r="116">
      <c r="A116" s="28">
        <f>IF($B116="","",100)</f>
        <v/>
      </c>
      <c r="B116" s="28">
        <f>IF($P116="","",IF(INDEX(CalcNormDate,$P116)=0,"",INDEX(CalcNormDate,$P116)))</f>
        <v/>
      </c>
      <c r="C116" s="28">
        <f>IF($P116="","",IF(INDEX(CalcTime,$P116)=0,"",INDEX(CalcTime,$P116)))</f>
        <v/>
      </c>
      <c r="D116" s="28">
        <f>IF($P116="","",IF(INDEX(EntryParty,$P116)=0,"",INDEX(EntryParty,$P116)))</f>
        <v/>
      </c>
      <c r="E116" s="28">
        <f>IF($P116="","",IF(INDEX(EntryPartyName,$P116)=0,"",INDEX(EntryPartyName,$P116)))</f>
        <v/>
      </c>
      <c r="F116" s="28">
        <f>IF($P116="","",IF(INDEX(EntryPartyType,$P116)=0,"",INDEX(EntryPartyType,$P116)))</f>
        <v/>
      </c>
      <c r="G116" s="28">
        <f>IF($P116="","",IF(INDEX(EntryTxnType,$P116)=0,"",INDEX(EntryTxnType,$P116)))</f>
        <v/>
      </c>
      <c r="H116" s="29">
        <f>IF($P116="","",IF(INDEX(EntryDep,$P116)=0,"",INDEX(EntryDep,$P116)))</f>
        <v/>
      </c>
      <c r="I116" s="29">
        <f>IF($P116="","",IF(INDEX(EntryWit,$P116)=0,"",INDEX(EntryWit,$P116)))</f>
        <v/>
      </c>
      <c r="J116" s="29">
        <f>IF($B116="","",IF($A116=1,$C$7,IF(J115="",0,J115))+IF($H116="",0,$H116)-IF($I116="",0,$I116))</f>
        <v/>
      </c>
      <c r="K116" s="29">
        <f>IF($P116="","",IF(INDEX(EntryMan,$P116)=0,"",INDEX(EntryMan,$P116)))</f>
        <v/>
      </c>
      <c r="L116" s="28">
        <f>IF($B116="","",IF($K116="","—",IF(ROUND($K116-$J116,0)=0,"√","×")))</f>
        <v/>
      </c>
      <c r="M116" s="28">
        <f>IF($B116="","",IF(COUNTIFS(EntryDates,$B116,CalcTime,$C116,CalcBank,$C$5,EntryParty,$D116,EntryDep,$H116,EntryWit,$I116)&gt;1,"تکرار",""))</f>
        <v/>
      </c>
      <c r="N116" s="28">
        <f>IF($P116="","",IF(INDEX(EntryNotes,$P116)=0,"",INDEX(EntryNotes,$P116)))</f>
        <v/>
      </c>
      <c r="O116" s="28">
        <f>IF($P116="","",IF(INDEX(EntryTxnID,$P116)=0,"",INDEX(EntryTxnID,$P116)))</f>
        <v/>
      </c>
      <c r="P116" s="28">
        <f>IFERROR(MATCH($C$5&amp;"|"&amp;RIGHT("000000"&amp;100,6),CalcRankKey,0),"")</f>
        <v/>
      </c>
    </row>
    <row r="117">
      <c r="A117" s="26">
        <f>IF($B117="","",101)</f>
        <v/>
      </c>
      <c r="B117" s="26">
        <f>IF($P117="","",IF(INDEX(CalcNormDate,$P117)=0,"",INDEX(CalcNormDate,$P117)))</f>
        <v/>
      </c>
      <c r="C117" s="26">
        <f>IF($P117="","",IF(INDEX(CalcTime,$P117)=0,"",INDEX(CalcTime,$P117)))</f>
        <v/>
      </c>
      <c r="D117" s="26">
        <f>IF($P117="","",IF(INDEX(EntryParty,$P117)=0,"",INDEX(EntryParty,$P117)))</f>
        <v/>
      </c>
      <c r="E117" s="26">
        <f>IF($P117="","",IF(INDEX(EntryPartyName,$P117)=0,"",INDEX(EntryPartyName,$P117)))</f>
        <v/>
      </c>
      <c r="F117" s="26">
        <f>IF($P117="","",IF(INDEX(EntryPartyType,$P117)=0,"",INDEX(EntryPartyType,$P117)))</f>
        <v/>
      </c>
      <c r="G117" s="26">
        <f>IF($P117="","",IF(INDEX(EntryTxnType,$P117)=0,"",INDEX(EntryTxnType,$P117)))</f>
        <v/>
      </c>
      <c r="H117" s="27">
        <f>IF($P117="","",IF(INDEX(EntryDep,$P117)=0,"",INDEX(EntryDep,$P117)))</f>
        <v/>
      </c>
      <c r="I117" s="27">
        <f>IF($P117="","",IF(INDEX(EntryWit,$P117)=0,"",INDEX(EntryWit,$P117)))</f>
        <v/>
      </c>
      <c r="J117" s="27">
        <f>IF($B117="","",IF($A117=1,$C$7,IF(J116="",0,J116))+IF($H117="",0,$H117)-IF($I117="",0,$I117))</f>
        <v/>
      </c>
      <c r="K117" s="27">
        <f>IF($P117="","",IF(INDEX(EntryMan,$P117)=0,"",INDEX(EntryMan,$P117)))</f>
        <v/>
      </c>
      <c r="L117" s="26">
        <f>IF($B117="","",IF($K117="","—",IF(ROUND($K117-$J117,0)=0,"√","×")))</f>
        <v/>
      </c>
      <c r="M117" s="26">
        <f>IF($B117="","",IF(COUNTIFS(EntryDates,$B117,CalcTime,$C117,CalcBank,$C$5,EntryParty,$D117,EntryDep,$H117,EntryWit,$I117)&gt;1,"تکرار",""))</f>
        <v/>
      </c>
      <c r="N117" s="26">
        <f>IF($P117="","",IF(INDEX(EntryNotes,$P117)=0,"",INDEX(EntryNotes,$P117)))</f>
        <v/>
      </c>
      <c r="O117" s="26">
        <f>IF($P117="","",IF(INDEX(EntryTxnID,$P117)=0,"",INDEX(EntryTxnID,$P117)))</f>
        <v/>
      </c>
      <c r="P117" s="26">
        <f>IFERROR(MATCH($C$5&amp;"|"&amp;RIGHT("000000"&amp;101,6),CalcRankKey,0),"")</f>
        <v/>
      </c>
    </row>
    <row r="118">
      <c r="A118" s="28">
        <f>IF($B118="","",102)</f>
        <v/>
      </c>
      <c r="B118" s="28">
        <f>IF($P118="","",IF(INDEX(CalcNormDate,$P118)=0,"",INDEX(CalcNormDate,$P118)))</f>
        <v/>
      </c>
      <c r="C118" s="28">
        <f>IF($P118="","",IF(INDEX(CalcTime,$P118)=0,"",INDEX(CalcTime,$P118)))</f>
        <v/>
      </c>
      <c r="D118" s="28">
        <f>IF($P118="","",IF(INDEX(EntryParty,$P118)=0,"",INDEX(EntryParty,$P118)))</f>
        <v/>
      </c>
      <c r="E118" s="28">
        <f>IF($P118="","",IF(INDEX(EntryPartyName,$P118)=0,"",INDEX(EntryPartyName,$P118)))</f>
        <v/>
      </c>
      <c r="F118" s="28">
        <f>IF($P118="","",IF(INDEX(EntryPartyType,$P118)=0,"",INDEX(EntryPartyType,$P118)))</f>
        <v/>
      </c>
      <c r="G118" s="28">
        <f>IF($P118="","",IF(INDEX(EntryTxnType,$P118)=0,"",INDEX(EntryTxnType,$P118)))</f>
        <v/>
      </c>
      <c r="H118" s="29">
        <f>IF($P118="","",IF(INDEX(EntryDep,$P118)=0,"",INDEX(EntryDep,$P118)))</f>
        <v/>
      </c>
      <c r="I118" s="29">
        <f>IF($P118="","",IF(INDEX(EntryWit,$P118)=0,"",INDEX(EntryWit,$P118)))</f>
        <v/>
      </c>
      <c r="J118" s="29">
        <f>IF($B118="","",IF($A118=1,$C$7,IF(J117="",0,J117))+IF($H118="",0,$H118)-IF($I118="",0,$I118))</f>
        <v/>
      </c>
      <c r="K118" s="29">
        <f>IF($P118="","",IF(INDEX(EntryMan,$P118)=0,"",INDEX(EntryMan,$P118)))</f>
        <v/>
      </c>
      <c r="L118" s="28">
        <f>IF($B118="","",IF($K118="","—",IF(ROUND($K118-$J118,0)=0,"√","×")))</f>
        <v/>
      </c>
      <c r="M118" s="28">
        <f>IF($B118="","",IF(COUNTIFS(EntryDates,$B118,CalcTime,$C118,CalcBank,$C$5,EntryParty,$D118,EntryDep,$H118,EntryWit,$I118)&gt;1,"تکرار",""))</f>
        <v/>
      </c>
      <c r="N118" s="28">
        <f>IF($P118="","",IF(INDEX(EntryNotes,$P118)=0,"",INDEX(EntryNotes,$P118)))</f>
        <v/>
      </c>
      <c r="O118" s="28">
        <f>IF($P118="","",IF(INDEX(EntryTxnID,$P118)=0,"",INDEX(EntryTxnID,$P118)))</f>
        <v/>
      </c>
      <c r="P118" s="28">
        <f>IFERROR(MATCH($C$5&amp;"|"&amp;RIGHT("000000"&amp;102,6),CalcRankKey,0),"")</f>
        <v/>
      </c>
    </row>
    <row r="119">
      <c r="A119" s="26">
        <f>IF($B119="","",103)</f>
        <v/>
      </c>
      <c r="B119" s="26">
        <f>IF($P119="","",IF(INDEX(CalcNormDate,$P119)=0,"",INDEX(CalcNormDate,$P119)))</f>
        <v/>
      </c>
      <c r="C119" s="26">
        <f>IF($P119="","",IF(INDEX(CalcTime,$P119)=0,"",INDEX(CalcTime,$P119)))</f>
        <v/>
      </c>
      <c r="D119" s="26">
        <f>IF($P119="","",IF(INDEX(EntryParty,$P119)=0,"",INDEX(EntryParty,$P119)))</f>
        <v/>
      </c>
      <c r="E119" s="26">
        <f>IF($P119="","",IF(INDEX(EntryPartyName,$P119)=0,"",INDEX(EntryPartyName,$P119)))</f>
        <v/>
      </c>
      <c r="F119" s="26">
        <f>IF($P119="","",IF(INDEX(EntryPartyType,$P119)=0,"",INDEX(EntryPartyType,$P119)))</f>
        <v/>
      </c>
      <c r="G119" s="26">
        <f>IF($P119="","",IF(INDEX(EntryTxnType,$P119)=0,"",INDEX(EntryTxnType,$P119)))</f>
        <v/>
      </c>
      <c r="H119" s="27">
        <f>IF($P119="","",IF(INDEX(EntryDep,$P119)=0,"",INDEX(EntryDep,$P119)))</f>
        <v/>
      </c>
      <c r="I119" s="27">
        <f>IF($P119="","",IF(INDEX(EntryWit,$P119)=0,"",INDEX(EntryWit,$P119)))</f>
        <v/>
      </c>
      <c r="J119" s="27">
        <f>IF($B119="","",IF($A119=1,$C$7,IF(J118="",0,J118))+IF($H119="",0,$H119)-IF($I119="",0,$I119))</f>
        <v/>
      </c>
      <c r="K119" s="27">
        <f>IF($P119="","",IF(INDEX(EntryMan,$P119)=0,"",INDEX(EntryMan,$P119)))</f>
        <v/>
      </c>
      <c r="L119" s="26">
        <f>IF($B119="","",IF($K119="","—",IF(ROUND($K119-$J119,0)=0,"√","×")))</f>
        <v/>
      </c>
      <c r="M119" s="26">
        <f>IF($B119="","",IF(COUNTIFS(EntryDates,$B119,CalcTime,$C119,CalcBank,$C$5,EntryParty,$D119,EntryDep,$H119,EntryWit,$I119)&gt;1,"تکرار",""))</f>
        <v/>
      </c>
      <c r="N119" s="26">
        <f>IF($P119="","",IF(INDEX(EntryNotes,$P119)=0,"",INDEX(EntryNotes,$P119)))</f>
        <v/>
      </c>
      <c r="O119" s="26">
        <f>IF($P119="","",IF(INDEX(EntryTxnID,$P119)=0,"",INDEX(EntryTxnID,$P119)))</f>
        <v/>
      </c>
      <c r="P119" s="26">
        <f>IFERROR(MATCH($C$5&amp;"|"&amp;RIGHT("000000"&amp;103,6),CalcRankKey,0),"")</f>
        <v/>
      </c>
    </row>
    <row r="120">
      <c r="A120" s="28">
        <f>IF($B120="","",104)</f>
        <v/>
      </c>
      <c r="B120" s="28">
        <f>IF($P120="","",IF(INDEX(CalcNormDate,$P120)=0,"",INDEX(CalcNormDate,$P120)))</f>
        <v/>
      </c>
      <c r="C120" s="28">
        <f>IF($P120="","",IF(INDEX(CalcTime,$P120)=0,"",INDEX(CalcTime,$P120)))</f>
        <v/>
      </c>
      <c r="D120" s="28">
        <f>IF($P120="","",IF(INDEX(EntryParty,$P120)=0,"",INDEX(EntryParty,$P120)))</f>
        <v/>
      </c>
      <c r="E120" s="28">
        <f>IF($P120="","",IF(INDEX(EntryPartyName,$P120)=0,"",INDEX(EntryPartyName,$P120)))</f>
        <v/>
      </c>
      <c r="F120" s="28">
        <f>IF($P120="","",IF(INDEX(EntryPartyType,$P120)=0,"",INDEX(EntryPartyType,$P120)))</f>
        <v/>
      </c>
      <c r="G120" s="28">
        <f>IF($P120="","",IF(INDEX(EntryTxnType,$P120)=0,"",INDEX(EntryTxnType,$P120)))</f>
        <v/>
      </c>
      <c r="H120" s="29">
        <f>IF($P120="","",IF(INDEX(EntryDep,$P120)=0,"",INDEX(EntryDep,$P120)))</f>
        <v/>
      </c>
      <c r="I120" s="29">
        <f>IF($P120="","",IF(INDEX(EntryWit,$P120)=0,"",INDEX(EntryWit,$P120)))</f>
        <v/>
      </c>
      <c r="J120" s="29">
        <f>IF($B120="","",IF($A120=1,$C$7,IF(J119="",0,J119))+IF($H120="",0,$H120)-IF($I120="",0,$I120))</f>
        <v/>
      </c>
      <c r="K120" s="29">
        <f>IF($P120="","",IF(INDEX(EntryMan,$P120)=0,"",INDEX(EntryMan,$P120)))</f>
        <v/>
      </c>
      <c r="L120" s="28">
        <f>IF($B120="","",IF($K120="","—",IF(ROUND($K120-$J120,0)=0,"√","×")))</f>
        <v/>
      </c>
      <c r="M120" s="28">
        <f>IF($B120="","",IF(COUNTIFS(EntryDates,$B120,CalcTime,$C120,CalcBank,$C$5,EntryParty,$D120,EntryDep,$H120,EntryWit,$I120)&gt;1,"تکرار",""))</f>
        <v/>
      </c>
      <c r="N120" s="28">
        <f>IF($P120="","",IF(INDEX(EntryNotes,$P120)=0,"",INDEX(EntryNotes,$P120)))</f>
        <v/>
      </c>
      <c r="O120" s="28">
        <f>IF($P120="","",IF(INDEX(EntryTxnID,$P120)=0,"",INDEX(EntryTxnID,$P120)))</f>
        <v/>
      </c>
      <c r="P120" s="28">
        <f>IFERROR(MATCH($C$5&amp;"|"&amp;RIGHT("000000"&amp;104,6),CalcRankKey,0),"")</f>
        <v/>
      </c>
    </row>
    <row r="121">
      <c r="A121" s="26">
        <f>IF($B121="","",105)</f>
        <v/>
      </c>
      <c r="B121" s="26">
        <f>IF($P121="","",IF(INDEX(CalcNormDate,$P121)=0,"",INDEX(CalcNormDate,$P121)))</f>
        <v/>
      </c>
      <c r="C121" s="26">
        <f>IF($P121="","",IF(INDEX(CalcTime,$P121)=0,"",INDEX(CalcTime,$P121)))</f>
        <v/>
      </c>
      <c r="D121" s="26">
        <f>IF($P121="","",IF(INDEX(EntryParty,$P121)=0,"",INDEX(EntryParty,$P121)))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IF($P121="","",IF(INDEX(EntryPartyType,$P121)=0,"",INDEX(EntryPartyType,$P121)))</f>
        <v/>
      </c>
      <c r="G121" s="26">
        <f>IF($P121="","",IF(INDEX(EntryTxnType,$P121)=0,"",INDEX(EntryTxnType,$P121)))</f>
        <v/>
      </c>
      <c r="H121" s="27">
        <f>IF($P121="","",IF(INDEX(EntryDep,$P121)=0,"",INDEX(EntryDep,$P121)))</f>
        <v/>
      </c>
      <c r="I121" s="27">
        <f>IF($P121="","",IF(INDEX(EntryWit,$P121)=0,"",INDEX(EntryWit,$P121)))</f>
        <v/>
      </c>
      <c r="J121" s="27">
        <f>IF($B121="","",IF($A121=1,$C$7,IF(J120="",0,J120))+IF($H121="",0,$H121)-IF($I121="",0,$I121))</f>
        <v/>
      </c>
      <c r="K121" s="27">
        <f>IF($P121="","",IF(INDEX(EntryMan,$P121)=0,"",INDEX(EntryMan,$P121)))</f>
        <v/>
      </c>
      <c r="L121" s="26">
        <f>IF($B121="","",IF($K121="","—",IF(ROUND($K121-$J121,0)=0,"√","×")))</f>
        <v/>
      </c>
      <c r="M121" s="26">
        <f>IF($B121="","",IF(COUNTIFS(EntryDates,$B121,CalcTime,$C121,CalcBank,$C$5,EntryParty,$D121,EntryDep,$H121,EntryWit,$I121)&gt;1,"تکرار",""))</f>
        <v/>
      </c>
      <c r="N121" s="26">
        <f>IF($P121="","",IF(INDEX(EntryNotes,$P121)=0,"",INDEX(EntryNotes,$P121)))</f>
        <v/>
      </c>
      <c r="O121" s="26">
        <f>IF($P121="","",IF(INDEX(EntryTxnID,$P121)=0,"",INDEX(EntryTxnID,$P121)))</f>
        <v/>
      </c>
      <c r="P121" s="26">
        <f>IFERROR(MATCH($C$5&amp;"|"&amp;RIGHT("000000"&amp;105,6),CalcRankKey,0),"")</f>
        <v/>
      </c>
    </row>
    <row r="122">
      <c r="A122" s="28">
        <f>IF($B122="","",106)</f>
        <v/>
      </c>
      <c r="B122" s="28">
        <f>IF($P122="","",IF(INDEX(CalcNormDate,$P122)=0,"",INDEX(CalcNormDate,$P122)))</f>
        <v/>
      </c>
      <c r="C122" s="28">
        <f>IF($P122="","",IF(INDEX(CalcTime,$P122)=0,"",INDEX(CalcTime,$P122)))</f>
        <v/>
      </c>
      <c r="D122" s="28">
        <f>IF($P122="","",IF(INDEX(EntryParty,$P122)=0,"",INDEX(EntryParty,$P122)))</f>
        <v/>
      </c>
      <c r="E122" s="28">
        <f>IF($P122="","",IF(INDEX(EntryPartyName,$P122)=0,"",INDEX(EntryPartyName,$P122)))</f>
        <v/>
      </c>
      <c r="F122" s="28">
        <f>IF($P122="","",IF(INDEX(EntryPartyType,$P122)=0,"",INDEX(EntryPartyType,$P122)))</f>
        <v/>
      </c>
      <c r="G122" s="28">
        <f>IF($P122="","",IF(INDEX(EntryTxnType,$P122)=0,"",INDEX(EntryTxnType,$P122)))</f>
        <v/>
      </c>
      <c r="H122" s="29">
        <f>IF($P122="","",IF(INDEX(EntryDep,$P122)=0,"",INDEX(EntryDep,$P122)))</f>
        <v/>
      </c>
      <c r="I122" s="29">
        <f>IF($P122="","",IF(INDEX(EntryWit,$P122)=0,"",INDEX(EntryWit,$P122)))</f>
        <v/>
      </c>
      <c r="J122" s="29">
        <f>IF($B122="","",IF($A122=1,$C$7,IF(J121="",0,J121))+IF($H122="",0,$H122)-IF($I122="",0,$I122))</f>
        <v/>
      </c>
      <c r="K122" s="29">
        <f>IF($P122="","",IF(INDEX(EntryMan,$P122)=0,"",INDEX(EntryMan,$P122)))</f>
        <v/>
      </c>
      <c r="L122" s="28">
        <f>IF($B122="","",IF($K122="","—",IF(ROUND($K122-$J122,0)=0,"√","×")))</f>
        <v/>
      </c>
      <c r="M122" s="28">
        <f>IF($B122="","",IF(COUNTIFS(EntryDates,$B122,CalcTime,$C122,CalcBank,$C$5,EntryParty,$D122,EntryDep,$H122,EntryWit,$I122)&gt;1,"تکرار",""))</f>
        <v/>
      </c>
      <c r="N122" s="28">
        <f>IF($P122="","",IF(INDEX(EntryNotes,$P122)=0,"",INDEX(EntryNotes,$P122)))</f>
        <v/>
      </c>
      <c r="O122" s="28">
        <f>IF($P122="","",IF(INDEX(EntryTxnID,$P122)=0,"",INDEX(EntryTxnID,$P122)))</f>
        <v/>
      </c>
      <c r="P122" s="28">
        <f>IFERROR(MATCH($C$5&amp;"|"&amp;RIGHT("000000"&amp;106,6),CalcRankKey,0),"")</f>
        <v/>
      </c>
    </row>
    <row r="123">
      <c r="A123" s="26">
        <f>IF($B123="","",107)</f>
        <v/>
      </c>
      <c r="B123" s="26">
        <f>IF($P123="","",IF(INDEX(CalcNormDate,$P123)=0,"",INDEX(CalcNormDate,$P123)))</f>
        <v/>
      </c>
      <c r="C123" s="26">
        <f>IF($P123="","",IF(INDEX(CalcTime,$P123)=0,"",INDEX(CalcTime,$P123)))</f>
        <v/>
      </c>
      <c r="D123" s="26">
        <f>IF($P123="","",IF(INDEX(EntryParty,$P123)=0,"",INDEX(EntryParty,$P123)))</f>
        <v/>
      </c>
      <c r="E123" s="26">
        <f>IF($P123="","",IF(INDEX(EntryPartyName,$P123)=0,"",INDEX(EntryPartyName,$P123)))</f>
        <v/>
      </c>
      <c r="F123" s="26">
        <f>IF($P123="","",IF(INDEX(EntryPartyType,$P123)=0,"",INDEX(EntryPartyType,$P123)))</f>
        <v/>
      </c>
      <c r="G123" s="26">
        <f>IF($P123="","",IF(INDEX(EntryTxnType,$P123)=0,"",INDEX(EntryTxnType,$P123)))</f>
        <v/>
      </c>
      <c r="H123" s="27">
        <f>IF($P123="","",IF(INDEX(EntryDep,$P123)=0,"",INDEX(EntryDep,$P123)))</f>
        <v/>
      </c>
      <c r="I123" s="27">
        <f>IF($P123="","",IF(INDEX(EntryWit,$P123)=0,"",INDEX(EntryWit,$P123)))</f>
        <v/>
      </c>
      <c r="J123" s="27">
        <f>IF($B123="","",IF($A123=1,$C$7,IF(J122="",0,J122))+IF($H123="",0,$H123)-IF($I123="",0,$I123))</f>
        <v/>
      </c>
      <c r="K123" s="27">
        <f>IF($P123="","",IF(INDEX(EntryMan,$P123)=0,"",INDEX(EntryMan,$P123)))</f>
        <v/>
      </c>
      <c r="L123" s="26">
        <f>IF($B123="","",IF($K123="","—",IF(ROUND($K123-$J123,0)=0,"√","×")))</f>
        <v/>
      </c>
      <c r="M123" s="26">
        <f>IF($B123="","",IF(COUNTIFS(EntryDates,$B123,CalcTime,$C123,CalcBank,$C$5,EntryParty,$D123,EntryDep,$H123,EntryWit,$I123)&gt;1,"تکرار",""))</f>
        <v/>
      </c>
      <c r="N123" s="26">
        <f>IF($P123="","",IF(INDEX(EntryNotes,$P123)=0,"",INDEX(EntryNotes,$P123)))</f>
        <v/>
      </c>
      <c r="O123" s="26">
        <f>IF($P123="","",IF(INDEX(EntryTxnID,$P123)=0,"",INDEX(EntryTxnID,$P123)))</f>
        <v/>
      </c>
      <c r="P123" s="26">
        <f>IFERROR(MATCH($C$5&amp;"|"&amp;RIGHT("000000"&amp;107,6),CalcRankKey,0),"")</f>
        <v/>
      </c>
    </row>
    <row r="124">
      <c r="A124" s="28">
        <f>IF($B124="","",108)</f>
        <v/>
      </c>
      <c r="B124" s="28">
        <f>IF($P124="","",IF(INDEX(CalcNormDate,$P124)=0,"",INDEX(CalcNormDate,$P124)))</f>
        <v/>
      </c>
      <c r="C124" s="28">
        <f>IF($P124="","",IF(INDEX(CalcTime,$P124)=0,"",INDEX(CalcTime,$P124)))</f>
        <v/>
      </c>
      <c r="D124" s="28">
        <f>IF($P124="","",IF(INDEX(EntryParty,$P124)=0,"",INDEX(EntryParty,$P124)))</f>
        <v/>
      </c>
      <c r="E124" s="28">
        <f>IF($P124="","",IF(INDEX(EntryPartyName,$P124)=0,"",INDEX(EntryPartyName,$P124)))</f>
        <v/>
      </c>
      <c r="F124" s="28">
        <f>IF($P124="","",IF(INDEX(EntryPartyType,$P124)=0,"",INDEX(EntryPartyType,$P124)))</f>
        <v/>
      </c>
      <c r="G124" s="28">
        <f>IF($P124="","",IF(INDEX(EntryTxnType,$P124)=0,"",INDEX(EntryTxnType,$P124)))</f>
        <v/>
      </c>
      <c r="H124" s="29">
        <f>IF($P124="","",IF(INDEX(EntryDep,$P124)=0,"",INDEX(EntryDep,$P124)))</f>
        <v/>
      </c>
      <c r="I124" s="29">
        <f>IF($P124="","",IF(INDEX(EntryWit,$P124)=0,"",INDEX(EntryWit,$P124)))</f>
        <v/>
      </c>
      <c r="J124" s="29">
        <f>IF($B124="","",IF($A124=1,$C$7,IF(J123="",0,J123))+IF($H124="",0,$H124)-IF($I124="",0,$I124))</f>
        <v/>
      </c>
      <c r="K124" s="29">
        <f>IF($P124="","",IF(INDEX(EntryMan,$P124)=0,"",INDEX(EntryMan,$P124)))</f>
        <v/>
      </c>
      <c r="L124" s="28">
        <f>IF($B124="","",IF($K124="","—",IF(ROUND($K124-$J124,0)=0,"√","×")))</f>
        <v/>
      </c>
      <c r="M124" s="28">
        <f>IF($B124="","",IF(COUNTIFS(EntryDates,$B124,CalcTime,$C124,CalcBank,$C$5,EntryParty,$D124,EntryDep,$H124,EntryWit,$I124)&gt;1,"تکرار",""))</f>
        <v/>
      </c>
      <c r="N124" s="28">
        <f>IF($P124="","",IF(INDEX(EntryNotes,$P124)=0,"",INDEX(EntryNotes,$P124)))</f>
        <v/>
      </c>
      <c r="O124" s="28">
        <f>IF($P124="","",IF(INDEX(EntryTxnID,$P124)=0,"",INDEX(EntryTxnID,$P124)))</f>
        <v/>
      </c>
      <c r="P124" s="28">
        <f>IFERROR(MATCH($C$5&amp;"|"&amp;RIGHT("000000"&amp;108,6),CalcRankKey,0),"")</f>
        <v/>
      </c>
    </row>
    <row r="125">
      <c r="A125" s="26">
        <f>IF($B125="","",109)</f>
        <v/>
      </c>
      <c r="B125" s="26">
        <f>IF($P125="","",IF(INDEX(CalcNormDate,$P125)=0,"",INDEX(CalcNormDate,$P125)))</f>
        <v/>
      </c>
      <c r="C125" s="26">
        <f>IF($P125="","",IF(INDEX(CalcTime,$P125)=0,"",INDEX(CalcTime,$P125)))</f>
        <v/>
      </c>
      <c r="D125" s="26">
        <f>IF($P125="","",IF(INDEX(EntryParty,$P125)=0,"",INDEX(EntryParty,$P125)))</f>
        <v/>
      </c>
      <c r="E125" s="26">
        <f>IF($P125="","",IF(INDEX(EntryPartyName,$P125)=0,"",INDEX(EntryPartyName,$P125)))</f>
        <v/>
      </c>
      <c r="F125" s="26">
        <f>IF($P125="","",IF(INDEX(EntryPartyType,$P125)=0,"",INDEX(EntryPartyType,$P125)))</f>
        <v/>
      </c>
      <c r="G125" s="26">
        <f>IF($P125="","",IF(INDEX(EntryTxnType,$P125)=0,"",INDEX(EntryTxnType,$P125)))</f>
        <v/>
      </c>
      <c r="H125" s="27">
        <f>IF($P125="","",IF(INDEX(EntryDep,$P125)=0,"",INDEX(EntryDep,$P125)))</f>
        <v/>
      </c>
      <c r="I125" s="27">
        <f>IF($P125="","",IF(INDEX(EntryWit,$P125)=0,"",INDEX(EntryWit,$P125)))</f>
        <v/>
      </c>
      <c r="J125" s="27">
        <f>IF($B125="","",IF($A125=1,$C$7,IF(J124="",0,J124))+IF($H125="",0,$H125)-IF($I125="",0,$I125))</f>
        <v/>
      </c>
      <c r="K125" s="27">
        <f>IF($P125="","",IF(INDEX(EntryMan,$P125)=0,"",INDEX(EntryMan,$P125)))</f>
        <v/>
      </c>
      <c r="L125" s="26">
        <f>IF($B125="","",IF($K125="","—",IF(ROUND($K125-$J125,0)=0,"√","×")))</f>
        <v/>
      </c>
      <c r="M125" s="26">
        <f>IF($B125="","",IF(COUNTIFS(EntryDates,$B125,CalcTime,$C125,CalcBank,$C$5,EntryParty,$D125,EntryDep,$H125,EntryWit,$I125)&gt;1,"تکرار",""))</f>
        <v/>
      </c>
      <c r="N125" s="26">
        <f>IF($P125="","",IF(INDEX(EntryNotes,$P125)=0,"",INDEX(EntryNotes,$P125)))</f>
        <v/>
      </c>
      <c r="O125" s="26">
        <f>IF($P125="","",IF(INDEX(EntryTxnID,$P125)=0,"",INDEX(EntryTxnID,$P125)))</f>
        <v/>
      </c>
      <c r="P125" s="26">
        <f>IFERROR(MATCH($C$5&amp;"|"&amp;RIGHT("000000"&amp;109,6),CalcRankKey,0),"")</f>
        <v/>
      </c>
    </row>
    <row r="126">
      <c r="A126" s="28">
        <f>IF($B126="","",110)</f>
        <v/>
      </c>
      <c r="B126" s="28">
        <f>IF($P126="","",IF(INDEX(CalcNormDate,$P126)=0,"",INDEX(CalcNormDate,$P126)))</f>
        <v/>
      </c>
      <c r="C126" s="28">
        <f>IF($P126="","",IF(INDEX(CalcTime,$P126)=0,"",INDEX(CalcTime,$P126)))</f>
        <v/>
      </c>
      <c r="D126" s="28">
        <f>IF($P126="","",IF(INDEX(EntryParty,$P126)=0,"",INDEX(EntryParty,$P126)))</f>
        <v/>
      </c>
      <c r="E126" s="28">
        <f>IF($P126="","",IF(INDEX(EntryPartyName,$P126)=0,"",INDEX(EntryPartyName,$P126)))</f>
        <v/>
      </c>
      <c r="F126" s="28">
        <f>IF($P126="","",IF(INDEX(EntryPartyType,$P126)=0,"",INDEX(EntryPartyType,$P126)))</f>
        <v/>
      </c>
      <c r="G126" s="28">
        <f>IF($P126="","",IF(INDEX(EntryTxnType,$P126)=0,"",INDEX(EntryTxnType,$P126)))</f>
        <v/>
      </c>
      <c r="H126" s="29">
        <f>IF($P126="","",IF(INDEX(EntryDep,$P126)=0,"",INDEX(EntryDep,$P126)))</f>
        <v/>
      </c>
      <c r="I126" s="29">
        <f>IF($P126="","",IF(INDEX(EntryWit,$P126)=0,"",INDEX(EntryWit,$P126)))</f>
        <v/>
      </c>
      <c r="J126" s="29">
        <f>IF($B126="","",IF($A126=1,$C$7,IF(J125="",0,J125))+IF($H126="",0,$H126)-IF($I126="",0,$I126))</f>
        <v/>
      </c>
      <c r="K126" s="29">
        <f>IF($P126="","",IF(INDEX(EntryMan,$P126)=0,"",INDEX(EntryMan,$P126)))</f>
        <v/>
      </c>
      <c r="L126" s="28">
        <f>IF($B126="","",IF($K126="","—",IF(ROUND($K126-$J126,0)=0,"√","×")))</f>
        <v/>
      </c>
      <c r="M126" s="28">
        <f>IF($B126="","",IF(COUNTIFS(EntryDates,$B126,CalcTime,$C126,CalcBank,$C$5,EntryParty,$D126,EntryDep,$H126,EntryWit,$I126)&gt;1,"تکرار",""))</f>
        <v/>
      </c>
      <c r="N126" s="28">
        <f>IF($P126="","",IF(INDEX(EntryNotes,$P126)=0,"",INDEX(EntryNotes,$P126)))</f>
        <v/>
      </c>
      <c r="O126" s="28">
        <f>IF($P126="","",IF(INDEX(EntryTxnID,$P126)=0,"",INDEX(EntryTxnID,$P126)))</f>
        <v/>
      </c>
      <c r="P126" s="28">
        <f>IFERROR(MATCH($C$5&amp;"|"&amp;RIGHT("000000"&amp;110,6),CalcRankKey,0),"")</f>
        <v/>
      </c>
    </row>
    <row r="127">
      <c r="A127" s="26">
        <f>IF($B127="","",111)</f>
        <v/>
      </c>
      <c r="B127" s="26">
        <f>IF($P127="","",IF(INDEX(CalcNormDate,$P127)=0,"",INDEX(CalcNormDate,$P127)))</f>
        <v/>
      </c>
      <c r="C127" s="26">
        <f>IF($P127="","",IF(INDEX(CalcTime,$P127)=0,"",INDEX(CalcTime,$P127)))</f>
        <v/>
      </c>
      <c r="D127" s="26">
        <f>IF($P127="","",IF(INDEX(EntryParty,$P127)=0,"",INDEX(EntryParty,$P127)))</f>
        <v/>
      </c>
      <c r="E127" s="26">
        <f>IF($P127="","",IF(INDEX(EntryPartyName,$P127)=0,"",INDEX(EntryPartyName,$P127)))</f>
        <v/>
      </c>
      <c r="F127" s="26">
        <f>IF($P127="","",IF(INDEX(EntryPartyType,$P127)=0,"",INDEX(EntryPartyType,$P127)))</f>
        <v/>
      </c>
      <c r="G127" s="26">
        <f>IF($P127="","",IF(INDEX(EntryTxnType,$P127)=0,"",INDEX(EntryTxnType,$P127)))</f>
        <v/>
      </c>
      <c r="H127" s="27">
        <f>IF($P127="","",IF(INDEX(EntryDep,$P127)=0,"",INDEX(EntryDep,$P127)))</f>
        <v/>
      </c>
      <c r="I127" s="27">
        <f>IF($P127="","",IF(INDEX(EntryWit,$P127)=0,"",INDEX(EntryWit,$P127)))</f>
        <v/>
      </c>
      <c r="J127" s="27">
        <f>IF($B127="","",IF($A127=1,$C$7,IF(J126="",0,J126))+IF($H127="",0,$H127)-IF($I127="",0,$I127))</f>
        <v/>
      </c>
      <c r="K127" s="27">
        <f>IF($P127="","",IF(INDEX(EntryMan,$P127)=0,"",INDEX(EntryMan,$P127)))</f>
        <v/>
      </c>
      <c r="L127" s="26">
        <f>IF($B127="","",IF($K127="","—",IF(ROUND($K127-$J127,0)=0,"√","×")))</f>
        <v/>
      </c>
      <c r="M127" s="26">
        <f>IF($B127="","",IF(COUNTIFS(EntryDates,$B127,CalcTime,$C127,CalcBank,$C$5,EntryParty,$D127,EntryDep,$H127,EntryWit,$I127)&gt;1,"تکرار",""))</f>
        <v/>
      </c>
      <c r="N127" s="26">
        <f>IF($P127="","",IF(INDEX(EntryNotes,$P127)=0,"",INDEX(EntryNotes,$P127)))</f>
        <v/>
      </c>
      <c r="O127" s="26">
        <f>IF($P127="","",IF(INDEX(EntryTxnID,$P127)=0,"",INDEX(EntryTxnID,$P127)))</f>
        <v/>
      </c>
      <c r="P127" s="26">
        <f>IFERROR(MATCH($C$5&amp;"|"&amp;RIGHT("000000"&amp;111,6),CalcRankKey,0),"")</f>
        <v/>
      </c>
    </row>
    <row r="128">
      <c r="A128" s="28">
        <f>IF($B128="","",112)</f>
        <v/>
      </c>
      <c r="B128" s="28">
        <f>IF($P128="","",IF(INDEX(CalcNormDate,$P128)=0,"",INDEX(CalcNormDate,$P128)))</f>
        <v/>
      </c>
      <c r="C128" s="28">
        <f>IF($P128="","",IF(INDEX(CalcTime,$P128)=0,"",INDEX(CalcTime,$P128)))</f>
        <v/>
      </c>
      <c r="D128" s="28">
        <f>IF($P128="","",IF(INDEX(EntryParty,$P128)=0,"",INDEX(EntryParty,$P128)))</f>
        <v/>
      </c>
      <c r="E128" s="28">
        <f>IF($P128="","",IF(INDEX(EntryPartyName,$P128)=0,"",INDEX(EntryPartyName,$P128)))</f>
        <v/>
      </c>
      <c r="F128" s="28">
        <f>IF($P128="","",IF(INDEX(EntryPartyType,$P128)=0,"",INDEX(EntryPartyType,$P128)))</f>
        <v/>
      </c>
      <c r="G128" s="28">
        <f>IF($P128="","",IF(INDEX(EntryTxnType,$P128)=0,"",INDEX(EntryTxnType,$P128)))</f>
        <v/>
      </c>
      <c r="H128" s="29">
        <f>IF($P128="","",IF(INDEX(EntryDep,$P128)=0,"",INDEX(EntryDep,$P128)))</f>
        <v/>
      </c>
      <c r="I128" s="29">
        <f>IF($P128="","",IF(INDEX(EntryWit,$P128)=0,"",INDEX(EntryWit,$P128)))</f>
        <v/>
      </c>
      <c r="J128" s="29">
        <f>IF($B128="","",IF($A128=1,$C$7,IF(J127="",0,J127))+IF($H128="",0,$H128)-IF($I128="",0,$I128))</f>
        <v/>
      </c>
      <c r="K128" s="29">
        <f>IF($P128="","",IF(INDEX(EntryMan,$P128)=0,"",INDEX(EntryMan,$P128)))</f>
        <v/>
      </c>
      <c r="L128" s="28">
        <f>IF($B128="","",IF($K128="","—",IF(ROUND($K128-$J128,0)=0,"√","×")))</f>
        <v/>
      </c>
      <c r="M128" s="28">
        <f>IF($B128="","",IF(COUNTIFS(EntryDates,$B128,CalcTime,$C128,CalcBank,$C$5,EntryParty,$D128,EntryDep,$H128,EntryWit,$I128)&gt;1,"تکرار",""))</f>
        <v/>
      </c>
      <c r="N128" s="28">
        <f>IF($P128="","",IF(INDEX(EntryNotes,$P128)=0,"",INDEX(EntryNotes,$P128)))</f>
        <v/>
      </c>
      <c r="O128" s="28">
        <f>IF($P128="","",IF(INDEX(EntryTxnID,$P128)=0,"",INDEX(EntryTxnID,$P128)))</f>
        <v/>
      </c>
      <c r="P128" s="28">
        <f>IFERROR(MATCH($C$5&amp;"|"&amp;RIGHT("000000"&amp;112,6),CalcRankKey,0),"")</f>
        <v/>
      </c>
    </row>
    <row r="129">
      <c r="A129" s="26">
        <f>IF($B129="","",113)</f>
        <v/>
      </c>
      <c r="B129" s="26">
        <f>IF($P129="","",IF(INDEX(CalcNormDate,$P129)=0,"",INDEX(CalcNormDate,$P129)))</f>
        <v/>
      </c>
      <c r="C129" s="26">
        <f>IF($P129="","",IF(INDEX(CalcTime,$P129)=0,"",INDEX(CalcTime,$P129)))</f>
        <v/>
      </c>
      <c r="D129" s="26">
        <f>IF($P129="","",IF(INDEX(EntryParty,$P129)=0,"",INDEX(EntryParty,$P129)))</f>
        <v/>
      </c>
      <c r="E129" s="26">
        <f>IF($P129="","",IF(INDEX(EntryPartyName,$P129)=0,"",INDEX(EntryPartyName,$P129)))</f>
        <v/>
      </c>
      <c r="F129" s="26">
        <f>IF($P129="","",IF(INDEX(EntryPartyType,$P129)=0,"",INDEX(EntryPartyType,$P129)))</f>
        <v/>
      </c>
      <c r="G129" s="26">
        <f>IF($P129="","",IF(INDEX(EntryTxnType,$P129)=0,"",INDEX(EntryTxnType,$P129)))</f>
        <v/>
      </c>
      <c r="H129" s="27">
        <f>IF($P129="","",IF(INDEX(EntryDep,$P129)=0,"",INDEX(EntryDep,$P129)))</f>
        <v/>
      </c>
      <c r="I129" s="27">
        <f>IF($P129="","",IF(INDEX(EntryWit,$P129)=0,"",INDEX(EntryWit,$P129)))</f>
        <v/>
      </c>
      <c r="J129" s="27">
        <f>IF($B129="","",IF($A129=1,$C$7,IF(J128="",0,J128))+IF($H129="",0,$H129)-IF($I129="",0,$I129))</f>
        <v/>
      </c>
      <c r="K129" s="27">
        <f>IF($P129="","",IF(INDEX(EntryMan,$P129)=0,"",INDEX(EntryMan,$P129)))</f>
        <v/>
      </c>
      <c r="L129" s="26">
        <f>IF($B129="","",IF($K129="","—",IF(ROUND($K129-$J129,0)=0,"√","×")))</f>
        <v/>
      </c>
      <c r="M129" s="26">
        <f>IF($B129="","",IF(COUNTIFS(EntryDates,$B129,CalcTime,$C129,CalcBank,$C$5,EntryParty,$D129,EntryDep,$H129,EntryWit,$I129)&gt;1,"تکرار",""))</f>
        <v/>
      </c>
      <c r="N129" s="26">
        <f>IF($P129="","",IF(INDEX(EntryNotes,$P129)=0,"",INDEX(EntryNotes,$P129)))</f>
        <v/>
      </c>
      <c r="O129" s="26">
        <f>IF($P129="","",IF(INDEX(EntryTxnID,$P129)=0,"",INDEX(EntryTxnID,$P129)))</f>
        <v/>
      </c>
      <c r="P129" s="26">
        <f>IFERROR(MATCH($C$5&amp;"|"&amp;RIGHT("000000"&amp;113,6),CalcRankKey,0),"")</f>
        <v/>
      </c>
    </row>
    <row r="130">
      <c r="A130" s="28">
        <f>IF($B130="","",114)</f>
        <v/>
      </c>
      <c r="B130" s="28">
        <f>IF($P130="","",IF(INDEX(CalcNormDate,$P130)=0,"",INDEX(CalcNormDate,$P130)))</f>
        <v/>
      </c>
      <c r="C130" s="28">
        <f>IF($P130="","",IF(INDEX(CalcTime,$P130)=0,"",INDEX(CalcTime,$P130)))</f>
        <v/>
      </c>
      <c r="D130" s="28">
        <f>IF($P130="","",IF(INDEX(EntryParty,$P130)=0,"",INDEX(EntryParty,$P130)))</f>
        <v/>
      </c>
      <c r="E130" s="28">
        <f>IF($P130="","",IF(INDEX(EntryPartyName,$P130)=0,"",INDEX(EntryPartyName,$P130)))</f>
        <v/>
      </c>
      <c r="F130" s="28">
        <f>IF($P130="","",IF(INDEX(EntryPartyType,$P130)=0,"",INDEX(EntryPartyType,$P130)))</f>
        <v/>
      </c>
      <c r="G130" s="28">
        <f>IF($P130="","",IF(INDEX(EntryTxnType,$P130)=0,"",INDEX(EntryTxnType,$P130)))</f>
        <v/>
      </c>
      <c r="H130" s="29">
        <f>IF($P130="","",IF(INDEX(EntryDep,$P130)=0,"",INDEX(EntryDep,$P130)))</f>
        <v/>
      </c>
      <c r="I130" s="29">
        <f>IF($P130="","",IF(INDEX(EntryWit,$P130)=0,"",INDEX(EntryWit,$P130)))</f>
        <v/>
      </c>
      <c r="J130" s="29">
        <f>IF($B130="","",IF($A130=1,$C$7,IF(J129="",0,J129))+IF($H130="",0,$H130)-IF($I130="",0,$I130))</f>
        <v/>
      </c>
      <c r="K130" s="29">
        <f>IF($P130="","",IF(INDEX(EntryMan,$P130)=0,"",INDEX(EntryMan,$P130)))</f>
        <v/>
      </c>
      <c r="L130" s="28">
        <f>IF($B130="","",IF($K130="","—",IF(ROUND($K130-$J130,0)=0,"√","×")))</f>
        <v/>
      </c>
      <c r="M130" s="28">
        <f>IF($B130="","",IF(COUNTIFS(EntryDates,$B130,CalcTime,$C130,CalcBank,$C$5,EntryParty,$D130,EntryDep,$H130,EntryWit,$I130)&gt;1,"تکرار",""))</f>
        <v/>
      </c>
      <c r="N130" s="28">
        <f>IF($P130="","",IF(INDEX(EntryNotes,$P130)=0,"",INDEX(EntryNotes,$P130)))</f>
        <v/>
      </c>
      <c r="O130" s="28">
        <f>IF($P130="","",IF(INDEX(EntryTxnID,$P130)=0,"",INDEX(EntryTxnID,$P130)))</f>
        <v/>
      </c>
      <c r="P130" s="28">
        <f>IFERROR(MATCH($C$5&amp;"|"&amp;RIGHT("000000"&amp;114,6),CalcRankKey,0),"")</f>
        <v/>
      </c>
    </row>
    <row r="131">
      <c r="A131" s="26">
        <f>IF($B131="","",115)</f>
        <v/>
      </c>
      <c r="B131" s="26">
        <f>IF($P131="","",IF(INDEX(CalcNormDate,$P131)=0,"",INDEX(CalcNormDate,$P131)))</f>
        <v/>
      </c>
      <c r="C131" s="26">
        <f>IF($P131="","",IF(INDEX(CalcTime,$P131)=0,"",INDEX(CalcTime,$P131)))</f>
        <v/>
      </c>
      <c r="D131" s="26">
        <f>IF($P131="","",IF(INDEX(EntryParty,$P131)=0,"",INDEX(EntryParty,$P131)))</f>
        <v/>
      </c>
      <c r="E131" s="26">
        <f>IF($P131="","",IF(INDEX(EntryPartyName,$P131)=0,"",INDEX(EntryPartyName,$P131)))</f>
        <v/>
      </c>
      <c r="F131" s="26">
        <f>IF($P131="","",IF(INDEX(EntryPartyType,$P131)=0,"",INDEX(EntryPartyType,$P131)))</f>
        <v/>
      </c>
      <c r="G131" s="26">
        <f>IF($P131="","",IF(INDEX(EntryTxnType,$P131)=0,"",INDEX(EntryTxnType,$P131)))</f>
        <v/>
      </c>
      <c r="H131" s="27">
        <f>IF($P131="","",IF(INDEX(EntryDep,$P131)=0,"",INDEX(EntryDep,$P131)))</f>
        <v/>
      </c>
      <c r="I131" s="27">
        <f>IF($P131="","",IF(INDEX(EntryWit,$P131)=0,"",INDEX(EntryWit,$P131)))</f>
        <v/>
      </c>
      <c r="J131" s="27">
        <f>IF($B131="","",IF($A131=1,$C$7,IF(J130="",0,J130))+IF($H131="",0,$H131)-IF($I131="",0,$I131))</f>
        <v/>
      </c>
      <c r="K131" s="27">
        <f>IF($P131="","",IF(INDEX(EntryMan,$P131)=0,"",INDEX(EntryMan,$P131)))</f>
        <v/>
      </c>
      <c r="L131" s="26">
        <f>IF($B131="","",IF($K131="","—",IF(ROUND($K131-$J131,0)=0,"√","×")))</f>
        <v/>
      </c>
      <c r="M131" s="26">
        <f>IF($B131="","",IF(COUNTIFS(EntryDates,$B131,CalcTime,$C131,CalcBank,$C$5,EntryParty,$D131,EntryDep,$H131,EntryWit,$I131)&gt;1,"تکرار",""))</f>
        <v/>
      </c>
      <c r="N131" s="26">
        <f>IF($P131="","",IF(INDEX(EntryNotes,$P131)=0,"",INDEX(EntryNotes,$P131)))</f>
        <v/>
      </c>
      <c r="O131" s="26">
        <f>IF($P131="","",IF(INDEX(EntryTxnID,$P131)=0,"",INDEX(EntryTxnID,$P131)))</f>
        <v/>
      </c>
      <c r="P131" s="26">
        <f>IFERROR(MATCH($C$5&amp;"|"&amp;RIGHT("000000"&amp;115,6),CalcRankKey,0),"")</f>
        <v/>
      </c>
    </row>
    <row r="132">
      <c r="A132" s="28">
        <f>IF($B132="","",116)</f>
        <v/>
      </c>
      <c r="B132" s="28">
        <f>IF($P132="","",IF(INDEX(CalcNormDate,$P132)=0,"",INDEX(CalcNormDate,$P132)))</f>
        <v/>
      </c>
      <c r="C132" s="28">
        <f>IF($P132="","",IF(INDEX(CalcTime,$P132)=0,"",INDEX(CalcTime,$P132)))</f>
        <v/>
      </c>
      <c r="D132" s="28">
        <f>IF($P132="","",IF(INDEX(EntryParty,$P132)=0,"",INDEX(EntryParty,$P132)))</f>
        <v/>
      </c>
      <c r="E132" s="28">
        <f>IF($P132="","",IF(INDEX(EntryPartyName,$P132)=0,"",INDEX(EntryPartyName,$P132)))</f>
        <v/>
      </c>
      <c r="F132" s="28">
        <f>IF($P132="","",IF(INDEX(EntryPartyType,$P132)=0,"",INDEX(EntryPartyType,$P132)))</f>
        <v/>
      </c>
      <c r="G132" s="28">
        <f>IF($P132="","",IF(INDEX(EntryTxnType,$P132)=0,"",INDEX(EntryTxnType,$P132)))</f>
        <v/>
      </c>
      <c r="H132" s="29">
        <f>IF($P132="","",IF(INDEX(EntryDep,$P132)=0,"",INDEX(EntryDep,$P132)))</f>
        <v/>
      </c>
      <c r="I132" s="29">
        <f>IF($P132="","",IF(INDEX(EntryWit,$P132)=0,"",INDEX(EntryWit,$P132)))</f>
        <v/>
      </c>
      <c r="J132" s="29">
        <f>IF($B132="","",IF($A132=1,$C$7,IF(J131="",0,J131))+IF($H132="",0,$H132)-IF($I132="",0,$I132))</f>
        <v/>
      </c>
      <c r="K132" s="29">
        <f>IF($P132="","",IF(INDEX(EntryMan,$P132)=0,"",INDEX(EntryMan,$P132)))</f>
        <v/>
      </c>
      <c r="L132" s="28">
        <f>IF($B132="","",IF($K132="","—",IF(ROUND($K132-$J132,0)=0,"√","×")))</f>
        <v/>
      </c>
      <c r="M132" s="28">
        <f>IF($B132="","",IF(COUNTIFS(EntryDates,$B132,CalcTime,$C132,CalcBank,$C$5,EntryParty,$D132,EntryDep,$H132,EntryWit,$I132)&gt;1,"تکرار",""))</f>
        <v/>
      </c>
      <c r="N132" s="28">
        <f>IF($P132="","",IF(INDEX(EntryNotes,$P132)=0,"",INDEX(EntryNotes,$P132)))</f>
        <v/>
      </c>
      <c r="O132" s="28">
        <f>IF($P132="","",IF(INDEX(EntryTxnID,$P132)=0,"",INDEX(EntryTxnID,$P132)))</f>
        <v/>
      </c>
      <c r="P132" s="28">
        <f>IFERROR(MATCH($C$5&amp;"|"&amp;RIGHT("000000"&amp;116,6),CalcRankKey,0),"")</f>
        <v/>
      </c>
    </row>
    <row r="133">
      <c r="A133" s="26">
        <f>IF($B133="","",117)</f>
        <v/>
      </c>
      <c r="B133" s="26">
        <f>IF($P133="","",IF(INDEX(CalcNormDate,$P133)=0,"",INDEX(CalcNormDate,$P133)))</f>
        <v/>
      </c>
      <c r="C133" s="26">
        <f>IF($P133="","",IF(INDEX(CalcTime,$P133)=0,"",INDEX(CalcTime,$P133)))</f>
        <v/>
      </c>
      <c r="D133" s="26">
        <f>IF($P133="","",IF(INDEX(EntryParty,$P133)=0,"",INDEX(EntryParty,$P133)))</f>
        <v/>
      </c>
      <c r="E133" s="26">
        <f>IF($P133="","",IF(INDEX(EntryPartyName,$P133)=0,"",INDEX(EntryPartyName,$P133)))</f>
        <v/>
      </c>
      <c r="F133" s="26">
        <f>IF($P133="","",IF(INDEX(EntryPartyType,$P133)=0,"",INDEX(EntryPartyType,$P133)))</f>
        <v/>
      </c>
      <c r="G133" s="26">
        <f>IF($P133="","",IF(INDEX(EntryTxnType,$P133)=0,"",INDEX(EntryTxnType,$P133)))</f>
        <v/>
      </c>
      <c r="H133" s="27">
        <f>IF($P133="","",IF(INDEX(EntryDep,$P133)=0,"",INDEX(EntryDep,$P133)))</f>
        <v/>
      </c>
      <c r="I133" s="27">
        <f>IF($P133="","",IF(INDEX(EntryWit,$P133)=0,"",INDEX(EntryWit,$P133)))</f>
        <v/>
      </c>
      <c r="J133" s="27">
        <f>IF($B133="","",IF($A133=1,$C$7,IF(J132="",0,J132))+IF($H133="",0,$H133)-IF($I133="",0,$I133))</f>
        <v/>
      </c>
      <c r="K133" s="27">
        <f>IF($P133="","",IF(INDEX(EntryMan,$P133)=0,"",INDEX(EntryMan,$P133)))</f>
        <v/>
      </c>
      <c r="L133" s="26">
        <f>IF($B133="","",IF($K133="","—",IF(ROUND($K133-$J133,0)=0,"√","×")))</f>
        <v/>
      </c>
      <c r="M133" s="26">
        <f>IF($B133="","",IF(COUNTIFS(EntryDates,$B133,CalcTime,$C133,CalcBank,$C$5,EntryParty,$D133,EntryDep,$H133,EntryWit,$I133)&gt;1,"تکرار",""))</f>
        <v/>
      </c>
      <c r="N133" s="26">
        <f>IF($P133="","",IF(INDEX(EntryNotes,$P133)=0,"",INDEX(EntryNotes,$P133)))</f>
        <v/>
      </c>
      <c r="O133" s="26">
        <f>IF($P133="","",IF(INDEX(EntryTxnID,$P133)=0,"",INDEX(EntryTxnID,$P133)))</f>
        <v/>
      </c>
      <c r="P133" s="26">
        <f>IFERROR(MATCH($C$5&amp;"|"&amp;RIGHT("000000"&amp;117,6),CalcRankKey,0),"")</f>
        <v/>
      </c>
    </row>
    <row r="134">
      <c r="A134" s="28">
        <f>IF($B134="","",118)</f>
        <v/>
      </c>
      <c r="B134" s="28">
        <f>IF($P134="","",IF(INDEX(CalcNormDate,$P134)=0,"",INDEX(CalcNormDate,$P134)))</f>
        <v/>
      </c>
      <c r="C134" s="28">
        <f>IF($P134="","",IF(INDEX(CalcTime,$P134)=0,"",INDEX(CalcTime,$P134)))</f>
        <v/>
      </c>
      <c r="D134" s="28">
        <f>IF($P134="","",IF(INDEX(EntryParty,$P134)=0,"",INDEX(EntryParty,$P134)))</f>
        <v/>
      </c>
      <c r="E134" s="28">
        <f>IF($P134="","",IF(INDEX(EntryPartyName,$P134)=0,"",INDEX(EntryPartyName,$P134)))</f>
        <v/>
      </c>
      <c r="F134" s="28">
        <f>IF($P134="","",IF(INDEX(EntryPartyType,$P134)=0,"",INDEX(EntryPartyType,$P134)))</f>
        <v/>
      </c>
      <c r="G134" s="28">
        <f>IF($P134="","",IF(INDEX(EntryTxnType,$P134)=0,"",INDEX(EntryTxnType,$P134)))</f>
        <v/>
      </c>
      <c r="H134" s="29">
        <f>IF($P134="","",IF(INDEX(EntryDep,$P134)=0,"",INDEX(EntryDep,$P134)))</f>
        <v/>
      </c>
      <c r="I134" s="29">
        <f>IF($P134="","",IF(INDEX(EntryWit,$P134)=0,"",INDEX(EntryWit,$P134)))</f>
        <v/>
      </c>
      <c r="J134" s="29">
        <f>IF($B134="","",IF($A134=1,$C$7,IF(J133="",0,J133))+IF($H134="",0,$H134)-IF($I134="",0,$I134))</f>
        <v/>
      </c>
      <c r="K134" s="29">
        <f>IF($P134="","",IF(INDEX(EntryMan,$P134)=0,"",INDEX(EntryMan,$P134)))</f>
        <v/>
      </c>
      <c r="L134" s="28">
        <f>IF($B134="","",IF($K134="","—",IF(ROUND($K134-$J134,0)=0,"√","×")))</f>
        <v/>
      </c>
      <c r="M134" s="28">
        <f>IF($B134="","",IF(COUNTIFS(EntryDates,$B134,CalcTime,$C134,CalcBank,$C$5,EntryParty,$D134,EntryDep,$H134,EntryWit,$I134)&gt;1,"تکرار",""))</f>
        <v/>
      </c>
      <c r="N134" s="28">
        <f>IF($P134="","",IF(INDEX(EntryNotes,$P134)=0,"",INDEX(EntryNotes,$P134)))</f>
        <v/>
      </c>
      <c r="O134" s="28">
        <f>IF($P134="","",IF(INDEX(EntryTxnID,$P134)=0,"",INDEX(EntryTxnID,$P134)))</f>
        <v/>
      </c>
      <c r="P134" s="28">
        <f>IFERROR(MATCH($C$5&amp;"|"&amp;RIGHT("000000"&amp;118,6),CalcRankKey,0),"")</f>
        <v/>
      </c>
    </row>
    <row r="135">
      <c r="A135" s="26">
        <f>IF($B135="","",119)</f>
        <v/>
      </c>
      <c r="B135" s="26">
        <f>IF($P135="","",IF(INDEX(CalcNormDate,$P135)=0,"",INDEX(CalcNormDate,$P135)))</f>
        <v/>
      </c>
      <c r="C135" s="26">
        <f>IF($P135="","",IF(INDEX(CalcTime,$P135)=0,"",INDEX(CalcTime,$P135)))</f>
        <v/>
      </c>
      <c r="D135" s="26">
        <f>IF($P135="","",IF(INDEX(EntryParty,$P135)=0,"",INDEX(EntryParty,$P135)))</f>
        <v/>
      </c>
      <c r="E135" s="26">
        <f>IF($P135="","",IF(INDEX(EntryPartyName,$P135)=0,"",INDEX(EntryPartyName,$P135)))</f>
        <v/>
      </c>
      <c r="F135" s="26">
        <f>IF($P135="","",IF(INDEX(EntryPartyType,$P135)=0,"",INDEX(EntryPartyType,$P135)))</f>
        <v/>
      </c>
      <c r="G135" s="26">
        <f>IF($P135="","",IF(INDEX(EntryTxnType,$P135)=0,"",INDEX(EntryTxnType,$P135)))</f>
        <v/>
      </c>
      <c r="H135" s="27">
        <f>IF($P135="","",IF(INDEX(EntryDep,$P135)=0,"",INDEX(EntryDep,$P135)))</f>
        <v/>
      </c>
      <c r="I135" s="27">
        <f>IF($P135="","",IF(INDEX(EntryWit,$P135)=0,"",INDEX(EntryWit,$P135)))</f>
        <v/>
      </c>
      <c r="J135" s="27">
        <f>IF($B135="","",IF($A135=1,$C$7,IF(J134="",0,J134))+IF($H135="",0,$H135)-IF($I135="",0,$I135))</f>
        <v/>
      </c>
      <c r="K135" s="27">
        <f>IF($P135="","",IF(INDEX(EntryMan,$P135)=0,"",INDEX(EntryMan,$P135)))</f>
        <v/>
      </c>
      <c r="L135" s="26">
        <f>IF($B135="","",IF($K135="","—",IF(ROUND($K135-$J135,0)=0,"√","×")))</f>
        <v/>
      </c>
      <c r="M135" s="26">
        <f>IF($B135="","",IF(COUNTIFS(EntryDates,$B135,CalcTime,$C135,CalcBank,$C$5,EntryParty,$D135,EntryDep,$H135,EntryWit,$I135)&gt;1,"تکرار",""))</f>
        <v/>
      </c>
      <c r="N135" s="26">
        <f>IF($P135="","",IF(INDEX(EntryNotes,$P135)=0,"",INDEX(EntryNotes,$P135)))</f>
        <v/>
      </c>
      <c r="O135" s="26">
        <f>IF($P135="","",IF(INDEX(EntryTxnID,$P135)=0,"",INDEX(EntryTxnID,$P135)))</f>
        <v/>
      </c>
      <c r="P135" s="26">
        <f>IFERROR(MATCH($C$5&amp;"|"&amp;RIGHT("000000"&amp;119,6),CalcRankKey,0),"")</f>
        <v/>
      </c>
    </row>
    <row r="136">
      <c r="A136" s="28">
        <f>IF($B136="","",120)</f>
        <v/>
      </c>
      <c r="B136" s="28">
        <f>IF($P136="","",IF(INDEX(CalcNormDate,$P136)=0,"",INDEX(CalcNormDate,$P136)))</f>
        <v/>
      </c>
      <c r="C136" s="28">
        <f>IF($P136="","",IF(INDEX(CalcTime,$P136)=0,"",INDEX(CalcTime,$P136)))</f>
        <v/>
      </c>
      <c r="D136" s="28">
        <f>IF($P136="","",IF(INDEX(EntryParty,$P136)=0,"",INDEX(EntryParty,$P136)))</f>
        <v/>
      </c>
      <c r="E136" s="28">
        <f>IF($P136="","",IF(INDEX(EntryPartyName,$P136)=0,"",INDEX(EntryPartyName,$P136)))</f>
        <v/>
      </c>
      <c r="F136" s="28">
        <f>IF($P136="","",IF(INDEX(EntryPartyType,$P136)=0,"",INDEX(EntryPartyType,$P136)))</f>
        <v/>
      </c>
      <c r="G136" s="28">
        <f>IF($P136="","",IF(INDEX(EntryTxnType,$P136)=0,"",INDEX(EntryTxnType,$P136)))</f>
        <v/>
      </c>
      <c r="H136" s="29">
        <f>IF($P136="","",IF(INDEX(EntryDep,$P136)=0,"",INDEX(EntryDep,$P136)))</f>
        <v/>
      </c>
      <c r="I136" s="29">
        <f>IF($P136="","",IF(INDEX(EntryWit,$P136)=0,"",INDEX(EntryWit,$P136)))</f>
        <v/>
      </c>
      <c r="J136" s="29">
        <f>IF($B136="","",IF($A136=1,$C$7,IF(J135="",0,J135))+IF($H136="",0,$H136)-IF($I136="",0,$I136))</f>
        <v/>
      </c>
      <c r="K136" s="29">
        <f>IF($P136="","",IF(INDEX(EntryMan,$P136)=0,"",INDEX(EntryMan,$P136)))</f>
        <v/>
      </c>
      <c r="L136" s="28">
        <f>IF($B136="","",IF($K136="","—",IF(ROUND($K136-$J136,0)=0,"√","×")))</f>
        <v/>
      </c>
      <c r="M136" s="28">
        <f>IF($B136="","",IF(COUNTIFS(EntryDates,$B136,CalcTime,$C136,CalcBank,$C$5,EntryParty,$D136,EntryDep,$H136,EntryWit,$I136)&gt;1,"تکرار",""))</f>
        <v/>
      </c>
      <c r="N136" s="28">
        <f>IF($P136="","",IF(INDEX(EntryNotes,$P136)=0,"",INDEX(EntryNotes,$P136)))</f>
        <v/>
      </c>
      <c r="O136" s="28">
        <f>IF($P136="","",IF(INDEX(EntryTxnID,$P136)=0,"",INDEX(EntryTxnID,$P136)))</f>
        <v/>
      </c>
      <c r="P136" s="28">
        <f>IFERROR(MATCH($C$5&amp;"|"&amp;RIGHT("000000"&amp;120,6),CalcRankKey,0),"")</f>
        <v/>
      </c>
    </row>
    <row r="137">
      <c r="A137" s="26">
        <f>IF($B137="","",121)</f>
        <v/>
      </c>
      <c r="B137" s="26">
        <f>IF($P137="","",IF(INDEX(CalcNormDate,$P137)=0,"",INDEX(CalcNormDate,$P137)))</f>
        <v/>
      </c>
      <c r="C137" s="26">
        <f>IF($P137="","",IF(INDEX(CalcTime,$P137)=0,"",INDEX(CalcTime,$P137)))</f>
        <v/>
      </c>
      <c r="D137" s="26">
        <f>IF($P137="","",IF(INDEX(EntryParty,$P137)=0,"",INDEX(EntryParty,$P137)))</f>
        <v/>
      </c>
      <c r="E137" s="26">
        <f>IF($P137="","",IF(INDEX(EntryPartyName,$P137)=0,"",INDEX(EntryPartyName,$P137)))</f>
        <v/>
      </c>
      <c r="F137" s="26">
        <f>IF($P137="","",IF(INDEX(EntryPartyType,$P137)=0,"",INDEX(EntryPartyType,$P137)))</f>
        <v/>
      </c>
      <c r="G137" s="26">
        <f>IF($P137="","",IF(INDEX(EntryTxnType,$P137)=0,"",INDEX(EntryTxnType,$P137)))</f>
        <v/>
      </c>
      <c r="H137" s="27">
        <f>IF($P137="","",IF(INDEX(EntryDep,$P137)=0,"",INDEX(EntryDep,$P137)))</f>
        <v/>
      </c>
      <c r="I137" s="27">
        <f>IF($P137="","",IF(INDEX(EntryWit,$P137)=0,"",INDEX(EntryWit,$P137)))</f>
        <v/>
      </c>
      <c r="J137" s="27">
        <f>IF($B137="","",IF($A137=1,$C$7,IF(J136="",0,J136))+IF($H137="",0,$H137)-IF($I137="",0,$I137))</f>
        <v/>
      </c>
      <c r="K137" s="27">
        <f>IF($P137="","",IF(INDEX(EntryMan,$P137)=0,"",INDEX(EntryMan,$P137)))</f>
        <v/>
      </c>
      <c r="L137" s="26">
        <f>IF($B137="","",IF($K137="","—",IF(ROUND($K137-$J137,0)=0,"√","×")))</f>
        <v/>
      </c>
      <c r="M137" s="26">
        <f>IF($B137="","",IF(COUNTIFS(EntryDates,$B137,CalcTime,$C137,CalcBank,$C$5,EntryParty,$D137,EntryDep,$H137,EntryWit,$I137)&gt;1,"تکرار",""))</f>
        <v/>
      </c>
      <c r="N137" s="26">
        <f>IF($P137="","",IF(INDEX(EntryNotes,$P137)=0,"",INDEX(EntryNotes,$P137)))</f>
        <v/>
      </c>
      <c r="O137" s="26">
        <f>IF($P137="","",IF(INDEX(EntryTxnID,$P137)=0,"",INDEX(EntryTxnID,$P137)))</f>
        <v/>
      </c>
      <c r="P137" s="26">
        <f>IFERROR(MATCH($C$5&amp;"|"&amp;RIGHT("000000"&amp;121,6),CalcRankKey,0),"")</f>
        <v/>
      </c>
    </row>
    <row r="138">
      <c r="A138" s="28">
        <f>IF($B138="","",122)</f>
        <v/>
      </c>
      <c r="B138" s="28">
        <f>IF($P138="","",IF(INDEX(CalcNormDate,$P138)=0,"",INDEX(CalcNormDate,$P138)))</f>
        <v/>
      </c>
      <c r="C138" s="28">
        <f>IF($P138="","",IF(INDEX(CalcTime,$P138)=0,"",INDEX(CalcTime,$P138)))</f>
        <v/>
      </c>
      <c r="D138" s="28">
        <f>IF($P138="","",IF(INDEX(EntryParty,$P138)=0,"",INDEX(EntryParty,$P138)))</f>
        <v/>
      </c>
      <c r="E138" s="28">
        <f>IF($P138="","",IF(INDEX(EntryPartyName,$P138)=0,"",INDEX(EntryPartyName,$P138)))</f>
        <v/>
      </c>
      <c r="F138" s="28">
        <f>IF($P138="","",IF(INDEX(EntryPartyType,$P138)=0,"",INDEX(EntryPartyType,$P138)))</f>
        <v/>
      </c>
      <c r="G138" s="28">
        <f>IF($P138="","",IF(INDEX(EntryTxnType,$P138)=0,"",INDEX(EntryTxnType,$P138)))</f>
        <v/>
      </c>
      <c r="H138" s="29">
        <f>IF($P138="","",IF(INDEX(EntryDep,$P138)=0,"",INDEX(EntryDep,$P138)))</f>
        <v/>
      </c>
      <c r="I138" s="29">
        <f>IF($P138="","",IF(INDEX(EntryWit,$P138)=0,"",INDEX(EntryWit,$P138)))</f>
        <v/>
      </c>
      <c r="J138" s="29">
        <f>IF($B138="","",IF($A138=1,$C$7,IF(J137="",0,J137))+IF($H138="",0,$H138)-IF($I138="",0,$I138))</f>
        <v/>
      </c>
      <c r="K138" s="29">
        <f>IF($P138="","",IF(INDEX(EntryMan,$P138)=0,"",INDEX(EntryMan,$P138)))</f>
        <v/>
      </c>
      <c r="L138" s="28">
        <f>IF($B138="","",IF($K138="","—",IF(ROUND($K138-$J138,0)=0,"√","×")))</f>
        <v/>
      </c>
      <c r="M138" s="28">
        <f>IF($B138="","",IF(COUNTIFS(EntryDates,$B138,CalcTime,$C138,CalcBank,$C$5,EntryParty,$D138,EntryDep,$H138,EntryWit,$I138)&gt;1,"تکرار",""))</f>
        <v/>
      </c>
      <c r="N138" s="28">
        <f>IF($P138="","",IF(INDEX(EntryNotes,$P138)=0,"",INDEX(EntryNotes,$P138)))</f>
        <v/>
      </c>
      <c r="O138" s="28">
        <f>IF($P138="","",IF(INDEX(EntryTxnID,$P138)=0,"",INDEX(EntryTxnID,$P138)))</f>
        <v/>
      </c>
      <c r="P138" s="28">
        <f>IFERROR(MATCH($C$5&amp;"|"&amp;RIGHT("000000"&amp;122,6),CalcRankKey,0),"")</f>
        <v/>
      </c>
    </row>
    <row r="139">
      <c r="A139" s="26">
        <f>IF($B139="","",123)</f>
        <v/>
      </c>
      <c r="B139" s="26">
        <f>IF($P139="","",IF(INDEX(CalcNormDate,$P139)=0,"",INDEX(CalcNormDate,$P139)))</f>
        <v/>
      </c>
      <c r="C139" s="26">
        <f>IF($P139="","",IF(INDEX(CalcTime,$P139)=0,"",INDEX(CalcTime,$P139)))</f>
        <v/>
      </c>
      <c r="D139" s="26">
        <f>IF($P139="","",IF(INDEX(EntryParty,$P139)=0,"",INDEX(EntryParty,$P139)))</f>
        <v/>
      </c>
      <c r="E139" s="26">
        <f>IF($P139="","",IF(INDEX(EntryPartyName,$P139)=0,"",INDEX(EntryPartyName,$P139)))</f>
        <v/>
      </c>
      <c r="F139" s="26">
        <f>IF($P139="","",IF(INDEX(EntryPartyType,$P139)=0,"",INDEX(EntryPartyType,$P139)))</f>
        <v/>
      </c>
      <c r="G139" s="26">
        <f>IF($P139="","",IF(INDEX(EntryTxnType,$P139)=0,"",INDEX(EntryTxnType,$P139)))</f>
        <v/>
      </c>
      <c r="H139" s="27">
        <f>IF($P139="","",IF(INDEX(EntryDep,$P139)=0,"",INDEX(EntryDep,$P139)))</f>
        <v/>
      </c>
      <c r="I139" s="27">
        <f>IF($P139="","",IF(INDEX(EntryWit,$P139)=0,"",INDEX(EntryWit,$P139)))</f>
        <v/>
      </c>
      <c r="J139" s="27">
        <f>IF($B139="","",IF($A139=1,$C$7,IF(J138="",0,J138))+IF($H139="",0,$H139)-IF($I139="",0,$I139))</f>
        <v/>
      </c>
      <c r="K139" s="27">
        <f>IF($P139="","",IF(INDEX(EntryMan,$P139)=0,"",INDEX(EntryMan,$P139)))</f>
        <v/>
      </c>
      <c r="L139" s="26">
        <f>IF($B139="","",IF($K139="","—",IF(ROUND($K139-$J139,0)=0,"√","×")))</f>
        <v/>
      </c>
      <c r="M139" s="26">
        <f>IF($B139="","",IF(COUNTIFS(EntryDates,$B139,CalcTime,$C139,CalcBank,$C$5,EntryParty,$D139,EntryDep,$H139,EntryWit,$I139)&gt;1,"تکرار",""))</f>
        <v/>
      </c>
      <c r="N139" s="26">
        <f>IF($P139="","",IF(INDEX(EntryNotes,$P139)=0,"",INDEX(EntryNotes,$P139)))</f>
        <v/>
      </c>
      <c r="O139" s="26">
        <f>IF($P139="","",IF(INDEX(EntryTxnID,$P139)=0,"",INDEX(EntryTxnID,$P139)))</f>
        <v/>
      </c>
      <c r="P139" s="26">
        <f>IFERROR(MATCH($C$5&amp;"|"&amp;RIGHT("000000"&amp;123,6),CalcRankKey,0),"")</f>
        <v/>
      </c>
    </row>
    <row r="140">
      <c r="A140" s="28">
        <f>IF($B140="","",124)</f>
        <v/>
      </c>
      <c r="B140" s="28">
        <f>IF($P140="","",IF(INDEX(CalcNormDate,$P140)=0,"",INDEX(CalcNormDate,$P140)))</f>
        <v/>
      </c>
      <c r="C140" s="28">
        <f>IF($P140="","",IF(INDEX(CalcTime,$P140)=0,"",INDEX(CalcTime,$P140)))</f>
        <v/>
      </c>
      <c r="D140" s="28">
        <f>IF($P140="","",IF(INDEX(EntryParty,$P140)=0,"",INDEX(EntryParty,$P140)))</f>
        <v/>
      </c>
      <c r="E140" s="28">
        <f>IF($P140="","",IF(INDEX(EntryPartyName,$P140)=0,"",INDEX(EntryPartyName,$P140)))</f>
        <v/>
      </c>
      <c r="F140" s="28">
        <f>IF($P140="","",IF(INDEX(EntryPartyType,$P140)=0,"",INDEX(EntryPartyType,$P140)))</f>
        <v/>
      </c>
      <c r="G140" s="28">
        <f>IF($P140="","",IF(INDEX(EntryTxnType,$P140)=0,"",INDEX(EntryTxnType,$P140)))</f>
        <v/>
      </c>
      <c r="H140" s="29">
        <f>IF($P140="","",IF(INDEX(EntryDep,$P140)=0,"",INDEX(EntryDep,$P140)))</f>
        <v/>
      </c>
      <c r="I140" s="29">
        <f>IF($P140="","",IF(INDEX(EntryWit,$P140)=0,"",INDEX(EntryWit,$P140)))</f>
        <v/>
      </c>
      <c r="J140" s="29">
        <f>IF($B140="","",IF($A140=1,$C$7,IF(J139="",0,J139))+IF($H140="",0,$H140)-IF($I140="",0,$I140))</f>
        <v/>
      </c>
      <c r="K140" s="29">
        <f>IF($P140="","",IF(INDEX(EntryMan,$P140)=0,"",INDEX(EntryMan,$P140)))</f>
        <v/>
      </c>
      <c r="L140" s="28">
        <f>IF($B140="","",IF($K140="","—",IF(ROUND($K140-$J140,0)=0,"√","×")))</f>
        <v/>
      </c>
      <c r="M140" s="28">
        <f>IF($B140="","",IF(COUNTIFS(EntryDates,$B140,CalcTime,$C140,CalcBank,$C$5,EntryParty,$D140,EntryDep,$H140,EntryWit,$I140)&gt;1,"تکرار",""))</f>
        <v/>
      </c>
      <c r="N140" s="28">
        <f>IF($P140="","",IF(INDEX(EntryNotes,$P140)=0,"",INDEX(EntryNotes,$P140)))</f>
        <v/>
      </c>
      <c r="O140" s="28">
        <f>IF($P140="","",IF(INDEX(EntryTxnID,$P140)=0,"",INDEX(EntryTxnID,$P140)))</f>
        <v/>
      </c>
      <c r="P140" s="28">
        <f>IFERROR(MATCH($C$5&amp;"|"&amp;RIGHT("000000"&amp;124,6),CalcRankKey,0),"")</f>
        <v/>
      </c>
    </row>
    <row r="141">
      <c r="A141" s="26">
        <f>IF($B141="","",125)</f>
        <v/>
      </c>
      <c r="B141" s="26">
        <f>IF($P141="","",IF(INDEX(CalcNormDate,$P141)=0,"",INDEX(CalcNormDate,$P141)))</f>
        <v/>
      </c>
      <c r="C141" s="26">
        <f>IF($P141="","",IF(INDEX(CalcTime,$P141)=0,"",INDEX(CalcTime,$P141)))</f>
        <v/>
      </c>
      <c r="D141" s="26">
        <f>IF($P141="","",IF(INDEX(EntryParty,$P141)=0,"",INDEX(EntryParty,$P141)))</f>
        <v/>
      </c>
      <c r="E141" s="26">
        <f>IF($P141="","",IF(INDEX(EntryPartyName,$P141)=0,"",INDEX(EntryPartyName,$P141)))</f>
        <v/>
      </c>
      <c r="F141" s="26">
        <f>IF($P141="","",IF(INDEX(EntryPartyType,$P141)=0,"",INDEX(EntryPartyType,$P141)))</f>
        <v/>
      </c>
      <c r="G141" s="26">
        <f>IF($P141="","",IF(INDEX(EntryTxnType,$P141)=0,"",INDEX(EntryTxnType,$P141)))</f>
        <v/>
      </c>
      <c r="H141" s="27">
        <f>IF($P141="","",IF(INDEX(EntryDep,$P141)=0,"",INDEX(EntryDep,$P141)))</f>
        <v/>
      </c>
      <c r="I141" s="27">
        <f>IF($P141="","",IF(INDEX(EntryWit,$P141)=0,"",INDEX(EntryWit,$P141)))</f>
        <v/>
      </c>
      <c r="J141" s="27">
        <f>IF($B141="","",IF($A141=1,$C$7,IF(J140="",0,J140))+IF($H141="",0,$H141)-IF($I141="",0,$I141))</f>
        <v/>
      </c>
      <c r="K141" s="27">
        <f>IF($P141="","",IF(INDEX(EntryMan,$P141)=0,"",INDEX(EntryMan,$P141)))</f>
        <v/>
      </c>
      <c r="L141" s="26">
        <f>IF($B141="","",IF($K141="","—",IF(ROUND($K141-$J141,0)=0,"√","×")))</f>
        <v/>
      </c>
      <c r="M141" s="26">
        <f>IF($B141="","",IF(COUNTIFS(EntryDates,$B141,CalcTime,$C141,CalcBank,$C$5,EntryParty,$D141,EntryDep,$H141,EntryWit,$I141)&gt;1,"تکرار",""))</f>
        <v/>
      </c>
      <c r="N141" s="26">
        <f>IF($P141="","",IF(INDEX(EntryNotes,$P141)=0,"",INDEX(EntryNotes,$P141)))</f>
        <v/>
      </c>
      <c r="O141" s="26">
        <f>IF($P141="","",IF(INDEX(EntryTxnID,$P141)=0,"",INDEX(EntryTxnID,$P141)))</f>
        <v/>
      </c>
      <c r="P141" s="26">
        <f>IFERROR(MATCH($C$5&amp;"|"&amp;RIGHT("000000"&amp;125,6),CalcRankKey,0),"")</f>
        <v/>
      </c>
    </row>
    <row r="142">
      <c r="A142" s="28">
        <f>IF($B142="","",126)</f>
        <v/>
      </c>
      <c r="B142" s="28">
        <f>IF($P142="","",IF(INDEX(CalcNormDate,$P142)=0,"",INDEX(CalcNormDate,$P142)))</f>
        <v/>
      </c>
      <c r="C142" s="28">
        <f>IF($P142="","",IF(INDEX(CalcTime,$P142)=0,"",INDEX(CalcTime,$P142)))</f>
        <v/>
      </c>
      <c r="D142" s="28">
        <f>IF($P142="","",IF(INDEX(EntryParty,$P142)=0,"",INDEX(EntryParty,$P142)))</f>
        <v/>
      </c>
      <c r="E142" s="28">
        <f>IF($P142="","",IF(INDEX(EntryPartyName,$P142)=0,"",INDEX(EntryPartyName,$P142)))</f>
        <v/>
      </c>
      <c r="F142" s="28">
        <f>IF($P142="","",IF(INDEX(EntryPartyType,$P142)=0,"",INDEX(EntryPartyType,$P142)))</f>
        <v/>
      </c>
      <c r="G142" s="28">
        <f>IF($P142="","",IF(INDEX(EntryTxnType,$P142)=0,"",INDEX(EntryTxnType,$P142)))</f>
        <v/>
      </c>
      <c r="H142" s="29">
        <f>IF($P142="","",IF(INDEX(EntryDep,$P142)=0,"",INDEX(EntryDep,$P142)))</f>
        <v/>
      </c>
      <c r="I142" s="29">
        <f>IF($P142="","",IF(INDEX(EntryWit,$P142)=0,"",INDEX(EntryWit,$P142)))</f>
        <v/>
      </c>
      <c r="J142" s="29">
        <f>IF($B142="","",IF($A142=1,$C$7,IF(J141="",0,J141))+IF($H142="",0,$H142)-IF($I142="",0,$I142))</f>
        <v/>
      </c>
      <c r="K142" s="29">
        <f>IF($P142="","",IF(INDEX(EntryMan,$P142)=0,"",INDEX(EntryMan,$P142)))</f>
        <v/>
      </c>
      <c r="L142" s="28">
        <f>IF($B142="","",IF($K142="","—",IF(ROUND($K142-$J142,0)=0,"√","×")))</f>
        <v/>
      </c>
      <c r="M142" s="28">
        <f>IF($B142="","",IF(COUNTIFS(EntryDates,$B142,CalcTime,$C142,CalcBank,$C$5,EntryParty,$D142,EntryDep,$H142,EntryWit,$I142)&gt;1,"تکرار",""))</f>
        <v/>
      </c>
      <c r="N142" s="28">
        <f>IF($P142="","",IF(INDEX(EntryNotes,$P142)=0,"",INDEX(EntryNotes,$P142)))</f>
        <v/>
      </c>
      <c r="O142" s="28">
        <f>IF($P142="","",IF(INDEX(EntryTxnID,$P142)=0,"",INDEX(EntryTxnID,$P142)))</f>
        <v/>
      </c>
      <c r="P142" s="28">
        <f>IFERROR(MATCH($C$5&amp;"|"&amp;RIGHT("000000"&amp;126,6),CalcRankKey,0),"")</f>
        <v/>
      </c>
    </row>
    <row r="143">
      <c r="A143" s="26">
        <f>IF($B143="","",127)</f>
        <v/>
      </c>
      <c r="B143" s="26">
        <f>IF($P143="","",IF(INDEX(CalcNormDate,$P143)=0,"",INDEX(CalcNormDate,$P143)))</f>
        <v/>
      </c>
      <c r="C143" s="26">
        <f>IF($P143="","",IF(INDEX(CalcTime,$P143)=0,"",INDEX(CalcTime,$P143)))</f>
        <v/>
      </c>
      <c r="D143" s="26">
        <f>IF($P143="","",IF(INDEX(EntryParty,$P143)=0,"",INDEX(EntryParty,$P143)))</f>
        <v/>
      </c>
      <c r="E143" s="26">
        <f>IF($P143="","",IF(INDEX(EntryPartyName,$P143)=0,"",INDEX(EntryPartyName,$P143)))</f>
        <v/>
      </c>
      <c r="F143" s="26">
        <f>IF($P143="","",IF(INDEX(EntryPartyType,$P143)=0,"",INDEX(EntryPartyType,$P143)))</f>
        <v/>
      </c>
      <c r="G143" s="26">
        <f>IF($P143="","",IF(INDEX(EntryTxnType,$P143)=0,"",INDEX(EntryTxnType,$P143)))</f>
        <v/>
      </c>
      <c r="H143" s="27">
        <f>IF($P143="","",IF(INDEX(EntryDep,$P143)=0,"",INDEX(EntryDep,$P143)))</f>
        <v/>
      </c>
      <c r="I143" s="27">
        <f>IF($P143="","",IF(INDEX(EntryWit,$P143)=0,"",INDEX(EntryWit,$P143)))</f>
        <v/>
      </c>
      <c r="J143" s="27">
        <f>IF($B143="","",IF($A143=1,$C$7,IF(J142="",0,J142))+IF($H143="",0,$H143)-IF($I143="",0,$I143))</f>
        <v/>
      </c>
      <c r="K143" s="27">
        <f>IF($P143="","",IF(INDEX(EntryMan,$P143)=0,"",INDEX(EntryMan,$P143)))</f>
        <v/>
      </c>
      <c r="L143" s="26">
        <f>IF($B143="","",IF($K143="","—",IF(ROUND($K143-$J143,0)=0,"√","×")))</f>
        <v/>
      </c>
      <c r="M143" s="26">
        <f>IF($B143="","",IF(COUNTIFS(EntryDates,$B143,CalcTime,$C143,CalcBank,$C$5,EntryParty,$D143,EntryDep,$H143,EntryWit,$I143)&gt;1,"تکرار",""))</f>
        <v/>
      </c>
      <c r="N143" s="26">
        <f>IF($P143="","",IF(INDEX(EntryNotes,$P143)=0,"",INDEX(EntryNotes,$P143)))</f>
        <v/>
      </c>
      <c r="O143" s="26">
        <f>IF($P143="","",IF(INDEX(EntryTxnID,$P143)=0,"",INDEX(EntryTxnID,$P143)))</f>
        <v/>
      </c>
      <c r="P143" s="26">
        <f>IFERROR(MATCH($C$5&amp;"|"&amp;RIGHT("000000"&amp;127,6),CalcRankKey,0),"")</f>
        <v/>
      </c>
    </row>
    <row r="144">
      <c r="A144" s="28">
        <f>IF($B144="","",128)</f>
        <v/>
      </c>
      <c r="B144" s="28">
        <f>IF($P144="","",IF(INDEX(CalcNormDate,$P144)=0,"",INDEX(CalcNormDate,$P144)))</f>
        <v/>
      </c>
      <c r="C144" s="28">
        <f>IF($P144="","",IF(INDEX(CalcTime,$P144)=0,"",INDEX(CalcTime,$P144)))</f>
        <v/>
      </c>
      <c r="D144" s="28">
        <f>IF($P144="","",IF(INDEX(EntryParty,$P144)=0,"",INDEX(EntryParty,$P144)))</f>
        <v/>
      </c>
      <c r="E144" s="28">
        <f>IF($P144="","",IF(INDEX(EntryPartyName,$P144)=0,"",INDEX(EntryPartyName,$P144)))</f>
        <v/>
      </c>
      <c r="F144" s="28">
        <f>IF($P144="","",IF(INDEX(EntryPartyType,$P144)=0,"",INDEX(EntryPartyType,$P144)))</f>
        <v/>
      </c>
      <c r="G144" s="28">
        <f>IF($P144="","",IF(INDEX(EntryTxnType,$P144)=0,"",INDEX(EntryTxnType,$P144)))</f>
        <v/>
      </c>
      <c r="H144" s="29">
        <f>IF($P144="","",IF(INDEX(EntryDep,$P144)=0,"",INDEX(EntryDep,$P144)))</f>
        <v/>
      </c>
      <c r="I144" s="29">
        <f>IF($P144="","",IF(INDEX(EntryWit,$P144)=0,"",INDEX(EntryWit,$P144)))</f>
        <v/>
      </c>
      <c r="J144" s="29">
        <f>IF($B144="","",IF($A144=1,$C$7,IF(J143="",0,J143))+IF($H144="",0,$H144)-IF($I144="",0,$I144))</f>
        <v/>
      </c>
      <c r="K144" s="29">
        <f>IF($P144="","",IF(INDEX(EntryMan,$P144)=0,"",INDEX(EntryMan,$P144)))</f>
        <v/>
      </c>
      <c r="L144" s="28">
        <f>IF($B144="","",IF($K144="","—",IF(ROUND($K144-$J144,0)=0,"√","×")))</f>
        <v/>
      </c>
      <c r="M144" s="28">
        <f>IF($B144="","",IF(COUNTIFS(EntryDates,$B144,CalcTime,$C144,CalcBank,$C$5,EntryParty,$D144,EntryDep,$H144,EntryWit,$I144)&gt;1,"تکرار",""))</f>
        <v/>
      </c>
      <c r="N144" s="28">
        <f>IF($P144="","",IF(INDEX(EntryNotes,$P144)=0,"",INDEX(EntryNotes,$P144)))</f>
        <v/>
      </c>
      <c r="O144" s="28">
        <f>IF($P144="","",IF(INDEX(EntryTxnID,$P144)=0,"",INDEX(EntryTxnID,$P144)))</f>
        <v/>
      </c>
      <c r="P144" s="28">
        <f>IFERROR(MATCH($C$5&amp;"|"&amp;RIGHT("000000"&amp;128,6),CalcRankKey,0),"")</f>
        <v/>
      </c>
    </row>
    <row r="145">
      <c r="A145" s="26">
        <f>IF($B145="","",129)</f>
        <v/>
      </c>
      <c r="B145" s="26">
        <f>IF($P145="","",IF(INDEX(CalcNormDate,$P145)=0,"",INDEX(CalcNormDate,$P145)))</f>
        <v/>
      </c>
      <c r="C145" s="26">
        <f>IF($P145="","",IF(INDEX(CalcTime,$P145)=0,"",INDEX(CalcTime,$P145)))</f>
        <v/>
      </c>
      <c r="D145" s="26">
        <f>IF($P145="","",IF(INDEX(EntryParty,$P145)=0,"",INDEX(EntryParty,$P145)))</f>
        <v/>
      </c>
      <c r="E145" s="26">
        <f>IF($P145="","",IF(INDEX(EntryPartyName,$P145)=0,"",INDEX(EntryPartyName,$P145)))</f>
        <v/>
      </c>
      <c r="F145" s="26">
        <f>IF($P145="","",IF(INDEX(EntryPartyType,$P145)=0,"",INDEX(EntryPartyType,$P145)))</f>
        <v/>
      </c>
      <c r="G145" s="26">
        <f>IF($P145="","",IF(INDEX(EntryTxnType,$P145)=0,"",INDEX(EntryTxnType,$P145)))</f>
        <v/>
      </c>
      <c r="H145" s="27">
        <f>IF($P145="","",IF(INDEX(EntryDep,$P145)=0,"",INDEX(EntryDep,$P145)))</f>
        <v/>
      </c>
      <c r="I145" s="27">
        <f>IF($P145="","",IF(INDEX(EntryWit,$P145)=0,"",INDEX(EntryWit,$P145)))</f>
        <v/>
      </c>
      <c r="J145" s="27">
        <f>IF($B145="","",IF($A145=1,$C$7,IF(J144="",0,J144))+IF($H145="",0,$H145)-IF($I145="",0,$I145))</f>
        <v/>
      </c>
      <c r="K145" s="27">
        <f>IF($P145="","",IF(INDEX(EntryMan,$P145)=0,"",INDEX(EntryMan,$P145)))</f>
        <v/>
      </c>
      <c r="L145" s="26">
        <f>IF($B145="","",IF($K145="","—",IF(ROUND($K145-$J145,0)=0,"√","×")))</f>
        <v/>
      </c>
      <c r="M145" s="26">
        <f>IF($B145="","",IF(COUNTIFS(EntryDates,$B145,CalcTime,$C145,CalcBank,$C$5,EntryParty,$D145,EntryDep,$H145,EntryWit,$I145)&gt;1,"تکرار",""))</f>
        <v/>
      </c>
      <c r="N145" s="26">
        <f>IF($P145="","",IF(INDEX(EntryNotes,$P145)=0,"",INDEX(EntryNotes,$P145)))</f>
        <v/>
      </c>
      <c r="O145" s="26">
        <f>IF($P145="","",IF(INDEX(EntryTxnID,$P145)=0,"",INDEX(EntryTxnID,$P145)))</f>
        <v/>
      </c>
      <c r="P145" s="26">
        <f>IFERROR(MATCH($C$5&amp;"|"&amp;RIGHT("000000"&amp;129,6),CalcRankKey,0),"")</f>
        <v/>
      </c>
    </row>
    <row r="146">
      <c r="A146" s="28">
        <f>IF($B146="","",130)</f>
        <v/>
      </c>
      <c r="B146" s="28">
        <f>IF($P146="","",IF(INDEX(CalcNormDate,$P146)=0,"",INDEX(CalcNormDate,$P146)))</f>
        <v/>
      </c>
      <c r="C146" s="28">
        <f>IF($P146="","",IF(INDEX(CalcTime,$P146)=0,"",INDEX(CalcTime,$P146)))</f>
        <v/>
      </c>
      <c r="D146" s="28">
        <f>IF($P146="","",IF(INDEX(EntryParty,$P146)=0,"",INDEX(EntryParty,$P146)))</f>
        <v/>
      </c>
      <c r="E146" s="28">
        <f>IF($P146="","",IF(INDEX(EntryPartyName,$P146)=0,"",INDEX(EntryPartyName,$P146)))</f>
        <v/>
      </c>
      <c r="F146" s="28">
        <f>IF($P146="","",IF(INDEX(EntryPartyType,$P146)=0,"",INDEX(EntryPartyType,$P146)))</f>
        <v/>
      </c>
      <c r="G146" s="28">
        <f>IF($P146="","",IF(INDEX(EntryTxnType,$P146)=0,"",INDEX(EntryTxnType,$P146)))</f>
        <v/>
      </c>
      <c r="H146" s="29">
        <f>IF($P146="","",IF(INDEX(EntryDep,$P146)=0,"",INDEX(EntryDep,$P146)))</f>
        <v/>
      </c>
      <c r="I146" s="29">
        <f>IF($P146="","",IF(INDEX(EntryWit,$P146)=0,"",INDEX(EntryWit,$P146)))</f>
        <v/>
      </c>
      <c r="J146" s="29">
        <f>IF($B146="","",IF($A146=1,$C$7,IF(J145="",0,J145))+IF($H146="",0,$H146)-IF($I146="",0,$I146))</f>
        <v/>
      </c>
      <c r="K146" s="29">
        <f>IF($P146="","",IF(INDEX(EntryMan,$P146)=0,"",INDEX(EntryMan,$P146)))</f>
        <v/>
      </c>
      <c r="L146" s="28">
        <f>IF($B146="","",IF($K146="","—",IF(ROUND($K146-$J146,0)=0,"√","×")))</f>
        <v/>
      </c>
      <c r="M146" s="28">
        <f>IF($B146="","",IF(COUNTIFS(EntryDates,$B146,CalcTime,$C146,CalcBank,$C$5,EntryParty,$D146,EntryDep,$H146,EntryWit,$I146)&gt;1,"تکرار",""))</f>
        <v/>
      </c>
      <c r="N146" s="28">
        <f>IF($P146="","",IF(INDEX(EntryNotes,$P146)=0,"",INDEX(EntryNotes,$P146)))</f>
        <v/>
      </c>
      <c r="O146" s="28">
        <f>IF($P146="","",IF(INDEX(EntryTxnID,$P146)=0,"",INDEX(EntryTxnID,$P146)))</f>
        <v/>
      </c>
      <c r="P146" s="28">
        <f>IFERROR(MATCH($C$5&amp;"|"&amp;RIGHT("000000"&amp;130,6),CalcRankKey,0),"")</f>
        <v/>
      </c>
    </row>
    <row r="147">
      <c r="A147" s="26">
        <f>IF($B147="","",131)</f>
        <v/>
      </c>
      <c r="B147" s="26">
        <f>IF($P147="","",IF(INDEX(CalcNormDate,$P147)=0,"",INDEX(CalcNormDate,$P147)))</f>
        <v/>
      </c>
      <c r="C147" s="26">
        <f>IF($P147="","",IF(INDEX(CalcTime,$P147)=0,"",INDEX(CalcTime,$P147)))</f>
        <v/>
      </c>
      <c r="D147" s="26">
        <f>IF($P147="","",IF(INDEX(EntryParty,$P147)=0,"",INDEX(EntryParty,$P147)))</f>
        <v/>
      </c>
      <c r="E147" s="26">
        <f>IF($P147="","",IF(INDEX(EntryPartyName,$P147)=0,"",INDEX(EntryPartyName,$P147)))</f>
        <v/>
      </c>
      <c r="F147" s="26">
        <f>IF($P147="","",IF(INDEX(EntryPartyType,$P147)=0,"",INDEX(EntryPartyType,$P147)))</f>
        <v/>
      </c>
      <c r="G147" s="26">
        <f>IF($P147="","",IF(INDEX(EntryTxnType,$P147)=0,"",INDEX(EntryTxnType,$P147)))</f>
        <v/>
      </c>
      <c r="H147" s="27">
        <f>IF($P147="","",IF(INDEX(EntryDep,$P147)=0,"",INDEX(EntryDep,$P147)))</f>
        <v/>
      </c>
      <c r="I147" s="27">
        <f>IF($P147="","",IF(INDEX(EntryWit,$P147)=0,"",INDEX(EntryWit,$P147)))</f>
        <v/>
      </c>
      <c r="J147" s="27">
        <f>IF($B147="","",IF($A147=1,$C$7,IF(J146="",0,J146))+IF($H147="",0,$H147)-IF($I147="",0,$I147))</f>
        <v/>
      </c>
      <c r="K147" s="27">
        <f>IF($P147="","",IF(INDEX(EntryMan,$P147)=0,"",INDEX(EntryMan,$P147)))</f>
        <v/>
      </c>
      <c r="L147" s="26">
        <f>IF($B147="","",IF($K147="","—",IF(ROUND($K147-$J147,0)=0,"√","×")))</f>
        <v/>
      </c>
      <c r="M147" s="26">
        <f>IF($B147="","",IF(COUNTIFS(EntryDates,$B147,CalcTime,$C147,CalcBank,$C$5,EntryParty,$D147,EntryDep,$H147,EntryWit,$I147)&gt;1,"تکرار",""))</f>
        <v/>
      </c>
      <c r="N147" s="26">
        <f>IF($P147="","",IF(INDEX(EntryNotes,$P147)=0,"",INDEX(EntryNotes,$P147)))</f>
        <v/>
      </c>
      <c r="O147" s="26">
        <f>IF($P147="","",IF(INDEX(EntryTxnID,$P147)=0,"",INDEX(EntryTxnID,$P147)))</f>
        <v/>
      </c>
      <c r="P147" s="26">
        <f>IFERROR(MATCH($C$5&amp;"|"&amp;RIGHT("000000"&amp;131,6),CalcRankKey,0),"")</f>
        <v/>
      </c>
    </row>
    <row r="148">
      <c r="A148" s="28">
        <f>IF($B148="","",132)</f>
        <v/>
      </c>
      <c r="B148" s="28">
        <f>IF($P148="","",IF(INDEX(CalcNormDate,$P148)=0,"",INDEX(CalcNormDate,$P148)))</f>
        <v/>
      </c>
      <c r="C148" s="28">
        <f>IF($P148="","",IF(INDEX(CalcTime,$P148)=0,"",INDEX(CalcTime,$P148)))</f>
        <v/>
      </c>
      <c r="D148" s="28">
        <f>IF($P148="","",IF(INDEX(EntryParty,$P148)=0,"",INDEX(EntryParty,$P148)))</f>
        <v/>
      </c>
      <c r="E148" s="28">
        <f>IF($P148="","",IF(INDEX(EntryPartyName,$P148)=0,"",INDEX(EntryPartyName,$P148)))</f>
        <v/>
      </c>
      <c r="F148" s="28">
        <f>IF($P148="","",IF(INDEX(EntryPartyType,$P148)=0,"",INDEX(EntryPartyType,$P148)))</f>
        <v/>
      </c>
      <c r="G148" s="28">
        <f>IF($P148="","",IF(INDEX(EntryTxnType,$P148)=0,"",INDEX(EntryTxnType,$P148)))</f>
        <v/>
      </c>
      <c r="H148" s="29">
        <f>IF($P148="","",IF(INDEX(EntryDep,$P148)=0,"",INDEX(EntryDep,$P148)))</f>
        <v/>
      </c>
      <c r="I148" s="29">
        <f>IF($P148="","",IF(INDEX(EntryWit,$P148)=0,"",INDEX(EntryWit,$P148)))</f>
        <v/>
      </c>
      <c r="J148" s="29">
        <f>IF($B148="","",IF($A148=1,$C$7,IF(J147="",0,J147))+IF($H148="",0,$H148)-IF($I148="",0,$I148))</f>
        <v/>
      </c>
      <c r="K148" s="29">
        <f>IF($P148="","",IF(INDEX(EntryMan,$P148)=0,"",INDEX(EntryMan,$P148)))</f>
        <v/>
      </c>
      <c r="L148" s="28">
        <f>IF($B148="","",IF($K148="","—",IF(ROUND($K148-$J148,0)=0,"√","×")))</f>
        <v/>
      </c>
      <c r="M148" s="28">
        <f>IF($B148="","",IF(COUNTIFS(EntryDates,$B148,CalcTime,$C148,CalcBank,$C$5,EntryParty,$D148,EntryDep,$H148,EntryWit,$I148)&gt;1,"تکرار",""))</f>
        <v/>
      </c>
      <c r="N148" s="28">
        <f>IF($P148="","",IF(INDEX(EntryNotes,$P148)=0,"",INDEX(EntryNotes,$P148)))</f>
        <v/>
      </c>
      <c r="O148" s="28">
        <f>IF($P148="","",IF(INDEX(EntryTxnID,$P148)=0,"",INDEX(EntryTxnID,$P148)))</f>
        <v/>
      </c>
      <c r="P148" s="28">
        <f>IFERROR(MATCH($C$5&amp;"|"&amp;RIGHT("000000"&amp;132,6),CalcRankKey,0),"")</f>
        <v/>
      </c>
    </row>
    <row r="149">
      <c r="A149" s="26">
        <f>IF($B149="","",133)</f>
        <v/>
      </c>
      <c r="B149" s="26">
        <f>IF($P149="","",IF(INDEX(CalcNormDate,$P149)=0,"",INDEX(CalcNormDate,$P149)))</f>
        <v/>
      </c>
      <c r="C149" s="26">
        <f>IF($P149="","",IF(INDEX(CalcTime,$P149)=0,"",INDEX(CalcTime,$P149)))</f>
        <v/>
      </c>
      <c r="D149" s="26">
        <f>IF($P149="","",IF(INDEX(EntryParty,$P149)=0,"",INDEX(EntryParty,$P149)))</f>
        <v/>
      </c>
      <c r="E149" s="26">
        <f>IF($P149="","",IF(INDEX(EntryPartyName,$P149)=0,"",INDEX(EntryPartyName,$P149)))</f>
        <v/>
      </c>
      <c r="F149" s="26">
        <f>IF($P149="","",IF(INDEX(EntryPartyType,$P149)=0,"",INDEX(EntryPartyType,$P149)))</f>
        <v/>
      </c>
      <c r="G149" s="26">
        <f>IF($P149="","",IF(INDEX(EntryTxnType,$P149)=0,"",INDEX(EntryTxnType,$P149)))</f>
        <v/>
      </c>
      <c r="H149" s="27">
        <f>IF($P149="","",IF(INDEX(EntryDep,$P149)=0,"",INDEX(EntryDep,$P149)))</f>
        <v/>
      </c>
      <c r="I149" s="27">
        <f>IF($P149="","",IF(INDEX(EntryWit,$P149)=0,"",INDEX(EntryWit,$P149)))</f>
        <v/>
      </c>
      <c r="J149" s="27">
        <f>IF($B149="","",IF($A149=1,$C$7,IF(J148="",0,J148))+IF($H149="",0,$H149)-IF($I149="",0,$I149))</f>
        <v/>
      </c>
      <c r="K149" s="27">
        <f>IF($P149="","",IF(INDEX(EntryMan,$P149)=0,"",INDEX(EntryMan,$P149)))</f>
        <v/>
      </c>
      <c r="L149" s="26">
        <f>IF($B149="","",IF($K149="","—",IF(ROUND($K149-$J149,0)=0,"√","×")))</f>
        <v/>
      </c>
      <c r="M149" s="26">
        <f>IF($B149="","",IF(COUNTIFS(EntryDates,$B149,CalcTime,$C149,CalcBank,$C$5,EntryParty,$D149,EntryDep,$H149,EntryWit,$I149)&gt;1,"تکرار",""))</f>
        <v/>
      </c>
      <c r="N149" s="26">
        <f>IF($P149="","",IF(INDEX(EntryNotes,$P149)=0,"",INDEX(EntryNotes,$P149)))</f>
        <v/>
      </c>
      <c r="O149" s="26">
        <f>IF($P149="","",IF(INDEX(EntryTxnID,$P149)=0,"",INDEX(EntryTxnID,$P149)))</f>
        <v/>
      </c>
      <c r="P149" s="26">
        <f>IFERROR(MATCH($C$5&amp;"|"&amp;RIGHT("000000"&amp;133,6),CalcRankKey,0),"")</f>
        <v/>
      </c>
    </row>
    <row r="150">
      <c r="A150" s="28">
        <f>IF($B150="","",134)</f>
        <v/>
      </c>
      <c r="B150" s="28">
        <f>IF($P150="","",IF(INDEX(CalcNormDate,$P150)=0,"",INDEX(CalcNormDate,$P150)))</f>
        <v/>
      </c>
      <c r="C150" s="28">
        <f>IF($P150="","",IF(INDEX(CalcTime,$P150)=0,"",INDEX(CalcTime,$P150)))</f>
        <v/>
      </c>
      <c r="D150" s="28">
        <f>IF($P150="","",IF(INDEX(EntryParty,$P150)=0,"",INDEX(EntryParty,$P150)))</f>
        <v/>
      </c>
      <c r="E150" s="28">
        <f>IF($P150="","",IF(INDEX(EntryPartyName,$P150)=0,"",INDEX(EntryPartyName,$P150)))</f>
        <v/>
      </c>
      <c r="F150" s="28">
        <f>IF($P150="","",IF(INDEX(EntryPartyType,$P150)=0,"",INDEX(EntryPartyType,$P150)))</f>
        <v/>
      </c>
      <c r="G150" s="28">
        <f>IF($P150="","",IF(INDEX(EntryTxnType,$P150)=0,"",INDEX(EntryTxnType,$P150)))</f>
        <v/>
      </c>
      <c r="H150" s="29">
        <f>IF($P150="","",IF(INDEX(EntryDep,$P150)=0,"",INDEX(EntryDep,$P150)))</f>
        <v/>
      </c>
      <c r="I150" s="29">
        <f>IF($P150="","",IF(INDEX(EntryWit,$P150)=0,"",INDEX(EntryWit,$P150)))</f>
        <v/>
      </c>
      <c r="J150" s="29">
        <f>IF($B150="","",IF($A150=1,$C$7,IF(J149="",0,J149))+IF($H150="",0,$H150)-IF($I150="",0,$I150))</f>
        <v/>
      </c>
      <c r="K150" s="29">
        <f>IF($P150="","",IF(INDEX(EntryMan,$P150)=0,"",INDEX(EntryMan,$P150)))</f>
        <v/>
      </c>
      <c r="L150" s="28">
        <f>IF($B150="","",IF($K150="","—",IF(ROUND($K150-$J150,0)=0,"√","×")))</f>
        <v/>
      </c>
      <c r="M150" s="28">
        <f>IF($B150="","",IF(COUNTIFS(EntryDates,$B150,CalcTime,$C150,CalcBank,$C$5,EntryParty,$D150,EntryDep,$H150,EntryWit,$I150)&gt;1,"تکرار",""))</f>
        <v/>
      </c>
      <c r="N150" s="28">
        <f>IF($P150="","",IF(INDEX(EntryNotes,$P150)=0,"",INDEX(EntryNotes,$P150)))</f>
        <v/>
      </c>
      <c r="O150" s="28">
        <f>IF($P150="","",IF(INDEX(EntryTxnID,$P150)=0,"",INDEX(EntryTxnID,$P150)))</f>
        <v/>
      </c>
      <c r="P150" s="28">
        <f>IFERROR(MATCH($C$5&amp;"|"&amp;RIGHT("000000"&amp;134,6),CalcRankKey,0),"")</f>
        <v/>
      </c>
    </row>
    <row r="151">
      <c r="A151" s="26">
        <f>IF($B151="","",135)</f>
        <v/>
      </c>
      <c r="B151" s="26">
        <f>IF($P151="","",IF(INDEX(CalcNormDate,$P151)=0,"",INDEX(CalcNormDate,$P151)))</f>
        <v/>
      </c>
      <c r="C151" s="26">
        <f>IF($P151="","",IF(INDEX(CalcTime,$P151)=0,"",INDEX(CalcTime,$P151)))</f>
        <v/>
      </c>
      <c r="D151" s="26">
        <f>IF($P151="","",IF(INDEX(EntryParty,$P151)=0,"",INDEX(EntryParty,$P151)))</f>
        <v/>
      </c>
      <c r="E151" s="26">
        <f>IF($P151="","",IF(INDEX(EntryPartyName,$P151)=0,"",INDEX(EntryPartyName,$P151)))</f>
        <v/>
      </c>
      <c r="F151" s="26">
        <f>IF($P151="","",IF(INDEX(EntryPartyType,$P151)=0,"",INDEX(EntryPartyType,$P151)))</f>
        <v/>
      </c>
      <c r="G151" s="26">
        <f>IF($P151="","",IF(INDEX(EntryTxnType,$P151)=0,"",INDEX(EntryTxnType,$P151)))</f>
        <v/>
      </c>
      <c r="H151" s="27">
        <f>IF($P151="","",IF(INDEX(EntryDep,$P151)=0,"",INDEX(EntryDep,$P151)))</f>
        <v/>
      </c>
      <c r="I151" s="27">
        <f>IF($P151="","",IF(INDEX(EntryWit,$P151)=0,"",INDEX(EntryWit,$P151)))</f>
        <v/>
      </c>
      <c r="J151" s="27">
        <f>IF($B151="","",IF($A151=1,$C$7,IF(J150="",0,J150))+IF($H151="",0,$H151)-IF($I151="",0,$I151))</f>
        <v/>
      </c>
      <c r="K151" s="27">
        <f>IF($P151="","",IF(INDEX(EntryMan,$P151)=0,"",INDEX(EntryMan,$P151)))</f>
        <v/>
      </c>
      <c r="L151" s="26">
        <f>IF($B151="","",IF($K151="","—",IF(ROUND($K151-$J151,0)=0,"√","×")))</f>
        <v/>
      </c>
      <c r="M151" s="26">
        <f>IF($B151="","",IF(COUNTIFS(EntryDates,$B151,CalcTime,$C151,CalcBank,$C$5,EntryParty,$D151,EntryDep,$H151,EntryWit,$I151)&gt;1,"تکرار",""))</f>
        <v/>
      </c>
      <c r="N151" s="26">
        <f>IF($P151="","",IF(INDEX(EntryNotes,$P151)=0,"",INDEX(EntryNotes,$P151)))</f>
        <v/>
      </c>
      <c r="O151" s="26">
        <f>IF($P151="","",IF(INDEX(EntryTxnID,$P151)=0,"",INDEX(EntryTxnID,$P151)))</f>
        <v/>
      </c>
      <c r="P151" s="26">
        <f>IFERROR(MATCH($C$5&amp;"|"&amp;RIGHT("000000"&amp;135,6),CalcRankKey,0),"")</f>
        <v/>
      </c>
    </row>
    <row r="152">
      <c r="A152" s="28">
        <f>IF($B152="","",136)</f>
        <v/>
      </c>
      <c r="B152" s="28">
        <f>IF($P152="","",IF(INDEX(CalcNormDate,$P152)=0,"",INDEX(CalcNormDate,$P152)))</f>
        <v/>
      </c>
      <c r="C152" s="28">
        <f>IF($P152="","",IF(INDEX(CalcTime,$P152)=0,"",INDEX(CalcTime,$P152)))</f>
        <v/>
      </c>
      <c r="D152" s="28">
        <f>IF($P152="","",IF(INDEX(EntryParty,$P152)=0,"",INDEX(EntryParty,$P152)))</f>
        <v/>
      </c>
      <c r="E152" s="28">
        <f>IF($P152="","",IF(INDEX(EntryPartyName,$P152)=0,"",INDEX(EntryPartyName,$P152)))</f>
        <v/>
      </c>
      <c r="F152" s="28">
        <f>IF($P152="","",IF(INDEX(EntryPartyType,$P152)=0,"",INDEX(EntryPartyType,$P152)))</f>
        <v/>
      </c>
      <c r="G152" s="28">
        <f>IF($P152="","",IF(INDEX(EntryTxnType,$P152)=0,"",INDEX(EntryTxnType,$P152)))</f>
        <v/>
      </c>
      <c r="H152" s="29">
        <f>IF($P152="","",IF(INDEX(EntryDep,$P152)=0,"",INDEX(EntryDep,$P152)))</f>
        <v/>
      </c>
      <c r="I152" s="29">
        <f>IF($P152="","",IF(INDEX(EntryWit,$P152)=0,"",INDEX(EntryWit,$P152)))</f>
        <v/>
      </c>
      <c r="J152" s="29">
        <f>IF($B152="","",IF($A152=1,$C$7,IF(J151="",0,J151))+IF($H152="",0,$H152)-IF($I152="",0,$I152))</f>
        <v/>
      </c>
      <c r="K152" s="29">
        <f>IF($P152="","",IF(INDEX(EntryMan,$P152)=0,"",INDEX(EntryMan,$P152)))</f>
        <v/>
      </c>
      <c r="L152" s="28">
        <f>IF($B152="","",IF($K152="","—",IF(ROUND($K152-$J152,0)=0,"√","×")))</f>
        <v/>
      </c>
      <c r="M152" s="28">
        <f>IF($B152="","",IF(COUNTIFS(EntryDates,$B152,CalcTime,$C152,CalcBank,$C$5,EntryParty,$D152,EntryDep,$H152,EntryWit,$I152)&gt;1,"تکرار",""))</f>
        <v/>
      </c>
      <c r="N152" s="28">
        <f>IF($P152="","",IF(INDEX(EntryNotes,$P152)=0,"",INDEX(EntryNotes,$P152)))</f>
        <v/>
      </c>
      <c r="O152" s="28">
        <f>IF($P152="","",IF(INDEX(EntryTxnID,$P152)=0,"",INDEX(EntryTxnID,$P152)))</f>
        <v/>
      </c>
      <c r="P152" s="28">
        <f>IFERROR(MATCH($C$5&amp;"|"&amp;RIGHT("000000"&amp;136,6),CalcRankKey,0),"")</f>
        <v/>
      </c>
    </row>
    <row r="153">
      <c r="A153" s="26">
        <f>IF($B153="","",137)</f>
        <v/>
      </c>
      <c r="B153" s="26">
        <f>IF($P153="","",IF(INDEX(CalcNormDate,$P153)=0,"",INDEX(CalcNormDate,$P153)))</f>
        <v/>
      </c>
      <c r="C153" s="26">
        <f>IF($P153="","",IF(INDEX(CalcTime,$P153)=0,"",INDEX(CalcTime,$P153)))</f>
        <v/>
      </c>
      <c r="D153" s="26">
        <f>IF($P153="","",IF(INDEX(EntryParty,$P153)=0,"",INDEX(EntryParty,$P153)))</f>
        <v/>
      </c>
      <c r="E153" s="26">
        <f>IF($P153="","",IF(INDEX(EntryPartyName,$P153)=0,"",INDEX(EntryPartyName,$P153)))</f>
        <v/>
      </c>
      <c r="F153" s="26">
        <f>IF($P153="","",IF(INDEX(EntryPartyType,$P153)=0,"",INDEX(EntryPartyType,$P153)))</f>
        <v/>
      </c>
      <c r="G153" s="26">
        <f>IF($P153="","",IF(INDEX(EntryTxnType,$P153)=0,"",INDEX(EntryTxnType,$P153)))</f>
        <v/>
      </c>
      <c r="H153" s="27">
        <f>IF($P153="","",IF(INDEX(EntryDep,$P153)=0,"",INDEX(EntryDep,$P153)))</f>
        <v/>
      </c>
      <c r="I153" s="27">
        <f>IF($P153="","",IF(INDEX(EntryWit,$P153)=0,"",INDEX(EntryWit,$P153)))</f>
        <v/>
      </c>
      <c r="J153" s="27">
        <f>IF($B153="","",IF($A153=1,$C$7,IF(J152="",0,J152))+IF($H153="",0,$H153)-IF($I153="",0,$I153))</f>
        <v/>
      </c>
      <c r="K153" s="27">
        <f>IF($P153="","",IF(INDEX(EntryMan,$P153)=0,"",INDEX(EntryMan,$P153)))</f>
        <v/>
      </c>
      <c r="L153" s="26">
        <f>IF($B153="","",IF($K153="","—",IF(ROUND($K153-$J153,0)=0,"√","×")))</f>
        <v/>
      </c>
      <c r="M153" s="26">
        <f>IF($B153="","",IF(COUNTIFS(EntryDates,$B153,CalcTime,$C153,CalcBank,$C$5,EntryParty,$D153,EntryDep,$H153,EntryWit,$I153)&gt;1,"تکرار",""))</f>
        <v/>
      </c>
      <c r="N153" s="26">
        <f>IF($P153="","",IF(INDEX(EntryNotes,$P153)=0,"",INDEX(EntryNotes,$P153)))</f>
        <v/>
      </c>
      <c r="O153" s="26">
        <f>IF($P153="","",IF(INDEX(EntryTxnID,$P153)=0,"",INDEX(EntryTxnID,$P153)))</f>
        <v/>
      </c>
      <c r="P153" s="26">
        <f>IFERROR(MATCH($C$5&amp;"|"&amp;RIGHT("000000"&amp;137,6),CalcRankKey,0),"")</f>
        <v/>
      </c>
    </row>
    <row r="154">
      <c r="A154" s="28">
        <f>IF($B154="","",138)</f>
        <v/>
      </c>
      <c r="B154" s="28">
        <f>IF($P154="","",IF(INDEX(CalcNormDate,$P154)=0,"",INDEX(CalcNormDate,$P154)))</f>
        <v/>
      </c>
      <c r="C154" s="28">
        <f>IF($P154="","",IF(INDEX(CalcTime,$P154)=0,"",INDEX(CalcTime,$P154)))</f>
        <v/>
      </c>
      <c r="D154" s="28">
        <f>IF($P154="","",IF(INDEX(EntryParty,$P154)=0,"",INDEX(EntryParty,$P154)))</f>
        <v/>
      </c>
      <c r="E154" s="28">
        <f>IF($P154="","",IF(INDEX(EntryPartyName,$P154)=0,"",INDEX(EntryPartyName,$P154)))</f>
        <v/>
      </c>
      <c r="F154" s="28">
        <f>IF($P154="","",IF(INDEX(EntryPartyType,$P154)=0,"",INDEX(EntryPartyType,$P154)))</f>
        <v/>
      </c>
      <c r="G154" s="28">
        <f>IF($P154="","",IF(INDEX(EntryTxnType,$P154)=0,"",INDEX(EntryTxnType,$P154)))</f>
        <v/>
      </c>
      <c r="H154" s="29">
        <f>IF($P154="","",IF(INDEX(EntryDep,$P154)=0,"",INDEX(EntryDep,$P154)))</f>
        <v/>
      </c>
      <c r="I154" s="29">
        <f>IF($P154="","",IF(INDEX(EntryWit,$P154)=0,"",INDEX(EntryWit,$P154)))</f>
        <v/>
      </c>
      <c r="J154" s="29">
        <f>IF($B154="","",IF($A154=1,$C$7,IF(J153="",0,J153))+IF($H154="",0,$H154)-IF($I154="",0,$I154))</f>
        <v/>
      </c>
      <c r="K154" s="29">
        <f>IF($P154="","",IF(INDEX(EntryMan,$P154)=0,"",INDEX(EntryMan,$P154)))</f>
        <v/>
      </c>
      <c r="L154" s="28">
        <f>IF($B154="","",IF($K154="","—",IF(ROUND($K154-$J154,0)=0,"√","×")))</f>
        <v/>
      </c>
      <c r="M154" s="28">
        <f>IF($B154="","",IF(COUNTIFS(EntryDates,$B154,CalcTime,$C154,CalcBank,$C$5,EntryParty,$D154,EntryDep,$H154,EntryWit,$I154)&gt;1,"تکرار",""))</f>
        <v/>
      </c>
      <c r="N154" s="28">
        <f>IF($P154="","",IF(INDEX(EntryNotes,$P154)=0,"",INDEX(EntryNotes,$P154)))</f>
        <v/>
      </c>
      <c r="O154" s="28">
        <f>IF($P154="","",IF(INDEX(EntryTxnID,$P154)=0,"",INDEX(EntryTxnID,$P154)))</f>
        <v/>
      </c>
      <c r="P154" s="28">
        <f>IFERROR(MATCH($C$5&amp;"|"&amp;RIGHT("000000"&amp;138,6),CalcRankKey,0),"")</f>
        <v/>
      </c>
    </row>
    <row r="155">
      <c r="A155" s="26">
        <f>IF($B155="","",139)</f>
        <v/>
      </c>
      <c r="B155" s="26">
        <f>IF($P155="","",IF(INDEX(CalcNormDate,$P155)=0,"",INDEX(CalcNormDate,$P155)))</f>
        <v/>
      </c>
      <c r="C155" s="26">
        <f>IF($P155="","",IF(INDEX(CalcTime,$P155)=0,"",INDEX(CalcTime,$P155)))</f>
        <v/>
      </c>
      <c r="D155" s="26">
        <f>IF($P155="","",IF(INDEX(EntryParty,$P155)=0,"",INDEX(EntryParty,$P155)))</f>
        <v/>
      </c>
      <c r="E155" s="26">
        <f>IF($P155="","",IF(INDEX(EntryPartyName,$P155)=0,"",INDEX(EntryPartyName,$P155)))</f>
        <v/>
      </c>
      <c r="F155" s="26">
        <f>IF($P155="","",IF(INDEX(EntryPartyType,$P155)=0,"",INDEX(EntryPartyType,$P155)))</f>
        <v/>
      </c>
      <c r="G155" s="26">
        <f>IF($P155="","",IF(INDEX(EntryTxnType,$P155)=0,"",INDEX(EntryTxnType,$P155)))</f>
        <v/>
      </c>
      <c r="H155" s="27">
        <f>IF($P155="","",IF(INDEX(EntryDep,$P155)=0,"",INDEX(EntryDep,$P155)))</f>
        <v/>
      </c>
      <c r="I155" s="27">
        <f>IF($P155="","",IF(INDEX(EntryWit,$P155)=0,"",INDEX(EntryWit,$P155)))</f>
        <v/>
      </c>
      <c r="J155" s="27">
        <f>IF($B155="","",IF($A155=1,$C$7,IF(J154="",0,J154))+IF($H155="",0,$H155)-IF($I155="",0,$I155))</f>
        <v/>
      </c>
      <c r="K155" s="27">
        <f>IF($P155="","",IF(INDEX(EntryMan,$P155)=0,"",INDEX(EntryMan,$P155)))</f>
        <v/>
      </c>
      <c r="L155" s="26">
        <f>IF($B155="","",IF($K155="","—",IF(ROUND($K155-$J155,0)=0,"√","×")))</f>
        <v/>
      </c>
      <c r="M155" s="26">
        <f>IF($B155="","",IF(COUNTIFS(EntryDates,$B155,CalcTime,$C155,CalcBank,$C$5,EntryParty,$D155,EntryDep,$H155,EntryWit,$I155)&gt;1,"تکرار",""))</f>
        <v/>
      </c>
      <c r="N155" s="26">
        <f>IF($P155="","",IF(INDEX(EntryNotes,$P155)=0,"",INDEX(EntryNotes,$P155)))</f>
        <v/>
      </c>
      <c r="O155" s="26">
        <f>IF($P155="","",IF(INDEX(EntryTxnID,$P155)=0,"",INDEX(EntryTxnID,$P155)))</f>
        <v/>
      </c>
      <c r="P155" s="26">
        <f>IFERROR(MATCH($C$5&amp;"|"&amp;RIGHT("000000"&amp;139,6),CalcRankKey,0),"")</f>
        <v/>
      </c>
    </row>
    <row r="156">
      <c r="A156" s="28">
        <f>IF($B156="","",140)</f>
        <v/>
      </c>
      <c r="B156" s="28">
        <f>IF($P156="","",IF(INDEX(CalcNormDate,$P156)=0,"",INDEX(CalcNormDate,$P156)))</f>
        <v/>
      </c>
      <c r="C156" s="28">
        <f>IF($P156="","",IF(INDEX(CalcTime,$P156)=0,"",INDEX(CalcTime,$P156)))</f>
        <v/>
      </c>
      <c r="D156" s="28">
        <f>IF($P156="","",IF(INDEX(EntryParty,$P156)=0,"",INDEX(EntryParty,$P156)))</f>
        <v/>
      </c>
      <c r="E156" s="28">
        <f>IF($P156="","",IF(INDEX(EntryPartyName,$P156)=0,"",INDEX(EntryPartyName,$P156)))</f>
        <v/>
      </c>
      <c r="F156" s="28">
        <f>IF($P156="","",IF(INDEX(EntryPartyType,$P156)=0,"",INDEX(EntryPartyType,$P156)))</f>
        <v/>
      </c>
      <c r="G156" s="28">
        <f>IF($P156="","",IF(INDEX(EntryTxnType,$P156)=0,"",INDEX(EntryTxnType,$P156)))</f>
        <v/>
      </c>
      <c r="H156" s="29">
        <f>IF($P156="","",IF(INDEX(EntryDep,$P156)=0,"",INDEX(EntryDep,$P156)))</f>
        <v/>
      </c>
      <c r="I156" s="29">
        <f>IF($P156="","",IF(INDEX(EntryWit,$P156)=0,"",INDEX(EntryWit,$P156)))</f>
        <v/>
      </c>
      <c r="J156" s="29">
        <f>IF($B156="","",IF($A156=1,$C$7,IF(J155="",0,J155))+IF($H156="",0,$H156)-IF($I156="",0,$I156))</f>
        <v/>
      </c>
      <c r="K156" s="29">
        <f>IF($P156="","",IF(INDEX(EntryMan,$P156)=0,"",INDEX(EntryMan,$P156)))</f>
        <v/>
      </c>
      <c r="L156" s="28">
        <f>IF($B156="","",IF($K156="","—",IF(ROUND($K156-$J156,0)=0,"√","×")))</f>
        <v/>
      </c>
      <c r="M156" s="28">
        <f>IF($B156="","",IF(COUNTIFS(EntryDates,$B156,CalcTime,$C156,CalcBank,$C$5,EntryParty,$D156,EntryDep,$H156,EntryWit,$I156)&gt;1,"تکرار",""))</f>
        <v/>
      </c>
      <c r="N156" s="28">
        <f>IF($P156="","",IF(INDEX(EntryNotes,$P156)=0,"",INDEX(EntryNotes,$P156)))</f>
        <v/>
      </c>
      <c r="O156" s="28">
        <f>IF($P156="","",IF(INDEX(EntryTxnID,$P156)=0,"",INDEX(EntryTxnID,$P156)))</f>
        <v/>
      </c>
      <c r="P156" s="28">
        <f>IFERROR(MATCH($C$5&amp;"|"&amp;RIGHT("000000"&amp;140,6),CalcRankKey,0),"")</f>
        <v/>
      </c>
    </row>
    <row r="157">
      <c r="A157" s="26">
        <f>IF($B157="","",141)</f>
        <v/>
      </c>
      <c r="B157" s="26">
        <f>IF($P157="","",IF(INDEX(CalcNormDate,$P157)=0,"",INDEX(CalcNormDate,$P157)))</f>
        <v/>
      </c>
      <c r="C157" s="26">
        <f>IF($P157="","",IF(INDEX(CalcTime,$P157)=0,"",INDEX(CalcTime,$P157)))</f>
        <v/>
      </c>
      <c r="D157" s="26">
        <f>IF($P157="","",IF(INDEX(EntryParty,$P157)=0,"",INDEX(EntryParty,$P157)))</f>
        <v/>
      </c>
      <c r="E157" s="26">
        <f>IF($P157="","",IF(INDEX(EntryPartyName,$P157)=0,"",INDEX(EntryPartyName,$P157)))</f>
        <v/>
      </c>
      <c r="F157" s="26">
        <f>IF($P157="","",IF(INDEX(EntryPartyType,$P157)=0,"",INDEX(EntryPartyType,$P157)))</f>
        <v/>
      </c>
      <c r="G157" s="26">
        <f>IF($P157="","",IF(INDEX(EntryTxnType,$P157)=0,"",INDEX(EntryTxnType,$P157)))</f>
        <v/>
      </c>
      <c r="H157" s="27">
        <f>IF($P157="","",IF(INDEX(EntryDep,$P157)=0,"",INDEX(EntryDep,$P157)))</f>
        <v/>
      </c>
      <c r="I157" s="27">
        <f>IF($P157="","",IF(INDEX(EntryWit,$P157)=0,"",INDEX(EntryWit,$P157)))</f>
        <v/>
      </c>
      <c r="J157" s="27">
        <f>IF($B157="","",IF($A157=1,$C$7,IF(J156="",0,J156))+IF($H157="",0,$H157)-IF($I157="",0,$I157))</f>
        <v/>
      </c>
      <c r="K157" s="27">
        <f>IF($P157="","",IF(INDEX(EntryMan,$P157)=0,"",INDEX(EntryMan,$P157)))</f>
        <v/>
      </c>
      <c r="L157" s="26">
        <f>IF($B157="","",IF($K157="","—",IF(ROUND($K157-$J157,0)=0,"√","×")))</f>
        <v/>
      </c>
      <c r="M157" s="26">
        <f>IF($B157="","",IF(COUNTIFS(EntryDates,$B157,CalcTime,$C157,CalcBank,$C$5,EntryParty,$D157,EntryDep,$H157,EntryWit,$I157)&gt;1,"تکرار",""))</f>
        <v/>
      </c>
      <c r="N157" s="26">
        <f>IF($P157="","",IF(INDEX(EntryNotes,$P157)=0,"",INDEX(EntryNotes,$P157)))</f>
        <v/>
      </c>
      <c r="O157" s="26">
        <f>IF($P157="","",IF(INDEX(EntryTxnID,$P157)=0,"",INDEX(EntryTxnID,$P157)))</f>
        <v/>
      </c>
      <c r="P157" s="26">
        <f>IFERROR(MATCH($C$5&amp;"|"&amp;RIGHT("000000"&amp;141,6),CalcRankKey,0),"")</f>
        <v/>
      </c>
    </row>
    <row r="158">
      <c r="A158" s="28">
        <f>IF($B158="","",142)</f>
        <v/>
      </c>
      <c r="B158" s="28">
        <f>IF($P158="","",IF(INDEX(CalcNormDate,$P158)=0,"",INDEX(CalcNormDate,$P158)))</f>
        <v/>
      </c>
      <c r="C158" s="28">
        <f>IF($P158="","",IF(INDEX(CalcTime,$P158)=0,"",INDEX(CalcTime,$P158)))</f>
        <v/>
      </c>
      <c r="D158" s="28">
        <f>IF($P158="","",IF(INDEX(EntryParty,$P158)=0,"",INDEX(EntryParty,$P158)))</f>
        <v/>
      </c>
      <c r="E158" s="28">
        <f>IF($P158="","",IF(INDEX(EntryPartyName,$P158)=0,"",INDEX(EntryPartyName,$P158)))</f>
        <v/>
      </c>
      <c r="F158" s="28">
        <f>IF($P158="","",IF(INDEX(EntryPartyType,$P158)=0,"",INDEX(EntryPartyType,$P158)))</f>
        <v/>
      </c>
      <c r="G158" s="28">
        <f>IF($P158="","",IF(INDEX(EntryTxnType,$P158)=0,"",INDEX(EntryTxnType,$P158)))</f>
        <v/>
      </c>
      <c r="H158" s="29">
        <f>IF($P158="","",IF(INDEX(EntryDep,$P158)=0,"",INDEX(EntryDep,$P158)))</f>
        <v/>
      </c>
      <c r="I158" s="29">
        <f>IF($P158="","",IF(INDEX(EntryWit,$P158)=0,"",INDEX(EntryWit,$P158)))</f>
        <v/>
      </c>
      <c r="J158" s="29">
        <f>IF($B158="","",IF($A158=1,$C$7,IF(J157="",0,J157))+IF($H158="",0,$H158)-IF($I158="",0,$I158))</f>
        <v/>
      </c>
      <c r="K158" s="29">
        <f>IF($P158="","",IF(INDEX(EntryMan,$P158)=0,"",INDEX(EntryMan,$P158)))</f>
        <v/>
      </c>
      <c r="L158" s="28">
        <f>IF($B158="","",IF($K158="","—",IF(ROUND($K158-$J158,0)=0,"√","×")))</f>
        <v/>
      </c>
      <c r="M158" s="28">
        <f>IF($B158="","",IF(COUNTIFS(EntryDates,$B158,CalcTime,$C158,CalcBank,$C$5,EntryParty,$D158,EntryDep,$H158,EntryWit,$I158)&gt;1,"تکرار",""))</f>
        <v/>
      </c>
      <c r="N158" s="28">
        <f>IF($P158="","",IF(INDEX(EntryNotes,$P158)=0,"",INDEX(EntryNotes,$P158)))</f>
        <v/>
      </c>
      <c r="O158" s="28">
        <f>IF($P158="","",IF(INDEX(EntryTxnID,$P158)=0,"",INDEX(EntryTxnID,$P158)))</f>
        <v/>
      </c>
      <c r="P158" s="28">
        <f>IFERROR(MATCH($C$5&amp;"|"&amp;RIGHT("000000"&amp;142,6),CalcRankKey,0),"")</f>
        <v/>
      </c>
    </row>
    <row r="159">
      <c r="A159" s="26">
        <f>IF($B159="","",143)</f>
        <v/>
      </c>
      <c r="B159" s="26">
        <f>IF($P159="","",IF(INDEX(CalcNormDate,$P159)=0,"",INDEX(CalcNormDate,$P159)))</f>
        <v/>
      </c>
      <c r="C159" s="26">
        <f>IF($P159="","",IF(INDEX(CalcTime,$P159)=0,"",INDEX(CalcTime,$P159)))</f>
        <v/>
      </c>
      <c r="D159" s="26">
        <f>IF($P159="","",IF(INDEX(EntryParty,$P159)=0,"",INDEX(EntryParty,$P159)))</f>
        <v/>
      </c>
      <c r="E159" s="26">
        <f>IF($P159="","",IF(INDEX(EntryPartyName,$P159)=0,"",INDEX(EntryPartyName,$P159)))</f>
        <v/>
      </c>
      <c r="F159" s="26">
        <f>IF($P159="","",IF(INDEX(EntryPartyType,$P159)=0,"",INDEX(EntryPartyType,$P159)))</f>
        <v/>
      </c>
      <c r="G159" s="26">
        <f>IF($P159="","",IF(INDEX(EntryTxnType,$P159)=0,"",INDEX(EntryTxnType,$P159)))</f>
        <v/>
      </c>
      <c r="H159" s="27">
        <f>IF($P159="","",IF(INDEX(EntryDep,$P159)=0,"",INDEX(EntryDep,$P159)))</f>
        <v/>
      </c>
      <c r="I159" s="27">
        <f>IF($P159="","",IF(INDEX(EntryWit,$P159)=0,"",INDEX(EntryWit,$P159)))</f>
        <v/>
      </c>
      <c r="J159" s="27">
        <f>IF($B159="","",IF($A159=1,$C$7,IF(J158="",0,J158))+IF($H159="",0,$H159)-IF($I159="",0,$I159))</f>
        <v/>
      </c>
      <c r="K159" s="27">
        <f>IF($P159="","",IF(INDEX(EntryMan,$P159)=0,"",INDEX(EntryMan,$P159)))</f>
        <v/>
      </c>
      <c r="L159" s="26">
        <f>IF($B159="","",IF($K159="","—",IF(ROUND($K159-$J159,0)=0,"√","×")))</f>
        <v/>
      </c>
      <c r="M159" s="26">
        <f>IF($B159="","",IF(COUNTIFS(EntryDates,$B159,CalcTime,$C159,CalcBank,$C$5,EntryParty,$D159,EntryDep,$H159,EntryWit,$I159)&gt;1,"تکرار",""))</f>
        <v/>
      </c>
      <c r="N159" s="26">
        <f>IF($P159="","",IF(INDEX(EntryNotes,$P159)=0,"",INDEX(EntryNotes,$P159)))</f>
        <v/>
      </c>
      <c r="O159" s="26">
        <f>IF($P159="","",IF(INDEX(EntryTxnID,$P159)=0,"",INDEX(EntryTxnID,$P159)))</f>
        <v/>
      </c>
      <c r="P159" s="26">
        <f>IFERROR(MATCH($C$5&amp;"|"&amp;RIGHT("000000"&amp;143,6),CalcRankKey,0),"")</f>
        <v/>
      </c>
    </row>
    <row r="160">
      <c r="A160" s="28">
        <f>IF($B160="","",144)</f>
        <v/>
      </c>
      <c r="B160" s="28">
        <f>IF($P160="","",IF(INDEX(CalcNormDate,$P160)=0,"",INDEX(CalcNormDate,$P160)))</f>
        <v/>
      </c>
      <c r="C160" s="28">
        <f>IF($P160="","",IF(INDEX(CalcTime,$P160)=0,"",INDEX(CalcTime,$P160)))</f>
        <v/>
      </c>
      <c r="D160" s="28">
        <f>IF($P160="","",IF(INDEX(EntryParty,$P160)=0,"",INDEX(EntryParty,$P160)))</f>
        <v/>
      </c>
      <c r="E160" s="28">
        <f>IF($P160="","",IF(INDEX(EntryPartyName,$P160)=0,"",INDEX(EntryPartyName,$P160)))</f>
        <v/>
      </c>
      <c r="F160" s="28">
        <f>IF($P160="","",IF(INDEX(EntryPartyType,$P160)=0,"",INDEX(EntryPartyType,$P160)))</f>
        <v/>
      </c>
      <c r="G160" s="28">
        <f>IF($P160="","",IF(INDEX(EntryTxnType,$P160)=0,"",INDEX(EntryTxnType,$P160)))</f>
        <v/>
      </c>
      <c r="H160" s="29">
        <f>IF($P160="","",IF(INDEX(EntryDep,$P160)=0,"",INDEX(EntryDep,$P160)))</f>
        <v/>
      </c>
      <c r="I160" s="29">
        <f>IF($P160="","",IF(INDEX(EntryWit,$P160)=0,"",INDEX(EntryWit,$P160)))</f>
        <v/>
      </c>
      <c r="J160" s="29">
        <f>IF($B160="","",IF($A160=1,$C$7,IF(J159="",0,J159))+IF($H160="",0,$H160)-IF($I160="",0,$I160))</f>
        <v/>
      </c>
      <c r="K160" s="29">
        <f>IF($P160="","",IF(INDEX(EntryMan,$P160)=0,"",INDEX(EntryMan,$P160)))</f>
        <v/>
      </c>
      <c r="L160" s="28">
        <f>IF($B160="","",IF($K160="","—",IF(ROUND($K160-$J160,0)=0,"√","×")))</f>
        <v/>
      </c>
      <c r="M160" s="28">
        <f>IF($B160="","",IF(COUNTIFS(EntryDates,$B160,CalcTime,$C160,CalcBank,$C$5,EntryParty,$D160,EntryDep,$H160,EntryWit,$I160)&gt;1,"تکرار",""))</f>
        <v/>
      </c>
      <c r="N160" s="28">
        <f>IF($P160="","",IF(INDEX(EntryNotes,$P160)=0,"",INDEX(EntryNotes,$P160)))</f>
        <v/>
      </c>
      <c r="O160" s="28">
        <f>IF($P160="","",IF(INDEX(EntryTxnID,$P160)=0,"",INDEX(EntryTxnID,$P160)))</f>
        <v/>
      </c>
      <c r="P160" s="28">
        <f>IFERROR(MATCH($C$5&amp;"|"&amp;RIGHT("000000"&amp;144,6),CalcRankKey,0),"")</f>
        <v/>
      </c>
    </row>
    <row r="161">
      <c r="A161" s="26">
        <f>IF($B161="","",145)</f>
        <v/>
      </c>
      <c r="B161" s="26">
        <f>IF($P161="","",IF(INDEX(CalcNormDate,$P161)=0,"",INDEX(CalcNormDate,$P161)))</f>
        <v/>
      </c>
      <c r="C161" s="26">
        <f>IF($P161="","",IF(INDEX(CalcTime,$P161)=0,"",INDEX(CalcTime,$P161)))</f>
        <v/>
      </c>
      <c r="D161" s="26">
        <f>IF($P161="","",IF(INDEX(EntryParty,$P161)=0,"",INDEX(EntryParty,$P161)))</f>
        <v/>
      </c>
      <c r="E161" s="26">
        <f>IF($P161="","",IF(INDEX(EntryPartyName,$P161)=0,"",INDEX(EntryPartyName,$P161)))</f>
        <v/>
      </c>
      <c r="F161" s="26">
        <f>IF($P161="","",IF(INDEX(EntryPartyType,$P161)=0,"",INDEX(EntryPartyType,$P161)))</f>
        <v/>
      </c>
      <c r="G161" s="26">
        <f>IF($P161="","",IF(INDEX(EntryTxnType,$P161)=0,"",INDEX(EntryTxnType,$P161)))</f>
        <v/>
      </c>
      <c r="H161" s="27">
        <f>IF($P161="","",IF(INDEX(EntryDep,$P161)=0,"",INDEX(EntryDep,$P161)))</f>
        <v/>
      </c>
      <c r="I161" s="27">
        <f>IF($P161="","",IF(INDEX(EntryWit,$P161)=0,"",INDEX(EntryWit,$P161)))</f>
        <v/>
      </c>
      <c r="J161" s="27">
        <f>IF($B161="","",IF($A161=1,$C$7,IF(J160="",0,J160))+IF($H161="",0,$H161)-IF($I161="",0,$I161))</f>
        <v/>
      </c>
      <c r="K161" s="27">
        <f>IF($P161="","",IF(INDEX(EntryMan,$P161)=0,"",INDEX(EntryMan,$P161)))</f>
        <v/>
      </c>
      <c r="L161" s="26">
        <f>IF($B161="","",IF($K161="","—",IF(ROUND($K161-$J161,0)=0,"√","×")))</f>
        <v/>
      </c>
      <c r="M161" s="26">
        <f>IF($B161="","",IF(COUNTIFS(EntryDates,$B161,CalcTime,$C161,CalcBank,$C$5,EntryParty,$D161,EntryDep,$H161,EntryWit,$I161)&gt;1,"تکرار",""))</f>
        <v/>
      </c>
      <c r="N161" s="26">
        <f>IF($P161="","",IF(INDEX(EntryNotes,$P161)=0,"",INDEX(EntryNotes,$P161)))</f>
        <v/>
      </c>
      <c r="O161" s="26">
        <f>IF($P161="","",IF(INDEX(EntryTxnID,$P161)=0,"",INDEX(EntryTxnID,$P161)))</f>
        <v/>
      </c>
      <c r="P161" s="26">
        <f>IFERROR(MATCH($C$5&amp;"|"&amp;RIGHT("000000"&amp;145,6),CalcRankKey,0),"")</f>
        <v/>
      </c>
    </row>
    <row r="162">
      <c r="A162" s="28">
        <f>IF($B162="","",146)</f>
        <v/>
      </c>
      <c r="B162" s="28">
        <f>IF($P162="","",IF(INDEX(CalcNormDate,$P162)=0,"",INDEX(CalcNormDate,$P162)))</f>
        <v/>
      </c>
      <c r="C162" s="28">
        <f>IF($P162="","",IF(INDEX(CalcTime,$P162)=0,"",INDEX(CalcTime,$P162)))</f>
        <v/>
      </c>
      <c r="D162" s="28">
        <f>IF($P162="","",IF(INDEX(EntryParty,$P162)=0,"",INDEX(EntryParty,$P162)))</f>
        <v/>
      </c>
      <c r="E162" s="28">
        <f>IF($P162="","",IF(INDEX(EntryPartyName,$P162)=0,"",INDEX(EntryPartyName,$P162)))</f>
        <v/>
      </c>
      <c r="F162" s="28">
        <f>IF($P162="","",IF(INDEX(EntryPartyType,$P162)=0,"",INDEX(EntryPartyType,$P162)))</f>
        <v/>
      </c>
      <c r="G162" s="28">
        <f>IF($P162="","",IF(INDEX(EntryTxnType,$P162)=0,"",INDEX(EntryTxnType,$P162)))</f>
        <v/>
      </c>
      <c r="H162" s="29">
        <f>IF($P162="","",IF(INDEX(EntryDep,$P162)=0,"",INDEX(EntryDep,$P162)))</f>
        <v/>
      </c>
      <c r="I162" s="29">
        <f>IF($P162="","",IF(INDEX(EntryWit,$P162)=0,"",INDEX(EntryWit,$P162)))</f>
        <v/>
      </c>
      <c r="J162" s="29">
        <f>IF($B162="","",IF($A162=1,$C$7,IF(J161="",0,J161))+IF($H162="",0,$H162)-IF($I162="",0,$I162))</f>
        <v/>
      </c>
      <c r="K162" s="29">
        <f>IF($P162="","",IF(INDEX(EntryMan,$P162)=0,"",INDEX(EntryMan,$P162)))</f>
        <v/>
      </c>
      <c r="L162" s="28">
        <f>IF($B162="","",IF($K162="","—",IF(ROUND($K162-$J162,0)=0,"√","×")))</f>
        <v/>
      </c>
      <c r="M162" s="28">
        <f>IF($B162="","",IF(COUNTIFS(EntryDates,$B162,CalcTime,$C162,CalcBank,$C$5,EntryParty,$D162,EntryDep,$H162,EntryWit,$I162)&gt;1,"تکرار",""))</f>
        <v/>
      </c>
      <c r="N162" s="28">
        <f>IF($P162="","",IF(INDEX(EntryNotes,$P162)=0,"",INDEX(EntryNotes,$P162)))</f>
        <v/>
      </c>
      <c r="O162" s="28">
        <f>IF($P162="","",IF(INDEX(EntryTxnID,$P162)=0,"",INDEX(EntryTxnID,$P162)))</f>
        <v/>
      </c>
      <c r="P162" s="28">
        <f>IFERROR(MATCH($C$5&amp;"|"&amp;RIGHT("000000"&amp;146,6),CalcRankKey,0),"")</f>
        <v/>
      </c>
    </row>
    <row r="163">
      <c r="A163" s="26">
        <f>IF($B163="","",147)</f>
        <v/>
      </c>
      <c r="B163" s="26">
        <f>IF($P163="","",IF(INDEX(CalcNormDate,$P163)=0,"",INDEX(CalcNormDate,$P163)))</f>
        <v/>
      </c>
      <c r="C163" s="26">
        <f>IF($P163="","",IF(INDEX(CalcTime,$P163)=0,"",INDEX(CalcTime,$P163)))</f>
        <v/>
      </c>
      <c r="D163" s="26">
        <f>IF($P163="","",IF(INDEX(EntryParty,$P163)=0,"",INDEX(EntryParty,$P163)))</f>
        <v/>
      </c>
      <c r="E163" s="26">
        <f>IF($P163="","",IF(INDEX(EntryPartyName,$P163)=0,"",INDEX(EntryPartyName,$P163)))</f>
        <v/>
      </c>
      <c r="F163" s="26">
        <f>IF($P163="","",IF(INDEX(EntryPartyType,$P163)=0,"",INDEX(EntryPartyType,$P163)))</f>
        <v/>
      </c>
      <c r="G163" s="26">
        <f>IF($P163="","",IF(INDEX(EntryTxnType,$P163)=0,"",INDEX(EntryTxnType,$P163)))</f>
        <v/>
      </c>
      <c r="H163" s="27">
        <f>IF($P163="","",IF(INDEX(EntryDep,$P163)=0,"",INDEX(EntryDep,$P163)))</f>
        <v/>
      </c>
      <c r="I163" s="27">
        <f>IF($P163="","",IF(INDEX(EntryWit,$P163)=0,"",INDEX(EntryWit,$P163)))</f>
        <v/>
      </c>
      <c r="J163" s="27">
        <f>IF($B163="","",IF($A163=1,$C$7,IF(J162="",0,J162))+IF($H163="",0,$H163)-IF($I163="",0,$I163))</f>
        <v/>
      </c>
      <c r="K163" s="27">
        <f>IF($P163="","",IF(INDEX(EntryMan,$P163)=0,"",INDEX(EntryMan,$P163)))</f>
        <v/>
      </c>
      <c r="L163" s="26">
        <f>IF($B163="","",IF($K163="","—",IF(ROUND($K163-$J163,0)=0,"√","×")))</f>
        <v/>
      </c>
      <c r="M163" s="26">
        <f>IF($B163="","",IF(COUNTIFS(EntryDates,$B163,CalcTime,$C163,CalcBank,$C$5,EntryParty,$D163,EntryDep,$H163,EntryWit,$I163)&gt;1,"تکرار",""))</f>
        <v/>
      </c>
      <c r="N163" s="26">
        <f>IF($P163="","",IF(INDEX(EntryNotes,$P163)=0,"",INDEX(EntryNotes,$P163)))</f>
        <v/>
      </c>
      <c r="O163" s="26">
        <f>IF($P163="","",IF(INDEX(EntryTxnID,$P163)=0,"",INDEX(EntryTxnID,$P163)))</f>
        <v/>
      </c>
      <c r="P163" s="26">
        <f>IFERROR(MATCH($C$5&amp;"|"&amp;RIGHT("000000"&amp;147,6),CalcRankKey,0),"")</f>
        <v/>
      </c>
    </row>
    <row r="164">
      <c r="A164" s="28">
        <f>IF($B164="","",148)</f>
        <v/>
      </c>
      <c r="B164" s="28">
        <f>IF($P164="","",IF(INDEX(CalcNormDate,$P164)=0,"",INDEX(CalcNormDate,$P164)))</f>
        <v/>
      </c>
      <c r="C164" s="28">
        <f>IF($P164="","",IF(INDEX(CalcTime,$P164)=0,"",INDEX(CalcTime,$P164)))</f>
        <v/>
      </c>
      <c r="D164" s="28">
        <f>IF($P164="","",IF(INDEX(EntryParty,$P164)=0,"",INDEX(EntryParty,$P164)))</f>
        <v/>
      </c>
      <c r="E164" s="28">
        <f>IF($P164="","",IF(INDEX(EntryPartyName,$P164)=0,"",INDEX(EntryPartyName,$P164)))</f>
        <v/>
      </c>
      <c r="F164" s="28">
        <f>IF($P164="","",IF(INDEX(EntryPartyType,$P164)=0,"",INDEX(EntryPartyType,$P164)))</f>
        <v/>
      </c>
      <c r="G164" s="28">
        <f>IF($P164="","",IF(INDEX(EntryTxnType,$P164)=0,"",INDEX(EntryTxnType,$P164)))</f>
        <v/>
      </c>
      <c r="H164" s="29">
        <f>IF($P164="","",IF(INDEX(EntryDep,$P164)=0,"",INDEX(EntryDep,$P164)))</f>
        <v/>
      </c>
      <c r="I164" s="29">
        <f>IF($P164="","",IF(INDEX(EntryWit,$P164)=0,"",INDEX(EntryWit,$P164)))</f>
        <v/>
      </c>
      <c r="J164" s="29">
        <f>IF($B164="","",IF($A164=1,$C$7,IF(J163="",0,J163))+IF($H164="",0,$H164)-IF($I164="",0,$I164))</f>
        <v/>
      </c>
      <c r="K164" s="29">
        <f>IF($P164="","",IF(INDEX(EntryMan,$P164)=0,"",INDEX(EntryMan,$P164)))</f>
        <v/>
      </c>
      <c r="L164" s="28">
        <f>IF($B164="","",IF($K164="","—",IF(ROUND($K164-$J164,0)=0,"√","×")))</f>
        <v/>
      </c>
      <c r="M164" s="28">
        <f>IF($B164="","",IF(COUNTIFS(EntryDates,$B164,CalcTime,$C164,CalcBank,$C$5,EntryParty,$D164,EntryDep,$H164,EntryWit,$I164)&gt;1,"تکرار",""))</f>
        <v/>
      </c>
      <c r="N164" s="28">
        <f>IF($P164="","",IF(INDEX(EntryNotes,$P164)=0,"",INDEX(EntryNotes,$P164)))</f>
        <v/>
      </c>
      <c r="O164" s="28">
        <f>IF($P164="","",IF(INDEX(EntryTxnID,$P164)=0,"",INDEX(EntryTxnID,$P164)))</f>
        <v/>
      </c>
      <c r="P164" s="28">
        <f>IFERROR(MATCH($C$5&amp;"|"&amp;RIGHT("000000"&amp;148,6),CalcRankKey,0),"")</f>
        <v/>
      </c>
    </row>
    <row r="165">
      <c r="A165" s="26">
        <f>IF($B165="","",149)</f>
        <v/>
      </c>
      <c r="B165" s="26">
        <f>IF($P165="","",IF(INDEX(CalcNormDate,$P165)=0,"",INDEX(CalcNormDate,$P165)))</f>
        <v/>
      </c>
      <c r="C165" s="26">
        <f>IF($P165="","",IF(INDEX(CalcTime,$P165)=0,"",INDEX(CalcTime,$P165)))</f>
        <v/>
      </c>
      <c r="D165" s="26">
        <f>IF($P165="","",IF(INDEX(EntryParty,$P165)=0,"",INDEX(EntryParty,$P165)))</f>
        <v/>
      </c>
      <c r="E165" s="26">
        <f>IF($P165="","",IF(INDEX(EntryPartyName,$P165)=0,"",INDEX(EntryPartyName,$P165)))</f>
        <v/>
      </c>
      <c r="F165" s="26">
        <f>IF($P165="","",IF(INDEX(EntryPartyType,$P165)=0,"",INDEX(EntryPartyType,$P165)))</f>
        <v/>
      </c>
      <c r="G165" s="26">
        <f>IF($P165="","",IF(INDEX(EntryTxnType,$P165)=0,"",INDEX(EntryTxnType,$P165)))</f>
        <v/>
      </c>
      <c r="H165" s="27">
        <f>IF($P165="","",IF(INDEX(EntryDep,$P165)=0,"",INDEX(EntryDep,$P165)))</f>
        <v/>
      </c>
      <c r="I165" s="27">
        <f>IF($P165="","",IF(INDEX(EntryWit,$P165)=0,"",INDEX(EntryWit,$P165)))</f>
        <v/>
      </c>
      <c r="J165" s="27">
        <f>IF($B165="","",IF($A165=1,$C$7,IF(J164="",0,J164))+IF($H165="",0,$H165)-IF($I165="",0,$I165))</f>
        <v/>
      </c>
      <c r="K165" s="27">
        <f>IF($P165="","",IF(INDEX(EntryMan,$P165)=0,"",INDEX(EntryMan,$P165)))</f>
        <v/>
      </c>
      <c r="L165" s="26">
        <f>IF($B165="","",IF($K165="","—",IF(ROUND($K165-$J165,0)=0,"√","×")))</f>
        <v/>
      </c>
      <c r="M165" s="26">
        <f>IF($B165="","",IF(COUNTIFS(EntryDates,$B165,CalcTime,$C165,CalcBank,$C$5,EntryParty,$D165,EntryDep,$H165,EntryWit,$I165)&gt;1,"تکرار",""))</f>
        <v/>
      </c>
      <c r="N165" s="26">
        <f>IF($P165="","",IF(INDEX(EntryNotes,$P165)=0,"",INDEX(EntryNotes,$P165)))</f>
        <v/>
      </c>
      <c r="O165" s="26">
        <f>IF($P165="","",IF(INDEX(EntryTxnID,$P165)=0,"",INDEX(EntryTxnID,$P165)))</f>
        <v/>
      </c>
      <c r="P165" s="26">
        <f>IFERROR(MATCH($C$5&amp;"|"&amp;RIGHT("000000"&amp;149,6),CalcRankKey,0),"")</f>
        <v/>
      </c>
    </row>
    <row r="166">
      <c r="A166" s="28">
        <f>IF($B166="","",150)</f>
        <v/>
      </c>
      <c r="B166" s="28">
        <f>IF($P166="","",IF(INDEX(CalcNormDate,$P166)=0,"",INDEX(CalcNormDate,$P166)))</f>
        <v/>
      </c>
      <c r="C166" s="28">
        <f>IF($P166="","",IF(INDEX(CalcTime,$P166)=0,"",INDEX(CalcTime,$P166)))</f>
        <v/>
      </c>
      <c r="D166" s="28">
        <f>IF($P166="","",IF(INDEX(EntryParty,$P166)=0,"",INDEX(EntryParty,$P166)))</f>
        <v/>
      </c>
      <c r="E166" s="28">
        <f>IF($P166="","",IF(INDEX(EntryPartyName,$P166)=0,"",INDEX(EntryPartyName,$P166)))</f>
        <v/>
      </c>
      <c r="F166" s="28">
        <f>IF($P166="","",IF(INDEX(EntryPartyType,$P166)=0,"",INDEX(EntryPartyType,$P166)))</f>
        <v/>
      </c>
      <c r="G166" s="28">
        <f>IF($P166="","",IF(INDEX(EntryTxnType,$P166)=0,"",INDEX(EntryTxnType,$P166)))</f>
        <v/>
      </c>
      <c r="H166" s="29">
        <f>IF($P166="","",IF(INDEX(EntryDep,$P166)=0,"",INDEX(EntryDep,$P166)))</f>
        <v/>
      </c>
      <c r="I166" s="29">
        <f>IF($P166="","",IF(INDEX(EntryWit,$P166)=0,"",INDEX(EntryWit,$P166)))</f>
        <v/>
      </c>
      <c r="J166" s="29">
        <f>IF($B166="","",IF($A166=1,$C$7,IF(J165="",0,J165))+IF($H166="",0,$H166)-IF($I166="",0,$I166))</f>
        <v/>
      </c>
      <c r="K166" s="29">
        <f>IF($P166="","",IF(INDEX(EntryMan,$P166)=0,"",INDEX(EntryMan,$P166)))</f>
        <v/>
      </c>
      <c r="L166" s="28">
        <f>IF($B166="","",IF($K166="","—",IF(ROUND($K166-$J166,0)=0,"√","×")))</f>
        <v/>
      </c>
      <c r="M166" s="28">
        <f>IF($B166="","",IF(COUNTIFS(EntryDates,$B166,CalcTime,$C166,CalcBank,$C$5,EntryParty,$D166,EntryDep,$H166,EntryWit,$I166)&gt;1,"تکرار",""))</f>
        <v/>
      </c>
      <c r="N166" s="28">
        <f>IF($P166="","",IF(INDEX(EntryNotes,$P166)=0,"",INDEX(EntryNotes,$P166)))</f>
        <v/>
      </c>
      <c r="O166" s="28">
        <f>IF($P166="","",IF(INDEX(EntryTxnID,$P166)=0,"",INDEX(EntryTxnID,$P166)))</f>
        <v/>
      </c>
      <c r="P166" s="28">
        <f>IFERROR(MATCH($C$5&amp;"|"&amp;RIGHT("000000"&amp;150,6),CalcRankKey,0),"")</f>
        <v/>
      </c>
    </row>
    <row r="167">
      <c r="A167" s="26">
        <f>IF($B167="","",151)</f>
        <v/>
      </c>
      <c r="B167" s="26">
        <f>IF($P167="","",IF(INDEX(CalcNormDate,$P167)=0,"",INDEX(CalcNormDate,$P167)))</f>
        <v/>
      </c>
      <c r="C167" s="26">
        <f>IF($P167="","",IF(INDEX(CalcTime,$P167)=0,"",INDEX(CalcTime,$P167)))</f>
        <v/>
      </c>
      <c r="D167" s="26">
        <f>IF($P167="","",IF(INDEX(EntryParty,$P167)=0,"",INDEX(EntryParty,$P167)))</f>
        <v/>
      </c>
      <c r="E167" s="26">
        <f>IF($P167="","",IF(INDEX(EntryPartyName,$P167)=0,"",INDEX(EntryPartyName,$P167)))</f>
        <v/>
      </c>
      <c r="F167" s="26">
        <f>IF($P167="","",IF(INDEX(EntryPartyType,$P167)=0,"",INDEX(EntryPartyType,$P167)))</f>
        <v/>
      </c>
      <c r="G167" s="26">
        <f>IF($P167="","",IF(INDEX(EntryTxnType,$P167)=0,"",INDEX(EntryTxnType,$P167)))</f>
        <v/>
      </c>
      <c r="H167" s="27">
        <f>IF($P167="","",IF(INDEX(EntryDep,$P167)=0,"",INDEX(EntryDep,$P167)))</f>
        <v/>
      </c>
      <c r="I167" s="27">
        <f>IF($P167="","",IF(INDEX(EntryWit,$P167)=0,"",INDEX(EntryWit,$P167)))</f>
        <v/>
      </c>
      <c r="J167" s="27">
        <f>IF($B167="","",IF($A167=1,$C$7,IF(J166="",0,J166))+IF($H167="",0,$H167)-IF($I167="",0,$I167))</f>
        <v/>
      </c>
      <c r="K167" s="27">
        <f>IF($P167="","",IF(INDEX(EntryMan,$P167)=0,"",INDEX(EntryMan,$P167)))</f>
        <v/>
      </c>
      <c r="L167" s="26">
        <f>IF($B167="","",IF($K167="","—",IF(ROUND($K167-$J167,0)=0,"√","×")))</f>
        <v/>
      </c>
      <c r="M167" s="26">
        <f>IF($B167="","",IF(COUNTIFS(EntryDates,$B167,CalcTime,$C167,CalcBank,$C$5,EntryParty,$D167,EntryDep,$H167,EntryWit,$I167)&gt;1,"تکرار",""))</f>
        <v/>
      </c>
      <c r="N167" s="26">
        <f>IF($P167="","",IF(INDEX(EntryNotes,$P167)=0,"",INDEX(EntryNotes,$P167)))</f>
        <v/>
      </c>
      <c r="O167" s="26">
        <f>IF($P167="","",IF(INDEX(EntryTxnID,$P167)=0,"",INDEX(EntryTxnID,$P167)))</f>
        <v/>
      </c>
      <c r="P167" s="26">
        <f>IFERROR(MATCH($C$5&amp;"|"&amp;RIGHT("000000"&amp;151,6),CalcRankKey,0),"")</f>
        <v/>
      </c>
    </row>
    <row r="168">
      <c r="A168" s="28">
        <f>IF($B168="","",152)</f>
        <v/>
      </c>
      <c r="B168" s="28">
        <f>IF($P168="","",IF(INDEX(CalcNormDate,$P168)=0,"",INDEX(CalcNormDate,$P168)))</f>
        <v/>
      </c>
      <c r="C168" s="28">
        <f>IF($P168="","",IF(INDEX(CalcTime,$P168)=0,"",INDEX(CalcTime,$P168)))</f>
        <v/>
      </c>
      <c r="D168" s="28">
        <f>IF($P168="","",IF(INDEX(EntryParty,$P168)=0,"",INDEX(EntryParty,$P168)))</f>
        <v/>
      </c>
      <c r="E168" s="28">
        <f>IF($P168="","",IF(INDEX(EntryPartyName,$P168)=0,"",INDEX(EntryPartyName,$P168)))</f>
        <v/>
      </c>
      <c r="F168" s="28">
        <f>IF($P168="","",IF(INDEX(EntryPartyType,$P168)=0,"",INDEX(EntryPartyType,$P168)))</f>
        <v/>
      </c>
      <c r="G168" s="28">
        <f>IF($P168="","",IF(INDEX(EntryTxnType,$P168)=0,"",INDEX(EntryTxnType,$P168)))</f>
        <v/>
      </c>
      <c r="H168" s="29">
        <f>IF($P168="","",IF(INDEX(EntryDep,$P168)=0,"",INDEX(EntryDep,$P168)))</f>
        <v/>
      </c>
      <c r="I168" s="29">
        <f>IF($P168="","",IF(INDEX(EntryWit,$P168)=0,"",INDEX(EntryWit,$P168)))</f>
        <v/>
      </c>
      <c r="J168" s="29">
        <f>IF($B168="","",IF($A168=1,$C$7,IF(J167="",0,J167))+IF($H168="",0,$H168)-IF($I168="",0,$I168))</f>
        <v/>
      </c>
      <c r="K168" s="29">
        <f>IF($P168="","",IF(INDEX(EntryMan,$P168)=0,"",INDEX(EntryMan,$P168)))</f>
        <v/>
      </c>
      <c r="L168" s="28">
        <f>IF($B168="","",IF($K168="","—",IF(ROUND($K168-$J168,0)=0,"√","×")))</f>
        <v/>
      </c>
      <c r="M168" s="28">
        <f>IF($B168="","",IF(COUNTIFS(EntryDates,$B168,CalcTime,$C168,CalcBank,$C$5,EntryParty,$D168,EntryDep,$H168,EntryWit,$I168)&gt;1,"تکرار",""))</f>
        <v/>
      </c>
      <c r="N168" s="28">
        <f>IF($P168="","",IF(INDEX(EntryNotes,$P168)=0,"",INDEX(EntryNotes,$P168)))</f>
        <v/>
      </c>
      <c r="O168" s="28">
        <f>IF($P168="","",IF(INDEX(EntryTxnID,$P168)=0,"",INDEX(EntryTxnID,$P168)))</f>
        <v/>
      </c>
      <c r="P168" s="28">
        <f>IFERROR(MATCH($C$5&amp;"|"&amp;RIGHT("000000"&amp;152,6),CalcRankKey,0),"")</f>
        <v/>
      </c>
    </row>
    <row r="169">
      <c r="A169" s="26">
        <f>IF($B169="","",153)</f>
        <v/>
      </c>
      <c r="B169" s="26">
        <f>IF($P169="","",IF(INDEX(CalcNormDate,$P169)=0,"",INDEX(CalcNormDate,$P169)))</f>
        <v/>
      </c>
      <c r="C169" s="26">
        <f>IF($P169="","",IF(INDEX(CalcTime,$P169)=0,"",INDEX(CalcTime,$P169)))</f>
        <v/>
      </c>
      <c r="D169" s="26">
        <f>IF($P169="","",IF(INDEX(EntryParty,$P169)=0,"",INDEX(EntryParty,$P169)))</f>
        <v/>
      </c>
      <c r="E169" s="26">
        <f>IF($P169="","",IF(INDEX(EntryPartyName,$P169)=0,"",INDEX(EntryPartyName,$P169)))</f>
        <v/>
      </c>
      <c r="F169" s="26">
        <f>IF($P169="","",IF(INDEX(EntryPartyType,$P169)=0,"",INDEX(EntryPartyType,$P169)))</f>
        <v/>
      </c>
      <c r="G169" s="26">
        <f>IF($P169="","",IF(INDEX(EntryTxnType,$P169)=0,"",INDEX(EntryTxnType,$P169)))</f>
        <v/>
      </c>
      <c r="H169" s="27">
        <f>IF($P169="","",IF(INDEX(EntryDep,$P169)=0,"",INDEX(EntryDep,$P169)))</f>
        <v/>
      </c>
      <c r="I169" s="27">
        <f>IF($P169="","",IF(INDEX(EntryWit,$P169)=0,"",INDEX(EntryWit,$P169)))</f>
        <v/>
      </c>
      <c r="J169" s="27">
        <f>IF($B169="","",IF($A169=1,$C$7,IF(J168="",0,J168))+IF($H169="",0,$H169)-IF($I169="",0,$I169))</f>
        <v/>
      </c>
      <c r="K169" s="27">
        <f>IF($P169="","",IF(INDEX(EntryMan,$P169)=0,"",INDEX(EntryMan,$P169)))</f>
        <v/>
      </c>
      <c r="L169" s="26">
        <f>IF($B169="","",IF($K169="","—",IF(ROUND($K169-$J169,0)=0,"√","×")))</f>
        <v/>
      </c>
      <c r="M169" s="26">
        <f>IF($B169="","",IF(COUNTIFS(EntryDates,$B169,CalcTime,$C169,CalcBank,$C$5,EntryParty,$D169,EntryDep,$H169,EntryWit,$I169)&gt;1,"تکرار",""))</f>
        <v/>
      </c>
      <c r="N169" s="26">
        <f>IF($P169="","",IF(INDEX(EntryNotes,$P169)=0,"",INDEX(EntryNotes,$P169)))</f>
        <v/>
      </c>
      <c r="O169" s="26">
        <f>IF($P169="","",IF(INDEX(EntryTxnID,$P169)=0,"",INDEX(EntryTxnID,$P169)))</f>
        <v/>
      </c>
      <c r="P169" s="26">
        <f>IFERROR(MATCH($C$5&amp;"|"&amp;RIGHT("000000"&amp;153,6),CalcRankKey,0),"")</f>
        <v/>
      </c>
    </row>
    <row r="170">
      <c r="A170" s="28">
        <f>IF($B170="","",154)</f>
        <v/>
      </c>
      <c r="B170" s="28">
        <f>IF($P170="","",IF(INDEX(CalcNormDate,$P170)=0,"",INDEX(CalcNormDate,$P170)))</f>
        <v/>
      </c>
      <c r="C170" s="28">
        <f>IF($P170="","",IF(INDEX(CalcTime,$P170)=0,"",INDEX(CalcTime,$P170)))</f>
        <v/>
      </c>
      <c r="D170" s="28">
        <f>IF($P170="","",IF(INDEX(EntryParty,$P170)=0,"",INDEX(EntryParty,$P170)))</f>
        <v/>
      </c>
      <c r="E170" s="28">
        <f>IF($P170="","",IF(INDEX(EntryPartyName,$P170)=0,"",INDEX(EntryPartyName,$P170)))</f>
        <v/>
      </c>
      <c r="F170" s="28">
        <f>IF($P170="","",IF(INDEX(EntryPartyType,$P170)=0,"",INDEX(EntryPartyType,$P170)))</f>
        <v/>
      </c>
      <c r="G170" s="28">
        <f>IF($P170="","",IF(INDEX(EntryTxnType,$P170)=0,"",INDEX(EntryTxnType,$P170)))</f>
        <v/>
      </c>
      <c r="H170" s="29">
        <f>IF($P170="","",IF(INDEX(EntryDep,$P170)=0,"",INDEX(EntryDep,$P170)))</f>
        <v/>
      </c>
      <c r="I170" s="29">
        <f>IF($P170="","",IF(INDEX(EntryWit,$P170)=0,"",INDEX(EntryWit,$P170)))</f>
        <v/>
      </c>
      <c r="J170" s="29">
        <f>IF($B170="","",IF($A170=1,$C$7,IF(J169="",0,J169))+IF($H170="",0,$H170)-IF($I170="",0,$I170))</f>
        <v/>
      </c>
      <c r="K170" s="29">
        <f>IF($P170="","",IF(INDEX(EntryMan,$P170)=0,"",INDEX(EntryMan,$P170)))</f>
        <v/>
      </c>
      <c r="L170" s="28">
        <f>IF($B170="","",IF($K170="","—",IF(ROUND($K170-$J170,0)=0,"√","×")))</f>
        <v/>
      </c>
      <c r="M170" s="28">
        <f>IF($B170="","",IF(COUNTIFS(EntryDates,$B170,CalcTime,$C170,CalcBank,$C$5,EntryParty,$D170,EntryDep,$H170,EntryWit,$I170)&gt;1,"تکرار",""))</f>
        <v/>
      </c>
      <c r="N170" s="28">
        <f>IF($P170="","",IF(INDEX(EntryNotes,$P170)=0,"",INDEX(EntryNotes,$P170)))</f>
        <v/>
      </c>
      <c r="O170" s="28">
        <f>IF($P170="","",IF(INDEX(EntryTxnID,$P170)=0,"",INDEX(EntryTxnID,$P170)))</f>
        <v/>
      </c>
      <c r="P170" s="28">
        <f>IFERROR(MATCH($C$5&amp;"|"&amp;RIGHT("000000"&amp;154,6),CalcRankKey,0),"")</f>
        <v/>
      </c>
    </row>
    <row r="171">
      <c r="A171" s="26">
        <f>IF($B171="","",155)</f>
        <v/>
      </c>
      <c r="B171" s="26">
        <f>IF($P171="","",IF(INDEX(CalcNormDate,$P171)=0,"",INDEX(CalcNormDate,$P171)))</f>
        <v/>
      </c>
      <c r="C171" s="26">
        <f>IF($P171="","",IF(INDEX(CalcTime,$P171)=0,"",INDEX(CalcTime,$P171)))</f>
        <v/>
      </c>
      <c r="D171" s="26">
        <f>IF($P171="","",IF(INDEX(EntryParty,$P171)=0,"",INDEX(EntryParty,$P171)))</f>
        <v/>
      </c>
      <c r="E171" s="26">
        <f>IF($P171="","",IF(INDEX(EntryPartyName,$P171)=0,"",INDEX(EntryPartyName,$P171)))</f>
        <v/>
      </c>
      <c r="F171" s="26">
        <f>IF($P171="","",IF(INDEX(EntryPartyType,$P171)=0,"",INDEX(EntryPartyType,$P171)))</f>
        <v/>
      </c>
      <c r="G171" s="26">
        <f>IF($P171="","",IF(INDEX(EntryTxnType,$P171)=0,"",INDEX(EntryTxnType,$P171)))</f>
        <v/>
      </c>
      <c r="H171" s="27">
        <f>IF($P171="","",IF(INDEX(EntryDep,$P171)=0,"",INDEX(EntryDep,$P171)))</f>
        <v/>
      </c>
      <c r="I171" s="27">
        <f>IF($P171="","",IF(INDEX(EntryWit,$P171)=0,"",INDEX(EntryWit,$P171)))</f>
        <v/>
      </c>
      <c r="J171" s="27">
        <f>IF($B171="","",IF($A171=1,$C$7,IF(J170="",0,J170))+IF($H171="",0,$H171)-IF($I171="",0,$I171))</f>
        <v/>
      </c>
      <c r="K171" s="27">
        <f>IF($P171="","",IF(INDEX(EntryMan,$P171)=0,"",INDEX(EntryMan,$P171)))</f>
        <v/>
      </c>
      <c r="L171" s="26">
        <f>IF($B171="","",IF($K171="","—",IF(ROUND($K171-$J171,0)=0,"√","×")))</f>
        <v/>
      </c>
      <c r="M171" s="26">
        <f>IF($B171="","",IF(COUNTIFS(EntryDates,$B171,CalcTime,$C171,CalcBank,$C$5,EntryParty,$D171,EntryDep,$H171,EntryWit,$I171)&gt;1,"تکرار",""))</f>
        <v/>
      </c>
      <c r="N171" s="26">
        <f>IF($P171="","",IF(INDEX(EntryNotes,$P171)=0,"",INDEX(EntryNotes,$P171)))</f>
        <v/>
      </c>
      <c r="O171" s="26">
        <f>IF($P171="","",IF(INDEX(EntryTxnID,$P171)=0,"",INDEX(EntryTxnID,$P171)))</f>
        <v/>
      </c>
      <c r="P171" s="26">
        <f>IFERROR(MATCH($C$5&amp;"|"&amp;RIGHT("000000"&amp;155,6),CalcRankKey,0),"")</f>
        <v/>
      </c>
    </row>
    <row r="172">
      <c r="A172" s="28">
        <f>IF($B172="","",156)</f>
        <v/>
      </c>
      <c r="B172" s="28">
        <f>IF($P172="","",IF(INDEX(CalcNormDate,$P172)=0,"",INDEX(CalcNormDate,$P172)))</f>
        <v/>
      </c>
      <c r="C172" s="28">
        <f>IF($P172="","",IF(INDEX(CalcTime,$P172)=0,"",INDEX(CalcTime,$P172)))</f>
        <v/>
      </c>
      <c r="D172" s="28">
        <f>IF($P172="","",IF(INDEX(EntryParty,$P172)=0,"",INDEX(EntryParty,$P172)))</f>
        <v/>
      </c>
      <c r="E172" s="28">
        <f>IF($P172="","",IF(INDEX(EntryPartyName,$P172)=0,"",INDEX(EntryPartyName,$P172)))</f>
        <v/>
      </c>
      <c r="F172" s="28">
        <f>IF($P172="","",IF(INDEX(EntryPartyType,$P172)=0,"",INDEX(EntryPartyType,$P172)))</f>
        <v/>
      </c>
      <c r="G172" s="28">
        <f>IF($P172="","",IF(INDEX(EntryTxnType,$P172)=0,"",INDEX(EntryTxnType,$P172)))</f>
        <v/>
      </c>
      <c r="H172" s="29">
        <f>IF($P172="","",IF(INDEX(EntryDep,$P172)=0,"",INDEX(EntryDep,$P172)))</f>
        <v/>
      </c>
      <c r="I172" s="29">
        <f>IF($P172="","",IF(INDEX(EntryWit,$P172)=0,"",INDEX(EntryWit,$P172)))</f>
        <v/>
      </c>
      <c r="J172" s="29">
        <f>IF($B172="","",IF($A172=1,$C$7,IF(J171="",0,J171))+IF($H172="",0,$H172)-IF($I172="",0,$I172))</f>
        <v/>
      </c>
      <c r="K172" s="29">
        <f>IF($P172="","",IF(INDEX(EntryMan,$P172)=0,"",INDEX(EntryMan,$P172)))</f>
        <v/>
      </c>
      <c r="L172" s="28">
        <f>IF($B172="","",IF($K172="","—",IF(ROUND($K172-$J172,0)=0,"√","×")))</f>
        <v/>
      </c>
      <c r="M172" s="28">
        <f>IF($B172="","",IF(COUNTIFS(EntryDates,$B172,CalcTime,$C172,CalcBank,$C$5,EntryParty,$D172,EntryDep,$H172,EntryWit,$I172)&gt;1,"تکرار",""))</f>
        <v/>
      </c>
      <c r="N172" s="28">
        <f>IF($P172="","",IF(INDEX(EntryNotes,$P172)=0,"",INDEX(EntryNotes,$P172)))</f>
        <v/>
      </c>
      <c r="O172" s="28">
        <f>IF($P172="","",IF(INDEX(EntryTxnID,$P172)=0,"",INDEX(EntryTxnID,$P172)))</f>
        <v/>
      </c>
      <c r="P172" s="28">
        <f>IFERROR(MATCH($C$5&amp;"|"&amp;RIGHT("000000"&amp;156,6),CalcRankKey,0),"")</f>
        <v/>
      </c>
    </row>
    <row r="173">
      <c r="A173" s="26">
        <f>IF($B173="","",157)</f>
        <v/>
      </c>
      <c r="B173" s="26">
        <f>IF($P173="","",IF(INDEX(CalcNormDate,$P173)=0,"",INDEX(CalcNormDate,$P173)))</f>
        <v/>
      </c>
      <c r="C173" s="26">
        <f>IF($P173="","",IF(INDEX(CalcTime,$P173)=0,"",INDEX(CalcTime,$P173)))</f>
        <v/>
      </c>
      <c r="D173" s="26">
        <f>IF($P173="","",IF(INDEX(EntryParty,$P173)=0,"",INDEX(EntryParty,$P173)))</f>
        <v/>
      </c>
      <c r="E173" s="26">
        <f>IF($P173="","",IF(INDEX(EntryPartyName,$P173)=0,"",INDEX(EntryPartyName,$P173)))</f>
        <v/>
      </c>
      <c r="F173" s="26">
        <f>IF($P173="","",IF(INDEX(EntryPartyType,$P173)=0,"",INDEX(EntryPartyType,$P173)))</f>
        <v/>
      </c>
      <c r="G173" s="26">
        <f>IF($P173="","",IF(INDEX(EntryTxnType,$P173)=0,"",INDEX(EntryTxnType,$P173)))</f>
        <v/>
      </c>
      <c r="H173" s="27">
        <f>IF($P173="","",IF(INDEX(EntryDep,$P173)=0,"",INDEX(EntryDep,$P173)))</f>
        <v/>
      </c>
      <c r="I173" s="27">
        <f>IF($P173="","",IF(INDEX(EntryWit,$P173)=0,"",INDEX(EntryWit,$P173)))</f>
        <v/>
      </c>
      <c r="J173" s="27">
        <f>IF($B173="","",IF($A173=1,$C$7,IF(J172="",0,J172))+IF($H173="",0,$H173)-IF($I173="",0,$I173))</f>
        <v/>
      </c>
      <c r="K173" s="27">
        <f>IF($P173="","",IF(INDEX(EntryMan,$P173)=0,"",INDEX(EntryMan,$P173)))</f>
        <v/>
      </c>
      <c r="L173" s="26">
        <f>IF($B173="","",IF($K173="","—",IF(ROUND($K173-$J173,0)=0,"√","×")))</f>
        <v/>
      </c>
      <c r="M173" s="26">
        <f>IF($B173="","",IF(COUNTIFS(EntryDates,$B173,CalcTime,$C173,CalcBank,$C$5,EntryParty,$D173,EntryDep,$H173,EntryWit,$I173)&gt;1,"تکرار",""))</f>
        <v/>
      </c>
      <c r="N173" s="26">
        <f>IF($P173="","",IF(INDEX(EntryNotes,$P173)=0,"",INDEX(EntryNotes,$P173)))</f>
        <v/>
      </c>
      <c r="O173" s="26">
        <f>IF($P173="","",IF(INDEX(EntryTxnID,$P173)=0,"",INDEX(EntryTxnID,$P173)))</f>
        <v/>
      </c>
      <c r="P173" s="26">
        <f>IFERROR(MATCH($C$5&amp;"|"&amp;RIGHT("000000"&amp;157,6),CalcRankKey,0),"")</f>
        <v/>
      </c>
    </row>
    <row r="174">
      <c r="A174" s="28">
        <f>IF($B174="","",158)</f>
        <v/>
      </c>
      <c r="B174" s="28">
        <f>IF($P174="","",IF(INDEX(CalcNormDate,$P174)=0,"",INDEX(CalcNormDate,$P174)))</f>
        <v/>
      </c>
      <c r="C174" s="28">
        <f>IF($P174="","",IF(INDEX(CalcTime,$P174)=0,"",INDEX(CalcTime,$P174)))</f>
        <v/>
      </c>
      <c r="D174" s="28">
        <f>IF($P174="","",IF(INDEX(EntryParty,$P174)=0,"",INDEX(EntryParty,$P174)))</f>
        <v/>
      </c>
      <c r="E174" s="28">
        <f>IF($P174="","",IF(INDEX(EntryPartyName,$P174)=0,"",INDEX(EntryPartyName,$P174)))</f>
        <v/>
      </c>
      <c r="F174" s="28">
        <f>IF($P174="","",IF(INDEX(EntryPartyType,$P174)=0,"",INDEX(EntryPartyType,$P174)))</f>
        <v/>
      </c>
      <c r="G174" s="28">
        <f>IF($P174="","",IF(INDEX(EntryTxnType,$P174)=0,"",INDEX(EntryTxnType,$P174)))</f>
        <v/>
      </c>
      <c r="H174" s="29">
        <f>IF($P174="","",IF(INDEX(EntryDep,$P174)=0,"",INDEX(EntryDep,$P174)))</f>
        <v/>
      </c>
      <c r="I174" s="29">
        <f>IF($P174="","",IF(INDEX(EntryWit,$P174)=0,"",INDEX(EntryWit,$P174)))</f>
        <v/>
      </c>
      <c r="J174" s="29">
        <f>IF($B174="","",IF($A174=1,$C$7,IF(J173="",0,J173))+IF($H174="",0,$H174)-IF($I174="",0,$I174))</f>
        <v/>
      </c>
      <c r="K174" s="29">
        <f>IF($P174="","",IF(INDEX(EntryMan,$P174)=0,"",INDEX(EntryMan,$P174)))</f>
        <v/>
      </c>
      <c r="L174" s="28">
        <f>IF($B174="","",IF($K174="","—",IF(ROUND($K174-$J174,0)=0,"√","×")))</f>
        <v/>
      </c>
      <c r="M174" s="28">
        <f>IF($B174="","",IF(COUNTIFS(EntryDates,$B174,CalcTime,$C174,CalcBank,$C$5,EntryParty,$D174,EntryDep,$H174,EntryWit,$I174)&gt;1,"تکرار",""))</f>
        <v/>
      </c>
      <c r="N174" s="28">
        <f>IF($P174="","",IF(INDEX(EntryNotes,$P174)=0,"",INDEX(EntryNotes,$P174)))</f>
        <v/>
      </c>
      <c r="O174" s="28">
        <f>IF($P174="","",IF(INDEX(EntryTxnID,$P174)=0,"",INDEX(EntryTxnID,$P174)))</f>
        <v/>
      </c>
      <c r="P174" s="28">
        <f>IFERROR(MATCH($C$5&amp;"|"&amp;RIGHT("000000"&amp;158,6),CalcRankKey,0),"")</f>
        <v/>
      </c>
    </row>
    <row r="175">
      <c r="A175" s="26">
        <f>IF($B175="","",159)</f>
        <v/>
      </c>
      <c r="B175" s="26">
        <f>IF($P175="","",IF(INDEX(CalcNormDate,$P175)=0,"",INDEX(CalcNormDate,$P175)))</f>
        <v/>
      </c>
      <c r="C175" s="26">
        <f>IF($P175="","",IF(INDEX(CalcTime,$P175)=0,"",INDEX(CalcTime,$P175)))</f>
        <v/>
      </c>
      <c r="D175" s="26">
        <f>IF($P175="","",IF(INDEX(EntryParty,$P175)=0,"",INDEX(EntryParty,$P175)))</f>
        <v/>
      </c>
      <c r="E175" s="26">
        <f>IF($P175="","",IF(INDEX(EntryPartyName,$P175)=0,"",INDEX(EntryPartyName,$P175)))</f>
        <v/>
      </c>
      <c r="F175" s="26">
        <f>IF($P175="","",IF(INDEX(EntryPartyType,$P175)=0,"",INDEX(EntryPartyType,$P175)))</f>
        <v/>
      </c>
      <c r="G175" s="26">
        <f>IF($P175="","",IF(INDEX(EntryTxnType,$P175)=0,"",INDEX(EntryTxnType,$P175)))</f>
        <v/>
      </c>
      <c r="H175" s="27">
        <f>IF($P175="","",IF(INDEX(EntryDep,$P175)=0,"",INDEX(EntryDep,$P175)))</f>
        <v/>
      </c>
      <c r="I175" s="27">
        <f>IF($P175="","",IF(INDEX(EntryWit,$P175)=0,"",INDEX(EntryWit,$P175)))</f>
        <v/>
      </c>
      <c r="J175" s="27">
        <f>IF($B175="","",IF($A175=1,$C$7,IF(J174="",0,J174))+IF($H175="",0,$H175)-IF($I175="",0,$I175))</f>
        <v/>
      </c>
      <c r="K175" s="27">
        <f>IF($P175="","",IF(INDEX(EntryMan,$P175)=0,"",INDEX(EntryMan,$P175)))</f>
        <v/>
      </c>
      <c r="L175" s="26">
        <f>IF($B175="","",IF($K175="","—",IF(ROUND($K175-$J175,0)=0,"√","×")))</f>
        <v/>
      </c>
      <c r="M175" s="26">
        <f>IF($B175="","",IF(COUNTIFS(EntryDates,$B175,CalcTime,$C175,CalcBank,$C$5,EntryParty,$D175,EntryDep,$H175,EntryWit,$I175)&gt;1,"تکرار",""))</f>
        <v/>
      </c>
      <c r="N175" s="26">
        <f>IF($P175="","",IF(INDEX(EntryNotes,$P175)=0,"",INDEX(EntryNotes,$P175)))</f>
        <v/>
      </c>
      <c r="O175" s="26">
        <f>IF($P175="","",IF(INDEX(EntryTxnID,$P175)=0,"",INDEX(EntryTxnID,$P175)))</f>
        <v/>
      </c>
      <c r="P175" s="26">
        <f>IFERROR(MATCH($C$5&amp;"|"&amp;RIGHT("000000"&amp;159,6),CalcRankKey,0),"")</f>
        <v/>
      </c>
    </row>
    <row r="176">
      <c r="A176" s="28">
        <f>IF($B176="","",160)</f>
        <v/>
      </c>
      <c r="B176" s="28">
        <f>IF($P176="","",IF(INDEX(CalcNormDate,$P176)=0,"",INDEX(CalcNormDate,$P176)))</f>
        <v/>
      </c>
      <c r="C176" s="28">
        <f>IF($P176="","",IF(INDEX(CalcTime,$P176)=0,"",INDEX(CalcTime,$P176)))</f>
        <v/>
      </c>
      <c r="D176" s="28">
        <f>IF($P176="","",IF(INDEX(EntryParty,$P176)=0,"",INDEX(EntryParty,$P176)))</f>
        <v/>
      </c>
      <c r="E176" s="28">
        <f>IF($P176="","",IF(INDEX(EntryPartyName,$P176)=0,"",INDEX(EntryPartyName,$P176)))</f>
        <v/>
      </c>
      <c r="F176" s="28">
        <f>IF($P176="","",IF(INDEX(EntryPartyType,$P176)=0,"",INDEX(EntryPartyType,$P176)))</f>
        <v/>
      </c>
      <c r="G176" s="28">
        <f>IF($P176="","",IF(INDEX(EntryTxnType,$P176)=0,"",INDEX(EntryTxnType,$P176)))</f>
        <v/>
      </c>
      <c r="H176" s="29">
        <f>IF($P176="","",IF(INDEX(EntryDep,$P176)=0,"",INDEX(EntryDep,$P176)))</f>
        <v/>
      </c>
      <c r="I176" s="29">
        <f>IF($P176="","",IF(INDEX(EntryWit,$P176)=0,"",INDEX(EntryWit,$P176)))</f>
        <v/>
      </c>
      <c r="J176" s="29">
        <f>IF($B176="","",IF($A176=1,$C$7,IF(J175="",0,J175))+IF($H176="",0,$H176)-IF($I176="",0,$I176))</f>
        <v/>
      </c>
      <c r="K176" s="29">
        <f>IF($P176="","",IF(INDEX(EntryMan,$P176)=0,"",INDEX(EntryMan,$P176)))</f>
        <v/>
      </c>
      <c r="L176" s="28">
        <f>IF($B176="","",IF($K176="","—",IF(ROUND($K176-$J176,0)=0,"√","×")))</f>
        <v/>
      </c>
      <c r="M176" s="28">
        <f>IF($B176="","",IF(COUNTIFS(EntryDates,$B176,CalcTime,$C176,CalcBank,$C$5,EntryParty,$D176,EntryDep,$H176,EntryWit,$I176)&gt;1,"تکرار",""))</f>
        <v/>
      </c>
      <c r="N176" s="28">
        <f>IF($P176="","",IF(INDEX(EntryNotes,$P176)=0,"",INDEX(EntryNotes,$P176)))</f>
        <v/>
      </c>
      <c r="O176" s="28">
        <f>IF($P176="","",IF(INDEX(EntryTxnID,$P176)=0,"",INDEX(EntryTxnID,$P176)))</f>
        <v/>
      </c>
      <c r="P176" s="28">
        <f>IFERROR(MATCH($C$5&amp;"|"&amp;RIGHT("000000"&amp;160,6),CalcRankKey,0),"")</f>
        <v/>
      </c>
    </row>
    <row r="177">
      <c r="A177" s="26">
        <f>IF($B177="","",161)</f>
        <v/>
      </c>
      <c r="B177" s="26">
        <f>IF($P177="","",IF(INDEX(CalcNormDate,$P177)=0,"",INDEX(CalcNormDate,$P177)))</f>
        <v/>
      </c>
      <c r="C177" s="26">
        <f>IF($P177="","",IF(INDEX(CalcTime,$P177)=0,"",INDEX(CalcTime,$P177)))</f>
        <v/>
      </c>
      <c r="D177" s="26">
        <f>IF($P177="","",IF(INDEX(EntryParty,$P177)=0,"",INDEX(EntryParty,$P177)))</f>
        <v/>
      </c>
      <c r="E177" s="26">
        <f>IF($P177="","",IF(INDEX(EntryPartyName,$P177)=0,"",INDEX(EntryPartyName,$P177)))</f>
        <v/>
      </c>
      <c r="F177" s="26">
        <f>IF($P177="","",IF(INDEX(EntryPartyType,$P177)=0,"",INDEX(EntryPartyType,$P177)))</f>
        <v/>
      </c>
      <c r="G177" s="26">
        <f>IF($P177="","",IF(INDEX(EntryTxnType,$P177)=0,"",INDEX(EntryTxnType,$P177)))</f>
        <v/>
      </c>
      <c r="H177" s="27">
        <f>IF($P177="","",IF(INDEX(EntryDep,$P177)=0,"",INDEX(EntryDep,$P177)))</f>
        <v/>
      </c>
      <c r="I177" s="27">
        <f>IF($P177="","",IF(INDEX(EntryWit,$P177)=0,"",INDEX(EntryWit,$P177)))</f>
        <v/>
      </c>
      <c r="J177" s="27">
        <f>IF($B177="","",IF($A177=1,$C$7,IF(J176="",0,J176))+IF($H177="",0,$H177)-IF($I177="",0,$I177))</f>
        <v/>
      </c>
      <c r="K177" s="27">
        <f>IF($P177="","",IF(INDEX(EntryMan,$P177)=0,"",INDEX(EntryMan,$P177)))</f>
        <v/>
      </c>
      <c r="L177" s="26">
        <f>IF($B177="","",IF($K177="","—",IF(ROUND($K177-$J177,0)=0,"√","×")))</f>
        <v/>
      </c>
      <c r="M177" s="26">
        <f>IF($B177="","",IF(COUNTIFS(EntryDates,$B177,CalcTime,$C177,CalcBank,$C$5,EntryParty,$D177,EntryDep,$H177,EntryWit,$I177)&gt;1,"تکرار",""))</f>
        <v/>
      </c>
      <c r="N177" s="26">
        <f>IF($P177="","",IF(INDEX(EntryNotes,$P177)=0,"",INDEX(EntryNotes,$P177)))</f>
        <v/>
      </c>
      <c r="O177" s="26">
        <f>IF($P177="","",IF(INDEX(EntryTxnID,$P177)=0,"",INDEX(EntryTxnID,$P177)))</f>
        <v/>
      </c>
      <c r="P177" s="26">
        <f>IFERROR(MATCH($C$5&amp;"|"&amp;RIGHT("000000"&amp;161,6),CalcRankKey,0),"")</f>
        <v/>
      </c>
    </row>
    <row r="178">
      <c r="A178" s="28">
        <f>IF($B178="","",162)</f>
        <v/>
      </c>
      <c r="B178" s="28">
        <f>IF($P178="","",IF(INDEX(CalcNormDate,$P178)=0,"",INDEX(CalcNormDate,$P178)))</f>
        <v/>
      </c>
      <c r="C178" s="28">
        <f>IF($P178="","",IF(INDEX(CalcTime,$P178)=0,"",INDEX(CalcTime,$P178)))</f>
        <v/>
      </c>
      <c r="D178" s="28">
        <f>IF($P178="","",IF(INDEX(EntryParty,$P178)=0,"",INDEX(EntryParty,$P178)))</f>
        <v/>
      </c>
      <c r="E178" s="28">
        <f>IF($P178="","",IF(INDEX(EntryPartyName,$P178)=0,"",INDEX(EntryPartyName,$P178)))</f>
        <v/>
      </c>
      <c r="F178" s="28">
        <f>IF($P178="","",IF(INDEX(EntryPartyType,$P178)=0,"",INDEX(EntryPartyType,$P178)))</f>
        <v/>
      </c>
      <c r="G178" s="28">
        <f>IF($P178="","",IF(INDEX(EntryTxnType,$P178)=0,"",INDEX(EntryTxnType,$P178)))</f>
        <v/>
      </c>
      <c r="H178" s="29">
        <f>IF($P178="","",IF(INDEX(EntryDep,$P178)=0,"",INDEX(EntryDep,$P178)))</f>
        <v/>
      </c>
      <c r="I178" s="29">
        <f>IF($P178="","",IF(INDEX(EntryWit,$P178)=0,"",INDEX(EntryWit,$P178)))</f>
        <v/>
      </c>
      <c r="J178" s="29">
        <f>IF($B178="","",IF($A178=1,$C$7,IF(J177="",0,J177))+IF($H178="",0,$H178)-IF($I178="",0,$I178))</f>
        <v/>
      </c>
      <c r="K178" s="29">
        <f>IF($P178="","",IF(INDEX(EntryMan,$P178)=0,"",INDEX(EntryMan,$P178)))</f>
        <v/>
      </c>
      <c r="L178" s="28">
        <f>IF($B178="","",IF($K178="","—",IF(ROUND($K178-$J178,0)=0,"√","×")))</f>
        <v/>
      </c>
      <c r="M178" s="28">
        <f>IF($B178="","",IF(COUNTIFS(EntryDates,$B178,CalcTime,$C178,CalcBank,$C$5,EntryParty,$D178,EntryDep,$H178,EntryWit,$I178)&gt;1,"تکرار",""))</f>
        <v/>
      </c>
      <c r="N178" s="28">
        <f>IF($P178="","",IF(INDEX(EntryNotes,$P178)=0,"",INDEX(EntryNotes,$P178)))</f>
        <v/>
      </c>
      <c r="O178" s="28">
        <f>IF($P178="","",IF(INDEX(EntryTxnID,$P178)=0,"",INDEX(EntryTxnID,$P178)))</f>
        <v/>
      </c>
      <c r="P178" s="28">
        <f>IFERROR(MATCH($C$5&amp;"|"&amp;RIGHT("000000"&amp;162,6),CalcRankKey,0),"")</f>
        <v/>
      </c>
    </row>
    <row r="179">
      <c r="A179" s="26">
        <f>IF($B179="","",163)</f>
        <v/>
      </c>
      <c r="B179" s="26">
        <f>IF($P179="","",IF(INDEX(CalcNormDate,$P179)=0,"",INDEX(CalcNormDate,$P179)))</f>
        <v/>
      </c>
      <c r="C179" s="26">
        <f>IF($P179="","",IF(INDEX(CalcTime,$P179)=0,"",INDEX(CalcTime,$P179)))</f>
        <v/>
      </c>
      <c r="D179" s="26">
        <f>IF($P179="","",IF(INDEX(EntryParty,$P179)=0,"",INDEX(EntryParty,$P179)))</f>
        <v/>
      </c>
      <c r="E179" s="26">
        <f>IF($P179="","",IF(INDEX(EntryPartyName,$P179)=0,"",INDEX(EntryPartyName,$P179)))</f>
        <v/>
      </c>
      <c r="F179" s="26">
        <f>IF($P179="","",IF(INDEX(EntryPartyType,$P179)=0,"",INDEX(EntryPartyType,$P179)))</f>
        <v/>
      </c>
      <c r="G179" s="26">
        <f>IF($P179="","",IF(INDEX(EntryTxnType,$P179)=0,"",INDEX(EntryTxnType,$P179)))</f>
        <v/>
      </c>
      <c r="H179" s="27">
        <f>IF($P179="","",IF(INDEX(EntryDep,$P179)=0,"",INDEX(EntryDep,$P179)))</f>
        <v/>
      </c>
      <c r="I179" s="27">
        <f>IF($P179="","",IF(INDEX(EntryWit,$P179)=0,"",INDEX(EntryWit,$P179)))</f>
        <v/>
      </c>
      <c r="J179" s="27">
        <f>IF($B179="","",IF($A179=1,$C$7,IF(J178="",0,J178))+IF($H179="",0,$H179)-IF($I179="",0,$I179))</f>
        <v/>
      </c>
      <c r="K179" s="27">
        <f>IF($P179="","",IF(INDEX(EntryMan,$P179)=0,"",INDEX(EntryMan,$P179)))</f>
        <v/>
      </c>
      <c r="L179" s="26">
        <f>IF($B179="","",IF($K179="","—",IF(ROUND($K179-$J179,0)=0,"√","×")))</f>
        <v/>
      </c>
      <c r="M179" s="26">
        <f>IF($B179="","",IF(COUNTIFS(EntryDates,$B179,CalcTime,$C179,CalcBank,$C$5,EntryParty,$D179,EntryDep,$H179,EntryWit,$I179)&gt;1,"تکرار",""))</f>
        <v/>
      </c>
      <c r="N179" s="26">
        <f>IF($P179="","",IF(INDEX(EntryNotes,$P179)=0,"",INDEX(EntryNotes,$P179)))</f>
        <v/>
      </c>
      <c r="O179" s="26">
        <f>IF($P179="","",IF(INDEX(EntryTxnID,$P179)=0,"",INDEX(EntryTxnID,$P179)))</f>
        <v/>
      </c>
      <c r="P179" s="26">
        <f>IFERROR(MATCH($C$5&amp;"|"&amp;RIGHT("000000"&amp;163,6),CalcRankKey,0),"")</f>
        <v/>
      </c>
    </row>
    <row r="180">
      <c r="A180" s="28">
        <f>IF($B180="","",164)</f>
        <v/>
      </c>
      <c r="B180" s="28">
        <f>IF($P180="","",IF(INDEX(CalcNormDate,$P180)=0,"",INDEX(CalcNormDate,$P180)))</f>
        <v/>
      </c>
      <c r="C180" s="28">
        <f>IF($P180="","",IF(INDEX(CalcTime,$P180)=0,"",INDEX(CalcTime,$P180)))</f>
        <v/>
      </c>
      <c r="D180" s="28">
        <f>IF($P180="","",IF(INDEX(EntryParty,$P180)=0,"",INDEX(EntryParty,$P180)))</f>
        <v/>
      </c>
      <c r="E180" s="28">
        <f>IF($P180="","",IF(INDEX(EntryPartyName,$P180)=0,"",INDEX(EntryPartyName,$P180)))</f>
        <v/>
      </c>
      <c r="F180" s="28">
        <f>IF($P180="","",IF(INDEX(EntryPartyType,$P180)=0,"",INDEX(EntryPartyType,$P180)))</f>
        <v/>
      </c>
      <c r="G180" s="28">
        <f>IF($P180="","",IF(INDEX(EntryTxnType,$P180)=0,"",INDEX(EntryTxnType,$P180)))</f>
        <v/>
      </c>
      <c r="H180" s="29">
        <f>IF($P180="","",IF(INDEX(EntryDep,$P180)=0,"",INDEX(EntryDep,$P180)))</f>
        <v/>
      </c>
      <c r="I180" s="29">
        <f>IF($P180="","",IF(INDEX(EntryWit,$P180)=0,"",INDEX(EntryWit,$P180)))</f>
        <v/>
      </c>
      <c r="J180" s="29">
        <f>IF($B180="","",IF($A180=1,$C$7,IF(J179="",0,J179))+IF($H180="",0,$H180)-IF($I180="",0,$I180))</f>
        <v/>
      </c>
      <c r="K180" s="29">
        <f>IF($P180="","",IF(INDEX(EntryMan,$P180)=0,"",INDEX(EntryMan,$P180)))</f>
        <v/>
      </c>
      <c r="L180" s="28">
        <f>IF($B180="","",IF($K180="","—",IF(ROUND($K180-$J180,0)=0,"√","×")))</f>
        <v/>
      </c>
      <c r="M180" s="28">
        <f>IF($B180="","",IF(COUNTIFS(EntryDates,$B180,CalcTime,$C180,CalcBank,$C$5,EntryParty,$D180,EntryDep,$H180,EntryWit,$I180)&gt;1,"تکرار",""))</f>
        <v/>
      </c>
      <c r="N180" s="28">
        <f>IF($P180="","",IF(INDEX(EntryNotes,$P180)=0,"",INDEX(EntryNotes,$P180)))</f>
        <v/>
      </c>
      <c r="O180" s="28">
        <f>IF($P180="","",IF(INDEX(EntryTxnID,$P180)=0,"",INDEX(EntryTxnID,$P180)))</f>
        <v/>
      </c>
      <c r="P180" s="28">
        <f>IFERROR(MATCH($C$5&amp;"|"&amp;RIGHT("000000"&amp;164,6),CalcRankKey,0),"")</f>
        <v/>
      </c>
    </row>
    <row r="181">
      <c r="A181" s="26">
        <f>IF($B181="","",165)</f>
        <v/>
      </c>
      <c r="B181" s="26">
        <f>IF($P181="","",IF(INDEX(CalcNormDate,$P181)=0,"",INDEX(CalcNormDate,$P181)))</f>
        <v/>
      </c>
      <c r="C181" s="26">
        <f>IF($P181="","",IF(INDEX(CalcTime,$P181)=0,"",INDEX(CalcTime,$P181)))</f>
        <v/>
      </c>
      <c r="D181" s="26">
        <f>IF($P181="","",IF(INDEX(EntryParty,$P181)=0,"",INDEX(EntryParty,$P181)))</f>
        <v/>
      </c>
      <c r="E181" s="26">
        <f>IF($P181="","",IF(INDEX(EntryPartyName,$P181)=0,"",INDEX(EntryPartyName,$P181)))</f>
        <v/>
      </c>
      <c r="F181" s="26">
        <f>IF($P181="","",IF(INDEX(EntryPartyType,$P181)=0,"",INDEX(EntryPartyType,$P181)))</f>
        <v/>
      </c>
      <c r="G181" s="26">
        <f>IF($P181="","",IF(INDEX(EntryTxnType,$P181)=0,"",INDEX(EntryTxnType,$P181)))</f>
        <v/>
      </c>
      <c r="H181" s="27">
        <f>IF($P181="","",IF(INDEX(EntryDep,$P181)=0,"",INDEX(EntryDep,$P181)))</f>
        <v/>
      </c>
      <c r="I181" s="27">
        <f>IF($P181="","",IF(INDEX(EntryWit,$P181)=0,"",INDEX(EntryWit,$P181)))</f>
        <v/>
      </c>
      <c r="J181" s="27">
        <f>IF($B181="","",IF($A181=1,$C$7,IF(J180="",0,J180))+IF($H181="",0,$H181)-IF($I181="",0,$I181))</f>
        <v/>
      </c>
      <c r="K181" s="27">
        <f>IF($P181="","",IF(INDEX(EntryMan,$P181)=0,"",INDEX(EntryMan,$P181)))</f>
        <v/>
      </c>
      <c r="L181" s="26">
        <f>IF($B181="","",IF($K181="","—",IF(ROUND($K181-$J181,0)=0,"√","×")))</f>
        <v/>
      </c>
      <c r="M181" s="26">
        <f>IF($B181="","",IF(COUNTIFS(EntryDates,$B181,CalcTime,$C181,CalcBank,$C$5,EntryParty,$D181,EntryDep,$H181,EntryWit,$I181)&gt;1,"تکرار",""))</f>
        <v/>
      </c>
      <c r="N181" s="26">
        <f>IF($P181="","",IF(INDEX(EntryNotes,$P181)=0,"",INDEX(EntryNotes,$P181)))</f>
        <v/>
      </c>
      <c r="O181" s="26">
        <f>IF($P181="","",IF(INDEX(EntryTxnID,$P181)=0,"",INDEX(EntryTxnID,$P181)))</f>
        <v/>
      </c>
      <c r="P181" s="26">
        <f>IFERROR(MATCH($C$5&amp;"|"&amp;RIGHT("000000"&amp;165,6),CalcRankKey,0),"")</f>
        <v/>
      </c>
    </row>
    <row r="182">
      <c r="A182" s="28">
        <f>IF($B182="","",166)</f>
        <v/>
      </c>
      <c r="B182" s="28">
        <f>IF($P182="","",IF(INDEX(CalcNormDate,$P182)=0,"",INDEX(CalcNormDate,$P182)))</f>
        <v/>
      </c>
      <c r="C182" s="28">
        <f>IF($P182="","",IF(INDEX(CalcTime,$P182)=0,"",INDEX(CalcTime,$P182)))</f>
        <v/>
      </c>
      <c r="D182" s="28">
        <f>IF($P182="","",IF(INDEX(EntryParty,$P182)=0,"",INDEX(EntryParty,$P182)))</f>
        <v/>
      </c>
      <c r="E182" s="28">
        <f>IF($P182="","",IF(INDEX(EntryPartyName,$P182)=0,"",INDEX(EntryPartyName,$P182)))</f>
        <v/>
      </c>
      <c r="F182" s="28">
        <f>IF($P182="","",IF(INDEX(EntryPartyType,$P182)=0,"",INDEX(EntryPartyType,$P182)))</f>
        <v/>
      </c>
      <c r="G182" s="28">
        <f>IF($P182="","",IF(INDEX(EntryTxnType,$P182)=0,"",INDEX(EntryTxnType,$P182)))</f>
        <v/>
      </c>
      <c r="H182" s="29">
        <f>IF($P182="","",IF(INDEX(EntryDep,$P182)=0,"",INDEX(EntryDep,$P182)))</f>
        <v/>
      </c>
      <c r="I182" s="29">
        <f>IF($P182="","",IF(INDEX(EntryWit,$P182)=0,"",INDEX(EntryWit,$P182)))</f>
        <v/>
      </c>
      <c r="J182" s="29">
        <f>IF($B182="","",IF($A182=1,$C$7,IF(J181="",0,J181))+IF($H182="",0,$H182)-IF($I182="",0,$I182))</f>
        <v/>
      </c>
      <c r="K182" s="29">
        <f>IF($P182="","",IF(INDEX(EntryMan,$P182)=0,"",INDEX(EntryMan,$P182)))</f>
        <v/>
      </c>
      <c r="L182" s="28">
        <f>IF($B182="","",IF($K182="","—",IF(ROUND($K182-$J182,0)=0,"√","×")))</f>
        <v/>
      </c>
      <c r="M182" s="28">
        <f>IF($B182="","",IF(COUNTIFS(EntryDates,$B182,CalcTime,$C182,CalcBank,$C$5,EntryParty,$D182,EntryDep,$H182,EntryWit,$I182)&gt;1,"تکرار",""))</f>
        <v/>
      </c>
      <c r="N182" s="28">
        <f>IF($P182="","",IF(INDEX(EntryNotes,$P182)=0,"",INDEX(EntryNotes,$P182)))</f>
        <v/>
      </c>
      <c r="O182" s="28">
        <f>IF($P182="","",IF(INDEX(EntryTxnID,$P182)=0,"",INDEX(EntryTxnID,$P182)))</f>
        <v/>
      </c>
      <c r="P182" s="28">
        <f>IFERROR(MATCH($C$5&amp;"|"&amp;RIGHT("000000"&amp;166,6),CalcRankKey,0),"")</f>
        <v/>
      </c>
    </row>
    <row r="183">
      <c r="A183" s="26">
        <f>IF($B183="","",167)</f>
        <v/>
      </c>
      <c r="B183" s="26">
        <f>IF($P183="","",IF(INDEX(CalcNormDate,$P183)=0,"",INDEX(CalcNormDate,$P183)))</f>
        <v/>
      </c>
      <c r="C183" s="26">
        <f>IF($P183="","",IF(INDEX(CalcTime,$P183)=0,"",INDEX(CalcTime,$P183)))</f>
        <v/>
      </c>
      <c r="D183" s="26">
        <f>IF($P183="","",IF(INDEX(EntryParty,$P183)=0,"",INDEX(EntryParty,$P183)))</f>
        <v/>
      </c>
      <c r="E183" s="26">
        <f>IF($P183="","",IF(INDEX(EntryPartyName,$P183)=0,"",INDEX(EntryPartyName,$P183)))</f>
        <v/>
      </c>
      <c r="F183" s="26">
        <f>IF($P183="","",IF(INDEX(EntryPartyType,$P183)=0,"",INDEX(EntryPartyType,$P183)))</f>
        <v/>
      </c>
      <c r="G183" s="26">
        <f>IF($P183="","",IF(INDEX(EntryTxnType,$P183)=0,"",INDEX(EntryTxnType,$P183)))</f>
        <v/>
      </c>
      <c r="H183" s="27">
        <f>IF($P183="","",IF(INDEX(EntryDep,$P183)=0,"",INDEX(EntryDep,$P183)))</f>
        <v/>
      </c>
      <c r="I183" s="27">
        <f>IF($P183="","",IF(INDEX(EntryWit,$P183)=0,"",INDEX(EntryWit,$P183)))</f>
        <v/>
      </c>
      <c r="J183" s="27">
        <f>IF($B183="","",IF($A183=1,$C$7,IF(J182="",0,J182))+IF($H183="",0,$H183)-IF($I183="",0,$I183))</f>
        <v/>
      </c>
      <c r="K183" s="27">
        <f>IF($P183="","",IF(INDEX(EntryMan,$P183)=0,"",INDEX(EntryMan,$P183)))</f>
        <v/>
      </c>
      <c r="L183" s="26">
        <f>IF($B183="","",IF($K183="","—",IF(ROUND($K183-$J183,0)=0,"√","×")))</f>
        <v/>
      </c>
      <c r="M183" s="26">
        <f>IF($B183="","",IF(COUNTIFS(EntryDates,$B183,CalcTime,$C183,CalcBank,$C$5,EntryParty,$D183,EntryDep,$H183,EntryWit,$I183)&gt;1,"تکرار",""))</f>
        <v/>
      </c>
      <c r="N183" s="26">
        <f>IF($P183="","",IF(INDEX(EntryNotes,$P183)=0,"",INDEX(EntryNotes,$P183)))</f>
        <v/>
      </c>
      <c r="O183" s="26">
        <f>IF($P183="","",IF(INDEX(EntryTxnID,$P183)=0,"",INDEX(EntryTxnID,$P183)))</f>
        <v/>
      </c>
      <c r="P183" s="26">
        <f>IFERROR(MATCH($C$5&amp;"|"&amp;RIGHT("000000"&amp;167,6),CalcRankKey,0),"")</f>
        <v/>
      </c>
    </row>
    <row r="184">
      <c r="A184" s="28">
        <f>IF($B184="","",168)</f>
        <v/>
      </c>
      <c r="B184" s="28">
        <f>IF($P184="","",IF(INDEX(CalcNormDate,$P184)=0,"",INDEX(CalcNormDate,$P184)))</f>
        <v/>
      </c>
      <c r="C184" s="28">
        <f>IF($P184="","",IF(INDEX(CalcTime,$P184)=0,"",INDEX(CalcTime,$P184)))</f>
        <v/>
      </c>
      <c r="D184" s="28">
        <f>IF($P184="","",IF(INDEX(EntryParty,$P184)=0,"",INDEX(EntryParty,$P184)))</f>
        <v/>
      </c>
      <c r="E184" s="28">
        <f>IF($P184="","",IF(INDEX(EntryPartyName,$P184)=0,"",INDEX(EntryPartyName,$P184)))</f>
        <v/>
      </c>
      <c r="F184" s="28">
        <f>IF($P184="","",IF(INDEX(EntryPartyType,$P184)=0,"",INDEX(EntryPartyType,$P184)))</f>
        <v/>
      </c>
      <c r="G184" s="28">
        <f>IF($P184="","",IF(INDEX(EntryTxnType,$P184)=0,"",INDEX(EntryTxnType,$P184)))</f>
        <v/>
      </c>
      <c r="H184" s="29">
        <f>IF($P184="","",IF(INDEX(EntryDep,$P184)=0,"",INDEX(EntryDep,$P184)))</f>
        <v/>
      </c>
      <c r="I184" s="29">
        <f>IF($P184="","",IF(INDEX(EntryWit,$P184)=0,"",INDEX(EntryWit,$P184)))</f>
        <v/>
      </c>
      <c r="J184" s="29">
        <f>IF($B184="","",IF($A184=1,$C$7,IF(J183="",0,J183))+IF($H184="",0,$H184)-IF($I184="",0,$I184))</f>
        <v/>
      </c>
      <c r="K184" s="29">
        <f>IF($P184="","",IF(INDEX(EntryMan,$P184)=0,"",INDEX(EntryMan,$P184)))</f>
        <v/>
      </c>
      <c r="L184" s="28">
        <f>IF($B184="","",IF($K184="","—",IF(ROUND($K184-$J184,0)=0,"√","×")))</f>
        <v/>
      </c>
      <c r="M184" s="28">
        <f>IF($B184="","",IF(COUNTIFS(EntryDates,$B184,CalcTime,$C184,CalcBank,$C$5,EntryParty,$D184,EntryDep,$H184,EntryWit,$I184)&gt;1,"تکرار",""))</f>
        <v/>
      </c>
      <c r="N184" s="28">
        <f>IF($P184="","",IF(INDEX(EntryNotes,$P184)=0,"",INDEX(EntryNotes,$P184)))</f>
        <v/>
      </c>
      <c r="O184" s="28">
        <f>IF($P184="","",IF(INDEX(EntryTxnID,$P184)=0,"",INDEX(EntryTxnID,$P184)))</f>
        <v/>
      </c>
      <c r="P184" s="28">
        <f>IFERROR(MATCH($C$5&amp;"|"&amp;RIGHT("000000"&amp;168,6),CalcRankKey,0),"")</f>
        <v/>
      </c>
    </row>
    <row r="185">
      <c r="A185" s="26">
        <f>IF($B185="","",169)</f>
        <v/>
      </c>
      <c r="B185" s="26">
        <f>IF($P185="","",IF(INDEX(CalcNormDate,$P185)=0,"",INDEX(CalcNormDate,$P185)))</f>
        <v/>
      </c>
      <c r="C185" s="26">
        <f>IF($P185="","",IF(INDEX(CalcTime,$P185)=0,"",INDEX(CalcTime,$P185)))</f>
        <v/>
      </c>
      <c r="D185" s="26">
        <f>IF($P185="","",IF(INDEX(EntryParty,$P185)=0,"",INDEX(EntryParty,$P185)))</f>
        <v/>
      </c>
      <c r="E185" s="26">
        <f>IF($P185="","",IF(INDEX(EntryPartyName,$P185)=0,"",INDEX(EntryPartyName,$P185)))</f>
        <v/>
      </c>
      <c r="F185" s="26">
        <f>IF($P185="","",IF(INDEX(EntryPartyType,$P185)=0,"",INDEX(EntryPartyType,$P185)))</f>
        <v/>
      </c>
      <c r="G185" s="26">
        <f>IF($P185="","",IF(INDEX(EntryTxnType,$P185)=0,"",INDEX(EntryTxnType,$P185)))</f>
        <v/>
      </c>
      <c r="H185" s="27">
        <f>IF($P185="","",IF(INDEX(EntryDep,$P185)=0,"",INDEX(EntryDep,$P185)))</f>
        <v/>
      </c>
      <c r="I185" s="27">
        <f>IF($P185="","",IF(INDEX(EntryWit,$P185)=0,"",INDEX(EntryWit,$P185)))</f>
        <v/>
      </c>
      <c r="J185" s="27">
        <f>IF($B185="","",IF($A185=1,$C$7,IF(J184="",0,J184))+IF($H185="",0,$H185)-IF($I185="",0,$I185))</f>
        <v/>
      </c>
      <c r="K185" s="27">
        <f>IF($P185="","",IF(INDEX(EntryMan,$P185)=0,"",INDEX(EntryMan,$P185)))</f>
        <v/>
      </c>
      <c r="L185" s="26">
        <f>IF($B185="","",IF($K185="","—",IF(ROUND($K185-$J185,0)=0,"√","×")))</f>
        <v/>
      </c>
      <c r="M185" s="26">
        <f>IF($B185="","",IF(COUNTIFS(EntryDates,$B185,CalcTime,$C185,CalcBank,$C$5,EntryParty,$D185,EntryDep,$H185,EntryWit,$I185)&gt;1,"تکرار",""))</f>
        <v/>
      </c>
      <c r="N185" s="26">
        <f>IF($P185="","",IF(INDEX(EntryNotes,$P185)=0,"",INDEX(EntryNotes,$P185)))</f>
        <v/>
      </c>
      <c r="O185" s="26">
        <f>IF($P185="","",IF(INDEX(EntryTxnID,$P185)=0,"",INDEX(EntryTxnID,$P185)))</f>
        <v/>
      </c>
      <c r="P185" s="26">
        <f>IFERROR(MATCH($C$5&amp;"|"&amp;RIGHT("000000"&amp;169,6),CalcRankKey,0),"")</f>
        <v/>
      </c>
    </row>
    <row r="186">
      <c r="A186" s="28">
        <f>IF($B186="","",170)</f>
        <v/>
      </c>
      <c r="B186" s="28">
        <f>IF($P186="","",IF(INDEX(CalcNormDate,$P186)=0,"",INDEX(CalcNormDate,$P186)))</f>
        <v/>
      </c>
      <c r="C186" s="28">
        <f>IF($P186="","",IF(INDEX(CalcTime,$P186)=0,"",INDEX(CalcTime,$P186)))</f>
        <v/>
      </c>
      <c r="D186" s="28">
        <f>IF($P186="","",IF(INDEX(EntryParty,$P186)=0,"",INDEX(EntryParty,$P186)))</f>
        <v/>
      </c>
      <c r="E186" s="28">
        <f>IF($P186="","",IF(INDEX(EntryPartyName,$P186)=0,"",INDEX(EntryPartyName,$P186)))</f>
        <v/>
      </c>
      <c r="F186" s="28">
        <f>IF($P186="","",IF(INDEX(EntryPartyType,$P186)=0,"",INDEX(EntryPartyType,$P186)))</f>
        <v/>
      </c>
      <c r="G186" s="28">
        <f>IF($P186="","",IF(INDEX(EntryTxnType,$P186)=0,"",INDEX(EntryTxnType,$P186)))</f>
        <v/>
      </c>
      <c r="H186" s="29">
        <f>IF($P186="","",IF(INDEX(EntryDep,$P186)=0,"",INDEX(EntryDep,$P186)))</f>
        <v/>
      </c>
      <c r="I186" s="29">
        <f>IF($P186="","",IF(INDEX(EntryWit,$P186)=0,"",INDEX(EntryWit,$P186)))</f>
        <v/>
      </c>
      <c r="J186" s="29">
        <f>IF($B186="","",IF($A186=1,$C$7,IF(J185="",0,J185))+IF($H186="",0,$H186)-IF($I186="",0,$I186))</f>
        <v/>
      </c>
      <c r="K186" s="29">
        <f>IF($P186="","",IF(INDEX(EntryMan,$P186)=0,"",INDEX(EntryMan,$P186)))</f>
        <v/>
      </c>
      <c r="L186" s="28">
        <f>IF($B186="","",IF($K186="","—",IF(ROUND($K186-$J186,0)=0,"√","×")))</f>
        <v/>
      </c>
      <c r="M186" s="28">
        <f>IF($B186="","",IF(COUNTIFS(EntryDates,$B186,CalcTime,$C186,CalcBank,$C$5,EntryParty,$D186,EntryDep,$H186,EntryWit,$I186)&gt;1,"تکرار",""))</f>
        <v/>
      </c>
      <c r="N186" s="28">
        <f>IF($P186="","",IF(INDEX(EntryNotes,$P186)=0,"",INDEX(EntryNotes,$P186)))</f>
        <v/>
      </c>
      <c r="O186" s="28">
        <f>IF($P186="","",IF(INDEX(EntryTxnID,$P186)=0,"",INDEX(EntryTxnID,$P186)))</f>
        <v/>
      </c>
      <c r="P186" s="28">
        <f>IFERROR(MATCH($C$5&amp;"|"&amp;RIGHT("000000"&amp;170,6),CalcRankKey,0),"")</f>
        <v/>
      </c>
    </row>
    <row r="187">
      <c r="A187" s="26">
        <f>IF($B187="","",171)</f>
        <v/>
      </c>
      <c r="B187" s="26">
        <f>IF($P187="","",IF(INDEX(CalcNormDate,$P187)=0,"",INDEX(CalcNormDate,$P187)))</f>
        <v/>
      </c>
      <c r="C187" s="26">
        <f>IF($P187="","",IF(INDEX(CalcTime,$P187)=0,"",INDEX(CalcTime,$P187)))</f>
        <v/>
      </c>
      <c r="D187" s="26">
        <f>IF($P187="","",IF(INDEX(EntryParty,$P187)=0,"",INDEX(EntryParty,$P187)))</f>
        <v/>
      </c>
      <c r="E187" s="26">
        <f>IF($P187="","",IF(INDEX(EntryPartyName,$P187)=0,"",INDEX(EntryPartyName,$P187)))</f>
        <v/>
      </c>
      <c r="F187" s="26">
        <f>IF($P187="","",IF(INDEX(EntryPartyType,$P187)=0,"",INDEX(EntryPartyType,$P187)))</f>
        <v/>
      </c>
      <c r="G187" s="26">
        <f>IF($P187="","",IF(INDEX(EntryTxnType,$P187)=0,"",INDEX(EntryTxnType,$P187)))</f>
        <v/>
      </c>
      <c r="H187" s="27">
        <f>IF($P187="","",IF(INDEX(EntryDep,$P187)=0,"",INDEX(EntryDep,$P187)))</f>
        <v/>
      </c>
      <c r="I187" s="27">
        <f>IF($P187="","",IF(INDEX(EntryWit,$P187)=0,"",INDEX(EntryWit,$P187)))</f>
        <v/>
      </c>
      <c r="J187" s="27">
        <f>IF($B187="","",IF($A187=1,$C$7,IF(J186="",0,J186))+IF($H187="",0,$H187)-IF($I187="",0,$I187))</f>
        <v/>
      </c>
      <c r="K187" s="27">
        <f>IF($P187="","",IF(INDEX(EntryMan,$P187)=0,"",INDEX(EntryMan,$P187)))</f>
        <v/>
      </c>
      <c r="L187" s="26">
        <f>IF($B187="","",IF($K187="","—",IF(ROUND($K187-$J187,0)=0,"√","×")))</f>
        <v/>
      </c>
      <c r="M187" s="26">
        <f>IF($B187="","",IF(COUNTIFS(EntryDates,$B187,CalcTime,$C187,CalcBank,$C$5,EntryParty,$D187,EntryDep,$H187,EntryWit,$I187)&gt;1,"تکرار",""))</f>
        <v/>
      </c>
      <c r="N187" s="26">
        <f>IF($P187="","",IF(INDEX(EntryNotes,$P187)=0,"",INDEX(EntryNotes,$P187)))</f>
        <v/>
      </c>
      <c r="O187" s="26">
        <f>IF($P187="","",IF(INDEX(EntryTxnID,$P187)=0,"",INDEX(EntryTxnID,$P187)))</f>
        <v/>
      </c>
      <c r="P187" s="26">
        <f>IFERROR(MATCH($C$5&amp;"|"&amp;RIGHT("000000"&amp;171,6),CalcRankKey,0),"")</f>
        <v/>
      </c>
    </row>
    <row r="188">
      <c r="A188" s="28">
        <f>IF($B188="","",172)</f>
        <v/>
      </c>
      <c r="B188" s="28">
        <f>IF($P188="","",IF(INDEX(CalcNormDate,$P188)=0,"",INDEX(CalcNormDate,$P188)))</f>
        <v/>
      </c>
      <c r="C188" s="28">
        <f>IF($P188="","",IF(INDEX(CalcTime,$P188)=0,"",INDEX(CalcTime,$P188)))</f>
        <v/>
      </c>
      <c r="D188" s="28">
        <f>IF($P188="","",IF(INDEX(EntryParty,$P188)=0,"",INDEX(EntryParty,$P188)))</f>
        <v/>
      </c>
      <c r="E188" s="28">
        <f>IF($P188="","",IF(INDEX(EntryPartyName,$P188)=0,"",INDEX(EntryPartyName,$P188)))</f>
        <v/>
      </c>
      <c r="F188" s="28">
        <f>IF($P188="","",IF(INDEX(EntryPartyType,$P188)=0,"",INDEX(EntryPartyType,$P188)))</f>
        <v/>
      </c>
      <c r="G188" s="28">
        <f>IF($P188="","",IF(INDEX(EntryTxnType,$P188)=0,"",INDEX(EntryTxnType,$P188)))</f>
        <v/>
      </c>
      <c r="H188" s="29">
        <f>IF($P188="","",IF(INDEX(EntryDep,$P188)=0,"",INDEX(EntryDep,$P188)))</f>
        <v/>
      </c>
      <c r="I188" s="29">
        <f>IF($P188="","",IF(INDEX(EntryWit,$P188)=0,"",INDEX(EntryWit,$P188)))</f>
        <v/>
      </c>
      <c r="J188" s="29">
        <f>IF($B188="","",IF($A188=1,$C$7,IF(J187="",0,J187))+IF($H188="",0,$H188)-IF($I188="",0,$I188))</f>
        <v/>
      </c>
      <c r="K188" s="29">
        <f>IF($P188="","",IF(INDEX(EntryMan,$P188)=0,"",INDEX(EntryMan,$P188)))</f>
        <v/>
      </c>
      <c r="L188" s="28">
        <f>IF($B188="","",IF($K188="","—",IF(ROUND($K188-$J188,0)=0,"√","×")))</f>
        <v/>
      </c>
      <c r="M188" s="28">
        <f>IF($B188="","",IF(COUNTIFS(EntryDates,$B188,CalcTime,$C188,CalcBank,$C$5,EntryParty,$D188,EntryDep,$H188,EntryWit,$I188)&gt;1,"تکرار",""))</f>
        <v/>
      </c>
      <c r="N188" s="28">
        <f>IF($P188="","",IF(INDEX(EntryNotes,$P188)=0,"",INDEX(EntryNotes,$P188)))</f>
        <v/>
      </c>
      <c r="O188" s="28">
        <f>IF($P188="","",IF(INDEX(EntryTxnID,$P188)=0,"",INDEX(EntryTxnID,$P188)))</f>
        <v/>
      </c>
      <c r="P188" s="28">
        <f>IFERROR(MATCH($C$5&amp;"|"&amp;RIGHT("000000"&amp;172,6),CalcRankKey,0),"")</f>
        <v/>
      </c>
    </row>
    <row r="189">
      <c r="A189" s="26">
        <f>IF($B189="","",173)</f>
        <v/>
      </c>
      <c r="B189" s="26">
        <f>IF($P189="","",IF(INDEX(CalcNormDate,$P189)=0,"",INDEX(CalcNormDate,$P189)))</f>
        <v/>
      </c>
      <c r="C189" s="26">
        <f>IF($P189="","",IF(INDEX(CalcTime,$P189)=0,"",INDEX(CalcTime,$P189)))</f>
        <v/>
      </c>
      <c r="D189" s="26">
        <f>IF($P189="","",IF(INDEX(EntryParty,$P189)=0,"",INDEX(EntryParty,$P189)))</f>
        <v/>
      </c>
      <c r="E189" s="26">
        <f>IF($P189="","",IF(INDEX(EntryPartyName,$P189)=0,"",INDEX(EntryPartyName,$P189)))</f>
        <v/>
      </c>
      <c r="F189" s="26">
        <f>IF($P189="","",IF(INDEX(EntryPartyType,$P189)=0,"",INDEX(EntryPartyType,$P189)))</f>
        <v/>
      </c>
      <c r="G189" s="26">
        <f>IF($P189="","",IF(INDEX(EntryTxnType,$P189)=0,"",INDEX(EntryTxnType,$P189)))</f>
        <v/>
      </c>
      <c r="H189" s="27">
        <f>IF($P189="","",IF(INDEX(EntryDep,$P189)=0,"",INDEX(EntryDep,$P189)))</f>
        <v/>
      </c>
      <c r="I189" s="27">
        <f>IF($P189="","",IF(INDEX(EntryWit,$P189)=0,"",INDEX(EntryWit,$P189)))</f>
        <v/>
      </c>
      <c r="J189" s="27">
        <f>IF($B189="","",IF($A189=1,$C$7,IF(J188="",0,J188))+IF($H189="",0,$H189)-IF($I189="",0,$I189))</f>
        <v/>
      </c>
      <c r="K189" s="27">
        <f>IF($P189="","",IF(INDEX(EntryMan,$P189)=0,"",INDEX(EntryMan,$P189)))</f>
        <v/>
      </c>
      <c r="L189" s="26">
        <f>IF($B189="","",IF($K189="","—",IF(ROUND($K189-$J189,0)=0,"√","×")))</f>
        <v/>
      </c>
      <c r="M189" s="26">
        <f>IF($B189="","",IF(COUNTIFS(EntryDates,$B189,CalcTime,$C189,CalcBank,$C$5,EntryParty,$D189,EntryDep,$H189,EntryWit,$I189)&gt;1,"تکرار",""))</f>
        <v/>
      </c>
      <c r="N189" s="26">
        <f>IF($P189="","",IF(INDEX(EntryNotes,$P189)=0,"",INDEX(EntryNotes,$P189)))</f>
        <v/>
      </c>
      <c r="O189" s="26">
        <f>IF($P189="","",IF(INDEX(EntryTxnID,$P189)=0,"",INDEX(EntryTxnID,$P189)))</f>
        <v/>
      </c>
      <c r="P189" s="26">
        <f>IFERROR(MATCH($C$5&amp;"|"&amp;RIGHT("000000"&amp;173,6),CalcRankKey,0),"")</f>
        <v/>
      </c>
    </row>
    <row r="190">
      <c r="A190" s="28">
        <f>IF($B190="","",174)</f>
        <v/>
      </c>
      <c r="B190" s="28">
        <f>IF($P190="","",IF(INDEX(CalcNormDate,$P190)=0,"",INDEX(CalcNormDate,$P190)))</f>
        <v/>
      </c>
      <c r="C190" s="28">
        <f>IF($P190="","",IF(INDEX(CalcTime,$P190)=0,"",INDEX(CalcTime,$P190)))</f>
        <v/>
      </c>
      <c r="D190" s="28">
        <f>IF($P190="","",IF(INDEX(EntryParty,$P190)=0,"",INDEX(EntryParty,$P190)))</f>
        <v/>
      </c>
      <c r="E190" s="28">
        <f>IF($P190="","",IF(INDEX(EntryPartyName,$P190)=0,"",INDEX(EntryPartyName,$P190)))</f>
        <v/>
      </c>
      <c r="F190" s="28">
        <f>IF($P190="","",IF(INDEX(EntryPartyType,$P190)=0,"",INDEX(EntryPartyType,$P190)))</f>
        <v/>
      </c>
      <c r="G190" s="28">
        <f>IF($P190="","",IF(INDEX(EntryTxnType,$P190)=0,"",INDEX(EntryTxnType,$P190)))</f>
        <v/>
      </c>
      <c r="H190" s="29">
        <f>IF($P190="","",IF(INDEX(EntryDep,$P190)=0,"",INDEX(EntryDep,$P190)))</f>
        <v/>
      </c>
      <c r="I190" s="29">
        <f>IF($P190="","",IF(INDEX(EntryWit,$P190)=0,"",INDEX(EntryWit,$P190)))</f>
        <v/>
      </c>
      <c r="J190" s="29">
        <f>IF($B190="","",IF($A190=1,$C$7,IF(J189="",0,J189))+IF($H190="",0,$H190)-IF($I190="",0,$I190))</f>
        <v/>
      </c>
      <c r="K190" s="29">
        <f>IF($P190="","",IF(INDEX(EntryMan,$P190)=0,"",INDEX(EntryMan,$P190)))</f>
        <v/>
      </c>
      <c r="L190" s="28">
        <f>IF($B190="","",IF($K190="","—",IF(ROUND($K190-$J190,0)=0,"√","×")))</f>
        <v/>
      </c>
      <c r="M190" s="28">
        <f>IF($B190="","",IF(COUNTIFS(EntryDates,$B190,CalcTime,$C190,CalcBank,$C$5,EntryParty,$D190,EntryDep,$H190,EntryWit,$I190)&gt;1,"تکرار",""))</f>
        <v/>
      </c>
      <c r="N190" s="28">
        <f>IF($P190="","",IF(INDEX(EntryNotes,$P190)=0,"",INDEX(EntryNotes,$P190)))</f>
        <v/>
      </c>
      <c r="O190" s="28">
        <f>IF($P190="","",IF(INDEX(EntryTxnID,$P190)=0,"",INDEX(EntryTxnID,$P190)))</f>
        <v/>
      </c>
      <c r="P190" s="28">
        <f>IFERROR(MATCH($C$5&amp;"|"&amp;RIGHT("000000"&amp;174,6),CalcRankKey,0),"")</f>
        <v/>
      </c>
    </row>
    <row r="191">
      <c r="A191" s="26">
        <f>IF($B191="","",175)</f>
        <v/>
      </c>
      <c r="B191" s="26">
        <f>IF($P191="","",IF(INDEX(CalcNormDate,$P191)=0,"",INDEX(CalcNormDate,$P191)))</f>
        <v/>
      </c>
      <c r="C191" s="26">
        <f>IF($P191="","",IF(INDEX(CalcTime,$P191)=0,"",INDEX(CalcTime,$P191)))</f>
        <v/>
      </c>
      <c r="D191" s="26">
        <f>IF($P191="","",IF(INDEX(EntryParty,$P191)=0,"",INDEX(EntryParty,$P191)))</f>
        <v/>
      </c>
      <c r="E191" s="26">
        <f>IF($P191="","",IF(INDEX(EntryPartyName,$P191)=0,"",INDEX(EntryPartyName,$P191)))</f>
        <v/>
      </c>
      <c r="F191" s="26">
        <f>IF($P191="","",IF(INDEX(EntryPartyType,$P191)=0,"",INDEX(EntryPartyType,$P191)))</f>
        <v/>
      </c>
      <c r="G191" s="26">
        <f>IF($P191="","",IF(INDEX(EntryTxnType,$P191)=0,"",INDEX(EntryTxnType,$P191)))</f>
        <v/>
      </c>
      <c r="H191" s="27">
        <f>IF($P191="","",IF(INDEX(EntryDep,$P191)=0,"",INDEX(EntryDep,$P191)))</f>
        <v/>
      </c>
      <c r="I191" s="27">
        <f>IF($P191="","",IF(INDEX(EntryWit,$P191)=0,"",INDEX(EntryWit,$P191)))</f>
        <v/>
      </c>
      <c r="J191" s="27">
        <f>IF($B191="","",IF($A191=1,$C$7,IF(J190="",0,J190))+IF($H191="",0,$H191)-IF($I191="",0,$I191))</f>
        <v/>
      </c>
      <c r="K191" s="27">
        <f>IF($P191="","",IF(INDEX(EntryMan,$P191)=0,"",INDEX(EntryMan,$P191)))</f>
        <v/>
      </c>
      <c r="L191" s="26">
        <f>IF($B191="","",IF($K191="","—",IF(ROUND($K191-$J191,0)=0,"√","×")))</f>
        <v/>
      </c>
      <c r="M191" s="26">
        <f>IF($B191="","",IF(COUNTIFS(EntryDates,$B191,CalcTime,$C191,CalcBank,$C$5,EntryParty,$D191,EntryDep,$H191,EntryWit,$I191)&gt;1,"تکرار",""))</f>
        <v/>
      </c>
      <c r="N191" s="26">
        <f>IF($P191="","",IF(INDEX(EntryNotes,$P191)=0,"",INDEX(EntryNotes,$P191)))</f>
        <v/>
      </c>
      <c r="O191" s="26">
        <f>IF($P191="","",IF(INDEX(EntryTxnID,$P191)=0,"",INDEX(EntryTxnID,$P191)))</f>
        <v/>
      </c>
      <c r="P191" s="26">
        <f>IFERROR(MATCH($C$5&amp;"|"&amp;RIGHT("000000"&amp;175,6),CalcRankKey,0),"")</f>
        <v/>
      </c>
    </row>
    <row r="192">
      <c r="A192" s="28">
        <f>IF($B192="","",176)</f>
        <v/>
      </c>
      <c r="B192" s="28">
        <f>IF($P192="","",IF(INDEX(CalcNormDate,$P192)=0,"",INDEX(CalcNormDate,$P192)))</f>
        <v/>
      </c>
      <c r="C192" s="28">
        <f>IF($P192="","",IF(INDEX(CalcTime,$P192)=0,"",INDEX(CalcTime,$P192)))</f>
        <v/>
      </c>
      <c r="D192" s="28">
        <f>IF($P192="","",IF(INDEX(EntryParty,$P192)=0,"",INDEX(EntryParty,$P192)))</f>
        <v/>
      </c>
      <c r="E192" s="28">
        <f>IF($P192="","",IF(INDEX(EntryPartyName,$P192)=0,"",INDEX(EntryPartyName,$P192)))</f>
        <v/>
      </c>
      <c r="F192" s="28">
        <f>IF($P192="","",IF(INDEX(EntryPartyType,$P192)=0,"",INDEX(EntryPartyType,$P192)))</f>
        <v/>
      </c>
      <c r="G192" s="28">
        <f>IF($P192="","",IF(INDEX(EntryTxnType,$P192)=0,"",INDEX(EntryTxnType,$P192)))</f>
        <v/>
      </c>
      <c r="H192" s="29">
        <f>IF($P192="","",IF(INDEX(EntryDep,$P192)=0,"",INDEX(EntryDep,$P192)))</f>
        <v/>
      </c>
      <c r="I192" s="29">
        <f>IF($P192="","",IF(INDEX(EntryWit,$P192)=0,"",INDEX(EntryWit,$P192)))</f>
        <v/>
      </c>
      <c r="J192" s="29">
        <f>IF($B192="","",IF($A192=1,$C$7,IF(J191="",0,J191))+IF($H192="",0,$H192)-IF($I192="",0,$I192))</f>
        <v/>
      </c>
      <c r="K192" s="29">
        <f>IF($P192="","",IF(INDEX(EntryMan,$P192)=0,"",INDEX(EntryMan,$P192)))</f>
        <v/>
      </c>
      <c r="L192" s="28">
        <f>IF($B192="","",IF($K192="","—",IF(ROUND($K192-$J192,0)=0,"√","×")))</f>
        <v/>
      </c>
      <c r="M192" s="28">
        <f>IF($B192="","",IF(COUNTIFS(EntryDates,$B192,CalcTime,$C192,CalcBank,$C$5,EntryParty,$D192,EntryDep,$H192,EntryWit,$I192)&gt;1,"تکرار",""))</f>
        <v/>
      </c>
      <c r="N192" s="28">
        <f>IF($P192="","",IF(INDEX(EntryNotes,$P192)=0,"",INDEX(EntryNotes,$P192)))</f>
        <v/>
      </c>
      <c r="O192" s="28">
        <f>IF($P192="","",IF(INDEX(EntryTxnID,$P192)=0,"",INDEX(EntryTxnID,$P192)))</f>
        <v/>
      </c>
      <c r="P192" s="28">
        <f>IFERROR(MATCH($C$5&amp;"|"&amp;RIGHT("000000"&amp;176,6),CalcRankKey,0),"")</f>
        <v/>
      </c>
    </row>
    <row r="193">
      <c r="A193" s="26">
        <f>IF($B193="","",177)</f>
        <v/>
      </c>
      <c r="B193" s="26">
        <f>IF($P193="","",IF(INDEX(CalcNormDate,$P193)=0,"",INDEX(CalcNormDate,$P193)))</f>
        <v/>
      </c>
      <c r="C193" s="26">
        <f>IF($P193="","",IF(INDEX(CalcTime,$P193)=0,"",INDEX(CalcTime,$P193)))</f>
        <v/>
      </c>
      <c r="D193" s="26">
        <f>IF($P193="","",IF(INDEX(EntryParty,$P193)=0,"",INDEX(EntryParty,$P193)))</f>
        <v/>
      </c>
      <c r="E193" s="26">
        <f>IF($P193="","",IF(INDEX(EntryPartyName,$P193)=0,"",INDEX(EntryPartyName,$P193)))</f>
        <v/>
      </c>
      <c r="F193" s="26">
        <f>IF($P193="","",IF(INDEX(EntryPartyType,$P193)=0,"",INDEX(EntryPartyType,$P193)))</f>
        <v/>
      </c>
      <c r="G193" s="26">
        <f>IF($P193="","",IF(INDEX(EntryTxnType,$P193)=0,"",INDEX(EntryTxnType,$P193)))</f>
        <v/>
      </c>
      <c r="H193" s="27">
        <f>IF($P193="","",IF(INDEX(EntryDep,$P193)=0,"",INDEX(EntryDep,$P193)))</f>
        <v/>
      </c>
      <c r="I193" s="27">
        <f>IF($P193="","",IF(INDEX(EntryWit,$P193)=0,"",INDEX(EntryWit,$P193)))</f>
        <v/>
      </c>
      <c r="J193" s="27">
        <f>IF($B193="","",IF($A193=1,$C$7,IF(J192="",0,J192))+IF($H193="",0,$H193)-IF($I193="",0,$I193))</f>
        <v/>
      </c>
      <c r="K193" s="27">
        <f>IF($P193="","",IF(INDEX(EntryMan,$P193)=0,"",INDEX(EntryMan,$P193)))</f>
        <v/>
      </c>
      <c r="L193" s="26">
        <f>IF($B193="","",IF($K193="","—",IF(ROUND($K193-$J193,0)=0,"√","×")))</f>
        <v/>
      </c>
      <c r="M193" s="26">
        <f>IF($B193="","",IF(COUNTIFS(EntryDates,$B193,CalcTime,$C193,CalcBank,$C$5,EntryParty,$D193,EntryDep,$H193,EntryWit,$I193)&gt;1,"تکرار",""))</f>
        <v/>
      </c>
      <c r="N193" s="26">
        <f>IF($P193="","",IF(INDEX(EntryNotes,$P193)=0,"",INDEX(EntryNotes,$P193)))</f>
        <v/>
      </c>
      <c r="O193" s="26">
        <f>IF($P193="","",IF(INDEX(EntryTxnID,$P193)=0,"",INDEX(EntryTxnID,$P193)))</f>
        <v/>
      </c>
      <c r="P193" s="26">
        <f>IFERROR(MATCH($C$5&amp;"|"&amp;RIGHT("000000"&amp;177,6),CalcRankKey,0),"")</f>
        <v/>
      </c>
    </row>
    <row r="194">
      <c r="A194" s="28">
        <f>IF($B194="","",178)</f>
        <v/>
      </c>
      <c r="B194" s="28">
        <f>IF($P194="","",IF(INDEX(CalcNormDate,$P194)=0,"",INDEX(CalcNormDate,$P194)))</f>
        <v/>
      </c>
      <c r="C194" s="28">
        <f>IF($P194="","",IF(INDEX(CalcTime,$P194)=0,"",INDEX(CalcTime,$P194)))</f>
        <v/>
      </c>
      <c r="D194" s="28">
        <f>IF($P194="","",IF(INDEX(EntryParty,$P194)=0,"",INDEX(EntryParty,$P194)))</f>
        <v/>
      </c>
      <c r="E194" s="28">
        <f>IF($P194="","",IF(INDEX(EntryPartyName,$P194)=0,"",INDEX(EntryPartyName,$P194)))</f>
        <v/>
      </c>
      <c r="F194" s="28">
        <f>IF($P194="","",IF(INDEX(EntryPartyType,$P194)=0,"",INDEX(EntryPartyType,$P194)))</f>
        <v/>
      </c>
      <c r="G194" s="28">
        <f>IF($P194="","",IF(INDEX(EntryTxnType,$P194)=0,"",INDEX(EntryTxnType,$P194)))</f>
        <v/>
      </c>
      <c r="H194" s="29">
        <f>IF($P194="","",IF(INDEX(EntryDep,$P194)=0,"",INDEX(EntryDep,$P194)))</f>
        <v/>
      </c>
      <c r="I194" s="29">
        <f>IF($P194="","",IF(INDEX(EntryWit,$P194)=0,"",INDEX(EntryWit,$P194)))</f>
        <v/>
      </c>
      <c r="J194" s="29">
        <f>IF($B194="","",IF($A194=1,$C$7,IF(J193="",0,J193))+IF($H194="",0,$H194)-IF($I194="",0,$I194))</f>
        <v/>
      </c>
      <c r="K194" s="29">
        <f>IF($P194="","",IF(INDEX(EntryMan,$P194)=0,"",INDEX(EntryMan,$P194)))</f>
        <v/>
      </c>
      <c r="L194" s="28">
        <f>IF($B194="","",IF($K194="","—",IF(ROUND($K194-$J194,0)=0,"√","×")))</f>
        <v/>
      </c>
      <c r="M194" s="28">
        <f>IF($B194="","",IF(COUNTIFS(EntryDates,$B194,CalcTime,$C194,CalcBank,$C$5,EntryParty,$D194,EntryDep,$H194,EntryWit,$I194)&gt;1,"تکرار",""))</f>
        <v/>
      </c>
      <c r="N194" s="28">
        <f>IF($P194="","",IF(INDEX(EntryNotes,$P194)=0,"",INDEX(EntryNotes,$P194)))</f>
        <v/>
      </c>
      <c r="O194" s="28">
        <f>IF($P194="","",IF(INDEX(EntryTxnID,$P194)=0,"",INDEX(EntryTxnID,$P194)))</f>
        <v/>
      </c>
      <c r="P194" s="28">
        <f>IFERROR(MATCH($C$5&amp;"|"&amp;RIGHT("000000"&amp;178,6),CalcRankKey,0),"")</f>
        <v/>
      </c>
    </row>
    <row r="195">
      <c r="A195" s="26">
        <f>IF($B195="","",179)</f>
        <v/>
      </c>
      <c r="B195" s="26">
        <f>IF($P195="","",IF(INDEX(CalcNormDate,$P195)=0,"",INDEX(CalcNormDate,$P195)))</f>
        <v/>
      </c>
      <c r="C195" s="26">
        <f>IF($P195="","",IF(INDEX(CalcTime,$P195)=0,"",INDEX(CalcTime,$P195)))</f>
        <v/>
      </c>
      <c r="D195" s="26">
        <f>IF($P195="","",IF(INDEX(EntryParty,$P195)=0,"",INDEX(EntryParty,$P195)))</f>
        <v/>
      </c>
      <c r="E195" s="26">
        <f>IF($P195="","",IF(INDEX(EntryPartyName,$P195)=0,"",INDEX(EntryPartyName,$P195)))</f>
        <v/>
      </c>
      <c r="F195" s="26">
        <f>IF($P195="","",IF(INDEX(EntryPartyType,$P195)=0,"",INDEX(EntryPartyType,$P195)))</f>
        <v/>
      </c>
      <c r="G195" s="26">
        <f>IF($P195="","",IF(INDEX(EntryTxnType,$P195)=0,"",INDEX(EntryTxnType,$P195)))</f>
        <v/>
      </c>
      <c r="H195" s="27">
        <f>IF($P195="","",IF(INDEX(EntryDep,$P195)=0,"",INDEX(EntryDep,$P195)))</f>
        <v/>
      </c>
      <c r="I195" s="27">
        <f>IF($P195="","",IF(INDEX(EntryWit,$P195)=0,"",INDEX(EntryWit,$P195)))</f>
        <v/>
      </c>
      <c r="J195" s="27">
        <f>IF($B195="","",IF($A195=1,$C$7,IF(J194="",0,J194))+IF($H195="",0,$H195)-IF($I195="",0,$I195))</f>
        <v/>
      </c>
      <c r="K195" s="27">
        <f>IF($P195="","",IF(INDEX(EntryMan,$P195)=0,"",INDEX(EntryMan,$P195)))</f>
        <v/>
      </c>
      <c r="L195" s="26">
        <f>IF($B195="","",IF($K195="","—",IF(ROUND($K195-$J195,0)=0,"√","×")))</f>
        <v/>
      </c>
      <c r="M195" s="26">
        <f>IF($B195="","",IF(COUNTIFS(EntryDates,$B195,CalcTime,$C195,CalcBank,$C$5,EntryParty,$D195,EntryDep,$H195,EntryWit,$I195)&gt;1,"تکرار",""))</f>
        <v/>
      </c>
      <c r="N195" s="26">
        <f>IF($P195="","",IF(INDEX(EntryNotes,$P195)=0,"",INDEX(EntryNotes,$P195)))</f>
        <v/>
      </c>
      <c r="O195" s="26">
        <f>IF($P195="","",IF(INDEX(EntryTxnID,$P195)=0,"",INDEX(EntryTxnID,$P195)))</f>
        <v/>
      </c>
      <c r="P195" s="26">
        <f>IFERROR(MATCH($C$5&amp;"|"&amp;RIGHT("000000"&amp;179,6),CalcRankKey,0),"")</f>
        <v/>
      </c>
    </row>
    <row r="196">
      <c r="A196" s="28">
        <f>IF($B196="","",180)</f>
        <v/>
      </c>
      <c r="B196" s="28">
        <f>IF($P196="","",IF(INDEX(CalcNormDate,$P196)=0,"",INDEX(CalcNormDate,$P196)))</f>
        <v/>
      </c>
      <c r="C196" s="28">
        <f>IF($P196="","",IF(INDEX(CalcTime,$P196)=0,"",INDEX(CalcTime,$P196)))</f>
        <v/>
      </c>
      <c r="D196" s="28">
        <f>IF($P196="","",IF(INDEX(EntryParty,$P196)=0,"",INDEX(EntryParty,$P196)))</f>
        <v/>
      </c>
      <c r="E196" s="28">
        <f>IF($P196="","",IF(INDEX(EntryPartyName,$P196)=0,"",INDEX(EntryPartyName,$P196)))</f>
        <v/>
      </c>
      <c r="F196" s="28">
        <f>IF($P196="","",IF(INDEX(EntryPartyType,$P196)=0,"",INDEX(EntryPartyType,$P196)))</f>
        <v/>
      </c>
      <c r="G196" s="28">
        <f>IF($P196="","",IF(INDEX(EntryTxnType,$P196)=0,"",INDEX(EntryTxnType,$P196)))</f>
        <v/>
      </c>
      <c r="H196" s="29">
        <f>IF($P196="","",IF(INDEX(EntryDep,$P196)=0,"",INDEX(EntryDep,$P196)))</f>
        <v/>
      </c>
      <c r="I196" s="29">
        <f>IF($P196="","",IF(INDEX(EntryWit,$P196)=0,"",INDEX(EntryWit,$P196)))</f>
        <v/>
      </c>
      <c r="J196" s="29">
        <f>IF($B196="","",IF($A196=1,$C$7,IF(J195="",0,J195))+IF($H196="",0,$H196)-IF($I196="",0,$I196))</f>
        <v/>
      </c>
      <c r="K196" s="29">
        <f>IF($P196="","",IF(INDEX(EntryMan,$P196)=0,"",INDEX(EntryMan,$P196)))</f>
        <v/>
      </c>
      <c r="L196" s="28">
        <f>IF($B196="","",IF($K196="","—",IF(ROUND($K196-$J196,0)=0,"√","×")))</f>
        <v/>
      </c>
      <c r="M196" s="28">
        <f>IF($B196="","",IF(COUNTIFS(EntryDates,$B196,CalcTime,$C196,CalcBank,$C$5,EntryParty,$D196,EntryDep,$H196,EntryWit,$I196)&gt;1,"تکرار",""))</f>
        <v/>
      </c>
      <c r="N196" s="28">
        <f>IF($P196="","",IF(INDEX(EntryNotes,$P196)=0,"",INDEX(EntryNotes,$P196)))</f>
        <v/>
      </c>
      <c r="O196" s="28">
        <f>IF($P196="","",IF(INDEX(EntryTxnID,$P196)=0,"",INDEX(EntryTxnID,$P196)))</f>
        <v/>
      </c>
      <c r="P196" s="28">
        <f>IFERROR(MATCH($C$5&amp;"|"&amp;RIGHT("000000"&amp;180,6),CalcRankKey,0),"")</f>
        <v/>
      </c>
    </row>
    <row r="197">
      <c r="A197" s="26">
        <f>IF($B197="","",181)</f>
        <v/>
      </c>
      <c r="B197" s="26">
        <f>IF($P197="","",IF(INDEX(CalcNormDate,$P197)=0,"",INDEX(CalcNormDate,$P197)))</f>
        <v/>
      </c>
      <c r="C197" s="26">
        <f>IF($P197="","",IF(INDEX(CalcTime,$P197)=0,"",INDEX(CalcTime,$P197)))</f>
        <v/>
      </c>
      <c r="D197" s="26">
        <f>IF($P197="","",IF(INDEX(EntryParty,$P197)=0,"",INDEX(EntryParty,$P197)))</f>
        <v/>
      </c>
      <c r="E197" s="26">
        <f>IF($P197="","",IF(INDEX(EntryPartyName,$P197)=0,"",INDEX(EntryPartyName,$P197)))</f>
        <v/>
      </c>
      <c r="F197" s="26">
        <f>IF($P197="","",IF(INDEX(EntryPartyType,$P197)=0,"",INDEX(EntryPartyType,$P197)))</f>
        <v/>
      </c>
      <c r="G197" s="26">
        <f>IF($P197="","",IF(INDEX(EntryTxnType,$P197)=0,"",INDEX(EntryTxnType,$P197)))</f>
        <v/>
      </c>
      <c r="H197" s="27">
        <f>IF($P197="","",IF(INDEX(EntryDep,$P197)=0,"",INDEX(EntryDep,$P197)))</f>
        <v/>
      </c>
      <c r="I197" s="27">
        <f>IF($P197="","",IF(INDEX(EntryWit,$P197)=0,"",INDEX(EntryWit,$P197)))</f>
        <v/>
      </c>
      <c r="J197" s="27">
        <f>IF($B197="","",IF($A197=1,$C$7,IF(J196="",0,J196))+IF($H197="",0,$H197)-IF($I197="",0,$I197))</f>
        <v/>
      </c>
      <c r="K197" s="27">
        <f>IF($P197="","",IF(INDEX(EntryMan,$P197)=0,"",INDEX(EntryMan,$P197)))</f>
        <v/>
      </c>
      <c r="L197" s="26">
        <f>IF($B197="","",IF($K197="","—",IF(ROUND($K197-$J197,0)=0,"√","×")))</f>
        <v/>
      </c>
      <c r="M197" s="26">
        <f>IF($B197="","",IF(COUNTIFS(EntryDates,$B197,CalcTime,$C197,CalcBank,$C$5,EntryParty,$D197,EntryDep,$H197,EntryWit,$I197)&gt;1,"تکرار",""))</f>
        <v/>
      </c>
      <c r="N197" s="26">
        <f>IF($P197="","",IF(INDEX(EntryNotes,$P197)=0,"",INDEX(EntryNotes,$P197)))</f>
        <v/>
      </c>
      <c r="O197" s="26">
        <f>IF($P197="","",IF(INDEX(EntryTxnID,$P197)=0,"",INDEX(EntryTxnID,$P197)))</f>
        <v/>
      </c>
      <c r="P197" s="26">
        <f>IFERROR(MATCH($C$5&amp;"|"&amp;RIGHT("000000"&amp;181,6),CalcRankKey,0),"")</f>
        <v/>
      </c>
    </row>
    <row r="198">
      <c r="A198" s="28">
        <f>IF($B198="","",182)</f>
        <v/>
      </c>
      <c r="B198" s="28">
        <f>IF($P198="","",IF(INDEX(CalcNormDate,$P198)=0,"",INDEX(CalcNormDate,$P198)))</f>
        <v/>
      </c>
      <c r="C198" s="28">
        <f>IF($P198="","",IF(INDEX(CalcTime,$P198)=0,"",INDEX(CalcTime,$P198)))</f>
        <v/>
      </c>
      <c r="D198" s="28">
        <f>IF($P198="","",IF(INDEX(EntryParty,$P198)=0,"",INDEX(EntryParty,$P198)))</f>
        <v/>
      </c>
      <c r="E198" s="28">
        <f>IF($P198="","",IF(INDEX(EntryPartyName,$P198)=0,"",INDEX(EntryPartyName,$P198)))</f>
        <v/>
      </c>
      <c r="F198" s="28">
        <f>IF($P198="","",IF(INDEX(EntryPartyType,$P198)=0,"",INDEX(EntryPartyType,$P198)))</f>
        <v/>
      </c>
      <c r="G198" s="28">
        <f>IF($P198="","",IF(INDEX(EntryTxnType,$P198)=0,"",INDEX(EntryTxnType,$P198)))</f>
        <v/>
      </c>
      <c r="H198" s="29">
        <f>IF($P198="","",IF(INDEX(EntryDep,$P198)=0,"",INDEX(EntryDep,$P198)))</f>
        <v/>
      </c>
      <c r="I198" s="29">
        <f>IF($P198="","",IF(INDEX(EntryWit,$P198)=0,"",INDEX(EntryWit,$P198)))</f>
        <v/>
      </c>
      <c r="J198" s="29">
        <f>IF($B198="","",IF($A198=1,$C$7,IF(J197="",0,J197))+IF($H198="",0,$H198)-IF($I198="",0,$I198))</f>
        <v/>
      </c>
      <c r="K198" s="29">
        <f>IF($P198="","",IF(INDEX(EntryMan,$P198)=0,"",INDEX(EntryMan,$P198)))</f>
        <v/>
      </c>
      <c r="L198" s="28">
        <f>IF($B198="","",IF($K198="","—",IF(ROUND($K198-$J198,0)=0,"√","×")))</f>
        <v/>
      </c>
      <c r="M198" s="28">
        <f>IF($B198="","",IF(COUNTIFS(EntryDates,$B198,CalcTime,$C198,CalcBank,$C$5,EntryParty,$D198,EntryDep,$H198,EntryWit,$I198)&gt;1,"تکرار",""))</f>
        <v/>
      </c>
      <c r="N198" s="28">
        <f>IF($P198="","",IF(INDEX(EntryNotes,$P198)=0,"",INDEX(EntryNotes,$P198)))</f>
        <v/>
      </c>
      <c r="O198" s="28">
        <f>IF($P198="","",IF(INDEX(EntryTxnID,$P198)=0,"",INDEX(EntryTxnID,$P198)))</f>
        <v/>
      </c>
      <c r="P198" s="28">
        <f>IFERROR(MATCH($C$5&amp;"|"&amp;RIGHT("000000"&amp;182,6),CalcRankKey,0),"")</f>
        <v/>
      </c>
    </row>
    <row r="199">
      <c r="A199" s="26">
        <f>IF($B199="","",183)</f>
        <v/>
      </c>
      <c r="B199" s="26">
        <f>IF($P199="","",IF(INDEX(CalcNormDate,$P199)=0,"",INDEX(CalcNormDate,$P199)))</f>
        <v/>
      </c>
      <c r="C199" s="26">
        <f>IF($P199="","",IF(INDEX(CalcTime,$P199)=0,"",INDEX(CalcTime,$P199)))</f>
        <v/>
      </c>
      <c r="D199" s="26">
        <f>IF($P199="","",IF(INDEX(EntryParty,$P199)=0,"",INDEX(EntryParty,$P199)))</f>
        <v/>
      </c>
      <c r="E199" s="26">
        <f>IF($P199="","",IF(INDEX(EntryPartyName,$P199)=0,"",INDEX(EntryPartyName,$P199)))</f>
        <v/>
      </c>
      <c r="F199" s="26">
        <f>IF($P199="","",IF(INDEX(EntryPartyType,$P199)=0,"",INDEX(EntryPartyType,$P199)))</f>
        <v/>
      </c>
      <c r="G199" s="26">
        <f>IF($P199="","",IF(INDEX(EntryTxnType,$P199)=0,"",INDEX(EntryTxnType,$P199)))</f>
        <v/>
      </c>
      <c r="H199" s="27">
        <f>IF($P199="","",IF(INDEX(EntryDep,$P199)=0,"",INDEX(EntryDep,$P199)))</f>
        <v/>
      </c>
      <c r="I199" s="27">
        <f>IF($P199="","",IF(INDEX(EntryWit,$P199)=0,"",INDEX(EntryWit,$P199)))</f>
        <v/>
      </c>
      <c r="J199" s="27">
        <f>IF($B199="","",IF($A199=1,$C$7,IF(J198="",0,J198))+IF($H199="",0,$H199)-IF($I199="",0,$I199))</f>
        <v/>
      </c>
      <c r="K199" s="27">
        <f>IF($P199="","",IF(INDEX(EntryMan,$P199)=0,"",INDEX(EntryMan,$P199)))</f>
        <v/>
      </c>
      <c r="L199" s="26">
        <f>IF($B199="","",IF($K199="","—",IF(ROUND($K199-$J199,0)=0,"√","×")))</f>
        <v/>
      </c>
      <c r="M199" s="26">
        <f>IF($B199="","",IF(COUNTIFS(EntryDates,$B199,CalcTime,$C199,CalcBank,$C$5,EntryParty,$D199,EntryDep,$H199,EntryWit,$I199)&gt;1,"تکرار",""))</f>
        <v/>
      </c>
      <c r="N199" s="26">
        <f>IF($P199="","",IF(INDEX(EntryNotes,$P199)=0,"",INDEX(EntryNotes,$P199)))</f>
        <v/>
      </c>
      <c r="O199" s="26">
        <f>IF($P199="","",IF(INDEX(EntryTxnID,$P199)=0,"",INDEX(EntryTxnID,$P199)))</f>
        <v/>
      </c>
      <c r="P199" s="26">
        <f>IFERROR(MATCH($C$5&amp;"|"&amp;RIGHT("000000"&amp;183,6),CalcRankKey,0),"")</f>
        <v/>
      </c>
    </row>
    <row r="200">
      <c r="A200" s="28">
        <f>IF($B200="","",184)</f>
        <v/>
      </c>
      <c r="B200" s="28">
        <f>IF($P200="","",IF(INDEX(CalcNormDate,$P200)=0,"",INDEX(CalcNormDate,$P200)))</f>
        <v/>
      </c>
      <c r="C200" s="28">
        <f>IF($P200="","",IF(INDEX(CalcTime,$P200)=0,"",INDEX(CalcTime,$P200)))</f>
        <v/>
      </c>
      <c r="D200" s="28">
        <f>IF($P200="","",IF(INDEX(EntryParty,$P200)=0,"",INDEX(EntryParty,$P200)))</f>
        <v/>
      </c>
      <c r="E200" s="28">
        <f>IF($P200="","",IF(INDEX(EntryPartyName,$P200)=0,"",INDEX(EntryPartyName,$P200)))</f>
        <v/>
      </c>
      <c r="F200" s="28">
        <f>IF($P200="","",IF(INDEX(EntryPartyType,$P200)=0,"",INDEX(EntryPartyType,$P200)))</f>
        <v/>
      </c>
      <c r="G200" s="28">
        <f>IF($P200="","",IF(INDEX(EntryTxnType,$P200)=0,"",INDEX(EntryTxnType,$P200)))</f>
        <v/>
      </c>
      <c r="H200" s="29">
        <f>IF($P200="","",IF(INDEX(EntryDep,$P200)=0,"",INDEX(EntryDep,$P200)))</f>
        <v/>
      </c>
      <c r="I200" s="29">
        <f>IF($P200="","",IF(INDEX(EntryWit,$P200)=0,"",INDEX(EntryWit,$P200)))</f>
        <v/>
      </c>
      <c r="J200" s="29">
        <f>IF($B200="","",IF($A200=1,$C$7,IF(J199="",0,J199))+IF($H200="",0,$H200)-IF($I200="",0,$I200))</f>
        <v/>
      </c>
      <c r="K200" s="29">
        <f>IF($P200="","",IF(INDEX(EntryMan,$P200)=0,"",INDEX(EntryMan,$P200)))</f>
        <v/>
      </c>
      <c r="L200" s="28">
        <f>IF($B200="","",IF($K200="","—",IF(ROUND($K200-$J200,0)=0,"√","×")))</f>
        <v/>
      </c>
      <c r="M200" s="28">
        <f>IF($B200="","",IF(COUNTIFS(EntryDates,$B200,CalcTime,$C200,CalcBank,$C$5,EntryParty,$D200,EntryDep,$H200,EntryWit,$I200)&gt;1,"تکرار",""))</f>
        <v/>
      </c>
      <c r="N200" s="28">
        <f>IF($P200="","",IF(INDEX(EntryNotes,$P200)=0,"",INDEX(EntryNotes,$P200)))</f>
        <v/>
      </c>
      <c r="O200" s="28">
        <f>IF($P200="","",IF(INDEX(EntryTxnID,$P200)=0,"",INDEX(EntryTxnID,$P200)))</f>
        <v/>
      </c>
      <c r="P200" s="28">
        <f>IFERROR(MATCH($C$5&amp;"|"&amp;RIGHT("000000"&amp;184,6),CalcRankKey,0),"")</f>
        <v/>
      </c>
    </row>
    <row r="201">
      <c r="A201" s="26">
        <f>IF($B201="","",185)</f>
        <v/>
      </c>
      <c r="B201" s="26">
        <f>IF($P201="","",IF(INDEX(CalcNormDate,$P201)=0,"",INDEX(CalcNormDate,$P201)))</f>
        <v/>
      </c>
      <c r="C201" s="26">
        <f>IF($P201="","",IF(INDEX(CalcTime,$P201)=0,"",INDEX(CalcTime,$P201)))</f>
        <v/>
      </c>
      <c r="D201" s="26">
        <f>IF($P201="","",IF(INDEX(EntryParty,$P201)=0,"",INDEX(EntryParty,$P201)))</f>
        <v/>
      </c>
      <c r="E201" s="26">
        <f>IF($P201="","",IF(INDEX(EntryPartyName,$P201)=0,"",INDEX(EntryPartyName,$P201)))</f>
        <v/>
      </c>
      <c r="F201" s="26">
        <f>IF($P201="","",IF(INDEX(EntryPartyType,$P201)=0,"",INDEX(EntryPartyType,$P201)))</f>
        <v/>
      </c>
      <c r="G201" s="26">
        <f>IF($P201="","",IF(INDEX(EntryTxnType,$P201)=0,"",INDEX(EntryTxnType,$P201)))</f>
        <v/>
      </c>
      <c r="H201" s="27">
        <f>IF($P201="","",IF(INDEX(EntryDep,$P201)=0,"",INDEX(EntryDep,$P201)))</f>
        <v/>
      </c>
      <c r="I201" s="27">
        <f>IF($P201="","",IF(INDEX(EntryWit,$P201)=0,"",INDEX(EntryWit,$P201)))</f>
        <v/>
      </c>
      <c r="J201" s="27">
        <f>IF($B201="","",IF($A201=1,$C$7,IF(J200="",0,J200))+IF($H201="",0,$H201)-IF($I201="",0,$I201))</f>
        <v/>
      </c>
      <c r="K201" s="27">
        <f>IF($P201="","",IF(INDEX(EntryMan,$P201)=0,"",INDEX(EntryMan,$P201)))</f>
        <v/>
      </c>
      <c r="L201" s="26">
        <f>IF($B201="","",IF($K201="","—",IF(ROUND($K201-$J201,0)=0,"√","×")))</f>
        <v/>
      </c>
      <c r="M201" s="26">
        <f>IF($B201="","",IF(COUNTIFS(EntryDates,$B201,CalcTime,$C201,CalcBank,$C$5,EntryParty,$D201,EntryDep,$H201,EntryWit,$I201)&gt;1,"تکرار",""))</f>
        <v/>
      </c>
      <c r="N201" s="26">
        <f>IF($P201="","",IF(INDEX(EntryNotes,$P201)=0,"",INDEX(EntryNotes,$P201)))</f>
        <v/>
      </c>
      <c r="O201" s="26">
        <f>IF($P201="","",IF(INDEX(EntryTxnID,$P201)=0,"",INDEX(EntryTxnID,$P201)))</f>
        <v/>
      </c>
      <c r="P201" s="26">
        <f>IFERROR(MATCH($C$5&amp;"|"&amp;RIGHT("000000"&amp;185,6),CalcRankKey,0),"")</f>
        <v/>
      </c>
    </row>
    <row r="202">
      <c r="A202" s="28">
        <f>IF($B202="","",186)</f>
        <v/>
      </c>
      <c r="B202" s="28">
        <f>IF($P202="","",IF(INDEX(CalcNormDate,$P202)=0,"",INDEX(CalcNormDate,$P202)))</f>
        <v/>
      </c>
      <c r="C202" s="28">
        <f>IF($P202="","",IF(INDEX(CalcTime,$P202)=0,"",INDEX(CalcTime,$P202)))</f>
        <v/>
      </c>
      <c r="D202" s="28">
        <f>IF($P202="","",IF(INDEX(EntryParty,$P202)=0,"",INDEX(EntryParty,$P202)))</f>
        <v/>
      </c>
      <c r="E202" s="28">
        <f>IF($P202="","",IF(INDEX(EntryPartyName,$P202)=0,"",INDEX(EntryPartyName,$P202)))</f>
        <v/>
      </c>
      <c r="F202" s="28">
        <f>IF($P202="","",IF(INDEX(EntryPartyType,$P202)=0,"",INDEX(EntryPartyType,$P202)))</f>
        <v/>
      </c>
      <c r="G202" s="28">
        <f>IF($P202="","",IF(INDEX(EntryTxnType,$P202)=0,"",INDEX(EntryTxnType,$P202)))</f>
        <v/>
      </c>
      <c r="H202" s="29">
        <f>IF($P202="","",IF(INDEX(EntryDep,$P202)=0,"",INDEX(EntryDep,$P202)))</f>
        <v/>
      </c>
      <c r="I202" s="29">
        <f>IF($P202="","",IF(INDEX(EntryWit,$P202)=0,"",INDEX(EntryWit,$P202)))</f>
        <v/>
      </c>
      <c r="J202" s="29">
        <f>IF($B202="","",IF($A202=1,$C$7,IF(J201="",0,J201))+IF($H202="",0,$H202)-IF($I202="",0,$I202))</f>
        <v/>
      </c>
      <c r="K202" s="29">
        <f>IF($P202="","",IF(INDEX(EntryMan,$P202)=0,"",INDEX(EntryMan,$P202)))</f>
        <v/>
      </c>
      <c r="L202" s="28">
        <f>IF($B202="","",IF($K202="","—",IF(ROUND($K202-$J202,0)=0,"√","×")))</f>
        <v/>
      </c>
      <c r="M202" s="28">
        <f>IF($B202="","",IF(COUNTIFS(EntryDates,$B202,CalcTime,$C202,CalcBank,$C$5,EntryParty,$D202,EntryDep,$H202,EntryWit,$I202)&gt;1,"تکرار",""))</f>
        <v/>
      </c>
      <c r="N202" s="28">
        <f>IF($P202="","",IF(INDEX(EntryNotes,$P202)=0,"",INDEX(EntryNotes,$P202)))</f>
        <v/>
      </c>
      <c r="O202" s="28">
        <f>IF($P202="","",IF(INDEX(EntryTxnID,$P202)=0,"",INDEX(EntryTxnID,$P202)))</f>
        <v/>
      </c>
      <c r="P202" s="28">
        <f>IFERROR(MATCH($C$5&amp;"|"&amp;RIGHT("000000"&amp;186,6),CalcRankKey,0),"")</f>
        <v/>
      </c>
    </row>
    <row r="203">
      <c r="A203" s="26">
        <f>IF($B203="","",187)</f>
        <v/>
      </c>
      <c r="B203" s="26">
        <f>IF($P203="","",IF(INDEX(CalcNormDate,$P203)=0,"",INDEX(CalcNormDate,$P203)))</f>
        <v/>
      </c>
      <c r="C203" s="26">
        <f>IF($P203="","",IF(INDEX(CalcTime,$P203)=0,"",INDEX(CalcTime,$P203)))</f>
        <v/>
      </c>
      <c r="D203" s="26">
        <f>IF($P203="","",IF(INDEX(EntryParty,$P203)=0,"",INDEX(EntryParty,$P203)))</f>
        <v/>
      </c>
      <c r="E203" s="26">
        <f>IF($P203="","",IF(INDEX(EntryPartyName,$P203)=0,"",INDEX(EntryPartyName,$P203)))</f>
        <v/>
      </c>
      <c r="F203" s="26">
        <f>IF($P203="","",IF(INDEX(EntryPartyType,$P203)=0,"",INDEX(EntryPartyType,$P203)))</f>
        <v/>
      </c>
      <c r="G203" s="26">
        <f>IF($P203="","",IF(INDEX(EntryTxnType,$P203)=0,"",INDEX(EntryTxnType,$P203)))</f>
        <v/>
      </c>
      <c r="H203" s="27">
        <f>IF($P203="","",IF(INDEX(EntryDep,$P203)=0,"",INDEX(EntryDep,$P203)))</f>
        <v/>
      </c>
      <c r="I203" s="27">
        <f>IF($P203="","",IF(INDEX(EntryWit,$P203)=0,"",INDEX(EntryWit,$P203)))</f>
        <v/>
      </c>
      <c r="J203" s="27">
        <f>IF($B203="","",IF($A203=1,$C$7,IF(J202="",0,J202))+IF($H203="",0,$H203)-IF($I203="",0,$I203))</f>
        <v/>
      </c>
      <c r="K203" s="27">
        <f>IF($P203="","",IF(INDEX(EntryMan,$P203)=0,"",INDEX(EntryMan,$P203)))</f>
        <v/>
      </c>
      <c r="L203" s="26">
        <f>IF($B203="","",IF($K203="","—",IF(ROUND($K203-$J203,0)=0,"√","×")))</f>
        <v/>
      </c>
      <c r="M203" s="26">
        <f>IF($B203="","",IF(COUNTIFS(EntryDates,$B203,CalcTime,$C203,CalcBank,$C$5,EntryParty,$D203,EntryDep,$H203,EntryWit,$I203)&gt;1,"تکرار",""))</f>
        <v/>
      </c>
      <c r="N203" s="26">
        <f>IF($P203="","",IF(INDEX(EntryNotes,$P203)=0,"",INDEX(EntryNotes,$P203)))</f>
        <v/>
      </c>
      <c r="O203" s="26">
        <f>IF($P203="","",IF(INDEX(EntryTxnID,$P203)=0,"",INDEX(EntryTxnID,$P203)))</f>
        <v/>
      </c>
      <c r="P203" s="26">
        <f>IFERROR(MATCH($C$5&amp;"|"&amp;RIGHT("000000"&amp;187,6),CalcRankKey,0),"")</f>
        <v/>
      </c>
    </row>
    <row r="204">
      <c r="A204" s="28">
        <f>IF($B204="","",188)</f>
        <v/>
      </c>
      <c r="B204" s="28">
        <f>IF($P204="","",IF(INDEX(CalcNormDate,$P204)=0,"",INDEX(CalcNormDate,$P204)))</f>
        <v/>
      </c>
      <c r="C204" s="28">
        <f>IF($P204="","",IF(INDEX(CalcTime,$P204)=0,"",INDEX(CalcTime,$P204)))</f>
        <v/>
      </c>
      <c r="D204" s="28">
        <f>IF($P204="","",IF(INDEX(EntryParty,$P204)=0,"",INDEX(EntryParty,$P204)))</f>
        <v/>
      </c>
      <c r="E204" s="28">
        <f>IF($P204="","",IF(INDEX(EntryPartyName,$P204)=0,"",INDEX(EntryPartyName,$P204)))</f>
        <v/>
      </c>
      <c r="F204" s="28">
        <f>IF($P204="","",IF(INDEX(EntryPartyType,$P204)=0,"",INDEX(EntryPartyType,$P204)))</f>
        <v/>
      </c>
      <c r="G204" s="28">
        <f>IF($P204="","",IF(INDEX(EntryTxnType,$P204)=0,"",INDEX(EntryTxnType,$P204)))</f>
        <v/>
      </c>
      <c r="H204" s="29">
        <f>IF($P204="","",IF(INDEX(EntryDep,$P204)=0,"",INDEX(EntryDep,$P204)))</f>
        <v/>
      </c>
      <c r="I204" s="29">
        <f>IF($P204="","",IF(INDEX(EntryWit,$P204)=0,"",INDEX(EntryWit,$P204)))</f>
        <v/>
      </c>
      <c r="J204" s="29">
        <f>IF($B204="","",IF($A204=1,$C$7,IF(J203="",0,J203))+IF($H204="",0,$H204)-IF($I204="",0,$I204))</f>
        <v/>
      </c>
      <c r="K204" s="29">
        <f>IF($P204="","",IF(INDEX(EntryMan,$P204)=0,"",INDEX(EntryMan,$P204)))</f>
        <v/>
      </c>
      <c r="L204" s="28">
        <f>IF($B204="","",IF($K204="","—",IF(ROUND($K204-$J204,0)=0,"√","×")))</f>
        <v/>
      </c>
      <c r="M204" s="28">
        <f>IF($B204="","",IF(COUNTIFS(EntryDates,$B204,CalcTime,$C204,CalcBank,$C$5,EntryParty,$D204,EntryDep,$H204,EntryWit,$I204)&gt;1,"تکرار",""))</f>
        <v/>
      </c>
      <c r="N204" s="28">
        <f>IF($P204="","",IF(INDEX(EntryNotes,$P204)=0,"",INDEX(EntryNotes,$P204)))</f>
        <v/>
      </c>
      <c r="O204" s="28">
        <f>IF($P204="","",IF(INDEX(EntryTxnID,$P204)=0,"",INDEX(EntryTxnID,$P204)))</f>
        <v/>
      </c>
      <c r="P204" s="28">
        <f>IFERROR(MATCH($C$5&amp;"|"&amp;RIGHT("000000"&amp;188,6),CalcRankKey,0),"")</f>
        <v/>
      </c>
    </row>
    <row r="205">
      <c r="A205" s="26">
        <f>IF($B205="","",189)</f>
        <v/>
      </c>
      <c r="B205" s="26">
        <f>IF($P205="","",IF(INDEX(CalcNormDate,$P205)=0,"",INDEX(CalcNormDate,$P205)))</f>
        <v/>
      </c>
      <c r="C205" s="26">
        <f>IF($P205="","",IF(INDEX(CalcTime,$P205)=0,"",INDEX(CalcTime,$P205)))</f>
        <v/>
      </c>
      <c r="D205" s="26">
        <f>IF($P205="","",IF(INDEX(EntryParty,$P205)=0,"",INDEX(EntryParty,$P205)))</f>
        <v/>
      </c>
      <c r="E205" s="26">
        <f>IF($P205="","",IF(INDEX(EntryPartyName,$P205)=0,"",INDEX(EntryPartyName,$P205)))</f>
        <v/>
      </c>
      <c r="F205" s="26">
        <f>IF($P205="","",IF(INDEX(EntryPartyType,$P205)=0,"",INDEX(EntryPartyType,$P205)))</f>
        <v/>
      </c>
      <c r="G205" s="26">
        <f>IF($P205="","",IF(INDEX(EntryTxnType,$P205)=0,"",INDEX(EntryTxnType,$P205)))</f>
        <v/>
      </c>
      <c r="H205" s="27">
        <f>IF($P205="","",IF(INDEX(EntryDep,$P205)=0,"",INDEX(EntryDep,$P205)))</f>
        <v/>
      </c>
      <c r="I205" s="27">
        <f>IF($P205="","",IF(INDEX(EntryWit,$P205)=0,"",INDEX(EntryWit,$P205)))</f>
        <v/>
      </c>
      <c r="J205" s="27">
        <f>IF($B205="","",IF($A205=1,$C$7,IF(J204="",0,J204))+IF($H205="",0,$H205)-IF($I205="",0,$I205))</f>
        <v/>
      </c>
      <c r="K205" s="27">
        <f>IF($P205="","",IF(INDEX(EntryMan,$P205)=0,"",INDEX(EntryMan,$P205)))</f>
        <v/>
      </c>
      <c r="L205" s="26">
        <f>IF($B205="","",IF($K205="","—",IF(ROUND($K205-$J205,0)=0,"√","×")))</f>
        <v/>
      </c>
      <c r="M205" s="26">
        <f>IF($B205="","",IF(COUNTIFS(EntryDates,$B205,CalcTime,$C205,CalcBank,$C$5,EntryParty,$D205,EntryDep,$H205,EntryWit,$I205)&gt;1,"تکرار",""))</f>
        <v/>
      </c>
      <c r="N205" s="26">
        <f>IF($P205="","",IF(INDEX(EntryNotes,$P205)=0,"",INDEX(EntryNotes,$P205)))</f>
        <v/>
      </c>
      <c r="O205" s="26">
        <f>IF($P205="","",IF(INDEX(EntryTxnID,$P205)=0,"",INDEX(EntryTxnID,$P205)))</f>
        <v/>
      </c>
      <c r="P205" s="26">
        <f>IFERROR(MATCH($C$5&amp;"|"&amp;RIGHT("000000"&amp;189,6),CalcRankKey,0),"")</f>
        <v/>
      </c>
    </row>
    <row r="206">
      <c r="A206" s="28">
        <f>IF($B206="","",190)</f>
        <v/>
      </c>
      <c r="B206" s="28">
        <f>IF($P206="","",IF(INDEX(CalcNormDate,$P206)=0,"",INDEX(CalcNormDate,$P206)))</f>
        <v/>
      </c>
      <c r="C206" s="28">
        <f>IF($P206="","",IF(INDEX(CalcTime,$P206)=0,"",INDEX(CalcTime,$P206)))</f>
        <v/>
      </c>
      <c r="D206" s="28">
        <f>IF($P206="","",IF(INDEX(EntryParty,$P206)=0,"",INDEX(EntryParty,$P206)))</f>
        <v/>
      </c>
      <c r="E206" s="28">
        <f>IF($P206="","",IF(INDEX(EntryPartyName,$P206)=0,"",INDEX(EntryPartyName,$P206)))</f>
        <v/>
      </c>
      <c r="F206" s="28">
        <f>IF($P206="","",IF(INDEX(EntryPartyType,$P206)=0,"",INDEX(EntryPartyType,$P206)))</f>
        <v/>
      </c>
      <c r="G206" s="28">
        <f>IF($P206="","",IF(INDEX(EntryTxnType,$P206)=0,"",INDEX(EntryTxnType,$P206)))</f>
        <v/>
      </c>
      <c r="H206" s="29">
        <f>IF($P206="","",IF(INDEX(EntryDep,$P206)=0,"",INDEX(EntryDep,$P206)))</f>
        <v/>
      </c>
      <c r="I206" s="29">
        <f>IF($P206="","",IF(INDEX(EntryWit,$P206)=0,"",INDEX(EntryWit,$P206)))</f>
        <v/>
      </c>
      <c r="J206" s="29">
        <f>IF($B206="","",IF($A206=1,$C$7,IF(J205="",0,J205))+IF($H206="",0,$H206)-IF($I206="",0,$I206))</f>
        <v/>
      </c>
      <c r="K206" s="29">
        <f>IF($P206="","",IF(INDEX(EntryMan,$P206)=0,"",INDEX(EntryMan,$P206)))</f>
        <v/>
      </c>
      <c r="L206" s="28">
        <f>IF($B206="","",IF($K206="","—",IF(ROUND($K206-$J206,0)=0,"√","×")))</f>
        <v/>
      </c>
      <c r="M206" s="28">
        <f>IF($B206="","",IF(COUNTIFS(EntryDates,$B206,CalcTime,$C206,CalcBank,$C$5,EntryParty,$D206,EntryDep,$H206,EntryWit,$I206)&gt;1,"تکرار",""))</f>
        <v/>
      </c>
      <c r="N206" s="28">
        <f>IF($P206="","",IF(INDEX(EntryNotes,$P206)=0,"",INDEX(EntryNotes,$P206)))</f>
        <v/>
      </c>
      <c r="O206" s="28">
        <f>IF($P206="","",IF(INDEX(EntryTxnID,$P206)=0,"",INDEX(EntryTxnID,$P206)))</f>
        <v/>
      </c>
      <c r="P206" s="28">
        <f>IFERROR(MATCH($C$5&amp;"|"&amp;RIGHT("000000"&amp;190,6),CalcRankKey,0),"")</f>
        <v/>
      </c>
    </row>
    <row r="207">
      <c r="A207" s="26">
        <f>IF($B207="","",191)</f>
        <v/>
      </c>
      <c r="B207" s="26">
        <f>IF($P207="","",IF(INDEX(CalcNormDate,$P207)=0,"",INDEX(CalcNormDate,$P207)))</f>
        <v/>
      </c>
      <c r="C207" s="26">
        <f>IF($P207="","",IF(INDEX(CalcTime,$P207)=0,"",INDEX(CalcTime,$P207)))</f>
        <v/>
      </c>
      <c r="D207" s="26">
        <f>IF($P207="","",IF(INDEX(EntryParty,$P207)=0,"",INDEX(EntryParty,$P207)))</f>
        <v/>
      </c>
      <c r="E207" s="26">
        <f>IF($P207="","",IF(INDEX(EntryPartyName,$P207)=0,"",INDEX(EntryPartyName,$P207)))</f>
        <v/>
      </c>
      <c r="F207" s="26">
        <f>IF($P207="","",IF(INDEX(EntryPartyType,$P207)=0,"",INDEX(EntryPartyType,$P207)))</f>
        <v/>
      </c>
      <c r="G207" s="26">
        <f>IF($P207="","",IF(INDEX(EntryTxnType,$P207)=0,"",INDEX(EntryTxnType,$P207)))</f>
        <v/>
      </c>
      <c r="H207" s="27">
        <f>IF($P207="","",IF(INDEX(EntryDep,$P207)=0,"",INDEX(EntryDep,$P207)))</f>
        <v/>
      </c>
      <c r="I207" s="27">
        <f>IF($P207="","",IF(INDEX(EntryWit,$P207)=0,"",INDEX(EntryWit,$P207)))</f>
        <v/>
      </c>
      <c r="J207" s="27">
        <f>IF($B207="","",IF($A207=1,$C$7,IF(J206="",0,J206))+IF($H207="",0,$H207)-IF($I207="",0,$I207))</f>
        <v/>
      </c>
      <c r="K207" s="27">
        <f>IF($P207="","",IF(INDEX(EntryMan,$P207)=0,"",INDEX(EntryMan,$P207)))</f>
        <v/>
      </c>
      <c r="L207" s="26">
        <f>IF($B207="","",IF($K207="","—",IF(ROUND($K207-$J207,0)=0,"√","×")))</f>
        <v/>
      </c>
      <c r="M207" s="26">
        <f>IF($B207="","",IF(COUNTIFS(EntryDates,$B207,CalcTime,$C207,CalcBank,$C$5,EntryParty,$D207,EntryDep,$H207,EntryWit,$I207)&gt;1,"تکرار",""))</f>
        <v/>
      </c>
      <c r="N207" s="26">
        <f>IF($P207="","",IF(INDEX(EntryNotes,$P207)=0,"",INDEX(EntryNotes,$P207)))</f>
        <v/>
      </c>
      <c r="O207" s="26">
        <f>IF($P207="","",IF(INDEX(EntryTxnID,$P207)=0,"",INDEX(EntryTxnID,$P207)))</f>
        <v/>
      </c>
      <c r="P207" s="26">
        <f>IFERROR(MATCH($C$5&amp;"|"&amp;RIGHT("000000"&amp;191,6),CalcRankKey,0),"")</f>
        <v/>
      </c>
    </row>
    <row r="208">
      <c r="A208" s="28">
        <f>IF($B208="","",192)</f>
        <v/>
      </c>
      <c r="B208" s="28">
        <f>IF($P208="","",IF(INDEX(CalcNormDate,$P208)=0,"",INDEX(CalcNormDate,$P208)))</f>
        <v/>
      </c>
      <c r="C208" s="28">
        <f>IF($P208="","",IF(INDEX(CalcTime,$P208)=0,"",INDEX(CalcTime,$P208)))</f>
        <v/>
      </c>
      <c r="D208" s="28">
        <f>IF($P208="","",IF(INDEX(EntryParty,$P208)=0,"",INDEX(EntryParty,$P208)))</f>
        <v/>
      </c>
      <c r="E208" s="28">
        <f>IF($P208="","",IF(INDEX(EntryPartyName,$P208)=0,"",INDEX(EntryPartyName,$P208)))</f>
        <v/>
      </c>
      <c r="F208" s="28">
        <f>IF($P208="","",IF(INDEX(EntryPartyType,$P208)=0,"",INDEX(EntryPartyType,$P208)))</f>
        <v/>
      </c>
      <c r="G208" s="28">
        <f>IF($P208="","",IF(INDEX(EntryTxnType,$P208)=0,"",INDEX(EntryTxnType,$P208)))</f>
        <v/>
      </c>
      <c r="H208" s="29">
        <f>IF($P208="","",IF(INDEX(EntryDep,$P208)=0,"",INDEX(EntryDep,$P208)))</f>
        <v/>
      </c>
      <c r="I208" s="29">
        <f>IF($P208="","",IF(INDEX(EntryWit,$P208)=0,"",INDEX(EntryWit,$P208)))</f>
        <v/>
      </c>
      <c r="J208" s="29">
        <f>IF($B208="","",IF($A208=1,$C$7,IF(J207="",0,J207))+IF($H208="",0,$H208)-IF($I208="",0,$I208))</f>
        <v/>
      </c>
      <c r="K208" s="29">
        <f>IF($P208="","",IF(INDEX(EntryMan,$P208)=0,"",INDEX(EntryMan,$P208)))</f>
        <v/>
      </c>
      <c r="L208" s="28">
        <f>IF($B208="","",IF($K208="","—",IF(ROUND($K208-$J208,0)=0,"√","×")))</f>
        <v/>
      </c>
      <c r="M208" s="28">
        <f>IF($B208="","",IF(COUNTIFS(EntryDates,$B208,CalcTime,$C208,CalcBank,$C$5,EntryParty,$D208,EntryDep,$H208,EntryWit,$I208)&gt;1,"تکرار",""))</f>
        <v/>
      </c>
      <c r="N208" s="28">
        <f>IF($P208="","",IF(INDEX(EntryNotes,$P208)=0,"",INDEX(EntryNotes,$P208)))</f>
        <v/>
      </c>
      <c r="O208" s="28">
        <f>IF($P208="","",IF(INDEX(EntryTxnID,$P208)=0,"",INDEX(EntryTxnID,$P208)))</f>
        <v/>
      </c>
      <c r="P208" s="28">
        <f>IFERROR(MATCH($C$5&amp;"|"&amp;RIGHT("000000"&amp;192,6),CalcRankKey,0),"")</f>
        <v/>
      </c>
    </row>
    <row r="209">
      <c r="A209" s="26">
        <f>IF($B209="","",193)</f>
        <v/>
      </c>
      <c r="B209" s="26">
        <f>IF($P209="","",IF(INDEX(CalcNormDate,$P209)=0,"",INDEX(CalcNormDate,$P209)))</f>
        <v/>
      </c>
      <c r="C209" s="26">
        <f>IF($P209="","",IF(INDEX(CalcTime,$P209)=0,"",INDEX(CalcTime,$P209)))</f>
        <v/>
      </c>
      <c r="D209" s="26">
        <f>IF($P209="","",IF(INDEX(EntryParty,$P209)=0,"",INDEX(EntryParty,$P209)))</f>
        <v/>
      </c>
      <c r="E209" s="26">
        <f>IF($P209="","",IF(INDEX(EntryPartyName,$P209)=0,"",INDEX(EntryPartyName,$P209)))</f>
        <v/>
      </c>
      <c r="F209" s="26">
        <f>IF($P209="","",IF(INDEX(EntryPartyType,$P209)=0,"",INDEX(EntryPartyType,$P209)))</f>
        <v/>
      </c>
      <c r="G209" s="26">
        <f>IF($P209="","",IF(INDEX(EntryTxnType,$P209)=0,"",INDEX(EntryTxnType,$P209)))</f>
        <v/>
      </c>
      <c r="H209" s="27">
        <f>IF($P209="","",IF(INDEX(EntryDep,$P209)=0,"",INDEX(EntryDep,$P209)))</f>
        <v/>
      </c>
      <c r="I209" s="27">
        <f>IF($P209="","",IF(INDEX(EntryWit,$P209)=0,"",INDEX(EntryWit,$P209)))</f>
        <v/>
      </c>
      <c r="J209" s="27">
        <f>IF($B209="","",IF($A209=1,$C$7,IF(J208="",0,J208))+IF($H209="",0,$H209)-IF($I209="",0,$I209))</f>
        <v/>
      </c>
      <c r="K209" s="27">
        <f>IF($P209="","",IF(INDEX(EntryMan,$P209)=0,"",INDEX(EntryMan,$P209)))</f>
        <v/>
      </c>
      <c r="L209" s="26">
        <f>IF($B209="","",IF($K209="","—",IF(ROUND($K209-$J209,0)=0,"√","×")))</f>
        <v/>
      </c>
      <c r="M209" s="26">
        <f>IF($B209="","",IF(COUNTIFS(EntryDates,$B209,CalcTime,$C209,CalcBank,$C$5,EntryParty,$D209,EntryDep,$H209,EntryWit,$I209)&gt;1,"تکرار",""))</f>
        <v/>
      </c>
      <c r="N209" s="26">
        <f>IF($P209="","",IF(INDEX(EntryNotes,$P209)=0,"",INDEX(EntryNotes,$P209)))</f>
        <v/>
      </c>
      <c r="O209" s="26">
        <f>IF($P209="","",IF(INDEX(EntryTxnID,$P209)=0,"",INDEX(EntryTxnID,$P209)))</f>
        <v/>
      </c>
      <c r="P209" s="26">
        <f>IFERROR(MATCH($C$5&amp;"|"&amp;RIGHT("000000"&amp;193,6),CalcRankKey,0),"")</f>
        <v/>
      </c>
    </row>
    <row r="210">
      <c r="A210" s="28">
        <f>IF($B210="","",194)</f>
        <v/>
      </c>
      <c r="B210" s="28">
        <f>IF($P210="","",IF(INDEX(CalcNormDate,$P210)=0,"",INDEX(CalcNormDate,$P210)))</f>
        <v/>
      </c>
      <c r="C210" s="28">
        <f>IF($P210="","",IF(INDEX(CalcTime,$P210)=0,"",INDEX(CalcTime,$P210)))</f>
        <v/>
      </c>
      <c r="D210" s="28">
        <f>IF($P210="","",IF(INDEX(EntryParty,$P210)=0,"",INDEX(EntryParty,$P210)))</f>
        <v/>
      </c>
      <c r="E210" s="28">
        <f>IF($P210="","",IF(INDEX(EntryPartyName,$P210)=0,"",INDEX(EntryPartyName,$P210)))</f>
        <v/>
      </c>
      <c r="F210" s="28">
        <f>IF($P210="","",IF(INDEX(EntryPartyType,$P210)=0,"",INDEX(EntryPartyType,$P210)))</f>
        <v/>
      </c>
      <c r="G210" s="28">
        <f>IF($P210="","",IF(INDEX(EntryTxnType,$P210)=0,"",INDEX(EntryTxnType,$P210)))</f>
        <v/>
      </c>
      <c r="H210" s="29">
        <f>IF($P210="","",IF(INDEX(EntryDep,$P210)=0,"",INDEX(EntryDep,$P210)))</f>
        <v/>
      </c>
      <c r="I210" s="29">
        <f>IF($P210="","",IF(INDEX(EntryWit,$P210)=0,"",INDEX(EntryWit,$P210)))</f>
        <v/>
      </c>
      <c r="J210" s="29">
        <f>IF($B210="","",IF($A210=1,$C$7,IF(J209="",0,J209))+IF($H210="",0,$H210)-IF($I210="",0,$I210))</f>
        <v/>
      </c>
      <c r="K210" s="29">
        <f>IF($P210="","",IF(INDEX(EntryMan,$P210)=0,"",INDEX(EntryMan,$P210)))</f>
        <v/>
      </c>
      <c r="L210" s="28">
        <f>IF($B210="","",IF($K210="","—",IF(ROUND($K210-$J210,0)=0,"√","×")))</f>
        <v/>
      </c>
      <c r="M210" s="28">
        <f>IF($B210="","",IF(COUNTIFS(EntryDates,$B210,CalcTime,$C210,CalcBank,$C$5,EntryParty,$D210,EntryDep,$H210,EntryWit,$I210)&gt;1,"تکرار",""))</f>
        <v/>
      </c>
      <c r="N210" s="28">
        <f>IF($P210="","",IF(INDEX(EntryNotes,$P210)=0,"",INDEX(EntryNotes,$P210)))</f>
        <v/>
      </c>
      <c r="O210" s="28">
        <f>IF($P210="","",IF(INDEX(EntryTxnID,$P210)=0,"",INDEX(EntryTxnID,$P210)))</f>
        <v/>
      </c>
      <c r="P210" s="28">
        <f>IFERROR(MATCH($C$5&amp;"|"&amp;RIGHT("000000"&amp;194,6),CalcRankKey,0),"")</f>
        <v/>
      </c>
    </row>
    <row r="211">
      <c r="A211" s="26">
        <f>IF($B211="","",195)</f>
        <v/>
      </c>
      <c r="B211" s="26">
        <f>IF($P211="","",IF(INDEX(CalcNormDate,$P211)=0,"",INDEX(CalcNormDate,$P211)))</f>
        <v/>
      </c>
      <c r="C211" s="26">
        <f>IF($P211="","",IF(INDEX(CalcTime,$P211)=0,"",INDEX(CalcTime,$P211)))</f>
        <v/>
      </c>
      <c r="D211" s="26">
        <f>IF($P211="","",IF(INDEX(EntryParty,$P211)=0,"",INDEX(EntryParty,$P211)))</f>
        <v/>
      </c>
      <c r="E211" s="26">
        <f>IF($P211="","",IF(INDEX(EntryPartyName,$P211)=0,"",INDEX(EntryPartyName,$P211)))</f>
        <v/>
      </c>
      <c r="F211" s="26">
        <f>IF($P211="","",IF(INDEX(EntryPartyType,$P211)=0,"",INDEX(EntryPartyType,$P211)))</f>
        <v/>
      </c>
      <c r="G211" s="26">
        <f>IF($P211="","",IF(INDEX(EntryTxnType,$P211)=0,"",INDEX(EntryTxnType,$P211)))</f>
        <v/>
      </c>
      <c r="H211" s="27">
        <f>IF($P211="","",IF(INDEX(EntryDep,$P211)=0,"",INDEX(EntryDep,$P211)))</f>
        <v/>
      </c>
      <c r="I211" s="27">
        <f>IF($P211="","",IF(INDEX(EntryWit,$P211)=0,"",INDEX(EntryWit,$P211)))</f>
        <v/>
      </c>
      <c r="J211" s="27">
        <f>IF($B211="","",IF($A211=1,$C$7,IF(J210="",0,J210))+IF($H211="",0,$H211)-IF($I211="",0,$I211))</f>
        <v/>
      </c>
      <c r="K211" s="27">
        <f>IF($P211="","",IF(INDEX(EntryMan,$P211)=0,"",INDEX(EntryMan,$P211)))</f>
        <v/>
      </c>
      <c r="L211" s="26">
        <f>IF($B211="","",IF($K211="","—",IF(ROUND($K211-$J211,0)=0,"√","×")))</f>
        <v/>
      </c>
      <c r="M211" s="26">
        <f>IF($B211="","",IF(COUNTIFS(EntryDates,$B211,CalcTime,$C211,CalcBank,$C$5,EntryParty,$D211,EntryDep,$H211,EntryWit,$I211)&gt;1,"تکرار",""))</f>
        <v/>
      </c>
      <c r="N211" s="26">
        <f>IF($P211="","",IF(INDEX(EntryNotes,$P211)=0,"",INDEX(EntryNotes,$P211)))</f>
        <v/>
      </c>
      <c r="O211" s="26">
        <f>IF($P211="","",IF(INDEX(EntryTxnID,$P211)=0,"",INDEX(EntryTxnID,$P211)))</f>
        <v/>
      </c>
      <c r="P211" s="26">
        <f>IFERROR(MATCH($C$5&amp;"|"&amp;RIGHT("000000"&amp;195,6),CalcRankKey,0),"")</f>
        <v/>
      </c>
    </row>
    <row r="212">
      <c r="A212" s="28">
        <f>IF($B212="","",196)</f>
        <v/>
      </c>
      <c r="B212" s="28">
        <f>IF($P212="","",IF(INDEX(CalcNormDate,$P212)=0,"",INDEX(CalcNormDate,$P212)))</f>
        <v/>
      </c>
      <c r="C212" s="28">
        <f>IF($P212="","",IF(INDEX(CalcTime,$P212)=0,"",INDEX(CalcTime,$P212)))</f>
        <v/>
      </c>
      <c r="D212" s="28">
        <f>IF($P212="","",IF(INDEX(EntryParty,$P212)=0,"",INDEX(EntryParty,$P212)))</f>
        <v/>
      </c>
      <c r="E212" s="28">
        <f>IF($P212="","",IF(INDEX(EntryPartyName,$P212)=0,"",INDEX(EntryPartyName,$P212)))</f>
        <v/>
      </c>
      <c r="F212" s="28">
        <f>IF($P212="","",IF(INDEX(EntryPartyType,$P212)=0,"",INDEX(EntryPartyType,$P212)))</f>
        <v/>
      </c>
      <c r="G212" s="28">
        <f>IF($P212="","",IF(INDEX(EntryTxnType,$P212)=0,"",INDEX(EntryTxnType,$P212)))</f>
        <v/>
      </c>
      <c r="H212" s="29">
        <f>IF($P212="","",IF(INDEX(EntryDep,$P212)=0,"",INDEX(EntryDep,$P212)))</f>
        <v/>
      </c>
      <c r="I212" s="29">
        <f>IF($P212="","",IF(INDEX(EntryWit,$P212)=0,"",INDEX(EntryWit,$P212)))</f>
        <v/>
      </c>
      <c r="J212" s="29">
        <f>IF($B212="","",IF($A212=1,$C$7,IF(J211="",0,J211))+IF($H212="",0,$H212)-IF($I212="",0,$I212))</f>
        <v/>
      </c>
      <c r="K212" s="29">
        <f>IF($P212="","",IF(INDEX(EntryMan,$P212)=0,"",INDEX(EntryMan,$P212)))</f>
        <v/>
      </c>
      <c r="L212" s="28">
        <f>IF($B212="","",IF($K212="","—",IF(ROUND($K212-$J212,0)=0,"√","×")))</f>
        <v/>
      </c>
      <c r="M212" s="28">
        <f>IF($B212="","",IF(COUNTIFS(EntryDates,$B212,CalcTime,$C212,CalcBank,$C$5,EntryParty,$D212,EntryDep,$H212,EntryWit,$I212)&gt;1,"تکرار",""))</f>
        <v/>
      </c>
      <c r="N212" s="28">
        <f>IF($P212="","",IF(INDEX(EntryNotes,$P212)=0,"",INDEX(EntryNotes,$P212)))</f>
        <v/>
      </c>
      <c r="O212" s="28">
        <f>IF($P212="","",IF(INDEX(EntryTxnID,$P212)=0,"",INDEX(EntryTxnID,$P212)))</f>
        <v/>
      </c>
      <c r="P212" s="28">
        <f>IFERROR(MATCH($C$5&amp;"|"&amp;RIGHT("000000"&amp;196,6),CalcRankKey,0),"")</f>
        <v/>
      </c>
    </row>
    <row r="213">
      <c r="A213" s="26">
        <f>IF($B213="","",197)</f>
        <v/>
      </c>
      <c r="B213" s="26">
        <f>IF($P213="","",IF(INDEX(CalcNormDate,$P213)=0,"",INDEX(CalcNormDate,$P213)))</f>
        <v/>
      </c>
      <c r="C213" s="26">
        <f>IF($P213="","",IF(INDEX(CalcTime,$P213)=0,"",INDEX(CalcTime,$P213)))</f>
        <v/>
      </c>
      <c r="D213" s="26">
        <f>IF($P213="","",IF(INDEX(EntryParty,$P213)=0,"",INDEX(EntryParty,$P213)))</f>
        <v/>
      </c>
      <c r="E213" s="26">
        <f>IF($P213="","",IF(INDEX(EntryPartyName,$P213)=0,"",INDEX(EntryPartyName,$P213)))</f>
        <v/>
      </c>
      <c r="F213" s="26">
        <f>IF($P213="","",IF(INDEX(EntryPartyType,$P213)=0,"",INDEX(EntryPartyType,$P213)))</f>
        <v/>
      </c>
      <c r="G213" s="26">
        <f>IF($P213="","",IF(INDEX(EntryTxnType,$P213)=0,"",INDEX(EntryTxnType,$P213)))</f>
        <v/>
      </c>
      <c r="H213" s="27">
        <f>IF($P213="","",IF(INDEX(EntryDep,$P213)=0,"",INDEX(EntryDep,$P213)))</f>
        <v/>
      </c>
      <c r="I213" s="27">
        <f>IF($P213="","",IF(INDEX(EntryWit,$P213)=0,"",INDEX(EntryWit,$P213)))</f>
        <v/>
      </c>
      <c r="J213" s="27">
        <f>IF($B213="","",IF($A213=1,$C$7,IF(J212="",0,J212))+IF($H213="",0,$H213)-IF($I213="",0,$I213))</f>
        <v/>
      </c>
      <c r="K213" s="27">
        <f>IF($P213="","",IF(INDEX(EntryMan,$P213)=0,"",INDEX(EntryMan,$P213)))</f>
        <v/>
      </c>
      <c r="L213" s="26">
        <f>IF($B213="","",IF($K213="","—",IF(ROUND($K213-$J213,0)=0,"√","×")))</f>
        <v/>
      </c>
      <c r="M213" s="26">
        <f>IF($B213="","",IF(COUNTIFS(EntryDates,$B213,CalcTime,$C213,CalcBank,$C$5,EntryParty,$D213,EntryDep,$H213,EntryWit,$I213)&gt;1,"تکرار",""))</f>
        <v/>
      </c>
      <c r="N213" s="26">
        <f>IF($P213="","",IF(INDEX(EntryNotes,$P213)=0,"",INDEX(EntryNotes,$P213)))</f>
        <v/>
      </c>
      <c r="O213" s="26">
        <f>IF($P213="","",IF(INDEX(EntryTxnID,$P213)=0,"",INDEX(EntryTxnID,$P213)))</f>
        <v/>
      </c>
      <c r="P213" s="26">
        <f>IFERROR(MATCH($C$5&amp;"|"&amp;RIGHT("000000"&amp;197,6),CalcRankKey,0),"")</f>
        <v/>
      </c>
    </row>
    <row r="214">
      <c r="A214" s="28">
        <f>IF($B214="","",198)</f>
        <v/>
      </c>
      <c r="B214" s="28">
        <f>IF($P214="","",IF(INDEX(CalcNormDate,$P214)=0,"",INDEX(CalcNormDate,$P214)))</f>
        <v/>
      </c>
      <c r="C214" s="28">
        <f>IF($P214="","",IF(INDEX(CalcTime,$P214)=0,"",INDEX(CalcTime,$P214)))</f>
        <v/>
      </c>
      <c r="D214" s="28">
        <f>IF($P214="","",IF(INDEX(EntryParty,$P214)=0,"",INDEX(EntryParty,$P214)))</f>
        <v/>
      </c>
      <c r="E214" s="28">
        <f>IF($P214="","",IF(INDEX(EntryPartyName,$P214)=0,"",INDEX(EntryPartyName,$P214)))</f>
        <v/>
      </c>
      <c r="F214" s="28">
        <f>IF($P214="","",IF(INDEX(EntryPartyType,$P214)=0,"",INDEX(EntryPartyType,$P214)))</f>
        <v/>
      </c>
      <c r="G214" s="28">
        <f>IF($P214="","",IF(INDEX(EntryTxnType,$P214)=0,"",INDEX(EntryTxnType,$P214)))</f>
        <v/>
      </c>
      <c r="H214" s="29">
        <f>IF($P214="","",IF(INDEX(EntryDep,$P214)=0,"",INDEX(EntryDep,$P214)))</f>
        <v/>
      </c>
      <c r="I214" s="29">
        <f>IF($P214="","",IF(INDEX(EntryWit,$P214)=0,"",INDEX(EntryWit,$P214)))</f>
        <v/>
      </c>
      <c r="J214" s="29">
        <f>IF($B214="","",IF($A214=1,$C$7,IF(J213="",0,J213))+IF($H214="",0,$H214)-IF($I214="",0,$I214))</f>
        <v/>
      </c>
      <c r="K214" s="29">
        <f>IF($P214="","",IF(INDEX(EntryMan,$P214)=0,"",INDEX(EntryMan,$P214)))</f>
        <v/>
      </c>
      <c r="L214" s="28">
        <f>IF($B214="","",IF($K214="","—",IF(ROUND($K214-$J214,0)=0,"√","×")))</f>
        <v/>
      </c>
      <c r="M214" s="28">
        <f>IF($B214="","",IF(COUNTIFS(EntryDates,$B214,CalcTime,$C214,CalcBank,$C$5,EntryParty,$D214,EntryDep,$H214,EntryWit,$I214)&gt;1,"تکرار",""))</f>
        <v/>
      </c>
      <c r="N214" s="28">
        <f>IF($P214="","",IF(INDEX(EntryNotes,$P214)=0,"",INDEX(EntryNotes,$P214)))</f>
        <v/>
      </c>
      <c r="O214" s="28">
        <f>IF($P214="","",IF(INDEX(EntryTxnID,$P214)=0,"",INDEX(EntryTxnID,$P214)))</f>
        <v/>
      </c>
      <c r="P214" s="28">
        <f>IFERROR(MATCH($C$5&amp;"|"&amp;RIGHT("000000"&amp;198,6),CalcRankKey,0),"")</f>
        <v/>
      </c>
    </row>
    <row r="215">
      <c r="A215" s="26">
        <f>IF($B215="","",199)</f>
        <v/>
      </c>
      <c r="B215" s="26">
        <f>IF($P215="","",IF(INDEX(CalcNormDate,$P215)=0,"",INDEX(CalcNormDate,$P215)))</f>
        <v/>
      </c>
      <c r="C215" s="26">
        <f>IF($P215="","",IF(INDEX(CalcTime,$P215)=0,"",INDEX(CalcTime,$P215)))</f>
        <v/>
      </c>
      <c r="D215" s="26">
        <f>IF($P215="","",IF(INDEX(EntryParty,$P215)=0,"",INDEX(EntryParty,$P215)))</f>
        <v/>
      </c>
      <c r="E215" s="26">
        <f>IF($P215="","",IF(INDEX(EntryPartyName,$P215)=0,"",INDEX(EntryPartyName,$P215)))</f>
        <v/>
      </c>
      <c r="F215" s="26">
        <f>IF($P215="","",IF(INDEX(EntryPartyType,$P215)=0,"",INDEX(EntryPartyType,$P215)))</f>
        <v/>
      </c>
      <c r="G215" s="26">
        <f>IF($P215="","",IF(INDEX(EntryTxnType,$P215)=0,"",INDEX(EntryTxnType,$P215)))</f>
        <v/>
      </c>
      <c r="H215" s="27">
        <f>IF($P215="","",IF(INDEX(EntryDep,$P215)=0,"",INDEX(EntryDep,$P215)))</f>
        <v/>
      </c>
      <c r="I215" s="27">
        <f>IF($P215="","",IF(INDEX(EntryWit,$P215)=0,"",INDEX(EntryWit,$P215)))</f>
        <v/>
      </c>
      <c r="J215" s="27">
        <f>IF($B215="","",IF($A215=1,$C$7,IF(J214="",0,J214))+IF($H215="",0,$H215)-IF($I215="",0,$I215))</f>
        <v/>
      </c>
      <c r="K215" s="27">
        <f>IF($P215="","",IF(INDEX(EntryMan,$P215)=0,"",INDEX(EntryMan,$P215)))</f>
        <v/>
      </c>
      <c r="L215" s="26">
        <f>IF($B215="","",IF($K215="","—",IF(ROUND($K215-$J215,0)=0,"√","×")))</f>
        <v/>
      </c>
      <c r="M215" s="26">
        <f>IF($B215="","",IF(COUNTIFS(EntryDates,$B215,CalcTime,$C215,CalcBank,$C$5,EntryParty,$D215,EntryDep,$H215,EntryWit,$I215)&gt;1,"تکرار",""))</f>
        <v/>
      </c>
      <c r="N215" s="26">
        <f>IF($P215="","",IF(INDEX(EntryNotes,$P215)=0,"",INDEX(EntryNotes,$P215)))</f>
        <v/>
      </c>
      <c r="O215" s="26">
        <f>IF($P215="","",IF(INDEX(EntryTxnID,$P215)=0,"",INDEX(EntryTxnID,$P215)))</f>
        <v/>
      </c>
      <c r="P215" s="26">
        <f>IFERROR(MATCH($C$5&amp;"|"&amp;RIGHT("000000"&amp;199,6),CalcRankKey,0),"")</f>
        <v/>
      </c>
    </row>
    <row r="216">
      <c r="A216" s="28">
        <f>IF($B216="","",200)</f>
        <v/>
      </c>
      <c r="B216" s="28">
        <f>IF($P216="","",IF(INDEX(CalcNormDate,$P216)=0,"",INDEX(CalcNormDate,$P216)))</f>
        <v/>
      </c>
      <c r="C216" s="28">
        <f>IF($P216="","",IF(INDEX(CalcTime,$P216)=0,"",INDEX(CalcTime,$P216)))</f>
        <v/>
      </c>
      <c r="D216" s="28">
        <f>IF($P216="","",IF(INDEX(EntryParty,$P216)=0,"",INDEX(EntryParty,$P216)))</f>
        <v/>
      </c>
      <c r="E216" s="28">
        <f>IF($P216="","",IF(INDEX(EntryPartyName,$P216)=0,"",INDEX(EntryPartyName,$P216)))</f>
        <v/>
      </c>
      <c r="F216" s="28">
        <f>IF($P216="","",IF(INDEX(EntryPartyType,$P216)=0,"",INDEX(EntryPartyType,$P216)))</f>
        <v/>
      </c>
      <c r="G216" s="28">
        <f>IF($P216="","",IF(INDEX(EntryTxnType,$P216)=0,"",INDEX(EntryTxnType,$P216)))</f>
        <v/>
      </c>
      <c r="H216" s="29">
        <f>IF($P216="","",IF(INDEX(EntryDep,$P216)=0,"",INDEX(EntryDep,$P216)))</f>
        <v/>
      </c>
      <c r="I216" s="29">
        <f>IF($P216="","",IF(INDEX(EntryWit,$P216)=0,"",INDEX(EntryWit,$P216)))</f>
        <v/>
      </c>
      <c r="J216" s="29">
        <f>IF($B216="","",IF($A216=1,$C$7,IF(J215="",0,J215))+IF($H216="",0,$H216)-IF($I216="",0,$I216))</f>
        <v/>
      </c>
      <c r="K216" s="29">
        <f>IF($P216="","",IF(INDEX(EntryMan,$P216)=0,"",INDEX(EntryMan,$P216)))</f>
        <v/>
      </c>
      <c r="L216" s="28">
        <f>IF($B216="","",IF($K216="","—",IF(ROUND($K216-$J216,0)=0,"√","×")))</f>
        <v/>
      </c>
      <c r="M216" s="28">
        <f>IF($B216="","",IF(COUNTIFS(EntryDates,$B216,CalcTime,$C216,CalcBank,$C$5,EntryParty,$D216,EntryDep,$H216,EntryWit,$I216)&gt;1,"تکرار",""))</f>
        <v/>
      </c>
      <c r="N216" s="28">
        <f>IF($P216="","",IF(INDEX(EntryNotes,$P216)=0,"",INDEX(EntryNotes,$P216)))</f>
        <v/>
      </c>
      <c r="O216" s="28">
        <f>IF($P216="","",IF(INDEX(EntryTxnID,$P216)=0,"",INDEX(EntryTxnID,$P216)))</f>
        <v/>
      </c>
      <c r="P216" s="28">
        <f>IFERROR(MATCH($C$5&amp;"|"&amp;RIGHT("000000"&amp;200,6),CalcRankKey,0),"")</f>
        <v/>
      </c>
    </row>
    <row r="217">
      <c r="A217" s="26">
        <f>IF($B217="","",201)</f>
        <v/>
      </c>
      <c r="B217" s="26">
        <f>IF($P217="","",IF(INDEX(CalcNormDate,$P217)=0,"",INDEX(CalcNormDate,$P217)))</f>
        <v/>
      </c>
      <c r="C217" s="26">
        <f>IF($P217="","",IF(INDEX(CalcTime,$P217)=0,"",INDEX(CalcTime,$P217)))</f>
        <v/>
      </c>
      <c r="D217" s="26">
        <f>IF($P217="","",IF(INDEX(EntryParty,$P217)=0,"",INDEX(EntryParty,$P217)))</f>
        <v/>
      </c>
      <c r="E217" s="26">
        <f>IF($P217="","",IF(INDEX(EntryPartyName,$P217)=0,"",INDEX(EntryPartyName,$P217)))</f>
        <v/>
      </c>
      <c r="F217" s="26">
        <f>IF($P217="","",IF(INDEX(EntryPartyType,$P217)=0,"",INDEX(EntryPartyType,$P217)))</f>
        <v/>
      </c>
      <c r="G217" s="26">
        <f>IF($P217="","",IF(INDEX(EntryTxnType,$P217)=0,"",INDEX(EntryTxnType,$P217)))</f>
        <v/>
      </c>
      <c r="H217" s="27">
        <f>IF($P217="","",IF(INDEX(EntryDep,$P217)=0,"",INDEX(EntryDep,$P217)))</f>
        <v/>
      </c>
      <c r="I217" s="27">
        <f>IF($P217="","",IF(INDEX(EntryWit,$P217)=0,"",INDEX(EntryWit,$P217)))</f>
        <v/>
      </c>
      <c r="J217" s="27">
        <f>IF($B217="","",IF($A217=1,$C$7,IF(J216="",0,J216))+IF($H217="",0,$H217)-IF($I217="",0,$I217))</f>
        <v/>
      </c>
      <c r="K217" s="27">
        <f>IF($P217="","",IF(INDEX(EntryMan,$P217)=0,"",INDEX(EntryMan,$P217)))</f>
        <v/>
      </c>
      <c r="L217" s="26">
        <f>IF($B217="","",IF($K217="","—",IF(ROUND($K217-$J217,0)=0,"√","×")))</f>
        <v/>
      </c>
      <c r="M217" s="26">
        <f>IF($B217="","",IF(COUNTIFS(EntryDates,$B217,CalcTime,$C217,CalcBank,$C$5,EntryParty,$D217,EntryDep,$H217,EntryWit,$I217)&gt;1,"تکرار",""))</f>
        <v/>
      </c>
      <c r="N217" s="26">
        <f>IF($P217="","",IF(INDEX(EntryNotes,$P217)=0,"",INDEX(EntryNotes,$P217)))</f>
        <v/>
      </c>
      <c r="O217" s="26">
        <f>IF($P217="","",IF(INDEX(EntryTxnID,$P217)=0,"",INDEX(EntryTxnID,$P217)))</f>
        <v/>
      </c>
      <c r="P217" s="26">
        <f>IFERROR(MATCH($C$5&amp;"|"&amp;RIGHT("000000"&amp;201,6),CalcRankKey,0),"")</f>
        <v/>
      </c>
    </row>
    <row r="218">
      <c r="A218" s="28">
        <f>IF($B218="","",202)</f>
        <v/>
      </c>
      <c r="B218" s="28">
        <f>IF($P218="","",IF(INDEX(CalcNormDate,$P218)=0,"",INDEX(CalcNormDate,$P218)))</f>
        <v/>
      </c>
      <c r="C218" s="28">
        <f>IF($P218="","",IF(INDEX(CalcTime,$P218)=0,"",INDEX(CalcTime,$P218)))</f>
        <v/>
      </c>
      <c r="D218" s="28">
        <f>IF($P218="","",IF(INDEX(EntryParty,$P218)=0,"",INDEX(EntryParty,$P218)))</f>
        <v/>
      </c>
      <c r="E218" s="28">
        <f>IF($P218="","",IF(INDEX(EntryPartyName,$P218)=0,"",INDEX(EntryPartyName,$P218)))</f>
        <v/>
      </c>
      <c r="F218" s="28">
        <f>IF($P218="","",IF(INDEX(EntryPartyType,$P218)=0,"",INDEX(EntryPartyType,$P218)))</f>
        <v/>
      </c>
      <c r="G218" s="28">
        <f>IF($P218="","",IF(INDEX(EntryTxnType,$P218)=0,"",INDEX(EntryTxnType,$P218)))</f>
        <v/>
      </c>
      <c r="H218" s="29">
        <f>IF($P218="","",IF(INDEX(EntryDep,$P218)=0,"",INDEX(EntryDep,$P218)))</f>
        <v/>
      </c>
      <c r="I218" s="29">
        <f>IF($P218="","",IF(INDEX(EntryWit,$P218)=0,"",INDEX(EntryWit,$P218)))</f>
        <v/>
      </c>
      <c r="J218" s="29">
        <f>IF($B218="","",IF($A218=1,$C$7,IF(J217="",0,J217))+IF($H218="",0,$H218)-IF($I218="",0,$I218))</f>
        <v/>
      </c>
      <c r="K218" s="29">
        <f>IF($P218="","",IF(INDEX(EntryMan,$P218)=0,"",INDEX(EntryMan,$P218)))</f>
        <v/>
      </c>
      <c r="L218" s="28">
        <f>IF($B218="","",IF($K218="","—",IF(ROUND($K218-$J218,0)=0,"√","×")))</f>
        <v/>
      </c>
      <c r="M218" s="28">
        <f>IF($B218="","",IF(COUNTIFS(EntryDates,$B218,CalcTime,$C218,CalcBank,$C$5,EntryParty,$D218,EntryDep,$H218,EntryWit,$I218)&gt;1,"تکرار",""))</f>
        <v/>
      </c>
      <c r="N218" s="28">
        <f>IF($P218="","",IF(INDEX(EntryNotes,$P218)=0,"",INDEX(EntryNotes,$P218)))</f>
        <v/>
      </c>
      <c r="O218" s="28">
        <f>IF($P218="","",IF(INDEX(EntryTxnID,$P218)=0,"",INDEX(EntryTxnID,$P218)))</f>
        <v/>
      </c>
      <c r="P218" s="28">
        <f>IFERROR(MATCH($C$5&amp;"|"&amp;RIGHT("000000"&amp;202,6),CalcRankKey,0),"")</f>
        <v/>
      </c>
    </row>
    <row r="219">
      <c r="A219" s="26">
        <f>IF($B219="","",203)</f>
        <v/>
      </c>
      <c r="B219" s="26">
        <f>IF($P219="","",IF(INDEX(CalcNormDate,$P219)=0,"",INDEX(CalcNormDate,$P219)))</f>
        <v/>
      </c>
      <c r="C219" s="26">
        <f>IF($P219="","",IF(INDEX(CalcTime,$P219)=0,"",INDEX(CalcTime,$P219)))</f>
        <v/>
      </c>
      <c r="D219" s="26">
        <f>IF($P219="","",IF(INDEX(EntryParty,$P219)=0,"",INDEX(EntryParty,$P219)))</f>
        <v/>
      </c>
      <c r="E219" s="26">
        <f>IF($P219="","",IF(INDEX(EntryPartyName,$P219)=0,"",INDEX(EntryPartyName,$P219)))</f>
        <v/>
      </c>
      <c r="F219" s="26">
        <f>IF($P219="","",IF(INDEX(EntryPartyType,$P219)=0,"",INDEX(EntryPartyType,$P219)))</f>
        <v/>
      </c>
      <c r="G219" s="26">
        <f>IF($P219="","",IF(INDEX(EntryTxnType,$P219)=0,"",INDEX(EntryTxnType,$P219)))</f>
        <v/>
      </c>
      <c r="H219" s="27">
        <f>IF($P219="","",IF(INDEX(EntryDep,$P219)=0,"",INDEX(EntryDep,$P219)))</f>
        <v/>
      </c>
      <c r="I219" s="27">
        <f>IF($P219="","",IF(INDEX(EntryWit,$P219)=0,"",INDEX(EntryWit,$P219)))</f>
        <v/>
      </c>
      <c r="J219" s="27">
        <f>IF($B219="","",IF($A219=1,$C$7,IF(J218="",0,J218))+IF($H219="",0,$H219)-IF($I219="",0,$I219))</f>
        <v/>
      </c>
      <c r="K219" s="27">
        <f>IF($P219="","",IF(INDEX(EntryMan,$P219)=0,"",INDEX(EntryMan,$P219)))</f>
        <v/>
      </c>
      <c r="L219" s="26">
        <f>IF($B219="","",IF($K219="","—",IF(ROUND($K219-$J219,0)=0,"√","×")))</f>
        <v/>
      </c>
      <c r="M219" s="26">
        <f>IF($B219="","",IF(COUNTIFS(EntryDates,$B219,CalcTime,$C219,CalcBank,$C$5,EntryParty,$D219,EntryDep,$H219,EntryWit,$I219)&gt;1,"تکرار",""))</f>
        <v/>
      </c>
      <c r="N219" s="26">
        <f>IF($P219="","",IF(INDEX(EntryNotes,$P219)=0,"",INDEX(EntryNotes,$P219)))</f>
        <v/>
      </c>
      <c r="O219" s="26">
        <f>IF($P219="","",IF(INDEX(EntryTxnID,$P219)=0,"",INDEX(EntryTxnID,$P219)))</f>
        <v/>
      </c>
      <c r="P219" s="26">
        <f>IFERROR(MATCH($C$5&amp;"|"&amp;RIGHT("000000"&amp;203,6),CalcRankKey,0),"")</f>
        <v/>
      </c>
    </row>
    <row r="220">
      <c r="A220" s="28">
        <f>IF($B220="","",204)</f>
        <v/>
      </c>
      <c r="B220" s="28">
        <f>IF($P220="","",IF(INDEX(CalcNormDate,$P220)=0,"",INDEX(CalcNormDate,$P220)))</f>
        <v/>
      </c>
      <c r="C220" s="28">
        <f>IF($P220="","",IF(INDEX(CalcTime,$P220)=0,"",INDEX(CalcTime,$P220)))</f>
        <v/>
      </c>
      <c r="D220" s="28">
        <f>IF($P220="","",IF(INDEX(EntryParty,$P220)=0,"",INDEX(EntryParty,$P220)))</f>
        <v/>
      </c>
      <c r="E220" s="28">
        <f>IF($P220="","",IF(INDEX(EntryPartyName,$P220)=0,"",INDEX(EntryPartyName,$P220)))</f>
        <v/>
      </c>
      <c r="F220" s="28">
        <f>IF($P220="","",IF(INDEX(EntryPartyType,$P220)=0,"",INDEX(EntryPartyType,$P220)))</f>
        <v/>
      </c>
      <c r="G220" s="28">
        <f>IF($P220="","",IF(INDEX(EntryTxnType,$P220)=0,"",INDEX(EntryTxnType,$P220)))</f>
        <v/>
      </c>
      <c r="H220" s="29">
        <f>IF($P220="","",IF(INDEX(EntryDep,$P220)=0,"",INDEX(EntryDep,$P220)))</f>
        <v/>
      </c>
      <c r="I220" s="29">
        <f>IF($P220="","",IF(INDEX(EntryWit,$P220)=0,"",INDEX(EntryWit,$P220)))</f>
        <v/>
      </c>
      <c r="J220" s="29">
        <f>IF($B220="","",IF($A220=1,$C$7,IF(J219="",0,J219))+IF($H220="",0,$H220)-IF($I220="",0,$I220))</f>
        <v/>
      </c>
      <c r="K220" s="29">
        <f>IF($P220="","",IF(INDEX(EntryMan,$P220)=0,"",INDEX(EntryMan,$P220)))</f>
        <v/>
      </c>
      <c r="L220" s="28">
        <f>IF($B220="","",IF($K220="","—",IF(ROUND($K220-$J220,0)=0,"√","×")))</f>
        <v/>
      </c>
      <c r="M220" s="28">
        <f>IF($B220="","",IF(COUNTIFS(EntryDates,$B220,CalcTime,$C220,CalcBank,$C$5,EntryParty,$D220,EntryDep,$H220,EntryWit,$I220)&gt;1,"تکرار",""))</f>
        <v/>
      </c>
      <c r="N220" s="28">
        <f>IF($P220="","",IF(INDEX(EntryNotes,$P220)=0,"",INDEX(EntryNotes,$P220)))</f>
        <v/>
      </c>
      <c r="O220" s="28">
        <f>IF($P220="","",IF(INDEX(EntryTxnID,$P220)=0,"",INDEX(EntryTxnID,$P220)))</f>
        <v/>
      </c>
      <c r="P220" s="28">
        <f>IFERROR(MATCH($C$5&amp;"|"&amp;RIGHT("000000"&amp;204,6),CalcRankKey,0),"")</f>
        <v/>
      </c>
    </row>
    <row r="221">
      <c r="A221" s="26">
        <f>IF($B221="","",205)</f>
        <v/>
      </c>
      <c r="B221" s="26">
        <f>IF($P221="","",IF(INDEX(CalcNormDate,$P221)=0,"",INDEX(CalcNormDate,$P221)))</f>
        <v/>
      </c>
      <c r="C221" s="26">
        <f>IF($P221="","",IF(INDEX(CalcTime,$P221)=0,"",INDEX(CalcTime,$P221)))</f>
        <v/>
      </c>
      <c r="D221" s="26">
        <f>IF($P221="","",IF(INDEX(EntryParty,$P221)=0,"",INDEX(EntryParty,$P221)))</f>
        <v/>
      </c>
      <c r="E221" s="26">
        <f>IF($P221="","",IF(INDEX(EntryPartyName,$P221)=0,"",INDEX(EntryPartyName,$P221)))</f>
        <v/>
      </c>
      <c r="F221" s="26">
        <f>IF($P221="","",IF(INDEX(EntryPartyType,$P221)=0,"",INDEX(EntryPartyType,$P221)))</f>
        <v/>
      </c>
      <c r="G221" s="26">
        <f>IF($P221="","",IF(INDEX(EntryTxnType,$P221)=0,"",INDEX(EntryTxnType,$P221)))</f>
        <v/>
      </c>
      <c r="H221" s="27">
        <f>IF($P221="","",IF(INDEX(EntryDep,$P221)=0,"",INDEX(EntryDep,$P221)))</f>
        <v/>
      </c>
      <c r="I221" s="27">
        <f>IF($P221="","",IF(INDEX(EntryWit,$P221)=0,"",INDEX(EntryWit,$P221)))</f>
        <v/>
      </c>
      <c r="J221" s="27">
        <f>IF($B221="","",IF($A221=1,$C$7,IF(J220="",0,J220))+IF($H221="",0,$H221)-IF($I221="",0,$I221))</f>
        <v/>
      </c>
      <c r="K221" s="27">
        <f>IF($P221="","",IF(INDEX(EntryMan,$P221)=0,"",INDEX(EntryMan,$P221)))</f>
        <v/>
      </c>
      <c r="L221" s="26">
        <f>IF($B221="","",IF($K221="","—",IF(ROUND($K221-$J221,0)=0,"√","×")))</f>
        <v/>
      </c>
      <c r="M221" s="26">
        <f>IF($B221="","",IF(COUNTIFS(EntryDates,$B221,CalcTime,$C221,CalcBank,$C$5,EntryParty,$D221,EntryDep,$H221,EntryWit,$I221)&gt;1,"تکرار",""))</f>
        <v/>
      </c>
      <c r="N221" s="26">
        <f>IF($P221="","",IF(INDEX(EntryNotes,$P221)=0,"",INDEX(EntryNotes,$P221)))</f>
        <v/>
      </c>
      <c r="O221" s="26">
        <f>IF($P221="","",IF(INDEX(EntryTxnID,$P221)=0,"",INDEX(EntryTxnID,$P221)))</f>
        <v/>
      </c>
      <c r="P221" s="26">
        <f>IFERROR(MATCH($C$5&amp;"|"&amp;RIGHT("000000"&amp;205,6),CalcRankKey,0),"")</f>
        <v/>
      </c>
    </row>
    <row r="222">
      <c r="A222" s="28">
        <f>IF($B222="","",206)</f>
        <v/>
      </c>
      <c r="B222" s="28">
        <f>IF($P222="","",IF(INDEX(CalcNormDate,$P222)=0,"",INDEX(CalcNormDate,$P222)))</f>
        <v/>
      </c>
      <c r="C222" s="28">
        <f>IF($P222="","",IF(INDEX(CalcTime,$P222)=0,"",INDEX(CalcTime,$P222)))</f>
        <v/>
      </c>
      <c r="D222" s="28">
        <f>IF($P222="","",IF(INDEX(EntryParty,$P222)=0,"",INDEX(EntryParty,$P222)))</f>
        <v/>
      </c>
      <c r="E222" s="28">
        <f>IF($P222="","",IF(INDEX(EntryPartyName,$P222)=0,"",INDEX(EntryPartyName,$P222)))</f>
        <v/>
      </c>
      <c r="F222" s="28">
        <f>IF($P222="","",IF(INDEX(EntryPartyType,$P222)=0,"",INDEX(EntryPartyType,$P222)))</f>
        <v/>
      </c>
      <c r="G222" s="28">
        <f>IF($P222="","",IF(INDEX(EntryTxnType,$P222)=0,"",INDEX(EntryTxnType,$P222)))</f>
        <v/>
      </c>
      <c r="H222" s="29">
        <f>IF($P222="","",IF(INDEX(EntryDep,$P222)=0,"",INDEX(EntryDep,$P222)))</f>
        <v/>
      </c>
      <c r="I222" s="29">
        <f>IF($P222="","",IF(INDEX(EntryWit,$P222)=0,"",INDEX(EntryWit,$P222)))</f>
        <v/>
      </c>
      <c r="J222" s="29">
        <f>IF($B222="","",IF($A222=1,$C$7,IF(J221="",0,J221))+IF($H222="",0,$H222)-IF($I222="",0,$I222))</f>
        <v/>
      </c>
      <c r="K222" s="29">
        <f>IF($P222="","",IF(INDEX(EntryMan,$P222)=0,"",INDEX(EntryMan,$P222)))</f>
        <v/>
      </c>
      <c r="L222" s="28">
        <f>IF($B222="","",IF($K222="","—",IF(ROUND($K222-$J222,0)=0,"√","×")))</f>
        <v/>
      </c>
      <c r="M222" s="28">
        <f>IF($B222="","",IF(COUNTIFS(EntryDates,$B222,CalcTime,$C222,CalcBank,$C$5,EntryParty,$D222,EntryDep,$H222,EntryWit,$I222)&gt;1,"تکرار",""))</f>
        <v/>
      </c>
      <c r="N222" s="28">
        <f>IF($P222="","",IF(INDEX(EntryNotes,$P222)=0,"",INDEX(EntryNotes,$P222)))</f>
        <v/>
      </c>
      <c r="O222" s="28">
        <f>IF($P222="","",IF(INDEX(EntryTxnID,$P222)=0,"",INDEX(EntryTxnID,$P222)))</f>
        <v/>
      </c>
      <c r="P222" s="28">
        <f>IFERROR(MATCH($C$5&amp;"|"&amp;RIGHT("000000"&amp;206,6),CalcRankKey,0),"")</f>
        <v/>
      </c>
    </row>
    <row r="223">
      <c r="A223" s="26">
        <f>IF($B223="","",207)</f>
        <v/>
      </c>
      <c r="B223" s="26">
        <f>IF($P223="","",IF(INDEX(CalcNormDate,$P223)=0,"",INDEX(CalcNormDate,$P223)))</f>
        <v/>
      </c>
      <c r="C223" s="26">
        <f>IF($P223="","",IF(INDEX(CalcTime,$P223)=0,"",INDEX(CalcTime,$P223)))</f>
        <v/>
      </c>
      <c r="D223" s="26">
        <f>IF($P223="","",IF(INDEX(EntryParty,$P223)=0,"",INDEX(EntryParty,$P223)))</f>
        <v/>
      </c>
      <c r="E223" s="26">
        <f>IF($P223="","",IF(INDEX(EntryPartyName,$P223)=0,"",INDEX(EntryPartyName,$P223)))</f>
        <v/>
      </c>
      <c r="F223" s="26">
        <f>IF($P223="","",IF(INDEX(EntryPartyType,$P223)=0,"",INDEX(EntryPartyType,$P223)))</f>
        <v/>
      </c>
      <c r="G223" s="26">
        <f>IF($P223="","",IF(INDEX(EntryTxnType,$P223)=0,"",INDEX(EntryTxnType,$P223)))</f>
        <v/>
      </c>
      <c r="H223" s="27">
        <f>IF($P223="","",IF(INDEX(EntryDep,$P223)=0,"",INDEX(EntryDep,$P223)))</f>
        <v/>
      </c>
      <c r="I223" s="27">
        <f>IF($P223="","",IF(INDEX(EntryWit,$P223)=0,"",INDEX(EntryWit,$P223)))</f>
        <v/>
      </c>
      <c r="J223" s="27">
        <f>IF($B223="","",IF($A223=1,$C$7,IF(J222="",0,J222))+IF($H223="",0,$H223)-IF($I223="",0,$I223))</f>
        <v/>
      </c>
      <c r="K223" s="27">
        <f>IF($P223="","",IF(INDEX(EntryMan,$P223)=0,"",INDEX(EntryMan,$P223)))</f>
        <v/>
      </c>
      <c r="L223" s="26">
        <f>IF($B223="","",IF($K223="","—",IF(ROUND($K223-$J223,0)=0,"√","×")))</f>
        <v/>
      </c>
      <c r="M223" s="26">
        <f>IF($B223="","",IF(COUNTIFS(EntryDates,$B223,CalcTime,$C223,CalcBank,$C$5,EntryParty,$D223,EntryDep,$H223,EntryWit,$I223)&gt;1,"تکرار",""))</f>
        <v/>
      </c>
      <c r="N223" s="26">
        <f>IF($P223="","",IF(INDEX(EntryNotes,$P223)=0,"",INDEX(EntryNotes,$P223)))</f>
        <v/>
      </c>
      <c r="O223" s="26">
        <f>IF($P223="","",IF(INDEX(EntryTxnID,$P223)=0,"",INDEX(EntryTxnID,$P223)))</f>
        <v/>
      </c>
      <c r="P223" s="26">
        <f>IFERROR(MATCH($C$5&amp;"|"&amp;RIGHT("000000"&amp;207,6),CalcRankKey,0),"")</f>
        <v/>
      </c>
    </row>
    <row r="224">
      <c r="A224" s="28">
        <f>IF($B224="","",208)</f>
        <v/>
      </c>
      <c r="B224" s="28">
        <f>IF($P224="","",IF(INDEX(CalcNormDate,$P224)=0,"",INDEX(CalcNormDate,$P224)))</f>
        <v/>
      </c>
      <c r="C224" s="28">
        <f>IF($P224="","",IF(INDEX(CalcTime,$P224)=0,"",INDEX(CalcTime,$P224)))</f>
        <v/>
      </c>
      <c r="D224" s="28">
        <f>IF($P224="","",IF(INDEX(EntryParty,$P224)=0,"",INDEX(EntryParty,$P224)))</f>
        <v/>
      </c>
      <c r="E224" s="28">
        <f>IF($P224="","",IF(INDEX(EntryPartyName,$P224)=0,"",INDEX(EntryPartyName,$P224)))</f>
        <v/>
      </c>
      <c r="F224" s="28">
        <f>IF($P224="","",IF(INDEX(EntryPartyType,$P224)=0,"",INDEX(EntryPartyType,$P224)))</f>
        <v/>
      </c>
      <c r="G224" s="28">
        <f>IF($P224="","",IF(INDEX(EntryTxnType,$P224)=0,"",INDEX(EntryTxnType,$P224)))</f>
        <v/>
      </c>
      <c r="H224" s="29">
        <f>IF($P224="","",IF(INDEX(EntryDep,$P224)=0,"",INDEX(EntryDep,$P224)))</f>
        <v/>
      </c>
      <c r="I224" s="29">
        <f>IF($P224="","",IF(INDEX(EntryWit,$P224)=0,"",INDEX(EntryWit,$P224)))</f>
        <v/>
      </c>
      <c r="J224" s="29">
        <f>IF($B224="","",IF($A224=1,$C$7,IF(J223="",0,J223))+IF($H224="",0,$H224)-IF($I224="",0,$I224))</f>
        <v/>
      </c>
      <c r="K224" s="29">
        <f>IF($P224="","",IF(INDEX(EntryMan,$P224)=0,"",INDEX(EntryMan,$P224)))</f>
        <v/>
      </c>
      <c r="L224" s="28">
        <f>IF($B224="","",IF($K224="","—",IF(ROUND($K224-$J224,0)=0,"√","×")))</f>
        <v/>
      </c>
      <c r="M224" s="28">
        <f>IF($B224="","",IF(COUNTIFS(EntryDates,$B224,CalcTime,$C224,CalcBank,$C$5,EntryParty,$D224,EntryDep,$H224,EntryWit,$I224)&gt;1,"تکرار",""))</f>
        <v/>
      </c>
      <c r="N224" s="28">
        <f>IF($P224="","",IF(INDEX(EntryNotes,$P224)=0,"",INDEX(EntryNotes,$P224)))</f>
        <v/>
      </c>
      <c r="O224" s="28">
        <f>IF($P224="","",IF(INDEX(EntryTxnID,$P224)=0,"",INDEX(EntryTxnID,$P224)))</f>
        <v/>
      </c>
      <c r="P224" s="28">
        <f>IFERROR(MATCH($C$5&amp;"|"&amp;RIGHT("000000"&amp;208,6),CalcRankKey,0),"")</f>
        <v/>
      </c>
    </row>
    <row r="225">
      <c r="A225" s="26">
        <f>IF($B225="","",209)</f>
        <v/>
      </c>
      <c r="B225" s="26">
        <f>IF($P225="","",IF(INDEX(CalcNormDate,$P225)=0,"",INDEX(CalcNormDate,$P225)))</f>
        <v/>
      </c>
      <c r="C225" s="26">
        <f>IF($P225="","",IF(INDEX(CalcTime,$P225)=0,"",INDEX(CalcTime,$P225)))</f>
        <v/>
      </c>
      <c r="D225" s="26">
        <f>IF($P225="","",IF(INDEX(EntryParty,$P225)=0,"",INDEX(EntryParty,$P225)))</f>
        <v/>
      </c>
      <c r="E225" s="26">
        <f>IF($P225="","",IF(INDEX(EntryPartyName,$P225)=0,"",INDEX(EntryPartyName,$P225)))</f>
        <v/>
      </c>
      <c r="F225" s="26">
        <f>IF($P225="","",IF(INDEX(EntryPartyType,$P225)=0,"",INDEX(EntryPartyType,$P225)))</f>
        <v/>
      </c>
      <c r="G225" s="26">
        <f>IF($P225="","",IF(INDEX(EntryTxnType,$P225)=0,"",INDEX(EntryTxnType,$P225)))</f>
        <v/>
      </c>
      <c r="H225" s="27">
        <f>IF($P225="","",IF(INDEX(EntryDep,$P225)=0,"",INDEX(EntryDep,$P225)))</f>
        <v/>
      </c>
      <c r="I225" s="27">
        <f>IF($P225="","",IF(INDEX(EntryWit,$P225)=0,"",INDEX(EntryWit,$P225)))</f>
        <v/>
      </c>
      <c r="J225" s="27">
        <f>IF($B225="","",IF($A225=1,$C$7,IF(J224="",0,J224))+IF($H225="",0,$H225)-IF($I225="",0,$I225))</f>
        <v/>
      </c>
      <c r="K225" s="27">
        <f>IF($P225="","",IF(INDEX(EntryMan,$P225)=0,"",INDEX(EntryMan,$P225)))</f>
        <v/>
      </c>
      <c r="L225" s="26">
        <f>IF($B225="","",IF($K225="","—",IF(ROUND($K225-$J225,0)=0,"√","×")))</f>
        <v/>
      </c>
      <c r="M225" s="26">
        <f>IF($B225="","",IF(COUNTIFS(EntryDates,$B225,CalcTime,$C225,CalcBank,$C$5,EntryParty,$D225,EntryDep,$H225,EntryWit,$I225)&gt;1,"تکرار",""))</f>
        <v/>
      </c>
      <c r="N225" s="26">
        <f>IF($P225="","",IF(INDEX(EntryNotes,$P225)=0,"",INDEX(EntryNotes,$P225)))</f>
        <v/>
      </c>
      <c r="O225" s="26">
        <f>IF($P225="","",IF(INDEX(EntryTxnID,$P225)=0,"",INDEX(EntryTxnID,$P225)))</f>
        <v/>
      </c>
      <c r="P225" s="26">
        <f>IFERROR(MATCH($C$5&amp;"|"&amp;RIGHT("000000"&amp;209,6),CalcRankKey,0),"")</f>
        <v/>
      </c>
    </row>
    <row r="226">
      <c r="A226" s="28">
        <f>IF($B226="","",210)</f>
        <v/>
      </c>
      <c r="B226" s="28">
        <f>IF($P226="","",IF(INDEX(CalcNormDate,$P226)=0,"",INDEX(CalcNormDate,$P226)))</f>
        <v/>
      </c>
      <c r="C226" s="28">
        <f>IF($P226="","",IF(INDEX(CalcTime,$P226)=0,"",INDEX(CalcTime,$P226)))</f>
        <v/>
      </c>
      <c r="D226" s="28">
        <f>IF($P226="","",IF(INDEX(EntryParty,$P226)=0,"",INDEX(EntryParty,$P226)))</f>
        <v/>
      </c>
      <c r="E226" s="28">
        <f>IF($P226="","",IF(INDEX(EntryPartyName,$P226)=0,"",INDEX(EntryPartyName,$P226)))</f>
        <v/>
      </c>
      <c r="F226" s="28">
        <f>IF($P226="","",IF(INDEX(EntryPartyType,$P226)=0,"",INDEX(EntryPartyType,$P226)))</f>
        <v/>
      </c>
      <c r="G226" s="28">
        <f>IF($P226="","",IF(INDEX(EntryTxnType,$P226)=0,"",INDEX(EntryTxnType,$P226)))</f>
        <v/>
      </c>
      <c r="H226" s="29">
        <f>IF($P226="","",IF(INDEX(EntryDep,$P226)=0,"",INDEX(EntryDep,$P226)))</f>
        <v/>
      </c>
      <c r="I226" s="29">
        <f>IF($P226="","",IF(INDEX(EntryWit,$P226)=0,"",INDEX(EntryWit,$P226)))</f>
        <v/>
      </c>
      <c r="J226" s="29">
        <f>IF($B226="","",IF($A226=1,$C$7,IF(J225="",0,J225))+IF($H226="",0,$H226)-IF($I226="",0,$I226))</f>
        <v/>
      </c>
      <c r="K226" s="29">
        <f>IF($P226="","",IF(INDEX(EntryMan,$P226)=0,"",INDEX(EntryMan,$P226)))</f>
        <v/>
      </c>
      <c r="L226" s="28">
        <f>IF($B226="","",IF($K226="","—",IF(ROUND($K226-$J226,0)=0,"√","×")))</f>
        <v/>
      </c>
      <c r="M226" s="28">
        <f>IF($B226="","",IF(COUNTIFS(EntryDates,$B226,CalcTime,$C226,CalcBank,$C$5,EntryParty,$D226,EntryDep,$H226,EntryWit,$I226)&gt;1,"تکرار",""))</f>
        <v/>
      </c>
      <c r="N226" s="28">
        <f>IF($P226="","",IF(INDEX(EntryNotes,$P226)=0,"",INDEX(EntryNotes,$P226)))</f>
        <v/>
      </c>
      <c r="O226" s="28">
        <f>IF($P226="","",IF(INDEX(EntryTxnID,$P226)=0,"",INDEX(EntryTxnID,$P226)))</f>
        <v/>
      </c>
      <c r="P226" s="28">
        <f>IFERROR(MATCH($C$5&amp;"|"&amp;RIGHT("000000"&amp;210,6),CalcRankKey,0),"")</f>
        <v/>
      </c>
    </row>
    <row r="227">
      <c r="A227" s="26">
        <f>IF($B227="","",211)</f>
        <v/>
      </c>
      <c r="B227" s="26">
        <f>IF($P227="","",IF(INDEX(CalcNormDate,$P227)=0,"",INDEX(CalcNormDate,$P227)))</f>
        <v/>
      </c>
      <c r="C227" s="26">
        <f>IF($P227="","",IF(INDEX(CalcTime,$P227)=0,"",INDEX(CalcTime,$P227)))</f>
        <v/>
      </c>
      <c r="D227" s="26">
        <f>IF($P227="","",IF(INDEX(EntryParty,$P227)=0,"",INDEX(EntryParty,$P227)))</f>
        <v/>
      </c>
      <c r="E227" s="26">
        <f>IF($P227="","",IF(INDEX(EntryPartyName,$P227)=0,"",INDEX(EntryPartyName,$P227)))</f>
        <v/>
      </c>
      <c r="F227" s="26">
        <f>IF($P227="","",IF(INDEX(EntryPartyType,$P227)=0,"",INDEX(EntryPartyType,$P227)))</f>
        <v/>
      </c>
      <c r="G227" s="26">
        <f>IF($P227="","",IF(INDEX(EntryTxnType,$P227)=0,"",INDEX(EntryTxnType,$P227)))</f>
        <v/>
      </c>
      <c r="H227" s="27">
        <f>IF($P227="","",IF(INDEX(EntryDep,$P227)=0,"",INDEX(EntryDep,$P227)))</f>
        <v/>
      </c>
      <c r="I227" s="27">
        <f>IF($P227="","",IF(INDEX(EntryWit,$P227)=0,"",INDEX(EntryWit,$P227)))</f>
        <v/>
      </c>
      <c r="J227" s="27">
        <f>IF($B227="","",IF($A227=1,$C$7,IF(J226="",0,J226))+IF($H227="",0,$H227)-IF($I227="",0,$I227))</f>
        <v/>
      </c>
      <c r="K227" s="27">
        <f>IF($P227="","",IF(INDEX(EntryMan,$P227)=0,"",INDEX(EntryMan,$P227)))</f>
        <v/>
      </c>
      <c r="L227" s="26">
        <f>IF($B227="","",IF($K227="","—",IF(ROUND($K227-$J227,0)=0,"√","×")))</f>
        <v/>
      </c>
      <c r="M227" s="26">
        <f>IF($B227="","",IF(COUNTIFS(EntryDates,$B227,CalcTime,$C227,CalcBank,$C$5,EntryParty,$D227,EntryDep,$H227,EntryWit,$I227)&gt;1,"تکرار",""))</f>
        <v/>
      </c>
      <c r="N227" s="26">
        <f>IF($P227="","",IF(INDEX(EntryNotes,$P227)=0,"",INDEX(EntryNotes,$P227)))</f>
        <v/>
      </c>
      <c r="O227" s="26">
        <f>IF($P227="","",IF(INDEX(EntryTxnID,$P227)=0,"",INDEX(EntryTxnID,$P227)))</f>
        <v/>
      </c>
      <c r="P227" s="26">
        <f>IFERROR(MATCH($C$5&amp;"|"&amp;RIGHT("000000"&amp;211,6),CalcRankKey,0),"")</f>
        <v/>
      </c>
    </row>
    <row r="228">
      <c r="A228" s="28">
        <f>IF($B228="","",212)</f>
        <v/>
      </c>
      <c r="B228" s="28">
        <f>IF($P228="","",IF(INDEX(CalcNormDate,$P228)=0,"",INDEX(CalcNormDate,$P228)))</f>
        <v/>
      </c>
      <c r="C228" s="28">
        <f>IF($P228="","",IF(INDEX(CalcTime,$P228)=0,"",INDEX(CalcTime,$P228)))</f>
        <v/>
      </c>
      <c r="D228" s="28">
        <f>IF($P228="","",IF(INDEX(EntryParty,$P228)=0,"",INDEX(EntryParty,$P228)))</f>
        <v/>
      </c>
      <c r="E228" s="28">
        <f>IF($P228="","",IF(INDEX(EntryPartyName,$P228)=0,"",INDEX(EntryPartyName,$P228)))</f>
        <v/>
      </c>
      <c r="F228" s="28">
        <f>IF($P228="","",IF(INDEX(EntryPartyType,$P228)=0,"",INDEX(EntryPartyType,$P228)))</f>
        <v/>
      </c>
      <c r="G228" s="28">
        <f>IF($P228="","",IF(INDEX(EntryTxnType,$P228)=0,"",INDEX(EntryTxnType,$P228)))</f>
        <v/>
      </c>
      <c r="H228" s="29">
        <f>IF($P228="","",IF(INDEX(EntryDep,$P228)=0,"",INDEX(EntryDep,$P228)))</f>
        <v/>
      </c>
      <c r="I228" s="29">
        <f>IF($P228="","",IF(INDEX(EntryWit,$P228)=0,"",INDEX(EntryWit,$P228)))</f>
        <v/>
      </c>
      <c r="J228" s="29">
        <f>IF($B228="","",IF($A228=1,$C$7,IF(J227="",0,J227))+IF($H228="",0,$H228)-IF($I228="",0,$I228))</f>
        <v/>
      </c>
      <c r="K228" s="29">
        <f>IF($P228="","",IF(INDEX(EntryMan,$P228)=0,"",INDEX(EntryMan,$P228)))</f>
        <v/>
      </c>
      <c r="L228" s="28">
        <f>IF($B228="","",IF($K228="","—",IF(ROUND($K228-$J228,0)=0,"√","×")))</f>
        <v/>
      </c>
      <c r="M228" s="28">
        <f>IF($B228="","",IF(COUNTIFS(EntryDates,$B228,CalcTime,$C228,CalcBank,$C$5,EntryParty,$D228,EntryDep,$H228,EntryWit,$I228)&gt;1,"تکرار",""))</f>
        <v/>
      </c>
      <c r="N228" s="28">
        <f>IF($P228="","",IF(INDEX(EntryNotes,$P228)=0,"",INDEX(EntryNotes,$P228)))</f>
        <v/>
      </c>
      <c r="O228" s="28">
        <f>IF($P228="","",IF(INDEX(EntryTxnID,$P228)=0,"",INDEX(EntryTxnID,$P228)))</f>
        <v/>
      </c>
      <c r="P228" s="28">
        <f>IFERROR(MATCH($C$5&amp;"|"&amp;RIGHT("000000"&amp;212,6),CalcRankKey,0),"")</f>
        <v/>
      </c>
    </row>
    <row r="229">
      <c r="A229" s="26">
        <f>IF($B229="","",213)</f>
        <v/>
      </c>
      <c r="B229" s="26">
        <f>IF($P229="","",IF(INDEX(CalcNormDate,$P229)=0,"",INDEX(CalcNormDate,$P229)))</f>
        <v/>
      </c>
      <c r="C229" s="26">
        <f>IF($P229="","",IF(INDEX(CalcTime,$P229)=0,"",INDEX(CalcTime,$P229)))</f>
        <v/>
      </c>
      <c r="D229" s="26">
        <f>IF($P229="","",IF(INDEX(EntryParty,$P229)=0,"",INDEX(EntryParty,$P229)))</f>
        <v/>
      </c>
      <c r="E229" s="26">
        <f>IF($P229="","",IF(INDEX(EntryPartyName,$P229)=0,"",INDEX(EntryPartyName,$P229)))</f>
        <v/>
      </c>
      <c r="F229" s="26">
        <f>IF($P229="","",IF(INDEX(EntryPartyType,$P229)=0,"",INDEX(EntryPartyType,$P229)))</f>
        <v/>
      </c>
      <c r="G229" s="26">
        <f>IF($P229="","",IF(INDEX(EntryTxnType,$P229)=0,"",INDEX(EntryTxnType,$P229)))</f>
        <v/>
      </c>
      <c r="H229" s="27">
        <f>IF($P229="","",IF(INDEX(EntryDep,$P229)=0,"",INDEX(EntryDep,$P229)))</f>
        <v/>
      </c>
      <c r="I229" s="27">
        <f>IF($P229="","",IF(INDEX(EntryWit,$P229)=0,"",INDEX(EntryWit,$P229)))</f>
        <v/>
      </c>
      <c r="J229" s="27">
        <f>IF($B229="","",IF($A229=1,$C$7,IF(J228="",0,J228))+IF($H229="",0,$H229)-IF($I229="",0,$I229))</f>
        <v/>
      </c>
      <c r="K229" s="27">
        <f>IF($P229="","",IF(INDEX(EntryMan,$P229)=0,"",INDEX(EntryMan,$P229)))</f>
        <v/>
      </c>
      <c r="L229" s="26">
        <f>IF($B229="","",IF($K229="","—",IF(ROUND($K229-$J229,0)=0,"√","×")))</f>
        <v/>
      </c>
      <c r="M229" s="26">
        <f>IF($B229="","",IF(COUNTIFS(EntryDates,$B229,CalcTime,$C229,CalcBank,$C$5,EntryParty,$D229,EntryDep,$H229,EntryWit,$I229)&gt;1,"تکرار",""))</f>
        <v/>
      </c>
      <c r="N229" s="26">
        <f>IF($P229="","",IF(INDEX(EntryNotes,$P229)=0,"",INDEX(EntryNotes,$P229)))</f>
        <v/>
      </c>
      <c r="O229" s="26">
        <f>IF($P229="","",IF(INDEX(EntryTxnID,$P229)=0,"",INDEX(EntryTxnID,$P229)))</f>
        <v/>
      </c>
      <c r="P229" s="26">
        <f>IFERROR(MATCH($C$5&amp;"|"&amp;RIGHT("000000"&amp;213,6),CalcRankKey,0),"")</f>
        <v/>
      </c>
    </row>
    <row r="230">
      <c r="A230" s="28">
        <f>IF($B230="","",214)</f>
        <v/>
      </c>
      <c r="B230" s="28">
        <f>IF($P230="","",IF(INDEX(CalcNormDate,$P230)=0,"",INDEX(CalcNormDate,$P230)))</f>
        <v/>
      </c>
      <c r="C230" s="28">
        <f>IF($P230="","",IF(INDEX(CalcTime,$P230)=0,"",INDEX(CalcTime,$P230)))</f>
        <v/>
      </c>
      <c r="D230" s="28">
        <f>IF($P230="","",IF(INDEX(EntryParty,$P230)=0,"",INDEX(EntryParty,$P230)))</f>
        <v/>
      </c>
      <c r="E230" s="28">
        <f>IF($P230="","",IF(INDEX(EntryPartyName,$P230)=0,"",INDEX(EntryPartyName,$P230)))</f>
        <v/>
      </c>
      <c r="F230" s="28">
        <f>IF($P230="","",IF(INDEX(EntryPartyType,$P230)=0,"",INDEX(EntryPartyType,$P230)))</f>
        <v/>
      </c>
      <c r="G230" s="28">
        <f>IF($P230="","",IF(INDEX(EntryTxnType,$P230)=0,"",INDEX(EntryTxnType,$P230)))</f>
        <v/>
      </c>
      <c r="H230" s="29">
        <f>IF($P230="","",IF(INDEX(EntryDep,$P230)=0,"",INDEX(EntryDep,$P230)))</f>
        <v/>
      </c>
      <c r="I230" s="29">
        <f>IF($P230="","",IF(INDEX(EntryWit,$P230)=0,"",INDEX(EntryWit,$P230)))</f>
        <v/>
      </c>
      <c r="J230" s="29">
        <f>IF($B230="","",IF($A230=1,$C$7,IF(J229="",0,J229))+IF($H230="",0,$H230)-IF($I230="",0,$I230))</f>
        <v/>
      </c>
      <c r="K230" s="29">
        <f>IF($P230="","",IF(INDEX(EntryMan,$P230)=0,"",INDEX(EntryMan,$P230)))</f>
        <v/>
      </c>
      <c r="L230" s="28">
        <f>IF($B230="","",IF($K230="","—",IF(ROUND($K230-$J230,0)=0,"√","×")))</f>
        <v/>
      </c>
      <c r="M230" s="28">
        <f>IF($B230="","",IF(COUNTIFS(EntryDates,$B230,CalcTime,$C230,CalcBank,$C$5,EntryParty,$D230,EntryDep,$H230,EntryWit,$I230)&gt;1,"تکرار",""))</f>
        <v/>
      </c>
      <c r="N230" s="28">
        <f>IF($P230="","",IF(INDEX(EntryNotes,$P230)=0,"",INDEX(EntryNotes,$P230)))</f>
        <v/>
      </c>
      <c r="O230" s="28">
        <f>IF($P230="","",IF(INDEX(EntryTxnID,$P230)=0,"",INDEX(EntryTxnID,$P230)))</f>
        <v/>
      </c>
      <c r="P230" s="28">
        <f>IFERROR(MATCH($C$5&amp;"|"&amp;RIGHT("000000"&amp;214,6),CalcRankKey,0),"")</f>
        <v/>
      </c>
    </row>
    <row r="231">
      <c r="A231" s="26">
        <f>IF($B231="","",215)</f>
        <v/>
      </c>
      <c r="B231" s="26">
        <f>IF($P231="","",IF(INDEX(CalcNormDate,$P231)=0,"",INDEX(CalcNormDate,$P231)))</f>
        <v/>
      </c>
      <c r="C231" s="26">
        <f>IF($P231="","",IF(INDEX(CalcTime,$P231)=0,"",INDEX(CalcTime,$P231)))</f>
        <v/>
      </c>
      <c r="D231" s="26">
        <f>IF($P231="","",IF(INDEX(EntryParty,$P231)=0,"",INDEX(EntryParty,$P231)))</f>
        <v/>
      </c>
      <c r="E231" s="26">
        <f>IF($P231="","",IF(INDEX(EntryPartyName,$P231)=0,"",INDEX(EntryPartyName,$P231)))</f>
        <v/>
      </c>
      <c r="F231" s="26">
        <f>IF($P231="","",IF(INDEX(EntryPartyType,$P231)=0,"",INDEX(EntryPartyType,$P231)))</f>
        <v/>
      </c>
      <c r="G231" s="26">
        <f>IF($P231="","",IF(INDEX(EntryTxnType,$P231)=0,"",INDEX(EntryTxnType,$P231)))</f>
        <v/>
      </c>
      <c r="H231" s="27">
        <f>IF($P231="","",IF(INDEX(EntryDep,$P231)=0,"",INDEX(EntryDep,$P231)))</f>
        <v/>
      </c>
      <c r="I231" s="27">
        <f>IF($P231="","",IF(INDEX(EntryWit,$P231)=0,"",INDEX(EntryWit,$P231)))</f>
        <v/>
      </c>
      <c r="J231" s="27">
        <f>IF($B231="","",IF($A231=1,$C$7,IF(J230="",0,J230))+IF($H231="",0,$H231)-IF($I231="",0,$I231))</f>
        <v/>
      </c>
      <c r="K231" s="27">
        <f>IF($P231="","",IF(INDEX(EntryMan,$P231)=0,"",INDEX(EntryMan,$P231)))</f>
        <v/>
      </c>
      <c r="L231" s="26">
        <f>IF($B231="","",IF($K231="","—",IF(ROUND($K231-$J231,0)=0,"√","×")))</f>
        <v/>
      </c>
      <c r="M231" s="26">
        <f>IF($B231="","",IF(COUNTIFS(EntryDates,$B231,CalcTime,$C231,CalcBank,$C$5,EntryParty,$D231,EntryDep,$H231,EntryWit,$I231)&gt;1,"تکرار",""))</f>
        <v/>
      </c>
      <c r="N231" s="26">
        <f>IF($P231="","",IF(INDEX(EntryNotes,$P231)=0,"",INDEX(EntryNotes,$P231)))</f>
        <v/>
      </c>
      <c r="O231" s="26">
        <f>IF($P231="","",IF(INDEX(EntryTxnID,$P231)=0,"",INDEX(EntryTxnID,$P231)))</f>
        <v/>
      </c>
      <c r="P231" s="26">
        <f>IFERROR(MATCH($C$5&amp;"|"&amp;RIGHT("000000"&amp;215,6),CalcRankKey,0),"")</f>
        <v/>
      </c>
    </row>
    <row r="232">
      <c r="A232" s="28">
        <f>IF($B232="","",216)</f>
        <v/>
      </c>
      <c r="B232" s="28">
        <f>IF($P232="","",IF(INDEX(CalcNormDate,$P232)=0,"",INDEX(CalcNormDate,$P232)))</f>
        <v/>
      </c>
      <c r="C232" s="28">
        <f>IF($P232="","",IF(INDEX(CalcTime,$P232)=0,"",INDEX(CalcTime,$P232)))</f>
        <v/>
      </c>
      <c r="D232" s="28">
        <f>IF($P232="","",IF(INDEX(EntryParty,$P232)=0,"",INDEX(EntryParty,$P232)))</f>
        <v/>
      </c>
      <c r="E232" s="28">
        <f>IF($P232="","",IF(INDEX(EntryPartyName,$P232)=0,"",INDEX(EntryPartyName,$P232)))</f>
        <v/>
      </c>
      <c r="F232" s="28">
        <f>IF($P232="","",IF(INDEX(EntryPartyType,$P232)=0,"",INDEX(EntryPartyType,$P232)))</f>
        <v/>
      </c>
      <c r="G232" s="28">
        <f>IF($P232="","",IF(INDEX(EntryTxnType,$P232)=0,"",INDEX(EntryTxnType,$P232)))</f>
        <v/>
      </c>
      <c r="H232" s="29">
        <f>IF($P232="","",IF(INDEX(EntryDep,$P232)=0,"",INDEX(EntryDep,$P232)))</f>
        <v/>
      </c>
      <c r="I232" s="29">
        <f>IF($P232="","",IF(INDEX(EntryWit,$P232)=0,"",INDEX(EntryWit,$P232)))</f>
        <v/>
      </c>
      <c r="J232" s="29">
        <f>IF($B232="","",IF($A232=1,$C$7,IF(J231="",0,J231))+IF($H232="",0,$H232)-IF($I232="",0,$I232))</f>
        <v/>
      </c>
      <c r="K232" s="29">
        <f>IF($P232="","",IF(INDEX(EntryMan,$P232)=0,"",INDEX(EntryMan,$P232)))</f>
        <v/>
      </c>
      <c r="L232" s="28">
        <f>IF($B232="","",IF($K232="","—",IF(ROUND($K232-$J232,0)=0,"√","×")))</f>
        <v/>
      </c>
      <c r="M232" s="28">
        <f>IF($B232="","",IF(COUNTIFS(EntryDates,$B232,CalcTime,$C232,CalcBank,$C$5,EntryParty,$D232,EntryDep,$H232,EntryWit,$I232)&gt;1,"تکرار",""))</f>
        <v/>
      </c>
      <c r="N232" s="28">
        <f>IF($P232="","",IF(INDEX(EntryNotes,$P232)=0,"",INDEX(EntryNotes,$P232)))</f>
        <v/>
      </c>
      <c r="O232" s="28">
        <f>IF($P232="","",IF(INDEX(EntryTxnID,$P232)=0,"",INDEX(EntryTxnID,$P232)))</f>
        <v/>
      </c>
      <c r="P232" s="28">
        <f>IFERROR(MATCH($C$5&amp;"|"&amp;RIGHT("000000"&amp;216,6),CalcRankKey,0),"")</f>
        <v/>
      </c>
    </row>
    <row r="233">
      <c r="A233" s="26">
        <f>IF($B233="","",217)</f>
        <v/>
      </c>
      <c r="B233" s="26">
        <f>IF($P233="","",IF(INDEX(CalcNormDate,$P233)=0,"",INDEX(CalcNormDate,$P233)))</f>
        <v/>
      </c>
      <c r="C233" s="26">
        <f>IF($P233="","",IF(INDEX(CalcTime,$P233)=0,"",INDEX(CalcTime,$P233)))</f>
        <v/>
      </c>
      <c r="D233" s="26">
        <f>IF($P233="","",IF(INDEX(EntryParty,$P233)=0,"",INDEX(EntryParty,$P233)))</f>
        <v/>
      </c>
      <c r="E233" s="26">
        <f>IF($P233="","",IF(INDEX(EntryPartyName,$P233)=0,"",INDEX(EntryPartyName,$P233)))</f>
        <v/>
      </c>
      <c r="F233" s="26">
        <f>IF($P233="","",IF(INDEX(EntryPartyType,$P233)=0,"",INDEX(EntryPartyType,$P233)))</f>
        <v/>
      </c>
      <c r="G233" s="26">
        <f>IF($P233="","",IF(INDEX(EntryTxnType,$P233)=0,"",INDEX(EntryTxnType,$P233)))</f>
        <v/>
      </c>
      <c r="H233" s="27">
        <f>IF($P233="","",IF(INDEX(EntryDep,$P233)=0,"",INDEX(EntryDep,$P233)))</f>
        <v/>
      </c>
      <c r="I233" s="27">
        <f>IF($P233="","",IF(INDEX(EntryWit,$P233)=0,"",INDEX(EntryWit,$P233)))</f>
        <v/>
      </c>
      <c r="J233" s="27">
        <f>IF($B233="","",IF($A233=1,$C$7,IF(J232="",0,J232))+IF($H233="",0,$H233)-IF($I233="",0,$I233))</f>
        <v/>
      </c>
      <c r="K233" s="27">
        <f>IF($P233="","",IF(INDEX(EntryMan,$P233)=0,"",INDEX(EntryMan,$P233)))</f>
        <v/>
      </c>
      <c r="L233" s="26">
        <f>IF($B233="","",IF($K233="","—",IF(ROUND($K233-$J233,0)=0,"√","×")))</f>
        <v/>
      </c>
      <c r="M233" s="26">
        <f>IF($B233="","",IF(COUNTIFS(EntryDates,$B233,CalcTime,$C233,CalcBank,$C$5,EntryParty,$D233,EntryDep,$H233,EntryWit,$I233)&gt;1,"تکرار",""))</f>
        <v/>
      </c>
      <c r="N233" s="26">
        <f>IF($P233="","",IF(INDEX(EntryNotes,$P233)=0,"",INDEX(EntryNotes,$P233)))</f>
        <v/>
      </c>
      <c r="O233" s="26">
        <f>IF($P233="","",IF(INDEX(EntryTxnID,$P233)=0,"",INDEX(EntryTxnID,$P233)))</f>
        <v/>
      </c>
      <c r="P233" s="26">
        <f>IFERROR(MATCH($C$5&amp;"|"&amp;RIGHT("000000"&amp;217,6),CalcRankKey,0),"")</f>
        <v/>
      </c>
    </row>
    <row r="234">
      <c r="A234" s="28">
        <f>IF($B234="","",218)</f>
        <v/>
      </c>
      <c r="B234" s="28">
        <f>IF($P234="","",IF(INDEX(CalcNormDate,$P234)=0,"",INDEX(CalcNormDate,$P234)))</f>
        <v/>
      </c>
      <c r="C234" s="28">
        <f>IF($P234="","",IF(INDEX(CalcTime,$P234)=0,"",INDEX(CalcTime,$P234)))</f>
        <v/>
      </c>
      <c r="D234" s="28">
        <f>IF($P234="","",IF(INDEX(EntryParty,$P234)=0,"",INDEX(EntryParty,$P234)))</f>
        <v/>
      </c>
      <c r="E234" s="28">
        <f>IF($P234="","",IF(INDEX(EntryPartyName,$P234)=0,"",INDEX(EntryPartyName,$P234)))</f>
        <v/>
      </c>
      <c r="F234" s="28">
        <f>IF($P234="","",IF(INDEX(EntryPartyType,$P234)=0,"",INDEX(EntryPartyType,$P234)))</f>
        <v/>
      </c>
      <c r="G234" s="28">
        <f>IF($P234="","",IF(INDEX(EntryTxnType,$P234)=0,"",INDEX(EntryTxnType,$P234)))</f>
        <v/>
      </c>
      <c r="H234" s="29">
        <f>IF($P234="","",IF(INDEX(EntryDep,$P234)=0,"",INDEX(EntryDep,$P234)))</f>
        <v/>
      </c>
      <c r="I234" s="29">
        <f>IF($P234="","",IF(INDEX(EntryWit,$P234)=0,"",INDEX(EntryWit,$P234)))</f>
        <v/>
      </c>
      <c r="J234" s="29">
        <f>IF($B234="","",IF($A234=1,$C$7,IF(J233="",0,J233))+IF($H234="",0,$H234)-IF($I234="",0,$I234))</f>
        <v/>
      </c>
      <c r="K234" s="29">
        <f>IF($P234="","",IF(INDEX(EntryMan,$P234)=0,"",INDEX(EntryMan,$P234)))</f>
        <v/>
      </c>
      <c r="L234" s="28">
        <f>IF($B234="","",IF($K234="","—",IF(ROUND($K234-$J234,0)=0,"√","×")))</f>
        <v/>
      </c>
      <c r="M234" s="28">
        <f>IF($B234="","",IF(COUNTIFS(EntryDates,$B234,CalcTime,$C234,CalcBank,$C$5,EntryParty,$D234,EntryDep,$H234,EntryWit,$I234)&gt;1,"تکرار",""))</f>
        <v/>
      </c>
      <c r="N234" s="28">
        <f>IF($P234="","",IF(INDEX(EntryNotes,$P234)=0,"",INDEX(EntryNotes,$P234)))</f>
        <v/>
      </c>
      <c r="O234" s="28">
        <f>IF($P234="","",IF(INDEX(EntryTxnID,$P234)=0,"",INDEX(EntryTxnID,$P234)))</f>
        <v/>
      </c>
      <c r="P234" s="28">
        <f>IFERROR(MATCH($C$5&amp;"|"&amp;RIGHT("000000"&amp;218,6),CalcRankKey,0),"")</f>
        <v/>
      </c>
    </row>
    <row r="235">
      <c r="A235" s="26">
        <f>IF($B235="","",219)</f>
        <v/>
      </c>
      <c r="B235" s="26">
        <f>IF($P235="","",IF(INDEX(CalcNormDate,$P235)=0,"",INDEX(CalcNormDate,$P235)))</f>
        <v/>
      </c>
      <c r="C235" s="26">
        <f>IF($P235="","",IF(INDEX(CalcTime,$P235)=0,"",INDEX(CalcTime,$P235)))</f>
        <v/>
      </c>
      <c r="D235" s="26">
        <f>IF($P235="","",IF(INDEX(EntryParty,$P235)=0,"",INDEX(EntryParty,$P235)))</f>
        <v/>
      </c>
      <c r="E235" s="26">
        <f>IF($P235="","",IF(INDEX(EntryPartyName,$P235)=0,"",INDEX(EntryPartyName,$P235)))</f>
        <v/>
      </c>
      <c r="F235" s="26">
        <f>IF($P235="","",IF(INDEX(EntryPartyType,$P235)=0,"",INDEX(EntryPartyType,$P235)))</f>
        <v/>
      </c>
      <c r="G235" s="26">
        <f>IF($P235="","",IF(INDEX(EntryTxnType,$P235)=0,"",INDEX(EntryTxnType,$P235)))</f>
        <v/>
      </c>
      <c r="H235" s="27">
        <f>IF($P235="","",IF(INDEX(EntryDep,$P235)=0,"",INDEX(EntryDep,$P235)))</f>
        <v/>
      </c>
      <c r="I235" s="27">
        <f>IF($P235="","",IF(INDEX(EntryWit,$P235)=0,"",INDEX(EntryWit,$P235)))</f>
        <v/>
      </c>
      <c r="J235" s="27">
        <f>IF($B235="","",IF($A235=1,$C$7,IF(J234="",0,J234))+IF($H235="",0,$H235)-IF($I235="",0,$I235))</f>
        <v/>
      </c>
      <c r="K235" s="27">
        <f>IF($P235="","",IF(INDEX(EntryMan,$P235)=0,"",INDEX(EntryMan,$P235)))</f>
        <v/>
      </c>
      <c r="L235" s="26">
        <f>IF($B235="","",IF($K235="","—",IF(ROUND($K235-$J235,0)=0,"√","×")))</f>
        <v/>
      </c>
      <c r="M235" s="26">
        <f>IF($B235="","",IF(COUNTIFS(EntryDates,$B235,CalcTime,$C235,CalcBank,$C$5,EntryParty,$D235,EntryDep,$H235,EntryWit,$I235)&gt;1,"تکرار",""))</f>
        <v/>
      </c>
      <c r="N235" s="26">
        <f>IF($P235="","",IF(INDEX(EntryNotes,$P235)=0,"",INDEX(EntryNotes,$P235)))</f>
        <v/>
      </c>
      <c r="O235" s="26">
        <f>IF($P235="","",IF(INDEX(EntryTxnID,$P235)=0,"",INDEX(EntryTxnID,$P235)))</f>
        <v/>
      </c>
      <c r="P235" s="26">
        <f>IFERROR(MATCH($C$5&amp;"|"&amp;RIGHT("000000"&amp;219,6),CalcRankKey,0),"")</f>
        <v/>
      </c>
    </row>
    <row r="236">
      <c r="A236" s="28">
        <f>IF($B236="","",220)</f>
        <v/>
      </c>
      <c r="B236" s="28">
        <f>IF($P236="","",IF(INDEX(CalcNormDate,$P236)=0,"",INDEX(CalcNormDate,$P236)))</f>
        <v/>
      </c>
      <c r="C236" s="28">
        <f>IF($P236="","",IF(INDEX(CalcTime,$P236)=0,"",INDEX(CalcTime,$P236)))</f>
        <v/>
      </c>
      <c r="D236" s="28">
        <f>IF($P236="","",IF(INDEX(EntryParty,$P236)=0,"",INDEX(EntryParty,$P236)))</f>
        <v/>
      </c>
      <c r="E236" s="28">
        <f>IF($P236="","",IF(INDEX(EntryPartyName,$P236)=0,"",INDEX(EntryPartyName,$P236)))</f>
        <v/>
      </c>
      <c r="F236" s="28">
        <f>IF($P236="","",IF(INDEX(EntryPartyType,$P236)=0,"",INDEX(EntryPartyType,$P236)))</f>
        <v/>
      </c>
      <c r="G236" s="28">
        <f>IF($P236="","",IF(INDEX(EntryTxnType,$P236)=0,"",INDEX(EntryTxnType,$P236)))</f>
        <v/>
      </c>
      <c r="H236" s="29">
        <f>IF($P236="","",IF(INDEX(EntryDep,$P236)=0,"",INDEX(EntryDep,$P236)))</f>
        <v/>
      </c>
      <c r="I236" s="29">
        <f>IF($P236="","",IF(INDEX(EntryWit,$P236)=0,"",INDEX(EntryWit,$P236)))</f>
        <v/>
      </c>
      <c r="J236" s="29">
        <f>IF($B236="","",IF($A236=1,$C$7,IF(J235="",0,J235))+IF($H236="",0,$H236)-IF($I236="",0,$I236))</f>
        <v/>
      </c>
      <c r="K236" s="29">
        <f>IF($P236="","",IF(INDEX(EntryMan,$P236)=0,"",INDEX(EntryMan,$P236)))</f>
        <v/>
      </c>
      <c r="L236" s="28">
        <f>IF($B236="","",IF($K236="","—",IF(ROUND($K236-$J236,0)=0,"√","×")))</f>
        <v/>
      </c>
      <c r="M236" s="28">
        <f>IF($B236="","",IF(COUNTIFS(EntryDates,$B236,CalcTime,$C236,CalcBank,$C$5,EntryParty,$D236,EntryDep,$H236,EntryWit,$I236)&gt;1,"تکرار",""))</f>
        <v/>
      </c>
      <c r="N236" s="28">
        <f>IF($P236="","",IF(INDEX(EntryNotes,$P236)=0,"",INDEX(EntryNotes,$P236)))</f>
        <v/>
      </c>
      <c r="O236" s="28">
        <f>IF($P236="","",IF(INDEX(EntryTxnID,$P236)=0,"",INDEX(EntryTxnID,$P236)))</f>
        <v/>
      </c>
      <c r="P236" s="28">
        <f>IFERROR(MATCH($C$5&amp;"|"&amp;RIGHT("000000"&amp;220,6),CalcRankKey,0),"")</f>
        <v/>
      </c>
    </row>
    <row r="237">
      <c r="A237" s="26">
        <f>IF($B237="","",221)</f>
        <v/>
      </c>
      <c r="B237" s="26">
        <f>IF($P237="","",IF(INDEX(CalcNormDate,$P237)=0,"",INDEX(CalcNormDate,$P237)))</f>
        <v/>
      </c>
      <c r="C237" s="26">
        <f>IF($P237="","",IF(INDEX(CalcTime,$P237)=0,"",INDEX(CalcTime,$P237)))</f>
        <v/>
      </c>
      <c r="D237" s="26">
        <f>IF($P237="","",IF(INDEX(EntryParty,$P237)=0,"",INDEX(EntryParty,$P237)))</f>
        <v/>
      </c>
      <c r="E237" s="26">
        <f>IF($P237="","",IF(INDEX(EntryPartyName,$P237)=0,"",INDEX(EntryPartyName,$P237)))</f>
        <v/>
      </c>
      <c r="F237" s="26">
        <f>IF($P237="","",IF(INDEX(EntryPartyType,$P237)=0,"",INDEX(EntryPartyType,$P237)))</f>
        <v/>
      </c>
      <c r="G237" s="26">
        <f>IF($P237="","",IF(INDEX(EntryTxnType,$P237)=0,"",INDEX(EntryTxnType,$P237)))</f>
        <v/>
      </c>
      <c r="H237" s="27">
        <f>IF($P237="","",IF(INDEX(EntryDep,$P237)=0,"",INDEX(EntryDep,$P237)))</f>
        <v/>
      </c>
      <c r="I237" s="27">
        <f>IF($P237="","",IF(INDEX(EntryWit,$P237)=0,"",INDEX(EntryWit,$P237)))</f>
        <v/>
      </c>
      <c r="J237" s="27">
        <f>IF($B237="","",IF($A237=1,$C$7,IF(J236="",0,J236))+IF($H237="",0,$H237)-IF($I237="",0,$I237))</f>
        <v/>
      </c>
      <c r="K237" s="27">
        <f>IF($P237="","",IF(INDEX(EntryMan,$P237)=0,"",INDEX(EntryMan,$P237)))</f>
        <v/>
      </c>
      <c r="L237" s="26">
        <f>IF($B237="","",IF($K237="","—",IF(ROUND($K237-$J237,0)=0,"√","×")))</f>
        <v/>
      </c>
      <c r="M237" s="26">
        <f>IF($B237="","",IF(COUNTIFS(EntryDates,$B237,CalcTime,$C237,CalcBank,$C$5,EntryParty,$D237,EntryDep,$H237,EntryWit,$I237)&gt;1,"تکرار",""))</f>
        <v/>
      </c>
      <c r="N237" s="26">
        <f>IF($P237="","",IF(INDEX(EntryNotes,$P237)=0,"",INDEX(EntryNotes,$P237)))</f>
        <v/>
      </c>
      <c r="O237" s="26">
        <f>IF($P237="","",IF(INDEX(EntryTxnID,$P237)=0,"",INDEX(EntryTxnID,$P237)))</f>
        <v/>
      </c>
      <c r="P237" s="26">
        <f>IFERROR(MATCH($C$5&amp;"|"&amp;RIGHT("000000"&amp;221,6),CalcRankKey,0),"")</f>
        <v/>
      </c>
    </row>
    <row r="238">
      <c r="A238" s="28">
        <f>IF($B238="","",222)</f>
        <v/>
      </c>
      <c r="B238" s="28">
        <f>IF($P238="","",IF(INDEX(CalcNormDate,$P238)=0,"",INDEX(CalcNormDate,$P238)))</f>
        <v/>
      </c>
      <c r="C238" s="28">
        <f>IF($P238="","",IF(INDEX(CalcTime,$P238)=0,"",INDEX(CalcTime,$P238)))</f>
        <v/>
      </c>
      <c r="D238" s="28">
        <f>IF($P238="","",IF(INDEX(EntryParty,$P238)=0,"",INDEX(EntryParty,$P238)))</f>
        <v/>
      </c>
      <c r="E238" s="28">
        <f>IF($P238="","",IF(INDEX(EntryPartyName,$P238)=0,"",INDEX(EntryPartyName,$P238)))</f>
        <v/>
      </c>
      <c r="F238" s="28">
        <f>IF($P238="","",IF(INDEX(EntryPartyType,$P238)=0,"",INDEX(EntryPartyType,$P238)))</f>
        <v/>
      </c>
      <c r="G238" s="28">
        <f>IF($P238="","",IF(INDEX(EntryTxnType,$P238)=0,"",INDEX(EntryTxnType,$P238)))</f>
        <v/>
      </c>
      <c r="H238" s="29">
        <f>IF($P238="","",IF(INDEX(EntryDep,$P238)=0,"",INDEX(EntryDep,$P238)))</f>
        <v/>
      </c>
      <c r="I238" s="29">
        <f>IF($P238="","",IF(INDEX(EntryWit,$P238)=0,"",INDEX(EntryWit,$P238)))</f>
        <v/>
      </c>
      <c r="J238" s="29">
        <f>IF($B238="","",IF($A238=1,$C$7,IF(J237="",0,J237))+IF($H238="",0,$H238)-IF($I238="",0,$I238))</f>
        <v/>
      </c>
      <c r="K238" s="29">
        <f>IF($P238="","",IF(INDEX(EntryMan,$P238)=0,"",INDEX(EntryMan,$P238)))</f>
        <v/>
      </c>
      <c r="L238" s="28">
        <f>IF($B238="","",IF($K238="","—",IF(ROUND($K238-$J238,0)=0,"√","×")))</f>
        <v/>
      </c>
      <c r="M238" s="28">
        <f>IF($B238="","",IF(COUNTIFS(EntryDates,$B238,CalcTime,$C238,CalcBank,$C$5,EntryParty,$D238,EntryDep,$H238,EntryWit,$I238)&gt;1,"تکرار",""))</f>
        <v/>
      </c>
      <c r="N238" s="28">
        <f>IF($P238="","",IF(INDEX(EntryNotes,$P238)=0,"",INDEX(EntryNotes,$P238)))</f>
        <v/>
      </c>
      <c r="O238" s="28">
        <f>IF($P238="","",IF(INDEX(EntryTxnID,$P238)=0,"",INDEX(EntryTxnID,$P238)))</f>
        <v/>
      </c>
      <c r="P238" s="28">
        <f>IFERROR(MATCH($C$5&amp;"|"&amp;RIGHT("000000"&amp;222,6),CalcRankKey,0),"")</f>
        <v/>
      </c>
    </row>
    <row r="239">
      <c r="A239" s="26">
        <f>IF($B239="","",223)</f>
        <v/>
      </c>
      <c r="B239" s="26">
        <f>IF($P239="","",IF(INDEX(CalcNormDate,$P239)=0,"",INDEX(CalcNormDate,$P239)))</f>
        <v/>
      </c>
      <c r="C239" s="26">
        <f>IF($P239="","",IF(INDEX(CalcTime,$P239)=0,"",INDEX(CalcTime,$P239)))</f>
        <v/>
      </c>
      <c r="D239" s="26">
        <f>IF($P239="","",IF(INDEX(EntryParty,$P239)=0,"",INDEX(EntryParty,$P239)))</f>
        <v/>
      </c>
      <c r="E239" s="26">
        <f>IF($P239="","",IF(INDEX(EntryPartyName,$P239)=0,"",INDEX(EntryPartyName,$P239)))</f>
        <v/>
      </c>
      <c r="F239" s="26">
        <f>IF($P239="","",IF(INDEX(EntryPartyType,$P239)=0,"",INDEX(EntryPartyType,$P239)))</f>
        <v/>
      </c>
      <c r="G239" s="26">
        <f>IF($P239="","",IF(INDEX(EntryTxnType,$P239)=0,"",INDEX(EntryTxnType,$P239)))</f>
        <v/>
      </c>
      <c r="H239" s="27">
        <f>IF($P239="","",IF(INDEX(EntryDep,$P239)=0,"",INDEX(EntryDep,$P239)))</f>
        <v/>
      </c>
      <c r="I239" s="27">
        <f>IF($P239="","",IF(INDEX(EntryWit,$P239)=0,"",INDEX(EntryWit,$P239)))</f>
        <v/>
      </c>
      <c r="J239" s="27">
        <f>IF($B239="","",IF($A239=1,$C$7,IF(J238="",0,J238))+IF($H239="",0,$H239)-IF($I239="",0,$I239))</f>
        <v/>
      </c>
      <c r="K239" s="27">
        <f>IF($P239="","",IF(INDEX(EntryMan,$P239)=0,"",INDEX(EntryMan,$P239)))</f>
        <v/>
      </c>
      <c r="L239" s="26">
        <f>IF($B239="","",IF($K239="","—",IF(ROUND($K239-$J239,0)=0,"√","×")))</f>
        <v/>
      </c>
      <c r="M239" s="26">
        <f>IF($B239="","",IF(COUNTIFS(EntryDates,$B239,CalcTime,$C239,CalcBank,$C$5,EntryParty,$D239,EntryDep,$H239,EntryWit,$I239)&gt;1,"تکرار",""))</f>
        <v/>
      </c>
      <c r="N239" s="26">
        <f>IF($P239="","",IF(INDEX(EntryNotes,$P239)=0,"",INDEX(EntryNotes,$P239)))</f>
        <v/>
      </c>
      <c r="O239" s="26">
        <f>IF($P239="","",IF(INDEX(EntryTxnID,$P239)=0,"",INDEX(EntryTxnID,$P239)))</f>
        <v/>
      </c>
      <c r="P239" s="26">
        <f>IFERROR(MATCH($C$5&amp;"|"&amp;RIGHT("000000"&amp;223,6),CalcRankKey,0),"")</f>
        <v/>
      </c>
    </row>
    <row r="240">
      <c r="A240" s="28">
        <f>IF($B240="","",224)</f>
        <v/>
      </c>
      <c r="B240" s="28">
        <f>IF($P240="","",IF(INDEX(CalcNormDate,$P240)=0,"",INDEX(CalcNormDate,$P240)))</f>
        <v/>
      </c>
      <c r="C240" s="28">
        <f>IF($P240="","",IF(INDEX(CalcTime,$P240)=0,"",INDEX(CalcTime,$P240)))</f>
        <v/>
      </c>
      <c r="D240" s="28">
        <f>IF($P240="","",IF(INDEX(EntryParty,$P240)=0,"",INDEX(EntryParty,$P240)))</f>
        <v/>
      </c>
      <c r="E240" s="28">
        <f>IF($P240="","",IF(INDEX(EntryPartyName,$P240)=0,"",INDEX(EntryPartyName,$P240)))</f>
        <v/>
      </c>
      <c r="F240" s="28">
        <f>IF($P240="","",IF(INDEX(EntryPartyType,$P240)=0,"",INDEX(EntryPartyType,$P240)))</f>
        <v/>
      </c>
      <c r="G240" s="28">
        <f>IF($P240="","",IF(INDEX(EntryTxnType,$P240)=0,"",INDEX(EntryTxnType,$P240)))</f>
        <v/>
      </c>
      <c r="H240" s="29">
        <f>IF($P240="","",IF(INDEX(EntryDep,$P240)=0,"",INDEX(EntryDep,$P240)))</f>
        <v/>
      </c>
      <c r="I240" s="29">
        <f>IF($P240="","",IF(INDEX(EntryWit,$P240)=0,"",INDEX(EntryWit,$P240)))</f>
        <v/>
      </c>
      <c r="J240" s="29">
        <f>IF($B240="","",IF($A240=1,$C$7,IF(J239="",0,J239))+IF($H240="",0,$H240)-IF($I240="",0,$I240))</f>
        <v/>
      </c>
      <c r="K240" s="29">
        <f>IF($P240="","",IF(INDEX(EntryMan,$P240)=0,"",INDEX(EntryMan,$P240)))</f>
        <v/>
      </c>
      <c r="L240" s="28">
        <f>IF($B240="","",IF($K240="","—",IF(ROUND($K240-$J240,0)=0,"√","×")))</f>
        <v/>
      </c>
      <c r="M240" s="28">
        <f>IF($B240="","",IF(COUNTIFS(EntryDates,$B240,CalcTime,$C240,CalcBank,$C$5,EntryParty,$D240,EntryDep,$H240,EntryWit,$I240)&gt;1,"تکرار",""))</f>
        <v/>
      </c>
      <c r="N240" s="28">
        <f>IF($P240="","",IF(INDEX(EntryNotes,$P240)=0,"",INDEX(EntryNotes,$P240)))</f>
        <v/>
      </c>
      <c r="O240" s="28">
        <f>IF($P240="","",IF(INDEX(EntryTxnID,$P240)=0,"",INDEX(EntryTxnID,$P240)))</f>
        <v/>
      </c>
      <c r="P240" s="28">
        <f>IFERROR(MATCH($C$5&amp;"|"&amp;RIGHT("000000"&amp;224,6),CalcRankKey,0),"")</f>
        <v/>
      </c>
    </row>
    <row r="241">
      <c r="A241" s="26">
        <f>IF($B241="","",225)</f>
        <v/>
      </c>
      <c r="B241" s="26">
        <f>IF($P241="","",IF(INDEX(CalcNormDate,$P241)=0,"",INDEX(CalcNormDate,$P241)))</f>
        <v/>
      </c>
      <c r="C241" s="26">
        <f>IF($P241="","",IF(INDEX(CalcTime,$P241)=0,"",INDEX(CalcTime,$P241)))</f>
        <v/>
      </c>
      <c r="D241" s="26">
        <f>IF($P241="","",IF(INDEX(EntryParty,$P241)=0,"",INDEX(EntryParty,$P241)))</f>
        <v/>
      </c>
      <c r="E241" s="26">
        <f>IF($P241="","",IF(INDEX(EntryPartyName,$P241)=0,"",INDEX(EntryPartyName,$P241)))</f>
        <v/>
      </c>
      <c r="F241" s="26">
        <f>IF($P241="","",IF(INDEX(EntryPartyType,$P241)=0,"",INDEX(EntryPartyType,$P241)))</f>
        <v/>
      </c>
      <c r="G241" s="26">
        <f>IF($P241="","",IF(INDEX(EntryTxnType,$P241)=0,"",INDEX(EntryTxnType,$P241)))</f>
        <v/>
      </c>
      <c r="H241" s="27">
        <f>IF($P241="","",IF(INDEX(EntryDep,$P241)=0,"",INDEX(EntryDep,$P241)))</f>
        <v/>
      </c>
      <c r="I241" s="27">
        <f>IF($P241="","",IF(INDEX(EntryWit,$P241)=0,"",INDEX(EntryWit,$P241)))</f>
        <v/>
      </c>
      <c r="J241" s="27">
        <f>IF($B241="","",IF($A241=1,$C$7,IF(J240="",0,J240))+IF($H241="",0,$H241)-IF($I241="",0,$I241))</f>
        <v/>
      </c>
      <c r="K241" s="27">
        <f>IF($P241="","",IF(INDEX(EntryMan,$P241)=0,"",INDEX(EntryMan,$P241)))</f>
        <v/>
      </c>
      <c r="L241" s="26">
        <f>IF($B241="","",IF($K241="","—",IF(ROUND($K241-$J241,0)=0,"√","×")))</f>
        <v/>
      </c>
      <c r="M241" s="26">
        <f>IF($B241="","",IF(COUNTIFS(EntryDates,$B241,CalcTime,$C241,CalcBank,$C$5,EntryParty,$D241,EntryDep,$H241,EntryWit,$I241)&gt;1,"تکرار",""))</f>
        <v/>
      </c>
      <c r="N241" s="26">
        <f>IF($P241="","",IF(INDEX(EntryNotes,$P241)=0,"",INDEX(EntryNotes,$P241)))</f>
        <v/>
      </c>
      <c r="O241" s="26">
        <f>IF($P241="","",IF(INDEX(EntryTxnID,$P241)=0,"",INDEX(EntryTxnID,$P241)))</f>
        <v/>
      </c>
      <c r="P241" s="26">
        <f>IFERROR(MATCH($C$5&amp;"|"&amp;RIGHT("000000"&amp;225,6),CalcRankKey,0),"")</f>
        <v/>
      </c>
    </row>
    <row r="242">
      <c r="A242" s="28">
        <f>IF($B242="","",226)</f>
        <v/>
      </c>
      <c r="B242" s="28">
        <f>IF($P242="","",IF(INDEX(CalcNormDate,$P242)=0,"",INDEX(CalcNormDate,$P242)))</f>
        <v/>
      </c>
      <c r="C242" s="28">
        <f>IF($P242="","",IF(INDEX(CalcTime,$P242)=0,"",INDEX(CalcTime,$P242)))</f>
        <v/>
      </c>
      <c r="D242" s="28">
        <f>IF($P242="","",IF(INDEX(EntryParty,$P242)=0,"",INDEX(EntryParty,$P242)))</f>
        <v/>
      </c>
      <c r="E242" s="28">
        <f>IF($P242="","",IF(INDEX(EntryPartyName,$P242)=0,"",INDEX(EntryPartyName,$P242)))</f>
        <v/>
      </c>
      <c r="F242" s="28">
        <f>IF($P242="","",IF(INDEX(EntryPartyType,$P242)=0,"",INDEX(EntryPartyType,$P242)))</f>
        <v/>
      </c>
      <c r="G242" s="28">
        <f>IF($P242="","",IF(INDEX(EntryTxnType,$P242)=0,"",INDEX(EntryTxnType,$P242)))</f>
        <v/>
      </c>
      <c r="H242" s="29">
        <f>IF($P242="","",IF(INDEX(EntryDep,$P242)=0,"",INDEX(EntryDep,$P242)))</f>
        <v/>
      </c>
      <c r="I242" s="29">
        <f>IF($P242="","",IF(INDEX(EntryWit,$P242)=0,"",INDEX(EntryWit,$P242)))</f>
        <v/>
      </c>
      <c r="J242" s="29">
        <f>IF($B242="","",IF($A242=1,$C$7,IF(J241="",0,J241))+IF($H242="",0,$H242)-IF($I242="",0,$I242))</f>
        <v/>
      </c>
      <c r="K242" s="29">
        <f>IF($P242="","",IF(INDEX(EntryMan,$P242)=0,"",INDEX(EntryMan,$P242)))</f>
        <v/>
      </c>
      <c r="L242" s="28">
        <f>IF($B242="","",IF($K242="","—",IF(ROUND($K242-$J242,0)=0,"√","×")))</f>
        <v/>
      </c>
      <c r="M242" s="28">
        <f>IF($B242="","",IF(COUNTIFS(EntryDates,$B242,CalcTime,$C242,CalcBank,$C$5,EntryParty,$D242,EntryDep,$H242,EntryWit,$I242)&gt;1,"تکرار",""))</f>
        <v/>
      </c>
      <c r="N242" s="28">
        <f>IF($P242="","",IF(INDEX(EntryNotes,$P242)=0,"",INDEX(EntryNotes,$P242)))</f>
        <v/>
      </c>
      <c r="O242" s="28">
        <f>IF($P242="","",IF(INDEX(EntryTxnID,$P242)=0,"",INDEX(EntryTxnID,$P242)))</f>
        <v/>
      </c>
      <c r="P242" s="28">
        <f>IFERROR(MATCH($C$5&amp;"|"&amp;RIGHT("000000"&amp;226,6),CalcRankKey,0),"")</f>
        <v/>
      </c>
    </row>
    <row r="243">
      <c r="A243" s="26">
        <f>IF($B243="","",227)</f>
        <v/>
      </c>
      <c r="B243" s="26">
        <f>IF($P243="","",IF(INDEX(CalcNormDate,$P243)=0,"",INDEX(CalcNormDate,$P243)))</f>
        <v/>
      </c>
      <c r="C243" s="26">
        <f>IF($P243="","",IF(INDEX(CalcTime,$P243)=0,"",INDEX(CalcTime,$P243)))</f>
        <v/>
      </c>
      <c r="D243" s="26">
        <f>IF($P243="","",IF(INDEX(EntryParty,$P243)=0,"",INDEX(EntryParty,$P243)))</f>
        <v/>
      </c>
      <c r="E243" s="26">
        <f>IF($P243="","",IF(INDEX(EntryPartyName,$P243)=0,"",INDEX(EntryPartyName,$P243)))</f>
        <v/>
      </c>
      <c r="F243" s="26">
        <f>IF($P243="","",IF(INDEX(EntryPartyType,$P243)=0,"",INDEX(EntryPartyType,$P243)))</f>
        <v/>
      </c>
      <c r="G243" s="26">
        <f>IF($P243="","",IF(INDEX(EntryTxnType,$P243)=0,"",INDEX(EntryTxnType,$P243)))</f>
        <v/>
      </c>
      <c r="H243" s="27">
        <f>IF($P243="","",IF(INDEX(EntryDep,$P243)=0,"",INDEX(EntryDep,$P243)))</f>
        <v/>
      </c>
      <c r="I243" s="27">
        <f>IF($P243="","",IF(INDEX(EntryWit,$P243)=0,"",INDEX(EntryWit,$P243)))</f>
        <v/>
      </c>
      <c r="J243" s="27">
        <f>IF($B243="","",IF($A243=1,$C$7,IF(J242="",0,J242))+IF($H243="",0,$H243)-IF($I243="",0,$I243))</f>
        <v/>
      </c>
      <c r="K243" s="27">
        <f>IF($P243="","",IF(INDEX(EntryMan,$P243)=0,"",INDEX(EntryMan,$P243)))</f>
        <v/>
      </c>
      <c r="L243" s="26">
        <f>IF($B243="","",IF($K243="","—",IF(ROUND($K243-$J243,0)=0,"√","×")))</f>
        <v/>
      </c>
      <c r="M243" s="26">
        <f>IF($B243="","",IF(COUNTIFS(EntryDates,$B243,CalcTime,$C243,CalcBank,$C$5,EntryParty,$D243,EntryDep,$H243,EntryWit,$I243)&gt;1,"تکرار",""))</f>
        <v/>
      </c>
      <c r="N243" s="26">
        <f>IF($P243="","",IF(INDEX(EntryNotes,$P243)=0,"",INDEX(EntryNotes,$P243)))</f>
        <v/>
      </c>
      <c r="O243" s="26">
        <f>IF($P243="","",IF(INDEX(EntryTxnID,$P243)=0,"",INDEX(EntryTxnID,$P243)))</f>
        <v/>
      </c>
      <c r="P243" s="26">
        <f>IFERROR(MATCH($C$5&amp;"|"&amp;RIGHT("000000"&amp;227,6),CalcRankKey,0),"")</f>
        <v/>
      </c>
    </row>
    <row r="244">
      <c r="A244" s="28">
        <f>IF($B244="","",228)</f>
        <v/>
      </c>
      <c r="B244" s="28">
        <f>IF($P244="","",IF(INDEX(CalcNormDate,$P244)=0,"",INDEX(CalcNormDate,$P244)))</f>
        <v/>
      </c>
      <c r="C244" s="28">
        <f>IF($P244="","",IF(INDEX(CalcTime,$P244)=0,"",INDEX(CalcTime,$P244)))</f>
        <v/>
      </c>
      <c r="D244" s="28">
        <f>IF($P244="","",IF(INDEX(EntryParty,$P244)=0,"",INDEX(EntryParty,$P244)))</f>
        <v/>
      </c>
      <c r="E244" s="28">
        <f>IF($P244="","",IF(INDEX(EntryPartyName,$P244)=0,"",INDEX(EntryPartyName,$P244)))</f>
        <v/>
      </c>
      <c r="F244" s="28">
        <f>IF($P244="","",IF(INDEX(EntryPartyType,$P244)=0,"",INDEX(EntryPartyType,$P244)))</f>
        <v/>
      </c>
      <c r="G244" s="28">
        <f>IF($P244="","",IF(INDEX(EntryTxnType,$P244)=0,"",INDEX(EntryTxnType,$P244)))</f>
        <v/>
      </c>
      <c r="H244" s="29">
        <f>IF($P244="","",IF(INDEX(EntryDep,$P244)=0,"",INDEX(EntryDep,$P244)))</f>
        <v/>
      </c>
      <c r="I244" s="29">
        <f>IF($P244="","",IF(INDEX(EntryWit,$P244)=0,"",INDEX(EntryWit,$P244)))</f>
        <v/>
      </c>
      <c r="J244" s="29">
        <f>IF($B244="","",IF($A244=1,$C$7,IF(J243="",0,J243))+IF($H244="",0,$H244)-IF($I244="",0,$I244))</f>
        <v/>
      </c>
      <c r="K244" s="29">
        <f>IF($P244="","",IF(INDEX(EntryMan,$P244)=0,"",INDEX(EntryMan,$P244)))</f>
        <v/>
      </c>
      <c r="L244" s="28">
        <f>IF($B244="","",IF($K244="","—",IF(ROUND($K244-$J244,0)=0,"√","×")))</f>
        <v/>
      </c>
      <c r="M244" s="28">
        <f>IF($B244="","",IF(COUNTIFS(EntryDates,$B244,CalcTime,$C244,CalcBank,$C$5,EntryParty,$D244,EntryDep,$H244,EntryWit,$I244)&gt;1,"تکرار",""))</f>
        <v/>
      </c>
      <c r="N244" s="28">
        <f>IF($P244="","",IF(INDEX(EntryNotes,$P244)=0,"",INDEX(EntryNotes,$P244)))</f>
        <v/>
      </c>
      <c r="O244" s="28">
        <f>IF($P244="","",IF(INDEX(EntryTxnID,$P244)=0,"",INDEX(EntryTxnID,$P244)))</f>
        <v/>
      </c>
      <c r="P244" s="28">
        <f>IFERROR(MATCH($C$5&amp;"|"&amp;RIGHT("000000"&amp;228,6),CalcRankKey,0),"")</f>
        <v/>
      </c>
    </row>
    <row r="245">
      <c r="A245" s="26">
        <f>IF($B245="","",229)</f>
        <v/>
      </c>
      <c r="B245" s="26">
        <f>IF($P245="","",IF(INDEX(CalcNormDate,$P245)=0,"",INDEX(CalcNormDate,$P245)))</f>
        <v/>
      </c>
      <c r="C245" s="26">
        <f>IF($P245="","",IF(INDEX(CalcTime,$P245)=0,"",INDEX(CalcTime,$P245)))</f>
        <v/>
      </c>
      <c r="D245" s="26">
        <f>IF($P245="","",IF(INDEX(EntryParty,$P245)=0,"",INDEX(EntryParty,$P245)))</f>
        <v/>
      </c>
      <c r="E245" s="26">
        <f>IF($P245="","",IF(INDEX(EntryPartyName,$P245)=0,"",INDEX(EntryPartyName,$P245)))</f>
        <v/>
      </c>
      <c r="F245" s="26">
        <f>IF($P245="","",IF(INDEX(EntryPartyType,$P245)=0,"",INDEX(EntryPartyType,$P245)))</f>
        <v/>
      </c>
      <c r="G245" s="26">
        <f>IF($P245="","",IF(INDEX(EntryTxnType,$P245)=0,"",INDEX(EntryTxnType,$P245)))</f>
        <v/>
      </c>
      <c r="H245" s="27">
        <f>IF($P245="","",IF(INDEX(EntryDep,$P245)=0,"",INDEX(EntryDep,$P245)))</f>
        <v/>
      </c>
      <c r="I245" s="27">
        <f>IF($P245="","",IF(INDEX(EntryWit,$P245)=0,"",INDEX(EntryWit,$P245)))</f>
        <v/>
      </c>
      <c r="J245" s="27">
        <f>IF($B245="","",IF($A245=1,$C$7,IF(J244="",0,J244))+IF($H245="",0,$H245)-IF($I245="",0,$I245))</f>
        <v/>
      </c>
      <c r="K245" s="27">
        <f>IF($P245="","",IF(INDEX(EntryMan,$P245)=0,"",INDEX(EntryMan,$P245)))</f>
        <v/>
      </c>
      <c r="L245" s="26">
        <f>IF($B245="","",IF($K245="","—",IF(ROUND($K245-$J245,0)=0,"√","×")))</f>
        <v/>
      </c>
      <c r="M245" s="26">
        <f>IF($B245="","",IF(COUNTIFS(EntryDates,$B245,CalcTime,$C245,CalcBank,$C$5,EntryParty,$D245,EntryDep,$H245,EntryWit,$I245)&gt;1,"تکرار",""))</f>
        <v/>
      </c>
      <c r="N245" s="26">
        <f>IF($P245="","",IF(INDEX(EntryNotes,$P245)=0,"",INDEX(EntryNotes,$P245)))</f>
        <v/>
      </c>
      <c r="O245" s="26">
        <f>IF($P245="","",IF(INDEX(EntryTxnID,$P245)=0,"",INDEX(EntryTxnID,$P245)))</f>
        <v/>
      </c>
      <c r="P245" s="26">
        <f>IFERROR(MATCH($C$5&amp;"|"&amp;RIGHT("000000"&amp;229,6),CalcRankKey,0),"")</f>
        <v/>
      </c>
    </row>
    <row r="246">
      <c r="A246" s="28">
        <f>IF($B246="","",230)</f>
        <v/>
      </c>
      <c r="B246" s="28">
        <f>IF($P246="","",IF(INDEX(CalcNormDate,$P246)=0,"",INDEX(CalcNormDate,$P246)))</f>
        <v/>
      </c>
      <c r="C246" s="28">
        <f>IF($P246="","",IF(INDEX(CalcTime,$P246)=0,"",INDEX(CalcTime,$P246)))</f>
        <v/>
      </c>
      <c r="D246" s="28">
        <f>IF($P246="","",IF(INDEX(EntryParty,$P246)=0,"",INDEX(EntryParty,$P246)))</f>
        <v/>
      </c>
      <c r="E246" s="28">
        <f>IF($P246="","",IF(INDEX(EntryPartyName,$P246)=0,"",INDEX(EntryPartyName,$P246)))</f>
        <v/>
      </c>
      <c r="F246" s="28">
        <f>IF($P246="","",IF(INDEX(EntryPartyType,$P246)=0,"",INDEX(EntryPartyType,$P246)))</f>
        <v/>
      </c>
      <c r="G246" s="28">
        <f>IF($P246="","",IF(INDEX(EntryTxnType,$P246)=0,"",INDEX(EntryTxnType,$P246)))</f>
        <v/>
      </c>
      <c r="H246" s="29">
        <f>IF($P246="","",IF(INDEX(EntryDep,$P246)=0,"",INDEX(EntryDep,$P246)))</f>
        <v/>
      </c>
      <c r="I246" s="29">
        <f>IF($P246="","",IF(INDEX(EntryWit,$P246)=0,"",INDEX(EntryWit,$P246)))</f>
        <v/>
      </c>
      <c r="J246" s="29">
        <f>IF($B246="","",IF($A246=1,$C$7,IF(J245="",0,J245))+IF($H246="",0,$H246)-IF($I246="",0,$I246))</f>
        <v/>
      </c>
      <c r="K246" s="29">
        <f>IF($P246="","",IF(INDEX(EntryMan,$P246)=0,"",INDEX(EntryMan,$P246)))</f>
        <v/>
      </c>
      <c r="L246" s="28">
        <f>IF($B246="","",IF($K246="","—",IF(ROUND($K246-$J246,0)=0,"√","×")))</f>
        <v/>
      </c>
      <c r="M246" s="28">
        <f>IF($B246="","",IF(COUNTIFS(EntryDates,$B246,CalcTime,$C246,CalcBank,$C$5,EntryParty,$D246,EntryDep,$H246,EntryWit,$I246)&gt;1,"تکرار",""))</f>
        <v/>
      </c>
      <c r="N246" s="28">
        <f>IF($P246="","",IF(INDEX(EntryNotes,$P246)=0,"",INDEX(EntryNotes,$P246)))</f>
        <v/>
      </c>
      <c r="O246" s="28">
        <f>IF($P246="","",IF(INDEX(EntryTxnID,$P246)=0,"",INDEX(EntryTxnID,$P246)))</f>
        <v/>
      </c>
      <c r="P246" s="28">
        <f>IFERROR(MATCH($C$5&amp;"|"&amp;RIGHT("000000"&amp;230,6),CalcRankKey,0),"")</f>
        <v/>
      </c>
    </row>
    <row r="247">
      <c r="A247" s="26">
        <f>IF($B247="","",231)</f>
        <v/>
      </c>
      <c r="B247" s="26">
        <f>IF($P247="","",IF(INDEX(CalcNormDate,$P247)=0,"",INDEX(CalcNormDate,$P247)))</f>
        <v/>
      </c>
      <c r="C247" s="26">
        <f>IF($P247="","",IF(INDEX(CalcTime,$P247)=0,"",INDEX(CalcTime,$P247)))</f>
        <v/>
      </c>
      <c r="D247" s="26">
        <f>IF($P247="","",IF(INDEX(EntryParty,$P247)=0,"",INDEX(EntryParty,$P247)))</f>
        <v/>
      </c>
      <c r="E247" s="26">
        <f>IF($P247="","",IF(INDEX(EntryPartyName,$P247)=0,"",INDEX(EntryPartyName,$P247)))</f>
        <v/>
      </c>
      <c r="F247" s="26">
        <f>IF($P247="","",IF(INDEX(EntryPartyType,$P247)=0,"",INDEX(EntryPartyType,$P247)))</f>
        <v/>
      </c>
      <c r="G247" s="26">
        <f>IF($P247="","",IF(INDEX(EntryTxnType,$P247)=0,"",INDEX(EntryTxnType,$P247)))</f>
        <v/>
      </c>
      <c r="H247" s="27">
        <f>IF($P247="","",IF(INDEX(EntryDep,$P247)=0,"",INDEX(EntryDep,$P247)))</f>
        <v/>
      </c>
      <c r="I247" s="27">
        <f>IF($P247="","",IF(INDEX(EntryWit,$P247)=0,"",INDEX(EntryWit,$P247)))</f>
        <v/>
      </c>
      <c r="J247" s="27">
        <f>IF($B247="","",IF($A247=1,$C$7,IF(J246="",0,J246))+IF($H247="",0,$H247)-IF($I247="",0,$I247))</f>
        <v/>
      </c>
      <c r="K247" s="27">
        <f>IF($P247="","",IF(INDEX(EntryMan,$P247)=0,"",INDEX(EntryMan,$P247)))</f>
        <v/>
      </c>
      <c r="L247" s="26">
        <f>IF($B247="","",IF($K247="","—",IF(ROUND($K247-$J247,0)=0,"√","×")))</f>
        <v/>
      </c>
      <c r="M247" s="26">
        <f>IF($B247="","",IF(COUNTIFS(EntryDates,$B247,CalcTime,$C247,CalcBank,$C$5,EntryParty,$D247,EntryDep,$H247,EntryWit,$I247)&gt;1,"تکرار",""))</f>
        <v/>
      </c>
      <c r="N247" s="26">
        <f>IF($P247="","",IF(INDEX(EntryNotes,$P247)=0,"",INDEX(EntryNotes,$P247)))</f>
        <v/>
      </c>
      <c r="O247" s="26">
        <f>IF($P247="","",IF(INDEX(EntryTxnID,$P247)=0,"",INDEX(EntryTxnID,$P247)))</f>
        <v/>
      </c>
      <c r="P247" s="26">
        <f>IFERROR(MATCH($C$5&amp;"|"&amp;RIGHT("000000"&amp;231,6),CalcRankKey,0),"")</f>
        <v/>
      </c>
    </row>
    <row r="248">
      <c r="A248" s="28">
        <f>IF($B248="","",232)</f>
        <v/>
      </c>
      <c r="B248" s="28">
        <f>IF($P248="","",IF(INDEX(CalcNormDate,$P248)=0,"",INDEX(CalcNormDate,$P248)))</f>
        <v/>
      </c>
      <c r="C248" s="28">
        <f>IF($P248="","",IF(INDEX(CalcTime,$P248)=0,"",INDEX(CalcTime,$P248)))</f>
        <v/>
      </c>
      <c r="D248" s="28">
        <f>IF($P248="","",IF(INDEX(EntryParty,$P248)=0,"",INDEX(EntryParty,$P248)))</f>
        <v/>
      </c>
      <c r="E248" s="28">
        <f>IF($P248="","",IF(INDEX(EntryPartyName,$P248)=0,"",INDEX(EntryPartyName,$P248)))</f>
        <v/>
      </c>
      <c r="F248" s="28">
        <f>IF($P248="","",IF(INDEX(EntryPartyType,$P248)=0,"",INDEX(EntryPartyType,$P248)))</f>
        <v/>
      </c>
      <c r="G248" s="28">
        <f>IF($P248="","",IF(INDEX(EntryTxnType,$P248)=0,"",INDEX(EntryTxnType,$P248)))</f>
        <v/>
      </c>
      <c r="H248" s="29">
        <f>IF($P248="","",IF(INDEX(EntryDep,$P248)=0,"",INDEX(EntryDep,$P248)))</f>
        <v/>
      </c>
      <c r="I248" s="29">
        <f>IF($P248="","",IF(INDEX(EntryWit,$P248)=0,"",INDEX(EntryWit,$P248)))</f>
        <v/>
      </c>
      <c r="J248" s="29">
        <f>IF($B248="","",IF($A248=1,$C$7,IF(J247="",0,J247))+IF($H248="",0,$H248)-IF($I248="",0,$I248))</f>
        <v/>
      </c>
      <c r="K248" s="29">
        <f>IF($P248="","",IF(INDEX(EntryMan,$P248)=0,"",INDEX(EntryMan,$P248)))</f>
        <v/>
      </c>
      <c r="L248" s="28">
        <f>IF($B248="","",IF($K248="","—",IF(ROUND($K248-$J248,0)=0,"√","×")))</f>
        <v/>
      </c>
      <c r="M248" s="28">
        <f>IF($B248="","",IF(COUNTIFS(EntryDates,$B248,CalcTime,$C248,CalcBank,$C$5,EntryParty,$D248,EntryDep,$H248,EntryWit,$I248)&gt;1,"تکرار",""))</f>
        <v/>
      </c>
      <c r="N248" s="28">
        <f>IF($P248="","",IF(INDEX(EntryNotes,$P248)=0,"",INDEX(EntryNotes,$P248)))</f>
        <v/>
      </c>
      <c r="O248" s="28">
        <f>IF($P248="","",IF(INDEX(EntryTxnID,$P248)=0,"",INDEX(EntryTxnID,$P248)))</f>
        <v/>
      </c>
      <c r="P248" s="28">
        <f>IFERROR(MATCH($C$5&amp;"|"&amp;RIGHT("000000"&amp;232,6),CalcRankKey,0),"")</f>
        <v/>
      </c>
    </row>
    <row r="249">
      <c r="A249" s="26">
        <f>IF($B249="","",233)</f>
        <v/>
      </c>
      <c r="B249" s="26">
        <f>IF($P249="","",IF(INDEX(CalcNormDate,$P249)=0,"",INDEX(CalcNormDate,$P249)))</f>
        <v/>
      </c>
      <c r="C249" s="26">
        <f>IF($P249="","",IF(INDEX(CalcTime,$P249)=0,"",INDEX(CalcTime,$P249)))</f>
        <v/>
      </c>
      <c r="D249" s="26">
        <f>IF($P249="","",IF(INDEX(EntryParty,$P249)=0,"",INDEX(EntryParty,$P249)))</f>
        <v/>
      </c>
      <c r="E249" s="26">
        <f>IF($P249="","",IF(INDEX(EntryPartyName,$P249)=0,"",INDEX(EntryPartyName,$P249)))</f>
        <v/>
      </c>
      <c r="F249" s="26">
        <f>IF($P249="","",IF(INDEX(EntryPartyType,$P249)=0,"",INDEX(EntryPartyType,$P249)))</f>
        <v/>
      </c>
      <c r="G249" s="26">
        <f>IF($P249="","",IF(INDEX(EntryTxnType,$P249)=0,"",INDEX(EntryTxnType,$P249)))</f>
        <v/>
      </c>
      <c r="H249" s="27">
        <f>IF($P249="","",IF(INDEX(EntryDep,$P249)=0,"",INDEX(EntryDep,$P249)))</f>
        <v/>
      </c>
      <c r="I249" s="27">
        <f>IF($P249="","",IF(INDEX(EntryWit,$P249)=0,"",INDEX(EntryWit,$P249)))</f>
        <v/>
      </c>
      <c r="J249" s="27">
        <f>IF($B249="","",IF($A249=1,$C$7,IF(J248="",0,J248))+IF($H249="",0,$H249)-IF($I249="",0,$I249))</f>
        <v/>
      </c>
      <c r="K249" s="27">
        <f>IF($P249="","",IF(INDEX(EntryMan,$P249)=0,"",INDEX(EntryMan,$P249)))</f>
        <v/>
      </c>
      <c r="L249" s="26">
        <f>IF($B249="","",IF($K249="","—",IF(ROUND($K249-$J249,0)=0,"√","×")))</f>
        <v/>
      </c>
      <c r="M249" s="26">
        <f>IF($B249="","",IF(COUNTIFS(EntryDates,$B249,CalcTime,$C249,CalcBank,$C$5,EntryParty,$D249,EntryDep,$H249,EntryWit,$I249)&gt;1,"تکرار",""))</f>
        <v/>
      </c>
      <c r="N249" s="26">
        <f>IF($P249="","",IF(INDEX(EntryNotes,$P249)=0,"",INDEX(EntryNotes,$P249)))</f>
        <v/>
      </c>
      <c r="O249" s="26">
        <f>IF($P249="","",IF(INDEX(EntryTxnID,$P249)=0,"",INDEX(EntryTxnID,$P249)))</f>
        <v/>
      </c>
      <c r="P249" s="26">
        <f>IFERROR(MATCH($C$5&amp;"|"&amp;RIGHT("000000"&amp;233,6),CalcRankKey,0),"")</f>
        <v/>
      </c>
    </row>
    <row r="250">
      <c r="A250" s="28">
        <f>IF($B250="","",234)</f>
        <v/>
      </c>
      <c r="B250" s="28">
        <f>IF($P250="","",IF(INDEX(CalcNormDate,$P250)=0,"",INDEX(CalcNormDate,$P250)))</f>
        <v/>
      </c>
      <c r="C250" s="28">
        <f>IF($P250="","",IF(INDEX(CalcTime,$P250)=0,"",INDEX(CalcTime,$P250)))</f>
        <v/>
      </c>
      <c r="D250" s="28">
        <f>IF($P250="","",IF(INDEX(EntryParty,$P250)=0,"",INDEX(EntryParty,$P250)))</f>
        <v/>
      </c>
      <c r="E250" s="28">
        <f>IF($P250="","",IF(INDEX(EntryPartyName,$P250)=0,"",INDEX(EntryPartyName,$P250)))</f>
        <v/>
      </c>
      <c r="F250" s="28">
        <f>IF($P250="","",IF(INDEX(EntryPartyType,$P250)=0,"",INDEX(EntryPartyType,$P250)))</f>
        <v/>
      </c>
      <c r="G250" s="28">
        <f>IF($P250="","",IF(INDEX(EntryTxnType,$P250)=0,"",INDEX(EntryTxnType,$P250)))</f>
        <v/>
      </c>
      <c r="H250" s="29">
        <f>IF($P250="","",IF(INDEX(EntryDep,$P250)=0,"",INDEX(EntryDep,$P250)))</f>
        <v/>
      </c>
      <c r="I250" s="29">
        <f>IF($P250="","",IF(INDEX(EntryWit,$P250)=0,"",INDEX(EntryWit,$P250)))</f>
        <v/>
      </c>
      <c r="J250" s="29">
        <f>IF($B250="","",IF($A250=1,$C$7,IF(J249="",0,J249))+IF($H250="",0,$H250)-IF($I250="",0,$I250))</f>
        <v/>
      </c>
      <c r="K250" s="29">
        <f>IF($P250="","",IF(INDEX(EntryMan,$P250)=0,"",INDEX(EntryMan,$P250)))</f>
        <v/>
      </c>
      <c r="L250" s="28">
        <f>IF($B250="","",IF($K250="","—",IF(ROUND($K250-$J250,0)=0,"√","×")))</f>
        <v/>
      </c>
      <c r="M250" s="28">
        <f>IF($B250="","",IF(COUNTIFS(EntryDates,$B250,CalcTime,$C250,CalcBank,$C$5,EntryParty,$D250,EntryDep,$H250,EntryWit,$I250)&gt;1,"تکرار",""))</f>
        <v/>
      </c>
      <c r="N250" s="28">
        <f>IF($P250="","",IF(INDEX(EntryNotes,$P250)=0,"",INDEX(EntryNotes,$P250)))</f>
        <v/>
      </c>
      <c r="O250" s="28">
        <f>IF($P250="","",IF(INDEX(EntryTxnID,$P250)=0,"",INDEX(EntryTxnID,$P250)))</f>
        <v/>
      </c>
      <c r="P250" s="28">
        <f>IFERROR(MATCH($C$5&amp;"|"&amp;RIGHT("000000"&amp;234,6),CalcRankKey,0),"")</f>
        <v/>
      </c>
    </row>
    <row r="251">
      <c r="A251" s="26">
        <f>IF($B251="","",235)</f>
        <v/>
      </c>
      <c r="B251" s="26">
        <f>IF($P251="","",IF(INDEX(CalcNormDate,$P251)=0,"",INDEX(CalcNormDate,$P251)))</f>
        <v/>
      </c>
      <c r="C251" s="26">
        <f>IF($P251="","",IF(INDEX(CalcTime,$P251)=0,"",INDEX(CalcTime,$P251)))</f>
        <v/>
      </c>
      <c r="D251" s="26">
        <f>IF($P251="","",IF(INDEX(EntryParty,$P251)=0,"",INDEX(EntryParty,$P251)))</f>
        <v/>
      </c>
      <c r="E251" s="26">
        <f>IF($P251="","",IF(INDEX(EntryPartyName,$P251)=0,"",INDEX(EntryPartyName,$P251)))</f>
        <v/>
      </c>
      <c r="F251" s="26">
        <f>IF($P251="","",IF(INDEX(EntryPartyType,$P251)=0,"",INDEX(EntryPartyType,$P251)))</f>
        <v/>
      </c>
      <c r="G251" s="26">
        <f>IF($P251="","",IF(INDEX(EntryTxnType,$P251)=0,"",INDEX(EntryTxnType,$P251)))</f>
        <v/>
      </c>
      <c r="H251" s="27">
        <f>IF($P251="","",IF(INDEX(EntryDep,$P251)=0,"",INDEX(EntryDep,$P251)))</f>
        <v/>
      </c>
      <c r="I251" s="27">
        <f>IF($P251="","",IF(INDEX(EntryWit,$P251)=0,"",INDEX(EntryWit,$P251)))</f>
        <v/>
      </c>
      <c r="J251" s="27">
        <f>IF($B251="","",IF($A251=1,$C$7,IF(J250="",0,J250))+IF($H251="",0,$H251)-IF($I251="",0,$I251))</f>
        <v/>
      </c>
      <c r="K251" s="27">
        <f>IF($P251="","",IF(INDEX(EntryMan,$P251)=0,"",INDEX(EntryMan,$P251)))</f>
        <v/>
      </c>
      <c r="L251" s="26">
        <f>IF($B251="","",IF($K251="","—",IF(ROUND($K251-$J251,0)=0,"√","×")))</f>
        <v/>
      </c>
      <c r="M251" s="26">
        <f>IF($B251="","",IF(COUNTIFS(EntryDates,$B251,CalcTime,$C251,CalcBank,$C$5,EntryParty,$D251,EntryDep,$H251,EntryWit,$I251)&gt;1,"تکرار",""))</f>
        <v/>
      </c>
      <c r="N251" s="26">
        <f>IF($P251="","",IF(INDEX(EntryNotes,$P251)=0,"",INDEX(EntryNotes,$P251)))</f>
        <v/>
      </c>
      <c r="O251" s="26">
        <f>IF($P251="","",IF(INDEX(EntryTxnID,$P251)=0,"",INDEX(EntryTxnID,$P251)))</f>
        <v/>
      </c>
      <c r="P251" s="26">
        <f>IFERROR(MATCH($C$5&amp;"|"&amp;RIGHT("000000"&amp;235,6),CalcRankKey,0),"")</f>
        <v/>
      </c>
    </row>
    <row r="252">
      <c r="A252" s="28">
        <f>IF($B252="","",236)</f>
        <v/>
      </c>
      <c r="B252" s="28">
        <f>IF($P252="","",IF(INDEX(CalcNormDate,$P252)=0,"",INDEX(CalcNormDate,$P252)))</f>
        <v/>
      </c>
      <c r="C252" s="28">
        <f>IF($P252="","",IF(INDEX(CalcTime,$P252)=0,"",INDEX(CalcTime,$P252)))</f>
        <v/>
      </c>
      <c r="D252" s="28">
        <f>IF($P252="","",IF(INDEX(EntryParty,$P252)=0,"",INDEX(EntryParty,$P252)))</f>
        <v/>
      </c>
      <c r="E252" s="28">
        <f>IF($P252="","",IF(INDEX(EntryPartyName,$P252)=0,"",INDEX(EntryPartyName,$P252)))</f>
        <v/>
      </c>
      <c r="F252" s="28">
        <f>IF($P252="","",IF(INDEX(EntryPartyType,$P252)=0,"",INDEX(EntryPartyType,$P252)))</f>
        <v/>
      </c>
      <c r="G252" s="28">
        <f>IF($P252="","",IF(INDEX(EntryTxnType,$P252)=0,"",INDEX(EntryTxnType,$P252)))</f>
        <v/>
      </c>
      <c r="H252" s="29">
        <f>IF($P252="","",IF(INDEX(EntryDep,$P252)=0,"",INDEX(EntryDep,$P252)))</f>
        <v/>
      </c>
      <c r="I252" s="29">
        <f>IF($P252="","",IF(INDEX(EntryWit,$P252)=0,"",INDEX(EntryWit,$P252)))</f>
        <v/>
      </c>
      <c r="J252" s="29">
        <f>IF($B252="","",IF($A252=1,$C$7,IF(J251="",0,J251))+IF($H252="",0,$H252)-IF($I252="",0,$I252))</f>
        <v/>
      </c>
      <c r="K252" s="29">
        <f>IF($P252="","",IF(INDEX(EntryMan,$P252)=0,"",INDEX(EntryMan,$P252)))</f>
        <v/>
      </c>
      <c r="L252" s="28">
        <f>IF($B252="","",IF($K252="","—",IF(ROUND($K252-$J252,0)=0,"√","×")))</f>
        <v/>
      </c>
      <c r="M252" s="28">
        <f>IF($B252="","",IF(COUNTIFS(EntryDates,$B252,CalcTime,$C252,CalcBank,$C$5,EntryParty,$D252,EntryDep,$H252,EntryWit,$I252)&gt;1,"تکرار",""))</f>
        <v/>
      </c>
      <c r="N252" s="28">
        <f>IF($P252="","",IF(INDEX(EntryNotes,$P252)=0,"",INDEX(EntryNotes,$P252)))</f>
        <v/>
      </c>
      <c r="O252" s="28">
        <f>IF($P252="","",IF(INDEX(EntryTxnID,$P252)=0,"",INDEX(EntryTxnID,$P252)))</f>
        <v/>
      </c>
      <c r="P252" s="28">
        <f>IFERROR(MATCH($C$5&amp;"|"&amp;RIGHT("000000"&amp;236,6),CalcRankKey,0),"")</f>
        <v/>
      </c>
    </row>
    <row r="253">
      <c r="A253" s="26">
        <f>IF($B253="","",237)</f>
        <v/>
      </c>
      <c r="B253" s="26">
        <f>IF($P253="","",IF(INDEX(CalcNormDate,$P253)=0,"",INDEX(CalcNormDate,$P253)))</f>
        <v/>
      </c>
      <c r="C253" s="26">
        <f>IF($P253="","",IF(INDEX(CalcTime,$P253)=0,"",INDEX(CalcTime,$P253)))</f>
        <v/>
      </c>
      <c r="D253" s="26">
        <f>IF($P253="","",IF(INDEX(EntryParty,$P253)=0,"",INDEX(EntryParty,$P253)))</f>
        <v/>
      </c>
      <c r="E253" s="26">
        <f>IF($P253="","",IF(INDEX(EntryPartyName,$P253)=0,"",INDEX(EntryPartyName,$P253)))</f>
        <v/>
      </c>
      <c r="F253" s="26">
        <f>IF($P253="","",IF(INDEX(EntryPartyType,$P253)=0,"",INDEX(EntryPartyType,$P253)))</f>
        <v/>
      </c>
      <c r="G253" s="26">
        <f>IF($P253="","",IF(INDEX(EntryTxnType,$P253)=0,"",INDEX(EntryTxnType,$P253)))</f>
        <v/>
      </c>
      <c r="H253" s="27">
        <f>IF($P253="","",IF(INDEX(EntryDep,$P253)=0,"",INDEX(EntryDep,$P253)))</f>
        <v/>
      </c>
      <c r="I253" s="27">
        <f>IF($P253="","",IF(INDEX(EntryWit,$P253)=0,"",INDEX(EntryWit,$P253)))</f>
        <v/>
      </c>
      <c r="J253" s="27">
        <f>IF($B253="","",IF($A253=1,$C$7,IF(J252="",0,J252))+IF($H253="",0,$H253)-IF($I253="",0,$I253))</f>
        <v/>
      </c>
      <c r="K253" s="27">
        <f>IF($P253="","",IF(INDEX(EntryMan,$P253)=0,"",INDEX(EntryMan,$P253)))</f>
        <v/>
      </c>
      <c r="L253" s="26">
        <f>IF($B253="","",IF($K253="","—",IF(ROUND($K253-$J253,0)=0,"√","×")))</f>
        <v/>
      </c>
      <c r="M253" s="26">
        <f>IF($B253="","",IF(COUNTIFS(EntryDates,$B253,CalcTime,$C253,CalcBank,$C$5,EntryParty,$D253,EntryDep,$H253,EntryWit,$I253)&gt;1,"تکرار",""))</f>
        <v/>
      </c>
      <c r="N253" s="26">
        <f>IF($P253="","",IF(INDEX(EntryNotes,$P253)=0,"",INDEX(EntryNotes,$P253)))</f>
        <v/>
      </c>
      <c r="O253" s="26">
        <f>IF($P253="","",IF(INDEX(EntryTxnID,$P253)=0,"",INDEX(EntryTxnID,$P253)))</f>
        <v/>
      </c>
      <c r="P253" s="26">
        <f>IFERROR(MATCH($C$5&amp;"|"&amp;RIGHT("000000"&amp;237,6),CalcRankKey,0),"")</f>
        <v/>
      </c>
    </row>
    <row r="254">
      <c r="A254" s="28">
        <f>IF($B254="","",238)</f>
        <v/>
      </c>
      <c r="B254" s="28">
        <f>IF($P254="","",IF(INDEX(CalcNormDate,$P254)=0,"",INDEX(CalcNormDate,$P254)))</f>
        <v/>
      </c>
      <c r="C254" s="28">
        <f>IF($P254="","",IF(INDEX(CalcTime,$P254)=0,"",INDEX(CalcTime,$P254)))</f>
        <v/>
      </c>
      <c r="D254" s="28">
        <f>IF($P254="","",IF(INDEX(EntryParty,$P254)=0,"",INDEX(EntryParty,$P254)))</f>
        <v/>
      </c>
      <c r="E254" s="28">
        <f>IF($P254="","",IF(INDEX(EntryPartyName,$P254)=0,"",INDEX(EntryPartyName,$P254)))</f>
        <v/>
      </c>
      <c r="F254" s="28">
        <f>IF($P254="","",IF(INDEX(EntryPartyType,$P254)=0,"",INDEX(EntryPartyType,$P254)))</f>
        <v/>
      </c>
      <c r="G254" s="28">
        <f>IF($P254="","",IF(INDEX(EntryTxnType,$P254)=0,"",INDEX(EntryTxnType,$P254)))</f>
        <v/>
      </c>
      <c r="H254" s="29">
        <f>IF($P254="","",IF(INDEX(EntryDep,$P254)=0,"",INDEX(EntryDep,$P254)))</f>
        <v/>
      </c>
      <c r="I254" s="29">
        <f>IF($P254="","",IF(INDEX(EntryWit,$P254)=0,"",INDEX(EntryWit,$P254)))</f>
        <v/>
      </c>
      <c r="J254" s="29">
        <f>IF($B254="","",IF($A254=1,$C$7,IF(J253="",0,J253))+IF($H254="",0,$H254)-IF($I254="",0,$I254))</f>
        <v/>
      </c>
      <c r="K254" s="29">
        <f>IF($P254="","",IF(INDEX(EntryMan,$P254)=0,"",INDEX(EntryMan,$P254)))</f>
        <v/>
      </c>
      <c r="L254" s="28">
        <f>IF($B254="","",IF($K254="","—",IF(ROUND($K254-$J254,0)=0,"√","×")))</f>
        <v/>
      </c>
      <c r="M254" s="28">
        <f>IF($B254="","",IF(COUNTIFS(EntryDates,$B254,CalcTime,$C254,CalcBank,$C$5,EntryParty,$D254,EntryDep,$H254,EntryWit,$I254)&gt;1,"تکرار",""))</f>
        <v/>
      </c>
      <c r="N254" s="28">
        <f>IF($P254="","",IF(INDEX(EntryNotes,$P254)=0,"",INDEX(EntryNotes,$P254)))</f>
        <v/>
      </c>
      <c r="O254" s="28">
        <f>IF($P254="","",IF(INDEX(EntryTxnID,$P254)=0,"",INDEX(EntryTxnID,$P254)))</f>
        <v/>
      </c>
      <c r="P254" s="28">
        <f>IFERROR(MATCH($C$5&amp;"|"&amp;RIGHT("000000"&amp;238,6),CalcRankKey,0),"")</f>
        <v/>
      </c>
    </row>
    <row r="255">
      <c r="A255" s="26">
        <f>IF($B255="","",239)</f>
        <v/>
      </c>
      <c r="B255" s="26">
        <f>IF($P255="","",IF(INDEX(CalcNormDate,$P255)=0,"",INDEX(CalcNormDate,$P255)))</f>
        <v/>
      </c>
      <c r="C255" s="26">
        <f>IF($P255="","",IF(INDEX(CalcTime,$P255)=0,"",INDEX(CalcTime,$P255)))</f>
        <v/>
      </c>
      <c r="D255" s="26">
        <f>IF($P255="","",IF(INDEX(EntryParty,$P255)=0,"",INDEX(EntryParty,$P255)))</f>
        <v/>
      </c>
      <c r="E255" s="26">
        <f>IF($P255="","",IF(INDEX(EntryPartyName,$P255)=0,"",INDEX(EntryPartyName,$P255)))</f>
        <v/>
      </c>
      <c r="F255" s="26">
        <f>IF($P255="","",IF(INDEX(EntryPartyType,$P255)=0,"",INDEX(EntryPartyType,$P255)))</f>
        <v/>
      </c>
      <c r="G255" s="26">
        <f>IF($P255="","",IF(INDEX(EntryTxnType,$P255)=0,"",INDEX(EntryTxnType,$P255)))</f>
        <v/>
      </c>
      <c r="H255" s="27">
        <f>IF($P255="","",IF(INDEX(EntryDep,$P255)=0,"",INDEX(EntryDep,$P255)))</f>
        <v/>
      </c>
      <c r="I255" s="27">
        <f>IF($P255="","",IF(INDEX(EntryWit,$P255)=0,"",INDEX(EntryWit,$P255)))</f>
        <v/>
      </c>
      <c r="J255" s="27">
        <f>IF($B255="","",IF($A255=1,$C$7,IF(J254="",0,J254))+IF($H255="",0,$H255)-IF($I255="",0,$I255))</f>
        <v/>
      </c>
      <c r="K255" s="27">
        <f>IF($P255="","",IF(INDEX(EntryMan,$P255)=0,"",INDEX(EntryMan,$P255)))</f>
        <v/>
      </c>
      <c r="L255" s="26">
        <f>IF($B255="","",IF($K255="","—",IF(ROUND($K255-$J255,0)=0,"√","×")))</f>
        <v/>
      </c>
      <c r="M255" s="26">
        <f>IF($B255="","",IF(COUNTIFS(EntryDates,$B255,CalcTime,$C255,CalcBank,$C$5,EntryParty,$D255,EntryDep,$H255,EntryWit,$I255)&gt;1,"تکرار",""))</f>
        <v/>
      </c>
      <c r="N255" s="26">
        <f>IF($P255="","",IF(INDEX(EntryNotes,$P255)=0,"",INDEX(EntryNotes,$P255)))</f>
        <v/>
      </c>
      <c r="O255" s="26">
        <f>IF($P255="","",IF(INDEX(EntryTxnID,$P255)=0,"",INDEX(EntryTxnID,$P255)))</f>
        <v/>
      </c>
      <c r="P255" s="26">
        <f>IFERROR(MATCH($C$5&amp;"|"&amp;RIGHT("000000"&amp;239,6),CalcRankKey,0),"")</f>
        <v/>
      </c>
    </row>
    <row r="256">
      <c r="A256" s="28">
        <f>IF($B256="","",240)</f>
        <v/>
      </c>
      <c r="B256" s="28">
        <f>IF($P256="","",IF(INDEX(CalcNormDate,$P256)=0,"",INDEX(CalcNormDate,$P256)))</f>
        <v/>
      </c>
      <c r="C256" s="28">
        <f>IF($P256="","",IF(INDEX(CalcTime,$P256)=0,"",INDEX(CalcTime,$P256)))</f>
        <v/>
      </c>
      <c r="D256" s="28">
        <f>IF($P256="","",IF(INDEX(EntryParty,$P256)=0,"",INDEX(EntryParty,$P256)))</f>
        <v/>
      </c>
      <c r="E256" s="28">
        <f>IF($P256="","",IF(INDEX(EntryPartyName,$P256)=0,"",INDEX(EntryPartyName,$P256)))</f>
        <v/>
      </c>
      <c r="F256" s="28">
        <f>IF($P256="","",IF(INDEX(EntryPartyType,$P256)=0,"",INDEX(EntryPartyType,$P256)))</f>
        <v/>
      </c>
      <c r="G256" s="28">
        <f>IF($P256="","",IF(INDEX(EntryTxnType,$P256)=0,"",INDEX(EntryTxnType,$P256)))</f>
        <v/>
      </c>
      <c r="H256" s="29">
        <f>IF($P256="","",IF(INDEX(EntryDep,$P256)=0,"",INDEX(EntryDep,$P256)))</f>
        <v/>
      </c>
      <c r="I256" s="29">
        <f>IF($P256="","",IF(INDEX(EntryWit,$P256)=0,"",INDEX(EntryWit,$P256)))</f>
        <v/>
      </c>
      <c r="J256" s="29">
        <f>IF($B256="","",IF($A256=1,$C$7,IF(J255="",0,J255))+IF($H256="",0,$H256)-IF($I256="",0,$I256))</f>
        <v/>
      </c>
      <c r="K256" s="29">
        <f>IF($P256="","",IF(INDEX(EntryMan,$P256)=0,"",INDEX(EntryMan,$P256)))</f>
        <v/>
      </c>
      <c r="L256" s="28">
        <f>IF($B256="","",IF($K256="","—",IF(ROUND($K256-$J256,0)=0,"√","×")))</f>
        <v/>
      </c>
      <c r="M256" s="28">
        <f>IF($B256="","",IF(COUNTIFS(EntryDates,$B256,CalcTime,$C256,CalcBank,$C$5,EntryParty,$D256,EntryDep,$H256,EntryWit,$I256)&gt;1,"تکرار",""))</f>
        <v/>
      </c>
      <c r="N256" s="28">
        <f>IF($P256="","",IF(INDEX(EntryNotes,$P256)=0,"",INDEX(EntryNotes,$P256)))</f>
        <v/>
      </c>
      <c r="O256" s="28">
        <f>IF($P256="","",IF(INDEX(EntryTxnID,$P256)=0,"",INDEX(EntryTxnID,$P256)))</f>
        <v/>
      </c>
      <c r="P256" s="28">
        <f>IFERROR(MATCH($C$5&amp;"|"&amp;RIGHT("000000"&amp;240,6),CalcRankKey,0),"")</f>
        <v/>
      </c>
    </row>
    <row r="257">
      <c r="A257" s="26">
        <f>IF($B257="","",241)</f>
        <v/>
      </c>
      <c r="B257" s="26">
        <f>IF($P257="","",IF(INDEX(CalcNormDate,$P257)=0,"",INDEX(CalcNormDate,$P257)))</f>
        <v/>
      </c>
      <c r="C257" s="26">
        <f>IF($P257="","",IF(INDEX(CalcTime,$P257)=0,"",INDEX(CalcTime,$P257)))</f>
        <v/>
      </c>
      <c r="D257" s="26">
        <f>IF($P257="","",IF(INDEX(EntryParty,$P257)=0,"",INDEX(EntryParty,$P257)))</f>
        <v/>
      </c>
      <c r="E257" s="26">
        <f>IF($P257="","",IF(INDEX(EntryPartyName,$P257)=0,"",INDEX(EntryPartyName,$P257)))</f>
        <v/>
      </c>
      <c r="F257" s="26">
        <f>IF($P257="","",IF(INDEX(EntryPartyType,$P257)=0,"",INDEX(EntryPartyType,$P257)))</f>
        <v/>
      </c>
      <c r="G257" s="26">
        <f>IF($P257="","",IF(INDEX(EntryTxnType,$P257)=0,"",INDEX(EntryTxnType,$P257)))</f>
        <v/>
      </c>
      <c r="H257" s="27">
        <f>IF($P257="","",IF(INDEX(EntryDep,$P257)=0,"",INDEX(EntryDep,$P257)))</f>
        <v/>
      </c>
      <c r="I257" s="27">
        <f>IF($P257="","",IF(INDEX(EntryWit,$P257)=0,"",INDEX(EntryWit,$P257)))</f>
        <v/>
      </c>
      <c r="J257" s="27">
        <f>IF($B257="","",IF($A257=1,$C$7,IF(J256="",0,J256))+IF($H257="",0,$H257)-IF($I257="",0,$I257))</f>
        <v/>
      </c>
      <c r="K257" s="27">
        <f>IF($P257="","",IF(INDEX(EntryMan,$P257)=0,"",INDEX(EntryMan,$P257)))</f>
        <v/>
      </c>
      <c r="L257" s="26">
        <f>IF($B257="","",IF($K257="","—",IF(ROUND($K257-$J257,0)=0,"√","×")))</f>
        <v/>
      </c>
      <c r="M257" s="26">
        <f>IF($B257="","",IF(COUNTIFS(EntryDates,$B257,CalcTime,$C257,CalcBank,$C$5,EntryParty,$D257,EntryDep,$H257,EntryWit,$I257)&gt;1,"تکرار",""))</f>
        <v/>
      </c>
      <c r="N257" s="26">
        <f>IF($P257="","",IF(INDEX(EntryNotes,$P257)=0,"",INDEX(EntryNotes,$P257)))</f>
        <v/>
      </c>
      <c r="O257" s="26">
        <f>IF($P257="","",IF(INDEX(EntryTxnID,$P257)=0,"",INDEX(EntryTxnID,$P257)))</f>
        <v/>
      </c>
      <c r="P257" s="26">
        <f>IFERROR(MATCH($C$5&amp;"|"&amp;RIGHT("000000"&amp;241,6),CalcRankKey,0),"")</f>
        <v/>
      </c>
    </row>
    <row r="258">
      <c r="A258" s="28">
        <f>IF($B258="","",242)</f>
        <v/>
      </c>
      <c r="B258" s="28">
        <f>IF($P258="","",IF(INDEX(CalcNormDate,$P258)=0,"",INDEX(CalcNormDate,$P258)))</f>
        <v/>
      </c>
      <c r="C258" s="28">
        <f>IF($P258="","",IF(INDEX(CalcTime,$P258)=0,"",INDEX(CalcTime,$P258)))</f>
        <v/>
      </c>
      <c r="D258" s="28">
        <f>IF($P258="","",IF(INDEX(EntryParty,$P258)=0,"",INDEX(EntryParty,$P258)))</f>
        <v/>
      </c>
      <c r="E258" s="28">
        <f>IF($P258="","",IF(INDEX(EntryPartyName,$P258)=0,"",INDEX(EntryPartyName,$P258)))</f>
        <v/>
      </c>
      <c r="F258" s="28">
        <f>IF($P258="","",IF(INDEX(EntryPartyType,$P258)=0,"",INDEX(EntryPartyType,$P258)))</f>
        <v/>
      </c>
      <c r="G258" s="28">
        <f>IF($P258="","",IF(INDEX(EntryTxnType,$P258)=0,"",INDEX(EntryTxnType,$P258)))</f>
        <v/>
      </c>
      <c r="H258" s="29">
        <f>IF($P258="","",IF(INDEX(EntryDep,$P258)=0,"",INDEX(EntryDep,$P258)))</f>
        <v/>
      </c>
      <c r="I258" s="29">
        <f>IF($P258="","",IF(INDEX(EntryWit,$P258)=0,"",INDEX(EntryWit,$P258)))</f>
        <v/>
      </c>
      <c r="J258" s="29">
        <f>IF($B258="","",IF($A258=1,$C$7,IF(J257="",0,J257))+IF($H258="",0,$H258)-IF($I258="",0,$I258))</f>
        <v/>
      </c>
      <c r="K258" s="29">
        <f>IF($P258="","",IF(INDEX(EntryMan,$P258)=0,"",INDEX(EntryMan,$P258)))</f>
        <v/>
      </c>
      <c r="L258" s="28">
        <f>IF($B258="","",IF($K258="","—",IF(ROUND($K258-$J258,0)=0,"√","×")))</f>
        <v/>
      </c>
      <c r="M258" s="28">
        <f>IF($B258="","",IF(COUNTIFS(EntryDates,$B258,CalcTime,$C258,CalcBank,$C$5,EntryParty,$D258,EntryDep,$H258,EntryWit,$I258)&gt;1,"تکرار",""))</f>
        <v/>
      </c>
      <c r="N258" s="28">
        <f>IF($P258="","",IF(INDEX(EntryNotes,$P258)=0,"",INDEX(EntryNotes,$P258)))</f>
        <v/>
      </c>
      <c r="O258" s="28">
        <f>IF($P258="","",IF(INDEX(EntryTxnID,$P258)=0,"",INDEX(EntryTxnID,$P258)))</f>
        <v/>
      </c>
      <c r="P258" s="28">
        <f>IFERROR(MATCH($C$5&amp;"|"&amp;RIGHT("000000"&amp;242,6),CalcRankKey,0),"")</f>
        <v/>
      </c>
    </row>
    <row r="259">
      <c r="A259" s="26">
        <f>IF($B259="","",243)</f>
        <v/>
      </c>
      <c r="B259" s="26">
        <f>IF($P259="","",IF(INDEX(CalcNormDate,$P259)=0,"",INDEX(CalcNormDate,$P259)))</f>
        <v/>
      </c>
      <c r="C259" s="26">
        <f>IF($P259="","",IF(INDEX(CalcTime,$P259)=0,"",INDEX(CalcTime,$P259)))</f>
        <v/>
      </c>
      <c r="D259" s="26">
        <f>IF($P259="","",IF(INDEX(EntryParty,$P259)=0,"",INDEX(EntryParty,$P259)))</f>
        <v/>
      </c>
      <c r="E259" s="26">
        <f>IF($P259="","",IF(INDEX(EntryPartyName,$P259)=0,"",INDEX(EntryPartyName,$P259)))</f>
        <v/>
      </c>
      <c r="F259" s="26">
        <f>IF($P259="","",IF(INDEX(EntryPartyType,$P259)=0,"",INDEX(EntryPartyType,$P259)))</f>
        <v/>
      </c>
      <c r="G259" s="26">
        <f>IF($P259="","",IF(INDEX(EntryTxnType,$P259)=0,"",INDEX(EntryTxnType,$P259)))</f>
        <v/>
      </c>
      <c r="H259" s="27">
        <f>IF($P259="","",IF(INDEX(EntryDep,$P259)=0,"",INDEX(EntryDep,$P259)))</f>
        <v/>
      </c>
      <c r="I259" s="27">
        <f>IF($P259="","",IF(INDEX(EntryWit,$P259)=0,"",INDEX(EntryWit,$P259)))</f>
        <v/>
      </c>
      <c r="J259" s="27">
        <f>IF($B259="","",IF($A259=1,$C$7,IF(J258="",0,J258))+IF($H259="",0,$H259)-IF($I259="",0,$I259))</f>
        <v/>
      </c>
      <c r="K259" s="27">
        <f>IF($P259="","",IF(INDEX(EntryMan,$P259)=0,"",INDEX(EntryMan,$P259)))</f>
        <v/>
      </c>
      <c r="L259" s="26">
        <f>IF($B259="","",IF($K259="","—",IF(ROUND($K259-$J259,0)=0,"√","×")))</f>
        <v/>
      </c>
      <c r="M259" s="26">
        <f>IF($B259="","",IF(COUNTIFS(EntryDates,$B259,CalcTime,$C259,CalcBank,$C$5,EntryParty,$D259,EntryDep,$H259,EntryWit,$I259)&gt;1,"تکرار",""))</f>
        <v/>
      </c>
      <c r="N259" s="26">
        <f>IF($P259="","",IF(INDEX(EntryNotes,$P259)=0,"",INDEX(EntryNotes,$P259)))</f>
        <v/>
      </c>
      <c r="O259" s="26">
        <f>IF($P259="","",IF(INDEX(EntryTxnID,$P259)=0,"",INDEX(EntryTxnID,$P259)))</f>
        <v/>
      </c>
      <c r="P259" s="26">
        <f>IFERROR(MATCH($C$5&amp;"|"&amp;RIGHT("000000"&amp;243,6),CalcRankKey,0),"")</f>
        <v/>
      </c>
    </row>
    <row r="260">
      <c r="A260" s="28">
        <f>IF($B260="","",244)</f>
        <v/>
      </c>
      <c r="B260" s="28">
        <f>IF($P260="","",IF(INDEX(CalcNormDate,$P260)=0,"",INDEX(CalcNormDate,$P260)))</f>
        <v/>
      </c>
      <c r="C260" s="28">
        <f>IF($P260="","",IF(INDEX(CalcTime,$P260)=0,"",INDEX(CalcTime,$P260)))</f>
        <v/>
      </c>
      <c r="D260" s="28">
        <f>IF($P260="","",IF(INDEX(EntryParty,$P260)=0,"",INDEX(EntryParty,$P260)))</f>
        <v/>
      </c>
      <c r="E260" s="28">
        <f>IF($P260="","",IF(INDEX(EntryPartyName,$P260)=0,"",INDEX(EntryPartyName,$P260)))</f>
        <v/>
      </c>
      <c r="F260" s="28">
        <f>IF($P260="","",IF(INDEX(EntryPartyType,$P260)=0,"",INDEX(EntryPartyType,$P260)))</f>
        <v/>
      </c>
      <c r="G260" s="28">
        <f>IF($P260="","",IF(INDEX(EntryTxnType,$P260)=0,"",INDEX(EntryTxnType,$P260)))</f>
        <v/>
      </c>
      <c r="H260" s="29">
        <f>IF($P260="","",IF(INDEX(EntryDep,$P260)=0,"",INDEX(EntryDep,$P260)))</f>
        <v/>
      </c>
      <c r="I260" s="29">
        <f>IF($P260="","",IF(INDEX(EntryWit,$P260)=0,"",INDEX(EntryWit,$P260)))</f>
        <v/>
      </c>
      <c r="J260" s="29">
        <f>IF($B260="","",IF($A260=1,$C$7,IF(J259="",0,J259))+IF($H260="",0,$H260)-IF($I260="",0,$I260))</f>
        <v/>
      </c>
      <c r="K260" s="29">
        <f>IF($P260="","",IF(INDEX(EntryMan,$P260)=0,"",INDEX(EntryMan,$P260)))</f>
        <v/>
      </c>
      <c r="L260" s="28">
        <f>IF($B260="","",IF($K260="","—",IF(ROUND($K260-$J260,0)=0,"√","×")))</f>
        <v/>
      </c>
      <c r="M260" s="28">
        <f>IF($B260="","",IF(COUNTIFS(EntryDates,$B260,CalcTime,$C260,CalcBank,$C$5,EntryParty,$D260,EntryDep,$H260,EntryWit,$I260)&gt;1,"تکرار",""))</f>
        <v/>
      </c>
      <c r="N260" s="28">
        <f>IF($P260="","",IF(INDEX(EntryNotes,$P260)=0,"",INDEX(EntryNotes,$P260)))</f>
        <v/>
      </c>
      <c r="O260" s="28">
        <f>IF($P260="","",IF(INDEX(EntryTxnID,$P260)=0,"",INDEX(EntryTxnID,$P260)))</f>
        <v/>
      </c>
      <c r="P260" s="28">
        <f>IFERROR(MATCH($C$5&amp;"|"&amp;RIGHT("000000"&amp;244,6),CalcRankKey,0),"")</f>
        <v/>
      </c>
    </row>
    <row r="261">
      <c r="A261" s="26">
        <f>IF($B261="","",245)</f>
        <v/>
      </c>
      <c r="B261" s="26">
        <f>IF($P261="","",IF(INDEX(CalcNormDate,$P261)=0,"",INDEX(CalcNormDate,$P261)))</f>
        <v/>
      </c>
      <c r="C261" s="26">
        <f>IF($P261="","",IF(INDEX(CalcTime,$P261)=0,"",INDEX(CalcTime,$P261)))</f>
        <v/>
      </c>
      <c r="D261" s="26">
        <f>IF($P261="","",IF(INDEX(EntryParty,$P261)=0,"",INDEX(EntryParty,$P261)))</f>
        <v/>
      </c>
      <c r="E261" s="26">
        <f>IF($P261="","",IF(INDEX(EntryPartyName,$P261)=0,"",INDEX(EntryPartyName,$P261)))</f>
        <v/>
      </c>
      <c r="F261" s="26">
        <f>IF($P261="","",IF(INDEX(EntryPartyType,$P261)=0,"",INDEX(EntryPartyType,$P261)))</f>
        <v/>
      </c>
      <c r="G261" s="26">
        <f>IF($P261="","",IF(INDEX(EntryTxnType,$P261)=0,"",INDEX(EntryTxnType,$P261)))</f>
        <v/>
      </c>
      <c r="H261" s="27">
        <f>IF($P261="","",IF(INDEX(EntryDep,$P261)=0,"",INDEX(EntryDep,$P261)))</f>
        <v/>
      </c>
      <c r="I261" s="27">
        <f>IF($P261="","",IF(INDEX(EntryWit,$P261)=0,"",INDEX(EntryWit,$P261)))</f>
        <v/>
      </c>
      <c r="J261" s="27">
        <f>IF($B261="","",IF($A261=1,$C$7,IF(J260="",0,J260))+IF($H261="",0,$H261)-IF($I261="",0,$I261))</f>
        <v/>
      </c>
      <c r="K261" s="27">
        <f>IF($P261="","",IF(INDEX(EntryMan,$P261)=0,"",INDEX(EntryMan,$P261)))</f>
        <v/>
      </c>
      <c r="L261" s="26">
        <f>IF($B261="","",IF($K261="","—",IF(ROUND($K261-$J261,0)=0,"√","×")))</f>
        <v/>
      </c>
      <c r="M261" s="26">
        <f>IF($B261="","",IF(COUNTIFS(EntryDates,$B261,CalcTime,$C261,CalcBank,$C$5,EntryParty,$D261,EntryDep,$H261,EntryWit,$I261)&gt;1,"تکرار",""))</f>
        <v/>
      </c>
      <c r="N261" s="26">
        <f>IF($P261="","",IF(INDEX(EntryNotes,$P261)=0,"",INDEX(EntryNotes,$P261)))</f>
        <v/>
      </c>
      <c r="O261" s="26">
        <f>IF($P261="","",IF(INDEX(EntryTxnID,$P261)=0,"",INDEX(EntryTxnID,$P261)))</f>
        <v/>
      </c>
      <c r="P261" s="26">
        <f>IFERROR(MATCH($C$5&amp;"|"&amp;RIGHT("000000"&amp;245,6),CalcRankKey,0),"")</f>
        <v/>
      </c>
    </row>
    <row r="262">
      <c r="A262" s="28">
        <f>IF($B262="","",246)</f>
        <v/>
      </c>
      <c r="B262" s="28">
        <f>IF($P262="","",IF(INDEX(CalcNormDate,$P262)=0,"",INDEX(CalcNormDate,$P262)))</f>
        <v/>
      </c>
      <c r="C262" s="28">
        <f>IF($P262="","",IF(INDEX(CalcTime,$P262)=0,"",INDEX(CalcTime,$P262)))</f>
        <v/>
      </c>
      <c r="D262" s="28">
        <f>IF($P262="","",IF(INDEX(EntryParty,$P262)=0,"",INDEX(EntryParty,$P262)))</f>
        <v/>
      </c>
      <c r="E262" s="28">
        <f>IF($P262="","",IF(INDEX(EntryPartyName,$P262)=0,"",INDEX(EntryPartyName,$P262)))</f>
        <v/>
      </c>
      <c r="F262" s="28">
        <f>IF($P262="","",IF(INDEX(EntryPartyType,$P262)=0,"",INDEX(EntryPartyType,$P262)))</f>
        <v/>
      </c>
      <c r="G262" s="28">
        <f>IF($P262="","",IF(INDEX(EntryTxnType,$P262)=0,"",INDEX(EntryTxnType,$P262)))</f>
        <v/>
      </c>
      <c r="H262" s="29">
        <f>IF($P262="","",IF(INDEX(EntryDep,$P262)=0,"",INDEX(EntryDep,$P262)))</f>
        <v/>
      </c>
      <c r="I262" s="29">
        <f>IF($P262="","",IF(INDEX(EntryWit,$P262)=0,"",INDEX(EntryWit,$P262)))</f>
        <v/>
      </c>
      <c r="J262" s="29">
        <f>IF($B262="","",IF($A262=1,$C$7,IF(J261="",0,J261))+IF($H262="",0,$H262)-IF($I262="",0,$I262))</f>
        <v/>
      </c>
      <c r="K262" s="29">
        <f>IF($P262="","",IF(INDEX(EntryMan,$P262)=0,"",INDEX(EntryMan,$P262)))</f>
        <v/>
      </c>
      <c r="L262" s="28">
        <f>IF($B262="","",IF($K262="","—",IF(ROUND($K262-$J262,0)=0,"√","×")))</f>
        <v/>
      </c>
      <c r="M262" s="28">
        <f>IF($B262="","",IF(COUNTIFS(EntryDates,$B262,CalcTime,$C262,CalcBank,$C$5,EntryParty,$D262,EntryDep,$H262,EntryWit,$I262)&gt;1,"تکرار",""))</f>
        <v/>
      </c>
      <c r="N262" s="28">
        <f>IF($P262="","",IF(INDEX(EntryNotes,$P262)=0,"",INDEX(EntryNotes,$P262)))</f>
        <v/>
      </c>
      <c r="O262" s="28">
        <f>IF($P262="","",IF(INDEX(EntryTxnID,$P262)=0,"",INDEX(EntryTxnID,$P262)))</f>
        <v/>
      </c>
      <c r="P262" s="28">
        <f>IFERROR(MATCH($C$5&amp;"|"&amp;RIGHT("000000"&amp;246,6),CalcRankKey,0),"")</f>
        <v/>
      </c>
    </row>
    <row r="263">
      <c r="A263" s="26">
        <f>IF($B263="","",247)</f>
        <v/>
      </c>
      <c r="B263" s="26">
        <f>IF($P263="","",IF(INDEX(CalcNormDate,$P263)=0,"",INDEX(CalcNormDate,$P263)))</f>
        <v/>
      </c>
      <c r="C263" s="26">
        <f>IF($P263="","",IF(INDEX(CalcTime,$P263)=0,"",INDEX(CalcTime,$P263)))</f>
        <v/>
      </c>
      <c r="D263" s="26">
        <f>IF($P263="","",IF(INDEX(EntryParty,$P263)=0,"",INDEX(EntryParty,$P263)))</f>
        <v/>
      </c>
      <c r="E263" s="26">
        <f>IF($P263="","",IF(INDEX(EntryPartyName,$P263)=0,"",INDEX(EntryPartyName,$P263)))</f>
        <v/>
      </c>
      <c r="F263" s="26">
        <f>IF($P263="","",IF(INDEX(EntryPartyType,$P263)=0,"",INDEX(EntryPartyType,$P263)))</f>
        <v/>
      </c>
      <c r="G263" s="26">
        <f>IF($P263="","",IF(INDEX(EntryTxnType,$P263)=0,"",INDEX(EntryTxnType,$P263)))</f>
        <v/>
      </c>
      <c r="H263" s="27">
        <f>IF($P263="","",IF(INDEX(EntryDep,$P263)=0,"",INDEX(EntryDep,$P263)))</f>
        <v/>
      </c>
      <c r="I263" s="27">
        <f>IF($P263="","",IF(INDEX(EntryWit,$P263)=0,"",INDEX(EntryWit,$P263)))</f>
        <v/>
      </c>
      <c r="J263" s="27">
        <f>IF($B263="","",IF($A263=1,$C$7,IF(J262="",0,J262))+IF($H263="",0,$H263)-IF($I263="",0,$I263))</f>
        <v/>
      </c>
      <c r="K263" s="27">
        <f>IF($P263="","",IF(INDEX(EntryMan,$P263)=0,"",INDEX(EntryMan,$P263)))</f>
        <v/>
      </c>
      <c r="L263" s="26">
        <f>IF($B263="","",IF($K263="","—",IF(ROUND($K263-$J263,0)=0,"√","×")))</f>
        <v/>
      </c>
      <c r="M263" s="26">
        <f>IF($B263="","",IF(COUNTIFS(EntryDates,$B263,CalcTime,$C263,CalcBank,$C$5,EntryParty,$D263,EntryDep,$H263,EntryWit,$I263)&gt;1,"تکرار",""))</f>
        <v/>
      </c>
      <c r="N263" s="26">
        <f>IF($P263="","",IF(INDEX(EntryNotes,$P263)=0,"",INDEX(EntryNotes,$P263)))</f>
        <v/>
      </c>
      <c r="O263" s="26">
        <f>IF($P263="","",IF(INDEX(EntryTxnID,$P263)=0,"",INDEX(EntryTxnID,$P263)))</f>
        <v/>
      </c>
      <c r="P263" s="26">
        <f>IFERROR(MATCH($C$5&amp;"|"&amp;RIGHT("000000"&amp;247,6),CalcRankKey,0),"")</f>
        <v/>
      </c>
    </row>
    <row r="264">
      <c r="A264" s="28">
        <f>IF($B264="","",248)</f>
        <v/>
      </c>
      <c r="B264" s="28">
        <f>IF($P264="","",IF(INDEX(CalcNormDate,$P264)=0,"",INDEX(CalcNormDate,$P264)))</f>
        <v/>
      </c>
      <c r="C264" s="28">
        <f>IF($P264="","",IF(INDEX(CalcTime,$P264)=0,"",INDEX(CalcTime,$P264)))</f>
        <v/>
      </c>
      <c r="D264" s="28">
        <f>IF($P264="","",IF(INDEX(EntryParty,$P264)=0,"",INDEX(EntryParty,$P264)))</f>
        <v/>
      </c>
      <c r="E264" s="28">
        <f>IF($P264="","",IF(INDEX(EntryPartyName,$P264)=0,"",INDEX(EntryPartyName,$P264)))</f>
        <v/>
      </c>
      <c r="F264" s="28">
        <f>IF($P264="","",IF(INDEX(EntryPartyType,$P264)=0,"",INDEX(EntryPartyType,$P264)))</f>
        <v/>
      </c>
      <c r="G264" s="28">
        <f>IF($P264="","",IF(INDEX(EntryTxnType,$P264)=0,"",INDEX(EntryTxnType,$P264)))</f>
        <v/>
      </c>
      <c r="H264" s="29">
        <f>IF($P264="","",IF(INDEX(EntryDep,$P264)=0,"",INDEX(EntryDep,$P264)))</f>
        <v/>
      </c>
      <c r="I264" s="29">
        <f>IF($P264="","",IF(INDEX(EntryWit,$P264)=0,"",INDEX(EntryWit,$P264)))</f>
        <v/>
      </c>
      <c r="J264" s="29">
        <f>IF($B264="","",IF($A264=1,$C$7,IF(J263="",0,J263))+IF($H264="",0,$H264)-IF($I264="",0,$I264))</f>
        <v/>
      </c>
      <c r="K264" s="29">
        <f>IF($P264="","",IF(INDEX(EntryMan,$P264)=0,"",INDEX(EntryMan,$P264)))</f>
        <v/>
      </c>
      <c r="L264" s="28">
        <f>IF($B264="","",IF($K264="","—",IF(ROUND($K264-$J264,0)=0,"√","×")))</f>
        <v/>
      </c>
      <c r="M264" s="28">
        <f>IF($B264="","",IF(COUNTIFS(EntryDates,$B264,CalcTime,$C264,CalcBank,$C$5,EntryParty,$D264,EntryDep,$H264,EntryWit,$I264)&gt;1,"تکرار",""))</f>
        <v/>
      </c>
      <c r="N264" s="28">
        <f>IF($P264="","",IF(INDEX(EntryNotes,$P264)=0,"",INDEX(EntryNotes,$P264)))</f>
        <v/>
      </c>
      <c r="O264" s="28">
        <f>IF($P264="","",IF(INDEX(EntryTxnID,$P264)=0,"",INDEX(EntryTxnID,$P264)))</f>
        <v/>
      </c>
      <c r="P264" s="28">
        <f>IFERROR(MATCH($C$5&amp;"|"&amp;RIGHT("000000"&amp;248,6),CalcRankKey,0),"")</f>
        <v/>
      </c>
    </row>
    <row r="265">
      <c r="A265" s="26">
        <f>IF($B265="","",249)</f>
        <v/>
      </c>
      <c r="B265" s="26">
        <f>IF($P265="","",IF(INDEX(CalcNormDate,$P265)=0,"",INDEX(CalcNormDate,$P265)))</f>
        <v/>
      </c>
      <c r="C265" s="26">
        <f>IF($P265="","",IF(INDEX(CalcTime,$P265)=0,"",INDEX(CalcTime,$P265)))</f>
        <v/>
      </c>
      <c r="D265" s="26">
        <f>IF($P265="","",IF(INDEX(EntryParty,$P265)=0,"",INDEX(EntryParty,$P265)))</f>
        <v/>
      </c>
      <c r="E265" s="26">
        <f>IF($P265="","",IF(INDEX(EntryPartyName,$P265)=0,"",INDEX(EntryPartyName,$P265)))</f>
        <v/>
      </c>
      <c r="F265" s="26">
        <f>IF($P265="","",IF(INDEX(EntryPartyType,$P265)=0,"",INDEX(EntryPartyType,$P265)))</f>
        <v/>
      </c>
      <c r="G265" s="26">
        <f>IF($P265="","",IF(INDEX(EntryTxnType,$P265)=0,"",INDEX(EntryTxnType,$P265)))</f>
        <v/>
      </c>
      <c r="H265" s="27">
        <f>IF($P265="","",IF(INDEX(EntryDep,$P265)=0,"",INDEX(EntryDep,$P265)))</f>
        <v/>
      </c>
      <c r="I265" s="27">
        <f>IF($P265="","",IF(INDEX(EntryWit,$P265)=0,"",INDEX(EntryWit,$P265)))</f>
        <v/>
      </c>
      <c r="J265" s="27">
        <f>IF($B265="","",IF($A265=1,$C$7,IF(J264="",0,J264))+IF($H265="",0,$H265)-IF($I265="",0,$I265))</f>
        <v/>
      </c>
      <c r="K265" s="27">
        <f>IF($P265="","",IF(INDEX(EntryMan,$P265)=0,"",INDEX(EntryMan,$P265)))</f>
        <v/>
      </c>
      <c r="L265" s="26">
        <f>IF($B265="","",IF($K265="","—",IF(ROUND($K265-$J265,0)=0,"√","×")))</f>
        <v/>
      </c>
      <c r="M265" s="26">
        <f>IF($B265="","",IF(COUNTIFS(EntryDates,$B265,CalcTime,$C265,CalcBank,$C$5,EntryParty,$D265,EntryDep,$H265,EntryWit,$I265)&gt;1,"تکرار",""))</f>
        <v/>
      </c>
      <c r="N265" s="26">
        <f>IF($P265="","",IF(INDEX(EntryNotes,$P265)=0,"",INDEX(EntryNotes,$P265)))</f>
        <v/>
      </c>
      <c r="O265" s="26">
        <f>IF($P265="","",IF(INDEX(EntryTxnID,$P265)=0,"",INDEX(EntryTxnID,$P265)))</f>
        <v/>
      </c>
      <c r="P265" s="26">
        <f>IFERROR(MATCH($C$5&amp;"|"&amp;RIGHT("000000"&amp;249,6),CalcRankKey,0),"")</f>
        <v/>
      </c>
    </row>
    <row r="266">
      <c r="A266" s="28">
        <f>IF($B266="","",250)</f>
        <v/>
      </c>
      <c r="B266" s="28">
        <f>IF($P266="","",IF(INDEX(CalcNormDate,$P266)=0,"",INDEX(CalcNormDate,$P266)))</f>
        <v/>
      </c>
      <c r="C266" s="28">
        <f>IF($P266="","",IF(INDEX(CalcTime,$P266)=0,"",INDEX(CalcTime,$P266)))</f>
        <v/>
      </c>
      <c r="D266" s="28">
        <f>IF($P266="","",IF(INDEX(EntryParty,$P266)=0,"",INDEX(EntryParty,$P266)))</f>
        <v/>
      </c>
      <c r="E266" s="28">
        <f>IF($P266="","",IF(INDEX(EntryPartyName,$P266)=0,"",INDEX(EntryPartyName,$P266)))</f>
        <v/>
      </c>
      <c r="F266" s="28">
        <f>IF($P266="","",IF(INDEX(EntryPartyType,$P266)=0,"",INDEX(EntryPartyType,$P266)))</f>
        <v/>
      </c>
      <c r="G266" s="28">
        <f>IF($P266="","",IF(INDEX(EntryTxnType,$P266)=0,"",INDEX(EntryTxnType,$P266)))</f>
        <v/>
      </c>
      <c r="H266" s="29">
        <f>IF($P266="","",IF(INDEX(EntryDep,$P266)=0,"",INDEX(EntryDep,$P266)))</f>
        <v/>
      </c>
      <c r="I266" s="29">
        <f>IF($P266="","",IF(INDEX(EntryWit,$P266)=0,"",INDEX(EntryWit,$P266)))</f>
        <v/>
      </c>
      <c r="J266" s="29">
        <f>IF($B266="","",IF($A266=1,$C$7,IF(J265="",0,J265))+IF($H266="",0,$H266)-IF($I266="",0,$I266))</f>
        <v/>
      </c>
      <c r="K266" s="29">
        <f>IF($P266="","",IF(INDEX(EntryMan,$P266)=0,"",INDEX(EntryMan,$P266)))</f>
        <v/>
      </c>
      <c r="L266" s="28">
        <f>IF($B266="","",IF($K266="","—",IF(ROUND($K266-$J266,0)=0,"√","×")))</f>
        <v/>
      </c>
      <c r="M266" s="28">
        <f>IF($B266="","",IF(COUNTIFS(EntryDates,$B266,CalcTime,$C266,CalcBank,$C$5,EntryParty,$D266,EntryDep,$H266,EntryWit,$I266)&gt;1,"تکرار",""))</f>
        <v/>
      </c>
      <c r="N266" s="28">
        <f>IF($P266="","",IF(INDEX(EntryNotes,$P266)=0,"",INDEX(EntryNotes,$P266)))</f>
        <v/>
      </c>
      <c r="O266" s="28">
        <f>IF($P266="","",IF(INDEX(EntryTxnID,$P266)=0,"",INDEX(EntryTxnID,$P266)))</f>
        <v/>
      </c>
      <c r="P266" s="28">
        <f>IFERROR(MATCH($C$5&amp;"|"&amp;RIGHT("000000"&amp;250,6),CalcRankKey,0),"")</f>
        <v/>
      </c>
    </row>
    <row r="267">
      <c r="A267" s="26">
        <f>IF($B267="","",251)</f>
        <v/>
      </c>
      <c r="B267" s="26">
        <f>IF($P267="","",IF(INDEX(CalcNormDate,$P267)=0,"",INDEX(CalcNormDate,$P267)))</f>
        <v/>
      </c>
      <c r="C267" s="26">
        <f>IF($P267="","",IF(INDEX(CalcTime,$P267)=0,"",INDEX(CalcTime,$P267)))</f>
        <v/>
      </c>
      <c r="D267" s="26">
        <f>IF($P267="","",IF(INDEX(EntryParty,$P267)=0,"",INDEX(EntryParty,$P267)))</f>
        <v/>
      </c>
      <c r="E267" s="26">
        <f>IF($P267="","",IF(INDEX(EntryPartyName,$P267)=0,"",INDEX(EntryPartyName,$P267)))</f>
        <v/>
      </c>
      <c r="F267" s="26">
        <f>IF($P267="","",IF(INDEX(EntryPartyType,$P267)=0,"",INDEX(EntryPartyType,$P267)))</f>
        <v/>
      </c>
      <c r="G267" s="26">
        <f>IF($P267="","",IF(INDEX(EntryTxnType,$P267)=0,"",INDEX(EntryTxnType,$P267)))</f>
        <v/>
      </c>
      <c r="H267" s="27">
        <f>IF($P267="","",IF(INDEX(EntryDep,$P267)=0,"",INDEX(EntryDep,$P267)))</f>
        <v/>
      </c>
      <c r="I267" s="27">
        <f>IF($P267="","",IF(INDEX(EntryWit,$P267)=0,"",INDEX(EntryWit,$P267)))</f>
        <v/>
      </c>
      <c r="J267" s="27">
        <f>IF($B267="","",IF($A267=1,$C$7,IF(J266="",0,J266))+IF($H267="",0,$H267)-IF($I267="",0,$I267))</f>
        <v/>
      </c>
      <c r="K267" s="27">
        <f>IF($P267="","",IF(INDEX(EntryMan,$P267)=0,"",INDEX(EntryMan,$P267)))</f>
        <v/>
      </c>
      <c r="L267" s="26">
        <f>IF($B267="","",IF($K267="","—",IF(ROUND($K267-$J267,0)=0,"√","×")))</f>
        <v/>
      </c>
      <c r="M267" s="26">
        <f>IF($B267="","",IF(COUNTIFS(EntryDates,$B267,CalcTime,$C267,CalcBank,$C$5,EntryParty,$D267,EntryDep,$H267,EntryWit,$I267)&gt;1,"تکرار",""))</f>
        <v/>
      </c>
      <c r="N267" s="26">
        <f>IF($P267="","",IF(INDEX(EntryNotes,$P267)=0,"",INDEX(EntryNotes,$P267)))</f>
        <v/>
      </c>
      <c r="O267" s="26">
        <f>IF($P267="","",IF(INDEX(EntryTxnID,$P267)=0,"",INDEX(EntryTxnID,$P267)))</f>
        <v/>
      </c>
      <c r="P267" s="26">
        <f>IFERROR(MATCH($C$5&amp;"|"&amp;RIGHT("000000"&amp;251,6),CalcRankKey,0),"")</f>
        <v/>
      </c>
    </row>
    <row r="268">
      <c r="A268" s="28">
        <f>IF($B268="","",252)</f>
        <v/>
      </c>
      <c r="B268" s="28">
        <f>IF($P268="","",IF(INDEX(CalcNormDate,$P268)=0,"",INDEX(CalcNormDate,$P268)))</f>
        <v/>
      </c>
      <c r="C268" s="28">
        <f>IF($P268="","",IF(INDEX(CalcTime,$P268)=0,"",INDEX(CalcTime,$P268)))</f>
        <v/>
      </c>
      <c r="D268" s="28">
        <f>IF($P268="","",IF(INDEX(EntryParty,$P268)=0,"",INDEX(EntryParty,$P268)))</f>
        <v/>
      </c>
      <c r="E268" s="28">
        <f>IF($P268="","",IF(INDEX(EntryPartyName,$P268)=0,"",INDEX(EntryPartyName,$P268)))</f>
        <v/>
      </c>
      <c r="F268" s="28">
        <f>IF($P268="","",IF(INDEX(EntryPartyType,$P268)=0,"",INDEX(EntryPartyType,$P268)))</f>
        <v/>
      </c>
      <c r="G268" s="28">
        <f>IF($P268="","",IF(INDEX(EntryTxnType,$P268)=0,"",INDEX(EntryTxnType,$P268)))</f>
        <v/>
      </c>
      <c r="H268" s="29">
        <f>IF($P268="","",IF(INDEX(EntryDep,$P268)=0,"",INDEX(EntryDep,$P268)))</f>
        <v/>
      </c>
      <c r="I268" s="29">
        <f>IF($P268="","",IF(INDEX(EntryWit,$P268)=0,"",INDEX(EntryWit,$P268)))</f>
        <v/>
      </c>
      <c r="J268" s="29">
        <f>IF($B268="","",IF($A268=1,$C$7,IF(J267="",0,J267))+IF($H268="",0,$H268)-IF($I268="",0,$I268))</f>
        <v/>
      </c>
      <c r="K268" s="29">
        <f>IF($P268="","",IF(INDEX(EntryMan,$P268)=0,"",INDEX(EntryMan,$P268)))</f>
        <v/>
      </c>
      <c r="L268" s="28">
        <f>IF($B268="","",IF($K268="","—",IF(ROUND($K268-$J268,0)=0,"√","×")))</f>
        <v/>
      </c>
      <c r="M268" s="28">
        <f>IF($B268="","",IF(COUNTIFS(EntryDates,$B268,CalcTime,$C268,CalcBank,$C$5,EntryParty,$D268,EntryDep,$H268,EntryWit,$I268)&gt;1,"تکرار",""))</f>
        <v/>
      </c>
      <c r="N268" s="28">
        <f>IF($P268="","",IF(INDEX(EntryNotes,$P268)=0,"",INDEX(EntryNotes,$P268)))</f>
        <v/>
      </c>
      <c r="O268" s="28">
        <f>IF($P268="","",IF(INDEX(EntryTxnID,$P268)=0,"",INDEX(EntryTxnID,$P268)))</f>
        <v/>
      </c>
      <c r="P268" s="28">
        <f>IFERROR(MATCH($C$5&amp;"|"&amp;RIGHT("000000"&amp;252,6),CalcRankKey,0),"")</f>
        <v/>
      </c>
    </row>
    <row r="269">
      <c r="A269" s="26">
        <f>IF($B269="","",253)</f>
        <v/>
      </c>
      <c r="B269" s="26">
        <f>IF($P269="","",IF(INDEX(CalcNormDate,$P269)=0,"",INDEX(CalcNormDate,$P269)))</f>
        <v/>
      </c>
      <c r="C269" s="26">
        <f>IF($P269="","",IF(INDEX(CalcTime,$P269)=0,"",INDEX(CalcTime,$P269)))</f>
        <v/>
      </c>
      <c r="D269" s="26">
        <f>IF($P269="","",IF(INDEX(EntryParty,$P269)=0,"",INDEX(EntryParty,$P269)))</f>
        <v/>
      </c>
      <c r="E269" s="26">
        <f>IF($P269="","",IF(INDEX(EntryPartyName,$P269)=0,"",INDEX(EntryPartyName,$P269)))</f>
        <v/>
      </c>
      <c r="F269" s="26">
        <f>IF($P269="","",IF(INDEX(EntryPartyType,$P269)=0,"",INDEX(EntryPartyType,$P269)))</f>
        <v/>
      </c>
      <c r="G269" s="26">
        <f>IF($P269="","",IF(INDEX(EntryTxnType,$P269)=0,"",INDEX(EntryTxnType,$P269)))</f>
        <v/>
      </c>
      <c r="H269" s="27">
        <f>IF($P269="","",IF(INDEX(EntryDep,$P269)=0,"",INDEX(EntryDep,$P269)))</f>
        <v/>
      </c>
      <c r="I269" s="27">
        <f>IF($P269="","",IF(INDEX(EntryWit,$P269)=0,"",INDEX(EntryWit,$P269)))</f>
        <v/>
      </c>
      <c r="J269" s="27">
        <f>IF($B269="","",IF($A269=1,$C$7,IF(J268="",0,J268))+IF($H269="",0,$H269)-IF($I269="",0,$I269))</f>
        <v/>
      </c>
      <c r="K269" s="27">
        <f>IF($P269="","",IF(INDEX(EntryMan,$P269)=0,"",INDEX(EntryMan,$P269)))</f>
        <v/>
      </c>
      <c r="L269" s="26">
        <f>IF($B269="","",IF($K269="","—",IF(ROUND($K269-$J269,0)=0,"√","×")))</f>
        <v/>
      </c>
      <c r="M269" s="26">
        <f>IF($B269="","",IF(COUNTIFS(EntryDates,$B269,CalcTime,$C269,CalcBank,$C$5,EntryParty,$D269,EntryDep,$H269,EntryWit,$I269)&gt;1,"تکرار",""))</f>
        <v/>
      </c>
      <c r="N269" s="26">
        <f>IF($P269="","",IF(INDEX(EntryNotes,$P269)=0,"",INDEX(EntryNotes,$P269)))</f>
        <v/>
      </c>
      <c r="O269" s="26">
        <f>IF($P269="","",IF(INDEX(EntryTxnID,$P269)=0,"",INDEX(EntryTxnID,$P269)))</f>
        <v/>
      </c>
      <c r="P269" s="26">
        <f>IFERROR(MATCH($C$5&amp;"|"&amp;RIGHT("000000"&amp;253,6),CalcRankKey,0),"")</f>
        <v/>
      </c>
    </row>
    <row r="270">
      <c r="A270" s="28">
        <f>IF($B270="","",254)</f>
        <v/>
      </c>
      <c r="B270" s="28">
        <f>IF($P270="","",IF(INDEX(CalcNormDate,$P270)=0,"",INDEX(CalcNormDate,$P270)))</f>
        <v/>
      </c>
      <c r="C270" s="28">
        <f>IF($P270="","",IF(INDEX(CalcTime,$P270)=0,"",INDEX(CalcTime,$P270)))</f>
        <v/>
      </c>
      <c r="D270" s="28">
        <f>IF($P270="","",IF(INDEX(EntryParty,$P270)=0,"",INDEX(EntryParty,$P270)))</f>
        <v/>
      </c>
      <c r="E270" s="28">
        <f>IF($P270="","",IF(INDEX(EntryPartyName,$P270)=0,"",INDEX(EntryPartyName,$P270)))</f>
        <v/>
      </c>
      <c r="F270" s="28">
        <f>IF($P270="","",IF(INDEX(EntryPartyType,$P270)=0,"",INDEX(EntryPartyType,$P270)))</f>
        <v/>
      </c>
      <c r="G270" s="28">
        <f>IF($P270="","",IF(INDEX(EntryTxnType,$P270)=0,"",INDEX(EntryTxnType,$P270)))</f>
        <v/>
      </c>
      <c r="H270" s="29">
        <f>IF($P270="","",IF(INDEX(EntryDep,$P270)=0,"",INDEX(EntryDep,$P270)))</f>
        <v/>
      </c>
      <c r="I270" s="29">
        <f>IF($P270="","",IF(INDEX(EntryWit,$P270)=0,"",INDEX(EntryWit,$P270)))</f>
        <v/>
      </c>
      <c r="J270" s="29">
        <f>IF($B270="","",IF($A270=1,$C$7,IF(J269="",0,J269))+IF($H270="",0,$H270)-IF($I270="",0,$I270))</f>
        <v/>
      </c>
      <c r="K270" s="29">
        <f>IF($P270="","",IF(INDEX(EntryMan,$P270)=0,"",INDEX(EntryMan,$P270)))</f>
        <v/>
      </c>
      <c r="L270" s="28">
        <f>IF($B270="","",IF($K270="","—",IF(ROUND($K270-$J270,0)=0,"√","×")))</f>
        <v/>
      </c>
      <c r="M270" s="28">
        <f>IF($B270="","",IF(COUNTIFS(EntryDates,$B270,CalcTime,$C270,CalcBank,$C$5,EntryParty,$D270,EntryDep,$H270,EntryWit,$I270)&gt;1,"تکرار",""))</f>
        <v/>
      </c>
      <c r="N270" s="28">
        <f>IF($P270="","",IF(INDEX(EntryNotes,$P270)=0,"",INDEX(EntryNotes,$P270)))</f>
        <v/>
      </c>
      <c r="O270" s="28">
        <f>IF($P270="","",IF(INDEX(EntryTxnID,$P270)=0,"",INDEX(EntryTxnID,$P270)))</f>
        <v/>
      </c>
      <c r="P270" s="28">
        <f>IFERROR(MATCH($C$5&amp;"|"&amp;RIGHT("000000"&amp;254,6),CalcRankKey,0),"")</f>
        <v/>
      </c>
    </row>
    <row r="271">
      <c r="A271" s="26">
        <f>IF($B271="","",255)</f>
        <v/>
      </c>
      <c r="B271" s="26">
        <f>IF($P271="","",IF(INDEX(CalcNormDate,$P271)=0,"",INDEX(CalcNormDate,$P271)))</f>
        <v/>
      </c>
      <c r="C271" s="26">
        <f>IF($P271="","",IF(INDEX(CalcTime,$P271)=0,"",INDEX(CalcTime,$P271)))</f>
        <v/>
      </c>
      <c r="D271" s="26">
        <f>IF($P271="","",IF(INDEX(EntryParty,$P271)=0,"",INDEX(EntryParty,$P271)))</f>
        <v/>
      </c>
      <c r="E271" s="26">
        <f>IF($P271="","",IF(INDEX(EntryPartyName,$P271)=0,"",INDEX(EntryPartyName,$P271)))</f>
        <v/>
      </c>
      <c r="F271" s="26">
        <f>IF($P271="","",IF(INDEX(EntryPartyType,$P271)=0,"",INDEX(EntryPartyType,$P271)))</f>
        <v/>
      </c>
      <c r="G271" s="26">
        <f>IF($P271="","",IF(INDEX(EntryTxnType,$P271)=0,"",INDEX(EntryTxnType,$P271)))</f>
        <v/>
      </c>
      <c r="H271" s="27">
        <f>IF($P271="","",IF(INDEX(EntryDep,$P271)=0,"",INDEX(EntryDep,$P271)))</f>
        <v/>
      </c>
      <c r="I271" s="27">
        <f>IF($P271="","",IF(INDEX(EntryWit,$P271)=0,"",INDEX(EntryWit,$P271)))</f>
        <v/>
      </c>
      <c r="J271" s="27">
        <f>IF($B271="","",IF($A271=1,$C$7,IF(J270="",0,J270))+IF($H271="",0,$H271)-IF($I271="",0,$I271))</f>
        <v/>
      </c>
      <c r="K271" s="27">
        <f>IF($P271="","",IF(INDEX(EntryMan,$P271)=0,"",INDEX(EntryMan,$P271)))</f>
        <v/>
      </c>
      <c r="L271" s="26">
        <f>IF($B271="","",IF($K271="","—",IF(ROUND($K271-$J271,0)=0,"√","×")))</f>
        <v/>
      </c>
      <c r="M271" s="26">
        <f>IF($B271="","",IF(COUNTIFS(EntryDates,$B271,CalcTime,$C271,CalcBank,$C$5,EntryParty,$D271,EntryDep,$H271,EntryWit,$I271)&gt;1,"تکرار",""))</f>
        <v/>
      </c>
      <c r="N271" s="26">
        <f>IF($P271="","",IF(INDEX(EntryNotes,$P271)=0,"",INDEX(EntryNotes,$P271)))</f>
        <v/>
      </c>
      <c r="O271" s="26">
        <f>IF($P271="","",IF(INDEX(EntryTxnID,$P271)=0,"",INDEX(EntryTxnID,$P271)))</f>
        <v/>
      </c>
      <c r="P271" s="26">
        <f>IFERROR(MATCH($C$5&amp;"|"&amp;RIGHT("000000"&amp;255,6),CalcRankKey,0),"")</f>
        <v/>
      </c>
    </row>
    <row r="272">
      <c r="A272" s="28">
        <f>IF($B272="","",256)</f>
        <v/>
      </c>
      <c r="B272" s="28">
        <f>IF($P272="","",IF(INDEX(CalcNormDate,$P272)=0,"",INDEX(CalcNormDate,$P272)))</f>
        <v/>
      </c>
      <c r="C272" s="28">
        <f>IF($P272="","",IF(INDEX(CalcTime,$P272)=0,"",INDEX(CalcTime,$P272)))</f>
        <v/>
      </c>
      <c r="D272" s="28">
        <f>IF($P272="","",IF(INDEX(EntryParty,$P272)=0,"",INDEX(EntryParty,$P272)))</f>
        <v/>
      </c>
      <c r="E272" s="28">
        <f>IF($P272="","",IF(INDEX(EntryPartyName,$P272)=0,"",INDEX(EntryPartyName,$P272)))</f>
        <v/>
      </c>
      <c r="F272" s="28">
        <f>IF($P272="","",IF(INDEX(EntryPartyType,$P272)=0,"",INDEX(EntryPartyType,$P272)))</f>
        <v/>
      </c>
      <c r="G272" s="28">
        <f>IF($P272="","",IF(INDEX(EntryTxnType,$P272)=0,"",INDEX(EntryTxnType,$P272)))</f>
        <v/>
      </c>
      <c r="H272" s="29">
        <f>IF($P272="","",IF(INDEX(EntryDep,$P272)=0,"",INDEX(EntryDep,$P272)))</f>
        <v/>
      </c>
      <c r="I272" s="29">
        <f>IF($P272="","",IF(INDEX(EntryWit,$P272)=0,"",INDEX(EntryWit,$P272)))</f>
        <v/>
      </c>
      <c r="J272" s="29">
        <f>IF($B272="","",IF($A272=1,$C$7,IF(J271="",0,J271))+IF($H272="",0,$H272)-IF($I272="",0,$I272))</f>
        <v/>
      </c>
      <c r="K272" s="29">
        <f>IF($P272="","",IF(INDEX(EntryMan,$P272)=0,"",INDEX(EntryMan,$P272)))</f>
        <v/>
      </c>
      <c r="L272" s="28">
        <f>IF($B272="","",IF($K272="","—",IF(ROUND($K272-$J272,0)=0,"√","×")))</f>
        <v/>
      </c>
      <c r="M272" s="28">
        <f>IF($B272="","",IF(COUNTIFS(EntryDates,$B272,CalcTime,$C272,CalcBank,$C$5,EntryParty,$D272,EntryDep,$H272,EntryWit,$I272)&gt;1,"تکرار",""))</f>
        <v/>
      </c>
      <c r="N272" s="28">
        <f>IF($P272="","",IF(INDEX(EntryNotes,$P272)=0,"",INDEX(EntryNotes,$P272)))</f>
        <v/>
      </c>
      <c r="O272" s="28">
        <f>IF($P272="","",IF(INDEX(EntryTxnID,$P272)=0,"",INDEX(EntryTxnID,$P272)))</f>
        <v/>
      </c>
      <c r="P272" s="28">
        <f>IFERROR(MATCH($C$5&amp;"|"&amp;RIGHT("000000"&amp;256,6),CalcRankKey,0),"")</f>
        <v/>
      </c>
    </row>
    <row r="273">
      <c r="A273" s="26">
        <f>IF($B273="","",257)</f>
        <v/>
      </c>
      <c r="B273" s="26">
        <f>IF($P273="","",IF(INDEX(CalcNormDate,$P273)=0,"",INDEX(CalcNormDate,$P273)))</f>
        <v/>
      </c>
      <c r="C273" s="26">
        <f>IF($P273="","",IF(INDEX(CalcTime,$P273)=0,"",INDEX(CalcTime,$P273)))</f>
        <v/>
      </c>
      <c r="D273" s="26">
        <f>IF($P273="","",IF(INDEX(EntryParty,$P273)=0,"",INDEX(EntryParty,$P273)))</f>
        <v/>
      </c>
      <c r="E273" s="26">
        <f>IF($P273="","",IF(INDEX(EntryPartyName,$P273)=0,"",INDEX(EntryPartyName,$P273)))</f>
        <v/>
      </c>
      <c r="F273" s="26">
        <f>IF($P273="","",IF(INDEX(EntryPartyType,$P273)=0,"",INDEX(EntryPartyType,$P273)))</f>
        <v/>
      </c>
      <c r="G273" s="26">
        <f>IF($P273="","",IF(INDEX(EntryTxnType,$P273)=0,"",INDEX(EntryTxnType,$P273)))</f>
        <v/>
      </c>
      <c r="H273" s="27">
        <f>IF($P273="","",IF(INDEX(EntryDep,$P273)=0,"",INDEX(EntryDep,$P273)))</f>
        <v/>
      </c>
      <c r="I273" s="27">
        <f>IF($P273="","",IF(INDEX(EntryWit,$P273)=0,"",INDEX(EntryWit,$P273)))</f>
        <v/>
      </c>
      <c r="J273" s="27">
        <f>IF($B273="","",IF($A273=1,$C$7,IF(J272="",0,J272))+IF($H273="",0,$H273)-IF($I273="",0,$I273))</f>
        <v/>
      </c>
      <c r="K273" s="27">
        <f>IF($P273="","",IF(INDEX(EntryMan,$P273)=0,"",INDEX(EntryMan,$P273)))</f>
        <v/>
      </c>
      <c r="L273" s="26">
        <f>IF($B273="","",IF($K273="","—",IF(ROUND($K273-$J273,0)=0,"√","×")))</f>
        <v/>
      </c>
      <c r="M273" s="26">
        <f>IF($B273="","",IF(COUNTIFS(EntryDates,$B273,CalcTime,$C273,CalcBank,$C$5,EntryParty,$D273,EntryDep,$H273,EntryWit,$I273)&gt;1,"تکرار",""))</f>
        <v/>
      </c>
      <c r="N273" s="26">
        <f>IF($P273="","",IF(INDEX(EntryNotes,$P273)=0,"",INDEX(EntryNotes,$P273)))</f>
        <v/>
      </c>
      <c r="O273" s="26">
        <f>IF($P273="","",IF(INDEX(EntryTxnID,$P273)=0,"",INDEX(EntryTxnID,$P273)))</f>
        <v/>
      </c>
      <c r="P273" s="26">
        <f>IFERROR(MATCH($C$5&amp;"|"&amp;RIGHT("000000"&amp;257,6),CalcRankKey,0),"")</f>
        <v/>
      </c>
    </row>
    <row r="274">
      <c r="A274" s="28">
        <f>IF($B274="","",258)</f>
        <v/>
      </c>
      <c r="B274" s="28">
        <f>IF($P274="","",IF(INDEX(CalcNormDate,$P274)=0,"",INDEX(CalcNormDate,$P274)))</f>
        <v/>
      </c>
      <c r="C274" s="28">
        <f>IF($P274="","",IF(INDEX(CalcTime,$P274)=0,"",INDEX(CalcTime,$P274)))</f>
        <v/>
      </c>
      <c r="D274" s="28">
        <f>IF($P274="","",IF(INDEX(EntryParty,$P274)=0,"",INDEX(EntryParty,$P274)))</f>
        <v/>
      </c>
      <c r="E274" s="28">
        <f>IF($P274="","",IF(INDEX(EntryPartyName,$P274)=0,"",INDEX(EntryPartyName,$P274)))</f>
        <v/>
      </c>
      <c r="F274" s="28">
        <f>IF($P274="","",IF(INDEX(EntryPartyType,$P274)=0,"",INDEX(EntryPartyType,$P274)))</f>
        <v/>
      </c>
      <c r="G274" s="28">
        <f>IF($P274="","",IF(INDEX(EntryTxnType,$P274)=0,"",INDEX(EntryTxnType,$P274)))</f>
        <v/>
      </c>
      <c r="H274" s="29">
        <f>IF($P274="","",IF(INDEX(EntryDep,$P274)=0,"",INDEX(EntryDep,$P274)))</f>
        <v/>
      </c>
      <c r="I274" s="29">
        <f>IF($P274="","",IF(INDEX(EntryWit,$P274)=0,"",INDEX(EntryWit,$P274)))</f>
        <v/>
      </c>
      <c r="J274" s="29">
        <f>IF($B274="","",IF($A274=1,$C$7,IF(J273="",0,J273))+IF($H274="",0,$H274)-IF($I274="",0,$I274))</f>
        <v/>
      </c>
      <c r="K274" s="29">
        <f>IF($P274="","",IF(INDEX(EntryMan,$P274)=0,"",INDEX(EntryMan,$P274)))</f>
        <v/>
      </c>
      <c r="L274" s="28">
        <f>IF($B274="","",IF($K274="","—",IF(ROUND($K274-$J274,0)=0,"√","×")))</f>
        <v/>
      </c>
      <c r="M274" s="28">
        <f>IF($B274="","",IF(COUNTIFS(EntryDates,$B274,CalcTime,$C274,CalcBank,$C$5,EntryParty,$D274,EntryDep,$H274,EntryWit,$I274)&gt;1,"تکرار",""))</f>
        <v/>
      </c>
      <c r="N274" s="28">
        <f>IF($P274="","",IF(INDEX(EntryNotes,$P274)=0,"",INDEX(EntryNotes,$P274)))</f>
        <v/>
      </c>
      <c r="O274" s="28">
        <f>IF($P274="","",IF(INDEX(EntryTxnID,$P274)=0,"",INDEX(EntryTxnID,$P274)))</f>
        <v/>
      </c>
      <c r="P274" s="28">
        <f>IFERROR(MATCH($C$5&amp;"|"&amp;RIGHT("000000"&amp;258,6),CalcRankKey,0),"")</f>
        <v/>
      </c>
    </row>
    <row r="275">
      <c r="A275" s="26">
        <f>IF($B275="","",259)</f>
        <v/>
      </c>
      <c r="B275" s="26">
        <f>IF($P275="","",IF(INDEX(CalcNormDate,$P275)=0,"",INDEX(CalcNormDate,$P275)))</f>
        <v/>
      </c>
      <c r="C275" s="26">
        <f>IF($P275="","",IF(INDEX(CalcTime,$P275)=0,"",INDEX(CalcTime,$P275)))</f>
        <v/>
      </c>
      <c r="D275" s="26">
        <f>IF($P275="","",IF(INDEX(EntryParty,$P275)=0,"",INDEX(EntryParty,$P275)))</f>
        <v/>
      </c>
      <c r="E275" s="26">
        <f>IF($P275="","",IF(INDEX(EntryPartyName,$P275)=0,"",INDEX(EntryPartyName,$P275)))</f>
        <v/>
      </c>
      <c r="F275" s="26">
        <f>IF($P275="","",IF(INDEX(EntryPartyType,$P275)=0,"",INDEX(EntryPartyType,$P275)))</f>
        <v/>
      </c>
      <c r="G275" s="26">
        <f>IF($P275="","",IF(INDEX(EntryTxnType,$P275)=0,"",INDEX(EntryTxnType,$P275)))</f>
        <v/>
      </c>
      <c r="H275" s="27">
        <f>IF($P275="","",IF(INDEX(EntryDep,$P275)=0,"",INDEX(EntryDep,$P275)))</f>
        <v/>
      </c>
      <c r="I275" s="27">
        <f>IF($P275="","",IF(INDEX(EntryWit,$P275)=0,"",INDEX(EntryWit,$P275)))</f>
        <v/>
      </c>
      <c r="J275" s="27">
        <f>IF($B275="","",IF($A275=1,$C$7,IF(J274="",0,J274))+IF($H275="",0,$H275)-IF($I275="",0,$I275))</f>
        <v/>
      </c>
      <c r="K275" s="27">
        <f>IF($P275="","",IF(INDEX(EntryMan,$P275)=0,"",INDEX(EntryMan,$P275)))</f>
        <v/>
      </c>
      <c r="L275" s="26">
        <f>IF($B275="","",IF($K275="","—",IF(ROUND($K275-$J275,0)=0,"√","×")))</f>
        <v/>
      </c>
      <c r="M275" s="26">
        <f>IF($B275="","",IF(COUNTIFS(EntryDates,$B275,CalcTime,$C275,CalcBank,$C$5,EntryParty,$D275,EntryDep,$H275,EntryWit,$I275)&gt;1,"تکرار",""))</f>
        <v/>
      </c>
      <c r="N275" s="26">
        <f>IF($P275="","",IF(INDEX(EntryNotes,$P275)=0,"",INDEX(EntryNotes,$P275)))</f>
        <v/>
      </c>
      <c r="O275" s="26">
        <f>IF($P275="","",IF(INDEX(EntryTxnID,$P275)=0,"",INDEX(EntryTxnID,$P275)))</f>
        <v/>
      </c>
      <c r="P275" s="26">
        <f>IFERROR(MATCH($C$5&amp;"|"&amp;RIGHT("000000"&amp;259,6),CalcRankKey,0),"")</f>
        <v/>
      </c>
    </row>
    <row r="276">
      <c r="A276" s="28">
        <f>IF($B276="","",260)</f>
        <v/>
      </c>
      <c r="B276" s="28">
        <f>IF($P276="","",IF(INDEX(CalcNormDate,$P276)=0,"",INDEX(CalcNormDate,$P276)))</f>
        <v/>
      </c>
      <c r="C276" s="28">
        <f>IF($P276="","",IF(INDEX(CalcTime,$P276)=0,"",INDEX(CalcTime,$P276)))</f>
        <v/>
      </c>
      <c r="D276" s="28">
        <f>IF($P276="","",IF(INDEX(EntryParty,$P276)=0,"",INDEX(EntryParty,$P276)))</f>
        <v/>
      </c>
      <c r="E276" s="28">
        <f>IF($P276="","",IF(INDEX(EntryPartyName,$P276)=0,"",INDEX(EntryPartyName,$P276)))</f>
        <v/>
      </c>
      <c r="F276" s="28">
        <f>IF($P276="","",IF(INDEX(EntryPartyType,$P276)=0,"",INDEX(EntryPartyType,$P276)))</f>
        <v/>
      </c>
      <c r="G276" s="28">
        <f>IF($P276="","",IF(INDEX(EntryTxnType,$P276)=0,"",INDEX(EntryTxnType,$P276)))</f>
        <v/>
      </c>
      <c r="H276" s="29">
        <f>IF($P276="","",IF(INDEX(EntryDep,$P276)=0,"",INDEX(EntryDep,$P276)))</f>
        <v/>
      </c>
      <c r="I276" s="29">
        <f>IF($P276="","",IF(INDEX(EntryWit,$P276)=0,"",INDEX(EntryWit,$P276)))</f>
        <v/>
      </c>
      <c r="J276" s="29">
        <f>IF($B276="","",IF($A276=1,$C$7,IF(J275="",0,J275))+IF($H276="",0,$H276)-IF($I276="",0,$I276))</f>
        <v/>
      </c>
      <c r="K276" s="29">
        <f>IF($P276="","",IF(INDEX(EntryMan,$P276)=0,"",INDEX(EntryMan,$P276)))</f>
        <v/>
      </c>
      <c r="L276" s="28">
        <f>IF($B276="","",IF($K276="","—",IF(ROUND($K276-$J276,0)=0,"√","×")))</f>
        <v/>
      </c>
      <c r="M276" s="28">
        <f>IF($B276="","",IF(COUNTIFS(EntryDates,$B276,CalcTime,$C276,CalcBank,$C$5,EntryParty,$D276,EntryDep,$H276,EntryWit,$I276)&gt;1,"تکرار",""))</f>
        <v/>
      </c>
      <c r="N276" s="28">
        <f>IF($P276="","",IF(INDEX(EntryNotes,$P276)=0,"",INDEX(EntryNotes,$P276)))</f>
        <v/>
      </c>
      <c r="O276" s="28">
        <f>IF($P276="","",IF(INDEX(EntryTxnID,$P276)=0,"",INDEX(EntryTxnID,$P276)))</f>
        <v/>
      </c>
      <c r="P276" s="28">
        <f>IFERROR(MATCH($C$5&amp;"|"&amp;RIGHT("000000"&amp;260,6),CalcRankKey,0),"")</f>
        <v/>
      </c>
    </row>
    <row r="277">
      <c r="A277" s="26">
        <f>IF($B277="","",261)</f>
        <v/>
      </c>
      <c r="B277" s="26">
        <f>IF($P277="","",IF(INDEX(CalcNormDate,$P277)=0,"",INDEX(CalcNormDate,$P277)))</f>
        <v/>
      </c>
      <c r="C277" s="26">
        <f>IF($P277="","",IF(INDEX(CalcTime,$P277)=0,"",INDEX(CalcTime,$P277)))</f>
        <v/>
      </c>
      <c r="D277" s="26">
        <f>IF($P277="","",IF(INDEX(EntryParty,$P277)=0,"",INDEX(EntryParty,$P277)))</f>
        <v/>
      </c>
      <c r="E277" s="26">
        <f>IF($P277="","",IF(INDEX(EntryPartyName,$P277)=0,"",INDEX(EntryPartyName,$P277)))</f>
        <v/>
      </c>
      <c r="F277" s="26">
        <f>IF($P277="","",IF(INDEX(EntryPartyType,$P277)=0,"",INDEX(EntryPartyType,$P277)))</f>
        <v/>
      </c>
      <c r="G277" s="26">
        <f>IF($P277="","",IF(INDEX(EntryTxnType,$P277)=0,"",INDEX(EntryTxnType,$P277)))</f>
        <v/>
      </c>
      <c r="H277" s="27">
        <f>IF($P277="","",IF(INDEX(EntryDep,$P277)=0,"",INDEX(EntryDep,$P277)))</f>
        <v/>
      </c>
      <c r="I277" s="27">
        <f>IF($P277="","",IF(INDEX(EntryWit,$P277)=0,"",INDEX(EntryWit,$P277)))</f>
        <v/>
      </c>
      <c r="J277" s="27">
        <f>IF($B277="","",IF($A277=1,$C$7,IF(J276="",0,J276))+IF($H277="",0,$H277)-IF($I277="",0,$I277))</f>
        <v/>
      </c>
      <c r="K277" s="27">
        <f>IF($P277="","",IF(INDEX(EntryMan,$P277)=0,"",INDEX(EntryMan,$P277)))</f>
        <v/>
      </c>
      <c r="L277" s="26">
        <f>IF($B277="","",IF($K277="","—",IF(ROUND($K277-$J277,0)=0,"√","×")))</f>
        <v/>
      </c>
      <c r="M277" s="26">
        <f>IF($B277="","",IF(COUNTIFS(EntryDates,$B277,CalcTime,$C277,CalcBank,$C$5,EntryParty,$D277,EntryDep,$H277,EntryWit,$I277)&gt;1,"تکرار",""))</f>
        <v/>
      </c>
      <c r="N277" s="26">
        <f>IF($P277="","",IF(INDEX(EntryNotes,$P277)=0,"",INDEX(EntryNotes,$P277)))</f>
        <v/>
      </c>
      <c r="O277" s="26">
        <f>IF($P277="","",IF(INDEX(EntryTxnID,$P277)=0,"",INDEX(EntryTxnID,$P277)))</f>
        <v/>
      </c>
      <c r="P277" s="26">
        <f>IFERROR(MATCH($C$5&amp;"|"&amp;RIGHT("000000"&amp;261,6),CalcRankKey,0),"")</f>
        <v/>
      </c>
    </row>
    <row r="278">
      <c r="A278" s="28">
        <f>IF($B278="","",262)</f>
        <v/>
      </c>
      <c r="B278" s="28">
        <f>IF($P278="","",IF(INDEX(CalcNormDate,$P278)=0,"",INDEX(CalcNormDate,$P278)))</f>
        <v/>
      </c>
      <c r="C278" s="28">
        <f>IF($P278="","",IF(INDEX(CalcTime,$P278)=0,"",INDEX(CalcTime,$P278)))</f>
        <v/>
      </c>
      <c r="D278" s="28">
        <f>IF($P278="","",IF(INDEX(EntryParty,$P278)=0,"",INDEX(EntryParty,$P278)))</f>
        <v/>
      </c>
      <c r="E278" s="28">
        <f>IF($P278="","",IF(INDEX(EntryPartyName,$P278)=0,"",INDEX(EntryPartyName,$P278)))</f>
        <v/>
      </c>
      <c r="F278" s="28">
        <f>IF($P278="","",IF(INDEX(EntryPartyType,$P278)=0,"",INDEX(EntryPartyType,$P278)))</f>
        <v/>
      </c>
      <c r="G278" s="28">
        <f>IF($P278="","",IF(INDEX(EntryTxnType,$P278)=0,"",INDEX(EntryTxnType,$P278)))</f>
        <v/>
      </c>
      <c r="H278" s="29">
        <f>IF($P278="","",IF(INDEX(EntryDep,$P278)=0,"",INDEX(EntryDep,$P278)))</f>
        <v/>
      </c>
      <c r="I278" s="29">
        <f>IF($P278="","",IF(INDEX(EntryWit,$P278)=0,"",INDEX(EntryWit,$P278)))</f>
        <v/>
      </c>
      <c r="J278" s="29">
        <f>IF($B278="","",IF($A278=1,$C$7,IF(J277="",0,J277))+IF($H278="",0,$H278)-IF($I278="",0,$I278))</f>
        <v/>
      </c>
      <c r="K278" s="29">
        <f>IF($P278="","",IF(INDEX(EntryMan,$P278)=0,"",INDEX(EntryMan,$P278)))</f>
        <v/>
      </c>
      <c r="L278" s="28">
        <f>IF($B278="","",IF($K278="","—",IF(ROUND($K278-$J278,0)=0,"√","×")))</f>
        <v/>
      </c>
      <c r="M278" s="28">
        <f>IF($B278="","",IF(COUNTIFS(EntryDates,$B278,CalcTime,$C278,CalcBank,$C$5,EntryParty,$D278,EntryDep,$H278,EntryWit,$I278)&gt;1,"تکرار",""))</f>
        <v/>
      </c>
      <c r="N278" s="28">
        <f>IF($P278="","",IF(INDEX(EntryNotes,$P278)=0,"",INDEX(EntryNotes,$P278)))</f>
        <v/>
      </c>
      <c r="O278" s="28">
        <f>IF($P278="","",IF(INDEX(EntryTxnID,$P278)=0,"",INDEX(EntryTxnID,$P278)))</f>
        <v/>
      </c>
      <c r="P278" s="28">
        <f>IFERROR(MATCH($C$5&amp;"|"&amp;RIGHT("000000"&amp;262,6),CalcRankKey,0),"")</f>
        <v/>
      </c>
    </row>
    <row r="279">
      <c r="A279" s="26">
        <f>IF($B279="","",263)</f>
        <v/>
      </c>
      <c r="B279" s="26">
        <f>IF($P279="","",IF(INDEX(CalcNormDate,$P279)=0,"",INDEX(CalcNormDate,$P279)))</f>
        <v/>
      </c>
      <c r="C279" s="26">
        <f>IF($P279="","",IF(INDEX(CalcTime,$P279)=0,"",INDEX(CalcTime,$P279)))</f>
        <v/>
      </c>
      <c r="D279" s="26">
        <f>IF($P279="","",IF(INDEX(EntryParty,$P279)=0,"",INDEX(EntryParty,$P279)))</f>
        <v/>
      </c>
      <c r="E279" s="26">
        <f>IF($P279="","",IF(INDEX(EntryPartyName,$P279)=0,"",INDEX(EntryPartyName,$P279)))</f>
        <v/>
      </c>
      <c r="F279" s="26">
        <f>IF($P279="","",IF(INDEX(EntryPartyType,$P279)=0,"",INDEX(EntryPartyType,$P279)))</f>
        <v/>
      </c>
      <c r="G279" s="26">
        <f>IF($P279="","",IF(INDEX(EntryTxnType,$P279)=0,"",INDEX(EntryTxnType,$P279)))</f>
        <v/>
      </c>
      <c r="H279" s="27">
        <f>IF($P279="","",IF(INDEX(EntryDep,$P279)=0,"",INDEX(EntryDep,$P279)))</f>
        <v/>
      </c>
      <c r="I279" s="27">
        <f>IF($P279="","",IF(INDEX(EntryWit,$P279)=0,"",INDEX(EntryWit,$P279)))</f>
        <v/>
      </c>
      <c r="J279" s="27">
        <f>IF($B279="","",IF($A279=1,$C$7,IF(J278="",0,J278))+IF($H279="",0,$H279)-IF($I279="",0,$I279))</f>
        <v/>
      </c>
      <c r="K279" s="27">
        <f>IF($P279="","",IF(INDEX(EntryMan,$P279)=0,"",INDEX(EntryMan,$P279)))</f>
        <v/>
      </c>
      <c r="L279" s="26">
        <f>IF($B279="","",IF($K279="","—",IF(ROUND($K279-$J279,0)=0,"√","×")))</f>
        <v/>
      </c>
      <c r="M279" s="26">
        <f>IF($B279="","",IF(COUNTIFS(EntryDates,$B279,CalcTime,$C279,CalcBank,$C$5,EntryParty,$D279,EntryDep,$H279,EntryWit,$I279)&gt;1,"تکرار",""))</f>
        <v/>
      </c>
      <c r="N279" s="26">
        <f>IF($P279="","",IF(INDEX(EntryNotes,$P279)=0,"",INDEX(EntryNotes,$P279)))</f>
        <v/>
      </c>
      <c r="O279" s="26">
        <f>IF($P279="","",IF(INDEX(EntryTxnID,$P279)=0,"",INDEX(EntryTxnID,$P279)))</f>
        <v/>
      </c>
      <c r="P279" s="26">
        <f>IFERROR(MATCH($C$5&amp;"|"&amp;RIGHT("000000"&amp;263,6),CalcRankKey,0),"")</f>
        <v/>
      </c>
    </row>
    <row r="280">
      <c r="A280" s="28">
        <f>IF($B280="","",264)</f>
        <v/>
      </c>
      <c r="B280" s="28">
        <f>IF($P280="","",IF(INDEX(CalcNormDate,$P280)=0,"",INDEX(CalcNormDate,$P280)))</f>
        <v/>
      </c>
      <c r="C280" s="28">
        <f>IF($P280="","",IF(INDEX(CalcTime,$P280)=0,"",INDEX(CalcTime,$P280)))</f>
        <v/>
      </c>
      <c r="D280" s="28">
        <f>IF($P280="","",IF(INDEX(EntryParty,$P280)=0,"",INDEX(EntryParty,$P280)))</f>
        <v/>
      </c>
      <c r="E280" s="28">
        <f>IF($P280="","",IF(INDEX(EntryPartyName,$P280)=0,"",INDEX(EntryPartyName,$P280)))</f>
        <v/>
      </c>
      <c r="F280" s="28">
        <f>IF($P280="","",IF(INDEX(EntryPartyType,$P280)=0,"",INDEX(EntryPartyType,$P280)))</f>
        <v/>
      </c>
      <c r="G280" s="28">
        <f>IF($P280="","",IF(INDEX(EntryTxnType,$P280)=0,"",INDEX(EntryTxnType,$P280)))</f>
        <v/>
      </c>
      <c r="H280" s="29">
        <f>IF($P280="","",IF(INDEX(EntryDep,$P280)=0,"",INDEX(EntryDep,$P280)))</f>
        <v/>
      </c>
      <c r="I280" s="29">
        <f>IF($P280="","",IF(INDEX(EntryWit,$P280)=0,"",INDEX(EntryWit,$P280)))</f>
        <v/>
      </c>
      <c r="J280" s="29">
        <f>IF($B280="","",IF($A280=1,$C$7,IF(J279="",0,J279))+IF($H280="",0,$H280)-IF($I280="",0,$I280))</f>
        <v/>
      </c>
      <c r="K280" s="29">
        <f>IF($P280="","",IF(INDEX(EntryMan,$P280)=0,"",INDEX(EntryMan,$P280)))</f>
        <v/>
      </c>
      <c r="L280" s="28">
        <f>IF($B280="","",IF($K280="","—",IF(ROUND($K280-$J280,0)=0,"√","×")))</f>
        <v/>
      </c>
      <c r="M280" s="28">
        <f>IF($B280="","",IF(COUNTIFS(EntryDates,$B280,CalcTime,$C280,CalcBank,$C$5,EntryParty,$D280,EntryDep,$H280,EntryWit,$I280)&gt;1,"تکرار",""))</f>
        <v/>
      </c>
      <c r="N280" s="28">
        <f>IF($P280="","",IF(INDEX(EntryNotes,$P280)=0,"",INDEX(EntryNotes,$P280)))</f>
        <v/>
      </c>
      <c r="O280" s="28">
        <f>IF($P280="","",IF(INDEX(EntryTxnID,$P280)=0,"",INDEX(EntryTxnID,$P280)))</f>
        <v/>
      </c>
      <c r="P280" s="28">
        <f>IFERROR(MATCH($C$5&amp;"|"&amp;RIGHT("000000"&amp;264,6),CalcRankKey,0),"")</f>
        <v/>
      </c>
    </row>
    <row r="281">
      <c r="A281" s="26">
        <f>IF($B281="","",265)</f>
        <v/>
      </c>
      <c r="B281" s="26">
        <f>IF($P281="","",IF(INDEX(CalcNormDate,$P281)=0,"",INDEX(CalcNormDate,$P281)))</f>
        <v/>
      </c>
      <c r="C281" s="26">
        <f>IF($P281="","",IF(INDEX(CalcTime,$P281)=0,"",INDEX(CalcTime,$P281)))</f>
        <v/>
      </c>
      <c r="D281" s="26">
        <f>IF($P281="","",IF(INDEX(EntryParty,$P281)=0,"",INDEX(EntryParty,$P281)))</f>
        <v/>
      </c>
      <c r="E281" s="26">
        <f>IF($P281="","",IF(INDEX(EntryPartyName,$P281)=0,"",INDEX(EntryPartyName,$P281)))</f>
        <v/>
      </c>
      <c r="F281" s="26">
        <f>IF($P281="","",IF(INDEX(EntryPartyType,$P281)=0,"",INDEX(EntryPartyType,$P281)))</f>
        <v/>
      </c>
      <c r="G281" s="26">
        <f>IF($P281="","",IF(INDEX(EntryTxnType,$P281)=0,"",INDEX(EntryTxnType,$P281)))</f>
        <v/>
      </c>
      <c r="H281" s="27">
        <f>IF($P281="","",IF(INDEX(EntryDep,$P281)=0,"",INDEX(EntryDep,$P281)))</f>
        <v/>
      </c>
      <c r="I281" s="27">
        <f>IF($P281="","",IF(INDEX(EntryWit,$P281)=0,"",INDEX(EntryWit,$P281)))</f>
        <v/>
      </c>
      <c r="J281" s="27">
        <f>IF($B281="","",IF($A281=1,$C$7,IF(J280="",0,J280))+IF($H281="",0,$H281)-IF($I281="",0,$I281))</f>
        <v/>
      </c>
      <c r="K281" s="27">
        <f>IF($P281="","",IF(INDEX(EntryMan,$P281)=0,"",INDEX(EntryMan,$P281)))</f>
        <v/>
      </c>
      <c r="L281" s="26">
        <f>IF($B281="","",IF($K281="","—",IF(ROUND($K281-$J281,0)=0,"√","×")))</f>
        <v/>
      </c>
      <c r="M281" s="26">
        <f>IF($B281="","",IF(COUNTIFS(EntryDates,$B281,CalcTime,$C281,CalcBank,$C$5,EntryParty,$D281,EntryDep,$H281,EntryWit,$I281)&gt;1,"تکرار",""))</f>
        <v/>
      </c>
      <c r="N281" s="26">
        <f>IF($P281="","",IF(INDEX(EntryNotes,$P281)=0,"",INDEX(EntryNotes,$P281)))</f>
        <v/>
      </c>
      <c r="O281" s="26">
        <f>IF($P281="","",IF(INDEX(EntryTxnID,$P281)=0,"",INDEX(EntryTxnID,$P281)))</f>
        <v/>
      </c>
      <c r="P281" s="26">
        <f>IFERROR(MATCH($C$5&amp;"|"&amp;RIGHT("000000"&amp;265,6),CalcRankKey,0),"")</f>
        <v/>
      </c>
    </row>
    <row r="282">
      <c r="A282" s="28">
        <f>IF($B282="","",266)</f>
        <v/>
      </c>
      <c r="B282" s="28">
        <f>IF($P282="","",IF(INDEX(CalcNormDate,$P282)=0,"",INDEX(CalcNormDate,$P282)))</f>
        <v/>
      </c>
      <c r="C282" s="28">
        <f>IF($P282="","",IF(INDEX(CalcTime,$P282)=0,"",INDEX(CalcTime,$P282)))</f>
        <v/>
      </c>
      <c r="D282" s="28">
        <f>IF($P282="","",IF(INDEX(EntryParty,$P282)=0,"",INDEX(EntryParty,$P282)))</f>
        <v/>
      </c>
      <c r="E282" s="28">
        <f>IF($P282="","",IF(INDEX(EntryPartyName,$P282)=0,"",INDEX(EntryPartyName,$P282)))</f>
        <v/>
      </c>
      <c r="F282" s="28">
        <f>IF($P282="","",IF(INDEX(EntryPartyType,$P282)=0,"",INDEX(EntryPartyType,$P282)))</f>
        <v/>
      </c>
      <c r="G282" s="28">
        <f>IF($P282="","",IF(INDEX(EntryTxnType,$P282)=0,"",INDEX(EntryTxnType,$P282)))</f>
        <v/>
      </c>
      <c r="H282" s="29">
        <f>IF($P282="","",IF(INDEX(EntryDep,$P282)=0,"",INDEX(EntryDep,$P282)))</f>
        <v/>
      </c>
      <c r="I282" s="29">
        <f>IF($P282="","",IF(INDEX(EntryWit,$P282)=0,"",INDEX(EntryWit,$P282)))</f>
        <v/>
      </c>
      <c r="J282" s="29">
        <f>IF($B282="","",IF($A282=1,$C$7,IF(J281="",0,J281))+IF($H282="",0,$H282)-IF($I282="",0,$I282))</f>
        <v/>
      </c>
      <c r="K282" s="29">
        <f>IF($P282="","",IF(INDEX(EntryMan,$P282)=0,"",INDEX(EntryMan,$P282)))</f>
        <v/>
      </c>
      <c r="L282" s="28">
        <f>IF($B282="","",IF($K282="","—",IF(ROUND($K282-$J282,0)=0,"√","×")))</f>
        <v/>
      </c>
      <c r="M282" s="28">
        <f>IF($B282="","",IF(COUNTIFS(EntryDates,$B282,CalcTime,$C282,CalcBank,$C$5,EntryParty,$D282,EntryDep,$H282,EntryWit,$I282)&gt;1,"تکرار",""))</f>
        <v/>
      </c>
      <c r="N282" s="28">
        <f>IF($P282="","",IF(INDEX(EntryNotes,$P282)=0,"",INDEX(EntryNotes,$P282)))</f>
        <v/>
      </c>
      <c r="O282" s="28">
        <f>IF($P282="","",IF(INDEX(EntryTxnID,$P282)=0,"",INDEX(EntryTxnID,$P282)))</f>
        <v/>
      </c>
      <c r="P282" s="28">
        <f>IFERROR(MATCH($C$5&amp;"|"&amp;RIGHT("000000"&amp;266,6),CalcRankKey,0),"")</f>
        <v/>
      </c>
    </row>
    <row r="283">
      <c r="A283" s="26">
        <f>IF($B283="","",267)</f>
        <v/>
      </c>
      <c r="B283" s="26">
        <f>IF($P283="","",IF(INDEX(CalcNormDate,$P283)=0,"",INDEX(CalcNormDate,$P283)))</f>
        <v/>
      </c>
      <c r="C283" s="26">
        <f>IF($P283="","",IF(INDEX(CalcTime,$P283)=0,"",INDEX(CalcTime,$P283)))</f>
        <v/>
      </c>
      <c r="D283" s="26">
        <f>IF($P283="","",IF(INDEX(EntryParty,$P283)=0,"",INDEX(EntryParty,$P283)))</f>
        <v/>
      </c>
      <c r="E283" s="26">
        <f>IF($P283="","",IF(INDEX(EntryPartyName,$P283)=0,"",INDEX(EntryPartyName,$P283)))</f>
        <v/>
      </c>
      <c r="F283" s="26">
        <f>IF($P283="","",IF(INDEX(EntryPartyType,$P283)=0,"",INDEX(EntryPartyType,$P283)))</f>
        <v/>
      </c>
      <c r="G283" s="26">
        <f>IF($P283="","",IF(INDEX(EntryTxnType,$P283)=0,"",INDEX(EntryTxnType,$P283)))</f>
        <v/>
      </c>
      <c r="H283" s="27">
        <f>IF($P283="","",IF(INDEX(EntryDep,$P283)=0,"",INDEX(EntryDep,$P283)))</f>
        <v/>
      </c>
      <c r="I283" s="27">
        <f>IF($P283="","",IF(INDEX(EntryWit,$P283)=0,"",INDEX(EntryWit,$P283)))</f>
        <v/>
      </c>
      <c r="J283" s="27">
        <f>IF($B283="","",IF($A283=1,$C$7,IF(J282="",0,J282))+IF($H283="",0,$H283)-IF($I283="",0,$I283))</f>
        <v/>
      </c>
      <c r="K283" s="27">
        <f>IF($P283="","",IF(INDEX(EntryMan,$P283)=0,"",INDEX(EntryMan,$P283)))</f>
        <v/>
      </c>
      <c r="L283" s="26">
        <f>IF($B283="","",IF($K283="","—",IF(ROUND($K283-$J283,0)=0,"√","×")))</f>
        <v/>
      </c>
      <c r="M283" s="26">
        <f>IF($B283="","",IF(COUNTIFS(EntryDates,$B283,CalcTime,$C283,CalcBank,$C$5,EntryParty,$D283,EntryDep,$H283,EntryWit,$I283)&gt;1,"تکرار",""))</f>
        <v/>
      </c>
      <c r="N283" s="26">
        <f>IF($P283="","",IF(INDEX(EntryNotes,$P283)=0,"",INDEX(EntryNotes,$P283)))</f>
        <v/>
      </c>
      <c r="O283" s="26">
        <f>IF($P283="","",IF(INDEX(EntryTxnID,$P283)=0,"",INDEX(EntryTxnID,$P283)))</f>
        <v/>
      </c>
      <c r="P283" s="26">
        <f>IFERROR(MATCH($C$5&amp;"|"&amp;RIGHT("000000"&amp;267,6),CalcRankKey,0),"")</f>
        <v/>
      </c>
    </row>
    <row r="284">
      <c r="A284" s="28">
        <f>IF($B284="","",268)</f>
        <v/>
      </c>
      <c r="B284" s="28">
        <f>IF($P284="","",IF(INDEX(CalcNormDate,$P284)=0,"",INDEX(CalcNormDate,$P284)))</f>
        <v/>
      </c>
      <c r="C284" s="28">
        <f>IF($P284="","",IF(INDEX(CalcTime,$P284)=0,"",INDEX(CalcTime,$P284)))</f>
        <v/>
      </c>
      <c r="D284" s="28">
        <f>IF($P284="","",IF(INDEX(EntryParty,$P284)=0,"",INDEX(EntryParty,$P284)))</f>
        <v/>
      </c>
      <c r="E284" s="28">
        <f>IF($P284="","",IF(INDEX(EntryPartyName,$P284)=0,"",INDEX(EntryPartyName,$P284)))</f>
        <v/>
      </c>
      <c r="F284" s="28">
        <f>IF($P284="","",IF(INDEX(EntryPartyType,$P284)=0,"",INDEX(EntryPartyType,$P284)))</f>
        <v/>
      </c>
      <c r="G284" s="28">
        <f>IF($P284="","",IF(INDEX(EntryTxnType,$P284)=0,"",INDEX(EntryTxnType,$P284)))</f>
        <v/>
      </c>
      <c r="H284" s="29">
        <f>IF($P284="","",IF(INDEX(EntryDep,$P284)=0,"",INDEX(EntryDep,$P284)))</f>
        <v/>
      </c>
      <c r="I284" s="29">
        <f>IF($P284="","",IF(INDEX(EntryWit,$P284)=0,"",INDEX(EntryWit,$P284)))</f>
        <v/>
      </c>
      <c r="J284" s="29">
        <f>IF($B284="","",IF($A284=1,$C$7,IF(J283="",0,J283))+IF($H284="",0,$H284)-IF($I284="",0,$I284))</f>
        <v/>
      </c>
      <c r="K284" s="29">
        <f>IF($P284="","",IF(INDEX(EntryMan,$P284)=0,"",INDEX(EntryMan,$P284)))</f>
        <v/>
      </c>
      <c r="L284" s="28">
        <f>IF($B284="","",IF($K284="","—",IF(ROUND($K284-$J284,0)=0,"√","×")))</f>
        <v/>
      </c>
      <c r="M284" s="28">
        <f>IF($B284="","",IF(COUNTIFS(EntryDates,$B284,CalcTime,$C284,CalcBank,$C$5,EntryParty,$D284,EntryDep,$H284,EntryWit,$I284)&gt;1,"تکرار",""))</f>
        <v/>
      </c>
      <c r="N284" s="28">
        <f>IF($P284="","",IF(INDEX(EntryNotes,$P284)=0,"",INDEX(EntryNotes,$P284)))</f>
        <v/>
      </c>
      <c r="O284" s="28">
        <f>IF($P284="","",IF(INDEX(EntryTxnID,$P284)=0,"",INDEX(EntryTxnID,$P284)))</f>
        <v/>
      </c>
      <c r="P284" s="28">
        <f>IFERROR(MATCH($C$5&amp;"|"&amp;RIGHT("000000"&amp;268,6),CalcRankKey,0),"")</f>
        <v/>
      </c>
    </row>
    <row r="285">
      <c r="A285" s="26">
        <f>IF($B285="","",269)</f>
        <v/>
      </c>
      <c r="B285" s="26">
        <f>IF($P285="","",IF(INDEX(CalcNormDate,$P285)=0,"",INDEX(CalcNormDate,$P285)))</f>
        <v/>
      </c>
      <c r="C285" s="26">
        <f>IF($P285="","",IF(INDEX(CalcTime,$P285)=0,"",INDEX(CalcTime,$P285)))</f>
        <v/>
      </c>
      <c r="D285" s="26">
        <f>IF($P285="","",IF(INDEX(EntryParty,$P285)=0,"",INDEX(EntryParty,$P285)))</f>
        <v/>
      </c>
      <c r="E285" s="26">
        <f>IF($P285="","",IF(INDEX(EntryPartyName,$P285)=0,"",INDEX(EntryPartyName,$P285)))</f>
        <v/>
      </c>
      <c r="F285" s="26">
        <f>IF($P285="","",IF(INDEX(EntryPartyType,$P285)=0,"",INDEX(EntryPartyType,$P285)))</f>
        <v/>
      </c>
      <c r="G285" s="26">
        <f>IF($P285="","",IF(INDEX(EntryTxnType,$P285)=0,"",INDEX(EntryTxnType,$P285)))</f>
        <v/>
      </c>
      <c r="H285" s="27">
        <f>IF($P285="","",IF(INDEX(EntryDep,$P285)=0,"",INDEX(EntryDep,$P285)))</f>
        <v/>
      </c>
      <c r="I285" s="27">
        <f>IF($P285="","",IF(INDEX(EntryWit,$P285)=0,"",INDEX(EntryWit,$P285)))</f>
        <v/>
      </c>
      <c r="J285" s="27">
        <f>IF($B285="","",IF($A285=1,$C$7,IF(J284="",0,J284))+IF($H285="",0,$H285)-IF($I285="",0,$I285))</f>
        <v/>
      </c>
      <c r="K285" s="27">
        <f>IF($P285="","",IF(INDEX(EntryMan,$P285)=0,"",INDEX(EntryMan,$P285)))</f>
        <v/>
      </c>
      <c r="L285" s="26">
        <f>IF($B285="","",IF($K285="","—",IF(ROUND($K285-$J285,0)=0,"√","×")))</f>
        <v/>
      </c>
      <c r="M285" s="26">
        <f>IF($B285="","",IF(COUNTIFS(EntryDates,$B285,CalcTime,$C285,CalcBank,$C$5,EntryParty,$D285,EntryDep,$H285,EntryWit,$I285)&gt;1,"تکرار",""))</f>
        <v/>
      </c>
      <c r="N285" s="26">
        <f>IF($P285="","",IF(INDEX(EntryNotes,$P285)=0,"",INDEX(EntryNotes,$P285)))</f>
        <v/>
      </c>
      <c r="O285" s="26">
        <f>IF($P285="","",IF(INDEX(EntryTxnID,$P285)=0,"",INDEX(EntryTxnID,$P285)))</f>
        <v/>
      </c>
      <c r="P285" s="26">
        <f>IFERROR(MATCH($C$5&amp;"|"&amp;RIGHT("000000"&amp;269,6),CalcRankKey,0),"")</f>
        <v/>
      </c>
    </row>
    <row r="286">
      <c r="A286" s="28">
        <f>IF($B286="","",270)</f>
        <v/>
      </c>
      <c r="B286" s="28">
        <f>IF($P286="","",IF(INDEX(CalcNormDate,$P286)=0,"",INDEX(CalcNormDate,$P286)))</f>
        <v/>
      </c>
      <c r="C286" s="28">
        <f>IF($P286="","",IF(INDEX(CalcTime,$P286)=0,"",INDEX(CalcTime,$P286)))</f>
        <v/>
      </c>
      <c r="D286" s="28">
        <f>IF($P286="","",IF(INDEX(EntryParty,$P286)=0,"",INDEX(EntryParty,$P286)))</f>
        <v/>
      </c>
      <c r="E286" s="28">
        <f>IF($P286="","",IF(INDEX(EntryPartyName,$P286)=0,"",INDEX(EntryPartyName,$P286)))</f>
        <v/>
      </c>
      <c r="F286" s="28">
        <f>IF($P286="","",IF(INDEX(EntryPartyType,$P286)=0,"",INDEX(EntryPartyType,$P286)))</f>
        <v/>
      </c>
      <c r="G286" s="28">
        <f>IF($P286="","",IF(INDEX(EntryTxnType,$P286)=0,"",INDEX(EntryTxnType,$P286)))</f>
        <v/>
      </c>
      <c r="H286" s="29">
        <f>IF($P286="","",IF(INDEX(EntryDep,$P286)=0,"",INDEX(EntryDep,$P286)))</f>
        <v/>
      </c>
      <c r="I286" s="29">
        <f>IF($P286="","",IF(INDEX(EntryWit,$P286)=0,"",INDEX(EntryWit,$P286)))</f>
        <v/>
      </c>
      <c r="J286" s="29">
        <f>IF($B286="","",IF($A286=1,$C$7,IF(J285="",0,J285))+IF($H286="",0,$H286)-IF($I286="",0,$I286))</f>
        <v/>
      </c>
      <c r="K286" s="29">
        <f>IF($P286="","",IF(INDEX(EntryMan,$P286)=0,"",INDEX(EntryMan,$P286)))</f>
        <v/>
      </c>
      <c r="L286" s="28">
        <f>IF($B286="","",IF($K286="","—",IF(ROUND($K286-$J286,0)=0,"√","×")))</f>
        <v/>
      </c>
      <c r="M286" s="28">
        <f>IF($B286="","",IF(COUNTIFS(EntryDates,$B286,CalcTime,$C286,CalcBank,$C$5,EntryParty,$D286,EntryDep,$H286,EntryWit,$I286)&gt;1,"تکرار",""))</f>
        <v/>
      </c>
      <c r="N286" s="28">
        <f>IF($P286="","",IF(INDEX(EntryNotes,$P286)=0,"",INDEX(EntryNotes,$P286)))</f>
        <v/>
      </c>
      <c r="O286" s="28">
        <f>IF($P286="","",IF(INDEX(EntryTxnID,$P286)=0,"",INDEX(EntryTxnID,$P286)))</f>
        <v/>
      </c>
      <c r="P286" s="28">
        <f>IFERROR(MATCH($C$5&amp;"|"&amp;RIGHT("000000"&amp;270,6),CalcRankKey,0),"")</f>
        <v/>
      </c>
    </row>
    <row r="287">
      <c r="A287" s="26">
        <f>IF($B287="","",271)</f>
        <v/>
      </c>
      <c r="B287" s="26">
        <f>IF($P287="","",IF(INDEX(CalcNormDate,$P287)=0,"",INDEX(CalcNormDate,$P287)))</f>
        <v/>
      </c>
      <c r="C287" s="26">
        <f>IF($P287="","",IF(INDEX(CalcTime,$P287)=0,"",INDEX(CalcTime,$P287)))</f>
        <v/>
      </c>
      <c r="D287" s="26">
        <f>IF($P287="","",IF(INDEX(EntryParty,$P287)=0,"",INDEX(EntryParty,$P287)))</f>
        <v/>
      </c>
      <c r="E287" s="26">
        <f>IF($P287="","",IF(INDEX(EntryPartyName,$P287)=0,"",INDEX(EntryPartyName,$P287)))</f>
        <v/>
      </c>
      <c r="F287" s="26">
        <f>IF($P287="","",IF(INDEX(EntryPartyType,$P287)=0,"",INDEX(EntryPartyType,$P287)))</f>
        <v/>
      </c>
      <c r="G287" s="26">
        <f>IF($P287="","",IF(INDEX(EntryTxnType,$P287)=0,"",INDEX(EntryTxnType,$P287)))</f>
        <v/>
      </c>
      <c r="H287" s="27">
        <f>IF($P287="","",IF(INDEX(EntryDep,$P287)=0,"",INDEX(EntryDep,$P287)))</f>
        <v/>
      </c>
      <c r="I287" s="27">
        <f>IF($P287="","",IF(INDEX(EntryWit,$P287)=0,"",INDEX(EntryWit,$P287)))</f>
        <v/>
      </c>
      <c r="J287" s="27">
        <f>IF($B287="","",IF($A287=1,$C$7,IF(J286="",0,J286))+IF($H287="",0,$H287)-IF($I287="",0,$I287))</f>
        <v/>
      </c>
      <c r="K287" s="27">
        <f>IF($P287="","",IF(INDEX(EntryMan,$P287)=0,"",INDEX(EntryMan,$P287)))</f>
        <v/>
      </c>
      <c r="L287" s="26">
        <f>IF($B287="","",IF($K287="","—",IF(ROUND($K287-$J287,0)=0,"√","×")))</f>
        <v/>
      </c>
      <c r="M287" s="26">
        <f>IF($B287="","",IF(COUNTIFS(EntryDates,$B287,CalcTime,$C287,CalcBank,$C$5,EntryParty,$D287,EntryDep,$H287,EntryWit,$I287)&gt;1,"تکرار",""))</f>
        <v/>
      </c>
      <c r="N287" s="26">
        <f>IF($P287="","",IF(INDEX(EntryNotes,$P287)=0,"",INDEX(EntryNotes,$P287)))</f>
        <v/>
      </c>
      <c r="O287" s="26">
        <f>IF($P287="","",IF(INDEX(EntryTxnID,$P287)=0,"",INDEX(EntryTxnID,$P287)))</f>
        <v/>
      </c>
      <c r="P287" s="26">
        <f>IFERROR(MATCH($C$5&amp;"|"&amp;RIGHT("000000"&amp;271,6),CalcRankKey,0),"")</f>
        <v/>
      </c>
    </row>
    <row r="288">
      <c r="A288" s="28">
        <f>IF($B288="","",272)</f>
        <v/>
      </c>
      <c r="B288" s="28">
        <f>IF($P288="","",IF(INDEX(CalcNormDate,$P288)=0,"",INDEX(CalcNormDate,$P288)))</f>
        <v/>
      </c>
      <c r="C288" s="28">
        <f>IF($P288="","",IF(INDEX(CalcTime,$P288)=0,"",INDEX(CalcTime,$P288)))</f>
        <v/>
      </c>
      <c r="D288" s="28">
        <f>IF($P288="","",IF(INDEX(EntryParty,$P288)=0,"",INDEX(EntryParty,$P288)))</f>
        <v/>
      </c>
      <c r="E288" s="28">
        <f>IF($P288="","",IF(INDEX(EntryPartyName,$P288)=0,"",INDEX(EntryPartyName,$P288)))</f>
        <v/>
      </c>
      <c r="F288" s="28">
        <f>IF($P288="","",IF(INDEX(EntryPartyType,$P288)=0,"",INDEX(EntryPartyType,$P288)))</f>
        <v/>
      </c>
      <c r="G288" s="28">
        <f>IF($P288="","",IF(INDEX(EntryTxnType,$P288)=0,"",INDEX(EntryTxnType,$P288)))</f>
        <v/>
      </c>
      <c r="H288" s="29">
        <f>IF($P288="","",IF(INDEX(EntryDep,$P288)=0,"",INDEX(EntryDep,$P288)))</f>
        <v/>
      </c>
      <c r="I288" s="29">
        <f>IF($P288="","",IF(INDEX(EntryWit,$P288)=0,"",INDEX(EntryWit,$P288)))</f>
        <v/>
      </c>
      <c r="J288" s="29">
        <f>IF($B288="","",IF($A288=1,$C$7,IF(J287="",0,J287))+IF($H288="",0,$H288)-IF($I288="",0,$I288))</f>
        <v/>
      </c>
      <c r="K288" s="29">
        <f>IF($P288="","",IF(INDEX(EntryMan,$P288)=0,"",INDEX(EntryMan,$P288)))</f>
        <v/>
      </c>
      <c r="L288" s="28">
        <f>IF($B288="","",IF($K288="","—",IF(ROUND($K288-$J288,0)=0,"√","×")))</f>
        <v/>
      </c>
      <c r="M288" s="28">
        <f>IF($B288="","",IF(COUNTIFS(EntryDates,$B288,CalcTime,$C288,CalcBank,$C$5,EntryParty,$D288,EntryDep,$H288,EntryWit,$I288)&gt;1,"تکرار",""))</f>
        <v/>
      </c>
      <c r="N288" s="28">
        <f>IF($P288="","",IF(INDEX(EntryNotes,$P288)=0,"",INDEX(EntryNotes,$P288)))</f>
        <v/>
      </c>
      <c r="O288" s="28">
        <f>IF($P288="","",IF(INDEX(EntryTxnID,$P288)=0,"",INDEX(EntryTxnID,$P288)))</f>
        <v/>
      </c>
      <c r="P288" s="28">
        <f>IFERROR(MATCH($C$5&amp;"|"&amp;RIGHT("000000"&amp;272,6),CalcRankKey,0),"")</f>
        <v/>
      </c>
    </row>
    <row r="289">
      <c r="A289" s="26">
        <f>IF($B289="","",273)</f>
        <v/>
      </c>
      <c r="B289" s="26">
        <f>IF($P289="","",IF(INDEX(CalcNormDate,$P289)=0,"",INDEX(CalcNormDate,$P289)))</f>
        <v/>
      </c>
      <c r="C289" s="26">
        <f>IF($P289="","",IF(INDEX(CalcTime,$P289)=0,"",INDEX(CalcTime,$P289)))</f>
        <v/>
      </c>
      <c r="D289" s="26">
        <f>IF($P289="","",IF(INDEX(EntryParty,$P289)=0,"",INDEX(EntryParty,$P289)))</f>
        <v/>
      </c>
      <c r="E289" s="26">
        <f>IF($P289="","",IF(INDEX(EntryPartyName,$P289)=0,"",INDEX(EntryPartyName,$P289)))</f>
        <v/>
      </c>
      <c r="F289" s="26">
        <f>IF($P289="","",IF(INDEX(EntryPartyType,$P289)=0,"",INDEX(EntryPartyType,$P289)))</f>
        <v/>
      </c>
      <c r="G289" s="26">
        <f>IF($P289="","",IF(INDEX(EntryTxnType,$P289)=0,"",INDEX(EntryTxnType,$P289)))</f>
        <v/>
      </c>
      <c r="H289" s="27">
        <f>IF($P289="","",IF(INDEX(EntryDep,$P289)=0,"",INDEX(EntryDep,$P289)))</f>
        <v/>
      </c>
      <c r="I289" s="27">
        <f>IF($P289="","",IF(INDEX(EntryWit,$P289)=0,"",INDEX(EntryWit,$P289)))</f>
        <v/>
      </c>
      <c r="J289" s="27">
        <f>IF($B289="","",IF($A289=1,$C$7,IF(J288="",0,J288))+IF($H289="",0,$H289)-IF($I289="",0,$I289))</f>
        <v/>
      </c>
      <c r="K289" s="27">
        <f>IF($P289="","",IF(INDEX(EntryMan,$P289)=0,"",INDEX(EntryMan,$P289)))</f>
        <v/>
      </c>
      <c r="L289" s="26">
        <f>IF($B289="","",IF($K289="","—",IF(ROUND($K289-$J289,0)=0,"√","×")))</f>
        <v/>
      </c>
      <c r="M289" s="26">
        <f>IF($B289="","",IF(COUNTIFS(EntryDates,$B289,CalcTime,$C289,CalcBank,$C$5,EntryParty,$D289,EntryDep,$H289,EntryWit,$I289)&gt;1,"تکرار",""))</f>
        <v/>
      </c>
      <c r="N289" s="26">
        <f>IF($P289="","",IF(INDEX(EntryNotes,$P289)=0,"",INDEX(EntryNotes,$P289)))</f>
        <v/>
      </c>
      <c r="O289" s="26">
        <f>IF($P289="","",IF(INDEX(EntryTxnID,$P289)=0,"",INDEX(EntryTxnID,$P289)))</f>
        <v/>
      </c>
      <c r="P289" s="26">
        <f>IFERROR(MATCH($C$5&amp;"|"&amp;RIGHT("000000"&amp;273,6),CalcRankKey,0),"")</f>
        <v/>
      </c>
    </row>
    <row r="290">
      <c r="A290" s="28">
        <f>IF($B290="","",274)</f>
        <v/>
      </c>
      <c r="B290" s="28">
        <f>IF($P290="","",IF(INDEX(CalcNormDate,$P290)=0,"",INDEX(CalcNormDate,$P290)))</f>
        <v/>
      </c>
      <c r="C290" s="28">
        <f>IF($P290="","",IF(INDEX(CalcTime,$P290)=0,"",INDEX(CalcTime,$P290)))</f>
        <v/>
      </c>
      <c r="D290" s="28">
        <f>IF($P290="","",IF(INDEX(EntryParty,$P290)=0,"",INDEX(EntryParty,$P290)))</f>
        <v/>
      </c>
      <c r="E290" s="28">
        <f>IF($P290="","",IF(INDEX(EntryPartyName,$P290)=0,"",INDEX(EntryPartyName,$P290)))</f>
        <v/>
      </c>
      <c r="F290" s="28">
        <f>IF($P290="","",IF(INDEX(EntryPartyType,$P290)=0,"",INDEX(EntryPartyType,$P290)))</f>
        <v/>
      </c>
      <c r="G290" s="28">
        <f>IF($P290="","",IF(INDEX(EntryTxnType,$P290)=0,"",INDEX(EntryTxnType,$P290)))</f>
        <v/>
      </c>
      <c r="H290" s="29">
        <f>IF($P290="","",IF(INDEX(EntryDep,$P290)=0,"",INDEX(EntryDep,$P290)))</f>
        <v/>
      </c>
      <c r="I290" s="29">
        <f>IF($P290="","",IF(INDEX(EntryWit,$P290)=0,"",INDEX(EntryWit,$P290)))</f>
        <v/>
      </c>
      <c r="J290" s="29">
        <f>IF($B290="","",IF($A290=1,$C$7,IF(J289="",0,J289))+IF($H290="",0,$H290)-IF($I290="",0,$I290))</f>
        <v/>
      </c>
      <c r="K290" s="29">
        <f>IF($P290="","",IF(INDEX(EntryMan,$P290)=0,"",INDEX(EntryMan,$P290)))</f>
        <v/>
      </c>
      <c r="L290" s="28">
        <f>IF($B290="","",IF($K290="","—",IF(ROUND($K290-$J290,0)=0,"√","×")))</f>
        <v/>
      </c>
      <c r="M290" s="28">
        <f>IF($B290="","",IF(COUNTIFS(EntryDates,$B290,CalcTime,$C290,CalcBank,$C$5,EntryParty,$D290,EntryDep,$H290,EntryWit,$I290)&gt;1,"تکرار",""))</f>
        <v/>
      </c>
      <c r="N290" s="28">
        <f>IF($P290="","",IF(INDEX(EntryNotes,$P290)=0,"",INDEX(EntryNotes,$P290)))</f>
        <v/>
      </c>
      <c r="O290" s="28">
        <f>IF($P290="","",IF(INDEX(EntryTxnID,$P290)=0,"",INDEX(EntryTxnID,$P290)))</f>
        <v/>
      </c>
      <c r="P290" s="28">
        <f>IFERROR(MATCH($C$5&amp;"|"&amp;RIGHT("000000"&amp;274,6),CalcRankKey,0),"")</f>
        <v/>
      </c>
    </row>
    <row r="291">
      <c r="A291" s="26">
        <f>IF($B291="","",275)</f>
        <v/>
      </c>
      <c r="B291" s="26">
        <f>IF($P291="","",IF(INDEX(CalcNormDate,$P291)=0,"",INDEX(CalcNormDate,$P291)))</f>
        <v/>
      </c>
      <c r="C291" s="26">
        <f>IF($P291="","",IF(INDEX(CalcTime,$P291)=0,"",INDEX(CalcTime,$P291)))</f>
        <v/>
      </c>
      <c r="D291" s="26">
        <f>IF($P291="","",IF(INDEX(EntryParty,$P291)=0,"",INDEX(EntryParty,$P291)))</f>
        <v/>
      </c>
      <c r="E291" s="26">
        <f>IF($P291="","",IF(INDEX(EntryPartyName,$P291)=0,"",INDEX(EntryPartyName,$P291)))</f>
        <v/>
      </c>
      <c r="F291" s="26">
        <f>IF($P291="","",IF(INDEX(EntryPartyType,$P291)=0,"",INDEX(EntryPartyType,$P291)))</f>
        <v/>
      </c>
      <c r="G291" s="26">
        <f>IF($P291="","",IF(INDEX(EntryTxnType,$P291)=0,"",INDEX(EntryTxnType,$P291)))</f>
        <v/>
      </c>
      <c r="H291" s="27">
        <f>IF($P291="","",IF(INDEX(EntryDep,$P291)=0,"",INDEX(EntryDep,$P291)))</f>
        <v/>
      </c>
      <c r="I291" s="27">
        <f>IF($P291="","",IF(INDEX(EntryWit,$P291)=0,"",INDEX(EntryWit,$P291)))</f>
        <v/>
      </c>
      <c r="J291" s="27">
        <f>IF($B291="","",IF($A291=1,$C$7,IF(J290="",0,J290))+IF($H291="",0,$H291)-IF($I291="",0,$I291))</f>
        <v/>
      </c>
      <c r="K291" s="27">
        <f>IF($P291="","",IF(INDEX(EntryMan,$P291)=0,"",INDEX(EntryMan,$P291)))</f>
        <v/>
      </c>
      <c r="L291" s="26">
        <f>IF($B291="","",IF($K291="","—",IF(ROUND($K291-$J291,0)=0,"√","×")))</f>
        <v/>
      </c>
      <c r="M291" s="26">
        <f>IF($B291="","",IF(COUNTIFS(EntryDates,$B291,CalcTime,$C291,CalcBank,$C$5,EntryParty,$D291,EntryDep,$H291,EntryWit,$I291)&gt;1,"تکرار",""))</f>
        <v/>
      </c>
      <c r="N291" s="26">
        <f>IF($P291="","",IF(INDEX(EntryNotes,$P291)=0,"",INDEX(EntryNotes,$P291)))</f>
        <v/>
      </c>
      <c r="O291" s="26">
        <f>IF($P291="","",IF(INDEX(EntryTxnID,$P291)=0,"",INDEX(EntryTxnID,$P291)))</f>
        <v/>
      </c>
      <c r="P291" s="26">
        <f>IFERROR(MATCH($C$5&amp;"|"&amp;RIGHT("000000"&amp;275,6),CalcRankKey,0),"")</f>
        <v/>
      </c>
    </row>
    <row r="292">
      <c r="A292" s="28">
        <f>IF($B292="","",276)</f>
        <v/>
      </c>
      <c r="B292" s="28">
        <f>IF($P292="","",IF(INDEX(CalcNormDate,$P292)=0,"",INDEX(CalcNormDate,$P292)))</f>
        <v/>
      </c>
      <c r="C292" s="28">
        <f>IF($P292="","",IF(INDEX(CalcTime,$P292)=0,"",INDEX(CalcTime,$P292)))</f>
        <v/>
      </c>
      <c r="D292" s="28">
        <f>IF($P292="","",IF(INDEX(EntryParty,$P292)=0,"",INDEX(EntryParty,$P292)))</f>
        <v/>
      </c>
      <c r="E292" s="28">
        <f>IF($P292="","",IF(INDEX(EntryPartyName,$P292)=0,"",INDEX(EntryPartyName,$P292)))</f>
        <v/>
      </c>
      <c r="F292" s="28">
        <f>IF($P292="","",IF(INDEX(EntryPartyType,$P292)=0,"",INDEX(EntryPartyType,$P292)))</f>
        <v/>
      </c>
      <c r="G292" s="28">
        <f>IF($P292="","",IF(INDEX(EntryTxnType,$P292)=0,"",INDEX(EntryTxnType,$P292)))</f>
        <v/>
      </c>
      <c r="H292" s="29">
        <f>IF($P292="","",IF(INDEX(EntryDep,$P292)=0,"",INDEX(EntryDep,$P292)))</f>
        <v/>
      </c>
      <c r="I292" s="29">
        <f>IF($P292="","",IF(INDEX(EntryWit,$P292)=0,"",INDEX(EntryWit,$P292)))</f>
        <v/>
      </c>
      <c r="J292" s="29">
        <f>IF($B292="","",IF($A292=1,$C$7,IF(J291="",0,J291))+IF($H292="",0,$H292)-IF($I292="",0,$I292))</f>
        <v/>
      </c>
      <c r="K292" s="29">
        <f>IF($P292="","",IF(INDEX(EntryMan,$P292)=0,"",INDEX(EntryMan,$P292)))</f>
        <v/>
      </c>
      <c r="L292" s="28">
        <f>IF($B292="","",IF($K292="","—",IF(ROUND($K292-$J292,0)=0,"√","×")))</f>
        <v/>
      </c>
      <c r="M292" s="28">
        <f>IF($B292="","",IF(COUNTIFS(EntryDates,$B292,CalcTime,$C292,CalcBank,$C$5,EntryParty,$D292,EntryDep,$H292,EntryWit,$I292)&gt;1,"تکرار",""))</f>
        <v/>
      </c>
      <c r="N292" s="28">
        <f>IF($P292="","",IF(INDEX(EntryNotes,$P292)=0,"",INDEX(EntryNotes,$P292)))</f>
        <v/>
      </c>
      <c r="O292" s="28">
        <f>IF($P292="","",IF(INDEX(EntryTxnID,$P292)=0,"",INDEX(EntryTxnID,$P292)))</f>
        <v/>
      </c>
      <c r="P292" s="28">
        <f>IFERROR(MATCH($C$5&amp;"|"&amp;RIGHT("000000"&amp;276,6),CalcRankKey,0),"")</f>
        <v/>
      </c>
    </row>
    <row r="293">
      <c r="A293" s="26">
        <f>IF($B293="","",277)</f>
        <v/>
      </c>
      <c r="B293" s="26">
        <f>IF($P293="","",IF(INDEX(CalcNormDate,$P293)=0,"",INDEX(CalcNormDate,$P293)))</f>
        <v/>
      </c>
      <c r="C293" s="26">
        <f>IF($P293="","",IF(INDEX(CalcTime,$P293)=0,"",INDEX(CalcTime,$P293)))</f>
        <v/>
      </c>
      <c r="D293" s="26">
        <f>IF($P293="","",IF(INDEX(EntryParty,$P293)=0,"",INDEX(EntryParty,$P293)))</f>
        <v/>
      </c>
      <c r="E293" s="26">
        <f>IF($P293="","",IF(INDEX(EntryPartyName,$P293)=0,"",INDEX(EntryPartyName,$P293)))</f>
        <v/>
      </c>
      <c r="F293" s="26">
        <f>IF($P293="","",IF(INDEX(EntryPartyType,$P293)=0,"",INDEX(EntryPartyType,$P293)))</f>
        <v/>
      </c>
      <c r="G293" s="26">
        <f>IF($P293="","",IF(INDEX(EntryTxnType,$P293)=0,"",INDEX(EntryTxnType,$P293)))</f>
        <v/>
      </c>
      <c r="H293" s="27">
        <f>IF($P293="","",IF(INDEX(EntryDep,$P293)=0,"",INDEX(EntryDep,$P293)))</f>
        <v/>
      </c>
      <c r="I293" s="27">
        <f>IF($P293="","",IF(INDEX(EntryWit,$P293)=0,"",INDEX(EntryWit,$P293)))</f>
        <v/>
      </c>
      <c r="J293" s="27">
        <f>IF($B293="","",IF($A293=1,$C$7,IF(J292="",0,J292))+IF($H293="",0,$H293)-IF($I293="",0,$I293))</f>
        <v/>
      </c>
      <c r="K293" s="27">
        <f>IF($P293="","",IF(INDEX(EntryMan,$P293)=0,"",INDEX(EntryMan,$P293)))</f>
        <v/>
      </c>
      <c r="L293" s="26">
        <f>IF($B293="","",IF($K293="","—",IF(ROUND($K293-$J293,0)=0,"√","×")))</f>
        <v/>
      </c>
      <c r="M293" s="26">
        <f>IF($B293="","",IF(COUNTIFS(EntryDates,$B293,CalcTime,$C293,CalcBank,$C$5,EntryParty,$D293,EntryDep,$H293,EntryWit,$I293)&gt;1,"تکرار",""))</f>
        <v/>
      </c>
      <c r="N293" s="26">
        <f>IF($P293="","",IF(INDEX(EntryNotes,$P293)=0,"",INDEX(EntryNotes,$P293)))</f>
        <v/>
      </c>
      <c r="O293" s="26">
        <f>IF($P293="","",IF(INDEX(EntryTxnID,$P293)=0,"",INDEX(EntryTxnID,$P293)))</f>
        <v/>
      </c>
      <c r="P293" s="26">
        <f>IFERROR(MATCH($C$5&amp;"|"&amp;RIGHT("000000"&amp;277,6),CalcRankKey,0),"")</f>
        <v/>
      </c>
    </row>
    <row r="294">
      <c r="A294" s="28">
        <f>IF($B294="","",278)</f>
        <v/>
      </c>
      <c r="B294" s="28">
        <f>IF($P294="","",IF(INDEX(CalcNormDate,$P294)=0,"",INDEX(CalcNormDate,$P294)))</f>
        <v/>
      </c>
      <c r="C294" s="28">
        <f>IF($P294="","",IF(INDEX(CalcTime,$P294)=0,"",INDEX(CalcTime,$P294)))</f>
        <v/>
      </c>
      <c r="D294" s="28">
        <f>IF($P294="","",IF(INDEX(EntryParty,$P294)=0,"",INDEX(EntryParty,$P294)))</f>
        <v/>
      </c>
      <c r="E294" s="28">
        <f>IF($P294="","",IF(INDEX(EntryPartyName,$P294)=0,"",INDEX(EntryPartyName,$P294)))</f>
        <v/>
      </c>
      <c r="F294" s="28">
        <f>IF($P294="","",IF(INDEX(EntryPartyType,$P294)=0,"",INDEX(EntryPartyType,$P294)))</f>
        <v/>
      </c>
      <c r="G294" s="28">
        <f>IF($P294="","",IF(INDEX(EntryTxnType,$P294)=0,"",INDEX(EntryTxnType,$P294)))</f>
        <v/>
      </c>
      <c r="H294" s="29">
        <f>IF($P294="","",IF(INDEX(EntryDep,$P294)=0,"",INDEX(EntryDep,$P294)))</f>
        <v/>
      </c>
      <c r="I294" s="29">
        <f>IF($P294="","",IF(INDEX(EntryWit,$P294)=0,"",INDEX(EntryWit,$P294)))</f>
        <v/>
      </c>
      <c r="J294" s="29">
        <f>IF($B294="","",IF($A294=1,$C$7,IF(J293="",0,J293))+IF($H294="",0,$H294)-IF($I294="",0,$I294))</f>
        <v/>
      </c>
      <c r="K294" s="29">
        <f>IF($P294="","",IF(INDEX(EntryMan,$P294)=0,"",INDEX(EntryMan,$P294)))</f>
        <v/>
      </c>
      <c r="L294" s="28">
        <f>IF($B294="","",IF($K294="","—",IF(ROUND($K294-$J294,0)=0,"√","×")))</f>
        <v/>
      </c>
      <c r="M294" s="28">
        <f>IF($B294="","",IF(COUNTIFS(EntryDates,$B294,CalcTime,$C294,CalcBank,$C$5,EntryParty,$D294,EntryDep,$H294,EntryWit,$I294)&gt;1,"تکرار",""))</f>
        <v/>
      </c>
      <c r="N294" s="28">
        <f>IF($P294="","",IF(INDEX(EntryNotes,$P294)=0,"",INDEX(EntryNotes,$P294)))</f>
        <v/>
      </c>
      <c r="O294" s="28">
        <f>IF($P294="","",IF(INDEX(EntryTxnID,$P294)=0,"",INDEX(EntryTxnID,$P294)))</f>
        <v/>
      </c>
      <c r="P294" s="28">
        <f>IFERROR(MATCH($C$5&amp;"|"&amp;RIGHT("000000"&amp;278,6),CalcRankKey,0),"")</f>
        <v/>
      </c>
    </row>
    <row r="295">
      <c r="A295" s="26">
        <f>IF($B295="","",279)</f>
        <v/>
      </c>
      <c r="B295" s="26">
        <f>IF($P295="","",IF(INDEX(CalcNormDate,$P295)=0,"",INDEX(CalcNormDate,$P295)))</f>
        <v/>
      </c>
      <c r="C295" s="26">
        <f>IF($P295="","",IF(INDEX(CalcTime,$P295)=0,"",INDEX(CalcTime,$P295)))</f>
        <v/>
      </c>
      <c r="D295" s="26">
        <f>IF($P295="","",IF(INDEX(EntryParty,$P295)=0,"",INDEX(EntryParty,$P295)))</f>
        <v/>
      </c>
      <c r="E295" s="26">
        <f>IF($P295="","",IF(INDEX(EntryPartyName,$P295)=0,"",INDEX(EntryPartyName,$P295)))</f>
        <v/>
      </c>
      <c r="F295" s="26">
        <f>IF($P295="","",IF(INDEX(EntryPartyType,$P295)=0,"",INDEX(EntryPartyType,$P295)))</f>
        <v/>
      </c>
      <c r="G295" s="26">
        <f>IF($P295="","",IF(INDEX(EntryTxnType,$P295)=0,"",INDEX(EntryTxnType,$P295)))</f>
        <v/>
      </c>
      <c r="H295" s="27">
        <f>IF($P295="","",IF(INDEX(EntryDep,$P295)=0,"",INDEX(EntryDep,$P295)))</f>
        <v/>
      </c>
      <c r="I295" s="27">
        <f>IF($P295="","",IF(INDEX(EntryWit,$P295)=0,"",INDEX(EntryWit,$P295)))</f>
        <v/>
      </c>
      <c r="J295" s="27">
        <f>IF($B295="","",IF($A295=1,$C$7,IF(J294="",0,J294))+IF($H295="",0,$H295)-IF($I295="",0,$I295))</f>
        <v/>
      </c>
      <c r="K295" s="27">
        <f>IF($P295="","",IF(INDEX(EntryMan,$P295)=0,"",INDEX(EntryMan,$P295)))</f>
        <v/>
      </c>
      <c r="L295" s="26">
        <f>IF($B295="","",IF($K295="","—",IF(ROUND($K295-$J295,0)=0,"√","×")))</f>
        <v/>
      </c>
      <c r="M295" s="26">
        <f>IF($B295="","",IF(COUNTIFS(EntryDates,$B295,CalcTime,$C295,CalcBank,$C$5,EntryParty,$D295,EntryDep,$H295,EntryWit,$I295)&gt;1,"تکرار",""))</f>
        <v/>
      </c>
      <c r="N295" s="26">
        <f>IF($P295="","",IF(INDEX(EntryNotes,$P295)=0,"",INDEX(EntryNotes,$P295)))</f>
        <v/>
      </c>
      <c r="O295" s="26">
        <f>IF($P295="","",IF(INDEX(EntryTxnID,$P295)=0,"",INDEX(EntryTxnID,$P295)))</f>
        <v/>
      </c>
      <c r="P295" s="26">
        <f>IFERROR(MATCH($C$5&amp;"|"&amp;RIGHT("000000"&amp;279,6),CalcRankKey,0),"")</f>
        <v/>
      </c>
    </row>
    <row r="296">
      <c r="A296" s="28">
        <f>IF($B296="","",280)</f>
        <v/>
      </c>
      <c r="B296" s="28">
        <f>IF($P296="","",IF(INDEX(CalcNormDate,$P296)=0,"",INDEX(CalcNormDate,$P296)))</f>
        <v/>
      </c>
      <c r="C296" s="28">
        <f>IF($P296="","",IF(INDEX(CalcTime,$P296)=0,"",INDEX(CalcTime,$P296)))</f>
        <v/>
      </c>
      <c r="D296" s="28">
        <f>IF($P296="","",IF(INDEX(EntryParty,$P296)=0,"",INDEX(EntryParty,$P296)))</f>
        <v/>
      </c>
      <c r="E296" s="28">
        <f>IF($P296="","",IF(INDEX(EntryPartyName,$P296)=0,"",INDEX(EntryPartyName,$P296)))</f>
        <v/>
      </c>
      <c r="F296" s="28">
        <f>IF($P296="","",IF(INDEX(EntryPartyType,$P296)=0,"",INDEX(EntryPartyType,$P296)))</f>
        <v/>
      </c>
      <c r="G296" s="28">
        <f>IF($P296="","",IF(INDEX(EntryTxnType,$P296)=0,"",INDEX(EntryTxnType,$P296)))</f>
        <v/>
      </c>
      <c r="H296" s="29">
        <f>IF($P296="","",IF(INDEX(EntryDep,$P296)=0,"",INDEX(EntryDep,$P296)))</f>
        <v/>
      </c>
      <c r="I296" s="29">
        <f>IF($P296="","",IF(INDEX(EntryWit,$P296)=0,"",INDEX(EntryWit,$P296)))</f>
        <v/>
      </c>
      <c r="J296" s="29">
        <f>IF($B296="","",IF($A296=1,$C$7,IF(J295="",0,J295))+IF($H296="",0,$H296)-IF($I296="",0,$I296))</f>
        <v/>
      </c>
      <c r="K296" s="29">
        <f>IF($P296="","",IF(INDEX(EntryMan,$P296)=0,"",INDEX(EntryMan,$P296)))</f>
        <v/>
      </c>
      <c r="L296" s="28">
        <f>IF($B296="","",IF($K296="","—",IF(ROUND($K296-$J296,0)=0,"√","×")))</f>
        <v/>
      </c>
      <c r="M296" s="28">
        <f>IF($B296="","",IF(COUNTIFS(EntryDates,$B296,CalcTime,$C296,CalcBank,$C$5,EntryParty,$D296,EntryDep,$H296,EntryWit,$I296)&gt;1,"تکرار",""))</f>
        <v/>
      </c>
      <c r="N296" s="28">
        <f>IF($P296="","",IF(INDEX(EntryNotes,$P296)=0,"",INDEX(EntryNotes,$P296)))</f>
        <v/>
      </c>
      <c r="O296" s="28">
        <f>IF($P296="","",IF(INDEX(EntryTxnID,$P296)=0,"",INDEX(EntryTxnID,$P296)))</f>
        <v/>
      </c>
      <c r="P296" s="28">
        <f>IFERROR(MATCH($C$5&amp;"|"&amp;RIGHT("000000"&amp;280,6),CalcRankKey,0),"")</f>
        <v/>
      </c>
    </row>
    <row r="297">
      <c r="A297" s="26">
        <f>IF($B297="","",281)</f>
        <v/>
      </c>
      <c r="B297" s="26">
        <f>IF($P297="","",IF(INDEX(CalcNormDate,$P297)=0,"",INDEX(CalcNormDate,$P297)))</f>
        <v/>
      </c>
      <c r="C297" s="26">
        <f>IF($P297="","",IF(INDEX(CalcTime,$P297)=0,"",INDEX(CalcTime,$P297)))</f>
        <v/>
      </c>
      <c r="D297" s="26">
        <f>IF($P297="","",IF(INDEX(EntryParty,$P297)=0,"",INDEX(EntryParty,$P297)))</f>
        <v/>
      </c>
      <c r="E297" s="26">
        <f>IF($P297="","",IF(INDEX(EntryPartyName,$P297)=0,"",INDEX(EntryPartyName,$P297)))</f>
        <v/>
      </c>
      <c r="F297" s="26">
        <f>IF($P297="","",IF(INDEX(EntryPartyType,$P297)=0,"",INDEX(EntryPartyType,$P297)))</f>
        <v/>
      </c>
      <c r="G297" s="26">
        <f>IF($P297="","",IF(INDEX(EntryTxnType,$P297)=0,"",INDEX(EntryTxnType,$P297)))</f>
        <v/>
      </c>
      <c r="H297" s="27">
        <f>IF($P297="","",IF(INDEX(EntryDep,$P297)=0,"",INDEX(EntryDep,$P297)))</f>
        <v/>
      </c>
      <c r="I297" s="27">
        <f>IF($P297="","",IF(INDEX(EntryWit,$P297)=0,"",INDEX(EntryWit,$P297)))</f>
        <v/>
      </c>
      <c r="J297" s="27">
        <f>IF($B297="","",IF($A297=1,$C$7,IF(J296="",0,J296))+IF($H297="",0,$H297)-IF($I297="",0,$I297))</f>
        <v/>
      </c>
      <c r="K297" s="27">
        <f>IF($P297="","",IF(INDEX(EntryMan,$P297)=0,"",INDEX(EntryMan,$P297)))</f>
        <v/>
      </c>
      <c r="L297" s="26">
        <f>IF($B297="","",IF($K297="","—",IF(ROUND($K297-$J297,0)=0,"√","×")))</f>
        <v/>
      </c>
      <c r="M297" s="26">
        <f>IF($B297="","",IF(COUNTIFS(EntryDates,$B297,CalcTime,$C297,CalcBank,$C$5,EntryParty,$D297,EntryDep,$H297,EntryWit,$I297)&gt;1,"تکرار",""))</f>
        <v/>
      </c>
      <c r="N297" s="26">
        <f>IF($P297="","",IF(INDEX(EntryNotes,$P297)=0,"",INDEX(EntryNotes,$P297)))</f>
        <v/>
      </c>
      <c r="O297" s="26">
        <f>IF($P297="","",IF(INDEX(EntryTxnID,$P297)=0,"",INDEX(EntryTxnID,$P297)))</f>
        <v/>
      </c>
      <c r="P297" s="26">
        <f>IFERROR(MATCH($C$5&amp;"|"&amp;RIGHT("000000"&amp;281,6),CalcRankKey,0),"")</f>
        <v/>
      </c>
    </row>
    <row r="298">
      <c r="A298" s="28">
        <f>IF($B298="","",282)</f>
        <v/>
      </c>
      <c r="B298" s="28">
        <f>IF($P298="","",IF(INDEX(CalcNormDate,$P298)=0,"",INDEX(CalcNormDate,$P298)))</f>
        <v/>
      </c>
      <c r="C298" s="28">
        <f>IF($P298="","",IF(INDEX(CalcTime,$P298)=0,"",INDEX(CalcTime,$P298)))</f>
        <v/>
      </c>
      <c r="D298" s="28">
        <f>IF($P298="","",IF(INDEX(EntryParty,$P298)=0,"",INDEX(EntryParty,$P298)))</f>
        <v/>
      </c>
      <c r="E298" s="28">
        <f>IF($P298="","",IF(INDEX(EntryPartyName,$P298)=0,"",INDEX(EntryPartyName,$P298)))</f>
        <v/>
      </c>
      <c r="F298" s="28">
        <f>IF($P298="","",IF(INDEX(EntryPartyType,$P298)=0,"",INDEX(EntryPartyType,$P298)))</f>
        <v/>
      </c>
      <c r="G298" s="28">
        <f>IF($P298="","",IF(INDEX(EntryTxnType,$P298)=0,"",INDEX(EntryTxnType,$P298)))</f>
        <v/>
      </c>
      <c r="H298" s="29">
        <f>IF($P298="","",IF(INDEX(EntryDep,$P298)=0,"",INDEX(EntryDep,$P298)))</f>
        <v/>
      </c>
      <c r="I298" s="29">
        <f>IF($P298="","",IF(INDEX(EntryWit,$P298)=0,"",INDEX(EntryWit,$P298)))</f>
        <v/>
      </c>
      <c r="J298" s="29">
        <f>IF($B298="","",IF($A298=1,$C$7,IF(J297="",0,J297))+IF($H298="",0,$H298)-IF($I298="",0,$I298))</f>
        <v/>
      </c>
      <c r="K298" s="29">
        <f>IF($P298="","",IF(INDEX(EntryMan,$P298)=0,"",INDEX(EntryMan,$P298)))</f>
        <v/>
      </c>
      <c r="L298" s="28">
        <f>IF($B298="","",IF($K298="","—",IF(ROUND($K298-$J298,0)=0,"√","×")))</f>
        <v/>
      </c>
      <c r="M298" s="28">
        <f>IF($B298="","",IF(COUNTIFS(EntryDates,$B298,CalcTime,$C298,CalcBank,$C$5,EntryParty,$D298,EntryDep,$H298,EntryWit,$I298)&gt;1,"تکرار",""))</f>
        <v/>
      </c>
      <c r="N298" s="28">
        <f>IF($P298="","",IF(INDEX(EntryNotes,$P298)=0,"",INDEX(EntryNotes,$P298)))</f>
        <v/>
      </c>
      <c r="O298" s="28">
        <f>IF($P298="","",IF(INDEX(EntryTxnID,$P298)=0,"",INDEX(EntryTxnID,$P298)))</f>
        <v/>
      </c>
      <c r="P298" s="28">
        <f>IFERROR(MATCH($C$5&amp;"|"&amp;RIGHT("000000"&amp;282,6),CalcRankKey,0),"")</f>
        <v/>
      </c>
    </row>
    <row r="299">
      <c r="A299" s="26">
        <f>IF($B299="","",283)</f>
        <v/>
      </c>
      <c r="B299" s="26">
        <f>IF($P299="","",IF(INDEX(CalcNormDate,$P299)=0,"",INDEX(CalcNormDate,$P299)))</f>
        <v/>
      </c>
      <c r="C299" s="26">
        <f>IF($P299="","",IF(INDEX(CalcTime,$P299)=0,"",INDEX(CalcTime,$P299)))</f>
        <v/>
      </c>
      <c r="D299" s="26">
        <f>IF($P299="","",IF(INDEX(EntryParty,$P299)=0,"",INDEX(EntryParty,$P299)))</f>
        <v/>
      </c>
      <c r="E299" s="26">
        <f>IF($P299="","",IF(INDEX(EntryPartyName,$P299)=0,"",INDEX(EntryPartyName,$P299)))</f>
        <v/>
      </c>
      <c r="F299" s="26">
        <f>IF($P299="","",IF(INDEX(EntryPartyType,$P299)=0,"",INDEX(EntryPartyType,$P299)))</f>
        <v/>
      </c>
      <c r="G299" s="26">
        <f>IF($P299="","",IF(INDEX(EntryTxnType,$P299)=0,"",INDEX(EntryTxnType,$P299)))</f>
        <v/>
      </c>
      <c r="H299" s="27">
        <f>IF($P299="","",IF(INDEX(EntryDep,$P299)=0,"",INDEX(EntryDep,$P299)))</f>
        <v/>
      </c>
      <c r="I299" s="27">
        <f>IF($P299="","",IF(INDEX(EntryWit,$P299)=0,"",INDEX(EntryWit,$P299)))</f>
        <v/>
      </c>
      <c r="J299" s="27">
        <f>IF($B299="","",IF($A299=1,$C$7,IF(J298="",0,J298))+IF($H299="",0,$H299)-IF($I299="",0,$I299))</f>
        <v/>
      </c>
      <c r="K299" s="27">
        <f>IF($P299="","",IF(INDEX(EntryMan,$P299)=0,"",INDEX(EntryMan,$P299)))</f>
        <v/>
      </c>
      <c r="L299" s="26">
        <f>IF($B299="","",IF($K299="","—",IF(ROUND($K299-$J299,0)=0,"√","×")))</f>
        <v/>
      </c>
      <c r="M299" s="26">
        <f>IF($B299="","",IF(COUNTIFS(EntryDates,$B299,CalcTime,$C299,CalcBank,$C$5,EntryParty,$D299,EntryDep,$H299,EntryWit,$I299)&gt;1,"تکرار",""))</f>
        <v/>
      </c>
      <c r="N299" s="26">
        <f>IF($P299="","",IF(INDEX(EntryNotes,$P299)=0,"",INDEX(EntryNotes,$P299)))</f>
        <v/>
      </c>
      <c r="O299" s="26">
        <f>IF($P299="","",IF(INDEX(EntryTxnID,$P299)=0,"",INDEX(EntryTxnID,$P299)))</f>
        <v/>
      </c>
      <c r="P299" s="26">
        <f>IFERROR(MATCH($C$5&amp;"|"&amp;RIGHT("000000"&amp;283,6),CalcRankKey,0),"")</f>
        <v/>
      </c>
    </row>
    <row r="300">
      <c r="A300" s="28">
        <f>IF($B300="","",284)</f>
        <v/>
      </c>
      <c r="B300" s="28">
        <f>IF($P300="","",IF(INDEX(CalcNormDate,$P300)=0,"",INDEX(CalcNormDate,$P300)))</f>
        <v/>
      </c>
      <c r="C300" s="28">
        <f>IF($P300="","",IF(INDEX(CalcTime,$P300)=0,"",INDEX(CalcTime,$P300)))</f>
        <v/>
      </c>
      <c r="D300" s="28">
        <f>IF($P300="","",IF(INDEX(EntryParty,$P300)=0,"",INDEX(EntryParty,$P300)))</f>
        <v/>
      </c>
      <c r="E300" s="28">
        <f>IF($P300="","",IF(INDEX(EntryPartyName,$P300)=0,"",INDEX(EntryPartyName,$P300)))</f>
        <v/>
      </c>
      <c r="F300" s="28">
        <f>IF($P300="","",IF(INDEX(EntryPartyType,$P300)=0,"",INDEX(EntryPartyType,$P300)))</f>
        <v/>
      </c>
      <c r="G300" s="28">
        <f>IF($P300="","",IF(INDEX(EntryTxnType,$P300)=0,"",INDEX(EntryTxnType,$P300)))</f>
        <v/>
      </c>
      <c r="H300" s="29">
        <f>IF($P300="","",IF(INDEX(EntryDep,$P300)=0,"",INDEX(EntryDep,$P300)))</f>
        <v/>
      </c>
      <c r="I300" s="29">
        <f>IF($P300="","",IF(INDEX(EntryWit,$P300)=0,"",INDEX(EntryWit,$P300)))</f>
        <v/>
      </c>
      <c r="J300" s="29">
        <f>IF($B300="","",IF($A300=1,$C$7,IF(J299="",0,J299))+IF($H300="",0,$H300)-IF($I300="",0,$I300))</f>
        <v/>
      </c>
      <c r="K300" s="29">
        <f>IF($P300="","",IF(INDEX(EntryMan,$P300)=0,"",INDEX(EntryMan,$P300)))</f>
        <v/>
      </c>
      <c r="L300" s="28">
        <f>IF($B300="","",IF($K300="","—",IF(ROUND($K300-$J300,0)=0,"√","×")))</f>
        <v/>
      </c>
      <c r="M300" s="28">
        <f>IF($B300="","",IF(COUNTIFS(EntryDates,$B300,CalcTime,$C300,CalcBank,$C$5,EntryParty,$D300,EntryDep,$H300,EntryWit,$I300)&gt;1,"تکرار",""))</f>
        <v/>
      </c>
      <c r="N300" s="28">
        <f>IF($P300="","",IF(INDEX(EntryNotes,$P300)=0,"",INDEX(EntryNotes,$P300)))</f>
        <v/>
      </c>
      <c r="O300" s="28">
        <f>IF($P300="","",IF(INDEX(EntryTxnID,$P300)=0,"",INDEX(EntryTxnID,$P300)))</f>
        <v/>
      </c>
      <c r="P300" s="28">
        <f>IFERROR(MATCH($C$5&amp;"|"&amp;RIGHT("000000"&amp;284,6),CalcRankKey,0),"")</f>
        <v/>
      </c>
    </row>
    <row r="301">
      <c r="A301" s="26">
        <f>IF($B301="","",285)</f>
        <v/>
      </c>
      <c r="B301" s="26">
        <f>IF($P301="","",IF(INDEX(CalcNormDate,$P301)=0,"",INDEX(CalcNormDate,$P301)))</f>
        <v/>
      </c>
      <c r="C301" s="26">
        <f>IF($P301="","",IF(INDEX(CalcTime,$P301)=0,"",INDEX(CalcTime,$P301)))</f>
        <v/>
      </c>
      <c r="D301" s="26">
        <f>IF($P301="","",IF(INDEX(EntryParty,$P301)=0,"",INDEX(EntryParty,$P301)))</f>
        <v/>
      </c>
      <c r="E301" s="26">
        <f>IF($P301="","",IF(INDEX(EntryPartyName,$P301)=0,"",INDEX(EntryPartyName,$P301)))</f>
        <v/>
      </c>
      <c r="F301" s="26">
        <f>IF($P301="","",IF(INDEX(EntryPartyType,$P301)=0,"",INDEX(EntryPartyType,$P301)))</f>
        <v/>
      </c>
      <c r="G301" s="26">
        <f>IF($P301="","",IF(INDEX(EntryTxnType,$P301)=0,"",INDEX(EntryTxnType,$P301)))</f>
        <v/>
      </c>
      <c r="H301" s="27">
        <f>IF($P301="","",IF(INDEX(EntryDep,$P301)=0,"",INDEX(EntryDep,$P301)))</f>
        <v/>
      </c>
      <c r="I301" s="27">
        <f>IF($P301="","",IF(INDEX(EntryWit,$P301)=0,"",INDEX(EntryWit,$P301)))</f>
        <v/>
      </c>
      <c r="J301" s="27">
        <f>IF($B301="","",IF($A301=1,$C$7,IF(J300="",0,J300))+IF($H301="",0,$H301)-IF($I301="",0,$I301))</f>
        <v/>
      </c>
      <c r="K301" s="27">
        <f>IF($P301="","",IF(INDEX(EntryMan,$P301)=0,"",INDEX(EntryMan,$P301)))</f>
        <v/>
      </c>
      <c r="L301" s="26">
        <f>IF($B301="","",IF($K301="","—",IF(ROUND($K301-$J301,0)=0,"√","×")))</f>
        <v/>
      </c>
      <c r="M301" s="26">
        <f>IF($B301="","",IF(COUNTIFS(EntryDates,$B301,CalcTime,$C301,CalcBank,$C$5,EntryParty,$D301,EntryDep,$H301,EntryWit,$I301)&gt;1,"تکرار",""))</f>
        <v/>
      </c>
      <c r="N301" s="26">
        <f>IF($P301="","",IF(INDEX(EntryNotes,$P301)=0,"",INDEX(EntryNotes,$P301)))</f>
        <v/>
      </c>
      <c r="O301" s="26">
        <f>IF($P301="","",IF(INDEX(EntryTxnID,$P301)=0,"",INDEX(EntryTxnID,$P301)))</f>
        <v/>
      </c>
      <c r="P301" s="26">
        <f>IFERROR(MATCH($C$5&amp;"|"&amp;RIGHT("000000"&amp;285,6),CalcRankKey,0),"")</f>
        <v/>
      </c>
    </row>
    <row r="302">
      <c r="A302" s="28">
        <f>IF($B302="","",286)</f>
        <v/>
      </c>
      <c r="B302" s="28">
        <f>IF($P302="","",IF(INDEX(CalcNormDate,$P302)=0,"",INDEX(CalcNormDate,$P302)))</f>
        <v/>
      </c>
      <c r="C302" s="28">
        <f>IF($P302="","",IF(INDEX(CalcTime,$P302)=0,"",INDEX(CalcTime,$P302)))</f>
        <v/>
      </c>
      <c r="D302" s="28">
        <f>IF($P302="","",IF(INDEX(EntryParty,$P302)=0,"",INDEX(EntryParty,$P302)))</f>
        <v/>
      </c>
      <c r="E302" s="28">
        <f>IF($P302="","",IF(INDEX(EntryPartyName,$P302)=0,"",INDEX(EntryPartyName,$P302)))</f>
        <v/>
      </c>
      <c r="F302" s="28">
        <f>IF($P302="","",IF(INDEX(EntryPartyType,$P302)=0,"",INDEX(EntryPartyType,$P302)))</f>
        <v/>
      </c>
      <c r="G302" s="28">
        <f>IF($P302="","",IF(INDEX(EntryTxnType,$P302)=0,"",INDEX(EntryTxnType,$P302)))</f>
        <v/>
      </c>
      <c r="H302" s="29">
        <f>IF($P302="","",IF(INDEX(EntryDep,$P302)=0,"",INDEX(EntryDep,$P302)))</f>
        <v/>
      </c>
      <c r="I302" s="29">
        <f>IF($P302="","",IF(INDEX(EntryWit,$P302)=0,"",INDEX(EntryWit,$P302)))</f>
        <v/>
      </c>
      <c r="J302" s="29">
        <f>IF($B302="","",IF($A302=1,$C$7,IF(J301="",0,J301))+IF($H302="",0,$H302)-IF($I302="",0,$I302))</f>
        <v/>
      </c>
      <c r="K302" s="29">
        <f>IF($P302="","",IF(INDEX(EntryMan,$P302)=0,"",INDEX(EntryMan,$P302)))</f>
        <v/>
      </c>
      <c r="L302" s="28">
        <f>IF($B302="","",IF($K302="","—",IF(ROUND($K302-$J302,0)=0,"√","×")))</f>
        <v/>
      </c>
      <c r="M302" s="28">
        <f>IF($B302="","",IF(COUNTIFS(EntryDates,$B302,CalcTime,$C302,CalcBank,$C$5,EntryParty,$D302,EntryDep,$H302,EntryWit,$I302)&gt;1,"تکرار",""))</f>
        <v/>
      </c>
      <c r="N302" s="28">
        <f>IF($P302="","",IF(INDEX(EntryNotes,$P302)=0,"",INDEX(EntryNotes,$P302)))</f>
        <v/>
      </c>
      <c r="O302" s="28">
        <f>IF($P302="","",IF(INDEX(EntryTxnID,$P302)=0,"",INDEX(EntryTxnID,$P302)))</f>
        <v/>
      </c>
      <c r="P302" s="28">
        <f>IFERROR(MATCH($C$5&amp;"|"&amp;RIGHT("000000"&amp;286,6),CalcRankKey,0),"")</f>
        <v/>
      </c>
    </row>
    <row r="303">
      <c r="A303" s="26">
        <f>IF($B303="","",287)</f>
        <v/>
      </c>
      <c r="B303" s="26">
        <f>IF($P303="","",IF(INDEX(CalcNormDate,$P303)=0,"",INDEX(CalcNormDate,$P303)))</f>
        <v/>
      </c>
      <c r="C303" s="26">
        <f>IF($P303="","",IF(INDEX(CalcTime,$P303)=0,"",INDEX(CalcTime,$P303)))</f>
        <v/>
      </c>
      <c r="D303" s="26">
        <f>IF($P303="","",IF(INDEX(EntryParty,$P303)=0,"",INDEX(EntryParty,$P303)))</f>
        <v/>
      </c>
      <c r="E303" s="26">
        <f>IF($P303="","",IF(INDEX(EntryPartyName,$P303)=0,"",INDEX(EntryPartyName,$P303)))</f>
        <v/>
      </c>
      <c r="F303" s="26">
        <f>IF($P303="","",IF(INDEX(EntryPartyType,$P303)=0,"",INDEX(EntryPartyType,$P303)))</f>
        <v/>
      </c>
      <c r="G303" s="26">
        <f>IF($P303="","",IF(INDEX(EntryTxnType,$P303)=0,"",INDEX(EntryTxnType,$P303)))</f>
        <v/>
      </c>
      <c r="H303" s="27">
        <f>IF($P303="","",IF(INDEX(EntryDep,$P303)=0,"",INDEX(EntryDep,$P303)))</f>
        <v/>
      </c>
      <c r="I303" s="27">
        <f>IF($P303="","",IF(INDEX(EntryWit,$P303)=0,"",INDEX(EntryWit,$P303)))</f>
        <v/>
      </c>
      <c r="J303" s="27">
        <f>IF($B303="","",IF($A303=1,$C$7,IF(J302="",0,J302))+IF($H303="",0,$H303)-IF($I303="",0,$I303))</f>
        <v/>
      </c>
      <c r="K303" s="27">
        <f>IF($P303="","",IF(INDEX(EntryMan,$P303)=0,"",INDEX(EntryMan,$P303)))</f>
        <v/>
      </c>
      <c r="L303" s="26">
        <f>IF($B303="","",IF($K303="","—",IF(ROUND($K303-$J303,0)=0,"√","×")))</f>
        <v/>
      </c>
      <c r="M303" s="26">
        <f>IF($B303="","",IF(COUNTIFS(EntryDates,$B303,CalcTime,$C303,CalcBank,$C$5,EntryParty,$D303,EntryDep,$H303,EntryWit,$I303)&gt;1,"تکرار",""))</f>
        <v/>
      </c>
      <c r="N303" s="26">
        <f>IF($P303="","",IF(INDEX(EntryNotes,$P303)=0,"",INDEX(EntryNotes,$P303)))</f>
        <v/>
      </c>
      <c r="O303" s="26">
        <f>IF($P303="","",IF(INDEX(EntryTxnID,$P303)=0,"",INDEX(EntryTxnID,$P303)))</f>
        <v/>
      </c>
      <c r="P303" s="26">
        <f>IFERROR(MATCH($C$5&amp;"|"&amp;RIGHT("000000"&amp;287,6),CalcRankKey,0),"")</f>
        <v/>
      </c>
    </row>
    <row r="304">
      <c r="A304" s="28">
        <f>IF($B304="","",288)</f>
        <v/>
      </c>
      <c r="B304" s="28">
        <f>IF($P304="","",IF(INDEX(CalcNormDate,$P304)=0,"",INDEX(CalcNormDate,$P304)))</f>
        <v/>
      </c>
      <c r="C304" s="28">
        <f>IF($P304="","",IF(INDEX(CalcTime,$P304)=0,"",INDEX(CalcTime,$P304)))</f>
        <v/>
      </c>
      <c r="D304" s="28">
        <f>IF($P304="","",IF(INDEX(EntryParty,$P304)=0,"",INDEX(EntryParty,$P304)))</f>
        <v/>
      </c>
      <c r="E304" s="28">
        <f>IF($P304="","",IF(INDEX(EntryPartyName,$P304)=0,"",INDEX(EntryPartyName,$P304)))</f>
        <v/>
      </c>
      <c r="F304" s="28">
        <f>IF($P304="","",IF(INDEX(EntryPartyType,$P304)=0,"",INDEX(EntryPartyType,$P304)))</f>
        <v/>
      </c>
      <c r="G304" s="28">
        <f>IF($P304="","",IF(INDEX(EntryTxnType,$P304)=0,"",INDEX(EntryTxnType,$P304)))</f>
        <v/>
      </c>
      <c r="H304" s="29">
        <f>IF($P304="","",IF(INDEX(EntryDep,$P304)=0,"",INDEX(EntryDep,$P304)))</f>
        <v/>
      </c>
      <c r="I304" s="29">
        <f>IF($P304="","",IF(INDEX(EntryWit,$P304)=0,"",INDEX(EntryWit,$P304)))</f>
        <v/>
      </c>
      <c r="J304" s="29">
        <f>IF($B304="","",IF($A304=1,$C$7,IF(J303="",0,J303))+IF($H304="",0,$H304)-IF($I304="",0,$I304))</f>
        <v/>
      </c>
      <c r="K304" s="29">
        <f>IF($P304="","",IF(INDEX(EntryMan,$P304)=0,"",INDEX(EntryMan,$P304)))</f>
        <v/>
      </c>
      <c r="L304" s="28">
        <f>IF($B304="","",IF($K304="","—",IF(ROUND($K304-$J304,0)=0,"√","×")))</f>
        <v/>
      </c>
      <c r="M304" s="28">
        <f>IF($B304="","",IF(COUNTIFS(EntryDates,$B304,CalcTime,$C304,CalcBank,$C$5,EntryParty,$D304,EntryDep,$H304,EntryWit,$I304)&gt;1,"تکرار",""))</f>
        <v/>
      </c>
      <c r="N304" s="28">
        <f>IF($P304="","",IF(INDEX(EntryNotes,$P304)=0,"",INDEX(EntryNotes,$P304)))</f>
        <v/>
      </c>
      <c r="O304" s="28">
        <f>IF($P304="","",IF(INDEX(EntryTxnID,$P304)=0,"",INDEX(EntryTxnID,$P304)))</f>
        <v/>
      </c>
      <c r="P304" s="28">
        <f>IFERROR(MATCH($C$5&amp;"|"&amp;RIGHT("000000"&amp;288,6),CalcRankKey,0),"")</f>
        <v/>
      </c>
    </row>
    <row r="305">
      <c r="A305" s="26">
        <f>IF($B305="","",289)</f>
        <v/>
      </c>
      <c r="B305" s="26">
        <f>IF($P305="","",IF(INDEX(CalcNormDate,$P305)=0,"",INDEX(CalcNormDate,$P305)))</f>
        <v/>
      </c>
      <c r="C305" s="26">
        <f>IF($P305="","",IF(INDEX(CalcTime,$P305)=0,"",INDEX(CalcTime,$P305)))</f>
        <v/>
      </c>
      <c r="D305" s="26">
        <f>IF($P305="","",IF(INDEX(EntryParty,$P305)=0,"",INDEX(EntryParty,$P305)))</f>
        <v/>
      </c>
      <c r="E305" s="26">
        <f>IF($P305="","",IF(INDEX(EntryPartyName,$P305)=0,"",INDEX(EntryPartyName,$P305)))</f>
        <v/>
      </c>
      <c r="F305" s="26">
        <f>IF($P305="","",IF(INDEX(EntryPartyType,$P305)=0,"",INDEX(EntryPartyType,$P305)))</f>
        <v/>
      </c>
      <c r="G305" s="26">
        <f>IF($P305="","",IF(INDEX(EntryTxnType,$P305)=0,"",INDEX(EntryTxnType,$P305)))</f>
        <v/>
      </c>
      <c r="H305" s="27">
        <f>IF($P305="","",IF(INDEX(EntryDep,$P305)=0,"",INDEX(EntryDep,$P305)))</f>
        <v/>
      </c>
      <c r="I305" s="27">
        <f>IF($P305="","",IF(INDEX(EntryWit,$P305)=0,"",INDEX(EntryWit,$P305)))</f>
        <v/>
      </c>
      <c r="J305" s="27">
        <f>IF($B305="","",IF($A305=1,$C$7,IF(J304="",0,J304))+IF($H305="",0,$H305)-IF($I305="",0,$I305))</f>
        <v/>
      </c>
      <c r="K305" s="27">
        <f>IF($P305="","",IF(INDEX(EntryMan,$P305)=0,"",INDEX(EntryMan,$P305)))</f>
        <v/>
      </c>
      <c r="L305" s="26">
        <f>IF($B305="","",IF($K305="","—",IF(ROUND($K305-$J305,0)=0,"√","×")))</f>
        <v/>
      </c>
      <c r="M305" s="26">
        <f>IF($B305="","",IF(COUNTIFS(EntryDates,$B305,CalcTime,$C305,CalcBank,$C$5,EntryParty,$D305,EntryDep,$H305,EntryWit,$I305)&gt;1,"تکرار",""))</f>
        <v/>
      </c>
      <c r="N305" s="26">
        <f>IF($P305="","",IF(INDEX(EntryNotes,$P305)=0,"",INDEX(EntryNotes,$P305)))</f>
        <v/>
      </c>
      <c r="O305" s="26">
        <f>IF($P305="","",IF(INDEX(EntryTxnID,$P305)=0,"",INDEX(EntryTxnID,$P305)))</f>
        <v/>
      </c>
      <c r="P305" s="26">
        <f>IFERROR(MATCH($C$5&amp;"|"&amp;RIGHT("000000"&amp;289,6),CalcRankKey,0),"")</f>
        <v/>
      </c>
    </row>
    <row r="306">
      <c r="A306" s="28">
        <f>IF($B306="","",290)</f>
        <v/>
      </c>
      <c r="B306" s="28">
        <f>IF($P306="","",IF(INDEX(CalcNormDate,$P306)=0,"",INDEX(CalcNormDate,$P306)))</f>
        <v/>
      </c>
      <c r="C306" s="28">
        <f>IF($P306="","",IF(INDEX(CalcTime,$P306)=0,"",INDEX(CalcTime,$P306)))</f>
        <v/>
      </c>
      <c r="D306" s="28">
        <f>IF($P306="","",IF(INDEX(EntryParty,$P306)=0,"",INDEX(EntryParty,$P306)))</f>
        <v/>
      </c>
      <c r="E306" s="28">
        <f>IF($P306="","",IF(INDEX(EntryPartyName,$P306)=0,"",INDEX(EntryPartyName,$P306)))</f>
        <v/>
      </c>
      <c r="F306" s="28">
        <f>IF($P306="","",IF(INDEX(EntryPartyType,$P306)=0,"",INDEX(EntryPartyType,$P306)))</f>
        <v/>
      </c>
      <c r="G306" s="28">
        <f>IF($P306="","",IF(INDEX(EntryTxnType,$P306)=0,"",INDEX(EntryTxnType,$P306)))</f>
        <v/>
      </c>
      <c r="H306" s="29">
        <f>IF($P306="","",IF(INDEX(EntryDep,$P306)=0,"",INDEX(EntryDep,$P306)))</f>
        <v/>
      </c>
      <c r="I306" s="29">
        <f>IF($P306="","",IF(INDEX(EntryWit,$P306)=0,"",INDEX(EntryWit,$P306)))</f>
        <v/>
      </c>
      <c r="J306" s="29">
        <f>IF($B306="","",IF($A306=1,$C$7,IF(J305="",0,J305))+IF($H306="",0,$H306)-IF($I306="",0,$I306))</f>
        <v/>
      </c>
      <c r="K306" s="29">
        <f>IF($P306="","",IF(INDEX(EntryMan,$P306)=0,"",INDEX(EntryMan,$P306)))</f>
        <v/>
      </c>
      <c r="L306" s="28">
        <f>IF($B306="","",IF($K306="","—",IF(ROUND($K306-$J306,0)=0,"√","×")))</f>
        <v/>
      </c>
      <c r="M306" s="28">
        <f>IF($B306="","",IF(COUNTIFS(EntryDates,$B306,CalcTime,$C306,CalcBank,$C$5,EntryParty,$D306,EntryDep,$H306,EntryWit,$I306)&gt;1,"تکرار",""))</f>
        <v/>
      </c>
      <c r="N306" s="28">
        <f>IF($P306="","",IF(INDEX(EntryNotes,$P306)=0,"",INDEX(EntryNotes,$P306)))</f>
        <v/>
      </c>
      <c r="O306" s="28">
        <f>IF($P306="","",IF(INDEX(EntryTxnID,$P306)=0,"",INDEX(EntryTxnID,$P306)))</f>
        <v/>
      </c>
      <c r="P306" s="28">
        <f>IFERROR(MATCH($C$5&amp;"|"&amp;RIGHT("000000"&amp;290,6),CalcRankKey,0),"")</f>
        <v/>
      </c>
    </row>
    <row r="307">
      <c r="A307" s="26">
        <f>IF($B307="","",291)</f>
        <v/>
      </c>
      <c r="B307" s="26">
        <f>IF($P307="","",IF(INDEX(CalcNormDate,$P307)=0,"",INDEX(CalcNormDate,$P307)))</f>
        <v/>
      </c>
      <c r="C307" s="26">
        <f>IF($P307="","",IF(INDEX(CalcTime,$P307)=0,"",INDEX(CalcTime,$P307)))</f>
        <v/>
      </c>
      <c r="D307" s="26">
        <f>IF($P307="","",IF(INDEX(EntryParty,$P307)=0,"",INDEX(EntryParty,$P307)))</f>
        <v/>
      </c>
      <c r="E307" s="26">
        <f>IF($P307="","",IF(INDEX(EntryPartyName,$P307)=0,"",INDEX(EntryPartyName,$P307)))</f>
        <v/>
      </c>
      <c r="F307" s="26">
        <f>IF($P307="","",IF(INDEX(EntryPartyType,$P307)=0,"",INDEX(EntryPartyType,$P307)))</f>
        <v/>
      </c>
      <c r="G307" s="26">
        <f>IF($P307="","",IF(INDEX(EntryTxnType,$P307)=0,"",INDEX(EntryTxnType,$P307)))</f>
        <v/>
      </c>
      <c r="H307" s="27">
        <f>IF($P307="","",IF(INDEX(EntryDep,$P307)=0,"",INDEX(EntryDep,$P307)))</f>
        <v/>
      </c>
      <c r="I307" s="27">
        <f>IF($P307="","",IF(INDEX(EntryWit,$P307)=0,"",INDEX(EntryWit,$P307)))</f>
        <v/>
      </c>
      <c r="J307" s="27">
        <f>IF($B307="","",IF($A307=1,$C$7,IF(J306="",0,J306))+IF($H307="",0,$H307)-IF($I307="",0,$I307))</f>
        <v/>
      </c>
      <c r="K307" s="27">
        <f>IF($P307="","",IF(INDEX(EntryMan,$P307)=0,"",INDEX(EntryMan,$P307)))</f>
        <v/>
      </c>
      <c r="L307" s="26">
        <f>IF($B307="","",IF($K307="","—",IF(ROUND($K307-$J307,0)=0,"√","×")))</f>
        <v/>
      </c>
      <c r="M307" s="26">
        <f>IF($B307="","",IF(COUNTIFS(EntryDates,$B307,CalcTime,$C307,CalcBank,$C$5,EntryParty,$D307,EntryDep,$H307,EntryWit,$I307)&gt;1,"تکرار",""))</f>
        <v/>
      </c>
      <c r="N307" s="26">
        <f>IF($P307="","",IF(INDEX(EntryNotes,$P307)=0,"",INDEX(EntryNotes,$P307)))</f>
        <v/>
      </c>
      <c r="O307" s="26">
        <f>IF($P307="","",IF(INDEX(EntryTxnID,$P307)=0,"",INDEX(EntryTxnID,$P307)))</f>
        <v/>
      </c>
      <c r="P307" s="26">
        <f>IFERROR(MATCH($C$5&amp;"|"&amp;RIGHT("000000"&amp;291,6),CalcRankKey,0),"")</f>
        <v/>
      </c>
    </row>
    <row r="308">
      <c r="A308" s="28">
        <f>IF($B308="","",292)</f>
        <v/>
      </c>
      <c r="B308" s="28">
        <f>IF($P308="","",IF(INDEX(CalcNormDate,$P308)=0,"",INDEX(CalcNormDate,$P308)))</f>
        <v/>
      </c>
      <c r="C308" s="28">
        <f>IF($P308="","",IF(INDEX(CalcTime,$P308)=0,"",INDEX(CalcTime,$P308)))</f>
        <v/>
      </c>
      <c r="D308" s="28">
        <f>IF($P308="","",IF(INDEX(EntryParty,$P308)=0,"",INDEX(EntryParty,$P308)))</f>
        <v/>
      </c>
      <c r="E308" s="28">
        <f>IF($P308="","",IF(INDEX(EntryPartyName,$P308)=0,"",INDEX(EntryPartyName,$P308)))</f>
        <v/>
      </c>
      <c r="F308" s="28">
        <f>IF($P308="","",IF(INDEX(EntryPartyType,$P308)=0,"",INDEX(EntryPartyType,$P308)))</f>
        <v/>
      </c>
      <c r="G308" s="28">
        <f>IF($P308="","",IF(INDEX(EntryTxnType,$P308)=0,"",INDEX(EntryTxnType,$P308)))</f>
        <v/>
      </c>
      <c r="H308" s="29">
        <f>IF($P308="","",IF(INDEX(EntryDep,$P308)=0,"",INDEX(EntryDep,$P308)))</f>
        <v/>
      </c>
      <c r="I308" s="29">
        <f>IF($P308="","",IF(INDEX(EntryWit,$P308)=0,"",INDEX(EntryWit,$P308)))</f>
        <v/>
      </c>
      <c r="J308" s="29">
        <f>IF($B308="","",IF($A308=1,$C$7,IF(J307="",0,J307))+IF($H308="",0,$H308)-IF($I308="",0,$I308))</f>
        <v/>
      </c>
      <c r="K308" s="29">
        <f>IF($P308="","",IF(INDEX(EntryMan,$P308)=0,"",INDEX(EntryMan,$P308)))</f>
        <v/>
      </c>
      <c r="L308" s="28">
        <f>IF($B308="","",IF($K308="","—",IF(ROUND($K308-$J308,0)=0,"√","×")))</f>
        <v/>
      </c>
      <c r="M308" s="28">
        <f>IF($B308="","",IF(COUNTIFS(EntryDates,$B308,CalcTime,$C308,CalcBank,$C$5,EntryParty,$D308,EntryDep,$H308,EntryWit,$I308)&gt;1,"تکرار",""))</f>
        <v/>
      </c>
      <c r="N308" s="28">
        <f>IF($P308="","",IF(INDEX(EntryNotes,$P308)=0,"",INDEX(EntryNotes,$P308)))</f>
        <v/>
      </c>
      <c r="O308" s="28">
        <f>IF($P308="","",IF(INDEX(EntryTxnID,$P308)=0,"",INDEX(EntryTxnID,$P308)))</f>
        <v/>
      </c>
      <c r="P308" s="28">
        <f>IFERROR(MATCH($C$5&amp;"|"&amp;RIGHT("000000"&amp;292,6),CalcRankKey,0),"")</f>
        <v/>
      </c>
    </row>
    <row r="309">
      <c r="A309" s="26">
        <f>IF($B309="","",293)</f>
        <v/>
      </c>
      <c r="B309" s="26">
        <f>IF($P309="","",IF(INDEX(CalcNormDate,$P309)=0,"",INDEX(CalcNormDate,$P309)))</f>
        <v/>
      </c>
      <c r="C309" s="26">
        <f>IF($P309="","",IF(INDEX(CalcTime,$P309)=0,"",INDEX(CalcTime,$P309)))</f>
        <v/>
      </c>
      <c r="D309" s="26">
        <f>IF($P309="","",IF(INDEX(EntryParty,$P309)=0,"",INDEX(EntryParty,$P309)))</f>
        <v/>
      </c>
      <c r="E309" s="26">
        <f>IF($P309="","",IF(INDEX(EntryPartyName,$P309)=0,"",INDEX(EntryPartyName,$P309)))</f>
        <v/>
      </c>
      <c r="F309" s="26">
        <f>IF($P309="","",IF(INDEX(EntryPartyType,$P309)=0,"",INDEX(EntryPartyType,$P309)))</f>
        <v/>
      </c>
      <c r="G309" s="26">
        <f>IF($P309="","",IF(INDEX(EntryTxnType,$P309)=0,"",INDEX(EntryTxnType,$P309)))</f>
        <v/>
      </c>
      <c r="H309" s="27">
        <f>IF($P309="","",IF(INDEX(EntryDep,$P309)=0,"",INDEX(EntryDep,$P309)))</f>
        <v/>
      </c>
      <c r="I309" s="27">
        <f>IF($P309="","",IF(INDEX(EntryWit,$P309)=0,"",INDEX(EntryWit,$P309)))</f>
        <v/>
      </c>
      <c r="J309" s="27">
        <f>IF($B309="","",IF($A309=1,$C$7,IF(J308="",0,J308))+IF($H309="",0,$H309)-IF($I309="",0,$I309))</f>
        <v/>
      </c>
      <c r="K309" s="27">
        <f>IF($P309="","",IF(INDEX(EntryMan,$P309)=0,"",INDEX(EntryMan,$P309)))</f>
        <v/>
      </c>
      <c r="L309" s="26">
        <f>IF($B309="","",IF($K309="","—",IF(ROUND($K309-$J309,0)=0,"√","×")))</f>
        <v/>
      </c>
      <c r="M309" s="26">
        <f>IF($B309="","",IF(COUNTIFS(EntryDates,$B309,CalcTime,$C309,CalcBank,$C$5,EntryParty,$D309,EntryDep,$H309,EntryWit,$I309)&gt;1,"تکرار",""))</f>
        <v/>
      </c>
      <c r="N309" s="26">
        <f>IF($P309="","",IF(INDEX(EntryNotes,$P309)=0,"",INDEX(EntryNotes,$P309)))</f>
        <v/>
      </c>
      <c r="O309" s="26">
        <f>IF($P309="","",IF(INDEX(EntryTxnID,$P309)=0,"",INDEX(EntryTxnID,$P309)))</f>
        <v/>
      </c>
      <c r="P309" s="26">
        <f>IFERROR(MATCH($C$5&amp;"|"&amp;RIGHT("000000"&amp;293,6),CalcRankKey,0),"")</f>
        <v/>
      </c>
    </row>
    <row r="310">
      <c r="A310" s="28">
        <f>IF($B310="","",294)</f>
        <v/>
      </c>
      <c r="B310" s="28">
        <f>IF($P310="","",IF(INDEX(CalcNormDate,$P310)=0,"",INDEX(CalcNormDate,$P310)))</f>
        <v/>
      </c>
      <c r="C310" s="28">
        <f>IF($P310="","",IF(INDEX(CalcTime,$P310)=0,"",INDEX(CalcTime,$P310)))</f>
        <v/>
      </c>
      <c r="D310" s="28">
        <f>IF($P310="","",IF(INDEX(EntryParty,$P310)=0,"",INDEX(EntryParty,$P310)))</f>
        <v/>
      </c>
      <c r="E310" s="28">
        <f>IF($P310="","",IF(INDEX(EntryPartyName,$P310)=0,"",INDEX(EntryPartyName,$P310)))</f>
        <v/>
      </c>
      <c r="F310" s="28">
        <f>IF($P310="","",IF(INDEX(EntryPartyType,$P310)=0,"",INDEX(EntryPartyType,$P310)))</f>
        <v/>
      </c>
      <c r="G310" s="28">
        <f>IF($P310="","",IF(INDEX(EntryTxnType,$P310)=0,"",INDEX(EntryTxnType,$P310)))</f>
        <v/>
      </c>
      <c r="H310" s="29">
        <f>IF($P310="","",IF(INDEX(EntryDep,$P310)=0,"",INDEX(EntryDep,$P310)))</f>
        <v/>
      </c>
      <c r="I310" s="29">
        <f>IF($P310="","",IF(INDEX(EntryWit,$P310)=0,"",INDEX(EntryWit,$P310)))</f>
        <v/>
      </c>
      <c r="J310" s="29">
        <f>IF($B310="","",IF($A310=1,$C$7,IF(J309="",0,J309))+IF($H310="",0,$H310)-IF($I310="",0,$I310))</f>
        <v/>
      </c>
      <c r="K310" s="29">
        <f>IF($P310="","",IF(INDEX(EntryMan,$P310)=0,"",INDEX(EntryMan,$P310)))</f>
        <v/>
      </c>
      <c r="L310" s="28">
        <f>IF($B310="","",IF($K310="","—",IF(ROUND($K310-$J310,0)=0,"√","×")))</f>
        <v/>
      </c>
      <c r="M310" s="28">
        <f>IF($B310="","",IF(COUNTIFS(EntryDates,$B310,CalcTime,$C310,CalcBank,$C$5,EntryParty,$D310,EntryDep,$H310,EntryWit,$I310)&gt;1,"تکرار",""))</f>
        <v/>
      </c>
      <c r="N310" s="28">
        <f>IF($P310="","",IF(INDEX(EntryNotes,$P310)=0,"",INDEX(EntryNotes,$P310)))</f>
        <v/>
      </c>
      <c r="O310" s="28">
        <f>IF($P310="","",IF(INDEX(EntryTxnID,$P310)=0,"",INDEX(EntryTxnID,$P310)))</f>
        <v/>
      </c>
      <c r="P310" s="28">
        <f>IFERROR(MATCH($C$5&amp;"|"&amp;RIGHT("000000"&amp;294,6),CalcRankKey,0),"")</f>
        <v/>
      </c>
    </row>
    <row r="311">
      <c r="A311" s="26">
        <f>IF($B311="","",295)</f>
        <v/>
      </c>
      <c r="B311" s="26">
        <f>IF($P311="","",IF(INDEX(CalcNormDate,$P311)=0,"",INDEX(CalcNormDate,$P311)))</f>
        <v/>
      </c>
      <c r="C311" s="26">
        <f>IF($P311="","",IF(INDEX(CalcTime,$P311)=0,"",INDEX(CalcTime,$P311)))</f>
        <v/>
      </c>
      <c r="D311" s="26">
        <f>IF($P311="","",IF(INDEX(EntryParty,$P311)=0,"",INDEX(EntryParty,$P311)))</f>
        <v/>
      </c>
      <c r="E311" s="26">
        <f>IF($P311="","",IF(INDEX(EntryPartyName,$P311)=0,"",INDEX(EntryPartyName,$P311)))</f>
        <v/>
      </c>
      <c r="F311" s="26">
        <f>IF($P311="","",IF(INDEX(EntryPartyType,$P311)=0,"",INDEX(EntryPartyType,$P311)))</f>
        <v/>
      </c>
      <c r="G311" s="26">
        <f>IF($P311="","",IF(INDEX(EntryTxnType,$P311)=0,"",INDEX(EntryTxnType,$P311)))</f>
        <v/>
      </c>
      <c r="H311" s="27">
        <f>IF($P311="","",IF(INDEX(EntryDep,$P311)=0,"",INDEX(EntryDep,$P311)))</f>
        <v/>
      </c>
      <c r="I311" s="27">
        <f>IF($P311="","",IF(INDEX(EntryWit,$P311)=0,"",INDEX(EntryWit,$P311)))</f>
        <v/>
      </c>
      <c r="J311" s="27">
        <f>IF($B311="","",IF($A311=1,$C$7,IF(J310="",0,J310))+IF($H311="",0,$H311)-IF($I311="",0,$I311))</f>
        <v/>
      </c>
      <c r="K311" s="27">
        <f>IF($P311="","",IF(INDEX(EntryMan,$P311)=0,"",INDEX(EntryMan,$P311)))</f>
        <v/>
      </c>
      <c r="L311" s="26">
        <f>IF($B311="","",IF($K311="","—",IF(ROUND($K311-$J311,0)=0,"√","×")))</f>
        <v/>
      </c>
      <c r="M311" s="26">
        <f>IF($B311="","",IF(COUNTIFS(EntryDates,$B311,CalcTime,$C311,CalcBank,$C$5,EntryParty,$D311,EntryDep,$H311,EntryWit,$I311)&gt;1,"تکرار",""))</f>
        <v/>
      </c>
      <c r="N311" s="26">
        <f>IF($P311="","",IF(INDEX(EntryNotes,$P311)=0,"",INDEX(EntryNotes,$P311)))</f>
        <v/>
      </c>
      <c r="O311" s="26">
        <f>IF($P311="","",IF(INDEX(EntryTxnID,$P311)=0,"",INDEX(EntryTxnID,$P311)))</f>
        <v/>
      </c>
      <c r="P311" s="26">
        <f>IFERROR(MATCH($C$5&amp;"|"&amp;RIGHT("000000"&amp;295,6),CalcRankKey,0),"")</f>
        <v/>
      </c>
    </row>
    <row r="312">
      <c r="A312" s="28">
        <f>IF($B312="","",296)</f>
        <v/>
      </c>
      <c r="B312" s="28">
        <f>IF($P312="","",IF(INDEX(CalcNormDate,$P312)=0,"",INDEX(CalcNormDate,$P312)))</f>
        <v/>
      </c>
      <c r="C312" s="28">
        <f>IF($P312="","",IF(INDEX(CalcTime,$P312)=0,"",INDEX(CalcTime,$P312)))</f>
        <v/>
      </c>
      <c r="D312" s="28">
        <f>IF($P312="","",IF(INDEX(EntryParty,$P312)=0,"",INDEX(EntryParty,$P312)))</f>
        <v/>
      </c>
      <c r="E312" s="28">
        <f>IF($P312="","",IF(INDEX(EntryPartyName,$P312)=0,"",INDEX(EntryPartyName,$P312)))</f>
        <v/>
      </c>
      <c r="F312" s="28">
        <f>IF($P312="","",IF(INDEX(EntryPartyType,$P312)=0,"",INDEX(EntryPartyType,$P312)))</f>
        <v/>
      </c>
      <c r="G312" s="28">
        <f>IF($P312="","",IF(INDEX(EntryTxnType,$P312)=0,"",INDEX(EntryTxnType,$P312)))</f>
        <v/>
      </c>
      <c r="H312" s="29">
        <f>IF($P312="","",IF(INDEX(EntryDep,$P312)=0,"",INDEX(EntryDep,$P312)))</f>
        <v/>
      </c>
      <c r="I312" s="29">
        <f>IF($P312="","",IF(INDEX(EntryWit,$P312)=0,"",INDEX(EntryWit,$P312)))</f>
        <v/>
      </c>
      <c r="J312" s="29">
        <f>IF($B312="","",IF($A312=1,$C$7,IF(J311="",0,J311))+IF($H312="",0,$H312)-IF($I312="",0,$I312))</f>
        <v/>
      </c>
      <c r="K312" s="29">
        <f>IF($P312="","",IF(INDEX(EntryMan,$P312)=0,"",INDEX(EntryMan,$P312)))</f>
        <v/>
      </c>
      <c r="L312" s="28">
        <f>IF($B312="","",IF($K312="","—",IF(ROUND($K312-$J312,0)=0,"√","×")))</f>
        <v/>
      </c>
      <c r="M312" s="28">
        <f>IF($B312="","",IF(COUNTIFS(EntryDates,$B312,CalcTime,$C312,CalcBank,$C$5,EntryParty,$D312,EntryDep,$H312,EntryWit,$I312)&gt;1,"تکرار",""))</f>
        <v/>
      </c>
      <c r="N312" s="28">
        <f>IF($P312="","",IF(INDEX(EntryNotes,$P312)=0,"",INDEX(EntryNotes,$P312)))</f>
        <v/>
      </c>
      <c r="O312" s="28">
        <f>IF($P312="","",IF(INDEX(EntryTxnID,$P312)=0,"",INDEX(EntryTxnID,$P312)))</f>
        <v/>
      </c>
      <c r="P312" s="28">
        <f>IFERROR(MATCH($C$5&amp;"|"&amp;RIGHT("000000"&amp;296,6),CalcRankKey,0),"")</f>
        <v/>
      </c>
    </row>
    <row r="313">
      <c r="A313" s="26">
        <f>IF($B313="","",297)</f>
        <v/>
      </c>
      <c r="B313" s="26">
        <f>IF($P313="","",IF(INDEX(CalcNormDate,$P313)=0,"",INDEX(CalcNormDate,$P313)))</f>
        <v/>
      </c>
      <c r="C313" s="26">
        <f>IF($P313="","",IF(INDEX(CalcTime,$P313)=0,"",INDEX(CalcTime,$P313)))</f>
        <v/>
      </c>
      <c r="D313" s="26">
        <f>IF($P313="","",IF(INDEX(EntryParty,$P313)=0,"",INDEX(EntryParty,$P313)))</f>
        <v/>
      </c>
      <c r="E313" s="26">
        <f>IF($P313="","",IF(INDEX(EntryPartyName,$P313)=0,"",INDEX(EntryPartyName,$P313)))</f>
        <v/>
      </c>
      <c r="F313" s="26">
        <f>IF($P313="","",IF(INDEX(EntryPartyType,$P313)=0,"",INDEX(EntryPartyType,$P313)))</f>
        <v/>
      </c>
      <c r="G313" s="26">
        <f>IF($P313="","",IF(INDEX(EntryTxnType,$P313)=0,"",INDEX(EntryTxnType,$P313)))</f>
        <v/>
      </c>
      <c r="H313" s="27">
        <f>IF($P313="","",IF(INDEX(EntryDep,$P313)=0,"",INDEX(EntryDep,$P313)))</f>
        <v/>
      </c>
      <c r="I313" s="27">
        <f>IF($P313="","",IF(INDEX(EntryWit,$P313)=0,"",INDEX(EntryWit,$P313)))</f>
        <v/>
      </c>
      <c r="J313" s="27">
        <f>IF($B313="","",IF($A313=1,$C$7,IF(J312="",0,J312))+IF($H313="",0,$H313)-IF($I313="",0,$I313))</f>
        <v/>
      </c>
      <c r="K313" s="27">
        <f>IF($P313="","",IF(INDEX(EntryMan,$P313)=0,"",INDEX(EntryMan,$P313)))</f>
        <v/>
      </c>
      <c r="L313" s="26">
        <f>IF($B313="","",IF($K313="","—",IF(ROUND($K313-$J313,0)=0,"√","×")))</f>
        <v/>
      </c>
      <c r="M313" s="26">
        <f>IF($B313="","",IF(COUNTIFS(EntryDates,$B313,CalcTime,$C313,CalcBank,$C$5,EntryParty,$D313,EntryDep,$H313,EntryWit,$I313)&gt;1,"تکرار",""))</f>
        <v/>
      </c>
      <c r="N313" s="26">
        <f>IF($P313="","",IF(INDEX(EntryNotes,$P313)=0,"",INDEX(EntryNotes,$P313)))</f>
        <v/>
      </c>
      <c r="O313" s="26">
        <f>IF($P313="","",IF(INDEX(EntryTxnID,$P313)=0,"",INDEX(EntryTxnID,$P313)))</f>
        <v/>
      </c>
      <c r="P313" s="26">
        <f>IFERROR(MATCH($C$5&amp;"|"&amp;RIGHT("000000"&amp;297,6),CalcRankKey,0),"")</f>
        <v/>
      </c>
    </row>
    <row r="314">
      <c r="A314" s="28">
        <f>IF($B314="","",298)</f>
        <v/>
      </c>
      <c r="B314" s="28">
        <f>IF($P314="","",IF(INDEX(CalcNormDate,$P314)=0,"",INDEX(CalcNormDate,$P314)))</f>
        <v/>
      </c>
      <c r="C314" s="28">
        <f>IF($P314="","",IF(INDEX(CalcTime,$P314)=0,"",INDEX(CalcTime,$P314)))</f>
        <v/>
      </c>
      <c r="D314" s="28">
        <f>IF($P314="","",IF(INDEX(EntryParty,$P314)=0,"",INDEX(EntryParty,$P314)))</f>
        <v/>
      </c>
      <c r="E314" s="28">
        <f>IF($P314="","",IF(INDEX(EntryPartyName,$P314)=0,"",INDEX(EntryPartyName,$P314)))</f>
        <v/>
      </c>
      <c r="F314" s="28">
        <f>IF($P314="","",IF(INDEX(EntryPartyType,$P314)=0,"",INDEX(EntryPartyType,$P314)))</f>
        <v/>
      </c>
      <c r="G314" s="28">
        <f>IF($P314="","",IF(INDEX(EntryTxnType,$P314)=0,"",INDEX(EntryTxnType,$P314)))</f>
        <v/>
      </c>
      <c r="H314" s="29">
        <f>IF($P314="","",IF(INDEX(EntryDep,$P314)=0,"",INDEX(EntryDep,$P314)))</f>
        <v/>
      </c>
      <c r="I314" s="29">
        <f>IF($P314="","",IF(INDEX(EntryWit,$P314)=0,"",INDEX(EntryWit,$P314)))</f>
        <v/>
      </c>
      <c r="J314" s="29">
        <f>IF($B314="","",IF($A314=1,$C$7,IF(J313="",0,J313))+IF($H314="",0,$H314)-IF($I314="",0,$I314))</f>
        <v/>
      </c>
      <c r="K314" s="29">
        <f>IF($P314="","",IF(INDEX(EntryMan,$P314)=0,"",INDEX(EntryMan,$P314)))</f>
        <v/>
      </c>
      <c r="L314" s="28">
        <f>IF($B314="","",IF($K314="","—",IF(ROUND($K314-$J314,0)=0,"√","×")))</f>
        <v/>
      </c>
      <c r="M314" s="28">
        <f>IF($B314="","",IF(COUNTIFS(EntryDates,$B314,CalcTime,$C314,CalcBank,$C$5,EntryParty,$D314,EntryDep,$H314,EntryWit,$I314)&gt;1,"تکرار",""))</f>
        <v/>
      </c>
      <c r="N314" s="28">
        <f>IF($P314="","",IF(INDEX(EntryNotes,$P314)=0,"",INDEX(EntryNotes,$P314)))</f>
        <v/>
      </c>
      <c r="O314" s="28">
        <f>IF($P314="","",IF(INDEX(EntryTxnID,$P314)=0,"",INDEX(EntryTxnID,$P314)))</f>
        <v/>
      </c>
      <c r="P314" s="28">
        <f>IFERROR(MATCH($C$5&amp;"|"&amp;RIGHT("000000"&amp;298,6),CalcRankKey,0),"")</f>
        <v/>
      </c>
    </row>
    <row r="315">
      <c r="A315" s="26">
        <f>IF($B315="","",299)</f>
        <v/>
      </c>
      <c r="B315" s="26">
        <f>IF($P315="","",IF(INDEX(CalcNormDate,$P315)=0,"",INDEX(CalcNormDate,$P315)))</f>
        <v/>
      </c>
      <c r="C315" s="26">
        <f>IF($P315="","",IF(INDEX(CalcTime,$P315)=0,"",INDEX(CalcTime,$P315)))</f>
        <v/>
      </c>
      <c r="D315" s="26">
        <f>IF($P315="","",IF(INDEX(EntryParty,$P315)=0,"",INDEX(EntryParty,$P315)))</f>
        <v/>
      </c>
      <c r="E315" s="26">
        <f>IF($P315="","",IF(INDEX(EntryPartyName,$P315)=0,"",INDEX(EntryPartyName,$P315)))</f>
        <v/>
      </c>
      <c r="F315" s="26">
        <f>IF($P315="","",IF(INDEX(EntryPartyType,$P315)=0,"",INDEX(EntryPartyType,$P315)))</f>
        <v/>
      </c>
      <c r="G315" s="26">
        <f>IF($P315="","",IF(INDEX(EntryTxnType,$P315)=0,"",INDEX(EntryTxnType,$P315)))</f>
        <v/>
      </c>
      <c r="H315" s="27">
        <f>IF($P315="","",IF(INDEX(EntryDep,$P315)=0,"",INDEX(EntryDep,$P315)))</f>
        <v/>
      </c>
      <c r="I315" s="27">
        <f>IF($P315="","",IF(INDEX(EntryWit,$P315)=0,"",INDEX(EntryWit,$P315)))</f>
        <v/>
      </c>
      <c r="J315" s="27">
        <f>IF($B315="","",IF($A315=1,$C$7,IF(J314="",0,J314))+IF($H315="",0,$H315)-IF($I315="",0,$I315))</f>
        <v/>
      </c>
      <c r="K315" s="27">
        <f>IF($P315="","",IF(INDEX(EntryMan,$P315)=0,"",INDEX(EntryMan,$P315)))</f>
        <v/>
      </c>
      <c r="L315" s="26">
        <f>IF($B315="","",IF($K315="","—",IF(ROUND($K315-$J315,0)=0,"√","×")))</f>
        <v/>
      </c>
      <c r="M315" s="26">
        <f>IF($B315="","",IF(COUNTIFS(EntryDates,$B315,CalcTime,$C315,CalcBank,$C$5,EntryParty,$D315,EntryDep,$H315,EntryWit,$I315)&gt;1,"تکرار",""))</f>
        <v/>
      </c>
      <c r="N315" s="26">
        <f>IF($P315="","",IF(INDEX(EntryNotes,$P315)=0,"",INDEX(EntryNotes,$P315)))</f>
        <v/>
      </c>
      <c r="O315" s="26">
        <f>IF($P315="","",IF(INDEX(EntryTxnID,$P315)=0,"",INDEX(EntryTxnID,$P315)))</f>
        <v/>
      </c>
      <c r="P315" s="26">
        <f>IFERROR(MATCH($C$5&amp;"|"&amp;RIGHT("000000"&amp;299,6),CalcRankKey,0),"")</f>
        <v/>
      </c>
    </row>
    <row r="316">
      <c r="A316" s="28">
        <f>IF($B316="","",300)</f>
        <v/>
      </c>
      <c r="B316" s="28">
        <f>IF($P316="","",IF(INDEX(CalcNormDate,$P316)=0,"",INDEX(CalcNormDate,$P316)))</f>
        <v/>
      </c>
      <c r="C316" s="28">
        <f>IF($P316="","",IF(INDEX(CalcTime,$P316)=0,"",INDEX(CalcTime,$P316)))</f>
        <v/>
      </c>
      <c r="D316" s="28">
        <f>IF($P316="","",IF(INDEX(EntryParty,$P316)=0,"",INDEX(EntryParty,$P316)))</f>
        <v/>
      </c>
      <c r="E316" s="28">
        <f>IF($P316="","",IF(INDEX(EntryPartyName,$P316)=0,"",INDEX(EntryPartyName,$P316)))</f>
        <v/>
      </c>
      <c r="F316" s="28">
        <f>IF($P316="","",IF(INDEX(EntryPartyType,$P316)=0,"",INDEX(EntryPartyType,$P316)))</f>
        <v/>
      </c>
      <c r="G316" s="28">
        <f>IF($P316="","",IF(INDEX(EntryTxnType,$P316)=0,"",INDEX(EntryTxnType,$P316)))</f>
        <v/>
      </c>
      <c r="H316" s="29">
        <f>IF($P316="","",IF(INDEX(EntryDep,$P316)=0,"",INDEX(EntryDep,$P316)))</f>
        <v/>
      </c>
      <c r="I316" s="29">
        <f>IF($P316="","",IF(INDEX(EntryWit,$P316)=0,"",INDEX(EntryWit,$P316)))</f>
        <v/>
      </c>
      <c r="J316" s="29">
        <f>IF($B316="","",IF($A316=1,$C$7,IF(J315="",0,J315))+IF($H316="",0,$H316)-IF($I316="",0,$I316))</f>
        <v/>
      </c>
      <c r="K316" s="29">
        <f>IF($P316="","",IF(INDEX(EntryMan,$P316)=0,"",INDEX(EntryMan,$P316)))</f>
        <v/>
      </c>
      <c r="L316" s="28">
        <f>IF($B316="","",IF($K316="","—",IF(ROUND($K316-$J316,0)=0,"√","×")))</f>
        <v/>
      </c>
      <c r="M316" s="28">
        <f>IF($B316="","",IF(COUNTIFS(EntryDates,$B316,CalcTime,$C316,CalcBank,$C$5,EntryParty,$D316,EntryDep,$H316,EntryWit,$I316)&gt;1,"تکرار",""))</f>
        <v/>
      </c>
      <c r="N316" s="28">
        <f>IF($P316="","",IF(INDEX(EntryNotes,$P316)=0,"",INDEX(EntryNotes,$P316)))</f>
        <v/>
      </c>
      <c r="O316" s="28">
        <f>IF($P316="","",IF(INDEX(EntryTxnID,$P316)=0,"",INDEX(EntryTxnID,$P316)))</f>
        <v/>
      </c>
      <c r="P316" s="28">
        <f>IFERROR(MATCH($C$5&amp;"|"&amp;RIGHT("000000"&amp;300,6),CalcRankKey,0),"")</f>
        <v/>
      </c>
    </row>
    <row r="317">
      <c r="A317" s="26">
        <f>IF($B317="","",301)</f>
        <v/>
      </c>
      <c r="B317" s="26">
        <f>IF($P317="","",IF(INDEX(CalcNormDate,$P317)=0,"",INDEX(CalcNormDate,$P317)))</f>
        <v/>
      </c>
      <c r="C317" s="26">
        <f>IF($P317="","",IF(INDEX(CalcTime,$P317)=0,"",INDEX(CalcTime,$P317)))</f>
        <v/>
      </c>
      <c r="D317" s="26">
        <f>IF($P317="","",IF(INDEX(EntryParty,$P317)=0,"",INDEX(EntryParty,$P317)))</f>
        <v/>
      </c>
      <c r="E317" s="26">
        <f>IF($P317="","",IF(INDEX(EntryPartyName,$P317)=0,"",INDEX(EntryPartyName,$P317)))</f>
        <v/>
      </c>
      <c r="F317" s="26">
        <f>IF($P317="","",IF(INDEX(EntryPartyType,$P317)=0,"",INDEX(EntryPartyType,$P317)))</f>
        <v/>
      </c>
      <c r="G317" s="26">
        <f>IF($P317="","",IF(INDEX(EntryTxnType,$P317)=0,"",INDEX(EntryTxnType,$P317)))</f>
        <v/>
      </c>
      <c r="H317" s="27">
        <f>IF($P317="","",IF(INDEX(EntryDep,$P317)=0,"",INDEX(EntryDep,$P317)))</f>
        <v/>
      </c>
      <c r="I317" s="27">
        <f>IF($P317="","",IF(INDEX(EntryWit,$P317)=0,"",INDEX(EntryWit,$P317)))</f>
        <v/>
      </c>
      <c r="J317" s="27">
        <f>IF($B317="","",IF($A317=1,$C$7,IF(J316="",0,J316))+IF($H317="",0,$H317)-IF($I317="",0,$I317))</f>
        <v/>
      </c>
      <c r="K317" s="27">
        <f>IF($P317="","",IF(INDEX(EntryMan,$P317)=0,"",INDEX(EntryMan,$P317)))</f>
        <v/>
      </c>
      <c r="L317" s="26">
        <f>IF($B317="","",IF($K317="","—",IF(ROUND($K317-$J317,0)=0,"√","×")))</f>
        <v/>
      </c>
      <c r="M317" s="26">
        <f>IF($B317="","",IF(COUNTIFS(EntryDates,$B317,CalcTime,$C317,CalcBank,$C$5,EntryParty,$D317,EntryDep,$H317,EntryWit,$I317)&gt;1,"تکرار",""))</f>
        <v/>
      </c>
      <c r="N317" s="26">
        <f>IF($P317="","",IF(INDEX(EntryNotes,$P317)=0,"",INDEX(EntryNotes,$P317)))</f>
        <v/>
      </c>
      <c r="O317" s="26">
        <f>IF($P317="","",IF(INDEX(EntryTxnID,$P317)=0,"",INDEX(EntryTxnID,$P317)))</f>
        <v/>
      </c>
      <c r="P317" s="26">
        <f>IFERROR(MATCH($C$5&amp;"|"&amp;RIGHT("000000"&amp;301,6),CalcRankKey,0),"")</f>
        <v/>
      </c>
    </row>
    <row r="318">
      <c r="A318" s="28">
        <f>IF($B318="","",302)</f>
        <v/>
      </c>
      <c r="B318" s="28">
        <f>IF($P318="","",IF(INDEX(CalcNormDate,$P318)=0,"",INDEX(CalcNormDate,$P318)))</f>
        <v/>
      </c>
      <c r="C318" s="28">
        <f>IF($P318="","",IF(INDEX(CalcTime,$P318)=0,"",INDEX(CalcTime,$P318)))</f>
        <v/>
      </c>
      <c r="D318" s="28">
        <f>IF($P318="","",IF(INDEX(EntryParty,$P318)=0,"",INDEX(EntryParty,$P318)))</f>
        <v/>
      </c>
      <c r="E318" s="28">
        <f>IF($P318="","",IF(INDEX(EntryPartyName,$P318)=0,"",INDEX(EntryPartyName,$P318)))</f>
        <v/>
      </c>
      <c r="F318" s="28">
        <f>IF($P318="","",IF(INDEX(EntryPartyType,$P318)=0,"",INDEX(EntryPartyType,$P318)))</f>
        <v/>
      </c>
      <c r="G318" s="28">
        <f>IF($P318="","",IF(INDEX(EntryTxnType,$P318)=0,"",INDEX(EntryTxnType,$P318)))</f>
        <v/>
      </c>
      <c r="H318" s="29">
        <f>IF($P318="","",IF(INDEX(EntryDep,$P318)=0,"",INDEX(EntryDep,$P318)))</f>
        <v/>
      </c>
      <c r="I318" s="29">
        <f>IF($P318="","",IF(INDEX(EntryWit,$P318)=0,"",INDEX(EntryWit,$P318)))</f>
        <v/>
      </c>
      <c r="J318" s="29">
        <f>IF($B318="","",IF($A318=1,$C$7,IF(J317="",0,J317))+IF($H318="",0,$H318)-IF($I318="",0,$I318))</f>
        <v/>
      </c>
      <c r="K318" s="29">
        <f>IF($P318="","",IF(INDEX(EntryMan,$P318)=0,"",INDEX(EntryMan,$P318)))</f>
        <v/>
      </c>
      <c r="L318" s="28">
        <f>IF($B318="","",IF($K318="","—",IF(ROUND($K318-$J318,0)=0,"√","×")))</f>
        <v/>
      </c>
      <c r="M318" s="28">
        <f>IF($B318="","",IF(COUNTIFS(EntryDates,$B318,CalcTime,$C318,CalcBank,$C$5,EntryParty,$D318,EntryDep,$H318,EntryWit,$I318)&gt;1,"تکرار",""))</f>
        <v/>
      </c>
      <c r="N318" s="28">
        <f>IF($P318="","",IF(INDEX(EntryNotes,$P318)=0,"",INDEX(EntryNotes,$P318)))</f>
        <v/>
      </c>
      <c r="O318" s="28">
        <f>IF($P318="","",IF(INDEX(EntryTxnID,$P318)=0,"",INDEX(EntryTxnID,$P318)))</f>
        <v/>
      </c>
      <c r="P318" s="28">
        <f>IFERROR(MATCH($C$5&amp;"|"&amp;RIGHT("000000"&amp;302,6),CalcRankKey,0),"")</f>
        <v/>
      </c>
    </row>
    <row r="319">
      <c r="A319" s="26">
        <f>IF($B319="","",303)</f>
        <v/>
      </c>
      <c r="B319" s="26">
        <f>IF($P319="","",IF(INDEX(CalcNormDate,$P319)=0,"",INDEX(CalcNormDate,$P319)))</f>
        <v/>
      </c>
      <c r="C319" s="26">
        <f>IF($P319="","",IF(INDEX(CalcTime,$P319)=0,"",INDEX(CalcTime,$P319)))</f>
        <v/>
      </c>
      <c r="D319" s="26">
        <f>IF($P319="","",IF(INDEX(EntryParty,$P319)=0,"",INDEX(EntryParty,$P319)))</f>
        <v/>
      </c>
      <c r="E319" s="26">
        <f>IF($P319="","",IF(INDEX(EntryPartyName,$P319)=0,"",INDEX(EntryPartyName,$P319)))</f>
        <v/>
      </c>
      <c r="F319" s="26">
        <f>IF($P319="","",IF(INDEX(EntryPartyType,$P319)=0,"",INDEX(EntryPartyType,$P319)))</f>
        <v/>
      </c>
      <c r="G319" s="26">
        <f>IF($P319="","",IF(INDEX(EntryTxnType,$P319)=0,"",INDEX(EntryTxnType,$P319)))</f>
        <v/>
      </c>
      <c r="H319" s="27">
        <f>IF($P319="","",IF(INDEX(EntryDep,$P319)=0,"",INDEX(EntryDep,$P319)))</f>
        <v/>
      </c>
      <c r="I319" s="27">
        <f>IF($P319="","",IF(INDEX(EntryWit,$P319)=0,"",INDEX(EntryWit,$P319)))</f>
        <v/>
      </c>
      <c r="J319" s="27">
        <f>IF($B319="","",IF($A319=1,$C$7,IF(J318="",0,J318))+IF($H319="",0,$H319)-IF($I319="",0,$I319))</f>
        <v/>
      </c>
      <c r="K319" s="27">
        <f>IF($P319="","",IF(INDEX(EntryMan,$P319)=0,"",INDEX(EntryMan,$P319)))</f>
        <v/>
      </c>
      <c r="L319" s="26">
        <f>IF($B319="","",IF($K319="","—",IF(ROUND($K319-$J319,0)=0,"√","×")))</f>
        <v/>
      </c>
      <c r="M319" s="26">
        <f>IF($B319="","",IF(COUNTIFS(EntryDates,$B319,CalcTime,$C319,CalcBank,$C$5,EntryParty,$D319,EntryDep,$H319,EntryWit,$I319)&gt;1,"تکرار",""))</f>
        <v/>
      </c>
      <c r="N319" s="26">
        <f>IF($P319="","",IF(INDEX(EntryNotes,$P319)=0,"",INDEX(EntryNotes,$P319)))</f>
        <v/>
      </c>
      <c r="O319" s="26">
        <f>IF($P319="","",IF(INDEX(EntryTxnID,$P319)=0,"",INDEX(EntryTxnID,$P319)))</f>
        <v/>
      </c>
      <c r="P319" s="26">
        <f>IFERROR(MATCH($C$5&amp;"|"&amp;RIGHT("000000"&amp;303,6),CalcRankKey,0),"")</f>
        <v/>
      </c>
    </row>
    <row r="320">
      <c r="A320" s="28">
        <f>IF($B320="","",304)</f>
        <v/>
      </c>
      <c r="B320" s="28">
        <f>IF($P320="","",IF(INDEX(CalcNormDate,$P320)=0,"",INDEX(CalcNormDate,$P320)))</f>
        <v/>
      </c>
      <c r="C320" s="28">
        <f>IF($P320="","",IF(INDEX(CalcTime,$P320)=0,"",INDEX(CalcTime,$P320)))</f>
        <v/>
      </c>
      <c r="D320" s="28">
        <f>IF($P320="","",IF(INDEX(EntryParty,$P320)=0,"",INDEX(EntryParty,$P320)))</f>
        <v/>
      </c>
      <c r="E320" s="28">
        <f>IF($P320="","",IF(INDEX(EntryPartyName,$P320)=0,"",INDEX(EntryPartyName,$P320)))</f>
        <v/>
      </c>
      <c r="F320" s="28">
        <f>IF($P320="","",IF(INDEX(EntryPartyType,$P320)=0,"",INDEX(EntryPartyType,$P320)))</f>
        <v/>
      </c>
      <c r="G320" s="28">
        <f>IF($P320="","",IF(INDEX(EntryTxnType,$P320)=0,"",INDEX(EntryTxnType,$P320)))</f>
        <v/>
      </c>
      <c r="H320" s="29">
        <f>IF($P320="","",IF(INDEX(EntryDep,$P320)=0,"",INDEX(EntryDep,$P320)))</f>
        <v/>
      </c>
      <c r="I320" s="29">
        <f>IF($P320="","",IF(INDEX(EntryWit,$P320)=0,"",INDEX(EntryWit,$P320)))</f>
        <v/>
      </c>
      <c r="J320" s="29">
        <f>IF($B320="","",IF($A320=1,$C$7,IF(J319="",0,J319))+IF($H320="",0,$H320)-IF($I320="",0,$I320))</f>
        <v/>
      </c>
      <c r="K320" s="29">
        <f>IF($P320="","",IF(INDEX(EntryMan,$P320)=0,"",INDEX(EntryMan,$P320)))</f>
        <v/>
      </c>
      <c r="L320" s="28">
        <f>IF($B320="","",IF($K320="","—",IF(ROUND($K320-$J320,0)=0,"√","×")))</f>
        <v/>
      </c>
      <c r="M320" s="28">
        <f>IF($B320="","",IF(COUNTIFS(EntryDates,$B320,CalcTime,$C320,CalcBank,$C$5,EntryParty,$D320,EntryDep,$H320,EntryWit,$I320)&gt;1,"تکرار",""))</f>
        <v/>
      </c>
      <c r="N320" s="28">
        <f>IF($P320="","",IF(INDEX(EntryNotes,$P320)=0,"",INDEX(EntryNotes,$P320)))</f>
        <v/>
      </c>
      <c r="O320" s="28">
        <f>IF($P320="","",IF(INDEX(EntryTxnID,$P320)=0,"",INDEX(EntryTxnID,$P320)))</f>
        <v/>
      </c>
      <c r="P320" s="28">
        <f>IFERROR(MATCH($C$5&amp;"|"&amp;RIGHT("000000"&amp;304,6),CalcRankKey,0),"")</f>
        <v/>
      </c>
    </row>
    <row r="321">
      <c r="A321" s="26">
        <f>IF($B321="","",305)</f>
        <v/>
      </c>
      <c r="B321" s="26">
        <f>IF($P321="","",IF(INDEX(CalcNormDate,$P321)=0,"",INDEX(CalcNormDate,$P321)))</f>
        <v/>
      </c>
      <c r="C321" s="26">
        <f>IF($P321="","",IF(INDEX(CalcTime,$P321)=0,"",INDEX(CalcTime,$P321)))</f>
        <v/>
      </c>
      <c r="D321" s="26">
        <f>IF($P321="","",IF(INDEX(EntryParty,$P321)=0,"",INDEX(EntryParty,$P321)))</f>
        <v/>
      </c>
      <c r="E321" s="26">
        <f>IF($P321="","",IF(INDEX(EntryPartyName,$P321)=0,"",INDEX(EntryPartyName,$P321)))</f>
        <v/>
      </c>
      <c r="F321" s="26">
        <f>IF($P321="","",IF(INDEX(EntryPartyType,$P321)=0,"",INDEX(EntryPartyType,$P321)))</f>
        <v/>
      </c>
      <c r="G321" s="26">
        <f>IF($P321="","",IF(INDEX(EntryTxnType,$P321)=0,"",INDEX(EntryTxnType,$P321)))</f>
        <v/>
      </c>
      <c r="H321" s="27">
        <f>IF($P321="","",IF(INDEX(EntryDep,$P321)=0,"",INDEX(EntryDep,$P321)))</f>
        <v/>
      </c>
      <c r="I321" s="27">
        <f>IF($P321="","",IF(INDEX(EntryWit,$P321)=0,"",INDEX(EntryWit,$P321)))</f>
        <v/>
      </c>
      <c r="J321" s="27">
        <f>IF($B321="","",IF($A321=1,$C$7,IF(J320="",0,J320))+IF($H321="",0,$H321)-IF($I321="",0,$I321))</f>
        <v/>
      </c>
      <c r="K321" s="27">
        <f>IF($P321="","",IF(INDEX(EntryMan,$P321)=0,"",INDEX(EntryMan,$P321)))</f>
        <v/>
      </c>
      <c r="L321" s="26">
        <f>IF($B321="","",IF($K321="","—",IF(ROUND($K321-$J321,0)=0,"√","×")))</f>
        <v/>
      </c>
      <c r="M321" s="26">
        <f>IF($B321="","",IF(COUNTIFS(EntryDates,$B321,CalcTime,$C321,CalcBank,$C$5,EntryParty,$D321,EntryDep,$H321,EntryWit,$I321)&gt;1,"تکرار",""))</f>
        <v/>
      </c>
      <c r="N321" s="26">
        <f>IF($P321="","",IF(INDEX(EntryNotes,$P321)=0,"",INDEX(EntryNotes,$P321)))</f>
        <v/>
      </c>
      <c r="O321" s="26">
        <f>IF($P321="","",IF(INDEX(EntryTxnID,$P321)=0,"",INDEX(EntryTxnID,$P321)))</f>
        <v/>
      </c>
      <c r="P321" s="26">
        <f>IFERROR(MATCH($C$5&amp;"|"&amp;RIGHT("000000"&amp;305,6),CalcRankKey,0),"")</f>
        <v/>
      </c>
    </row>
    <row r="322">
      <c r="A322" s="28">
        <f>IF($B322="","",306)</f>
        <v/>
      </c>
      <c r="B322" s="28">
        <f>IF($P322="","",IF(INDEX(CalcNormDate,$P322)=0,"",INDEX(CalcNormDate,$P322)))</f>
        <v/>
      </c>
      <c r="C322" s="28">
        <f>IF($P322="","",IF(INDEX(CalcTime,$P322)=0,"",INDEX(CalcTime,$P322)))</f>
        <v/>
      </c>
      <c r="D322" s="28">
        <f>IF($P322="","",IF(INDEX(EntryParty,$P322)=0,"",INDEX(EntryParty,$P322)))</f>
        <v/>
      </c>
      <c r="E322" s="28">
        <f>IF($P322="","",IF(INDEX(EntryPartyName,$P322)=0,"",INDEX(EntryPartyName,$P322)))</f>
        <v/>
      </c>
      <c r="F322" s="28">
        <f>IF($P322="","",IF(INDEX(EntryPartyType,$P322)=0,"",INDEX(EntryPartyType,$P322)))</f>
        <v/>
      </c>
      <c r="G322" s="28">
        <f>IF($P322="","",IF(INDEX(EntryTxnType,$P322)=0,"",INDEX(EntryTxnType,$P322)))</f>
        <v/>
      </c>
      <c r="H322" s="29">
        <f>IF($P322="","",IF(INDEX(EntryDep,$P322)=0,"",INDEX(EntryDep,$P322)))</f>
        <v/>
      </c>
      <c r="I322" s="29">
        <f>IF($P322="","",IF(INDEX(EntryWit,$P322)=0,"",INDEX(EntryWit,$P322)))</f>
        <v/>
      </c>
      <c r="J322" s="29">
        <f>IF($B322="","",IF($A322=1,$C$7,IF(J321="",0,J321))+IF($H322="",0,$H322)-IF($I322="",0,$I322))</f>
        <v/>
      </c>
      <c r="K322" s="29">
        <f>IF($P322="","",IF(INDEX(EntryMan,$P322)=0,"",INDEX(EntryMan,$P322)))</f>
        <v/>
      </c>
      <c r="L322" s="28">
        <f>IF($B322="","",IF($K322="","—",IF(ROUND($K322-$J322,0)=0,"√","×")))</f>
        <v/>
      </c>
      <c r="M322" s="28">
        <f>IF($B322="","",IF(COUNTIFS(EntryDates,$B322,CalcTime,$C322,CalcBank,$C$5,EntryParty,$D322,EntryDep,$H322,EntryWit,$I322)&gt;1,"تکرار",""))</f>
        <v/>
      </c>
      <c r="N322" s="28">
        <f>IF($P322="","",IF(INDEX(EntryNotes,$P322)=0,"",INDEX(EntryNotes,$P322)))</f>
        <v/>
      </c>
      <c r="O322" s="28">
        <f>IF($P322="","",IF(INDEX(EntryTxnID,$P322)=0,"",INDEX(EntryTxnID,$P322)))</f>
        <v/>
      </c>
      <c r="P322" s="28">
        <f>IFERROR(MATCH($C$5&amp;"|"&amp;RIGHT("000000"&amp;306,6),CalcRankKey,0),"")</f>
        <v/>
      </c>
    </row>
    <row r="323">
      <c r="A323" s="26">
        <f>IF($B323="","",307)</f>
        <v/>
      </c>
      <c r="B323" s="26">
        <f>IF($P323="","",IF(INDEX(CalcNormDate,$P323)=0,"",INDEX(CalcNormDate,$P323)))</f>
        <v/>
      </c>
      <c r="C323" s="26">
        <f>IF($P323="","",IF(INDEX(CalcTime,$P323)=0,"",INDEX(CalcTime,$P323)))</f>
        <v/>
      </c>
      <c r="D323" s="26">
        <f>IF($P323="","",IF(INDEX(EntryParty,$P323)=0,"",INDEX(EntryParty,$P323)))</f>
        <v/>
      </c>
      <c r="E323" s="26">
        <f>IF($P323="","",IF(INDEX(EntryPartyName,$P323)=0,"",INDEX(EntryPartyName,$P323)))</f>
        <v/>
      </c>
      <c r="F323" s="26">
        <f>IF($P323="","",IF(INDEX(EntryPartyType,$P323)=0,"",INDEX(EntryPartyType,$P323)))</f>
        <v/>
      </c>
      <c r="G323" s="26">
        <f>IF($P323="","",IF(INDEX(EntryTxnType,$P323)=0,"",INDEX(EntryTxnType,$P323)))</f>
        <v/>
      </c>
      <c r="H323" s="27">
        <f>IF($P323="","",IF(INDEX(EntryDep,$P323)=0,"",INDEX(EntryDep,$P323)))</f>
        <v/>
      </c>
      <c r="I323" s="27">
        <f>IF($P323="","",IF(INDEX(EntryWit,$P323)=0,"",INDEX(EntryWit,$P323)))</f>
        <v/>
      </c>
      <c r="J323" s="27">
        <f>IF($B323="","",IF($A323=1,$C$7,IF(J322="",0,J322))+IF($H323="",0,$H323)-IF($I323="",0,$I323))</f>
        <v/>
      </c>
      <c r="K323" s="27">
        <f>IF($P323="","",IF(INDEX(EntryMan,$P323)=0,"",INDEX(EntryMan,$P323)))</f>
        <v/>
      </c>
      <c r="L323" s="26">
        <f>IF($B323="","",IF($K323="","—",IF(ROUND($K323-$J323,0)=0,"√","×")))</f>
        <v/>
      </c>
      <c r="M323" s="26">
        <f>IF($B323="","",IF(COUNTIFS(EntryDates,$B323,CalcTime,$C323,CalcBank,$C$5,EntryParty,$D323,EntryDep,$H323,EntryWit,$I323)&gt;1,"تکرار",""))</f>
        <v/>
      </c>
      <c r="N323" s="26">
        <f>IF($P323="","",IF(INDEX(EntryNotes,$P323)=0,"",INDEX(EntryNotes,$P323)))</f>
        <v/>
      </c>
      <c r="O323" s="26">
        <f>IF($P323="","",IF(INDEX(EntryTxnID,$P323)=0,"",INDEX(EntryTxnID,$P323)))</f>
        <v/>
      </c>
      <c r="P323" s="26">
        <f>IFERROR(MATCH($C$5&amp;"|"&amp;RIGHT("000000"&amp;307,6),CalcRankKey,0),"")</f>
        <v/>
      </c>
    </row>
    <row r="324">
      <c r="A324" s="28">
        <f>IF($B324="","",308)</f>
        <v/>
      </c>
      <c r="B324" s="28">
        <f>IF($P324="","",IF(INDEX(CalcNormDate,$P324)=0,"",INDEX(CalcNormDate,$P324)))</f>
        <v/>
      </c>
      <c r="C324" s="28">
        <f>IF($P324="","",IF(INDEX(CalcTime,$P324)=0,"",INDEX(CalcTime,$P324)))</f>
        <v/>
      </c>
      <c r="D324" s="28">
        <f>IF($P324="","",IF(INDEX(EntryParty,$P324)=0,"",INDEX(EntryParty,$P324)))</f>
        <v/>
      </c>
      <c r="E324" s="28">
        <f>IF($P324="","",IF(INDEX(EntryPartyName,$P324)=0,"",INDEX(EntryPartyName,$P324)))</f>
        <v/>
      </c>
      <c r="F324" s="28">
        <f>IF($P324="","",IF(INDEX(EntryPartyType,$P324)=0,"",INDEX(EntryPartyType,$P324)))</f>
        <v/>
      </c>
      <c r="G324" s="28">
        <f>IF($P324="","",IF(INDEX(EntryTxnType,$P324)=0,"",INDEX(EntryTxnType,$P324)))</f>
        <v/>
      </c>
      <c r="H324" s="29">
        <f>IF($P324="","",IF(INDEX(EntryDep,$P324)=0,"",INDEX(EntryDep,$P324)))</f>
        <v/>
      </c>
      <c r="I324" s="29">
        <f>IF($P324="","",IF(INDEX(EntryWit,$P324)=0,"",INDEX(EntryWit,$P324)))</f>
        <v/>
      </c>
      <c r="J324" s="29">
        <f>IF($B324="","",IF($A324=1,$C$7,IF(J323="",0,J323))+IF($H324="",0,$H324)-IF($I324="",0,$I324))</f>
        <v/>
      </c>
      <c r="K324" s="29">
        <f>IF($P324="","",IF(INDEX(EntryMan,$P324)=0,"",INDEX(EntryMan,$P324)))</f>
        <v/>
      </c>
      <c r="L324" s="28">
        <f>IF($B324="","",IF($K324="","—",IF(ROUND($K324-$J324,0)=0,"√","×")))</f>
        <v/>
      </c>
      <c r="M324" s="28">
        <f>IF($B324="","",IF(COUNTIFS(EntryDates,$B324,CalcTime,$C324,CalcBank,$C$5,EntryParty,$D324,EntryDep,$H324,EntryWit,$I324)&gt;1,"تکرار",""))</f>
        <v/>
      </c>
      <c r="N324" s="28">
        <f>IF($P324="","",IF(INDEX(EntryNotes,$P324)=0,"",INDEX(EntryNotes,$P324)))</f>
        <v/>
      </c>
      <c r="O324" s="28">
        <f>IF($P324="","",IF(INDEX(EntryTxnID,$P324)=0,"",INDEX(EntryTxnID,$P324)))</f>
        <v/>
      </c>
      <c r="P324" s="28">
        <f>IFERROR(MATCH($C$5&amp;"|"&amp;RIGHT("000000"&amp;308,6),CalcRankKey,0),"")</f>
        <v/>
      </c>
    </row>
    <row r="325">
      <c r="A325" s="26">
        <f>IF($B325="","",309)</f>
        <v/>
      </c>
      <c r="B325" s="26">
        <f>IF($P325="","",IF(INDEX(CalcNormDate,$P325)=0,"",INDEX(CalcNormDate,$P325)))</f>
        <v/>
      </c>
      <c r="C325" s="26">
        <f>IF($P325="","",IF(INDEX(CalcTime,$P325)=0,"",INDEX(CalcTime,$P325)))</f>
        <v/>
      </c>
      <c r="D325" s="26">
        <f>IF($P325="","",IF(INDEX(EntryParty,$P325)=0,"",INDEX(EntryParty,$P325)))</f>
        <v/>
      </c>
      <c r="E325" s="26">
        <f>IF($P325="","",IF(INDEX(EntryPartyName,$P325)=0,"",INDEX(EntryPartyName,$P325)))</f>
        <v/>
      </c>
      <c r="F325" s="26">
        <f>IF($P325="","",IF(INDEX(EntryPartyType,$P325)=0,"",INDEX(EntryPartyType,$P325)))</f>
        <v/>
      </c>
      <c r="G325" s="26">
        <f>IF($P325="","",IF(INDEX(EntryTxnType,$P325)=0,"",INDEX(EntryTxnType,$P325)))</f>
        <v/>
      </c>
      <c r="H325" s="27">
        <f>IF($P325="","",IF(INDEX(EntryDep,$P325)=0,"",INDEX(EntryDep,$P325)))</f>
        <v/>
      </c>
      <c r="I325" s="27">
        <f>IF($P325="","",IF(INDEX(EntryWit,$P325)=0,"",INDEX(EntryWit,$P325)))</f>
        <v/>
      </c>
      <c r="J325" s="27">
        <f>IF($B325="","",IF($A325=1,$C$7,IF(J324="",0,J324))+IF($H325="",0,$H325)-IF($I325="",0,$I325))</f>
        <v/>
      </c>
      <c r="K325" s="27">
        <f>IF($P325="","",IF(INDEX(EntryMan,$P325)=0,"",INDEX(EntryMan,$P325)))</f>
        <v/>
      </c>
      <c r="L325" s="26">
        <f>IF($B325="","",IF($K325="","—",IF(ROUND($K325-$J325,0)=0,"√","×")))</f>
        <v/>
      </c>
      <c r="M325" s="26">
        <f>IF($B325="","",IF(COUNTIFS(EntryDates,$B325,CalcTime,$C325,CalcBank,$C$5,EntryParty,$D325,EntryDep,$H325,EntryWit,$I325)&gt;1,"تکرار",""))</f>
        <v/>
      </c>
      <c r="N325" s="26">
        <f>IF($P325="","",IF(INDEX(EntryNotes,$P325)=0,"",INDEX(EntryNotes,$P325)))</f>
        <v/>
      </c>
      <c r="O325" s="26">
        <f>IF($P325="","",IF(INDEX(EntryTxnID,$P325)=0,"",INDEX(EntryTxnID,$P325)))</f>
        <v/>
      </c>
      <c r="P325" s="26">
        <f>IFERROR(MATCH($C$5&amp;"|"&amp;RIGHT("000000"&amp;309,6),CalcRankKey,0),"")</f>
        <v/>
      </c>
    </row>
    <row r="326">
      <c r="A326" s="28">
        <f>IF($B326="","",310)</f>
        <v/>
      </c>
      <c r="B326" s="28">
        <f>IF($P326="","",IF(INDEX(CalcNormDate,$P326)=0,"",INDEX(CalcNormDate,$P326)))</f>
        <v/>
      </c>
      <c r="C326" s="28">
        <f>IF($P326="","",IF(INDEX(CalcTime,$P326)=0,"",INDEX(CalcTime,$P326)))</f>
        <v/>
      </c>
      <c r="D326" s="28">
        <f>IF($P326="","",IF(INDEX(EntryParty,$P326)=0,"",INDEX(EntryParty,$P326)))</f>
        <v/>
      </c>
      <c r="E326" s="28">
        <f>IF($P326="","",IF(INDEX(EntryPartyName,$P326)=0,"",INDEX(EntryPartyName,$P326)))</f>
        <v/>
      </c>
      <c r="F326" s="28">
        <f>IF($P326="","",IF(INDEX(EntryPartyType,$P326)=0,"",INDEX(EntryPartyType,$P326)))</f>
        <v/>
      </c>
      <c r="G326" s="28">
        <f>IF($P326="","",IF(INDEX(EntryTxnType,$P326)=0,"",INDEX(EntryTxnType,$P326)))</f>
        <v/>
      </c>
      <c r="H326" s="29">
        <f>IF($P326="","",IF(INDEX(EntryDep,$P326)=0,"",INDEX(EntryDep,$P326)))</f>
        <v/>
      </c>
      <c r="I326" s="29">
        <f>IF($P326="","",IF(INDEX(EntryWit,$P326)=0,"",INDEX(EntryWit,$P326)))</f>
        <v/>
      </c>
      <c r="J326" s="29">
        <f>IF($B326="","",IF($A326=1,$C$7,IF(J325="",0,J325))+IF($H326="",0,$H326)-IF($I326="",0,$I326))</f>
        <v/>
      </c>
      <c r="K326" s="29">
        <f>IF($P326="","",IF(INDEX(EntryMan,$P326)=0,"",INDEX(EntryMan,$P326)))</f>
        <v/>
      </c>
      <c r="L326" s="28">
        <f>IF($B326="","",IF($K326="","—",IF(ROUND($K326-$J326,0)=0,"√","×")))</f>
        <v/>
      </c>
      <c r="M326" s="28">
        <f>IF($B326="","",IF(COUNTIFS(EntryDates,$B326,CalcTime,$C326,CalcBank,$C$5,EntryParty,$D326,EntryDep,$H326,EntryWit,$I326)&gt;1,"تکرار",""))</f>
        <v/>
      </c>
      <c r="N326" s="28">
        <f>IF($P326="","",IF(INDEX(EntryNotes,$P326)=0,"",INDEX(EntryNotes,$P326)))</f>
        <v/>
      </c>
      <c r="O326" s="28">
        <f>IF($P326="","",IF(INDEX(EntryTxnID,$P326)=0,"",INDEX(EntryTxnID,$P326)))</f>
        <v/>
      </c>
      <c r="P326" s="28">
        <f>IFERROR(MATCH($C$5&amp;"|"&amp;RIGHT("000000"&amp;310,6),CalcRankKey,0),"")</f>
        <v/>
      </c>
    </row>
    <row r="327">
      <c r="A327" s="26">
        <f>IF($B327="","",311)</f>
        <v/>
      </c>
      <c r="B327" s="26">
        <f>IF($P327="","",IF(INDEX(CalcNormDate,$P327)=0,"",INDEX(CalcNormDate,$P327)))</f>
        <v/>
      </c>
      <c r="C327" s="26">
        <f>IF($P327="","",IF(INDEX(CalcTime,$P327)=0,"",INDEX(CalcTime,$P327)))</f>
        <v/>
      </c>
      <c r="D327" s="26">
        <f>IF($P327="","",IF(INDEX(EntryParty,$P327)=0,"",INDEX(EntryParty,$P327)))</f>
        <v/>
      </c>
      <c r="E327" s="26">
        <f>IF($P327="","",IF(INDEX(EntryPartyName,$P327)=0,"",INDEX(EntryPartyName,$P327)))</f>
        <v/>
      </c>
      <c r="F327" s="26">
        <f>IF($P327="","",IF(INDEX(EntryPartyType,$P327)=0,"",INDEX(EntryPartyType,$P327)))</f>
        <v/>
      </c>
      <c r="G327" s="26">
        <f>IF($P327="","",IF(INDEX(EntryTxnType,$P327)=0,"",INDEX(EntryTxnType,$P327)))</f>
        <v/>
      </c>
      <c r="H327" s="27">
        <f>IF($P327="","",IF(INDEX(EntryDep,$P327)=0,"",INDEX(EntryDep,$P327)))</f>
        <v/>
      </c>
      <c r="I327" s="27">
        <f>IF($P327="","",IF(INDEX(EntryWit,$P327)=0,"",INDEX(EntryWit,$P327)))</f>
        <v/>
      </c>
      <c r="J327" s="27">
        <f>IF($B327="","",IF($A327=1,$C$7,IF(J326="",0,J326))+IF($H327="",0,$H327)-IF($I327="",0,$I327))</f>
        <v/>
      </c>
      <c r="K327" s="27">
        <f>IF($P327="","",IF(INDEX(EntryMan,$P327)=0,"",INDEX(EntryMan,$P327)))</f>
        <v/>
      </c>
      <c r="L327" s="26">
        <f>IF($B327="","",IF($K327="","—",IF(ROUND($K327-$J327,0)=0,"√","×")))</f>
        <v/>
      </c>
      <c r="M327" s="26">
        <f>IF($B327="","",IF(COUNTIFS(EntryDates,$B327,CalcTime,$C327,CalcBank,$C$5,EntryParty,$D327,EntryDep,$H327,EntryWit,$I327)&gt;1,"تکرار",""))</f>
        <v/>
      </c>
      <c r="N327" s="26">
        <f>IF($P327="","",IF(INDEX(EntryNotes,$P327)=0,"",INDEX(EntryNotes,$P327)))</f>
        <v/>
      </c>
      <c r="O327" s="26">
        <f>IF($P327="","",IF(INDEX(EntryTxnID,$P327)=0,"",INDEX(EntryTxnID,$P327)))</f>
        <v/>
      </c>
      <c r="P327" s="26">
        <f>IFERROR(MATCH($C$5&amp;"|"&amp;RIGHT("000000"&amp;311,6),CalcRankKey,0),"")</f>
        <v/>
      </c>
    </row>
    <row r="328">
      <c r="A328" s="28">
        <f>IF($B328="","",312)</f>
        <v/>
      </c>
      <c r="B328" s="28">
        <f>IF($P328="","",IF(INDEX(CalcNormDate,$P328)=0,"",INDEX(CalcNormDate,$P328)))</f>
        <v/>
      </c>
      <c r="C328" s="28">
        <f>IF($P328="","",IF(INDEX(CalcTime,$P328)=0,"",INDEX(CalcTime,$P328)))</f>
        <v/>
      </c>
      <c r="D328" s="28">
        <f>IF($P328="","",IF(INDEX(EntryParty,$P328)=0,"",INDEX(EntryParty,$P328)))</f>
        <v/>
      </c>
      <c r="E328" s="28">
        <f>IF($P328="","",IF(INDEX(EntryPartyName,$P328)=0,"",INDEX(EntryPartyName,$P328)))</f>
        <v/>
      </c>
      <c r="F328" s="28">
        <f>IF($P328="","",IF(INDEX(EntryPartyType,$P328)=0,"",INDEX(EntryPartyType,$P328)))</f>
        <v/>
      </c>
      <c r="G328" s="28">
        <f>IF($P328="","",IF(INDEX(EntryTxnType,$P328)=0,"",INDEX(EntryTxnType,$P328)))</f>
        <v/>
      </c>
      <c r="H328" s="29">
        <f>IF($P328="","",IF(INDEX(EntryDep,$P328)=0,"",INDEX(EntryDep,$P328)))</f>
        <v/>
      </c>
      <c r="I328" s="29">
        <f>IF($P328="","",IF(INDEX(EntryWit,$P328)=0,"",INDEX(EntryWit,$P328)))</f>
        <v/>
      </c>
      <c r="J328" s="29">
        <f>IF($B328="","",IF($A328=1,$C$7,IF(J327="",0,J327))+IF($H328="",0,$H328)-IF($I328="",0,$I328))</f>
        <v/>
      </c>
      <c r="K328" s="29">
        <f>IF($P328="","",IF(INDEX(EntryMan,$P328)=0,"",INDEX(EntryMan,$P328)))</f>
        <v/>
      </c>
      <c r="L328" s="28">
        <f>IF($B328="","",IF($K328="","—",IF(ROUND($K328-$J328,0)=0,"√","×")))</f>
        <v/>
      </c>
      <c r="M328" s="28">
        <f>IF($B328="","",IF(COUNTIFS(EntryDates,$B328,CalcTime,$C328,CalcBank,$C$5,EntryParty,$D328,EntryDep,$H328,EntryWit,$I328)&gt;1,"تکرار",""))</f>
        <v/>
      </c>
      <c r="N328" s="28">
        <f>IF($P328="","",IF(INDEX(EntryNotes,$P328)=0,"",INDEX(EntryNotes,$P328)))</f>
        <v/>
      </c>
      <c r="O328" s="28">
        <f>IF($P328="","",IF(INDEX(EntryTxnID,$P328)=0,"",INDEX(EntryTxnID,$P328)))</f>
        <v/>
      </c>
      <c r="P328" s="28">
        <f>IFERROR(MATCH($C$5&amp;"|"&amp;RIGHT("000000"&amp;312,6),CalcRankKey,0),"")</f>
        <v/>
      </c>
    </row>
    <row r="329">
      <c r="A329" s="26">
        <f>IF($B329="","",313)</f>
        <v/>
      </c>
      <c r="B329" s="26">
        <f>IF($P329="","",IF(INDEX(CalcNormDate,$P329)=0,"",INDEX(CalcNormDate,$P329)))</f>
        <v/>
      </c>
      <c r="C329" s="26">
        <f>IF($P329="","",IF(INDEX(CalcTime,$P329)=0,"",INDEX(CalcTime,$P329)))</f>
        <v/>
      </c>
      <c r="D329" s="26">
        <f>IF($P329="","",IF(INDEX(EntryParty,$P329)=0,"",INDEX(EntryParty,$P329)))</f>
        <v/>
      </c>
      <c r="E329" s="26">
        <f>IF($P329="","",IF(INDEX(EntryPartyName,$P329)=0,"",INDEX(EntryPartyName,$P329)))</f>
        <v/>
      </c>
      <c r="F329" s="26">
        <f>IF($P329="","",IF(INDEX(EntryPartyType,$P329)=0,"",INDEX(EntryPartyType,$P329)))</f>
        <v/>
      </c>
      <c r="G329" s="26">
        <f>IF($P329="","",IF(INDEX(EntryTxnType,$P329)=0,"",INDEX(EntryTxnType,$P329)))</f>
        <v/>
      </c>
      <c r="H329" s="27">
        <f>IF($P329="","",IF(INDEX(EntryDep,$P329)=0,"",INDEX(EntryDep,$P329)))</f>
        <v/>
      </c>
      <c r="I329" s="27">
        <f>IF($P329="","",IF(INDEX(EntryWit,$P329)=0,"",INDEX(EntryWit,$P329)))</f>
        <v/>
      </c>
      <c r="J329" s="27">
        <f>IF($B329="","",IF($A329=1,$C$7,IF(J328="",0,J328))+IF($H329="",0,$H329)-IF($I329="",0,$I329))</f>
        <v/>
      </c>
      <c r="K329" s="27">
        <f>IF($P329="","",IF(INDEX(EntryMan,$P329)=0,"",INDEX(EntryMan,$P329)))</f>
        <v/>
      </c>
      <c r="L329" s="26">
        <f>IF($B329="","",IF($K329="","—",IF(ROUND($K329-$J329,0)=0,"√","×")))</f>
        <v/>
      </c>
      <c r="M329" s="26">
        <f>IF($B329="","",IF(COUNTIFS(EntryDates,$B329,CalcTime,$C329,CalcBank,$C$5,EntryParty,$D329,EntryDep,$H329,EntryWit,$I329)&gt;1,"تکرار",""))</f>
        <v/>
      </c>
      <c r="N329" s="26">
        <f>IF($P329="","",IF(INDEX(EntryNotes,$P329)=0,"",INDEX(EntryNotes,$P329)))</f>
        <v/>
      </c>
      <c r="O329" s="26">
        <f>IF($P329="","",IF(INDEX(EntryTxnID,$P329)=0,"",INDEX(EntryTxnID,$P329)))</f>
        <v/>
      </c>
      <c r="P329" s="26">
        <f>IFERROR(MATCH($C$5&amp;"|"&amp;RIGHT("000000"&amp;313,6),CalcRankKey,0),"")</f>
        <v/>
      </c>
    </row>
    <row r="330">
      <c r="A330" s="28">
        <f>IF($B330="","",314)</f>
        <v/>
      </c>
      <c r="B330" s="28">
        <f>IF($P330="","",IF(INDEX(CalcNormDate,$P330)=0,"",INDEX(CalcNormDate,$P330)))</f>
        <v/>
      </c>
      <c r="C330" s="28">
        <f>IF($P330="","",IF(INDEX(CalcTime,$P330)=0,"",INDEX(CalcTime,$P330)))</f>
        <v/>
      </c>
      <c r="D330" s="28">
        <f>IF($P330="","",IF(INDEX(EntryParty,$P330)=0,"",INDEX(EntryParty,$P330)))</f>
        <v/>
      </c>
      <c r="E330" s="28">
        <f>IF($P330="","",IF(INDEX(EntryPartyName,$P330)=0,"",INDEX(EntryPartyName,$P330)))</f>
        <v/>
      </c>
      <c r="F330" s="28">
        <f>IF($P330="","",IF(INDEX(EntryPartyType,$P330)=0,"",INDEX(EntryPartyType,$P330)))</f>
        <v/>
      </c>
      <c r="G330" s="28">
        <f>IF($P330="","",IF(INDEX(EntryTxnType,$P330)=0,"",INDEX(EntryTxnType,$P330)))</f>
        <v/>
      </c>
      <c r="H330" s="29">
        <f>IF($P330="","",IF(INDEX(EntryDep,$P330)=0,"",INDEX(EntryDep,$P330)))</f>
        <v/>
      </c>
      <c r="I330" s="29">
        <f>IF($P330="","",IF(INDEX(EntryWit,$P330)=0,"",INDEX(EntryWit,$P330)))</f>
        <v/>
      </c>
      <c r="J330" s="29">
        <f>IF($B330="","",IF($A330=1,$C$7,IF(J329="",0,J329))+IF($H330="",0,$H330)-IF($I330="",0,$I330))</f>
        <v/>
      </c>
      <c r="K330" s="29">
        <f>IF($P330="","",IF(INDEX(EntryMan,$P330)=0,"",INDEX(EntryMan,$P330)))</f>
        <v/>
      </c>
      <c r="L330" s="28">
        <f>IF($B330="","",IF($K330="","—",IF(ROUND($K330-$J330,0)=0,"√","×")))</f>
        <v/>
      </c>
      <c r="M330" s="28">
        <f>IF($B330="","",IF(COUNTIFS(EntryDates,$B330,CalcTime,$C330,CalcBank,$C$5,EntryParty,$D330,EntryDep,$H330,EntryWit,$I330)&gt;1,"تکرار",""))</f>
        <v/>
      </c>
      <c r="N330" s="28">
        <f>IF($P330="","",IF(INDEX(EntryNotes,$P330)=0,"",INDEX(EntryNotes,$P330)))</f>
        <v/>
      </c>
      <c r="O330" s="28">
        <f>IF($P330="","",IF(INDEX(EntryTxnID,$P330)=0,"",INDEX(EntryTxnID,$P330)))</f>
        <v/>
      </c>
      <c r="P330" s="28">
        <f>IFERROR(MATCH($C$5&amp;"|"&amp;RIGHT("000000"&amp;314,6),CalcRankKey,0),"")</f>
        <v/>
      </c>
    </row>
    <row r="331">
      <c r="A331" s="26">
        <f>IF($B331="","",315)</f>
        <v/>
      </c>
      <c r="B331" s="26">
        <f>IF($P331="","",IF(INDEX(CalcNormDate,$P331)=0,"",INDEX(CalcNormDate,$P331)))</f>
        <v/>
      </c>
      <c r="C331" s="26">
        <f>IF($P331="","",IF(INDEX(CalcTime,$P331)=0,"",INDEX(CalcTime,$P331)))</f>
        <v/>
      </c>
      <c r="D331" s="26">
        <f>IF($P331="","",IF(INDEX(EntryParty,$P331)=0,"",INDEX(EntryParty,$P331)))</f>
        <v/>
      </c>
      <c r="E331" s="26">
        <f>IF($P331="","",IF(INDEX(EntryPartyName,$P331)=0,"",INDEX(EntryPartyName,$P331)))</f>
        <v/>
      </c>
      <c r="F331" s="26">
        <f>IF($P331="","",IF(INDEX(EntryPartyType,$P331)=0,"",INDEX(EntryPartyType,$P331)))</f>
        <v/>
      </c>
      <c r="G331" s="26">
        <f>IF($P331="","",IF(INDEX(EntryTxnType,$P331)=0,"",INDEX(EntryTxnType,$P331)))</f>
        <v/>
      </c>
      <c r="H331" s="27">
        <f>IF($P331="","",IF(INDEX(EntryDep,$P331)=0,"",INDEX(EntryDep,$P331)))</f>
        <v/>
      </c>
      <c r="I331" s="27">
        <f>IF($P331="","",IF(INDEX(EntryWit,$P331)=0,"",INDEX(EntryWit,$P331)))</f>
        <v/>
      </c>
      <c r="J331" s="27">
        <f>IF($B331="","",IF($A331=1,$C$7,IF(J330="",0,J330))+IF($H331="",0,$H331)-IF($I331="",0,$I331))</f>
        <v/>
      </c>
      <c r="K331" s="27">
        <f>IF($P331="","",IF(INDEX(EntryMan,$P331)=0,"",INDEX(EntryMan,$P331)))</f>
        <v/>
      </c>
      <c r="L331" s="26">
        <f>IF($B331="","",IF($K331="","—",IF(ROUND($K331-$J331,0)=0,"√","×")))</f>
        <v/>
      </c>
      <c r="M331" s="26">
        <f>IF($B331="","",IF(COUNTIFS(EntryDates,$B331,CalcTime,$C331,CalcBank,$C$5,EntryParty,$D331,EntryDep,$H331,EntryWit,$I331)&gt;1,"تکرار",""))</f>
        <v/>
      </c>
      <c r="N331" s="26">
        <f>IF($P331="","",IF(INDEX(EntryNotes,$P331)=0,"",INDEX(EntryNotes,$P331)))</f>
        <v/>
      </c>
      <c r="O331" s="26">
        <f>IF($P331="","",IF(INDEX(EntryTxnID,$P331)=0,"",INDEX(EntryTxnID,$P331)))</f>
        <v/>
      </c>
      <c r="P331" s="26">
        <f>IFERROR(MATCH($C$5&amp;"|"&amp;RIGHT("000000"&amp;315,6),CalcRankKey,0),"")</f>
        <v/>
      </c>
    </row>
    <row r="332">
      <c r="A332" s="28">
        <f>IF($B332="","",316)</f>
        <v/>
      </c>
      <c r="B332" s="28">
        <f>IF($P332="","",IF(INDEX(CalcNormDate,$P332)=0,"",INDEX(CalcNormDate,$P332)))</f>
        <v/>
      </c>
      <c r="C332" s="28">
        <f>IF($P332="","",IF(INDEX(CalcTime,$P332)=0,"",INDEX(CalcTime,$P332)))</f>
        <v/>
      </c>
      <c r="D332" s="28">
        <f>IF($P332="","",IF(INDEX(EntryParty,$P332)=0,"",INDEX(EntryParty,$P332)))</f>
        <v/>
      </c>
      <c r="E332" s="28">
        <f>IF($P332="","",IF(INDEX(EntryPartyName,$P332)=0,"",INDEX(EntryPartyName,$P332)))</f>
        <v/>
      </c>
      <c r="F332" s="28">
        <f>IF($P332="","",IF(INDEX(EntryPartyType,$P332)=0,"",INDEX(EntryPartyType,$P332)))</f>
        <v/>
      </c>
      <c r="G332" s="28">
        <f>IF($P332="","",IF(INDEX(EntryTxnType,$P332)=0,"",INDEX(EntryTxnType,$P332)))</f>
        <v/>
      </c>
      <c r="H332" s="29">
        <f>IF($P332="","",IF(INDEX(EntryDep,$P332)=0,"",INDEX(EntryDep,$P332)))</f>
        <v/>
      </c>
      <c r="I332" s="29">
        <f>IF($P332="","",IF(INDEX(EntryWit,$P332)=0,"",INDEX(EntryWit,$P332)))</f>
        <v/>
      </c>
      <c r="J332" s="29">
        <f>IF($B332="","",IF($A332=1,$C$7,IF(J331="",0,J331))+IF($H332="",0,$H332)-IF($I332="",0,$I332))</f>
        <v/>
      </c>
      <c r="K332" s="29">
        <f>IF($P332="","",IF(INDEX(EntryMan,$P332)=0,"",INDEX(EntryMan,$P332)))</f>
        <v/>
      </c>
      <c r="L332" s="28">
        <f>IF($B332="","",IF($K332="","—",IF(ROUND($K332-$J332,0)=0,"√","×")))</f>
        <v/>
      </c>
      <c r="M332" s="28">
        <f>IF($B332="","",IF(COUNTIFS(EntryDates,$B332,CalcTime,$C332,CalcBank,$C$5,EntryParty,$D332,EntryDep,$H332,EntryWit,$I332)&gt;1,"تکرار",""))</f>
        <v/>
      </c>
      <c r="N332" s="28">
        <f>IF($P332="","",IF(INDEX(EntryNotes,$P332)=0,"",INDEX(EntryNotes,$P332)))</f>
        <v/>
      </c>
      <c r="O332" s="28">
        <f>IF($P332="","",IF(INDEX(EntryTxnID,$P332)=0,"",INDEX(EntryTxnID,$P332)))</f>
        <v/>
      </c>
      <c r="P332" s="28">
        <f>IFERROR(MATCH($C$5&amp;"|"&amp;RIGHT("000000"&amp;316,6),CalcRankKey,0),"")</f>
        <v/>
      </c>
    </row>
    <row r="333">
      <c r="A333" s="26">
        <f>IF($B333="","",317)</f>
        <v/>
      </c>
      <c r="B333" s="26">
        <f>IF($P333="","",IF(INDEX(CalcNormDate,$P333)=0,"",INDEX(CalcNormDate,$P333)))</f>
        <v/>
      </c>
      <c r="C333" s="26">
        <f>IF($P333="","",IF(INDEX(CalcTime,$P333)=0,"",INDEX(CalcTime,$P333)))</f>
        <v/>
      </c>
      <c r="D333" s="26">
        <f>IF($P333="","",IF(INDEX(EntryParty,$P333)=0,"",INDEX(EntryParty,$P333)))</f>
        <v/>
      </c>
      <c r="E333" s="26">
        <f>IF($P333="","",IF(INDEX(EntryPartyName,$P333)=0,"",INDEX(EntryPartyName,$P333)))</f>
        <v/>
      </c>
      <c r="F333" s="26">
        <f>IF($P333="","",IF(INDEX(EntryPartyType,$P333)=0,"",INDEX(EntryPartyType,$P333)))</f>
        <v/>
      </c>
      <c r="G333" s="26">
        <f>IF($P333="","",IF(INDEX(EntryTxnType,$P333)=0,"",INDEX(EntryTxnType,$P333)))</f>
        <v/>
      </c>
      <c r="H333" s="27">
        <f>IF($P333="","",IF(INDEX(EntryDep,$P333)=0,"",INDEX(EntryDep,$P333)))</f>
        <v/>
      </c>
      <c r="I333" s="27">
        <f>IF($P333="","",IF(INDEX(EntryWit,$P333)=0,"",INDEX(EntryWit,$P333)))</f>
        <v/>
      </c>
      <c r="J333" s="27">
        <f>IF($B333="","",IF($A333=1,$C$7,IF(J332="",0,J332))+IF($H333="",0,$H333)-IF($I333="",0,$I333))</f>
        <v/>
      </c>
      <c r="K333" s="27">
        <f>IF($P333="","",IF(INDEX(EntryMan,$P333)=0,"",INDEX(EntryMan,$P333)))</f>
        <v/>
      </c>
      <c r="L333" s="26">
        <f>IF($B333="","",IF($K333="","—",IF(ROUND($K333-$J333,0)=0,"√","×")))</f>
        <v/>
      </c>
      <c r="M333" s="26">
        <f>IF($B333="","",IF(COUNTIFS(EntryDates,$B333,CalcTime,$C333,CalcBank,$C$5,EntryParty,$D333,EntryDep,$H333,EntryWit,$I333)&gt;1,"تکرار",""))</f>
        <v/>
      </c>
      <c r="N333" s="26">
        <f>IF($P333="","",IF(INDEX(EntryNotes,$P333)=0,"",INDEX(EntryNotes,$P333)))</f>
        <v/>
      </c>
      <c r="O333" s="26">
        <f>IF($P333="","",IF(INDEX(EntryTxnID,$P333)=0,"",INDEX(EntryTxnID,$P333)))</f>
        <v/>
      </c>
      <c r="P333" s="26">
        <f>IFERROR(MATCH($C$5&amp;"|"&amp;RIGHT("000000"&amp;317,6),CalcRankKey,0),"")</f>
        <v/>
      </c>
    </row>
    <row r="334">
      <c r="A334" s="28">
        <f>IF($B334="","",318)</f>
        <v/>
      </c>
      <c r="B334" s="28">
        <f>IF($P334="","",IF(INDEX(CalcNormDate,$P334)=0,"",INDEX(CalcNormDate,$P334)))</f>
        <v/>
      </c>
      <c r="C334" s="28">
        <f>IF($P334="","",IF(INDEX(CalcTime,$P334)=0,"",INDEX(CalcTime,$P334)))</f>
        <v/>
      </c>
      <c r="D334" s="28">
        <f>IF($P334="","",IF(INDEX(EntryParty,$P334)=0,"",INDEX(EntryParty,$P334)))</f>
        <v/>
      </c>
      <c r="E334" s="28">
        <f>IF($P334="","",IF(INDEX(EntryPartyName,$P334)=0,"",INDEX(EntryPartyName,$P334)))</f>
        <v/>
      </c>
      <c r="F334" s="28">
        <f>IF($P334="","",IF(INDEX(EntryPartyType,$P334)=0,"",INDEX(EntryPartyType,$P334)))</f>
        <v/>
      </c>
      <c r="G334" s="28">
        <f>IF($P334="","",IF(INDEX(EntryTxnType,$P334)=0,"",INDEX(EntryTxnType,$P334)))</f>
        <v/>
      </c>
      <c r="H334" s="29">
        <f>IF($P334="","",IF(INDEX(EntryDep,$P334)=0,"",INDEX(EntryDep,$P334)))</f>
        <v/>
      </c>
      <c r="I334" s="29">
        <f>IF($P334="","",IF(INDEX(EntryWit,$P334)=0,"",INDEX(EntryWit,$P334)))</f>
        <v/>
      </c>
      <c r="J334" s="29">
        <f>IF($B334="","",IF($A334=1,$C$7,IF(J333="",0,J333))+IF($H334="",0,$H334)-IF($I334="",0,$I334))</f>
        <v/>
      </c>
      <c r="K334" s="29">
        <f>IF($P334="","",IF(INDEX(EntryMan,$P334)=0,"",INDEX(EntryMan,$P334)))</f>
        <v/>
      </c>
      <c r="L334" s="28">
        <f>IF($B334="","",IF($K334="","—",IF(ROUND($K334-$J334,0)=0,"√","×")))</f>
        <v/>
      </c>
      <c r="M334" s="28">
        <f>IF($B334="","",IF(COUNTIFS(EntryDates,$B334,CalcTime,$C334,CalcBank,$C$5,EntryParty,$D334,EntryDep,$H334,EntryWit,$I334)&gt;1,"تکرار",""))</f>
        <v/>
      </c>
      <c r="N334" s="28">
        <f>IF($P334="","",IF(INDEX(EntryNotes,$P334)=0,"",INDEX(EntryNotes,$P334)))</f>
        <v/>
      </c>
      <c r="O334" s="28">
        <f>IF($P334="","",IF(INDEX(EntryTxnID,$P334)=0,"",INDEX(EntryTxnID,$P334)))</f>
        <v/>
      </c>
      <c r="P334" s="28">
        <f>IFERROR(MATCH($C$5&amp;"|"&amp;RIGHT("000000"&amp;318,6),CalcRankKey,0),"")</f>
        <v/>
      </c>
    </row>
    <row r="335">
      <c r="A335" s="26">
        <f>IF($B335="","",319)</f>
        <v/>
      </c>
      <c r="B335" s="26">
        <f>IF($P335="","",IF(INDEX(CalcNormDate,$P335)=0,"",INDEX(CalcNormDate,$P335)))</f>
        <v/>
      </c>
      <c r="C335" s="26">
        <f>IF($P335="","",IF(INDEX(CalcTime,$P335)=0,"",INDEX(CalcTime,$P335)))</f>
        <v/>
      </c>
      <c r="D335" s="26">
        <f>IF($P335="","",IF(INDEX(EntryParty,$P335)=0,"",INDEX(EntryParty,$P335)))</f>
        <v/>
      </c>
      <c r="E335" s="26">
        <f>IF($P335="","",IF(INDEX(EntryPartyName,$P335)=0,"",INDEX(EntryPartyName,$P335)))</f>
        <v/>
      </c>
      <c r="F335" s="26">
        <f>IF($P335="","",IF(INDEX(EntryPartyType,$P335)=0,"",INDEX(EntryPartyType,$P335)))</f>
        <v/>
      </c>
      <c r="G335" s="26">
        <f>IF($P335="","",IF(INDEX(EntryTxnType,$P335)=0,"",INDEX(EntryTxnType,$P335)))</f>
        <v/>
      </c>
      <c r="H335" s="27">
        <f>IF($P335="","",IF(INDEX(EntryDep,$P335)=0,"",INDEX(EntryDep,$P335)))</f>
        <v/>
      </c>
      <c r="I335" s="27">
        <f>IF($P335="","",IF(INDEX(EntryWit,$P335)=0,"",INDEX(EntryWit,$P335)))</f>
        <v/>
      </c>
      <c r="J335" s="27">
        <f>IF($B335="","",IF($A335=1,$C$7,IF(J334="",0,J334))+IF($H335="",0,$H335)-IF($I335="",0,$I335))</f>
        <v/>
      </c>
      <c r="K335" s="27">
        <f>IF($P335="","",IF(INDEX(EntryMan,$P335)=0,"",INDEX(EntryMan,$P335)))</f>
        <v/>
      </c>
      <c r="L335" s="26">
        <f>IF($B335="","",IF($K335="","—",IF(ROUND($K335-$J335,0)=0,"√","×")))</f>
        <v/>
      </c>
      <c r="M335" s="26">
        <f>IF($B335="","",IF(COUNTIFS(EntryDates,$B335,CalcTime,$C335,CalcBank,$C$5,EntryParty,$D335,EntryDep,$H335,EntryWit,$I335)&gt;1,"تکرار",""))</f>
        <v/>
      </c>
      <c r="N335" s="26">
        <f>IF($P335="","",IF(INDEX(EntryNotes,$P335)=0,"",INDEX(EntryNotes,$P335)))</f>
        <v/>
      </c>
      <c r="O335" s="26">
        <f>IF($P335="","",IF(INDEX(EntryTxnID,$P335)=0,"",INDEX(EntryTxnID,$P335)))</f>
        <v/>
      </c>
      <c r="P335" s="26">
        <f>IFERROR(MATCH($C$5&amp;"|"&amp;RIGHT("000000"&amp;319,6),CalcRankKey,0),"")</f>
        <v/>
      </c>
    </row>
    <row r="336">
      <c r="A336" s="28">
        <f>IF($B336="","",320)</f>
        <v/>
      </c>
      <c r="B336" s="28">
        <f>IF($P336="","",IF(INDEX(CalcNormDate,$P336)=0,"",INDEX(CalcNormDate,$P336)))</f>
        <v/>
      </c>
      <c r="C336" s="28">
        <f>IF($P336="","",IF(INDEX(CalcTime,$P336)=0,"",INDEX(CalcTime,$P336)))</f>
        <v/>
      </c>
      <c r="D336" s="28">
        <f>IF($P336="","",IF(INDEX(EntryParty,$P336)=0,"",INDEX(EntryParty,$P336)))</f>
        <v/>
      </c>
      <c r="E336" s="28">
        <f>IF($P336="","",IF(INDEX(EntryPartyName,$P336)=0,"",INDEX(EntryPartyName,$P336)))</f>
        <v/>
      </c>
      <c r="F336" s="28">
        <f>IF($P336="","",IF(INDEX(EntryPartyType,$P336)=0,"",INDEX(EntryPartyType,$P336)))</f>
        <v/>
      </c>
      <c r="G336" s="28">
        <f>IF($P336="","",IF(INDEX(EntryTxnType,$P336)=0,"",INDEX(EntryTxnType,$P336)))</f>
        <v/>
      </c>
      <c r="H336" s="29">
        <f>IF($P336="","",IF(INDEX(EntryDep,$P336)=0,"",INDEX(EntryDep,$P336)))</f>
        <v/>
      </c>
      <c r="I336" s="29">
        <f>IF($P336="","",IF(INDEX(EntryWit,$P336)=0,"",INDEX(EntryWit,$P336)))</f>
        <v/>
      </c>
      <c r="J336" s="29">
        <f>IF($B336="","",IF($A336=1,$C$7,IF(J335="",0,J335))+IF($H336="",0,$H336)-IF($I336="",0,$I336))</f>
        <v/>
      </c>
      <c r="K336" s="29">
        <f>IF($P336="","",IF(INDEX(EntryMan,$P336)=0,"",INDEX(EntryMan,$P336)))</f>
        <v/>
      </c>
      <c r="L336" s="28">
        <f>IF($B336="","",IF($K336="","—",IF(ROUND($K336-$J336,0)=0,"√","×")))</f>
        <v/>
      </c>
      <c r="M336" s="28">
        <f>IF($B336="","",IF(COUNTIFS(EntryDates,$B336,CalcTime,$C336,CalcBank,$C$5,EntryParty,$D336,EntryDep,$H336,EntryWit,$I336)&gt;1,"تکرار",""))</f>
        <v/>
      </c>
      <c r="N336" s="28">
        <f>IF($P336="","",IF(INDEX(EntryNotes,$P336)=0,"",INDEX(EntryNotes,$P336)))</f>
        <v/>
      </c>
      <c r="O336" s="28">
        <f>IF($P336="","",IF(INDEX(EntryTxnID,$P336)=0,"",INDEX(EntryTxnID,$P336)))</f>
        <v/>
      </c>
      <c r="P336" s="28">
        <f>IFERROR(MATCH($C$5&amp;"|"&amp;RIGHT("000000"&amp;320,6),CalcRankKey,0),"")</f>
        <v/>
      </c>
    </row>
    <row r="337">
      <c r="A337" s="26">
        <f>IF($B337="","",321)</f>
        <v/>
      </c>
      <c r="B337" s="26">
        <f>IF($P337="","",IF(INDEX(CalcNormDate,$P337)=0,"",INDEX(CalcNormDate,$P337)))</f>
        <v/>
      </c>
      <c r="C337" s="26">
        <f>IF($P337="","",IF(INDEX(CalcTime,$P337)=0,"",INDEX(CalcTime,$P337)))</f>
        <v/>
      </c>
      <c r="D337" s="26">
        <f>IF($P337="","",IF(INDEX(EntryParty,$P337)=0,"",INDEX(EntryParty,$P337)))</f>
        <v/>
      </c>
      <c r="E337" s="26">
        <f>IF($P337="","",IF(INDEX(EntryPartyName,$P337)=0,"",INDEX(EntryPartyName,$P337)))</f>
        <v/>
      </c>
      <c r="F337" s="26">
        <f>IF($P337="","",IF(INDEX(EntryPartyType,$P337)=0,"",INDEX(EntryPartyType,$P337)))</f>
        <v/>
      </c>
      <c r="G337" s="26">
        <f>IF($P337="","",IF(INDEX(EntryTxnType,$P337)=0,"",INDEX(EntryTxnType,$P337)))</f>
        <v/>
      </c>
      <c r="H337" s="27">
        <f>IF($P337="","",IF(INDEX(EntryDep,$P337)=0,"",INDEX(EntryDep,$P337)))</f>
        <v/>
      </c>
      <c r="I337" s="27">
        <f>IF($P337="","",IF(INDEX(EntryWit,$P337)=0,"",INDEX(EntryWit,$P337)))</f>
        <v/>
      </c>
      <c r="J337" s="27">
        <f>IF($B337="","",IF($A337=1,$C$7,IF(J336="",0,J336))+IF($H337="",0,$H337)-IF($I337="",0,$I337))</f>
        <v/>
      </c>
      <c r="K337" s="27">
        <f>IF($P337="","",IF(INDEX(EntryMan,$P337)=0,"",INDEX(EntryMan,$P337)))</f>
        <v/>
      </c>
      <c r="L337" s="26">
        <f>IF($B337="","",IF($K337="","—",IF(ROUND($K337-$J337,0)=0,"√","×")))</f>
        <v/>
      </c>
      <c r="M337" s="26">
        <f>IF($B337="","",IF(COUNTIFS(EntryDates,$B337,CalcTime,$C337,CalcBank,$C$5,EntryParty,$D337,EntryDep,$H337,EntryWit,$I337)&gt;1,"تکرار",""))</f>
        <v/>
      </c>
      <c r="N337" s="26">
        <f>IF($P337="","",IF(INDEX(EntryNotes,$P337)=0,"",INDEX(EntryNotes,$P337)))</f>
        <v/>
      </c>
      <c r="O337" s="26">
        <f>IF($P337="","",IF(INDEX(EntryTxnID,$P337)=0,"",INDEX(EntryTxnID,$P337)))</f>
        <v/>
      </c>
      <c r="P337" s="26">
        <f>IFERROR(MATCH($C$5&amp;"|"&amp;RIGHT("000000"&amp;321,6),CalcRankKey,0),"")</f>
        <v/>
      </c>
    </row>
    <row r="338">
      <c r="A338" s="28">
        <f>IF($B338="","",322)</f>
        <v/>
      </c>
      <c r="B338" s="28">
        <f>IF($P338="","",IF(INDEX(CalcNormDate,$P338)=0,"",INDEX(CalcNormDate,$P338)))</f>
        <v/>
      </c>
      <c r="C338" s="28">
        <f>IF($P338="","",IF(INDEX(CalcTime,$P338)=0,"",INDEX(CalcTime,$P338)))</f>
        <v/>
      </c>
      <c r="D338" s="28">
        <f>IF($P338="","",IF(INDEX(EntryParty,$P338)=0,"",INDEX(EntryParty,$P338)))</f>
        <v/>
      </c>
      <c r="E338" s="28">
        <f>IF($P338="","",IF(INDEX(EntryPartyName,$P338)=0,"",INDEX(EntryPartyName,$P338)))</f>
        <v/>
      </c>
      <c r="F338" s="28">
        <f>IF($P338="","",IF(INDEX(EntryPartyType,$P338)=0,"",INDEX(EntryPartyType,$P338)))</f>
        <v/>
      </c>
      <c r="G338" s="28">
        <f>IF($P338="","",IF(INDEX(EntryTxnType,$P338)=0,"",INDEX(EntryTxnType,$P338)))</f>
        <v/>
      </c>
      <c r="H338" s="29">
        <f>IF($P338="","",IF(INDEX(EntryDep,$P338)=0,"",INDEX(EntryDep,$P338)))</f>
        <v/>
      </c>
      <c r="I338" s="29">
        <f>IF($P338="","",IF(INDEX(EntryWit,$P338)=0,"",INDEX(EntryWit,$P338)))</f>
        <v/>
      </c>
      <c r="J338" s="29">
        <f>IF($B338="","",IF($A338=1,$C$7,IF(J337="",0,J337))+IF($H338="",0,$H338)-IF($I338="",0,$I338))</f>
        <v/>
      </c>
      <c r="K338" s="29">
        <f>IF($P338="","",IF(INDEX(EntryMan,$P338)=0,"",INDEX(EntryMan,$P338)))</f>
        <v/>
      </c>
      <c r="L338" s="28">
        <f>IF($B338="","",IF($K338="","—",IF(ROUND($K338-$J338,0)=0,"√","×")))</f>
        <v/>
      </c>
      <c r="M338" s="28">
        <f>IF($B338="","",IF(COUNTIFS(EntryDates,$B338,CalcTime,$C338,CalcBank,$C$5,EntryParty,$D338,EntryDep,$H338,EntryWit,$I338)&gt;1,"تکرار",""))</f>
        <v/>
      </c>
      <c r="N338" s="28">
        <f>IF($P338="","",IF(INDEX(EntryNotes,$P338)=0,"",INDEX(EntryNotes,$P338)))</f>
        <v/>
      </c>
      <c r="O338" s="28">
        <f>IF($P338="","",IF(INDEX(EntryTxnID,$P338)=0,"",INDEX(EntryTxnID,$P338)))</f>
        <v/>
      </c>
      <c r="P338" s="28">
        <f>IFERROR(MATCH($C$5&amp;"|"&amp;RIGHT("000000"&amp;322,6),CalcRankKey,0),"")</f>
        <v/>
      </c>
    </row>
    <row r="339">
      <c r="A339" s="26">
        <f>IF($B339="","",323)</f>
        <v/>
      </c>
      <c r="B339" s="26">
        <f>IF($P339="","",IF(INDEX(CalcNormDate,$P339)=0,"",INDEX(CalcNormDate,$P339)))</f>
        <v/>
      </c>
      <c r="C339" s="26">
        <f>IF($P339="","",IF(INDEX(CalcTime,$P339)=0,"",INDEX(CalcTime,$P339)))</f>
        <v/>
      </c>
      <c r="D339" s="26">
        <f>IF($P339="","",IF(INDEX(EntryParty,$P339)=0,"",INDEX(EntryParty,$P339)))</f>
        <v/>
      </c>
      <c r="E339" s="26">
        <f>IF($P339="","",IF(INDEX(EntryPartyName,$P339)=0,"",INDEX(EntryPartyName,$P339)))</f>
        <v/>
      </c>
      <c r="F339" s="26">
        <f>IF($P339="","",IF(INDEX(EntryPartyType,$P339)=0,"",INDEX(EntryPartyType,$P339)))</f>
        <v/>
      </c>
      <c r="G339" s="26">
        <f>IF($P339="","",IF(INDEX(EntryTxnType,$P339)=0,"",INDEX(EntryTxnType,$P339)))</f>
        <v/>
      </c>
      <c r="H339" s="27">
        <f>IF($P339="","",IF(INDEX(EntryDep,$P339)=0,"",INDEX(EntryDep,$P339)))</f>
        <v/>
      </c>
      <c r="I339" s="27">
        <f>IF($P339="","",IF(INDEX(EntryWit,$P339)=0,"",INDEX(EntryWit,$P339)))</f>
        <v/>
      </c>
      <c r="J339" s="27">
        <f>IF($B339="","",IF($A339=1,$C$7,IF(J338="",0,J338))+IF($H339="",0,$H339)-IF($I339="",0,$I339))</f>
        <v/>
      </c>
      <c r="K339" s="27">
        <f>IF($P339="","",IF(INDEX(EntryMan,$P339)=0,"",INDEX(EntryMan,$P339)))</f>
        <v/>
      </c>
      <c r="L339" s="26">
        <f>IF($B339="","",IF($K339="","—",IF(ROUND($K339-$J339,0)=0,"√","×")))</f>
        <v/>
      </c>
      <c r="M339" s="26">
        <f>IF($B339="","",IF(COUNTIFS(EntryDates,$B339,CalcTime,$C339,CalcBank,$C$5,EntryParty,$D339,EntryDep,$H339,EntryWit,$I339)&gt;1,"تکرار",""))</f>
        <v/>
      </c>
      <c r="N339" s="26">
        <f>IF($P339="","",IF(INDEX(EntryNotes,$P339)=0,"",INDEX(EntryNotes,$P339)))</f>
        <v/>
      </c>
      <c r="O339" s="26">
        <f>IF($P339="","",IF(INDEX(EntryTxnID,$P339)=0,"",INDEX(EntryTxnID,$P339)))</f>
        <v/>
      </c>
      <c r="P339" s="26">
        <f>IFERROR(MATCH($C$5&amp;"|"&amp;RIGHT("000000"&amp;323,6),CalcRankKey,0),"")</f>
        <v/>
      </c>
    </row>
    <row r="340">
      <c r="A340" s="28">
        <f>IF($B340="","",324)</f>
        <v/>
      </c>
      <c r="B340" s="28">
        <f>IF($P340="","",IF(INDEX(CalcNormDate,$P340)=0,"",INDEX(CalcNormDate,$P340)))</f>
        <v/>
      </c>
      <c r="C340" s="28">
        <f>IF($P340="","",IF(INDEX(CalcTime,$P340)=0,"",INDEX(CalcTime,$P340)))</f>
        <v/>
      </c>
      <c r="D340" s="28">
        <f>IF($P340="","",IF(INDEX(EntryParty,$P340)=0,"",INDEX(EntryParty,$P340)))</f>
        <v/>
      </c>
      <c r="E340" s="28">
        <f>IF($P340="","",IF(INDEX(EntryPartyName,$P340)=0,"",INDEX(EntryPartyName,$P340)))</f>
        <v/>
      </c>
      <c r="F340" s="28">
        <f>IF($P340="","",IF(INDEX(EntryPartyType,$P340)=0,"",INDEX(EntryPartyType,$P340)))</f>
        <v/>
      </c>
      <c r="G340" s="28">
        <f>IF($P340="","",IF(INDEX(EntryTxnType,$P340)=0,"",INDEX(EntryTxnType,$P340)))</f>
        <v/>
      </c>
      <c r="H340" s="29">
        <f>IF($P340="","",IF(INDEX(EntryDep,$P340)=0,"",INDEX(EntryDep,$P340)))</f>
        <v/>
      </c>
      <c r="I340" s="29">
        <f>IF($P340="","",IF(INDEX(EntryWit,$P340)=0,"",INDEX(EntryWit,$P340)))</f>
        <v/>
      </c>
      <c r="J340" s="29">
        <f>IF($B340="","",IF($A340=1,$C$7,IF(J339="",0,J339))+IF($H340="",0,$H340)-IF($I340="",0,$I340))</f>
        <v/>
      </c>
      <c r="K340" s="29">
        <f>IF($P340="","",IF(INDEX(EntryMan,$P340)=0,"",INDEX(EntryMan,$P340)))</f>
        <v/>
      </c>
      <c r="L340" s="28">
        <f>IF($B340="","",IF($K340="","—",IF(ROUND($K340-$J340,0)=0,"√","×")))</f>
        <v/>
      </c>
      <c r="M340" s="28">
        <f>IF($B340="","",IF(COUNTIFS(EntryDates,$B340,CalcTime,$C340,CalcBank,$C$5,EntryParty,$D340,EntryDep,$H340,EntryWit,$I340)&gt;1,"تکرار",""))</f>
        <v/>
      </c>
      <c r="N340" s="28">
        <f>IF($P340="","",IF(INDEX(EntryNotes,$P340)=0,"",INDEX(EntryNotes,$P340)))</f>
        <v/>
      </c>
      <c r="O340" s="28">
        <f>IF($P340="","",IF(INDEX(EntryTxnID,$P340)=0,"",INDEX(EntryTxnID,$P340)))</f>
        <v/>
      </c>
      <c r="P340" s="28">
        <f>IFERROR(MATCH($C$5&amp;"|"&amp;RIGHT("000000"&amp;324,6),CalcRankKey,0),"")</f>
        <v/>
      </c>
    </row>
    <row r="341">
      <c r="A341" s="26">
        <f>IF($B341="","",325)</f>
        <v/>
      </c>
      <c r="B341" s="26">
        <f>IF($P341="","",IF(INDEX(CalcNormDate,$P341)=0,"",INDEX(CalcNormDate,$P341)))</f>
        <v/>
      </c>
      <c r="C341" s="26">
        <f>IF($P341="","",IF(INDEX(CalcTime,$P341)=0,"",INDEX(CalcTime,$P341)))</f>
        <v/>
      </c>
      <c r="D341" s="26">
        <f>IF($P341="","",IF(INDEX(EntryParty,$P341)=0,"",INDEX(EntryParty,$P341)))</f>
        <v/>
      </c>
      <c r="E341" s="26">
        <f>IF($P341="","",IF(INDEX(EntryPartyName,$P341)=0,"",INDEX(EntryPartyName,$P341)))</f>
        <v/>
      </c>
      <c r="F341" s="26">
        <f>IF($P341="","",IF(INDEX(EntryPartyType,$P341)=0,"",INDEX(EntryPartyType,$P341)))</f>
        <v/>
      </c>
      <c r="G341" s="26">
        <f>IF($P341="","",IF(INDEX(EntryTxnType,$P341)=0,"",INDEX(EntryTxnType,$P341)))</f>
        <v/>
      </c>
      <c r="H341" s="27">
        <f>IF($P341="","",IF(INDEX(EntryDep,$P341)=0,"",INDEX(EntryDep,$P341)))</f>
        <v/>
      </c>
      <c r="I341" s="27">
        <f>IF($P341="","",IF(INDEX(EntryWit,$P341)=0,"",INDEX(EntryWit,$P341)))</f>
        <v/>
      </c>
      <c r="J341" s="27">
        <f>IF($B341="","",IF($A341=1,$C$7,IF(J340="",0,J340))+IF($H341="",0,$H341)-IF($I341="",0,$I341))</f>
        <v/>
      </c>
      <c r="K341" s="27">
        <f>IF($P341="","",IF(INDEX(EntryMan,$P341)=0,"",INDEX(EntryMan,$P341)))</f>
        <v/>
      </c>
      <c r="L341" s="26">
        <f>IF($B341="","",IF($K341="","—",IF(ROUND($K341-$J341,0)=0,"√","×")))</f>
        <v/>
      </c>
      <c r="M341" s="26">
        <f>IF($B341="","",IF(COUNTIFS(EntryDates,$B341,CalcTime,$C341,CalcBank,$C$5,EntryParty,$D341,EntryDep,$H341,EntryWit,$I341)&gt;1,"تکرار",""))</f>
        <v/>
      </c>
      <c r="N341" s="26">
        <f>IF($P341="","",IF(INDEX(EntryNotes,$P341)=0,"",INDEX(EntryNotes,$P341)))</f>
        <v/>
      </c>
      <c r="O341" s="26">
        <f>IF($P341="","",IF(INDEX(EntryTxnID,$P341)=0,"",INDEX(EntryTxnID,$P341)))</f>
        <v/>
      </c>
      <c r="P341" s="26">
        <f>IFERROR(MATCH($C$5&amp;"|"&amp;RIGHT("000000"&amp;325,6),CalcRankKey,0),"")</f>
        <v/>
      </c>
    </row>
    <row r="342">
      <c r="A342" s="28">
        <f>IF($B342="","",326)</f>
        <v/>
      </c>
      <c r="B342" s="28">
        <f>IF($P342="","",IF(INDEX(CalcNormDate,$P342)=0,"",INDEX(CalcNormDate,$P342)))</f>
        <v/>
      </c>
      <c r="C342" s="28">
        <f>IF($P342="","",IF(INDEX(CalcTime,$P342)=0,"",INDEX(CalcTime,$P342)))</f>
        <v/>
      </c>
      <c r="D342" s="28">
        <f>IF($P342="","",IF(INDEX(EntryParty,$P342)=0,"",INDEX(EntryParty,$P342)))</f>
        <v/>
      </c>
      <c r="E342" s="28">
        <f>IF($P342="","",IF(INDEX(EntryPartyName,$P342)=0,"",INDEX(EntryPartyName,$P342)))</f>
        <v/>
      </c>
      <c r="F342" s="28">
        <f>IF($P342="","",IF(INDEX(EntryPartyType,$P342)=0,"",INDEX(EntryPartyType,$P342)))</f>
        <v/>
      </c>
      <c r="G342" s="28">
        <f>IF($P342="","",IF(INDEX(EntryTxnType,$P342)=0,"",INDEX(EntryTxnType,$P342)))</f>
        <v/>
      </c>
      <c r="H342" s="29">
        <f>IF($P342="","",IF(INDEX(EntryDep,$P342)=0,"",INDEX(EntryDep,$P342)))</f>
        <v/>
      </c>
      <c r="I342" s="29">
        <f>IF($P342="","",IF(INDEX(EntryWit,$P342)=0,"",INDEX(EntryWit,$P342)))</f>
        <v/>
      </c>
      <c r="J342" s="29">
        <f>IF($B342="","",IF($A342=1,$C$7,IF(J341="",0,J341))+IF($H342="",0,$H342)-IF($I342="",0,$I342))</f>
        <v/>
      </c>
      <c r="K342" s="29">
        <f>IF($P342="","",IF(INDEX(EntryMan,$P342)=0,"",INDEX(EntryMan,$P342)))</f>
        <v/>
      </c>
      <c r="L342" s="28">
        <f>IF($B342="","",IF($K342="","—",IF(ROUND($K342-$J342,0)=0,"√","×")))</f>
        <v/>
      </c>
      <c r="M342" s="28">
        <f>IF($B342="","",IF(COUNTIFS(EntryDates,$B342,CalcTime,$C342,CalcBank,$C$5,EntryParty,$D342,EntryDep,$H342,EntryWit,$I342)&gt;1,"تکرار",""))</f>
        <v/>
      </c>
      <c r="N342" s="28">
        <f>IF($P342="","",IF(INDEX(EntryNotes,$P342)=0,"",INDEX(EntryNotes,$P342)))</f>
        <v/>
      </c>
      <c r="O342" s="28">
        <f>IF($P342="","",IF(INDEX(EntryTxnID,$P342)=0,"",INDEX(EntryTxnID,$P342)))</f>
        <v/>
      </c>
      <c r="P342" s="28">
        <f>IFERROR(MATCH($C$5&amp;"|"&amp;RIGHT("000000"&amp;326,6),CalcRankKey,0),"")</f>
        <v/>
      </c>
    </row>
    <row r="343">
      <c r="A343" s="26">
        <f>IF($B343="","",327)</f>
        <v/>
      </c>
      <c r="B343" s="26">
        <f>IF($P343="","",IF(INDEX(CalcNormDate,$P343)=0,"",INDEX(CalcNormDate,$P343)))</f>
        <v/>
      </c>
      <c r="C343" s="26">
        <f>IF($P343="","",IF(INDEX(CalcTime,$P343)=0,"",INDEX(CalcTime,$P343)))</f>
        <v/>
      </c>
      <c r="D343" s="26">
        <f>IF($P343="","",IF(INDEX(EntryParty,$P343)=0,"",INDEX(EntryParty,$P343)))</f>
        <v/>
      </c>
      <c r="E343" s="26">
        <f>IF($P343="","",IF(INDEX(EntryPartyName,$P343)=0,"",INDEX(EntryPartyName,$P343)))</f>
        <v/>
      </c>
      <c r="F343" s="26">
        <f>IF($P343="","",IF(INDEX(EntryPartyType,$P343)=0,"",INDEX(EntryPartyType,$P343)))</f>
        <v/>
      </c>
      <c r="G343" s="26">
        <f>IF($P343="","",IF(INDEX(EntryTxnType,$P343)=0,"",INDEX(EntryTxnType,$P343)))</f>
        <v/>
      </c>
      <c r="H343" s="27">
        <f>IF($P343="","",IF(INDEX(EntryDep,$P343)=0,"",INDEX(EntryDep,$P343)))</f>
        <v/>
      </c>
      <c r="I343" s="27">
        <f>IF($P343="","",IF(INDEX(EntryWit,$P343)=0,"",INDEX(EntryWit,$P343)))</f>
        <v/>
      </c>
      <c r="J343" s="27">
        <f>IF($B343="","",IF($A343=1,$C$7,IF(J342="",0,J342))+IF($H343="",0,$H343)-IF($I343="",0,$I343))</f>
        <v/>
      </c>
      <c r="K343" s="27">
        <f>IF($P343="","",IF(INDEX(EntryMan,$P343)=0,"",INDEX(EntryMan,$P343)))</f>
        <v/>
      </c>
      <c r="L343" s="26">
        <f>IF($B343="","",IF($K343="","—",IF(ROUND($K343-$J343,0)=0,"√","×")))</f>
        <v/>
      </c>
      <c r="M343" s="26">
        <f>IF($B343="","",IF(COUNTIFS(EntryDates,$B343,CalcTime,$C343,CalcBank,$C$5,EntryParty,$D343,EntryDep,$H343,EntryWit,$I343)&gt;1,"تکرار",""))</f>
        <v/>
      </c>
      <c r="N343" s="26">
        <f>IF($P343="","",IF(INDEX(EntryNotes,$P343)=0,"",INDEX(EntryNotes,$P343)))</f>
        <v/>
      </c>
      <c r="O343" s="26">
        <f>IF($P343="","",IF(INDEX(EntryTxnID,$P343)=0,"",INDEX(EntryTxnID,$P343)))</f>
        <v/>
      </c>
      <c r="P343" s="26">
        <f>IFERROR(MATCH($C$5&amp;"|"&amp;RIGHT("000000"&amp;327,6),CalcRankKey,0),"")</f>
        <v/>
      </c>
    </row>
    <row r="344">
      <c r="A344" s="28">
        <f>IF($B344="","",328)</f>
        <v/>
      </c>
      <c r="B344" s="28">
        <f>IF($P344="","",IF(INDEX(CalcNormDate,$P344)=0,"",INDEX(CalcNormDate,$P344)))</f>
        <v/>
      </c>
      <c r="C344" s="28">
        <f>IF($P344="","",IF(INDEX(CalcTime,$P344)=0,"",INDEX(CalcTime,$P344)))</f>
        <v/>
      </c>
      <c r="D344" s="28">
        <f>IF($P344="","",IF(INDEX(EntryParty,$P344)=0,"",INDEX(EntryParty,$P344)))</f>
        <v/>
      </c>
      <c r="E344" s="28">
        <f>IF($P344="","",IF(INDEX(EntryPartyName,$P344)=0,"",INDEX(EntryPartyName,$P344)))</f>
        <v/>
      </c>
      <c r="F344" s="28">
        <f>IF($P344="","",IF(INDEX(EntryPartyType,$P344)=0,"",INDEX(EntryPartyType,$P344)))</f>
        <v/>
      </c>
      <c r="G344" s="28">
        <f>IF($P344="","",IF(INDEX(EntryTxnType,$P344)=0,"",INDEX(EntryTxnType,$P344)))</f>
        <v/>
      </c>
      <c r="H344" s="29">
        <f>IF($P344="","",IF(INDEX(EntryDep,$P344)=0,"",INDEX(EntryDep,$P344)))</f>
        <v/>
      </c>
      <c r="I344" s="29">
        <f>IF($P344="","",IF(INDEX(EntryWit,$P344)=0,"",INDEX(EntryWit,$P344)))</f>
        <v/>
      </c>
      <c r="J344" s="29">
        <f>IF($B344="","",IF($A344=1,$C$7,IF(J343="",0,J343))+IF($H344="",0,$H344)-IF($I344="",0,$I344))</f>
        <v/>
      </c>
      <c r="K344" s="29">
        <f>IF($P344="","",IF(INDEX(EntryMan,$P344)=0,"",INDEX(EntryMan,$P344)))</f>
        <v/>
      </c>
      <c r="L344" s="28">
        <f>IF($B344="","",IF($K344="","—",IF(ROUND($K344-$J344,0)=0,"√","×")))</f>
        <v/>
      </c>
      <c r="M344" s="28">
        <f>IF($B344="","",IF(COUNTIFS(EntryDates,$B344,CalcTime,$C344,CalcBank,$C$5,EntryParty,$D344,EntryDep,$H344,EntryWit,$I344)&gt;1,"تکرار",""))</f>
        <v/>
      </c>
      <c r="N344" s="28">
        <f>IF($P344="","",IF(INDEX(EntryNotes,$P344)=0,"",INDEX(EntryNotes,$P344)))</f>
        <v/>
      </c>
      <c r="O344" s="28">
        <f>IF($P344="","",IF(INDEX(EntryTxnID,$P344)=0,"",INDEX(EntryTxnID,$P344)))</f>
        <v/>
      </c>
      <c r="P344" s="28">
        <f>IFERROR(MATCH($C$5&amp;"|"&amp;RIGHT("000000"&amp;328,6),CalcRankKey,0),"")</f>
        <v/>
      </c>
    </row>
    <row r="345">
      <c r="A345" s="26">
        <f>IF($B345="","",329)</f>
        <v/>
      </c>
      <c r="B345" s="26">
        <f>IF($P345="","",IF(INDEX(CalcNormDate,$P345)=0,"",INDEX(CalcNormDate,$P345)))</f>
        <v/>
      </c>
      <c r="C345" s="26">
        <f>IF($P345="","",IF(INDEX(CalcTime,$P345)=0,"",INDEX(CalcTime,$P345)))</f>
        <v/>
      </c>
      <c r="D345" s="26">
        <f>IF($P345="","",IF(INDEX(EntryParty,$P345)=0,"",INDEX(EntryParty,$P345)))</f>
        <v/>
      </c>
      <c r="E345" s="26">
        <f>IF($P345="","",IF(INDEX(EntryPartyName,$P345)=0,"",INDEX(EntryPartyName,$P345)))</f>
        <v/>
      </c>
      <c r="F345" s="26">
        <f>IF($P345="","",IF(INDEX(EntryPartyType,$P345)=0,"",INDEX(EntryPartyType,$P345)))</f>
        <v/>
      </c>
      <c r="G345" s="26">
        <f>IF($P345="","",IF(INDEX(EntryTxnType,$P345)=0,"",INDEX(EntryTxnType,$P345)))</f>
        <v/>
      </c>
      <c r="H345" s="27">
        <f>IF($P345="","",IF(INDEX(EntryDep,$P345)=0,"",INDEX(EntryDep,$P345)))</f>
        <v/>
      </c>
      <c r="I345" s="27">
        <f>IF($P345="","",IF(INDEX(EntryWit,$P345)=0,"",INDEX(EntryWit,$P345)))</f>
        <v/>
      </c>
      <c r="J345" s="27">
        <f>IF($B345="","",IF($A345=1,$C$7,IF(J344="",0,J344))+IF($H345="",0,$H345)-IF($I345="",0,$I345))</f>
        <v/>
      </c>
      <c r="K345" s="27">
        <f>IF($P345="","",IF(INDEX(EntryMan,$P345)=0,"",INDEX(EntryMan,$P345)))</f>
        <v/>
      </c>
      <c r="L345" s="26">
        <f>IF($B345="","",IF($K345="","—",IF(ROUND($K345-$J345,0)=0,"√","×")))</f>
        <v/>
      </c>
      <c r="M345" s="26">
        <f>IF($B345="","",IF(COUNTIFS(EntryDates,$B345,CalcTime,$C345,CalcBank,$C$5,EntryParty,$D345,EntryDep,$H345,EntryWit,$I345)&gt;1,"تکرار",""))</f>
        <v/>
      </c>
      <c r="N345" s="26">
        <f>IF($P345="","",IF(INDEX(EntryNotes,$P345)=0,"",INDEX(EntryNotes,$P345)))</f>
        <v/>
      </c>
      <c r="O345" s="26">
        <f>IF($P345="","",IF(INDEX(EntryTxnID,$P345)=0,"",INDEX(EntryTxnID,$P345)))</f>
        <v/>
      </c>
      <c r="P345" s="26">
        <f>IFERROR(MATCH($C$5&amp;"|"&amp;RIGHT("000000"&amp;329,6),CalcRankKey,0),"")</f>
        <v/>
      </c>
    </row>
    <row r="346">
      <c r="A346" s="28">
        <f>IF($B346="","",330)</f>
        <v/>
      </c>
      <c r="B346" s="28">
        <f>IF($P346="","",IF(INDEX(CalcNormDate,$P346)=0,"",INDEX(CalcNormDate,$P346)))</f>
        <v/>
      </c>
      <c r="C346" s="28">
        <f>IF($P346="","",IF(INDEX(CalcTime,$P346)=0,"",INDEX(CalcTime,$P346)))</f>
        <v/>
      </c>
      <c r="D346" s="28">
        <f>IF($P346="","",IF(INDEX(EntryParty,$P346)=0,"",INDEX(EntryParty,$P346)))</f>
        <v/>
      </c>
      <c r="E346" s="28">
        <f>IF($P346="","",IF(INDEX(EntryPartyName,$P346)=0,"",INDEX(EntryPartyName,$P346)))</f>
        <v/>
      </c>
      <c r="F346" s="28">
        <f>IF($P346="","",IF(INDEX(EntryPartyType,$P346)=0,"",INDEX(EntryPartyType,$P346)))</f>
        <v/>
      </c>
      <c r="G346" s="28">
        <f>IF($P346="","",IF(INDEX(EntryTxnType,$P346)=0,"",INDEX(EntryTxnType,$P346)))</f>
        <v/>
      </c>
      <c r="H346" s="29">
        <f>IF($P346="","",IF(INDEX(EntryDep,$P346)=0,"",INDEX(EntryDep,$P346)))</f>
        <v/>
      </c>
      <c r="I346" s="29">
        <f>IF($P346="","",IF(INDEX(EntryWit,$P346)=0,"",INDEX(EntryWit,$P346)))</f>
        <v/>
      </c>
      <c r="J346" s="29">
        <f>IF($B346="","",IF($A346=1,$C$7,IF(J345="",0,J345))+IF($H346="",0,$H346)-IF($I346="",0,$I346))</f>
        <v/>
      </c>
      <c r="K346" s="29">
        <f>IF($P346="","",IF(INDEX(EntryMan,$P346)=0,"",INDEX(EntryMan,$P346)))</f>
        <v/>
      </c>
      <c r="L346" s="28">
        <f>IF($B346="","",IF($K346="","—",IF(ROUND($K346-$J346,0)=0,"√","×")))</f>
        <v/>
      </c>
      <c r="M346" s="28">
        <f>IF($B346="","",IF(COUNTIFS(EntryDates,$B346,CalcTime,$C346,CalcBank,$C$5,EntryParty,$D346,EntryDep,$H346,EntryWit,$I346)&gt;1,"تکرار",""))</f>
        <v/>
      </c>
      <c r="N346" s="28">
        <f>IF($P346="","",IF(INDEX(EntryNotes,$P346)=0,"",INDEX(EntryNotes,$P346)))</f>
        <v/>
      </c>
      <c r="O346" s="28">
        <f>IF($P346="","",IF(INDEX(EntryTxnID,$P346)=0,"",INDEX(EntryTxnID,$P346)))</f>
        <v/>
      </c>
      <c r="P346" s="28">
        <f>IFERROR(MATCH($C$5&amp;"|"&amp;RIGHT("000000"&amp;330,6),CalcRankKey,0),"")</f>
        <v/>
      </c>
    </row>
    <row r="347">
      <c r="A347" s="26">
        <f>IF($B347="","",331)</f>
        <v/>
      </c>
      <c r="B347" s="26">
        <f>IF($P347="","",IF(INDEX(CalcNormDate,$P347)=0,"",INDEX(CalcNormDate,$P347)))</f>
        <v/>
      </c>
      <c r="C347" s="26">
        <f>IF($P347="","",IF(INDEX(CalcTime,$P347)=0,"",INDEX(CalcTime,$P347)))</f>
        <v/>
      </c>
      <c r="D347" s="26">
        <f>IF($P347="","",IF(INDEX(EntryParty,$P347)=0,"",INDEX(EntryParty,$P347)))</f>
        <v/>
      </c>
      <c r="E347" s="26">
        <f>IF($P347="","",IF(INDEX(EntryPartyName,$P347)=0,"",INDEX(EntryPartyName,$P347)))</f>
        <v/>
      </c>
      <c r="F347" s="26">
        <f>IF($P347="","",IF(INDEX(EntryPartyType,$P347)=0,"",INDEX(EntryPartyType,$P347)))</f>
        <v/>
      </c>
      <c r="G347" s="26">
        <f>IF($P347="","",IF(INDEX(EntryTxnType,$P347)=0,"",INDEX(EntryTxnType,$P347)))</f>
        <v/>
      </c>
      <c r="H347" s="27">
        <f>IF($P347="","",IF(INDEX(EntryDep,$P347)=0,"",INDEX(EntryDep,$P347)))</f>
        <v/>
      </c>
      <c r="I347" s="27">
        <f>IF($P347="","",IF(INDEX(EntryWit,$P347)=0,"",INDEX(EntryWit,$P347)))</f>
        <v/>
      </c>
      <c r="J347" s="27">
        <f>IF($B347="","",IF($A347=1,$C$7,IF(J346="",0,J346))+IF($H347="",0,$H347)-IF($I347="",0,$I347))</f>
        <v/>
      </c>
      <c r="K347" s="27">
        <f>IF($P347="","",IF(INDEX(EntryMan,$P347)=0,"",INDEX(EntryMan,$P347)))</f>
        <v/>
      </c>
      <c r="L347" s="26">
        <f>IF($B347="","",IF($K347="","—",IF(ROUND($K347-$J347,0)=0,"√","×")))</f>
        <v/>
      </c>
      <c r="M347" s="26">
        <f>IF($B347="","",IF(COUNTIFS(EntryDates,$B347,CalcTime,$C347,CalcBank,$C$5,EntryParty,$D347,EntryDep,$H347,EntryWit,$I347)&gt;1,"تکرار",""))</f>
        <v/>
      </c>
      <c r="N347" s="26">
        <f>IF($P347="","",IF(INDEX(EntryNotes,$P347)=0,"",INDEX(EntryNotes,$P347)))</f>
        <v/>
      </c>
      <c r="O347" s="26">
        <f>IF($P347="","",IF(INDEX(EntryTxnID,$P347)=0,"",INDEX(EntryTxnID,$P347)))</f>
        <v/>
      </c>
      <c r="P347" s="26">
        <f>IFERROR(MATCH($C$5&amp;"|"&amp;RIGHT("000000"&amp;331,6),CalcRankKey,0),"")</f>
        <v/>
      </c>
    </row>
    <row r="348">
      <c r="A348" s="28">
        <f>IF($B348="","",332)</f>
        <v/>
      </c>
      <c r="B348" s="28">
        <f>IF($P348="","",IF(INDEX(CalcNormDate,$P348)=0,"",INDEX(CalcNormDate,$P348)))</f>
        <v/>
      </c>
      <c r="C348" s="28">
        <f>IF($P348="","",IF(INDEX(CalcTime,$P348)=0,"",INDEX(CalcTime,$P348)))</f>
        <v/>
      </c>
      <c r="D348" s="28">
        <f>IF($P348="","",IF(INDEX(EntryParty,$P348)=0,"",INDEX(EntryParty,$P348)))</f>
        <v/>
      </c>
      <c r="E348" s="28">
        <f>IF($P348="","",IF(INDEX(EntryPartyName,$P348)=0,"",INDEX(EntryPartyName,$P348)))</f>
        <v/>
      </c>
      <c r="F348" s="28">
        <f>IF($P348="","",IF(INDEX(EntryPartyType,$P348)=0,"",INDEX(EntryPartyType,$P348)))</f>
        <v/>
      </c>
      <c r="G348" s="28">
        <f>IF($P348="","",IF(INDEX(EntryTxnType,$P348)=0,"",INDEX(EntryTxnType,$P348)))</f>
        <v/>
      </c>
      <c r="H348" s="29">
        <f>IF($P348="","",IF(INDEX(EntryDep,$P348)=0,"",INDEX(EntryDep,$P348)))</f>
        <v/>
      </c>
      <c r="I348" s="29">
        <f>IF($P348="","",IF(INDEX(EntryWit,$P348)=0,"",INDEX(EntryWit,$P348)))</f>
        <v/>
      </c>
      <c r="J348" s="29">
        <f>IF($B348="","",IF($A348=1,$C$7,IF(J347="",0,J347))+IF($H348="",0,$H348)-IF($I348="",0,$I348))</f>
        <v/>
      </c>
      <c r="K348" s="29">
        <f>IF($P348="","",IF(INDEX(EntryMan,$P348)=0,"",INDEX(EntryMan,$P348)))</f>
        <v/>
      </c>
      <c r="L348" s="28">
        <f>IF($B348="","",IF($K348="","—",IF(ROUND($K348-$J348,0)=0,"√","×")))</f>
        <v/>
      </c>
      <c r="M348" s="28">
        <f>IF($B348="","",IF(COUNTIFS(EntryDates,$B348,CalcTime,$C348,CalcBank,$C$5,EntryParty,$D348,EntryDep,$H348,EntryWit,$I348)&gt;1,"تکرار",""))</f>
        <v/>
      </c>
      <c r="N348" s="28">
        <f>IF($P348="","",IF(INDEX(EntryNotes,$P348)=0,"",INDEX(EntryNotes,$P348)))</f>
        <v/>
      </c>
      <c r="O348" s="28">
        <f>IF($P348="","",IF(INDEX(EntryTxnID,$P348)=0,"",INDEX(EntryTxnID,$P348)))</f>
        <v/>
      </c>
      <c r="P348" s="28">
        <f>IFERROR(MATCH($C$5&amp;"|"&amp;RIGHT("000000"&amp;332,6),CalcRankKey,0),"")</f>
        <v/>
      </c>
    </row>
    <row r="349">
      <c r="A349" s="26">
        <f>IF($B349="","",333)</f>
        <v/>
      </c>
      <c r="B349" s="26">
        <f>IF($P349="","",IF(INDEX(CalcNormDate,$P349)=0,"",INDEX(CalcNormDate,$P349)))</f>
        <v/>
      </c>
      <c r="C349" s="26">
        <f>IF($P349="","",IF(INDEX(CalcTime,$P349)=0,"",INDEX(CalcTime,$P349)))</f>
        <v/>
      </c>
      <c r="D349" s="26">
        <f>IF($P349="","",IF(INDEX(EntryParty,$P349)=0,"",INDEX(EntryParty,$P349)))</f>
        <v/>
      </c>
      <c r="E349" s="26">
        <f>IF($P349="","",IF(INDEX(EntryPartyName,$P349)=0,"",INDEX(EntryPartyName,$P349)))</f>
        <v/>
      </c>
      <c r="F349" s="26">
        <f>IF($P349="","",IF(INDEX(EntryPartyType,$P349)=0,"",INDEX(EntryPartyType,$P349)))</f>
        <v/>
      </c>
      <c r="G349" s="26">
        <f>IF($P349="","",IF(INDEX(EntryTxnType,$P349)=0,"",INDEX(EntryTxnType,$P349)))</f>
        <v/>
      </c>
      <c r="H349" s="27">
        <f>IF($P349="","",IF(INDEX(EntryDep,$P349)=0,"",INDEX(EntryDep,$P349)))</f>
        <v/>
      </c>
      <c r="I349" s="27">
        <f>IF($P349="","",IF(INDEX(EntryWit,$P349)=0,"",INDEX(EntryWit,$P349)))</f>
        <v/>
      </c>
      <c r="J349" s="27">
        <f>IF($B349="","",IF($A349=1,$C$7,IF(J348="",0,J348))+IF($H349="",0,$H349)-IF($I349="",0,$I349))</f>
        <v/>
      </c>
      <c r="K349" s="27">
        <f>IF($P349="","",IF(INDEX(EntryMan,$P349)=0,"",INDEX(EntryMan,$P349)))</f>
        <v/>
      </c>
      <c r="L349" s="26">
        <f>IF($B349="","",IF($K349="","—",IF(ROUND($K349-$J349,0)=0,"√","×")))</f>
        <v/>
      </c>
      <c r="M349" s="26">
        <f>IF($B349="","",IF(COUNTIFS(EntryDates,$B349,CalcTime,$C349,CalcBank,$C$5,EntryParty,$D349,EntryDep,$H349,EntryWit,$I349)&gt;1,"تکرار",""))</f>
        <v/>
      </c>
      <c r="N349" s="26">
        <f>IF($P349="","",IF(INDEX(EntryNotes,$P349)=0,"",INDEX(EntryNotes,$P349)))</f>
        <v/>
      </c>
      <c r="O349" s="26">
        <f>IF($P349="","",IF(INDEX(EntryTxnID,$P349)=0,"",INDEX(EntryTxnID,$P349)))</f>
        <v/>
      </c>
      <c r="P349" s="26">
        <f>IFERROR(MATCH($C$5&amp;"|"&amp;RIGHT("000000"&amp;333,6),CalcRankKey,0),"")</f>
        <v/>
      </c>
    </row>
    <row r="350">
      <c r="A350" s="28">
        <f>IF($B350="","",334)</f>
        <v/>
      </c>
      <c r="B350" s="28">
        <f>IF($P350="","",IF(INDEX(CalcNormDate,$P350)=0,"",INDEX(CalcNormDate,$P350)))</f>
        <v/>
      </c>
      <c r="C350" s="28">
        <f>IF($P350="","",IF(INDEX(CalcTime,$P350)=0,"",INDEX(CalcTime,$P350)))</f>
        <v/>
      </c>
      <c r="D350" s="28">
        <f>IF($P350="","",IF(INDEX(EntryParty,$P350)=0,"",INDEX(EntryParty,$P350)))</f>
        <v/>
      </c>
      <c r="E350" s="28">
        <f>IF($P350="","",IF(INDEX(EntryPartyName,$P350)=0,"",INDEX(EntryPartyName,$P350)))</f>
        <v/>
      </c>
      <c r="F350" s="28">
        <f>IF($P350="","",IF(INDEX(EntryPartyType,$P350)=0,"",INDEX(EntryPartyType,$P350)))</f>
        <v/>
      </c>
      <c r="G350" s="28">
        <f>IF($P350="","",IF(INDEX(EntryTxnType,$P350)=0,"",INDEX(EntryTxnType,$P350)))</f>
        <v/>
      </c>
      <c r="H350" s="29">
        <f>IF($P350="","",IF(INDEX(EntryDep,$P350)=0,"",INDEX(EntryDep,$P350)))</f>
        <v/>
      </c>
      <c r="I350" s="29">
        <f>IF($P350="","",IF(INDEX(EntryWit,$P350)=0,"",INDEX(EntryWit,$P350)))</f>
        <v/>
      </c>
      <c r="J350" s="29">
        <f>IF($B350="","",IF($A350=1,$C$7,IF(J349="",0,J349))+IF($H350="",0,$H350)-IF($I350="",0,$I350))</f>
        <v/>
      </c>
      <c r="K350" s="29">
        <f>IF($P350="","",IF(INDEX(EntryMan,$P350)=0,"",INDEX(EntryMan,$P350)))</f>
        <v/>
      </c>
      <c r="L350" s="28">
        <f>IF($B350="","",IF($K350="","—",IF(ROUND($K350-$J350,0)=0,"√","×")))</f>
        <v/>
      </c>
      <c r="M350" s="28">
        <f>IF($B350="","",IF(COUNTIFS(EntryDates,$B350,CalcTime,$C350,CalcBank,$C$5,EntryParty,$D350,EntryDep,$H350,EntryWit,$I350)&gt;1,"تکرار",""))</f>
        <v/>
      </c>
      <c r="N350" s="28">
        <f>IF($P350="","",IF(INDEX(EntryNotes,$P350)=0,"",INDEX(EntryNotes,$P350)))</f>
        <v/>
      </c>
      <c r="O350" s="28">
        <f>IF($P350="","",IF(INDEX(EntryTxnID,$P350)=0,"",INDEX(EntryTxnID,$P350)))</f>
        <v/>
      </c>
      <c r="P350" s="28">
        <f>IFERROR(MATCH($C$5&amp;"|"&amp;RIGHT("000000"&amp;334,6),CalcRankKey,0),"")</f>
        <v/>
      </c>
    </row>
    <row r="351">
      <c r="A351" s="26">
        <f>IF($B351="","",335)</f>
        <v/>
      </c>
      <c r="B351" s="26">
        <f>IF($P351="","",IF(INDEX(CalcNormDate,$P351)=0,"",INDEX(CalcNormDate,$P351)))</f>
        <v/>
      </c>
      <c r="C351" s="26">
        <f>IF($P351="","",IF(INDEX(CalcTime,$P351)=0,"",INDEX(CalcTime,$P351)))</f>
        <v/>
      </c>
      <c r="D351" s="26">
        <f>IF($P351="","",IF(INDEX(EntryParty,$P351)=0,"",INDEX(EntryParty,$P351)))</f>
        <v/>
      </c>
      <c r="E351" s="26">
        <f>IF($P351="","",IF(INDEX(EntryPartyName,$P351)=0,"",INDEX(EntryPartyName,$P351)))</f>
        <v/>
      </c>
      <c r="F351" s="26">
        <f>IF($P351="","",IF(INDEX(EntryPartyType,$P351)=0,"",INDEX(EntryPartyType,$P351)))</f>
        <v/>
      </c>
      <c r="G351" s="26">
        <f>IF($P351="","",IF(INDEX(EntryTxnType,$P351)=0,"",INDEX(EntryTxnType,$P351)))</f>
        <v/>
      </c>
      <c r="H351" s="27">
        <f>IF($P351="","",IF(INDEX(EntryDep,$P351)=0,"",INDEX(EntryDep,$P351)))</f>
        <v/>
      </c>
      <c r="I351" s="27">
        <f>IF($P351="","",IF(INDEX(EntryWit,$P351)=0,"",INDEX(EntryWit,$P351)))</f>
        <v/>
      </c>
      <c r="J351" s="27">
        <f>IF($B351="","",IF($A351=1,$C$7,IF(J350="",0,J350))+IF($H351="",0,$H351)-IF($I351="",0,$I351))</f>
        <v/>
      </c>
      <c r="K351" s="27">
        <f>IF($P351="","",IF(INDEX(EntryMan,$P351)=0,"",INDEX(EntryMan,$P351)))</f>
        <v/>
      </c>
      <c r="L351" s="26">
        <f>IF($B351="","",IF($K351="","—",IF(ROUND($K351-$J351,0)=0,"√","×")))</f>
        <v/>
      </c>
      <c r="M351" s="26">
        <f>IF($B351="","",IF(COUNTIFS(EntryDates,$B351,CalcTime,$C351,CalcBank,$C$5,EntryParty,$D351,EntryDep,$H351,EntryWit,$I351)&gt;1,"تکرار",""))</f>
        <v/>
      </c>
      <c r="N351" s="26">
        <f>IF($P351="","",IF(INDEX(EntryNotes,$P351)=0,"",INDEX(EntryNotes,$P351)))</f>
        <v/>
      </c>
      <c r="O351" s="26">
        <f>IF($P351="","",IF(INDEX(EntryTxnID,$P351)=0,"",INDEX(EntryTxnID,$P351)))</f>
        <v/>
      </c>
      <c r="P351" s="26">
        <f>IFERROR(MATCH($C$5&amp;"|"&amp;RIGHT("000000"&amp;335,6),CalcRankKey,0),"")</f>
        <v/>
      </c>
    </row>
    <row r="352">
      <c r="A352" s="28">
        <f>IF($B352="","",336)</f>
        <v/>
      </c>
      <c r="B352" s="28">
        <f>IF($P352="","",IF(INDEX(CalcNormDate,$P352)=0,"",INDEX(CalcNormDate,$P352)))</f>
        <v/>
      </c>
      <c r="C352" s="28">
        <f>IF($P352="","",IF(INDEX(CalcTime,$P352)=0,"",INDEX(CalcTime,$P352)))</f>
        <v/>
      </c>
      <c r="D352" s="28">
        <f>IF($P352="","",IF(INDEX(EntryParty,$P352)=0,"",INDEX(EntryParty,$P352)))</f>
        <v/>
      </c>
      <c r="E352" s="28">
        <f>IF($P352="","",IF(INDEX(EntryPartyName,$P352)=0,"",INDEX(EntryPartyName,$P352)))</f>
        <v/>
      </c>
      <c r="F352" s="28">
        <f>IF($P352="","",IF(INDEX(EntryPartyType,$P352)=0,"",INDEX(EntryPartyType,$P352)))</f>
        <v/>
      </c>
      <c r="G352" s="28">
        <f>IF($P352="","",IF(INDEX(EntryTxnType,$P352)=0,"",INDEX(EntryTxnType,$P352)))</f>
        <v/>
      </c>
      <c r="H352" s="29">
        <f>IF($P352="","",IF(INDEX(EntryDep,$P352)=0,"",INDEX(EntryDep,$P352)))</f>
        <v/>
      </c>
      <c r="I352" s="29">
        <f>IF($P352="","",IF(INDEX(EntryWit,$P352)=0,"",INDEX(EntryWit,$P352)))</f>
        <v/>
      </c>
      <c r="J352" s="29">
        <f>IF($B352="","",IF($A352=1,$C$7,IF(J351="",0,J351))+IF($H352="",0,$H352)-IF($I352="",0,$I352))</f>
        <v/>
      </c>
      <c r="K352" s="29">
        <f>IF($P352="","",IF(INDEX(EntryMan,$P352)=0,"",INDEX(EntryMan,$P352)))</f>
        <v/>
      </c>
      <c r="L352" s="28">
        <f>IF($B352="","",IF($K352="","—",IF(ROUND($K352-$J352,0)=0,"√","×")))</f>
        <v/>
      </c>
      <c r="M352" s="28">
        <f>IF($B352="","",IF(COUNTIFS(EntryDates,$B352,CalcTime,$C352,CalcBank,$C$5,EntryParty,$D352,EntryDep,$H352,EntryWit,$I352)&gt;1,"تکرار",""))</f>
        <v/>
      </c>
      <c r="N352" s="28">
        <f>IF($P352="","",IF(INDEX(EntryNotes,$P352)=0,"",INDEX(EntryNotes,$P352)))</f>
        <v/>
      </c>
      <c r="O352" s="28">
        <f>IF($P352="","",IF(INDEX(EntryTxnID,$P352)=0,"",INDEX(EntryTxnID,$P352)))</f>
        <v/>
      </c>
      <c r="P352" s="28">
        <f>IFERROR(MATCH($C$5&amp;"|"&amp;RIGHT("000000"&amp;336,6),CalcRankKey,0),"")</f>
        <v/>
      </c>
    </row>
    <row r="353">
      <c r="A353" s="26">
        <f>IF($B353="","",337)</f>
        <v/>
      </c>
      <c r="B353" s="26">
        <f>IF($P353="","",IF(INDEX(CalcNormDate,$P353)=0,"",INDEX(CalcNormDate,$P353)))</f>
        <v/>
      </c>
      <c r="C353" s="26">
        <f>IF($P353="","",IF(INDEX(CalcTime,$P353)=0,"",INDEX(CalcTime,$P353)))</f>
        <v/>
      </c>
      <c r="D353" s="26">
        <f>IF($P353="","",IF(INDEX(EntryParty,$P353)=0,"",INDEX(EntryParty,$P353)))</f>
        <v/>
      </c>
      <c r="E353" s="26">
        <f>IF($P353="","",IF(INDEX(EntryPartyName,$P353)=0,"",INDEX(EntryPartyName,$P353)))</f>
        <v/>
      </c>
      <c r="F353" s="26">
        <f>IF($P353="","",IF(INDEX(EntryPartyType,$P353)=0,"",INDEX(EntryPartyType,$P353)))</f>
        <v/>
      </c>
      <c r="G353" s="26">
        <f>IF($P353="","",IF(INDEX(EntryTxnType,$P353)=0,"",INDEX(EntryTxnType,$P353)))</f>
        <v/>
      </c>
      <c r="H353" s="27">
        <f>IF($P353="","",IF(INDEX(EntryDep,$P353)=0,"",INDEX(EntryDep,$P353)))</f>
        <v/>
      </c>
      <c r="I353" s="27">
        <f>IF($P353="","",IF(INDEX(EntryWit,$P353)=0,"",INDEX(EntryWit,$P353)))</f>
        <v/>
      </c>
      <c r="J353" s="27">
        <f>IF($B353="","",IF($A353=1,$C$7,IF(J352="",0,J352))+IF($H353="",0,$H353)-IF($I353="",0,$I353))</f>
        <v/>
      </c>
      <c r="K353" s="27">
        <f>IF($P353="","",IF(INDEX(EntryMan,$P353)=0,"",INDEX(EntryMan,$P353)))</f>
        <v/>
      </c>
      <c r="L353" s="26">
        <f>IF($B353="","",IF($K353="","—",IF(ROUND($K353-$J353,0)=0,"√","×")))</f>
        <v/>
      </c>
      <c r="M353" s="26">
        <f>IF($B353="","",IF(COUNTIFS(EntryDates,$B353,CalcTime,$C353,CalcBank,$C$5,EntryParty,$D353,EntryDep,$H353,EntryWit,$I353)&gt;1,"تکرار",""))</f>
        <v/>
      </c>
      <c r="N353" s="26">
        <f>IF($P353="","",IF(INDEX(EntryNotes,$P353)=0,"",INDEX(EntryNotes,$P353)))</f>
        <v/>
      </c>
      <c r="O353" s="26">
        <f>IF($P353="","",IF(INDEX(EntryTxnID,$P353)=0,"",INDEX(EntryTxnID,$P353)))</f>
        <v/>
      </c>
      <c r="P353" s="26">
        <f>IFERROR(MATCH($C$5&amp;"|"&amp;RIGHT("000000"&amp;337,6),CalcRankKey,0),"")</f>
        <v/>
      </c>
    </row>
    <row r="354">
      <c r="A354" s="28">
        <f>IF($B354="","",338)</f>
        <v/>
      </c>
      <c r="B354" s="28">
        <f>IF($P354="","",IF(INDEX(CalcNormDate,$P354)=0,"",INDEX(CalcNormDate,$P354)))</f>
        <v/>
      </c>
      <c r="C354" s="28">
        <f>IF($P354="","",IF(INDEX(CalcTime,$P354)=0,"",INDEX(CalcTime,$P354)))</f>
        <v/>
      </c>
      <c r="D354" s="28">
        <f>IF($P354="","",IF(INDEX(EntryParty,$P354)=0,"",INDEX(EntryParty,$P354)))</f>
        <v/>
      </c>
      <c r="E354" s="28">
        <f>IF($P354="","",IF(INDEX(EntryPartyName,$P354)=0,"",INDEX(EntryPartyName,$P354)))</f>
        <v/>
      </c>
      <c r="F354" s="28">
        <f>IF($P354="","",IF(INDEX(EntryPartyType,$P354)=0,"",INDEX(EntryPartyType,$P354)))</f>
        <v/>
      </c>
      <c r="G354" s="28">
        <f>IF($P354="","",IF(INDEX(EntryTxnType,$P354)=0,"",INDEX(EntryTxnType,$P354)))</f>
        <v/>
      </c>
      <c r="H354" s="29">
        <f>IF($P354="","",IF(INDEX(EntryDep,$P354)=0,"",INDEX(EntryDep,$P354)))</f>
        <v/>
      </c>
      <c r="I354" s="29">
        <f>IF($P354="","",IF(INDEX(EntryWit,$P354)=0,"",INDEX(EntryWit,$P354)))</f>
        <v/>
      </c>
      <c r="J354" s="29">
        <f>IF($B354="","",IF($A354=1,$C$7,IF(J353="",0,J353))+IF($H354="",0,$H354)-IF($I354="",0,$I354))</f>
        <v/>
      </c>
      <c r="K354" s="29">
        <f>IF($P354="","",IF(INDEX(EntryMan,$P354)=0,"",INDEX(EntryMan,$P354)))</f>
        <v/>
      </c>
      <c r="L354" s="28">
        <f>IF($B354="","",IF($K354="","—",IF(ROUND($K354-$J354,0)=0,"√","×")))</f>
        <v/>
      </c>
      <c r="M354" s="28">
        <f>IF($B354="","",IF(COUNTIFS(EntryDates,$B354,CalcTime,$C354,CalcBank,$C$5,EntryParty,$D354,EntryDep,$H354,EntryWit,$I354)&gt;1,"تکرار",""))</f>
        <v/>
      </c>
      <c r="N354" s="28">
        <f>IF($P354="","",IF(INDEX(EntryNotes,$P354)=0,"",INDEX(EntryNotes,$P354)))</f>
        <v/>
      </c>
      <c r="O354" s="28">
        <f>IF($P354="","",IF(INDEX(EntryTxnID,$P354)=0,"",INDEX(EntryTxnID,$P354)))</f>
        <v/>
      </c>
      <c r="P354" s="28">
        <f>IFERROR(MATCH($C$5&amp;"|"&amp;RIGHT("000000"&amp;338,6),CalcRankKey,0),"")</f>
        <v/>
      </c>
    </row>
    <row r="355">
      <c r="A355" s="26">
        <f>IF($B355="","",339)</f>
        <v/>
      </c>
      <c r="B355" s="26">
        <f>IF($P355="","",IF(INDEX(CalcNormDate,$P355)=0,"",INDEX(CalcNormDate,$P355)))</f>
        <v/>
      </c>
      <c r="C355" s="26">
        <f>IF($P355="","",IF(INDEX(CalcTime,$P355)=0,"",INDEX(CalcTime,$P355)))</f>
        <v/>
      </c>
      <c r="D355" s="26">
        <f>IF($P355="","",IF(INDEX(EntryParty,$P355)=0,"",INDEX(EntryParty,$P355)))</f>
        <v/>
      </c>
      <c r="E355" s="26">
        <f>IF($P355="","",IF(INDEX(EntryPartyName,$P355)=0,"",INDEX(EntryPartyName,$P355)))</f>
        <v/>
      </c>
      <c r="F355" s="26">
        <f>IF($P355="","",IF(INDEX(EntryPartyType,$P355)=0,"",INDEX(EntryPartyType,$P355)))</f>
        <v/>
      </c>
      <c r="G355" s="26">
        <f>IF($P355="","",IF(INDEX(EntryTxnType,$P355)=0,"",INDEX(EntryTxnType,$P355)))</f>
        <v/>
      </c>
      <c r="H355" s="27">
        <f>IF($P355="","",IF(INDEX(EntryDep,$P355)=0,"",INDEX(EntryDep,$P355)))</f>
        <v/>
      </c>
      <c r="I355" s="27">
        <f>IF($P355="","",IF(INDEX(EntryWit,$P355)=0,"",INDEX(EntryWit,$P355)))</f>
        <v/>
      </c>
      <c r="J355" s="27">
        <f>IF($B355="","",IF($A355=1,$C$7,IF(J354="",0,J354))+IF($H355="",0,$H355)-IF($I355="",0,$I355))</f>
        <v/>
      </c>
      <c r="K355" s="27">
        <f>IF($P355="","",IF(INDEX(EntryMan,$P355)=0,"",INDEX(EntryMan,$P355)))</f>
        <v/>
      </c>
      <c r="L355" s="26">
        <f>IF($B355="","",IF($K355="","—",IF(ROUND($K355-$J355,0)=0,"√","×")))</f>
        <v/>
      </c>
      <c r="M355" s="26">
        <f>IF($B355="","",IF(COUNTIFS(EntryDates,$B355,CalcTime,$C355,CalcBank,$C$5,EntryParty,$D355,EntryDep,$H355,EntryWit,$I355)&gt;1,"تکرار",""))</f>
        <v/>
      </c>
      <c r="N355" s="26">
        <f>IF($P355="","",IF(INDEX(EntryNotes,$P355)=0,"",INDEX(EntryNotes,$P355)))</f>
        <v/>
      </c>
      <c r="O355" s="26">
        <f>IF($P355="","",IF(INDEX(EntryTxnID,$P355)=0,"",INDEX(EntryTxnID,$P355)))</f>
        <v/>
      </c>
      <c r="P355" s="26">
        <f>IFERROR(MATCH($C$5&amp;"|"&amp;RIGHT("000000"&amp;339,6),CalcRankKey,0),"")</f>
        <v/>
      </c>
    </row>
    <row r="356">
      <c r="A356" s="28">
        <f>IF($B356="","",340)</f>
        <v/>
      </c>
      <c r="B356" s="28">
        <f>IF($P356="","",IF(INDEX(CalcNormDate,$P356)=0,"",INDEX(CalcNormDate,$P356)))</f>
        <v/>
      </c>
      <c r="C356" s="28">
        <f>IF($P356="","",IF(INDEX(CalcTime,$P356)=0,"",INDEX(CalcTime,$P356)))</f>
        <v/>
      </c>
      <c r="D356" s="28">
        <f>IF($P356="","",IF(INDEX(EntryParty,$P356)=0,"",INDEX(EntryParty,$P356)))</f>
        <v/>
      </c>
      <c r="E356" s="28">
        <f>IF($P356="","",IF(INDEX(EntryPartyName,$P356)=0,"",INDEX(EntryPartyName,$P356)))</f>
        <v/>
      </c>
      <c r="F356" s="28">
        <f>IF($P356="","",IF(INDEX(EntryPartyType,$P356)=0,"",INDEX(EntryPartyType,$P356)))</f>
        <v/>
      </c>
      <c r="G356" s="28">
        <f>IF($P356="","",IF(INDEX(EntryTxnType,$P356)=0,"",INDEX(EntryTxnType,$P356)))</f>
        <v/>
      </c>
      <c r="H356" s="29">
        <f>IF($P356="","",IF(INDEX(EntryDep,$P356)=0,"",INDEX(EntryDep,$P356)))</f>
        <v/>
      </c>
      <c r="I356" s="29">
        <f>IF($P356="","",IF(INDEX(EntryWit,$P356)=0,"",INDEX(EntryWit,$P356)))</f>
        <v/>
      </c>
      <c r="J356" s="29">
        <f>IF($B356="","",IF($A356=1,$C$7,IF(J355="",0,J355))+IF($H356="",0,$H356)-IF($I356="",0,$I356))</f>
        <v/>
      </c>
      <c r="K356" s="29">
        <f>IF($P356="","",IF(INDEX(EntryMan,$P356)=0,"",INDEX(EntryMan,$P356)))</f>
        <v/>
      </c>
      <c r="L356" s="28">
        <f>IF($B356="","",IF($K356="","—",IF(ROUND($K356-$J356,0)=0,"√","×")))</f>
        <v/>
      </c>
      <c r="M356" s="28">
        <f>IF($B356="","",IF(COUNTIFS(EntryDates,$B356,CalcTime,$C356,CalcBank,$C$5,EntryParty,$D356,EntryDep,$H356,EntryWit,$I356)&gt;1,"تکرار",""))</f>
        <v/>
      </c>
      <c r="N356" s="28">
        <f>IF($P356="","",IF(INDEX(EntryNotes,$P356)=0,"",INDEX(EntryNotes,$P356)))</f>
        <v/>
      </c>
      <c r="O356" s="28">
        <f>IF($P356="","",IF(INDEX(EntryTxnID,$P356)=0,"",INDEX(EntryTxnID,$P356)))</f>
        <v/>
      </c>
      <c r="P356" s="28">
        <f>IFERROR(MATCH($C$5&amp;"|"&amp;RIGHT("000000"&amp;340,6),CalcRankKey,0),"")</f>
        <v/>
      </c>
    </row>
    <row r="357">
      <c r="A357" s="26">
        <f>IF($B357="","",341)</f>
        <v/>
      </c>
      <c r="B357" s="26">
        <f>IF($P357="","",IF(INDEX(CalcNormDate,$P357)=0,"",INDEX(CalcNormDate,$P357)))</f>
        <v/>
      </c>
      <c r="C357" s="26">
        <f>IF($P357="","",IF(INDEX(CalcTime,$P357)=0,"",INDEX(CalcTime,$P357)))</f>
        <v/>
      </c>
      <c r="D357" s="26">
        <f>IF($P357="","",IF(INDEX(EntryParty,$P357)=0,"",INDEX(EntryParty,$P357)))</f>
        <v/>
      </c>
      <c r="E357" s="26">
        <f>IF($P357="","",IF(INDEX(EntryPartyName,$P357)=0,"",INDEX(EntryPartyName,$P357)))</f>
        <v/>
      </c>
      <c r="F357" s="26">
        <f>IF($P357="","",IF(INDEX(EntryPartyType,$P357)=0,"",INDEX(EntryPartyType,$P357)))</f>
        <v/>
      </c>
      <c r="G357" s="26">
        <f>IF($P357="","",IF(INDEX(EntryTxnType,$P357)=0,"",INDEX(EntryTxnType,$P357)))</f>
        <v/>
      </c>
      <c r="H357" s="27">
        <f>IF($P357="","",IF(INDEX(EntryDep,$P357)=0,"",INDEX(EntryDep,$P357)))</f>
        <v/>
      </c>
      <c r="I357" s="27">
        <f>IF($P357="","",IF(INDEX(EntryWit,$P357)=0,"",INDEX(EntryWit,$P357)))</f>
        <v/>
      </c>
      <c r="J357" s="27">
        <f>IF($B357="","",IF($A357=1,$C$7,IF(J356="",0,J356))+IF($H357="",0,$H357)-IF($I357="",0,$I357))</f>
        <v/>
      </c>
      <c r="K357" s="27">
        <f>IF($P357="","",IF(INDEX(EntryMan,$P357)=0,"",INDEX(EntryMan,$P357)))</f>
        <v/>
      </c>
      <c r="L357" s="26">
        <f>IF($B357="","",IF($K357="","—",IF(ROUND($K357-$J357,0)=0,"√","×")))</f>
        <v/>
      </c>
      <c r="M357" s="26">
        <f>IF($B357="","",IF(COUNTIFS(EntryDates,$B357,CalcTime,$C357,CalcBank,$C$5,EntryParty,$D357,EntryDep,$H357,EntryWit,$I357)&gt;1,"تکرار",""))</f>
        <v/>
      </c>
      <c r="N357" s="26">
        <f>IF($P357="","",IF(INDEX(EntryNotes,$P357)=0,"",INDEX(EntryNotes,$P357)))</f>
        <v/>
      </c>
      <c r="O357" s="26">
        <f>IF($P357="","",IF(INDEX(EntryTxnID,$P357)=0,"",INDEX(EntryTxnID,$P357)))</f>
        <v/>
      </c>
      <c r="P357" s="26">
        <f>IFERROR(MATCH($C$5&amp;"|"&amp;RIGHT("000000"&amp;341,6),CalcRankKey,0),"")</f>
        <v/>
      </c>
    </row>
    <row r="358">
      <c r="A358" s="28">
        <f>IF($B358="","",342)</f>
        <v/>
      </c>
      <c r="B358" s="28">
        <f>IF($P358="","",IF(INDEX(CalcNormDate,$P358)=0,"",INDEX(CalcNormDate,$P358)))</f>
        <v/>
      </c>
      <c r="C358" s="28">
        <f>IF($P358="","",IF(INDEX(CalcTime,$P358)=0,"",INDEX(CalcTime,$P358)))</f>
        <v/>
      </c>
      <c r="D358" s="28">
        <f>IF($P358="","",IF(INDEX(EntryParty,$P358)=0,"",INDEX(EntryParty,$P358)))</f>
        <v/>
      </c>
      <c r="E358" s="28">
        <f>IF($P358="","",IF(INDEX(EntryPartyName,$P358)=0,"",INDEX(EntryPartyName,$P358)))</f>
        <v/>
      </c>
      <c r="F358" s="28">
        <f>IF($P358="","",IF(INDEX(EntryPartyType,$P358)=0,"",INDEX(EntryPartyType,$P358)))</f>
        <v/>
      </c>
      <c r="G358" s="28">
        <f>IF($P358="","",IF(INDEX(EntryTxnType,$P358)=0,"",INDEX(EntryTxnType,$P358)))</f>
        <v/>
      </c>
      <c r="H358" s="29">
        <f>IF($P358="","",IF(INDEX(EntryDep,$P358)=0,"",INDEX(EntryDep,$P358)))</f>
        <v/>
      </c>
      <c r="I358" s="29">
        <f>IF($P358="","",IF(INDEX(EntryWit,$P358)=0,"",INDEX(EntryWit,$P358)))</f>
        <v/>
      </c>
      <c r="J358" s="29">
        <f>IF($B358="","",IF($A358=1,$C$7,IF(J357="",0,J357))+IF($H358="",0,$H358)-IF($I358="",0,$I358))</f>
        <v/>
      </c>
      <c r="K358" s="29">
        <f>IF($P358="","",IF(INDEX(EntryMan,$P358)=0,"",INDEX(EntryMan,$P358)))</f>
        <v/>
      </c>
      <c r="L358" s="28">
        <f>IF($B358="","",IF($K358="","—",IF(ROUND($K358-$J358,0)=0,"√","×")))</f>
        <v/>
      </c>
      <c r="M358" s="28">
        <f>IF($B358="","",IF(COUNTIFS(EntryDates,$B358,CalcTime,$C358,CalcBank,$C$5,EntryParty,$D358,EntryDep,$H358,EntryWit,$I358)&gt;1,"تکرار",""))</f>
        <v/>
      </c>
      <c r="N358" s="28">
        <f>IF($P358="","",IF(INDEX(EntryNotes,$P358)=0,"",INDEX(EntryNotes,$P358)))</f>
        <v/>
      </c>
      <c r="O358" s="28">
        <f>IF($P358="","",IF(INDEX(EntryTxnID,$P358)=0,"",INDEX(EntryTxnID,$P358)))</f>
        <v/>
      </c>
      <c r="P358" s="28">
        <f>IFERROR(MATCH($C$5&amp;"|"&amp;RIGHT("000000"&amp;342,6),CalcRankKey,0),"")</f>
        <v/>
      </c>
    </row>
    <row r="359">
      <c r="A359" s="26">
        <f>IF($B359="","",343)</f>
        <v/>
      </c>
      <c r="B359" s="26">
        <f>IF($P359="","",IF(INDEX(CalcNormDate,$P359)=0,"",INDEX(CalcNormDate,$P359)))</f>
        <v/>
      </c>
      <c r="C359" s="26">
        <f>IF($P359="","",IF(INDEX(CalcTime,$P359)=0,"",INDEX(CalcTime,$P359)))</f>
        <v/>
      </c>
      <c r="D359" s="26">
        <f>IF($P359="","",IF(INDEX(EntryParty,$P359)=0,"",INDEX(EntryParty,$P359)))</f>
        <v/>
      </c>
      <c r="E359" s="26">
        <f>IF($P359="","",IF(INDEX(EntryPartyName,$P359)=0,"",INDEX(EntryPartyName,$P359)))</f>
        <v/>
      </c>
      <c r="F359" s="26">
        <f>IF($P359="","",IF(INDEX(EntryPartyType,$P359)=0,"",INDEX(EntryPartyType,$P359)))</f>
        <v/>
      </c>
      <c r="G359" s="26">
        <f>IF($P359="","",IF(INDEX(EntryTxnType,$P359)=0,"",INDEX(EntryTxnType,$P359)))</f>
        <v/>
      </c>
      <c r="H359" s="27">
        <f>IF($P359="","",IF(INDEX(EntryDep,$P359)=0,"",INDEX(EntryDep,$P359)))</f>
        <v/>
      </c>
      <c r="I359" s="27">
        <f>IF($P359="","",IF(INDEX(EntryWit,$P359)=0,"",INDEX(EntryWit,$P359)))</f>
        <v/>
      </c>
      <c r="J359" s="27">
        <f>IF($B359="","",IF($A359=1,$C$7,IF(J358="",0,J358))+IF($H359="",0,$H359)-IF($I359="",0,$I359))</f>
        <v/>
      </c>
      <c r="K359" s="27">
        <f>IF($P359="","",IF(INDEX(EntryMan,$P359)=0,"",INDEX(EntryMan,$P359)))</f>
        <v/>
      </c>
      <c r="L359" s="26">
        <f>IF($B359="","",IF($K359="","—",IF(ROUND($K359-$J359,0)=0,"√","×")))</f>
        <v/>
      </c>
      <c r="M359" s="26">
        <f>IF($B359="","",IF(COUNTIFS(EntryDates,$B359,CalcTime,$C359,CalcBank,$C$5,EntryParty,$D359,EntryDep,$H359,EntryWit,$I359)&gt;1,"تکرار",""))</f>
        <v/>
      </c>
      <c r="N359" s="26">
        <f>IF($P359="","",IF(INDEX(EntryNotes,$P359)=0,"",INDEX(EntryNotes,$P359)))</f>
        <v/>
      </c>
      <c r="O359" s="26">
        <f>IF($P359="","",IF(INDEX(EntryTxnID,$P359)=0,"",INDEX(EntryTxnID,$P359)))</f>
        <v/>
      </c>
      <c r="P359" s="26">
        <f>IFERROR(MATCH($C$5&amp;"|"&amp;RIGHT("000000"&amp;343,6),CalcRankKey,0),"")</f>
        <v/>
      </c>
    </row>
    <row r="360">
      <c r="A360" s="28">
        <f>IF($B360="","",344)</f>
        <v/>
      </c>
      <c r="B360" s="28">
        <f>IF($P360="","",IF(INDEX(CalcNormDate,$P360)=0,"",INDEX(CalcNormDate,$P360)))</f>
        <v/>
      </c>
      <c r="C360" s="28">
        <f>IF($P360="","",IF(INDEX(CalcTime,$P360)=0,"",INDEX(CalcTime,$P360)))</f>
        <v/>
      </c>
      <c r="D360" s="28">
        <f>IF($P360="","",IF(INDEX(EntryParty,$P360)=0,"",INDEX(EntryParty,$P360)))</f>
        <v/>
      </c>
      <c r="E360" s="28">
        <f>IF($P360="","",IF(INDEX(EntryPartyName,$P360)=0,"",INDEX(EntryPartyName,$P360)))</f>
        <v/>
      </c>
      <c r="F360" s="28">
        <f>IF($P360="","",IF(INDEX(EntryPartyType,$P360)=0,"",INDEX(EntryPartyType,$P360)))</f>
        <v/>
      </c>
      <c r="G360" s="28">
        <f>IF($P360="","",IF(INDEX(EntryTxnType,$P360)=0,"",INDEX(EntryTxnType,$P360)))</f>
        <v/>
      </c>
      <c r="H360" s="29">
        <f>IF($P360="","",IF(INDEX(EntryDep,$P360)=0,"",INDEX(EntryDep,$P360)))</f>
        <v/>
      </c>
      <c r="I360" s="29">
        <f>IF($P360="","",IF(INDEX(EntryWit,$P360)=0,"",INDEX(EntryWit,$P360)))</f>
        <v/>
      </c>
      <c r="J360" s="29">
        <f>IF($B360="","",IF($A360=1,$C$7,IF(J359="",0,J359))+IF($H360="",0,$H360)-IF($I360="",0,$I360))</f>
        <v/>
      </c>
      <c r="K360" s="29">
        <f>IF($P360="","",IF(INDEX(EntryMan,$P360)=0,"",INDEX(EntryMan,$P360)))</f>
        <v/>
      </c>
      <c r="L360" s="28">
        <f>IF($B360="","",IF($K360="","—",IF(ROUND($K360-$J360,0)=0,"√","×")))</f>
        <v/>
      </c>
      <c r="M360" s="28">
        <f>IF($B360="","",IF(COUNTIFS(EntryDates,$B360,CalcTime,$C360,CalcBank,$C$5,EntryParty,$D360,EntryDep,$H360,EntryWit,$I360)&gt;1,"تکرار",""))</f>
        <v/>
      </c>
      <c r="N360" s="28">
        <f>IF($P360="","",IF(INDEX(EntryNotes,$P360)=0,"",INDEX(EntryNotes,$P360)))</f>
        <v/>
      </c>
      <c r="O360" s="28">
        <f>IF($P360="","",IF(INDEX(EntryTxnID,$P360)=0,"",INDEX(EntryTxnID,$P360)))</f>
        <v/>
      </c>
      <c r="P360" s="28">
        <f>IFERROR(MATCH($C$5&amp;"|"&amp;RIGHT("000000"&amp;344,6),CalcRankKey,0),"")</f>
        <v/>
      </c>
    </row>
    <row r="361">
      <c r="A361" s="26">
        <f>IF($B361="","",345)</f>
        <v/>
      </c>
      <c r="B361" s="26">
        <f>IF($P361="","",IF(INDEX(CalcNormDate,$P361)=0,"",INDEX(CalcNormDate,$P361)))</f>
        <v/>
      </c>
      <c r="C361" s="26">
        <f>IF($P361="","",IF(INDEX(CalcTime,$P361)=0,"",INDEX(CalcTime,$P361)))</f>
        <v/>
      </c>
      <c r="D361" s="26">
        <f>IF($P361="","",IF(INDEX(EntryParty,$P361)=0,"",INDEX(EntryParty,$P361)))</f>
        <v/>
      </c>
      <c r="E361" s="26">
        <f>IF($P361="","",IF(INDEX(EntryPartyName,$P361)=0,"",INDEX(EntryPartyName,$P361)))</f>
        <v/>
      </c>
      <c r="F361" s="26">
        <f>IF($P361="","",IF(INDEX(EntryPartyType,$P361)=0,"",INDEX(EntryPartyType,$P361)))</f>
        <v/>
      </c>
      <c r="G361" s="26">
        <f>IF($P361="","",IF(INDEX(EntryTxnType,$P361)=0,"",INDEX(EntryTxnType,$P361)))</f>
        <v/>
      </c>
      <c r="H361" s="27">
        <f>IF($P361="","",IF(INDEX(EntryDep,$P361)=0,"",INDEX(EntryDep,$P361)))</f>
        <v/>
      </c>
      <c r="I361" s="27">
        <f>IF($P361="","",IF(INDEX(EntryWit,$P361)=0,"",INDEX(EntryWit,$P361)))</f>
        <v/>
      </c>
      <c r="J361" s="27">
        <f>IF($B361="","",IF($A361=1,$C$7,IF(J360="",0,J360))+IF($H361="",0,$H361)-IF($I361="",0,$I361))</f>
        <v/>
      </c>
      <c r="K361" s="27">
        <f>IF($P361="","",IF(INDEX(EntryMan,$P361)=0,"",INDEX(EntryMan,$P361)))</f>
        <v/>
      </c>
      <c r="L361" s="26">
        <f>IF($B361="","",IF($K361="","—",IF(ROUND($K361-$J361,0)=0,"√","×")))</f>
        <v/>
      </c>
      <c r="M361" s="26">
        <f>IF($B361="","",IF(COUNTIFS(EntryDates,$B361,CalcTime,$C361,CalcBank,$C$5,EntryParty,$D361,EntryDep,$H361,EntryWit,$I361)&gt;1,"تکرار",""))</f>
        <v/>
      </c>
      <c r="N361" s="26">
        <f>IF($P361="","",IF(INDEX(EntryNotes,$P361)=0,"",INDEX(EntryNotes,$P361)))</f>
        <v/>
      </c>
      <c r="O361" s="26">
        <f>IF($P361="","",IF(INDEX(EntryTxnID,$P361)=0,"",INDEX(EntryTxnID,$P361)))</f>
        <v/>
      </c>
      <c r="P361" s="26">
        <f>IFERROR(MATCH($C$5&amp;"|"&amp;RIGHT("000000"&amp;345,6),CalcRankKey,0),"")</f>
        <v/>
      </c>
    </row>
    <row r="362">
      <c r="A362" s="28">
        <f>IF($B362="","",346)</f>
        <v/>
      </c>
      <c r="B362" s="28">
        <f>IF($P362="","",IF(INDEX(CalcNormDate,$P362)=0,"",INDEX(CalcNormDate,$P362)))</f>
        <v/>
      </c>
      <c r="C362" s="28">
        <f>IF($P362="","",IF(INDEX(CalcTime,$P362)=0,"",INDEX(CalcTime,$P362)))</f>
        <v/>
      </c>
      <c r="D362" s="28">
        <f>IF($P362="","",IF(INDEX(EntryParty,$P362)=0,"",INDEX(EntryParty,$P362)))</f>
        <v/>
      </c>
      <c r="E362" s="28">
        <f>IF($P362="","",IF(INDEX(EntryPartyName,$P362)=0,"",INDEX(EntryPartyName,$P362)))</f>
        <v/>
      </c>
      <c r="F362" s="28">
        <f>IF($P362="","",IF(INDEX(EntryPartyType,$P362)=0,"",INDEX(EntryPartyType,$P362)))</f>
        <v/>
      </c>
      <c r="G362" s="28">
        <f>IF($P362="","",IF(INDEX(EntryTxnType,$P362)=0,"",INDEX(EntryTxnType,$P362)))</f>
        <v/>
      </c>
      <c r="H362" s="29">
        <f>IF($P362="","",IF(INDEX(EntryDep,$P362)=0,"",INDEX(EntryDep,$P362)))</f>
        <v/>
      </c>
      <c r="I362" s="29">
        <f>IF($P362="","",IF(INDEX(EntryWit,$P362)=0,"",INDEX(EntryWit,$P362)))</f>
        <v/>
      </c>
      <c r="J362" s="29">
        <f>IF($B362="","",IF($A362=1,$C$7,IF(J361="",0,J361))+IF($H362="",0,$H362)-IF($I362="",0,$I362))</f>
        <v/>
      </c>
      <c r="K362" s="29">
        <f>IF($P362="","",IF(INDEX(EntryMan,$P362)=0,"",INDEX(EntryMan,$P362)))</f>
        <v/>
      </c>
      <c r="L362" s="28">
        <f>IF($B362="","",IF($K362="","—",IF(ROUND($K362-$J362,0)=0,"√","×")))</f>
        <v/>
      </c>
      <c r="M362" s="28">
        <f>IF($B362="","",IF(COUNTIFS(EntryDates,$B362,CalcTime,$C362,CalcBank,$C$5,EntryParty,$D362,EntryDep,$H362,EntryWit,$I362)&gt;1,"تکرار",""))</f>
        <v/>
      </c>
      <c r="N362" s="28">
        <f>IF($P362="","",IF(INDEX(EntryNotes,$P362)=0,"",INDEX(EntryNotes,$P362)))</f>
        <v/>
      </c>
      <c r="O362" s="28">
        <f>IF($P362="","",IF(INDEX(EntryTxnID,$P362)=0,"",INDEX(EntryTxnID,$P362)))</f>
        <v/>
      </c>
      <c r="P362" s="28">
        <f>IFERROR(MATCH($C$5&amp;"|"&amp;RIGHT("000000"&amp;346,6),CalcRankKey,0),"")</f>
        <v/>
      </c>
    </row>
    <row r="363">
      <c r="A363" s="26">
        <f>IF($B363="","",347)</f>
        <v/>
      </c>
      <c r="B363" s="26">
        <f>IF($P363="","",IF(INDEX(CalcNormDate,$P363)=0,"",INDEX(CalcNormDate,$P363)))</f>
        <v/>
      </c>
      <c r="C363" s="26">
        <f>IF($P363="","",IF(INDEX(CalcTime,$P363)=0,"",INDEX(CalcTime,$P363)))</f>
        <v/>
      </c>
      <c r="D363" s="26">
        <f>IF($P363="","",IF(INDEX(EntryParty,$P363)=0,"",INDEX(EntryParty,$P363)))</f>
        <v/>
      </c>
      <c r="E363" s="26">
        <f>IF($P363="","",IF(INDEX(EntryPartyName,$P363)=0,"",INDEX(EntryPartyName,$P363)))</f>
        <v/>
      </c>
      <c r="F363" s="26">
        <f>IF($P363="","",IF(INDEX(EntryPartyType,$P363)=0,"",INDEX(EntryPartyType,$P363)))</f>
        <v/>
      </c>
      <c r="G363" s="26">
        <f>IF($P363="","",IF(INDEX(EntryTxnType,$P363)=0,"",INDEX(EntryTxnType,$P363)))</f>
        <v/>
      </c>
      <c r="H363" s="27">
        <f>IF($P363="","",IF(INDEX(EntryDep,$P363)=0,"",INDEX(EntryDep,$P363)))</f>
        <v/>
      </c>
      <c r="I363" s="27">
        <f>IF($P363="","",IF(INDEX(EntryWit,$P363)=0,"",INDEX(EntryWit,$P363)))</f>
        <v/>
      </c>
      <c r="J363" s="27">
        <f>IF($B363="","",IF($A363=1,$C$7,IF(J362="",0,J362))+IF($H363="",0,$H363)-IF($I363="",0,$I363))</f>
        <v/>
      </c>
      <c r="K363" s="27">
        <f>IF($P363="","",IF(INDEX(EntryMan,$P363)=0,"",INDEX(EntryMan,$P363)))</f>
        <v/>
      </c>
      <c r="L363" s="26">
        <f>IF($B363="","",IF($K363="","—",IF(ROUND($K363-$J363,0)=0,"√","×")))</f>
        <v/>
      </c>
      <c r="M363" s="26">
        <f>IF($B363="","",IF(COUNTIFS(EntryDates,$B363,CalcTime,$C363,CalcBank,$C$5,EntryParty,$D363,EntryDep,$H363,EntryWit,$I363)&gt;1,"تکرار",""))</f>
        <v/>
      </c>
      <c r="N363" s="26">
        <f>IF($P363="","",IF(INDEX(EntryNotes,$P363)=0,"",INDEX(EntryNotes,$P363)))</f>
        <v/>
      </c>
      <c r="O363" s="26">
        <f>IF($P363="","",IF(INDEX(EntryTxnID,$P363)=0,"",INDEX(EntryTxnID,$P363)))</f>
        <v/>
      </c>
      <c r="P363" s="26">
        <f>IFERROR(MATCH($C$5&amp;"|"&amp;RIGHT("000000"&amp;347,6),CalcRankKey,0),"")</f>
        <v/>
      </c>
    </row>
    <row r="364">
      <c r="A364" s="28">
        <f>IF($B364="","",348)</f>
        <v/>
      </c>
      <c r="B364" s="28">
        <f>IF($P364="","",IF(INDEX(CalcNormDate,$P364)=0,"",INDEX(CalcNormDate,$P364)))</f>
        <v/>
      </c>
      <c r="C364" s="28">
        <f>IF($P364="","",IF(INDEX(CalcTime,$P364)=0,"",INDEX(CalcTime,$P364)))</f>
        <v/>
      </c>
      <c r="D364" s="28">
        <f>IF($P364="","",IF(INDEX(EntryParty,$P364)=0,"",INDEX(EntryParty,$P364)))</f>
        <v/>
      </c>
      <c r="E364" s="28">
        <f>IF($P364="","",IF(INDEX(EntryPartyName,$P364)=0,"",INDEX(EntryPartyName,$P364)))</f>
        <v/>
      </c>
      <c r="F364" s="28">
        <f>IF($P364="","",IF(INDEX(EntryPartyType,$P364)=0,"",INDEX(EntryPartyType,$P364)))</f>
        <v/>
      </c>
      <c r="G364" s="28">
        <f>IF($P364="","",IF(INDEX(EntryTxnType,$P364)=0,"",INDEX(EntryTxnType,$P364)))</f>
        <v/>
      </c>
      <c r="H364" s="29">
        <f>IF($P364="","",IF(INDEX(EntryDep,$P364)=0,"",INDEX(EntryDep,$P364)))</f>
        <v/>
      </c>
      <c r="I364" s="29">
        <f>IF($P364="","",IF(INDEX(EntryWit,$P364)=0,"",INDEX(EntryWit,$P364)))</f>
        <v/>
      </c>
      <c r="J364" s="29">
        <f>IF($B364="","",IF($A364=1,$C$7,IF(J363="",0,J363))+IF($H364="",0,$H364)-IF($I364="",0,$I364))</f>
        <v/>
      </c>
      <c r="K364" s="29">
        <f>IF($P364="","",IF(INDEX(EntryMan,$P364)=0,"",INDEX(EntryMan,$P364)))</f>
        <v/>
      </c>
      <c r="L364" s="28">
        <f>IF($B364="","",IF($K364="","—",IF(ROUND($K364-$J364,0)=0,"√","×")))</f>
        <v/>
      </c>
      <c r="M364" s="28">
        <f>IF($B364="","",IF(COUNTIFS(EntryDates,$B364,CalcTime,$C364,CalcBank,$C$5,EntryParty,$D364,EntryDep,$H364,EntryWit,$I364)&gt;1,"تکرار",""))</f>
        <v/>
      </c>
      <c r="N364" s="28">
        <f>IF($P364="","",IF(INDEX(EntryNotes,$P364)=0,"",INDEX(EntryNotes,$P364)))</f>
        <v/>
      </c>
      <c r="O364" s="28">
        <f>IF($P364="","",IF(INDEX(EntryTxnID,$P364)=0,"",INDEX(EntryTxnID,$P364)))</f>
        <v/>
      </c>
      <c r="P364" s="28">
        <f>IFERROR(MATCH($C$5&amp;"|"&amp;RIGHT("000000"&amp;348,6),CalcRankKey,0),"")</f>
        <v/>
      </c>
    </row>
    <row r="365">
      <c r="A365" s="26">
        <f>IF($B365="","",349)</f>
        <v/>
      </c>
      <c r="B365" s="26">
        <f>IF($P365="","",IF(INDEX(CalcNormDate,$P365)=0,"",INDEX(CalcNormDate,$P365)))</f>
        <v/>
      </c>
      <c r="C365" s="26">
        <f>IF($P365="","",IF(INDEX(CalcTime,$P365)=0,"",INDEX(CalcTime,$P365)))</f>
        <v/>
      </c>
      <c r="D365" s="26">
        <f>IF($P365="","",IF(INDEX(EntryParty,$P365)=0,"",INDEX(EntryParty,$P365)))</f>
        <v/>
      </c>
      <c r="E365" s="26">
        <f>IF($P365="","",IF(INDEX(EntryPartyName,$P365)=0,"",INDEX(EntryPartyName,$P365)))</f>
        <v/>
      </c>
      <c r="F365" s="26">
        <f>IF($P365="","",IF(INDEX(EntryPartyType,$P365)=0,"",INDEX(EntryPartyType,$P365)))</f>
        <v/>
      </c>
      <c r="G365" s="26">
        <f>IF($P365="","",IF(INDEX(EntryTxnType,$P365)=0,"",INDEX(EntryTxnType,$P365)))</f>
        <v/>
      </c>
      <c r="H365" s="27">
        <f>IF($P365="","",IF(INDEX(EntryDep,$P365)=0,"",INDEX(EntryDep,$P365)))</f>
        <v/>
      </c>
      <c r="I365" s="27">
        <f>IF($P365="","",IF(INDEX(EntryWit,$P365)=0,"",INDEX(EntryWit,$P365)))</f>
        <v/>
      </c>
      <c r="J365" s="27">
        <f>IF($B365="","",IF($A365=1,$C$7,IF(J364="",0,J364))+IF($H365="",0,$H365)-IF($I365="",0,$I365))</f>
        <v/>
      </c>
      <c r="K365" s="27">
        <f>IF($P365="","",IF(INDEX(EntryMan,$P365)=0,"",INDEX(EntryMan,$P365)))</f>
        <v/>
      </c>
      <c r="L365" s="26">
        <f>IF($B365="","",IF($K365="","—",IF(ROUND($K365-$J365,0)=0,"√","×")))</f>
        <v/>
      </c>
      <c r="M365" s="26">
        <f>IF($B365="","",IF(COUNTIFS(EntryDates,$B365,CalcTime,$C365,CalcBank,$C$5,EntryParty,$D365,EntryDep,$H365,EntryWit,$I365)&gt;1,"تکرار",""))</f>
        <v/>
      </c>
      <c r="N365" s="26">
        <f>IF($P365="","",IF(INDEX(EntryNotes,$P365)=0,"",INDEX(EntryNotes,$P365)))</f>
        <v/>
      </c>
      <c r="O365" s="26">
        <f>IF($P365="","",IF(INDEX(EntryTxnID,$P365)=0,"",INDEX(EntryTxnID,$P365)))</f>
        <v/>
      </c>
      <c r="P365" s="26">
        <f>IFERROR(MATCH($C$5&amp;"|"&amp;RIGHT("000000"&amp;349,6),CalcRankKey,0),"")</f>
        <v/>
      </c>
    </row>
    <row r="366">
      <c r="A366" s="28">
        <f>IF($B366="","",350)</f>
        <v/>
      </c>
      <c r="B366" s="28">
        <f>IF($P366="","",IF(INDEX(CalcNormDate,$P366)=0,"",INDEX(CalcNormDate,$P366)))</f>
        <v/>
      </c>
      <c r="C366" s="28">
        <f>IF($P366="","",IF(INDEX(CalcTime,$P366)=0,"",INDEX(CalcTime,$P366)))</f>
        <v/>
      </c>
      <c r="D366" s="28">
        <f>IF($P366="","",IF(INDEX(EntryParty,$P366)=0,"",INDEX(EntryParty,$P366)))</f>
        <v/>
      </c>
      <c r="E366" s="28">
        <f>IF($P366="","",IF(INDEX(EntryPartyName,$P366)=0,"",INDEX(EntryPartyName,$P366)))</f>
        <v/>
      </c>
      <c r="F366" s="28">
        <f>IF($P366="","",IF(INDEX(EntryPartyType,$P366)=0,"",INDEX(EntryPartyType,$P366)))</f>
        <v/>
      </c>
      <c r="G366" s="28">
        <f>IF($P366="","",IF(INDEX(EntryTxnType,$P366)=0,"",INDEX(EntryTxnType,$P366)))</f>
        <v/>
      </c>
      <c r="H366" s="29">
        <f>IF($P366="","",IF(INDEX(EntryDep,$P366)=0,"",INDEX(EntryDep,$P366)))</f>
        <v/>
      </c>
      <c r="I366" s="29">
        <f>IF($P366="","",IF(INDEX(EntryWit,$P366)=0,"",INDEX(EntryWit,$P366)))</f>
        <v/>
      </c>
      <c r="J366" s="29">
        <f>IF($B366="","",IF($A366=1,$C$7,IF(J365="",0,J365))+IF($H366="",0,$H366)-IF($I366="",0,$I366))</f>
        <v/>
      </c>
      <c r="K366" s="29">
        <f>IF($P366="","",IF(INDEX(EntryMan,$P366)=0,"",INDEX(EntryMan,$P366)))</f>
        <v/>
      </c>
      <c r="L366" s="28">
        <f>IF($B366="","",IF($K366="","—",IF(ROUND($K366-$J366,0)=0,"√","×")))</f>
        <v/>
      </c>
      <c r="M366" s="28">
        <f>IF($B366="","",IF(COUNTIFS(EntryDates,$B366,CalcTime,$C366,CalcBank,$C$5,EntryParty,$D366,EntryDep,$H366,EntryWit,$I366)&gt;1,"تکرار",""))</f>
        <v/>
      </c>
      <c r="N366" s="28">
        <f>IF($P366="","",IF(INDEX(EntryNotes,$P366)=0,"",INDEX(EntryNotes,$P366)))</f>
        <v/>
      </c>
      <c r="O366" s="28">
        <f>IF($P366="","",IF(INDEX(EntryTxnID,$P366)=0,"",INDEX(EntryTxnID,$P366)))</f>
        <v/>
      </c>
      <c r="P366" s="28">
        <f>IFERROR(MATCH($C$5&amp;"|"&amp;RIGHT("000000"&amp;350,6),CalcRankKey,0),"")</f>
        <v/>
      </c>
    </row>
    <row r="367">
      <c r="A367" s="26">
        <f>IF($B367="","",351)</f>
        <v/>
      </c>
      <c r="B367" s="26">
        <f>IF($P367="","",IF(INDEX(CalcNormDate,$P367)=0,"",INDEX(CalcNormDate,$P367)))</f>
        <v/>
      </c>
      <c r="C367" s="26">
        <f>IF($P367="","",IF(INDEX(CalcTime,$P367)=0,"",INDEX(CalcTime,$P367)))</f>
        <v/>
      </c>
      <c r="D367" s="26">
        <f>IF($P367="","",IF(INDEX(EntryParty,$P367)=0,"",INDEX(EntryParty,$P367)))</f>
        <v/>
      </c>
      <c r="E367" s="26">
        <f>IF($P367="","",IF(INDEX(EntryPartyName,$P367)=0,"",INDEX(EntryPartyName,$P367)))</f>
        <v/>
      </c>
      <c r="F367" s="26">
        <f>IF($P367="","",IF(INDEX(EntryPartyType,$P367)=0,"",INDEX(EntryPartyType,$P367)))</f>
        <v/>
      </c>
      <c r="G367" s="26">
        <f>IF($P367="","",IF(INDEX(EntryTxnType,$P367)=0,"",INDEX(EntryTxnType,$P367)))</f>
        <v/>
      </c>
      <c r="H367" s="27">
        <f>IF($P367="","",IF(INDEX(EntryDep,$P367)=0,"",INDEX(EntryDep,$P367)))</f>
        <v/>
      </c>
      <c r="I367" s="27">
        <f>IF($P367="","",IF(INDEX(EntryWit,$P367)=0,"",INDEX(EntryWit,$P367)))</f>
        <v/>
      </c>
      <c r="J367" s="27">
        <f>IF($B367="","",IF($A367=1,$C$7,IF(J366="",0,J366))+IF($H367="",0,$H367)-IF($I367="",0,$I367))</f>
        <v/>
      </c>
      <c r="K367" s="27">
        <f>IF($P367="","",IF(INDEX(EntryMan,$P367)=0,"",INDEX(EntryMan,$P367)))</f>
        <v/>
      </c>
      <c r="L367" s="26">
        <f>IF($B367="","",IF($K367="","—",IF(ROUND($K367-$J367,0)=0,"√","×")))</f>
        <v/>
      </c>
      <c r="M367" s="26">
        <f>IF($B367="","",IF(COUNTIFS(EntryDates,$B367,CalcTime,$C367,CalcBank,$C$5,EntryParty,$D367,EntryDep,$H367,EntryWit,$I367)&gt;1,"تکرار",""))</f>
        <v/>
      </c>
      <c r="N367" s="26">
        <f>IF($P367="","",IF(INDEX(EntryNotes,$P367)=0,"",INDEX(EntryNotes,$P367)))</f>
        <v/>
      </c>
      <c r="O367" s="26">
        <f>IF($P367="","",IF(INDEX(EntryTxnID,$P367)=0,"",INDEX(EntryTxnID,$P367)))</f>
        <v/>
      </c>
      <c r="P367" s="26">
        <f>IFERROR(MATCH($C$5&amp;"|"&amp;RIGHT("000000"&amp;351,6),CalcRankKey,0),"")</f>
        <v/>
      </c>
    </row>
    <row r="368">
      <c r="A368" s="28">
        <f>IF($B368="","",352)</f>
        <v/>
      </c>
      <c r="B368" s="28">
        <f>IF($P368="","",IF(INDEX(CalcNormDate,$P368)=0,"",INDEX(CalcNormDate,$P368)))</f>
        <v/>
      </c>
      <c r="C368" s="28">
        <f>IF($P368="","",IF(INDEX(CalcTime,$P368)=0,"",INDEX(CalcTime,$P368)))</f>
        <v/>
      </c>
      <c r="D368" s="28">
        <f>IF($P368="","",IF(INDEX(EntryParty,$P368)=0,"",INDEX(EntryParty,$P368)))</f>
        <v/>
      </c>
      <c r="E368" s="28">
        <f>IF($P368="","",IF(INDEX(EntryPartyName,$P368)=0,"",INDEX(EntryPartyName,$P368)))</f>
        <v/>
      </c>
      <c r="F368" s="28">
        <f>IF($P368="","",IF(INDEX(EntryPartyType,$P368)=0,"",INDEX(EntryPartyType,$P368)))</f>
        <v/>
      </c>
      <c r="G368" s="28">
        <f>IF($P368="","",IF(INDEX(EntryTxnType,$P368)=0,"",INDEX(EntryTxnType,$P368)))</f>
        <v/>
      </c>
      <c r="H368" s="29">
        <f>IF($P368="","",IF(INDEX(EntryDep,$P368)=0,"",INDEX(EntryDep,$P368)))</f>
        <v/>
      </c>
      <c r="I368" s="29">
        <f>IF($P368="","",IF(INDEX(EntryWit,$P368)=0,"",INDEX(EntryWit,$P368)))</f>
        <v/>
      </c>
      <c r="J368" s="29">
        <f>IF($B368="","",IF($A368=1,$C$7,IF(J367="",0,J367))+IF($H368="",0,$H368)-IF($I368="",0,$I368))</f>
        <v/>
      </c>
      <c r="K368" s="29">
        <f>IF($P368="","",IF(INDEX(EntryMan,$P368)=0,"",INDEX(EntryMan,$P368)))</f>
        <v/>
      </c>
      <c r="L368" s="28">
        <f>IF($B368="","",IF($K368="","—",IF(ROUND($K368-$J368,0)=0,"√","×")))</f>
        <v/>
      </c>
      <c r="M368" s="28">
        <f>IF($B368="","",IF(COUNTIFS(EntryDates,$B368,CalcTime,$C368,CalcBank,$C$5,EntryParty,$D368,EntryDep,$H368,EntryWit,$I368)&gt;1,"تکرار",""))</f>
        <v/>
      </c>
      <c r="N368" s="28">
        <f>IF($P368="","",IF(INDEX(EntryNotes,$P368)=0,"",INDEX(EntryNotes,$P368)))</f>
        <v/>
      </c>
      <c r="O368" s="28">
        <f>IF($P368="","",IF(INDEX(EntryTxnID,$P368)=0,"",INDEX(EntryTxnID,$P368)))</f>
        <v/>
      </c>
      <c r="P368" s="28">
        <f>IFERROR(MATCH($C$5&amp;"|"&amp;RIGHT("000000"&amp;352,6),CalcRankKey,0),"")</f>
        <v/>
      </c>
    </row>
    <row r="369">
      <c r="A369" s="26">
        <f>IF($B369="","",353)</f>
        <v/>
      </c>
      <c r="B369" s="26">
        <f>IF($P369="","",IF(INDEX(CalcNormDate,$P369)=0,"",INDEX(CalcNormDate,$P369)))</f>
        <v/>
      </c>
      <c r="C369" s="26">
        <f>IF($P369="","",IF(INDEX(CalcTime,$P369)=0,"",INDEX(CalcTime,$P369)))</f>
        <v/>
      </c>
      <c r="D369" s="26">
        <f>IF($P369="","",IF(INDEX(EntryParty,$P369)=0,"",INDEX(EntryParty,$P369)))</f>
        <v/>
      </c>
      <c r="E369" s="26">
        <f>IF($P369="","",IF(INDEX(EntryPartyName,$P369)=0,"",INDEX(EntryPartyName,$P369)))</f>
        <v/>
      </c>
      <c r="F369" s="26">
        <f>IF($P369="","",IF(INDEX(EntryPartyType,$P369)=0,"",INDEX(EntryPartyType,$P369)))</f>
        <v/>
      </c>
      <c r="G369" s="26">
        <f>IF($P369="","",IF(INDEX(EntryTxnType,$P369)=0,"",INDEX(EntryTxnType,$P369)))</f>
        <v/>
      </c>
      <c r="H369" s="27">
        <f>IF($P369="","",IF(INDEX(EntryDep,$P369)=0,"",INDEX(EntryDep,$P369)))</f>
        <v/>
      </c>
      <c r="I369" s="27">
        <f>IF($P369="","",IF(INDEX(EntryWit,$P369)=0,"",INDEX(EntryWit,$P369)))</f>
        <v/>
      </c>
      <c r="J369" s="27">
        <f>IF($B369="","",IF($A369=1,$C$7,IF(J368="",0,J368))+IF($H369="",0,$H369)-IF($I369="",0,$I369))</f>
        <v/>
      </c>
      <c r="K369" s="27">
        <f>IF($P369="","",IF(INDEX(EntryMan,$P369)=0,"",INDEX(EntryMan,$P369)))</f>
        <v/>
      </c>
      <c r="L369" s="26">
        <f>IF($B369="","",IF($K369="","—",IF(ROUND($K369-$J369,0)=0,"√","×")))</f>
        <v/>
      </c>
      <c r="M369" s="26">
        <f>IF($B369="","",IF(COUNTIFS(EntryDates,$B369,CalcTime,$C369,CalcBank,$C$5,EntryParty,$D369,EntryDep,$H369,EntryWit,$I369)&gt;1,"تکرار",""))</f>
        <v/>
      </c>
      <c r="N369" s="26">
        <f>IF($P369="","",IF(INDEX(EntryNotes,$P369)=0,"",INDEX(EntryNotes,$P369)))</f>
        <v/>
      </c>
      <c r="O369" s="26">
        <f>IF($P369="","",IF(INDEX(EntryTxnID,$P369)=0,"",INDEX(EntryTxnID,$P369)))</f>
        <v/>
      </c>
      <c r="P369" s="26">
        <f>IFERROR(MATCH($C$5&amp;"|"&amp;RIGHT("000000"&amp;353,6),CalcRankKey,0),"")</f>
        <v/>
      </c>
    </row>
    <row r="370">
      <c r="A370" s="28">
        <f>IF($B370="","",354)</f>
        <v/>
      </c>
      <c r="B370" s="28">
        <f>IF($P370="","",IF(INDEX(CalcNormDate,$P370)=0,"",INDEX(CalcNormDate,$P370)))</f>
        <v/>
      </c>
      <c r="C370" s="28">
        <f>IF($P370="","",IF(INDEX(CalcTime,$P370)=0,"",INDEX(CalcTime,$P370)))</f>
        <v/>
      </c>
      <c r="D370" s="28">
        <f>IF($P370="","",IF(INDEX(EntryParty,$P370)=0,"",INDEX(EntryParty,$P370)))</f>
        <v/>
      </c>
      <c r="E370" s="28">
        <f>IF($P370="","",IF(INDEX(EntryPartyName,$P370)=0,"",INDEX(EntryPartyName,$P370)))</f>
        <v/>
      </c>
      <c r="F370" s="28">
        <f>IF($P370="","",IF(INDEX(EntryPartyType,$P370)=0,"",INDEX(EntryPartyType,$P370)))</f>
        <v/>
      </c>
      <c r="G370" s="28">
        <f>IF($P370="","",IF(INDEX(EntryTxnType,$P370)=0,"",INDEX(EntryTxnType,$P370)))</f>
        <v/>
      </c>
      <c r="H370" s="29">
        <f>IF($P370="","",IF(INDEX(EntryDep,$P370)=0,"",INDEX(EntryDep,$P370)))</f>
        <v/>
      </c>
      <c r="I370" s="29">
        <f>IF($P370="","",IF(INDEX(EntryWit,$P370)=0,"",INDEX(EntryWit,$P370)))</f>
        <v/>
      </c>
      <c r="J370" s="29">
        <f>IF($B370="","",IF($A370=1,$C$7,IF(J369="",0,J369))+IF($H370="",0,$H370)-IF($I370="",0,$I370))</f>
        <v/>
      </c>
      <c r="K370" s="29">
        <f>IF($P370="","",IF(INDEX(EntryMan,$P370)=0,"",INDEX(EntryMan,$P370)))</f>
        <v/>
      </c>
      <c r="L370" s="28">
        <f>IF($B370="","",IF($K370="","—",IF(ROUND($K370-$J370,0)=0,"√","×")))</f>
        <v/>
      </c>
      <c r="M370" s="28">
        <f>IF($B370="","",IF(COUNTIFS(EntryDates,$B370,CalcTime,$C370,CalcBank,$C$5,EntryParty,$D370,EntryDep,$H370,EntryWit,$I370)&gt;1,"تکرار",""))</f>
        <v/>
      </c>
      <c r="N370" s="28">
        <f>IF($P370="","",IF(INDEX(EntryNotes,$P370)=0,"",INDEX(EntryNotes,$P370)))</f>
        <v/>
      </c>
      <c r="O370" s="28">
        <f>IF($P370="","",IF(INDEX(EntryTxnID,$P370)=0,"",INDEX(EntryTxnID,$P370)))</f>
        <v/>
      </c>
      <c r="P370" s="28">
        <f>IFERROR(MATCH($C$5&amp;"|"&amp;RIGHT("000000"&amp;354,6),CalcRankKey,0),"")</f>
        <v/>
      </c>
    </row>
    <row r="371">
      <c r="A371" s="26">
        <f>IF($B371="","",355)</f>
        <v/>
      </c>
      <c r="B371" s="26">
        <f>IF($P371="","",IF(INDEX(CalcNormDate,$P371)=0,"",INDEX(CalcNormDate,$P371)))</f>
        <v/>
      </c>
      <c r="C371" s="26">
        <f>IF($P371="","",IF(INDEX(CalcTime,$P371)=0,"",INDEX(CalcTime,$P371)))</f>
        <v/>
      </c>
      <c r="D371" s="26">
        <f>IF($P371="","",IF(INDEX(EntryParty,$P371)=0,"",INDEX(EntryParty,$P371)))</f>
        <v/>
      </c>
      <c r="E371" s="26">
        <f>IF($P371="","",IF(INDEX(EntryPartyName,$P371)=0,"",INDEX(EntryPartyName,$P371)))</f>
        <v/>
      </c>
      <c r="F371" s="26">
        <f>IF($P371="","",IF(INDEX(EntryPartyType,$P371)=0,"",INDEX(EntryPartyType,$P371)))</f>
        <v/>
      </c>
      <c r="G371" s="26">
        <f>IF($P371="","",IF(INDEX(EntryTxnType,$P371)=0,"",INDEX(EntryTxnType,$P371)))</f>
        <v/>
      </c>
      <c r="H371" s="27">
        <f>IF($P371="","",IF(INDEX(EntryDep,$P371)=0,"",INDEX(EntryDep,$P371)))</f>
        <v/>
      </c>
      <c r="I371" s="27">
        <f>IF($P371="","",IF(INDEX(EntryWit,$P371)=0,"",INDEX(EntryWit,$P371)))</f>
        <v/>
      </c>
      <c r="J371" s="27">
        <f>IF($B371="","",IF($A371=1,$C$7,IF(J370="",0,J370))+IF($H371="",0,$H371)-IF($I371="",0,$I371))</f>
        <v/>
      </c>
      <c r="K371" s="27">
        <f>IF($P371="","",IF(INDEX(EntryMan,$P371)=0,"",INDEX(EntryMan,$P371)))</f>
        <v/>
      </c>
      <c r="L371" s="26">
        <f>IF($B371="","",IF($K371="","—",IF(ROUND($K371-$J371,0)=0,"√","×")))</f>
        <v/>
      </c>
      <c r="M371" s="26">
        <f>IF($B371="","",IF(COUNTIFS(EntryDates,$B371,CalcTime,$C371,CalcBank,$C$5,EntryParty,$D371,EntryDep,$H371,EntryWit,$I371)&gt;1,"تکرار",""))</f>
        <v/>
      </c>
      <c r="N371" s="26">
        <f>IF($P371="","",IF(INDEX(EntryNotes,$P371)=0,"",INDEX(EntryNotes,$P371)))</f>
        <v/>
      </c>
      <c r="O371" s="26">
        <f>IF($P371="","",IF(INDEX(EntryTxnID,$P371)=0,"",INDEX(EntryTxnID,$P371)))</f>
        <v/>
      </c>
      <c r="P371" s="26">
        <f>IFERROR(MATCH($C$5&amp;"|"&amp;RIGHT("000000"&amp;355,6),CalcRankKey,0),"")</f>
        <v/>
      </c>
    </row>
    <row r="372">
      <c r="A372" s="28">
        <f>IF($B372="","",356)</f>
        <v/>
      </c>
      <c r="B372" s="28">
        <f>IF($P372="","",IF(INDEX(CalcNormDate,$P372)=0,"",INDEX(CalcNormDate,$P372)))</f>
        <v/>
      </c>
      <c r="C372" s="28">
        <f>IF($P372="","",IF(INDEX(CalcTime,$P372)=0,"",INDEX(CalcTime,$P372)))</f>
        <v/>
      </c>
      <c r="D372" s="28">
        <f>IF($P372="","",IF(INDEX(EntryParty,$P372)=0,"",INDEX(EntryParty,$P372)))</f>
        <v/>
      </c>
      <c r="E372" s="28">
        <f>IF($P372="","",IF(INDEX(EntryPartyName,$P372)=0,"",INDEX(EntryPartyName,$P372)))</f>
        <v/>
      </c>
      <c r="F372" s="28">
        <f>IF($P372="","",IF(INDEX(EntryPartyType,$P372)=0,"",INDEX(EntryPartyType,$P372)))</f>
        <v/>
      </c>
      <c r="G372" s="28">
        <f>IF($P372="","",IF(INDEX(EntryTxnType,$P372)=0,"",INDEX(EntryTxnType,$P372)))</f>
        <v/>
      </c>
      <c r="H372" s="29">
        <f>IF($P372="","",IF(INDEX(EntryDep,$P372)=0,"",INDEX(EntryDep,$P372)))</f>
        <v/>
      </c>
      <c r="I372" s="29">
        <f>IF($P372="","",IF(INDEX(EntryWit,$P372)=0,"",INDEX(EntryWit,$P372)))</f>
        <v/>
      </c>
      <c r="J372" s="29">
        <f>IF($B372="","",IF($A372=1,$C$7,IF(J371="",0,J371))+IF($H372="",0,$H372)-IF($I372="",0,$I372))</f>
        <v/>
      </c>
      <c r="K372" s="29">
        <f>IF($P372="","",IF(INDEX(EntryMan,$P372)=0,"",INDEX(EntryMan,$P372)))</f>
        <v/>
      </c>
      <c r="L372" s="28">
        <f>IF($B372="","",IF($K372="","—",IF(ROUND($K372-$J372,0)=0,"√","×")))</f>
        <v/>
      </c>
      <c r="M372" s="28">
        <f>IF($B372="","",IF(COUNTIFS(EntryDates,$B372,CalcTime,$C372,CalcBank,$C$5,EntryParty,$D372,EntryDep,$H372,EntryWit,$I372)&gt;1,"تکرار",""))</f>
        <v/>
      </c>
      <c r="N372" s="28">
        <f>IF($P372="","",IF(INDEX(EntryNotes,$P372)=0,"",INDEX(EntryNotes,$P372)))</f>
        <v/>
      </c>
      <c r="O372" s="28">
        <f>IF($P372="","",IF(INDEX(EntryTxnID,$P372)=0,"",INDEX(EntryTxnID,$P372)))</f>
        <v/>
      </c>
      <c r="P372" s="28">
        <f>IFERROR(MATCH($C$5&amp;"|"&amp;RIGHT("000000"&amp;356,6),CalcRankKey,0),"")</f>
        <v/>
      </c>
    </row>
    <row r="373">
      <c r="A373" s="26">
        <f>IF($B373="","",357)</f>
        <v/>
      </c>
      <c r="B373" s="26">
        <f>IF($P373="","",IF(INDEX(CalcNormDate,$P373)=0,"",INDEX(CalcNormDate,$P373)))</f>
        <v/>
      </c>
      <c r="C373" s="26">
        <f>IF($P373="","",IF(INDEX(CalcTime,$P373)=0,"",INDEX(CalcTime,$P373)))</f>
        <v/>
      </c>
      <c r="D373" s="26">
        <f>IF($P373="","",IF(INDEX(EntryParty,$P373)=0,"",INDEX(EntryParty,$P373)))</f>
        <v/>
      </c>
      <c r="E373" s="26">
        <f>IF($P373="","",IF(INDEX(EntryPartyName,$P373)=0,"",INDEX(EntryPartyName,$P373)))</f>
        <v/>
      </c>
      <c r="F373" s="26">
        <f>IF($P373="","",IF(INDEX(EntryPartyType,$P373)=0,"",INDEX(EntryPartyType,$P373)))</f>
        <v/>
      </c>
      <c r="G373" s="26">
        <f>IF($P373="","",IF(INDEX(EntryTxnType,$P373)=0,"",INDEX(EntryTxnType,$P373)))</f>
        <v/>
      </c>
      <c r="H373" s="27">
        <f>IF($P373="","",IF(INDEX(EntryDep,$P373)=0,"",INDEX(EntryDep,$P373)))</f>
        <v/>
      </c>
      <c r="I373" s="27">
        <f>IF($P373="","",IF(INDEX(EntryWit,$P373)=0,"",INDEX(EntryWit,$P373)))</f>
        <v/>
      </c>
      <c r="J373" s="27">
        <f>IF($B373="","",IF($A373=1,$C$7,IF(J372="",0,J372))+IF($H373="",0,$H373)-IF($I373="",0,$I373))</f>
        <v/>
      </c>
      <c r="K373" s="27">
        <f>IF($P373="","",IF(INDEX(EntryMan,$P373)=0,"",INDEX(EntryMan,$P373)))</f>
        <v/>
      </c>
      <c r="L373" s="26">
        <f>IF($B373="","",IF($K373="","—",IF(ROUND($K373-$J373,0)=0,"√","×")))</f>
        <v/>
      </c>
      <c r="M373" s="26">
        <f>IF($B373="","",IF(COUNTIFS(EntryDates,$B373,CalcTime,$C373,CalcBank,$C$5,EntryParty,$D373,EntryDep,$H373,EntryWit,$I373)&gt;1,"تکرار",""))</f>
        <v/>
      </c>
      <c r="N373" s="26">
        <f>IF($P373="","",IF(INDEX(EntryNotes,$P373)=0,"",INDEX(EntryNotes,$P373)))</f>
        <v/>
      </c>
      <c r="O373" s="26">
        <f>IF($P373="","",IF(INDEX(EntryTxnID,$P373)=0,"",INDEX(EntryTxnID,$P373)))</f>
        <v/>
      </c>
      <c r="P373" s="26">
        <f>IFERROR(MATCH($C$5&amp;"|"&amp;RIGHT("000000"&amp;357,6),CalcRankKey,0),"")</f>
        <v/>
      </c>
    </row>
    <row r="374">
      <c r="A374" s="28">
        <f>IF($B374="","",358)</f>
        <v/>
      </c>
      <c r="B374" s="28">
        <f>IF($P374="","",IF(INDEX(CalcNormDate,$P374)=0,"",INDEX(CalcNormDate,$P374)))</f>
        <v/>
      </c>
      <c r="C374" s="28">
        <f>IF($P374="","",IF(INDEX(CalcTime,$P374)=0,"",INDEX(CalcTime,$P374)))</f>
        <v/>
      </c>
      <c r="D374" s="28">
        <f>IF($P374="","",IF(INDEX(EntryParty,$P374)=0,"",INDEX(EntryParty,$P374)))</f>
        <v/>
      </c>
      <c r="E374" s="28">
        <f>IF($P374="","",IF(INDEX(EntryPartyName,$P374)=0,"",INDEX(EntryPartyName,$P374)))</f>
        <v/>
      </c>
      <c r="F374" s="28">
        <f>IF($P374="","",IF(INDEX(EntryPartyType,$P374)=0,"",INDEX(EntryPartyType,$P374)))</f>
        <v/>
      </c>
      <c r="G374" s="28">
        <f>IF($P374="","",IF(INDEX(EntryTxnType,$P374)=0,"",INDEX(EntryTxnType,$P374)))</f>
        <v/>
      </c>
      <c r="H374" s="29">
        <f>IF($P374="","",IF(INDEX(EntryDep,$P374)=0,"",INDEX(EntryDep,$P374)))</f>
        <v/>
      </c>
      <c r="I374" s="29">
        <f>IF($P374="","",IF(INDEX(EntryWit,$P374)=0,"",INDEX(EntryWit,$P374)))</f>
        <v/>
      </c>
      <c r="J374" s="29">
        <f>IF($B374="","",IF($A374=1,$C$7,IF(J373="",0,J373))+IF($H374="",0,$H374)-IF($I374="",0,$I374))</f>
        <v/>
      </c>
      <c r="K374" s="29">
        <f>IF($P374="","",IF(INDEX(EntryMan,$P374)=0,"",INDEX(EntryMan,$P374)))</f>
        <v/>
      </c>
      <c r="L374" s="28">
        <f>IF($B374="","",IF($K374="","—",IF(ROUND($K374-$J374,0)=0,"√","×")))</f>
        <v/>
      </c>
      <c r="M374" s="28">
        <f>IF($B374="","",IF(COUNTIFS(EntryDates,$B374,CalcTime,$C374,CalcBank,$C$5,EntryParty,$D374,EntryDep,$H374,EntryWit,$I374)&gt;1,"تکرار",""))</f>
        <v/>
      </c>
      <c r="N374" s="28">
        <f>IF($P374="","",IF(INDEX(EntryNotes,$P374)=0,"",INDEX(EntryNotes,$P374)))</f>
        <v/>
      </c>
      <c r="O374" s="28">
        <f>IF($P374="","",IF(INDEX(EntryTxnID,$P374)=0,"",INDEX(EntryTxnID,$P374)))</f>
        <v/>
      </c>
      <c r="P374" s="28">
        <f>IFERROR(MATCH($C$5&amp;"|"&amp;RIGHT("000000"&amp;358,6),CalcRankKey,0),"")</f>
        <v/>
      </c>
    </row>
    <row r="375">
      <c r="A375" s="26">
        <f>IF($B375="","",359)</f>
        <v/>
      </c>
      <c r="B375" s="26">
        <f>IF($P375="","",IF(INDEX(CalcNormDate,$P375)=0,"",INDEX(CalcNormDate,$P375)))</f>
        <v/>
      </c>
      <c r="C375" s="26">
        <f>IF($P375="","",IF(INDEX(CalcTime,$P375)=0,"",INDEX(CalcTime,$P375)))</f>
        <v/>
      </c>
      <c r="D375" s="26">
        <f>IF($P375="","",IF(INDEX(EntryParty,$P375)=0,"",INDEX(EntryParty,$P375)))</f>
        <v/>
      </c>
      <c r="E375" s="26">
        <f>IF($P375="","",IF(INDEX(EntryPartyName,$P375)=0,"",INDEX(EntryPartyName,$P375)))</f>
        <v/>
      </c>
      <c r="F375" s="26">
        <f>IF($P375="","",IF(INDEX(EntryPartyType,$P375)=0,"",INDEX(EntryPartyType,$P375)))</f>
        <v/>
      </c>
      <c r="G375" s="26">
        <f>IF($P375="","",IF(INDEX(EntryTxnType,$P375)=0,"",INDEX(EntryTxnType,$P375)))</f>
        <v/>
      </c>
      <c r="H375" s="27">
        <f>IF($P375="","",IF(INDEX(EntryDep,$P375)=0,"",INDEX(EntryDep,$P375)))</f>
        <v/>
      </c>
      <c r="I375" s="27">
        <f>IF($P375="","",IF(INDEX(EntryWit,$P375)=0,"",INDEX(EntryWit,$P375)))</f>
        <v/>
      </c>
      <c r="J375" s="27">
        <f>IF($B375="","",IF($A375=1,$C$7,IF(J374="",0,J374))+IF($H375="",0,$H375)-IF($I375="",0,$I375))</f>
        <v/>
      </c>
      <c r="K375" s="27">
        <f>IF($P375="","",IF(INDEX(EntryMan,$P375)=0,"",INDEX(EntryMan,$P375)))</f>
        <v/>
      </c>
      <c r="L375" s="26">
        <f>IF($B375="","",IF($K375="","—",IF(ROUND($K375-$J375,0)=0,"√","×")))</f>
        <v/>
      </c>
      <c r="M375" s="26">
        <f>IF($B375="","",IF(COUNTIFS(EntryDates,$B375,CalcTime,$C375,CalcBank,$C$5,EntryParty,$D375,EntryDep,$H375,EntryWit,$I375)&gt;1,"تکرار",""))</f>
        <v/>
      </c>
      <c r="N375" s="26">
        <f>IF($P375="","",IF(INDEX(EntryNotes,$P375)=0,"",INDEX(EntryNotes,$P375)))</f>
        <v/>
      </c>
      <c r="O375" s="26">
        <f>IF($P375="","",IF(INDEX(EntryTxnID,$P375)=0,"",INDEX(EntryTxnID,$P375)))</f>
        <v/>
      </c>
      <c r="P375" s="26">
        <f>IFERROR(MATCH($C$5&amp;"|"&amp;RIGHT("000000"&amp;359,6),CalcRankKey,0),"")</f>
        <v/>
      </c>
    </row>
    <row r="376">
      <c r="A376" s="28">
        <f>IF($B376="","",360)</f>
        <v/>
      </c>
      <c r="B376" s="28">
        <f>IF($P376="","",IF(INDEX(CalcNormDate,$P376)=0,"",INDEX(CalcNormDate,$P376)))</f>
        <v/>
      </c>
      <c r="C376" s="28">
        <f>IF($P376="","",IF(INDEX(CalcTime,$P376)=0,"",INDEX(CalcTime,$P376)))</f>
        <v/>
      </c>
      <c r="D376" s="28">
        <f>IF($P376="","",IF(INDEX(EntryParty,$P376)=0,"",INDEX(EntryParty,$P376)))</f>
        <v/>
      </c>
      <c r="E376" s="28">
        <f>IF($P376="","",IF(INDEX(EntryPartyName,$P376)=0,"",INDEX(EntryPartyName,$P376)))</f>
        <v/>
      </c>
      <c r="F376" s="28">
        <f>IF($P376="","",IF(INDEX(EntryPartyType,$P376)=0,"",INDEX(EntryPartyType,$P376)))</f>
        <v/>
      </c>
      <c r="G376" s="28">
        <f>IF($P376="","",IF(INDEX(EntryTxnType,$P376)=0,"",INDEX(EntryTxnType,$P376)))</f>
        <v/>
      </c>
      <c r="H376" s="29">
        <f>IF($P376="","",IF(INDEX(EntryDep,$P376)=0,"",INDEX(EntryDep,$P376)))</f>
        <v/>
      </c>
      <c r="I376" s="29">
        <f>IF($P376="","",IF(INDEX(EntryWit,$P376)=0,"",INDEX(EntryWit,$P376)))</f>
        <v/>
      </c>
      <c r="J376" s="29">
        <f>IF($B376="","",IF($A376=1,$C$7,IF(J375="",0,J375))+IF($H376="",0,$H376)-IF($I376="",0,$I376))</f>
        <v/>
      </c>
      <c r="K376" s="29">
        <f>IF($P376="","",IF(INDEX(EntryMan,$P376)=0,"",INDEX(EntryMan,$P376)))</f>
        <v/>
      </c>
      <c r="L376" s="28">
        <f>IF($B376="","",IF($K376="","—",IF(ROUND($K376-$J376,0)=0,"√","×")))</f>
        <v/>
      </c>
      <c r="M376" s="28">
        <f>IF($B376="","",IF(COUNTIFS(EntryDates,$B376,CalcTime,$C376,CalcBank,$C$5,EntryParty,$D376,EntryDep,$H376,EntryWit,$I376)&gt;1,"تکرار",""))</f>
        <v/>
      </c>
      <c r="N376" s="28">
        <f>IF($P376="","",IF(INDEX(EntryNotes,$P376)=0,"",INDEX(EntryNotes,$P376)))</f>
        <v/>
      </c>
      <c r="O376" s="28">
        <f>IF($P376="","",IF(INDEX(EntryTxnID,$P376)=0,"",INDEX(EntryTxnID,$P376)))</f>
        <v/>
      </c>
      <c r="P376" s="28">
        <f>IFERROR(MATCH($C$5&amp;"|"&amp;RIGHT("000000"&amp;360,6),CalcRankKey,0),"")</f>
        <v/>
      </c>
    </row>
    <row r="377">
      <c r="A377" s="26">
        <f>IF($B377="","",361)</f>
        <v/>
      </c>
      <c r="B377" s="26">
        <f>IF($P377="","",IF(INDEX(CalcNormDate,$P377)=0,"",INDEX(CalcNormDate,$P377)))</f>
        <v/>
      </c>
      <c r="C377" s="26">
        <f>IF($P377="","",IF(INDEX(CalcTime,$P377)=0,"",INDEX(CalcTime,$P377)))</f>
        <v/>
      </c>
      <c r="D377" s="26">
        <f>IF($P377="","",IF(INDEX(EntryParty,$P377)=0,"",INDEX(EntryParty,$P377)))</f>
        <v/>
      </c>
      <c r="E377" s="26">
        <f>IF($P377="","",IF(INDEX(EntryPartyName,$P377)=0,"",INDEX(EntryPartyName,$P377)))</f>
        <v/>
      </c>
      <c r="F377" s="26">
        <f>IF($P377="","",IF(INDEX(EntryPartyType,$P377)=0,"",INDEX(EntryPartyType,$P377)))</f>
        <v/>
      </c>
      <c r="G377" s="26">
        <f>IF($P377="","",IF(INDEX(EntryTxnType,$P377)=0,"",INDEX(EntryTxnType,$P377)))</f>
        <v/>
      </c>
      <c r="H377" s="27">
        <f>IF($P377="","",IF(INDEX(EntryDep,$P377)=0,"",INDEX(EntryDep,$P377)))</f>
        <v/>
      </c>
      <c r="I377" s="27">
        <f>IF($P377="","",IF(INDEX(EntryWit,$P377)=0,"",INDEX(EntryWit,$P377)))</f>
        <v/>
      </c>
      <c r="J377" s="27">
        <f>IF($B377="","",IF($A377=1,$C$7,IF(J376="",0,J376))+IF($H377="",0,$H377)-IF($I377="",0,$I377))</f>
        <v/>
      </c>
      <c r="K377" s="27">
        <f>IF($P377="","",IF(INDEX(EntryMan,$P377)=0,"",INDEX(EntryMan,$P377)))</f>
        <v/>
      </c>
      <c r="L377" s="26">
        <f>IF($B377="","",IF($K377="","—",IF(ROUND($K377-$J377,0)=0,"√","×")))</f>
        <v/>
      </c>
      <c r="M377" s="26">
        <f>IF($B377="","",IF(COUNTIFS(EntryDates,$B377,CalcTime,$C377,CalcBank,$C$5,EntryParty,$D377,EntryDep,$H377,EntryWit,$I377)&gt;1,"تکرار",""))</f>
        <v/>
      </c>
      <c r="N377" s="26">
        <f>IF($P377="","",IF(INDEX(EntryNotes,$P377)=0,"",INDEX(EntryNotes,$P377)))</f>
        <v/>
      </c>
      <c r="O377" s="26">
        <f>IF($P377="","",IF(INDEX(EntryTxnID,$P377)=0,"",INDEX(EntryTxnID,$P377)))</f>
        <v/>
      </c>
      <c r="P377" s="26">
        <f>IFERROR(MATCH($C$5&amp;"|"&amp;RIGHT("000000"&amp;361,6),CalcRankKey,0),"")</f>
        <v/>
      </c>
    </row>
    <row r="378">
      <c r="A378" s="28">
        <f>IF($B378="","",362)</f>
        <v/>
      </c>
      <c r="B378" s="28">
        <f>IF($P378="","",IF(INDEX(CalcNormDate,$P378)=0,"",INDEX(CalcNormDate,$P378)))</f>
        <v/>
      </c>
      <c r="C378" s="28">
        <f>IF($P378="","",IF(INDEX(CalcTime,$P378)=0,"",INDEX(CalcTime,$P378)))</f>
        <v/>
      </c>
      <c r="D378" s="28">
        <f>IF($P378="","",IF(INDEX(EntryParty,$P378)=0,"",INDEX(EntryParty,$P378)))</f>
        <v/>
      </c>
      <c r="E378" s="28">
        <f>IF($P378="","",IF(INDEX(EntryPartyName,$P378)=0,"",INDEX(EntryPartyName,$P378)))</f>
        <v/>
      </c>
      <c r="F378" s="28">
        <f>IF($P378="","",IF(INDEX(EntryPartyType,$P378)=0,"",INDEX(EntryPartyType,$P378)))</f>
        <v/>
      </c>
      <c r="G378" s="28">
        <f>IF($P378="","",IF(INDEX(EntryTxnType,$P378)=0,"",INDEX(EntryTxnType,$P378)))</f>
        <v/>
      </c>
      <c r="H378" s="29">
        <f>IF($P378="","",IF(INDEX(EntryDep,$P378)=0,"",INDEX(EntryDep,$P378)))</f>
        <v/>
      </c>
      <c r="I378" s="29">
        <f>IF($P378="","",IF(INDEX(EntryWit,$P378)=0,"",INDEX(EntryWit,$P378)))</f>
        <v/>
      </c>
      <c r="J378" s="29">
        <f>IF($B378="","",IF($A378=1,$C$7,IF(J377="",0,J377))+IF($H378="",0,$H378)-IF($I378="",0,$I378))</f>
        <v/>
      </c>
      <c r="K378" s="29">
        <f>IF($P378="","",IF(INDEX(EntryMan,$P378)=0,"",INDEX(EntryMan,$P378)))</f>
        <v/>
      </c>
      <c r="L378" s="28">
        <f>IF($B378="","",IF($K378="","—",IF(ROUND($K378-$J378,0)=0,"√","×")))</f>
        <v/>
      </c>
      <c r="M378" s="28">
        <f>IF($B378="","",IF(COUNTIFS(EntryDates,$B378,CalcTime,$C378,CalcBank,$C$5,EntryParty,$D378,EntryDep,$H378,EntryWit,$I378)&gt;1,"تکرار",""))</f>
        <v/>
      </c>
      <c r="N378" s="28">
        <f>IF($P378="","",IF(INDEX(EntryNotes,$P378)=0,"",INDEX(EntryNotes,$P378)))</f>
        <v/>
      </c>
      <c r="O378" s="28">
        <f>IF($P378="","",IF(INDEX(EntryTxnID,$P378)=0,"",INDEX(EntryTxnID,$P378)))</f>
        <v/>
      </c>
      <c r="P378" s="28">
        <f>IFERROR(MATCH($C$5&amp;"|"&amp;RIGHT("000000"&amp;362,6),CalcRankKey,0),"")</f>
        <v/>
      </c>
    </row>
    <row r="379">
      <c r="A379" s="26">
        <f>IF($B379="","",363)</f>
        <v/>
      </c>
      <c r="B379" s="26">
        <f>IF($P379="","",IF(INDEX(CalcNormDate,$P379)=0,"",INDEX(CalcNormDate,$P379)))</f>
        <v/>
      </c>
      <c r="C379" s="26">
        <f>IF($P379="","",IF(INDEX(CalcTime,$P379)=0,"",INDEX(CalcTime,$P379)))</f>
        <v/>
      </c>
      <c r="D379" s="26">
        <f>IF($P379="","",IF(INDEX(EntryParty,$P379)=0,"",INDEX(EntryParty,$P379)))</f>
        <v/>
      </c>
      <c r="E379" s="26">
        <f>IF($P379="","",IF(INDEX(EntryPartyName,$P379)=0,"",INDEX(EntryPartyName,$P379)))</f>
        <v/>
      </c>
      <c r="F379" s="26">
        <f>IF($P379="","",IF(INDEX(EntryPartyType,$P379)=0,"",INDEX(EntryPartyType,$P379)))</f>
        <v/>
      </c>
      <c r="G379" s="26">
        <f>IF($P379="","",IF(INDEX(EntryTxnType,$P379)=0,"",INDEX(EntryTxnType,$P379)))</f>
        <v/>
      </c>
      <c r="H379" s="27">
        <f>IF($P379="","",IF(INDEX(EntryDep,$P379)=0,"",INDEX(EntryDep,$P379)))</f>
        <v/>
      </c>
      <c r="I379" s="27">
        <f>IF($P379="","",IF(INDEX(EntryWit,$P379)=0,"",INDEX(EntryWit,$P379)))</f>
        <v/>
      </c>
      <c r="J379" s="27">
        <f>IF($B379="","",IF($A379=1,$C$7,IF(J378="",0,J378))+IF($H379="",0,$H379)-IF($I379="",0,$I379))</f>
        <v/>
      </c>
      <c r="K379" s="27">
        <f>IF($P379="","",IF(INDEX(EntryMan,$P379)=0,"",INDEX(EntryMan,$P379)))</f>
        <v/>
      </c>
      <c r="L379" s="26">
        <f>IF($B379="","",IF($K379="","—",IF(ROUND($K379-$J379,0)=0,"√","×")))</f>
        <v/>
      </c>
      <c r="M379" s="26">
        <f>IF($B379="","",IF(COUNTIFS(EntryDates,$B379,CalcTime,$C379,CalcBank,$C$5,EntryParty,$D379,EntryDep,$H379,EntryWit,$I379)&gt;1,"تکرار",""))</f>
        <v/>
      </c>
      <c r="N379" s="26">
        <f>IF($P379="","",IF(INDEX(EntryNotes,$P379)=0,"",INDEX(EntryNotes,$P379)))</f>
        <v/>
      </c>
      <c r="O379" s="26">
        <f>IF($P379="","",IF(INDEX(EntryTxnID,$P379)=0,"",INDEX(EntryTxnID,$P379)))</f>
        <v/>
      </c>
      <c r="P379" s="26">
        <f>IFERROR(MATCH($C$5&amp;"|"&amp;RIGHT("000000"&amp;363,6),CalcRankKey,0),"")</f>
        <v/>
      </c>
    </row>
    <row r="380">
      <c r="A380" s="28">
        <f>IF($B380="","",364)</f>
        <v/>
      </c>
      <c r="B380" s="28">
        <f>IF($P380="","",IF(INDEX(CalcNormDate,$P380)=0,"",INDEX(CalcNormDate,$P380)))</f>
        <v/>
      </c>
      <c r="C380" s="28">
        <f>IF($P380="","",IF(INDEX(CalcTime,$P380)=0,"",INDEX(CalcTime,$P380)))</f>
        <v/>
      </c>
      <c r="D380" s="28">
        <f>IF($P380="","",IF(INDEX(EntryParty,$P380)=0,"",INDEX(EntryParty,$P380)))</f>
        <v/>
      </c>
      <c r="E380" s="28">
        <f>IF($P380="","",IF(INDEX(EntryPartyName,$P380)=0,"",INDEX(EntryPartyName,$P380)))</f>
        <v/>
      </c>
      <c r="F380" s="28">
        <f>IF($P380="","",IF(INDEX(EntryPartyType,$P380)=0,"",INDEX(EntryPartyType,$P380)))</f>
        <v/>
      </c>
      <c r="G380" s="28">
        <f>IF($P380="","",IF(INDEX(EntryTxnType,$P380)=0,"",INDEX(EntryTxnType,$P380)))</f>
        <v/>
      </c>
      <c r="H380" s="29">
        <f>IF($P380="","",IF(INDEX(EntryDep,$P380)=0,"",INDEX(EntryDep,$P380)))</f>
        <v/>
      </c>
      <c r="I380" s="29">
        <f>IF($P380="","",IF(INDEX(EntryWit,$P380)=0,"",INDEX(EntryWit,$P380)))</f>
        <v/>
      </c>
      <c r="J380" s="29">
        <f>IF($B380="","",IF($A380=1,$C$7,IF(J379="",0,J379))+IF($H380="",0,$H380)-IF($I380="",0,$I380))</f>
        <v/>
      </c>
      <c r="K380" s="29">
        <f>IF($P380="","",IF(INDEX(EntryMan,$P380)=0,"",INDEX(EntryMan,$P380)))</f>
        <v/>
      </c>
      <c r="L380" s="28">
        <f>IF($B380="","",IF($K380="","—",IF(ROUND($K380-$J380,0)=0,"√","×")))</f>
        <v/>
      </c>
      <c r="M380" s="28">
        <f>IF($B380="","",IF(COUNTIFS(EntryDates,$B380,CalcTime,$C380,CalcBank,$C$5,EntryParty,$D380,EntryDep,$H380,EntryWit,$I380)&gt;1,"تکرار",""))</f>
        <v/>
      </c>
      <c r="N380" s="28">
        <f>IF($P380="","",IF(INDEX(EntryNotes,$P380)=0,"",INDEX(EntryNotes,$P380)))</f>
        <v/>
      </c>
      <c r="O380" s="28">
        <f>IF($P380="","",IF(INDEX(EntryTxnID,$P380)=0,"",INDEX(EntryTxnID,$P380)))</f>
        <v/>
      </c>
      <c r="P380" s="28">
        <f>IFERROR(MATCH($C$5&amp;"|"&amp;RIGHT("000000"&amp;364,6),CalcRankKey,0),"")</f>
        <v/>
      </c>
    </row>
    <row r="381">
      <c r="A381" s="26">
        <f>IF($B381="","",365)</f>
        <v/>
      </c>
      <c r="B381" s="26">
        <f>IF($P381="","",IF(INDEX(CalcNormDate,$P381)=0,"",INDEX(CalcNormDate,$P381)))</f>
        <v/>
      </c>
      <c r="C381" s="26">
        <f>IF($P381="","",IF(INDEX(CalcTime,$P381)=0,"",INDEX(CalcTime,$P381)))</f>
        <v/>
      </c>
      <c r="D381" s="26">
        <f>IF($P381="","",IF(INDEX(EntryParty,$P381)=0,"",INDEX(EntryParty,$P381)))</f>
        <v/>
      </c>
      <c r="E381" s="26">
        <f>IF($P381="","",IF(INDEX(EntryPartyName,$P381)=0,"",INDEX(EntryPartyName,$P381)))</f>
        <v/>
      </c>
      <c r="F381" s="26">
        <f>IF($P381="","",IF(INDEX(EntryPartyType,$P381)=0,"",INDEX(EntryPartyType,$P381)))</f>
        <v/>
      </c>
      <c r="G381" s="26">
        <f>IF($P381="","",IF(INDEX(EntryTxnType,$P381)=0,"",INDEX(EntryTxnType,$P381)))</f>
        <v/>
      </c>
      <c r="H381" s="27">
        <f>IF($P381="","",IF(INDEX(EntryDep,$P381)=0,"",INDEX(EntryDep,$P381)))</f>
        <v/>
      </c>
      <c r="I381" s="27">
        <f>IF($P381="","",IF(INDEX(EntryWit,$P381)=0,"",INDEX(EntryWit,$P381)))</f>
        <v/>
      </c>
      <c r="J381" s="27">
        <f>IF($B381="","",IF($A381=1,$C$7,IF(J380="",0,J380))+IF($H381="",0,$H381)-IF($I381="",0,$I381))</f>
        <v/>
      </c>
      <c r="K381" s="27">
        <f>IF($P381="","",IF(INDEX(EntryMan,$P381)=0,"",INDEX(EntryMan,$P381)))</f>
        <v/>
      </c>
      <c r="L381" s="26">
        <f>IF($B381="","",IF($K381="","—",IF(ROUND($K381-$J381,0)=0,"√","×")))</f>
        <v/>
      </c>
      <c r="M381" s="26">
        <f>IF($B381="","",IF(COUNTIFS(EntryDates,$B381,CalcTime,$C381,CalcBank,$C$5,EntryParty,$D381,EntryDep,$H381,EntryWit,$I381)&gt;1,"تکرار",""))</f>
        <v/>
      </c>
      <c r="N381" s="26">
        <f>IF($P381="","",IF(INDEX(EntryNotes,$P381)=0,"",INDEX(EntryNotes,$P381)))</f>
        <v/>
      </c>
      <c r="O381" s="26">
        <f>IF($P381="","",IF(INDEX(EntryTxnID,$P381)=0,"",INDEX(EntryTxnID,$P381)))</f>
        <v/>
      </c>
      <c r="P381" s="26">
        <f>IFERROR(MATCH($C$5&amp;"|"&amp;RIGHT("000000"&amp;365,6),CalcRankKey,0),"")</f>
        <v/>
      </c>
    </row>
    <row r="382">
      <c r="A382" s="28">
        <f>IF($B382="","",366)</f>
        <v/>
      </c>
      <c r="B382" s="28">
        <f>IF($P382="","",IF(INDEX(CalcNormDate,$P382)=0,"",INDEX(CalcNormDate,$P382)))</f>
        <v/>
      </c>
      <c r="C382" s="28">
        <f>IF($P382="","",IF(INDEX(CalcTime,$P382)=0,"",INDEX(CalcTime,$P382)))</f>
        <v/>
      </c>
      <c r="D382" s="28">
        <f>IF($P382="","",IF(INDEX(EntryParty,$P382)=0,"",INDEX(EntryParty,$P382)))</f>
        <v/>
      </c>
      <c r="E382" s="28">
        <f>IF($P382="","",IF(INDEX(EntryPartyName,$P382)=0,"",INDEX(EntryPartyName,$P382)))</f>
        <v/>
      </c>
      <c r="F382" s="28">
        <f>IF($P382="","",IF(INDEX(EntryPartyType,$P382)=0,"",INDEX(EntryPartyType,$P382)))</f>
        <v/>
      </c>
      <c r="G382" s="28">
        <f>IF($P382="","",IF(INDEX(EntryTxnType,$P382)=0,"",INDEX(EntryTxnType,$P382)))</f>
        <v/>
      </c>
      <c r="H382" s="29">
        <f>IF($P382="","",IF(INDEX(EntryDep,$P382)=0,"",INDEX(EntryDep,$P382)))</f>
        <v/>
      </c>
      <c r="I382" s="29">
        <f>IF($P382="","",IF(INDEX(EntryWit,$P382)=0,"",INDEX(EntryWit,$P382)))</f>
        <v/>
      </c>
      <c r="J382" s="29">
        <f>IF($B382="","",IF($A382=1,$C$7,IF(J381="",0,J381))+IF($H382="",0,$H382)-IF($I382="",0,$I382))</f>
        <v/>
      </c>
      <c r="K382" s="29">
        <f>IF($P382="","",IF(INDEX(EntryMan,$P382)=0,"",INDEX(EntryMan,$P382)))</f>
        <v/>
      </c>
      <c r="L382" s="28">
        <f>IF($B382="","",IF($K382="","—",IF(ROUND($K382-$J382,0)=0,"√","×")))</f>
        <v/>
      </c>
      <c r="M382" s="28">
        <f>IF($B382="","",IF(COUNTIFS(EntryDates,$B382,CalcTime,$C382,CalcBank,$C$5,EntryParty,$D382,EntryDep,$H382,EntryWit,$I382)&gt;1,"تکرار",""))</f>
        <v/>
      </c>
      <c r="N382" s="28">
        <f>IF($P382="","",IF(INDEX(EntryNotes,$P382)=0,"",INDEX(EntryNotes,$P382)))</f>
        <v/>
      </c>
      <c r="O382" s="28">
        <f>IF($P382="","",IF(INDEX(EntryTxnID,$P382)=0,"",INDEX(EntryTxnID,$P382)))</f>
        <v/>
      </c>
      <c r="P382" s="28">
        <f>IFERROR(MATCH($C$5&amp;"|"&amp;RIGHT("000000"&amp;366,6),CalcRankKey,0),"")</f>
        <v/>
      </c>
    </row>
    <row r="383">
      <c r="A383" s="26">
        <f>IF($B383="","",367)</f>
        <v/>
      </c>
      <c r="B383" s="26">
        <f>IF($P383="","",IF(INDEX(CalcNormDate,$P383)=0,"",INDEX(CalcNormDate,$P383)))</f>
        <v/>
      </c>
      <c r="C383" s="26">
        <f>IF($P383="","",IF(INDEX(CalcTime,$P383)=0,"",INDEX(CalcTime,$P383)))</f>
        <v/>
      </c>
      <c r="D383" s="26">
        <f>IF($P383="","",IF(INDEX(EntryParty,$P383)=0,"",INDEX(EntryParty,$P383)))</f>
        <v/>
      </c>
      <c r="E383" s="26">
        <f>IF($P383="","",IF(INDEX(EntryPartyName,$P383)=0,"",INDEX(EntryPartyName,$P383)))</f>
        <v/>
      </c>
      <c r="F383" s="26">
        <f>IF($P383="","",IF(INDEX(EntryPartyType,$P383)=0,"",INDEX(EntryPartyType,$P383)))</f>
        <v/>
      </c>
      <c r="G383" s="26">
        <f>IF($P383="","",IF(INDEX(EntryTxnType,$P383)=0,"",INDEX(EntryTxnType,$P383)))</f>
        <v/>
      </c>
      <c r="H383" s="27">
        <f>IF($P383="","",IF(INDEX(EntryDep,$P383)=0,"",INDEX(EntryDep,$P383)))</f>
        <v/>
      </c>
      <c r="I383" s="27">
        <f>IF($P383="","",IF(INDEX(EntryWit,$P383)=0,"",INDEX(EntryWit,$P383)))</f>
        <v/>
      </c>
      <c r="J383" s="27">
        <f>IF($B383="","",IF($A383=1,$C$7,IF(J382="",0,J382))+IF($H383="",0,$H383)-IF($I383="",0,$I383))</f>
        <v/>
      </c>
      <c r="K383" s="27">
        <f>IF($P383="","",IF(INDEX(EntryMan,$P383)=0,"",INDEX(EntryMan,$P383)))</f>
        <v/>
      </c>
      <c r="L383" s="26">
        <f>IF($B383="","",IF($K383="","—",IF(ROUND($K383-$J383,0)=0,"√","×")))</f>
        <v/>
      </c>
      <c r="M383" s="26">
        <f>IF($B383="","",IF(COUNTIFS(EntryDates,$B383,CalcTime,$C383,CalcBank,$C$5,EntryParty,$D383,EntryDep,$H383,EntryWit,$I383)&gt;1,"تکرار",""))</f>
        <v/>
      </c>
      <c r="N383" s="26">
        <f>IF($P383="","",IF(INDEX(EntryNotes,$P383)=0,"",INDEX(EntryNotes,$P383)))</f>
        <v/>
      </c>
      <c r="O383" s="26">
        <f>IF($P383="","",IF(INDEX(EntryTxnID,$P383)=0,"",INDEX(EntryTxnID,$P383)))</f>
        <v/>
      </c>
      <c r="P383" s="26">
        <f>IFERROR(MATCH($C$5&amp;"|"&amp;RIGHT("000000"&amp;367,6),CalcRankKey,0),"")</f>
        <v/>
      </c>
    </row>
    <row r="384">
      <c r="A384" s="28">
        <f>IF($B384="","",368)</f>
        <v/>
      </c>
      <c r="B384" s="28">
        <f>IF($P384="","",IF(INDEX(CalcNormDate,$P384)=0,"",INDEX(CalcNormDate,$P384)))</f>
        <v/>
      </c>
      <c r="C384" s="28">
        <f>IF($P384="","",IF(INDEX(CalcTime,$P384)=0,"",INDEX(CalcTime,$P384)))</f>
        <v/>
      </c>
      <c r="D384" s="28">
        <f>IF($P384="","",IF(INDEX(EntryParty,$P384)=0,"",INDEX(EntryParty,$P384)))</f>
        <v/>
      </c>
      <c r="E384" s="28">
        <f>IF($P384="","",IF(INDEX(EntryPartyName,$P384)=0,"",INDEX(EntryPartyName,$P384)))</f>
        <v/>
      </c>
      <c r="F384" s="28">
        <f>IF($P384="","",IF(INDEX(EntryPartyType,$P384)=0,"",INDEX(EntryPartyType,$P384)))</f>
        <v/>
      </c>
      <c r="G384" s="28">
        <f>IF($P384="","",IF(INDEX(EntryTxnType,$P384)=0,"",INDEX(EntryTxnType,$P384)))</f>
        <v/>
      </c>
      <c r="H384" s="29">
        <f>IF($P384="","",IF(INDEX(EntryDep,$P384)=0,"",INDEX(EntryDep,$P384)))</f>
        <v/>
      </c>
      <c r="I384" s="29">
        <f>IF($P384="","",IF(INDEX(EntryWit,$P384)=0,"",INDEX(EntryWit,$P384)))</f>
        <v/>
      </c>
      <c r="J384" s="29">
        <f>IF($B384="","",IF($A384=1,$C$7,IF(J383="",0,J383))+IF($H384="",0,$H384)-IF($I384="",0,$I384))</f>
        <v/>
      </c>
      <c r="K384" s="29">
        <f>IF($P384="","",IF(INDEX(EntryMan,$P384)=0,"",INDEX(EntryMan,$P384)))</f>
        <v/>
      </c>
      <c r="L384" s="28">
        <f>IF($B384="","",IF($K384="","—",IF(ROUND($K384-$J384,0)=0,"√","×")))</f>
        <v/>
      </c>
      <c r="M384" s="28">
        <f>IF($B384="","",IF(COUNTIFS(EntryDates,$B384,CalcTime,$C384,CalcBank,$C$5,EntryParty,$D384,EntryDep,$H384,EntryWit,$I384)&gt;1,"تکرار",""))</f>
        <v/>
      </c>
      <c r="N384" s="28">
        <f>IF($P384="","",IF(INDEX(EntryNotes,$P384)=0,"",INDEX(EntryNotes,$P384)))</f>
        <v/>
      </c>
      <c r="O384" s="28">
        <f>IF($P384="","",IF(INDEX(EntryTxnID,$P384)=0,"",INDEX(EntryTxnID,$P384)))</f>
        <v/>
      </c>
      <c r="P384" s="28">
        <f>IFERROR(MATCH($C$5&amp;"|"&amp;RIGHT("000000"&amp;368,6),CalcRankKey,0),"")</f>
        <v/>
      </c>
    </row>
    <row r="385">
      <c r="A385" s="26">
        <f>IF($B385="","",369)</f>
        <v/>
      </c>
      <c r="B385" s="26">
        <f>IF($P385="","",IF(INDEX(CalcNormDate,$P385)=0,"",INDEX(CalcNormDate,$P385)))</f>
        <v/>
      </c>
      <c r="C385" s="26">
        <f>IF($P385="","",IF(INDEX(CalcTime,$P385)=0,"",INDEX(CalcTime,$P385)))</f>
        <v/>
      </c>
      <c r="D385" s="26">
        <f>IF($P385="","",IF(INDEX(EntryParty,$P385)=0,"",INDEX(EntryParty,$P385)))</f>
        <v/>
      </c>
      <c r="E385" s="26">
        <f>IF($P385="","",IF(INDEX(EntryPartyName,$P385)=0,"",INDEX(EntryPartyName,$P385)))</f>
        <v/>
      </c>
      <c r="F385" s="26">
        <f>IF($P385="","",IF(INDEX(EntryPartyType,$P385)=0,"",INDEX(EntryPartyType,$P385)))</f>
        <v/>
      </c>
      <c r="G385" s="26">
        <f>IF($P385="","",IF(INDEX(EntryTxnType,$P385)=0,"",INDEX(EntryTxnType,$P385)))</f>
        <v/>
      </c>
      <c r="H385" s="27">
        <f>IF($P385="","",IF(INDEX(EntryDep,$P385)=0,"",INDEX(EntryDep,$P385)))</f>
        <v/>
      </c>
      <c r="I385" s="27">
        <f>IF($P385="","",IF(INDEX(EntryWit,$P385)=0,"",INDEX(EntryWit,$P385)))</f>
        <v/>
      </c>
      <c r="J385" s="27">
        <f>IF($B385="","",IF($A385=1,$C$7,IF(J384="",0,J384))+IF($H385="",0,$H385)-IF($I385="",0,$I385))</f>
        <v/>
      </c>
      <c r="K385" s="27">
        <f>IF($P385="","",IF(INDEX(EntryMan,$P385)=0,"",INDEX(EntryMan,$P385)))</f>
        <v/>
      </c>
      <c r="L385" s="26">
        <f>IF($B385="","",IF($K385="","—",IF(ROUND($K385-$J385,0)=0,"√","×")))</f>
        <v/>
      </c>
      <c r="M385" s="26">
        <f>IF($B385="","",IF(COUNTIFS(EntryDates,$B385,CalcTime,$C385,CalcBank,$C$5,EntryParty,$D385,EntryDep,$H385,EntryWit,$I385)&gt;1,"تکرار",""))</f>
        <v/>
      </c>
      <c r="N385" s="26">
        <f>IF($P385="","",IF(INDEX(EntryNotes,$P385)=0,"",INDEX(EntryNotes,$P385)))</f>
        <v/>
      </c>
      <c r="O385" s="26">
        <f>IF($P385="","",IF(INDEX(EntryTxnID,$P385)=0,"",INDEX(EntryTxnID,$P385)))</f>
        <v/>
      </c>
      <c r="P385" s="26">
        <f>IFERROR(MATCH($C$5&amp;"|"&amp;RIGHT("000000"&amp;369,6),CalcRankKey,0),"")</f>
        <v/>
      </c>
    </row>
    <row r="386">
      <c r="A386" s="28">
        <f>IF($B386="","",370)</f>
        <v/>
      </c>
      <c r="B386" s="28">
        <f>IF($P386="","",IF(INDEX(CalcNormDate,$P386)=0,"",INDEX(CalcNormDate,$P386)))</f>
        <v/>
      </c>
      <c r="C386" s="28">
        <f>IF($P386="","",IF(INDEX(CalcTime,$P386)=0,"",INDEX(CalcTime,$P386)))</f>
        <v/>
      </c>
      <c r="D386" s="28">
        <f>IF($P386="","",IF(INDEX(EntryParty,$P386)=0,"",INDEX(EntryParty,$P386)))</f>
        <v/>
      </c>
      <c r="E386" s="28">
        <f>IF($P386="","",IF(INDEX(EntryPartyName,$P386)=0,"",INDEX(EntryPartyName,$P386)))</f>
        <v/>
      </c>
      <c r="F386" s="28">
        <f>IF($P386="","",IF(INDEX(EntryPartyType,$P386)=0,"",INDEX(EntryPartyType,$P386)))</f>
        <v/>
      </c>
      <c r="G386" s="28">
        <f>IF($P386="","",IF(INDEX(EntryTxnType,$P386)=0,"",INDEX(EntryTxnType,$P386)))</f>
        <v/>
      </c>
      <c r="H386" s="29">
        <f>IF($P386="","",IF(INDEX(EntryDep,$P386)=0,"",INDEX(EntryDep,$P386)))</f>
        <v/>
      </c>
      <c r="I386" s="29">
        <f>IF($P386="","",IF(INDEX(EntryWit,$P386)=0,"",INDEX(EntryWit,$P386)))</f>
        <v/>
      </c>
      <c r="J386" s="29">
        <f>IF($B386="","",IF($A386=1,$C$7,IF(J385="",0,J385))+IF($H386="",0,$H386)-IF($I386="",0,$I386))</f>
        <v/>
      </c>
      <c r="K386" s="29">
        <f>IF($P386="","",IF(INDEX(EntryMan,$P386)=0,"",INDEX(EntryMan,$P386)))</f>
        <v/>
      </c>
      <c r="L386" s="28">
        <f>IF($B386="","",IF($K386="","—",IF(ROUND($K386-$J386,0)=0,"√","×")))</f>
        <v/>
      </c>
      <c r="M386" s="28">
        <f>IF($B386="","",IF(COUNTIFS(EntryDates,$B386,CalcTime,$C386,CalcBank,$C$5,EntryParty,$D386,EntryDep,$H386,EntryWit,$I386)&gt;1,"تکرار",""))</f>
        <v/>
      </c>
      <c r="N386" s="28">
        <f>IF($P386="","",IF(INDEX(EntryNotes,$P386)=0,"",INDEX(EntryNotes,$P386)))</f>
        <v/>
      </c>
      <c r="O386" s="28">
        <f>IF($P386="","",IF(INDEX(EntryTxnID,$P386)=0,"",INDEX(EntryTxnID,$P386)))</f>
        <v/>
      </c>
      <c r="P386" s="28">
        <f>IFERROR(MATCH($C$5&amp;"|"&amp;RIGHT("000000"&amp;370,6),CalcRankKey,0),"")</f>
        <v/>
      </c>
    </row>
    <row r="387">
      <c r="A387" s="26">
        <f>IF($B387="","",371)</f>
        <v/>
      </c>
      <c r="B387" s="26">
        <f>IF($P387="","",IF(INDEX(CalcNormDate,$P387)=0,"",INDEX(CalcNormDate,$P387)))</f>
        <v/>
      </c>
      <c r="C387" s="26">
        <f>IF($P387="","",IF(INDEX(CalcTime,$P387)=0,"",INDEX(CalcTime,$P387)))</f>
        <v/>
      </c>
      <c r="D387" s="26">
        <f>IF($P387="","",IF(INDEX(EntryParty,$P387)=0,"",INDEX(EntryParty,$P387)))</f>
        <v/>
      </c>
      <c r="E387" s="26">
        <f>IF($P387="","",IF(INDEX(EntryPartyName,$P387)=0,"",INDEX(EntryPartyName,$P387)))</f>
        <v/>
      </c>
      <c r="F387" s="26">
        <f>IF($P387="","",IF(INDEX(EntryPartyType,$P387)=0,"",INDEX(EntryPartyType,$P387)))</f>
        <v/>
      </c>
      <c r="G387" s="26">
        <f>IF($P387="","",IF(INDEX(EntryTxnType,$P387)=0,"",INDEX(EntryTxnType,$P387)))</f>
        <v/>
      </c>
      <c r="H387" s="27">
        <f>IF($P387="","",IF(INDEX(EntryDep,$P387)=0,"",INDEX(EntryDep,$P387)))</f>
        <v/>
      </c>
      <c r="I387" s="27">
        <f>IF($P387="","",IF(INDEX(EntryWit,$P387)=0,"",INDEX(EntryWit,$P387)))</f>
        <v/>
      </c>
      <c r="J387" s="27">
        <f>IF($B387="","",IF($A387=1,$C$7,IF(J386="",0,J386))+IF($H387="",0,$H387)-IF($I387="",0,$I387))</f>
        <v/>
      </c>
      <c r="K387" s="27">
        <f>IF($P387="","",IF(INDEX(EntryMan,$P387)=0,"",INDEX(EntryMan,$P387)))</f>
        <v/>
      </c>
      <c r="L387" s="26">
        <f>IF($B387="","",IF($K387="","—",IF(ROUND($K387-$J387,0)=0,"√","×")))</f>
        <v/>
      </c>
      <c r="M387" s="26">
        <f>IF($B387="","",IF(COUNTIFS(EntryDates,$B387,CalcTime,$C387,CalcBank,$C$5,EntryParty,$D387,EntryDep,$H387,EntryWit,$I387)&gt;1,"تکرار",""))</f>
        <v/>
      </c>
      <c r="N387" s="26">
        <f>IF($P387="","",IF(INDEX(EntryNotes,$P387)=0,"",INDEX(EntryNotes,$P387)))</f>
        <v/>
      </c>
      <c r="O387" s="26">
        <f>IF($P387="","",IF(INDEX(EntryTxnID,$P387)=0,"",INDEX(EntryTxnID,$P387)))</f>
        <v/>
      </c>
      <c r="P387" s="26">
        <f>IFERROR(MATCH($C$5&amp;"|"&amp;RIGHT("000000"&amp;371,6),CalcRankKey,0),"")</f>
        <v/>
      </c>
    </row>
    <row r="388">
      <c r="A388" s="28">
        <f>IF($B388="","",372)</f>
        <v/>
      </c>
      <c r="B388" s="28">
        <f>IF($P388="","",IF(INDEX(CalcNormDate,$P388)=0,"",INDEX(CalcNormDate,$P388)))</f>
        <v/>
      </c>
      <c r="C388" s="28">
        <f>IF($P388="","",IF(INDEX(CalcTime,$P388)=0,"",INDEX(CalcTime,$P388)))</f>
        <v/>
      </c>
      <c r="D388" s="28">
        <f>IF($P388="","",IF(INDEX(EntryParty,$P388)=0,"",INDEX(EntryParty,$P388)))</f>
        <v/>
      </c>
      <c r="E388" s="28">
        <f>IF($P388="","",IF(INDEX(EntryPartyName,$P388)=0,"",INDEX(EntryPartyName,$P388)))</f>
        <v/>
      </c>
      <c r="F388" s="28">
        <f>IF($P388="","",IF(INDEX(EntryPartyType,$P388)=0,"",INDEX(EntryPartyType,$P388)))</f>
        <v/>
      </c>
      <c r="G388" s="28">
        <f>IF($P388="","",IF(INDEX(EntryTxnType,$P388)=0,"",INDEX(EntryTxnType,$P388)))</f>
        <v/>
      </c>
      <c r="H388" s="29">
        <f>IF($P388="","",IF(INDEX(EntryDep,$P388)=0,"",INDEX(EntryDep,$P388)))</f>
        <v/>
      </c>
      <c r="I388" s="29">
        <f>IF($P388="","",IF(INDEX(EntryWit,$P388)=0,"",INDEX(EntryWit,$P388)))</f>
        <v/>
      </c>
      <c r="J388" s="29">
        <f>IF($B388="","",IF($A388=1,$C$7,IF(J387="",0,J387))+IF($H388="",0,$H388)-IF($I388="",0,$I388))</f>
        <v/>
      </c>
      <c r="K388" s="29">
        <f>IF($P388="","",IF(INDEX(EntryMan,$P388)=0,"",INDEX(EntryMan,$P388)))</f>
        <v/>
      </c>
      <c r="L388" s="28">
        <f>IF($B388="","",IF($K388="","—",IF(ROUND($K388-$J388,0)=0,"√","×")))</f>
        <v/>
      </c>
      <c r="M388" s="28">
        <f>IF($B388="","",IF(COUNTIFS(EntryDates,$B388,CalcTime,$C388,CalcBank,$C$5,EntryParty,$D388,EntryDep,$H388,EntryWit,$I388)&gt;1,"تکرار",""))</f>
        <v/>
      </c>
      <c r="N388" s="28">
        <f>IF($P388="","",IF(INDEX(EntryNotes,$P388)=0,"",INDEX(EntryNotes,$P388)))</f>
        <v/>
      </c>
      <c r="O388" s="28">
        <f>IF($P388="","",IF(INDEX(EntryTxnID,$P388)=0,"",INDEX(EntryTxnID,$P388)))</f>
        <v/>
      </c>
      <c r="P388" s="28">
        <f>IFERROR(MATCH($C$5&amp;"|"&amp;RIGHT("000000"&amp;372,6),CalcRankKey,0),"")</f>
        <v/>
      </c>
    </row>
    <row r="389">
      <c r="A389" s="26">
        <f>IF($B389="","",373)</f>
        <v/>
      </c>
      <c r="B389" s="26">
        <f>IF($P389="","",IF(INDEX(CalcNormDate,$P389)=0,"",INDEX(CalcNormDate,$P389)))</f>
        <v/>
      </c>
      <c r="C389" s="26">
        <f>IF($P389="","",IF(INDEX(CalcTime,$P389)=0,"",INDEX(CalcTime,$P389)))</f>
        <v/>
      </c>
      <c r="D389" s="26">
        <f>IF($P389="","",IF(INDEX(EntryParty,$P389)=0,"",INDEX(EntryParty,$P389)))</f>
        <v/>
      </c>
      <c r="E389" s="26">
        <f>IF($P389="","",IF(INDEX(EntryPartyName,$P389)=0,"",INDEX(EntryPartyName,$P389)))</f>
        <v/>
      </c>
      <c r="F389" s="26">
        <f>IF($P389="","",IF(INDEX(EntryPartyType,$P389)=0,"",INDEX(EntryPartyType,$P389)))</f>
        <v/>
      </c>
      <c r="G389" s="26">
        <f>IF($P389="","",IF(INDEX(EntryTxnType,$P389)=0,"",INDEX(EntryTxnType,$P389)))</f>
        <v/>
      </c>
      <c r="H389" s="27">
        <f>IF($P389="","",IF(INDEX(EntryDep,$P389)=0,"",INDEX(EntryDep,$P389)))</f>
        <v/>
      </c>
      <c r="I389" s="27">
        <f>IF($P389="","",IF(INDEX(EntryWit,$P389)=0,"",INDEX(EntryWit,$P389)))</f>
        <v/>
      </c>
      <c r="J389" s="27">
        <f>IF($B389="","",IF($A389=1,$C$7,IF(J388="",0,J388))+IF($H389="",0,$H389)-IF($I389="",0,$I389))</f>
        <v/>
      </c>
      <c r="K389" s="27">
        <f>IF($P389="","",IF(INDEX(EntryMan,$P389)=0,"",INDEX(EntryMan,$P389)))</f>
        <v/>
      </c>
      <c r="L389" s="26">
        <f>IF($B389="","",IF($K389="","—",IF(ROUND($K389-$J389,0)=0,"√","×")))</f>
        <v/>
      </c>
      <c r="M389" s="26">
        <f>IF($B389="","",IF(COUNTIFS(EntryDates,$B389,CalcTime,$C389,CalcBank,$C$5,EntryParty,$D389,EntryDep,$H389,EntryWit,$I389)&gt;1,"تکرار",""))</f>
        <v/>
      </c>
      <c r="N389" s="26">
        <f>IF($P389="","",IF(INDEX(EntryNotes,$P389)=0,"",INDEX(EntryNotes,$P389)))</f>
        <v/>
      </c>
      <c r="O389" s="26">
        <f>IF($P389="","",IF(INDEX(EntryTxnID,$P389)=0,"",INDEX(EntryTxnID,$P389)))</f>
        <v/>
      </c>
      <c r="P389" s="26">
        <f>IFERROR(MATCH($C$5&amp;"|"&amp;RIGHT("000000"&amp;373,6),CalcRankKey,0),"")</f>
        <v/>
      </c>
    </row>
    <row r="390">
      <c r="A390" s="28">
        <f>IF($B390="","",374)</f>
        <v/>
      </c>
      <c r="B390" s="28">
        <f>IF($P390="","",IF(INDEX(CalcNormDate,$P390)=0,"",INDEX(CalcNormDate,$P390)))</f>
        <v/>
      </c>
      <c r="C390" s="28">
        <f>IF($P390="","",IF(INDEX(CalcTime,$P390)=0,"",INDEX(CalcTime,$P390)))</f>
        <v/>
      </c>
      <c r="D390" s="28">
        <f>IF($P390="","",IF(INDEX(EntryParty,$P390)=0,"",INDEX(EntryParty,$P390)))</f>
        <v/>
      </c>
      <c r="E390" s="28">
        <f>IF($P390="","",IF(INDEX(EntryPartyName,$P390)=0,"",INDEX(EntryPartyName,$P390)))</f>
        <v/>
      </c>
      <c r="F390" s="28">
        <f>IF($P390="","",IF(INDEX(EntryPartyType,$P390)=0,"",INDEX(EntryPartyType,$P390)))</f>
        <v/>
      </c>
      <c r="G390" s="28">
        <f>IF($P390="","",IF(INDEX(EntryTxnType,$P390)=0,"",INDEX(EntryTxnType,$P390)))</f>
        <v/>
      </c>
      <c r="H390" s="29">
        <f>IF($P390="","",IF(INDEX(EntryDep,$P390)=0,"",INDEX(EntryDep,$P390)))</f>
        <v/>
      </c>
      <c r="I390" s="29">
        <f>IF($P390="","",IF(INDEX(EntryWit,$P390)=0,"",INDEX(EntryWit,$P390)))</f>
        <v/>
      </c>
      <c r="J390" s="29">
        <f>IF($B390="","",IF($A390=1,$C$7,IF(J389="",0,J389))+IF($H390="",0,$H390)-IF($I390="",0,$I390))</f>
        <v/>
      </c>
      <c r="K390" s="29">
        <f>IF($P390="","",IF(INDEX(EntryMan,$P390)=0,"",INDEX(EntryMan,$P390)))</f>
        <v/>
      </c>
      <c r="L390" s="28">
        <f>IF($B390="","",IF($K390="","—",IF(ROUND($K390-$J390,0)=0,"√","×")))</f>
        <v/>
      </c>
      <c r="M390" s="28">
        <f>IF($B390="","",IF(COUNTIFS(EntryDates,$B390,CalcTime,$C390,CalcBank,$C$5,EntryParty,$D390,EntryDep,$H390,EntryWit,$I390)&gt;1,"تکرار",""))</f>
        <v/>
      </c>
      <c r="N390" s="28">
        <f>IF($P390="","",IF(INDEX(EntryNotes,$P390)=0,"",INDEX(EntryNotes,$P390)))</f>
        <v/>
      </c>
      <c r="O390" s="28">
        <f>IF($P390="","",IF(INDEX(EntryTxnID,$P390)=0,"",INDEX(EntryTxnID,$P390)))</f>
        <v/>
      </c>
      <c r="P390" s="28">
        <f>IFERROR(MATCH($C$5&amp;"|"&amp;RIGHT("000000"&amp;374,6),CalcRankKey,0),"")</f>
        <v/>
      </c>
    </row>
    <row r="391">
      <c r="A391" s="26">
        <f>IF($B391="","",375)</f>
        <v/>
      </c>
      <c r="B391" s="26">
        <f>IF($P391="","",IF(INDEX(CalcNormDate,$P391)=0,"",INDEX(CalcNormDate,$P391)))</f>
        <v/>
      </c>
      <c r="C391" s="26">
        <f>IF($P391="","",IF(INDEX(CalcTime,$P391)=0,"",INDEX(CalcTime,$P391)))</f>
        <v/>
      </c>
      <c r="D391" s="26">
        <f>IF($P391="","",IF(INDEX(EntryParty,$P391)=0,"",INDEX(EntryParty,$P391)))</f>
        <v/>
      </c>
      <c r="E391" s="26">
        <f>IF($P391="","",IF(INDEX(EntryPartyName,$P391)=0,"",INDEX(EntryPartyName,$P391)))</f>
        <v/>
      </c>
      <c r="F391" s="26">
        <f>IF($P391="","",IF(INDEX(EntryPartyType,$P391)=0,"",INDEX(EntryPartyType,$P391)))</f>
        <v/>
      </c>
      <c r="G391" s="26">
        <f>IF($P391="","",IF(INDEX(EntryTxnType,$P391)=0,"",INDEX(EntryTxnType,$P391)))</f>
        <v/>
      </c>
      <c r="H391" s="27">
        <f>IF($P391="","",IF(INDEX(EntryDep,$P391)=0,"",INDEX(EntryDep,$P391)))</f>
        <v/>
      </c>
      <c r="I391" s="27">
        <f>IF($P391="","",IF(INDEX(EntryWit,$P391)=0,"",INDEX(EntryWit,$P391)))</f>
        <v/>
      </c>
      <c r="J391" s="27">
        <f>IF($B391="","",IF($A391=1,$C$7,IF(J390="",0,J390))+IF($H391="",0,$H391)-IF($I391="",0,$I391))</f>
        <v/>
      </c>
      <c r="K391" s="27">
        <f>IF($P391="","",IF(INDEX(EntryMan,$P391)=0,"",INDEX(EntryMan,$P391)))</f>
        <v/>
      </c>
      <c r="L391" s="26">
        <f>IF($B391="","",IF($K391="","—",IF(ROUND($K391-$J391,0)=0,"√","×")))</f>
        <v/>
      </c>
      <c r="M391" s="26">
        <f>IF($B391="","",IF(COUNTIFS(EntryDates,$B391,CalcTime,$C391,CalcBank,$C$5,EntryParty,$D391,EntryDep,$H391,EntryWit,$I391)&gt;1,"تکرار",""))</f>
        <v/>
      </c>
      <c r="N391" s="26">
        <f>IF($P391="","",IF(INDEX(EntryNotes,$P391)=0,"",INDEX(EntryNotes,$P391)))</f>
        <v/>
      </c>
      <c r="O391" s="26">
        <f>IF($P391="","",IF(INDEX(EntryTxnID,$P391)=0,"",INDEX(EntryTxnID,$P391)))</f>
        <v/>
      </c>
      <c r="P391" s="26">
        <f>IFERROR(MATCH($C$5&amp;"|"&amp;RIGHT("000000"&amp;375,6),CalcRankKey,0),"")</f>
        <v/>
      </c>
    </row>
    <row r="392">
      <c r="A392" s="28">
        <f>IF($B392="","",376)</f>
        <v/>
      </c>
      <c r="B392" s="28">
        <f>IF($P392="","",IF(INDEX(CalcNormDate,$P392)=0,"",INDEX(CalcNormDate,$P392)))</f>
        <v/>
      </c>
      <c r="C392" s="28">
        <f>IF($P392="","",IF(INDEX(CalcTime,$P392)=0,"",INDEX(CalcTime,$P392)))</f>
        <v/>
      </c>
      <c r="D392" s="28">
        <f>IF($P392="","",IF(INDEX(EntryParty,$P392)=0,"",INDEX(EntryParty,$P392)))</f>
        <v/>
      </c>
      <c r="E392" s="28">
        <f>IF($P392="","",IF(INDEX(EntryPartyName,$P392)=0,"",INDEX(EntryPartyName,$P392)))</f>
        <v/>
      </c>
      <c r="F392" s="28">
        <f>IF($P392="","",IF(INDEX(EntryPartyType,$P392)=0,"",INDEX(EntryPartyType,$P392)))</f>
        <v/>
      </c>
      <c r="G392" s="28">
        <f>IF($P392="","",IF(INDEX(EntryTxnType,$P392)=0,"",INDEX(EntryTxnType,$P392)))</f>
        <v/>
      </c>
      <c r="H392" s="29">
        <f>IF($P392="","",IF(INDEX(EntryDep,$P392)=0,"",INDEX(EntryDep,$P392)))</f>
        <v/>
      </c>
      <c r="I392" s="29">
        <f>IF($P392="","",IF(INDEX(EntryWit,$P392)=0,"",INDEX(EntryWit,$P392)))</f>
        <v/>
      </c>
      <c r="J392" s="29">
        <f>IF($B392="","",IF($A392=1,$C$7,IF(J391="",0,J391))+IF($H392="",0,$H392)-IF($I392="",0,$I392))</f>
        <v/>
      </c>
      <c r="K392" s="29">
        <f>IF($P392="","",IF(INDEX(EntryMan,$P392)=0,"",INDEX(EntryMan,$P392)))</f>
        <v/>
      </c>
      <c r="L392" s="28">
        <f>IF($B392="","",IF($K392="","—",IF(ROUND($K392-$J392,0)=0,"√","×")))</f>
        <v/>
      </c>
      <c r="M392" s="28">
        <f>IF($B392="","",IF(COUNTIFS(EntryDates,$B392,CalcTime,$C392,CalcBank,$C$5,EntryParty,$D392,EntryDep,$H392,EntryWit,$I392)&gt;1,"تکرار",""))</f>
        <v/>
      </c>
      <c r="N392" s="28">
        <f>IF($P392="","",IF(INDEX(EntryNotes,$P392)=0,"",INDEX(EntryNotes,$P392)))</f>
        <v/>
      </c>
      <c r="O392" s="28">
        <f>IF($P392="","",IF(INDEX(EntryTxnID,$P392)=0,"",INDEX(EntryTxnID,$P392)))</f>
        <v/>
      </c>
      <c r="P392" s="28">
        <f>IFERROR(MATCH($C$5&amp;"|"&amp;RIGHT("000000"&amp;376,6),CalcRankKey,0),"")</f>
        <v/>
      </c>
    </row>
    <row r="393">
      <c r="A393" s="26">
        <f>IF($B393="","",377)</f>
        <v/>
      </c>
      <c r="B393" s="26">
        <f>IF($P393="","",IF(INDEX(CalcNormDate,$P393)=0,"",INDEX(CalcNormDate,$P393)))</f>
        <v/>
      </c>
      <c r="C393" s="26">
        <f>IF($P393="","",IF(INDEX(CalcTime,$P393)=0,"",INDEX(CalcTime,$P393)))</f>
        <v/>
      </c>
      <c r="D393" s="26">
        <f>IF($P393="","",IF(INDEX(EntryParty,$P393)=0,"",INDEX(EntryParty,$P393)))</f>
        <v/>
      </c>
      <c r="E393" s="26">
        <f>IF($P393="","",IF(INDEX(EntryPartyName,$P393)=0,"",INDEX(EntryPartyName,$P393)))</f>
        <v/>
      </c>
      <c r="F393" s="26">
        <f>IF($P393="","",IF(INDEX(EntryPartyType,$P393)=0,"",INDEX(EntryPartyType,$P393)))</f>
        <v/>
      </c>
      <c r="G393" s="26">
        <f>IF($P393="","",IF(INDEX(EntryTxnType,$P393)=0,"",INDEX(EntryTxnType,$P393)))</f>
        <v/>
      </c>
      <c r="H393" s="27">
        <f>IF($P393="","",IF(INDEX(EntryDep,$P393)=0,"",INDEX(EntryDep,$P393)))</f>
        <v/>
      </c>
      <c r="I393" s="27">
        <f>IF($P393="","",IF(INDEX(EntryWit,$P393)=0,"",INDEX(EntryWit,$P393)))</f>
        <v/>
      </c>
      <c r="J393" s="27">
        <f>IF($B393="","",IF($A393=1,$C$7,IF(J392="",0,J392))+IF($H393="",0,$H393)-IF($I393="",0,$I393))</f>
        <v/>
      </c>
      <c r="K393" s="27">
        <f>IF($P393="","",IF(INDEX(EntryMan,$P393)=0,"",INDEX(EntryMan,$P393)))</f>
        <v/>
      </c>
      <c r="L393" s="26">
        <f>IF($B393="","",IF($K393="","—",IF(ROUND($K393-$J393,0)=0,"√","×")))</f>
        <v/>
      </c>
      <c r="M393" s="26">
        <f>IF($B393="","",IF(COUNTIFS(EntryDates,$B393,CalcTime,$C393,CalcBank,$C$5,EntryParty,$D393,EntryDep,$H393,EntryWit,$I393)&gt;1,"تکرار",""))</f>
        <v/>
      </c>
      <c r="N393" s="26">
        <f>IF($P393="","",IF(INDEX(EntryNotes,$P393)=0,"",INDEX(EntryNotes,$P393)))</f>
        <v/>
      </c>
      <c r="O393" s="26">
        <f>IF($P393="","",IF(INDEX(EntryTxnID,$P393)=0,"",INDEX(EntryTxnID,$P393)))</f>
        <v/>
      </c>
      <c r="P393" s="26">
        <f>IFERROR(MATCH($C$5&amp;"|"&amp;RIGHT("000000"&amp;377,6),CalcRankKey,0),"")</f>
        <v/>
      </c>
    </row>
    <row r="394">
      <c r="A394" s="28">
        <f>IF($B394="","",378)</f>
        <v/>
      </c>
      <c r="B394" s="28">
        <f>IF($P394="","",IF(INDEX(CalcNormDate,$P394)=0,"",INDEX(CalcNormDate,$P394)))</f>
        <v/>
      </c>
      <c r="C394" s="28">
        <f>IF($P394="","",IF(INDEX(CalcTime,$P394)=0,"",INDEX(CalcTime,$P394)))</f>
        <v/>
      </c>
      <c r="D394" s="28">
        <f>IF($P394="","",IF(INDEX(EntryParty,$P394)=0,"",INDEX(EntryParty,$P394)))</f>
        <v/>
      </c>
      <c r="E394" s="28">
        <f>IF($P394="","",IF(INDEX(EntryPartyName,$P394)=0,"",INDEX(EntryPartyName,$P394)))</f>
        <v/>
      </c>
      <c r="F394" s="28">
        <f>IF($P394="","",IF(INDEX(EntryPartyType,$P394)=0,"",INDEX(EntryPartyType,$P394)))</f>
        <v/>
      </c>
      <c r="G394" s="28">
        <f>IF($P394="","",IF(INDEX(EntryTxnType,$P394)=0,"",INDEX(EntryTxnType,$P394)))</f>
        <v/>
      </c>
      <c r="H394" s="29">
        <f>IF($P394="","",IF(INDEX(EntryDep,$P394)=0,"",INDEX(EntryDep,$P394)))</f>
        <v/>
      </c>
      <c r="I394" s="29">
        <f>IF($P394="","",IF(INDEX(EntryWit,$P394)=0,"",INDEX(EntryWit,$P394)))</f>
        <v/>
      </c>
      <c r="J394" s="29">
        <f>IF($B394="","",IF($A394=1,$C$7,IF(J393="",0,J393))+IF($H394="",0,$H394)-IF($I394="",0,$I394))</f>
        <v/>
      </c>
      <c r="K394" s="29">
        <f>IF($P394="","",IF(INDEX(EntryMan,$P394)=0,"",INDEX(EntryMan,$P394)))</f>
        <v/>
      </c>
      <c r="L394" s="28">
        <f>IF($B394="","",IF($K394="","—",IF(ROUND($K394-$J394,0)=0,"√","×")))</f>
        <v/>
      </c>
      <c r="M394" s="28">
        <f>IF($B394="","",IF(COUNTIFS(EntryDates,$B394,CalcTime,$C394,CalcBank,$C$5,EntryParty,$D394,EntryDep,$H394,EntryWit,$I394)&gt;1,"تکرار",""))</f>
        <v/>
      </c>
      <c r="N394" s="28">
        <f>IF($P394="","",IF(INDEX(EntryNotes,$P394)=0,"",INDEX(EntryNotes,$P394)))</f>
        <v/>
      </c>
      <c r="O394" s="28">
        <f>IF($P394="","",IF(INDEX(EntryTxnID,$P394)=0,"",INDEX(EntryTxnID,$P394)))</f>
        <v/>
      </c>
      <c r="P394" s="28">
        <f>IFERROR(MATCH($C$5&amp;"|"&amp;RIGHT("000000"&amp;378,6),CalcRankKey,0),"")</f>
        <v/>
      </c>
    </row>
    <row r="395">
      <c r="A395" s="26">
        <f>IF($B395="","",379)</f>
        <v/>
      </c>
      <c r="B395" s="26">
        <f>IF($P395="","",IF(INDEX(CalcNormDate,$P395)=0,"",INDEX(CalcNormDate,$P395)))</f>
        <v/>
      </c>
      <c r="C395" s="26">
        <f>IF($P395="","",IF(INDEX(CalcTime,$P395)=0,"",INDEX(CalcTime,$P395)))</f>
        <v/>
      </c>
      <c r="D395" s="26">
        <f>IF($P395="","",IF(INDEX(EntryParty,$P395)=0,"",INDEX(EntryParty,$P395)))</f>
        <v/>
      </c>
      <c r="E395" s="26">
        <f>IF($P395="","",IF(INDEX(EntryPartyName,$P395)=0,"",INDEX(EntryPartyName,$P395)))</f>
        <v/>
      </c>
      <c r="F395" s="26">
        <f>IF($P395="","",IF(INDEX(EntryPartyType,$P395)=0,"",INDEX(EntryPartyType,$P395)))</f>
        <v/>
      </c>
      <c r="G395" s="26">
        <f>IF($P395="","",IF(INDEX(EntryTxnType,$P395)=0,"",INDEX(EntryTxnType,$P395)))</f>
        <v/>
      </c>
      <c r="H395" s="27">
        <f>IF($P395="","",IF(INDEX(EntryDep,$P395)=0,"",INDEX(EntryDep,$P395)))</f>
        <v/>
      </c>
      <c r="I395" s="27">
        <f>IF($P395="","",IF(INDEX(EntryWit,$P395)=0,"",INDEX(EntryWit,$P395)))</f>
        <v/>
      </c>
      <c r="J395" s="27">
        <f>IF($B395="","",IF($A395=1,$C$7,IF(J394="",0,J394))+IF($H395="",0,$H395)-IF($I395="",0,$I395))</f>
        <v/>
      </c>
      <c r="K395" s="27">
        <f>IF($P395="","",IF(INDEX(EntryMan,$P395)=0,"",INDEX(EntryMan,$P395)))</f>
        <v/>
      </c>
      <c r="L395" s="26">
        <f>IF($B395="","",IF($K395="","—",IF(ROUND($K395-$J395,0)=0,"√","×")))</f>
        <v/>
      </c>
      <c r="M395" s="26">
        <f>IF($B395="","",IF(COUNTIFS(EntryDates,$B395,CalcTime,$C395,CalcBank,$C$5,EntryParty,$D395,EntryDep,$H395,EntryWit,$I395)&gt;1,"تکرار",""))</f>
        <v/>
      </c>
      <c r="N395" s="26">
        <f>IF($P395="","",IF(INDEX(EntryNotes,$P395)=0,"",INDEX(EntryNotes,$P395)))</f>
        <v/>
      </c>
      <c r="O395" s="26">
        <f>IF($P395="","",IF(INDEX(EntryTxnID,$P395)=0,"",INDEX(EntryTxnID,$P395)))</f>
        <v/>
      </c>
      <c r="P395" s="26">
        <f>IFERROR(MATCH($C$5&amp;"|"&amp;RIGHT("000000"&amp;379,6),CalcRankKey,0),"")</f>
        <v/>
      </c>
    </row>
    <row r="396">
      <c r="A396" s="28">
        <f>IF($B396="","",380)</f>
        <v/>
      </c>
      <c r="B396" s="28">
        <f>IF($P396="","",IF(INDEX(CalcNormDate,$P396)=0,"",INDEX(CalcNormDate,$P396)))</f>
        <v/>
      </c>
      <c r="C396" s="28">
        <f>IF($P396="","",IF(INDEX(CalcTime,$P396)=0,"",INDEX(CalcTime,$P396)))</f>
        <v/>
      </c>
      <c r="D396" s="28">
        <f>IF($P396="","",IF(INDEX(EntryParty,$P396)=0,"",INDEX(EntryParty,$P396)))</f>
        <v/>
      </c>
      <c r="E396" s="28">
        <f>IF($P396="","",IF(INDEX(EntryPartyName,$P396)=0,"",INDEX(EntryPartyName,$P396)))</f>
        <v/>
      </c>
      <c r="F396" s="28">
        <f>IF($P396="","",IF(INDEX(EntryPartyType,$P396)=0,"",INDEX(EntryPartyType,$P396)))</f>
        <v/>
      </c>
      <c r="G396" s="28">
        <f>IF($P396="","",IF(INDEX(EntryTxnType,$P396)=0,"",INDEX(EntryTxnType,$P396)))</f>
        <v/>
      </c>
      <c r="H396" s="29">
        <f>IF($P396="","",IF(INDEX(EntryDep,$P396)=0,"",INDEX(EntryDep,$P396)))</f>
        <v/>
      </c>
      <c r="I396" s="29">
        <f>IF($P396="","",IF(INDEX(EntryWit,$P396)=0,"",INDEX(EntryWit,$P396)))</f>
        <v/>
      </c>
      <c r="J396" s="29">
        <f>IF($B396="","",IF($A396=1,$C$7,IF(J395="",0,J395))+IF($H396="",0,$H396)-IF($I396="",0,$I396))</f>
        <v/>
      </c>
      <c r="K396" s="29">
        <f>IF($P396="","",IF(INDEX(EntryMan,$P396)=0,"",INDEX(EntryMan,$P396)))</f>
        <v/>
      </c>
      <c r="L396" s="28">
        <f>IF($B396="","",IF($K396="","—",IF(ROUND($K396-$J396,0)=0,"√","×")))</f>
        <v/>
      </c>
      <c r="M396" s="28">
        <f>IF($B396="","",IF(COUNTIFS(EntryDates,$B396,CalcTime,$C396,CalcBank,$C$5,EntryParty,$D396,EntryDep,$H396,EntryWit,$I396)&gt;1,"تکرار",""))</f>
        <v/>
      </c>
      <c r="N396" s="28">
        <f>IF($P396="","",IF(INDEX(EntryNotes,$P396)=0,"",INDEX(EntryNotes,$P396)))</f>
        <v/>
      </c>
      <c r="O396" s="28">
        <f>IF($P396="","",IF(INDEX(EntryTxnID,$P396)=0,"",INDEX(EntryTxnID,$P396)))</f>
        <v/>
      </c>
      <c r="P396" s="28">
        <f>IFERROR(MATCH($C$5&amp;"|"&amp;RIGHT("000000"&amp;380,6),CalcRankKey,0),"")</f>
        <v/>
      </c>
    </row>
    <row r="397">
      <c r="A397" s="26">
        <f>IF($B397="","",381)</f>
        <v/>
      </c>
      <c r="B397" s="26">
        <f>IF($P397="","",IF(INDEX(CalcNormDate,$P397)=0,"",INDEX(CalcNormDate,$P397)))</f>
        <v/>
      </c>
      <c r="C397" s="26">
        <f>IF($P397="","",IF(INDEX(CalcTime,$P397)=0,"",INDEX(CalcTime,$P397)))</f>
        <v/>
      </c>
      <c r="D397" s="26">
        <f>IF($P397="","",IF(INDEX(EntryParty,$P397)=0,"",INDEX(EntryParty,$P397)))</f>
        <v/>
      </c>
      <c r="E397" s="26">
        <f>IF($P397="","",IF(INDEX(EntryPartyName,$P397)=0,"",INDEX(EntryPartyName,$P397)))</f>
        <v/>
      </c>
      <c r="F397" s="26">
        <f>IF($P397="","",IF(INDEX(EntryPartyType,$P397)=0,"",INDEX(EntryPartyType,$P397)))</f>
        <v/>
      </c>
      <c r="G397" s="26">
        <f>IF($P397="","",IF(INDEX(EntryTxnType,$P397)=0,"",INDEX(EntryTxnType,$P397)))</f>
        <v/>
      </c>
      <c r="H397" s="27">
        <f>IF($P397="","",IF(INDEX(EntryDep,$P397)=0,"",INDEX(EntryDep,$P397)))</f>
        <v/>
      </c>
      <c r="I397" s="27">
        <f>IF($P397="","",IF(INDEX(EntryWit,$P397)=0,"",INDEX(EntryWit,$P397)))</f>
        <v/>
      </c>
      <c r="J397" s="27">
        <f>IF($B397="","",IF($A397=1,$C$7,IF(J396="",0,J396))+IF($H397="",0,$H397)-IF($I397="",0,$I397))</f>
        <v/>
      </c>
      <c r="K397" s="27">
        <f>IF($P397="","",IF(INDEX(EntryMan,$P397)=0,"",INDEX(EntryMan,$P397)))</f>
        <v/>
      </c>
      <c r="L397" s="26">
        <f>IF($B397="","",IF($K397="","—",IF(ROUND($K397-$J397,0)=0,"√","×")))</f>
        <v/>
      </c>
      <c r="M397" s="26">
        <f>IF($B397="","",IF(COUNTIFS(EntryDates,$B397,CalcTime,$C397,CalcBank,$C$5,EntryParty,$D397,EntryDep,$H397,EntryWit,$I397)&gt;1,"تکرار",""))</f>
        <v/>
      </c>
      <c r="N397" s="26">
        <f>IF($P397="","",IF(INDEX(EntryNotes,$P397)=0,"",INDEX(EntryNotes,$P397)))</f>
        <v/>
      </c>
      <c r="O397" s="26">
        <f>IF($P397="","",IF(INDEX(EntryTxnID,$P397)=0,"",INDEX(EntryTxnID,$P397)))</f>
        <v/>
      </c>
      <c r="P397" s="26">
        <f>IFERROR(MATCH($C$5&amp;"|"&amp;RIGHT("000000"&amp;381,6),CalcRankKey,0),"")</f>
        <v/>
      </c>
    </row>
    <row r="398">
      <c r="A398" s="28">
        <f>IF($B398="","",382)</f>
        <v/>
      </c>
      <c r="B398" s="28">
        <f>IF($P398="","",IF(INDEX(CalcNormDate,$P398)=0,"",INDEX(CalcNormDate,$P398)))</f>
        <v/>
      </c>
      <c r="C398" s="28">
        <f>IF($P398="","",IF(INDEX(CalcTime,$P398)=0,"",INDEX(CalcTime,$P398)))</f>
        <v/>
      </c>
      <c r="D398" s="28">
        <f>IF($P398="","",IF(INDEX(EntryParty,$P398)=0,"",INDEX(EntryParty,$P398)))</f>
        <v/>
      </c>
      <c r="E398" s="28">
        <f>IF($P398="","",IF(INDEX(EntryPartyName,$P398)=0,"",INDEX(EntryPartyName,$P398)))</f>
        <v/>
      </c>
      <c r="F398" s="28">
        <f>IF($P398="","",IF(INDEX(EntryPartyType,$P398)=0,"",INDEX(EntryPartyType,$P398)))</f>
        <v/>
      </c>
      <c r="G398" s="28">
        <f>IF($P398="","",IF(INDEX(EntryTxnType,$P398)=0,"",INDEX(EntryTxnType,$P398)))</f>
        <v/>
      </c>
      <c r="H398" s="29">
        <f>IF($P398="","",IF(INDEX(EntryDep,$P398)=0,"",INDEX(EntryDep,$P398)))</f>
        <v/>
      </c>
      <c r="I398" s="29">
        <f>IF($P398="","",IF(INDEX(EntryWit,$P398)=0,"",INDEX(EntryWit,$P398)))</f>
        <v/>
      </c>
      <c r="J398" s="29">
        <f>IF($B398="","",IF($A398=1,$C$7,IF(J397="",0,J397))+IF($H398="",0,$H398)-IF($I398="",0,$I398))</f>
        <v/>
      </c>
      <c r="K398" s="29">
        <f>IF($P398="","",IF(INDEX(EntryMan,$P398)=0,"",INDEX(EntryMan,$P398)))</f>
        <v/>
      </c>
      <c r="L398" s="28">
        <f>IF($B398="","",IF($K398="","—",IF(ROUND($K398-$J398,0)=0,"√","×")))</f>
        <v/>
      </c>
      <c r="M398" s="28">
        <f>IF($B398="","",IF(COUNTIFS(EntryDates,$B398,CalcTime,$C398,CalcBank,$C$5,EntryParty,$D398,EntryDep,$H398,EntryWit,$I398)&gt;1,"تکرار",""))</f>
        <v/>
      </c>
      <c r="N398" s="28">
        <f>IF($P398="","",IF(INDEX(EntryNotes,$P398)=0,"",INDEX(EntryNotes,$P398)))</f>
        <v/>
      </c>
      <c r="O398" s="28">
        <f>IF($P398="","",IF(INDEX(EntryTxnID,$P398)=0,"",INDEX(EntryTxnID,$P398)))</f>
        <v/>
      </c>
      <c r="P398" s="28">
        <f>IFERROR(MATCH($C$5&amp;"|"&amp;RIGHT("000000"&amp;382,6),CalcRankKey,0),"")</f>
        <v/>
      </c>
    </row>
    <row r="399">
      <c r="A399" s="26">
        <f>IF($B399="","",383)</f>
        <v/>
      </c>
      <c r="B399" s="26">
        <f>IF($P399="","",IF(INDEX(CalcNormDate,$P399)=0,"",INDEX(CalcNormDate,$P399)))</f>
        <v/>
      </c>
      <c r="C399" s="26">
        <f>IF($P399="","",IF(INDEX(CalcTime,$P399)=0,"",INDEX(CalcTime,$P399)))</f>
        <v/>
      </c>
      <c r="D399" s="26">
        <f>IF($P399="","",IF(INDEX(EntryParty,$P399)=0,"",INDEX(EntryParty,$P399)))</f>
        <v/>
      </c>
      <c r="E399" s="26">
        <f>IF($P399="","",IF(INDEX(EntryPartyName,$P399)=0,"",INDEX(EntryPartyName,$P399)))</f>
        <v/>
      </c>
      <c r="F399" s="26">
        <f>IF($P399="","",IF(INDEX(EntryPartyType,$P399)=0,"",INDEX(EntryPartyType,$P399)))</f>
        <v/>
      </c>
      <c r="G399" s="26">
        <f>IF($P399="","",IF(INDEX(EntryTxnType,$P399)=0,"",INDEX(EntryTxnType,$P399)))</f>
        <v/>
      </c>
      <c r="H399" s="27">
        <f>IF($P399="","",IF(INDEX(EntryDep,$P399)=0,"",INDEX(EntryDep,$P399)))</f>
        <v/>
      </c>
      <c r="I399" s="27">
        <f>IF($P399="","",IF(INDEX(EntryWit,$P399)=0,"",INDEX(EntryWit,$P399)))</f>
        <v/>
      </c>
      <c r="J399" s="27">
        <f>IF($B399="","",IF($A399=1,$C$7,IF(J398="",0,J398))+IF($H399="",0,$H399)-IF($I399="",0,$I399))</f>
        <v/>
      </c>
      <c r="K399" s="27">
        <f>IF($P399="","",IF(INDEX(EntryMan,$P399)=0,"",INDEX(EntryMan,$P399)))</f>
        <v/>
      </c>
      <c r="L399" s="26">
        <f>IF($B399="","",IF($K399="","—",IF(ROUND($K399-$J399,0)=0,"√","×")))</f>
        <v/>
      </c>
      <c r="M399" s="26">
        <f>IF($B399="","",IF(COUNTIFS(EntryDates,$B399,CalcTime,$C399,CalcBank,$C$5,EntryParty,$D399,EntryDep,$H399,EntryWit,$I399)&gt;1,"تکرار",""))</f>
        <v/>
      </c>
      <c r="N399" s="26">
        <f>IF($P399="","",IF(INDEX(EntryNotes,$P399)=0,"",INDEX(EntryNotes,$P399)))</f>
        <v/>
      </c>
      <c r="O399" s="26">
        <f>IF($P399="","",IF(INDEX(EntryTxnID,$P399)=0,"",INDEX(EntryTxnID,$P399)))</f>
        <v/>
      </c>
      <c r="P399" s="26">
        <f>IFERROR(MATCH($C$5&amp;"|"&amp;RIGHT("000000"&amp;383,6),CalcRankKey,0),"")</f>
        <v/>
      </c>
    </row>
    <row r="400">
      <c r="A400" s="28">
        <f>IF($B400="","",384)</f>
        <v/>
      </c>
      <c r="B400" s="28">
        <f>IF($P400="","",IF(INDEX(CalcNormDate,$P400)=0,"",INDEX(CalcNormDate,$P400)))</f>
        <v/>
      </c>
      <c r="C400" s="28">
        <f>IF($P400="","",IF(INDEX(CalcTime,$P400)=0,"",INDEX(CalcTime,$P400)))</f>
        <v/>
      </c>
      <c r="D400" s="28">
        <f>IF($P400="","",IF(INDEX(EntryParty,$P400)=0,"",INDEX(EntryParty,$P400)))</f>
        <v/>
      </c>
      <c r="E400" s="28">
        <f>IF($P400="","",IF(INDEX(EntryPartyName,$P400)=0,"",INDEX(EntryPartyName,$P400)))</f>
        <v/>
      </c>
      <c r="F400" s="28">
        <f>IF($P400="","",IF(INDEX(EntryPartyType,$P400)=0,"",INDEX(EntryPartyType,$P400)))</f>
        <v/>
      </c>
      <c r="G400" s="28">
        <f>IF($P400="","",IF(INDEX(EntryTxnType,$P400)=0,"",INDEX(EntryTxnType,$P400)))</f>
        <v/>
      </c>
      <c r="H400" s="29">
        <f>IF($P400="","",IF(INDEX(EntryDep,$P400)=0,"",INDEX(EntryDep,$P400)))</f>
        <v/>
      </c>
      <c r="I400" s="29">
        <f>IF($P400="","",IF(INDEX(EntryWit,$P400)=0,"",INDEX(EntryWit,$P400)))</f>
        <v/>
      </c>
      <c r="J400" s="29">
        <f>IF($B400="","",IF($A400=1,$C$7,IF(J399="",0,J399))+IF($H400="",0,$H400)-IF($I400="",0,$I400))</f>
        <v/>
      </c>
      <c r="K400" s="29">
        <f>IF($P400="","",IF(INDEX(EntryMan,$P400)=0,"",INDEX(EntryMan,$P400)))</f>
        <v/>
      </c>
      <c r="L400" s="28">
        <f>IF($B400="","",IF($K400="","—",IF(ROUND($K400-$J400,0)=0,"√","×")))</f>
        <v/>
      </c>
      <c r="M400" s="28">
        <f>IF($B400="","",IF(COUNTIFS(EntryDates,$B400,CalcTime,$C400,CalcBank,$C$5,EntryParty,$D400,EntryDep,$H400,EntryWit,$I400)&gt;1,"تکرار",""))</f>
        <v/>
      </c>
      <c r="N400" s="28">
        <f>IF($P400="","",IF(INDEX(EntryNotes,$P400)=0,"",INDEX(EntryNotes,$P400)))</f>
        <v/>
      </c>
      <c r="O400" s="28">
        <f>IF($P400="","",IF(INDEX(EntryTxnID,$P400)=0,"",INDEX(EntryTxnID,$P400)))</f>
        <v/>
      </c>
      <c r="P400" s="28">
        <f>IFERROR(MATCH($C$5&amp;"|"&amp;RIGHT("000000"&amp;384,6),CalcRankKey,0),"")</f>
        <v/>
      </c>
    </row>
    <row r="401">
      <c r="A401" s="26">
        <f>IF($B401="","",385)</f>
        <v/>
      </c>
      <c r="B401" s="26">
        <f>IF($P401="","",IF(INDEX(CalcNormDate,$P401)=0,"",INDEX(CalcNormDate,$P401)))</f>
        <v/>
      </c>
      <c r="C401" s="26">
        <f>IF($P401="","",IF(INDEX(CalcTime,$P401)=0,"",INDEX(CalcTime,$P401)))</f>
        <v/>
      </c>
      <c r="D401" s="26">
        <f>IF($P401="","",IF(INDEX(EntryParty,$P401)=0,"",INDEX(EntryParty,$P401)))</f>
        <v/>
      </c>
      <c r="E401" s="26">
        <f>IF($P401="","",IF(INDEX(EntryPartyName,$P401)=0,"",INDEX(EntryPartyName,$P401)))</f>
        <v/>
      </c>
      <c r="F401" s="26">
        <f>IF($P401="","",IF(INDEX(EntryPartyType,$P401)=0,"",INDEX(EntryPartyType,$P401)))</f>
        <v/>
      </c>
      <c r="G401" s="26">
        <f>IF($P401="","",IF(INDEX(EntryTxnType,$P401)=0,"",INDEX(EntryTxnType,$P401)))</f>
        <v/>
      </c>
      <c r="H401" s="27">
        <f>IF($P401="","",IF(INDEX(EntryDep,$P401)=0,"",INDEX(EntryDep,$P401)))</f>
        <v/>
      </c>
      <c r="I401" s="27">
        <f>IF($P401="","",IF(INDEX(EntryWit,$P401)=0,"",INDEX(EntryWit,$P401)))</f>
        <v/>
      </c>
      <c r="J401" s="27">
        <f>IF($B401="","",IF($A401=1,$C$7,IF(J400="",0,J400))+IF($H401="",0,$H401)-IF($I401="",0,$I401))</f>
        <v/>
      </c>
      <c r="K401" s="27">
        <f>IF($P401="","",IF(INDEX(EntryMan,$P401)=0,"",INDEX(EntryMan,$P401)))</f>
        <v/>
      </c>
      <c r="L401" s="26">
        <f>IF($B401="","",IF($K401="","—",IF(ROUND($K401-$J401,0)=0,"√","×")))</f>
        <v/>
      </c>
      <c r="M401" s="26">
        <f>IF($B401="","",IF(COUNTIFS(EntryDates,$B401,CalcTime,$C401,CalcBank,$C$5,EntryParty,$D401,EntryDep,$H401,EntryWit,$I401)&gt;1,"تکرار",""))</f>
        <v/>
      </c>
      <c r="N401" s="26">
        <f>IF($P401="","",IF(INDEX(EntryNotes,$P401)=0,"",INDEX(EntryNotes,$P401)))</f>
        <v/>
      </c>
      <c r="O401" s="26">
        <f>IF($P401="","",IF(INDEX(EntryTxnID,$P401)=0,"",INDEX(EntryTxnID,$P401)))</f>
        <v/>
      </c>
      <c r="P401" s="26">
        <f>IFERROR(MATCH($C$5&amp;"|"&amp;RIGHT("000000"&amp;385,6),CalcRankKey,0),"")</f>
        <v/>
      </c>
    </row>
    <row r="402">
      <c r="A402" s="28">
        <f>IF($B402="","",386)</f>
        <v/>
      </c>
      <c r="B402" s="28">
        <f>IF($P402="","",IF(INDEX(CalcNormDate,$P402)=0,"",INDEX(CalcNormDate,$P402)))</f>
        <v/>
      </c>
      <c r="C402" s="28">
        <f>IF($P402="","",IF(INDEX(CalcTime,$P402)=0,"",INDEX(CalcTime,$P402)))</f>
        <v/>
      </c>
      <c r="D402" s="28">
        <f>IF($P402="","",IF(INDEX(EntryParty,$P402)=0,"",INDEX(EntryParty,$P402)))</f>
        <v/>
      </c>
      <c r="E402" s="28">
        <f>IF($P402="","",IF(INDEX(EntryPartyName,$P402)=0,"",INDEX(EntryPartyName,$P402)))</f>
        <v/>
      </c>
      <c r="F402" s="28">
        <f>IF($P402="","",IF(INDEX(EntryPartyType,$P402)=0,"",INDEX(EntryPartyType,$P402)))</f>
        <v/>
      </c>
      <c r="G402" s="28">
        <f>IF($P402="","",IF(INDEX(EntryTxnType,$P402)=0,"",INDEX(EntryTxnType,$P402)))</f>
        <v/>
      </c>
      <c r="H402" s="29">
        <f>IF($P402="","",IF(INDEX(EntryDep,$P402)=0,"",INDEX(EntryDep,$P402)))</f>
        <v/>
      </c>
      <c r="I402" s="29">
        <f>IF($P402="","",IF(INDEX(EntryWit,$P402)=0,"",INDEX(EntryWit,$P402)))</f>
        <v/>
      </c>
      <c r="J402" s="29">
        <f>IF($B402="","",IF($A402=1,$C$7,IF(J401="",0,J401))+IF($H402="",0,$H402)-IF($I402="",0,$I402))</f>
        <v/>
      </c>
      <c r="K402" s="29">
        <f>IF($P402="","",IF(INDEX(EntryMan,$P402)=0,"",INDEX(EntryMan,$P402)))</f>
        <v/>
      </c>
      <c r="L402" s="28">
        <f>IF($B402="","",IF($K402="","—",IF(ROUND($K402-$J402,0)=0,"√","×")))</f>
        <v/>
      </c>
      <c r="M402" s="28">
        <f>IF($B402="","",IF(COUNTIFS(EntryDates,$B402,CalcTime,$C402,CalcBank,$C$5,EntryParty,$D402,EntryDep,$H402,EntryWit,$I402)&gt;1,"تکرار",""))</f>
        <v/>
      </c>
      <c r="N402" s="28">
        <f>IF($P402="","",IF(INDEX(EntryNotes,$P402)=0,"",INDEX(EntryNotes,$P402)))</f>
        <v/>
      </c>
      <c r="O402" s="28">
        <f>IF($P402="","",IF(INDEX(EntryTxnID,$P402)=0,"",INDEX(EntryTxnID,$P402)))</f>
        <v/>
      </c>
      <c r="P402" s="28">
        <f>IFERROR(MATCH($C$5&amp;"|"&amp;RIGHT("000000"&amp;386,6),CalcRankKey,0),"")</f>
        <v/>
      </c>
    </row>
    <row r="403">
      <c r="A403" s="26">
        <f>IF($B403="","",387)</f>
        <v/>
      </c>
      <c r="B403" s="26">
        <f>IF($P403="","",IF(INDEX(CalcNormDate,$P403)=0,"",INDEX(CalcNormDate,$P403)))</f>
        <v/>
      </c>
      <c r="C403" s="26">
        <f>IF($P403="","",IF(INDEX(CalcTime,$P403)=0,"",INDEX(CalcTime,$P403)))</f>
        <v/>
      </c>
      <c r="D403" s="26">
        <f>IF($P403="","",IF(INDEX(EntryParty,$P403)=0,"",INDEX(EntryParty,$P403)))</f>
        <v/>
      </c>
      <c r="E403" s="26">
        <f>IF($P403="","",IF(INDEX(EntryPartyName,$P403)=0,"",INDEX(EntryPartyName,$P403)))</f>
        <v/>
      </c>
      <c r="F403" s="26">
        <f>IF($P403="","",IF(INDEX(EntryPartyType,$P403)=0,"",INDEX(EntryPartyType,$P403)))</f>
        <v/>
      </c>
      <c r="G403" s="26">
        <f>IF($P403="","",IF(INDEX(EntryTxnType,$P403)=0,"",INDEX(EntryTxnType,$P403)))</f>
        <v/>
      </c>
      <c r="H403" s="27">
        <f>IF($P403="","",IF(INDEX(EntryDep,$P403)=0,"",INDEX(EntryDep,$P403)))</f>
        <v/>
      </c>
      <c r="I403" s="27">
        <f>IF($P403="","",IF(INDEX(EntryWit,$P403)=0,"",INDEX(EntryWit,$P403)))</f>
        <v/>
      </c>
      <c r="J403" s="27">
        <f>IF($B403="","",IF($A403=1,$C$7,IF(J402="",0,J402))+IF($H403="",0,$H403)-IF($I403="",0,$I403))</f>
        <v/>
      </c>
      <c r="K403" s="27">
        <f>IF($P403="","",IF(INDEX(EntryMan,$P403)=0,"",INDEX(EntryMan,$P403)))</f>
        <v/>
      </c>
      <c r="L403" s="26">
        <f>IF($B403="","",IF($K403="","—",IF(ROUND($K403-$J403,0)=0,"√","×")))</f>
        <v/>
      </c>
      <c r="M403" s="26">
        <f>IF($B403="","",IF(COUNTIFS(EntryDates,$B403,CalcTime,$C403,CalcBank,$C$5,EntryParty,$D403,EntryDep,$H403,EntryWit,$I403)&gt;1,"تکرار",""))</f>
        <v/>
      </c>
      <c r="N403" s="26">
        <f>IF($P403="","",IF(INDEX(EntryNotes,$P403)=0,"",INDEX(EntryNotes,$P403)))</f>
        <v/>
      </c>
      <c r="O403" s="26">
        <f>IF($P403="","",IF(INDEX(EntryTxnID,$P403)=0,"",INDEX(EntryTxnID,$P403)))</f>
        <v/>
      </c>
      <c r="P403" s="26">
        <f>IFERROR(MATCH($C$5&amp;"|"&amp;RIGHT("000000"&amp;387,6),CalcRankKey,0),"")</f>
        <v/>
      </c>
    </row>
    <row r="404">
      <c r="A404" s="28">
        <f>IF($B404="","",388)</f>
        <v/>
      </c>
      <c r="B404" s="28">
        <f>IF($P404="","",IF(INDEX(CalcNormDate,$P404)=0,"",INDEX(CalcNormDate,$P404)))</f>
        <v/>
      </c>
      <c r="C404" s="28">
        <f>IF($P404="","",IF(INDEX(CalcTime,$P404)=0,"",INDEX(CalcTime,$P404)))</f>
        <v/>
      </c>
      <c r="D404" s="28">
        <f>IF($P404="","",IF(INDEX(EntryParty,$P404)=0,"",INDEX(EntryParty,$P404)))</f>
        <v/>
      </c>
      <c r="E404" s="28">
        <f>IF($P404="","",IF(INDEX(EntryPartyName,$P404)=0,"",INDEX(EntryPartyName,$P404)))</f>
        <v/>
      </c>
      <c r="F404" s="28">
        <f>IF($P404="","",IF(INDEX(EntryPartyType,$P404)=0,"",INDEX(EntryPartyType,$P404)))</f>
        <v/>
      </c>
      <c r="G404" s="28">
        <f>IF($P404="","",IF(INDEX(EntryTxnType,$P404)=0,"",INDEX(EntryTxnType,$P404)))</f>
        <v/>
      </c>
      <c r="H404" s="29">
        <f>IF($P404="","",IF(INDEX(EntryDep,$P404)=0,"",INDEX(EntryDep,$P404)))</f>
        <v/>
      </c>
      <c r="I404" s="29">
        <f>IF($P404="","",IF(INDEX(EntryWit,$P404)=0,"",INDEX(EntryWit,$P404)))</f>
        <v/>
      </c>
      <c r="J404" s="29">
        <f>IF($B404="","",IF($A404=1,$C$7,IF(J403="",0,J403))+IF($H404="",0,$H404)-IF($I404="",0,$I404))</f>
        <v/>
      </c>
      <c r="K404" s="29">
        <f>IF($P404="","",IF(INDEX(EntryMan,$P404)=0,"",INDEX(EntryMan,$P404)))</f>
        <v/>
      </c>
      <c r="L404" s="28">
        <f>IF($B404="","",IF($K404="","—",IF(ROUND($K404-$J404,0)=0,"√","×")))</f>
        <v/>
      </c>
      <c r="M404" s="28">
        <f>IF($B404="","",IF(COUNTIFS(EntryDates,$B404,CalcTime,$C404,CalcBank,$C$5,EntryParty,$D404,EntryDep,$H404,EntryWit,$I404)&gt;1,"تکرار",""))</f>
        <v/>
      </c>
      <c r="N404" s="28">
        <f>IF($P404="","",IF(INDEX(EntryNotes,$P404)=0,"",INDEX(EntryNotes,$P404)))</f>
        <v/>
      </c>
      <c r="O404" s="28">
        <f>IF($P404="","",IF(INDEX(EntryTxnID,$P404)=0,"",INDEX(EntryTxnID,$P404)))</f>
        <v/>
      </c>
      <c r="P404" s="28">
        <f>IFERROR(MATCH($C$5&amp;"|"&amp;RIGHT("000000"&amp;388,6),CalcRankKey,0),"")</f>
        <v/>
      </c>
    </row>
    <row r="405">
      <c r="A405" s="26">
        <f>IF($B405="","",389)</f>
        <v/>
      </c>
      <c r="B405" s="26">
        <f>IF($P405="","",IF(INDEX(CalcNormDate,$P405)=0,"",INDEX(CalcNormDate,$P405)))</f>
        <v/>
      </c>
      <c r="C405" s="26">
        <f>IF($P405="","",IF(INDEX(CalcTime,$P405)=0,"",INDEX(CalcTime,$P405)))</f>
        <v/>
      </c>
      <c r="D405" s="26">
        <f>IF($P405="","",IF(INDEX(EntryParty,$P405)=0,"",INDEX(EntryParty,$P405)))</f>
        <v/>
      </c>
      <c r="E405" s="26">
        <f>IF($P405="","",IF(INDEX(EntryPartyName,$P405)=0,"",INDEX(EntryPartyName,$P405)))</f>
        <v/>
      </c>
      <c r="F405" s="26">
        <f>IF($P405="","",IF(INDEX(EntryPartyType,$P405)=0,"",INDEX(EntryPartyType,$P405)))</f>
        <v/>
      </c>
      <c r="G405" s="26">
        <f>IF($P405="","",IF(INDEX(EntryTxnType,$P405)=0,"",INDEX(EntryTxnType,$P405)))</f>
        <v/>
      </c>
      <c r="H405" s="27">
        <f>IF($P405="","",IF(INDEX(EntryDep,$P405)=0,"",INDEX(EntryDep,$P405)))</f>
        <v/>
      </c>
      <c r="I405" s="27">
        <f>IF($P405="","",IF(INDEX(EntryWit,$P405)=0,"",INDEX(EntryWit,$P405)))</f>
        <v/>
      </c>
      <c r="J405" s="27">
        <f>IF($B405="","",IF($A405=1,$C$7,IF(J404="",0,J404))+IF($H405="",0,$H405)-IF($I405="",0,$I405))</f>
        <v/>
      </c>
      <c r="K405" s="27">
        <f>IF($P405="","",IF(INDEX(EntryMan,$P405)=0,"",INDEX(EntryMan,$P405)))</f>
        <v/>
      </c>
      <c r="L405" s="26">
        <f>IF($B405="","",IF($K405="","—",IF(ROUND($K405-$J405,0)=0,"√","×")))</f>
        <v/>
      </c>
      <c r="M405" s="26">
        <f>IF($B405="","",IF(COUNTIFS(EntryDates,$B405,CalcTime,$C405,CalcBank,$C$5,EntryParty,$D405,EntryDep,$H405,EntryWit,$I405)&gt;1,"تکرار",""))</f>
        <v/>
      </c>
      <c r="N405" s="26">
        <f>IF($P405="","",IF(INDEX(EntryNotes,$P405)=0,"",INDEX(EntryNotes,$P405)))</f>
        <v/>
      </c>
      <c r="O405" s="26">
        <f>IF($P405="","",IF(INDEX(EntryTxnID,$P405)=0,"",INDEX(EntryTxnID,$P405)))</f>
        <v/>
      </c>
      <c r="P405" s="26">
        <f>IFERROR(MATCH($C$5&amp;"|"&amp;RIGHT("000000"&amp;389,6),CalcRankKey,0),"")</f>
        <v/>
      </c>
    </row>
    <row r="406">
      <c r="A406" s="28">
        <f>IF($B406="","",390)</f>
        <v/>
      </c>
      <c r="B406" s="28">
        <f>IF($P406="","",IF(INDEX(CalcNormDate,$P406)=0,"",INDEX(CalcNormDate,$P406)))</f>
        <v/>
      </c>
      <c r="C406" s="28">
        <f>IF($P406="","",IF(INDEX(CalcTime,$P406)=0,"",INDEX(CalcTime,$P406)))</f>
        <v/>
      </c>
      <c r="D406" s="28">
        <f>IF($P406="","",IF(INDEX(EntryParty,$P406)=0,"",INDEX(EntryParty,$P406)))</f>
        <v/>
      </c>
      <c r="E406" s="28">
        <f>IF($P406="","",IF(INDEX(EntryPartyName,$P406)=0,"",INDEX(EntryPartyName,$P406)))</f>
        <v/>
      </c>
      <c r="F406" s="28">
        <f>IF($P406="","",IF(INDEX(EntryPartyType,$P406)=0,"",INDEX(EntryPartyType,$P406)))</f>
        <v/>
      </c>
      <c r="G406" s="28">
        <f>IF($P406="","",IF(INDEX(EntryTxnType,$P406)=0,"",INDEX(EntryTxnType,$P406)))</f>
        <v/>
      </c>
      <c r="H406" s="29">
        <f>IF($P406="","",IF(INDEX(EntryDep,$P406)=0,"",INDEX(EntryDep,$P406)))</f>
        <v/>
      </c>
      <c r="I406" s="29">
        <f>IF($P406="","",IF(INDEX(EntryWit,$P406)=0,"",INDEX(EntryWit,$P406)))</f>
        <v/>
      </c>
      <c r="J406" s="29">
        <f>IF($B406="","",IF($A406=1,$C$7,IF(J405="",0,J405))+IF($H406="",0,$H406)-IF($I406="",0,$I406))</f>
        <v/>
      </c>
      <c r="K406" s="29">
        <f>IF($P406="","",IF(INDEX(EntryMan,$P406)=0,"",INDEX(EntryMan,$P406)))</f>
        <v/>
      </c>
      <c r="L406" s="28">
        <f>IF($B406="","",IF($K406="","—",IF(ROUND($K406-$J406,0)=0,"√","×")))</f>
        <v/>
      </c>
      <c r="M406" s="28">
        <f>IF($B406="","",IF(COUNTIFS(EntryDates,$B406,CalcTime,$C406,CalcBank,$C$5,EntryParty,$D406,EntryDep,$H406,EntryWit,$I406)&gt;1,"تکرار",""))</f>
        <v/>
      </c>
      <c r="N406" s="28">
        <f>IF($P406="","",IF(INDEX(EntryNotes,$P406)=0,"",INDEX(EntryNotes,$P406)))</f>
        <v/>
      </c>
      <c r="O406" s="28">
        <f>IF($P406="","",IF(INDEX(EntryTxnID,$P406)=0,"",INDEX(EntryTxnID,$P406)))</f>
        <v/>
      </c>
      <c r="P406" s="28">
        <f>IFERROR(MATCH($C$5&amp;"|"&amp;RIGHT("000000"&amp;390,6),CalcRankKey,0),"")</f>
        <v/>
      </c>
    </row>
    <row r="407">
      <c r="A407" s="26">
        <f>IF($B407="","",391)</f>
        <v/>
      </c>
      <c r="B407" s="26">
        <f>IF($P407="","",IF(INDEX(CalcNormDate,$P407)=0,"",INDEX(CalcNormDate,$P407)))</f>
        <v/>
      </c>
      <c r="C407" s="26">
        <f>IF($P407="","",IF(INDEX(CalcTime,$P407)=0,"",INDEX(CalcTime,$P407)))</f>
        <v/>
      </c>
      <c r="D407" s="26">
        <f>IF($P407="","",IF(INDEX(EntryParty,$P407)=0,"",INDEX(EntryParty,$P407)))</f>
        <v/>
      </c>
      <c r="E407" s="26">
        <f>IF($P407="","",IF(INDEX(EntryPartyName,$P407)=0,"",INDEX(EntryPartyName,$P407)))</f>
        <v/>
      </c>
      <c r="F407" s="26">
        <f>IF($P407="","",IF(INDEX(EntryPartyType,$P407)=0,"",INDEX(EntryPartyType,$P407)))</f>
        <v/>
      </c>
      <c r="G407" s="26">
        <f>IF($P407="","",IF(INDEX(EntryTxnType,$P407)=0,"",INDEX(EntryTxnType,$P407)))</f>
        <v/>
      </c>
      <c r="H407" s="27">
        <f>IF($P407="","",IF(INDEX(EntryDep,$P407)=0,"",INDEX(EntryDep,$P407)))</f>
        <v/>
      </c>
      <c r="I407" s="27">
        <f>IF($P407="","",IF(INDEX(EntryWit,$P407)=0,"",INDEX(EntryWit,$P407)))</f>
        <v/>
      </c>
      <c r="J407" s="27">
        <f>IF($B407="","",IF($A407=1,$C$7,IF(J406="",0,J406))+IF($H407="",0,$H407)-IF($I407="",0,$I407))</f>
        <v/>
      </c>
      <c r="K407" s="27">
        <f>IF($P407="","",IF(INDEX(EntryMan,$P407)=0,"",INDEX(EntryMan,$P407)))</f>
        <v/>
      </c>
      <c r="L407" s="26">
        <f>IF($B407="","",IF($K407="","—",IF(ROUND($K407-$J407,0)=0,"√","×")))</f>
        <v/>
      </c>
      <c r="M407" s="26">
        <f>IF($B407="","",IF(COUNTIFS(EntryDates,$B407,CalcTime,$C407,CalcBank,$C$5,EntryParty,$D407,EntryDep,$H407,EntryWit,$I407)&gt;1,"تکرار",""))</f>
        <v/>
      </c>
      <c r="N407" s="26">
        <f>IF($P407="","",IF(INDEX(EntryNotes,$P407)=0,"",INDEX(EntryNotes,$P407)))</f>
        <v/>
      </c>
      <c r="O407" s="26">
        <f>IF($P407="","",IF(INDEX(EntryTxnID,$P407)=0,"",INDEX(EntryTxnID,$P407)))</f>
        <v/>
      </c>
      <c r="P407" s="26">
        <f>IFERROR(MATCH($C$5&amp;"|"&amp;RIGHT("000000"&amp;391,6),CalcRankKey,0),"")</f>
        <v/>
      </c>
    </row>
    <row r="408">
      <c r="A408" s="28">
        <f>IF($B408="","",392)</f>
        <v/>
      </c>
      <c r="B408" s="28">
        <f>IF($P408="","",IF(INDEX(CalcNormDate,$P408)=0,"",INDEX(CalcNormDate,$P408)))</f>
        <v/>
      </c>
      <c r="C408" s="28">
        <f>IF($P408="","",IF(INDEX(CalcTime,$P408)=0,"",INDEX(CalcTime,$P408)))</f>
        <v/>
      </c>
      <c r="D408" s="28">
        <f>IF($P408="","",IF(INDEX(EntryParty,$P408)=0,"",INDEX(EntryParty,$P408)))</f>
        <v/>
      </c>
      <c r="E408" s="28">
        <f>IF($P408="","",IF(INDEX(EntryPartyName,$P408)=0,"",INDEX(EntryPartyName,$P408)))</f>
        <v/>
      </c>
      <c r="F408" s="28">
        <f>IF($P408="","",IF(INDEX(EntryPartyType,$P408)=0,"",INDEX(EntryPartyType,$P408)))</f>
        <v/>
      </c>
      <c r="G408" s="28">
        <f>IF($P408="","",IF(INDEX(EntryTxnType,$P408)=0,"",INDEX(EntryTxnType,$P408)))</f>
        <v/>
      </c>
      <c r="H408" s="29">
        <f>IF($P408="","",IF(INDEX(EntryDep,$P408)=0,"",INDEX(EntryDep,$P408)))</f>
        <v/>
      </c>
      <c r="I408" s="29">
        <f>IF($P408="","",IF(INDEX(EntryWit,$P408)=0,"",INDEX(EntryWit,$P408)))</f>
        <v/>
      </c>
      <c r="J408" s="29">
        <f>IF($B408="","",IF($A408=1,$C$7,IF(J407="",0,J407))+IF($H408="",0,$H408)-IF($I408="",0,$I408))</f>
        <v/>
      </c>
      <c r="K408" s="29">
        <f>IF($P408="","",IF(INDEX(EntryMan,$P408)=0,"",INDEX(EntryMan,$P408)))</f>
        <v/>
      </c>
      <c r="L408" s="28">
        <f>IF($B408="","",IF($K408="","—",IF(ROUND($K408-$J408,0)=0,"√","×")))</f>
        <v/>
      </c>
      <c r="M408" s="28">
        <f>IF($B408="","",IF(COUNTIFS(EntryDates,$B408,CalcTime,$C408,CalcBank,$C$5,EntryParty,$D408,EntryDep,$H408,EntryWit,$I408)&gt;1,"تکرار",""))</f>
        <v/>
      </c>
      <c r="N408" s="28">
        <f>IF($P408="","",IF(INDEX(EntryNotes,$P408)=0,"",INDEX(EntryNotes,$P408)))</f>
        <v/>
      </c>
      <c r="O408" s="28">
        <f>IF($P408="","",IF(INDEX(EntryTxnID,$P408)=0,"",INDEX(EntryTxnID,$P408)))</f>
        <v/>
      </c>
      <c r="P408" s="28">
        <f>IFERROR(MATCH($C$5&amp;"|"&amp;RIGHT("000000"&amp;392,6),CalcRankKey,0),"")</f>
        <v/>
      </c>
    </row>
    <row r="409">
      <c r="A409" s="26">
        <f>IF($B409="","",393)</f>
        <v/>
      </c>
      <c r="B409" s="26">
        <f>IF($P409="","",IF(INDEX(CalcNormDate,$P409)=0,"",INDEX(CalcNormDate,$P409)))</f>
        <v/>
      </c>
      <c r="C409" s="26">
        <f>IF($P409="","",IF(INDEX(CalcTime,$P409)=0,"",INDEX(CalcTime,$P409)))</f>
        <v/>
      </c>
      <c r="D409" s="26">
        <f>IF($P409="","",IF(INDEX(EntryParty,$P409)=0,"",INDEX(EntryParty,$P409)))</f>
        <v/>
      </c>
      <c r="E409" s="26">
        <f>IF($P409="","",IF(INDEX(EntryPartyName,$P409)=0,"",INDEX(EntryPartyName,$P409)))</f>
        <v/>
      </c>
      <c r="F409" s="26">
        <f>IF($P409="","",IF(INDEX(EntryPartyType,$P409)=0,"",INDEX(EntryPartyType,$P409)))</f>
        <v/>
      </c>
      <c r="G409" s="26">
        <f>IF($P409="","",IF(INDEX(EntryTxnType,$P409)=0,"",INDEX(EntryTxnType,$P409)))</f>
        <v/>
      </c>
      <c r="H409" s="27">
        <f>IF($P409="","",IF(INDEX(EntryDep,$P409)=0,"",INDEX(EntryDep,$P409)))</f>
        <v/>
      </c>
      <c r="I409" s="27">
        <f>IF($P409="","",IF(INDEX(EntryWit,$P409)=0,"",INDEX(EntryWit,$P409)))</f>
        <v/>
      </c>
      <c r="J409" s="27">
        <f>IF($B409="","",IF($A409=1,$C$7,IF(J408="",0,J408))+IF($H409="",0,$H409)-IF($I409="",0,$I409))</f>
        <v/>
      </c>
      <c r="K409" s="27">
        <f>IF($P409="","",IF(INDEX(EntryMan,$P409)=0,"",INDEX(EntryMan,$P409)))</f>
        <v/>
      </c>
      <c r="L409" s="26">
        <f>IF($B409="","",IF($K409="","—",IF(ROUND($K409-$J409,0)=0,"√","×")))</f>
        <v/>
      </c>
      <c r="M409" s="26">
        <f>IF($B409="","",IF(COUNTIFS(EntryDates,$B409,CalcTime,$C409,CalcBank,$C$5,EntryParty,$D409,EntryDep,$H409,EntryWit,$I409)&gt;1,"تکرار",""))</f>
        <v/>
      </c>
      <c r="N409" s="26">
        <f>IF($P409="","",IF(INDEX(EntryNotes,$P409)=0,"",INDEX(EntryNotes,$P409)))</f>
        <v/>
      </c>
      <c r="O409" s="26">
        <f>IF($P409="","",IF(INDEX(EntryTxnID,$P409)=0,"",INDEX(EntryTxnID,$P409)))</f>
        <v/>
      </c>
      <c r="P409" s="26">
        <f>IFERROR(MATCH($C$5&amp;"|"&amp;RIGHT("000000"&amp;393,6),CalcRankKey,0),"")</f>
        <v/>
      </c>
    </row>
    <row r="410">
      <c r="A410" s="28">
        <f>IF($B410="","",394)</f>
        <v/>
      </c>
      <c r="B410" s="28">
        <f>IF($P410="","",IF(INDEX(CalcNormDate,$P410)=0,"",INDEX(CalcNormDate,$P410)))</f>
        <v/>
      </c>
      <c r="C410" s="28">
        <f>IF($P410="","",IF(INDEX(CalcTime,$P410)=0,"",INDEX(CalcTime,$P410)))</f>
        <v/>
      </c>
      <c r="D410" s="28">
        <f>IF($P410="","",IF(INDEX(EntryParty,$P410)=0,"",INDEX(EntryParty,$P410)))</f>
        <v/>
      </c>
      <c r="E410" s="28">
        <f>IF($P410="","",IF(INDEX(EntryPartyName,$P410)=0,"",INDEX(EntryPartyName,$P410)))</f>
        <v/>
      </c>
      <c r="F410" s="28">
        <f>IF($P410="","",IF(INDEX(EntryPartyType,$P410)=0,"",INDEX(EntryPartyType,$P410)))</f>
        <v/>
      </c>
      <c r="G410" s="28">
        <f>IF($P410="","",IF(INDEX(EntryTxnType,$P410)=0,"",INDEX(EntryTxnType,$P410)))</f>
        <v/>
      </c>
      <c r="H410" s="29">
        <f>IF($P410="","",IF(INDEX(EntryDep,$P410)=0,"",INDEX(EntryDep,$P410)))</f>
        <v/>
      </c>
      <c r="I410" s="29">
        <f>IF($P410="","",IF(INDEX(EntryWit,$P410)=0,"",INDEX(EntryWit,$P410)))</f>
        <v/>
      </c>
      <c r="J410" s="29">
        <f>IF($B410="","",IF($A410=1,$C$7,IF(J409="",0,J409))+IF($H410="",0,$H410)-IF($I410="",0,$I410))</f>
        <v/>
      </c>
      <c r="K410" s="29">
        <f>IF($P410="","",IF(INDEX(EntryMan,$P410)=0,"",INDEX(EntryMan,$P410)))</f>
        <v/>
      </c>
      <c r="L410" s="28">
        <f>IF($B410="","",IF($K410="","—",IF(ROUND($K410-$J410,0)=0,"√","×")))</f>
        <v/>
      </c>
      <c r="M410" s="28">
        <f>IF($B410="","",IF(COUNTIFS(EntryDates,$B410,CalcTime,$C410,CalcBank,$C$5,EntryParty,$D410,EntryDep,$H410,EntryWit,$I410)&gt;1,"تکرار",""))</f>
        <v/>
      </c>
      <c r="N410" s="28">
        <f>IF($P410="","",IF(INDEX(EntryNotes,$P410)=0,"",INDEX(EntryNotes,$P410)))</f>
        <v/>
      </c>
      <c r="O410" s="28">
        <f>IF($P410="","",IF(INDEX(EntryTxnID,$P410)=0,"",INDEX(EntryTxnID,$P410)))</f>
        <v/>
      </c>
      <c r="P410" s="28">
        <f>IFERROR(MATCH($C$5&amp;"|"&amp;RIGHT("000000"&amp;394,6),CalcRankKey,0),"")</f>
        <v/>
      </c>
    </row>
    <row r="411">
      <c r="A411" s="26">
        <f>IF($B411="","",395)</f>
        <v/>
      </c>
      <c r="B411" s="26">
        <f>IF($P411="","",IF(INDEX(CalcNormDate,$P411)=0,"",INDEX(CalcNormDate,$P411)))</f>
        <v/>
      </c>
      <c r="C411" s="26">
        <f>IF($P411="","",IF(INDEX(CalcTime,$P411)=0,"",INDEX(CalcTime,$P411)))</f>
        <v/>
      </c>
      <c r="D411" s="26">
        <f>IF($P411="","",IF(INDEX(EntryParty,$P411)=0,"",INDEX(EntryParty,$P411)))</f>
        <v/>
      </c>
      <c r="E411" s="26">
        <f>IF($P411="","",IF(INDEX(EntryPartyName,$P411)=0,"",INDEX(EntryPartyName,$P411)))</f>
        <v/>
      </c>
      <c r="F411" s="26">
        <f>IF($P411="","",IF(INDEX(EntryPartyType,$P411)=0,"",INDEX(EntryPartyType,$P411)))</f>
        <v/>
      </c>
      <c r="G411" s="26">
        <f>IF($P411="","",IF(INDEX(EntryTxnType,$P411)=0,"",INDEX(EntryTxnType,$P411)))</f>
        <v/>
      </c>
      <c r="H411" s="27">
        <f>IF($P411="","",IF(INDEX(EntryDep,$P411)=0,"",INDEX(EntryDep,$P411)))</f>
        <v/>
      </c>
      <c r="I411" s="27">
        <f>IF($P411="","",IF(INDEX(EntryWit,$P411)=0,"",INDEX(EntryWit,$P411)))</f>
        <v/>
      </c>
      <c r="J411" s="27">
        <f>IF($B411="","",IF($A411=1,$C$7,IF(J410="",0,J410))+IF($H411="",0,$H411)-IF($I411="",0,$I411))</f>
        <v/>
      </c>
      <c r="K411" s="27">
        <f>IF($P411="","",IF(INDEX(EntryMan,$P411)=0,"",INDEX(EntryMan,$P411)))</f>
        <v/>
      </c>
      <c r="L411" s="26">
        <f>IF($B411="","",IF($K411="","—",IF(ROUND($K411-$J411,0)=0,"√","×")))</f>
        <v/>
      </c>
      <c r="M411" s="26">
        <f>IF($B411="","",IF(COUNTIFS(EntryDates,$B411,CalcTime,$C411,CalcBank,$C$5,EntryParty,$D411,EntryDep,$H411,EntryWit,$I411)&gt;1,"تکرار",""))</f>
        <v/>
      </c>
      <c r="N411" s="26">
        <f>IF($P411="","",IF(INDEX(EntryNotes,$P411)=0,"",INDEX(EntryNotes,$P411)))</f>
        <v/>
      </c>
      <c r="O411" s="26">
        <f>IF($P411="","",IF(INDEX(EntryTxnID,$P411)=0,"",INDEX(EntryTxnID,$P411)))</f>
        <v/>
      </c>
      <c r="P411" s="26">
        <f>IFERROR(MATCH($C$5&amp;"|"&amp;RIGHT("000000"&amp;395,6),CalcRankKey,0),"")</f>
        <v/>
      </c>
    </row>
    <row r="412">
      <c r="A412" s="28">
        <f>IF($B412="","",396)</f>
        <v/>
      </c>
      <c r="B412" s="28">
        <f>IF($P412="","",IF(INDEX(CalcNormDate,$P412)=0,"",INDEX(CalcNormDate,$P412)))</f>
        <v/>
      </c>
      <c r="C412" s="28">
        <f>IF($P412="","",IF(INDEX(CalcTime,$P412)=0,"",INDEX(CalcTime,$P412)))</f>
        <v/>
      </c>
      <c r="D412" s="28">
        <f>IF($P412="","",IF(INDEX(EntryParty,$P412)=0,"",INDEX(EntryParty,$P412)))</f>
        <v/>
      </c>
      <c r="E412" s="28">
        <f>IF($P412="","",IF(INDEX(EntryPartyName,$P412)=0,"",INDEX(EntryPartyName,$P412)))</f>
        <v/>
      </c>
      <c r="F412" s="28">
        <f>IF($P412="","",IF(INDEX(EntryPartyType,$P412)=0,"",INDEX(EntryPartyType,$P412)))</f>
        <v/>
      </c>
      <c r="G412" s="28">
        <f>IF($P412="","",IF(INDEX(EntryTxnType,$P412)=0,"",INDEX(EntryTxnType,$P412)))</f>
        <v/>
      </c>
      <c r="H412" s="29">
        <f>IF($P412="","",IF(INDEX(EntryDep,$P412)=0,"",INDEX(EntryDep,$P412)))</f>
        <v/>
      </c>
      <c r="I412" s="29">
        <f>IF($P412="","",IF(INDEX(EntryWit,$P412)=0,"",INDEX(EntryWit,$P412)))</f>
        <v/>
      </c>
      <c r="J412" s="29">
        <f>IF($B412="","",IF($A412=1,$C$7,IF(J411="",0,J411))+IF($H412="",0,$H412)-IF($I412="",0,$I412))</f>
        <v/>
      </c>
      <c r="K412" s="29">
        <f>IF($P412="","",IF(INDEX(EntryMan,$P412)=0,"",INDEX(EntryMan,$P412)))</f>
        <v/>
      </c>
      <c r="L412" s="28">
        <f>IF($B412="","",IF($K412="","—",IF(ROUND($K412-$J412,0)=0,"√","×")))</f>
        <v/>
      </c>
      <c r="M412" s="28">
        <f>IF($B412="","",IF(COUNTIFS(EntryDates,$B412,CalcTime,$C412,CalcBank,$C$5,EntryParty,$D412,EntryDep,$H412,EntryWit,$I412)&gt;1,"تکرار",""))</f>
        <v/>
      </c>
      <c r="N412" s="28">
        <f>IF($P412="","",IF(INDEX(EntryNotes,$P412)=0,"",INDEX(EntryNotes,$P412)))</f>
        <v/>
      </c>
      <c r="O412" s="28">
        <f>IF($P412="","",IF(INDEX(EntryTxnID,$P412)=0,"",INDEX(EntryTxnID,$P412)))</f>
        <v/>
      </c>
      <c r="P412" s="28">
        <f>IFERROR(MATCH($C$5&amp;"|"&amp;RIGHT("000000"&amp;396,6),CalcRankKey,0),"")</f>
        <v/>
      </c>
    </row>
    <row r="413">
      <c r="A413" s="26">
        <f>IF($B413="","",397)</f>
        <v/>
      </c>
      <c r="B413" s="26">
        <f>IF($P413="","",IF(INDEX(CalcNormDate,$P413)=0,"",INDEX(CalcNormDate,$P413)))</f>
        <v/>
      </c>
      <c r="C413" s="26">
        <f>IF($P413="","",IF(INDEX(CalcTime,$P413)=0,"",INDEX(CalcTime,$P413)))</f>
        <v/>
      </c>
      <c r="D413" s="26">
        <f>IF($P413="","",IF(INDEX(EntryParty,$P413)=0,"",INDEX(EntryParty,$P413)))</f>
        <v/>
      </c>
      <c r="E413" s="26">
        <f>IF($P413="","",IF(INDEX(EntryPartyName,$P413)=0,"",INDEX(EntryPartyName,$P413)))</f>
        <v/>
      </c>
      <c r="F413" s="26">
        <f>IF($P413="","",IF(INDEX(EntryPartyType,$P413)=0,"",INDEX(EntryPartyType,$P413)))</f>
        <v/>
      </c>
      <c r="G413" s="26">
        <f>IF($P413="","",IF(INDEX(EntryTxnType,$P413)=0,"",INDEX(EntryTxnType,$P413)))</f>
        <v/>
      </c>
      <c r="H413" s="27">
        <f>IF($P413="","",IF(INDEX(EntryDep,$P413)=0,"",INDEX(EntryDep,$P413)))</f>
        <v/>
      </c>
      <c r="I413" s="27">
        <f>IF($P413="","",IF(INDEX(EntryWit,$P413)=0,"",INDEX(EntryWit,$P413)))</f>
        <v/>
      </c>
      <c r="J413" s="27">
        <f>IF($B413="","",IF($A413=1,$C$7,IF(J412="",0,J412))+IF($H413="",0,$H413)-IF($I413="",0,$I413))</f>
        <v/>
      </c>
      <c r="K413" s="27">
        <f>IF($P413="","",IF(INDEX(EntryMan,$P413)=0,"",INDEX(EntryMan,$P413)))</f>
        <v/>
      </c>
      <c r="L413" s="26">
        <f>IF($B413="","",IF($K413="","—",IF(ROUND($K413-$J413,0)=0,"√","×")))</f>
        <v/>
      </c>
      <c r="M413" s="26">
        <f>IF($B413="","",IF(COUNTIFS(EntryDates,$B413,CalcTime,$C413,CalcBank,$C$5,EntryParty,$D413,EntryDep,$H413,EntryWit,$I413)&gt;1,"تکرار",""))</f>
        <v/>
      </c>
      <c r="N413" s="26">
        <f>IF($P413="","",IF(INDEX(EntryNotes,$P413)=0,"",INDEX(EntryNotes,$P413)))</f>
        <v/>
      </c>
      <c r="O413" s="26">
        <f>IF($P413="","",IF(INDEX(EntryTxnID,$P413)=0,"",INDEX(EntryTxnID,$P413)))</f>
        <v/>
      </c>
      <c r="P413" s="26">
        <f>IFERROR(MATCH($C$5&amp;"|"&amp;RIGHT("000000"&amp;397,6),CalcRankKey,0),"")</f>
        <v/>
      </c>
    </row>
    <row r="414">
      <c r="A414" s="28">
        <f>IF($B414="","",398)</f>
        <v/>
      </c>
      <c r="B414" s="28">
        <f>IF($P414="","",IF(INDEX(CalcNormDate,$P414)=0,"",INDEX(CalcNormDate,$P414)))</f>
        <v/>
      </c>
      <c r="C414" s="28">
        <f>IF($P414="","",IF(INDEX(CalcTime,$P414)=0,"",INDEX(CalcTime,$P414)))</f>
        <v/>
      </c>
      <c r="D414" s="28">
        <f>IF($P414="","",IF(INDEX(EntryParty,$P414)=0,"",INDEX(EntryParty,$P414)))</f>
        <v/>
      </c>
      <c r="E414" s="28">
        <f>IF($P414="","",IF(INDEX(EntryPartyName,$P414)=0,"",INDEX(EntryPartyName,$P414)))</f>
        <v/>
      </c>
      <c r="F414" s="28">
        <f>IF($P414="","",IF(INDEX(EntryPartyType,$P414)=0,"",INDEX(EntryPartyType,$P414)))</f>
        <v/>
      </c>
      <c r="G414" s="28">
        <f>IF($P414="","",IF(INDEX(EntryTxnType,$P414)=0,"",INDEX(EntryTxnType,$P414)))</f>
        <v/>
      </c>
      <c r="H414" s="29">
        <f>IF($P414="","",IF(INDEX(EntryDep,$P414)=0,"",INDEX(EntryDep,$P414)))</f>
        <v/>
      </c>
      <c r="I414" s="29">
        <f>IF($P414="","",IF(INDEX(EntryWit,$P414)=0,"",INDEX(EntryWit,$P414)))</f>
        <v/>
      </c>
      <c r="J414" s="29">
        <f>IF($B414="","",IF($A414=1,$C$7,IF(J413="",0,J413))+IF($H414="",0,$H414)-IF($I414="",0,$I414))</f>
        <v/>
      </c>
      <c r="K414" s="29">
        <f>IF($P414="","",IF(INDEX(EntryMan,$P414)=0,"",INDEX(EntryMan,$P414)))</f>
        <v/>
      </c>
      <c r="L414" s="28">
        <f>IF($B414="","",IF($K414="","—",IF(ROUND($K414-$J414,0)=0,"√","×")))</f>
        <v/>
      </c>
      <c r="M414" s="28">
        <f>IF($B414="","",IF(COUNTIFS(EntryDates,$B414,CalcTime,$C414,CalcBank,$C$5,EntryParty,$D414,EntryDep,$H414,EntryWit,$I414)&gt;1,"تکرار",""))</f>
        <v/>
      </c>
      <c r="N414" s="28">
        <f>IF($P414="","",IF(INDEX(EntryNotes,$P414)=0,"",INDEX(EntryNotes,$P414)))</f>
        <v/>
      </c>
      <c r="O414" s="28">
        <f>IF($P414="","",IF(INDEX(EntryTxnID,$P414)=0,"",INDEX(EntryTxnID,$P414)))</f>
        <v/>
      </c>
      <c r="P414" s="28">
        <f>IFERROR(MATCH($C$5&amp;"|"&amp;RIGHT("000000"&amp;398,6),CalcRankKey,0),"")</f>
        <v/>
      </c>
    </row>
    <row r="415">
      <c r="A415" s="26">
        <f>IF($B415="","",399)</f>
        <v/>
      </c>
      <c r="B415" s="26">
        <f>IF($P415="","",IF(INDEX(CalcNormDate,$P415)=0,"",INDEX(CalcNormDate,$P415)))</f>
        <v/>
      </c>
      <c r="C415" s="26">
        <f>IF($P415="","",IF(INDEX(CalcTime,$P415)=0,"",INDEX(CalcTime,$P415)))</f>
        <v/>
      </c>
      <c r="D415" s="26">
        <f>IF($P415="","",IF(INDEX(EntryParty,$P415)=0,"",INDEX(EntryParty,$P415)))</f>
        <v/>
      </c>
      <c r="E415" s="26">
        <f>IF($P415="","",IF(INDEX(EntryPartyName,$P415)=0,"",INDEX(EntryPartyName,$P415)))</f>
        <v/>
      </c>
      <c r="F415" s="26">
        <f>IF($P415="","",IF(INDEX(EntryPartyType,$P415)=0,"",INDEX(EntryPartyType,$P415)))</f>
        <v/>
      </c>
      <c r="G415" s="26">
        <f>IF($P415="","",IF(INDEX(EntryTxnType,$P415)=0,"",INDEX(EntryTxnType,$P415)))</f>
        <v/>
      </c>
      <c r="H415" s="27">
        <f>IF($P415="","",IF(INDEX(EntryDep,$P415)=0,"",INDEX(EntryDep,$P415)))</f>
        <v/>
      </c>
      <c r="I415" s="27">
        <f>IF($P415="","",IF(INDEX(EntryWit,$P415)=0,"",INDEX(EntryWit,$P415)))</f>
        <v/>
      </c>
      <c r="J415" s="27">
        <f>IF($B415="","",IF($A415=1,$C$7,IF(J414="",0,J414))+IF($H415="",0,$H415)-IF($I415="",0,$I415))</f>
        <v/>
      </c>
      <c r="K415" s="27">
        <f>IF($P415="","",IF(INDEX(EntryMan,$P415)=0,"",INDEX(EntryMan,$P415)))</f>
        <v/>
      </c>
      <c r="L415" s="26">
        <f>IF($B415="","",IF($K415="","—",IF(ROUND($K415-$J415,0)=0,"√","×")))</f>
        <v/>
      </c>
      <c r="M415" s="26">
        <f>IF($B415="","",IF(COUNTIFS(EntryDates,$B415,CalcTime,$C415,CalcBank,$C$5,EntryParty,$D415,EntryDep,$H415,EntryWit,$I415)&gt;1,"تکرار",""))</f>
        <v/>
      </c>
      <c r="N415" s="26">
        <f>IF($P415="","",IF(INDEX(EntryNotes,$P415)=0,"",INDEX(EntryNotes,$P415)))</f>
        <v/>
      </c>
      <c r="O415" s="26">
        <f>IF($P415="","",IF(INDEX(EntryTxnID,$P415)=0,"",INDEX(EntryTxnID,$P415)))</f>
        <v/>
      </c>
      <c r="P415" s="26">
        <f>IFERROR(MATCH($C$5&amp;"|"&amp;RIGHT("000000"&amp;399,6),CalcRankKey,0),"")</f>
        <v/>
      </c>
    </row>
    <row r="416">
      <c r="A416" s="28">
        <f>IF($B416="","",400)</f>
        <v/>
      </c>
      <c r="B416" s="28">
        <f>IF($P416="","",IF(INDEX(CalcNormDate,$P416)=0,"",INDEX(CalcNormDate,$P416)))</f>
        <v/>
      </c>
      <c r="C416" s="28">
        <f>IF($P416="","",IF(INDEX(CalcTime,$P416)=0,"",INDEX(CalcTime,$P416)))</f>
        <v/>
      </c>
      <c r="D416" s="28">
        <f>IF($P416="","",IF(INDEX(EntryParty,$P416)=0,"",INDEX(EntryParty,$P416)))</f>
        <v/>
      </c>
      <c r="E416" s="28">
        <f>IF($P416="","",IF(INDEX(EntryPartyName,$P416)=0,"",INDEX(EntryPartyName,$P416)))</f>
        <v/>
      </c>
      <c r="F416" s="28">
        <f>IF($P416="","",IF(INDEX(EntryPartyType,$P416)=0,"",INDEX(EntryPartyType,$P416)))</f>
        <v/>
      </c>
      <c r="G416" s="28">
        <f>IF($P416="","",IF(INDEX(EntryTxnType,$P416)=0,"",INDEX(EntryTxnType,$P416)))</f>
        <v/>
      </c>
      <c r="H416" s="29">
        <f>IF($P416="","",IF(INDEX(EntryDep,$P416)=0,"",INDEX(EntryDep,$P416)))</f>
        <v/>
      </c>
      <c r="I416" s="29">
        <f>IF($P416="","",IF(INDEX(EntryWit,$P416)=0,"",INDEX(EntryWit,$P416)))</f>
        <v/>
      </c>
      <c r="J416" s="29">
        <f>IF($B416="","",IF($A416=1,$C$7,IF(J415="",0,J415))+IF($H416="",0,$H416)-IF($I416="",0,$I416))</f>
        <v/>
      </c>
      <c r="K416" s="29">
        <f>IF($P416="","",IF(INDEX(EntryMan,$P416)=0,"",INDEX(EntryMan,$P416)))</f>
        <v/>
      </c>
      <c r="L416" s="28">
        <f>IF($B416="","",IF($K416="","—",IF(ROUND($K416-$J416,0)=0,"√","×")))</f>
        <v/>
      </c>
      <c r="M416" s="28">
        <f>IF($B416="","",IF(COUNTIFS(EntryDates,$B416,CalcTime,$C416,CalcBank,$C$5,EntryParty,$D416,EntryDep,$H416,EntryWit,$I416)&gt;1,"تکرار",""))</f>
        <v/>
      </c>
      <c r="N416" s="28">
        <f>IF($P416="","",IF(INDEX(EntryNotes,$P416)=0,"",INDEX(EntryNotes,$P416)))</f>
        <v/>
      </c>
      <c r="O416" s="28">
        <f>IF($P416="","",IF(INDEX(EntryTxnID,$P416)=0,"",INDEX(EntryTxnID,$P416)))</f>
        <v/>
      </c>
      <c r="P416" s="28">
        <f>IFERROR(MATCH($C$5&amp;"|"&amp;RIGHT("000000"&amp;400,6),CalcRankKey,0),"")</f>
        <v/>
      </c>
    </row>
    <row r="417">
      <c r="A417" s="26">
        <f>IF($B417="","",401)</f>
        <v/>
      </c>
      <c r="B417" s="26">
        <f>IF($P417="","",IF(INDEX(CalcNormDate,$P417)=0,"",INDEX(CalcNormDate,$P417)))</f>
        <v/>
      </c>
      <c r="C417" s="26">
        <f>IF($P417="","",IF(INDEX(CalcTime,$P417)=0,"",INDEX(CalcTime,$P417)))</f>
        <v/>
      </c>
      <c r="D417" s="26">
        <f>IF($P417="","",IF(INDEX(EntryParty,$P417)=0,"",INDEX(EntryParty,$P417)))</f>
        <v/>
      </c>
      <c r="E417" s="26">
        <f>IF($P417="","",IF(INDEX(EntryPartyName,$P417)=0,"",INDEX(EntryPartyName,$P417)))</f>
        <v/>
      </c>
      <c r="F417" s="26">
        <f>IF($P417="","",IF(INDEX(EntryPartyType,$P417)=0,"",INDEX(EntryPartyType,$P417)))</f>
        <v/>
      </c>
      <c r="G417" s="26">
        <f>IF($P417="","",IF(INDEX(EntryTxnType,$P417)=0,"",INDEX(EntryTxnType,$P417)))</f>
        <v/>
      </c>
      <c r="H417" s="27">
        <f>IF($P417="","",IF(INDEX(EntryDep,$P417)=0,"",INDEX(EntryDep,$P417)))</f>
        <v/>
      </c>
      <c r="I417" s="27">
        <f>IF($P417="","",IF(INDEX(EntryWit,$P417)=0,"",INDEX(EntryWit,$P417)))</f>
        <v/>
      </c>
      <c r="J417" s="27">
        <f>IF($B417="","",IF($A417=1,$C$7,IF(J416="",0,J416))+IF($H417="",0,$H417)-IF($I417="",0,$I417))</f>
        <v/>
      </c>
      <c r="K417" s="27">
        <f>IF($P417="","",IF(INDEX(EntryMan,$P417)=0,"",INDEX(EntryMan,$P417)))</f>
        <v/>
      </c>
      <c r="L417" s="26">
        <f>IF($B417="","",IF($K417="","—",IF(ROUND($K417-$J417,0)=0,"√","×")))</f>
        <v/>
      </c>
      <c r="M417" s="26">
        <f>IF($B417="","",IF(COUNTIFS(EntryDates,$B417,CalcTime,$C417,CalcBank,$C$5,EntryParty,$D417,EntryDep,$H417,EntryWit,$I417)&gt;1,"تکرار",""))</f>
        <v/>
      </c>
      <c r="N417" s="26">
        <f>IF($P417="","",IF(INDEX(EntryNotes,$P417)=0,"",INDEX(EntryNotes,$P417)))</f>
        <v/>
      </c>
      <c r="O417" s="26">
        <f>IF($P417="","",IF(INDEX(EntryTxnID,$P417)=0,"",INDEX(EntryTxnID,$P417)))</f>
        <v/>
      </c>
      <c r="P417" s="26">
        <f>IFERROR(MATCH($C$5&amp;"|"&amp;RIGHT("000000"&amp;401,6),CalcRankKey,0),"")</f>
        <v/>
      </c>
    </row>
    <row r="418">
      <c r="A418" s="28">
        <f>IF($B418="","",402)</f>
        <v/>
      </c>
      <c r="B418" s="28">
        <f>IF($P418="","",IF(INDEX(CalcNormDate,$P418)=0,"",INDEX(CalcNormDate,$P418)))</f>
        <v/>
      </c>
      <c r="C418" s="28">
        <f>IF($P418="","",IF(INDEX(CalcTime,$P418)=0,"",INDEX(CalcTime,$P418)))</f>
        <v/>
      </c>
      <c r="D418" s="28">
        <f>IF($P418="","",IF(INDEX(EntryParty,$P418)=0,"",INDEX(EntryParty,$P418)))</f>
        <v/>
      </c>
      <c r="E418" s="28">
        <f>IF($P418="","",IF(INDEX(EntryPartyName,$P418)=0,"",INDEX(EntryPartyName,$P418)))</f>
        <v/>
      </c>
      <c r="F418" s="28">
        <f>IF($P418="","",IF(INDEX(EntryPartyType,$P418)=0,"",INDEX(EntryPartyType,$P418)))</f>
        <v/>
      </c>
      <c r="G418" s="28">
        <f>IF($P418="","",IF(INDEX(EntryTxnType,$P418)=0,"",INDEX(EntryTxnType,$P418)))</f>
        <v/>
      </c>
      <c r="H418" s="29">
        <f>IF($P418="","",IF(INDEX(EntryDep,$P418)=0,"",INDEX(EntryDep,$P418)))</f>
        <v/>
      </c>
      <c r="I418" s="29">
        <f>IF($P418="","",IF(INDEX(EntryWit,$P418)=0,"",INDEX(EntryWit,$P418)))</f>
        <v/>
      </c>
      <c r="J418" s="29">
        <f>IF($B418="","",IF($A418=1,$C$7,IF(J417="",0,J417))+IF($H418="",0,$H418)-IF($I418="",0,$I418))</f>
        <v/>
      </c>
      <c r="K418" s="29">
        <f>IF($P418="","",IF(INDEX(EntryMan,$P418)=0,"",INDEX(EntryMan,$P418)))</f>
        <v/>
      </c>
      <c r="L418" s="28">
        <f>IF($B418="","",IF($K418="","—",IF(ROUND($K418-$J418,0)=0,"√","×")))</f>
        <v/>
      </c>
      <c r="M418" s="28">
        <f>IF($B418="","",IF(COUNTIFS(EntryDates,$B418,CalcTime,$C418,CalcBank,$C$5,EntryParty,$D418,EntryDep,$H418,EntryWit,$I418)&gt;1,"تکرار",""))</f>
        <v/>
      </c>
      <c r="N418" s="28">
        <f>IF($P418="","",IF(INDEX(EntryNotes,$P418)=0,"",INDEX(EntryNotes,$P418)))</f>
        <v/>
      </c>
      <c r="O418" s="28">
        <f>IF($P418="","",IF(INDEX(EntryTxnID,$P418)=0,"",INDEX(EntryTxnID,$P418)))</f>
        <v/>
      </c>
      <c r="P418" s="28">
        <f>IFERROR(MATCH($C$5&amp;"|"&amp;RIGHT("000000"&amp;402,6),CalcRankKey,0),"")</f>
        <v/>
      </c>
    </row>
    <row r="419">
      <c r="A419" s="26">
        <f>IF($B419="","",403)</f>
        <v/>
      </c>
      <c r="B419" s="26">
        <f>IF($P419="","",IF(INDEX(CalcNormDate,$P419)=0,"",INDEX(CalcNormDate,$P419)))</f>
        <v/>
      </c>
      <c r="C419" s="26">
        <f>IF($P419="","",IF(INDEX(CalcTime,$P419)=0,"",INDEX(CalcTime,$P419)))</f>
        <v/>
      </c>
      <c r="D419" s="26">
        <f>IF($P419="","",IF(INDEX(EntryParty,$P419)=0,"",INDEX(EntryParty,$P419)))</f>
        <v/>
      </c>
      <c r="E419" s="26">
        <f>IF($P419="","",IF(INDEX(EntryPartyName,$P419)=0,"",INDEX(EntryPartyName,$P419)))</f>
        <v/>
      </c>
      <c r="F419" s="26">
        <f>IF($P419="","",IF(INDEX(EntryPartyType,$P419)=0,"",INDEX(EntryPartyType,$P419)))</f>
        <v/>
      </c>
      <c r="G419" s="26">
        <f>IF($P419="","",IF(INDEX(EntryTxnType,$P419)=0,"",INDEX(EntryTxnType,$P419)))</f>
        <v/>
      </c>
      <c r="H419" s="27">
        <f>IF($P419="","",IF(INDEX(EntryDep,$P419)=0,"",INDEX(EntryDep,$P419)))</f>
        <v/>
      </c>
      <c r="I419" s="27">
        <f>IF($P419="","",IF(INDEX(EntryWit,$P419)=0,"",INDEX(EntryWit,$P419)))</f>
        <v/>
      </c>
      <c r="J419" s="27">
        <f>IF($B419="","",IF($A419=1,$C$7,IF(J418="",0,J418))+IF($H419="",0,$H419)-IF($I419="",0,$I419))</f>
        <v/>
      </c>
      <c r="K419" s="27">
        <f>IF($P419="","",IF(INDEX(EntryMan,$P419)=0,"",INDEX(EntryMan,$P419)))</f>
        <v/>
      </c>
      <c r="L419" s="26">
        <f>IF($B419="","",IF($K419="","—",IF(ROUND($K419-$J419,0)=0,"√","×")))</f>
        <v/>
      </c>
      <c r="M419" s="26">
        <f>IF($B419="","",IF(COUNTIFS(EntryDates,$B419,CalcTime,$C419,CalcBank,$C$5,EntryParty,$D419,EntryDep,$H419,EntryWit,$I419)&gt;1,"تکرار",""))</f>
        <v/>
      </c>
      <c r="N419" s="26">
        <f>IF($P419="","",IF(INDEX(EntryNotes,$P419)=0,"",INDEX(EntryNotes,$P419)))</f>
        <v/>
      </c>
      <c r="O419" s="26">
        <f>IF($P419="","",IF(INDEX(EntryTxnID,$P419)=0,"",INDEX(EntryTxnID,$P419)))</f>
        <v/>
      </c>
      <c r="P419" s="26">
        <f>IFERROR(MATCH($C$5&amp;"|"&amp;RIGHT("000000"&amp;403,6),CalcRankKey,0),"")</f>
        <v/>
      </c>
    </row>
    <row r="420">
      <c r="A420" s="28">
        <f>IF($B420="","",404)</f>
        <v/>
      </c>
      <c r="B420" s="28">
        <f>IF($P420="","",IF(INDEX(CalcNormDate,$P420)=0,"",INDEX(CalcNormDate,$P420)))</f>
        <v/>
      </c>
      <c r="C420" s="28">
        <f>IF($P420="","",IF(INDEX(CalcTime,$P420)=0,"",INDEX(CalcTime,$P420)))</f>
        <v/>
      </c>
      <c r="D420" s="28">
        <f>IF($P420="","",IF(INDEX(EntryParty,$P420)=0,"",INDEX(EntryParty,$P420)))</f>
        <v/>
      </c>
      <c r="E420" s="28">
        <f>IF($P420="","",IF(INDEX(EntryPartyName,$P420)=0,"",INDEX(EntryPartyName,$P420)))</f>
        <v/>
      </c>
      <c r="F420" s="28">
        <f>IF($P420="","",IF(INDEX(EntryPartyType,$P420)=0,"",INDEX(EntryPartyType,$P420)))</f>
        <v/>
      </c>
      <c r="G420" s="28">
        <f>IF($P420="","",IF(INDEX(EntryTxnType,$P420)=0,"",INDEX(EntryTxnType,$P420)))</f>
        <v/>
      </c>
      <c r="H420" s="29">
        <f>IF($P420="","",IF(INDEX(EntryDep,$P420)=0,"",INDEX(EntryDep,$P420)))</f>
        <v/>
      </c>
      <c r="I420" s="29">
        <f>IF($P420="","",IF(INDEX(EntryWit,$P420)=0,"",INDEX(EntryWit,$P420)))</f>
        <v/>
      </c>
      <c r="J420" s="29">
        <f>IF($B420="","",IF($A420=1,$C$7,IF(J419="",0,J419))+IF($H420="",0,$H420)-IF($I420="",0,$I420))</f>
        <v/>
      </c>
      <c r="K420" s="29">
        <f>IF($P420="","",IF(INDEX(EntryMan,$P420)=0,"",INDEX(EntryMan,$P420)))</f>
        <v/>
      </c>
      <c r="L420" s="28">
        <f>IF($B420="","",IF($K420="","—",IF(ROUND($K420-$J420,0)=0,"√","×")))</f>
        <v/>
      </c>
      <c r="M420" s="28">
        <f>IF($B420="","",IF(COUNTIFS(EntryDates,$B420,CalcTime,$C420,CalcBank,$C$5,EntryParty,$D420,EntryDep,$H420,EntryWit,$I420)&gt;1,"تکرار",""))</f>
        <v/>
      </c>
      <c r="N420" s="28">
        <f>IF($P420="","",IF(INDEX(EntryNotes,$P420)=0,"",INDEX(EntryNotes,$P420)))</f>
        <v/>
      </c>
      <c r="O420" s="28">
        <f>IF($P420="","",IF(INDEX(EntryTxnID,$P420)=0,"",INDEX(EntryTxnID,$P420)))</f>
        <v/>
      </c>
      <c r="P420" s="28">
        <f>IFERROR(MATCH($C$5&amp;"|"&amp;RIGHT("000000"&amp;404,6),CalcRankKey,0),"")</f>
        <v/>
      </c>
    </row>
    <row r="421">
      <c r="A421" s="26">
        <f>IF($B421="","",405)</f>
        <v/>
      </c>
      <c r="B421" s="26">
        <f>IF($P421="","",IF(INDEX(CalcNormDate,$P421)=0,"",INDEX(CalcNormDate,$P421)))</f>
        <v/>
      </c>
      <c r="C421" s="26">
        <f>IF($P421="","",IF(INDEX(CalcTime,$P421)=0,"",INDEX(CalcTime,$P421)))</f>
        <v/>
      </c>
      <c r="D421" s="26">
        <f>IF($P421="","",IF(INDEX(EntryParty,$P421)=0,"",INDEX(EntryParty,$P421)))</f>
        <v/>
      </c>
      <c r="E421" s="26">
        <f>IF($P421="","",IF(INDEX(EntryPartyName,$P421)=0,"",INDEX(EntryPartyName,$P421)))</f>
        <v/>
      </c>
      <c r="F421" s="26">
        <f>IF($P421="","",IF(INDEX(EntryPartyType,$P421)=0,"",INDEX(EntryPartyType,$P421)))</f>
        <v/>
      </c>
      <c r="G421" s="26">
        <f>IF($P421="","",IF(INDEX(EntryTxnType,$P421)=0,"",INDEX(EntryTxnType,$P421)))</f>
        <v/>
      </c>
      <c r="H421" s="27">
        <f>IF($P421="","",IF(INDEX(EntryDep,$P421)=0,"",INDEX(EntryDep,$P421)))</f>
        <v/>
      </c>
      <c r="I421" s="27">
        <f>IF($P421="","",IF(INDEX(EntryWit,$P421)=0,"",INDEX(EntryWit,$P421)))</f>
        <v/>
      </c>
      <c r="J421" s="27">
        <f>IF($B421="","",IF($A421=1,$C$7,IF(J420="",0,J420))+IF($H421="",0,$H421)-IF($I421="",0,$I421))</f>
        <v/>
      </c>
      <c r="K421" s="27">
        <f>IF($P421="","",IF(INDEX(EntryMan,$P421)=0,"",INDEX(EntryMan,$P421)))</f>
        <v/>
      </c>
      <c r="L421" s="26">
        <f>IF($B421="","",IF($K421="","—",IF(ROUND($K421-$J421,0)=0,"√","×")))</f>
        <v/>
      </c>
      <c r="M421" s="26">
        <f>IF($B421="","",IF(COUNTIFS(EntryDates,$B421,CalcTime,$C421,CalcBank,$C$5,EntryParty,$D421,EntryDep,$H421,EntryWit,$I421)&gt;1,"تکرار",""))</f>
        <v/>
      </c>
      <c r="N421" s="26">
        <f>IF($P421="","",IF(INDEX(EntryNotes,$P421)=0,"",INDEX(EntryNotes,$P421)))</f>
        <v/>
      </c>
      <c r="O421" s="26">
        <f>IF($P421="","",IF(INDEX(EntryTxnID,$P421)=0,"",INDEX(EntryTxnID,$P421)))</f>
        <v/>
      </c>
      <c r="P421" s="26">
        <f>IFERROR(MATCH($C$5&amp;"|"&amp;RIGHT("000000"&amp;405,6),CalcRankKey,0),"")</f>
        <v/>
      </c>
    </row>
    <row r="422">
      <c r="A422" s="28">
        <f>IF($B422="","",406)</f>
        <v/>
      </c>
      <c r="B422" s="28">
        <f>IF($P422="","",IF(INDEX(CalcNormDate,$P422)=0,"",INDEX(CalcNormDate,$P422)))</f>
        <v/>
      </c>
      <c r="C422" s="28">
        <f>IF($P422="","",IF(INDEX(CalcTime,$P422)=0,"",INDEX(CalcTime,$P422)))</f>
        <v/>
      </c>
      <c r="D422" s="28">
        <f>IF($P422="","",IF(INDEX(EntryParty,$P422)=0,"",INDEX(EntryParty,$P422)))</f>
        <v/>
      </c>
      <c r="E422" s="28">
        <f>IF($P422="","",IF(INDEX(EntryPartyName,$P422)=0,"",INDEX(EntryPartyName,$P422)))</f>
        <v/>
      </c>
      <c r="F422" s="28">
        <f>IF($P422="","",IF(INDEX(EntryPartyType,$P422)=0,"",INDEX(EntryPartyType,$P422)))</f>
        <v/>
      </c>
      <c r="G422" s="28">
        <f>IF($P422="","",IF(INDEX(EntryTxnType,$P422)=0,"",INDEX(EntryTxnType,$P422)))</f>
        <v/>
      </c>
      <c r="H422" s="29">
        <f>IF($P422="","",IF(INDEX(EntryDep,$P422)=0,"",INDEX(EntryDep,$P422)))</f>
        <v/>
      </c>
      <c r="I422" s="29">
        <f>IF($P422="","",IF(INDEX(EntryWit,$P422)=0,"",INDEX(EntryWit,$P422)))</f>
        <v/>
      </c>
      <c r="J422" s="29">
        <f>IF($B422="","",IF($A422=1,$C$7,IF(J421="",0,J421))+IF($H422="",0,$H422)-IF($I422="",0,$I422))</f>
        <v/>
      </c>
      <c r="K422" s="29">
        <f>IF($P422="","",IF(INDEX(EntryMan,$P422)=0,"",INDEX(EntryMan,$P422)))</f>
        <v/>
      </c>
      <c r="L422" s="28">
        <f>IF($B422="","",IF($K422="","—",IF(ROUND($K422-$J422,0)=0,"√","×")))</f>
        <v/>
      </c>
      <c r="M422" s="28">
        <f>IF($B422="","",IF(COUNTIFS(EntryDates,$B422,CalcTime,$C422,CalcBank,$C$5,EntryParty,$D422,EntryDep,$H422,EntryWit,$I422)&gt;1,"تکرار",""))</f>
        <v/>
      </c>
      <c r="N422" s="28">
        <f>IF($P422="","",IF(INDEX(EntryNotes,$P422)=0,"",INDEX(EntryNotes,$P422)))</f>
        <v/>
      </c>
      <c r="O422" s="28">
        <f>IF($P422="","",IF(INDEX(EntryTxnID,$P422)=0,"",INDEX(EntryTxnID,$P422)))</f>
        <v/>
      </c>
      <c r="P422" s="28">
        <f>IFERROR(MATCH($C$5&amp;"|"&amp;RIGHT("000000"&amp;406,6),CalcRankKey,0),"")</f>
        <v/>
      </c>
    </row>
    <row r="423">
      <c r="A423" s="26">
        <f>IF($B423="","",407)</f>
        <v/>
      </c>
      <c r="B423" s="26">
        <f>IF($P423="","",IF(INDEX(CalcNormDate,$P423)=0,"",INDEX(CalcNormDate,$P423)))</f>
        <v/>
      </c>
      <c r="C423" s="26">
        <f>IF($P423="","",IF(INDEX(CalcTime,$P423)=0,"",INDEX(CalcTime,$P423)))</f>
        <v/>
      </c>
      <c r="D423" s="26">
        <f>IF($P423="","",IF(INDEX(EntryParty,$P423)=0,"",INDEX(EntryParty,$P423)))</f>
        <v/>
      </c>
      <c r="E423" s="26">
        <f>IF($P423="","",IF(INDEX(EntryPartyName,$P423)=0,"",INDEX(EntryPartyName,$P423)))</f>
        <v/>
      </c>
      <c r="F423" s="26">
        <f>IF($P423="","",IF(INDEX(EntryPartyType,$P423)=0,"",INDEX(EntryPartyType,$P423)))</f>
        <v/>
      </c>
      <c r="G423" s="26">
        <f>IF($P423="","",IF(INDEX(EntryTxnType,$P423)=0,"",INDEX(EntryTxnType,$P423)))</f>
        <v/>
      </c>
      <c r="H423" s="27">
        <f>IF($P423="","",IF(INDEX(EntryDep,$P423)=0,"",INDEX(EntryDep,$P423)))</f>
        <v/>
      </c>
      <c r="I423" s="27">
        <f>IF($P423="","",IF(INDEX(EntryWit,$P423)=0,"",INDEX(EntryWit,$P423)))</f>
        <v/>
      </c>
      <c r="J423" s="27">
        <f>IF($B423="","",IF($A423=1,$C$7,IF(J422="",0,J422))+IF($H423="",0,$H423)-IF($I423="",0,$I423))</f>
        <v/>
      </c>
      <c r="K423" s="27">
        <f>IF($P423="","",IF(INDEX(EntryMan,$P423)=0,"",INDEX(EntryMan,$P423)))</f>
        <v/>
      </c>
      <c r="L423" s="26">
        <f>IF($B423="","",IF($K423="","—",IF(ROUND($K423-$J423,0)=0,"√","×")))</f>
        <v/>
      </c>
      <c r="M423" s="26">
        <f>IF($B423="","",IF(COUNTIFS(EntryDates,$B423,CalcTime,$C423,CalcBank,$C$5,EntryParty,$D423,EntryDep,$H423,EntryWit,$I423)&gt;1,"تکرار",""))</f>
        <v/>
      </c>
      <c r="N423" s="26">
        <f>IF($P423="","",IF(INDEX(EntryNotes,$P423)=0,"",INDEX(EntryNotes,$P423)))</f>
        <v/>
      </c>
      <c r="O423" s="26">
        <f>IF($P423="","",IF(INDEX(EntryTxnID,$P423)=0,"",INDEX(EntryTxnID,$P423)))</f>
        <v/>
      </c>
      <c r="P423" s="26">
        <f>IFERROR(MATCH($C$5&amp;"|"&amp;RIGHT("000000"&amp;407,6),CalcRankKey,0),"")</f>
        <v/>
      </c>
    </row>
    <row r="424">
      <c r="A424" s="28">
        <f>IF($B424="","",408)</f>
        <v/>
      </c>
      <c r="B424" s="28">
        <f>IF($P424="","",IF(INDEX(CalcNormDate,$P424)=0,"",INDEX(CalcNormDate,$P424)))</f>
        <v/>
      </c>
      <c r="C424" s="28">
        <f>IF($P424="","",IF(INDEX(CalcTime,$P424)=0,"",INDEX(CalcTime,$P424)))</f>
        <v/>
      </c>
      <c r="D424" s="28">
        <f>IF($P424="","",IF(INDEX(EntryParty,$P424)=0,"",INDEX(EntryParty,$P424)))</f>
        <v/>
      </c>
      <c r="E424" s="28">
        <f>IF($P424="","",IF(INDEX(EntryPartyName,$P424)=0,"",INDEX(EntryPartyName,$P424)))</f>
        <v/>
      </c>
      <c r="F424" s="28">
        <f>IF($P424="","",IF(INDEX(EntryPartyType,$P424)=0,"",INDEX(EntryPartyType,$P424)))</f>
        <v/>
      </c>
      <c r="G424" s="28">
        <f>IF($P424="","",IF(INDEX(EntryTxnType,$P424)=0,"",INDEX(EntryTxnType,$P424)))</f>
        <v/>
      </c>
      <c r="H424" s="29">
        <f>IF($P424="","",IF(INDEX(EntryDep,$P424)=0,"",INDEX(EntryDep,$P424)))</f>
        <v/>
      </c>
      <c r="I424" s="29">
        <f>IF($P424="","",IF(INDEX(EntryWit,$P424)=0,"",INDEX(EntryWit,$P424)))</f>
        <v/>
      </c>
      <c r="J424" s="29">
        <f>IF($B424="","",IF($A424=1,$C$7,IF(J423="",0,J423))+IF($H424="",0,$H424)-IF($I424="",0,$I424))</f>
        <v/>
      </c>
      <c r="K424" s="29">
        <f>IF($P424="","",IF(INDEX(EntryMan,$P424)=0,"",INDEX(EntryMan,$P424)))</f>
        <v/>
      </c>
      <c r="L424" s="28">
        <f>IF($B424="","",IF($K424="","—",IF(ROUND($K424-$J424,0)=0,"√","×")))</f>
        <v/>
      </c>
      <c r="M424" s="28">
        <f>IF($B424="","",IF(COUNTIFS(EntryDates,$B424,CalcTime,$C424,CalcBank,$C$5,EntryParty,$D424,EntryDep,$H424,EntryWit,$I424)&gt;1,"تکرار",""))</f>
        <v/>
      </c>
      <c r="N424" s="28">
        <f>IF($P424="","",IF(INDEX(EntryNotes,$P424)=0,"",INDEX(EntryNotes,$P424)))</f>
        <v/>
      </c>
      <c r="O424" s="28">
        <f>IF($P424="","",IF(INDEX(EntryTxnID,$P424)=0,"",INDEX(EntryTxnID,$P424)))</f>
        <v/>
      </c>
      <c r="P424" s="28">
        <f>IFERROR(MATCH($C$5&amp;"|"&amp;RIGHT("000000"&amp;408,6),CalcRankKey,0),"")</f>
        <v/>
      </c>
    </row>
    <row r="425">
      <c r="A425" s="26">
        <f>IF($B425="","",409)</f>
        <v/>
      </c>
      <c r="B425" s="26">
        <f>IF($P425="","",IF(INDEX(CalcNormDate,$P425)=0,"",INDEX(CalcNormDate,$P425)))</f>
        <v/>
      </c>
      <c r="C425" s="26">
        <f>IF($P425="","",IF(INDEX(CalcTime,$P425)=0,"",INDEX(CalcTime,$P425)))</f>
        <v/>
      </c>
      <c r="D425" s="26">
        <f>IF($P425="","",IF(INDEX(EntryParty,$P425)=0,"",INDEX(EntryParty,$P425)))</f>
        <v/>
      </c>
      <c r="E425" s="26">
        <f>IF($P425="","",IF(INDEX(EntryPartyName,$P425)=0,"",INDEX(EntryPartyName,$P425)))</f>
        <v/>
      </c>
      <c r="F425" s="26">
        <f>IF($P425="","",IF(INDEX(EntryPartyType,$P425)=0,"",INDEX(EntryPartyType,$P425)))</f>
        <v/>
      </c>
      <c r="G425" s="26">
        <f>IF($P425="","",IF(INDEX(EntryTxnType,$P425)=0,"",INDEX(EntryTxnType,$P425)))</f>
        <v/>
      </c>
      <c r="H425" s="27">
        <f>IF($P425="","",IF(INDEX(EntryDep,$P425)=0,"",INDEX(EntryDep,$P425)))</f>
        <v/>
      </c>
      <c r="I425" s="27">
        <f>IF($P425="","",IF(INDEX(EntryWit,$P425)=0,"",INDEX(EntryWit,$P425)))</f>
        <v/>
      </c>
      <c r="J425" s="27">
        <f>IF($B425="","",IF($A425=1,$C$7,IF(J424="",0,J424))+IF($H425="",0,$H425)-IF($I425="",0,$I425))</f>
        <v/>
      </c>
      <c r="K425" s="27">
        <f>IF($P425="","",IF(INDEX(EntryMan,$P425)=0,"",INDEX(EntryMan,$P425)))</f>
        <v/>
      </c>
      <c r="L425" s="26">
        <f>IF($B425="","",IF($K425="","—",IF(ROUND($K425-$J425,0)=0,"√","×")))</f>
        <v/>
      </c>
      <c r="M425" s="26">
        <f>IF($B425="","",IF(COUNTIFS(EntryDates,$B425,CalcTime,$C425,CalcBank,$C$5,EntryParty,$D425,EntryDep,$H425,EntryWit,$I425)&gt;1,"تکرار",""))</f>
        <v/>
      </c>
      <c r="N425" s="26">
        <f>IF($P425="","",IF(INDEX(EntryNotes,$P425)=0,"",INDEX(EntryNotes,$P425)))</f>
        <v/>
      </c>
      <c r="O425" s="26">
        <f>IF($P425="","",IF(INDEX(EntryTxnID,$P425)=0,"",INDEX(EntryTxnID,$P425)))</f>
        <v/>
      </c>
      <c r="P425" s="26">
        <f>IFERROR(MATCH($C$5&amp;"|"&amp;RIGHT("000000"&amp;409,6),CalcRankKey,0),"")</f>
        <v/>
      </c>
    </row>
    <row r="426">
      <c r="A426" s="28">
        <f>IF($B426="","",410)</f>
        <v/>
      </c>
      <c r="B426" s="28">
        <f>IF($P426="","",IF(INDEX(CalcNormDate,$P426)=0,"",INDEX(CalcNormDate,$P426)))</f>
        <v/>
      </c>
      <c r="C426" s="28">
        <f>IF($P426="","",IF(INDEX(CalcTime,$P426)=0,"",INDEX(CalcTime,$P426)))</f>
        <v/>
      </c>
      <c r="D426" s="28">
        <f>IF($P426="","",IF(INDEX(EntryParty,$P426)=0,"",INDEX(EntryParty,$P426)))</f>
        <v/>
      </c>
      <c r="E426" s="28">
        <f>IF($P426="","",IF(INDEX(EntryPartyName,$P426)=0,"",INDEX(EntryPartyName,$P426)))</f>
        <v/>
      </c>
      <c r="F426" s="28">
        <f>IF($P426="","",IF(INDEX(EntryPartyType,$P426)=0,"",INDEX(EntryPartyType,$P426)))</f>
        <v/>
      </c>
      <c r="G426" s="28">
        <f>IF($P426="","",IF(INDEX(EntryTxnType,$P426)=0,"",INDEX(EntryTxnType,$P426)))</f>
        <v/>
      </c>
      <c r="H426" s="29">
        <f>IF($P426="","",IF(INDEX(EntryDep,$P426)=0,"",INDEX(EntryDep,$P426)))</f>
        <v/>
      </c>
      <c r="I426" s="29">
        <f>IF($P426="","",IF(INDEX(EntryWit,$P426)=0,"",INDEX(EntryWit,$P426)))</f>
        <v/>
      </c>
      <c r="J426" s="29">
        <f>IF($B426="","",IF($A426=1,$C$7,IF(J425="",0,J425))+IF($H426="",0,$H426)-IF($I426="",0,$I426))</f>
        <v/>
      </c>
      <c r="K426" s="29">
        <f>IF($P426="","",IF(INDEX(EntryMan,$P426)=0,"",INDEX(EntryMan,$P426)))</f>
        <v/>
      </c>
      <c r="L426" s="28">
        <f>IF($B426="","",IF($K426="","—",IF(ROUND($K426-$J426,0)=0,"√","×")))</f>
        <v/>
      </c>
      <c r="M426" s="28">
        <f>IF($B426="","",IF(COUNTIFS(EntryDates,$B426,CalcTime,$C426,CalcBank,$C$5,EntryParty,$D426,EntryDep,$H426,EntryWit,$I426)&gt;1,"تکرار",""))</f>
        <v/>
      </c>
      <c r="N426" s="28">
        <f>IF($P426="","",IF(INDEX(EntryNotes,$P426)=0,"",INDEX(EntryNotes,$P426)))</f>
        <v/>
      </c>
      <c r="O426" s="28">
        <f>IF($P426="","",IF(INDEX(EntryTxnID,$P426)=0,"",INDEX(EntryTxnID,$P426)))</f>
        <v/>
      </c>
      <c r="P426" s="28">
        <f>IFERROR(MATCH($C$5&amp;"|"&amp;RIGHT("000000"&amp;410,6),CalcRankKey,0),"")</f>
        <v/>
      </c>
    </row>
    <row r="427">
      <c r="A427" s="26">
        <f>IF($B427="","",411)</f>
        <v/>
      </c>
      <c r="B427" s="26">
        <f>IF($P427="","",IF(INDEX(CalcNormDate,$P427)=0,"",INDEX(CalcNormDate,$P427)))</f>
        <v/>
      </c>
      <c r="C427" s="26">
        <f>IF($P427="","",IF(INDEX(CalcTime,$P427)=0,"",INDEX(CalcTime,$P427)))</f>
        <v/>
      </c>
      <c r="D427" s="26">
        <f>IF($P427="","",IF(INDEX(EntryParty,$P427)=0,"",INDEX(EntryParty,$P427)))</f>
        <v/>
      </c>
      <c r="E427" s="26">
        <f>IF($P427="","",IF(INDEX(EntryPartyName,$P427)=0,"",INDEX(EntryPartyName,$P427)))</f>
        <v/>
      </c>
      <c r="F427" s="26">
        <f>IF($P427="","",IF(INDEX(EntryPartyType,$P427)=0,"",INDEX(EntryPartyType,$P427)))</f>
        <v/>
      </c>
      <c r="G427" s="26">
        <f>IF($P427="","",IF(INDEX(EntryTxnType,$P427)=0,"",INDEX(EntryTxnType,$P427)))</f>
        <v/>
      </c>
      <c r="H427" s="27">
        <f>IF($P427="","",IF(INDEX(EntryDep,$P427)=0,"",INDEX(EntryDep,$P427)))</f>
        <v/>
      </c>
      <c r="I427" s="27">
        <f>IF($P427="","",IF(INDEX(EntryWit,$P427)=0,"",INDEX(EntryWit,$P427)))</f>
        <v/>
      </c>
      <c r="J427" s="27">
        <f>IF($B427="","",IF($A427=1,$C$7,IF(J426="",0,J426))+IF($H427="",0,$H427)-IF($I427="",0,$I427))</f>
        <v/>
      </c>
      <c r="K427" s="27">
        <f>IF($P427="","",IF(INDEX(EntryMan,$P427)=0,"",INDEX(EntryMan,$P427)))</f>
        <v/>
      </c>
      <c r="L427" s="26">
        <f>IF($B427="","",IF($K427="","—",IF(ROUND($K427-$J427,0)=0,"√","×")))</f>
        <v/>
      </c>
      <c r="M427" s="26">
        <f>IF($B427="","",IF(COUNTIFS(EntryDates,$B427,CalcTime,$C427,CalcBank,$C$5,EntryParty,$D427,EntryDep,$H427,EntryWit,$I427)&gt;1,"تکرار",""))</f>
        <v/>
      </c>
      <c r="N427" s="26">
        <f>IF($P427="","",IF(INDEX(EntryNotes,$P427)=0,"",INDEX(EntryNotes,$P427)))</f>
        <v/>
      </c>
      <c r="O427" s="26">
        <f>IF($P427="","",IF(INDEX(EntryTxnID,$P427)=0,"",INDEX(EntryTxnID,$P427)))</f>
        <v/>
      </c>
      <c r="P427" s="26">
        <f>IFERROR(MATCH($C$5&amp;"|"&amp;RIGHT("000000"&amp;411,6),CalcRankKey,0),"")</f>
        <v/>
      </c>
    </row>
    <row r="428">
      <c r="A428" s="28">
        <f>IF($B428="","",412)</f>
        <v/>
      </c>
      <c r="B428" s="28">
        <f>IF($P428="","",IF(INDEX(CalcNormDate,$P428)=0,"",INDEX(CalcNormDate,$P428)))</f>
        <v/>
      </c>
      <c r="C428" s="28">
        <f>IF($P428="","",IF(INDEX(CalcTime,$P428)=0,"",INDEX(CalcTime,$P428)))</f>
        <v/>
      </c>
      <c r="D428" s="28">
        <f>IF($P428="","",IF(INDEX(EntryParty,$P428)=0,"",INDEX(EntryParty,$P428)))</f>
        <v/>
      </c>
      <c r="E428" s="28">
        <f>IF($P428="","",IF(INDEX(EntryPartyName,$P428)=0,"",INDEX(EntryPartyName,$P428)))</f>
        <v/>
      </c>
      <c r="F428" s="28">
        <f>IF($P428="","",IF(INDEX(EntryPartyType,$P428)=0,"",INDEX(EntryPartyType,$P428)))</f>
        <v/>
      </c>
      <c r="G428" s="28">
        <f>IF($P428="","",IF(INDEX(EntryTxnType,$P428)=0,"",INDEX(EntryTxnType,$P428)))</f>
        <v/>
      </c>
      <c r="H428" s="29">
        <f>IF($P428="","",IF(INDEX(EntryDep,$P428)=0,"",INDEX(EntryDep,$P428)))</f>
        <v/>
      </c>
      <c r="I428" s="29">
        <f>IF($P428="","",IF(INDEX(EntryWit,$P428)=0,"",INDEX(EntryWit,$P428)))</f>
        <v/>
      </c>
      <c r="J428" s="29">
        <f>IF($B428="","",IF($A428=1,$C$7,IF(J427="",0,J427))+IF($H428="",0,$H428)-IF($I428="",0,$I428))</f>
        <v/>
      </c>
      <c r="K428" s="29">
        <f>IF($P428="","",IF(INDEX(EntryMan,$P428)=0,"",INDEX(EntryMan,$P428)))</f>
        <v/>
      </c>
      <c r="L428" s="28">
        <f>IF($B428="","",IF($K428="","—",IF(ROUND($K428-$J428,0)=0,"√","×")))</f>
        <v/>
      </c>
      <c r="M428" s="28">
        <f>IF($B428="","",IF(COUNTIFS(EntryDates,$B428,CalcTime,$C428,CalcBank,$C$5,EntryParty,$D428,EntryDep,$H428,EntryWit,$I428)&gt;1,"تکرار",""))</f>
        <v/>
      </c>
      <c r="N428" s="28">
        <f>IF($P428="","",IF(INDEX(EntryNotes,$P428)=0,"",INDEX(EntryNotes,$P428)))</f>
        <v/>
      </c>
      <c r="O428" s="28">
        <f>IF($P428="","",IF(INDEX(EntryTxnID,$P428)=0,"",INDEX(EntryTxnID,$P428)))</f>
        <v/>
      </c>
      <c r="P428" s="28">
        <f>IFERROR(MATCH($C$5&amp;"|"&amp;RIGHT("000000"&amp;412,6),CalcRankKey,0),"")</f>
        <v/>
      </c>
    </row>
    <row r="429">
      <c r="A429" s="26">
        <f>IF($B429="","",413)</f>
        <v/>
      </c>
      <c r="B429" s="26">
        <f>IF($P429="","",IF(INDEX(CalcNormDate,$P429)=0,"",INDEX(CalcNormDate,$P429)))</f>
        <v/>
      </c>
      <c r="C429" s="26">
        <f>IF($P429="","",IF(INDEX(CalcTime,$P429)=0,"",INDEX(CalcTime,$P429)))</f>
        <v/>
      </c>
      <c r="D429" s="26">
        <f>IF($P429="","",IF(INDEX(EntryParty,$P429)=0,"",INDEX(EntryParty,$P429)))</f>
        <v/>
      </c>
      <c r="E429" s="26">
        <f>IF($P429="","",IF(INDEX(EntryPartyName,$P429)=0,"",INDEX(EntryPartyName,$P429)))</f>
        <v/>
      </c>
      <c r="F429" s="26">
        <f>IF($P429="","",IF(INDEX(EntryPartyType,$P429)=0,"",INDEX(EntryPartyType,$P429)))</f>
        <v/>
      </c>
      <c r="G429" s="26">
        <f>IF($P429="","",IF(INDEX(EntryTxnType,$P429)=0,"",INDEX(EntryTxnType,$P429)))</f>
        <v/>
      </c>
      <c r="H429" s="27">
        <f>IF($P429="","",IF(INDEX(EntryDep,$P429)=0,"",INDEX(EntryDep,$P429)))</f>
        <v/>
      </c>
      <c r="I429" s="27">
        <f>IF($P429="","",IF(INDEX(EntryWit,$P429)=0,"",INDEX(EntryWit,$P429)))</f>
        <v/>
      </c>
      <c r="J429" s="27">
        <f>IF($B429="","",IF($A429=1,$C$7,IF(J428="",0,J428))+IF($H429="",0,$H429)-IF($I429="",0,$I429))</f>
        <v/>
      </c>
      <c r="K429" s="27">
        <f>IF($P429="","",IF(INDEX(EntryMan,$P429)=0,"",INDEX(EntryMan,$P429)))</f>
        <v/>
      </c>
      <c r="L429" s="26">
        <f>IF($B429="","",IF($K429="","—",IF(ROUND($K429-$J429,0)=0,"√","×")))</f>
        <v/>
      </c>
      <c r="M429" s="26">
        <f>IF($B429="","",IF(COUNTIFS(EntryDates,$B429,CalcTime,$C429,CalcBank,$C$5,EntryParty,$D429,EntryDep,$H429,EntryWit,$I429)&gt;1,"تکرار",""))</f>
        <v/>
      </c>
      <c r="N429" s="26">
        <f>IF($P429="","",IF(INDEX(EntryNotes,$P429)=0,"",INDEX(EntryNotes,$P429)))</f>
        <v/>
      </c>
      <c r="O429" s="26">
        <f>IF($P429="","",IF(INDEX(EntryTxnID,$P429)=0,"",INDEX(EntryTxnID,$P429)))</f>
        <v/>
      </c>
      <c r="P429" s="26">
        <f>IFERROR(MATCH($C$5&amp;"|"&amp;RIGHT("000000"&amp;413,6),CalcRankKey,0),"")</f>
        <v/>
      </c>
    </row>
    <row r="430">
      <c r="A430" s="28">
        <f>IF($B430="","",414)</f>
        <v/>
      </c>
      <c r="B430" s="28">
        <f>IF($P430="","",IF(INDEX(CalcNormDate,$P430)=0,"",INDEX(CalcNormDate,$P430)))</f>
        <v/>
      </c>
      <c r="C430" s="28">
        <f>IF($P430="","",IF(INDEX(CalcTime,$P430)=0,"",INDEX(CalcTime,$P430)))</f>
        <v/>
      </c>
      <c r="D430" s="28">
        <f>IF($P430="","",IF(INDEX(EntryParty,$P430)=0,"",INDEX(EntryParty,$P430)))</f>
        <v/>
      </c>
      <c r="E430" s="28">
        <f>IF($P430="","",IF(INDEX(EntryPartyName,$P430)=0,"",INDEX(EntryPartyName,$P430)))</f>
        <v/>
      </c>
      <c r="F430" s="28">
        <f>IF($P430="","",IF(INDEX(EntryPartyType,$P430)=0,"",INDEX(EntryPartyType,$P430)))</f>
        <v/>
      </c>
      <c r="G430" s="28">
        <f>IF($P430="","",IF(INDEX(EntryTxnType,$P430)=0,"",INDEX(EntryTxnType,$P430)))</f>
        <v/>
      </c>
      <c r="H430" s="29">
        <f>IF($P430="","",IF(INDEX(EntryDep,$P430)=0,"",INDEX(EntryDep,$P430)))</f>
        <v/>
      </c>
      <c r="I430" s="29">
        <f>IF($P430="","",IF(INDEX(EntryWit,$P430)=0,"",INDEX(EntryWit,$P430)))</f>
        <v/>
      </c>
      <c r="J430" s="29">
        <f>IF($B430="","",IF($A430=1,$C$7,IF(J429="",0,J429))+IF($H430="",0,$H430)-IF($I430="",0,$I430))</f>
        <v/>
      </c>
      <c r="K430" s="29">
        <f>IF($P430="","",IF(INDEX(EntryMan,$P430)=0,"",INDEX(EntryMan,$P430)))</f>
        <v/>
      </c>
      <c r="L430" s="28">
        <f>IF($B430="","",IF($K430="","—",IF(ROUND($K430-$J430,0)=0,"√","×")))</f>
        <v/>
      </c>
      <c r="M430" s="28">
        <f>IF($B430="","",IF(COUNTIFS(EntryDates,$B430,CalcTime,$C430,CalcBank,$C$5,EntryParty,$D430,EntryDep,$H430,EntryWit,$I430)&gt;1,"تکرار",""))</f>
        <v/>
      </c>
      <c r="N430" s="28">
        <f>IF($P430="","",IF(INDEX(EntryNotes,$P430)=0,"",INDEX(EntryNotes,$P430)))</f>
        <v/>
      </c>
      <c r="O430" s="28">
        <f>IF($P430="","",IF(INDEX(EntryTxnID,$P430)=0,"",INDEX(EntryTxnID,$P430)))</f>
        <v/>
      </c>
      <c r="P430" s="28">
        <f>IFERROR(MATCH($C$5&amp;"|"&amp;RIGHT("000000"&amp;414,6),CalcRankKey,0),"")</f>
        <v/>
      </c>
    </row>
    <row r="431">
      <c r="A431" s="26">
        <f>IF($B431="","",415)</f>
        <v/>
      </c>
      <c r="B431" s="26">
        <f>IF($P431="","",IF(INDEX(CalcNormDate,$P431)=0,"",INDEX(CalcNormDate,$P431)))</f>
        <v/>
      </c>
      <c r="C431" s="26">
        <f>IF($P431="","",IF(INDEX(CalcTime,$P431)=0,"",INDEX(CalcTime,$P431)))</f>
        <v/>
      </c>
      <c r="D431" s="26">
        <f>IF($P431="","",IF(INDEX(EntryParty,$P431)=0,"",INDEX(EntryParty,$P431)))</f>
        <v/>
      </c>
      <c r="E431" s="26">
        <f>IF($P431="","",IF(INDEX(EntryPartyName,$P431)=0,"",INDEX(EntryPartyName,$P431)))</f>
        <v/>
      </c>
      <c r="F431" s="26">
        <f>IF($P431="","",IF(INDEX(EntryPartyType,$P431)=0,"",INDEX(EntryPartyType,$P431)))</f>
        <v/>
      </c>
      <c r="G431" s="26">
        <f>IF($P431="","",IF(INDEX(EntryTxnType,$P431)=0,"",INDEX(EntryTxnType,$P431)))</f>
        <v/>
      </c>
      <c r="H431" s="27">
        <f>IF($P431="","",IF(INDEX(EntryDep,$P431)=0,"",INDEX(EntryDep,$P431)))</f>
        <v/>
      </c>
      <c r="I431" s="27">
        <f>IF($P431="","",IF(INDEX(EntryWit,$P431)=0,"",INDEX(EntryWit,$P431)))</f>
        <v/>
      </c>
      <c r="J431" s="27">
        <f>IF($B431="","",IF($A431=1,$C$7,IF(J430="",0,J430))+IF($H431="",0,$H431)-IF($I431="",0,$I431))</f>
        <v/>
      </c>
      <c r="K431" s="27">
        <f>IF($P431="","",IF(INDEX(EntryMan,$P431)=0,"",INDEX(EntryMan,$P431)))</f>
        <v/>
      </c>
      <c r="L431" s="26">
        <f>IF($B431="","",IF($K431="","—",IF(ROUND($K431-$J431,0)=0,"√","×")))</f>
        <v/>
      </c>
      <c r="M431" s="26">
        <f>IF($B431="","",IF(COUNTIFS(EntryDates,$B431,CalcTime,$C431,CalcBank,$C$5,EntryParty,$D431,EntryDep,$H431,EntryWit,$I431)&gt;1,"تکرار",""))</f>
        <v/>
      </c>
      <c r="N431" s="26">
        <f>IF($P431="","",IF(INDEX(EntryNotes,$P431)=0,"",INDEX(EntryNotes,$P431)))</f>
        <v/>
      </c>
      <c r="O431" s="26">
        <f>IF($P431="","",IF(INDEX(EntryTxnID,$P431)=0,"",INDEX(EntryTxnID,$P431)))</f>
        <v/>
      </c>
      <c r="P431" s="26">
        <f>IFERROR(MATCH($C$5&amp;"|"&amp;RIGHT("000000"&amp;415,6),CalcRankKey,0),"")</f>
        <v/>
      </c>
    </row>
    <row r="432">
      <c r="A432" s="28">
        <f>IF($B432="","",416)</f>
        <v/>
      </c>
      <c r="B432" s="28">
        <f>IF($P432="","",IF(INDEX(CalcNormDate,$P432)=0,"",INDEX(CalcNormDate,$P432)))</f>
        <v/>
      </c>
      <c r="C432" s="28">
        <f>IF($P432="","",IF(INDEX(CalcTime,$P432)=0,"",INDEX(CalcTime,$P432)))</f>
        <v/>
      </c>
      <c r="D432" s="28">
        <f>IF($P432="","",IF(INDEX(EntryParty,$P432)=0,"",INDEX(EntryParty,$P432)))</f>
        <v/>
      </c>
      <c r="E432" s="28">
        <f>IF($P432="","",IF(INDEX(EntryPartyName,$P432)=0,"",INDEX(EntryPartyName,$P432)))</f>
        <v/>
      </c>
      <c r="F432" s="28">
        <f>IF($P432="","",IF(INDEX(EntryPartyType,$P432)=0,"",INDEX(EntryPartyType,$P432)))</f>
        <v/>
      </c>
      <c r="G432" s="28">
        <f>IF($P432="","",IF(INDEX(EntryTxnType,$P432)=0,"",INDEX(EntryTxnType,$P432)))</f>
        <v/>
      </c>
      <c r="H432" s="29">
        <f>IF($P432="","",IF(INDEX(EntryDep,$P432)=0,"",INDEX(EntryDep,$P432)))</f>
        <v/>
      </c>
      <c r="I432" s="29">
        <f>IF($P432="","",IF(INDEX(EntryWit,$P432)=0,"",INDEX(EntryWit,$P432)))</f>
        <v/>
      </c>
      <c r="J432" s="29">
        <f>IF($B432="","",IF($A432=1,$C$7,IF(J431="",0,J431))+IF($H432="",0,$H432)-IF($I432="",0,$I432))</f>
        <v/>
      </c>
      <c r="K432" s="29">
        <f>IF($P432="","",IF(INDEX(EntryMan,$P432)=0,"",INDEX(EntryMan,$P432)))</f>
        <v/>
      </c>
      <c r="L432" s="28">
        <f>IF($B432="","",IF($K432="","—",IF(ROUND($K432-$J432,0)=0,"√","×")))</f>
        <v/>
      </c>
      <c r="M432" s="28">
        <f>IF($B432="","",IF(COUNTIFS(EntryDates,$B432,CalcTime,$C432,CalcBank,$C$5,EntryParty,$D432,EntryDep,$H432,EntryWit,$I432)&gt;1,"تکرار",""))</f>
        <v/>
      </c>
      <c r="N432" s="28">
        <f>IF($P432="","",IF(INDEX(EntryNotes,$P432)=0,"",INDEX(EntryNotes,$P432)))</f>
        <v/>
      </c>
      <c r="O432" s="28">
        <f>IF($P432="","",IF(INDEX(EntryTxnID,$P432)=0,"",INDEX(EntryTxnID,$P432)))</f>
        <v/>
      </c>
      <c r="P432" s="28">
        <f>IFERROR(MATCH($C$5&amp;"|"&amp;RIGHT("000000"&amp;416,6),CalcRankKey,0),"")</f>
        <v/>
      </c>
    </row>
    <row r="433">
      <c r="A433" s="26">
        <f>IF($B433="","",417)</f>
        <v/>
      </c>
      <c r="B433" s="26">
        <f>IF($P433="","",IF(INDEX(CalcNormDate,$P433)=0,"",INDEX(CalcNormDate,$P433)))</f>
        <v/>
      </c>
      <c r="C433" s="26">
        <f>IF($P433="","",IF(INDEX(CalcTime,$P433)=0,"",INDEX(CalcTime,$P433)))</f>
        <v/>
      </c>
      <c r="D433" s="26">
        <f>IF($P433="","",IF(INDEX(EntryParty,$P433)=0,"",INDEX(EntryParty,$P433)))</f>
        <v/>
      </c>
      <c r="E433" s="26">
        <f>IF($P433="","",IF(INDEX(EntryPartyName,$P433)=0,"",INDEX(EntryPartyName,$P433)))</f>
        <v/>
      </c>
      <c r="F433" s="26">
        <f>IF($P433="","",IF(INDEX(EntryPartyType,$P433)=0,"",INDEX(EntryPartyType,$P433)))</f>
        <v/>
      </c>
      <c r="G433" s="26">
        <f>IF($P433="","",IF(INDEX(EntryTxnType,$P433)=0,"",INDEX(EntryTxnType,$P433)))</f>
        <v/>
      </c>
      <c r="H433" s="27">
        <f>IF($P433="","",IF(INDEX(EntryDep,$P433)=0,"",INDEX(EntryDep,$P433)))</f>
        <v/>
      </c>
      <c r="I433" s="27">
        <f>IF($P433="","",IF(INDEX(EntryWit,$P433)=0,"",INDEX(EntryWit,$P433)))</f>
        <v/>
      </c>
      <c r="J433" s="27">
        <f>IF($B433="","",IF($A433=1,$C$7,IF(J432="",0,J432))+IF($H433="",0,$H433)-IF($I433="",0,$I433))</f>
        <v/>
      </c>
      <c r="K433" s="27">
        <f>IF($P433="","",IF(INDEX(EntryMan,$P433)=0,"",INDEX(EntryMan,$P433)))</f>
        <v/>
      </c>
      <c r="L433" s="26">
        <f>IF($B433="","",IF($K433="","—",IF(ROUND($K433-$J433,0)=0,"√","×")))</f>
        <v/>
      </c>
      <c r="M433" s="26">
        <f>IF($B433="","",IF(COUNTIFS(EntryDates,$B433,CalcTime,$C433,CalcBank,$C$5,EntryParty,$D433,EntryDep,$H433,EntryWit,$I433)&gt;1,"تکرار",""))</f>
        <v/>
      </c>
      <c r="N433" s="26">
        <f>IF($P433="","",IF(INDEX(EntryNotes,$P433)=0,"",INDEX(EntryNotes,$P433)))</f>
        <v/>
      </c>
      <c r="O433" s="26">
        <f>IF($P433="","",IF(INDEX(EntryTxnID,$P433)=0,"",INDEX(EntryTxnID,$P433)))</f>
        <v/>
      </c>
      <c r="P433" s="26">
        <f>IFERROR(MATCH($C$5&amp;"|"&amp;RIGHT("000000"&amp;417,6),CalcRankKey,0),"")</f>
        <v/>
      </c>
    </row>
    <row r="434">
      <c r="A434" s="28">
        <f>IF($B434="","",418)</f>
        <v/>
      </c>
      <c r="B434" s="28">
        <f>IF($P434="","",IF(INDEX(CalcNormDate,$P434)=0,"",INDEX(CalcNormDate,$P434)))</f>
        <v/>
      </c>
      <c r="C434" s="28">
        <f>IF($P434="","",IF(INDEX(CalcTime,$P434)=0,"",INDEX(CalcTime,$P434)))</f>
        <v/>
      </c>
      <c r="D434" s="28">
        <f>IF($P434="","",IF(INDEX(EntryParty,$P434)=0,"",INDEX(EntryParty,$P434)))</f>
        <v/>
      </c>
      <c r="E434" s="28">
        <f>IF($P434="","",IF(INDEX(EntryPartyName,$P434)=0,"",INDEX(EntryPartyName,$P434)))</f>
        <v/>
      </c>
      <c r="F434" s="28">
        <f>IF($P434="","",IF(INDEX(EntryPartyType,$P434)=0,"",INDEX(EntryPartyType,$P434)))</f>
        <v/>
      </c>
      <c r="G434" s="28">
        <f>IF($P434="","",IF(INDEX(EntryTxnType,$P434)=0,"",INDEX(EntryTxnType,$P434)))</f>
        <v/>
      </c>
      <c r="H434" s="29">
        <f>IF($P434="","",IF(INDEX(EntryDep,$P434)=0,"",INDEX(EntryDep,$P434)))</f>
        <v/>
      </c>
      <c r="I434" s="29">
        <f>IF($P434="","",IF(INDEX(EntryWit,$P434)=0,"",INDEX(EntryWit,$P434)))</f>
        <v/>
      </c>
      <c r="J434" s="29">
        <f>IF($B434="","",IF($A434=1,$C$7,IF(J433="",0,J433))+IF($H434="",0,$H434)-IF($I434="",0,$I434))</f>
        <v/>
      </c>
      <c r="K434" s="29">
        <f>IF($P434="","",IF(INDEX(EntryMan,$P434)=0,"",INDEX(EntryMan,$P434)))</f>
        <v/>
      </c>
      <c r="L434" s="28">
        <f>IF($B434="","",IF($K434="","—",IF(ROUND($K434-$J434,0)=0,"√","×")))</f>
        <v/>
      </c>
      <c r="M434" s="28">
        <f>IF($B434="","",IF(COUNTIFS(EntryDates,$B434,CalcTime,$C434,CalcBank,$C$5,EntryParty,$D434,EntryDep,$H434,EntryWit,$I434)&gt;1,"تکرار",""))</f>
        <v/>
      </c>
      <c r="N434" s="28">
        <f>IF($P434="","",IF(INDEX(EntryNotes,$P434)=0,"",INDEX(EntryNotes,$P434)))</f>
        <v/>
      </c>
      <c r="O434" s="28">
        <f>IF($P434="","",IF(INDEX(EntryTxnID,$P434)=0,"",INDEX(EntryTxnID,$P434)))</f>
        <v/>
      </c>
      <c r="P434" s="28">
        <f>IFERROR(MATCH($C$5&amp;"|"&amp;RIGHT("000000"&amp;418,6),CalcRankKey,0),"")</f>
        <v/>
      </c>
    </row>
    <row r="435">
      <c r="A435" s="26">
        <f>IF($B435="","",419)</f>
        <v/>
      </c>
      <c r="B435" s="26">
        <f>IF($P435="","",IF(INDEX(CalcNormDate,$P435)=0,"",INDEX(CalcNormDate,$P435)))</f>
        <v/>
      </c>
      <c r="C435" s="26">
        <f>IF($P435="","",IF(INDEX(CalcTime,$P435)=0,"",INDEX(CalcTime,$P435)))</f>
        <v/>
      </c>
      <c r="D435" s="26">
        <f>IF($P435="","",IF(INDEX(EntryParty,$P435)=0,"",INDEX(EntryParty,$P435)))</f>
        <v/>
      </c>
      <c r="E435" s="26">
        <f>IF($P435="","",IF(INDEX(EntryPartyName,$P435)=0,"",INDEX(EntryPartyName,$P435)))</f>
        <v/>
      </c>
      <c r="F435" s="26">
        <f>IF($P435="","",IF(INDEX(EntryPartyType,$P435)=0,"",INDEX(EntryPartyType,$P435)))</f>
        <v/>
      </c>
      <c r="G435" s="26">
        <f>IF($P435="","",IF(INDEX(EntryTxnType,$P435)=0,"",INDEX(EntryTxnType,$P435)))</f>
        <v/>
      </c>
      <c r="H435" s="27">
        <f>IF($P435="","",IF(INDEX(EntryDep,$P435)=0,"",INDEX(EntryDep,$P435)))</f>
        <v/>
      </c>
      <c r="I435" s="27">
        <f>IF($P435="","",IF(INDEX(EntryWit,$P435)=0,"",INDEX(EntryWit,$P435)))</f>
        <v/>
      </c>
      <c r="J435" s="27">
        <f>IF($B435="","",IF($A435=1,$C$7,IF(J434="",0,J434))+IF($H435="",0,$H435)-IF($I435="",0,$I435))</f>
        <v/>
      </c>
      <c r="K435" s="27">
        <f>IF($P435="","",IF(INDEX(EntryMan,$P435)=0,"",INDEX(EntryMan,$P435)))</f>
        <v/>
      </c>
      <c r="L435" s="26">
        <f>IF($B435="","",IF($K435="","—",IF(ROUND($K435-$J435,0)=0,"√","×")))</f>
        <v/>
      </c>
      <c r="M435" s="26">
        <f>IF($B435="","",IF(COUNTIFS(EntryDates,$B435,CalcTime,$C435,CalcBank,$C$5,EntryParty,$D435,EntryDep,$H435,EntryWit,$I435)&gt;1,"تکرار",""))</f>
        <v/>
      </c>
      <c r="N435" s="26">
        <f>IF($P435="","",IF(INDEX(EntryNotes,$P435)=0,"",INDEX(EntryNotes,$P435)))</f>
        <v/>
      </c>
      <c r="O435" s="26">
        <f>IF($P435="","",IF(INDEX(EntryTxnID,$P435)=0,"",INDEX(EntryTxnID,$P435)))</f>
        <v/>
      </c>
      <c r="P435" s="26">
        <f>IFERROR(MATCH($C$5&amp;"|"&amp;RIGHT("000000"&amp;419,6),CalcRankKey,0),"")</f>
        <v/>
      </c>
    </row>
    <row r="436">
      <c r="A436" s="28">
        <f>IF($B436="","",420)</f>
        <v/>
      </c>
      <c r="B436" s="28">
        <f>IF($P436="","",IF(INDEX(CalcNormDate,$P436)=0,"",INDEX(CalcNormDate,$P436)))</f>
        <v/>
      </c>
      <c r="C436" s="28">
        <f>IF($P436="","",IF(INDEX(CalcTime,$P436)=0,"",INDEX(CalcTime,$P436)))</f>
        <v/>
      </c>
      <c r="D436" s="28">
        <f>IF($P436="","",IF(INDEX(EntryParty,$P436)=0,"",INDEX(EntryParty,$P436)))</f>
        <v/>
      </c>
      <c r="E436" s="28">
        <f>IF($P436="","",IF(INDEX(EntryPartyName,$P436)=0,"",INDEX(EntryPartyName,$P436)))</f>
        <v/>
      </c>
      <c r="F436" s="28">
        <f>IF($P436="","",IF(INDEX(EntryPartyType,$P436)=0,"",INDEX(EntryPartyType,$P436)))</f>
        <v/>
      </c>
      <c r="G436" s="28">
        <f>IF($P436="","",IF(INDEX(EntryTxnType,$P436)=0,"",INDEX(EntryTxnType,$P436)))</f>
        <v/>
      </c>
      <c r="H436" s="29">
        <f>IF($P436="","",IF(INDEX(EntryDep,$P436)=0,"",INDEX(EntryDep,$P436)))</f>
        <v/>
      </c>
      <c r="I436" s="29">
        <f>IF($P436="","",IF(INDEX(EntryWit,$P436)=0,"",INDEX(EntryWit,$P436)))</f>
        <v/>
      </c>
      <c r="J436" s="29">
        <f>IF($B436="","",IF($A436=1,$C$7,IF(J435="",0,J435))+IF($H436="",0,$H436)-IF($I436="",0,$I436))</f>
        <v/>
      </c>
      <c r="K436" s="29">
        <f>IF($P436="","",IF(INDEX(EntryMan,$P436)=0,"",INDEX(EntryMan,$P436)))</f>
        <v/>
      </c>
      <c r="L436" s="28">
        <f>IF($B436="","",IF($K436="","—",IF(ROUND($K436-$J436,0)=0,"√","×")))</f>
        <v/>
      </c>
      <c r="M436" s="28">
        <f>IF($B436="","",IF(COUNTIFS(EntryDates,$B436,CalcTime,$C436,CalcBank,$C$5,EntryParty,$D436,EntryDep,$H436,EntryWit,$I436)&gt;1,"تکرار",""))</f>
        <v/>
      </c>
      <c r="N436" s="28">
        <f>IF($P436="","",IF(INDEX(EntryNotes,$P436)=0,"",INDEX(EntryNotes,$P436)))</f>
        <v/>
      </c>
      <c r="O436" s="28">
        <f>IF($P436="","",IF(INDEX(EntryTxnID,$P436)=0,"",INDEX(EntryTxnID,$P436)))</f>
        <v/>
      </c>
      <c r="P436" s="28">
        <f>IFERROR(MATCH($C$5&amp;"|"&amp;RIGHT("000000"&amp;420,6),CalcRankKey,0),"")</f>
        <v/>
      </c>
    </row>
    <row r="437">
      <c r="A437" s="26">
        <f>IF($B437="","",421)</f>
        <v/>
      </c>
      <c r="B437" s="26">
        <f>IF($P437="","",IF(INDEX(CalcNormDate,$P437)=0,"",INDEX(CalcNormDate,$P437)))</f>
        <v/>
      </c>
      <c r="C437" s="26">
        <f>IF($P437="","",IF(INDEX(CalcTime,$P437)=0,"",INDEX(CalcTime,$P437)))</f>
        <v/>
      </c>
      <c r="D437" s="26">
        <f>IF($P437="","",IF(INDEX(EntryParty,$P437)=0,"",INDEX(EntryParty,$P437)))</f>
        <v/>
      </c>
      <c r="E437" s="26">
        <f>IF($P437="","",IF(INDEX(EntryPartyName,$P437)=0,"",INDEX(EntryPartyName,$P437)))</f>
        <v/>
      </c>
      <c r="F437" s="26">
        <f>IF($P437="","",IF(INDEX(EntryPartyType,$P437)=0,"",INDEX(EntryPartyType,$P437)))</f>
        <v/>
      </c>
      <c r="G437" s="26">
        <f>IF($P437="","",IF(INDEX(EntryTxnType,$P437)=0,"",INDEX(EntryTxnType,$P437)))</f>
        <v/>
      </c>
      <c r="H437" s="27">
        <f>IF($P437="","",IF(INDEX(EntryDep,$P437)=0,"",INDEX(EntryDep,$P437)))</f>
        <v/>
      </c>
      <c r="I437" s="27">
        <f>IF($P437="","",IF(INDEX(EntryWit,$P437)=0,"",INDEX(EntryWit,$P437)))</f>
        <v/>
      </c>
      <c r="J437" s="27">
        <f>IF($B437="","",IF($A437=1,$C$7,IF(J436="",0,J436))+IF($H437="",0,$H437)-IF($I437="",0,$I437))</f>
        <v/>
      </c>
      <c r="K437" s="27">
        <f>IF($P437="","",IF(INDEX(EntryMan,$P437)=0,"",INDEX(EntryMan,$P437)))</f>
        <v/>
      </c>
      <c r="L437" s="26">
        <f>IF($B437="","",IF($K437="","—",IF(ROUND($K437-$J437,0)=0,"√","×")))</f>
        <v/>
      </c>
      <c r="M437" s="26">
        <f>IF($B437="","",IF(COUNTIFS(EntryDates,$B437,CalcTime,$C437,CalcBank,$C$5,EntryParty,$D437,EntryDep,$H437,EntryWit,$I437)&gt;1,"تکرار",""))</f>
        <v/>
      </c>
      <c r="N437" s="26">
        <f>IF($P437="","",IF(INDEX(EntryNotes,$P437)=0,"",INDEX(EntryNotes,$P437)))</f>
        <v/>
      </c>
      <c r="O437" s="26">
        <f>IF($P437="","",IF(INDEX(EntryTxnID,$P437)=0,"",INDEX(EntryTxnID,$P437)))</f>
        <v/>
      </c>
      <c r="P437" s="26">
        <f>IFERROR(MATCH($C$5&amp;"|"&amp;RIGHT("000000"&amp;421,6),CalcRankKey,0),"")</f>
        <v/>
      </c>
    </row>
    <row r="438">
      <c r="A438" s="28">
        <f>IF($B438="","",422)</f>
        <v/>
      </c>
      <c r="B438" s="28">
        <f>IF($P438="","",IF(INDEX(CalcNormDate,$P438)=0,"",INDEX(CalcNormDate,$P438)))</f>
        <v/>
      </c>
      <c r="C438" s="28">
        <f>IF($P438="","",IF(INDEX(CalcTime,$P438)=0,"",INDEX(CalcTime,$P438)))</f>
        <v/>
      </c>
      <c r="D438" s="28">
        <f>IF($P438="","",IF(INDEX(EntryParty,$P438)=0,"",INDEX(EntryParty,$P438)))</f>
        <v/>
      </c>
      <c r="E438" s="28">
        <f>IF($P438="","",IF(INDEX(EntryPartyName,$P438)=0,"",INDEX(EntryPartyName,$P438)))</f>
        <v/>
      </c>
      <c r="F438" s="28">
        <f>IF($P438="","",IF(INDEX(EntryPartyType,$P438)=0,"",INDEX(EntryPartyType,$P438)))</f>
        <v/>
      </c>
      <c r="G438" s="28">
        <f>IF($P438="","",IF(INDEX(EntryTxnType,$P438)=0,"",INDEX(EntryTxnType,$P438)))</f>
        <v/>
      </c>
      <c r="H438" s="29">
        <f>IF($P438="","",IF(INDEX(EntryDep,$P438)=0,"",INDEX(EntryDep,$P438)))</f>
        <v/>
      </c>
      <c r="I438" s="29">
        <f>IF($P438="","",IF(INDEX(EntryWit,$P438)=0,"",INDEX(EntryWit,$P438)))</f>
        <v/>
      </c>
      <c r="J438" s="29">
        <f>IF($B438="","",IF($A438=1,$C$7,IF(J437="",0,J437))+IF($H438="",0,$H438)-IF($I438="",0,$I438))</f>
        <v/>
      </c>
      <c r="K438" s="29">
        <f>IF($P438="","",IF(INDEX(EntryMan,$P438)=0,"",INDEX(EntryMan,$P438)))</f>
        <v/>
      </c>
      <c r="L438" s="28">
        <f>IF($B438="","",IF($K438="","—",IF(ROUND($K438-$J438,0)=0,"√","×")))</f>
        <v/>
      </c>
      <c r="M438" s="28">
        <f>IF($B438="","",IF(COUNTIFS(EntryDates,$B438,CalcTime,$C438,CalcBank,$C$5,EntryParty,$D438,EntryDep,$H438,EntryWit,$I438)&gt;1,"تکرار",""))</f>
        <v/>
      </c>
      <c r="N438" s="28">
        <f>IF($P438="","",IF(INDEX(EntryNotes,$P438)=0,"",INDEX(EntryNotes,$P438)))</f>
        <v/>
      </c>
      <c r="O438" s="28">
        <f>IF($P438="","",IF(INDEX(EntryTxnID,$P438)=0,"",INDEX(EntryTxnID,$P438)))</f>
        <v/>
      </c>
      <c r="P438" s="28">
        <f>IFERROR(MATCH($C$5&amp;"|"&amp;RIGHT("000000"&amp;422,6),CalcRankKey,0),"")</f>
        <v/>
      </c>
    </row>
    <row r="439">
      <c r="A439" s="26">
        <f>IF($B439="","",423)</f>
        <v/>
      </c>
      <c r="B439" s="26">
        <f>IF($P439="","",IF(INDEX(CalcNormDate,$P439)=0,"",INDEX(CalcNormDate,$P439)))</f>
        <v/>
      </c>
      <c r="C439" s="26">
        <f>IF($P439="","",IF(INDEX(CalcTime,$P439)=0,"",INDEX(CalcTime,$P439)))</f>
        <v/>
      </c>
      <c r="D439" s="26">
        <f>IF($P439="","",IF(INDEX(EntryParty,$P439)=0,"",INDEX(EntryParty,$P439)))</f>
        <v/>
      </c>
      <c r="E439" s="26">
        <f>IF($P439="","",IF(INDEX(EntryPartyName,$P439)=0,"",INDEX(EntryPartyName,$P439)))</f>
        <v/>
      </c>
      <c r="F439" s="26">
        <f>IF($P439="","",IF(INDEX(EntryPartyType,$P439)=0,"",INDEX(EntryPartyType,$P439)))</f>
        <v/>
      </c>
      <c r="G439" s="26">
        <f>IF($P439="","",IF(INDEX(EntryTxnType,$P439)=0,"",INDEX(EntryTxnType,$P439)))</f>
        <v/>
      </c>
      <c r="H439" s="27">
        <f>IF($P439="","",IF(INDEX(EntryDep,$P439)=0,"",INDEX(EntryDep,$P439)))</f>
        <v/>
      </c>
      <c r="I439" s="27">
        <f>IF($P439="","",IF(INDEX(EntryWit,$P439)=0,"",INDEX(EntryWit,$P439)))</f>
        <v/>
      </c>
      <c r="J439" s="27">
        <f>IF($B439="","",IF($A439=1,$C$7,IF(J438="",0,J438))+IF($H439="",0,$H439)-IF($I439="",0,$I439))</f>
        <v/>
      </c>
      <c r="K439" s="27">
        <f>IF($P439="","",IF(INDEX(EntryMan,$P439)=0,"",INDEX(EntryMan,$P439)))</f>
        <v/>
      </c>
      <c r="L439" s="26">
        <f>IF($B439="","",IF($K439="","—",IF(ROUND($K439-$J439,0)=0,"√","×")))</f>
        <v/>
      </c>
      <c r="M439" s="26">
        <f>IF($B439="","",IF(COUNTIFS(EntryDates,$B439,CalcTime,$C439,CalcBank,$C$5,EntryParty,$D439,EntryDep,$H439,EntryWit,$I439)&gt;1,"تکرار",""))</f>
        <v/>
      </c>
      <c r="N439" s="26">
        <f>IF($P439="","",IF(INDEX(EntryNotes,$P439)=0,"",INDEX(EntryNotes,$P439)))</f>
        <v/>
      </c>
      <c r="O439" s="26">
        <f>IF($P439="","",IF(INDEX(EntryTxnID,$P439)=0,"",INDEX(EntryTxnID,$P439)))</f>
        <v/>
      </c>
      <c r="P439" s="26">
        <f>IFERROR(MATCH($C$5&amp;"|"&amp;RIGHT("000000"&amp;423,6),CalcRankKey,0),"")</f>
        <v/>
      </c>
    </row>
    <row r="440">
      <c r="A440" s="28">
        <f>IF($B440="","",424)</f>
        <v/>
      </c>
      <c r="B440" s="28">
        <f>IF($P440="","",IF(INDEX(CalcNormDate,$P440)=0,"",INDEX(CalcNormDate,$P440)))</f>
        <v/>
      </c>
      <c r="C440" s="28">
        <f>IF($P440="","",IF(INDEX(CalcTime,$P440)=0,"",INDEX(CalcTime,$P440)))</f>
        <v/>
      </c>
      <c r="D440" s="28">
        <f>IF($P440="","",IF(INDEX(EntryParty,$P440)=0,"",INDEX(EntryParty,$P440)))</f>
        <v/>
      </c>
      <c r="E440" s="28">
        <f>IF($P440="","",IF(INDEX(EntryPartyName,$P440)=0,"",INDEX(EntryPartyName,$P440)))</f>
        <v/>
      </c>
      <c r="F440" s="28">
        <f>IF($P440="","",IF(INDEX(EntryPartyType,$P440)=0,"",INDEX(EntryPartyType,$P440)))</f>
        <v/>
      </c>
      <c r="G440" s="28">
        <f>IF($P440="","",IF(INDEX(EntryTxnType,$P440)=0,"",INDEX(EntryTxnType,$P440)))</f>
        <v/>
      </c>
      <c r="H440" s="29">
        <f>IF($P440="","",IF(INDEX(EntryDep,$P440)=0,"",INDEX(EntryDep,$P440)))</f>
        <v/>
      </c>
      <c r="I440" s="29">
        <f>IF($P440="","",IF(INDEX(EntryWit,$P440)=0,"",INDEX(EntryWit,$P440)))</f>
        <v/>
      </c>
      <c r="J440" s="29">
        <f>IF($B440="","",IF($A440=1,$C$7,IF(J439="",0,J439))+IF($H440="",0,$H440)-IF($I440="",0,$I440))</f>
        <v/>
      </c>
      <c r="K440" s="29">
        <f>IF($P440="","",IF(INDEX(EntryMan,$P440)=0,"",INDEX(EntryMan,$P440)))</f>
        <v/>
      </c>
      <c r="L440" s="28">
        <f>IF($B440="","",IF($K440="","—",IF(ROUND($K440-$J440,0)=0,"√","×")))</f>
        <v/>
      </c>
      <c r="M440" s="28">
        <f>IF($B440="","",IF(COUNTIFS(EntryDates,$B440,CalcTime,$C440,CalcBank,$C$5,EntryParty,$D440,EntryDep,$H440,EntryWit,$I440)&gt;1,"تکرار",""))</f>
        <v/>
      </c>
      <c r="N440" s="28">
        <f>IF($P440="","",IF(INDEX(EntryNotes,$P440)=0,"",INDEX(EntryNotes,$P440)))</f>
        <v/>
      </c>
      <c r="O440" s="28">
        <f>IF($P440="","",IF(INDEX(EntryTxnID,$P440)=0,"",INDEX(EntryTxnID,$P440)))</f>
        <v/>
      </c>
      <c r="P440" s="28">
        <f>IFERROR(MATCH($C$5&amp;"|"&amp;RIGHT("000000"&amp;424,6),CalcRankKey,0),"")</f>
        <v/>
      </c>
    </row>
    <row r="441">
      <c r="A441" s="26">
        <f>IF($B441="","",425)</f>
        <v/>
      </c>
      <c r="B441" s="26">
        <f>IF($P441="","",IF(INDEX(CalcNormDate,$P441)=0,"",INDEX(CalcNormDate,$P441)))</f>
        <v/>
      </c>
      <c r="C441" s="26">
        <f>IF($P441="","",IF(INDEX(CalcTime,$P441)=0,"",INDEX(CalcTime,$P441)))</f>
        <v/>
      </c>
      <c r="D441" s="26">
        <f>IF($P441="","",IF(INDEX(EntryParty,$P441)=0,"",INDEX(EntryParty,$P441)))</f>
        <v/>
      </c>
      <c r="E441" s="26">
        <f>IF($P441="","",IF(INDEX(EntryPartyName,$P441)=0,"",INDEX(EntryPartyName,$P441)))</f>
        <v/>
      </c>
      <c r="F441" s="26">
        <f>IF($P441="","",IF(INDEX(EntryPartyType,$P441)=0,"",INDEX(EntryPartyType,$P441)))</f>
        <v/>
      </c>
      <c r="G441" s="26">
        <f>IF($P441="","",IF(INDEX(EntryTxnType,$P441)=0,"",INDEX(EntryTxnType,$P441)))</f>
        <v/>
      </c>
      <c r="H441" s="27">
        <f>IF($P441="","",IF(INDEX(EntryDep,$P441)=0,"",INDEX(EntryDep,$P441)))</f>
        <v/>
      </c>
      <c r="I441" s="27">
        <f>IF($P441="","",IF(INDEX(EntryWit,$P441)=0,"",INDEX(EntryWit,$P441)))</f>
        <v/>
      </c>
      <c r="J441" s="27">
        <f>IF($B441="","",IF($A441=1,$C$7,IF(J440="",0,J440))+IF($H441="",0,$H441)-IF($I441="",0,$I441))</f>
        <v/>
      </c>
      <c r="K441" s="27">
        <f>IF($P441="","",IF(INDEX(EntryMan,$P441)=0,"",INDEX(EntryMan,$P441)))</f>
        <v/>
      </c>
      <c r="L441" s="26">
        <f>IF($B441="","",IF($K441="","—",IF(ROUND($K441-$J441,0)=0,"√","×")))</f>
        <v/>
      </c>
      <c r="M441" s="26">
        <f>IF($B441="","",IF(COUNTIFS(EntryDates,$B441,CalcTime,$C441,CalcBank,$C$5,EntryParty,$D441,EntryDep,$H441,EntryWit,$I441)&gt;1,"تکرار",""))</f>
        <v/>
      </c>
      <c r="N441" s="26">
        <f>IF($P441="","",IF(INDEX(EntryNotes,$P441)=0,"",INDEX(EntryNotes,$P441)))</f>
        <v/>
      </c>
      <c r="O441" s="26">
        <f>IF($P441="","",IF(INDEX(EntryTxnID,$P441)=0,"",INDEX(EntryTxnID,$P441)))</f>
        <v/>
      </c>
      <c r="P441" s="26">
        <f>IFERROR(MATCH($C$5&amp;"|"&amp;RIGHT("000000"&amp;425,6),CalcRankKey,0),"")</f>
        <v/>
      </c>
    </row>
    <row r="442">
      <c r="A442" s="28">
        <f>IF($B442="","",426)</f>
        <v/>
      </c>
      <c r="B442" s="28">
        <f>IF($P442="","",IF(INDEX(CalcNormDate,$P442)=0,"",INDEX(CalcNormDate,$P442)))</f>
        <v/>
      </c>
      <c r="C442" s="28">
        <f>IF($P442="","",IF(INDEX(CalcTime,$P442)=0,"",INDEX(CalcTime,$P442)))</f>
        <v/>
      </c>
      <c r="D442" s="28">
        <f>IF($P442="","",IF(INDEX(EntryParty,$P442)=0,"",INDEX(EntryParty,$P442)))</f>
        <v/>
      </c>
      <c r="E442" s="28">
        <f>IF($P442="","",IF(INDEX(EntryPartyName,$P442)=0,"",INDEX(EntryPartyName,$P442)))</f>
        <v/>
      </c>
      <c r="F442" s="28">
        <f>IF($P442="","",IF(INDEX(EntryPartyType,$P442)=0,"",INDEX(EntryPartyType,$P442)))</f>
        <v/>
      </c>
      <c r="G442" s="28">
        <f>IF($P442="","",IF(INDEX(EntryTxnType,$P442)=0,"",INDEX(EntryTxnType,$P442)))</f>
        <v/>
      </c>
      <c r="H442" s="29">
        <f>IF($P442="","",IF(INDEX(EntryDep,$P442)=0,"",INDEX(EntryDep,$P442)))</f>
        <v/>
      </c>
      <c r="I442" s="29">
        <f>IF($P442="","",IF(INDEX(EntryWit,$P442)=0,"",INDEX(EntryWit,$P442)))</f>
        <v/>
      </c>
      <c r="J442" s="29">
        <f>IF($B442="","",IF($A442=1,$C$7,IF(J441="",0,J441))+IF($H442="",0,$H442)-IF($I442="",0,$I442))</f>
        <v/>
      </c>
      <c r="K442" s="29">
        <f>IF($P442="","",IF(INDEX(EntryMan,$P442)=0,"",INDEX(EntryMan,$P442)))</f>
        <v/>
      </c>
      <c r="L442" s="28">
        <f>IF($B442="","",IF($K442="","—",IF(ROUND($K442-$J442,0)=0,"√","×")))</f>
        <v/>
      </c>
      <c r="M442" s="28">
        <f>IF($B442="","",IF(COUNTIFS(EntryDates,$B442,CalcTime,$C442,CalcBank,$C$5,EntryParty,$D442,EntryDep,$H442,EntryWit,$I442)&gt;1,"تکرار",""))</f>
        <v/>
      </c>
      <c r="N442" s="28">
        <f>IF($P442="","",IF(INDEX(EntryNotes,$P442)=0,"",INDEX(EntryNotes,$P442)))</f>
        <v/>
      </c>
      <c r="O442" s="28">
        <f>IF($P442="","",IF(INDEX(EntryTxnID,$P442)=0,"",INDEX(EntryTxnID,$P442)))</f>
        <v/>
      </c>
      <c r="P442" s="28">
        <f>IFERROR(MATCH($C$5&amp;"|"&amp;RIGHT("000000"&amp;426,6),CalcRankKey,0),"")</f>
        <v/>
      </c>
    </row>
    <row r="443">
      <c r="A443" s="26">
        <f>IF($B443="","",427)</f>
        <v/>
      </c>
      <c r="B443" s="26">
        <f>IF($P443="","",IF(INDEX(CalcNormDate,$P443)=0,"",INDEX(CalcNormDate,$P443)))</f>
        <v/>
      </c>
      <c r="C443" s="26">
        <f>IF($P443="","",IF(INDEX(CalcTime,$P443)=0,"",INDEX(CalcTime,$P443)))</f>
        <v/>
      </c>
      <c r="D443" s="26">
        <f>IF($P443="","",IF(INDEX(EntryParty,$P443)=0,"",INDEX(EntryParty,$P443)))</f>
        <v/>
      </c>
      <c r="E443" s="26">
        <f>IF($P443="","",IF(INDEX(EntryPartyName,$P443)=0,"",INDEX(EntryPartyName,$P443)))</f>
        <v/>
      </c>
      <c r="F443" s="26">
        <f>IF($P443="","",IF(INDEX(EntryPartyType,$P443)=0,"",INDEX(EntryPartyType,$P443)))</f>
        <v/>
      </c>
      <c r="G443" s="26">
        <f>IF($P443="","",IF(INDEX(EntryTxnType,$P443)=0,"",INDEX(EntryTxnType,$P443)))</f>
        <v/>
      </c>
      <c r="H443" s="27">
        <f>IF($P443="","",IF(INDEX(EntryDep,$P443)=0,"",INDEX(EntryDep,$P443)))</f>
        <v/>
      </c>
      <c r="I443" s="27">
        <f>IF($P443="","",IF(INDEX(EntryWit,$P443)=0,"",INDEX(EntryWit,$P443)))</f>
        <v/>
      </c>
      <c r="J443" s="27">
        <f>IF($B443="","",IF($A443=1,$C$7,IF(J442="",0,J442))+IF($H443="",0,$H443)-IF($I443="",0,$I443))</f>
        <v/>
      </c>
      <c r="K443" s="27">
        <f>IF($P443="","",IF(INDEX(EntryMan,$P443)=0,"",INDEX(EntryMan,$P443)))</f>
        <v/>
      </c>
      <c r="L443" s="26">
        <f>IF($B443="","",IF($K443="","—",IF(ROUND($K443-$J443,0)=0,"√","×")))</f>
        <v/>
      </c>
      <c r="M443" s="26">
        <f>IF($B443="","",IF(COUNTIFS(EntryDates,$B443,CalcTime,$C443,CalcBank,$C$5,EntryParty,$D443,EntryDep,$H443,EntryWit,$I443)&gt;1,"تکرار",""))</f>
        <v/>
      </c>
      <c r="N443" s="26">
        <f>IF($P443="","",IF(INDEX(EntryNotes,$P443)=0,"",INDEX(EntryNotes,$P443)))</f>
        <v/>
      </c>
      <c r="O443" s="26">
        <f>IF($P443="","",IF(INDEX(EntryTxnID,$P443)=0,"",INDEX(EntryTxnID,$P443)))</f>
        <v/>
      </c>
      <c r="P443" s="26">
        <f>IFERROR(MATCH($C$5&amp;"|"&amp;RIGHT("000000"&amp;427,6),CalcRankKey,0),"")</f>
        <v/>
      </c>
    </row>
    <row r="444">
      <c r="A444" s="28">
        <f>IF($B444="","",428)</f>
        <v/>
      </c>
      <c r="B444" s="28">
        <f>IF($P444="","",IF(INDEX(CalcNormDate,$P444)=0,"",INDEX(CalcNormDate,$P444)))</f>
        <v/>
      </c>
      <c r="C444" s="28">
        <f>IF($P444="","",IF(INDEX(CalcTime,$P444)=0,"",INDEX(CalcTime,$P444)))</f>
        <v/>
      </c>
      <c r="D444" s="28">
        <f>IF($P444="","",IF(INDEX(EntryParty,$P444)=0,"",INDEX(EntryParty,$P444)))</f>
        <v/>
      </c>
      <c r="E444" s="28">
        <f>IF($P444="","",IF(INDEX(EntryPartyName,$P444)=0,"",INDEX(EntryPartyName,$P444)))</f>
        <v/>
      </c>
      <c r="F444" s="28">
        <f>IF($P444="","",IF(INDEX(EntryPartyType,$P444)=0,"",INDEX(EntryPartyType,$P444)))</f>
        <v/>
      </c>
      <c r="G444" s="28">
        <f>IF($P444="","",IF(INDEX(EntryTxnType,$P444)=0,"",INDEX(EntryTxnType,$P444)))</f>
        <v/>
      </c>
      <c r="H444" s="29">
        <f>IF($P444="","",IF(INDEX(EntryDep,$P444)=0,"",INDEX(EntryDep,$P444)))</f>
        <v/>
      </c>
      <c r="I444" s="29">
        <f>IF($P444="","",IF(INDEX(EntryWit,$P444)=0,"",INDEX(EntryWit,$P444)))</f>
        <v/>
      </c>
      <c r="J444" s="29">
        <f>IF($B444="","",IF($A444=1,$C$7,IF(J443="",0,J443))+IF($H444="",0,$H444)-IF($I444="",0,$I444))</f>
        <v/>
      </c>
      <c r="K444" s="29">
        <f>IF($P444="","",IF(INDEX(EntryMan,$P444)=0,"",INDEX(EntryMan,$P444)))</f>
        <v/>
      </c>
      <c r="L444" s="28">
        <f>IF($B444="","",IF($K444="","—",IF(ROUND($K444-$J444,0)=0,"√","×")))</f>
        <v/>
      </c>
      <c r="M444" s="28">
        <f>IF($B444="","",IF(COUNTIFS(EntryDates,$B444,CalcTime,$C444,CalcBank,$C$5,EntryParty,$D444,EntryDep,$H444,EntryWit,$I444)&gt;1,"تکرار",""))</f>
        <v/>
      </c>
      <c r="N444" s="28">
        <f>IF($P444="","",IF(INDEX(EntryNotes,$P444)=0,"",INDEX(EntryNotes,$P444)))</f>
        <v/>
      </c>
      <c r="O444" s="28">
        <f>IF($P444="","",IF(INDEX(EntryTxnID,$P444)=0,"",INDEX(EntryTxnID,$P444)))</f>
        <v/>
      </c>
      <c r="P444" s="28">
        <f>IFERROR(MATCH($C$5&amp;"|"&amp;RIGHT("000000"&amp;428,6),CalcRankKey,0),"")</f>
        <v/>
      </c>
    </row>
    <row r="445">
      <c r="A445" s="26">
        <f>IF($B445="","",429)</f>
        <v/>
      </c>
      <c r="B445" s="26">
        <f>IF($P445="","",IF(INDEX(CalcNormDate,$P445)=0,"",INDEX(CalcNormDate,$P445)))</f>
        <v/>
      </c>
      <c r="C445" s="26">
        <f>IF($P445="","",IF(INDEX(CalcTime,$P445)=0,"",INDEX(CalcTime,$P445)))</f>
        <v/>
      </c>
      <c r="D445" s="26">
        <f>IF($P445="","",IF(INDEX(EntryParty,$P445)=0,"",INDEX(EntryParty,$P445)))</f>
        <v/>
      </c>
      <c r="E445" s="26">
        <f>IF($P445="","",IF(INDEX(EntryPartyName,$P445)=0,"",INDEX(EntryPartyName,$P445)))</f>
        <v/>
      </c>
      <c r="F445" s="26">
        <f>IF($P445="","",IF(INDEX(EntryPartyType,$P445)=0,"",INDEX(EntryPartyType,$P445)))</f>
        <v/>
      </c>
      <c r="G445" s="26">
        <f>IF($P445="","",IF(INDEX(EntryTxnType,$P445)=0,"",INDEX(EntryTxnType,$P445)))</f>
        <v/>
      </c>
      <c r="H445" s="27">
        <f>IF($P445="","",IF(INDEX(EntryDep,$P445)=0,"",INDEX(EntryDep,$P445)))</f>
        <v/>
      </c>
      <c r="I445" s="27">
        <f>IF($P445="","",IF(INDEX(EntryWit,$P445)=0,"",INDEX(EntryWit,$P445)))</f>
        <v/>
      </c>
      <c r="J445" s="27">
        <f>IF($B445="","",IF($A445=1,$C$7,IF(J444="",0,J444))+IF($H445="",0,$H445)-IF($I445="",0,$I445))</f>
        <v/>
      </c>
      <c r="K445" s="27">
        <f>IF($P445="","",IF(INDEX(EntryMan,$P445)=0,"",INDEX(EntryMan,$P445)))</f>
        <v/>
      </c>
      <c r="L445" s="26">
        <f>IF($B445="","",IF($K445="","—",IF(ROUND($K445-$J445,0)=0,"√","×")))</f>
        <v/>
      </c>
      <c r="M445" s="26">
        <f>IF($B445="","",IF(COUNTIFS(EntryDates,$B445,CalcTime,$C445,CalcBank,$C$5,EntryParty,$D445,EntryDep,$H445,EntryWit,$I445)&gt;1,"تکرار",""))</f>
        <v/>
      </c>
      <c r="N445" s="26">
        <f>IF($P445="","",IF(INDEX(EntryNotes,$P445)=0,"",INDEX(EntryNotes,$P445)))</f>
        <v/>
      </c>
      <c r="O445" s="26">
        <f>IF($P445="","",IF(INDEX(EntryTxnID,$P445)=0,"",INDEX(EntryTxnID,$P445)))</f>
        <v/>
      </c>
      <c r="P445" s="26">
        <f>IFERROR(MATCH($C$5&amp;"|"&amp;RIGHT("000000"&amp;429,6),CalcRankKey,0),"")</f>
        <v/>
      </c>
    </row>
    <row r="446">
      <c r="A446" s="28">
        <f>IF($B446="","",430)</f>
        <v/>
      </c>
      <c r="B446" s="28">
        <f>IF($P446="","",IF(INDEX(CalcNormDate,$P446)=0,"",INDEX(CalcNormDate,$P446)))</f>
        <v/>
      </c>
      <c r="C446" s="28">
        <f>IF($P446="","",IF(INDEX(CalcTime,$P446)=0,"",INDEX(CalcTime,$P446)))</f>
        <v/>
      </c>
      <c r="D446" s="28">
        <f>IF($P446="","",IF(INDEX(EntryParty,$P446)=0,"",INDEX(EntryParty,$P446)))</f>
        <v/>
      </c>
      <c r="E446" s="28">
        <f>IF($P446="","",IF(INDEX(EntryPartyName,$P446)=0,"",INDEX(EntryPartyName,$P446)))</f>
        <v/>
      </c>
      <c r="F446" s="28">
        <f>IF($P446="","",IF(INDEX(EntryPartyType,$P446)=0,"",INDEX(EntryPartyType,$P446)))</f>
        <v/>
      </c>
      <c r="G446" s="28">
        <f>IF($P446="","",IF(INDEX(EntryTxnType,$P446)=0,"",INDEX(EntryTxnType,$P446)))</f>
        <v/>
      </c>
      <c r="H446" s="29">
        <f>IF($P446="","",IF(INDEX(EntryDep,$P446)=0,"",INDEX(EntryDep,$P446)))</f>
        <v/>
      </c>
      <c r="I446" s="29">
        <f>IF($P446="","",IF(INDEX(EntryWit,$P446)=0,"",INDEX(EntryWit,$P446)))</f>
        <v/>
      </c>
      <c r="J446" s="29">
        <f>IF($B446="","",IF($A446=1,$C$7,IF(J445="",0,J445))+IF($H446="",0,$H446)-IF($I446="",0,$I446))</f>
        <v/>
      </c>
      <c r="K446" s="29">
        <f>IF($P446="","",IF(INDEX(EntryMan,$P446)=0,"",INDEX(EntryMan,$P446)))</f>
        <v/>
      </c>
      <c r="L446" s="28">
        <f>IF($B446="","",IF($K446="","—",IF(ROUND($K446-$J446,0)=0,"√","×")))</f>
        <v/>
      </c>
      <c r="M446" s="28">
        <f>IF($B446="","",IF(COUNTIFS(EntryDates,$B446,CalcTime,$C446,CalcBank,$C$5,EntryParty,$D446,EntryDep,$H446,EntryWit,$I446)&gt;1,"تکرار",""))</f>
        <v/>
      </c>
      <c r="N446" s="28">
        <f>IF($P446="","",IF(INDEX(EntryNotes,$P446)=0,"",INDEX(EntryNotes,$P446)))</f>
        <v/>
      </c>
      <c r="O446" s="28">
        <f>IF($P446="","",IF(INDEX(EntryTxnID,$P446)=0,"",INDEX(EntryTxnID,$P446)))</f>
        <v/>
      </c>
      <c r="P446" s="28">
        <f>IFERROR(MATCH($C$5&amp;"|"&amp;RIGHT("000000"&amp;430,6),CalcRankKey,0),"")</f>
        <v/>
      </c>
    </row>
    <row r="447">
      <c r="A447" s="26">
        <f>IF($B447="","",431)</f>
        <v/>
      </c>
      <c r="B447" s="26">
        <f>IF($P447="","",IF(INDEX(CalcNormDate,$P447)=0,"",INDEX(CalcNormDate,$P447)))</f>
        <v/>
      </c>
      <c r="C447" s="26">
        <f>IF($P447="","",IF(INDEX(CalcTime,$P447)=0,"",INDEX(CalcTime,$P447)))</f>
        <v/>
      </c>
      <c r="D447" s="26">
        <f>IF($P447="","",IF(INDEX(EntryParty,$P447)=0,"",INDEX(EntryParty,$P447)))</f>
        <v/>
      </c>
      <c r="E447" s="26">
        <f>IF($P447="","",IF(INDEX(EntryPartyName,$P447)=0,"",INDEX(EntryPartyName,$P447)))</f>
        <v/>
      </c>
      <c r="F447" s="26">
        <f>IF($P447="","",IF(INDEX(EntryPartyType,$P447)=0,"",INDEX(EntryPartyType,$P447)))</f>
        <v/>
      </c>
      <c r="G447" s="26">
        <f>IF($P447="","",IF(INDEX(EntryTxnType,$P447)=0,"",INDEX(EntryTxnType,$P447)))</f>
        <v/>
      </c>
      <c r="H447" s="27">
        <f>IF($P447="","",IF(INDEX(EntryDep,$P447)=0,"",INDEX(EntryDep,$P447)))</f>
        <v/>
      </c>
      <c r="I447" s="27">
        <f>IF($P447="","",IF(INDEX(EntryWit,$P447)=0,"",INDEX(EntryWit,$P447)))</f>
        <v/>
      </c>
      <c r="J447" s="27">
        <f>IF($B447="","",IF($A447=1,$C$7,IF(J446="",0,J446))+IF($H447="",0,$H447)-IF($I447="",0,$I447))</f>
        <v/>
      </c>
      <c r="K447" s="27">
        <f>IF($P447="","",IF(INDEX(EntryMan,$P447)=0,"",INDEX(EntryMan,$P447)))</f>
        <v/>
      </c>
      <c r="L447" s="26">
        <f>IF($B447="","",IF($K447="","—",IF(ROUND($K447-$J447,0)=0,"√","×")))</f>
        <v/>
      </c>
      <c r="M447" s="26">
        <f>IF($B447="","",IF(COUNTIFS(EntryDates,$B447,CalcTime,$C447,CalcBank,$C$5,EntryParty,$D447,EntryDep,$H447,EntryWit,$I447)&gt;1,"تکرار",""))</f>
        <v/>
      </c>
      <c r="N447" s="26">
        <f>IF($P447="","",IF(INDEX(EntryNotes,$P447)=0,"",INDEX(EntryNotes,$P447)))</f>
        <v/>
      </c>
      <c r="O447" s="26">
        <f>IF($P447="","",IF(INDEX(EntryTxnID,$P447)=0,"",INDEX(EntryTxnID,$P447)))</f>
        <v/>
      </c>
      <c r="P447" s="26">
        <f>IFERROR(MATCH($C$5&amp;"|"&amp;RIGHT("000000"&amp;431,6),CalcRankKey,0),"")</f>
        <v/>
      </c>
    </row>
    <row r="448">
      <c r="A448" s="28">
        <f>IF($B448="","",432)</f>
        <v/>
      </c>
      <c r="B448" s="28">
        <f>IF($P448="","",IF(INDEX(CalcNormDate,$P448)=0,"",INDEX(CalcNormDate,$P448)))</f>
        <v/>
      </c>
      <c r="C448" s="28">
        <f>IF($P448="","",IF(INDEX(CalcTime,$P448)=0,"",INDEX(CalcTime,$P448)))</f>
        <v/>
      </c>
      <c r="D448" s="28">
        <f>IF($P448="","",IF(INDEX(EntryParty,$P448)=0,"",INDEX(EntryParty,$P448)))</f>
        <v/>
      </c>
      <c r="E448" s="28">
        <f>IF($P448="","",IF(INDEX(EntryPartyName,$P448)=0,"",INDEX(EntryPartyName,$P448)))</f>
        <v/>
      </c>
      <c r="F448" s="28">
        <f>IF($P448="","",IF(INDEX(EntryPartyType,$P448)=0,"",INDEX(EntryPartyType,$P448)))</f>
        <v/>
      </c>
      <c r="G448" s="28">
        <f>IF($P448="","",IF(INDEX(EntryTxnType,$P448)=0,"",INDEX(EntryTxnType,$P448)))</f>
        <v/>
      </c>
      <c r="H448" s="29">
        <f>IF($P448="","",IF(INDEX(EntryDep,$P448)=0,"",INDEX(EntryDep,$P448)))</f>
        <v/>
      </c>
      <c r="I448" s="29">
        <f>IF($P448="","",IF(INDEX(EntryWit,$P448)=0,"",INDEX(EntryWit,$P448)))</f>
        <v/>
      </c>
      <c r="J448" s="29">
        <f>IF($B448="","",IF($A448=1,$C$7,IF(J447="",0,J447))+IF($H448="",0,$H448)-IF($I448="",0,$I448))</f>
        <v/>
      </c>
      <c r="K448" s="29">
        <f>IF($P448="","",IF(INDEX(EntryMan,$P448)=0,"",INDEX(EntryMan,$P448)))</f>
        <v/>
      </c>
      <c r="L448" s="28">
        <f>IF($B448="","",IF($K448="","—",IF(ROUND($K448-$J448,0)=0,"√","×")))</f>
        <v/>
      </c>
      <c r="M448" s="28">
        <f>IF($B448="","",IF(COUNTIFS(EntryDates,$B448,CalcTime,$C448,CalcBank,$C$5,EntryParty,$D448,EntryDep,$H448,EntryWit,$I448)&gt;1,"تکرار",""))</f>
        <v/>
      </c>
      <c r="N448" s="28">
        <f>IF($P448="","",IF(INDEX(EntryNotes,$P448)=0,"",INDEX(EntryNotes,$P448)))</f>
        <v/>
      </c>
      <c r="O448" s="28">
        <f>IF($P448="","",IF(INDEX(EntryTxnID,$P448)=0,"",INDEX(EntryTxnID,$P448)))</f>
        <v/>
      </c>
      <c r="P448" s="28">
        <f>IFERROR(MATCH($C$5&amp;"|"&amp;RIGHT("000000"&amp;432,6),CalcRankKey,0),"")</f>
        <v/>
      </c>
    </row>
    <row r="449">
      <c r="A449" s="26">
        <f>IF($B449="","",433)</f>
        <v/>
      </c>
      <c r="B449" s="26">
        <f>IF($P449="","",IF(INDEX(CalcNormDate,$P449)=0,"",INDEX(CalcNormDate,$P449)))</f>
        <v/>
      </c>
      <c r="C449" s="26">
        <f>IF($P449="","",IF(INDEX(CalcTime,$P449)=0,"",INDEX(CalcTime,$P449)))</f>
        <v/>
      </c>
      <c r="D449" s="26">
        <f>IF($P449="","",IF(INDEX(EntryParty,$P449)=0,"",INDEX(EntryParty,$P449)))</f>
        <v/>
      </c>
      <c r="E449" s="26">
        <f>IF($P449="","",IF(INDEX(EntryPartyName,$P449)=0,"",INDEX(EntryPartyName,$P449)))</f>
        <v/>
      </c>
      <c r="F449" s="26">
        <f>IF($P449="","",IF(INDEX(EntryPartyType,$P449)=0,"",INDEX(EntryPartyType,$P449)))</f>
        <v/>
      </c>
      <c r="G449" s="26">
        <f>IF($P449="","",IF(INDEX(EntryTxnType,$P449)=0,"",INDEX(EntryTxnType,$P449)))</f>
        <v/>
      </c>
      <c r="H449" s="27">
        <f>IF($P449="","",IF(INDEX(EntryDep,$P449)=0,"",INDEX(EntryDep,$P449)))</f>
        <v/>
      </c>
      <c r="I449" s="27">
        <f>IF($P449="","",IF(INDEX(EntryWit,$P449)=0,"",INDEX(EntryWit,$P449)))</f>
        <v/>
      </c>
      <c r="J449" s="27">
        <f>IF($B449="","",IF($A449=1,$C$7,IF(J448="",0,J448))+IF($H449="",0,$H449)-IF($I449="",0,$I449))</f>
        <v/>
      </c>
      <c r="K449" s="27">
        <f>IF($P449="","",IF(INDEX(EntryMan,$P449)=0,"",INDEX(EntryMan,$P449)))</f>
        <v/>
      </c>
      <c r="L449" s="26">
        <f>IF($B449="","",IF($K449="","—",IF(ROUND($K449-$J449,0)=0,"√","×")))</f>
        <v/>
      </c>
      <c r="M449" s="26">
        <f>IF($B449="","",IF(COUNTIFS(EntryDates,$B449,CalcTime,$C449,CalcBank,$C$5,EntryParty,$D449,EntryDep,$H449,EntryWit,$I449)&gt;1,"تکرار",""))</f>
        <v/>
      </c>
      <c r="N449" s="26">
        <f>IF($P449="","",IF(INDEX(EntryNotes,$P449)=0,"",INDEX(EntryNotes,$P449)))</f>
        <v/>
      </c>
      <c r="O449" s="26">
        <f>IF($P449="","",IF(INDEX(EntryTxnID,$P449)=0,"",INDEX(EntryTxnID,$P449)))</f>
        <v/>
      </c>
      <c r="P449" s="26">
        <f>IFERROR(MATCH($C$5&amp;"|"&amp;RIGHT("000000"&amp;433,6),CalcRankKey,0),"")</f>
        <v/>
      </c>
    </row>
    <row r="450">
      <c r="A450" s="28">
        <f>IF($B450="","",434)</f>
        <v/>
      </c>
      <c r="B450" s="28">
        <f>IF($P450="","",IF(INDEX(CalcNormDate,$P450)=0,"",INDEX(CalcNormDate,$P450)))</f>
        <v/>
      </c>
      <c r="C450" s="28">
        <f>IF($P450="","",IF(INDEX(CalcTime,$P450)=0,"",INDEX(CalcTime,$P450)))</f>
        <v/>
      </c>
      <c r="D450" s="28">
        <f>IF($P450="","",IF(INDEX(EntryParty,$P450)=0,"",INDEX(EntryParty,$P450)))</f>
        <v/>
      </c>
      <c r="E450" s="28">
        <f>IF($P450="","",IF(INDEX(EntryPartyName,$P450)=0,"",INDEX(EntryPartyName,$P450)))</f>
        <v/>
      </c>
      <c r="F450" s="28">
        <f>IF($P450="","",IF(INDEX(EntryPartyType,$P450)=0,"",INDEX(EntryPartyType,$P450)))</f>
        <v/>
      </c>
      <c r="G450" s="28">
        <f>IF($P450="","",IF(INDEX(EntryTxnType,$P450)=0,"",INDEX(EntryTxnType,$P450)))</f>
        <v/>
      </c>
      <c r="H450" s="29">
        <f>IF($P450="","",IF(INDEX(EntryDep,$P450)=0,"",INDEX(EntryDep,$P450)))</f>
        <v/>
      </c>
      <c r="I450" s="29">
        <f>IF($P450="","",IF(INDEX(EntryWit,$P450)=0,"",INDEX(EntryWit,$P450)))</f>
        <v/>
      </c>
      <c r="J450" s="29">
        <f>IF($B450="","",IF($A450=1,$C$7,IF(J449="",0,J449))+IF($H450="",0,$H450)-IF($I450="",0,$I450))</f>
        <v/>
      </c>
      <c r="K450" s="29">
        <f>IF($P450="","",IF(INDEX(EntryMan,$P450)=0,"",INDEX(EntryMan,$P450)))</f>
        <v/>
      </c>
      <c r="L450" s="28">
        <f>IF($B450="","",IF($K450="","—",IF(ROUND($K450-$J450,0)=0,"√","×")))</f>
        <v/>
      </c>
      <c r="M450" s="28">
        <f>IF($B450="","",IF(COUNTIFS(EntryDates,$B450,CalcTime,$C450,CalcBank,$C$5,EntryParty,$D450,EntryDep,$H450,EntryWit,$I450)&gt;1,"تکرار",""))</f>
        <v/>
      </c>
      <c r="N450" s="28">
        <f>IF($P450="","",IF(INDEX(EntryNotes,$P450)=0,"",INDEX(EntryNotes,$P450)))</f>
        <v/>
      </c>
      <c r="O450" s="28">
        <f>IF($P450="","",IF(INDEX(EntryTxnID,$P450)=0,"",INDEX(EntryTxnID,$P450)))</f>
        <v/>
      </c>
      <c r="P450" s="28">
        <f>IFERROR(MATCH($C$5&amp;"|"&amp;RIGHT("000000"&amp;434,6),CalcRankKey,0),"")</f>
        <v/>
      </c>
    </row>
    <row r="451">
      <c r="A451" s="26">
        <f>IF($B451="","",435)</f>
        <v/>
      </c>
      <c r="B451" s="26">
        <f>IF($P451="","",IF(INDEX(CalcNormDate,$P451)=0,"",INDEX(CalcNormDate,$P451)))</f>
        <v/>
      </c>
      <c r="C451" s="26">
        <f>IF($P451="","",IF(INDEX(CalcTime,$P451)=0,"",INDEX(CalcTime,$P451)))</f>
        <v/>
      </c>
      <c r="D451" s="26">
        <f>IF($P451="","",IF(INDEX(EntryParty,$P451)=0,"",INDEX(EntryParty,$P451)))</f>
        <v/>
      </c>
      <c r="E451" s="26">
        <f>IF($P451="","",IF(INDEX(EntryPartyName,$P451)=0,"",INDEX(EntryPartyName,$P451)))</f>
        <v/>
      </c>
      <c r="F451" s="26">
        <f>IF($P451="","",IF(INDEX(EntryPartyType,$P451)=0,"",INDEX(EntryPartyType,$P451)))</f>
        <v/>
      </c>
      <c r="G451" s="26">
        <f>IF($P451="","",IF(INDEX(EntryTxnType,$P451)=0,"",INDEX(EntryTxnType,$P451)))</f>
        <v/>
      </c>
      <c r="H451" s="27">
        <f>IF($P451="","",IF(INDEX(EntryDep,$P451)=0,"",INDEX(EntryDep,$P451)))</f>
        <v/>
      </c>
      <c r="I451" s="27">
        <f>IF($P451="","",IF(INDEX(EntryWit,$P451)=0,"",INDEX(EntryWit,$P451)))</f>
        <v/>
      </c>
      <c r="J451" s="27">
        <f>IF($B451="","",IF($A451=1,$C$7,IF(J450="",0,J450))+IF($H451="",0,$H451)-IF($I451="",0,$I451))</f>
        <v/>
      </c>
      <c r="K451" s="27">
        <f>IF($P451="","",IF(INDEX(EntryMan,$P451)=0,"",INDEX(EntryMan,$P451)))</f>
        <v/>
      </c>
      <c r="L451" s="26">
        <f>IF($B451="","",IF($K451="","—",IF(ROUND($K451-$J451,0)=0,"√","×")))</f>
        <v/>
      </c>
      <c r="M451" s="26">
        <f>IF($B451="","",IF(COUNTIFS(EntryDates,$B451,CalcTime,$C451,CalcBank,$C$5,EntryParty,$D451,EntryDep,$H451,EntryWit,$I451)&gt;1,"تکرار",""))</f>
        <v/>
      </c>
      <c r="N451" s="26">
        <f>IF($P451="","",IF(INDEX(EntryNotes,$P451)=0,"",INDEX(EntryNotes,$P451)))</f>
        <v/>
      </c>
      <c r="O451" s="26">
        <f>IF($P451="","",IF(INDEX(EntryTxnID,$P451)=0,"",INDEX(EntryTxnID,$P451)))</f>
        <v/>
      </c>
      <c r="P451" s="26">
        <f>IFERROR(MATCH($C$5&amp;"|"&amp;RIGHT("000000"&amp;435,6),CalcRankKey,0),"")</f>
        <v/>
      </c>
    </row>
    <row r="452">
      <c r="A452" s="28">
        <f>IF($B452="","",436)</f>
        <v/>
      </c>
      <c r="B452" s="28">
        <f>IF($P452="","",IF(INDEX(CalcNormDate,$P452)=0,"",INDEX(CalcNormDate,$P452)))</f>
        <v/>
      </c>
      <c r="C452" s="28">
        <f>IF($P452="","",IF(INDEX(CalcTime,$P452)=0,"",INDEX(CalcTime,$P452)))</f>
        <v/>
      </c>
      <c r="D452" s="28">
        <f>IF($P452="","",IF(INDEX(EntryParty,$P452)=0,"",INDEX(EntryParty,$P452)))</f>
        <v/>
      </c>
      <c r="E452" s="28">
        <f>IF($P452="","",IF(INDEX(EntryPartyName,$P452)=0,"",INDEX(EntryPartyName,$P452)))</f>
        <v/>
      </c>
      <c r="F452" s="28">
        <f>IF($P452="","",IF(INDEX(EntryPartyType,$P452)=0,"",INDEX(EntryPartyType,$P452)))</f>
        <v/>
      </c>
      <c r="G452" s="28">
        <f>IF($P452="","",IF(INDEX(EntryTxnType,$P452)=0,"",INDEX(EntryTxnType,$P452)))</f>
        <v/>
      </c>
      <c r="H452" s="29">
        <f>IF($P452="","",IF(INDEX(EntryDep,$P452)=0,"",INDEX(EntryDep,$P452)))</f>
        <v/>
      </c>
      <c r="I452" s="29">
        <f>IF($P452="","",IF(INDEX(EntryWit,$P452)=0,"",INDEX(EntryWit,$P452)))</f>
        <v/>
      </c>
      <c r="J452" s="29">
        <f>IF($B452="","",IF($A452=1,$C$7,IF(J451="",0,J451))+IF($H452="",0,$H452)-IF($I452="",0,$I452))</f>
        <v/>
      </c>
      <c r="K452" s="29">
        <f>IF($P452="","",IF(INDEX(EntryMan,$P452)=0,"",INDEX(EntryMan,$P452)))</f>
        <v/>
      </c>
      <c r="L452" s="28">
        <f>IF($B452="","",IF($K452="","—",IF(ROUND($K452-$J452,0)=0,"√","×")))</f>
        <v/>
      </c>
      <c r="M452" s="28">
        <f>IF($B452="","",IF(COUNTIFS(EntryDates,$B452,CalcTime,$C452,CalcBank,$C$5,EntryParty,$D452,EntryDep,$H452,EntryWit,$I452)&gt;1,"تکرار",""))</f>
        <v/>
      </c>
      <c r="N452" s="28">
        <f>IF($P452="","",IF(INDEX(EntryNotes,$P452)=0,"",INDEX(EntryNotes,$P452)))</f>
        <v/>
      </c>
      <c r="O452" s="28">
        <f>IF($P452="","",IF(INDEX(EntryTxnID,$P452)=0,"",INDEX(EntryTxnID,$P452)))</f>
        <v/>
      </c>
      <c r="P452" s="28">
        <f>IFERROR(MATCH($C$5&amp;"|"&amp;RIGHT("000000"&amp;436,6),CalcRankKey,0),"")</f>
        <v/>
      </c>
    </row>
    <row r="453">
      <c r="A453" s="26">
        <f>IF($B453="","",437)</f>
        <v/>
      </c>
      <c r="B453" s="26">
        <f>IF($P453="","",IF(INDEX(CalcNormDate,$P453)=0,"",INDEX(CalcNormDate,$P453)))</f>
        <v/>
      </c>
      <c r="C453" s="26">
        <f>IF($P453="","",IF(INDEX(CalcTime,$P453)=0,"",INDEX(CalcTime,$P453)))</f>
        <v/>
      </c>
      <c r="D453" s="26">
        <f>IF($P453="","",IF(INDEX(EntryParty,$P453)=0,"",INDEX(EntryParty,$P453)))</f>
        <v/>
      </c>
      <c r="E453" s="26">
        <f>IF($P453="","",IF(INDEX(EntryPartyName,$P453)=0,"",INDEX(EntryPartyName,$P453)))</f>
        <v/>
      </c>
      <c r="F453" s="26">
        <f>IF($P453="","",IF(INDEX(EntryPartyType,$P453)=0,"",INDEX(EntryPartyType,$P453)))</f>
        <v/>
      </c>
      <c r="G453" s="26">
        <f>IF($P453="","",IF(INDEX(EntryTxnType,$P453)=0,"",INDEX(EntryTxnType,$P453)))</f>
        <v/>
      </c>
      <c r="H453" s="27">
        <f>IF($P453="","",IF(INDEX(EntryDep,$P453)=0,"",INDEX(EntryDep,$P453)))</f>
        <v/>
      </c>
      <c r="I453" s="27">
        <f>IF($P453="","",IF(INDEX(EntryWit,$P453)=0,"",INDEX(EntryWit,$P453)))</f>
        <v/>
      </c>
      <c r="J453" s="27">
        <f>IF($B453="","",IF($A453=1,$C$7,IF(J452="",0,J452))+IF($H453="",0,$H453)-IF($I453="",0,$I453))</f>
        <v/>
      </c>
      <c r="K453" s="27">
        <f>IF($P453="","",IF(INDEX(EntryMan,$P453)=0,"",INDEX(EntryMan,$P453)))</f>
        <v/>
      </c>
      <c r="L453" s="26">
        <f>IF($B453="","",IF($K453="","—",IF(ROUND($K453-$J453,0)=0,"√","×")))</f>
        <v/>
      </c>
      <c r="M453" s="26">
        <f>IF($B453="","",IF(COUNTIFS(EntryDates,$B453,CalcTime,$C453,CalcBank,$C$5,EntryParty,$D453,EntryDep,$H453,EntryWit,$I453)&gt;1,"تکرار",""))</f>
        <v/>
      </c>
      <c r="N453" s="26">
        <f>IF($P453="","",IF(INDEX(EntryNotes,$P453)=0,"",INDEX(EntryNotes,$P453)))</f>
        <v/>
      </c>
      <c r="O453" s="26">
        <f>IF($P453="","",IF(INDEX(EntryTxnID,$P453)=0,"",INDEX(EntryTxnID,$P453)))</f>
        <v/>
      </c>
      <c r="P453" s="26">
        <f>IFERROR(MATCH($C$5&amp;"|"&amp;RIGHT("000000"&amp;437,6),CalcRankKey,0),"")</f>
        <v/>
      </c>
    </row>
    <row r="454">
      <c r="A454" s="28">
        <f>IF($B454="","",438)</f>
        <v/>
      </c>
      <c r="B454" s="28">
        <f>IF($P454="","",IF(INDEX(CalcNormDate,$P454)=0,"",INDEX(CalcNormDate,$P454)))</f>
        <v/>
      </c>
      <c r="C454" s="28">
        <f>IF($P454="","",IF(INDEX(CalcTime,$P454)=0,"",INDEX(CalcTime,$P454)))</f>
        <v/>
      </c>
      <c r="D454" s="28">
        <f>IF($P454="","",IF(INDEX(EntryParty,$P454)=0,"",INDEX(EntryParty,$P454)))</f>
        <v/>
      </c>
      <c r="E454" s="28">
        <f>IF($P454="","",IF(INDEX(EntryPartyName,$P454)=0,"",INDEX(EntryPartyName,$P454)))</f>
        <v/>
      </c>
      <c r="F454" s="28">
        <f>IF($P454="","",IF(INDEX(EntryPartyType,$P454)=0,"",INDEX(EntryPartyType,$P454)))</f>
        <v/>
      </c>
      <c r="G454" s="28">
        <f>IF($P454="","",IF(INDEX(EntryTxnType,$P454)=0,"",INDEX(EntryTxnType,$P454)))</f>
        <v/>
      </c>
      <c r="H454" s="29">
        <f>IF($P454="","",IF(INDEX(EntryDep,$P454)=0,"",INDEX(EntryDep,$P454)))</f>
        <v/>
      </c>
      <c r="I454" s="29">
        <f>IF($P454="","",IF(INDEX(EntryWit,$P454)=0,"",INDEX(EntryWit,$P454)))</f>
        <v/>
      </c>
      <c r="J454" s="29">
        <f>IF($B454="","",IF($A454=1,$C$7,IF(J453="",0,J453))+IF($H454="",0,$H454)-IF($I454="",0,$I454))</f>
        <v/>
      </c>
      <c r="K454" s="29">
        <f>IF($P454="","",IF(INDEX(EntryMan,$P454)=0,"",INDEX(EntryMan,$P454)))</f>
        <v/>
      </c>
      <c r="L454" s="28">
        <f>IF($B454="","",IF($K454="","—",IF(ROUND($K454-$J454,0)=0,"√","×")))</f>
        <v/>
      </c>
      <c r="M454" s="28">
        <f>IF($B454="","",IF(COUNTIFS(EntryDates,$B454,CalcTime,$C454,CalcBank,$C$5,EntryParty,$D454,EntryDep,$H454,EntryWit,$I454)&gt;1,"تکرار",""))</f>
        <v/>
      </c>
      <c r="N454" s="28">
        <f>IF($P454="","",IF(INDEX(EntryNotes,$P454)=0,"",INDEX(EntryNotes,$P454)))</f>
        <v/>
      </c>
      <c r="O454" s="28">
        <f>IF($P454="","",IF(INDEX(EntryTxnID,$P454)=0,"",INDEX(EntryTxnID,$P454)))</f>
        <v/>
      </c>
      <c r="P454" s="28">
        <f>IFERROR(MATCH($C$5&amp;"|"&amp;RIGHT("000000"&amp;438,6),CalcRankKey,0),"")</f>
        <v/>
      </c>
    </row>
    <row r="455">
      <c r="A455" s="26">
        <f>IF($B455="","",439)</f>
        <v/>
      </c>
      <c r="B455" s="26">
        <f>IF($P455="","",IF(INDEX(CalcNormDate,$P455)=0,"",INDEX(CalcNormDate,$P455)))</f>
        <v/>
      </c>
      <c r="C455" s="26">
        <f>IF($P455="","",IF(INDEX(CalcTime,$P455)=0,"",INDEX(CalcTime,$P455)))</f>
        <v/>
      </c>
      <c r="D455" s="26">
        <f>IF($P455="","",IF(INDEX(EntryParty,$P455)=0,"",INDEX(EntryParty,$P455)))</f>
        <v/>
      </c>
      <c r="E455" s="26">
        <f>IF($P455="","",IF(INDEX(EntryPartyName,$P455)=0,"",INDEX(EntryPartyName,$P455)))</f>
        <v/>
      </c>
      <c r="F455" s="26">
        <f>IF($P455="","",IF(INDEX(EntryPartyType,$P455)=0,"",INDEX(EntryPartyType,$P455)))</f>
        <v/>
      </c>
      <c r="G455" s="26">
        <f>IF($P455="","",IF(INDEX(EntryTxnType,$P455)=0,"",INDEX(EntryTxnType,$P455)))</f>
        <v/>
      </c>
      <c r="H455" s="27">
        <f>IF($P455="","",IF(INDEX(EntryDep,$P455)=0,"",INDEX(EntryDep,$P455)))</f>
        <v/>
      </c>
      <c r="I455" s="27">
        <f>IF($P455="","",IF(INDEX(EntryWit,$P455)=0,"",INDEX(EntryWit,$P455)))</f>
        <v/>
      </c>
      <c r="J455" s="27">
        <f>IF($B455="","",IF($A455=1,$C$7,IF(J454="",0,J454))+IF($H455="",0,$H455)-IF($I455="",0,$I455))</f>
        <v/>
      </c>
      <c r="K455" s="27">
        <f>IF($P455="","",IF(INDEX(EntryMan,$P455)=0,"",INDEX(EntryMan,$P455)))</f>
        <v/>
      </c>
      <c r="L455" s="26">
        <f>IF($B455="","",IF($K455="","—",IF(ROUND($K455-$J455,0)=0,"√","×")))</f>
        <v/>
      </c>
      <c r="M455" s="26">
        <f>IF($B455="","",IF(COUNTIFS(EntryDates,$B455,CalcTime,$C455,CalcBank,$C$5,EntryParty,$D455,EntryDep,$H455,EntryWit,$I455)&gt;1,"تکرار",""))</f>
        <v/>
      </c>
      <c r="N455" s="26">
        <f>IF($P455="","",IF(INDEX(EntryNotes,$P455)=0,"",INDEX(EntryNotes,$P455)))</f>
        <v/>
      </c>
      <c r="O455" s="26">
        <f>IF($P455="","",IF(INDEX(EntryTxnID,$P455)=0,"",INDEX(EntryTxnID,$P455)))</f>
        <v/>
      </c>
      <c r="P455" s="26">
        <f>IFERROR(MATCH($C$5&amp;"|"&amp;RIGHT("000000"&amp;439,6),CalcRankKey,0),"")</f>
        <v/>
      </c>
    </row>
    <row r="456">
      <c r="A456" s="28">
        <f>IF($B456="","",440)</f>
        <v/>
      </c>
      <c r="B456" s="28">
        <f>IF($P456="","",IF(INDEX(CalcNormDate,$P456)=0,"",INDEX(CalcNormDate,$P456)))</f>
        <v/>
      </c>
      <c r="C456" s="28">
        <f>IF($P456="","",IF(INDEX(CalcTime,$P456)=0,"",INDEX(CalcTime,$P456)))</f>
        <v/>
      </c>
      <c r="D456" s="28">
        <f>IF($P456="","",IF(INDEX(EntryParty,$P456)=0,"",INDEX(EntryParty,$P456)))</f>
        <v/>
      </c>
      <c r="E456" s="28">
        <f>IF($P456="","",IF(INDEX(EntryPartyName,$P456)=0,"",INDEX(EntryPartyName,$P456)))</f>
        <v/>
      </c>
      <c r="F456" s="28">
        <f>IF($P456="","",IF(INDEX(EntryPartyType,$P456)=0,"",INDEX(EntryPartyType,$P456)))</f>
        <v/>
      </c>
      <c r="G456" s="28">
        <f>IF($P456="","",IF(INDEX(EntryTxnType,$P456)=0,"",INDEX(EntryTxnType,$P456)))</f>
        <v/>
      </c>
      <c r="H456" s="29">
        <f>IF($P456="","",IF(INDEX(EntryDep,$P456)=0,"",INDEX(EntryDep,$P456)))</f>
        <v/>
      </c>
      <c r="I456" s="29">
        <f>IF($P456="","",IF(INDEX(EntryWit,$P456)=0,"",INDEX(EntryWit,$P456)))</f>
        <v/>
      </c>
      <c r="J456" s="29">
        <f>IF($B456="","",IF($A456=1,$C$7,IF(J455="",0,J455))+IF($H456="",0,$H456)-IF($I456="",0,$I456))</f>
        <v/>
      </c>
      <c r="K456" s="29">
        <f>IF($P456="","",IF(INDEX(EntryMan,$P456)=0,"",INDEX(EntryMan,$P456)))</f>
        <v/>
      </c>
      <c r="L456" s="28">
        <f>IF($B456="","",IF($K456="","—",IF(ROUND($K456-$J456,0)=0,"√","×")))</f>
        <v/>
      </c>
      <c r="M456" s="28">
        <f>IF($B456="","",IF(COUNTIFS(EntryDates,$B456,CalcTime,$C456,CalcBank,$C$5,EntryParty,$D456,EntryDep,$H456,EntryWit,$I456)&gt;1,"تکرار",""))</f>
        <v/>
      </c>
      <c r="N456" s="28">
        <f>IF($P456="","",IF(INDEX(EntryNotes,$P456)=0,"",INDEX(EntryNotes,$P456)))</f>
        <v/>
      </c>
      <c r="O456" s="28">
        <f>IF($P456="","",IF(INDEX(EntryTxnID,$P456)=0,"",INDEX(EntryTxnID,$P456)))</f>
        <v/>
      </c>
      <c r="P456" s="28">
        <f>IFERROR(MATCH($C$5&amp;"|"&amp;RIGHT("000000"&amp;440,6),CalcRankKey,0),"")</f>
        <v/>
      </c>
    </row>
    <row r="457">
      <c r="A457" s="26">
        <f>IF($B457="","",441)</f>
        <v/>
      </c>
      <c r="B457" s="26">
        <f>IF($P457="","",IF(INDEX(CalcNormDate,$P457)=0,"",INDEX(CalcNormDate,$P457)))</f>
        <v/>
      </c>
      <c r="C457" s="26">
        <f>IF($P457="","",IF(INDEX(CalcTime,$P457)=0,"",INDEX(CalcTime,$P457)))</f>
        <v/>
      </c>
      <c r="D457" s="26">
        <f>IF($P457="","",IF(INDEX(EntryParty,$P457)=0,"",INDEX(EntryParty,$P457)))</f>
        <v/>
      </c>
      <c r="E457" s="26">
        <f>IF($P457="","",IF(INDEX(EntryPartyName,$P457)=0,"",INDEX(EntryPartyName,$P457)))</f>
        <v/>
      </c>
      <c r="F457" s="26">
        <f>IF($P457="","",IF(INDEX(EntryPartyType,$P457)=0,"",INDEX(EntryPartyType,$P457)))</f>
        <v/>
      </c>
      <c r="G457" s="26">
        <f>IF($P457="","",IF(INDEX(EntryTxnType,$P457)=0,"",INDEX(EntryTxnType,$P457)))</f>
        <v/>
      </c>
      <c r="H457" s="27">
        <f>IF($P457="","",IF(INDEX(EntryDep,$P457)=0,"",INDEX(EntryDep,$P457)))</f>
        <v/>
      </c>
      <c r="I457" s="27">
        <f>IF($P457="","",IF(INDEX(EntryWit,$P457)=0,"",INDEX(EntryWit,$P457)))</f>
        <v/>
      </c>
      <c r="J457" s="27">
        <f>IF($B457="","",IF($A457=1,$C$7,IF(J456="",0,J456))+IF($H457="",0,$H457)-IF($I457="",0,$I457))</f>
        <v/>
      </c>
      <c r="K457" s="27">
        <f>IF($P457="","",IF(INDEX(EntryMan,$P457)=0,"",INDEX(EntryMan,$P457)))</f>
        <v/>
      </c>
      <c r="L457" s="26">
        <f>IF($B457="","",IF($K457="","—",IF(ROUND($K457-$J457,0)=0,"√","×")))</f>
        <v/>
      </c>
      <c r="M457" s="26">
        <f>IF($B457="","",IF(COUNTIFS(EntryDates,$B457,CalcTime,$C457,CalcBank,$C$5,EntryParty,$D457,EntryDep,$H457,EntryWit,$I457)&gt;1,"تکرار",""))</f>
        <v/>
      </c>
      <c r="N457" s="26">
        <f>IF($P457="","",IF(INDEX(EntryNotes,$P457)=0,"",INDEX(EntryNotes,$P457)))</f>
        <v/>
      </c>
      <c r="O457" s="26">
        <f>IF($P457="","",IF(INDEX(EntryTxnID,$P457)=0,"",INDEX(EntryTxnID,$P457)))</f>
        <v/>
      </c>
      <c r="P457" s="26">
        <f>IFERROR(MATCH($C$5&amp;"|"&amp;RIGHT("000000"&amp;441,6),CalcRankKey,0),"")</f>
        <v/>
      </c>
    </row>
    <row r="458">
      <c r="A458" s="28">
        <f>IF($B458="","",442)</f>
        <v/>
      </c>
      <c r="B458" s="28">
        <f>IF($P458="","",IF(INDEX(CalcNormDate,$P458)=0,"",INDEX(CalcNormDate,$P458)))</f>
        <v/>
      </c>
      <c r="C458" s="28">
        <f>IF($P458="","",IF(INDEX(CalcTime,$P458)=0,"",INDEX(CalcTime,$P458)))</f>
        <v/>
      </c>
      <c r="D458" s="28">
        <f>IF($P458="","",IF(INDEX(EntryParty,$P458)=0,"",INDEX(EntryParty,$P458)))</f>
        <v/>
      </c>
      <c r="E458" s="28">
        <f>IF($P458="","",IF(INDEX(EntryPartyName,$P458)=0,"",INDEX(EntryPartyName,$P458)))</f>
        <v/>
      </c>
      <c r="F458" s="28">
        <f>IF($P458="","",IF(INDEX(EntryPartyType,$P458)=0,"",INDEX(EntryPartyType,$P458)))</f>
        <v/>
      </c>
      <c r="G458" s="28">
        <f>IF($P458="","",IF(INDEX(EntryTxnType,$P458)=0,"",INDEX(EntryTxnType,$P458)))</f>
        <v/>
      </c>
      <c r="H458" s="29">
        <f>IF($P458="","",IF(INDEX(EntryDep,$P458)=0,"",INDEX(EntryDep,$P458)))</f>
        <v/>
      </c>
      <c r="I458" s="29">
        <f>IF($P458="","",IF(INDEX(EntryWit,$P458)=0,"",INDEX(EntryWit,$P458)))</f>
        <v/>
      </c>
      <c r="J458" s="29">
        <f>IF($B458="","",IF($A458=1,$C$7,IF(J457="",0,J457))+IF($H458="",0,$H458)-IF($I458="",0,$I458))</f>
        <v/>
      </c>
      <c r="K458" s="29">
        <f>IF($P458="","",IF(INDEX(EntryMan,$P458)=0,"",INDEX(EntryMan,$P458)))</f>
        <v/>
      </c>
      <c r="L458" s="28">
        <f>IF($B458="","",IF($K458="","—",IF(ROUND($K458-$J458,0)=0,"√","×")))</f>
        <v/>
      </c>
      <c r="M458" s="28">
        <f>IF($B458="","",IF(COUNTIFS(EntryDates,$B458,CalcTime,$C458,CalcBank,$C$5,EntryParty,$D458,EntryDep,$H458,EntryWit,$I458)&gt;1,"تکرار",""))</f>
        <v/>
      </c>
      <c r="N458" s="28">
        <f>IF($P458="","",IF(INDEX(EntryNotes,$P458)=0,"",INDEX(EntryNotes,$P458)))</f>
        <v/>
      </c>
      <c r="O458" s="28">
        <f>IF($P458="","",IF(INDEX(EntryTxnID,$P458)=0,"",INDEX(EntryTxnID,$P458)))</f>
        <v/>
      </c>
      <c r="P458" s="28">
        <f>IFERROR(MATCH($C$5&amp;"|"&amp;RIGHT("000000"&amp;442,6),CalcRankKey,0),"")</f>
        <v/>
      </c>
    </row>
    <row r="459">
      <c r="A459" s="26">
        <f>IF($B459="","",443)</f>
        <v/>
      </c>
      <c r="B459" s="26">
        <f>IF($P459="","",IF(INDEX(CalcNormDate,$P459)=0,"",INDEX(CalcNormDate,$P459)))</f>
        <v/>
      </c>
      <c r="C459" s="26">
        <f>IF($P459="","",IF(INDEX(CalcTime,$P459)=0,"",INDEX(CalcTime,$P459)))</f>
        <v/>
      </c>
      <c r="D459" s="26">
        <f>IF($P459="","",IF(INDEX(EntryParty,$P459)=0,"",INDEX(EntryParty,$P459)))</f>
        <v/>
      </c>
      <c r="E459" s="26">
        <f>IF($P459="","",IF(INDEX(EntryPartyName,$P459)=0,"",INDEX(EntryPartyName,$P459)))</f>
        <v/>
      </c>
      <c r="F459" s="26">
        <f>IF($P459="","",IF(INDEX(EntryPartyType,$P459)=0,"",INDEX(EntryPartyType,$P459)))</f>
        <v/>
      </c>
      <c r="G459" s="26">
        <f>IF($P459="","",IF(INDEX(EntryTxnType,$P459)=0,"",INDEX(EntryTxnType,$P459)))</f>
        <v/>
      </c>
      <c r="H459" s="27">
        <f>IF($P459="","",IF(INDEX(EntryDep,$P459)=0,"",INDEX(EntryDep,$P459)))</f>
        <v/>
      </c>
      <c r="I459" s="27">
        <f>IF($P459="","",IF(INDEX(EntryWit,$P459)=0,"",INDEX(EntryWit,$P459)))</f>
        <v/>
      </c>
      <c r="J459" s="27">
        <f>IF($B459="","",IF($A459=1,$C$7,IF(J458="",0,J458))+IF($H459="",0,$H459)-IF($I459="",0,$I459))</f>
        <v/>
      </c>
      <c r="K459" s="27">
        <f>IF($P459="","",IF(INDEX(EntryMan,$P459)=0,"",INDEX(EntryMan,$P459)))</f>
        <v/>
      </c>
      <c r="L459" s="26">
        <f>IF($B459="","",IF($K459="","—",IF(ROUND($K459-$J459,0)=0,"√","×")))</f>
        <v/>
      </c>
      <c r="M459" s="26">
        <f>IF($B459="","",IF(COUNTIFS(EntryDates,$B459,CalcTime,$C459,CalcBank,$C$5,EntryParty,$D459,EntryDep,$H459,EntryWit,$I459)&gt;1,"تکرار",""))</f>
        <v/>
      </c>
      <c r="N459" s="26">
        <f>IF($P459="","",IF(INDEX(EntryNotes,$P459)=0,"",INDEX(EntryNotes,$P459)))</f>
        <v/>
      </c>
      <c r="O459" s="26">
        <f>IF($P459="","",IF(INDEX(EntryTxnID,$P459)=0,"",INDEX(EntryTxnID,$P459)))</f>
        <v/>
      </c>
      <c r="P459" s="26">
        <f>IFERROR(MATCH($C$5&amp;"|"&amp;RIGHT("000000"&amp;443,6),CalcRankKey,0),"")</f>
        <v/>
      </c>
    </row>
    <row r="460">
      <c r="A460" s="28">
        <f>IF($B460="","",444)</f>
        <v/>
      </c>
      <c r="B460" s="28">
        <f>IF($P460="","",IF(INDEX(CalcNormDate,$P460)=0,"",INDEX(CalcNormDate,$P460)))</f>
        <v/>
      </c>
      <c r="C460" s="28">
        <f>IF($P460="","",IF(INDEX(CalcTime,$P460)=0,"",INDEX(CalcTime,$P460)))</f>
        <v/>
      </c>
      <c r="D460" s="28">
        <f>IF($P460="","",IF(INDEX(EntryParty,$P460)=0,"",INDEX(EntryParty,$P460)))</f>
        <v/>
      </c>
      <c r="E460" s="28">
        <f>IF($P460="","",IF(INDEX(EntryPartyName,$P460)=0,"",INDEX(EntryPartyName,$P460)))</f>
        <v/>
      </c>
      <c r="F460" s="28">
        <f>IF($P460="","",IF(INDEX(EntryPartyType,$P460)=0,"",INDEX(EntryPartyType,$P460)))</f>
        <v/>
      </c>
      <c r="G460" s="28">
        <f>IF($P460="","",IF(INDEX(EntryTxnType,$P460)=0,"",INDEX(EntryTxnType,$P460)))</f>
        <v/>
      </c>
      <c r="H460" s="29">
        <f>IF($P460="","",IF(INDEX(EntryDep,$P460)=0,"",INDEX(EntryDep,$P460)))</f>
        <v/>
      </c>
      <c r="I460" s="29">
        <f>IF($P460="","",IF(INDEX(EntryWit,$P460)=0,"",INDEX(EntryWit,$P460)))</f>
        <v/>
      </c>
      <c r="J460" s="29">
        <f>IF($B460="","",IF($A460=1,$C$7,IF(J459="",0,J459))+IF($H460="",0,$H460)-IF($I460="",0,$I460))</f>
        <v/>
      </c>
      <c r="K460" s="29">
        <f>IF($P460="","",IF(INDEX(EntryMan,$P460)=0,"",INDEX(EntryMan,$P460)))</f>
        <v/>
      </c>
      <c r="L460" s="28">
        <f>IF($B460="","",IF($K460="","—",IF(ROUND($K460-$J460,0)=0,"√","×")))</f>
        <v/>
      </c>
      <c r="M460" s="28">
        <f>IF($B460="","",IF(COUNTIFS(EntryDates,$B460,CalcTime,$C460,CalcBank,$C$5,EntryParty,$D460,EntryDep,$H460,EntryWit,$I460)&gt;1,"تکرار",""))</f>
        <v/>
      </c>
      <c r="N460" s="28">
        <f>IF($P460="","",IF(INDEX(EntryNotes,$P460)=0,"",INDEX(EntryNotes,$P460)))</f>
        <v/>
      </c>
      <c r="O460" s="28">
        <f>IF($P460="","",IF(INDEX(EntryTxnID,$P460)=0,"",INDEX(EntryTxnID,$P460)))</f>
        <v/>
      </c>
      <c r="P460" s="28">
        <f>IFERROR(MATCH($C$5&amp;"|"&amp;RIGHT("000000"&amp;444,6),CalcRankKey,0),"")</f>
        <v/>
      </c>
    </row>
    <row r="461">
      <c r="A461" s="26">
        <f>IF($B461="","",445)</f>
        <v/>
      </c>
      <c r="B461" s="26">
        <f>IF($P461="","",IF(INDEX(CalcNormDate,$P461)=0,"",INDEX(CalcNormDate,$P461)))</f>
        <v/>
      </c>
      <c r="C461" s="26">
        <f>IF($P461="","",IF(INDEX(CalcTime,$P461)=0,"",INDEX(CalcTime,$P461)))</f>
        <v/>
      </c>
      <c r="D461" s="26">
        <f>IF($P461="","",IF(INDEX(EntryParty,$P461)=0,"",INDEX(EntryParty,$P461)))</f>
        <v/>
      </c>
      <c r="E461" s="26">
        <f>IF($P461="","",IF(INDEX(EntryPartyName,$P461)=0,"",INDEX(EntryPartyName,$P461)))</f>
        <v/>
      </c>
      <c r="F461" s="26">
        <f>IF($P461="","",IF(INDEX(EntryPartyType,$P461)=0,"",INDEX(EntryPartyType,$P461)))</f>
        <v/>
      </c>
      <c r="G461" s="26">
        <f>IF($P461="","",IF(INDEX(EntryTxnType,$P461)=0,"",INDEX(EntryTxnType,$P461)))</f>
        <v/>
      </c>
      <c r="H461" s="27">
        <f>IF($P461="","",IF(INDEX(EntryDep,$P461)=0,"",INDEX(EntryDep,$P461)))</f>
        <v/>
      </c>
      <c r="I461" s="27">
        <f>IF($P461="","",IF(INDEX(EntryWit,$P461)=0,"",INDEX(EntryWit,$P461)))</f>
        <v/>
      </c>
      <c r="J461" s="27">
        <f>IF($B461="","",IF($A461=1,$C$7,IF(J460="",0,J460))+IF($H461="",0,$H461)-IF($I461="",0,$I461))</f>
        <v/>
      </c>
      <c r="K461" s="27">
        <f>IF($P461="","",IF(INDEX(EntryMan,$P461)=0,"",INDEX(EntryMan,$P461)))</f>
        <v/>
      </c>
      <c r="L461" s="26">
        <f>IF($B461="","",IF($K461="","—",IF(ROUND($K461-$J461,0)=0,"√","×")))</f>
        <v/>
      </c>
      <c r="M461" s="26">
        <f>IF($B461="","",IF(COUNTIFS(EntryDates,$B461,CalcTime,$C461,CalcBank,$C$5,EntryParty,$D461,EntryDep,$H461,EntryWit,$I461)&gt;1,"تکرار",""))</f>
        <v/>
      </c>
      <c r="N461" s="26">
        <f>IF($P461="","",IF(INDEX(EntryNotes,$P461)=0,"",INDEX(EntryNotes,$P461)))</f>
        <v/>
      </c>
      <c r="O461" s="26">
        <f>IF($P461="","",IF(INDEX(EntryTxnID,$P461)=0,"",INDEX(EntryTxnID,$P461)))</f>
        <v/>
      </c>
      <c r="P461" s="26">
        <f>IFERROR(MATCH($C$5&amp;"|"&amp;RIGHT("000000"&amp;445,6),CalcRankKey,0),"")</f>
        <v/>
      </c>
    </row>
    <row r="462">
      <c r="A462" s="28">
        <f>IF($B462="","",446)</f>
        <v/>
      </c>
      <c r="B462" s="28">
        <f>IF($P462="","",IF(INDEX(CalcNormDate,$P462)=0,"",INDEX(CalcNormDate,$P462)))</f>
        <v/>
      </c>
      <c r="C462" s="28">
        <f>IF($P462="","",IF(INDEX(CalcTime,$P462)=0,"",INDEX(CalcTime,$P462)))</f>
        <v/>
      </c>
      <c r="D462" s="28">
        <f>IF($P462="","",IF(INDEX(EntryParty,$P462)=0,"",INDEX(EntryParty,$P462)))</f>
        <v/>
      </c>
      <c r="E462" s="28">
        <f>IF($P462="","",IF(INDEX(EntryPartyName,$P462)=0,"",INDEX(EntryPartyName,$P462)))</f>
        <v/>
      </c>
      <c r="F462" s="28">
        <f>IF($P462="","",IF(INDEX(EntryPartyType,$P462)=0,"",INDEX(EntryPartyType,$P462)))</f>
        <v/>
      </c>
      <c r="G462" s="28">
        <f>IF($P462="","",IF(INDEX(EntryTxnType,$P462)=0,"",INDEX(EntryTxnType,$P462)))</f>
        <v/>
      </c>
      <c r="H462" s="29">
        <f>IF($P462="","",IF(INDEX(EntryDep,$P462)=0,"",INDEX(EntryDep,$P462)))</f>
        <v/>
      </c>
      <c r="I462" s="29">
        <f>IF($P462="","",IF(INDEX(EntryWit,$P462)=0,"",INDEX(EntryWit,$P462)))</f>
        <v/>
      </c>
      <c r="J462" s="29">
        <f>IF($B462="","",IF($A462=1,$C$7,IF(J461="",0,J461))+IF($H462="",0,$H462)-IF($I462="",0,$I462))</f>
        <v/>
      </c>
      <c r="K462" s="29">
        <f>IF($P462="","",IF(INDEX(EntryMan,$P462)=0,"",INDEX(EntryMan,$P462)))</f>
        <v/>
      </c>
      <c r="L462" s="28">
        <f>IF($B462="","",IF($K462="","—",IF(ROUND($K462-$J462,0)=0,"√","×")))</f>
        <v/>
      </c>
      <c r="M462" s="28">
        <f>IF($B462="","",IF(COUNTIFS(EntryDates,$B462,CalcTime,$C462,CalcBank,$C$5,EntryParty,$D462,EntryDep,$H462,EntryWit,$I462)&gt;1,"تکرار",""))</f>
        <v/>
      </c>
      <c r="N462" s="28">
        <f>IF($P462="","",IF(INDEX(EntryNotes,$P462)=0,"",INDEX(EntryNotes,$P462)))</f>
        <v/>
      </c>
      <c r="O462" s="28">
        <f>IF($P462="","",IF(INDEX(EntryTxnID,$P462)=0,"",INDEX(EntryTxnID,$P462)))</f>
        <v/>
      </c>
      <c r="P462" s="28">
        <f>IFERROR(MATCH($C$5&amp;"|"&amp;RIGHT("000000"&amp;446,6),CalcRankKey,0),"")</f>
        <v/>
      </c>
    </row>
    <row r="463">
      <c r="A463" s="26">
        <f>IF($B463="","",447)</f>
        <v/>
      </c>
      <c r="B463" s="26">
        <f>IF($P463="","",IF(INDEX(CalcNormDate,$P463)=0,"",INDEX(CalcNormDate,$P463)))</f>
        <v/>
      </c>
      <c r="C463" s="26">
        <f>IF($P463="","",IF(INDEX(CalcTime,$P463)=0,"",INDEX(CalcTime,$P463)))</f>
        <v/>
      </c>
      <c r="D463" s="26">
        <f>IF($P463="","",IF(INDEX(EntryParty,$P463)=0,"",INDEX(EntryParty,$P463)))</f>
        <v/>
      </c>
      <c r="E463" s="26">
        <f>IF($P463="","",IF(INDEX(EntryPartyName,$P463)=0,"",INDEX(EntryPartyName,$P463)))</f>
        <v/>
      </c>
      <c r="F463" s="26">
        <f>IF($P463="","",IF(INDEX(EntryPartyType,$P463)=0,"",INDEX(EntryPartyType,$P463)))</f>
        <v/>
      </c>
      <c r="G463" s="26">
        <f>IF($P463="","",IF(INDEX(EntryTxnType,$P463)=0,"",INDEX(EntryTxnType,$P463)))</f>
        <v/>
      </c>
      <c r="H463" s="27">
        <f>IF($P463="","",IF(INDEX(EntryDep,$P463)=0,"",INDEX(EntryDep,$P463)))</f>
        <v/>
      </c>
      <c r="I463" s="27">
        <f>IF($P463="","",IF(INDEX(EntryWit,$P463)=0,"",INDEX(EntryWit,$P463)))</f>
        <v/>
      </c>
      <c r="J463" s="27">
        <f>IF($B463="","",IF($A463=1,$C$7,IF(J462="",0,J462))+IF($H463="",0,$H463)-IF($I463="",0,$I463))</f>
        <v/>
      </c>
      <c r="K463" s="27">
        <f>IF($P463="","",IF(INDEX(EntryMan,$P463)=0,"",INDEX(EntryMan,$P463)))</f>
        <v/>
      </c>
      <c r="L463" s="26">
        <f>IF($B463="","",IF($K463="","—",IF(ROUND($K463-$J463,0)=0,"√","×")))</f>
        <v/>
      </c>
      <c r="M463" s="26">
        <f>IF($B463="","",IF(COUNTIFS(EntryDates,$B463,CalcTime,$C463,CalcBank,$C$5,EntryParty,$D463,EntryDep,$H463,EntryWit,$I463)&gt;1,"تکرار",""))</f>
        <v/>
      </c>
      <c r="N463" s="26">
        <f>IF($P463="","",IF(INDEX(EntryNotes,$P463)=0,"",INDEX(EntryNotes,$P463)))</f>
        <v/>
      </c>
      <c r="O463" s="26">
        <f>IF($P463="","",IF(INDEX(EntryTxnID,$P463)=0,"",INDEX(EntryTxnID,$P463)))</f>
        <v/>
      </c>
      <c r="P463" s="26">
        <f>IFERROR(MATCH($C$5&amp;"|"&amp;RIGHT("000000"&amp;447,6),CalcRankKey,0),"")</f>
        <v/>
      </c>
    </row>
    <row r="464">
      <c r="A464" s="28">
        <f>IF($B464="","",448)</f>
        <v/>
      </c>
      <c r="B464" s="28">
        <f>IF($P464="","",IF(INDEX(CalcNormDate,$P464)=0,"",INDEX(CalcNormDate,$P464)))</f>
        <v/>
      </c>
      <c r="C464" s="28">
        <f>IF($P464="","",IF(INDEX(CalcTime,$P464)=0,"",INDEX(CalcTime,$P464)))</f>
        <v/>
      </c>
      <c r="D464" s="28">
        <f>IF($P464="","",IF(INDEX(EntryParty,$P464)=0,"",INDEX(EntryParty,$P464)))</f>
        <v/>
      </c>
      <c r="E464" s="28">
        <f>IF($P464="","",IF(INDEX(EntryPartyName,$P464)=0,"",INDEX(EntryPartyName,$P464)))</f>
        <v/>
      </c>
      <c r="F464" s="28">
        <f>IF($P464="","",IF(INDEX(EntryPartyType,$P464)=0,"",INDEX(EntryPartyType,$P464)))</f>
        <v/>
      </c>
      <c r="G464" s="28">
        <f>IF($P464="","",IF(INDEX(EntryTxnType,$P464)=0,"",INDEX(EntryTxnType,$P464)))</f>
        <v/>
      </c>
      <c r="H464" s="29">
        <f>IF($P464="","",IF(INDEX(EntryDep,$P464)=0,"",INDEX(EntryDep,$P464)))</f>
        <v/>
      </c>
      <c r="I464" s="29">
        <f>IF($P464="","",IF(INDEX(EntryWit,$P464)=0,"",INDEX(EntryWit,$P464)))</f>
        <v/>
      </c>
      <c r="J464" s="29">
        <f>IF($B464="","",IF($A464=1,$C$7,IF(J463="",0,J463))+IF($H464="",0,$H464)-IF($I464="",0,$I464))</f>
        <v/>
      </c>
      <c r="K464" s="29">
        <f>IF($P464="","",IF(INDEX(EntryMan,$P464)=0,"",INDEX(EntryMan,$P464)))</f>
        <v/>
      </c>
      <c r="L464" s="28">
        <f>IF($B464="","",IF($K464="","—",IF(ROUND($K464-$J464,0)=0,"√","×")))</f>
        <v/>
      </c>
      <c r="M464" s="28">
        <f>IF($B464="","",IF(COUNTIFS(EntryDates,$B464,CalcTime,$C464,CalcBank,$C$5,EntryParty,$D464,EntryDep,$H464,EntryWit,$I464)&gt;1,"تکرار",""))</f>
        <v/>
      </c>
      <c r="N464" s="28">
        <f>IF($P464="","",IF(INDEX(EntryNotes,$P464)=0,"",INDEX(EntryNotes,$P464)))</f>
        <v/>
      </c>
      <c r="O464" s="28">
        <f>IF($P464="","",IF(INDEX(EntryTxnID,$P464)=0,"",INDEX(EntryTxnID,$P464)))</f>
        <v/>
      </c>
      <c r="P464" s="28">
        <f>IFERROR(MATCH($C$5&amp;"|"&amp;RIGHT("000000"&amp;448,6),CalcRankKey,0),"")</f>
        <v/>
      </c>
    </row>
    <row r="465">
      <c r="A465" s="26">
        <f>IF($B465="","",449)</f>
        <v/>
      </c>
      <c r="B465" s="26">
        <f>IF($P465="","",IF(INDEX(CalcNormDate,$P465)=0,"",INDEX(CalcNormDate,$P465)))</f>
        <v/>
      </c>
      <c r="C465" s="26">
        <f>IF($P465="","",IF(INDEX(CalcTime,$P465)=0,"",INDEX(CalcTime,$P465)))</f>
        <v/>
      </c>
      <c r="D465" s="26">
        <f>IF($P465="","",IF(INDEX(EntryParty,$P465)=0,"",INDEX(EntryParty,$P465)))</f>
        <v/>
      </c>
      <c r="E465" s="26">
        <f>IF($P465="","",IF(INDEX(EntryPartyName,$P465)=0,"",INDEX(EntryPartyName,$P465)))</f>
        <v/>
      </c>
      <c r="F465" s="26">
        <f>IF($P465="","",IF(INDEX(EntryPartyType,$P465)=0,"",INDEX(EntryPartyType,$P465)))</f>
        <v/>
      </c>
      <c r="G465" s="26">
        <f>IF($P465="","",IF(INDEX(EntryTxnType,$P465)=0,"",INDEX(EntryTxnType,$P465)))</f>
        <v/>
      </c>
      <c r="H465" s="27">
        <f>IF($P465="","",IF(INDEX(EntryDep,$P465)=0,"",INDEX(EntryDep,$P465)))</f>
        <v/>
      </c>
      <c r="I465" s="27">
        <f>IF($P465="","",IF(INDEX(EntryWit,$P465)=0,"",INDEX(EntryWit,$P465)))</f>
        <v/>
      </c>
      <c r="J465" s="27">
        <f>IF($B465="","",IF($A465=1,$C$7,IF(J464="",0,J464))+IF($H465="",0,$H465)-IF($I465="",0,$I465))</f>
        <v/>
      </c>
      <c r="K465" s="27">
        <f>IF($P465="","",IF(INDEX(EntryMan,$P465)=0,"",INDEX(EntryMan,$P465)))</f>
        <v/>
      </c>
      <c r="L465" s="26">
        <f>IF($B465="","",IF($K465="","—",IF(ROUND($K465-$J465,0)=0,"√","×")))</f>
        <v/>
      </c>
      <c r="M465" s="26">
        <f>IF($B465="","",IF(COUNTIFS(EntryDates,$B465,CalcTime,$C465,CalcBank,$C$5,EntryParty,$D465,EntryDep,$H465,EntryWit,$I465)&gt;1,"تکرار",""))</f>
        <v/>
      </c>
      <c r="N465" s="26">
        <f>IF($P465="","",IF(INDEX(EntryNotes,$P465)=0,"",INDEX(EntryNotes,$P465)))</f>
        <v/>
      </c>
      <c r="O465" s="26">
        <f>IF($P465="","",IF(INDEX(EntryTxnID,$P465)=0,"",INDEX(EntryTxnID,$P465)))</f>
        <v/>
      </c>
      <c r="P465" s="26">
        <f>IFERROR(MATCH($C$5&amp;"|"&amp;RIGHT("000000"&amp;449,6),CalcRankKey,0),"")</f>
        <v/>
      </c>
    </row>
    <row r="466">
      <c r="A466" s="28">
        <f>IF($B466="","",450)</f>
        <v/>
      </c>
      <c r="B466" s="28">
        <f>IF($P466="","",IF(INDEX(CalcNormDate,$P466)=0,"",INDEX(CalcNormDate,$P466)))</f>
        <v/>
      </c>
      <c r="C466" s="28">
        <f>IF($P466="","",IF(INDEX(CalcTime,$P466)=0,"",INDEX(CalcTime,$P466)))</f>
        <v/>
      </c>
      <c r="D466" s="28">
        <f>IF($P466="","",IF(INDEX(EntryParty,$P466)=0,"",INDEX(EntryParty,$P466)))</f>
        <v/>
      </c>
      <c r="E466" s="28">
        <f>IF($P466="","",IF(INDEX(EntryPartyName,$P466)=0,"",INDEX(EntryPartyName,$P466)))</f>
        <v/>
      </c>
      <c r="F466" s="28">
        <f>IF($P466="","",IF(INDEX(EntryPartyType,$P466)=0,"",INDEX(EntryPartyType,$P466)))</f>
        <v/>
      </c>
      <c r="G466" s="28">
        <f>IF($P466="","",IF(INDEX(EntryTxnType,$P466)=0,"",INDEX(EntryTxnType,$P466)))</f>
        <v/>
      </c>
      <c r="H466" s="29">
        <f>IF($P466="","",IF(INDEX(EntryDep,$P466)=0,"",INDEX(EntryDep,$P466)))</f>
        <v/>
      </c>
      <c r="I466" s="29">
        <f>IF($P466="","",IF(INDEX(EntryWit,$P466)=0,"",INDEX(EntryWit,$P466)))</f>
        <v/>
      </c>
      <c r="J466" s="29">
        <f>IF($B466="","",IF($A466=1,$C$7,IF(J465="",0,J465))+IF($H466="",0,$H466)-IF($I466="",0,$I466))</f>
        <v/>
      </c>
      <c r="K466" s="29">
        <f>IF($P466="","",IF(INDEX(EntryMan,$P466)=0,"",INDEX(EntryMan,$P466)))</f>
        <v/>
      </c>
      <c r="L466" s="28">
        <f>IF($B466="","",IF($K466="","—",IF(ROUND($K466-$J466,0)=0,"√","×")))</f>
        <v/>
      </c>
      <c r="M466" s="28">
        <f>IF($B466="","",IF(COUNTIFS(EntryDates,$B466,CalcTime,$C466,CalcBank,$C$5,EntryParty,$D466,EntryDep,$H466,EntryWit,$I466)&gt;1,"تکرار",""))</f>
        <v/>
      </c>
      <c r="N466" s="28">
        <f>IF($P466="","",IF(INDEX(EntryNotes,$P466)=0,"",INDEX(EntryNotes,$P466)))</f>
        <v/>
      </c>
      <c r="O466" s="28">
        <f>IF($P466="","",IF(INDEX(EntryTxnID,$P466)=0,"",INDEX(EntryTxnID,$P466)))</f>
        <v/>
      </c>
      <c r="P466" s="28">
        <f>IFERROR(MATCH($C$5&amp;"|"&amp;RIGHT("000000"&amp;450,6),CalcRankKey,0),"")</f>
        <v/>
      </c>
    </row>
    <row r="467">
      <c r="A467" s="26">
        <f>IF($B467="","",451)</f>
        <v/>
      </c>
      <c r="B467" s="26">
        <f>IF($P467="","",IF(INDEX(CalcNormDate,$P467)=0,"",INDEX(CalcNormDate,$P467)))</f>
        <v/>
      </c>
      <c r="C467" s="26">
        <f>IF($P467="","",IF(INDEX(CalcTime,$P467)=0,"",INDEX(CalcTime,$P467)))</f>
        <v/>
      </c>
      <c r="D467" s="26">
        <f>IF($P467="","",IF(INDEX(EntryParty,$P467)=0,"",INDEX(EntryParty,$P467)))</f>
        <v/>
      </c>
      <c r="E467" s="26">
        <f>IF($P467="","",IF(INDEX(EntryPartyName,$P467)=0,"",INDEX(EntryPartyName,$P467)))</f>
        <v/>
      </c>
      <c r="F467" s="26">
        <f>IF($P467="","",IF(INDEX(EntryPartyType,$P467)=0,"",INDEX(EntryPartyType,$P467)))</f>
        <v/>
      </c>
      <c r="G467" s="26">
        <f>IF($P467="","",IF(INDEX(EntryTxnType,$P467)=0,"",INDEX(EntryTxnType,$P467)))</f>
        <v/>
      </c>
      <c r="H467" s="27">
        <f>IF($P467="","",IF(INDEX(EntryDep,$P467)=0,"",INDEX(EntryDep,$P467)))</f>
        <v/>
      </c>
      <c r="I467" s="27">
        <f>IF($P467="","",IF(INDEX(EntryWit,$P467)=0,"",INDEX(EntryWit,$P467)))</f>
        <v/>
      </c>
      <c r="J467" s="27">
        <f>IF($B467="","",IF($A467=1,$C$7,IF(J466="",0,J466))+IF($H467="",0,$H467)-IF($I467="",0,$I467))</f>
        <v/>
      </c>
      <c r="K467" s="27">
        <f>IF($P467="","",IF(INDEX(EntryMan,$P467)=0,"",INDEX(EntryMan,$P467)))</f>
        <v/>
      </c>
      <c r="L467" s="26">
        <f>IF($B467="","",IF($K467="","—",IF(ROUND($K467-$J467,0)=0,"√","×")))</f>
        <v/>
      </c>
      <c r="M467" s="26">
        <f>IF($B467="","",IF(COUNTIFS(EntryDates,$B467,CalcTime,$C467,CalcBank,$C$5,EntryParty,$D467,EntryDep,$H467,EntryWit,$I467)&gt;1,"تکرار",""))</f>
        <v/>
      </c>
      <c r="N467" s="26">
        <f>IF($P467="","",IF(INDEX(EntryNotes,$P467)=0,"",INDEX(EntryNotes,$P467)))</f>
        <v/>
      </c>
      <c r="O467" s="26">
        <f>IF($P467="","",IF(INDEX(EntryTxnID,$P467)=0,"",INDEX(EntryTxnID,$P467)))</f>
        <v/>
      </c>
      <c r="P467" s="26">
        <f>IFERROR(MATCH($C$5&amp;"|"&amp;RIGHT("000000"&amp;451,6),CalcRankKey,0),"")</f>
        <v/>
      </c>
    </row>
    <row r="468">
      <c r="A468" s="28">
        <f>IF($B468="","",452)</f>
        <v/>
      </c>
      <c r="B468" s="28">
        <f>IF($P468="","",IF(INDEX(CalcNormDate,$P468)=0,"",INDEX(CalcNormDate,$P468)))</f>
        <v/>
      </c>
      <c r="C468" s="28">
        <f>IF($P468="","",IF(INDEX(CalcTime,$P468)=0,"",INDEX(CalcTime,$P468)))</f>
        <v/>
      </c>
      <c r="D468" s="28">
        <f>IF($P468="","",IF(INDEX(EntryParty,$P468)=0,"",INDEX(EntryParty,$P468)))</f>
        <v/>
      </c>
      <c r="E468" s="28">
        <f>IF($P468="","",IF(INDEX(EntryPartyName,$P468)=0,"",INDEX(EntryPartyName,$P468)))</f>
        <v/>
      </c>
      <c r="F468" s="28">
        <f>IF($P468="","",IF(INDEX(EntryPartyType,$P468)=0,"",INDEX(EntryPartyType,$P468)))</f>
        <v/>
      </c>
      <c r="G468" s="28">
        <f>IF($P468="","",IF(INDEX(EntryTxnType,$P468)=0,"",INDEX(EntryTxnType,$P468)))</f>
        <v/>
      </c>
      <c r="H468" s="29">
        <f>IF($P468="","",IF(INDEX(EntryDep,$P468)=0,"",INDEX(EntryDep,$P468)))</f>
        <v/>
      </c>
      <c r="I468" s="29">
        <f>IF($P468="","",IF(INDEX(EntryWit,$P468)=0,"",INDEX(EntryWit,$P468)))</f>
        <v/>
      </c>
      <c r="J468" s="29">
        <f>IF($B468="","",IF($A468=1,$C$7,IF(J467="",0,J467))+IF($H468="",0,$H468)-IF($I468="",0,$I468))</f>
        <v/>
      </c>
      <c r="K468" s="29">
        <f>IF($P468="","",IF(INDEX(EntryMan,$P468)=0,"",INDEX(EntryMan,$P468)))</f>
        <v/>
      </c>
      <c r="L468" s="28">
        <f>IF($B468="","",IF($K468="","—",IF(ROUND($K468-$J468,0)=0,"√","×")))</f>
        <v/>
      </c>
      <c r="M468" s="28">
        <f>IF($B468="","",IF(COUNTIFS(EntryDates,$B468,CalcTime,$C468,CalcBank,$C$5,EntryParty,$D468,EntryDep,$H468,EntryWit,$I468)&gt;1,"تکرار",""))</f>
        <v/>
      </c>
      <c r="N468" s="28">
        <f>IF($P468="","",IF(INDEX(EntryNotes,$P468)=0,"",INDEX(EntryNotes,$P468)))</f>
        <v/>
      </c>
      <c r="O468" s="28">
        <f>IF($P468="","",IF(INDEX(EntryTxnID,$P468)=0,"",INDEX(EntryTxnID,$P468)))</f>
        <v/>
      </c>
      <c r="P468" s="28">
        <f>IFERROR(MATCH($C$5&amp;"|"&amp;RIGHT("000000"&amp;452,6),CalcRankKey,0),"")</f>
        <v/>
      </c>
    </row>
    <row r="469">
      <c r="A469" s="26">
        <f>IF($B469="","",453)</f>
        <v/>
      </c>
      <c r="B469" s="26">
        <f>IF($P469="","",IF(INDEX(CalcNormDate,$P469)=0,"",INDEX(CalcNormDate,$P469)))</f>
        <v/>
      </c>
      <c r="C469" s="26">
        <f>IF($P469="","",IF(INDEX(CalcTime,$P469)=0,"",INDEX(CalcTime,$P469)))</f>
        <v/>
      </c>
      <c r="D469" s="26">
        <f>IF($P469="","",IF(INDEX(EntryParty,$P469)=0,"",INDEX(EntryParty,$P469)))</f>
        <v/>
      </c>
      <c r="E469" s="26">
        <f>IF($P469="","",IF(INDEX(EntryPartyName,$P469)=0,"",INDEX(EntryPartyName,$P469)))</f>
        <v/>
      </c>
      <c r="F469" s="26">
        <f>IF($P469="","",IF(INDEX(EntryPartyType,$P469)=0,"",INDEX(EntryPartyType,$P469)))</f>
        <v/>
      </c>
      <c r="G469" s="26">
        <f>IF($P469="","",IF(INDEX(EntryTxnType,$P469)=0,"",INDEX(EntryTxnType,$P469)))</f>
        <v/>
      </c>
      <c r="H469" s="27">
        <f>IF($P469="","",IF(INDEX(EntryDep,$P469)=0,"",INDEX(EntryDep,$P469)))</f>
        <v/>
      </c>
      <c r="I469" s="27">
        <f>IF($P469="","",IF(INDEX(EntryWit,$P469)=0,"",INDEX(EntryWit,$P469)))</f>
        <v/>
      </c>
      <c r="J469" s="27">
        <f>IF($B469="","",IF($A469=1,$C$7,IF(J468="",0,J468))+IF($H469="",0,$H469)-IF($I469="",0,$I469))</f>
        <v/>
      </c>
      <c r="K469" s="27">
        <f>IF($P469="","",IF(INDEX(EntryMan,$P469)=0,"",INDEX(EntryMan,$P469)))</f>
        <v/>
      </c>
      <c r="L469" s="26">
        <f>IF($B469="","",IF($K469="","—",IF(ROUND($K469-$J469,0)=0,"√","×")))</f>
        <v/>
      </c>
      <c r="M469" s="26">
        <f>IF($B469="","",IF(COUNTIFS(EntryDates,$B469,CalcTime,$C469,CalcBank,$C$5,EntryParty,$D469,EntryDep,$H469,EntryWit,$I469)&gt;1,"تکرار",""))</f>
        <v/>
      </c>
      <c r="N469" s="26">
        <f>IF($P469="","",IF(INDEX(EntryNotes,$P469)=0,"",INDEX(EntryNotes,$P469)))</f>
        <v/>
      </c>
      <c r="O469" s="26">
        <f>IF($P469="","",IF(INDEX(EntryTxnID,$P469)=0,"",INDEX(EntryTxnID,$P469)))</f>
        <v/>
      </c>
      <c r="P469" s="26">
        <f>IFERROR(MATCH($C$5&amp;"|"&amp;RIGHT("000000"&amp;453,6),CalcRankKey,0),"")</f>
        <v/>
      </c>
    </row>
    <row r="470">
      <c r="A470" s="28">
        <f>IF($B470="","",454)</f>
        <v/>
      </c>
      <c r="B470" s="28">
        <f>IF($P470="","",IF(INDEX(CalcNormDate,$P470)=0,"",INDEX(CalcNormDate,$P470)))</f>
        <v/>
      </c>
      <c r="C470" s="28">
        <f>IF($P470="","",IF(INDEX(CalcTime,$P470)=0,"",INDEX(CalcTime,$P470)))</f>
        <v/>
      </c>
      <c r="D470" s="28">
        <f>IF($P470="","",IF(INDEX(EntryParty,$P470)=0,"",INDEX(EntryParty,$P470)))</f>
        <v/>
      </c>
      <c r="E470" s="28">
        <f>IF($P470="","",IF(INDEX(EntryPartyName,$P470)=0,"",INDEX(EntryPartyName,$P470)))</f>
        <v/>
      </c>
      <c r="F470" s="28">
        <f>IF($P470="","",IF(INDEX(EntryPartyType,$P470)=0,"",INDEX(EntryPartyType,$P470)))</f>
        <v/>
      </c>
      <c r="G470" s="28">
        <f>IF($P470="","",IF(INDEX(EntryTxnType,$P470)=0,"",INDEX(EntryTxnType,$P470)))</f>
        <v/>
      </c>
      <c r="H470" s="29">
        <f>IF($P470="","",IF(INDEX(EntryDep,$P470)=0,"",INDEX(EntryDep,$P470)))</f>
        <v/>
      </c>
      <c r="I470" s="29">
        <f>IF($P470="","",IF(INDEX(EntryWit,$P470)=0,"",INDEX(EntryWit,$P470)))</f>
        <v/>
      </c>
      <c r="J470" s="29">
        <f>IF($B470="","",IF($A470=1,$C$7,IF(J469="",0,J469))+IF($H470="",0,$H470)-IF($I470="",0,$I470))</f>
        <v/>
      </c>
      <c r="K470" s="29">
        <f>IF($P470="","",IF(INDEX(EntryMan,$P470)=0,"",INDEX(EntryMan,$P470)))</f>
        <v/>
      </c>
      <c r="L470" s="28">
        <f>IF($B470="","",IF($K470="","—",IF(ROUND($K470-$J470,0)=0,"√","×")))</f>
        <v/>
      </c>
      <c r="M470" s="28">
        <f>IF($B470="","",IF(COUNTIFS(EntryDates,$B470,CalcTime,$C470,CalcBank,$C$5,EntryParty,$D470,EntryDep,$H470,EntryWit,$I470)&gt;1,"تکرار",""))</f>
        <v/>
      </c>
      <c r="N470" s="28">
        <f>IF($P470="","",IF(INDEX(EntryNotes,$P470)=0,"",INDEX(EntryNotes,$P470)))</f>
        <v/>
      </c>
      <c r="O470" s="28">
        <f>IF($P470="","",IF(INDEX(EntryTxnID,$P470)=0,"",INDEX(EntryTxnID,$P470)))</f>
        <v/>
      </c>
      <c r="P470" s="28">
        <f>IFERROR(MATCH($C$5&amp;"|"&amp;RIGHT("000000"&amp;454,6),CalcRankKey,0),"")</f>
        <v/>
      </c>
    </row>
    <row r="471">
      <c r="A471" s="26">
        <f>IF($B471="","",455)</f>
        <v/>
      </c>
      <c r="B471" s="26">
        <f>IF($P471="","",IF(INDEX(CalcNormDate,$P471)=0,"",INDEX(CalcNormDate,$P471)))</f>
        <v/>
      </c>
      <c r="C471" s="26">
        <f>IF($P471="","",IF(INDEX(CalcTime,$P471)=0,"",INDEX(CalcTime,$P471)))</f>
        <v/>
      </c>
      <c r="D471" s="26">
        <f>IF($P471="","",IF(INDEX(EntryParty,$P471)=0,"",INDEX(EntryParty,$P471)))</f>
        <v/>
      </c>
      <c r="E471" s="26">
        <f>IF($P471="","",IF(INDEX(EntryPartyName,$P471)=0,"",INDEX(EntryPartyName,$P471)))</f>
        <v/>
      </c>
      <c r="F471" s="26">
        <f>IF($P471="","",IF(INDEX(EntryPartyType,$P471)=0,"",INDEX(EntryPartyType,$P471)))</f>
        <v/>
      </c>
      <c r="G471" s="26">
        <f>IF($P471="","",IF(INDEX(EntryTxnType,$P471)=0,"",INDEX(EntryTxnType,$P471)))</f>
        <v/>
      </c>
      <c r="H471" s="27">
        <f>IF($P471="","",IF(INDEX(EntryDep,$P471)=0,"",INDEX(EntryDep,$P471)))</f>
        <v/>
      </c>
      <c r="I471" s="27">
        <f>IF($P471="","",IF(INDEX(EntryWit,$P471)=0,"",INDEX(EntryWit,$P471)))</f>
        <v/>
      </c>
      <c r="J471" s="27">
        <f>IF($B471="","",IF($A471=1,$C$7,IF(J470="",0,J470))+IF($H471="",0,$H471)-IF($I471="",0,$I471))</f>
        <v/>
      </c>
      <c r="K471" s="27">
        <f>IF($P471="","",IF(INDEX(EntryMan,$P471)=0,"",INDEX(EntryMan,$P471)))</f>
        <v/>
      </c>
      <c r="L471" s="26">
        <f>IF($B471="","",IF($K471="","—",IF(ROUND($K471-$J471,0)=0,"√","×")))</f>
        <v/>
      </c>
      <c r="M471" s="26">
        <f>IF($B471="","",IF(COUNTIFS(EntryDates,$B471,CalcTime,$C471,CalcBank,$C$5,EntryParty,$D471,EntryDep,$H471,EntryWit,$I471)&gt;1,"تکرار",""))</f>
        <v/>
      </c>
      <c r="N471" s="26">
        <f>IF($P471="","",IF(INDEX(EntryNotes,$P471)=0,"",INDEX(EntryNotes,$P471)))</f>
        <v/>
      </c>
      <c r="O471" s="26">
        <f>IF($P471="","",IF(INDEX(EntryTxnID,$P471)=0,"",INDEX(EntryTxnID,$P471)))</f>
        <v/>
      </c>
      <c r="P471" s="26">
        <f>IFERROR(MATCH($C$5&amp;"|"&amp;RIGHT("000000"&amp;455,6),CalcRankKey,0),"")</f>
        <v/>
      </c>
    </row>
    <row r="472">
      <c r="A472" s="28">
        <f>IF($B472="","",456)</f>
        <v/>
      </c>
      <c r="B472" s="28">
        <f>IF($P472="","",IF(INDEX(CalcNormDate,$P472)=0,"",INDEX(CalcNormDate,$P472)))</f>
        <v/>
      </c>
      <c r="C472" s="28">
        <f>IF($P472="","",IF(INDEX(CalcTime,$P472)=0,"",INDEX(CalcTime,$P472)))</f>
        <v/>
      </c>
      <c r="D472" s="28">
        <f>IF($P472="","",IF(INDEX(EntryParty,$P472)=0,"",INDEX(EntryParty,$P472)))</f>
        <v/>
      </c>
      <c r="E472" s="28">
        <f>IF($P472="","",IF(INDEX(EntryPartyName,$P472)=0,"",INDEX(EntryPartyName,$P472)))</f>
        <v/>
      </c>
      <c r="F472" s="28">
        <f>IF($P472="","",IF(INDEX(EntryPartyType,$P472)=0,"",INDEX(EntryPartyType,$P472)))</f>
        <v/>
      </c>
      <c r="G472" s="28">
        <f>IF($P472="","",IF(INDEX(EntryTxnType,$P472)=0,"",INDEX(EntryTxnType,$P472)))</f>
        <v/>
      </c>
      <c r="H472" s="29">
        <f>IF($P472="","",IF(INDEX(EntryDep,$P472)=0,"",INDEX(EntryDep,$P472)))</f>
        <v/>
      </c>
      <c r="I472" s="29">
        <f>IF($P472="","",IF(INDEX(EntryWit,$P472)=0,"",INDEX(EntryWit,$P472)))</f>
        <v/>
      </c>
      <c r="J472" s="29">
        <f>IF($B472="","",IF($A472=1,$C$7,IF(J471="",0,J471))+IF($H472="",0,$H472)-IF($I472="",0,$I472))</f>
        <v/>
      </c>
      <c r="K472" s="29">
        <f>IF($P472="","",IF(INDEX(EntryMan,$P472)=0,"",INDEX(EntryMan,$P472)))</f>
        <v/>
      </c>
      <c r="L472" s="28">
        <f>IF($B472="","",IF($K472="","—",IF(ROUND($K472-$J472,0)=0,"√","×")))</f>
        <v/>
      </c>
      <c r="M472" s="28">
        <f>IF($B472="","",IF(COUNTIFS(EntryDates,$B472,CalcTime,$C472,CalcBank,$C$5,EntryParty,$D472,EntryDep,$H472,EntryWit,$I472)&gt;1,"تکرار",""))</f>
        <v/>
      </c>
      <c r="N472" s="28">
        <f>IF($P472="","",IF(INDEX(EntryNotes,$P472)=0,"",INDEX(EntryNotes,$P472)))</f>
        <v/>
      </c>
      <c r="O472" s="28">
        <f>IF($P472="","",IF(INDEX(EntryTxnID,$P472)=0,"",INDEX(EntryTxnID,$P472)))</f>
        <v/>
      </c>
      <c r="P472" s="28">
        <f>IFERROR(MATCH($C$5&amp;"|"&amp;RIGHT("000000"&amp;456,6),CalcRankKey,0),"")</f>
        <v/>
      </c>
    </row>
    <row r="473">
      <c r="A473" s="26">
        <f>IF($B473="","",457)</f>
        <v/>
      </c>
      <c r="B473" s="26">
        <f>IF($P473="","",IF(INDEX(CalcNormDate,$P473)=0,"",INDEX(CalcNormDate,$P473)))</f>
        <v/>
      </c>
      <c r="C473" s="26">
        <f>IF($P473="","",IF(INDEX(CalcTime,$P473)=0,"",INDEX(CalcTime,$P473)))</f>
        <v/>
      </c>
      <c r="D473" s="26">
        <f>IF($P473="","",IF(INDEX(EntryParty,$P473)=0,"",INDEX(EntryParty,$P473)))</f>
        <v/>
      </c>
      <c r="E473" s="26">
        <f>IF($P473="","",IF(INDEX(EntryPartyName,$P473)=0,"",INDEX(EntryPartyName,$P473)))</f>
        <v/>
      </c>
      <c r="F473" s="26">
        <f>IF($P473="","",IF(INDEX(EntryPartyType,$P473)=0,"",INDEX(EntryPartyType,$P473)))</f>
        <v/>
      </c>
      <c r="G473" s="26">
        <f>IF($P473="","",IF(INDEX(EntryTxnType,$P473)=0,"",INDEX(EntryTxnType,$P473)))</f>
        <v/>
      </c>
      <c r="H473" s="27">
        <f>IF($P473="","",IF(INDEX(EntryDep,$P473)=0,"",INDEX(EntryDep,$P473)))</f>
        <v/>
      </c>
      <c r="I473" s="27">
        <f>IF($P473="","",IF(INDEX(EntryWit,$P473)=0,"",INDEX(EntryWit,$P473)))</f>
        <v/>
      </c>
      <c r="J473" s="27">
        <f>IF($B473="","",IF($A473=1,$C$7,IF(J472="",0,J472))+IF($H473="",0,$H473)-IF($I473="",0,$I473))</f>
        <v/>
      </c>
      <c r="K473" s="27">
        <f>IF($P473="","",IF(INDEX(EntryMan,$P473)=0,"",INDEX(EntryMan,$P473)))</f>
        <v/>
      </c>
      <c r="L473" s="26">
        <f>IF($B473="","",IF($K473="","—",IF(ROUND($K473-$J473,0)=0,"√","×")))</f>
        <v/>
      </c>
      <c r="M473" s="26">
        <f>IF($B473="","",IF(COUNTIFS(EntryDates,$B473,CalcTime,$C473,CalcBank,$C$5,EntryParty,$D473,EntryDep,$H473,EntryWit,$I473)&gt;1,"تکرار",""))</f>
        <v/>
      </c>
      <c r="N473" s="26">
        <f>IF($P473="","",IF(INDEX(EntryNotes,$P473)=0,"",INDEX(EntryNotes,$P473)))</f>
        <v/>
      </c>
      <c r="O473" s="26">
        <f>IF($P473="","",IF(INDEX(EntryTxnID,$P473)=0,"",INDEX(EntryTxnID,$P473)))</f>
        <v/>
      </c>
      <c r="P473" s="26">
        <f>IFERROR(MATCH($C$5&amp;"|"&amp;RIGHT("000000"&amp;457,6),CalcRankKey,0),"")</f>
        <v/>
      </c>
    </row>
    <row r="474">
      <c r="A474" s="28">
        <f>IF($B474="","",458)</f>
        <v/>
      </c>
      <c r="B474" s="28">
        <f>IF($P474="","",IF(INDEX(CalcNormDate,$P474)=0,"",INDEX(CalcNormDate,$P474)))</f>
        <v/>
      </c>
      <c r="C474" s="28">
        <f>IF($P474="","",IF(INDEX(CalcTime,$P474)=0,"",INDEX(CalcTime,$P474)))</f>
        <v/>
      </c>
      <c r="D474" s="28">
        <f>IF($P474="","",IF(INDEX(EntryParty,$P474)=0,"",INDEX(EntryParty,$P474)))</f>
        <v/>
      </c>
      <c r="E474" s="28">
        <f>IF($P474="","",IF(INDEX(EntryPartyName,$P474)=0,"",INDEX(EntryPartyName,$P474)))</f>
        <v/>
      </c>
      <c r="F474" s="28">
        <f>IF($P474="","",IF(INDEX(EntryPartyType,$P474)=0,"",INDEX(EntryPartyType,$P474)))</f>
        <v/>
      </c>
      <c r="G474" s="28">
        <f>IF($P474="","",IF(INDEX(EntryTxnType,$P474)=0,"",INDEX(EntryTxnType,$P474)))</f>
        <v/>
      </c>
      <c r="H474" s="29">
        <f>IF($P474="","",IF(INDEX(EntryDep,$P474)=0,"",INDEX(EntryDep,$P474)))</f>
        <v/>
      </c>
      <c r="I474" s="29">
        <f>IF($P474="","",IF(INDEX(EntryWit,$P474)=0,"",INDEX(EntryWit,$P474)))</f>
        <v/>
      </c>
      <c r="J474" s="29">
        <f>IF($B474="","",IF($A474=1,$C$7,IF(J473="",0,J473))+IF($H474="",0,$H474)-IF($I474="",0,$I474))</f>
        <v/>
      </c>
      <c r="K474" s="29">
        <f>IF($P474="","",IF(INDEX(EntryMan,$P474)=0,"",INDEX(EntryMan,$P474)))</f>
        <v/>
      </c>
      <c r="L474" s="28">
        <f>IF($B474="","",IF($K474="","—",IF(ROUND($K474-$J474,0)=0,"√","×")))</f>
        <v/>
      </c>
      <c r="M474" s="28">
        <f>IF($B474="","",IF(COUNTIFS(EntryDates,$B474,CalcTime,$C474,CalcBank,$C$5,EntryParty,$D474,EntryDep,$H474,EntryWit,$I474)&gt;1,"تکرار",""))</f>
        <v/>
      </c>
      <c r="N474" s="28">
        <f>IF($P474="","",IF(INDEX(EntryNotes,$P474)=0,"",INDEX(EntryNotes,$P474)))</f>
        <v/>
      </c>
      <c r="O474" s="28">
        <f>IF($P474="","",IF(INDEX(EntryTxnID,$P474)=0,"",INDEX(EntryTxnID,$P474)))</f>
        <v/>
      </c>
      <c r="P474" s="28">
        <f>IFERROR(MATCH($C$5&amp;"|"&amp;RIGHT("000000"&amp;458,6),CalcRankKey,0),"")</f>
        <v/>
      </c>
    </row>
    <row r="475">
      <c r="A475" s="26">
        <f>IF($B475="","",459)</f>
        <v/>
      </c>
      <c r="B475" s="26">
        <f>IF($P475="","",IF(INDEX(CalcNormDate,$P475)=0,"",INDEX(CalcNormDate,$P475)))</f>
        <v/>
      </c>
      <c r="C475" s="26">
        <f>IF($P475="","",IF(INDEX(CalcTime,$P475)=0,"",INDEX(CalcTime,$P475)))</f>
        <v/>
      </c>
      <c r="D475" s="26">
        <f>IF($P475="","",IF(INDEX(EntryParty,$P475)=0,"",INDEX(EntryParty,$P475)))</f>
        <v/>
      </c>
      <c r="E475" s="26">
        <f>IF($P475="","",IF(INDEX(EntryPartyName,$P475)=0,"",INDEX(EntryPartyName,$P475)))</f>
        <v/>
      </c>
      <c r="F475" s="26">
        <f>IF($P475="","",IF(INDEX(EntryPartyType,$P475)=0,"",INDEX(EntryPartyType,$P475)))</f>
        <v/>
      </c>
      <c r="G475" s="26">
        <f>IF($P475="","",IF(INDEX(EntryTxnType,$P475)=0,"",INDEX(EntryTxnType,$P475)))</f>
        <v/>
      </c>
      <c r="H475" s="27">
        <f>IF($P475="","",IF(INDEX(EntryDep,$P475)=0,"",INDEX(EntryDep,$P475)))</f>
        <v/>
      </c>
      <c r="I475" s="27">
        <f>IF($P475="","",IF(INDEX(EntryWit,$P475)=0,"",INDEX(EntryWit,$P475)))</f>
        <v/>
      </c>
      <c r="J475" s="27">
        <f>IF($B475="","",IF($A475=1,$C$7,IF(J474="",0,J474))+IF($H475="",0,$H475)-IF($I475="",0,$I475))</f>
        <v/>
      </c>
      <c r="K475" s="27">
        <f>IF($P475="","",IF(INDEX(EntryMan,$P475)=0,"",INDEX(EntryMan,$P475)))</f>
        <v/>
      </c>
      <c r="L475" s="26">
        <f>IF($B475="","",IF($K475="","—",IF(ROUND($K475-$J475,0)=0,"√","×")))</f>
        <v/>
      </c>
      <c r="M475" s="26">
        <f>IF($B475="","",IF(COUNTIFS(EntryDates,$B475,CalcTime,$C475,CalcBank,$C$5,EntryParty,$D475,EntryDep,$H475,EntryWit,$I475)&gt;1,"تکرار",""))</f>
        <v/>
      </c>
      <c r="N475" s="26">
        <f>IF($P475="","",IF(INDEX(EntryNotes,$P475)=0,"",INDEX(EntryNotes,$P475)))</f>
        <v/>
      </c>
      <c r="O475" s="26">
        <f>IF($P475="","",IF(INDEX(EntryTxnID,$P475)=0,"",INDEX(EntryTxnID,$P475)))</f>
        <v/>
      </c>
      <c r="P475" s="26">
        <f>IFERROR(MATCH($C$5&amp;"|"&amp;RIGHT("000000"&amp;459,6),CalcRankKey,0),"")</f>
        <v/>
      </c>
    </row>
    <row r="476">
      <c r="A476" s="28">
        <f>IF($B476="","",460)</f>
        <v/>
      </c>
      <c r="B476" s="28">
        <f>IF($P476="","",IF(INDEX(CalcNormDate,$P476)=0,"",INDEX(CalcNormDate,$P476)))</f>
        <v/>
      </c>
      <c r="C476" s="28">
        <f>IF($P476="","",IF(INDEX(CalcTime,$P476)=0,"",INDEX(CalcTime,$P476)))</f>
        <v/>
      </c>
      <c r="D476" s="28">
        <f>IF($P476="","",IF(INDEX(EntryParty,$P476)=0,"",INDEX(EntryParty,$P476)))</f>
        <v/>
      </c>
      <c r="E476" s="28">
        <f>IF($P476="","",IF(INDEX(EntryPartyName,$P476)=0,"",INDEX(EntryPartyName,$P476)))</f>
        <v/>
      </c>
      <c r="F476" s="28">
        <f>IF($P476="","",IF(INDEX(EntryPartyType,$P476)=0,"",INDEX(EntryPartyType,$P476)))</f>
        <v/>
      </c>
      <c r="G476" s="28">
        <f>IF($P476="","",IF(INDEX(EntryTxnType,$P476)=0,"",INDEX(EntryTxnType,$P476)))</f>
        <v/>
      </c>
      <c r="H476" s="29">
        <f>IF($P476="","",IF(INDEX(EntryDep,$P476)=0,"",INDEX(EntryDep,$P476)))</f>
        <v/>
      </c>
      <c r="I476" s="29">
        <f>IF($P476="","",IF(INDEX(EntryWit,$P476)=0,"",INDEX(EntryWit,$P476)))</f>
        <v/>
      </c>
      <c r="J476" s="29">
        <f>IF($B476="","",IF($A476=1,$C$7,IF(J475="",0,J475))+IF($H476="",0,$H476)-IF($I476="",0,$I476))</f>
        <v/>
      </c>
      <c r="K476" s="29">
        <f>IF($P476="","",IF(INDEX(EntryMan,$P476)=0,"",INDEX(EntryMan,$P476)))</f>
        <v/>
      </c>
      <c r="L476" s="28">
        <f>IF($B476="","",IF($K476="","—",IF(ROUND($K476-$J476,0)=0,"√","×")))</f>
        <v/>
      </c>
      <c r="M476" s="28">
        <f>IF($B476="","",IF(COUNTIFS(EntryDates,$B476,CalcTime,$C476,CalcBank,$C$5,EntryParty,$D476,EntryDep,$H476,EntryWit,$I476)&gt;1,"تکرار",""))</f>
        <v/>
      </c>
      <c r="N476" s="28">
        <f>IF($P476="","",IF(INDEX(EntryNotes,$P476)=0,"",INDEX(EntryNotes,$P476)))</f>
        <v/>
      </c>
      <c r="O476" s="28">
        <f>IF($P476="","",IF(INDEX(EntryTxnID,$P476)=0,"",INDEX(EntryTxnID,$P476)))</f>
        <v/>
      </c>
      <c r="P476" s="28">
        <f>IFERROR(MATCH($C$5&amp;"|"&amp;RIGHT("000000"&amp;460,6),CalcRankKey,0),"")</f>
        <v/>
      </c>
    </row>
    <row r="477">
      <c r="A477" s="26">
        <f>IF($B477="","",461)</f>
        <v/>
      </c>
      <c r="B477" s="26">
        <f>IF($P477="","",IF(INDEX(CalcNormDate,$P477)=0,"",INDEX(CalcNormDate,$P477)))</f>
        <v/>
      </c>
      <c r="C477" s="26">
        <f>IF($P477="","",IF(INDEX(CalcTime,$P477)=0,"",INDEX(CalcTime,$P477)))</f>
        <v/>
      </c>
      <c r="D477" s="26">
        <f>IF($P477="","",IF(INDEX(EntryParty,$P477)=0,"",INDEX(EntryParty,$P477)))</f>
        <v/>
      </c>
      <c r="E477" s="26">
        <f>IF($P477="","",IF(INDEX(EntryPartyName,$P477)=0,"",INDEX(EntryPartyName,$P477)))</f>
        <v/>
      </c>
      <c r="F477" s="26">
        <f>IF($P477="","",IF(INDEX(EntryPartyType,$P477)=0,"",INDEX(EntryPartyType,$P477)))</f>
        <v/>
      </c>
      <c r="G477" s="26">
        <f>IF($P477="","",IF(INDEX(EntryTxnType,$P477)=0,"",INDEX(EntryTxnType,$P477)))</f>
        <v/>
      </c>
      <c r="H477" s="27">
        <f>IF($P477="","",IF(INDEX(EntryDep,$P477)=0,"",INDEX(EntryDep,$P477)))</f>
        <v/>
      </c>
      <c r="I477" s="27">
        <f>IF($P477="","",IF(INDEX(EntryWit,$P477)=0,"",INDEX(EntryWit,$P477)))</f>
        <v/>
      </c>
      <c r="J477" s="27">
        <f>IF($B477="","",IF($A477=1,$C$7,IF(J476="",0,J476))+IF($H477="",0,$H477)-IF($I477="",0,$I477))</f>
        <v/>
      </c>
      <c r="K477" s="27">
        <f>IF($P477="","",IF(INDEX(EntryMan,$P477)=0,"",INDEX(EntryMan,$P477)))</f>
        <v/>
      </c>
      <c r="L477" s="26">
        <f>IF($B477="","",IF($K477="","—",IF(ROUND($K477-$J477,0)=0,"√","×")))</f>
        <v/>
      </c>
      <c r="M477" s="26">
        <f>IF($B477="","",IF(COUNTIFS(EntryDates,$B477,CalcTime,$C477,CalcBank,$C$5,EntryParty,$D477,EntryDep,$H477,EntryWit,$I477)&gt;1,"تکرار",""))</f>
        <v/>
      </c>
      <c r="N477" s="26">
        <f>IF($P477="","",IF(INDEX(EntryNotes,$P477)=0,"",INDEX(EntryNotes,$P477)))</f>
        <v/>
      </c>
      <c r="O477" s="26">
        <f>IF($P477="","",IF(INDEX(EntryTxnID,$P477)=0,"",INDEX(EntryTxnID,$P477)))</f>
        <v/>
      </c>
      <c r="P477" s="26">
        <f>IFERROR(MATCH($C$5&amp;"|"&amp;RIGHT("000000"&amp;461,6),CalcRankKey,0),"")</f>
        <v/>
      </c>
    </row>
    <row r="478">
      <c r="A478" s="28">
        <f>IF($B478="","",462)</f>
        <v/>
      </c>
      <c r="B478" s="28">
        <f>IF($P478="","",IF(INDEX(CalcNormDate,$P478)=0,"",INDEX(CalcNormDate,$P478)))</f>
        <v/>
      </c>
      <c r="C478" s="28">
        <f>IF($P478="","",IF(INDEX(CalcTime,$P478)=0,"",INDEX(CalcTime,$P478)))</f>
        <v/>
      </c>
      <c r="D478" s="28">
        <f>IF($P478="","",IF(INDEX(EntryParty,$P478)=0,"",INDEX(EntryParty,$P478)))</f>
        <v/>
      </c>
      <c r="E478" s="28">
        <f>IF($P478="","",IF(INDEX(EntryPartyName,$P478)=0,"",INDEX(EntryPartyName,$P478)))</f>
        <v/>
      </c>
      <c r="F478" s="28">
        <f>IF($P478="","",IF(INDEX(EntryPartyType,$P478)=0,"",INDEX(EntryPartyType,$P478)))</f>
        <v/>
      </c>
      <c r="G478" s="28">
        <f>IF($P478="","",IF(INDEX(EntryTxnType,$P478)=0,"",INDEX(EntryTxnType,$P478)))</f>
        <v/>
      </c>
      <c r="H478" s="29">
        <f>IF($P478="","",IF(INDEX(EntryDep,$P478)=0,"",INDEX(EntryDep,$P478)))</f>
        <v/>
      </c>
      <c r="I478" s="29">
        <f>IF($P478="","",IF(INDEX(EntryWit,$P478)=0,"",INDEX(EntryWit,$P478)))</f>
        <v/>
      </c>
      <c r="J478" s="29">
        <f>IF($B478="","",IF($A478=1,$C$7,IF(J477="",0,J477))+IF($H478="",0,$H478)-IF($I478="",0,$I478))</f>
        <v/>
      </c>
      <c r="K478" s="29">
        <f>IF($P478="","",IF(INDEX(EntryMan,$P478)=0,"",INDEX(EntryMan,$P478)))</f>
        <v/>
      </c>
      <c r="L478" s="28">
        <f>IF($B478="","",IF($K478="","—",IF(ROUND($K478-$J478,0)=0,"√","×")))</f>
        <v/>
      </c>
      <c r="M478" s="28">
        <f>IF($B478="","",IF(COUNTIFS(EntryDates,$B478,CalcTime,$C478,CalcBank,$C$5,EntryParty,$D478,EntryDep,$H478,EntryWit,$I478)&gt;1,"تکرار",""))</f>
        <v/>
      </c>
      <c r="N478" s="28">
        <f>IF($P478="","",IF(INDEX(EntryNotes,$P478)=0,"",INDEX(EntryNotes,$P478)))</f>
        <v/>
      </c>
      <c r="O478" s="28">
        <f>IF($P478="","",IF(INDEX(EntryTxnID,$P478)=0,"",INDEX(EntryTxnID,$P478)))</f>
        <v/>
      </c>
      <c r="P478" s="28">
        <f>IFERROR(MATCH($C$5&amp;"|"&amp;RIGHT("000000"&amp;462,6),CalcRankKey,0),"")</f>
        <v/>
      </c>
    </row>
    <row r="479">
      <c r="A479" s="26">
        <f>IF($B479="","",463)</f>
        <v/>
      </c>
      <c r="B479" s="26">
        <f>IF($P479="","",IF(INDEX(CalcNormDate,$P479)=0,"",INDEX(CalcNormDate,$P479)))</f>
        <v/>
      </c>
      <c r="C479" s="26">
        <f>IF($P479="","",IF(INDEX(CalcTime,$P479)=0,"",INDEX(CalcTime,$P479)))</f>
        <v/>
      </c>
      <c r="D479" s="26">
        <f>IF($P479="","",IF(INDEX(EntryParty,$P479)=0,"",INDEX(EntryParty,$P479)))</f>
        <v/>
      </c>
      <c r="E479" s="26">
        <f>IF($P479="","",IF(INDEX(EntryPartyName,$P479)=0,"",INDEX(EntryPartyName,$P479)))</f>
        <v/>
      </c>
      <c r="F479" s="26">
        <f>IF($P479="","",IF(INDEX(EntryPartyType,$P479)=0,"",INDEX(EntryPartyType,$P479)))</f>
        <v/>
      </c>
      <c r="G479" s="26">
        <f>IF($P479="","",IF(INDEX(EntryTxnType,$P479)=0,"",INDEX(EntryTxnType,$P479)))</f>
        <v/>
      </c>
      <c r="H479" s="27">
        <f>IF($P479="","",IF(INDEX(EntryDep,$P479)=0,"",INDEX(EntryDep,$P479)))</f>
        <v/>
      </c>
      <c r="I479" s="27">
        <f>IF($P479="","",IF(INDEX(EntryWit,$P479)=0,"",INDEX(EntryWit,$P479)))</f>
        <v/>
      </c>
      <c r="J479" s="27">
        <f>IF($B479="","",IF($A479=1,$C$7,IF(J478="",0,J478))+IF($H479="",0,$H479)-IF($I479="",0,$I479))</f>
        <v/>
      </c>
      <c r="K479" s="27">
        <f>IF($P479="","",IF(INDEX(EntryMan,$P479)=0,"",INDEX(EntryMan,$P479)))</f>
        <v/>
      </c>
      <c r="L479" s="26">
        <f>IF($B479="","",IF($K479="","—",IF(ROUND($K479-$J479,0)=0,"√","×")))</f>
        <v/>
      </c>
      <c r="M479" s="26">
        <f>IF($B479="","",IF(COUNTIFS(EntryDates,$B479,CalcTime,$C479,CalcBank,$C$5,EntryParty,$D479,EntryDep,$H479,EntryWit,$I479)&gt;1,"تکرار",""))</f>
        <v/>
      </c>
      <c r="N479" s="26">
        <f>IF($P479="","",IF(INDEX(EntryNotes,$P479)=0,"",INDEX(EntryNotes,$P479)))</f>
        <v/>
      </c>
      <c r="O479" s="26">
        <f>IF($P479="","",IF(INDEX(EntryTxnID,$P479)=0,"",INDEX(EntryTxnID,$P479)))</f>
        <v/>
      </c>
      <c r="P479" s="26">
        <f>IFERROR(MATCH($C$5&amp;"|"&amp;RIGHT("000000"&amp;463,6),CalcRankKey,0),"")</f>
        <v/>
      </c>
    </row>
    <row r="480">
      <c r="A480" s="28">
        <f>IF($B480="","",464)</f>
        <v/>
      </c>
      <c r="B480" s="28">
        <f>IF($P480="","",IF(INDEX(CalcNormDate,$P480)=0,"",INDEX(CalcNormDate,$P480)))</f>
        <v/>
      </c>
      <c r="C480" s="28">
        <f>IF($P480="","",IF(INDEX(CalcTime,$P480)=0,"",INDEX(CalcTime,$P480)))</f>
        <v/>
      </c>
      <c r="D480" s="28">
        <f>IF($P480="","",IF(INDEX(EntryParty,$P480)=0,"",INDEX(EntryParty,$P480)))</f>
        <v/>
      </c>
      <c r="E480" s="28">
        <f>IF($P480="","",IF(INDEX(EntryPartyName,$P480)=0,"",INDEX(EntryPartyName,$P480)))</f>
        <v/>
      </c>
      <c r="F480" s="28">
        <f>IF($P480="","",IF(INDEX(EntryPartyType,$P480)=0,"",INDEX(EntryPartyType,$P480)))</f>
        <v/>
      </c>
      <c r="G480" s="28">
        <f>IF($P480="","",IF(INDEX(EntryTxnType,$P480)=0,"",INDEX(EntryTxnType,$P480)))</f>
        <v/>
      </c>
      <c r="H480" s="29">
        <f>IF($P480="","",IF(INDEX(EntryDep,$P480)=0,"",INDEX(EntryDep,$P480)))</f>
        <v/>
      </c>
      <c r="I480" s="29">
        <f>IF($P480="","",IF(INDEX(EntryWit,$P480)=0,"",INDEX(EntryWit,$P480)))</f>
        <v/>
      </c>
      <c r="J480" s="29">
        <f>IF($B480="","",IF($A480=1,$C$7,IF(J479="",0,J479))+IF($H480="",0,$H480)-IF($I480="",0,$I480))</f>
        <v/>
      </c>
      <c r="K480" s="29">
        <f>IF($P480="","",IF(INDEX(EntryMan,$P480)=0,"",INDEX(EntryMan,$P480)))</f>
        <v/>
      </c>
      <c r="L480" s="28">
        <f>IF($B480="","",IF($K480="","—",IF(ROUND($K480-$J480,0)=0,"√","×")))</f>
        <v/>
      </c>
      <c r="M480" s="28">
        <f>IF($B480="","",IF(COUNTIFS(EntryDates,$B480,CalcTime,$C480,CalcBank,$C$5,EntryParty,$D480,EntryDep,$H480,EntryWit,$I480)&gt;1,"تکرار",""))</f>
        <v/>
      </c>
      <c r="N480" s="28">
        <f>IF($P480="","",IF(INDEX(EntryNotes,$P480)=0,"",INDEX(EntryNotes,$P480)))</f>
        <v/>
      </c>
      <c r="O480" s="28">
        <f>IF($P480="","",IF(INDEX(EntryTxnID,$P480)=0,"",INDEX(EntryTxnID,$P480)))</f>
        <v/>
      </c>
      <c r="P480" s="28">
        <f>IFERROR(MATCH($C$5&amp;"|"&amp;RIGHT("000000"&amp;464,6),CalcRankKey,0),"")</f>
        <v/>
      </c>
    </row>
    <row r="481">
      <c r="A481" s="26">
        <f>IF($B481="","",465)</f>
        <v/>
      </c>
      <c r="B481" s="26">
        <f>IF($P481="","",IF(INDEX(CalcNormDate,$P481)=0,"",INDEX(CalcNormDate,$P481)))</f>
        <v/>
      </c>
      <c r="C481" s="26">
        <f>IF($P481="","",IF(INDEX(CalcTime,$P481)=0,"",INDEX(CalcTime,$P481)))</f>
        <v/>
      </c>
      <c r="D481" s="26">
        <f>IF($P481="","",IF(INDEX(EntryParty,$P481)=0,"",INDEX(EntryParty,$P481)))</f>
        <v/>
      </c>
      <c r="E481" s="26">
        <f>IF($P481="","",IF(INDEX(EntryPartyName,$P481)=0,"",INDEX(EntryPartyName,$P481)))</f>
        <v/>
      </c>
      <c r="F481" s="26">
        <f>IF($P481="","",IF(INDEX(EntryPartyType,$P481)=0,"",INDEX(EntryPartyType,$P481)))</f>
        <v/>
      </c>
      <c r="G481" s="26">
        <f>IF($P481="","",IF(INDEX(EntryTxnType,$P481)=0,"",INDEX(EntryTxnType,$P481)))</f>
        <v/>
      </c>
      <c r="H481" s="27">
        <f>IF($P481="","",IF(INDEX(EntryDep,$P481)=0,"",INDEX(EntryDep,$P481)))</f>
        <v/>
      </c>
      <c r="I481" s="27">
        <f>IF($P481="","",IF(INDEX(EntryWit,$P481)=0,"",INDEX(EntryWit,$P481)))</f>
        <v/>
      </c>
      <c r="J481" s="27">
        <f>IF($B481="","",IF($A481=1,$C$7,IF(J480="",0,J480))+IF($H481="",0,$H481)-IF($I481="",0,$I481))</f>
        <v/>
      </c>
      <c r="K481" s="27">
        <f>IF($P481="","",IF(INDEX(EntryMan,$P481)=0,"",INDEX(EntryMan,$P481)))</f>
        <v/>
      </c>
      <c r="L481" s="26">
        <f>IF($B481="","",IF($K481="","—",IF(ROUND($K481-$J481,0)=0,"√","×")))</f>
        <v/>
      </c>
      <c r="M481" s="26">
        <f>IF($B481="","",IF(COUNTIFS(EntryDates,$B481,CalcTime,$C481,CalcBank,$C$5,EntryParty,$D481,EntryDep,$H481,EntryWit,$I481)&gt;1,"تکرار",""))</f>
        <v/>
      </c>
      <c r="N481" s="26">
        <f>IF($P481="","",IF(INDEX(EntryNotes,$P481)=0,"",INDEX(EntryNotes,$P481)))</f>
        <v/>
      </c>
      <c r="O481" s="26">
        <f>IF($P481="","",IF(INDEX(EntryTxnID,$P481)=0,"",INDEX(EntryTxnID,$P481)))</f>
        <v/>
      </c>
      <c r="P481" s="26">
        <f>IFERROR(MATCH($C$5&amp;"|"&amp;RIGHT("000000"&amp;465,6),CalcRankKey,0),"")</f>
        <v/>
      </c>
    </row>
    <row r="482">
      <c r="A482" s="28">
        <f>IF($B482="","",466)</f>
        <v/>
      </c>
      <c r="B482" s="28">
        <f>IF($P482="","",IF(INDEX(CalcNormDate,$P482)=0,"",INDEX(CalcNormDate,$P482)))</f>
        <v/>
      </c>
      <c r="C482" s="28">
        <f>IF($P482="","",IF(INDEX(CalcTime,$P482)=0,"",INDEX(CalcTime,$P482)))</f>
        <v/>
      </c>
      <c r="D482" s="28">
        <f>IF($P482="","",IF(INDEX(EntryParty,$P482)=0,"",INDEX(EntryParty,$P482)))</f>
        <v/>
      </c>
      <c r="E482" s="28">
        <f>IF($P482="","",IF(INDEX(EntryPartyName,$P482)=0,"",INDEX(EntryPartyName,$P482)))</f>
        <v/>
      </c>
      <c r="F482" s="28">
        <f>IF($P482="","",IF(INDEX(EntryPartyType,$P482)=0,"",INDEX(EntryPartyType,$P482)))</f>
        <v/>
      </c>
      <c r="G482" s="28">
        <f>IF($P482="","",IF(INDEX(EntryTxnType,$P482)=0,"",INDEX(EntryTxnType,$P482)))</f>
        <v/>
      </c>
      <c r="H482" s="29">
        <f>IF($P482="","",IF(INDEX(EntryDep,$P482)=0,"",INDEX(EntryDep,$P482)))</f>
        <v/>
      </c>
      <c r="I482" s="29">
        <f>IF($P482="","",IF(INDEX(EntryWit,$P482)=0,"",INDEX(EntryWit,$P482)))</f>
        <v/>
      </c>
      <c r="J482" s="29">
        <f>IF($B482="","",IF($A482=1,$C$7,IF(J481="",0,J481))+IF($H482="",0,$H482)-IF($I482="",0,$I482))</f>
        <v/>
      </c>
      <c r="K482" s="29">
        <f>IF($P482="","",IF(INDEX(EntryMan,$P482)=0,"",INDEX(EntryMan,$P482)))</f>
        <v/>
      </c>
      <c r="L482" s="28">
        <f>IF($B482="","",IF($K482="","—",IF(ROUND($K482-$J482,0)=0,"√","×")))</f>
        <v/>
      </c>
      <c r="M482" s="28">
        <f>IF($B482="","",IF(COUNTIFS(EntryDates,$B482,CalcTime,$C482,CalcBank,$C$5,EntryParty,$D482,EntryDep,$H482,EntryWit,$I482)&gt;1,"تکرار",""))</f>
        <v/>
      </c>
      <c r="N482" s="28">
        <f>IF($P482="","",IF(INDEX(EntryNotes,$P482)=0,"",INDEX(EntryNotes,$P482)))</f>
        <v/>
      </c>
      <c r="O482" s="28">
        <f>IF($P482="","",IF(INDEX(EntryTxnID,$P482)=0,"",INDEX(EntryTxnID,$P482)))</f>
        <v/>
      </c>
      <c r="P482" s="28">
        <f>IFERROR(MATCH($C$5&amp;"|"&amp;RIGHT("000000"&amp;466,6),CalcRankKey,0),"")</f>
        <v/>
      </c>
    </row>
    <row r="483">
      <c r="A483" s="26">
        <f>IF($B483="","",467)</f>
        <v/>
      </c>
      <c r="B483" s="26">
        <f>IF($P483="","",IF(INDEX(CalcNormDate,$P483)=0,"",INDEX(CalcNormDate,$P483)))</f>
        <v/>
      </c>
      <c r="C483" s="26">
        <f>IF($P483="","",IF(INDEX(CalcTime,$P483)=0,"",INDEX(CalcTime,$P483)))</f>
        <v/>
      </c>
      <c r="D483" s="26">
        <f>IF($P483="","",IF(INDEX(EntryParty,$P483)=0,"",INDEX(EntryParty,$P483)))</f>
        <v/>
      </c>
      <c r="E483" s="26">
        <f>IF($P483="","",IF(INDEX(EntryPartyName,$P483)=0,"",INDEX(EntryPartyName,$P483)))</f>
        <v/>
      </c>
      <c r="F483" s="26">
        <f>IF($P483="","",IF(INDEX(EntryPartyType,$P483)=0,"",INDEX(EntryPartyType,$P483)))</f>
        <v/>
      </c>
      <c r="G483" s="26">
        <f>IF($P483="","",IF(INDEX(EntryTxnType,$P483)=0,"",INDEX(EntryTxnType,$P483)))</f>
        <v/>
      </c>
      <c r="H483" s="27">
        <f>IF($P483="","",IF(INDEX(EntryDep,$P483)=0,"",INDEX(EntryDep,$P483)))</f>
        <v/>
      </c>
      <c r="I483" s="27">
        <f>IF($P483="","",IF(INDEX(EntryWit,$P483)=0,"",INDEX(EntryWit,$P483)))</f>
        <v/>
      </c>
      <c r="J483" s="27">
        <f>IF($B483="","",IF($A483=1,$C$7,IF(J482="",0,J482))+IF($H483="",0,$H483)-IF($I483="",0,$I483))</f>
        <v/>
      </c>
      <c r="K483" s="27">
        <f>IF($P483="","",IF(INDEX(EntryMan,$P483)=0,"",INDEX(EntryMan,$P483)))</f>
        <v/>
      </c>
      <c r="L483" s="26">
        <f>IF($B483="","",IF($K483="","—",IF(ROUND($K483-$J483,0)=0,"√","×")))</f>
        <v/>
      </c>
      <c r="M483" s="26">
        <f>IF($B483="","",IF(COUNTIFS(EntryDates,$B483,CalcTime,$C483,CalcBank,$C$5,EntryParty,$D483,EntryDep,$H483,EntryWit,$I483)&gt;1,"تکرار",""))</f>
        <v/>
      </c>
      <c r="N483" s="26">
        <f>IF($P483="","",IF(INDEX(EntryNotes,$P483)=0,"",INDEX(EntryNotes,$P483)))</f>
        <v/>
      </c>
      <c r="O483" s="26">
        <f>IF($P483="","",IF(INDEX(EntryTxnID,$P483)=0,"",INDEX(EntryTxnID,$P483)))</f>
        <v/>
      </c>
      <c r="P483" s="26">
        <f>IFERROR(MATCH($C$5&amp;"|"&amp;RIGHT("000000"&amp;467,6),CalcRankKey,0),"")</f>
        <v/>
      </c>
    </row>
    <row r="484">
      <c r="A484" s="28">
        <f>IF($B484="","",468)</f>
        <v/>
      </c>
      <c r="B484" s="28">
        <f>IF($P484="","",IF(INDEX(CalcNormDate,$P484)=0,"",INDEX(CalcNormDate,$P484)))</f>
        <v/>
      </c>
      <c r="C484" s="28">
        <f>IF($P484="","",IF(INDEX(CalcTime,$P484)=0,"",INDEX(CalcTime,$P484)))</f>
        <v/>
      </c>
      <c r="D484" s="28">
        <f>IF($P484="","",IF(INDEX(EntryParty,$P484)=0,"",INDEX(EntryParty,$P484)))</f>
        <v/>
      </c>
      <c r="E484" s="28">
        <f>IF($P484="","",IF(INDEX(EntryPartyName,$P484)=0,"",INDEX(EntryPartyName,$P484)))</f>
        <v/>
      </c>
      <c r="F484" s="28">
        <f>IF($P484="","",IF(INDEX(EntryPartyType,$P484)=0,"",INDEX(EntryPartyType,$P484)))</f>
        <v/>
      </c>
      <c r="G484" s="28">
        <f>IF($P484="","",IF(INDEX(EntryTxnType,$P484)=0,"",INDEX(EntryTxnType,$P484)))</f>
        <v/>
      </c>
      <c r="H484" s="29">
        <f>IF($P484="","",IF(INDEX(EntryDep,$P484)=0,"",INDEX(EntryDep,$P484)))</f>
        <v/>
      </c>
      <c r="I484" s="29">
        <f>IF($P484="","",IF(INDEX(EntryWit,$P484)=0,"",INDEX(EntryWit,$P484)))</f>
        <v/>
      </c>
      <c r="J484" s="29">
        <f>IF($B484="","",IF($A484=1,$C$7,IF(J483="",0,J483))+IF($H484="",0,$H484)-IF($I484="",0,$I484))</f>
        <v/>
      </c>
      <c r="K484" s="29">
        <f>IF($P484="","",IF(INDEX(EntryMan,$P484)=0,"",INDEX(EntryMan,$P484)))</f>
        <v/>
      </c>
      <c r="L484" s="28">
        <f>IF($B484="","",IF($K484="","—",IF(ROUND($K484-$J484,0)=0,"√","×")))</f>
        <v/>
      </c>
      <c r="M484" s="28">
        <f>IF($B484="","",IF(COUNTIFS(EntryDates,$B484,CalcTime,$C484,CalcBank,$C$5,EntryParty,$D484,EntryDep,$H484,EntryWit,$I484)&gt;1,"تکرار",""))</f>
        <v/>
      </c>
      <c r="N484" s="28">
        <f>IF($P484="","",IF(INDEX(EntryNotes,$P484)=0,"",INDEX(EntryNotes,$P484)))</f>
        <v/>
      </c>
      <c r="O484" s="28">
        <f>IF($P484="","",IF(INDEX(EntryTxnID,$P484)=0,"",INDEX(EntryTxnID,$P484)))</f>
        <v/>
      </c>
      <c r="P484" s="28">
        <f>IFERROR(MATCH($C$5&amp;"|"&amp;RIGHT("000000"&amp;468,6),CalcRankKey,0),"")</f>
        <v/>
      </c>
    </row>
    <row r="485">
      <c r="A485" s="26">
        <f>IF($B485="","",469)</f>
        <v/>
      </c>
      <c r="B485" s="26">
        <f>IF($P485="","",IF(INDEX(CalcNormDate,$P485)=0,"",INDEX(CalcNormDate,$P485)))</f>
        <v/>
      </c>
      <c r="C485" s="26">
        <f>IF($P485="","",IF(INDEX(CalcTime,$P485)=0,"",INDEX(CalcTime,$P485)))</f>
        <v/>
      </c>
      <c r="D485" s="26">
        <f>IF($P485="","",IF(INDEX(EntryParty,$P485)=0,"",INDEX(EntryParty,$P485)))</f>
        <v/>
      </c>
      <c r="E485" s="26">
        <f>IF($P485="","",IF(INDEX(EntryPartyName,$P485)=0,"",INDEX(EntryPartyName,$P485)))</f>
        <v/>
      </c>
      <c r="F485" s="26">
        <f>IF($P485="","",IF(INDEX(EntryPartyType,$P485)=0,"",INDEX(EntryPartyType,$P485)))</f>
        <v/>
      </c>
      <c r="G485" s="26">
        <f>IF($P485="","",IF(INDEX(EntryTxnType,$P485)=0,"",INDEX(EntryTxnType,$P485)))</f>
        <v/>
      </c>
      <c r="H485" s="27">
        <f>IF($P485="","",IF(INDEX(EntryDep,$P485)=0,"",INDEX(EntryDep,$P485)))</f>
        <v/>
      </c>
      <c r="I485" s="27">
        <f>IF($P485="","",IF(INDEX(EntryWit,$P485)=0,"",INDEX(EntryWit,$P485)))</f>
        <v/>
      </c>
      <c r="J485" s="27">
        <f>IF($B485="","",IF($A485=1,$C$7,IF(J484="",0,J484))+IF($H485="",0,$H485)-IF($I485="",0,$I485))</f>
        <v/>
      </c>
      <c r="K485" s="27">
        <f>IF($P485="","",IF(INDEX(EntryMan,$P485)=0,"",INDEX(EntryMan,$P485)))</f>
        <v/>
      </c>
      <c r="L485" s="26">
        <f>IF($B485="","",IF($K485="","—",IF(ROUND($K485-$J485,0)=0,"√","×")))</f>
        <v/>
      </c>
      <c r="M485" s="26">
        <f>IF($B485="","",IF(COUNTIFS(EntryDates,$B485,CalcTime,$C485,CalcBank,$C$5,EntryParty,$D485,EntryDep,$H485,EntryWit,$I485)&gt;1,"تکرار",""))</f>
        <v/>
      </c>
      <c r="N485" s="26">
        <f>IF($P485="","",IF(INDEX(EntryNotes,$P485)=0,"",INDEX(EntryNotes,$P485)))</f>
        <v/>
      </c>
      <c r="O485" s="26">
        <f>IF($P485="","",IF(INDEX(EntryTxnID,$P485)=0,"",INDEX(EntryTxnID,$P485)))</f>
        <v/>
      </c>
      <c r="P485" s="26">
        <f>IFERROR(MATCH($C$5&amp;"|"&amp;RIGHT("000000"&amp;469,6),CalcRankKey,0),"")</f>
        <v/>
      </c>
    </row>
    <row r="486">
      <c r="A486" s="28">
        <f>IF($B486="","",470)</f>
        <v/>
      </c>
      <c r="B486" s="28">
        <f>IF($P486="","",IF(INDEX(CalcNormDate,$P486)=0,"",INDEX(CalcNormDate,$P486)))</f>
        <v/>
      </c>
      <c r="C486" s="28">
        <f>IF($P486="","",IF(INDEX(CalcTime,$P486)=0,"",INDEX(CalcTime,$P486)))</f>
        <v/>
      </c>
      <c r="D486" s="28">
        <f>IF($P486="","",IF(INDEX(EntryParty,$P486)=0,"",INDEX(EntryParty,$P486)))</f>
        <v/>
      </c>
      <c r="E486" s="28">
        <f>IF($P486="","",IF(INDEX(EntryPartyName,$P486)=0,"",INDEX(EntryPartyName,$P486)))</f>
        <v/>
      </c>
      <c r="F486" s="28">
        <f>IF($P486="","",IF(INDEX(EntryPartyType,$P486)=0,"",INDEX(EntryPartyType,$P486)))</f>
        <v/>
      </c>
      <c r="G486" s="28">
        <f>IF($P486="","",IF(INDEX(EntryTxnType,$P486)=0,"",INDEX(EntryTxnType,$P486)))</f>
        <v/>
      </c>
      <c r="H486" s="29">
        <f>IF($P486="","",IF(INDEX(EntryDep,$P486)=0,"",INDEX(EntryDep,$P486)))</f>
        <v/>
      </c>
      <c r="I486" s="29">
        <f>IF($P486="","",IF(INDEX(EntryWit,$P486)=0,"",INDEX(EntryWit,$P486)))</f>
        <v/>
      </c>
      <c r="J486" s="29">
        <f>IF($B486="","",IF($A486=1,$C$7,IF(J485="",0,J485))+IF($H486="",0,$H486)-IF($I486="",0,$I486))</f>
        <v/>
      </c>
      <c r="K486" s="29">
        <f>IF($P486="","",IF(INDEX(EntryMan,$P486)=0,"",INDEX(EntryMan,$P486)))</f>
        <v/>
      </c>
      <c r="L486" s="28">
        <f>IF($B486="","",IF($K486="","—",IF(ROUND($K486-$J486,0)=0,"√","×")))</f>
        <v/>
      </c>
      <c r="M486" s="28">
        <f>IF($B486="","",IF(COUNTIFS(EntryDates,$B486,CalcTime,$C486,CalcBank,$C$5,EntryParty,$D486,EntryDep,$H486,EntryWit,$I486)&gt;1,"تکرار",""))</f>
        <v/>
      </c>
      <c r="N486" s="28">
        <f>IF($P486="","",IF(INDEX(EntryNotes,$P486)=0,"",INDEX(EntryNotes,$P486)))</f>
        <v/>
      </c>
      <c r="O486" s="28">
        <f>IF($P486="","",IF(INDEX(EntryTxnID,$P486)=0,"",INDEX(EntryTxnID,$P486)))</f>
        <v/>
      </c>
      <c r="P486" s="28">
        <f>IFERROR(MATCH($C$5&amp;"|"&amp;RIGHT("000000"&amp;470,6),CalcRankKey,0),"")</f>
        <v/>
      </c>
    </row>
    <row r="487">
      <c r="A487" s="26">
        <f>IF($B487="","",471)</f>
        <v/>
      </c>
      <c r="B487" s="26">
        <f>IF($P487="","",IF(INDEX(CalcNormDate,$P487)=0,"",INDEX(CalcNormDate,$P487)))</f>
        <v/>
      </c>
      <c r="C487" s="26">
        <f>IF($P487="","",IF(INDEX(CalcTime,$P487)=0,"",INDEX(CalcTime,$P487)))</f>
        <v/>
      </c>
      <c r="D487" s="26">
        <f>IF($P487="","",IF(INDEX(EntryParty,$P487)=0,"",INDEX(EntryParty,$P487)))</f>
        <v/>
      </c>
      <c r="E487" s="26">
        <f>IF($P487="","",IF(INDEX(EntryPartyName,$P487)=0,"",INDEX(EntryPartyName,$P487)))</f>
        <v/>
      </c>
      <c r="F487" s="26">
        <f>IF($P487="","",IF(INDEX(EntryPartyType,$P487)=0,"",INDEX(EntryPartyType,$P487)))</f>
        <v/>
      </c>
      <c r="G487" s="26">
        <f>IF($P487="","",IF(INDEX(EntryTxnType,$P487)=0,"",INDEX(EntryTxnType,$P487)))</f>
        <v/>
      </c>
      <c r="H487" s="27">
        <f>IF($P487="","",IF(INDEX(EntryDep,$P487)=0,"",INDEX(EntryDep,$P487)))</f>
        <v/>
      </c>
      <c r="I487" s="27">
        <f>IF($P487="","",IF(INDEX(EntryWit,$P487)=0,"",INDEX(EntryWit,$P487)))</f>
        <v/>
      </c>
      <c r="J487" s="27">
        <f>IF($B487="","",IF($A487=1,$C$7,IF(J486="",0,J486))+IF($H487="",0,$H487)-IF($I487="",0,$I487))</f>
        <v/>
      </c>
      <c r="K487" s="27">
        <f>IF($P487="","",IF(INDEX(EntryMan,$P487)=0,"",INDEX(EntryMan,$P487)))</f>
        <v/>
      </c>
      <c r="L487" s="26">
        <f>IF($B487="","",IF($K487="","—",IF(ROUND($K487-$J487,0)=0,"√","×")))</f>
        <v/>
      </c>
      <c r="M487" s="26">
        <f>IF($B487="","",IF(COUNTIFS(EntryDates,$B487,CalcTime,$C487,CalcBank,$C$5,EntryParty,$D487,EntryDep,$H487,EntryWit,$I487)&gt;1,"تکرار",""))</f>
        <v/>
      </c>
      <c r="N487" s="26">
        <f>IF($P487="","",IF(INDEX(EntryNotes,$P487)=0,"",INDEX(EntryNotes,$P487)))</f>
        <v/>
      </c>
      <c r="O487" s="26">
        <f>IF($P487="","",IF(INDEX(EntryTxnID,$P487)=0,"",INDEX(EntryTxnID,$P487)))</f>
        <v/>
      </c>
      <c r="P487" s="26">
        <f>IFERROR(MATCH($C$5&amp;"|"&amp;RIGHT("000000"&amp;471,6),CalcRankKey,0),"")</f>
        <v/>
      </c>
    </row>
    <row r="488">
      <c r="A488" s="28">
        <f>IF($B488="","",472)</f>
        <v/>
      </c>
      <c r="B488" s="28">
        <f>IF($P488="","",IF(INDEX(CalcNormDate,$P488)=0,"",INDEX(CalcNormDate,$P488)))</f>
        <v/>
      </c>
      <c r="C488" s="28">
        <f>IF($P488="","",IF(INDEX(CalcTime,$P488)=0,"",INDEX(CalcTime,$P488)))</f>
        <v/>
      </c>
      <c r="D488" s="28">
        <f>IF($P488="","",IF(INDEX(EntryParty,$P488)=0,"",INDEX(EntryParty,$P488)))</f>
        <v/>
      </c>
      <c r="E488" s="28">
        <f>IF($P488="","",IF(INDEX(EntryPartyName,$P488)=0,"",INDEX(EntryPartyName,$P488)))</f>
        <v/>
      </c>
      <c r="F488" s="28">
        <f>IF($P488="","",IF(INDEX(EntryPartyType,$P488)=0,"",INDEX(EntryPartyType,$P488)))</f>
        <v/>
      </c>
      <c r="G488" s="28">
        <f>IF($P488="","",IF(INDEX(EntryTxnType,$P488)=0,"",INDEX(EntryTxnType,$P488)))</f>
        <v/>
      </c>
      <c r="H488" s="29">
        <f>IF($P488="","",IF(INDEX(EntryDep,$P488)=0,"",INDEX(EntryDep,$P488)))</f>
        <v/>
      </c>
      <c r="I488" s="29">
        <f>IF($P488="","",IF(INDEX(EntryWit,$P488)=0,"",INDEX(EntryWit,$P488)))</f>
        <v/>
      </c>
      <c r="J488" s="29">
        <f>IF($B488="","",IF($A488=1,$C$7,IF(J487="",0,J487))+IF($H488="",0,$H488)-IF($I488="",0,$I488))</f>
        <v/>
      </c>
      <c r="K488" s="29">
        <f>IF($P488="","",IF(INDEX(EntryMan,$P488)=0,"",INDEX(EntryMan,$P488)))</f>
        <v/>
      </c>
      <c r="L488" s="28">
        <f>IF($B488="","",IF($K488="","—",IF(ROUND($K488-$J488,0)=0,"√","×")))</f>
        <v/>
      </c>
      <c r="M488" s="28">
        <f>IF($B488="","",IF(COUNTIFS(EntryDates,$B488,CalcTime,$C488,CalcBank,$C$5,EntryParty,$D488,EntryDep,$H488,EntryWit,$I488)&gt;1,"تکرار",""))</f>
        <v/>
      </c>
      <c r="N488" s="28">
        <f>IF($P488="","",IF(INDEX(EntryNotes,$P488)=0,"",INDEX(EntryNotes,$P488)))</f>
        <v/>
      </c>
      <c r="O488" s="28">
        <f>IF($P488="","",IF(INDEX(EntryTxnID,$P488)=0,"",INDEX(EntryTxnID,$P488)))</f>
        <v/>
      </c>
      <c r="P488" s="28">
        <f>IFERROR(MATCH($C$5&amp;"|"&amp;RIGHT("000000"&amp;472,6),CalcRankKey,0),"")</f>
        <v/>
      </c>
    </row>
    <row r="489">
      <c r="A489" s="26">
        <f>IF($B489="","",473)</f>
        <v/>
      </c>
      <c r="B489" s="26">
        <f>IF($P489="","",IF(INDEX(CalcNormDate,$P489)=0,"",INDEX(CalcNormDate,$P489)))</f>
        <v/>
      </c>
      <c r="C489" s="26">
        <f>IF($P489="","",IF(INDEX(CalcTime,$P489)=0,"",INDEX(CalcTime,$P489)))</f>
        <v/>
      </c>
      <c r="D489" s="26">
        <f>IF($P489="","",IF(INDEX(EntryParty,$P489)=0,"",INDEX(EntryParty,$P489)))</f>
        <v/>
      </c>
      <c r="E489" s="26">
        <f>IF($P489="","",IF(INDEX(EntryPartyName,$P489)=0,"",INDEX(EntryPartyName,$P489)))</f>
        <v/>
      </c>
      <c r="F489" s="26">
        <f>IF($P489="","",IF(INDEX(EntryPartyType,$P489)=0,"",INDEX(EntryPartyType,$P489)))</f>
        <v/>
      </c>
      <c r="G489" s="26">
        <f>IF($P489="","",IF(INDEX(EntryTxnType,$P489)=0,"",INDEX(EntryTxnType,$P489)))</f>
        <v/>
      </c>
      <c r="H489" s="27">
        <f>IF($P489="","",IF(INDEX(EntryDep,$P489)=0,"",INDEX(EntryDep,$P489)))</f>
        <v/>
      </c>
      <c r="I489" s="27">
        <f>IF($P489="","",IF(INDEX(EntryWit,$P489)=0,"",INDEX(EntryWit,$P489)))</f>
        <v/>
      </c>
      <c r="J489" s="27">
        <f>IF($B489="","",IF($A489=1,$C$7,IF(J488="",0,J488))+IF($H489="",0,$H489)-IF($I489="",0,$I489))</f>
        <v/>
      </c>
      <c r="K489" s="27">
        <f>IF($P489="","",IF(INDEX(EntryMan,$P489)=0,"",INDEX(EntryMan,$P489)))</f>
        <v/>
      </c>
      <c r="L489" s="26">
        <f>IF($B489="","",IF($K489="","—",IF(ROUND($K489-$J489,0)=0,"√","×")))</f>
        <v/>
      </c>
      <c r="M489" s="26">
        <f>IF($B489="","",IF(COUNTIFS(EntryDates,$B489,CalcTime,$C489,CalcBank,$C$5,EntryParty,$D489,EntryDep,$H489,EntryWit,$I489)&gt;1,"تکرار",""))</f>
        <v/>
      </c>
      <c r="N489" s="26">
        <f>IF($P489="","",IF(INDEX(EntryNotes,$P489)=0,"",INDEX(EntryNotes,$P489)))</f>
        <v/>
      </c>
      <c r="O489" s="26">
        <f>IF($P489="","",IF(INDEX(EntryTxnID,$P489)=0,"",INDEX(EntryTxnID,$P489)))</f>
        <v/>
      </c>
      <c r="P489" s="26">
        <f>IFERROR(MATCH($C$5&amp;"|"&amp;RIGHT("000000"&amp;473,6),CalcRankKey,0),"")</f>
        <v/>
      </c>
    </row>
    <row r="490">
      <c r="A490" s="28">
        <f>IF($B490="","",474)</f>
        <v/>
      </c>
      <c r="B490" s="28">
        <f>IF($P490="","",IF(INDEX(CalcNormDate,$P490)=0,"",INDEX(CalcNormDate,$P490)))</f>
        <v/>
      </c>
      <c r="C490" s="28">
        <f>IF($P490="","",IF(INDEX(CalcTime,$P490)=0,"",INDEX(CalcTime,$P490)))</f>
        <v/>
      </c>
      <c r="D490" s="28">
        <f>IF($P490="","",IF(INDEX(EntryParty,$P490)=0,"",INDEX(EntryParty,$P490)))</f>
        <v/>
      </c>
      <c r="E490" s="28">
        <f>IF($P490="","",IF(INDEX(EntryPartyName,$P490)=0,"",INDEX(EntryPartyName,$P490)))</f>
        <v/>
      </c>
      <c r="F490" s="28">
        <f>IF($P490="","",IF(INDEX(EntryPartyType,$P490)=0,"",INDEX(EntryPartyType,$P490)))</f>
        <v/>
      </c>
      <c r="G490" s="28">
        <f>IF($P490="","",IF(INDEX(EntryTxnType,$P490)=0,"",INDEX(EntryTxnType,$P490)))</f>
        <v/>
      </c>
      <c r="H490" s="29">
        <f>IF($P490="","",IF(INDEX(EntryDep,$P490)=0,"",INDEX(EntryDep,$P490)))</f>
        <v/>
      </c>
      <c r="I490" s="29">
        <f>IF($P490="","",IF(INDEX(EntryWit,$P490)=0,"",INDEX(EntryWit,$P490)))</f>
        <v/>
      </c>
      <c r="J490" s="29">
        <f>IF($B490="","",IF($A490=1,$C$7,IF(J489="",0,J489))+IF($H490="",0,$H490)-IF($I490="",0,$I490))</f>
        <v/>
      </c>
      <c r="K490" s="29">
        <f>IF($P490="","",IF(INDEX(EntryMan,$P490)=0,"",INDEX(EntryMan,$P490)))</f>
        <v/>
      </c>
      <c r="L490" s="28">
        <f>IF($B490="","",IF($K490="","—",IF(ROUND($K490-$J490,0)=0,"√","×")))</f>
        <v/>
      </c>
      <c r="M490" s="28">
        <f>IF($B490="","",IF(COUNTIFS(EntryDates,$B490,CalcTime,$C490,CalcBank,$C$5,EntryParty,$D490,EntryDep,$H490,EntryWit,$I490)&gt;1,"تکرار",""))</f>
        <v/>
      </c>
      <c r="N490" s="28">
        <f>IF($P490="","",IF(INDEX(EntryNotes,$P490)=0,"",INDEX(EntryNotes,$P490)))</f>
        <v/>
      </c>
      <c r="O490" s="28">
        <f>IF($P490="","",IF(INDEX(EntryTxnID,$P490)=0,"",INDEX(EntryTxnID,$P490)))</f>
        <v/>
      </c>
      <c r="P490" s="28">
        <f>IFERROR(MATCH($C$5&amp;"|"&amp;RIGHT("000000"&amp;474,6),CalcRankKey,0),"")</f>
        <v/>
      </c>
    </row>
    <row r="491">
      <c r="A491" s="26">
        <f>IF($B491="","",475)</f>
        <v/>
      </c>
      <c r="B491" s="26">
        <f>IF($P491="","",IF(INDEX(CalcNormDate,$P491)=0,"",INDEX(CalcNormDate,$P491)))</f>
        <v/>
      </c>
      <c r="C491" s="26">
        <f>IF($P491="","",IF(INDEX(CalcTime,$P491)=0,"",INDEX(CalcTime,$P491)))</f>
        <v/>
      </c>
      <c r="D491" s="26">
        <f>IF($P491="","",IF(INDEX(EntryParty,$P491)=0,"",INDEX(EntryParty,$P491)))</f>
        <v/>
      </c>
      <c r="E491" s="26">
        <f>IF($P491="","",IF(INDEX(EntryPartyName,$P491)=0,"",INDEX(EntryPartyName,$P491)))</f>
        <v/>
      </c>
      <c r="F491" s="26">
        <f>IF($P491="","",IF(INDEX(EntryPartyType,$P491)=0,"",INDEX(EntryPartyType,$P491)))</f>
        <v/>
      </c>
      <c r="G491" s="26">
        <f>IF($P491="","",IF(INDEX(EntryTxnType,$P491)=0,"",INDEX(EntryTxnType,$P491)))</f>
        <v/>
      </c>
      <c r="H491" s="27">
        <f>IF($P491="","",IF(INDEX(EntryDep,$P491)=0,"",INDEX(EntryDep,$P491)))</f>
        <v/>
      </c>
      <c r="I491" s="27">
        <f>IF($P491="","",IF(INDEX(EntryWit,$P491)=0,"",INDEX(EntryWit,$P491)))</f>
        <v/>
      </c>
      <c r="J491" s="27">
        <f>IF($B491="","",IF($A491=1,$C$7,IF(J490="",0,J490))+IF($H491="",0,$H491)-IF($I491="",0,$I491))</f>
        <v/>
      </c>
      <c r="K491" s="27">
        <f>IF($P491="","",IF(INDEX(EntryMan,$P491)=0,"",INDEX(EntryMan,$P491)))</f>
        <v/>
      </c>
      <c r="L491" s="26">
        <f>IF($B491="","",IF($K491="","—",IF(ROUND($K491-$J491,0)=0,"√","×")))</f>
        <v/>
      </c>
      <c r="M491" s="26">
        <f>IF($B491="","",IF(COUNTIFS(EntryDates,$B491,CalcTime,$C491,CalcBank,$C$5,EntryParty,$D491,EntryDep,$H491,EntryWit,$I491)&gt;1,"تکرار",""))</f>
        <v/>
      </c>
      <c r="N491" s="26">
        <f>IF($P491="","",IF(INDEX(EntryNotes,$P491)=0,"",INDEX(EntryNotes,$P491)))</f>
        <v/>
      </c>
      <c r="O491" s="26">
        <f>IF($P491="","",IF(INDEX(EntryTxnID,$P491)=0,"",INDEX(EntryTxnID,$P491)))</f>
        <v/>
      </c>
      <c r="P491" s="26">
        <f>IFERROR(MATCH($C$5&amp;"|"&amp;RIGHT("000000"&amp;475,6),CalcRankKey,0),"")</f>
        <v/>
      </c>
    </row>
    <row r="492">
      <c r="A492" s="28">
        <f>IF($B492="","",476)</f>
        <v/>
      </c>
      <c r="B492" s="28">
        <f>IF($P492="","",IF(INDEX(CalcNormDate,$P492)=0,"",INDEX(CalcNormDate,$P492)))</f>
        <v/>
      </c>
      <c r="C492" s="28">
        <f>IF($P492="","",IF(INDEX(CalcTime,$P492)=0,"",INDEX(CalcTime,$P492)))</f>
        <v/>
      </c>
      <c r="D492" s="28">
        <f>IF($P492="","",IF(INDEX(EntryParty,$P492)=0,"",INDEX(EntryParty,$P492)))</f>
        <v/>
      </c>
      <c r="E492" s="28">
        <f>IF($P492="","",IF(INDEX(EntryPartyName,$P492)=0,"",INDEX(EntryPartyName,$P492)))</f>
        <v/>
      </c>
      <c r="F492" s="28">
        <f>IF($P492="","",IF(INDEX(EntryPartyType,$P492)=0,"",INDEX(EntryPartyType,$P492)))</f>
        <v/>
      </c>
      <c r="G492" s="28">
        <f>IF($P492="","",IF(INDEX(EntryTxnType,$P492)=0,"",INDEX(EntryTxnType,$P492)))</f>
        <v/>
      </c>
      <c r="H492" s="29">
        <f>IF($P492="","",IF(INDEX(EntryDep,$P492)=0,"",INDEX(EntryDep,$P492)))</f>
        <v/>
      </c>
      <c r="I492" s="29">
        <f>IF($P492="","",IF(INDEX(EntryWit,$P492)=0,"",INDEX(EntryWit,$P492)))</f>
        <v/>
      </c>
      <c r="J492" s="29">
        <f>IF($B492="","",IF($A492=1,$C$7,IF(J491="",0,J491))+IF($H492="",0,$H492)-IF($I492="",0,$I492))</f>
        <v/>
      </c>
      <c r="K492" s="29">
        <f>IF($P492="","",IF(INDEX(EntryMan,$P492)=0,"",INDEX(EntryMan,$P492)))</f>
        <v/>
      </c>
      <c r="L492" s="28">
        <f>IF($B492="","",IF($K492="","—",IF(ROUND($K492-$J492,0)=0,"√","×")))</f>
        <v/>
      </c>
      <c r="M492" s="28">
        <f>IF($B492="","",IF(COUNTIFS(EntryDates,$B492,CalcTime,$C492,CalcBank,$C$5,EntryParty,$D492,EntryDep,$H492,EntryWit,$I492)&gt;1,"تکرار",""))</f>
        <v/>
      </c>
      <c r="N492" s="28">
        <f>IF($P492="","",IF(INDEX(EntryNotes,$P492)=0,"",INDEX(EntryNotes,$P492)))</f>
        <v/>
      </c>
      <c r="O492" s="28">
        <f>IF($P492="","",IF(INDEX(EntryTxnID,$P492)=0,"",INDEX(EntryTxnID,$P492)))</f>
        <v/>
      </c>
      <c r="P492" s="28">
        <f>IFERROR(MATCH($C$5&amp;"|"&amp;RIGHT("000000"&amp;476,6),CalcRankKey,0),"")</f>
        <v/>
      </c>
    </row>
    <row r="493">
      <c r="A493" s="26">
        <f>IF($B493="","",477)</f>
        <v/>
      </c>
      <c r="B493" s="26">
        <f>IF($P493="","",IF(INDEX(CalcNormDate,$P493)=0,"",INDEX(CalcNormDate,$P493)))</f>
        <v/>
      </c>
      <c r="C493" s="26">
        <f>IF($P493="","",IF(INDEX(CalcTime,$P493)=0,"",INDEX(CalcTime,$P493)))</f>
        <v/>
      </c>
      <c r="D493" s="26">
        <f>IF($P493="","",IF(INDEX(EntryParty,$P493)=0,"",INDEX(EntryParty,$P493)))</f>
        <v/>
      </c>
      <c r="E493" s="26">
        <f>IF($P493="","",IF(INDEX(EntryPartyName,$P493)=0,"",INDEX(EntryPartyName,$P493)))</f>
        <v/>
      </c>
      <c r="F493" s="26">
        <f>IF($P493="","",IF(INDEX(EntryPartyType,$P493)=0,"",INDEX(EntryPartyType,$P493)))</f>
        <v/>
      </c>
      <c r="G493" s="26">
        <f>IF($P493="","",IF(INDEX(EntryTxnType,$P493)=0,"",INDEX(EntryTxnType,$P493)))</f>
        <v/>
      </c>
      <c r="H493" s="27">
        <f>IF($P493="","",IF(INDEX(EntryDep,$P493)=0,"",INDEX(EntryDep,$P493)))</f>
        <v/>
      </c>
      <c r="I493" s="27">
        <f>IF($P493="","",IF(INDEX(EntryWit,$P493)=0,"",INDEX(EntryWit,$P493)))</f>
        <v/>
      </c>
      <c r="J493" s="27">
        <f>IF($B493="","",IF($A493=1,$C$7,IF(J492="",0,J492))+IF($H493="",0,$H493)-IF($I493="",0,$I493))</f>
        <v/>
      </c>
      <c r="K493" s="27">
        <f>IF($P493="","",IF(INDEX(EntryMan,$P493)=0,"",INDEX(EntryMan,$P493)))</f>
        <v/>
      </c>
      <c r="L493" s="26">
        <f>IF($B493="","",IF($K493="","—",IF(ROUND($K493-$J493,0)=0,"√","×")))</f>
        <v/>
      </c>
      <c r="M493" s="26">
        <f>IF($B493="","",IF(COUNTIFS(EntryDates,$B493,CalcTime,$C493,CalcBank,$C$5,EntryParty,$D493,EntryDep,$H493,EntryWit,$I493)&gt;1,"تکرار",""))</f>
        <v/>
      </c>
      <c r="N493" s="26">
        <f>IF($P493="","",IF(INDEX(EntryNotes,$P493)=0,"",INDEX(EntryNotes,$P493)))</f>
        <v/>
      </c>
      <c r="O493" s="26">
        <f>IF($P493="","",IF(INDEX(EntryTxnID,$P493)=0,"",INDEX(EntryTxnID,$P493)))</f>
        <v/>
      </c>
      <c r="P493" s="26">
        <f>IFERROR(MATCH($C$5&amp;"|"&amp;RIGHT("000000"&amp;477,6),CalcRankKey,0),"")</f>
        <v/>
      </c>
    </row>
    <row r="494">
      <c r="A494" s="28">
        <f>IF($B494="","",478)</f>
        <v/>
      </c>
      <c r="B494" s="28">
        <f>IF($P494="","",IF(INDEX(CalcNormDate,$P494)=0,"",INDEX(CalcNormDate,$P494)))</f>
        <v/>
      </c>
      <c r="C494" s="28">
        <f>IF($P494="","",IF(INDEX(CalcTime,$P494)=0,"",INDEX(CalcTime,$P494)))</f>
        <v/>
      </c>
      <c r="D494" s="28">
        <f>IF($P494="","",IF(INDEX(EntryParty,$P494)=0,"",INDEX(EntryParty,$P494)))</f>
        <v/>
      </c>
      <c r="E494" s="28">
        <f>IF($P494="","",IF(INDEX(EntryPartyName,$P494)=0,"",INDEX(EntryPartyName,$P494)))</f>
        <v/>
      </c>
      <c r="F494" s="28">
        <f>IF($P494="","",IF(INDEX(EntryPartyType,$P494)=0,"",INDEX(EntryPartyType,$P494)))</f>
        <v/>
      </c>
      <c r="G494" s="28">
        <f>IF($P494="","",IF(INDEX(EntryTxnType,$P494)=0,"",INDEX(EntryTxnType,$P494)))</f>
        <v/>
      </c>
      <c r="H494" s="29">
        <f>IF($P494="","",IF(INDEX(EntryDep,$P494)=0,"",INDEX(EntryDep,$P494)))</f>
        <v/>
      </c>
      <c r="I494" s="29">
        <f>IF($P494="","",IF(INDEX(EntryWit,$P494)=0,"",INDEX(EntryWit,$P494)))</f>
        <v/>
      </c>
      <c r="J494" s="29">
        <f>IF($B494="","",IF($A494=1,$C$7,IF(J493="",0,J493))+IF($H494="",0,$H494)-IF($I494="",0,$I494))</f>
        <v/>
      </c>
      <c r="K494" s="29">
        <f>IF($P494="","",IF(INDEX(EntryMan,$P494)=0,"",INDEX(EntryMan,$P494)))</f>
        <v/>
      </c>
      <c r="L494" s="28">
        <f>IF($B494="","",IF($K494="","—",IF(ROUND($K494-$J494,0)=0,"√","×")))</f>
        <v/>
      </c>
      <c r="M494" s="28">
        <f>IF($B494="","",IF(COUNTIFS(EntryDates,$B494,CalcTime,$C494,CalcBank,$C$5,EntryParty,$D494,EntryDep,$H494,EntryWit,$I494)&gt;1,"تکرار",""))</f>
        <v/>
      </c>
      <c r="N494" s="28">
        <f>IF($P494="","",IF(INDEX(EntryNotes,$P494)=0,"",INDEX(EntryNotes,$P494)))</f>
        <v/>
      </c>
      <c r="O494" s="28">
        <f>IF($P494="","",IF(INDEX(EntryTxnID,$P494)=0,"",INDEX(EntryTxnID,$P494)))</f>
        <v/>
      </c>
      <c r="P494" s="28">
        <f>IFERROR(MATCH($C$5&amp;"|"&amp;RIGHT("000000"&amp;478,6),CalcRankKey,0),"")</f>
        <v/>
      </c>
    </row>
    <row r="495">
      <c r="A495" s="26">
        <f>IF($B495="","",479)</f>
        <v/>
      </c>
      <c r="B495" s="26">
        <f>IF($P495="","",IF(INDEX(CalcNormDate,$P495)=0,"",INDEX(CalcNormDate,$P495)))</f>
        <v/>
      </c>
      <c r="C495" s="26">
        <f>IF($P495="","",IF(INDEX(CalcTime,$P495)=0,"",INDEX(CalcTime,$P495)))</f>
        <v/>
      </c>
      <c r="D495" s="26">
        <f>IF($P495="","",IF(INDEX(EntryParty,$P495)=0,"",INDEX(EntryParty,$P495)))</f>
        <v/>
      </c>
      <c r="E495" s="26">
        <f>IF($P495="","",IF(INDEX(EntryPartyName,$P495)=0,"",INDEX(EntryPartyName,$P495)))</f>
        <v/>
      </c>
      <c r="F495" s="26">
        <f>IF($P495="","",IF(INDEX(EntryPartyType,$P495)=0,"",INDEX(EntryPartyType,$P495)))</f>
        <v/>
      </c>
      <c r="G495" s="26">
        <f>IF($P495="","",IF(INDEX(EntryTxnType,$P495)=0,"",INDEX(EntryTxnType,$P495)))</f>
        <v/>
      </c>
      <c r="H495" s="27">
        <f>IF($P495="","",IF(INDEX(EntryDep,$P495)=0,"",INDEX(EntryDep,$P495)))</f>
        <v/>
      </c>
      <c r="I495" s="27">
        <f>IF($P495="","",IF(INDEX(EntryWit,$P495)=0,"",INDEX(EntryWit,$P495)))</f>
        <v/>
      </c>
      <c r="J495" s="27">
        <f>IF($B495="","",IF($A495=1,$C$7,IF(J494="",0,J494))+IF($H495="",0,$H495)-IF($I495="",0,$I495))</f>
        <v/>
      </c>
      <c r="K495" s="27">
        <f>IF($P495="","",IF(INDEX(EntryMan,$P495)=0,"",INDEX(EntryMan,$P495)))</f>
        <v/>
      </c>
      <c r="L495" s="26">
        <f>IF($B495="","",IF($K495="","—",IF(ROUND($K495-$J495,0)=0,"√","×")))</f>
        <v/>
      </c>
      <c r="M495" s="26">
        <f>IF($B495="","",IF(COUNTIFS(EntryDates,$B495,CalcTime,$C495,CalcBank,$C$5,EntryParty,$D495,EntryDep,$H495,EntryWit,$I495)&gt;1,"تکرار",""))</f>
        <v/>
      </c>
      <c r="N495" s="26">
        <f>IF($P495="","",IF(INDEX(EntryNotes,$P495)=0,"",INDEX(EntryNotes,$P495)))</f>
        <v/>
      </c>
      <c r="O495" s="26">
        <f>IF($P495="","",IF(INDEX(EntryTxnID,$P495)=0,"",INDEX(EntryTxnID,$P495)))</f>
        <v/>
      </c>
      <c r="P495" s="26">
        <f>IFERROR(MATCH($C$5&amp;"|"&amp;RIGHT("000000"&amp;479,6),CalcRankKey,0),"")</f>
        <v/>
      </c>
    </row>
    <row r="496">
      <c r="A496" s="28">
        <f>IF($B496="","",480)</f>
        <v/>
      </c>
      <c r="B496" s="28">
        <f>IF($P496="","",IF(INDEX(CalcNormDate,$P496)=0,"",INDEX(CalcNormDate,$P496)))</f>
        <v/>
      </c>
      <c r="C496" s="28">
        <f>IF($P496="","",IF(INDEX(CalcTime,$P496)=0,"",INDEX(CalcTime,$P496)))</f>
        <v/>
      </c>
      <c r="D496" s="28">
        <f>IF($P496="","",IF(INDEX(EntryParty,$P496)=0,"",INDEX(EntryParty,$P496)))</f>
        <v/>
      </c>
      <c r="E496" s="28">
        <f>IF($P496="","",IF(INDEX(EntryPartyName,$P496)=0,"",INDEX(EntryPartyName,$P496)))</f>
        <v/>
      </c>
      <c r="F496" s="28">
        <f>IF($P496="","",IF(INDEX(EntryPartyType,$P496)=0,"",INDEX(EntryPartyType,$P496)))</f>
        <v/>
      </c>
      <c r="G496" s="28">
        <f>IF($P496="","",IF(INDEX(EntryTxnType,$P496)=0,"",INDEX(EntryTxnType,$P496)))</f>
        <v/>
      </c>
      <c r="H496" s="29">
        <f>IF($P496="","",IF(INDEX(EntryDep,$P496)=0,"",INDEX(EntryDep,$P496)))</f>
        <v/>
      </c>
      <c r="I496" s="29">
        <f>IF($P496="","",IF(INDEX(EntryWit,$P496)=0,"",INDEX(EntryWit,$P496)))</f>
        <v/>
      </c>
      <c r="J496" s="29">
        <f>IF($B496="","",IF($A496=1,$C$7,IF(J495="",0,J495))+IF($H496="",0,$H496)-IF($I496="",0,$I496))</f>
        <v/>
      </c>
      <c r="K496" s="29">
        <f>IF($P496="","",IF(INDEX(EntryMan,$P496)=0,"",INDEX(EntryMan,$P496)))</f>
        <v/>
      </c>
      <c r="L496" s="28">
        <f>IF($B496="","",IF($K496="","—",IF(ROUND($K496-$J496,0)=0,"√","×")))</f>
        <v/>
      </c>
      <c r="M496" s="28">
        <f>IF($B496="","",IF(COUNTIFS(EntryDates,$B496,CalcTime,$C496,CalcBank,$C$5,EntryParty,$D496,EntryDep,$H496,EntryWit,$I496)&gt;1,"تکرار",""))</f>
        <v/>
      </c>
      <c r="N496" s="28">
        <f>IF($P496="","",IF(INDEX(EntryNotes,$P496)=0,"",INDEX(EntryNotes,$P496)))</f>
        <v/>
      </c>
      <c r="O496" s="28">
        <f>IF($P496="","",IF(INDEX(EntryTxnID,$P496)=0,"",INDEX(EntryTxnID,$P496)))</f>
        <v/>
      </c>
      <c r="P496" s="28">
        <f>IFERROR(MATCH($C$5&amp;"|"&amp;RIGHT("000000"&amp;480,6),CalcRankKey,0),"")</f>
        <v/>
      </c>
    </row>
    <row r="497">
      <c r="A497" s="26">
        <f>IF($B497="","",481)</f>
        <v/>
      </c>
      <c r="B497" s="26">
        <f>IF($P497="","",IF(INDEX(CalcNormDate,$P497)=0,"",INDEX(CalcNormDate,$P497)))</f>
        <v/>
      </c>
      <c r="C497" s="26">
        <f>IF($P497="","",IF(INDEX(CalcTime,$P497)=0,"",INDEX(CalcTime,$P497)))</f>
        <v/>
      </c>
      <c r="D497" s="26">
        <f>IF($P497="","",IF(INDEX(EntryParty,$P497)=0,"",INDEX(EntryParty,$P497)))</f>
        <v/>
      </c>
      <c r="E497" s="26">
        <f>IF($P497="","",IF(INDEX(EntryPartyName,$P497)=0,"",INDEX(EntryPartyName,$P497)))</f>
        <v/>
      </c>
      <c r="F497" s="26">
        <f>IF($P497="","",IF(INDEX(EntryPartyType,$P497)=0,"",INDEX(EntryPartyType,$P497)))</f>
        <v/>
      </c>
      <c r="G497" s="26">
        <f>IF($P497="","",IF(INDEX(EntryTxnType,$P497)=0,"",INDEX(EntryTxnType,$P497)))</f>
        <v/>
      </c>
      <c r="H497" s="27">
        <f>IF($P497="","",IF(INDEX(EntryDep,$P497)=0,"",INDEX(EntryDep,$P497)))</f>
        <v/>
      </c>
      <c r="I497" s="27">
        <f>IF($P497="","",IF(INDEX(EntryWit,$P497)=0,"",INDEX(EntryWit,$P497)))</f>
        <v/>
      </c>
      <c r="J497" s="27">
        <f>IF($B497="","",IF($A497=1,$C$7,IF(J496="",0,J496))+IF($H497="",0,$H497)-IF($I497="",0,$I497))</f>
        <v/>
      </c>
      <c r="K497" s="27">
        <f>IF($P497="","",IF(INDEX(EntryMan,$P497)=0,"",INDEX(EntryMan,$P497)))</f>
        <v/>
      </c>
      <c r="L497" s="26">
        <f>IF($B497="","",IF($K497="","—",IF(ROUND($K497-$J497,0)=0,"√","×")))</f>
        <v/>
      </c>
      <c r="M497" s="26">
        <f>IF($B497="","",IF(COUNTIFS(EntryDates,$B497,CalcTime,$C497,CalcBank,$C$5,EntryParty,$D497,EntryDep,$H497,EntryWit,$I497)&gt;1,"تکرار",""))</f>
        <v/>
      </c>
      <c r="N497" s="26">
        <f>IF($P497="","",IF(INDEX(EntryNotes,$P497)=0,"",INDEX(EntryNotes,$P497)))</f>
        <v/>
      </c>
      <c r="O497" s="26">
        <f>IF($P497="","",IF(INDEX(EntryTxnID,$P497)=0,"",INDEX(EntryTxnID,$P497)))</f>
        <v/>
      </c>
      <c r="P497" s="26">
        <f>IFERROR(MATCH($C$5&amp;"|"&amp;RIGHT("000000"&amp;481,6),CalcRankKey,0),"")</f>
        <v/>
      </c>
    </row>
    <row r="498">
      <c r="A498" s="28">
        <f>IF($B498="","",482)</f>
        <v/>
      </c>
      <c r="B498" s="28">
        <f>IF($P498="","",IF(INDEX(CalcNormDate,$P498)=0,"",INDEX(CalcNormDate,$P498)))</f>
        <v/>
      </c>
      <c r="C498" s="28">
        <f>IF($P498="","",IF(INDEX(CalcTime,$P498)=0,"",INDEX(CalcTime,$P498)))</f>
        <v/>
      </c>
      <c r="D498" s="28">
        <f>IF($P498="","",IF(INDEX(EntryParty,$P498)=0,"",INDEX(EntryParty,$P498)))</f>
        <v/>
      </c>
      <c r="E498" s="28">
        <f>IF($P498="","",IF(INDEX(EntryPartyName,$P498)=0,"",INDEX(EntryPartyName,$P498)))</f>
        <v/>
      </c>
      <c r="F498" s="28">
        <f>IF($P498="","",IF(INDEX(EntryPartyType,$P498)=0,"",INDEX(EntryPartyType,$P498)))</f>
        <v/>
      </c>
      <c r="G498" s="28">
        <f>IF($P498="","",IF(INDEX(EntryTxnType,$P498)=0,"",INDEX(EntryTxnType,$P498)))</f>
        <v/>
      </c>
      <c r="H498" s="29">
        <f>IF($P498="","",IF(INDEX(EntryDep,$P498)=0,"",INDEX(EntryDep,$P498)))</f>
        <v/>
      </c>
      <c r="I498" s="29">
        <f>IF($P498="","",IF(INDEX(EntryWit,$P498)=0,"",INDEX(EntryWit,$P498)))</f>
        <v/>
      </c>
      <c r="J498" s="29">
        <f>IF($B498="","",IF($A498=1,$C$7,IF(J497="",0,J497))+IF($H498="",0,$H498)-IF($I498="",0,$I498))</f>
        <v/>
      </c>
      <c r="K498" s="29">
        <f>IF($P498="","",IF(INDEX(EntryMan,$P498)=0,"",INDEX(EntryMan,$P498)))</f>
        <v/>
      </c>
      <c r="L498" s="28">
        <f>IF($B498="","",IF($K498="","—",IF(ROUND($K498-$J498,0)=0,"√","×")))</f>
        <v/>
      </c>
      <c r="M498" s="28">
        <f>IF($B498="","",IF(COUNTIFS(EntryDates,$B498,CalcTime,$C498,CalcBank,$C$5,EntryParty,$D498,EntryDep,$H498,EntryWit,$I498)&gt;1,"تکرار",""))</f>
        <v/>
      </c>
      <c r="N498" s="28">
        <f>IF($P498="","",IF(INDEX(EntryNotes,$P498)=0,"",INDEX(EntryNotes,$P498)))</f>
        <v/>
      </c>
      <c r="O498" s="28">
        <f>IF($P498="","",IF(INDEX(EntryTxnID,$P498)=0,"",INDEX(EntryTxnID,$P498)))</f>
        <v/>
      </c>
      <c r="P498" s="28">
        <f>IFERROR(MATCH($C$5&amp;"|"&amp;RIGHT("000000"&amp;482,6),CalcRankKey,0),"")</f>
        <v/>
      </c>
    </row>
    <row r="499">
      <c r="A499" s="26">
        <f>IF($B499="","",483)</f>
        <v/>
      </c>
      <c r="B499" s="26">
        <f>IF($P499="","",IF(INDEX(CalcNormDate,$P499)=0,"",INDEX(CalcNormDate,$P499)))</f>
        <v/>
      </c>
      <c r="C499" s="26">
        <f>IF($P499="","",IF(INDEX(CalcTime,$P499)=0,"",INDEX(CalcTime,$P499)))</f>
        <v/>
      </c>
      <c r="D499" s="26">
        <f>IF($P499="","",IF(INDEX(EntryParty,$P499)=0,"",INDEX(EntryParty,$P499)))</f>
        <v/>
      </c>
      <c r="E499" s="26">
        <f>IF($P499="","",IF(INDEX(EntryPartyName,$P499)=0,"",INDEX(EntryPartyName,$P499)))</f>
        <v/>
      </c>
      <c r="F499" s="26">
        <f>IF($P499="","",IF(INDEX(EntryPartyType,$P499)=0,"",INDEX(EntryPartyType,$P499)))</f>
        <v/>
      </c>
      <c r="G499" s="26">
        <f>IF($P499="","",IF(INDEX(EntryTxnType,$P499)=0,"",INDEX(EntryTxnType,$P499)))</f>
        <v/>
      </c>
      <c r="H499" s="27">
        <f>IF($P499="","",IF(INDEX(EntryDep,$P499)=0,"",INDEX(EntryDep,$P499)))</f>
        <v/>
      </c>
      <c r="I499" s="27">
        <f>IF($P499="","",IF(INDEX(EntryWit,$P499)=0,"",INDEX(EntryWit,$P499)))</f>
        <v/>
      </c>
      <c r="J499" s="27">
        <f>IF($B499="","",IF($A499=1,$C$7,IF(J498="",0,J498))+IF($H499="",0,$H499)-IF($I499="",0,$I499))</f>
        <v/>
      </c>
      <c r="K499" s="27">
        <f>IF($P499="","",IF(INDEX(EntryMan,$P499)=0,"",INDEX(EntryMan,$P499)))</f>
        <v/>
      </c>
      <c r="L499" s="26">
        <f>IF($B499="","",IF($K499="","—",IF(ROUND($K499-$J499,0)=0,"√","×")))</f>
        <v/>
      </c>
      <c r="M499" s="26">
        <f>IF($B499="","",IF(COUNTIFS(EntryDates,$B499,CalcTime,$C499,CalcBank,$C$5,EntryParty,$D499,EntryDep,$H499,EntryWit,$I499)&gt;1,"تکرار",""))</f>
        <v/>
      </c>
      <c r="N499" s="26">
        <f>IF($P499="","",IF(INDEX(EntryNotes,$P499)=0,"",INDEX(EntryNotes,$P499)))</f>
        <v/>
      </c>
      <c r="O499" s="26">
        <f>IF($P499="","",IF(INDEX(EntryTxnID,$P499)=0,"",INDEX(EntryTxnID,$P499)))</f>
        <v/>
      </c>
      <c r="P499" s="26">
        <f>IFERROR(MATCH($C$5&amp;"|"&amp;RIGHT("000000"&amp;483,6),CalcRankKey,0),"")</f>
        <v/>
      </c>
    </row>
    <row r="500">
      <c r="A500" s="28">
        <f>IF($B500="","",484)</f>
        <v/>
      </c>
      <c r="B500" s="28">
        <f>IF($P500="","",IF(INDEX(CalcNormDate,$P500)=0,"",INDEX(CalcNormDate,$P500)))</f>
        <v/>
      </c>
      <c r="C500" s="28">
        <f>IF($P500="","",IF(INDEX(CalcTime,$P500)=0,"",INDEX(CalcTime,$P500)))</f>
        <v/>
      </c>
      <c r="D500" s="28">
        <f>IF($P500="","",IF(INDEX(EntryParty,$P500)=0,"",INDEX(EntryParty,$P500)))</f>
        <v/>
      </c>
      <c r="E500" s="28">
        <f>IF($P500="","",IF(INDEX(EntryPartyName,$P500)=0,"",INDEX(EntryPartyName,$P500)))</f>
        <v/>
      </c>
      <c r="F500" s="28">
        <f>IF($P500="","",IF(INDEX(EntryPartyType,$P500)=0,"",INDEX(EntryPartyType,$P500)))</f>
        <v/>
      </c>
      <c r="G500" s="28">
        <f>IF($P500="","",IF(INDEX(EntryTxnType,$P500)=0,"",INDEX(EntryTxnType,$P500)))</f>
        <v/>
      </c>
      <c r="H500" s="29">
        <f>IF($P500="","",IF(INDEX(EntryDep,$P500)=0,"",INDEX(EntryDep,$P500)))</f>
        <v/>
      </c>
      <c r="I500" s="29">
        <f>IF($P500="","",IF(INDEX(EntryWit,$P500)=0,"",INDEX(EntryWit,$P500)))</f>
        <v/>
      </c>
      <c r="J500" s="29">
        <f>IF($B500="","",IF($A500=1,$C$7,IF(J499="",0,J499))+IF($H500="",0,$H500)-IF($I500="",0,$I500))</f>
        <v/>
      </c>
      <c r="K500" s="29">
        <f>IF($P500="","",IF(INDEX(EntryMan,$P500)=0,"",INDEX(EntryMan,$P500)))</f>
        <v/>
      </c>
      <c r="L500" s="28">
        <f>IF($B500="","",IF($K500="","—",IF(ROUND($K500-$J500,0)=0,"√","×")))</f>
        <v/>
      </c>
      <c r="M500" s="28">
        <f>IF($B500="","",IF(COUNTIFS(EntryDates,$B500,CalcTime,$C500,CalcBank,$C$5,EntryParty,$D500,EntryDep,$H500,EntryWit,$I500)&gt;1,"تکرار",""))</f>
        <v/>
      </c>
      <c r="N500" s="28">
        <f>IF($P500="","",IF(INDEX(EntryNotes,$P500)=0,"",INDEX(EntryNotes,$P500)))</f>
        <v/>
      </c>
      <c r="O500" s="28">
        <f>IF($P500="","",IF(INDEX(EntryTxnID,$P500)=0,"",INDEX(EntryTxnID,$P500)))</f>
        <v/>
      </c>
      <c r="P500" s="28">
        <f>IFERROR(MATCH($C$5&amp;"|"&amp;RIGHT("000000"&amp;484,6),CalcRankKey,0),"")</f>
        <v/>
      </c>
    </row>
    <row r="501">
      <c r="A501" s="26">
        <f>IF($B501="","",485)</f>
        <v/>
      </c>
      <c r="B501" s="26">
        <f>IF($P501="","",IF(INDEX(CalcNormDate,$P501)=0,"",INDEX(CalcNormDate,$P501)))</f>
        <v/>
      </c>
      <c r="C501" s="26">
        <f>IF($P501="","",IF(INDEX(CalcTime,$P501)=0,"",INDEX(CalcTime,$P501)))</f>
        <v/>
      </c>
      <c r="D501" s="26">
        <f>IF($P501="","",IF(INDEX(EntryParty,$P501)=0,"",INDEX(EntryParty,$P501)))</f>
        <v/>
      </c>
      <c r="E501" s="26">
        <f>IF($P501="","",IF(INDEX(EntryPartyName,$P501)=0,"",INDEX(EntryPartyName,$P501)))</f>
        <v/>
      </c>
      <c r="F501" s="26">
        <f>IF($P501="","",IF(INDEX(EntryPartyType,$P501)=0,"",INDEX(EntryPartyType,$P501)))</f>
        <v/>
      </c>
      <c r="G501" s="26">
        <f>IF($P501="","",IF(INDEX(EntryTxnType,$P501)=0,"",INDEX(EntryTxnType,$P501)))</f>
        <v/>
      </c>
      <c r="H501" s="27">
        <f>IF($P501="","",IF(INDEX(EntryDep,$P501)=0,"",INDEX(EntryDep,$P501)))</f>
        <v/>
      </c>
      <c r="I501" s="27">
        <f>IF($P501="","",IF(INDEX(EntryWit,$P501)=0,"",INDEX(EntryWit,$P501)))</f>
        <v/>
      </c>
      <c r="J501" s="27">
        <f>IF($B501="","",IF($A501=1,$C$7,IF(J500="",0,J500))+IF($H501="",0,$H501)-IF($I501="",0,$I501))</f>
        <v/>
      </c>
      <c r="K501" s="27">
        <f>IF($P501="","",IF(INDEX(EntryMan,$P501)=0,"",INDEX(EntryMan,$P501)))</f>
        <v/>
      </c>
      <c r="L501" s="26">
        <f>IF($B501="","",IF($K501="","—",IF(ROUND($K501-$J501,0)=0,"√","×")))</f>
        <v/>
      </c>
      <c r="M501" s="26">
        <f>IF($B501="","",IF(COUNTIFS(EntryDates,$B501,CalcTime,$C501,CalcBank,$C$5,EntryParty,$D501,EntryDep,$H501,EntryWit,$I501)&gt;1,"تکرار",""))</f>
        <v/>
      </c>
      <c r="N501" s="26">
        <f>IF($P501="","",IF(INDEX(EntryNotes,$P501)=0,"",INDEX(EntryNotes,$P501)))</f>
        <v/>
      </c>
      <c r="O501" s="26">
        <f>IF($P501="","",IF(INDEX(EntryTxnID,$P501)=0,"",INDEX(EntryTxnID,$P501)))</f>
        <v/>
      </c>
      <c r="P501" s="26">
        <f>IFERROR(MATCH($C$5&amp;"|"&amp;RIGHT("000000"&amp;485,6),CalcRankKey,0),"")</f>
        <v/>
      </c>
    </row>
    <row r="502">
      <c r="A502" s="28">
        <f>IF($B502="","",486)</f>
        <v/>
      </c>
      <c r="B502" s="28">
        <f>IF($P502="","",IF(INDEX(CalcNormDate,$P502)=0,"",INDEX(CalcNormDate,$P502)))</f>
        <v/>
      </c>
      <c r="C502" s="28">
        <f>IF($P502="","",IF(INDEX(CalcTime,$P502)=0,"",INDEX(CalcTime,$P502)))</f>
        <v/>
      </c>
      <c r="D502" s="28">
        <f>IF($P502="","",IF(INDEX(EntryParty,$P502)=0,"",INDEX(EntryParty,$P502)))</f>
        <v/>
      </c>
      <c r="E502" s="28">
        <f>IF($P502="","",IF(INDEX(EntryPartyName,$P502)=0,"",INDEX(EntryPartyName,$P502)))</f>
        <v/>
      </c>
      <c r="F502" s="28">
        <f>IF($P502="","",IF(INDEX(EntryPartyType,$P502)=0,"",INDEX(EntryPartyType,$P502)))</f>
        <v/>
      </c>
      <c r="G502" s="28">
        <f>IF($P502="","",IF(INDEX(EntryTxnType,$P502)=0,"",INDEX(EntryTxnType,$P502)))</f>
        <v/>
      </c>
      <c r="H502" s="29">
        <f>IF($P502="","",IF(INDEX(EntryDep,$P502)=0,"",INDEX(EntryDep,$P502)))</f>
        <v/>
      </c>
      <c r="I502" s="29">
        <f>IF($P502="","",IF(INDEX(EntryWit,$P502)=0,"",INDEX(EntryWit,$P502)))</f>
        <v/>
      </c>
      <c r="J502" s="29">
        <f>IF($B502="","",IF($A502=1,$C$7,IF(J501="",0,J501))+IF($H502="",0,$H502)-IF($I502="",0,$I502))</f>
        <v/>
      </c>
      <c r="K502" s="29">
        <f>IF($P502="","",IF(INDEX(EntryMan,$P502)=0,"",INDEX(EntryMan,$P502)))</f>
        <v/>
      </c>
      <c r="L502" s="28">
        <f>IF($B502="","",IF($K502="","—",IF(ROUND($K502-$J502,0)=0,"√","×")))</f>
        <v/>
      </c>
      <c r="M502" s="28">
        <f>IF($B502="","",IF(COUNTIFS(EntryDates,$B502,CalcTime,$C502,CalcBank,$C$5,EntryParty,$D502,EntryDep,$H502,EntryWit,$I502)&gt;1,"تکرار",""))</f>
        <v/>
      </c>
      <c r="N502" s="28">
        <f>IF($P502="","",IF(INDEX(EntryNotes,$P502)=0,"",INDEX(EntryNotes,$P502)))</f>
        <v/>
      </c>
      <c r="O502" s="28">
        <f>IF($P502="","",IF(INDEX(EntryTxnID,$P502)=0,"",INDEX(EntryTxnID,$P502)))</f>
        <v/>
      </c>
      <c r="P502" s="28">
        <f>IFERROR(MATCH($C$5&amp;"|"&amp;RIGHT("000000"&amp;486,6),CalcRankKey,0),"")</f>
        <v/>
      </c>
    </row>
    <row r="503">
      <c r="A503" s="26">
        <f>IF($B503="","",487)</f>
        <v/>
      </c>
      <c r="B503" s="26">
        <f>IF($P503="","",IF(INDEX(CalcNormDate,$P503)=0,"",INDEX(CalcNormDate,$P503)))</f>
        <v/>
      </c>
      <c r="C503" s="26">
        <f>IF($P503="","",IF(INDEX(CalcTime,$P503)=0,"",INDEX(CalcTime,$P503)))</f>
        <v/>
      </c>
      <c r="D503" s="26">
        <f>IF($P503="","",IF(INDEX(EntryParty,$P503)=0,"",INDEX(EntryParty,$P503)))</f>
        <v/>
      </c>
      <c r="E503" s="26">
        <f>IF($P503="","",IF(INDEX(EntryPartyName,$P503)=0,"",INDEX(EntryPartyName,$P503)))</f>
        <v/>
      </c>
      <c r="F503" s="26">
        <f>IF($P503="","",IF(INDEX(EntryPartyType,$P503)=0,"",INDEX(EntryPartyType,$P503)))</f>
        <v/>
      </c>
      <c r="G503" s="26">
        <f>IF($P503="","",IF(INDEX(EntryTxnType,$P503)=0,"",INDEX(EntryTxnType,$P503)))</f>
        <v/>
      </c>
      <c r="H503" s="27">
        <f>IF($P503="","",IF(INDEX(EntryDep,$P503)=0,"",INDEX(EntryDep,$P503)))</f>
        <v/>
      </c>
      <c r="I503" s="27">
        <f>IF($P503="","",IF(INDEX(EntryWit,$P503)=0,"",INDEX(EntryWit,$P503)))</f>
        <v/>
      </c>
      <c r="J503" s="27">
        <f>IF($B503="","",IF($A503=1,$C$7,IF(J502="",0,J502))+IF($H503="",0,$H503)-IF($I503="",0,$I503))</f>
        <v/>
      </c>
      <c r="K503" s="27">
        <f>IF($P503="","",IF(INDEX(EntryMan,$P503)=0,"",INDEX(EntryMan,$P503)))</f>
        <v/>
      </c>
      <c r="L503" s="26">
        <f>IF($B503="","",IF($K503="","—",IF(ROUND($K503-$J503,0)=0,"√","×")))</f>
        <v/>
      </c>
      <c r="M503" s="26">
        <f>IF($B503="","",IF(COUNTIFS(EntryDates,$B503,CalcTime,$C503,CalcBank,$C$5,EntryParty,$D503,EntryDep,$H503,EntryWit,$I503)&gt;1,"تکرار",""))</f>
        <v/>
      </c>
      <c r="N503" s="26">
        <f>IF($P503="","",IF(INDEX(EntryNotes,$P503)=0,"",INDEX(EntryNotes,$P503)))</f>
        <v/>
      </c>
      <c r="O503" s="26">
        <f>IF($P503="","",IF(INDEX(EntryTxnID,$P503)=0,"",INDEX(EntryTxnID,$P503)))</f>
        <v/>
      </c>
      <c r="P503" s="26">
        <f>IFERROR(MATCH($C$5&amp;"|"&amp;RIGHT("000000"&amp;487,6),CalcRankKey,0),"")</f>
        <v/>
      </c>
    </row>
    <row r="504">
      <c r="A504" s="28">
        <f>IF($B504="","",488)</f>
        <v/>
      </c>
      <c r="B504" s="28">
        <f>IF($P504="","",IF(INDEX(CalcNormDate,$P504)=0,"",INDEX(CalcNormDate,$P504)))</f>
        <v/>
      </c>
      <c r="C504" s="28">
        <f>IF($P504="","",IF(INDEX(CalcTime,$P504)=0,"",INDEX(CalcTime,$P504)))</f>
        <v/>
      </c>
      <c r="D504" s="28">
        <f>IF($P504="","",IF(INDEX(EntryParty,$P504)=0,"",INDEX(EntryParty,$P504)))</f>
        <v/>
      </c>
      <c r="E504" s="28">
        <f>IF($P504="","",IF(INDEX(EntryPartyName,$P504)=0,"",INDEX(EntryPartyName,$P504)))</f>
        <v/>
      </c>
      <c r="F504" s="28">
        <f>IF($P504="","",IF(INDEX(EntryPartyType,$P504)=0,"",INDEX(EntryPartyType,$P504)))</f>
        <v/>
      </c>
      <c r="G504" s="28">
        <f>IF($P504="","",IF(INDEX(EntryTxnType,$P504)=0,"",INDEX(EntryTxnType,$P504)))</f>
        <v/>
      </c>
      <c r="H504" s="29">
        <f>IF($P504="","",IF(INDEX(EntryDep,$P504)=0,"",INDEX(EntryDep,$P504)))</f>
        <v/>
      </c>
      <c r="I504" s="29">
        <f>IF($P504="","",IF(INDEX(EntryWit,$P504)=0,"",INDEX(EntryWit,$P504)))</f>
        <v/>
      </c>
      <c r="J504" s="29">
        <f>IF($B504="","",IF($A504=1,$C$7,IF(J503="",0,J503))+IF($H504="",0,$H504)-IF($I504="",0,$I504))</f>
        <v/>
      </c>
      <c r="K504" s="29">
        <f>IF($P504="","",IF(INDEX(EntryMan,$P504)=0,"",INDEX(EntryMan,$P504)))</f>
        <v/>
      </c>
      <c r="L504" s="28">
        <f>IF($B504="","",IF($K504="","—",IF(ROUND($K504-$J504,0)=0,"√","×")))</f>
        <v/>
      </c>
      <c r="M504" s="28">
        <f>IF($B504="","",IF(COUNTIFS(EntryDates,$B504,CalcTime,$C504,CalcBank,$C$5,EntryParty,$D504,EntryDep,$H504,EntryWit,$I504)&gt;1,"تکرار",""))</f>
        <v/>
      </c>
      <c r="N504" s="28">
        <f>IF($P504="","",IF(INDEX(EntryNotes,$P504)=0,"",INDEX(EntryNotes,$P504)))</f>
        <v/>
      </c>
      <c r="O504" s="28">
        <f>IF($P504="","",IF(INDEX(EntryTxnID,$P504)=0,"",INDEX(EntryTxnID,$P504)))</f>
        <v/>
      </c>
      <c r="P504" s="28">
        <f>IFERROR(MATCH($C$5&amp;"|"&amp;RIGHT("000000"&amp;488,6),CalcRankKey,0),"")</f>
        <v/>
      </c>
    </row>
    <row r="505">
      <c r="A505" s="26">
        <f>IF($B505="","",489)</f>
        <v/>
      </c>
      <c r="B505" s="26">
        <f>IF($P505="","",IF(INDEX(CalcNormDate,$P505)=0,"",INDEX(CalcNormDate,$P505)))</f>
        <v/>
      </c>
      <c r="C505" s="26">
        <f>IF($P505="","",IF(INDEX(CalcTime,$P505)=0,"",INDEX(CalcTime,$P505)))</f>
        <v/>
      </c>
      <c r="D505" s="26">
        <f>IF($P505="","",IF(INDEX(EntryParty,$P505)=0,"",INDEX(EntryParty,$P505)))</f>
        <v/>
      </c>
      <c r="E505" s="26">
        <f>IF($P505="","",IF(INDEX(EntryPartyName,$P505)=0,"",INDEX(EntryPartyName,$P505)))</f>
        <v/>
      </c>
      <c r="F505" s="26">
        <f>IF($P505="","",IF(INDEX(EntryPartyType,$P505)=0,"",INDEX(EntryPartyType,$P505)))</f>
        <v/>
      </c>
      <c r="G505" s="26">
        <f>IF($P505="","",IF(INDEX(EntryTxnType,$P505)=0,"",INDEX(EntryTxnType,$P505)))</f>
        <v/>
      </c>
      <c r="H505" s="27">
        <f>IF($P505="","",IF(INDEX(EntryDep,$P505)=0,"",INDEX(EntryDep,$P505)))</f>
        <v/>
      </c>
      <c r="I505" s="27">
        <f>IF($P505="","",IF(INDEX(EntryWit,$P505)=0,"",INDEX(EntryWit,$P505)))</f>
        <v/>
      </c>
      <c r="J505" s="27">
        <f>IF($B505="","",IF($A505=1,$C$7,IF(J504="",0,J504))+IF($H505="",0,$H505)-IF($I505="",0,$I505))</f>
        <v/>
      </c>
      <c r="K505" s="27">
        <f>IF($P505="","",IF(INDEX(EntryMan,$P505)=0,"",INDEX(EntryMan,$P505)))</f>
        <v/>
      </c>
      <c r="L505" s="26">
        <f>IF($B505="","",IF($K505="","—",IF(ROUND($K505-$J505,0)=0,"√","×")))</f>
        <v/>
      </c>
      <c r="M505" s="26">
        <f>IF($B505="","",IF(COUNTIFS(EntryDates,$B505,CalcTime,$C505,CalcBank,$C$5,EntryParty,$D505,EntryDep,$H505,EntryWit,$I505)&gt;1,"تکرار",""))</f>
        <v/>
      </c>
      <c r="N505" s="26">
        <f>IF($P505="","",IF(INDEX(EntryNotes,$P505)=0,"",INDEX(EntryNotes,$P505)))</f>
        <v/>
      </c>
      <c r="O505" s="26">
        <f>IF($P505="","",IF(INDEX(EntryTxnID,$P505)=0,"",INDEX(EntryTxnID,$P505)))</f>
        <v/>
      </c>
      <c r="P505" s="26">
        <f>IFERROR(MATCH($C$5&amp;"|"&amp;RIGHT("000000"&amp;489,6),CalcRankKey,0),"")</f>
        <v/>
      </c>
    </row>
    <row r="506">
      <c r="A506" s="28">
        <f>IF($B506="","",490)</f>
        <v/>
      </c>
      <c r="B506" s="28">
        <f>IF($P506="","",IF(INDEX(CalcNormDate,$P506)=0,"",INDEX(CalcNormDate,$P506)))</f>
        <v/>
      </c>
      <c r="C506" s="28">
        <f>IF($P506="","",IF(INDEX(CalcTime,$P506)=0,"",INDEX(CalcTime,$P506)))</f>
        <v/>
      </c>
      <c r="D506" s="28">
        <f>IF($P506="","",IF(INDEX(EntryParty,$P506)=0,"",INDEX(EntryParty,$P506)))</f>
        <v/>
      </c>
      <c r="E506" s="28">
        <f>IF($P506="","",IF(INDEX(EntryPartyName,$P506)=0,"",INDEX(EntryPartyName,$P506)))</f>
        <v/>
      </c>
      <c r="F506" s="28">
        <f>IF($P506="","",IF(INDEX(EntryPartyType,$P506)=0,"",INDEX(EntryPartyType,$P506)))</f>
        <v/>
      </c>
      <c r="G506" s="28">
        <f>IF($P506="","",IF(INDEX(EntryTxnType,$P506)=0,"",INDEX(EntryTxnType,$P506)))</f>
        <v/>
      </c>
      <c r="H506" s="29">
        <f>IF($P506="","",IF(INDEX(EntryDep,$P506)=0,"",INDEX(EntryDep,$P506)))</f>
        <v/>
      </c>
      <c r="I506" s="29">
        <f>IF($P506="","",IF(INDEX(EntryWit,$P506)=0,"",INDEX(EntryWit,$P506)))</f>
        <v/>
      </c>
      <c r="J506" s="29">
        <f>IF($B506="","",IF($A506=1,$C$7,IF(J505="",0,J505))+IF($H506="",0,$H506)-IF($I506="",0,$I506))</f>
        <v/>
      </c>
      <c r="K506" s="29">
        <f>IF($P506="","",IF(INDEX(EntryMan,$P506)=0,"",INDEX(EntryMan,$P506)))</f>
        <v/>
      </c>
      <c r="L506" s="28">
        <f>IF($B506="","",IF($K506="","—",IF(ROUND($K506-$J506,0)=0,"√","×")))</f>
        <v/>
      </c>
      <c r="M506" s="28">
        <f>IF($B506="","",IF(COUNTIFS(EntryDates,$B506,CalcTime,$C506,CalcBank,$C$5,EntryParty,$D506,EntryDep,$H506,EntryWit,$I506)&gt;1,"تکرار",""))</f>
        <v/>
      </c>
      <c r="N506" s="28">
        <f>IF($P506="","",IF(INDEX(EntryNotes,$P506)=0,"",INDEX(EntryNotes,$P506)))</f>
        <v/>
      </c>
      <c r="O506" s="28">
        <f>IF($P506="","",IF(INDEX(EntryTxnID,$P506)=0,"",INDEX(EntryTxnID,$P506)))</f>
        <v/>
      </c>
      <c r="P506" s="28">
        <f>IFERROR(MATCH($C$5&amp;"|"&amp;RIGHT("000000"&amp;490,6),CalcRankKey,0),"")</f>
        <v/>
      </c>
    </row>
    <row r="507">
      <c r="A507" s="26">
        <f>IF($B507="","",491)</f>
        <v/>
      </c>
      <c r="B507" s="26">
        <f>IF($P507="","",IF(INDEX(CalcNormDate,$P507)=0,"",INDEX(CalcNormDate,$P507)))</f>
        <v/>
      </c>
      <c r="C507" s="26">
        <f>IF($P507="","",IF(INDEX(CalcTime,$P507)=0,"",INDEX(CalcTime,$P507)))</f>
        <v/>
      </c>
      <c r="D507" s="26">
        <f>IF($P507="","",IF(INDEX(EntryParty,$P507)=0,"",INDEX(EntryParty,$P507)))</f>
        <v/>
      </c>
      <c r="E507" s="26">
        <f>IF($P507="","",IF(INDEX(EntryPartyName,$P507)=0,"",INDEX(EntryPartyName,$P507)))</f>
        <v/>
      </c>
      <c r="F507" s="26">
        <f>IF($P507="","",IF(INDEX(EntryPartyType,$P507)=0,"",INDEX(EntryPartyType,$P507)))</f>
        <v/>
      </c>
      <c r="G507" s="26">
        <f>IF($P507="","",IF(INDEX(EntryTxnType,$P507)=0,"",INDEX(EntryTxnType,$P507)))</f>
        <v/>
      </c>
      <c r="H507" s="27">
        <f>IF($P507="","",IF(INDEX(EntryDep,$P507)=0,"",INDEX(EntryDep,$P507)))</f>
        <v/>
      </c>
      <c r="I507" s="27">
        <f>IF($P507="","",IF(INDEX(EntryWit,$P507)=0,"",INDEX(EntryWit,$P507)))</f>
        <v/>
      </c>
      <c r="J507" s="27">
        <f>IF($B507="","",IF($A507=1,$C$7,IF(J506="",0,J506))+IF($H507="",0,$H507)-IF($I507="",0,$I507))</f>
        <v/>
      </c>
      <c r="K507" s="27">
        <f>IF($P507="","",IF(INDEX(EntryMan,$P507)=0,"",INDEX(EntryMan,$P507)))</f>
        <v/>
      </c>
      <c r="L507" s="26">
        <f>IF($B507="","",IF($K507="","—",IF(ROUND($K507-$J507,0)=0,"√","×")))</f>
        <v/>
      </c>
      <c r="M507" s="26">
        <f>IF($B507="","",IF(COUNTIFS(EntryDates,$B507,CalcTime,$C507,CalcBank,$C$5,EntryParty,$D507,EntryDep,$H507,EntryWit,$I507)&gt;1,"تکرار",""))</f>
        <v/>
      </c>
      <c r="N507" s="26">
        <f>IF($P507="","",IF(INDEX(EntryNotes,$P507)=0,"",INDEX(EntryNotes,$P507)))</f>
        <v/>
      </c>
      <c r="O507" s="26">
        <f>IF($P507="","",IF(INDEX(EntryTxnID,$P507)=0,"",INDEX(EntryTxnID,$P507)))</f>
        <v/>
      </c>
      <c r="P507" s="26">
        <f>IFERROR(MATCH($C$5&amp;"|"&amp;RIGHT("000000"&amp;491,6),CalcRankKey,0),"")</f>
        <v/>
      </c>
    </row>
    <row r="508">
      <c r="A508" s="28">
        <f>IF($B508="","",492)</f>
        <v/>
      </c>
      <c r="B508" s="28">
        <f>IF($P508="","",IF(INDEX(CalcNormDate,$P508)=0,"",INDEX(CalcNormDate,$P508)))</f>
        <v/>
      </c>
      <c r="C508" s="28">
        <f>IF($P508="","",IF(INDEX(CalcTime,$P508)=0,"",INDEX(CalcTime,$P508)))</f>
        <v/>
      </c>
      <c r="D508" s="28">
        <f>IF($P508="","",IF(INDEX(EntryParty,$P508)=0,"",INDEX(EntryParty,$P508)))</f>
        <v/>
      </c>
      <c r="E508" s="28">
        <f>IF($P508="","",IF(INDEX(EntryPartyName,$P508)=0,"",INDEX(EntryPartyName,$P508)))</f>
        <v/>
      </c>
      <c r="F508" s="28">
        <f>IF($P508="","",IF(INDEX(EntryPartyType,$P508)=0,"",INDEX(EntryPartyType,$P508)))</f>
        <v/>
      </c>
      <c r="G508" s="28">
        <f>IF($P508="","",IF(INDEX(EntryTxnType,$P508)=0,"",INDEX(EntryTxnType,$P508)))</f>
        <v/>
      </c>
      <c r="H508" s="29">
        <f>IF($P508="","",IF(INDEX(EntryDep,$P508)=0,"",INDEX(EntryDep,$P508)))</f>
        <v/>
      </c>
      <c r="I508" s="29">
        <f>IF($P508="","",IF(INDEX(EntryWit,$P508)=0,"",INDEX(EntryWit,$P508)))</f>
        <v/>
      </c>
      <c r="J508" s="29">
        <f>IF($B508="","",IF($A508=1,$C$7,IF(J507="",0,J507))+IF($H508="",0,$H508)-IF($I508="",0,$I508))</f>
        <v/>
      </c>
      <c r="K508" s="29">
        <f>IF($P508="","",IF(INDEX(EntryMan,$P508)=0,"",INDEX(EntryMan,$P508)))</f>
        <v/>
      </c>
      <c r="L508" s="28">
        <f>IF($B508="","",IF($K508="","—",IF(ROUND($K508-$J508,0)=0,"√","×")))</f>
        <v/>
      </c>
      <c r="M508" s="28">
        <f>IF($B508="","",IF(COUNTIFS(EntryDates,$B508,CalcTime,$C508,CalcBank,$C$5,EntryParty,$D508,EntryDep,$H508,EntryWit,$I508)&gt;1,"تکرار",""))</f>
        <v/>
      </c>
      <c r="N508" s="28">
        <f>IF($P508="","",IF(INDEX(EntryNotes,$P508)=0,"",INDEX(EntryNotes,$P508)))</f>
        <v/>
      </c>
      <c r="O508" s="28">
        <f>IF($P508="","",IF(INDEX(EntryTxnID,$P508)=0,"",INDEX(EntryTxnID,$P508)))</f>
        <v/>
      </c>
      <c r="P508" s="28">
        <f>IFERROR(MATCH($C$5&amp;"|"&amp;RIGHT("000000"&amp;492,6),CalcRankKey,0),"")</f>
        <v/>
      </c>
    </row>
    <row r="509">
      <c r="A509" s="26">
        <f>IF($B509="","",493)</f>
        <v/>
      </c>
      <c r="B509" s="26">
        <f>IF($P509="","",IF(INDEX(CalcNormDate,$P509)=0,"",INDEX(CalcNormDate,$P509)))</f>
        <v/>
      </c>
      <c r="C509" s="26">
        <f>IF($P509="","",IF(INDEX(CalcTime,$P509)=0,"",INDEX(CalcTime,$P509)))</f>
        <v/>
      </c>
      <c r="D509" s="26">
        <f>IF($P509="","",IF(INDEX(EntryParty,$P509)=0,"",INDEX(EntryParty,$P509)))</f>
        <v/>
      </c>
      <c r="E509" s="26">
        <f>IF($P509="","",IF(INDEX(EntryPartyName,$P509)=0,"",INDEX(EntryPartyName,$P509)))</f>
        <v/>
      </c>
      <c r="F509" s="26">
        <f>IF($P509="","",IF(INDEX(EntryPartyType,$P509)=0,"",INDEX(EntryPartyType,$P509)))</f>
        <v/>
      </c>
      <c r="G509" s="26">
        <f>IF($P509="","",IF(INDEX(EntryTxnType,$P509)=0,"",INDEX(EntryTxnType,$P509)))</f>
        <v/>
      </c>
      <c r="H509" s="27">
        <f>IF($P509="","",IF(INDEX(EntryDep,$P509)=0,"",INDEX(EntryDep,$P509)))</f>
        <v/>
      </c>
      <c r="I509" s="27">
        <f>IF($P509="","",IF(INDEX(EntryWit,$P509)=0,"",INDEX(EntryWit,$P509)))</f>
        <v/>
      </c>
      <c r="J509" s="27">
        <f>IF($B509="","",IF($A509=1,$C$7,IF(J508="",0,J508))+IF($H509="",0,$H509)-IF($I509="",0,$I509))</f>
        <v/>
      </c>
      <c r="K509" s="27">
        <f>IF($P509="","",IF(INDEX(EntryMan,$P509)=0,"",INDEX(EntryMan,$P509)))</f>
        <v/>
      </c>
      <c r="L509" s="26">
        <f>IF($B509="","",IF($K509="","—",IF(ROUND($K509-$J509,0)=0,"√","×")))</f>
        <v/>
      </c>
      <c r="M509" s="26">
        <f>IF($B509="","",IF(COUNTIFS(EntryDates,$B509,CalcTime,$C509,CalcBank,$C$5,EntryParty,$D509,EntryDep,$H509,EntryWit,$I509)&gt;1,"تکرار",""))</f>
        <v/>
      </c>
      <c r="N509" s="26">
        <f>IF($P509="","",IF(INDEX(EntryNotes,$P509)=0,"",INDEX(EntryNotes,$P509)))</f>
        <v/>
      </c>
      <c r="O509" s="26">
        <f>IF($P509="","",IF(INDEX(EntryTxnID,$P509)=0,"",INDEX(EntryTxnID,$P509)))</f>
        <v/>
      </c>
      <c r="P509" s="26">
        <f>IFERROR(MATCH($C$5&amp;"|"&amp;RIGHT("000000"&amp;493,6),CalcRankKey,0),"")</f>
        <v/>
      </c>
    </row>
    <row r="510">
      <c r="A510" s="28">
        <f>IF($B510="","",494)</f>
        <v/>
      </c>
      <c r="B510" s="28">
        <f>IF($P510="","",IF(INDEX(CalcNormDate,$P510)=0,"",INDEX(CalcNormDate,$P510)))</f>
        <v/>
      </c>
      <c r="C510" s="28">
        <f>IF($P510="","",IF(INDEX(CalcTime,$P510)=0,"",INDEX(CalcTime,$P510)))</f>
        <v/>
      </c>
      <c r="D510" s="28">
        <f>IF($P510="","",IF(INDEX(EntryParty,$P510)=0,"",INDEX(EntryParty,$P510)))</f>
        <v/>
      </c>
      <c r="E510" s="28">
        <f>IF($P510="","",IF(INDEX(EntryPartyName,$P510)=0,"",INDEX(EntryPartyName,$P510)))</f>
        <v/>
      </c>
      <c r="F510" s="28">
        <f>IF($P510="","",IF(INDEX(EntryPartyType,$P510)=0,"",INDEX(EntryPartyType,$P510)))</f>
        <v/>
      </c>
      <c r="G510" s="28">
        <f>IF($P510="","",IF(INDEX(EntryTxnType,$P510)=0,"",INDEX(EntryTxnType,$P510)))</f>
        <v/>
      </c>
      <c r="H510" s="29">
        <f>IF($P510="","",IF(INDEX(EntryDep,$P510)=0,"",INDEX(EntryDep,$P510)))</f>
        <v/>
      </c>
      <c r="I510" s="29">
        <f>IF($P510="","",IF(INDEX(EntryWit,$P510)=0,"",INDEX(EntryWit,$P510)))</f>
        <v/>
      </c>
      <c r="J510" s="29">
        <f>IF($B510="","",IF($A510=1,$C$7,IF(J509="",0,J509))+IF($H510="",0,$H510)-IF($I510="",0,$I510))</f>
        <v/>
      </c>
      <c r="K510" s="29">
        <f>IF($P510="","",IF(INDEX(EntryMan,$P510)=0,"",INDEX(EntryMan,$P510)))</f>
        <v/>
      </c>
      <c r="L510" s="28">
        <f>IF($B510="","",IF($K510="","—",IF(ROUND($K510-$J510,0)=0,"√","×")))</f>
        <v/>
      </c>
      <c r="M510" s="28">
        <f>IF($B510="","",IF(COUNTIFS(EntryDates,$B510,CalcTime,$C510,CalcBank,$C$5,EntryParty,$D510,EntryDep,$H510,EntryWit,$I510)&gt;1,"تکرار",""))</f>
        <v/>
      </c>
      <c r="N510" s="28">
        <f>IF($P510="","",IF(INDEX(EntryNotes,$P510)=0,"",INDEX(EntryNotes,$P510)))</f>
        <v/>
      </c>
      <c r="O510" s="28">
        <f>IF($P510="","",IF(INDEX(EntryTxnID,$P510)=0,"",INDEX(EntryTxnID,$P510)))</f>
        <v/>
      </c>
      <c r="P510" s="28">
        <f>IFERROR(MATCH($C$5&amp;"|"&amp;RIGHT("000000"&amp;494,6),CalcRankKey,0),"")</f>
        <v/>
      </c>
    </row>
    <row r="511">
      <c r="A511" s="26">
        <f>IF($B511="","",495)</f>
        <v/>
      </c>
      <c r="B511" s="26">
        <f>IF($P511="","",IF(INDEX(CalcNormDate,$P511)=0,"",INDEX(CalcNormDate,$P511)))</f>
        <v/>
      </c>
      <c r="C511" s="26">
        <f>IF($P511="","",IF(INDEX(CalcTime,$P511)=0,"",INDEX(CalcTime,$P511)))</f>
        <v/>
      </c>
      <c r="D511" s="26">
        <f>IF($P511="","",IF(INDEX(EntryParty,$P511)=0,"",INDEX(EntryParty,$P511)))</f>
        <v/>
      </c>
      <c r="E511" s="26">
        <f>IF($P511="","",IF(INDEX(EntryPartyName,$P511)=0,"",INDEX(EntryPartyName,$P511)))</f>
        <v/>
      </c>
      <c r="F511" s="26">
        <f>IF($P511="","",IF(INDEX(EntryPartyType,$P511)=0,"",INDEX(EntryPartyType,$P511)))</f>
        <v/>
      </c>
      <c r="G511" s="26">
        <f>IF($P511="","",IF(INDEX(EntryTxnType,$P511)=0,"",INDEX(EntryTxnType,$P511)))</f>
        <v/>
      </c>
      <c r="H511" s="27">
        <f>IF($P511="","",IF(INDEX(EntryDep,$P511)=0,"",INDEX(EntryDep,$P511)))</f>
        <v/>
      </c>
      <c r="I511" s="27">
        <f>IF($P511="","",IF(INDEX(EntryWit,$P511)=0,"",INDEX(EntryWit,$P511)))</f>
        <v/>
      </c>
      <c r="J511" s="27">
        <f>IF($B511="","",IF($A511=1,$C$7,IF(J510="",0,J510))+IF($H511="",0,$H511)-IF($I511="",0,$I511))</f>
        <v/>
      </c>
      <c r="K511" s="27">
        <f>IF($P511="","",IF(INDEX(EntryMan,$P511)=0,"",INDEX(EntryMan,$P511)))</f>
        <v/>
      </c>
      <c r="L511" s="26">
        <f>IF($B511="","",IF($K511="","—",IF(ROUND($K511-$J511,0)=0,"√","×")))</f>
        <v/>
      </c>
      <c r="M511" s="26">
        <f>IF($B511="","",IF(COUNTIFS(EntryDates,$B511,CalcTime,$C511,CalcBank,$C$5,EntryParty,$D511,EntryDep,$H511,EntryWit,$I511)&gt;1,"تکرار",""))</f>
        <v/>
      </c>
      <c r="N511" s="26">
        <f>IF($P511="","",IF(INDEX(EntryNotes,$P511)=0,"",INDEX(EntryNotes,$P511)))</f>
        <v/>
      </c>
      <c r="O511" s="26">
        <f>IF($P511="","",IF(INDEX(EntryTxnID,$P511)=0,"",INDEX(EntryTxnID,$P511)))</f>
        <v/>
      </c>
      <c r="P511" s="26">
        <f>IFERROR(MATCH($C$5&amp;"|"&amp;RIGHT("000000"&amp;495,6),CalcRankKey,0),"")</f>
        <v/>
      </c>
    </row>
    <row r="512">
      <c r="A512" s="28">
        <f>IF($B512="","",496)</f>
        <v/>
      </c>
      <c r="B512" s="28">
        <f>IF($P512="","",IF(INDEX(CalcNormDate,$P512)=0,"",INDEX(CalcNormDate,$P512)))</f>
        <v/>
      </c>
      <c r="C512" s="28">
        <f>IF($P512="","",IF(INDEX(CalcTime,$P512)=0,"",INDEX(CalcTime,$P512)))</f>
        <v/>
      </c>
      <c r="D512" s="28">
        <f>IF($P512="","",IF(INDEX(EntryParty,$P512)=0,"",INDEX(EntryParty,$P512)))</f>
        <v/>
      </c>
      <c r="E512" s="28">
        <f>IF($P512="","",IF(INDEX(EntryPartyName,$P512)=0,"",INDEX(EntryPartyName,$P512)))</f>
        <v/>
      </c>
      <c r="F512" s="28">
        <f>IF($P512="","",IF(INDEX(EntryPartyType,$P512)=0,"",INDEX(EntryPartyType,$P512)))</f>
        <v/>
      </c>
      <c r="G512" s="28">
        <f>IF($P512="","",IF(INDEX(EntryTxnType,$P512)=0,"",INDEX(EntryTxnType,$P512)))</f>
        <v/>
      </c>
      <c r="H512" s="29">
        <f>IF($P512="","",IF(INDEX(EntryDep,$P512)=0,"",INDEX(EntryDep,$P512)))</f>
        <v/>
      </c>
      <c r="I512" s="29">
        <f>IF($P512="","",IF(INDEX(EntryWit,$P512)=0,"",INDEX(EntryWit,$P512)))</f>
        <v/>
      </c>
      <c r="J512" s="29">
        <f>IF($B512="","",IF($A512=1,$C$7,IF(J511="",0,J511))+IF($H512="",0,$H512)-IF($I512="",0,$I512))</f>
        <v/>
      </c>
      <c r="K512" s="29">
        <f>IF($P512="","",IF(INDEX(EntryMan,$P512)=0,"",INDEX(EntryMan,$P512)))</f>
        <v/>
      </c>
      <c r="L512" s="28">
        <f>IF($B512="","",IF($K512="","—",IF(ROUND($K512-$J512,0)=0,"√","×")))</f>
        <v/>
      </c>
      <c r="M512" s="28">
        <f>IF($B512="","",IF(COUNTIFS(EntryDates,$B512,CalcTime,$C512,CalcBank,$C$5,EntryParty,$D512,EntryDep,$H512,EntryWit,$I512)&gt;1,"تکرار",""))</f>
        <v/>
      </c>
      <c r="N512" s="28">
        <f>IF($P512="","",IF(INDEX(EntryNotes,$P512)=0,"",INDEX(EntryNotes,$P512)))</f>
        <v/>
      </c>
      <c r="O512" s="28">
        <f>IF($P512="","",IF(INDEX(EntryTxnID,$P512)=0,"",INDEX(EntryTxnID,$P512)))</f>
        <v/>
      </c>
      <c r="P512" s="28">
        <f>IFERROR(MATCH($C$5&amp;"|"&amp;RIGHT("000000"&amp;496,6),CalcRankKey,0),"")</f>
        <v/>
      </c>
    </row>
    <row r="513">
      <c r="A513" s="26">
        <f>IF($B513="","",497)</f>
        <v/>
      </c>
      <c r="B513" s="26">
        <f>IF($P513="","",IF(INDEX(CalcNormDate,$P513)=0,"",INDEX(CalcNormDate,$P513)))</f>
        <v/>
      </c>
      <c r="C513" s="26">
        <f>IF($P513="","",IF(INDEX(CalcTime,$P513)=0,"",INDEX(CalcTime,$P513)))</f>
        <v/>
      </c>
      <c r="D513" s="26">
        <f>IF($P513="","",IF(INDEX(EntryParty,$P513)=0,"",INDEX(EntryParty,$P513)))</f>
        <v/>
      </c>
      <c r="E513" s="26">
        <f>IF($P513="","",IF(INDEX(EntryPartyName,$P513)=0,"",INDEX(EntryPartyName,$P513)))</f>
        <v/>
      </c>
      <c r="F513" s="26">
        <f>IF($P513="","",IF(INDEX(EntryPartyType,$P513)=0,"",INDEX(EntryPartyType,$P513)))</f>
        <v/>
      </c>
      <c r="G513" s="26">
        <f>IF($P513="","",IF(INDEX(EntryTxnType,$P513)=0,"",INDEX(EntryTxnType,$P513)))</f>
        <v/>
      </c>
      <c r="H513" s="27">
        <f>IF($P513="","",IF(INDEX(EntryDep,$P513)=0,"",INDEX(EntryDep,$P513)))</f>
        <v/>
      </c>
      <c r="I513" s="27">
        <f>IF($P513="","",IF(INDEX(EntryWit,$P513)=0,"",INDEX(EntryWit,$P513)))</f>
        <v/>
      </c>
      <c r="J513" s="27">
        <f>IF($B513="","",IF($A513=1,$C$7,IF(J512="",0,J512))+IF($H513="",0,$H513)-IF($I513="",0,$I513))</f>
        <v/>
      </c>
      <c r="K513" s="27">
        <f>IF($P513="","",IF(INDEX(EntryMan,$P513)=0,"",INDEX(EntryMan,$P513)))</f>
        <v/>
      </c>
      <c r="L513" s="26">
        <f>IF($B513="","",IF($K513="","—",IF(ROUND($K513-$J513,0)=0,"√","×")))</f>
        <v/>
      </c>
      <c r="M513" s="26">
        <f>IF($B513="","",IF(COUNTIFS(EntryDates,$B513,CalcTime,$C513,CalcBank,$C$5,EntryParty,$D513,EntryDep,$H513,EntryWit,$I513)&gt;1,"تکرار",""))</f>
        <v/>
      </c>
      <c r="N513" s="26">
        <f>IF($P513="","",IF(INDEX(EntryNotes,$P513)=0,"",INDEX(EntryNotes,$P513)))</f>
        <v/>
      </c>
      <c r="O513" s="26">
        <f>IF($P513="","",IF(INDEX(EntryTxnID,$P513)=0,"",INDEX(EntryTxnID,$P513)))</f>
        <v/>
      </c>
      <c r="P513" s="26">
        <f>IFERROR(MATCH($C$5&amp;"|"&amp;RIGHT("000000"&amp;497,6),CalcRankKey,0),"")</f>
        <v/>
      </c>
    </row>
    <row r="514">
      <c r="A514" s="28">
        <f>IF($B514="","",498)</f>
        <v/>
      </c>
      <c r="B514" s="28">
        <f>IF($P514="","",IF(INDEX(CalcNormDate,$P514)=0,"",INDEX(CalcNormDate,$P514)))</f>
        <v/>
      </c>
      <c r="C514" s="28">
        <f>IF($P514="","",IF(INDEX(CalcTime,$P514)=0,"",INDEX(CalcTime,$P514)))</f>
        <v/>
      </c>
      <c r="D514" s="28">
        <f>IF($P514="","",IF(INDEX(EntryParty,$P514)=0,"",INDEX(EntryParty,$P514)))</f>
        <v/>
      </c>
      <c r="E514" s="28">
        <f>IF($P514="","",IF(INDEX(EntryPartyName,$P514)=0,"",INDEX(EntryPartyName,$P514)))</f>
        <v/>
      </c>
      <c r="F514" s="28">
        <f>IF($P514="","",IF(INDEX(EntryPartyType,$P514)=0,"",INDEX(EntryPartyType,$P514)))</f>
        <v/>
      </c>
      <c r="G514" s="28">
        <f>IF($P514="","",IF(INDEX(EntryTxnType,$P514)=0,"",INDEX(EntryTxnType,$P514)))</f>
        <v/>
      </c>
      <c r="H514" s="29">
        <f>IF($P514="","",IF(INDEX(EntryDep,$P514)=0,"",INDEX(EntryDep,$P514)))</f>
        <v/>
      </c>
      <c r="I514" s="29">
        <f>IF($P514="","",IF(INDEX(EntryWit,$P514)=0,"",INDEX(EntryWit,$P514)))</f>
        <v/>
      </c>
      <c r="J514" s="29">
        <f>IF($B514="","",IF($A514=1,$C$7,IF(J513="",0,J513))+IF($H514="",0,$H514)-IF($I514="",0,$I514))</f>
        <v/>
      </c>
      <c r="K514" s="29">
        <f>IF($P514="","",IF(INDEX(EntryMan,$P514)=0,"",INDEX(EntryMan,$P514)))</f>
        <v/>
      </c>
      <c r="L514" s="28">
        <f>IF($B514="","",IF($K514="","—",IF(ROUND($K514-$J514,0)=0,"√","×")))</f>
        <v/>
      </c>
      <c r="M514" s="28">
        <f>IF($B514="","",IF(COUNTIFS(EntryDates,$B514,CalcTime,$C514,CalcBank,$C$5,EntryParty,$D514,EntryDep,$H514,EntryWit,$I514)&gt;1,"تکرار",""))</f>
        <v/>
      </c>
      <c r="N514" s="28">
        <f>IF($P514="","",IF(INDEX(EntryNotes,$P514)=0,"",INDEX(EntryNotes,$P514)))</f>
        <v/>
      </c>
      <c r="O514" s="28">
        <f>IF($P514="","",IF(INDEX(EntryTxnID,$P514)=0,"",INDEX(EntryTxnID,$P514)))</f>
        <v/>
      </c>
      <c r="P514" s="28">
        <f>IFERROR(MATCH($C$5&amp;"|"&amp;RIGHT("000000"&amp;498,6),CalcRankKey,0),"")</f>
        <v/>
      </c>
    </row>
    <row r="515">
      <c r="A515" s="26">
        <f>IF($B515="","",499)</f>
        <v/>
      </c>
      <c r="B515" s="26">
        <f>IF($P515="","",IF(INDEX(CalcNormDate,$P515)=0,"",INDEX(CalcNormDate,$P515)))</f>
        <v/>
      </c>
      <c r="C515" s="26">
        <f>IF($P515="","",IF(INDEX(CalcTime,$P515)=0,"",INDEX(CalcTime,$P515)))</f>
        <v/>
      </c>
      <c r="D515" s="26">
        <f>IF($P515="","",IF(INDEX(EntryParty,$P515)=0,"",INDEX(EntryParty,$P515)))</f>
        <v/>
      </c>
      <c r="E515" s="26">
        <f>IF($P515="","",IF(INDEX(EntryPartyName,$P515)=0,"",INDEX(EntryPartyName,$P515)))</f>
        <v/>
      </c>
      <c r="F515" s="26">
        <f>IF($P515="","",IF(INDEX(EntryPartyType,$P515)=0,"",INDEX(EntryPartyType,$P515)))</f>
        <v/>
      </c>
      <c r="G515" s="26">
        <f>IF($P515="","",IF(INDEX(EntryTxnType,$P515)=0,"",INDEX(EntryTxnType,$P515)))</f>
        <v/>
      </c>
      <c r="H515" s="27">
        <f>IF($P515="","",IF(INDEX(EntryDep,$P515)=0,"",INDEX(EntryDep,$P515)))</f>
        <v/>
      </c>
      <c r="I515" s="27">
        <f>IF($P515="","",IF(INDEX(EntryWit,$P515)=0,"",INDEX(EntryWit,$P515)))</f>
        <v/>
      </c>
      <c r="J515" s="27">
        <f>IF($B515="","",IF($A515=1,$C$7,IF(J514="",0,J514))+IF($H515="",0,$H515)-IF($I515="",0,$I515))</f>
        <v/>
      </c>
      <c r="K515" s="27">
        <f>IF($P515="","",IF(INDEX(EntryMan,$P515)=0,"",INDEX(EntryMan,$P515)))</f>
        <v/>
      </c>
      <c r="L515" s="26">
        <f>IF($B515="","",IF($K515="","—",IF(ROUND($K515-$J515,0)=0,"√","×")))</f>
        <v/>
      </c>
      <c r="M515" s="26">
        <f>IF($B515="","",IF(COUNTIFS(EntryDates,$B515,CalcTime,$C515,CalcBank,$C$5,EntryParty,$D515,EntryDep,$H515,EntryWit,$I515)&gt;1,"تکرار",""))</f>
        <v/>
      </c>
      <c r="N515" s="26">
        <f>IF($P515="","",IF(INDEX(EntryNotes,$P515)=0,"",INDEX(EntryNotes,$P515)))</f>
        <v/>
      </c>
      <c r="O515" s="26">
        <f>IF($P515="","",IF(INDEX(EntryTxnID,$P515)=0,"",INDEX(EntryTxnID,$P515)))</f>
        <v/>
      </c>
      <c r="P515" s="26">
        <f>IFERROR(MATCH($C$5&amp;"|"&amp;RIGHT("000000"&amp;499,6),CalcRankKey,0),"")</f>
        <v/>
      </c>
    </row>
    <row r="516">
      <c r="A516" s="28">
        <f>IF($B516="","",500)</f>
        <v/>
      </c>
      <c r="B516" s="28">
        <f>IF($P516="","",IF(INDEX(CalcNormDate,$P516)=0,"",INDEX(CalcNormDate,$P516)))</f>
        <v/>
      </c>
      <c r="C516" s="28">
        <f>IF($P516="","",IF(INDEX(CalcTime,$P516)=0,"",INDEX(CalcTime,$P516)))</f>
        <v/>
      </c>
      <c r="D516" s="28">
        <f>IF($P516="","",IF(INDEX(EntryParty,$P516)=0,"",INDEX(EntryParty,$P516)))</f>
        <v/>
      </c>
      <c r="E516" s="28">
        <f>IF($P516="","",IF(INDEX(EntryPartyName,$P516)=0,"",INDEX(EntryPartyName,$P516)))</f>
        <v/>
      </c>
      <c r="F516" s="28">
        <f>IF($P516="","",IF(INDEX(EntryPartyType,$P516)=0,"",INDEX(EntryPartyType,$P516)))</f>
        <v/>
      </c>
      <c r="G516" s="28">
        <f>IF($P516="","",IF(INDEX(EntryTxnType,$P516)=0,"",INDEX(EntryTxnType,$P516)))</f>
        <v/>
      </c>
      <c r="H516" s="29">
        <f>IF($P516="","",IF(INDEX(EntryDep,$P516)=0,"",INDEX(EntryDep,$P516)))</f>
        <v/>
      </c>
      <c r="I516" s="29">
        <f>IF($P516="","",IF(INDEX(EntryWit,$P516)=0,"",INDEX(EntryWit,$P516)))</f>
        <v/>
      </c>
      <c r="J516" s="29">
        <f>IF($B516="","",IF($A516=1,$C$7,IF(J515="",0,J515))+IF($H516="",0,$H516)-IF($I516="",0,$I516))</f>
        <v/>
      </c>
      <c r="K516" s="29">
        <f>IF($P516="","",IF(INDEX(EntryMan,$P516)=0,"",INDEX(EntryMan,$P516)))</f>
        <v/>
      </c>
      <c r="L516" s="28">
        <f>IF($B516="","",IF($K516="","—",IF(ROUND($K516-$J516,0)=0,"√","×")))</f>
        <v/>
      </c>
      <c r="M516" s="28">
        <f>IF($B516="","",IF(COUNTIFS(EntryDates,$B516,CalcTime,$C516,CalcBank,$C$5,EntryParty,$D516,EntryDep,$H516,EntryWit,$I516)&gt;1,"تکرار",""))</f>
        <v/>
      </c>
      <c r="N516" s="28">
        <f>IF($P516="","",IF(INDEX(EntryNotes,$P516)=0,"",INDEX(EntryNotes,$P516)))</f>
        <v/>
      </c>
      <c r="O516" s="28">
        <f>IF($P516="","",IF(INDEX(EntryTxnID,$P516)=0,"",INDEX(EntryTxnID,$P516)))</f>
        <v/>
      </c>
      <c r="P516" s="28">
        <f>IFERROR(MATCH($C$5&amp;"|"&amp;RIGHT("000000"&amp;500,6),CalcRankKey,0),"")</f>
        <v/>
      </c>
    </row>
  </sheetData>
  <mergeCells count="43">
    <mergeCell ref="E12:F12"/>
    <mergeCell ref="G12:H12"/>
    <mergeCell ref="O12"/>
    <mergeCell ref="H10:I10"/>
    <mergeCell ref="I4:O4"/>
    <mergeCell ref="A6:B6"/>
    <mergeCell ref="H9:I9"/>
    <mergeCell ref="J7:O7"/>
    <mergeCell ref="O13"/>
    <mergeCell ref="A2:O2"/>
    <mergeCell ref="A7:B7"/>
    <mergeCell ref="H6:I6"/>
    <mergeCell ref="C8:E8"/>
    <mergeCell ref="E13:F13"/>
    <mergeCell ref="G13:H13"/>
    <mergeCell ref="C7:E7"/>
    <mergeCell ref="A9:E10"/>
    <mergeCell ref="A12:B12"/>
    <mergeCell ref="M13:N13"/>
    <mergeCell ref="C12:D12"/>
    <mergeCell ref="A3:H3"/>
    <mergeCell ref="I12:J12"/>
    <mergeCell ref="K12:L12"/>
    <mergeCell ref="M12:N12"/>
    <mergeCell ref="H7:I7"/>
    <mergeCell ref="A5:B5"/>
    <mergeCell ref="J8:O8"/>
    <mergeCell ref="A8:B8"/>
    <mergeCell ref="C6:E6"/>
    <mergeCell ref="A4:H4"/>
    <mergeCell ref="J5:O5"/>
    <mergeCell ref="C5:E5"/>
    <mergeCell ref="J10:O10"/>
    <mergeCell ref="I3:O3"/>
    <mergeCell ref="A1:O1"/>
    <mergeCell ref="A13:B13"/>
    <mergeCell ref="H5:I5"/>
    <mergeCell ref="J9:O9"/>
    <mergeCell ref="C13:D13"/>
    <mergeCell ref="H8:I8"/>
    <mergeCell ref="I13:J13"/>
    <mergeCell ref="K13:L13"/>
    <mergeCell ref="J6:O6"/>
  </mergeCells>
  <conditionalFormatting sqref="L17:L516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3">
      <formula>"—"</formula>
    </cfRule>
  </conditionalFormatting>
  <conditionalFormatting sqref="M17:M516">
    <cfRule type="cellIs" priority="4" operator="equal" dxfId="4">
      <formula>"تکرار"</formula>
    </cfRule>
  </conditionalFormatting>
  <conditionalFormatting sqref="J17:J516">
    <cfRule type="cellIs" priority="5" operator="lessThan" dxfId="5">
      <formula>0</formula>
    </cfRule>
  </conditionalFormatting>
  <conditionalFormatting sqref="H17:H516">
    <cfRule type="dataBar" priority="6">
      <dataBar showValue="1">
        <cfvo type="num" val="0"/>
        <cfvo type="max"/>
        <color rgb="0081C784"/>
      </dataBar>
    </cfRule>
  </conditionalFormatting>
  <conditionalFormatting sqref="I17:I516">
    <cfRule type="dataBar" priority="7">
      <dataBar showValue="1">
        <cfvo type="num" val="0"/>
        <cfvo type="max"/>
        <color rgb="00FF8A65"/>
      </dataBar>
    </cfRule>
  </conditionalFormatting>
  <conditionalFormatting sqref="A4:H4">
    <cfRule type="expression" priority="8" dxfId="6">
      <formula>LEN($A$4)&gt;0</formula>
    </cfRule>
  </conditionalFormatting>
  <conditionalFormatting sqref="I13">
    <cfRule type="expression" priority="9" dxfId="7">
      <formula>ISNUMBER(SEARCH("×",$I$13))</formula>
    </cfRule>
    <cfRule type="expression" priority="10" dxfId="8">
      <formula>ISNUMBER(SEARCH("√",$I$13))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بانکی — BANK03&amp;R&amp;"Tahoma"&amp;8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P5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.5" customWidth="1" min="3" max="3"/>
    <col width="10" customWidth="1" min="4" max="4"/>
    <col width="2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0" customWidth="1" min="13" max="13"/>
    <col width="27" customWidth="1" min="14" max="14"/>
    <col width="11" customWidth="1" min="15" max="15"/>
    <col hidden="1" width="6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15">
        <f>IFERROR("صورت حساب بانکی — "&amp;IF(VLOOKUP("BANK04",BankTbl,2,0)="","(بدون عنوان)",VLOOKUP("BANK04",BankTbl,2,0)),"صورت حساب بانکی")</f>
        <v/>
      </c>
      <c r="B3" s="15" t="n"/>
      <c r="C3" s="15" t="n"/>
      <c r="D3" s="15" t="n"/>
      <c r="E3" s="15" t="n"/>
      <c r="F3" s="15" t="n"/>
      <c r="G3" s="15" t="n"/>
      <c r="H3" s="15" t="n"/>
      <c r="I3" s="16">
        <f>"کد حساب: BANK04"</f>
        <v/>
      </c>
      <c r="J3" s="16" t="n"/>
      <c r="K3" s="16" t="n"/>
      <c r="L3" s="16" t="n"/>
      <c r="M3" s="16" t="n"/>
      <c r="N3" s="16" t="n"/>
      <c r="O3" s="16" t="n"/>
    </row>
    <row r="4" ht="14" customHeight="1">
      <c r="A4" s="17">
        <f>IF(COUNTIFS(CalcBank,"BANK04")&gt;500,"× ظرفیت 500 ردیف این برگه پر شده — آخرین ردیف را به پایین کپی کنید","")</f>
        <v/>
      </c>
      <c r="B4" s="17" t="n"/>
      <c r="C4" s="17" t="n"/>
      <c r="D4" s="17" t="n"/>
      <c r="E4" s="17" t="n"/>
      <c r="F4" s="17" t="n"/>
      <c r="G4" s="17" t="n"/>
      <c r="H4" s="17" t="n"/>
      <c r="I4" s="18" t="inlineStr">
        <is>
          <t>مشخصات رسمی زیر، دستی وارد می‌شود (زردرنگ).</t>
        </is>
      </c>
      <c r="J4" s="18" t="n"/>
      <c r="K4" s="18" t="n"/>
      <c r="L4" s="18" t="n"/>
      <c r="M4" s="18" t="n"/>
      <c r="N4" s="18" t="n"/>
      <c r="O4" s="18" t="n"/>
    </row>
    <row r="5" ht="18" customHeight="1">
      <c r="A5" s="19" t="inlineStr">
        <is>
          <t>کد حساب:</t>
        </is>
      </c>
      <c r="B5" s="19" t="n"/>
      <c r="C5" s="20" t="inlineStr">
        <is>
          <t>BANK04</t>
        </is>
      </c>
      <c r="D5" s="20" t="n"/>
      <c r="E5" s="20" t="n"/>
      <c r="H5" s="19" t="inlineStr">
        <is>
          <t>نام رسمی بانک:</t>
        </is>
      </c>
      <c r="I5" s="19" t="n"/>
      <c r="J5" s="21" t="n"/>
      <c r="K5" s="21" t="n"/>
      <c r="L5" s="21" t="n"/>
      <c r="M5" s="21" t="n"/>
      <c r="N5" s="21" t="n"/>
      <c r="O5" s="21" t="n"/>
    </row>
    <row r="6" ht="18" customHeight="1">
      <c r="A6" s="19" t="inlineStr">
        <is>
          <t>عنوان نمایشی:</t>
        </is>
      </c>
      <c r="B6" s="19" t="n"/>
      <c r="C6" s="22">
        <f>IFERROR(IF(VLOOKUP("BANK04",BankTbl,2,0)="","(بدون عنوان)",VLOOKUP("BANK04",BankTbl,2,0)),"—")</f>
        <v/>
      </c>
      <c r="D6" s="22" t="n"/>
      <c r="E6" s="22" t="n"/>
      <c r="H6" s="19" t="inlineStr">
        <is>
          <t>شعبه:</t>
        </is>
      </c>
      <c r="I6" s="19" t="n"/>
      <c r="J6" s="21" t="n"/>
      <c r="K6" s="21" t="n"/>
      <c r="L6" s="21" t="n"/>
      <c r="M6" s="21" t="n"/>
      <c r="N6" s="21" t="n"/>
      <c r="O6" s="21" t="n"/>
    </row>
    <row r="7" ht="18" customHeight="1">
      <c r="A7" s="19" t="inlineStr">
        <is>
          <t>مانده اولیه (ریال):</t>
        </is>
      </c>
      <c r="B7" s="19" t="n"/>
      <c r="C7" s="23">
        <f>IFERROR(VLOOKUP("BANK04",BankTbl,3,0),0)</f>
        <v/>
      </c>
      <c r="D7" s="23" t="n"/>
      <c r="E7" s="23" t="n"/>
      <c r="H7" s="19" t="inlineStr">
        <is>
          <t>شماره حساب:</t>
        </is>
      </c>
      <c r="I7" s="19" t="n"/>
      <c r="J7" s="24" t="n"/>
      <c r="K7" s="24" t="n"/>
      <c r="L7" s="24" t="n"/>
      <c r="M7" s="24" t="n"/>
      <c r="N7" s="24" t="n"/>
      <c r="O7" s="24" t="n"/>
    </row>
    <row r="8" ht="18" customHeight="1">
      <c r="A8" s="19" t="inlineStr">
        <is>
          <t>وضعیت فعال:</t>
        </is>
      </c>
      <c r="B8" s="19" t="n"/>
      <c r="C8" s="10">
        <f>IFERROR(IF(VLOOKUP("BANK04",BankTbl,4,0)=0,"—",VLOOKUP("BANK04",BankTbl,4,0)),"—")</f>
        <v/>
      </c>
      <c r="D8" s="10" t="n"/>
      <c r="E8" s="10" t="n"/>
      <c r="H8" s="19" t="inlineStr">
        <is>
          <t>شماره شبا (۲۴ رقم):</t>
        </is>
      </c>
      <c r="I8" s="19" t="n"/>
      <c r="J8" s="24" t="n"/>
      <c r="K8" s="24" t="n"/>
      <c r="L8" s="24" t="n"/>
      <c r="M8" s="24" t="n"/>
      <c r="N8" s="24" t="n"/>
      <c r="O8" s="24" t="n"/>
    </row>
    <row r="9" ht="18" customHeight="1">
      <c r="A9" s="25" t="inlineStr">
        <is>
          <t>این چهار سلول از فایل مادر خوانده می‌شوند؛ برای تغییر: Mazandasht_INFO.xlsx ← شیت Banks. مشخصات رسمی (زردرنگ) دستی وارد می‌شود.</t>
        </is>
      </c>
      <c r="B9" s="25" t="n"/>
      <c r="C9" s="25" t="n"/>
      <c r="D9" s="25" t="n"/>
      <c r="E9" s="25" t="n"/>
      <c r="H9" s="19" t="inlineStr">
        <is>
          <t>صاحب حساب:</t>
        </is>
      </c>
      <c r="I9" s="19" t="n"/>
      <c r="J9" s="21" t="n"/>
      <c r="K9" s="21" t="n"/>
      <c r="L9" s="21" t="n"/>
      <c r="M9" s="21" t="n"/>
      <c r="N9" s="21" t="n"/>
      <c r="O9" s="21" t="n"/>
    </row>
    <row r="10" ht="18" customHeight="1">
      <c r="A10" s="25" t="n"/>
      <c r="B10" s="25" t="n"/>
      <c r="C10" s="25" t="n"/>
      <c r="D10" s="25" t="n"/>
      <c r="E10" s="25" t="n"/>
      <c r="H10" s="19" t="inlineStr">
        <is>
          <t>تلفن شعبه:</t>
        </is>
      </c>
      <c r="I10" s="19" t="n"/>
      <c r="J10" s="21" t="n"/>
      <c r="K10" s="21" t="n"/>
      <c r="L10" s="21" t="n"/>
      <c r="M10" s="21" t="n"/>
      <c r="N10" s="21" t="n"/>
      <c r="O10" s="21" t="n"/>
    </row>
    <row r="12" ht="13" customHeight="1">
      <c r="A12" s="5" t="inlineStr">
        <is>
          <t>جمع واریز (ریال)</t>
        </is>
      </c>
      <c r="B12" s="5" t="n"/>
      <c r="C12" s="5" t="inlineStr">
        <is>
          <t>جمع برداشت (ریال)</t>
        </is>
      </c>
      <c r="D12" s="5" t="n"/>
      <c r="E12" s="5" t="inlineStr">
        <is>
          <t>مانده نهایی سیستم</t>
        </is>
      </c>
      <c r="F12" s="5" t="n"/>
      <c r="G12" s="5" t="inlineStr">
        <is>
          <t>آخرین موجودی بانک</t>
        </is>
      </c>
      <c r="H12" s="5" t="n"/>
      <c r="I12" s="5" t="inlineStr">
        <is>
          <t>وضعیت مغایرت</t>
        </is>
      </c>
      <c r="J12" s="5" t="n"/>
      <c r="K12" s="5" t="inlineStr">
        <is>
          <t>تعداد تراکنش</t>
        </is>
      </c>
      <c r="L12" s="5" t="n"/>
      <c r="M12" s="5" t="inlineStr">
        <is>
          <t>ردیف تکراری</t>
        </is>
      </c>
      <c r="N12" s="5" t="n"/>
      <c r="O12" s="5" t="inlineStr">
        <is>
          <t>آخرین تاریخ</t>
        </is>
      </c>
    </row>
    <row r="13" ht="22" customHeight="1">
      <c r="A13" s="7">
        <f>SUM($H$17:$H$516)</f>
        <v/>
      </c>
      <c r="B13" s="7" t="n"/>
      <c r="C13" s="7">
        <f>SUM($I$17:$I$516)</f>
        <v/>
      </c>
      <c r="D13" s="7" t="n"/>
      <c r="E13" s="7">
        <f>IFERROR(LOOKUP(9.99E+307,$J$17:$J$516),$C$7)</f>
        <v/>
      </c>
      <c r="F13" s="7" t="n"/>
      <c r="G13" s="7">
        <f>IFERROR(LOOKUP(9.99E+307,$K$17:$K$516),"—")</f>
        <v/>
      </c>
      <c r="H13" s="7" t="n"/>
      <c r="I13" s="7">
        <f>IF(NOT(ISNUMBER($G$13)),"— بدون کنترل",IF(ROUND($G$13-$E$13,0)=0,"√ منطبق","× مغایرت ("&amp;TEXT(ROUND($G$13-$E$13,0),"#,##0")&amp;" ریال)"))</f>
        <v/>
      </c>
      <c r="J13" s="7" t="n"/>
      <c r="K13" s="7">
        <f>COUNT($A$17:$A$516)</f>
        <v/>
      </c>
      <c r="L13" s="7" t="n"/>
      <c r="M13" s="7">
        <f>COUNTIF($M$17:$M$516,"تکرار")</f>
        <v/>
      </c>
      <c r="N13" s="7" t="n"/>
      <c r="O13" s="7">
        <f>IF(COUNT($A$17:$A$516)=0,"—",INDEX($B$17:$B$516,COUNT($A$17:$A$516)))</f>
        <v/>
      </c>
    </row>
    <row r="14" ht="6" customHeight="1"/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ساعت</t>
        </is>
      </c>
      <c r="D15" s="8" t="inlineStr">
        <is>
          <t>کد طرف</t>
        </is>
      </c>
      <c r="E15" s="8" t="inlineStr">
        <is>
          <t>طرف حساب</t>
        </is>
      </c>
      <c r="F15" s="8" t="inlineStr">
        <is>
          <t>نوع طرف حساب</t>
        </is>
      </c>
      <c r="G15" s="8" t="inlineStr">
        <is>
          <t>نوع تراکنش</t>
        </is>
      </c>
      <c r="H15" s="8" t="inlineStr">
        <is>
          <t>واریز (ریال)</t>
        </is>
      </c>
      <c r="I15" s="8" t="inlineStr">
        <is>
          <t>برداشت (ریال)</t>
        </is>
      </c>
      <c r="J15" s="8" t="inlineStr">
        <is>
          <t>مانده سیستم (ریال)</t>
        </is>
      </c>
      <c r="K15" s="8" t="inlineStr">
        <is>
          <t>موجودی بانک (ریال)</t>
        </is>
      </c>
      <c r="L15" s="8" t="inlineStr">
        <is>
          <t>وضعیت</t>
        </is>
      </c>
      <c r="M15" s="8" t="inlineStr">
        <is>
          <t>کنترل تکرار</t>
        </is>
      </c>
      <c r="N15" s="8" t="inlineStr">
        <is>
          <t>توضیحات</t>
        </is>
      </c>
      <c r="O15" s="8" t="inlineStr">
        <is>
          <t>شناسه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Time</t>
        </is>
      </c>
      <c r="D16" s="9" t="inlineStr">
        <is>
          <t>Party Code</t>
        </is>
      </c>
      <c r="E16" s="9" t="inlineStr">
        <is>
          <t>Party</t>
        </is>
      </c>
      <c r="F16" s="9" t="inlineStr">
        <is>
          <t>Party Type</t>
        </is>
      </c>
      <c r="G16" s="9" t="inlineStr">
        <is>
          <t>Txn Type</t>
        </is>
      </c>
      <c r="H16" s="9" t="inlineStr">
        <is>
          <t>Deposit</t>
        </is>
      </c>
      <c r="I16" s="9" t="inlineStr">
        <is>
          <t>Withdrawal</t>
        </is>
      </c>
      <c r="J16" s="9" t="inlineStr">
        <is>
          <t>System Balance</t>
        </is>
      </c>
      <c r="K16" s="9" t="inlineStr">
        <is>
          <t>Bank Balance</t>
        </is>
      </c>
      <c r="L16" s="9" t="inlineStr">
        <is>
          <t>Status</t>
        </is>
      </c>
      <c r="M16" s="9" t="inlineStr">
        <is>
          <t>Dup Check</t>
        </is>
      </c>
      <c r="N16" s="9" t="inlineStr">
        <is>
          <t>Notes</t>
        </is>
      </c>
      <c r="O16" s="9" t="inlineStr">
        <is>
          <t>TxnID</t>
        </is>
      </c>
    </row>
    <row r="17">
      <c r="A17" s="26">
        <f>IF($B17="","",1)</f>
        <v/>
      </c>
      <c r="B17" s="26">
        <f>IF($P17="","",IF(INDEX(CalcNormDate,$P17)=0,"",INDEX(CalcNormDate,$P17)))</f>
        <v/>
      </c>
      <c r="C17" s="26">
        <f>IF($P17="","",IF(INDEX(CalcTime,$P17)=0,"",INDEX(CalcTime,$P17)))</f>
        <v/>
      </c>
      <c r="D17" s="26">
        <f>IF($P17="","",IF(INDEX(EntryParty,$P17)=0,"",INDEX(EntryParty,$P17)))</f>
        <v/>
      </c>
      <c r="E17" s="26">
        <f>IF($P17="","",IF(INDEX(EntryPartyName,$P17)=0,"",INDEX(EntryPartyName,$P17)))</f>
        <v/>
      </c>
      <c r="F17" s="26">
        <f>IF($P17="","",IF(INDEX(EntryPartyType,$P17)=0,"",INDEX(EntryPartyType,$P17)))</f>
        <v/>
      </c>
      <c r="G17" s="26">
        <f>IF($P17="","",IF(INDEX(EntryTxnType,$P17)=0,"",INDEX(EntryTxnType,$P17)))</f>
        <v/>
      </c>
      <c r="H17" s="27">
        <f>IF($P17="","",IF(INDEX(EntryDep,$P17)=0,"",INDEX(EntryDep,$P17)))</f>
        <v/>
      </c>
      <c r="I17" s="27">
        <f>IF($P17="","",IF(INDEX(EntryWit,$P17)=0,"",INDEX(EntryWit,$P17)))</f>
        <v/>
      </c>
      <c r="J17" s="27">
        <f>IF($B17="","",IF($A17=1,$C$7,IF(J16="",0,J16))+IF($H17="",0,$H17)-IF($I17="",0,$I17))</f>
        <v/>
      </c>
      <c r="K17" s="27">
        <f>IF($P17="","",IF(INDEX(EntryMan,$P17)=0,"",INDEX(EntryMan,$P17)))</f>
        <v/>
      </c>
      <c r="L17" s="26">
        <f>IF($B17="","",IF($K17="","—",IF(ROUND($K17-$J17,0)=0,"√","×")))</f>
        <v/>
      </c>
      <c r="M17" s="26">
        <f>IF($B17="","",IF(COUNTIFS(EntryDates,$B17,CalcTime,$C17,CalcBank,$C$5,EntryParty,$D17,EntryDep,$H17,EntryWit,$I17)&gt;1,"تکرار",""))</f>
        <v/>
      </c>
      <c r="N17" s="26">
        <f>IF($P17="","",IF(INDEX(EntryNotes,$P17)=0,"",INDEX(EntryNotes,$P17)))</f>
        <v/>
      </c>
      <c r="O17" s="26">
        <f>IF($P17="","",IF(INDEX(EntryTxnID,$P17)=0,"",INDEX(EntryTxnID,$P17)))</f>
        <v/>
      </c>
      <c r="P17" s="26">
        <f>IFERROR(MATCH($C$5&amp;"|"&amp;RIGHT("000000"&amp;1,6),CalcRankKey,0),"")</f>
        <v/>
      </c>
    </row>
    <row r="18">
      <c r="A18" s="28">
        <f>IF($B18="","",2)</f>
        <v/>
      </c>
      <c r="B18" s="28">
        <f>IF($P18="","",IF(INDEX(CalcNormDate,$P18)=0,"",INDEX(CalcNormDate,$P18)))</f>
        <v/>
      </c>
      <c r="C18" s="28">
        <f>IF($P18="","",IF(INDEX(CalcTime,$P18)=0,"",INDEX(CalcTime,$P18)))</f>
        <v/>
      </c>
      <c r="D18" s="28">
        <f>IF($P18="","",IF(INDEX(EntryParty,$P18)=0,"",INDEX(EntryParty,$P18)))</f>
        <v/>
      </c>
      <c r="E18" s="28">
        <f>IF($P18="","",IF(INDEX(EntryPartyName,$P18)=0,"",INDEX(EntryPartyName,$P18)))</f>
        <v/>
      </c>
      <c r="F18" s="28">
        <f>IF($P18="","",IF(INDEX(EntryPartyType,$P18)=0,"",INDEX(EntryPartyType,$P18)))</f>
        <v/>
      </c>
      <c r="G18" s="28">
        <f>IF($P18="","",IF(INDEX(EntryTxnType,$P18)=0,"",INDEX(EntryTxnType,$P18)))</f>
        <v/>
      </c>
      <c r="H18" s="29">
        <f>IF($P18="","",IF(INDEX(EntryDep,$P18)=0,"",INDEX(EntryDep,$P18)))</f>
        <v/>
      </c>
      <c r="I18" s="29">
        <f>IF($P18="","",IF(INDEX(EntryWit,$P18)=0,"",INDEX(EntryWit,$P18)))</f>
        <v/>
      </c>
      <c r="J18" s="29">
        <f>IF($B18="","",IF($A18=1,$C$7,IF(J17="",0,J17))+IF($H18="",0,$H18)-IF($I18="",0,$I18))</f>
        <v/>
      </c>
      <c r="K18" s="29">
        <f>IF($P18="","",IF(INDEX(EntryMan,$P18)=0,"",INDEX(EntryMan,$P18)))</f>
        <v/>
      </c>
      <c r="L18" s="28">
        <f>IF($B18="","",IF($K18="","—",IF(ROUND($K18-$J18,0)=0,"√","×")))</f>
        <v/>
      </c>
      <c r="M18" s="28">
        <f>IF($B18="","",IF(COUNTIFS(EntryDates,$B18,CalcTime,$C18,CalcBank,$C$5,EntryParty,$D18,EntryDep,$H18,EntryWit,$I18)&gt;1,"تکرار",""))</f>
        <v/>
      </c>
      <c r="N18" s="28">
        <f>IF($P18="","",IF(INDEX(EntryNotes,$P18)=0,"",INDEX(EntryNotes,$P18)))</f>
        <v/>
      </c>
      <c r="O18" s="28">
        <f>IF($P18="","",IF(INDEX(EntryTxnID,$P18)=0,"",INDEX(EntryTxnID,$P18)))</f>
        <v/>
      </c>
      <c r="P18" s="28">
        <f>IFERROR(MATCH($C$5&amp;"|"&amp;RIGHT("000000"&amp;2,6),CalcRankKey,0),"")</f>
        <v/>
      </c>
    </row>
    <row r="19">
      <c r="A19" s="26">
        <f>IF($B19="","",3)</f>
        <v/>
      </c>
      <c r="B19" s="26">
        <f>IF($P19="","",IF(INDEX(CalcNormDate,$P19)=0,"",INDEX(CalcNormDate,$P19)))</f>
        <v/>
      </c>
      <c r="C19" s="26">
        <f>IF($P19="","",IF(INDEX(CalcTime,$P19)=0,"",INDEX(CalcTime,$P19)))</f>
        <v/>
      </c>
      <c r="D19" s="26">
        <f>IF($P19="","",IF(INDEX(EntryParty,$P19)=0,"",INDEX(EntryParty,$P19)))</f>
        <v/>
      </c>
      <c r="E19" s="26">
        <f>IF($P19="","",IF(INDEX(EntryPartyName,$P19)=0,"",INDEX(EntryPartyName,$P19)))</f>
        <v/>
      </c>
      <c r="F19" s="26">
        <f>IF($P19="","",IF(INDEX(EntryPartyType,$P19)=0,"",INDEX(EntryPartyType,$P19)))</f>
        <v/>
      </c>
      <c r="G19" s="26">
        <f>IF($P19="","",IF(INDEX(EntryTxnType,$P19)=0,"",INDEX(EntryTxnType,$P19)))</f>
        <v/>
      </c>
      <c r="H19" s="27">
        <f>IF($P19="","",IF(INDEX(EntryDep,$P19)=0,"",INDEX(EntryDep,$P19)))</f>
        <v/>
      </c>
      <c r="I19" s="27">
        <f>IF($P19="","",IF(INDEX(EntryWit,$P19)=0,"",INDEX(EntryWit,$P19)))</f>
        <v/>
      </c>
      <c r="J19" s="27">
        <f>IF($B19="","",IF($A19=1,$C$7,IF(J18="",0,J18))+IF($H19="",0,$H19)-IF($I19="",0,$I19))</f>
        <v/>
      </c>
      <c r="K19" s="27">
        <f>IF($P19="","",IF(INDEX(EntryMan,$P19)=0,"",INDEX(EntryMan,$P19)))</f>
        <v/>
      </c>
      <c r="L19" s="26">
        <f>IF($B19="","",IF($K19="","—",IF(ROUND($K19-$J19,0)=0,"√","×")))</f>
        <v/>
      </c>
      <c r="M19" s="26">
        <f>IF($B19="","",IF(COUNTIFS(EntryDates,$B19,CalcTime,$C19,CalcBank,$C$5,EntryParty,$D19,EntryDep,$H19,EntryWit,$I19)&gt;1,"تکرار",""))</f>
        <v/>
      </c>
      <c r="N19" s="26">
        <f>IF($P19="","",IF(INDEX(EntryNotes,$P19)=0,"",INDEX(EntryNotes,$P19)))</f>
        <v/>
      </c>
      <c r="O19" s="26">
        <f>IF($P19="","",IF(INDEX(EntryTxnID,$P19)=0,"",INDEX(EntryTxnID,$P19)))</f>
        <v/>
      </c>
      <c r="P19" s="26">
        <f>IFERROR(MATCH($C$5&amp;"|"&amp;RIGHT("000000"&amp;3,6),CalcRankKey,0),"")</f>
        <v/>
      </c>
    </row>
    <row r="20">
      <c r="A20" s="28">
        <f>IF($B20="","",4)</f>
        <v/>
      </c>
      <c r="B20" s="28">
        <f>IF($P20="","",IF(INDEX(CalcNormDate,$P20)=0,"",INDEX(CalcNormDate,$P20)))</f>
        <v/>
      </c>
      <c r="C20" s="28">
        <f>IF($P20="","",IF(INDEX(CalcTime,$P20)=0,"",INDEX(CalcTime,$P20)))</f>
        <v/>
      </c>
      <c r="D20" s="28">
        <f>IF($P20="","",IF(INDEX(EntryParty,$P20)=0,"",INDEX(EntryParty,$P20)))</f>
        <v/>
      </c>
      <c r="E20" s="28">
        <f>IF($P20="","",IF(INDEX(EntryPartyName,$P20)=0,"",INDEX(EntryPartyName,$P20)))</f>
        <v/>
      </c>
      <c r="F20" s="28">
        <f>IF($P20="","",IF(INDEX(EntryPartyType,$P20)=0,"",INDEX(EntryPartyType,$P20)))</f>
        <v/>
      </c>
      <c r="G20" s="28">
        <f>IF($P20="","",IF(INDEX(EntryTxnType,$P20)=0,"",INDEX(EntryTxnType,$P20)))</f>
        <v/>
      </c>
      <c r="H20" s="29">
        <f>IF($P20="","",IF(INDEX(EntryDep,$P20)=0,"",INDEX(EntryDep,$P20)))</f>
        <v/>
      </c>
      <c r="I20" s="29">
        <f>IF($P20="","",IF(INDEX(EntryWit,$P20)=0,"",INDEX(EntryWit,$P20)))</f>
        <v/>
      </c>
      <c r="J20" s="29">
        <f>IF($B20="","",IF($A20=1,$C$7,IF(J19="",0,J19))+IF($H20="",0,$H20)-IF($I20="",0,$I20))</f>
        <v/>
      </c>
      <c r="K20" s="29">
        <f>IF($P20="","",IF(INDEX(EntryMan,$P20)=0,"",INDEX(EntryMan,$P20)))</f>
        <v/>
      </c>
      <c r="L20" s="28">
        <f>IF($B20="","",IF($K20="","—",IF(ROUND($K20-$J20,0)=0,"√","×")))</f>
        <v/>
      </c>
      <c r="M20" s="28">
        <f>IF($B20="","",IF(COUNTIFS(EntryDates,$B20,CalcTime,$C20,CalcBank,$C$5,EntryParty,$D20,EntryDep,$H20,EntryWit,$I20)&gt;1,"تکرار",""))</f>
        <v/>
      </c>
      <c r="N20" s="28">
        <f>IF($P20="","",IF(INDEX(EntryNotes,$P20)=0,"",INDEX(EntryNotes,$P20)))</f>
        <v/>
      </c>
      <c r="O20" s="28">
        <f>IF($P20="","",IF(INDEX(EntryTxnID,$P20)=0,"",INDEX(EntryTxnID,$P20)))</f>
        <v/>
      </c>
      <c r="P20" s="28">
        <f>IFERROR(MATCH($C$5&amp;"|"&amp;RIGHT("000000"&amp;4,6),CalcRankKey,0),"")</f>
        <v/>
      </c>
    </row>
    <row r="21">
      <c r="A21" s="26">
        <f>IF($B21="","",5)</f>
        <v/>
      </c>
      <c r="B21" s="26">
        <f>IF($P21="","",IF(INDEX(CalcNormDate,$P21)=0,"",INDEX(CalcNormDate,$P21)))</f>
        <v/>
      </c>
      <c r="C21" s="26">
        <f>IF($P21="","",IF(INDEX(CalcTime,$P21)=0,"",INDEX(CalcTime,$P21)))</f>
        <v/>
      </c>
      <c r="D21" s="26">
        <f>IF($P21="","",IF(INDEX(EntryParty,$P21)=0,"",INDEX(EntryParty,$P21)))</f>
        <v/>
      </c>
      <c r="E21" s="26">
        <f>IF($P21="","",IF(INDEX(EntryPartyName,$P21)=0,"",INDEX(EntryPartyName,$P21)))</f>
        <v/>
      </c>
      <c r="F21" s="26">
        <f>IF($P21="","",IF(INDEX(EntryPartyType,$P21)=0,"",INDEX(EntryPartyType,$P21)))</f>
        <v/>
      </c>
      <c r="G21" s="26">
        <f>IF($P21="","",IF(INDEX(EntryTxnType,$P21)=0,"",INDEX(EntryTxnType,$P21)))</f>
        <v/>
      </c>
      <c r="H21" s="27">
        <f>IF($P21="","",IF(INDEX(EntryDep,$P21)=0,"",INDEX(EntryDep,$P21)))</f>
        <v/>
      </c>
      <c r="I21" s="27">
        <f>IF($P21="","",IF(INDEX(EntryWit,$P21)=0,"",INDEX(EntryWit,$P21)))</f>
        <v/>
      </c>
      <c r="J21" s="27">
        <f>IF($B21="","",IF($A21=1,$C$7,IF(J20="",0,J20))+IF($H21="",0,$H21)-IF($I21="",0,$I21))</f>
        <v/>
      </c>
      <c r="K21" s="27">
        <f>IF($P21="","",IF(INDEX(EntryMan,$P21)=0,"",INDEX(EntryMan,$P21)))</f>
        <v/>
      </c>
      <c r="L21" s="26">
        <f>IF($B21="","",IF($K21="","—",IF(ROUND($K21-$J21,0)=0,"√","×")))</f>
        <v/>
      </c>
      <c r="M21" s="26">
        <f>IF($B21="","",IF(COUNTIFS(EntryDates,$B21,CalcTime,$C21,CalcBank,$C$5,EntryParty,$D21,EntryDep,$H21,EntryWit,$I21)&gt;1,"تکرار",""))</f>
        <v/>
      </c>
      <c r="N21" s="26">
        <f>IF($P21="","",IF(INDEX(EntryNotes,$P21)=0,"",INDEX(EntryNotes,$P21)))</f>
        <v/>
      </c>
      <c r="O21" s="26">
        <f>IF($P21="","",IF(INDEX(EntryTxnID,$P21)=0,"",INDEX(EntryTxnID,$P21)))</f>
        <v/>
      </c>
      <c r="P21" s="26">
        <f>IFERROR(MATCH($C$5&amp;"|"&amp;RIGHT("000000"&amp;5,6),CalcRankKey,0),"")</f>
        <v/>
      </c>
    </row>
    <row r="22">
      <c r="A22" s="28">
        <f>IF($B22="","",6)</f>
        <v/>
      </c>
      <c r="B22" s="28">
        <f>IF($P22="","",IF(INDEX(CalcNormDate,$P22)=0,"",INDEX(CalcNormDate,$P22)))</f>
        <v/>
      </c>
      <c r="C22" s="28">
        <f>IF($P22="","",IF(INDEX(CalcTime,$P22)=0,"",INDEX(CalcTime,$P22)))</f>
        <v/>
      </c>
      <c r="D22" s="28">
        <f>IF($P22="","",IF(INDEX(EntryParty,$P22)=0,"",INDEX(EntryParty,$P22)))</f>
        <v/>
      </c>
      <c r="E22" s="28">
        <f>IF($P22="","",IF(INDEX(EntryPartyName,$P22)=0,"",INDEX(EntryPartyName,$P22)))</f>
        <v/>
      </c>
      <c r="F22" s="28">
        <f>IF($P22="","",IF(INDEX(EntryPartyType,$P22)=0,"",INDEX(EntryPartyType,$P22)))</f>
        <v/>
      </c>
      <c r="G22" s="28">
        <f>IF($P22="","",IF(INDEX(EntryTxnType,$P22)=0,"",INDEX(EntryTxnType,$P22)))</f>
        <v/>
      </c>
      <c r="H22" s="29">
        <f>IF($P22="","",IF(INDEX(EntryDep,$P22)=0,"",INDEX(EntryDep,$P22)))</f>
        <v/>
      </c>
      <c r="I22" s="29">
        <f>IF($P22="","",IF(INDEX(EntryWit,$P22)=0,"",INDEX(EntryWit,$P22)))</f>
        <v/>
      </c>
      <c r="J22" s="29">
        <f>IF($B22="","",IF($A22=1,$C$7,IF(J21="",0,J21))+IF($H22="",0,$H22)-IF($I22="",0,$I22))</f>
        <v/>
      </c>
      <c r="K22" s="29">
        <f>IF($P22="","",IF(INDEX(EntryMan,$P22)=0,"",INDEX(EntryMan,$P22)))</f>
        <v/>
      </c>
      <c r="L22" s="28">
        <f>IF($B22="","",IF($K22="","—",IF(ROUND($K22-$J22,0)=0,"√","×")))</f>
        <v/>
      </c>
      <c r="M22" s="28">
        <f>IF($B22="","",IF(COUNTIFS(EntryDates,$B22,CalcTime,$C22,CalcBank,$C$5,EntryParty,$D22,EntryDep,$H22,EntryWit,$I22)&gt;1,"تکرار",""))</f>
        <v/>
      </c>
      <c r="N22" s="28">
        <f>IF($P22="","",IF(INDEX(EntryNotes,$P22)=0,"",INDEX(EntryNotes,$P22)))</f>
        <v/>
      </c>
      <c r="O22" s="28">
        <f>IF($P22="","",IF(INDEX(EntryTxnID,$P22)=0,"",INDEX(EntryTxnID,$P22)))</f>
        <v/>
      </c>
      <c r="P22" s="28">
        <f>IFERROR(MATCH($C$5&amp;"|"&amp;RIGHT("000000"&amp;6,6),CalcRankKey,0),"")</f>
        <v/>
      </c>
    </row>
    <row r="23">
      <c r="A23" s="26">
        <f>IF($B23="","",7)</f>
        <v/>
      </c>
      <c r="B23" s="26">
        <f>IF($P23="","",IF(INDEX(CalcNormDate,$P23)=0,"",INDEX(CalcNormDate,$P23)))</f>
        <v/>
      </c>
      <c r="C23" s="26">
        <f>IF($P23="","",IF(INDEX(CalcTime,$P23)=0,"",INDEX(CalcTime,$P23)))</f>
        <v/>
      </c>
      <c r="D23" s="26">
        <f>IF($P23="","",IF(INDEX(EntryParty,$P23)=0,"",INDEX(EntryParty,$P23)))</f>
        <v/>
      </c>
      <c r="E23" s="26">
        <f>IF($P23="","",IF(INDEX(EntryPartyName,$P23)=0,"",INDEX(EntryPartyName,$P23)))</f>
        <v/>
      </c>
      <c r="F23" s="26">
        <f>IF($P23="","",IF(INDEX(EntryPartyType,$P23)=0,"",INDEX(EntryPartyType,$P23)))</f>
        <v/>
      </c>
      <c r="G23" s="26">
        <f>IF($P23="","",IF(INDEX(EntryTxnType,$P23)=0,"",INDEX(EntryTxnType,$P23)))</f>
        <v/>
      </c>
      <c r="H23" s="27">
        <f>IF($P23="","",IF(INDEX(EntryDep,$P23)=0,"",INDEX(EntryDep,$P23)))</f>
        <v/>
      </c>
      <c r="I23" s="27">
        <f>IF($P23="","",IF(INDEX(EntryWit,$P23)=0,"",INDEX(EntryWit,$P23)))</f>
        <v/>
      </c>
      <c r="J23" s="27">
        <f>IF($B23="","",IF($A23=1,$C$7,IF(J22="",0,J22))+IF($H23="",0,$H23)-IF($I23="",0,$I23))</f>
        <v/>
      </c>
      <c r="K23" s="27">
        <f>IF($P23="","",IF(INDEX(EntryMan,$P23)=0,"",INDEX(EntryMan,$P23)))</f>
        <v/>
      </c>
      <c r="L23" s="26">
        <f>IF($B23="","",IF($K23="","—",IF(ROUND($K23-$J23,0)=0,"√","×")))</f>
        <v/>
      </c>
      <c r="M23" s="26">
        <f>IF($B23="","",IF(COUNTIFS(EntryDates,$B23,CalcTime,$C23,CalcBank,$C$5,EntryParty,$D23,EntryDep,$H23,EntryWit,$I23)&gt;1,"تکرار",""))</f>
        <v/>
      </c>
      <c r="N23" s="26">
        <f>IF($P23="","",IF(INDEX(EntryNotes,$P23)=0,"",INDEX(EntryNotes,$P23)))</f>
        <v/>
      </c>
      <c r="O23" s="26">
        <f>IF($P23="","",IF(INDEX(EntryTxnID,$P23)=0,"",INDEX(EntryTxnID,$P23)))</f>
        <v/>
      </c>
      <c r="P23" s="26">
        <f>IFERROR(MATCH($C$5&amp;"|"&amp;RIGHT("000000"&amp;7,6),CalcRankKey,0),"")</f>
        <v/>
      </c>
    </row>
    <row r="24">
      <c r="A24" s="28">
        <f>IF($B24="","",8)</f>
        <v/>
      </c>
      <c r="B24" s="28">
        <f>IF($P24="","",IF(INDEX(CalcNormDate,$P24)=0,"",INDEX(CalcNormDate,$P24)))</f>
        <v/>
      </c>
      <c r="C24" s="28">
        <f>IF($P24="","",IF(INDEX(CalcTime,$P24)=0,"",INDEX(CalcTime,$P24)))</f>
        <v/>
      </c>
      <c r="D24" s="28">
        <f>IF($P24="","",IF(INDEX(EntryParty,$P24)=0,"",INDEX(EntryParty,$P24)))</f>
        <v/>
      </c>
      <c r="E24" s="28">
        <f>IF($P24="","",IF(INDEX(EntryPartyName,$P24)=0,"",INDEX(EntryPartyName,$P24)))</f>
        <v/>
      </c>
      <c r="F24" s="28">
        <f>IF($P24="","",IF(INDEX(EntryPartyType,$P24)=0,"",INDEX(EntryPartyType,$P24)))</f>
        <v/>
      </c>
      <c r="G24" s="28">
        <f>IF($P24="","",IF(INDEX(EntryTxnType,$P24)=0,"",INDEX(EntryTxnType,$P24)))</f>
        <v/>
      </c>
      <c r="H24" s="29">
        <f>IF($P24="","",IF(INDEX(EntryDep,$P24)=0,"",INDEX(EntryDep,$P24)))</f>
        <v/>
      </c>
      <c r="I24" s="29">
        <f>IF($P24="","",IF(INDEX(EntryWit,$P24)=0,"",INDEX(EntryWit,$P24)))</f>
        <v/>
      </c>
      <c r="J24" s="29">
        <f>IF($B24="","",IF($A24=1,$C$7,IF(J23="",0,J23))+IF($H24="",0,$H24)-IF($I24="",0,$I24))</f>
        <v/>
      </c>
      <c r="K24" s="29">
        <f>IF($P24="","",IF(INDEX(EntryMan,$P24)=0,"",INDEX(EntryMan,$P24)))</f>
        <v/>
      </c>
      <c r="L24" s="28">
        <f>IF($B24="","",IF($K24="","—",IF(ROUND($K24-$J24,0)=0,"√","×")))</f>
        <v/>
      </c>
      <c r="M24" s="28">
        <f>IF($B24="","",IF(COUNTIFS(EntryDates,$B24,CalcTime,$C24,CalcBank,$C$5,EntryParty,$D24,EntryDep,$H24,EntryWit,$I24)&gt;1,"تکرار",""))</f>
        <v/>
      </c>
      <c r="N24" s="28">
        <f>IF($P24="","",IF(INDEX(EntryNotes,$P24)=0,"",INDEX(EntryNotes,$P24)))</f>
        <v/>
      </c>
      <c r="O24" s="28">
        <f>IF($P24="","",IF(INDEX(EntryTxnID,$P24)=0,"",INDEX(EntryTxnID,$P24)))</f>
        <v/>
      </c>
      <c r="P24" s="28">
        <f>IFERROR(MATCH($C$5&amp;"|"&amp;RIGHT("000000"&amp;8,6),CalcRankKey,0),"")</f>
        <v/>
      </c>
    </row>
    <row r="25">
      <c r="A25" s="26">
        <f>IF($B25="","",9)</f>
        <v/>
      </c>
      <c r="B25" s="26">
        <f>IF($P25="","",IF(INDEX(CalcNormDate,$P25)=0,"",INDEX(CalcNormDate,$P25)))</f>
        <v/>
      </c>
      <c r="C25" s="26">
        <f>IF($P25="","",IF(INDEX(CalcTime,$P25)=0,"",INDEX(CalcTime,$P25)))</f>
        <v/>
      </c>
      <c r="D25" s="26">
        <f>IF($P25="","",IF(INDEX(EntryParty,$P25)=0,"",INDEX(EntryParty,$P25)))</f>
        <v/>
      </c>
      <c r="E25" s="26">
        <f>IF($P25="","",IF(INDEX(EntryPartyName,$P25)=0,"",INDEX(EntryPartyName,$P25)))</f>
        <v/>
      </c>
      <c r="F25" s="26">
        <f>IF($P25="","",IF(INDEX(EntryPartyType,$P25)=0,"",INDEX(EntryPartyType,$P25)))</f>
        <v/>
      </c>
      <c r="G25" s="26">
        <f>IF($P25="","",IF(INDEX(EntryTxnType,$P25)=0,"",INDEX(EntryTxnType,$P25)))</f>
        <v/>
      </c>
      <c r="H25" s="27">
        <f>IF($P25="","",IF(INDEX(EntryDep,$P25)=0,"",INDEX(EntryDep,$P25)))</f>
        <v/>
      </c>
      <c r="I25" s="27">
        <f>IF($P25="","",IF(INDEX(EntryWit,$P25)=0,"",INDEX(EntryWit,$P25)))</f>
        <v/>
      </c>
      <c r="J25" s="27">
        <f>IF($B25="","",IF($A25=1,$C$7,IF(J24="",0,J24))+IF($H25="",0,$H25)-IF($I25="",0,$I25))</f>
        <v/>
      </c>
      <c r="K25" s="27">
        <f>IF($P25="","",IF(INDEX(EntryMan,$P25)=0,"",INDEX(EntryMan,$P25)))</f>
        <v/>
      </c>
      <c r="L25" s="26">
        <f>IF($B25="","",IF($K25="","—",IF(ROUND($K25-$J25,0)=0,"√","×")))</f>
        <v/>
      </c>
      <c r="M25" s="26">
        <f>IF($B25="","",IF(COUNTIFS(EntryDates,$B25,CalcTime,$C25,CalcBank,$C$5,EntryParty,$D25,EntryDep,$H25,EntryWit,$I25)&gt;1,"تکرار",""))</f>
        <v/>
      </c>
      <c r="N25" s="26">
        <f>IF($P25="","",IF(INDEX(EntryNotes,$P25)=0,"",INDEX(EntryNotes,$P25)))</f>
        <v/>
      </c>
      <c r="O25" s="26">
        <f>IF($P25="","",IF(INDEX(EntryTxnID,$P25)=0,"",INDEX(EntryTxnID,$P25)))</f>
        <v/>
      </c>
      <c r="P25" s="26">
        <f>IFERROR(MATCH($C$5&amp;"|"&amp;RIGHT("000000"&amp;9,6),CalcRankKey,0),"")</f>
        <v/>
      </c>
    </row>
    <row r="26">
      <c r="A26" s="28">
        <f>IF($B26="","",10)</f>
        <v/>
      </c>
      <c r="B26" s="28">
        <f>IF($P26="","",IF(INDEX(CalcNormDate,$P26)=0,"",INDEX(CalcNormDate,$P26)))</f>
        <v/>
      </c>
      <c r="C26" s="28">
        <f>IF($P26="","",IF(INDEX(CalcTime,$P26)=0,"",INDEX(CalcTime,$P26)))</f>
        <v/>
      </c>
      <c r="D26" s="28">
        <f>IF($P26="","",IF(INDEX(EntryParty,$P26)=0,"",INDEX(EntryParty,$P26)))</f>
        <v/>
      </c>
      <c r="E26" s="28">
        <f>IF($P26="","",IF(INDEX(EntryPartyName,$P26)=0,"",INDEX(EntryPartyName,$P26)))</f>
        <v/>
      </c>
      <c r="F26" s="28">
        <f>IF($P26="","",IF(INDEX(EntryPartyType,$P26)=0,"",INDEX(EntryPartyType,$P26)))</f>
        <v/>
      </c>
      <c r="G26" s="28">
        <f>IF($P26="","",IF(INDEX(EntryTxnType,$P26)=0,"",INDEX(EntryTxnType,$P26)))</f>
        <v/>
      </c>
      <c r="H26" s="29">
        <f>IF($P26="","",IF(INDEX(EntryDep,$P26)=0,"",INDEX(EntryDep,$P26)))</f>
        <v/>
      </c>
      <c r="I26" s="29">
        <f>IF($P26="","",IF(INDEX(EntryWit,$P26)=0,"",INDEX(EntryWit,$P26)))</f>
        <v/>
      </c>
      <c r="J26" s="29">
        <f>IF($B26="","",IF($A26=1,$C$7,IF(J25="",0,J25))+IF($H26="",0,$H26)-IF($I26="",0,$I26))</f>
        <v/>
      </c>
      <c r="K26" s="29">
        <f>IF($P26="","",IF(INDEX(EntryMan,$P26)=0,"",INDEX(EntryMan,$P26)))</f>
        <v/>
      </c>
      <c r="L26" s="28">
        <f>IF($B26="","",IF($K26="","—",IF(ROUND($K26-$J26,0)=0,"√","×")))</f>
        <v/>
      </c>
      <c r="M26" s="28">
        <f>IF($B26="","",IF(COUNTIFS(EntryDates,$B26,CalcTime,$C26,CalcBank,$C$5,EntryParty,$D26,EntryDep,$H26,EntryWit,$I26)&gt;1,"تکرار",""))</f>
        <v/>
      </c>
      <c r="N26" s="28">
        <f>IF($P26="","",IF(INDEX(EntryNotes,$P26)=0,"",INDEX(EntryNotes,$P26)))</f>
        <v/>
      </c>
      <c r="O26" s="28">
        <f>IF($P26="","",IF(INDEX(EntryTxnID,$P26)=0,"",INDEX(EntryTxnID,$P26)))</f>
        <v/>
      </c>
      <c r="P26" s="28">
        <f>IFERROR(MATCH($C$5&amp;"|"&amp;RIGHT("000000"&amp;10,6),CalcRankKey,0),"")</f>
        <v/>
      </c>
    </row>
    <row r="27">
      <c r="A27" s="26">
        <f>IF($B27="","",11)</f>
        <v/>
      </c>
      <c r="B27" s="26">
        <f>IF($P27="","",IF(INDEX(CalcNormDate,$P27)=0,"",INDEX(CalcNormDate,$P27)))</f>
        <v/>
      </c>
      <c r="C27" s="26">
        <f>IF($P27="","",IF(INDEX(CalcTime,$P27)=0,"",INDEX(CalcTime,$P27)))</f>
        <v/>
      </c>
      <c r="D27" s="26">
        <f>IF($P27="","",IF(INDEX(EntryParty,$P27)=0,"",INDEX(EntryParty,$P27)))</f>
        <v/>
      </c>
      <c r="E27" s="26">
        <f>IF($P27="","",IF(INDEX(EntryPartyName,$P27)=0,"",INDEX(EntryPartyName,$P27)))</f>
        <v/>
      </c>
      <c r="F27" s="26">
        <f>IF($P27="","",IF(INDEX(EntryPartyType,$P27)=0,"",INDEX(EntryPartyType,$P27)))</f>
        <v/>
      </c>
      <c r="G27" s="26">
        <f>IF($P27="","",IF(INDEX(EntryTxnType,$P27)=0,"",INDEX(EntryTxnType,$P27)))</f>
        <v/>
      </c>
      <c r="H27" s="27">
        <f>IF($P27="","",IF(INDEX(EntryDep,$P27)=0,"",INDEX(EntryDep,$P27)))</f>
        <v/>
      </c>
      <c r="I27" s="27">
        <f>IF($P27="","",IF(INDEX(EntryWit,$P27)=0,"",INDEX(EntryWit,$P27)))</f>
        <v/>
      </c>
      <c r="J27" s="27">
        <f>IF($B27="","",IF($A27=1,$C$7,IF(J26="",0,J26))+IF($H27="",0,$H27)-IF($I27="",0,$I27))</f>
        <v/>
      </c>
      <c r="K27" s="27">
        <f>IF($P27="","",IF(INDEX(EntryMan,$P27)=0,"",INDEX(EntryMan,$P27)))</f>
        <v/>
      </c>
      <c r="L27" s="26">
        <f>IF($B27="","",IF($K27="","—",IF(ROUND($K27-$J27,0)=0,"√","×")))</f>
        <v/>
      </c>
      <c r="M27" s="26">
        <f>IF($B27="","",IF(COUNTIFS(EntryDates,$B27,CalcTime,$C27,CalcBank,$C$5,EntryParty,$D27,EntryDep,$H27,EntryWit,$I27)&gt;1,"تکرار",""))</f>
        <v/>
      </c>
      <c r="N27" s="26">
        <f>IF($P27="","",IF(INDEX(EntryNotes,$P27)=0,"",INDEX(EntryNotes,$P27)))</f>
        <v/>
      </c>
      <c r="O27" s="26">
        <f>IF($P27="","",IF(INDEX(EntryTxnID,$P27)=0,"",INDEX(EntryTxnID,$P27)))</f>
        <v/>
      </c>
      <c r="P27" s="26">
        <f>IFERROR(MATCH($C$5&amp;"|"&amp;RIGHT("000000"&amp;11,6),CalcRankKey,0),"")</f>
        <v/>
      </c>
    </row>
    <row r="28">
      <c r="A28" s="28">
        <f>IF($B28="","",12)</f>
        <v/>
      </c>
      <c r="B28" s="28">
        <f>IF($P28="","",IF(INDEX(CalcNormDate,$P28)=0,"",INDEX(CalcNormDate,$P28)))</f>
        <v/>
      </c>
      <c r="C28" s="28">
        <f>IF($P28="","",IF(INDEX(CalcTime,$P28)=0,"",INDEX(CalcTime,$P28)))</f>
        <v/>
      </c>
      <c r="D28" s="28">
        <f>IF($P28="","",IF(INDEX(EntryParty,$P28)=0,"",INDEX(EntryParty,$P28)))</f>
        <v/>
      </c>
      <c r="E28" s="28">
        <f>IF($P28="","",IF(INDEX(EntryPartyName,$P28)=0,"",INDEX(EntryPartyName,$P28)))</f>
        <v/>
      </c>
      <c r="F28" s="28">
        <f>IF($P28="","",IF(INDEX(EntryPartyType,$P28)=0,"",INDEX(EntryPartyType,$P28)))</f>
        <v/>
      </c>
      <c r="G28" s="28">
        <f>IF($P28="","",IF(INDEX(EntryTxnType,$P28)=0,"",INDEX(EntryTxnType,$P28)))</f>
        <v/>
      </c>
      <c r="H28" s="29">
        <f>IF($P28="","",IF(INDEX(EntryDep,$P28)=0,"",INDEX(EntryDep,$P28)))</f>
        <v/>
      </c>
      <c r="I28" s="29">
        <f>IF($P28="","",IF(INDEX(EntryWit,$P28)=0,"",INDEX(EntryWit,$P28)))</f>
        <v/>
      </c>
      <c r="J28" s="29">
        <f>IF($B28="","",IF($A28=1,$C$7,IF(J27="",0,J27))+IF($H28="",0,$H28)-IF($I28="",0,$I28))</f>
        <v/>
      </c>
      <c r="K28" s="29">
        <f>IF($P28="","",IF(INDEX(EntryMan,$P28)=0,"",INDEX(EntryMan,$P28)))</f>
        <v/>
      </c>
      <c r="L28" s="28">
        <f>IF($B28="","",IF($K28="","—",IF(ROUND($K28-$J28,0)=0,"√","×")))</f>
        <v/>
      </c>
      <c r="M28" s="28">
        <f>IF($B28="","",IF(COUNTIFS(EntryDates,$B28,CalcTime,$C28,CalcBank,$C$5,EntryParty,$D28,EntryDep,$H28,EntryWit,$I28)&gt;1,"تکرار",""))</f>
        <v/>
      </c>
      <c r="N28" s="28">
        <f>IF($P28="","",IF(INDEX(EntryNotes,$P28)=0,"",INDEX(EntryNotes,$P28)))</f>
        <v/>
      </c>
      <c r="O28" s="28">
        <f>IF($P28="","",IF(INDEX(EntryTxnID,$P28)=0,"",INDEX(EntryTxnID,$P28)))</f>
        <v/>
      </c>
      <c r="P28" s="28">
        <f>IFERROR(MATCH($C$5&amp;"|"&amp;RIGHT("000000"&amp;12,6),CalcRankKey,0),"")</f>
        <v/>
      </c>
    </row>
    <row r="29">
      <c r="A29" s="26">
        <f>IF($B29="","",13)</f>
        <v/>
      </c>
      <c r="B29" s="26">
        <f>IF($P29="","",IF(INDEX(CalcNormDate,$P29)=0,"",INDEX(CalcNormDate,$P29)))</f>
        <v/>
      </c>
      <c r="C29" s="26">
        <f>IF($P29="","",IF(INDEX(CalcTime,$P29)=0,"",INDEX(CalcTime,$P29)))</f>
        <v/>
      </c>
      <c r="D29" s="26">
        <f>IF($P29="","",IF(INDEX(EntryParty,$P29)=0,"",INDEX(EntryParty,$P29)))</f>
        <v/>
      </c>
      <c r="E29" s="26">
        <f>IF($P29="","",IF(INDEX(EntryPartyName,$P29)=0,"",INDEX(EntryPartyName,$P29)))</f>
        <v/>
      </c>
      <c r="F29" s="26">
        <f>IF($P29="","",IF(INDEX(EntryPartyType,$P29)=0,"",INDEX(EntryPartyType,$P29)))</f>
        <v/>
      </c>
      <c r="G29" s="26">
        <f>IF($P29="","",IF(INDEX(EntryTxnType,$P29)=0,"",INDEX(EntryTxnType,$P29)))</f>
        <v/>
      </c>
      <c r="H29" s="27">
        <f>IF($P29="","",IF(INDEX(EntryDep,$P29)=0,"",INDEX(EntryDep,$P29)))</f>
        <v/>
      </c>
      <c r="I29" s="27">
        <f>IF($P29="","",IF(INDEX(EntryWit,$P29)=0,"",INDEX(EntryWit,$P29)))</f>
        <v/>
      </c>
      <c r="J29" s="27">
        <f>IF($B29="","",IF($A29=1,$C$7,IF(J28="",0,J28))+IF($H29="",0,$H29)-IF($I29="",0,$I29))</f>
        <v/>
      </c>
      <c r="K29" s="27">
        <f>IF($P29="","",IF(INDEX(EntryMan,$P29)=0,"",INDEX(EntryMan,$P29)))</f>
        <v/>
      </c>
      <c r="L29" s="26">
        <f>IF($B29="","",IF($K29="","—",IF(ROUND($K29-$J29,0)=0,"√","×")))</f>
        <v/>
      </c>
      <c r="M29" s="26">
        <f>IF($B29="","",IF(COUNTIFS(EntryDates,$B29,CalcTime,$C29,CalcBank,$C$5,EntryParty,$D29,EntryDep,$H29,EntryWit,$I29)&gt;1,"تکرار",""))</f>
        <v/>
      </c>
      <c r="N29" s="26">
        <f>IF($P29="","",IF(INDEX(EntryNotes,$P29)=0,"",INDEX(EntryNotes,$P29)))</f>
        <v/>
      </c>
      <c r="O29" s="26">
        <f>IF($P29="","",IF(INDEX(EntryTxnID,$P29)=0,"",INDEX(EntryTxnID,$P29)))</f>
        <v/>
      </c>
      <c r="P29" s="26">
        <f>IFERROR(MATCH($C$5&amp;"|"&amp;RIGHT("000000"&amp;13,6),CalcRankKey,0),"")</f>
        <v/>
      </c>
    </row>
    <row r="30">
      <c r="A30" s="28">
        <f>IF($B30="","",14)</f>
        <v/>
      </c>
      <c r="B30" s="28">
        <f>IF($P30="","",IF(INDEX(CalcNormDate,$P30)=0,"",INDEX(CalcNormDate,$P30)))</f>
        <v/>
      </c>
      <c r="C30" s="28">
        <f>IF($P30="","",IF(INDEX(CalcTime,$P30)=0,"",INDEX(CalcTime,$P30)))</f>
        <v/>
      </c>
      <c r="D30" s="28">
        <f>IF($P30="","",IF(INDEX(EntryParty,$P30)=0,"",INDEX(EntryParty,$P30)))</f>
        <v/>
      </c>
      <c r="E30" s="28">
        <f>IF($P30="","",IF(INDEX(EntryPartyName,$P30)=0,"",INDEX(EntryPartyName,$P30)))</f>
        <v/>
      </c>
      <c r="F30" s="28">
        <f>IF($P30="","",IF(INDEX(EntryPartyType,$P30)=0,"",INDEX(EntryPartyType,$P30)))</f>
        <v/>
      </c>
      <c r="G30" s="28">
        <f>IF($P30="","",IF(INDEX(EntryTxnType,$P30)=0,"",INDEX(EntryTxnType,$P30)))</f>
        <v/>
      </c>
      <c r="H30" s="29">
        <f>IF($P30="","",IF(INDEX(EntryDep,$P30)=0,"",INDEX(EntryDep,$P30)))</f>
        <v/>
      </c>
      <c r="I30" s="29">
        <f>IF($P30="","",IF(INDEX(EntryWit,$P30)=0,"",INDEX(EntryWit,$P30)))</f>
        <v/>
      </c>
      <c r="J30" s="29">
        <f>IF($B30="","",IF($A30=1,$C$7,IF(J29="",0,J29))+IF($H30="",0,$H30)-IF($I30="",0,$I30))</f>
        <v/>
      </c>
      <c r="K30" s="29">
        <f>IF($P30="","",IF(INDEX(EntryMan,$P30)=0,"",INDEX(EntryMan,$P30)))</f>
        <v/>
      </c>
      <c r="L30" s="28">
        <f>IF($B30="","",IF($K30="","—",IF(ROUND($K30-$J30,0)=0,"√","×")))</f>
        <v/>
      </c>
      <c r="M30" s="28">
        <f>IF($B30="","",IF(COUNTIFS(EntryDates,$B30,CalcTime,$C30,CalcBank,$C$5,EntryParty,$D30,EntryDep,$H30,EntryWit,$I30)&gt;1,"تکرار",""))</f>
        <v/>
      </c>
      <c r="N30" s="28">
        <f>IF($P30="","",IF(INDEX(EntryNotes,$P30)=0,"",INDEX(EntryNotes,$P30)))</f>
        <v/>
      </c>
      <c r="O30" s="28">
        <f>IF($P30="","",IF(INDEX(EntryTxnID,$P30)=0,"",INDEX(EntryTxnID,$P30)))</f>
        <v/>
      </c>
      <c r="P30" s="28">
        <f>IFERROR(MATCH($C$5&amp;"|"&amp;RIGHT("000000"&amp;14,6),CalcRankKey,0),"")</f>
        <v/>
      </c>
    </row>
    <row r="31">
      <c r="A31" s="26">
        <f>IF($B31="","",15)</f>
        <v/>
      </c>
      <c r="B31" s="26">
        <f>IF($P31="","",IF(INDEX(CalcNormDate,$P31)=0,"",INDEX(CalcNormDate,$P31)))</f>
        <v/>
      </c>
      <c r="C31" s="26">
        <f>IF($P31="","",IF(INDEX(CalcTime,$P31)=0,"",INDEX(CalcTime,$P31)))</f>
        <v/>
      </c>
      <c r="D31" s="26">
        <f>IF($P31="","",IF(INDEX(EntryParty,$P31)=0,"",INDEX(EntryParty,$P31)))</f>
        <v/>
      </c>
      <c r="E31" s="26">
        <f>IF($P31="","",IF(INDEX(EntryPartyName,$P31)=0,"",INDEX(EntryPartyName,$P31)))</f>
        <v/>
      </c>
      <c r="F31" s="26">
        <f>IF($P31="","",IF(INDEX(EntryPartyType,$P31)=0,"",INDEX(EntryPartyType,$P31)))</f>
        <v/>
      </c>
      <c r="G31" s="26">
        <f>IF($P31="","",IF(INDEX(EntryTxnType,$P31)=0,"",INDEX(EntryTxnType,$P31)))</f>
        <v/>
      </c>
      <c r="H31" s="27">
        <f>IF($P31="","",IF(INDEX(EntryDep,$P31)=0,"",INDEX(EntryDep,$P31)))</f>
        <v/>
      </c>
      <c r="I31" s="27">
        <f>IF($P31="","",IF(INDEX(EntryWit,$P31)=0,"",INDEX(EntryWit,$P31)))</f>
        <v/>
      </c>
      <c r="J31" s="27">
        <f>IF($B31="","",IF($A31=1,$C$7,IF(J30="",0,J30))+IF($H31="",0,$H31)-IF($I31="",0,$I31))</f>
        <v/>
      </c>
      <c r="K31" s="27">
        <f>IF($P31="","",IF(INDEX(EntryMan,$P31)=0,"",INDEX(EntryMan,$P31)))</f>
        <v/>
      </c>
      <c r="L31" s="26">
        <f>IF($B31="","",IF($K31="","—",IF(ROUND($K31-$J31,0)=0,"√","×")))</f>
        <v/>
      </c>
      <c r="M31" s="26">
        <f>IF($B31="","",IF(COUNTIFS(EntryDates,$B31,CalcTime,$C31,CalcBank,$C$5,EntryParty,$D31,EntryDep,$H31,EntryWit,$I31)&gt;1,"تکرار",""))</f>
        <v/>
      </c>
      <c r="N31" s="26">
        <f>IF($P31="","",IF(INDEX(EntryNotes,$P31)=0,"",INDEX(EntryNotes,$P31)))</f>
        <v/>
      </c>
      <c r="O31" s="26">
        <f>IF($P31="","",IF(INDEX(EntryTxnID,$P31)=0,"",INDEX(EntryTxnID,$P31)))</f>
        <v/>
      </c>
      <c r="P31" s="26">
        <f>IFERROR(MATCH($C$5&amp;"|"&amp;RIGHT("000000"&amp;15,6),CalcRankKey,0),"")</f>
        <v/>
      </c>
    </row>
    <row r="32">
      <c r="A32" s="28">
        <f>IF($B32="","",16)</f>
        <v/>
      </c>
      <c r="B32" s="28">
        <f>IF($P32="","",IF(INDEX(CalcNormDate,$P32)=0,"",INDEX(CalcNormDate,$P32)))</f>
        <v/>
      </c>
      <c r="C32" s="28">
        <f>IF($P32="","",IF(INDEX(CalcTime,$P32)=0,"",INDEX(CalcTime,$P32)))</f>
        <v/>
      </c>
      <c r="D32" s="28">
        <f>IF($P32="","",IF(INDEX(EntryParty,$P32)=0,"",INDEX(EntryParty,$P32)))</f>
        <v/>
      </c>
      <c r="E32" s="28">
        <f>IF($P32="","",IF(INDEX(EntryPartyName,$P32)=0,"",INDEX(EntryPartyName,$P32)))</f>
        <v/>
      </c>
      <c r="F32" s="28">
        <f>IF($P32="","",IF(INDEX(EntryPartyType,$P32)=0,"",INDEX(EntryPartyType,$P32)))</f>
        <v/>
      </c>
      <c r="G32" s="28">
        <f>IF($P32="","",IF(INDEX(EntryTxnType,$P32)=0,"",INDEX(EntryTxnType,$P32)))</f>
        <v/>
      </c>
      <c r="H32" s="29">
        <f>IF($P32="","",IF(INDEX(EntryDep,$P32)=0,"",INDEX(EntryDep,$P32)))</f>
        <v/>
      </c>
      <c r="I32" s="29">
        <f>IF($P32="","",IF(INDEX(EntryWit,$P32)=0,"",INDEX(EntryWit,$P32)))</f>
        <v/>
      </c>
      <c r="J32" s="29">
        <f>IF($B32="","",IF($A32=1,$C$7,IF(J31="",0,J31))+IF($H32="",0,$H32)-IF($I32="",0,$I32))</f>
        <v/>
      </c>
      <c r="K32" s="29">
        <f>IF($P32="","",IF(INDEX(EntryMan,$P32)=0,"",INDEX(EntryMan,$P32)))</f>
        <v/>
      </c>
      <c r="L32" s="28">
        <f>IF($B32="","",IF($K32="","—",IF(ROUND($K32-$J32,0)=0,"√","×")))</f>
        <v/>
      </c>
      <c r="M32" s="28">
        <f>IF($B32="","",IF(COUNTIFS(EntryDates,$B32,CalcTime,$C32,CalcBank,$C$5,EntryParty,$D32,EntryDep,$H32,EntryWit,$I32)&gt;1,"تکرار",""))</f>
        <v/>
      </c>
      <c r="N32" s="28">
        <f>IF($P32="","",IF(INDEX(EntryNotes,$P32)=0,"",INDEX(EntryNotes,$P32)))</f>
        <v/>
      </c>
      <c r="O32" s="28">
        <f>IF($P32="","",IF(INDEX(EntryTxnID,$P32)=0,"",INDEX(EntryTxnID,$P32)))</f>
        <v/>
      </c>
      <c r="P32" s="28">
        <f>IFERROR(MATCH($C$5&amp;"|"&amp;RIGHT("000000"&amp;16,6),CalcRankKey,0),"")</f>
        <v/>
      </c>
    </row>
    <row r="33">
      <c r="A33" s="26">
        <f>IF($B33="","",17)</f>
        <v/>
      </c>
      <c r="B33" s="26">
        <f>IF($P33="","",IF(INDEX(CalcNormDate,$P33)=0,"",INDEX(CalcNormDate,$P33)))</f>
        <v/>
      </c>
      <c r="C33" s="26">
        <f>IF($P33="","",IF(INDEX(CalcTime,$P33)=0,"",INDEX(CalcTime,$P33)))</f>
        <v/>
      </c>
      <c r="D33" s="26">
        <f>IF($P33="","",IF(INDEX(EntryParty,$P33)=0,"",INDEX(EntryParty,$P33)))</f>
        <v/>
      </c>
      <c r="E33" s="26">
        <f>IF($P33="","",IF(INDEX(EntryPartyName,$P33)=0,"",INDEX(EntryPartyName,$P33)))</f>
        <v/>
      </c>
      <c r="F33" s="26">
        <f>IF($P33="","",IF(INDEX(EntryPartyType,$P33)=0,"",INDEX(EntryPartyType,$P33)))</f>
        <v/>
      </c>
      <c r="G33" s="26">
        <f>IF($P33="","",IF(INDEX(EntryTxnType,$P33)=0,"",INDEX(EntryTxnType,$P33)))</f>
        <v/>
      </c>
      <c r="H33" s="27">
        <f>IF($P33="","",IF(INDEX(EntryDep,$P33)=0,"",INDEX(EntryDep,$P33)))</f>
        <v/>
      </c>
      <c r="I33" s="27">
        <f>IF($P33="","",IF(INDEX(EntryWit,$P33)=0,"",INDEX(EntryWit,$P33)))</f>
        <v/>
      </c>
      <c r="J33" s="27">
        <f>IF($B33="","",IF($A33=1,$C$7,IF(J32="",0,J32))+IF($H33="",0,$H33)-IF($I33="",0,$I33))</f>
        <v/>
      </c>
      <c r="K33" s="27">
        <f>IF($P33="","",IF(INDEX(EntryMan,$P33)=0,"",INDEX(EntryMan,$P33)))</f>
        <v/>
      </c>
      <c r="L33" s="26">
        <f>IF($B33="","",IF($K33="","—",IF(ROUND($K33-$J33,0)=0,"√","×")))</f>
        <v/>
      </c>
      <c r="M33" s="26">
        <f>IF($B33="","",IF(COUNTIFS(EntryDates,$B33,CalcTime,$C33,CalcBank,$C$5,EntryParty,$D33,EntryDep,$H33,EntryWit,$I33)&gt;1,"تکرار",""))</f>
        <v/>
      </c>
      <c r="N33" s="26">
        <f>IF($P33="","",IF(INDEX(EntryNotes,$P33)=0,"",INDEX(EntryNotes,$P33)))</f>
        <v/>
      </c>
      <c r="O33" s="26">
        <f>IF($P33="","",IF(INDEX(EntryTxnID,$P33)=0,"",INDEX(EntryTxnID,$P33)))</f>
        <v/>
      </c>
      <c r="P33" s="26">
        <f>IFERROR(MATCH($C$5&amp;"|"&amp;RIGHT("000000"&amp;17,6),CalcRankKey,0),"")</f>
        <v/>
      </c>
    </row>
    <row r="34">
      <c r="A34" s="28">
        <f>IF($B34="","",18)</f>
        <v/>
      </c>
      <c r="B34" s="28">
        <f>IF($P34="","",IF(INDEX(CalcNormDate,$P34)=0,"",INDEX(CalcNormDate,$P34)))</f>
        <v/>
      </c>
      <c r="C34" s="28">
        <f>IF($P34="","",IF(INDEX(CalcTime,$P34)=0,"",INDEX(CalcTime,$P34)))</f>
        <v/>
      </c>
      <c r="D34" s="28">
        <f>IF($P34="","",IF(INDEX(EntryParty,$P34)=0,"",INDEX(EntryParty,$P34)))</f>
        <v/>
      </c>
      <c r="E34" s="28">
        <f>IF($P34="","",IF(INDEX(EntryPartyName,$P34)=0,"",INDEX(EntryPartyName,$P34)))</f>
        <v/>
      </c>
      <c r="F34" s="28">
        <f>IF($P34="","",IF(INDEX(EntryPartyType,$P34)=0,"",INDEX(EntryPartyType,$P34)))</f>
        <v/>
      </c>
      <c r="G34" s="28">
        <f>IF($P34="","",IF(INDEX(EntryTxnType,$P34)=0,"",INDEX(EntryTxnType,$P34)))</f>
        <v/>
      </c>
      <c r="H34" s="29">
        <f>IF($P34="","",IF(INDEX(EntryDep,$P34)=0,"",INDEX(EntryDep,$P34)))</f>
        <v/>
      </c>
      <c r="I34" s="29">
        <f>IF($P34="","",IF(INDEX(EntryWit,$P34)=0,"",INDEX(EntryWit,$P34)))</f>
        <v/>
      </c>
      <c r="J34" s="29">
        <f>IF($B34="","",IF($A34=1,$C$7,IF(J33="",0,J33))+IF($H34="",0,$H34)-IF($I34="",0,$I34))</f>
        <v/>
      </c>
      <c r="K34" s="29">
        <f>IF($P34="","",IF(INDEX(EntryMan,$P34)=0,"",INDEX(EntryMan,$P34)))</f>
        <v/>
      </c>
      <c r="L34" s="28">
        <f>IF($B34="","",IF($K34="","—",IF(ROUND($K34-$J34,0)=0,"√","×")))</f>
        <v/>
      </c>
      <c r="M34" s="28">
        <f>IF($B34="","",IF(COUNTIFS(EntryDates,$B34,CalcTime,$C34,CalcBank,$C$5,EntryParty,$D34,EntryDep,$H34,EntryWit,$I34)&gt;1,"تکرار",""))</f>
        <v/>
      </c>
      <c r="N34" s="28">
        <f>IF($P34="","",IF(INDEX(EntryNotes,$P34)=0,"",INDEX(EntryNotes,$P34)))</f>
        <v/>
      </c>
      <c r="O34" s="28">
        <f>IF($P34="","",IF(INDEX(EntryTxnID,$P34)=0,"",INDEX(EntryTxnID,$P34)))</f>
        <v/>
      </c>
      <c r="P34" s="28">
        <f>IFERROR(MATCH($C$5&amp;"|"&amp;RIGHT("000000"&amp;18,6),CalcRankKey,0),"")</f>
        <v/>
      </c>
    </row>
    <row r="35">
      <c r="A35" s="26">
        <f>IF($B35="","",19)</f>
        <v/>
      </c>
      <c r="B35" s="26">
        <f>IF($P35="","",IF(INDEX(CalcNormDate,$P35)=0,"",INDEX(CalcNormDate,$P35)))</f>
        <v/>
      </c>
      <c r="C35" s="26">
        <f>IF($P35="","",IF(INDEX(CalcTime,$P35)=0,"",INDEX(CalcTime,$P35)))</f>
        <v/>
      </c>
      <c r="D35" s="26">
        <f>IF($P35="","",IF(INDEX(EntryParty,$P35)=0,"",INDEX(EntryParty,$P35)))</f>
        <v/>
      </c>
      <c r="E35" s="26">
        <f>IF($P35="","",IF(INDEX(EntryPartyName,$P35)=0,"",INDEX(EntryPartyName,$P35)))</f>
        <v/>
      </c>
      <c r="F35" s="26">
        <f>IF($P35="","",IF(INDEX(EntryPartyType,$P35)=0,"",INDEX(EntryPartyType,$P35)))</f>
        <v/>
      </c>
      <c r="G35" s="26">
        <f>IF($P35="","",IF(INDEX(EntryTxnType,$P35)=0,"",INDEX(EntryTxnType,$P35)))</f>
        <v/>
      </c>
      <c r="H35" s="27">
        <f>IF($P35="","",IF(INDEX(EntryDep,$P35)=0,"",INDEX(EntryDep,$P35)))</f>
        <v/>
      </c>
      <c r="I35" s="27">
        <f>IF($P35="","",IF(INDEX(EntryWit,$P35)=0,"",INDEX(EntryWit,$P35)))</f>
        <v/>
      </c>
      <c r="J35" s="27">
        <f>IF($B35="","",IF($A35=1,$C$7,IF(J34="",0,J34))+IF($H35="",0,$H35)-IF($I35="",0,$I35))</f>
        <v/>
      </c>
      <c r="K35" s="27">
        <f>IF($P35="","",IF(INDEX(EntryMan,$P35)=0,"",INDEX(EntryMan,$P35)))</f>
        <v/>
      </c>
      <c r="L35" s="26">
        <f>IF($B35="","",IF($K35="","—",IF(ROUND($K35-$J35,0)=0,"√","×")))</f>
        <v/>
      </c>
      <c r="M35" s="26">
        <f>IF($B35="","",IF(COUNTIFS(EntryDates,$B35,CalcTime,$C35,CalcBank,$C$5,EntryParty,$D35,EntryDep,$H35,EntryWit,$I35)&gt;1,"تکرار",""))</f>
        <v/>
      </c>
      <c r="N35" s="26">
        <f>IF($P35="","",IF(INDEX(EntryNotes,$P35)=0,"",INDEX(EntryNotes,$P35)))</f>
        <v/>
      </c>
      <c r="O35" s="26">
        <f>IF($P35="","",IF(INDEX(EntryTxnID,$P35)=0,"",INDEX(EntryTxnID,$P35)))</f>
        <v/>
      </c>
      <c r="P35" s="26">
        <f>IFERROR(MATCH($C$5&amp;"|"&amp;RIGHT("000000"&amp;19,6),CalcRankKey,0),"")</f>
        <v/>
      </c>
    </row>
    <row r="36">
      <c r="A36" s="28">
        <f>IF($B36="","",20)</f>
        <v/>
      </c>
      <c r="B36" s="28">
        <f>IF($P36="","",IF(INDEX(CalcNormDate,$P36)=0,"",INDEX(CalcNormDate,$P36)))</f>
        <v/>
      </c>
      <c r="C36" s="28">
        <f>IF($P36="","",IF(INDEX(CalcTime,$P36)=0,"",INDEX(CalcTime,$P36)))</f>
        <v/>
      </c>
      <c r="D36" s="28">
        <f>IF($P36="","",IF(INDEX(EntryParty,$P36)=0,"",INDEX(EntryParty,$P36)))</f>
        <v/>
      </c>
      <c r="E36" s="28">
        <f>IF($P36="","",IF(INDEX(EntryPartyName,$P36)=0,"",INDEX(EntryPartyName,$P36)))</f>
        <v/>
      </c>
      <c r="F36" s="28">
        <f>IF($P36="","",IF(INDEX(EntryPartyType,$P36)=0,"",INDEX(EntryPartyType,$P36)))</f>
        <v/>
      </c>
      <c r="G36" s="28">
        <f>IF($P36="","",IF(INDEX(EntryTxnType,$P36)=0,"",INDEX(EntryTxnType,$P36)))</f>
        <v/>
      </c>
      <c r="H36" s="29">
        <f>IF($P36="","",IF(INDEX(EntryDep,$P36)=0,"",INDEX(EntryDep,$P36)))</f>
        <v/>
      </c>
      <c r="I36" s="29">
        <f>IF($P36="","",IF(INDEX(EntryWit,$P36)=0,"",INDEX(EntryWit,$P36)))</f>
        <v/>
      </c>
      <c r="J36" s="29">
        <f>IF($B36="","",IF($A36=1,$C$7,IF(J35="",0,J35))+IF($H36="",0,$H36)-IF($I36="",0,$I36))</f>
        <v/>
      </c>
      <c r="K36" s="29">
        <f>IF($P36="","",IF(INDEX(EntryMan,$P36)=0,"",INDEX(EntryMan,$P36)))</f>
        <v/>
      </c>
      <c r="L36" s="28">
        <f>IF($B36="","",IF($K36="","—",IF(ROUND($K36-$J36,0)=0,"√","×")))</f>
        <v/>
      </c>
      <c r="M36" s="28">
        <f>IF($B36="","",IF(COUNTIFS(EntryDates,$B36,CalcTime,$C36,CalcBank,$C$5,EntryParty,$D36,EntryDep,$H36,EntryWit,$I36)&gt;1,"تکرار",""))</f>
        <v/>
      </c>
      <c r="N36" s="28">
        <f>IF($P36="","",IF(INDEX(EntryNotes,$P36)=0,"",INDEX(EntryNotes,$P36)))</f>
        <v/>
      </c>
      <c r="O36" s="28">
        <f>IF($P36="","",IF(INDEX(EntryTxnID,$P36)=0,"",INDEX(EntryTxnID,$P36)))</f>
        <v/>
      </c>
      <c r="P36" s="28">
        <f>IFERROR(MATCH($C$5&amp;"|"&amp;RIGHT("000000"&amp;20,6),CalcRankKey,0),"")</f>
        <v/>
      </c>
    </row>
    <row r="37">
      <c r="A37" s="26">
        <f>IF($B37="","",21)</f>
        <v/>
      </c>
      <c r="B37" s="26">
        <f>IF($P37="","",IF(INDEX(CalcNormDate,$P37)=0,"",INDEX(CalcNormDate,$P37)))</f>
        <v/>
      </c>
      <c r="C37" s="26">
        <f>IF($P37="","",IF(INDEX(CalcTime,$P37)=0,"",INDEX(CalcTime,$P37)))</f>
        <v/>
      </c>
      <c r="D37" s="26">
        <f>IF($P37="","",IF(INDEX(EntryParty,$P37)=0,"",INDEX(EntryParty,$P37)))</f>
        <v/>
      </c>
      <c r="E37" s="26">
        <f>IF($P37="","",IF(INDEX(EntryPartyName,$P37)=0,"",INDEX(EntryPartyName,$P37)))</f>
        <v/>
      </c>
      <c r="F37" s="26">
        <f>IF($P37="","",IF(INDEX(EntryPartyType,$P37)=0,"",INDEX(EntryPartyType,$P37)))</f>
        <v/>
      </c>
      <c r="G37" s="26">
        <f>IF($P37="","",IF(INDEX(EntryTxnType,$P37)=0,"",INDEX(EntryTxnType,$P37)))</f>
        <v/>
      </c>
      <c r="H37" s="27">
        <f>IF($P37="","",IF(INDEX(EntryDep,$P37)=0,"",INDEX(EntryDep,$P37)))</f>
        <v/>
      </c>
      <c r="I37" s="27">
        <f>IF($P37="","",IF(INDEX(EntryWit,$P37)=0,"",INDEX(EntryWit,$P37)))</f>
        <v/>
      </c>
      <c r="J37" s="27">
        <f>IF($B37="","",IF($A37=1,$C$7,IF(J36="",0,J36))+IF($H37="",0,$H37)-IF($I37="",0,$I37))</f>
        <v/>
      </c>
      <c r="K37" s="27">
        <f>IF($P37="","",IF(INDEX(EntryMan,$P37)=0,"",INDEX(EntryMan,$P37)))</f>
        <v/>
      </c>
      <c r="L37" s="26">
        <f>IF($B37="","",IF($K37="","—",IF(ROUND($K37-$J37,0)=0,"√","×")))</f>
        <v/>
      </c>
      <c r="M37" s="26">
        <f>IF($B37="","",IF(COUNTIFS(EntryDates,$B37,CalcTime,$C37,CalcBank,$C$5,EntryParty,$D37,EntryDep,$H37,EntryWit,$I37)&gt;1,"تکرار",""))</f>
        <v/>
      </c>
      <c r="N37" s="26">
        <f>IF($P37="","",IF(INDEX(EntryNotes,$P37)=0,"",INDEX(EntryNotes,$P37)))</f>
        <v/>
      </c>
      <c r="O37" s="26">
        <f>IF($P37="","",IF(INDEX(EntryTxnID,$P37)=0,"",INDEX(EntryTxnID,$P37)))</f>
        <v/>
      </c>
      <c r="P37" s="26">
        <f>IFERROR(MATCH($C$5&amp;"|"&amp;RIGHT("000000"&amp;21,6),CalcRankKey,0),"")</f>
        <v/>
      </c>
    </row>
    <row r="38">
      <c r="A38" s="28">
        <f>IF($B38="","",22)</f>
        <v/>
      </c>
      <c r="B38" s="28">
        <f>IF($P38="","",IF(INDEX(CalcNormDate,$P38)=0,"",INDEX(CalcNormDate,$P38)))</f>
        <v/>
      </c>
      <c r="C38" s="28">
        <f>IF($P38="","",IF(INDEX(CalcTime,$P38)=0,"",INDEX(CalcTime,$P38)))</f>
        <v/>
      </c>
      <c r="D38" s="28">
        <f>IF($P38="","",IF(INDEX(EntryParty,$P38)=0,"",INDEX(EntryParty,$P38)))</f>
        <v/>
      </c>
      <c r="E38" s="28">
        <f>IF($P38="","",IF(INDEX(EntryPartyName,$P38)=0,"",INDEX(EntryPartyName,$P38)))</f>
        <v/>
      </c>
      <c r="F38" s="28">
        <f>IF($P38="","",IF(INDEX(EntryPartyType,$P38)=0,"",INDEX(EntryPartyType,$P38)))</f>
        <v/>
      </c>
      <c r="G38" s="28">
        <f>IF($P38="","",IF(INDEX(EntryTxnType,$P38)=0,"",INDEX(EntryTxnType,$P38)))</f>
        <v/>
      </c>
      <c r="H38" s="29">
        <f>IF($P38="","",IF(INDEX(EntryDep,$P38)=0,"",INDEX(EntryDep,$P38)))</f>
        <v/>
      </c>
      <c r="I38" s="29">
        <f>IF($P38="","",IF(INDEX(EntryWit,$P38)=0,"",INDEX(EntryWit,$P38)))</f>
        <v/>
      </c>
      <c r="J38" s="29">
        <f>IF($B38="","",IF($A38=1,$C$7,IF(J37="",0,J37))+IF($H38="",0,$H38)-IF($I38="",0,$I38))</f>
        <v/>
      </c>
      <c r="K38" s="29">
        <f>IF($P38="","",IF(INDEX(EntryMan,$P38)=0,"",INDEX(EntryMan,$P38)))</f>
        <v/>
      </c>
      <c r="L38" s="28">
        <f>IF($B38="","",IF($K38="","—",IF(ROUND($K38-$J38,0)=0,"√","×")))</f>
        <v/>
      </c>
      <c r="M38" s="28">
        <f>IF($B38="","",IF(COUNTIFS(EntryDates,$B38,CalcTime,$C38,CalcBank,$C$5,EntryParty,$D38,EntryDep,$H38,EntryWit,$I38)&gt;1,"تکرار",""))</f>
        <v/>
      </c>
      <c r="N38" s="28">
        <f>IF($P38="","",IF(INDEX(EntryNotes,$P38)=0,"",INDEX(EntryNotes,$P38)))</f>
        <v/>
      </c>
      <c r="O38" s="28">
        <f>IF($P38="","",IF(INDEX(EntryTxnID,$P38)=0,"",INDEX(EntryTxnID,$P38)))</f>
        <v/>
      </c>
      <c r="P38" s="28">
        <f>IFERROR(MATCH($C$5&amp;"|"&amp;RIGHT("000000"&amp;22,6),CalcRankKey,0),"")</f>
        <v/>
      </c>
    </row>
    <row r="39">
      <c r="A39" s="26">
        <f>IF($B39="","",23)</f>
        <v/>
      </c>
      <c r="B39" s="26">
        <f>IF($P39="","",IF(INDEX(CalcNormDate,$P39)=0,"",INDEX(CalcNormDate,$P39)))</f>
        <v/>
      </c>
      <c r="C39" s="26">
        <f>IF($P39="","",IF(INDEX(CalcTime,$P39)=0,"",INDEX(CalcTime,$P39)))</f>
        <v/>
      </c>
      <c r="D39" s="26">
        <f>IF($P39="","",IF(INDEX(EntryParty,$P39)=0,"",INDEX(EntryParty,$P39)))</f>
        <v/>
      </c>
      <c r="E39" s="26">
        <f>IF($P39="","",IF(INDEX(EntryPartyName,$P39)=0,"",INDEX(EntryPartyName,$P39)))</f>
        <v/>
      </c>
      <c r="F39" s="26">
        <f>IF($P39="","",IF(INDEX(EntryPartyType,$P39)=0,"",INDEX(EntryPartyType,$P39)))</f>
        <v/>
      </c>
      <c r="G39" s="26">
        <f>IF($P39="","",IF(INDEX(EntryTxnType,$P39)=0,"",INDEX(EntryTxnType,$P39)))</f>
        <v/>
      </c>
      <c r="H39" s="27">
        <f>IF($P39="","",IF(INDEX(EntryDep,$P39)=0,"",INDEX(EntryDep,$P39)))</f>
        <v/>
      </c>
      <c r="I39" s="27">
        <f>IF($P39="","",IF(INDEX(EntryWit,$P39)=0,"",INDEX(EntryWit,$P39)))</f>
        <v/>
      </c>
      <c r="J39" s="27">
        <f>IF($B39="","",IF($A39=1,$C$7,IF(J38="",0,J38))+IF($H39="",0,$H39)-IF($I39="",0,$I39))</f>
        <v/>
      </c>
      <c r="K39" s="27">
        <f>IF($P39="","",IF(INDEX(EntryMan,$P39)=0,"",INDEX(EntryMan,$P39)))</f>
        <v/>
      </c>
      <c r="L39" s="26">
        <f>IF($B39="","",IF($K39="","—",IF(ROUND($K39-$J39,0)=0,"√","×")))</f>
        <v/>
      </c>
      <c r="M39" s="26">
        <f>IF($B39="","",IF(COUNTIFS(EntryDates,$B39,CalcTime,$C39,CalcBank,$C$5,EntryParty,$D39,EntryDep,$H39,EntryWit,$I39)&gt;1,"تکرار",""))</f>
        <v/>
      </c>
      <c r="N39" s="26">
        <f>IF($P39="","",IF(INDEX(EntryNotes,$P39)=0,"",INDEX(EntryNotes,$P39)))</f>
        <v/>
      </c>
      <c r="O39" s="26">
        <f>IF($P39="","",IF(INDEX(EntryTxnID,$P39)=0,"",INDEX(EntryTxnID,$P39)))</f>
        <v/>
      </c>
      <c r="P39" s="26">
        <f>IFERROR(MATCH($C$5&amp;"|"&amp;RIGHT("000000"&amp;23,6),CalcRankKey,0),"")</f>
        <v/>
      </c>
    </row>
    <row r="40">
      <c r="A40" s="28">
        <f>IF($B40="","",24)</f>
        <v/>
      </c>
      <c r="B40" s="28">
        <f>IF($P40="","",IF(INDEX(CalcNormDate,$P40)=0,"",INDEX(CalcNormDate,$P40)))</f>
        <v/>
      </c>
      <c r="C40" s="28">
        <f>IF($P40="","",IF(INDEX(CalcTime,$P40)=0,"",INDEX(CalcTime,$P40)))</f>
        <v/>
      </c>
      <c r="D40" s="28">
        <f>IF($P40="","",IF(INDEX(EntryParty,$P40)=0,"",INDEX(EntryParty,$P40)))</f>
        <v/>
      </c>
      <c r="E40" s="28">
        <f>IF($P40="","",IF(INDEX(EntryPartyName,$P40)=0,"",INDEX(EntryPartyName,$P40)))</f>
        <v/>
      </c>
      <c r="F40" s="28">
        <f>IF($P40="","",IF(INDEX(EntryPartyType,$P40)=0,"",INDEX(EntryPartyType,$P40)))</f>
        <v/>
      </c>
      <c r="G40" s="28">
        <f>IF($P40="","",IF(INDEX(EntryTxnType,$P40)=0,"",INDEX(EntryTxnType,$P40)))</f>
        <v/>
      </c>
      <c r="H40" s="29">
        <f>IF($P40="","",IF(INDEX(EntryDep,$P40)=0,"",INDEX(EntryDep,$P40)))</f>
        <v/>
      </c>
      <c r="I40" s="29">
        <f>IF($P40="","",IF(INDEX(EntryWit,$P40)=0,"",INDEX(EntryWit,$P40)))</f>
        <v/>
      </c>
      <c r="J40" s="29">
        <f>IF($B40="","",IF($A40=1,$C$7,IF(J39="",0,J39))+IF($H40="",0,$H40)-IF($I40="",0,$I40))</f>
        <v/>
      </c>
      <c r="K40" s="29">
        <f>IF($P40="","",IF(INDEX(EntryMan,$P40)=0,"",INDEX(EntryMan,$P40)))</f>
        <v/>
      </c>
      <c r="L40" s="28">
        <f>IF($B40="","",IF($K40="","—",IF(ROUND($K40-$J40,0)=0,"√","×")))</f>
        <v/>
      </c>
      <c r="M40" s="28">
        <f>IF($B40="","",IF(COUNTIFS(EntryDates,$B40,CalcTime,$C40,CalcBank,$C$5,EntryParty,$D40,EntryDep,$H40,EntryWit,$I40)&gt;1,"تکرار",""))</f>
        <v/>
      </c>
      <c r="N40" s="28">
        <f>IF($P40="","",IF(INDEX(EntryNotes,$P40)=0,"",INDEX(EntryNotes,$P40)))</f>
        <v/>
      </c>
      <c r="O40" s="28">
        <f>IF($P40="","",IF(INDEX(EntryTxnID,$P40)=0,"",INDEX(EntryTxnID,$P40)))</f>
        <v/>
      </c>
      <c r="P40" s="28">
        <f>IFERROR(MATCH($C$5&amp;"|"&amp;RIGHT("000000"&amp;24,6),CalcRankKey,0),"")</f>
        <v/>
      </c>
    </row>
    <row r="41">
      <c r="A41" s="26">
        <f>IF($B41="","",25)</f>
        <v/>
      </c>
      <c r="B41" s="26">
        <f>IF($P41="","",IF(INDEX(CalcNormDate,$P41)=0,"",INDEX(CalcNormDate,$P41)))</f>
        <v/>
      </c>
      <c r="C41" s="26">
        <f>IF($P41="","",IF(INDEX(CalcTime,$P41)=0,"",INDEX(CalcTime,$P41)))</f>
        <v/>
      </c>
      <c r="D41" s="26">
        <f>IF($P41="","",IF(INDEX(EntryParty,$P41)=0,"",INDEX(EntryParty,$P41)))</f>
        <v/>
      </c>
      <c r="E41" s="26">
        <f>IF($P41="","",IF(INDEX(EntryPartyName,$P41)=0,"",INDEX(EntryPartyName,$P41)))</f>
        <v/>
      </c>
      <c r="F41" s="26">
        <f>IF($P41="","",IF(INDEX(EntryPartyType,$P41)=0,"",INDEX(EntryPartyType,$P41)))</f>
        <v/>
      </c>
      <c r="G41" s="26">
        <f>IF($P41="","",IF(INDEX(EntryTxnType,$P41)=0,"",INDEX(EntryTxnType,$P41)))</f>
        <v/>
      </c>
      <c r="H41" s="27">
        <f>IF($P41="","",IF(INDEX(EntryDep,$P41)=0,"",INDEX(EntryDep,$P41)))</f>
        <v/>
      </c>
      <c r="I41" s="27">
        <f>IF($P41="","",IF(INDEX(EntryWit,$P41)=0,"",INDEX(EntryWit,$P41)))</f>
        <v/>
      </c>
      <c r="J41" s="27">
        <f>IF($B41="","",IF($A41=1,$C$7,IF(J40="",0,J40))+IF($H41="",0,$H41)-IF($I41="",0,$I41))</f>
        <v/>
      </c>
      <c r="K41" s="27">
        <f>IF($P41="","",IF(INDEX(EntryMan,$P41)=0,"",INDEX(EntryMan,$P41)))</f>
        <v/>
      </c>
      <c r="L41" s="26">
        <f>IF($B41="","",IF($K41="","—",IF(ROUND($K41-$J41,0)=0,"√","×")))</f>
        <v/>
      </c>
      <c r="M41" s="26">
        <f>IF($B41="","",IF(COUNTIFS(EntryDates,$B41,CalcTime,$C41,CalcBank,$C$5,EntryParty,$D41,EntryDep,$H41,EntryWit,$I41)&gt;1,"تکرار",""))</f>
        <v/>
      </c>
      <c r="N41" s="26">
        <f>IF($P41="","",IF(INDEX(EntryNotes,$P41)=0,"",INDEX(EntryNotes,$P41)))</f>
        <v/>
      </c>
      <c r="O41" s="26">
        <f>IF($P41="","",IF(INDEX(EntryTxnID,$P41)=0,"",INDEX(EntryTxnID,$P41)))</f>
        <v/>
      </c>
      <c r="P41" s="26">
        <f>IFERROR(MATCH($C$5&amp;"|"&amp;RIGHT("000000"&amp;25,6),CalcRankKey,0),"")</f>
        <v/>
      </c>
    </row>
    <row r="42">
      <c r="A42" s="28">
        <f>IF($B42="","",26)</f>
        <v/>
      </c>
      <c r="B42" s="28">
        <f>IF($P42="","",IF(INDEX(CalcNormDate,$P42)=0,"",INDEX(CalcNormDate,$P42)))</f>
        <v/>
      </c>
      <c r="C42" s="28">
        <f>IF($P42="","",IF(INDEX(CalcTime,$P42)=0,"",INDEX(CalcTime,$P42)))</f>
        <v/>
      </c>
      <c r="D42" s="28">
        <f>IF($P42="","",IF(INDEX(EntryParty,$P42)=0,"",INDEX(EntryParty,$P42)))</f>
        <v/>
      </c>
      <c r="E42" s="28">
        <f>IF($P42="","",IF(INDEX(EntryPartyName,$P42)=0,"",INDEX(EntryPartyName,$P42)))</f>
        <v/>
      </c>
      <c r="F42" s="28">
        <f>IF($P42="","",IF(INDEX(EntryPartyType,$P42)=0,"",INDEX(EntryPartyType,$P42)))</f>
        <v/>
      </c>
      <c r="G42" s="28">
        <f>IF($P42="","",IF(INDEX(EntryTxnType,$P42)=0,"",INDEX(EntryTxnType,$P42)))</f>
        <v/>
      </c>
      <c r="H42" s="29">
        <f>IF($P42="","",IF(INDEX(EntryDep,$P42)=0,"",INDEX(EntryDep,$P42)))</f>
        <v/>
      </c>
      <c r="I42" s="29">
        <f>IF($P42="","",IF(INDEX(EntryWit,$P42)=0,"",INDEX(EntryWit,$P42)))</f>
        <v/>
      </c>
      <c r="J42" s="29">
        <f>IF($B42="","",IF($A42=1,$C$7,IF(J41="",0,J41))+IF($H42="",0,$H42)-IF($I42="",0,$I42))</f>
        <v/>
      </c>
      <c r="K42" s="29">
        <f>IF($P42="","",IF(INDEX(EntryMan,$P42)=0,"",INDEX(EntryMan,$P42)))</f>
        <v/>
      </c>
      <c r="L42" s="28">
        <f>IF($B42="","",IF($K42="","—",IF(ROUND($K42-$J42,0)=0,"√","×")))</f>
        <v/>
      </c>
      <c r="M42" s="28">
        <f>IF($B42="","",IF(COUNTIFS(EntryDates,$B42,CalcTime,$C42,CalcBank,$C$5,EntryParty,$D42,EntryDep,$H42,EntryWit,$I42)&gt;1,"تکرار",""))</f>
        <v/>
      </c>
      <c r="N42" s="28">
        <f>IF($P42="","",IF(INDEX(EntryNotes,$P42)=0,"",INDEX(EntryNotes,$P42)))</f>
        <v/>
      </c>
      <c r="O42" s="28">
        <f>IF($P42="","",IF(INDEX(EntryTxnID,$P42)=0,"",INDEX(EntryTxnID,$P42)))</f>
        <v/>
      </c>
      <c r="P42" s="28">
        <f>IFERROR(MATCH($C$5&amp;"|"&amp;RIGHT("000000"&amp;26,6),CalcRankKey,0),"")</f>
        <v/>
      </c>
    </row>
    <row r="43">
      <c r="A43" s="26">
        <f>IF($B43="","",27)</f>
        <v/>
      </c>
      <c r="B43" s="26">
        <f>IF($P43="","",IF(INDEX(CalcNormDate,$P43)=0,"",INDEX(CalcNormDate,$P43)))</f>
        <v/>
      </c>
      <c r="C43" s="26">
        <f>IF($P43="","",IF(INDEX(CalcTime,$P43)=0,"",INDEX(CalcTime,$P43)))</f>
        <v/>
      </c>
      <c r="D43" s="26">
        <f>IF($P43="","",IF(INDEX(EntryParty,$P43)=0,"",INDEX(EntryParty,$P43)))</f>
        <v/>
      </c>
      <c r="E43" s="26">
        <f>IF($P43="","",IF(INDEX(EntryPartyName,$P43)=0,"",INDEX(EntryPartyName,$P43)))</f>
        <v/>
      </c>
      <c r="F43" s="26">
        <f>IF($P43="","",IF(INDEX(EntryPartyType,$P43)=0,"",INDEX(EntryPartyType,$P43)))</f>
        <v/>
      </c>
      <c r="G43" s="26">
        <f>IF($P43="","",IF(INDEX(EntryTxnType,$P43)=0,"",INDEX(EntryTxnType,$P43)))</f>
        <v/>
      </c>
      <c r="H43" s="27">
        <f>IF($P43="","",IF(INDEX(EntryDep,$P43)=0,"",INDEX(EntryDep,$P43)))</f>
        <v/>
      </c>
      <c r="I43" s="27">
        <f>IF($P43="","",IF(INDEX(EntryWit,$P43)=0,"",INDEX(EntryWit,$P43)))</f>
        <v/>
      </c>
      <c r="J43" s="27">
        <f>IF($B43="","",IF($A43=1,$C$7,IF(J42="",0,J42))+IF($H43="",0,$H43)-IF($I43="",0,$I43))</f>
        <v/>
      </c>
      <c r="K43" s="27">
        <f>IF($P43="","",IF(INDEX(EntryMan,$P43)=0,"",INDEX(EntryMan,$P43)))</f>
        <v/>
      </c>
      <c r="L43" s="26">
        <f>IF($B43="","",IF($K43="","—",IF(ROUND($K43-$J43,0)=0,"√","×")))</f>
        <v/>
      </c>
      <c r="M43" s="26">
        <f>IF($B43="","",IF(COUNTIFS(EntryDates,$B43,CalcTime,$C43,CalcBank,$C$5,EntryParty,$D43,EntryDep,$H43,EntryWit,$I43)&gt;1,"تکرار",""))</f>
        <v/>
      </c>
      <c r="N43" s="26">
        <f>IF($P43="","",IF(INDEX(EntryNotes,$P43)=0,"",INDEX(EntryNotes,$P43)))</f>
        <v/>
      </c>
      <c r="O43" s="26">
        <f>IF($P43="","",IF(INDEX(EntryTxnID,$P43)=0,"",INDEX(EntryTxnID,$P43)))</f>
        <v/>
      </c>
      <c r="P43" s="26">
        <f>IFERROR(MATCH($C$5&amp;"|"&amp;RIGHT("000000"&amp;27,6),CalcRankKey,0),"")</f>
        <v/>
      </c>
    </row>
    <row r="44">
      <c r="A44" s="28">
        <f>IF($B44="","",28)</f>
        <v/>
      </c>
      <c r="B44" s="28">
        <f>IF($P44="","",IF(INDEX(CalcNormDate,$P44)=0,"",INDEX(CalcNormDate,$P44)))</f>
        <v/>
      </c>
      <c r="C44" s="28">
        <f>IF($P44="","",IF(INDEX(CalcTime,$P44)=0,"",INDEX(CalcTime,$P44)))</f>
        <v/>
      </c>
      <c r="D44" s="28">
        <f>IF($P44="","",IF(INDEX(EntryParty,$P44)=0,"",INDEX(EntryParty,$P44)))</f>
        <v/>
      </c>
      <c r="E44" s="28">
        <f>IF($P44="","",IF(INDEX(EntryPartyName,$P44)=0,"",INDEX(EntryPartyName,$P44)))</f>
        <v/>
      </c>
      <c r="F44" s="28">
        <f>IF($P44="","",IF(INDEX(EntryPartyType,$P44)=0,"",INDEX(EntryPartyType,$P44)))</f>
        <v/>
      </c>
      <c r="G44" s="28">
        <f>IF($P44="","",IF(INDEX(EntryTxnType,$P44)=0,"",INDEX(EntryTxnType,$P44)))</f>
        <v/>
      </c>
      <c r="H44" s="29">
        <f>IF($P44="","",IF(INDEX(EntryDep,$P44)=0,"",INDEX(EntryDep,$P44)))</f>
        <v/>
      </c>
      <c r="I44" s="29">
        <f>IF($P44="","",IF(INDEX(EntryWit,$P44)=0,"",INDEX(EntryWit,$P44)))</f>
        <v/>
      </c>
      <c r="J44" s="29">
        <f>IF($B44="","",IF($A44=1,$C$7,IF(J43="",0,J43))+IF($H44="",0,$H44)-IF($I44="",0,$I44))</f>
        <v/>
      </c>
      <c r="K44" s="29">
        <f>IF($P44="","",IF(INDEX(EntryMan,$P44)=0,"",INDEX(EntryMan,$P44)))</f>
        <v/>
      </c>
      <c r="L44" s="28">
        <f>IF($B44="","",IF($K44="","—",IF(ROUND($K44-$J44,0)=0,"√","×")))</f>
        <v/>
      </c>
      <c r="M44" s="28">
        <f>IF($B44="","",IF(COUNTIFS(EntryDates,$B44,CalcTime,$C44,CalcBank,$C$5,EntryParty,$D44,EntryDep,$H44,EntryWit,$I44)&gt;1,"تکرار",""))</f>
        <v/>
      </c>
      <c r="N44" s="28">
        <f>IF($P44="","",IF(INDEX(EntryNotes,$P44)=0,"",INDEX(EntryNotes,$P44)))</f>
        <v/>
      </c>
      <c r="O44" s="28">
        <f>IF($P44="","",IF(INDEX(EntryTxnID,$P44)=0,"",INDEX(EntryTxnID,$P44)))</f>
        <v/>
      </c>
      <c r="P44" s="28">
        <f>IFERROR(MATCH($C$5&amp;"|"&amp;RIGHT("000000"&amp;28,6),CalcRankKey,0),"")</f>
        <v/>
      </c>
    </row>
    <row r="45">
      <c r="A45" s="26">
        <f>IF($B45="","",29)</f>
        <v/>
      </c>
      <c r="B45" s="26">
        <f>IF($P45="","",IF(INDEX(CalcNormDate,$P45)=0,"",INDEX(CalcNormDate,$P45)))</f>
        <v/>
      </c>
      <c r="C45" s="26">
        <f>IF($P45="","",IF(INDEX(CalcTime,$P45)=0,"",INDEX(CalcTime,$P45)))</f>
        <v/>
      </c>
      <c r="D45" s="26">
        <f>IF($P45="","",IF(INDEX(EntryParty,$P45)=0,"",INDEX(EntryParty,$P45)))</f>
        <v/>
      </c>
      <c r="E45" s="26">
        <f>IF($P45="","",IF(INDEX(EntryPartyName,$P45)=0,"",INDEX(EntryPartyName,$P45)))</f>
        <v/>
      </c>
      <c r="F45" s="26">
        <f>IF($P45="","",IF(INDEX(EntryPartyType,$P45)=0,"",INDEX(EntryPartyType,$P45)))</f>
        <v/>
      </c>
      <c r="G45" s="26">
        <f>IF($P45="","",IF(INDEX(EntryTxnType,$P45)=0,"",INDEX(EntryTxnType,$P45)))</f>
        <v/>
      </c>
      <c r="H45" s="27">
        <f>IF($P45="","",IF(INDEX(EntryDep,$P45)=0,"",INDEX(EntryDep,$P45)))</f>
        <v/>
      </c>
      <c r="I45" s="27">
        <f>IF($P45="","",IF(INDEX(EntryWit,$P45)=0,"",INDEX(EntryWit,$P45)))</f>
        <v/>
      </c>
      <c r="J45" s="27">
        <f>IF($B45="","",IF($A45=1,$C$7,IF(J44="",0,J44))+IF($H45="",0,$H45)-IF($I45="",0,$I45))</f>
        <v/>
      </c>
      <c r="K45" s="27">
        <f>IF($P45="","",IF(INDEX(EntryMan,$P45)=0,"",INDEX(EntryMan,$P45)))</f>
        <v/>
      </c>
      <c r="L45" s="26">
        <f>IF($B45="","",IF($K45="","—",IF(ROUND($K45-$J45,0)=0,"√","×")))</f>
        <v/>
      </c>
      <c r="M45" s="26">
        <f>IF($B45="","",IF(COUNTIFS(EntryDates,$B45,CalcTime,$C45,CalcBank,$C$5,EntryParty,$D45,EntryDep,$H45,EntryWit,$I45)&gt;1,"تکرار",""))</f>
        <v/>
      </c>
      <c r="N45" s="26">
        <f>IF($P45="","",IF(INDEX(EntryNotes,$P45)=0,"",INDEX(EntryNotes,$P45)))</f>
        <v/>
      </c>
      <c r="O45" s="26">
        <f>IF($P45="","",IF(INDEX(EntryTxnID,$P45)=0,"",INDEX(EntryTxnID,$P45)))</f>
        <v/>
      </c>
      <c r="P45" s="26">
        <f>IFERROR(MATCH($C$5&amp;"|"&amp;RIGHT("000000"&amp;29,6),CalcRankKey,0),"")</f>
        <v/>
      </c>
    </row>
    <row r="46">
      <c r="A46" s="28">
        <f>IF($B46="","",30)</f>
        <v/>
      </c>
      <c r="B46" s="28">
        <f>IF($P46="","",IF(INDEX(CalcNormDate,$P46)=0,"",INDEX(CalcNormDate,$P46)))</f>
        <v/>
      </c>
      <c r="C46" s="28">
        <f>IF($P46="","",IF(INDEX(CalcTime,$P46)=0,"",INDEX(CalcTime,$P46)))</f>
        <v/>
      </c>
      <c r="D46" s="28">
        <f>IF($P46="","",IF(INDEX(EntryParty,$P46)=0,"",INDEX(EntryParty,$P46)))</f>
        <v/>
      </c>
      <c r="E46" s="28">
        <f>IF($P46="","",IF(INDEX(EntryPartyName,$P46)=0,"",INDEX(EntryPartyName,$P46)))</f>
        <v/>
      </c>
      <c r="F46" s="28">
        <f>IF($P46="","",IF(INDEX(EntryPartyType,$P46)=0,"",INDEX(EntryPartyType,$P46)))</f>
        <v/>
      </c>
      <c r="G46" s="28">
        <f>IF($P46="","",IF(INDEX(EntryTxnType,$P46)=0,"",INDEX(EntryTxnType,$P46)))</f>
        <v/>
      </c>
      <c r="H46" s="29">
        <f>IF($P46="","",IF(INDEX(EntryDep,$P46)=0,"",INDEX(EntryDep,$P46)))</f>
        <v/>
      </c>
      <c r="I46" s="29">
        <f>IF($P46="","",IF(INDEX(EntryWit,$P46)=0,"",INDEX(EntryWit,$P46)))</f>
        <v/>
      </c>
      <c r="J46" s="29">
        <f>IF($B46="","",IF($A46=1,$C$7,IF(J45="",0,J45))+IF($H46="",0,$H46)-IF($I46="",0,$I46))</f>
        <v/>
      </c>
      <c r="K46" s="29">
        <f>IF($P46="","",IF(INDEX(EntryMan,$P46)=0,"",INDEX(EntryMan,$P46)))</f>
        <v/>
      </c>
      <c r="L46" s="28">
        <f>IF($B46="","",IF($K46="","—",IF(ROUND($K46-$J46,0)=0,"√","×")))</f>
        <v/>
      </c>
      <c r="M46" s="28">
        <f>IF($B46="","",IF(COUNTIFS(EntryDates,$B46,CalcTime,$C46,CalcBank,$C$5,EntryParty,$D46,EntryDep,$H46,EntryWit,$I46)&gt;1,"تکرار",""))</f>
        <v/>
      </c>
      <c r="N46" s="28">
        <f>IF($P46="","",IF(INDEX(EntryNotes,$P46)=0,"",INDEX(EntryNotes,$P46)))</f>
        <v/>
      </c>
      <c r="O46" s="28">
        <f>IF($P46="","",IF(INDEX(EntryTxnID,$P46)=0,"",INDEX(EntryTxnID,$P46)))</f>
        <v/>
      </c>
      <c r="P46" s="28">
        <f>IFERROR(MATCH($C$5&amp;"|"&amp;RIGHT("000000"&amp;30,6),CalcRankKey,0),"")</f>
        <v/>
      </c>
    </row>
    <row r="47">
      <c r="A47" s="26">
        <f>IF($B47="","",31)</f>
        <v/>
      </c>
      <c r="B47" s="26">
        <f>IF($P47="","",IF(INDEX(CalcNormDate,$P47)=0,"",INDEX(CalcNormDate,$P47)))</f>
        <v/>
      </c>
      <c r="C47" s="26">
        <f>IF($P47="","",IF(INDEX(CalcTime,$P47)=0,"",INDEX(CalcTime,$P47)))</f>
        <v/>
      </c>
      <c r="D47" s="26">
        <f>IF($P47="","",IF(INDEX(EntryParty,$P47)=0,"",INDEX(EntryParty,$P47)))</f>
        <v/>
      </c>
      <c r="E47" s="26">
        <f>IF($P47="","",IF(INDEX(EntryPartyName,$P47)=0,"",INDEX(EntryPartyName,$P47)))</f>
        <v/>
      </c>
      <c r="F47" s="26">
        <f>IF($P47="","",IF(INDEX(EntryPartyType,$P47)=0,"",INDEX(EntryPartyType,$P47)))</f>
        <v/>
      </c>
      <c r="G47" s="26">
        <f>IF($P47="","",IF(INDEX(EntryTxnType,$P47)=0,"",INDEX(EntryTxnType,$P47)))</f>
        <v/>
      </c>
      <c r="H47" s="27">
        <f>IF($P47="","",IF(INDEX(EntryDep,$P47)=0,"",INDEX(EntryDep,$P47)))</f>
        <v/>
      </c>
      <c r="I47" s="27">
        <f>IF($P47="","",IF(INDEX(EntryWit,$P47)=0,"",INDEX(EntryWit,$P47)))</f>
        <v/>
      </c>
      <c r="J47" s="27">
        <f>IF($B47="","",IF($A47=1,$C$7,IF(J46="",0,J46))+IF($H47="",0,$H47)-IF($I47="",0,$I47))</f>
        <v/>
      </c>
      <c r="K47" s="27">
        <f>IF($P47="","",IF(INDEX(EntryMan,$P47)=0,"",INDEX(EntryMan,$P47)))</f>
        <v/>
      </c>
      <c r="L47" s="26">
        <f>IF($B47="","",IF($K47="","—",IF(ROUND($K47-$J47,0)=0,"√","×")))</f>
        <v/>
      </c>
      <c r="M47" s="26">
        <f>IF($B47="","",IF(COUNTIFS(EntryDates,$B47,CalcTime,$C47,CalcBank,$C$5,EntryParty,$D47,EntryDep,$H47,EntryWit,$I47)&gt;1,"تکرار",""))</f>
        <v/>
      </c>
      <c r="N47" s="26">
        <f>IF($P47="","",IF(INDEX(EntryNotes,$P47)=0,"",INDEX(EntryNotes,$P47)))</f>
        <v/>
      </c>
      <c r="O47" s="26">
        <f>IF($P47="","",IF(INDEX(EntryTxnID,$P47)=0,"",INDEX(EntryTxnID,$P47)))</f>
        <v/>
      </c>
      <c r="P47" s="26">
        <f>IFERROR(MATCH($C$5&amp;"|"&amp;RIGHT("000000"&amp;31,6),CalcRankKey,0),"")</f>
        <v/>
      </c>
    </row>
    <row r="48">
      <c r="A48" s="28">
        <f>IF($B48="","",32)</f>
        <v/>
      </c>
      <c r="B48" s="28">
        <f>IF($P48="","",IF(INDEX(CalcNormDate,$P48)=0,"",INDEX(CalcNormDate,$P48)))</f>
        <v/>
      </c>
      <c r="C48" s="28">
        <f>IF($P48="","",IF(INDEX(CalcTime,$P48)=0,"",INDEX(CalcTime,$P48)))</f>
        <v/>
      </c>
      <c r="D48" s="28">
        <f>IF($P48="","",IF(INDEX(EntryParty,$P48)=0,"",INDEX(EntryParty,$P48)))</f>
        <v/>
      </c>
      <c r="E48" s="28">
        <f>IF($P48="","",IF(INDEX(EntryPartyName,$P48)=0,"",INDEX(EntryPartyName,$P48)))</f>
        <v/>
      </c>
      <c r="F48" s="28">
        <f>IF($P48="","",IF(INDEX(EntryPartyType,$P48)=0,"",INDEX(EntryPartyType,$P48)))</f>
        <v/>
      </c>
      <c r="G48" s="28">
        <f>IF($P48="","",IF(INDEX(EntryTxnType,$P48)=0,"",INDEX(EntryTxnType,$P48)))</f>
        <v/>
      </c>
      <c r="H48" s="29">
        <f>IF($P48="","",IF(INDEX(EntryDep,$P48)=0,"",INDEX(EntryDep,$P48)))</f>
        <v/>
      </c>
      <c r="I48" s="29">
        <f>IF($P48="","",IF(INDEX(EntryWit,$P48)=0,"",INDEX(EntryWit,$P48)))</f>
        <v/>
      </c>
      <c r="J48" s="29">
        <f>IF($B48="","",IF($A48=1,$C$7,IF(J47="",0,J47))+IF($H48="",0,$H48)-IF($I48="",0,$I48))</f>
        <v/>
      </c>
      <c r="K48" s="29">
        <f>IF($P48="","",IF(INDEX(EntryMan,$P48)=0,"",INDEX(EntryMan,$P48)))</f>
        <v/>
      </c>
      <c r="L48" s="28">
        <f>IF($B48="","",IF($K48="","—",IF(ROUND($K48-$J48,0)=0,"√","×")))</f>
        <v/>
      </c>
      <c r="M48" s="28">
        <f>IF($B48="","",IF(COUNTIFS(EntryDates,$B48,CalcTime,$C48,CalcBank,$C$5,EntryParty,$D48,EntryDep,$H48,EntryWit,$I48)&gt;1,"تکرار",""))</f>
        <v/>
      </c>
      <c r="N48" s="28">
        <f>IF($P48="","",IF(INDEX(EntryNotes,$P48)=0,"",INDEX(EntryNotes,$P48)))</f>
        <v/>
      </c>
      <c r="O48" s="28">
        <f>IF($P48="","",IF(INDEX(EntryTxnID,$P48)=0,"",INDEX(EntryTxnID,$P48)))</f>
        <v/>
      </c>
      <c r="P48" s="28">
        <f>IFERROR(MATCH($C$5&amp;"|"&amp;RIGHT("000000"&amp;32,6),CalcRankKey,0),"")</f>
        <v/>
      </c>
    </row>
    <row r="49">
      <c r="A49" s="26">
        <f>IF($B49="","",33)</f>
        <v/>
      </c>
      <c r="B49" s="26">
        <f>IF($P49="","",IF(INDEX(CalcNormDate,$P49)=0,"",INDEX(CalcNormDate,$P49)))</f>
        <v/>
      </c>
      <c r="C49" s="26">
        <f>IF($P49="","",IF(INDEX(CalcTime,$P49)=0,"",INDEX(CalcTime,$P49)))</f>
        <v/>
      </c>
      <c r="D49" s="26">
        <f>IF($P49="","",IF(INDEX(EntryParty,$P49)=0,"",INDEX(EntryParty,$P49)))</f>
        <v/>
      </c>
      <c r="E49" s="26">
        <f>IF($P49="","",IF(INDEX(EntryPartyName,$P49)=0,"",INDEX(EntryPartyName,$P49)))</f>
        <v/>
      </c>
      <c r="F49" s="26">
        <f>IF($P49="","",IF(INDEX(EntryPartyType,$P49)=0,"",INDEX(EntryPartyType,$P49)))</f>
        <v/>
      </c>
      <c r="G49" s="26">
        <f>IF($P49="","",IF(INDEX(EntryTxnType,$P49)=0,"",INDEX(EntryTxnType,$P49)))</f>
        <v/>
      </c>
      <c r="H49" s="27">
        <f>IF($P49="","",IF(INDEX(EntryDep,$P49)=0,"",INDEX(EntryDep,$P49)))</f>
        <v/>
      </c>
      <c r="I49" s="27">
        <f>IF($P49="","",IF(INDEX(EntryWit,$P49)=0,"",INDEX(EntryWit,$P49)))</f>
        <v/>
      </c>
      <c r="J49" s="27">
        <f>IF($B49="","",IF($A49=1,$C$7,IF(J48="",0,J48))+IF($H49="",0,$H49)-IF($I49="",0,$I49))</f>
        <v/>
      </c>
      <c r="K49" s="27">
        <f>IF($P49="","",IF(INDEX(EntryMan,$P49)=0,"",INDEX(EntryMan,$P49)))</f>
        <v/>
      </c>
      <c r="L49" s="26">
        <f>IF($B49="","",IF($K49="","—",IF(ROUND($K49-$J49,0)=0,"√","×")))</f>
        <v/>
      </c>
      <c r="M49" s="26">
        <f>IF($B49="","",IF(COUNTIFS(EntryDates,$B49,CalcTime,$C49,CalcBank,$C$5,EntryParty,$D49,EntryDep,$H49,EntryWit,$I49)&gt;1,"تکرار",""))</f>
        <v/>
      </c>
      <c r="N49" s="26">
        <f>IF($P49="","",IF(INDEX(EntryNotes,$P49)=0,"",INDEX(EntryNotes,$P49)))</f>
        <v/>
      </c>
      <c r="O49" s="26">
        <f>IF($P49="","",IF(INDEX(EntryTxnID,$P49)=0,"",INDEX(EntryTxnID,$P49)))</f>
        <v/>
      </c>
      <c r="P49" s="26">
        <f>IFERROR(MATCH($C$5&amp;"|"&amp;RIGHT("000000"&amp;33,6),CalcRankKey,0),"")</f>
        <v/>
      </c>
    </row>
    <row r="50">
      <c r="A50" s="28">
        <f>IF($B50="","",34)</f>
        <v/>
      </c>
      <c r="B50" s="28">
        <f>IF($P50="","",IF(INDEX(CalcNormDate,$P50)=0,"",INDEX(CalcNormDate,$P50)))</f>
        <v/>
      </c>
      <c r="C50" s="28">
        <f>IF($P50="","",IF(INDEX(CalcTime,$P50)=0,"",INDEX(CalcTime,$P50)))</f>
        <v/>
      </c>
      <c r="D50" s="28">
        <f>IF($P50="","",IF(INDEX(EntryParty,$P50)=0,"",INDEX(EntryParty,$P50)))</f>
        <v/>
      </c>
      <c r="E50" s="28">
        <f>IF($P50="","",IF(INDEX(EntryPartyName,$P50)=0,"",INDEX(EntryPartyName,$P50)))</f>
        <v/>
      </c>
      <c r="F50" s="28">
        <f>IF($P50="","",IF(INDEX(EntryPartyType,$P50)=0,"",INDEX(EntryPartyType,$P50)))</f>
        <v/>
      </c>
      <c r="G50" s="28">
        <f>IF($P50="","",IF(INDEX(EntryTxnType,$P50)=0,"",INDEX(EntryTxnType,$P50)))</f>
        <v/>
      </c>
      <c r="H50" s="29">
        <f>IF($P50="","",IF(INDEX(EntryDep,$P50)=0,"",INDEX(EntryDep,$P50)))</f>
        <v/>
      </c>
      <c r="I50" s="29">
        <f>IF($P50="","",IF(INDEX(EntryWit,$P50)=0,"",INDEX(EntryWit,$P50)))</f>
        <v/>
      </c>
      <c r="J50" s="29">
        <f>IF($B50="","",IF($A50=1,$C$7,IF(J49="",0,J49))+IF($H50="",0,$H50)-IF($I50="",0,$I50))</f>
        <v/>
      </c>
      <c r="K50" s="29">
        <f>IF($P50="","",IF(INDEX(EntryMan,$P50)=0,"",INDEX(EntryMan,$P50)))</f>
        <v/>
      </c>
      <c r="L50" s="28">
        <f>IF($B50="","",IF($K50="","—",IF(ROUND($K50-$J50,0)=0,"√","×")))</f>
        <v/>
      </c>
      <c r="M50" s="28">
        <f>IF($B50="","",IF(COUNTIFS(EntryDates,$B50,CalcTime,$C50,CalcBank,$C$5,EntryParty,$D50,EntryDep,$H50,EntryWit,$I50)&gt;1,"تکرار",""))</f>
        <v/>
      </c>
      <c r="N50" s="28">
        <f>IF($P50="","",IF(INDEX(EntryNotes,$P50)=0,"",INDEX(EntryNotes,$P50)))</f>
        <v/>
      </c>
      <c r="O50" s="28">
        <f>IF($P50="","",IF(INDEX(EntryTxnID,$P50)=0,"",INDEX(EntryTxnID,$P50)))</f>
        <v/>
      </c>
      <c r="P50" s="28">
        <f>IFERROR(MATCH($C$5&amp;"|"&amp;RIGHT("000000"&amp;34,6),CalcRankKey,0),"")</f>
        <v/>
      </c>
    </row>
    <row r="51">
      <c r="A51" s="26">
        <f>IF($B51="","",35)</f>
        <v/>
      </c>
      <c r="B51" s="26">
        <f>IF($P51="","",IF(INDEX(CalcNormDate,$P51)=0,"",INDEX(CalcNormDate,$P51)))</f>
        <v/>
      </c>
      <c r="C51" s="26">
        <f>IF($P51="","",IF(INDEX(CalcTime,$P51)=0,"",INDEX(CalcTime,$P51)))</f>
        <v/>
      </c>
      <c r="D51" s="26">
        <f>IF($P51="","",IF(INDEX(EntryParty,$P51)=0,"",INDEX(EntryParty,$P51)))</f>
        <v/>
      </c>
      <c r="E51" s="26">
        <f>IF($P51="","",IF(INDEX(EntryPartyName,$P51)=0,"",INDEX(EntryPartyName,$P51)))</f>
        <v/>
      </c>
      <c r="F51" s="26">
        <f>IF($P51="","",IF(INDEX(EntryPartyType,$P51)=0,"",INDEX(EntryPartyType,$P51)))</f>
        <v/>
      </c>
      <c r="G51" s="26">
        <f>IF($P51="","",IF(INDEX(EntryTxnType,$P51)=0,"",INDEX(EntryTxnType,$P51)))</f>
        <v/>
      </c>
      <c r="H51" s="27">
        <f>IF($P51="","",IF(INDEX(EntryDep,$P51)=0,"",INDEX(EntryDep,$P51)))</f>
        <v/>
      </c>
      <c r="I51" s="27">
        <f>IF($P51="","",IF(INDEX(EntryWit,$P51)=0,"",INDEX(EntryWit,$P51)))</f>
        <v/>
      </c>
      <c r="J51" s="27">
        <f>IF($B51="","",IF($A51=1,$C$7,IF(J50="",0,J50))+IF($H51="",0,$H51)-IF($I51="",0,$I51))</f>
        <v/>
      </c>
      <c r="K51" s="27">
        <f>IF($P51="","",IF(INDEX(EntryMan,$P51)=0,"",INDEX(EntryMan,$P51)))</f>
        <v/>
      </c>
      <c r="L51" s="26">
        <f>IF($B51="","",IF($K51="","—",IF(ROUND($K51-$J51,0)=0,"√","×")))</f>
        <v/>
      </c>
      <c r="M51" s="26">
        <f>IF($B51="","",IF(COUNTIFS(EntryDates,$B51,CalcTime,$C51,CalcBank,$C$5,EntryParty,$D51,EntryDep,$H51,EntryWit,$I51)&gt;1,"تکرار",""))</f>
        <v/>
      </c>
      <c r="N51" s="26">
        <f>IF($P51="","",IF(INDEX(EntryNotes,$P51)=0,"",INDEX(EntryNotes,$P51)))</f>
        <v/>
      </c>
      <c r="O51" s="26">
        <f>IF($P51="","",IF(INDEX(EntryTxnID,$P51)=0,"",INDEX(EntryTxnID,$P51)))</f>
        <v/>
      </c>
      <c r="P51" s="26">
        <f>IFERROR(MATCH($C$5&amp;"|"&amp;RIGHT("000000"&amp;35,6),CalcRankKey,0),"")</f>
        <v/>
      </c>
    </row>
    <row r="52">
      <c r="A52" s="28">
        <f>IF($B52="","",36)</f>
        <v/>
      </c>
      <c r="B52" s="28">
        <f>IF($P52="","",IF(INDEX(CalcNormDate,$P52)=0,"",INDEX(CalcNormDate,$P52)))</f>
        <v/>
      </c>
      <c r="C52" s="28">
        <f>IF($P52="","",IF(INDEX(CalcTime,$P52)=0,"",INDEX(CalcTime,$P52)))</f>
        <v/>
      </c>
      <c r="D52" s="28">
        <f>IF($P52="","",IF(INDEX(EntryParty,$P52)=0,"",INDEX(EntryParty,$P52)))</f>
        <v/>
      </c>
      <c r="E52" s="28">
        <f>IF($P52="","",IF(INDEX(EntryPartyName,$P52)=0,"",INDEX(EntryPartyName,$P52)))</f>
        <v/>
      </c>
      <c r="F52" s="28">
        <f>IF($P52="","",IF(INDEX(EntryPartyType,$P52)=0,"",INDEX(EntryPartyType,$P52)))</f>
        <v/>
      </c>
      <c r="G52" s="28">
        <f>IF($P52="","",IF(INDEX(EntryTxnType,$P52)=0,"",INDEX(EntryTxnType,$P52)))</f>
        <v/>
      </c>
      <c r="H52" s="29">
        <f>IF($P52="","",IF(INDEX(EntryDep,$P52)=0,"",INDEX(EntryDep,$P52)))</f>
        <v/>
      </c>
      <c r="I52" s="29">
        <f>IF($P52="","",IF(INDEX(EntryWit,$P52)=0,"",INDEX(EntryWit,$P52)))</f>
        <v/>
      </c>
      <c r="J52" s="29">
        <f>IF($B52="","",IF($A52=1,$C$7,IF(J51="",0,J51))+IF($H52="",0,$H52)-IF($I52="",0,$I52))</f>
        <v/>
      </c>
      <c r="K52" s="29">
        <f>IF($P52="","",IF(INDEX(EntryMan,$P52)=0,"",INDEX(EntryMan,$P52)))</f>
        <v/>
      </c>
      <c r="L52" s="28">
        <f>IF($B52="","",IF($K52="","—",IF(ROUND($K52-$J52,0)=0,"√","×")))</f>
        <v/>
      </c>
      <c r="M52" s="28">
        <f>IF($B52="","",IF(COUNTIFS(EntryDates,$B52,CalcTime,$C52,CalcBank,$C$5,EntryParty,$D52,EntryDep,$H52,EntryWit,$I52)&gt;1,"تکرار",""))</f>
        <v/>
      </c>
      <c r="N52" s="28">
        <f>IF($P52="","",IF(INDEX(EntryNotes,$P52)=0,"",INDEX(EntryNotes,$P52)))</f>
        <v/>
      </c>
      <c r="O52" s="28">
        <f>IF($P52="","",IF(INDEX(EntryTxnID,$P52)=0,"",INDEX(EntryTxnID,$P52)))</f>
        <v/>
      </c>
      <c r="P52" s="28">
        <f>IFERROR(MATCH($C$5&amp;"|"&amp;RIGHT("000000"&amp;36,6),CalcRankKey,0),"")</f>
        <v/>
      </c>
    </row>
    <row r="53">
      <c r="A53" s="26">
        <f>IF($B53="","",37)</f>
        <v/>
      </c>
      <c r="B53" s="26">
        <f>IF($P53="","",IF(INDEX(CalcNormDate,$P53)=0,"",INDEX(CalcNormDate,$P53)))</f>
        <v/>
      </c>
      <c r="C53" s="26">
        <f>IF($P53="","",IF(INDEX(CalcTime,$P53)=0,"",INDEX(CalcTime,$P53)))</f>
        <v/>
      </c>
      <c r="D53" s="26">
        <f>IF($P53="","",IF(INDEX(EntryParty,$P53)=0,"",INDEX(EntryParty,$P53)))</f>
        <v/>
      </c>
      <c r="E53" s="26">
        <f>IF($P53="","",IF(INDEX(EntryPartyName,$P53)=0,"",INDEX(EntryPartyName,$P53)))</f>
        <v/>
      </c>
      <c r="F53" s="26">
        <f>IF($P53="","",IF(INDEX(EntryPartyType,$P53)=0,"",INDEX(EntryPartyType,$P53)))</f>
        <v/>
      </c>
      <c r="G53" s="26">
        <f>IF($P53="","",IF(INDEX(EntryTxnType,$P53)=0,"",INDEX(EntryTxnType,$P53)))</f>
        <v/>
      </c>
      <c r="H53" s="27">
        <f>IF($P53="","",IF(INDEX(EntryDep,$P53)=0,"",INDEX(EntryDep,$P53)))</f>
        <v/>
      </c>
      <c r="I53" s="27">
        <f>IF($P53="","",IF(INDEX(EntryWit,$P53)=0,"",INDEX(EntryWit,$P53)))</f>
        <v/>
      </c>
      <c r="J53" s="27">
        <f>IF($B53="","",IF($A53=1,$C$7,IF(J52="",0,J52))+IF($H53="",0,$H53)-IF($I53="",0,$I53))</f>
        <v/>
      </c>
      <c r="K53" s="27">
        <f>IF($P53="","",IF(INDEX(EntryMan,$P53)=0,"",INDEX(EntryMan,$P53)))</f>
        <v/>
      </c>
      <c r="L53" s="26">
        <f>IF($B53="","",IF($K53="","—",IF(ROUND($K53-$J53,0)=0,"√","×")))</f>
        <v/>
      </c>
      <c r="M53" s="26">
        <f>IF($B53="","",IF(COUNTIFS(EntryDates,$B53,CalcTime,$C53,CalcBank,$C$5,EntryParty,$D53,EntryDep,$H53,EntryWit,$I53)&gt;1,"تکرار",""))</f>
        <v/>
      </c>
      <c r="N53" s="26">
        <f>IF($P53="","",IF(INDEX(EntryNotes,$P53)=0,"",INDEX(EntryNotes,$P53)))</f>
        <v/>
      </c>
      <c r="O53" s="26">
        <f>IF($P53="","",IF(INDEX(EntryTxnID,$P53)=0,"",INDEX(EntryTxnID,$P53)))</f>
        <v/>
      </c>
      <c r="P53" s="26">
        <f>IFERROR(MATCH($C$5&amp;"|"&amp;RIGHT("000000"&amp;37,6),CalcRankKey,0),"")</f>
        <v/>
      </c>
    </row>
    <row r="54">
      <c r="A54" s="28">
        <f>IF($B54="","",38)</f>
        <v/>
      </c>
      <c r="B54" s="28">
        <f>IF($P54="","",IF(INDEX(CalcNormDate,$P54)=0,"",INDEX(CalcNormDate,$P54)))</f>
        <v/>
      </c>
      <c r="C54" s="28">
        <f>IF($P54="","",IF(INDEX(CalcTime,$P54)=0,"",INDEX(CalcTime,$P54)))</f>
        <v/>
      </c>
      <c r="D54" s="28">
        <f>IF($P54="","",IF(INDEX(EntryParty,$P54)=0,"",INDEX(EntryParty,$P54)))</f>
        <v/>
      </c>
      <c r="E54" s="28">
        <f>IF($P54="","",IF(INDEX(EntryPartyName,$P54)=0,"",INDEX(EntryPartyName,$P54)))</f>
        <v/>
      </c>
      <c r="F54" s="28">
        <f>IF($P54="","",IF(INDEX(EntryPartyType,$P54)=0,"",INDEX(EntryPartyType,$P54)))</f>
        <v/>
      </c>
      <c r="G54" s="28">
        <f>IF($P54="","",IF(INDEX(EntryTxnType,$P54)=0,"",INDEX(EntryTxnType,$P54)))</f>
        <v/>
      </c>
      <c r="H54" s="29">
        <f>IF($P54="","",IF(INDEX(EntryDep,$P54)=0,"",INDEX(EntryDep,$P54)))</f>
        <v/>
      </c>
      <c r="I54" s="29">
        <f>IF($P54="","",IF(INDEX(EntryWit,$P54)=0,"",INDEX(EntryWit,$P54)))</f>
        <v/>
      </c>
      <c r="J54" s="29">
        <f>IF($B54="","",IF($A54=1,$C$7,IF(J53="",0,J53))+IF($H54="",0,$H54)-IF($I54="",0,$I54))</f>
        <v/>
      </c>
      <c r="K54" s="29">
        <f>IF($P54="","",IF(INDEX(EntryMan,$P54)=0,"",INDEX(EntryMan,$P54)))</f>
        <v/>
      </c>
      <c r="L54" s="28">
        <f>IF($B54="","",IF($K54="","—",IF(ROUND($K54-$J54,0)=0,"√","×")))</f>
        <v/>
      </c>
      <c r="M54" s="28">
        <f>IF($B54="","",IF(COUNTIFS(EntryDates,$B54,CalcTime,$C54,CalcBank,$C$5,EntryParty,$D54,EntryDep,$H54,EntryWit,$I54)&gt;1,"تکرار",""))</f>
        <v/>
      </c>
      <c r="N54" s="28">
        <f>IF($P54="","",IF(INDEX(EntryNotes,$P54)=0,"",INDEX(EntryNotes,$P54)))</f>
        <v/>
      </c>
      <c r="O54" s="28">
        <f>IF($P54="","",IF(INDEX(EntryTxnID,$P54)=0,"",INDEX(EntryTxnID,$P54)))</f>
        <v/>
      </c>
      <c r="P54" s="28">
        <f>IFERROR(MATCH($C$5&amp;"|"&amp;RIGHT("000000"&amp;38,6),CalcRankKey,0),"")</f>
        <v/>
      </c>
    </row>
    <row r="55">
      <c r="A55" s="26">
        <f>IF($B55="","",39)</f>
        <v/>
      </c>
      <c r="B55" s="26">
        <f>IF($P55="","",IF(INDEX(CalcNormDate,$P55)=0,"",INDEX(CalcNormDate,$P55)))</f>
        <v/>
      </c>
      <c r="C55" s="26">
        <f>IF($P55="","",IF(INDEX(CalcTime,$P55)=0,"",INDEX(CalcTime,$P55)))</f>
        <v/>
      </c>
      <c r="D55" s="26">
        <f>IF($P55="","",IF(INDEX(EntryParty,$P55)=0,"",INDEX(EntryParty,$P55)))</f>
        <v/>
      </c>
      <c r="E55" s="26">
        <f>IF($P55="","",IF(INDEX(EntryPartyName,$P55)=0,"",INDEX(EntryPartyName,$P55)))</f>
        <v/>
      </c>
      <c r="F55" s="26">
        <f>IF($P55="","",IF(INDEX(EntryPartyType,$P55)=0,"",INDEX(EntryPartyType,$P55)))</f>
        <v/>
      </c>
      <c r="G55" s="26">
        <f>IF($P55="","",IF(INDEX(EntryTxnType,$P55)=0,"",INDEX(EntryTxnType,$P55)))</f>
        <v/>
      </c>
      <c r="H55" s="27">
        <f>IF($P55="","",IF(INDEX(EntryDep,$P55)=0,"",INDEX(EntryDep,$P55)))</f>
        <v/>
      </c>
      <c r="I55" s="27">
        <f>IF($P55="","",IF(INDEX(EntryWit,$P55)=0,"",INDEX(EntryWit,$P55)))</f>
        <v/>
      </c>
      <c r="J55" s="27">
        <f>IF($B55="","",IF($A55=1,$C$7,IF(J54="",0,J54))+IF($H55="",0,$H55)-IF($I55="",0,$I55))</f>
        <v/>
      </c>
      <c r="K55" s="27">
        <f>IF($P55="","",IF(INDEX(EntryMan,$P55)=0,"",INDEX(EntryMan,$P55)))</f>
        <v/>
      </c>
      <c r="L55" s="26">
        <f>IF($B55="","",IF($K55="","—",IF(ROUND($K55-$J55,0)=0,"√","×")))</f>
        <v/>
      </c>
      <c r="M55" s="26">
        <f>IF($B55="","",IF(COUNTIFS(EntryDates,$B55,CalcTime,$C55,CalcBank,$C$5,EntryParty,$D55,EntryDep,$H55,EntryWit,$I55)&gt;1,"تکرار",""))</f>
        <v/>
      </c>
      <c r="N55" s="26">
        <f>IF($P55="","",IF(INDEX(EntryNotes,$P55)=0,"",INDEX(EntryNotes,$P55)))</f>
        <v/>
      </c>
      <c r="O55" s="26">
        <f>IF($P55="","",IF(INDEX(EntryTxnID,$P55)=0,"",INDEX(EntryTxnID,$P55)))</f>
        <v/>
      </c>
      <c r="P55" s="26">
        <f>IFERROR(MATCH($C$5&amp;"|"&amp;RIGHT("000000"&amp;39,6),CalcRankKey,0),"")</f>
        <v/>
      </c>
    </row>
    <row r="56">
      <c r="A56" s="28">
        <f>IF($B56="","",40)</f>
        <v/>
      </c>
      <c r="B56" s="28">
        <f>IF($P56="","",IF(INDEX(CalcNormDate,$P56)=0,"",INDEX(CalcNormDate,$P56)))</f>
        <v/>
      </c>
      <c r="C56" s="28">
        <f>IF($P56="","",IF(INDEX(CalcTime,$P56)=0,"",INDEX(CalcTime,$P56)))</f>
        <v/>
      </c>
      <c r="D56" s="28">
        <f>IF($P56="","",IF(INDEX(EntryParty,$P56)=0,"",INDEX(EntryParty,$P56)))</f>
        <v/>
      </c>
      <c r="E56" s="28">
        <f>IF($P56="","",IF(INDEX(EntryPartyName,$P56)=0,"",INDEX(EntryPartyName,$P56)))</f>
        <v/>
      </c>
      <c r="F56" s="28">
        <f>IF($P56="","",IF(INDEX(EntryPartyType,$P56)=0,"",INDEX(EntryPartyType,$P56)))</f>
        <v/>
      </c>
      <c r="G56" s="28">
        <f>IF($P56="","",IF(INDEX(EntryTxnType,$P56)=0,"",INDEX(EntryTxnType,$P56)))</f>
        <v/>
      </c>
      <c r="H56" s="29">
        <f>IF($P56="","",IF(INDEX(EntryDep,$P56)=0,"",INDEX(EntryDep,$P56)))</f>
        <v/>
      </c>
      <c r="I56" s="29">
        <f>IF($P56="","",IF(INDEX(EntryWit,$P56)=0,"",INDEX(EntryWit,$P56)))</f>
        <v/>
      </c>
      <c r="J56" s="29">
        <f>IF($B56="","",IF($A56=1,$C$7,IF(J55="",0,J55))+IF($H56="",0,$H56)-IF($I56="",0,$I56))</f>
        <v/>
      </c>
      <c r="K56" s="29">
        <f>IF($P56="","",IF(INDEX(EntryMan,$P56)=0,"",INDEX(EntryMan,$P56)))</f>
        <v/>
      </c>
      <c r="L56" s="28">
        <f>IF($B56="","",IF($K56="","—",IF(ROUND($K56-$J56,0)=0,"√","×")))</f>
        <v/>
      </c>
      <c r="M56" s="28">
        <f>IF($B56="","",IF(COUNTIFS(EntryDates,$B56,CalcTime,$C56,CalcBank,$C$5,EntryParty,$D56,EntryDep,$H56,EntryWit,$I56)&gt;1,"تکرار",""))</f>
        <v/>
      </c>
      <c r="N56" s="28">
        <f>IF($P56="","",IF(INDEX(EntryNotes,$P56)=0,"",INDEX(EntryNotes,$P56)))</f>
        <v/>
      </c>
      <c r="O56" s="28">
        <f>IF($P56="","",IF(INDEX(EntryTxnID,$P56)=0,"",INDEX(EntryTxnID,$P56)))</f>
        <v/>
      </c>
      <c r="P56" s="28">
        <f>IFERROR(MATCH($C$5&amp;"|"&amp;RIGHT("000000"&amp;40,6),CalcRankKey,0),"")</f>
        <v/>
      </c>
    </row>
    <row r="57">
      <c r="A57" s="26">
        <f>IF($B57="","",41)</f>
        <v/>
      </c>
      <c r="B57" s="26">
        <f>IF($P57="","",IF(INDEX(CalcNormDate,$P57)=0,"",INDEX(CalcNormDate,$P57)))</f>
        <v/>
      </c>
      <c r="C57" s="26">
        <f>IF($P57="","",IF(INDEX(CalcTime,$P57)=0,"",INDEX(CalcTime,$P57)))</f>
        <v/>
      </c>
      <c r="D57" s="26">
        <f>IF($P57="","",IF(INDEX(EntryParty,$P57)=0,"",INDEX(EntryParty,$P57)))</f>
        <v/>
      </c>
      <c r="E57" s="26">
        <f>IF($P57="","",IF(INDEX(EntryPartyName,$P57)=0,"",INDEX(EntryPartyName,$P57)))</f>
        <v/>
      </c>
      <c r="F57" s="26">
        <f>IF($P57="","",IF(INDEX(EntryPartyType,$P57)=0,"",INDEX(EntryPartyType,$P57)))</f>
        <v/>
      </c>
      <c r="G57" s="26">
        <f>IF($P57="","",IF(INDEX(EntryTxnType,$P57)=0,"",INDEX(EntryTxnType,$P57)))</f>
        <v/>
      </c>
      <c r="H57" s="27">
        <f>IF($P57="","",IF(INDEX(EntryDep,$P57)=0,"",INDEX(EntryDep,$P57)))</f>
        <v/>
      </c>
      <c r="I57" s="27">
        <f>IF($P57="","",IF(INDEX(EntryWit,$P57)=0,"",INDEX(EntryWit,$P57)))</f>
        <v/>
      </c>
      <c r="J57" s="27">
        <f>IF($B57="","",IF($A57=1,$C$7,IF(J56="",0,J56))+IF($H57="",0,$H57)-IF($I57="",0,$I57))</f>
        <v/>
      </c>
      <c r="K57" s="27">
        <f>IF($P57="","",IF(INDEX(EntryMan,$P57)=0,"",INDEX(EntryMan,$P57)))</f>
        <v/>
      </c>
      <c r="L57" s="26">
        <f>IF($B57="","",IF($K57="","—",IF(ROUND($K57-$J57,0)=0,"√","×")))</f>
        <v/>
      </c>
      <c r="M57" s="26">
        <f>IF($B57="","",IF(COUNTIFS(EntryDates,$B57,CalcTime,$C57,CalcBank,$C$5,EntryParty,$D57,EntryDep,$H57,EntryWit,$I57)&gt;1,"تکرار",""))</f>
        <v/>
      </c>
      <c r="N57" s="26">
        <f>IF($P57="","",IF(INDEX(EntryNotes,$P57)=0,"",INDEX(EntryNotes,$P57)))</f>
        <v/>
      </c>
      <c r="O57" s="26">
        <f>IF($P57="","",IF(INDEX(EntryTxnID,$P57)=0,"",INDEX(EntryTxnID,$P57)))</f>
        <v/>
      </c>
      <c r="P57" s="26">
        <f>IFERROR(MATCH($C$5&amp;"|"&amp;RIGHT("000000"&amp;41,6),CalcRankKey,0),"")</f>
        <v/>
      </c>
    </row>
    <row r="58">
      <c r="A58" s="28">
        <f>IF($B58="","",42)</f>
        <v/>
      </c>
      <c r="B58" s="28">
        <f>IF($P58="","",IF(INDEX(CalcNormDate,$P58)=0,"",INDEX(CalcNormDate,$P58)))</f>
        <v/>
      </c>
      <c r="C58" s="28">
        <f>IF($P58="","",IF(INDEX(CalcTime,$P58)=0,"",INDEX(CalcTime,$P58)))</f>
        <v/>
      </c>
      <c r="D58" s="28">
        <f>IF($P58="","",IF(INDEX(EntryParty,$P58)=0,"",INDEX(EntryParty,$P58)))</f>
        <v/>
      </c>
      <c r="E58" s="28">
        <f>IF($P58="","",IF(INDEX(EntryPartyName,$P58)=0,"",INDEX(EntryPartyName,$P58)))</f>
        <v/>
      </c>
      <c r="F58" s="28">
        <f>IF($P58="","",IF(INDEX(EntryPartyType,$P58)=0,"",INDEX(EntryPartyType,$P58)))</f>
        <v/>
      </c>
      <c r="G58" s="28">
        <f>IF($P58="","",IF(INDEX(EntryTxnType,$P58)=0,"",INDEX(EntryTxnType,$P58)))</f>
        <v/>
      </c>
      <c r="H58" s="29">
        <f>IF($P58="","",IF(INDEX(EntryDep,$P58)=0,"",INDEX(EntryDep,$P58)))</f>
        <v/>
      </c>
      <c r="I58" s="29">
        <f>IF($P58="","",IF(INDEX(EntryWit,$P58)=0,"",INDEX(EntryWit,$P58)))</f>
        <v/>
      </c>
      <c r="J58" s="29">
        <f>IF($B58="","",IF($A58=1,$C$7,IF(J57="",0,J57))+IF($H58="",0,$H58)-IF($I58="",0,$I58))</f>
        <v/>
      </c>
      <c r="K58" s="29">
        <f>IF($P58="","",IF(INDEX(EntryMan,$P58)=0,"",INDEX(EntryMan,$P58)))</f>
        <v/>
      </c>
      <c r="L58" s="28">
        <f>IF($B58="","",IF($K58="","—",IF(ROUND($K58-$J58,0)=0,"√","×")))</f>
        <v/>
      </c>
      <c r="M58" s="28">
        <f>IF($B58="","",IF(COUNTIFS(EntryDates,$B58,CalcTime,$C58,CalcBank,$C$5,EntryParty,$D58,EntryDep,$H58,EntryWit,$I58)&gt;1,"تکرار",""))</f>
        <v/>
      </c>
      <c r="N58" s="28">
        <f>IF($P58="","",IF(INDEX(EntryNotes,$P58)=0,"",INDEX(EntryNotes,$P58)))</f>
        <v/>
      </c>
      <c r="O58" s="28">
        <f>IF($P58="","",IF(INDEX(EntryTxnID,$P58)=0,"",INDEX(EntryTxnID,$P58)))</f>
        <v/>
      </c>
      <c r="P58" s="28">
        <f>IFERROR(MATCH($C$5&amp;"|"&amp;RIGHT("000000"&amp;42,6),CalcRankKey,0),"")</f>
        <v/>
      </c>
    </row>
    <row r="59">
      <c r="A59" s="26">
        <f>IF($B59="","",43)</f>
        <v/>
      </c>
      <c r="B59" s="26">
        <f>IF($P59="","",IF(INDEX(CalcNormDate,$P59)=0,"",INDEX(CalcNormDate,$P59)))</f>
        <v/>
      </c>
      <c r="C59" s="26">
        <f>IF($P59="","",IF(INDEX(CalcTime,$P59)=0,"",INDEX(CalcTime,$P59)))</f>
        <v/>
      </c>
      <c r="D59" s="26">
        <f>IF($P59="","",IF(INDEX(EntryParty,$P59)=0,"",INDEX(EntryParty,$P59)))</f>
        <v/>
      </c>
      <c r="E59" s="26">
        <f>IF($P59="","",IF(INDEX(EntryPartyName,$P59)=0,"",INDEX(EntryPartyName,$P59)))</f>
        <v/>
      </c>
      <c r="F59" s="26">
        <f>IF($P59="","",IF(INDEX(EntryPartyType,$P59)=0,"",INDEX(EntryPartyType,$P59)))</f>
        <v/>
      </c>
      <c r="G59" s="26">
        <f>IF($P59="","",IF(INDEX(EntryTxnType,$P59)=0,"",INDEX(EntryTxnType,$P59)))</f>
        <v/>
      </c>
      <c r="H59" s="27">
        <f>IF($P59="","",IF(INDEX(EntryDep,$P59)=0,"",INDEX(EntryDep,$P59)))</f>
        <v/>
      </c>
      <c r="I59" s="27">
        <f>IF($P59="","",IF(INDEX(EntryWit,$P59)=0,"",INDEX(EntryWit,$P59)))</f>
        <v/>
      </c>
      <c r="J59" s="27">
        <f>IF($B59="","",IF($A59=1,$C$7,IF(J58="",0,J58))+IF($H59="",0,$H59)-IF($I59="",0,$I59))</f>
        <v/>
      </c>
      <c r="K59" s="27">
        <f>IF($P59="","",IF(INDEX(EntryMan,$P59)=0,"",INDEX(EntryMan,$P59)))</f>
        <v/>
      </c>
      <c r="L59" s="26">
        <f>IF($B59="","",IF($K59="","—",IF(ROUND($K59-$J59,0)=0,"√","×")))</f>
        <v/>
      </c>
      <c r="M59" s="26">
        <f>IF($B59="","",IF(COUNTIFS(EntryDates,$B59,CalcTime,$C59,CalcBank,$C$5,EntryParty,$D59,EntryDep,$H59,EntryWit,$I59)&gt;1,"تکرار",""))</f>
        <v/>
      </c>
      <c r="N59" s="26">
        <f>IF($P59="","",IF(INDEX(EntryNotes,$P59)=0,"",INDEX(EntryNotes,$P59)))</f>
        <v/>
      </c>
      <c r="O59" s="26">
        <f>IF($P59="","",IF(INDEX(EntryTxnID,$P59)=0,"",INDEX(EntryTxnID,$P59)))</f>
        <v/>
      </c>
      <c r="P59" s="26">
        <f>IFERROR(MATCH($C$5&amp;"|"&amp;RIGHT("000000"&amp;43,6),CalcRankKey,0),"")</f>
        <v/>
      </c>
    </row>
    <row r="60">
      <c r="A60" s="28">
        <f>IF($B60="","",44)</f>
        <v/>
      </c>
      <c r="B60" s="28">
        <f>IF($P60="","",IF(INDEX(CalcNormDate,$P60)=0,"",INDEX(CalcNormDate,$P60)))</f>
        <v/>
      </c>
      <c r="C60" s="28">
        <f>IF($P60="","",IF(INDEX(CalcTime,$P60)=0,"",INDEX(CalcTime,$P60)))</f>
        <v/>
      </c>
      <c r="D60" s="28">
        <f>IF($P60="","",IF(INDEX(EntryParty,$P60)=0,"",INDEX(EntryParty,$P60)))</f>
        <v/>
      </c>
      <c r="E60" s="28">
        <f>IF($P60="","",IF(INDEX(EntryPartyName,$P60)=0,"",INDEX(EntryPartyName,$P60)))</f>
        <v/>
      </c>
      <c r="F60" s="28">
        <f>IF($P60="","",IF(INDEX(EntryPartyType,$P60)=0,"",INDEX(EntryPartyType,$P60)))</f>
        <v/>
      </c>
      <c r="G60" s="28">
        <f>IF($P60="","",IF(INDEX(EntryTxnType,$P60)=0,"",INDEX(EntryTxnType,$P60)))</f>
        <v/>
      </c>
      <c r="H60" s="29">
        <f>IF($P60="","",IF(INDEX(EntryDep,$P60)=0,"",INDEX(EntryDep,$P60)))</f>
        <v/>
      </c>
      <c r="I60" s="29">
        <f>IF($P60="","",IF(INDEX(EntryWit,$P60)=0,"",INDEX(EntryWit,$P60)))</f>
        <v/>
      </c>
      <c r="J60" s="29">
        <f>IF($B60="","",IF($A60=1,$C$7,IF(J59="",0,J59))+IF($H60="",0,$H60)-IF($I60="",0,$I60))</f>
        <v/>
      </c>
      <c r="K60" s="29">
        <f>IF($P60="","",IF(INDEX(EntryMan,$P60)=0,"",INDEX(EntryMan,$P60)))</f>
        <v/>
      </c>
      <c r="L60" s="28">
        <f>IF($B60="","",IF($K60="","—",IF(ROUND($K60-$J60,0)=0,"√","×")))</f>
        <v/>
      </c>
      <c r="M60" s="28">
        <f>IF($B60="","",IF(COUNTIFS(EntryDates,$B60,CalcTime,$C60,CalcBank,$C$5,EntryParty,$D60,EntryDep,$H60,EntryWit,$I60)&gt;1,"تکرار",""))</f>
        <v/>
      </c>
      <c r="N60" s="28">
        <f>IF($P60="","",IF(INDEX(EntryNotes,$P60)=0,"",INDEX(EntryNotes,$P60)))</f>
        <v/>
      </c>
      <c r="O60" s="28">
        <f>IF($P60="","",IF(INDEX(EntryTxnID,$P60)=0,"",INDEX(EntryTxnID,$P60)))</f>
        <v/>
      </c>
      <c r="P60" s="28">
        <f>IFERROR(MATCH($C$5&amp;"|"&amp;RIGHT("000000"&amp;44,6),CalcRankKey,0),"")</f>
        <v/>
      </c>
    </row>
    <row r="61">
      <c r="A61" s="26">
        <f>IF($B61="","",45)</f>
        <v/>
      </c>
      <c r="B61" s="26">
        <f>IF($P61="","",IF(INDEX(CalcNormDate,$P61)=0,"",INDEX(CalcNormDate,$P61)))</f>
        <v/>
      </c>
      <c r="C61" s="26">
        <f>IF($P61="","",IF(INDEX(CalcTime,$P61)=0,"",INDEX(CalcTime,$P61)))</f>
        <v/>
      </c>
      <c r="D61" s="26">
        <f>IF($P61="","",IF(INDEX(EntryParty,$P61)=0,"",INDEX(EntryParty,$P61)))</f>
        <v/>
      </c>
      <c r="E61" s="26">
        <f>IF($P61="","",IF(INDEX(EntryPartyName,$P61)=0,"",INDEX(EntryPartyName,$P61)))</f>
        <v/>
      </c>
      <c r="F61" s="26">
        <f>IF($P61="","",IF(INDEX(EntryPartyType,$P61)=0,"",INDEX(EntryPartyType,$P61)))</f>
        <v/>
      </c>
      <c r="G61" s="26">
        <f>IF($P61="","",IF(INDEX(EntryTxnType,$P61)=0,"",INDEX(EntryTxnType,$P61)))</f>
        <v/>
      </c>
      <c r="H61" s="27">
        <f>IF($P61="","",IF(INDEX(EntryDep,$P61)=0,"",INDEX(EntryDep,$P61)))</f>
        <v/>
      </c>
      <c r="I61" s="27">
        <f>IF($P61="","",IF(INDEX(EntryWit,$P61)=0,"",INDEX(EntryWit,$P61)))</f>
        <v/>
      </c>
      <c r="J61" s="27">
        <f>IF($B61="","",IF($A61=1,$C$7,IF(J60="",0,J60))+IF($H61="",0,$H61)-IF($I61="",0,$I61))</f>
        <v/>
      </c>
      <c r="K61" s="27">
        <f>IF($P61="","",IF(INDEX(EntryMan,$P61)=0,"",INDEX(EntryMan,$P61)))</f>
        <v/>
      </c>
      <c r="L61" s="26">
        <f>IF($B61="","",IF($K61="","—",IF(ROUND($K61-$J61,0)=0,"√","×")))</f>
        <v/>
      </c>
      <c r="M61" s="26">
        <f>IF($B61="","",IF(COUNTIFS(EntryDates,$B61,CalcTime,$C61,CalcBank,$C$5,EntryParty,$D61,EntryDep,$H61,EntryWit,$I61)&gt;1,"تکرار",""))</f>
        <v/>
      </c>
      <c r="N61" s="26">
        <f>IF($P61="","",IF(INDEX(EntryNotes,$P61)=0,"",INDEX(EntryNotes,$P61)))</f>
        <v/>
      </c>
      <c r="O61" s="26">
        <f>IF($P61="","",IF(INDEX(EntryTxnID,$P61)=0,"",INDEX(EntryTxnID,$P61)))</f>
        <v/>
      </c>
      <c r="P61" s="26">
        <f>IFERROR(MATCH($C$5&amp;"|"&amp;RIGHT("000000"&amp;45,6),CalcRankKey,0),"")</f>
        <v/>
      </c>
    </row>
    <row r="62">
      <c r="A62" s="28">
        <f>IF($B62="","",46)</f>
        <v/>
      </c>
      <c r="B62" s="28">
        <f>IF($P62="","",IF(INDEX(CalcNormDate,$P62)=0,"",INDEX(CalcNormDate,$P62)))</f>
        <v/>
      </c>
      <c r="C62" s="28">
        <f>IF($P62="","",IF(INDEX(CalcTime,$P62)=0,"",INDEX(CalcTime,$P62)))</f>
        <v/>
      </c>
      <c r="D62" s="28">
        <f>IF($P62="","",IF(INDEX(EntryParty,$P62)=0,"",INDEX(EntryParty,$P62)))</f>
        <v/>
      </c>
      <c r="E62" s="28">
        <f>IF($P62="","",IF(INDEX(EntryPartyName,$P62)=0,"",INDEX(EntryPartyName,$P62)))</f>
        <v/>
      </c>
      <c r="F62" s="28">
        <f>IF($P62="","",IF(INDEX(EntryPartyType,$P62)=0,"",INDEX(EntryPartyType,$P62)))</f>
        <v/>
      </c>
      <c r="G62" s="28">
        <f>IF($P62="","",IF(INDEX(EntryTxnType,$P62)=0,"",INDEX(EntryTxnType,$P62)))</f>
        <v/>
      </c>
      <c r="H62" s="29">
        <f>IF($P62="","",IF(INDEX(EntryDep,$P62)=0,"",INDEX(EntryDep,$P62)))</f>
        <v/>
      </c>
      <c r="I62" s="29">
        <f>IF($P62="","",IF(INDEX(EntryWit,$P62)=0,"",INDEX(EntryWit,$P62)))</f>
        <v/>
      </c>
      <c r="J62" s="29">
        <f>IF($B62="","",IF($A62=1,$C$7,IF(J61="",0,J61))+IF($H62="",0,$H62)-IF($I62="",0,$I62))</f>
        <v/>
      </c>
      <c r="K62" s="29">
        <f>IF($P62="","",IF(INDEX(EntryMan,$P62)=0,"",INDEX(EntryMan,$P62)))</f>
        <v/>
      </c>
      <c r="L62" s="28">
        <f>IF($B62="","",IF($K62="","—",IF(ROUND($K62-$J62,0)=0,"√","×")))</f>
        <v/>
      </c>
      <c r="M62" s="28">
        <f>IF($B62="","",IF(COUNTIFS(EntryDates,$B62,CalcTime,$C62,CalcBank,$C$5,EntryParty,$D62,EntryDep,$H62,EntryWit,$I62)&gt;1,"تکرار",""))</f>
        <v/>
      </c>
      <c r="N62" s="28">
        <f>IF($P62="","",IF(INDEX(EntryNotes,$P62)=0,"",INDEX(EntryNotes,$P62)))</f>
        <v/>
      </c>
      <c r="O62" s="28">
        <f>IF($P62="","",IF(INDEX(EntryTxnID,$P62)=0,"",INDEX(EntryTxnID,$P62)))</f>
        <v/>
      </c>
      <c r="P62" s="28">
        <f>IFERROR(MATCH($C$5&amp;"|"&amp;RIGHT("000000"&amp;46,6),CalcRankKey,0),"")</f>
        <v/>
      </c>
    </row>
    <row r="63">
      <c r="A63" s="26">
        <f>IF($B63="","",47)</f>
        <v/>
      </c>
      <c r="B63" s="26">
        <f>IF($P63="","",IF(INDEX(CalcNormDate,$P63)=0,"",INDEX(CalcNormDate,$P63)))</f>
        <v/>
      </c>
      <c r="C63" s="26">
        <f>IF($P63="","",IF(INDEX(CalcTime,$P63)=0,"",INDEX(CalcTime,$P63)))</f>
        <v/>
      </c>
      <c r="D63" s="26">
        <f>IF($P63="","",IF(INDEX(EntryParty,$P63)=0,"",INDEX(EntryParty,$P63)))</f>
        <v/>
      </c>
      <c r="E63" s="26">
        <f>IF($P63="","",IF(INDEX(EntryPartyName,$P63)=0,"",INDEX(EntryPartyName,$P63)))</f>
        <v/>
      </c>
      <c r="F63" s="26">
        <f>IF($P63="","",IF(INDEX(EntryPartyType,$P63)=0,"",INDEX(EntryPartyType,$P63)))</f>
        <v/>
      </c>
      <c r="G63" s="26">
        <f>IF($P63="","",IF(INDEX(EntryTxnType,$P63)=0,"",INDEX(EntryTxnType,$P63)))</f>
        <v/>
      </c>
      <c r="H63" s="27">
        <f>IF($P63="","",IF(INDEX(EntryDep,$P63)=0,"",INDEX(EntryDep,$P63)))</f>
        <v/>
      </c>
      <c r="I63" s="27">
        <f>IF($P63="","",IF(INDEX(EntryWit,$P63)=0,"",INDEX(EntryWit,$P63)))</f>
        <v/>
      </c>
      <c r="J63" s="27">
        <f>IF($B63="","",IF($A63=1,$C$7,IF(J62="",0,J62))+IF($H63="",0,$H63)-IF($I63="",0,$I63))</f>
        <v/>
      </c>
      <c r="K63" s="27">
        <f>IF($P63="","",IF(INDEX(EntryMan,$P63)=0,"",INDEX(EntryMan,$P63)))</f>
        <v/>
      </c>
      <c r="L63" s="26">
        <f>IF($B63="","",IF($K63="","—",IF(ROUND($K63-$J63,0)=0,"√","×")))</f>
        <v/>
      </c>
      <c r="M63" s="26">
        <f>IF($B63="","",IF(COUNTIFS(EntryDates,$B63,CalcTime,$C63,CalcBank,$C$5,EntryParty,$D63,EntryDep,$H63,EntryWit,$I63)&gt;1,"تکرار",""))</f>
        <v/>
      </c>
      <c r="N63" s="26">
        <f>IF($P63="","",IF(INDEX(EntryNotes,$P63)=0,"",INDEX(EntryNotes,$P63)))</f>
        <v/>
      </c>
      <c r="O63" s="26">
        <f>IF($P63="","",IF(INDEX(EntryTxnID,$P63)=0,"",INDEX(EntryTxnID,$P63)))</f>
        <v/>
      </c>
      <c r="P63" s="26">
        <f>IFERROR(MATCH($C$5&amp;"|"&amp;RIGHT("000000"&amp;47,6),CalcRankKey,0),"")</f>
        <v/>
      </c>
    </row>
    <row r="64">
      <c r="A64" s="28">
        <f>IF($B64="","",48)</f>
        <v/>
      </c>
      <c r="B64" s="28">
        <f>IF($P64="","",IF(INDEX(CalcNormDate,$P64)=0,"",INDEX(CalcNormDate,$P64)))</f>
        <v/>
      </c>
      <c r="C64" s="28">
        <f>IF($P64="","",IF(INDEX(CalcTime,$P64)=0,"",INDEX(CalcTime,$P64)))</f>
        <v/>
      </c>
      <c r="D64" s="28">
        <f>IF($P64="","",IF(INDEX(EntryParty,$P64)=0,"",INDEX(EntryParty,$P64)))</f>
        <v/>
      </c>
      <c r="E64" s="28">
        <f>IF($P64="","",IF(INDEX(EntryPartyName,$P64)=0,"",INDEX(EntryPartyName,$P64)))</f>
        <v/>
      </c>
      <c r="F64" s="28">
        <f>IF($P64="","",IF(INDEX(EntryPartyType,$P64)=0,"",INDEX(EntryPartyType,$P64)))</f>
        <v/>
      </c>
      <c r="G64" s="28">
        <f>IF($P64="","",IF(INDEX(EntryTxnType,$P64)=0,"",INDEX(EntryTxnType,$P64)))</f>
        <v/>
      </c>
      <c r="H64" s="29">
        <f>IF($P64="","",IF(INDEX(EntryDep,$P64)=0,"",INDEX(EntryDep,$P64)))</f>
        <v/>
      </c>
      <c r="I64" s="29">
        <f>IF($P64="","",IF(INDEX(EntryWit,$P64)=0,"",INDEX(EntryWit,$P64)))</f>
        <v/>
      </c>
      <c r="J64" s="29">
        <f>IF($B64="","",IF($A64=1,$C$7,IF(J63="",0,J63))+IF($H64="",0,$H64)-IF($I64="",0,$I64))</f>
        <v/>
      </c>
      <c r="K64" s="29">
        <f>IF($P64="","",IF(INDEX(EntryMan,$P64)=0,"",INDEX(EntryMan,$P64)))</f>
        <v/>
      </c>
      <c r="L64" s="28">
        <f>IF($B64="","",IF($K64="","—",IF(ROUND($K64-$J64,0)=0,"√","×")))</f>
        <v/>
      </c>
      <c r="M64" s="28">
        <f>IF($B64="","",IF(COUNTIFS(EntryDates,$B64,CalcTime,$C64,CalcBank,$C$5,EntryParty,$D64,EntryDep,$H64,EntryWit,$I64)&gt;1,"تکرار",""))</f>
        <v/>
      </c>
      <c r="N64" s="28">
        <f>IF($P64="","",IF(INDEX(EntryNotes,$P64)=0,"",INDEX(EntryNotes,$P64)))</f>
        <v/>
      </c>
      <c r="O64" s="28">
        <f>IF($P64="","",IF(INDEX(EntryTxnID,$P64)=0,"",INDEX(EntryTxnID,$P64)))</f>
        <v/>
      </c>
      <c r="P64" s="28">
        <f>IFERROR(MATCH($C$5&amp;"|"&amp;RIGHT("000000"&amp;48,6),CalcRankKey,0),"")</f>
        <v/>
      </c>
    </row>
    <row r="65">
      <c r="A65" s="26">
        <f>IF($B65="","",49)</f>
        <v/>
      </c>
      <c r="B65" s="26">
        <f>IF($P65="","",IF(INDEX(CalcNormDate,$P65)=0,"",INDEX(CalcNormDate,$P65)))</f>
        <v/>
      </c>
      <c r="C65" s="26">
        <f>IF($P65="","",IF(INDEX(CalcTime,$P65)=0,"",INDEX(CalcTime,$P65)))</f>
        <v/>
      </c>
      <c r="D65" s="26">
        <f>IF($P65="","",IF(INDEX(EntryParty,$P65)=0,"",INDEX(EntryParty,$P65)))</f>
        <v/>
      </c>
      <c r="E65" s="26">
        <f>IF($P65="","",IF(INDEX(EntryPartyName,$P65)=0,"",INDEX(EntryPartyName,$P65)))</f>
        <v/>
      </c>
      <c r="F65" s="26">
        <f>IF($P65="","",IF(INDEX(EntryPartyType,$P65)=0,"",INDEX(EntryPartyType,$P65)))</f>
        <v/>
      </c>
      <c r="G65" s="26">
        <f>IF($P65="","",IF(INDEX(EntryTxnType,$P65)=0,"",INDEX(EntryTxnType,$P65)))</f>
        <v/>
      </c>
      <c r="H65" s="27">
        <f>IF($P65="","",IF(INDEX(EntryDep,$P65)=0,"",INDEX(EntryDep,$P65)))</f>
        <v/>
      </c>
      <c r="I65" s="27">
        <f>IF($P65="","",IF(INDEX(EntryWit,$P65)=0,"",INDEX(EntryWit,$P65)))</f>
        <v/>
      </c>
      <c r="J65" s="27">
        <f>IF($B65="","",IF($A65=1,$C$7,IF(J64="",0,J64))+IF($H65="",0,$H65)-IF($I65="",0,$I65))</f>
        <v/>
      </c>
      <c r="K65" s="27">
        <f>IF($P65="","",IF(INDEX(EntryMan,$P65)=0,"",INDEX(EntryMan,$P65)))</f>
        <v/>
      </c>
      <c r="L65" s="26">
        <f>IF($B65="","",IF($K65="","—",IF(ROUND($K65-$J65,0)=0,"√","×")))</f>
        <v/>
      </c>
      <c r="M65" s="26">
        <f>IF($B65="","",IF(COUNTIFS(EntryDates,$B65,CalcTime,$C65,CalcBank,$C$5,EntryParty,$D65,EntryDep,$H65,EntryWit,$I65)&gt;1,"تکرار",""))</f>
        <v/>
      </c>
      <c r="N65" s="26">
        <f>IF($P65="","",IF(INDEX(EntryNotes,$P65)=0,"",INDEX(EntryNotes,$P65)))</f>
        <v/>
      </c>
      <c r="O65" s="26">
        <f>IF($P65="","",IF(INDEX(EntryTxnID,$P65)=0,"",INDEX(EntryTxnID,$P65)))</f>
        <v/>
      </c>
      <c r="P65" s="26">
        <f>IFERROR(MATCH($C$5&amp;"|"&amp;RIGHT("000000"&amp;49,6),CalcRankKey,0),"")</f>
        <v/>
      </c>
    </row>
    <row r="66">
      <c r="A66" s="28">
        <f>IF($B66="","",50)</f>
        <v/>
      </c>
      <c r="B66" s="28">
        <f>IF($P66="","",IF(INDEX(CalcNormDate,$P66)=0,"",INDEX(CalcNormDate,$P66)))</f>
        <v/>
      </c>
      <c r="C66" s="28">
        <f>IF($P66="","",IF(INDEX(CalcTime,$P66)=0,"",INDEX(CalcTime,$P66)))</f>
        <v/>
      </c>
      <c r="D66" s="28">
        <f>IF($P66="","",IF(INDEX(EntryParty,$P66)=0,"",INDEX(EntryParty,$P66)))</f>
        <v/>
      </c>
      <c r="E66" s="28">
        <f>IF($P66="","",IF(INDEX(EntryPartyName,$P66)=0,"",INDEX(EntryPartyName,$P66)))</f>
        <v/>
      </c>
      <c r="F66" s="28">
        <f>IF($P66="","",IF(INDEX(EntryPartyType,$P66)=0,"",INDEX(EntryPartyType,$P66)))</f>
        <v/>
      </c>
      <c r="G66" s="28">
        <f>IF($P66="","",IF(INDEX(EntryTxnType,$P66)=0,"",INDEX(EntryTxnType,$P66)))</f>
        <v/>
      </c>
      <c r="H66" s="29">
        <f>IF($P66="","",IF(INDEX(EntryDep,$P66)=0,"",INDEX(EntryDep,$P66)))</f>
        <v/>
      </c>
      <c r="I66" s="29">
        <f>IF($P66="","",IF(INDEX(EntryWit,$P66)=0,"",INDEX(EntryWit,$P66)))</f>
        <v/>
      </c>
      <c r="J66" s="29">
        <f>IF($B66="","",IF($A66=1,$C$7,IF(J65="",0,J65))+IF($H66="",0,$H66)-IF($I66="",0,$I66))</f>
        <v/>
      </c>
      <c r="K66" s="29">
        <f>IF($P66="","",IF(INDEX(EntryMan,$P66)=0,"",INDEX(EntryMan,$P66)))</f>
        <v/>
      </c>
      <c r="L66" s="28">
        <f>IF($B66="","",IF($K66="","—",IF(ROUND($K66-$J66,0)=0,"√","×")))</f>
        <v/>
      </c>
      <c r="M66" s="28">
        <f>IF($B66="","",IF(COUNTIFS(EntryDates,$B66,CalcTime,$C66,CalcBank,$C$5,EntryParty,$D66,EntryDep,$H66,EntryWit,$I66)&gt;1,"تکرار",""))</f>
        <v/>
      </c>
      <c r="N66" s="28">
        <f>IF($P66="","",IF(INDEX(EntryNotes,$P66)=0,"",INDEX(EntryNotes,$P66)))</f>
        <v/>
      </c>
      <c r="O66" s="28">
        <f>IF($P66="","",IF(INDEX(EntryTxnID,$P66)=0,"",INDEX(EntryTxnID,$P66)))</f>
        <v/>
      </c>
      <c r="P66" s="28">
        <f>IFERROR(MATCH($C$5&amp;"|"&amp;RIGHT("000000"&amp;50,6),CalcRankKey,0),"")</f>
        <v/>
      </c>
    </row>
    <row r="67">
      <c r="A67" s="26">
        <f>IF($B67="","",51)</f>
        <v/>
      </c>
      <c r="B67" s="26">
        <f>IF($P67="","",IF(INDEX(CalcNormDate,$P67)=0,"",INDEX(CalcNormDate,$P67)))</f>
        <v/>
      </c>
      <c r="C67" s="26">
        <f>IF($P67="","",IF(INDEX(CalcTime,$P67)=0,"",INDEX(CalcTime,$P67)))</f>
        <v/>
      </c>
      <c r="D67" s="26">
        <f>IF($P67="","",IF(INDEX(EntryParty,$P67)=0,"",INDEX(EntryParty,$P67)))</f>
        <v/>
      </c>
      <c r="E67" s="26">
        <f>IF($P67="","",IF(INDEX(EntryPartyName,$P67)=0,"",INDEX(EntryPartyName,$P67)))</f>
        <v/>
      </c>
      <c r="F67" s="26">
        <f>IF($P67="","",IF(INDEX(EntryPartyType,$P67)=0,"",INDEX(EntryPartyType,$P67)))</f>
        <v/>
      </c>
      <c r="G67" s="26">
        <f>IF($P67="","",IF(INDEX(EntryTxnType,$P67)=0,"",INDEX(EntryTxnType,$P67)))</f>
        <v/>
      </c>
      <c r="H67" s="27">
        <f>IF($P67="","",IF(INDEX(EntryDep,$P67)=0,"",INDEX(EntryDep,$P67)))</f>
        <v/>
      </c>
      <c r="I67" s="27">
        <f>IF($P67="","",IF(INDEX(EntryWit,$P67)=0,"",INDEX(EntryWit,$P67)))</f>
        <v/>
      </c>
      <c r="J67" s="27">
        <f>IF($B67="","",IF($A67=1,$C$7,IF(J66="",0,J66))+IF($H67="",0,$H67)-IF($I67="",0,$I67))</f>
        <v/>
      </c>
      <c r="K67" s="27">
        <f>IF($P67="","",IF(INDEX(EntryMan,$P67)=0,"",INDEX(EntryMan,$P67)))</f>
        <v/>
      </c>
      <c r="L67" s="26">
        <f>IF($B67="","",IF($K67="","—",IF(ROUND($K67-$J67,0)=0,"√","×")))</f>
        <v/>
      </c>
      <c r="M67" s="26">
        <f>IF($B67="","",IF(COUNTIFS(EntryDates,$B67,CalcTime,$C67,CalcBank,$C$5,EntryParty,$D67,EntryDep,$H67,EntryWit,$I67)&gt;1,"تکرار",""))</f>
        <v/>
      </c>
      <c r="N67" s="26">
        <f>IF($P67="","",IF(INDEX(EntryNotes,$P67)=0,"",INDEX(EntryNotes,$P67)))</f>
        <v/>
      </c>
      <c r="O67" s="26">
        <f>IF($P67="","",IF(INDEX(EntryTxnID,$P67)=0,"",INDEX(EntryTxnID,$P67)))</f>
        <v/>
      </c>
      <c r="P67" s="26">
        <f>IFERROR(MATCH($C$5&amp;"|"&amp;RIGHT("000000"&amp;51,6),CalcRankKey,0),"")</f>
        <v/>
      </c>
    </row>
    <row r="68">
      <c r="A68" s="28">
        <f>IF($B68="","",52)</f>
        <v/>
      </c>
      <c r="B68" s="28">
        <f>IF($P68="","",IF(INDEX(CalcNormDate,$P68)=0,"",INDEX(CalcNormDate,$P68)))</f>
        <v/>
      </c>
      <c r="C68" s="28">
        <f>IF($P68="","",IF(INDEX(CalcTime,$P68)=0,"",INDEX(CalcTime,$P68)))</f>
        <v/>
      </c>
      <c r="D68" s="28">
        <f>IF($P68="","",IF(INDEX(EntryParty,$P68)=0,"",INDEX(EntryParty,$P68)))</f>
        <v/>
      </c>
      <c r="E68" s="28">
        <f>IF($P68="","",IF(INDEX(EntryPartyName,$P68)=0,"",INDEX(EntryPartyName,$P68)))</f>
        <v/>
      </c>
      <c r="F68" s="28">
        <f>IF($P68="","",IF(INDEX(EntryPartyType,$P68)=0,"",INDEX(EntryPartyType,$P68)))</f>
        <v/>
      </c>
      <c r="G68" s="28">
        <f>IF($P68="","",IF(INDEX(EntryTxnType,$P68)=0,"",INDEX(EntryTxnType,$P68)))</f>
        <v/>
      </c>
      <c r="H68" s="29">
        <f>IF($P68="","",IF(INDEX(EntryDep,$P68)=0,"",INDEX(EntryDep,$P68)))</f>
        <v/>
      </c>
      <c r="I68" s="29">
        <f>IF($P68="","",IF(INDEX(EntryWit,$P68)=0,"",INDEX(EntryWit,$P68)))</f>
        <v/>
      </c>
      <c r="J68" s="29">
        <f>IF($B68="","",IF($A68=1,$C$7,IF(J67="",0,J67))+IF($H68="",0,$H68)-IF($I68="",0,$I68))</f>
        <v/>
      </c>
      <c r="K68" s="29">
        <f>IF($P68="","",IF(INDEX(EntryMan,$P68)=0,"",INDEX(EntryMan,$P68)))</f>
        <v/>
      </c>
      <c r="L68" s="28">
        <f>IF($B68="","",IF($K68="","—",IF(ROUND($K68-$J68,0)=0,"√","×")))</f>
        <v/>
      </c>
      <c r="M68" s="28">
        <f>IF($B68="","",IF(COUNTIFS(EntryDates,$B68,CalcTime,$C68,CalcBank,$C$5,EntryParty,$D68,EntryDep,$H68,EntryWit,$I68)&gt;1,"تکرار",""))</f>
        <v/>
      </c>
      <c r="N68" s="28">
        <f>IF($P68="","",IF(INDEX(EntryNotes,$P68)=0,"",INDEX(EntryNotes,$P68)))</f>
        <v/>
      </c>
      <c r="O68" s="28">
        <f>IF($P68="","",IF(INDEX(EntryTxnID,$P68)=0,"",INDEX(EntryTxnID,$P68)))</f>
        <v/>
      </c>
      <c r="P68" s="28">
        <f>IFERROR(MATCH($C$5&amp;"|"&amp;RIGHT("000000"&amp;52,6),CalcRankKey,0),"")</f>
        <v/>
      </c>
    </row>
    <row r="69">
      <c r="A69" s="26">
        <f>IF($B69="","",53)</f>
        <v/>
      </c>
      <c r="B69" s="26">
        <f>IF($P69="","",IF(INDEX(CalcNormDate,$P69)=0,"",INDEX(CalcNormDate,$P69)))</f>
        <v/>
      </c>
      <c r="C69" s="26">
        <f>IF($P69="","",IF(INDEX(CalcTime,$P69)=0,"",INDEX(CalcTime,$P69)))</f>
        <v/>
      </c>
      <c r="D69" s="26">
        <f>IF($P69="","",IF(INDEX(EntryParty,$P69)=0,"",INDEX(EntryParty,$P69)))</f>
        <v/>
      </c>
      <c r="E69" s="26">
        <f>IF($P69="","",IF(INDEX(EntryPartyName,$P69)=0,"",INDEX(EntryPartyName,$P69)))</f>
        <v/>
      </c>
      <c r="F69" s="26">
        <f>IF($P69="","",IF(INDEX(EntryPartyType,$P69)=0,"",INDEX(EntryPartyType,$P69)))</f>
        <v/>
      </c>
      <c r="G69" s="26">
        <f>IF($P69="","",IF(INDEX(EntryTxnType,$P69)=0,"",INDEX(EntryTxnType,$P69)))</f>
        <v/>
      </c>
      <c r="H69" s="27">
        <f>IF($P69="","",IF(INDEX(EntryDep,$P69)=0,"",INDEX(EntryDep,$P69)))</f>
        <v/>
      </c>
      <c r="I69" s="27">
        <f>IF($P69="","",IF(INDEX(EntryWit,$P69)=0,"",INDEX(EntryWit,$P69)))</f>
        <v/>
      </c>
      <c r="J69" s="27">
        <f>IF($B69="","",IF($A69=1,$C$7,IF(J68="",0,J68))+IF($H69="",0,$H69)-IF($I69="",0,$I69))</f>
        <v/>
      </c>
      <c r="K69" s="27">
        <f>IF($P69="","",IF(INDEX(EntryMan,$P69)=0,"",INDEX(EntryMan,$P69)))</f>
        <v/>
      </c>
      <c r="L69" s="26">
        <f>IF($B69="","",IF($K69="","—",IF(ROUND($K69-$J69,0)=0,"√","×")))</f>
        <v/>
      </c>
      <c r="M69" s="26">
        <f>IF($B69="","",IF(COUNTIFS(EntryDates,$B69,CalcTime,$C69,CalcBank,$C$5,EntryParty,$D69,EntryDep,$H69,EntryWit,$I69)&gt;1,"تکرار",""))</f>
        <v/>
      </c>
      <c r="N69" s="26">
        <f>IF($P69="","",IF(INDEX(EntryNotes,$P69)=0,"",INDEX(EntryNotes,$P69)))</f>
        <v/>
      </c>
      <c r="O69" s="26">
        <f>IF($P69="","",IF(INDEX(EntryTxnID,$P69)=0,"",INDEX(EntryTxnID,$P69)))</f>
        <v/>
      </c>
      <c r="P69" s="26">
        <f>IFERROR(MATCH($C$5&amp;"|"&amp;RIGHT("000000"&amp;53,6),CalcRankKey,0),"")</f>
        <v/>
      </c>
    </row>
    <row r="70">
      <c r="A70" s="28">
        <f>IF($B70="","",54)</f>
        <v/>
      </c>
      <c r="B70" s="28">
        <f>IF($P70="","",IF(INDEX(CalcNormDate,$P70)=0,"",INDEX(CalcNormDate,$P70)))</f>
        <v/>
      </c>
      <c r="C70" s="28">
        <f>IF($P70="","",IF(INDEX(CalcTime,$P70)=0,"",INDEX(CalcTime,$P70)))</f>
        <v/>
      </c>
      <c r="D70" s="28">
        <f>IF($P70="","",IF(INDEX(EntryParty,$P70)=0,"",INDEX(EntryParty,$P70)))</f>
        <v/>
      </c>
      <c r="E70" s="28">
        <f>IF($P70="","",IF(INDEX(EntryPartyName,$P70)=0,"",INDEX(EntryPartyName,$P70)))</f>
        <v/>
      </c>
      <c r="F70" s="28">
        <f>IF($P70="","",IF(INDEX(EntryPartyType,$P70)=0,"",INDEX(EntryPartyType,$P70)))</f>
        <v/>
      </c>
      <c r="G70" s="28">
        <f>IF($P70="","",IF(INDEX(EntryTxnType,$P70)=0,"",INDEX(EntryTxnType,$P70)))</f>
        <v/>
      </c>
      <c r="H70" s="29">
        <f>IF($P70="","",IF(INDEX(EntryDep,$P70)=0,"",INDEX(EntryDep,$P70)))</f>
        <v/>
      </c>
      <c r="I70" s="29">
        <f>IF($P70="","",IF(INDEX(EntryWit,$P70)=0,"",INDEX(EntryWit,$P70)))</f>
        <v/>
      </c>
      <c r="J70" s="29">
        <f>IF($B70="","",IF($A70=1,$C$7,IF(J69="",0,J69))+IF($H70="",0,$H70)-IF($I70="",0,$I70))</f>
        <v/>
      </c>
      <c r="K70" s="29">
        <f>IF($P70="","",IF(INDEX(EntryMan,$P70)=0,"",INDEX(EntryMan,$P70)))</f>
        <v/>
      </c>
      <c r="L70" s="28">
        <f>IF($B70="","",IF($K70="","—",IF(ROUND($K70-$J70,0)=0,"√","×")))</f>
        <v/>
      </c>
      <c r="M70" s="28">
        <f>IF($B70="","",IF(COUNTIFS(EntryDates,$B70,CalcTime,$C70,CalcBank,$C$5,EntryParty,$D70,EntryDep,$H70,EntryWit,$I70)&gt;1,"تکرار",""))</f>
        <v/>
      </c>
      <c r="N70" s="28">
        <f>IF($P70="","",IF(INDEX(EntryNotes,$P70)=0,"",INDEX(EntryNotes,$P70)))</f>
        <v/>
      </c>
      <c r="O70" s="28">
        <f>IF($P70="","",IF(INDEX(EntryTxnID,$P70)=0,"",INDEX(EntryTxnID,$P70)))</f>
        <v/>
      </c>
      <c r="P70" s="28">
        <f>IFERROR(MATCH($C$5&amp;"|"&amp;RIGHT("000000"&amp;54,6),CalcRankKey,0),"")</f>
        <v/>
      </c>
    </row>
    <row r="71">
      <c r="A71" s="26">
        <f>IF($B71="","",55)</f>
        <v/>
      </c>
      <c r="B71" s="26">
        <f>IF($P71="","",IF(INDEX(CalcNormDate,$P71)=0,"",INDEX(CalcNormDate,$P71)))</f>
        <v/>
      </c>
      <c r="C71" s="26">
        <f>IF($P71="","",IF(INDEX(CalcTime,$P71)=0,"",INDEX(CalcTime,$P71)))</f>
        <v/>
      </c>
      <c r="D71" s="26">
        <f>IF($P71="","",IF(INDEX(EntryParty,$P71)=0,"",INDEX(EntryParty,$P71)))</f>
        <v/>
      </c>
      <c r="E71" s="26">
        <f>IF($P71="","",IF(INDEX(EntryPartyName,$P71)=0,"",INDEX(EntryPartyName,$P71)))</f>
        <v/>
      </c>
      <c r="F71" s="26">
        <f>IF($P71="","",IF(INDEX(EntryPartyType,$P71)=0,"",INDEX(EntryPartyType,$P71)))</f>
        <v/>
      </c>
      <c r="G71" s="26">
        <f>IF($P71="","",IF(INDEX(EntryTxnType,$P71)=0,"",INDEX(EntryTxnType,$P71)))</f>
        <v/>
      </c>
      <c r="H71" s="27">
        <f>IF($P71="","",IF(INDEX(EntryDep,$P71)=0,"",INDEX(EntryDep,$P71)))</f>
        <v/>
      </c>
      <c r="I71" s="27">
        <f>IF($P71="","",IF(INDEX(EntryWit,$P71)=0,"",INDEX(EntryWit,$P71)))</f>
        <v/>
      </c>
      <c r="J71" s="27">
        <f>IF($B71="","",IF($A71=1,$C$7,IF(J70="",0,J70))+IF($H71="",0,$H71)-IF($I71="",0,$I71))</f>
        <v/>
      </c>
      <c r="K71" s="27">
        <f>IF($P71="","",IF(INDEX(EntryMan,$P71)=0,"",INDEX(EntryMan,$P71)))</f>
        <v/>
      </c>
      <c r="L71" s="26">
        <f>IF($B71="","",IF($K71="","—",IF(ROUND($K71-$J71,0)=0,"√","×")))</f>
        <v/>
      </c>
      <c r="M71" s="26">
        <f>IF($B71="","",IF(COUNTIFS(EntryDates,$B71,CalcTime,$C71,CalcBank,$C$5,EntryParty,$D71,EntryDep,$H71,EntryWit,$I71)&gt;1,"تکرار",""))</f>
        <v/>
      </c>
      <c r="N71" s="26">
        <f>IF($P71="","",IF(INDEX(EntryNotes,$P71)=0,"",INDEX(EntryNotes,$P71)))</f>
        <v/>
      </c>
      <c r="O71" s="26">
        <f>IF($P71="","",IF(INDEX(EntryTxnID,$P71)=0,"",INDEX(EntryTxnID,$P71)))</f>
        <v/>
      </c>
      <c r="P71" s="26">
        <f>IFERROR(MATCH($C$5&amp;"|"&amp;RIGHT("000000"&amp;55,6),CalcRankKey,0),"")</f>
        <v/>
      </c>
    </row>
    <row r="72">
      <c r="A72" s="28">
        <f>IF($B72="","",56)</f>
        <v/>
      </c>
      <c r="B72" s="28">
        <f>IF($P72="","",IF(INDEX(CalcNormDate,$P72)=0,"",INDEX(CalcNormDate,$P72)))</f>
        <v/>
      </c>
      <c r="C72" s="28">
        <f>IF($P72="","",IF(INDEX(CalcTime,$P72)=0,"",INDEX(CalcTime,$P72)))</f>
        <v/>
      </c>
      <c r="D72" s="28">
        <f>IF($P72="","",IF(INDEX(EntryParty,$P72)=0,"",INDEX(EntryParty,$P72)))</f>
        <v/>
      </c>
      <c r="E72" s="28">
        <f>IF($P72="","",IF(INDEX(EntryPartyName,$P72)=0,"",INDEX(EntryPartyName,$P72)))</f>
        <v/>
      </c>
      <c r="F72" s="28">
        <f>IF($P72="","",IF(INDEX(EntryPartyType,$P72)=0,"",INDEX(EntryPartyType,$P72)))</f>
        <v/>
      </c>
      <c r="G72" s="28">
        <f>IF($P72="","",IF(INDEX(EntryTxnType,$P72)=0,"",INDEX(EntryTxnType,$P72)))</f>
        <v/>
      </c>
      <c r="H72" s="29">
        <f>IF($P72="","",IF(INDEX(EntryDep,$P72)=0,"",INDEX(EntryDep,$P72)))</f>
        <v/>
      </c>
      <c r="I72" s="29">
        <f>IF($P72="","",IF(INDEX(EntryWit,$P72)=0,"",INDEX(EntryWit,$P72)))</f>
        <v/>
      </c>
      <c r="J72" s="29">
        <f>IF($B72="","",IF($A72=1,$C$7,IF(J71="",0,J71))+IF($H72="",0,$H72)-IF($I72="",0,$I72))</f>
        <v/>
      </c>
      <c r="K72" s="29">
        <f>IF($P72="","",IF(INDEX(EntryMan,$P72)=0,"",INDEX(EntryMan,$P72)))</f>
        <v/>
      </c>
      <c r="L72" s="28">
        <f>IF($B72="","",IF($K72="","—",IF(ROUND($K72-$J72,0)=0,"√","×")))</f>
        <v/>
      </c>
      <c r="M72" s="28">
        <f>IF($B72="","",IF(COUNTIFS(EntryDates,$B72,CalcTime,$C72,CalcBank,$C$5,EntryParty,$D72,EntryDep,$H72,EntryWit,$I72)&gt;1,"تکرار",""))</f>
        <v/>
      </c>
      <c r="N72" s="28">
        <f>IF($P72="","",IF(INDEX(EntryNotes,$P72)=0,"",INDEX(EntryNotes,$P72)))</f>
        <v/>
      </c>
      <c r="O72" s="28">
        <f>IF($P72="","",IF(INDEX(EntryTxnID,$P72)=0,"",INDEX(EntryTxnID,$P72)))</f>
        <v/>
      </c>
      <c r="P72" s="28">
        <f>IFERROR(MATCH($C$5&amp;"|"&amp;RIGHT("000000"&amp;56,6),CalcRankKey,0),"")</f>
        <v/>
      </c>
    </row>
    <row r="73">
      <c r="A73" s="26">
        <f>IF($B73="","",57)</f>
        <v/>
      </c>
      <c r="B73" s="26">
        <f>IF($P73="","",IF(INDEX(CalcNormDate,$P73)=0,"",INDEX(CalcNormDate,$P73)))</f>
        <v/>
      </c>
      <c r="C73" s="26">
        <f>IF($P73="","",IF(INDEX(CalcTime,$P73)=0,"",INDEX(CalcTime,$P73)))</f>
        <v/>
      </c>
      <c r="D73" s="26">
        <f>IF($P73="","",IF(INDEX(EntryParty,$P73)=0,"",INDEX(EntryParty,$P73)))</f>
        <v/>
      </c>
      <c r="E73" s="26">
        <f>IF($P73="","",IF(INDEX(EntryPartyName,$P73)=0,"",INDEX(EntryPartyName,$P73)))</f>
        <v/>
      </c>
      <c r="F73" s="26">
        <f>IF($P73="","",IF(INDEX(EntryPartyType,$P73)=0,"",INDEX(EntryPartyType,$P73)))</f>
        <v/>
      </c>
      <c r="G73" s="26">
        <f>IF($P73="","",IF(INDEX(EntryTxnType,$P73)=0,"",INDEX(EntryTxnType,$P73)))</f>
        <v/>
      </c>
      <c r="H73" s="27">
        <f>IF($P73="","",IF(INDEX(EntryDep,$P73)=0,"",INDEX(EntryDep,$P73)))</f>
        <v/>
      </c>
      <c r="I73" s="27">
        <f>IF($P73="","",IF(INDEX(EntryWit,$P73)=0,"",INDEX(EntryWit,$P73)))</f>
        <v/>
      </c>
      <c r="J73" s="27">
        <f>IF($B73="","",IF($A73=1,$C$7,IF(J72="",0,J72))+IF($H73="",0,$H73)-IF($I73="",0,$I73))</f>
        <v/>
      </c>
      <c r="K73" s="27">
        <f>IF($P73="","",IF(INDEX(EntryMan,$P73)=0,"",INDEX(EntryMan,$P73)))</f>
        <v/>
      </c>
      <c r="L73" s="26">
        <f>IF($B73="","",IF($K73="","—",IF(ROUND($K73-$J73,0)=0,"√","×")))</f>
        <v/>
      </c>
      <c r="M73" s="26">
        <f>IF($B73="","",IF(COUNTIFS(EntryDates,$B73,CalcTime,$C73,CalcBank,$C$5,EntryParty,$D73,EntryDep,$H73,EntryWit,$I73)&gt;1,"تکرار",""))</f>
        <v/>
      </c>
      <c r="N73" s="26">
        <f>IF($P73="","",IF(INDEX(EntryNotes,$P73)=0,"",INDEX(EntryNotes,$P73)))</f>
        <v/>
      </c>
      <c r="O73" s="26">
        <f>IF($P73="","",IF(INDEX(EntryTxnID,$P73)=0,"",INDEX(EntryTxnID,$P73)))</f>
        <v/>
      </c>
      <c r="P73" s="26">
        <f>IFERROR(MATCH($C$5&amp;"|"&amp;RIGHT("000000"&amp;57,6),CalcRankKey,0),"")</f>
        <v/>
      </c>
    </row>
    <row r="74">
      <c r="A74" s="28">
        <f>IF($B74="","",58)</f>
        <v/>
      </c>
      <c r="B74" s="28">
        <f>IF($P74="","",IF(INDEX(CalcNormDate,$P74)=0,"",INDEX(CalcNormDate,$P74)))</f>
        <v/>
      </c>
      <c r="C74" s="28">
        <f>IF($P74="","",IF(INDEX(CalcTime,$P74)=0,"",INDEX(CalcTime,$P74)))</f>
        <v/>
      </c>
      <c r="D74" s="28">
        <f>IF($P74="","",IF(INDEX(EntryParty,$P74)=0,"",INDEX(EntryParty,$P74)))</f>
        <v/>
      </c>
      <c r="E74" s="28">
        <f>IF($P74="","",IF(INDEX(EntryPartyName,$P74)=0,"",INDEX(EntryPartyName,$P74)))</f>
        <v/>
      </c>
      <c r="F74" s="28">
        <f>IF($P74="","",IF(INDEX(EntryPartyType,$P74)=0,"",INDEX(EntryPartyType,$P74)))</f>
        <v/>
      </c>
      <c r="G74" s="28">
        <f>IF($P74="","",IF(INDEX(EntryTxnType,$P74)=0,"",INDEX(EntryTxnType,$P74)))</f>
        <v/>
      </c>
      <c r="H74" s="29">
        <f>IF($P74="","",IF(INDEX(EntryDep,$P74)=0,"",INDEX(EntryDep,$P74)))</f>
        <v/>
      </c>
      <c r="I74" s="29">
        <f>IF($P74="","",IF(INDEX(EntryWit,$P74)=0,"",INDEX(EntryWit,$P74)))</f>
        <v/>
      </c>
      <c r="J74" s="29">
        <f>IF($B74="","",IF($A74=1,$C$7,IF(J73="",0,J73))+IF($H74="",0,$H74)-IF($I74="",0,$I74))</f>
        <v/>
      </c>
      <c r="K74" s="29">
        <f>IF($P74="","",IF(INDEX(EntryMan,$P74)=0,"",INDEX(EntryMan,$P74)))</f>
        <v/>
      </c>
      <c r="L74" s="28">
        <f>IF($B74="","",IF($K74="","—",IF(ROUND($K74-$J74,0)=0,"√","×")))</f>
        <v/>
      </c>
      <c r="M74" s="28">
        <f>IF($B74="","",IF(COUNTIFS(EntryDates,$B74,CalcTime,$C74,CalcBank,$C$5,EntryParty,$D74,EntryDep,$H74,EntryWit,$I74)&gt;1,"تکرار",""))</f>
        <v/>
      </c>
      <c r="N74" s="28">
        <f>IF($P74="","",IF(INDEX(EntryNotes,$P74)=0,"",INDEX(EntryNotes,$P74)))</f>
        <v/>
      </c>
      <c r="O74" s="28">
        <f>IF($P74="","",IF(INDEX(EntryTxnID,$P74)=0,"",INDEX(EntryTxnID,$P74)))</f>
        <v/>
      </c>
      <c r="P74" s="28">
        <f>IFERROR(MATCH($C$5&amp;"|"&amp;RIGHT("000000"&amp;58,6),CalcRankKey,0),"")</f>
        <v/>
      </c>
    </row>
    <row r="75">
      <c r="A75" s="26">
        <f>IF($B75="","",59)</f>
        <v/>
      </c>
      <c r="B75" s="26">
        <f>IF($P75="","",IF(INDEX(CalcNormDate,$P75)=0,"",INDEX(CalcNormDate,$P75)))</f>
        <v/>
      </c>
      <c r="C75" s="26">
        <f>IF($P75="","",IF(INDEX(CalcTime,$P75)=0,"",INDEX(CalcTime,$P75)))</f>
        <v/>
      </c>
      <c r="D75" s="26">
        <f>IF($P75="","",IF(INDEX(EntryParty,$P75)=0,"",INDEX(EntryParty,$P75)))</f>
        <v/>
      </c>
      <c r="E75" s="26">
        <f>IF($P75="","",IF(INDEX(EntryPartyName,$P75)=0,"",INDEX(EntryPartyName,$P75)))</f>
        <v/>
      </c>
      <c r="F75" s="26">
        <f>IF($P75="","",IF(INDEX(EntryPartyType,$P75)=0,"",INDEX(EntryPartyType,$P75)))</f>
        <v/>
      </c>
      <c r="G75" s="26">
        <f>IF($P75="","",IF(INDEX(EntryTxnType,$P75)=0,"",INDEX(EntryTxnType,$P75)))</f>
        <v/>
      </c>
      <c r="H75" s="27">
        <f>IF($P75="","",IF(INDEX(EntryDep,$P75)=0,"",INDEX(EntryDep,$P75)))</f>
        <v/>
      </c>
      <c r="I75" s="27">
        <f>IF($P75="","",IF(INDEX(EntryWit,$P75)=0,"",INDEX(EntryWit,$P75)))</f>
        <v/>
      </c>
      <c r="J75" s="27">
        <f>IF($B75="","",IF($A75=1,$C$7,IF(J74="",0,J74))+IF($H75="",0,$H75)-IF($I75="",0,$I75))</f>
        <v/>
      </c>
      <c r="K75" s="27">
        <f>IF($P75="","",IF(INDEX(EntryMan,$P75)=0,"",INDEX(EntryMan,$P75)))</f>
        <v/>
      </c>
      <c r="L75" s="26">
        <f>IF($B75="","",IF($K75="","—",IF(ROUND($K75-$J75,0)=0,"√","×")))</f>
        <v/>
      </c>
      <c r="M75" s="26">
        <f>IF($B75="","",IF(COUNTIFS(EntryDates,$B75,CalcTime,$C75,CalcBank,$C$5,EntryParty,$D75,EntryDep,$H75,EntryWit,$I75)&gt;1,"تکرار",""))</f>
        <v/>
      </c>
      <c r="N75" s="26">
        <f>IF($P75="","",IF(INDEX(EntryNotes,$P75)=0,"",INDEX(EntryNotes,$P75)))</f>
        <v/>
      </c>
      <c r="O75" s="26">
        <f>IF($P75="","",IF(INDEX(EntryTxnID,$P75)=0,"",INDEX(EntryTxnID,$P75)))</f>
        <v/>
      </c>
      <c r="P75" s="26">
        <f>IFERROR(MATCH($C$5&amp;"|"&amp;RIGHT("000000"&amp;59,6),CalcRankKey,0),"")</f>
        <v/>
      </c>
    </row>
    <row r="76">
      <c r="A76" s="28">
        <f>IF($B76="","",60)</f>
        <v/>
      </c>
      <c r="B76" s="28">
        <f>IF($P76="","",IF(INDEX(CalcNormDate,$P76)=0,"",INDEX(CalcNormDate,$P76)))</f>
        <v/>
      </c>
      <c r="C76" s="28">
        <f>IF($P76="","",IF(INDEX(CalcTime,$P76)=0,"",INDEX(CalcTime,$P76)))</f>
        <v/>
      </c>
      <c r="D76" s="28">
        <f>IF($P76="","",IF(INDEX(EntryParty,$P76)=0,"",INDEX(EntryParty,$P76)))</f>
        <v/>
      </c>
      <c r="E76" s="28">
        <f>IF($P76="","",IF(INDEX(EntryPartyName,$P76)=0,"",INDEX(EntryPartyName,$P76)))</f>
        <v/>
      </c>
      <c r="F76" s="28">
        <f>IF($P76="","",IF(INDEX(EntryPartyType,$P76)=0,"",INDEX(EntryPartyType,$P76)))</f>
        <v/>
      </c>
      <c r="G76" s="28">
        <f>IF($P76="","",IF(INDEX(EntryTxnType,$P76)=0,"",INDEX(EntryTxnType,$P76)))</f>
        <v/>
      </c>
      <c r="H76" s="29">
        <f>IF($P76="","",IF(INDEX(EntryDep,$P76)=0,"",INDEX(EntryDep,$P76)))</f>
        <v/>
      </c>
      <c r="I76" s="29">
        <f>IF($P76="","",IF(INDEX(EntryWit,$P76)=0,"",INDEX(EntryWit,$P76)))</f>
        <v/>
      </c>
      <c r="J76" s="29">
        <f>IF($B76="","",IF($A76=1,$C$7,IF(J75="",0,J75))+IF($H76="",0,$H76)-IF($I76="",0,$I76))</f>
        <v/>
      </c>
      <c r="K76" s="29">
        <f>IF($P76="","",IF(INDEX(EntryMan,$P76)=0,"",INDEX(EntryMan,$P76)))</f>
        <v/>
      </c>
      <c r="L76" s="28">
        <f>IF($B76="","",IF($K76="","—",IF(ROUND($K76-$J76,0)=0,"√","×")))</f>
        <v/>
      </c>
      <c r="M76" s="28">
        <f>IF($B76="","",IF(COUNTIFS(EntryDates,$B76,CalcTime,$C76,CalcBank,$C$5,EntryParty,$D76,EntryDep,$H76,EntryWit,$I76)&gt;1,"تکرار",""))</f>
        <v/>
      </c>
      <c r="N76" s="28">
        <f>IF($P76="","",IF(INDEX(EntryNotes,$P76)=0,"",INDEX(EntryNotes,$P76)))</f>
        <v/>
      </c>
      <c r="O76" s="28">
        <f>IF($P76="","",IF(INDEX(EntryTxnID,$P76)=0,"",INDEX(EntryTxnID,$P76)))</f>
        <v/>
      </c>
      <c r="P76" s="28">
        <f>IFERROR(MATCH($C$5&amp;"|"&amp;RIGHT("000000"&amp;60,6),CalcRankKey,0),"")</f>
        <v/>
      </c>
    </row>
    <row r="77">
      <c r="A77" s="26">
        <f>IF($B77="","",61)</f>
        <v/>
      </c>
      <c r="B77" s="26">
        <f>IF($P77="","",IF(INDEX(CalcNormDate,$P77)=0,"",INDEX(CalcNormDate,$P77)))</f>
        <v/>
      </c>
      <c r="C77" s="26">
        <f>IF($P77="","",IF(INDEX(CalcTime,$P77)=0,"",INDEX(CalcTime,$P77)))</f>
        <v/>
      </c>
      <c r="D77" s="26">
        <f>IF($P77="","",IF(INDEX(EntryParty,$P77)=0,"",INDEX(EntryParty,$P77)))</f>
        <v/>
      </c>
      <c r="E77" s="26">
        <f>IF($P77="","",IF(INDEX(EntryPartyName,$P77)=0,"",INDEX(EntryPartyName,$P77)))</f>
        <v/>
      </c>
      <c r="F77" s="26">
        <f>IF($P77="","",IF(INDEX(EntryPartyType,$P77)=0,"",INDEX(EntryPartyType,$P77)))</f>
        <v/>
      </c>
      <c r="G77" s="26">
        <f>IF($P77="","",IF(INDEX(EntryTxnType,$P77)=0,"",INDEX(EntryTxnType,$P77)))</f>
        <v/>
      </c>
      <c r="H77" s="27">
        <f>IF($P77="","",IF(INDEX(EntryDep,$P77)=0,"",INDEX(EntryDep,$P77)))</f>
        <v/>
      </c>
      <c r="I77" s="27">
        <f>IF($P77="","",IF(INDEX(EntryWit,$P77)=0,"",INDEX(EntryWit,$P77)))</f>
        <v/>
      </c>
      <c r="J77" s="27">
        <f>IF($B77="","",IF($A77=1,$C$7,IF(J76="",0,J76))+IF($H77="",0,$H77)-IF($I77="",0,$I77))</f>
        <v/>
      </c>
      <c r="K77" s="27">
        <f>IF($P77="","",IF(INDEX(EntryMan,$P77)=0,"",INDEX(EntryMan,$P77)))</f>
        <v/>
      </c>
      <c r="L77" s="26">
        <f>IF($B77="","",IF($K77="","—",IF(ROUND($K77-$J77,0)=0,"√","×")))</f>
        <v/>
      </c>
      <c r="M77" s="26">
        <f>IF($B77="","",IF(COUNTIFS(EntryDates,$B77,CalcTime,$C77,CalcBank,$C$5,EntryParty,$D77,EntryDep,$H77,EntryWit,$I77)&gt;1,"تکرار",""))</f>
        <v/>
      </c>
      <c r="N77" s="26">
        <f>IF($P77="","",IF(INDEX(EntryNotes,$P77)=0,"",INDEX(EntryNotes,$P77)))</f>
        <v/>
      </c>
      <c r="O77" s="26">
        <f>IF($P77="","",IF(INDEX(EntryTxnID,$P77)=0,"",INDEX(EntryTxnID,$P77)))</f>
        <v/>
      </c>
      <c r="P77" s="26">
        <f>IFERROR(MATCH($C$5&amp;"|"&amp;RIGHT("000000"&amp;61,6),CalcRankKey,0),"")</f>
        <v/>
      </c>
    </row>
    <row r="78">
      <c r="A78" s="28">
        <f>IF($B78="","",62)</f>
        <v/>
      </c>
      <c r="B78" s="28">
        <f>IF($P78="","",IF(INDEX(CalcNormDate,$P78)=0,"",INDEX(CalcNormDate,$P78)))</f>
        <v/>
      </c>
      <c r="C78" s="28">
        <f>IF($P78="","",IF(INDEX(CalcTime,$P78)=0,"",INDEX(CalcTime,$P78)))</f>
        <v/>
      </c>
      <c r="D78" s="28">
        <f>IF($P78="","",IF(INDEX(EntryParty,$P78)=0,"",INDEX(EntryParty,$P78)))</f>
        <v/>
      </c>
      <c r="E78" s="28">
        <f>IF($P78="","",IF(INDEX(EntryPartyName,$P78)=0,"",INDEX(EntryPartyName,$P78)))</f>
        <v/>
      </c>
      <c r="F78" s="28">
        <f>IF($P78="","",IF(INDEX(EntryPartyType,$P78)=0,"",INDEX(EntryPartyType,$P78)))</f>
        <v/>
      </c>
      <c r="G78" s="28">
        <f>IF($P78="","",IF(INDEX(EntryTxnType,$P78)=0,"",INDEX(EntryTxnType,$P78)))</f>
        <v/>
      </c>
      <c r="H78" s="29">
        <f>IF($P78="","",IF(INDEX(EntryDep,$P78)=0,"",INDEX(EntryDep,$P78)))</f>
        <v/>
      </c>
      <c r="I78" s="29">
        <f>IF($P78="","",IF(INDEX(EntryWit,$P78)=0,"",INDEX(EntryWit,$P78)))</f>
        <v/>
      </c>
      <c r="J78" s="29">
        <f>IF($B78="","",IF($A78=1,$C$7,IF(J77="",0,J77))+IF($H78="",0,$H78)-IF($I78="",0,$I78))</f>
        <v/>
      </c>
      <c r="K78" s="29">
        <f>IF($P78="","",IF(INDEX(EntryMan,$P78)=0,"",INDEX(EntryMan,$P78)))</f>
        <v/>
      </c>
      <c r="L78" s="28">
        <f>IF($B78="","",IF($K78="","—",IF(ROUND($K78-$J78,0)=0,"√","×")))</f>
        <v/>
      </c>
      <c r="M78" s="28">
        <f>IF($B78="","",IF(COUNTIFS(EntryDates,$B78,CalcTime,$C78,CalcBank,$C$5,EntryParty,$D78,EntryDep,$H78,EntryWit,$I78)&gt;1,"تکرار",""))</f>
        <v/>
      </c>
      <c r="N78" s="28">
        <f>IF($P78="","",IF(INDEX(EntryNotes,$P78)=0,"",INDEX(EntryNotes,$P78)))</f>
        <v/>
      </c>
      <c r="O78" s="28">
        <f>IF($P78="","",IF(INDEX(EntryTxnID,$P78)=0,"",INDEX(EntryTxnID,$P78)))</f>
        <v/>
      </c>
      <c r="P78" s="28">
        <f>IFERROR(MATCH($C$5&amp;"|"&amp;RIGHT("000000"&amp;62,6),CalcRankKey,0),"")</f>
        <v/>
      </c>
    </row>
    <row r="79">
      <c r="A79" s="26">
        <f>IF($B79="","",63)</f>
        <v/>
      </c>
      <c r="B79" s="26">
        <f>IF($P79="","",IF(INDEX(CalcNormDate,$P79)=0,"",INDEX(CalcNormDate,$P79)))</f>
        <v/>
      </c>
      <c r="C79" s="26">
        <f>IF($P79="","",IF(INDEX(CalcTime,$P79)=0,"",INDEX(CalcTime,$P79)))</f>
        <v/>
      </c>
      <c r="D79" s="26">
        <f>IF($P79="","",IF(INDEX(EntryParty,$P79)=0,"",INDEX(EntryParty,$P79)))</f>
        <v/>
      </c>
      <c r="E79" s="26">
        <f>IF($P79="","",IF(INDEX(EntryPartyName,$P79)=0,"",INDEX(EntryPartyName,$P79)))</f>
        <v/>
      </c>
      <c r="F79" s="26">
        <f>IF($P79="","",IF(INDEX(EntryPartyType,$P79)=0,"",INDEX(EntryPartyType,$P79)))</f>
        <v/>
      </c>
      <c r="G79" s="26">
        <f>IF($P79="","",IF(INDEX(EntryTxnType,$P79)=0,"",INDEX(EntryTxnType,$P79)))</f>
        <v/>
      </c>
      <c r="H79" s="27">
        <f>IF($P79="","",IF(INDEX(EntryDep,$P79)=0,"",INDEX(EntryDep,$P79)))</f>
        <v/>
      </c>
      <c r="I79" s="27">
        <f>IF($P79="","",IF(INDEX(EntryWit,$P79)=0,"",INDEX(EntryWit,$P79)))</f>
        <v/>
      </c>
      <c r="J79" s="27">
        <f>IF($B79="","",IF($A79=1,$C$7,IF(J78="",0,J78))+IF($H79="",0,$H79)-IF($I79="",0,$I79))</f>
        <v/>
      </c>
      <c r="K79" s="27">
        <f>IF($P79="","",IF(INDEX(EntryMan,$P79)=0,"",INDEX(EntryMan,$P79)))</f>
        <v/>
      </c>
      <c r="L79" s="26">
        <f>IF($B79="","",IF($K79="","—",IF(ROUND($K79-$J79,0)=0,"√","×")))</f>
        <v/>
      </c>
      <c r="M79" s="26">
        <f>IF($B79="","",IF(COUNTIFS(EntryDates,$B79,CalcTime,$C79,CalcBank,$C$5,EntryParty,$D79,EntryDep,$H79,EntryWit,$I79)&gt;1,"تکرار",""))</f>
        <v/>
      </c>
      <c r="N79" s="26">
        <f>IF($P79="","",IF(INDEX(EntryNotes,$P79)=0,"",INDEX(EntryNotes,$P79)))</f>
        <v/>
      </c>
      <c r="O79" s="26">
        <f>IF($P79="","",IF(INDEX(EntryTxnID,$P79)=0,"",INDEX(EntryTxnID,$P79)))</f>
        <v/>
      </c>
      <c r="P79" s="26">
        <f>IFERROR(MATCH($C$5&amp;"|"&amp;RIGHT("000000"&amp;63,6),CalcRankKey,0),"")</f>
        <v/>
      </c>
    </row>
    <row r="80">
      <c r="A80" s="28">
        <f>IF($B80="","",64)</f>
        <v/>
      </c>
      <c r="B80" s="28">
        <f>IF($P80="","",IF(INDEX(CalcNormDate,$P80)=0,"",INDEX(CalcNormDate,$P80)))</f>
        <v/>
      </c>
      <c r="C80" s="28">
        <f>IF($P80="","",IF(INDEX(CalcTime,$P80)=0,"",INDEX(CalcTime,$P80)))</f>
        <v/>
      </c>
      <c r="D80" s="28">
        <f>IF($P80="","",IF(INDEX(EntryParty,$P80)=0,"",INDEX(EntryParty,$P80)))</f>
        <v/>
      </c>
      <c r="E80" s="28">
        <f>IF($P80="","",IF(INDEX(EntryPartyName,$P80)=0,"",INDEX(EntryPartyName,$P80)))</f>
        <v/>
      </c>
      <c r="F80" s="28">
        <f>IF($P80="","",IF(INDEX(EntryPartyType,$P80)=0,"",INDEX(EntryPartyType,$P80)))</f>
        <v/>
      </c>
      <c r="G80" s="28">
        <f>IF($P80="","",IF(INDEX(EntryTxnType,$P80)=0,"",INDEX(EntryTxnType,$P80)))</f>
        <v/>
      </c>
      <c r="H80" s="29">
        <f>IF($P80="","",IF(INDEX(EntryDep,$P80)=0,"",INDEX(EntryDep,$P80)))</f>
        <v/>
      </c>
      <c r="I80" s="29">
        <f>IF($P80="","",IF(INDEX(EntryWit,$P80)=0,"",INDEX(EntryWit,$P80)))</f>
        <v/>
      </c>
      <c r="J80" s="29">
        <f>IF($B80="","",IF($A80=1,$C$7,IF(J79="",0,J79))+IF($H80="",0,$H80)-IF($I80="",0,$I80))</f>
        <v/>
      </c>
      <c r="K80" s="29">
        <f>IF($P80="","",IF(INDEX(EntryMan,$P80)=0,"",INDEX(EntryMan,$P80)))</f>
        <v/>
      </c>
      <c r="L80" s="28">
        <f>IF($B80="","",IF($K80="","—",IF(ROUND($K80-$J80,0)=0,"√","×")))</f>
        <v/>
      </c>
      <c r="M80" s="28">
        <f>IF($B80="","",IF(COUNTIFS(EntryDates,$B80,CalcTime,$C80,CalcBank,$C$5,EntryParty,$D80,EntryDep,$H80,EntryWit,$I80)&gt;1,"تکرار",""))</f>
        <v/>
      </c>
      <c r="N80" s="28">
        <f>IF($P80="","",IF(INDEX(EntryNotes,$P80)=0,"",INDEX(EntryNotes,$P80)))</f>
        <v/>
      </c>
      <c r="O80" s="28">
        <f>IF($P80="","",IF(INDEX(EntryTxnID,$P80)=0,"",INDEX(EntryTxnID,$P80)))</f>
        <v/>
      </c>
      <c r="P80" s="28">
        <f>IFERROR(MATCH($C$5&amp;"|"&amp;RIGHT("000000"&amp;64,6),CalcRankKey,0),"")</f>
        <v/>
      </c>
    </row>
    <row r="81">
      <c r="A81" s="26">
        <f>IF($B81="","",65)</f>
        <v/>
      </c>
      <c r="B81" s="26">
        <f>IF($P81="","",IF(INDEX(CalcNormDate,$P81)=0,"",INDEX(CalcNormDate,$P81)))</f>
        <v/>
      </c>
      <c r="C81" s="26">
        <f>IF($P81="","",IF(INDEX(CalcTime,$P81)=0,"",INDEX(CalcTime,$P81)))</f>
        <v/>
      </c>
      <c r="D81" s="26">
        <f>IF($P81="","",IF(INDEX(EntryParty,$P81)=0,"",INDEX(EntryParty,$P81)))</f>
        <v/>
      </c>
      <c r="E81" s="26">
        <f>IF($P81="","",IF(INDEX(EntryPartyName,$P81)=0,"",INDEX(EntryPartyName,$P81)))</f>
        <v/>
      </c>
      <c r="F81" s="26">
        <f>IF($P81="","",IF(INDEX(EntryPartyType,$P81)=0,"",INDEX(EntryPartyType,$P81)))</f>
        <v/>
      </c>
      <c r="G81" s="26">
        <f>IF($P81="","",IF(INDEX(EntryTxnType,$P81)=0,"",INDEX(EntryTxnType,$P81)))</f>
        <v/>
      </c>
      <c r="H81" s="27">
        <f>IF($P81="","",IF(INDEX(EntryDep,$P81)=0,"",INDEX(EntryDep,$P81)))</f>
        <v/>
      </c>
      <c r="I81" s="27">
        <f>IF($P81="","",IF(INDEX(EntryWit,$P81)=0,"",INDEX(EntryWit,$P81)))</f>
        <v/>
      </c>
      <c r="J81" s="27">
        <f>IF($B81="","",IF($A81=1,$C$7,IF(J80="",0,J80))+IF($H81="",0,$H81)-IF($I81="",0,$I81))</f>
        <v/>
      </c>
      <c r="K81" s="27">
        <f>IF($P81="","",IF(INDEX(EntryMan,$P81)=0,"",INDEX(EntryMan,$P81)))</f>
        <v/>
      </c>
      <c r="L81" s="26">
        <f>IF($B81="","",IF($K81="","—",IF(ROUND($K81-$J81,0)=0,"√","×")))</f>
        <v/>
      </c>
      <c r="M81" s="26">
        <f>IF($B81="","",IF(COUNTIFS(EntryDates,$B81,CalcTime,$C81,CalcBank,$C$5,EntryParty,$D81,EntryDep,$H81,EntryWit,$I81)&gt;1,"تکرار",""))</f>
        <v/>
      </c>
      <c r="N81" s="26">
        <f>IF($P81="","",IF(INDEX(EntryNotes,$P81)=0,"",INDEX(EntryNotes,$P81)))</f>
        <v/>
      </c>
      <c r="O81" s="26">
        <f>IF($P81="","",IF(INDEX(EntryTxnID,$P81)=0,"",INDEX(EntryTxnID,$P81)))</f>
        <v/>
      </c>
      <c r="P81" s="26">
        <f>IFERROR(MATCH($C$5&amp;"|"&amp;RIGHT("000000"&amp;65,6),CalcRankKey,0),"")</f>
        <v/>
      </c>
    </row>
    <row r="82">
      <c r="A82" s="28">
        <f>IF($B82="","",66)</f>
        <v/>
      </c>
      <c r="B82" s="28">
        <f>IF($P82="","",IF(INDEX(CalcNormDate,$P82)=0,"",INDEX(CalcNormDate,$P82)))</f>
        <v/>
      </c>
      <c r="C82" s="28">
        <f>IF($P82="","",IF(INDEX(CalcTime,$P82)=0,"",INDEX(CalcTime,$P82)))</f>
        <v/>
      </c>
      <c r="D82" s="28">
        <f>IF($P82="","",IF(INDEX(EntryParty,$P82)=0,"",INDEX(EntryParty,$P82)))</f>
        <v/>
      </c>
      <c r="E82" s="28">
        <f>IF($P82="","",IF(INDEX(EntryPartyName,$P82)=0,"",INDEX(EntryPartyName,$P82)))</f>
        <v/>
      </c>
      <c r="F82" s="28">
        <f>IF($P82="","",IF(INDEX(EntryPartyType,$P82)=0,"",INDEX(EntryPartyType,$P82)))</f>
        <v/>
      </c>
      <c r="G82" s="28">
        <f>IF($P82="","",IF(INDEX(EntryTxnType,$P82)=0,"",INDEX(EntryTxnType,$P82)))</f>
        <v/>
      </c>
      <c r="H82" s="29">
        <f>IF($P82="","",IF(INDEX(EntryDep,$P82)=0,"",INDEX(EntryDep,$P82)))</f>
        <v/>
      </c>
      <c r="I82" s="29">
        <f>IF($P82="","",IF(INDEX(EntryWit,$P82)=0,"",INDEX(EntryWit,$P82)))</f>
        <v/>
      </c>
      <c r="J82" s="29">
        <f>IF($B82="","",IF($A82=1,$C$7,IF(J81="",0,J81))+IF($H82="",0,$H82)-IF($I82="",0,$I82))</f>
        <v/>
      </c>
      <c r="K82" s="29">
        <f>IF($P82="","",IF(INDEX(EntryMan,$P82)=0,"",INDEX(EntryMan,$P82)))</f>
        <v/>
      </c>
      <c r="L82" s="28">
        <f>IF($B82="","",IF($K82="","—",IF(ROUND($K82-$J82,0)=0,"√","×")))</f>
        <v/>
      </c>
      <c r="M82" s="28">
        <f>IF($B82="","",IF(COUNTIFS(EntryDates,$B82,CalcTime,$C82,CalcBank,$C$5,EntryParty,$D82,EntryDep,$H82,EntryWit,$I82)&gt;1,"تکرار",""))</f>
        <v/>
      </c>
      <c r="N82" s="28">
        <f>IF($P82="","",IF(INDEX(EntryNotes,$P82)=0,"",INDEX(EntryNotes,$P82)))</f>
        <v/>
      </c>
      <c r="O82" s="28">
        <f>IF($P82="","",IF(INDEX(EntryTxnID,$P82)=0,"",INDEX(EntryTxnID,$P82)))</f>
        <v/>
      </c>
      <c r="P82" s="28">
        <f>IFERROR(MATCH($C$5&amp;"|"&amp;RIGHT("000000"&amp;66,6),CalcRankKey,0),"")</f>
        <v/>
      </c>
    </row>
    <row r="83">
      <c r="A83" s="26">
        <f>IF($B83="","",67)</f>
        <v/>
      </c>
      <c r="B83" s="26">
        <f>IF($P83="","",IF(INDEX(CalcNormDate,$P83)=0,"",INDEX(CalcNormDate,$P83)))</f>
        <v/>
      </c>
      <c r="C83" s="26">
        <f>IF($P83="","",IF(INDEX(CalcTime,$P83)=0,"",INDEX(CalcTime,$P83)))</f>
        <v/>
      </c>
      <c r="D83" s="26">
        <f>IF($P83="","",IF(INDEX(EntryParty,$P83)=0,"",INDEX(EntryParty,$P83)))</f>
        <v/>
      </c>
      <c r="E83" s="26">
        <f>IF($P83="","",IF(INDEX(EntryPartyName,$P83)=0,"",INDEX(EntryPartyName,$P83)))</f>
        <v/>
      </c>
      <c r="F83" s="26">
        <f>IF($P83="","",IF(INDEX(EntryPartyType,$P83)=0,"",INDEX(EntryPartyType,$P83)))</f>
        <v/>
      </c>
      <c r="G83" s="26">
        <f>IF($P83="","",IF(INDEX(EntryTxnType,$P83)=0,"",INDEX(EntryTxnType,$P83)))</f>
        <v/>
      </c>
      <c r="H83" s="27">
        <f>IF($P83="","",IF(INDEX(EntryDep,$P83)=0,"",INDEX(EntryDep,$P83)))</f>
        <v/>
      </c>
      <c r="I83" s="27">
        <f>IF($P83="","",IF(INDEX(EntryWit,$P83)=0,"",INDEX(EntryWit,$P83)))</f>
        <v/>
      </c>
      <c r="J83" s="27">
        <f>IF($B83="","",IF($A83=1,$C$7,IF(J82="",0,J82))+IF($H83="",0,$H83)-IF($I83="",0,$I83))</f>
        <v/>
      </c>
      <c r="K83" s="27">
        <f>IF($P83="","",IF(INDEX(EntryMan,$P83)=0,"",INDEX(EntryMan,$P83)))</f>
        <v/>
      </c>
      <c r="L83" s="26">
        <f>IF($B83="","",IF($K83="","—",IF(ROUND($K83-$J83,0)=0,"√","×")))</f>
        <v/>
      </c>
      <c r="M83" s="26">
        <f>IF($B83="","",IF(COUNTIFS(EntryDates,$B83,CalcTime,$C83,CalcBank,$C$5,EntryParty,$D83,EntryDep,$H83,EntryWit,$I83)&gt;1,"تکرار",""))</f>
        <v/>
      </c>
      <c r="N83" s="26">
        <f>IF($P83="","",IF(INDEX(EntryNotes,$P83)=0,"",INDEX(EntryNotes,$P83)))</f>
        <v/>
      </c>
      <c r="O83" s="26">
        <f>IF($P83="","",IF(INDEX(EntryTxnID,$P83)=0,"",INDEX(EntryTxnID,$P83)))</f>
        <v/>
      </c>
      <c r="P83" s="26">
        <f>IFERROR(MATCH($C$5&amp;"|"&amp;RIGHT("000000"&amp;67,6),CalcRankKey,0),"")</f>
        <v/>
      </c>
    </row>
    <row r="84">
      <c r="A84" s="28">
        <f>IF($B84="","",68)</f>
        <v/>
      </c>
      <c r="B84" s="28">
        <f>IF($P84="","",IF(INDEX(CalcNormDate,$P84)=0,"",INDEX(CalcNormDate,$P84)))</f>
        <v/>
      </c>
      <c r="C84" s="28">
        <f>IF($P84="","",IF(INDEX(CalcTime,$P84)=0,"",INDEX(CalcTime,$P84)))</f>
        <v/>
      </c>
      <c r="D84" s="28">
        <f>IF($P84="","",IF(INDEX(EntryParty,$P84)=0,"",INDEX(EntryParty,$P84)))</f>
        <v/>
      </c>
      <c r="E84" s="28">
        <f>IF($P84="","",IF(INDEX(EntryPartyName,$P84)=0,"",INDEX(EntryPartyName,$P84)))</f>
        <v/>
      </c>
      <c r="F84" s="28">
        <f>IF($P84="","",IF(INDEX(EntryPartyType,$P84)=0,"",INDEX(EntryPartyType,$P84)))</f>
        <v/>
      </c>
      <c r="G84" s="28">
        <f>IF($P84="","",IF(INDEX(EntryTxnType,$P84)=0,"",INDEX(EntryTxnType,$P84)))</f>
        <v/>
      </c>
      <c r="H84" s="29">
        <f>IF($P84="","",IF(INDEX(EntryDep,$P84)=0,"",INDEX(EntryDep,$P84)))</f>
        <v/>
      </c>
      <c r="I84" s="29">
        <f>IF($P84="","",IF(INDEX(EntryWit,$P84)=0,"",INDEX(EntryWit,$P84)))</f>
        <v/>
      </c>
      <c r="J84" s="29">
        <f>IF($B84="","",IF($A84=1,$C$7,IF(J83="",0,J83))+IF($H84="",0,$H84)-IF($I84="",0,$I84))</f>
        <v/>
      </c>
      <c r="K84" s="29">
        <f>IF($P84="","",IF(INDEX(EntryMan,$P84)=0,"",INDEX(EntryMan,$P84)))</f>
        <v/>
      </c>
      <c r="L84" s="28">
        <f>IF($B84="","",IF($K84="","—",IF(ROUND($K84-$J84,0)=0,"√","×")))</f>
        <v/>
      </c>
      <c r="M84" s="28">
        <f>IF($B84="","",IF(COUNTIFS(EntryDates,$B84,CalcTime,$C84,CalcBank,$C$5,EntryParty,$D84,EntryDep,$H84,EntryWit,$I84)&gt;1,"تکرار",""))</f>
        <v/>
      </c>
      <c r="N84" s="28">
        <f>IF($P84="","",IF(INDEX(EntryNotes,$P84)=0,"",INDEX(EntryNotes,$P84)))</f>
        <v/>
      </c>
      <c r="O84" s="28">
        <f>IF($P84="","",IF(INDEX(EntryTxnID,$P84)=0,"",INDEX(EntryTxnID,$P84)))</f>
        <v/>
      </c>
      <c r="P84" s="28">
        <f>IFERROR(MATCH($C$5&amp;"|"&amp;RIGHT("000000"&amp;68,6),CalcRankKey,0),"")</f>
        <v/>
      </c>
    </row>
    <row r="85">
      <c r="A85" s="26">
        <f>IF($B85="","",69)</f>
        <v/>
      </c>
      <c r="B85" s="26">
        <f>IF($P85="","",IF(INDEX(CalcNormDate,$P85)=0,"",INDEX(CalcNormDate,$P85)))</f>
        <v/>
      </c>
      <c r="C85" s="26">
        <f>IF($P85="","",IF(INDEX(CalcTime,$P85)=0,"",INDEX(CalcTime,$P85)))</f>
        <v/>
      </c>
      <c r="D85" s="26">
        <f>IF($P85="","",IF(INDEX(EntryParty,$P85)=0,"",INDEX(EntryParty,$P85)))</f>
        <v/>
      </c>
      <c r="E85" s="26">
        <f>IF($P85="","",IF(INDEX(EntryPartyName,$P85)=0,"",INDEX(EntryPartyName,$P85)))</f>
        <v/>
      </c>
      <c r="F85" s="26">
        <f>IF($P85="","",IF(INDEX(EntryPartyType,$P85)=0,"",INDEX(EntryPartyType,$P85)))</f>
        <v/>
      </c>
      <c r="G85" s="26">
        <f>IF($P85="","",IF(INDEX(EntryTxnType,$P85)=0,"",INDEX(EntryTxnType,$P85)))</f>
        <v/>
      </c>
      <c r="H85" s="27">
        <f>IF($P85="","",IF(INDEX(EntryDep,$P85)=0,"",INDEX(EntryDep,$P85)))</f>
        <v/>
      </c>
      <c r="I85" s="27">
        <f>IF($P85="","",IF(INDEX(EntryWit,$P85)=0,"",INDEX(EntryWit,$P85)))</f>
        <v/>
      </c>
      <c r="J85" s="27">
        <f>IF($B85="","",IF($A85=1,$C$7,IF(J84="",0,J84))+IF($H85="",0,$H85)-IF($I85="",0,$I85))</f>
        <v/>
      </c>
      <c r="K85" s="27">
        <f>IF($P85="","",IF(INDEX(EntryMan,$P85)=0,"",INDEX(EntryMan,$P85)))</f>
        <v/>
      </c>
      <c r="L85" s="26">
        <f>IF($B85="","",IF($K85="","—",IF(ROUND($K85-$J85,0)=0,"√","×")))</f>
        <v/>
      </c>
      <c r="M85" s="26">
        <f>IF($B85="","",IF(COUNTIFS(EntryDates,$B85,CalcTime,$C85,CalcBank,$C$5,EntryParty,$D85,EntryDep,$H85,EntryWit,$I85)&gt;1,"تکرار",""))</f>
        <v/>
      </c>
      <c r="N85" s="26">
        <f>IF($P85="","",IF(INDEX(EntryNotes,$P85)=0,"",INDEX(EntryNotes,$P85)))</f>
        <v/>
      </c>
      <c r="O85" s="26">
        <f>IF($P85="","",IF(INDEX(EntryTxnID,$P85)=0,"",INDEX(EntryTxnID,$P85)))</f>
        <v/>
      </c>
      <c r="P85" s="26">
        <f>IFERROR(MATCH($C$5&amp;"|"&amp;RIGHT("000000"&amp;69,6),CalcRankKey,0),"")</f>
        <v/>
      </c>
    </row>
    <row r="86">
      <c r="A86" s="28">
        <f>IF($B86="","",70)</f>
        <v/>
      </c>
      <c r="B86" s="28">
        <f>IF($P86="","",IF(INDEX(CalcNormDate,$P86)=0,"",INDEX(CalcNormDate,$P86)))</f>
        <v/>
      </c>
      <c r="C86" s="28">
        <f>IF($P86="","",IF(INDEX(CalcTime,$P86)=0,"",INDEX(CalcTime,$P86)))</f>
        <v/>
      </c>
      <c r="D86" s="28">
        <f>IF($P86="","",IF(INDEX(EntryParty,$P86)=0,"",INDEX(EntryParty,$P86)))</f>
        <v/>
      </c>
      <c r="E86" s="28">
        <f>IF($P86="","",IF(INDEX(EntryPartyName,$P86)=0,"",INDEX(EntryPartyName,$P86)))</f>
        <v/>
      </c>
      <c r="F86" s="28">
        <f>IF($P86="","",IF(INDEX(EntryPartyType,$P86)=0,"",INDEX(EntryPartyType,$P86)))</f>
        <v/>
      </c>
      <c r="G86" s="28">
        <f>IF($P86="","",IF(INDEX(EntryTxnType,$P86)=0,"",INDEX(EntryTxnType,$P86)))</f>
        <v/>
      </c>
      <c r="H86" s="29">
        <f>IF($P86="","",IF(INDEX(EntryDep,$P86)=0,"",INDEX(EntryDep,$P86)))</f>
        <v/>
      </c>
      <c r="I86" s="29">
        <f>IF($P86="","",IF(INDEX(EntryWit,$P86)=0,"",INDEX(EntryWit,$P86)))</f>
        <v/>
      </c>
      <c r="J86" s="29">
        <f>IF($B86="","",IF($A86=1,$C$7,IF(J85="",0,J85))+IF($H86="",0,$H86)-IF($I86="",0,$I86))</f>
        <v/>
      </c>
      <c r="K86" s="29">
        <f>IF($P86="","",IF(INDEX(EntryMan,$P86)=0,"",INDEX(EntryMan,$P86)))</f>
        <v/>
      </c>
      <c r="L86" s="28">
        <f>IF($B86="","",IF($K86="","—",IF(ROUND($K86-$J86,0)=0,"√","×")))</f>
        <v/>
      </c>
      <c r="M86" s="28">
        <f>IF($B86="","",IF(COUNTIFS(EntryDates,$B86,CalcTime,$C86,CalcBank,$C$5,EntryParty,$D86,EntryDep,$H86,EntryWit,$I86)&gt;1,"تکرار",""))</f>
        <v/>
      </c>
      <c r="N86" s="28">
        <f>IF($P86="","",IF(INDEX(EntryNotes,$P86)=0,"",INDEX(EntryNotes,$P86)))</f>
        <v/>
      </c>
      <c r="O86" s="28">
        <f>IF($P86="","",IF(INDEX(EntryTxnID,$P86)=0,"",INDEX(EntryTxnID,$P86)))</f>
        <v/>
      </c>
      <c r="P86" s="28">
        <f>IFERROR(MATCH($C$5&amp;"|"&amp;RIGHT("000000"&amp;70,6),CalcRankKey,0),"")</f>
        <v/>
      </c>
    </row>
    <row r="87">
      <c r="A87" s="26">
        <f>IF($B87="","",71)</f>
        <v/>
      </c>
      <c r="B87" s="26">
        <f>IF($P87="","",IF(INDEX(CalcNormDate,$P87)=0,"",INDEX(CalcNormDate,$P87)))</f>
        <v/>
      </c>
      <c r="C87" s="26">
        <f>IF($P87="","",IF(INDEX(CalcTime,$P87)=0,"",INDEX(CalcTime,$P87)))</f>
        <v/>
      </c>
      <c r="D87" s="26">
        <f>IF($P87="","",IF(INDEX(EntryParty,$P87)=0,"",INDEX(EntryParty,$P87)))</f>
        <v/>
      </c>
      <c r="E87" s="26">
        <f>IF($P87="","",IF(INDEX(EntryPartyName,$P87)=0,"",INDEX(EntryPartyName,$P87)))</f>
        <v/>
      </c>
      <c r="F87" s="26">
        <f>IF($P87="","",IF(INDEX(EntryPartyType,$P87)=0,"",INDEX(EntryPartyType,$P87)))</f>
        <v/>
      </c>
      <c r="G87" s="26">
        <f>IF($P87="","",IF(INDEX(EntryTxnType,$P87)=0,"",INDEX(EntryTxnType,$P87)))</f>
        <v/>
      </c>
      <c r="H87" s="27">
        <f>IF($P87="","",IF(INDEX(EntryDep,$P87)=0,"",INDEX(EntryDep,$P87)))</f>
        <v/>
      </c>
      <c r="I87" s="27">
        <f>IF($P87="","",IF(INDEX(EntryWit,$P87)=0,"",INDEX(EntryWit,$P87)))</f>
        <v/>
      </c>
      <c r="J87" s="27">
        <f>IF($B87="","",IF($A87=1,$C$7,IF(J86="",0,J86))+IF($H87="",0,$H87)-IF($I87="",0,$I87))</f>
        <v/>
      </c>
      <c r="K87" s="27">
        <f>IF($P87="","",IF(INDEX(EntryMan,$P87)=0,"",INDEX(EntryMan,$P87)))</f>
        <v/>
      </c>
      <c r="L87" s="26">
        <f>IF($B87="","",IF($K87="","—",IF(ROUND($K87-$J87,0)=0,"√","×")))</f>
        <v/>
      </c>
      <c r="M87" s="26">
        <f>IF($B87="","",IF(COUNTIFS(EntryDates,$B87,CalcTime,$C87,CalcBank,$C$5,EntryParty,$D87,EntryDep,$H87,EntryWit,$I87)&gt;1,"تکرار",""))</f>
        <v/>
      </c>
      <c r="N87" s="26">
        <f>IF($P87="","",IF(INDEX(EntryNotes,$P87)=0,"",INDEX(EntryNotes,$P87)))</f>
        <v/>
      </c>
      <c r="O87" s="26">
        <f>IF($P87="","",IF(INDEX(EntryTxnID,$P87)=0,"",INDEX(EntryTxnID,$P87)))</f>
        <v/>
      </c>
      <c r="P87" s="26">
        <f>IFERROR(MATCH($C$5&amp;"|"&amp;RIGHT("000000"&amp;71,6),CalcRankKey,0),"")</f>
        <v/>
      </c>
    </row>
    <row r="88">
      <c r="A88" s="28">
        <f>IF($B88="","",72)</f>
        <v/>
      </c>
      <c r="B88" s="28">
        <f>IF($P88="","",IF(INDEX(CalcNormDate,$P88)=0,"",INDEX(CalcNormDate,$P88)))</f>
        <v/>
      </c>
      <c r="C88" s="28">
        <f>IF($P88="","",IF(INDEX(CalcTime,$P88)=0,"",INDEX(CalcTime,$P88)))</f>
        <v/>
      </c>
      <c r="D88" s="28">
        <f>IF($P88="","",IF(INDEX(EntryParty,$P88)=0,"",INDEX(EntryParty,$P88)))</f>
        <v/>
      </c>
      <c r="E88" s="28">
        <f>IF($P88="","",IF(INDEX(EntryPartyName,$P88)=0,"",INDEX(EntryPartyName,$P88)))</f>
        <v/>
      </c>
      <c r="F88" s="28">
        <f>IF($P88="","",IF(INDEX(EntryPartyType,$P88)=0,"",INDEX(EntryPartyType,$P88)))</f>
        <v/>
      </c>
      <c r="G88" s="28">
        <f>IF($P88="","",IF(INDEX(EntryTxnType,$P88)=0,"",INDEX(EntryTxnType,$P88)))</f>
        <v/>
      </c>
      <c r="H88" s="29">
        <f>IF($P88="","",IF(INDEX(EntryDep,$P88)=0,"",INDEX(EntryDep,$P88)))</f>
        <v/>
      </c>
      <c r="I88" s="29">
        <f>IF($P88="","",IF(INDEX(EntryWit,$P88)=0,"",INDEX(EntryWit,$P88)))</f>
        <v/>
      </c>
      <c r="J88" s="29">
        <f>IF($B88="","",IF($A88=1,$C$7,IF(J87="",0,J87))+IF($H88="",0,$H88)-IF($I88="",0,$I88))</f>
        <v/>
      </c>
      <c r="K88" s="29">
        <f>IF($P88="","",IF(INDEX(EntryMan,$P88)=0,"",INDEX(EntryMan,$P88)))</f>
        <v/>
      </c>
      <c r="L88" s="28">
        <f>IF($B88="","",IF($K88="","—",IF(ROUND($K88-$J88,0)=0,"√","×")))</f>
        <v/>
      </c>
      <c r="M88" s="28">
        <f>IF($B88="","",IF(COUNTIFS(EntryDates,$B88,CalcTime,$C88,CalcBank,$C$5,EntryParty,$D88,EntryDep,$H88,EntryWit,$I88)&gt;1,"تکرار",""))</f>
        <v/>
      </c>
      <c r="N88" s="28">
        <f>IF($P88="","",IF(INDEX(EntryNotes,$P88)=0,"",INDEX(EntryNotes,$P88)))</f>
        <v/>
      </c>
      <c r="O88" s="28">
        <f>IF($P88="","",IF(INDEX(EntryTxnID,$P88)=0,"",INDEX(EntryTxnID,$P88)))</f>
        <v/>
      </c>
      <c r="P88" s="28">
        <f>IFERROR(MATCH($C$5&amp;"|"&amp;RIGHT("000000"&amp;72,6),CalcRankKey,0),"")</f>
        <v/>
      </c>
    </row>
    <row r="89">
      <c r="A89" s="26">
        <f>IF($B89="","",73)</f>
        <v/>
      </c>
      <c r="B89" s="26">
        <f>IF($P89="","",IF(INDEX(CalcNormDate,$P89)=0,"",INDEX(CalcNormDate,$P89)))</f>
        <v/>
      </c>
      <c r="C89" s="26">
        <f>IF($P89="","",IF(INDEX(CalcTime,$P89)=0,"",INDEX(CalcTime,$P89)))</f>
        <v/>
      </c>
      <c r="D89" s="26">
        <f>IF($P89="","",IF(INDEX(EntryParty,$P89)=0,"",INDEX(EntryParty,$P89)))</f>
        <v/>
      </c>
      <c r="E89" s="26">
        <f>IF($P89="","",IF(INDEX(EntryPartyName,$P89)=0,"",INDEX(EntryPartyName,$P89)))</f>
        <v/>
      </c>
      <c r="F89" s="26">
        <f>IF($P89="","",IF(INDEX(EntryPartyType,$P89)=0,"",INDEX(EntryPartyType,$P89)))</f>
        <v/>
      </c>
      <c r="G89" s="26">
        <f>IF($P89="","",IF(INDEX(EntryTxnType,$P89)=0,"",INDEX(EntryTxnType,$P89)))</f>
        <v/>
      </c>
      <c r="H89" s="27">
        <f>IF($P89="","",IF(INDEX(EntryDep,$P89)=0,"",INDEX(EntryDep,$P89)))</f>
        <v/>
      </c>
      <c r="I89" s="27">
        <f>IF($P89="","",IF(INDEX(EntryWit,$P89)=0,"",INDEX(EntryWit,$P89)))</f>
        <v/>
      </c>
      <c r="J89" s="27">
        <f>IF($B89="","",IF($A89=1,$C$7,IF(J88="",0,J88))+IF($H89="",0,$H89)-IF($I89="",0,$I89))</f>
        <v/>
      </c>
      <c r="K89" s="27">
        <f>IF($P89="","",IF(INDEX(EntryMan,$P89)=0,"",INDEX(EntryMan,$P89)))</f>
        <v/>
      </c>
      <c r="L89" s="26">
        <f>IF($B89="","",IF($K89="","—",IF(ROUND($K89-$J89,0)=0,"√","×")))</f>
        <v/>
      </c>
      <c r="M89" s="26">
        <f>IF($B89="","",IF(COUNTIFS(EntryDates,$B89,CalcTime,$C89,CalcBank,$C$5,EntryParty,$D89,EntryDep,$H89,EntryWit,$I89)&gt;1,"تکرار",""))</f>
        <v/>
      </c>
      <c r="N89" s="26">
        <f>IF($P89="","",IF(INDEX(EntryNotes,$P89)=0,"",INDEX(EntryNotes,$P89)))</f>
        <v/>
      </c>
      <c r="O89" s="26">
        <f>IF($P89="","",IF(INDEX(EntryTxnID,$P89)=0,"",INDEX(EntryTxnID,$P89)))</f>
        <v/>
      </c>
      <c r="P89" s="26">
        <f>IFERROR(MATCH($C$5&amp;"|"&amp;RIGHT("000000"&amp;73,6),CalcRankKey,0),"")</f>
        <v/>
      </c>
    </row>
    <row r="90">
      <c r="A90" s="28">
        <f>IF($B90="","",74)</f>
        <v/>
      </c>
      <c r="B90" s="28">
        <f>IF($P90="","",IF(INDEX(CalcNormDate,$P90)=0,"",INDEX(CalcNormDate,$P90)))</f>
        <v/>
      </c>
      <c r="C90" s="28">
        <f>IF($P90="","",IF(INDEX(CalcTime,$P90)=0,"",INDEX(CalcTime,$P90)))</f>
        <v/>
      </c>
      <c r="D90" s="28">
        <f>IF($P90="","",IF(INDEX(EntryParty,$P90)=0,"",INDEX(EntryParty,$P90)))</f>
        <v/>
      </c>
      <c r="E90" s="28">
        <f>IF($P90="","",IF(INDEX(EntryPartyName,$P90)=0,"",INDEX(EntryPartyName,$P90)))</f>
        <v/>
      </c>
      <c r="F90" s="28">
        <f>IF($P90="","",IF(INDEX(EntryPartyType,$P90)=0,"",INDEX(EntryPartyType,$P90)))</f>
        <v/>
      </c>
      <c r="G90" s="28">
        <f>IF($P90="","",IF(INDEX(EntryTxnType,$P90)=0,"",INDEX(EntryTxnType,$P90)))</f>
        <v/>
      </c>
      <c r="H90" s="29">
        <f>IF($P90="","",IF(INDEX(EntryDep,$P90)=0,"",INDEX(EntryDep,$P90)))</f>
        <v/>
      </c>
      <c r="I90" s="29">
        <f>IF($P90="","",IF(INDEX(EntryWit,$P90)=0,"",INDEX(EntryWit,$P90)))</f>
        <v/>
      </c>
      <c r="J90" s="29">
        <f>IF($B90="","",IF($A90=1,$C$7,IF(J89="",0,J89))+IF($H90="",0,$H90)-IF($I90="",0,$I90))</f>
        <v/>
      </c>
      <c r="K90" s="29">
        <f>IF($P90="","",IF(INDEX(EntryMan,$P90)=0,"",INDEX(EntryMan,$P90)))</f>
        <v/>
      </c>
      <c r="L90" s="28">
        <f>IF($B90="","",IF($K90="","—",IF(ROUND($K90-$J90,0)=0,"√","×")))</f>
        <v/>
      </c>
      <c r="M90" s="28">
        <f>IF($B90="","",IF(COUNTIFS(EntryDates,$B90,CalcTime,$C90,CalcBank,$C$5,EntryParty,$D90,EntryDep,$H90,EntryWit,$I90)&gt;1,"تکرار",""))</f>
        <v/>
      </c>
      <c r="N90" s="28">
        <f>IF($P90="","",IF(INDEX(EntryNotes,$P90)=0,"",INDEX(EntryNotes,$P90)))</f>
        <v/>
      </c>
      <c r="O90" s="28">
        <f>IF($P90="","",IF(INDEX(EntryTxnID,$P90)=0,"",INDEX(EntryTxnID,$P90)))</f>
        <v/>
      </c>
      <c r="P90" s="28">
        <f>IFERROR(MATCH($C$5&amp;"|"&amp;RIGHT("000000"&amp;74,6),CalcRankKey,0),"")</f>
        <v/>
      </c>
    </row>
    <row r="91">
      <c r="A91" s="26">
        <f>IF($B91="","",75)</f>
        <v/>
      </c>
      <c r="B91" s="26">
        <f>IF($P91="","",IF(INDEX(CalcNormDate,$P91)=0,"",INDEX(CalcNormDate,$P91)))</f>
        <v/>
      </c>
      <c r="C91" s="26">
        <f>IF($P91="","",IF(INDEX(CalcTime,$P91)=0,"",INDEX(CalcTime,$P91)))</f>
        <v/>
      </c>
      <c r="D91" s="26">
        <f>IF($P91="","",IF(INDEX(EntryParty,$P91)=0,"",INDEX(EntryParty,$P91)))</f>
        <v/>
      </c>
      <c r="E91" s="26">
        <f>IF($P91="","",IF(INDEX(EntryPartyName,$P91)=0,"",INDEX(EntryPartyName,$P91)))</f>
        <v/>
      </c>
      <c r="F91" s="26">
        <f>IF($P91="","",IF(INDEX(EntryPartyType,$P91)=0,"",INDEX(EntryPartyType,$P91)))</f>
        <v/>
      </c>
      <c r="G91" s="26">
        <f>IF($P91="","",IF(INDEX(EntryTxnType,$P91)=0,"",INDEX(EntryTxnType,$P91)))</f>
        <v/>
      </c>
      <c r="H91" s="27">
        <f>IF($P91="","",IF(INDEX(EntryDep,$P91)=0,"",INDEX(EntryDep,$P91)))</f>
        <v/>
      </c>
      <c r="I91" s="27">
        <f>IF($P91="","",IF(INDEX(EntryWit,$P91)=0,"",INDEX(EntryWit,$P91)))</f>
        <v/>
      </c>
      <c r="J91" s="27">
        <f>IF($B91="","",IF($A91=1,$C$7,IF(J90="",0,J90))+IF($H91="",0,$H91)-IF($I91="",0,$I91))</f>
        <v/>
      </c>
      <c r="K91" s="27">
        <f>IF($P91="","",IF(INDEX(EntryMan,$P91)=0,"",INDEX(EntryMan,$P91)))</f>
        <v/>
      </c>
      <c r="L91" s="26">
        <f>IF($B91="","",IF($K91="","—",IF(ROUND($K91-$J91,0)=0,"√","×")))</f>
        <v/>
      </c>
      <c r="M91" s="26">
        <f>IF($B91="","",IF(COUNTIFS(EntryDates,$B91,CalcTime,$C91,CalcBank,$C$5,EntryParty,$D91,EntryDep,$H91,EntryWit,$I91)&gt;1,"تکرار",""))</f>
        <v/>
      </c>
      <c r="N91" s="26">
        <f>IF($P91="","",IF(INDEX(EntryNotes,$P91)=0,"",INDEX(EntryNotes,$P91)))</f>
        <v/>
      </c>
      <c r="O91" s="26">
        <f>IF($P91="","",IF(INDEX(EntryTxnID,$P91)=0,"",INDEX(EntryTxnID,$P91)))</f>
        <v/>
      </c>
      <c r="P91" s="26">
        <f>IFERROR(MATCH($C$5&amp;"|"&amp;RIGHT("000000"&amp;75,6),CalcRankKey,0),"")</f>
        <v/>
      </c>
    </row>
    <row r="92">
      <c r="A92" s="28">
        <f>IF($B92="","",76)</f>
        <v/>
      </c>
      <c r="B92" s="28">
        <f>IF($P92="","",IF(INDEX(CalcNormDate,$P92)=0,"",INDEX(CalcNormDate,$P92)))</f>
        <v/>
      </c>
      <c r="C92" s="28">
        <f>IF($P92="","",IF(INDEX(CalcTime,$P92)=0,"",INDEX(CalcTime,$P92)))</f>
        <v/>
      </c>
      <c r="D92" s="28">
        <f>IF($P92="","",IF(INDEX(EntryParty,$P92)=0,"",INDEX(EntryParty,$P92)))</f>
        <v/>
      </c>
      <c r="E92" s="28">
        <f>IF($P92="","",IF(INDEX(EntryPartyName,$P92)=0,"",INDEX(EntryPartyName,$P92)))</f>
        <v/>
      </c>
      <c r="F92" s="28">
        <f>IF($P92="","",IF(INDEX(EntryPartyType,$P92)=0,"",INDEX(EntryPartyType,$P92)))</f>
        <v/>
      </c>
      <c r="G92" s="28">
        <f>IF($P92="","",IF(INDEX(EntryTxnType,$P92)=0,"",INDEX(EntryTxnType,$P92)))</f>
        <v/>
      </c>
      <c r="H92" s="29">
        <f>IF($P92="","",IF(INDEX(EntryDep,$P92)=0,"",INDEX(EntryDep,$P92)))</f>
        <v/>
      </c>
      <c r="I92" s="29">
        <f>IF($P92="","",IF(INDEX(EntryWit,$P92)=0,"",INDEX(EntryWit,$P92)))</f>
        <v/>
      </c>
      <c r="J92" s="29">
        <f>IF($B92="","",IF($A92=1,$C$7,IF(J91="",0,J91))+IF($H92="",0,$H92)-IF($I92="",0,$I92))</f>
        <v/>
      </c>
      <c r="K92" s="29">
        <f>IF($P92="","",IF(INDEX(EntryMan,$P92)=0,"",INDEX(EntryMan,$P92)))</f>
        <v/>
      </c>
      <c r="L92" s="28">
        <f>IF($B92="","",IF($K92="","—",IF(ROUND($K92-$J92,0)=0,"√","×")))</f>
        <v/>
      </c>
      <c r="M92" s="28">
        <f>IF($B92="","",IF(COUNTIFS(EntryDates,$B92,CalcTime,$C92,CalcBank,$C$5,EntryParty,$D92,EntryDep,$H92,EntryWit,$I92)&gt;1,"تکرار",""))</f>
        <v/>
      </c>
      <c r="N92" s="28">
        <f>IF($P92="","",IF(INDEX(EntryNotes,$P92)=0,"",INDEX(EntryNotes,$P92)))</f>
        <v/>
      </c>
      <c r="O92" s="28">
        <f>IF($P92="","",IF(INDEX(EntryTxnID,$P92)=0,"",INDEX(EntryTxnID,$P92)))</f>
        <v/>
      </c>
      <c r="P92" s="28">
        <f>IFERROR(MATCH($C$5&amp;"|"&amp;RIGHT("000000"&amp;76,6),CalcRankKey,0),"")</f>
        <v/>
      </c>
    </row>
    <row r="93">
      <c r="A93" s="26">
        <f>IF($B93="","",77)</f>
        <v/>
      </c>
      <c r="B93" s="26">
        <f>IF($P93="","",IF(INDEX(CalcNormDate,$P93)=0,"",INDEX(CalcNormDate,$P93)))</f>
        <v/>
      </c>
      <c r="C93" s="26">
        <f>IF($P93="","",IF(INDEX(CalcTime,$P93)=0,"",INDEX(CalcTime,$P93)))</f>
        <v/>
      </c>
      <c r="D93" s="26">
        <f>IF($P93="","",IF(INDEX(EntryParty,$P93)=0,"",INDEX(EntryParty,$P93)))</f>
        <v/>
      </c>
      <c r="E93" s="26">
        <f>IF($P93="","",IF(INDEX(EntryPartyName,$P93)=0,"",INDEX(EntryPartyName,$P93)))</f>
        <v/>
      </c>
      <c r="F93" s="26">
        <f>IF($P93="","",IF(INDEX(EntryPartyType,$P93)=0,"",INDEX(EntryPartyType,$P93)))</f>
        <v/>
      </c>
      <c r="G93" s="26">
        <f>IF($P93="","",IF(INDEX(EntryTxnType,$P93)=0,"",INDEX(EntryTxnType,$P93)))</f>
        <v/>
      </c>
      <c r="H93" s="27">
        <f>IF($P93="","",IF(INDEX(EntryDep,$P93)=0,"",INDEX(EntryDep,$P93)))</f>
        <v/>
      </c>
      <c r="I93" s="27">
        <f>IF($P93="","",IF(INDEX(EntryWit,$P93)=0,"",INDEX(EntryWit,$P93)))</f>
        <v/>
      </c>
      <c r="J93" s="27">
        <f>IF($B93="","",IF($A93=1,$C$7,IF(J92="",0,J92))+IF($H93="",0,$H93)-IF($I93="",0,$I93))</f>
        <v/>
      </c>
      <c r="K93" s="27">
        <f>IF($P93="","",IF(INDEX(EntryMan,$P93)=0,"",INDEX(EntryMan,$P93)))</f>
        <v/>
      </c>
      <c r="L93" s="26">
        <f>IF($B93="","",IF($K93="","—",IF(ROUND($K93-$J93,0)=0,"√","×")))</f>
        <v/>
      </c>
      <c r="M93" s="26">
        <f>IF($B93="","",IF(COUNTIFS(EntryDates,$B93,CalcTime,$C93,CalcBank,$C$5,EntryParty,$D93,EntryDep,$H93,EntryWit,$I93)&gt;1,"تکرار",""))</f>
        <v/>
      </c>
      <c r="N93" s="26">
        <f>IF($P93="","",IF(INDEX(EntryNotes,$P93)=0,"",INDEX(EntryNotes,$P93)))</f>
        <v/>
      </c>
      <c r="O93" s="26">
        <f>IF($P93="","",IF(INDEX(EntryTxnID,$P93)=0,"",INDEX(EntryTxnID,$P93)))</f>
        <v/>
      </c>
      <c r="P93" s="26">
        <f>IFERROR(MATCH($C$5&amp;"|"&amp;RIGHT("000000"&amp;77,6),CalcRankKey,0),"")</f>
        <v/>
      </c>
    </row>
    <row r="94">
      <c r="A94" s="28">
        <f>IF($B94="","",78)</f>
        <v/>
      </c>
      <c r="B94" s="28">
        <f>IF($P94="","",IF(INDEX(CalcNormDate,$P94)=0,"",INDEX(CalcNormDate,$P94)))</f>
        <v/>
      </c>
      <c r="C94" s="28">
        <f>IF($P94="","",IF(INDEX(CalcTime,$P94)=0,"",INDEX(CalcTime,$P94)))</f>
        <v/>
      </c>
      <c r="D94" s="28">
        <f>IF($P94="","",IF(INDEX(EntryParty,$P94)=0,"",INDEX(EntryParty,$P94)))</f>
        <v/>
      </c>
      <c r="E94" s="28">
        <f>IF($P94="","",IF(INDEX(EntryPartyName,$P94)=0,"",INDEX(EntryPartyName,$P94)))</f>
        <v/>
      </c>
      <c r="F94" s="28">
        <f>IF($P94="","",IF(INDEX(EntryPartyType,$P94)=0,"",INDEX(EntryPartyType,$P94)))</f>
        <v/>
      </c>
      <c r="G94" s="28">
        <f>IF($P94="","",IF(INDEX(EntryTxnType,$P94)=0,"",INDEX(EntryTxnType,$P94)))</f>
        <v/>
      </c>
      <c r="H94" s="29">
        <f>IF($P94="","",IF(INDEX(EntryDep,$P94)=0,"",INDEX(EntryDep,$P94)))</f>
        <v/>
      </c>
      <c r="I94" s="29">
        <f>IF($P94="","",IF(INDEX(EntryWit,$P94)=0,"",INDEX(EntryWit,$P94)))</f>
        <v/>
      </c>
      <c r="J94" s="29">
        <f>IF($B94="","",IF($A94=1,$C$7,IF(J93="",0,J93))+IF($H94="",0,$H94)-IF($I94="",0,$I94))</f>
        <v/>
      </c>
      <c r="K94" s="29">
        <f>IF($P94="","",IF(INDEX(EntryMan,$P94)=0,"",INDEX(EntryMan,$P94)))</f>
        <v/>
      </c>
      <c r="L94" s="28">
        <f>IF($B94="","",IF($K94="","—",IF(ROUND($K94-$J94,0)=0,"√","×")))</f>
        <v/>
      </c>
      <c r="M94" s="28">
        <f>IF($B94="","",IF(COUNTIFS(EntryDates,$B94,CalcTime,$C94,CalcBank,$C$5,EntryParty,$D94,EntryDep,$H94,EntryWit,$I94)&gt;1,"تکرار",""))</f>
        <v/>
      </c>
      <c r="N94" s="28">
        <f>IF($P94="","",IF(INDEX(EntryNotes,$P94)=0,"",INDEX(EntryNotes,$P94)))</f>
        <v/>
      </c>
      <c r="O94" s="28">
        <f>IF($P94="","",IF(INDEX(EntryTxnID,$P94)=0,"",INDEX(EntryTxnID,$P94)))</f>
        <v/>
      </c>
      <c r="P94" s="28">
        <f>IFERROR(MATCH($C$5&amp;"|"&amp;RIGHT("000000"&amp;78,6),CalcRankKey,0),"")</f>
        <v/>
      </c>
    </row>
    <row r="95">
      <c r="A95" s="26">
        <f>IF($B95="","",79)</f>
        <v/>
      </c>
      <c r="B95" s="26">
        <f>IF($P95="","",IF(INDEX(CalcNormDate,$P95)=0,"",INDEX(CalcNormDate,$P95)))</f>
        <v/>
      </c>
      <c r="C95" s="26">
        <f>IF($P95="","",IF(INDEX(CalcTime,$P95)=0,"",INDEX(CalcTime,$P95)))</f>
        <v/>
      </c>
      <c r="D95" s="26">
        <f>IF($P95="","",IF(INDEX(EntryParty,$P95)=0,"",INDEX(EntryParty,$P95)))</f>
        <v/>
      </c>
      <c r="E95" s="26">
        <f>IF($P95="","",IF(INDEX(EntryPartyName,$P95)=0,"",INDEX(EntryPartyName,$P95)))</f>
        <v/>
      </c>
      <c r="F95" s="26">
        <f>IF($P95="","",IF(INDEX(EntryPartyType,$P95)=0,"",INDEX(EntryPartyType,$P95)))</f>
        <v/>
      </c>
      <c r="G95" s="26">
        <f>IF($P95="","",IF(INDEX(EntryTxnType,$P95)=0,"",INDEX(EntryTxnType,$P95)))</f>
        <v/>
      </c>
      <c r="H95" s="27">
        <f>IF($P95="","",IF(INDEX(EntryDep,$P95)=0,"",INDEX(EntryDep,$P95)))</f>
        <v/>
      </c>
      <c r="I95" s="27">
        <f>IF($P95="","",IF(INDEX(EntryWit,$P95)=0,"",INDEX(EntryWit,$P95)))</f>
        <v/>
      </c>
      <c r="J95" s="27">
        <f>IF($B95="","",IF($A95=1,$C$7,IF(J94="",0,J94))+IF($H95="",0,$H95)-IF($I95="",0,$I95))</f>
        <v/>
      </c>
      <c r="K95" s="27">
        <f>IF($P95="","",IF(INDEX(EntryMan,$P95)=0,"",INDEX(EntryMan,$P95)))</f>
        <v/>
      </c>
      <c r="L95" s="26">
        <f>IF($B95="","",IF($K95="","—",IF(ROUND($K95-$J95,0)=0,"√","×")))</f>
        <v/>
      </c>
      <c r="M95" s="26">
        <f>IF($B95="","",IF(COUNTIFS(EntryDates,$B95,CalcTime,$C95,CalcBank,$C$5,EntryParty,$D95,EntryDep,$H95,EntryWit,$I95)&gt;1,"تکرار",""))</f>
        <v/>
      </c>
      <c r="N95" s="26">
        <f>IF($P95="","",IF(INDEX(EntryNotes,$P95)=0,"",INDEX(EntryNotes,$P95)))</f>
        <v/>
      </c>
      <c r="O95" s="26">
        <f>IF($P95="","",IF(INDEX(EntryTxnID,$P95)=0,"",INDEX(EntryTxnID,$P95)))</f>
        <v/>
      </c>
      <c r="P95" s="26">
        <f>IFERROR(MATCH($C$5&amp;"|"&amp;RIGHT("000000"&amp;79,6),CalcRankKey,0),"")</f>
        <v/>
      </c>
    </row>
    <row r="96">
      <c r="A96" s="28">
        <f>IF($B96="","",80)</f>
        <v/>
      </c>
      <c r="B96" s="28">
        <f>IF($P96="","",IF(INDEX(CalcNormDate,$P96)=0,"",INDEX(CalcNormDate,$P96)))</f>
        <v/>
      </c>
      <c r="C96" s="28">
        <f>IF($P96="","",IF(INDEX(CalcTime,$P96)=0,"",INDEX(CalcTime,$P96)))</f>
        <v/>
      </c>
      <c r="D96" s="28">
        <f>IF($P96="","",IF(INDEX(EntryParty,$P96)=0,"",INDEX(EntryParty,$P96)))</f>
        <v/>
      </c>
      <c r="E96" s="28">
        <f>IF($P96="","",IF(INDEX(EntryPartyName,$P96)=0,"",INDEX(EntryPartyName,$P96)))</f>
        <v/>
      </c>
      <c r="F96" s="28">
        <f>IF($P96="","",IF(INDEX(EntryPartyType,$P96)=0,"",INDEX(EntryPartyType,$P96)))</f>
        <v/>
      </c>
      <c r="G96" s="28">
        <f>IF($P96="","",IF(INDEX(EntryTxnType,$P96)=0,"",INDEX(EntryTxnType,$P96)))</f>
        <v/>
      </c>
      <c r="H96" s="29">
        <f>IF($P96="","",IF(INDEX(EntryDep,$P96)=0,"",INDEX(EntryDep,$P96)))</f>
        <v/>
      </c>
      <c r="I96" s="29">
        <f>IF($P96="","",IF(INDEX(EntryWit,$P96)=0,"",INDEX(EntryWit,$P96)))</f>
        <v/>
      </c>
      <c r="J96" s="29">
        <f>IF($B96="","",IF($A96=1,$C$7,IF(J95="",0,J95))+IF($H96="",0,$H96)-IF($I96="",0,$I96))</f>
        <v/>
      </c>
      <c r="K96" s="29">
        <f>IF($P96="","",IF(INDEX(EntryMan,$P96)=0,"",INDEX(EntryMan,$P96)))</f>
        <v/>
      </c>
      <c r="L96" s="28">
        <f>IF($B96="","",IF($K96="","—",IF(ROUND($K96-$J96,0)=0,"√","×")))</f>
        <v/>
      </c>
      <c r="M96" s="28">
        <f>IF($B96="","",IF(COUNTIFS(EntryDates,$B96,CalcTime,$C96,CalcBank,$C$5,EntryParty,$D96,EntryDep,$H96,EntryWit,$I96)&gt;1,"تکرار",""))</f>
        <v/>
      </c>
      <c r="N96" s="28">
        <f>IF($P96="","",IF(INDEX(EntryNotes,$P96)=0,"",INDEX(EntryNotes,$P96)))</f>
        <v/>
      </c>
      <c r="O96" s="28">
        <f>IF($P96="","",IF(INDEX(EntryTxnID,$P96)=0,"",INDEX(EntryTxnID,$P96)))</f>
        <v/>
      </c>
      <c r="P96" s="28">
        <f>IFERROR(MATCH($C$5&amp;"|"&amp;RIGHT("000000"&amp;80,6),CalcRankKey,0),"")</f>
        <v/>
      </c>
    </row>
    <row r="97">
      <c r="A97" s="26">
        <f>IF($B97="","",81)</f>
        <v/>
      </c>
      <c r="B97" s="26">
        <f>IF($P97="","",IF(INDEX(CalcNormDate,$P97)=0,"",INDEX(CalcNormDate,$P97)))</f>
        <v/>
      </c>
      <c r="C97" s="26">
        <f>IF($P97="","",IF(INDEX(CalcTime,$P97)=0,"",INDEX(CalcTime,$P97)))</f>
        <v/>
      </c>
      <c r="D97" s="26">
        <f>IF($P97="","",IF(INDEX(EntryParty,$P97)=0,"",INDEX(EntryParty,$P97)))</f>
        <v/>
      </c>
      <c r="E97" s="26">
        <f>IF($P97="","",IF(INDEX(EntryPartyName,$P97)=0,"",INDEX(EntryPartyName,$P97)))</f>
        <v/>
      </c>
      <c r="F97" s="26">
        <f>IF($P97="","",IF(INDEX(EntryPartyType,$P97)=0,"",INDEX(EntryPartyType,$P97)))</f>
        <v/>
      </c>
      <c r="G97" s="26">
        <f>IF($P97="","",IF(INDEX(EntryTxnType,$P97)=0,"",INDEX(EntryTxnType,$P97)))</f>
        <v/>
      </c>
      <c r="H97" s="27">
        <f>IF($P97="","",IF(INDEX(EntryDep,$P97)=0,"",INDEX(EntryDep,$P97)))</f>
        <v/>
      </c>
      <c r="I97" s="27">
        <f>IF($P97="","",IF(INDEX(EntryWit,$P97)=0,"",INDEX(EntryWit,$P97)))</f>
        <v/>
      </c>
      <c r="J97" s="27">
        <f>IF($B97="","",IF($A97=1,$C$7,IF(J96="",0,J96))+IF($H97="",0,$H97)-IF($I97="",0,$I97))</f>
        <v/>
      </c>
      <c r="K97" s="27">
        <f>IF($P97="","",IF(INDEX(EntryMan,$P97)=0,"",INDEX(EntryMan,$P97)))</f>
        <v/>
      </c>
      <c r="L97" s="26">
        <f>IF($B97="","",IF($K97="","—",IF(ROUND($K97-$J97,0)=0,"√","×")))</f>
        <v/>
      </c>
      <c r="M97" s="26">
        <f>IF($B97="","",IF(COUNTIFS(EntryDates,$B97,CalcTime,$C97,CalcBank,$C$5,EntryParty,$D97,EntryDep,$H97,EntryWit,$I97)&gt;1,"تکرار",""))</f>
        <v/>
      </c>
      <c r="N97" s="26">
        <f>IF($P97="","",IF(INDEX(EntryNotes,$P97)=0,"",INDEX(EntryNotes,$P97)))</f>
        <v/>
      </c>
      <c r="O97" s="26">
        <f>IF($P97="","",IF(INDEX(EntryTxnID,$P97)=0,"",INDEX(EntryTxnID,$P97)))</f>
        <v/>
      </c>
      <c r="P97" s="26">
        <f>IFERROR(MATCH($C$5&amp;"|"&amp;RIGHT("000000"&amp;81,6),CalcRankKey,0),"")</f>
        <v/>
      </c>
    </row>
    <row r="98">
      <c r="A98" s="28">
        <f>IF($B98="","",82)</f>
        <v/>
      </c>
      <c r="B98" s="28">
        <f>IF($P98="","",IF(INDEX(CalcNormDate,$P98)=0,"",INDEX(CalcNormDate,$P98)))</f>
        <v/>
      </c>
      <c r="C98" s="28">
        <f>IF($P98="","",IF(INDEX(CalcTime,$P98)=0,"",INDEX(CalcTime,$P98)))</f>
        <v/>
      </c>
      <c r="D98" s="28">
        <f>IF($P98="","",IF(INDEX(EntryParty,$P98)=0,"",INDEX(EntryParty,$P98)))</f>
        <v/>
      </c>
      <c r="E98" s="28">
        <f>IF($P98="","",IF(INDEX(EntryPartyName,$P98)=0,"",INDEX(EntryPartyName,$P98)))</f>
        <v/>
      </c>
      <c r="F98" s="28">
        <f>IF($P98="","",IF(INDEX(EntryPartyType,$P98)=0,"",INDEX(EntryPartyType,$P98)))</f>
        <v/>
      </c>
      <c r="G98" s="28">
        <f>IF($P98="","",IF(INDEX(EntryTxnType,$P98)=0,"",INDEX(EntryTxnType,$P98)))</f>
        <v/>
      </c>
      <c r="H98" s="29">
        <f>IF($P98="","",IF(INDEX(EntryDep,$P98)=0,"",INDEX(EntryDep,$P98)))</f>
        <v/>
      </c>
      <c r="I98" s="29">
        <f>IF($P98="","",IF(INDEX(EntryWit,$P98)=0,"",INDEX(EntryWit,$P98)))</f>
        <v/>
      </c>
      <c r="J98" s="29">
        <f>IF($B98="","",IF($A98=1,$C$7,IF(J97="",0,J97))+IF($H98="",0,$H98)-IF($I98="",0,$I98))</f>
        <v/>
      </c>
      <c r="K98" s="29">
        <f>IF($P98="","",IF(INDEX(EntryMan,$P98)=0,"",INDEX(EntryMan,$P98)))</f>
        <v/>
      </c>
      <c r="L98" s="28">
        <f>IF($B98="","",IF($K98="","—",IF(ROUND($K98-$J98,0)=0,"√","×")))</f>
        <v/>
      </c>
      <c r="M98" s="28">
        <f>IF($B98="","",IF(COUNTIFS(EntryDates,$B98,CalcTime,$C98,CalcBank,$C$5,EntryParty,$D98,EntryDep,$H98,EntryWit,$I98)&gt;1,"تکرار",""))</f>
        <v/>
      </c>
      <c r="N98" s="28">
        <f>IF($P98="","",IF(INDEX(EntryNotes,$P98)=0,"",INDEX(EntryNotes,$P98)))</f>
        <v/>
      </c>
      <c r="O98" s="28">
        <f>IF($P98="","",IF(INDEX(EntryTxnID,$P98)=0,"",INDEX(EntryTxnID,$P98)))</f>
        <v/>
      </c>
      <c r="P98" s="28">
        <f>IFERROR(MATCH($C$5&amp;"|"&amp;RIGHT("000000"&amp;82,6),CalcRankKey,0),"")</f>
        <v/>
      </c>
    </row>
    <row r="99">
      <c r="A99" s="26">
        <f>IF($B99="","",83)</f>
        <v/>
      </c>
      <c r="B99" s="26">
        <f>IF($P99="","",IF(INDEX(CalcNormDate,$P99)=0,"",INDEX(CalcNormDate,$P99)))</f>
        <v/>
      </c>
      <c r="C99" s="26">
        <f>IF($P99="","",IF(INDEX(CalcTime,$P99)=0,"",INDEX(CalcTime,$P99)))</f>
        <v/>
      </c>
      <c r="D99" s="26">
        <f>IF($P99="","",IF(INDEX(EntryParty,$P99)=0,"",INDEX(EntryParty,$P99)))</f>
        <v/>
      </c>
      <c r="E99" s="26">
        <f>IF($P99="","",IF(INDEX(EntryPartyName,$P99)=0,"",INDEX(EntryPartyName,$P99)))</f>
        <v/>
      </c>
      <c r="F99" s="26">
        <f>IF($P99="","",IF(INDEX(EntryPartyType,$P99)=0,"",INDEX(EntryPartyType,$P99)))</f>
        <v/>
      </c>
      <c r="G99" s="26">
        <f>IF($P99="","",IF(INDEX(EntryTxnType,$P99)=0,"",INDEX(EntryTxnType,$P99)))</f>
        <v/>
      </c>
      <c r="H99" s="27">
        <f>IF($P99="","",IF(INDEX(EntryDep,$P99)=0,"",INDEX(EntryDep,$P99)))</f>
        <v/>
      </c>
      <c r="I99" s="27">
        <f>IF($P99="","",IF(INDEX(EntryWit,$P99)=0,"",INDEX(EntryWit,$P99)))</f>
        <v/>
      </c>
      <c r="J99" s="27">
        <f>IF($B99="","",IF($A99=1,$C$7,IF(J98="",0,J98))+IF($H99="",0,$H99)-IF($I99="",0,$I99))</f>
        <v/>
      </c>
      <c r="K99" s="27">
        <f>IF($P99="","",IF(INDEX(EntryMan,$P99)=0,"",INDEX(EntryMan,$P99)))</f>
        <v/>
      </c>
      <c r="L99" s="26">
        <f>IF($B99="","",IF($K99="","—",IF(ROUND($K99-$J99,0)=0,"√","×")))</f>
        <v/>
      </c>
      <c r="M99" s="26">
        <f>IF($B99="","",IF(COUNTIFS(EntryDates,$B99,CalcTime,$C99,CalcBank,$C$5,EntryParty,$D99,EntryDep,$H99,EntryWit,$I99)&gt;1,"تکرار",""))</f>
        <v/>
      </c>
      <c r="N99" s="26">
        <f>IF($P99="","",IF(INDEX(EntryNotes,$P99)=0,"",INDEX(EntryNotes,$P99)))</f>
        <v/>
      </c>
      <c r="O99" s="26">
        <f>IF($P99="","",IF(INDEX(EntryTxnID,$P99)=0,"",INDEX(EntryTxnID,$P99)))</f>
        <v/>
      </c>
      <c r="P99" s="26">
        <f>IFERROR(MATCH($C$5&amp;"|"&amp;RIGHT("000000"&amp;83,6),CalcRankKey,0),"")</f>
        <v/>
      </c>
    </row>
    <row r="100">
      <c r="A100" s="28">
        <f>IF($B100="","",84)</f>
        <v/>
      </c>
      <c r="B100" s="28">
        <f>IF($P100="","",IF(INDEX(CalcNormDate,$P100)=0,"",INDEX(CalcNormDate,$P100)))</f>
        <v/>
      </c>
      <c r="C100" s="28">
        <f>IF($P100="","",IF(INDEX(CalcTime,$P100)=0,"",INDEX(CalcTime,$P100)))</f>
        <v/>
      </c>
      <c r="D100" s="28">
        <f>IF($P100="","",IF(INDEX(EntryParty,$P100)=0,"",INDEX(EntryParty,$P100)))</f>
        <v/>
      </c>
      <c r="E100" s="28">
        <f>IF($P100="","",IF(INDEX(EntryPartyName,$P100)=0,"",INDEX(EntryPartyName,$P100)))</f>
        <v/>
      </c>
      <c r="F100" s="28">
        <f>IF($P100="","",IF(INDEX(EntryPartyType,$P100)=0,"",INDEX(EntryPartyType,$P100)))</f>
        <v/>
      </c>
      <c r="G100" s="28">
        <f>IF($P100="","",IF(INDEX(EntryTxnType,$P100)=0,"",INDEX(EntryTxnType,$P100)))</f>
        <v/>
      </c>
      <c r="H100" s="29">
        <f>IF($P100="","",IF(INDEX(EntryDep,$P100)=0,"",INDEX(EntryDep,$P100)))</f>
        <v/>
      </c>
      <c r="I100" s="29">
        <f>IF($P100="","",IF(INDEX(EntryWit,$P100)=0,"",INDEX(EntryWit,$P100)))</f>
        <v/>
      </c>
      <c r="J100" s="29">
        <f>IF($B100="","",IF($A100=1,$C$7,IF(J99="",0,J99))+IF($H100="",0,$H100)-IF($I100="",0,$I100))</f>
        <v/>
      </c>
      <c r="K100" s="29">
        <f>IF($P100="","",IF(INDEX(EntryMan,$P100)=0,"",INDEX(EntryMan,$P100)))</f>
        <v/>
      </c>
      <c r="L100" s="28">
        <f>IF($B100="","",IF($K100="","—",IF(ROUND($K100-$J100,0)=0,"√","×")))</f>
        <v/>
      </c>
      <c r="M100" s="28">
        <f>IF($B100="","",IF(COUNTIFS(EntryDates,$B100,CalcTime,$C100,CalcBank,$C$5,EntryParty,$D100,EntryDep,$H100,EntryWit,$I100)&gt;1,"تکرار",""))</f>
        <v/>
      </c>
      <c r="N100" s="28">
        <f>IF($P100="","",IF(INDEX(EntryNotes,$P100)=0,"",INDEX(EntryNotes,$P100)))</f>
        <v/>
      </c>
      <c r="O100" s="28">
        <f>IF($P100="","",IF(INDEX(EntryTxnID,$P100)=0,"",INDEX(EntryTxnID,$P100)))</f>
        <v/>
      </c>
      <c r="P100" s="28">
        <f>IFERROR(MATCH($C$5&amp;"|"&amp;RIGHT("000000"&amp;84,6),CalcRankKey,0),"")</f>
        <v/>
      </c>
    </row>
    <row r="101">
      <c r="A101" s="26">
        <f>IF($B101="","",85)</f>
        <v/>
      </c>
      <c r="B101" s="26">
        <f>IF($P101="","",IF(INDEX(CalcNormDate,$P101)=0,"",INDEX(CalcNormDate,$P101)))</f>
        <v/>
      </c>
      <c r="C101" s="26">
        <f>IF($P101="","",IF(INDEX(CalcTime,$P101)=0,"",INDEX(CalcTime,$P101)))</f>
        <v/>
      </c>
      <c r="D101" s="26">
        <f>IF($P101="","",IF(INDEX(EntryParty,$P101)=0,"",INDEX(EntryParty,$P101)))</f>
        <v/>
      </c>
      <c r="E101" s="26">
        <f>IF($P101="","",IF(INDEX(EntryPartyName,$P101)=0,"",INDEX(EntryPartyName,$P101)))</f>
        <v/>
      </c>
      <c r="F101" s="26">
        <f>IF($P101="","",IF(INDEX(EntryPartyType,$P101)=0,"",INDEX(EntryPartyType,$P101)))</f>
        <v/>
      </c>
      <c r="G101" s="26">
        <f>IF($P101="","",IF(INDEX(EntryTxnType,$P101)=0,"",INDEX(EntryTxnType,$P101)))</f>
        <v/>
      </c>
      <c r="H101" s="27">
        <f>IF($P101="","",IF(INDEX(EntryDep,$P101)=0,"",INDEX(EntryDep,$P101)))</f>
        <v/>
      </c>
      <c r="I101" s="27">
        <f>IF($P101="","",IF(INDEX(EntryWit,$P101)=0,"",INDEX(EntryWit,$P101)))</f>
        <v/>
      </c>
      <c r="J101" s="27">
        <f>IF($B101="","",IF($A101=1,$C$7,IF(J100="",0,J100))+IF($H101="",0,$H101)-IF($I101="",0,$I101))</f>
        <v/>
      </c>
      <c r="K101" s="27">
        <f>IF($P101="","",IF(INDEX(EntryMan,$P101)=0,"",INDEX(EntryMan,$P101)))</f>
        <v/>
      </c>
      <c r="L101" s="26">
        <f>IF($B101="","",IF($K101="","—",IF(ROUND($K101-$J101,0)=0,"√","×")))</f>
        <v/>
      </c>
      <c r="M101" s="26">
        <f>IF($B101="","",IF(COUNTIFS(EntryDates,$B101,CalcTime,$C101,CalcBank,$C$5,EntryParty,$D101,EntryDep,$H101,EntryWit,$I101)&gt;1,"تکرار",""))</f>
        <v/>
      </c>
      <c r="N101" s="26">
        <f>IF($P101="","",IF(INDEX(EntryNotes,$P101)=0,"",INDEX(EntryNotes,$P101)))</f>
        <v/>
      </c>
      <c r="O101" s="26">
        <f>IF($P101="","",IF(INDEX(EntryTxnID,$P101)=0,"",INDEX(EntryTxnID,$P101)))</f>
        <v/>
      </c>
      <c r="P101" s="26">
        <f>IFERROR(MATCH($C$5&amp;"|"&amp;RIGHT("000000"&amp;85,6),CalcRankKey,0),"")</f>
        <v/>
      </c>
    </row>
    <row r="102">
      <c r="A102" s="28">
        <f>IF($B102="","",86)</f>
        <v/>
      </c>
      <c r="B102" s="28">
        <f>IF($P102="","",IF(INDEX(CalcNormDate,$P102)=0,"",INDEX(CalcNormDate,$P102)))</f>
        <v/>
      </c>
      <c r="C102" s="28">
        <f>IF($P102="","",IF(INDEX(CalcTime,$P102)=0,"",INDEX(CalcTime,$P102)))</f>
        <v/>
      </c>
      <c r="D102" s="28">
        <f>IF($P102="","",IF(INDEX(EntryParty,$P102)=0,"",INDEX(EntryParty,$P102)))</f>
        <v/>
      </c>
      <c r="E102" s="28">
        <f>IF($P102="","",IF(INDEX(EntryPartyName,$P102)=0,"",INDEX(EntryPartyName,$P102)))</f>
        <v/>
      </c>
      <c r="F102" s="28">
        <f>IF($P102="","",IF(INDEX(EntryPartyType,$P102)=0,"",INDEX(EntryPartyType,$P102)))</f>
        <v/>
      </c>
      <c r="G102" s="28">
        <f>IF($P102="","",IF(INDEX(EntryTxnType,$P102)=0,"",INDEX(EntryTxnType,$P102)))</f>
        <v/>
      </c>
      <c r="H102" s="29">
        <f>IF($P102="","",IF(INDEX(EntryDep,$P102)=0,"",INDEX(EntryDep,$P102)))</f>
        <v/>
      </c>
      <c r="I102" s="29">
        <f>IF($P102="","",IF(INDEX(EntryWit,$P102)=0,"",INDEX(EntryWit,$P102)))</f>
        <v/>
      </c>
      <c r="J102" s="29">
        <f>IF($B102="","",IF($A102=1,$C$7,IF(J101="",0,J101))+IF($H102="",0,$H102)-IF($I102="",0,$I102))</f>
        <v/>
      </c>
      <c r="K102" s="29">
        <f>IF($P102="","",IF(INDEX(EntryMan,$P102)=0,"",INDEX(EntryMan,$P102)))</f>
        <v/>
      </c>
      <c r="L102" s="28">
        <f>IF($B102="","",IF($K102="","—",IF(ROUND($K102-$J102,0)=0,"√","×")))</f>
        <v/>
      </c>
      <c r="M102" s="28">
        <f>IF($B102="","",IF(COUNTIFS(EntryDates,$B102,CalcTime,$C102,CalcBank,$C$5,EntryParty,$D102,EntryDep,$H102,EntryWit,$I102)&gt;1,"تکرار",""))</f>
        <v/>
      </c>
      <c r="N102" s="28">
        <f>IF($P102="","",IF(INDEX(EntryNotes,$P102)=0,"",INDEX(EntryNotes,$P102)))</f>
        <v/>
      </c>
      <c r="O102" s="28">
        <f>IF($P102="","",IF(INDEX(EntryTxnID,$P102)=0,"",INDEX(EntryTxnID,$P102)))</f>
        <v/>
      </c>
      <c r="P102" s="28">
        <f>IFERROR(MATCH($C$5&amp;"|"&amp;RIGHT("000000"&amp;86,6),CalcRankKey,0),"")</f>
        <v/>
      </c>
    </row>
    <row r="103">
      <c r="A103" s="26">
        <f>IF($B103="","",87)</f>
        <v/>
      </c>
      <c r="B103" s="26">
        <f>IF($P103="","",IF(INDEX(CalcNormDate,$P103)=0,"",INDEX(CalcNormDate,$P103)))</f>
        <v/>
      </c>
      <c r="C103" s="26">
        <f>IF($P103="","",IF(INDEX(CalcTime,$P103)=0,"",INDEX(CalcTime,$P103)))</f>
        <v/>
      </c>
      <c r="D103" s="26">
        <f>IF($P103="","",IF(INDEX(EntryParty,$P103)=0,"",INDEX(EntryParty,$P103)))</f>
        <v/>
      </c>
      <c r="E103" s="26">
        <f>IF($P103="","",IF(INDEX(EntryPartyName,$P103)=0,"",INDEX(EntryPartyName,$P103)))</f>
        <v/>
      </c>
      <c r="F103" s="26">
        <f>IF($P103="","",IF(INDEX(EntryPartyType,$P103)=0,"",INDEX(EntryPartyType,$P103)))</f>
        <v/>
      </c>
      <c r="G103" s="26">
        <f>IF($P103="","",IF(INDEX(EntryTxnType,$P103)=0,"",INDEX(EntryTxnType,$P103)))</f>
        <v/>
      </c>
      <c r="H103" s="27">
        <f>IF($P103="","",IF(INDEX(EntryDep,$P103)=0,"",INDEX(EntryDep,$P103)))</f>
        <v/>
      </c>
      <c r="I103" s="27">
        <f>IF($P103="","",IF(INDEX(EntryWit,$P103)=0,"",INDEX(EntryWit,$P103)))</f>
        <v/>
      </c>
      <c r="J103" s="27">
        <f>IF($B103="","",IF($A103=1,$C$7,IF(J102="",0,J102))+IF($H103="",0,$H103)-IF($I103="",0,$I103))</f>
        <v/>
      </c>
      <c r="K103" s="27">
        <f>IF($P103="","",IF(INDEX(EntryMan,$P103)=0,"",INDEX(EntryMan,$P103)))</f>
        <v/>
      </c>
      <c r="L103" s="26">
        <f>IF($B103="","",IF($K103="","—",IF(ROUND($K103-$J103,0)=0,"√","×")))</f>
        <v/>
      </c>
      <c r="M103" s="26">
        <f>IF($B103="","",IF(COUNTIFS(EntryDates,$B103,CalcTime,$C103,CalcBank,$C$5,EntryParty,$D103,EntryDep,$H103,EntryWit,$I103)&gt;1,"تکرار",""))</f>
        <v/>
      </c>
      <c r="N103" s="26">
        <f>IF($P103="","",IF(INDEX(EntryNotes,$P103)=0,"",INDEX(EntryNotes,$P103)))</f>
        <v/>
      </c>
      <c r="O103" s="26">
        <f>IF($P103="","",IF(INDEX(EntryTxnID,$P103)=0,"",INDEX(EntryTxnID,$P103)))</f>
        <v/>
      </c>
      <c r="P103" s="26">
        <f>IFERROR(MATCH($C$5&amp;"|"&amp;RIGHT("000000"&amp;87,6),CalcRankKey,0),"")</f>
        <v/>
      </c>
    </row>
    <row r="104">
      <c r="A104" s="28">
        <f>IF($B104="","",88)</f>
        <v/>
      </c>
      <c r="B104" s="28">
        <f>IF($P104="","",IF(INDEX(CalcNormDate,$P104)=0,"",INDEX(CalcNormDate,$P104)))</f>
        <v/>
      </c>
      <c r="C104" s="28">
        <f>IF($P104="","",IF(INDEX(CalcTime,$P104)=0,"",INDEX(CalcTime,$P104)))</f>
        <v/>
      </c>
      <c r="D104" s="28">
        <f>IF($P104="","",IF(INDEX(EntryParty,$P104)=0,"",INDEX(EntryParty,$P104)))</f>
        <v/>
      </c>
      <c r="E104" s="28">
        <f>IF($P104="","",IF(INDEX(EntryPartyName,$P104)=0,"",INDEX(EntryPartyName,$P104)))</f>
        <v/>
      </c>
      <c r="F104" s="28">
        <f>IF($P104="","",IF(INDEX(EntryPartyType,$P104)=0,"",INDEX(EntryPartyType,$P104)))</f>
        <v/>
      </c>
      <c r="G104" s="28">
        <f>IF($P104="","",IF(INDEX(EntryTxnType,$P104)=0,"",INDEX(EntryTxnType,$P104)))</f>
        <v/>
      </c>
      <c r="H104" s="29">
        <f>IF($P104="","",IF(INDEX(EntryDep,$P104)=0,"",INDEX(EntryDep,$P104)))</f>
        <v/>
      </c>
      <c r="I104" s="29">
        <f>IF($P104="","",IF(INDEX(EntryWit,$P104)=0,"",INDEX(EntryWit,$P104)))</f>
        <v/>
      </c>
      <c r="J104" s="29">
        <f>IF($B104="","",IF($A104=1,$C$7,IF(J103="",0,J103))+IF($H104="",0,$H104)-IF($I104="",0,$I104))</f>
        <v/>
      </c>
      <c r="K104" s="29">
        <f>IF($P104="","",IF(INDEX(EntryMan,$P104)=0,"",INDEX(EntryMan,$P104)))</f>
        <v/>
      </c>
      <c r="L104" s="28">
        <f>IF($B104="","",IF($K104="","—",IF(ROUND($K104-$J104,0)=0,"√","×")))</f>
        <v/>
      </c>
      <c r="M104" s="28">
        <f>IF($B104="","",IF(COUNTIFS(EntryDates,$B104,CalcTime,$C104,CalcBank,$C$5,EntryParty,$D104,EntryDep,$H104,EntryWit,$I104)&gt;1,"تکرار",""))</f>
        <v/>
      </c>
      <c r="N104" s="28">
        <f>IF($P104="","",IF(INDEX(EntryNotes,$P104)=0,"",INDEX(EntryNotes,$P104)))</f>
        <v/>
      </c>
      <c r="O104" s="28">
        <f>IF($P104="","",IF(INDEX(EntryTxnID,$P104)=0,"",INDEX(EntryTxnID,$P104)))</f>
        <v/>
      </c>
      <c r="P104" s="28">
        <f>IFERROR(MATCH($C$5&amp;"|"&amp;RIGHT("000000"&amp;88,6),CalcRankKey,0),"")</f>
        <v/>
      </c>
    </row>
    <row r="105">
      <c r="A105" s="26">
        <f>IF($B105="","",89)</f>
        <v/>
      </c>
      <c r="B105" s="26">
        <f>IF($P105="","",IF(INDEX(CalcNormDate,$P105)=0,"",INDEX(CalcNormDate,$P105)))</f>
        <v/>
      </c>
      <c r="C105" s="26">
        <f>IF($P105="","",IF(INDEX(CalcTime,$P105)=0,"",INDEX(CalcTime,$P105)))</f>
        <v/>
      </c>
      <c r="D105" s="26">
        <f>IF($P105="","",IF(INDEX(EntryParty,$P105)=0,"",INDEX(EntryParty,$P105)))</f>
        <v/>
      </c>
      <c r="E105" s="26">
        <f>IF($P105="","",IF(INDEX(EntryPartyName,$P105)=0,"",INDEX(EntryPartyName,$P105)))</f>
        <v/>
      </c>
      <c r="F105" s="26">
        <f>IF($P105="","",IF(INDEX(EntryPartyType,$P105)=0,"",INDEX(EntryPartyType,$P105)))</f>
        <v/>
      </c>
      <c r="G105" s="26">
        <f>IF($P105="","",IF(INDEX(EntryTxnType,$P105)=0,"",INDEX(EntryTxnType,$P105)))</f>
        <v/>
      </c>
      <c r="H105" s="27">
        <f>IF($P105="","",IF(INDEX(EntryDep,$P105)=0,"",INDEX(EntryDep,$P105)))</f>
        <v/>
      </c>
      <c r="I105" s="27">
        <f>IF($P105="","",IF(INDEX(EntryWit,$P105)=0,"",INDEX(EntryWit,$P105)))</f>
        <v/>
      </c>
      <c r="J105" s="27">
        <f>IF($B105="","",IF($A105=1,$C$7,IF(J104="",0,J104))+IF($H105="",0,$H105)-IF($I105="",0,$I105))</f>
        <v/>
      </c>
      <c r="K105" s="27">
        <f>IF($P105="","",IF(INDEX(EntryMan,$P105)=0,"",INDEX(EntryMan,$P105)))</f>
        <v/>
      </c>
      <c r="L105" s="26">
        <f>IF($B105="","",IF($K105="","—",IF(ROUND($K105-$J105,0)=0,"√","×")))</f>
        <v/>
      </c>
      <c r="M105" s="26">
        <f>IF($B105="","",IF(COUNTIFS(EntryDates,$B105,CalcTime,$C105,CalcBank,$C$5,EntryParty,$D105,EntryDep,$H105,EntryWit,$I105)&gt;1,"تکرار",""))</f>
        <v/>
      </c>
      <c r="N105" s="26">
        <f>IF($P105="","",IF(INDEX(EntryNotes,$P105)=0,"",INDEX(EntryNotes,$P105)))</f>
        <v/>
      </c>
      <c r="O105" s="26">
        <f>IF($P105="","",IF(INDEX(EntryTxnID,$P105)=0,"",INDEX(EntryTxnID,$P105)))</f>
        <v/>
      </c>
      <c r="P105" s="26">
        <f>IFERROR(MATCH($C$5&amp;"|"&amp;RIGHT("000000"&amp;89,6),CalcRankKey,0),"")</f>
        <v/>
      </c>
    </row>
    <row r="106">
      <c r="A106" s="28">
        <f>IF($B106="","",90)</f>
        <v/>
      </c>
      <c r="B106" s="28">
        <f>IF($P106="","",IF(INDEX(CalcNormDate,$P106)=0,"",INDEX(CalcNormDate,$P106)))</f>
        <v/>
      </c>
      <c r="C106" s="28">
        <f>IF($P106="","",IF(INDEX(CalcTime,$P106)=0,"",INDEX(CalcTime,$P106)))</f>
        <v/>
      </c>
      <c r="D106" s="28">
        <f>IF($P106="","",IF(INDEX(EntryParty,$P106)=0,"",INDEX(EntryParty,$P106)))</f>
        <v/>
      </c>
      <c r="E106" s="28">
        <f>IF($P106="","",IF(INDEX(EntryPartyName,$P106)=0,"",INDEX(EntryPartyName,$P106)))</f>
        <v/>
      </c>
      <c r="F106" s="28">
        <f>IF($P106="","",IF(INDEX(EntryPartyType,$P106)=0,"",INDEX(EntryPartyType,$P106)))</f>
        <v/>
      </c>
      <c r="G106" s="28">
        <f>IF($P106="","",IF(INDEX(EntryTxnType,$P106)=0,"",INDEX(EntryTxnType,$P106)))</f>
        <v/>
      </c>
      <c r="H106" s="29">
        <f>IF($P106="","",IF(INDEX(EntryDep,$P106)=0,"",INDEX(EntryDep,$P106)))</f>
        <v/>
      </c>
      <c r="I106" s="29">
        <f>IF($P106="","",IF(INDEX(EntryWit,$P106)=0,"",INDEX(EntryWit,$P106)))</f>
        <v/>
      </c>
      <c r="J106" s="29">
        <f>IF($B106="","",IF($A106=1,$C$7,IF(J105="",0,J105))+IF($H106="",0,$H106)-IF($I106="",0,$I106))</f>
        <v/>
      </c>
      <c r="K106" s="29">
        <f>IF($P106="","",IF(INDEX(EntryMan,$P106)=0,"",INDEX(EntryMan,$P106)))</f>
        <v/>
      </c>
      <c r="L106" s="28">
        <f>IF($B106="","",IF($K106="","—",IF(ROUND($K106-$J106,0)=0,"√","×")))</f>
        <v/>
      </c>
      <c r="M106" s="28">
        <f>IF($B106="","",IF(COUNTIFS(EntryDates,$B106,CalcTime,$C106,CalcBank,$C$5,EntryParty,$D106,EntryDep,$H106,EntryWit,$I106)&gt;1,"تکرار",""))</f>
        <v/>
      </c>
      <c r="N106" s="28">
        <f>IF($P106="","",IF(INDEX(EntryNotes,$P106)=0,"",INDEX(EntryNotes,$P106)))</f>
        <v/>
      </c>
      <c r="O106" s="28">
        <f>IF($P106="","",IF(INDEX(EntryTxnID,$P106)=0,"",INDEX(EntryTxnID,$P106)))</f>
        <v/>
      </c>
      <c r="P106" s="28">
        <f>IFERROR(MATCH($C$5&amp;"|"&amp;RIGHT("000000"&amp;90,6),CalcRankKey,0),"")</f>
        <v/>
      </c>
    </row>
    <row r="107">
      <c r="A107" s="26">
        <f>IF($B107="","",91)</f>
        <v/>
      </c>
      <c r="B107" s="26">
        <f>IF($P107="","",IF(INDEX(CalcNormDate,$P107)=0,"",INDEX(CalcNormDate,$P107)))</f>
        <v/>
      </c>
      <c r="C107" s="26">
        <f>IF($P107="","",IF(INDEX(CalcTime,$P107)=0,"",INDEX(CalcTime,$P107)))</f>
        <v/>
      </c>
      <c r="D107" s="26">
        <f>IF($P107="","",IF(INDEX(EntryParty,$P107)=0,"",INDEX(EntryParty,$P107)))</f>
        <v/>
      </c>
      <c r="E107" s="26">
        <f>IF($P107="","",IF(INDEX(EntryPartyName,$P107)=0,"",INDEX(EntryPartyName,$P107)))</f>
        <v/>
      </c>
      <c r="F107" s="26">
        <f>IF($P107="","",IF(INDEX(EntryPartyType,$P107)=0,"",INDEX(EntryPartyType,$P107)))</f>
        <v/>
      </c>
      <c r="G107" s="26">
        <f>IF($P107="","",IF(INDEX(EntryTxnType,$P107)=0,"",INDEX(EntryTxnType,$P107)))</f>
        <v/>
      </c>
      <c r="H107" s="27">
        <f>IF($P107="","",IF(INDEX(EntryDep,$P107)=0,"",INDEX(EntryDep,$P107)))</f>
        <v/>
      </c>
      <c r="I107" s="27">
        <f>IF($P107="","",IF(INDEX(EntryWit,$P107)=0,"",INDEX(EntryWit,$P107)))</f>
        <v/>
      </c>
      <c r="J107" s="27">
        <f>IF($B107="","",IF($A107=1,$C$7,IF(J106="",0,J106))+IF($H107="",0,$H107)-IF($I107="",0,$I107))</f>
        <v/>
      </c>
      <c r="K107" s="27">
        <f>IF($P107="","",IF(INDEX(EntryMan,$P107)=0,"",INDEX(EntryMan,$P107)))</f>
        <v/>
      </c>
      <c r="L107" s="26">
        <f>IF($B107="","",IF($K107="","—",IF(ROUND($K107-$J107,0)=0,"√","×")))</f>
        <v/>
      </c>
      <c r="M107" s="26">
        <f>IF($B107="","",IF(COUNTIFS(EntryDates,$B107,CalcTime,$C107,CalcBank,$C$5,EntryParty,$D107,EntryDep,$H107,EntryWit,$I107)&gt;1,"تکرار",""))</f>
        <v/>
      </c>
      <c r="N107" s="26">
        <f>IF($P107="","",IF(INDEX(EntryNotes,$P107)=0,"",INDEX(EntryNotes,$P107)))</f>
        <v/>
      </c>
      <c r="O107" s="26">
        <f>IF($P107="","",IF(INDEX(EntryTxnID,$P107)=0,"",INDEX(EntryTxnID,$P107)))</f>
        <v/>
      </c>
      <c r="P107" s="26">
        <f>IFERROR(MATCH($C$5&amp;"|"&amp;RIGHT("000000"&amp;91,6),CalcRankKey,0),"")</f>
        <v/>
      </c>
    </row>
    <row r="108">
      <c r="A108" s="28">
        <f>IF($B108="","",92)</f>
        <v/>
      </c>
      <c r="B108" s="28">
        <f>IF($P108="","",IF(INDEX(CalcNormDate,$P108)=0,"",INDEX(CalcNormDate,$P108)))</f>
        <v/>
      </c>
      <c r="C108" s="28">
        <f>IF($P108="","",IF(INDEX(CalcTime,$P108)=0,"",INDEX(CalcTime,$P108)))</f>
        <v/>
      </c>
      <c r="D108" s="28">
        <f>IF($P108="","",IF(INDEX(EntryParty,$P108)=0,"",INDEX(EntryParty,$P108)))</f>
        <v/>
      </c>
      <c r="E108" s="28">
        <f>IF($P108="","",IF(INDEX(EntryPartyName,$P108)=0,"",INDEX(EntryPartyName,$P108)))</f>
        <v/>
      </c>
      <c r="F108" s="28">
        <f>IF($P108="","",IF(INDEX(EntryPartyType,$P108)=0,"",INDEX(EntryPartyType,$P108)))</f>
        <v/>
      </c>
      <c r="G108" s="28">
        <f>IF($P108="","",IF(INDEX(EntryTxnType,$P108)=0,"",INDEX(EntryTxnType,$P108)))</f>
        <v/>
      </c>
      <c r="H108" s="29">
        <f>IF($P108="","",IF(INDEX(EntryDep,$P108)=0,"",INDEX(EntryDep,$P108)))</f>
        <v/>
      </c>
      <c r="I108" s="29">
        <f>IF($P108="","",IF(INDEX(EntryWit,$P108)=0,"",INDEX(EntryWit,$P108)))</f>
        <v/>
      </c>
      <c r="J108" s="29">
        <f>IF($B108="","",IF($A108=1,$C$7,IF(J107="",0,J107))+IF($H108="",0,$H108)-IF($I108="",0,$I108))</f>
        <v/>
      </c>
      <c r="K108" s="29">
        <f>IF($P108="","",IF(INDEX(EntryMan,$P108)=0,"",INDEX(EntryMan,$P108)))</f>
        <v/>
      </c>
      <c r="L108" s="28">
        <f>IF($B108="","",IF($K108="","—",IF(ROUND($K108-$J108,0)=0,"√","×")))</f>
        <v/>
      </c>
      <c r="M108" s="28">
        <f>IF($B108="","",IF(COUNTIFS(EntryDates,$B108,CalcTime,$C108,CalcBank,$C$5,EntryParty,$D108,EntryDep,$H108,EntryWit,$I108)&gt;1,"تکرار",""))</f>
        <v/>
      </c>
      <c r="N108" s="28">
        <f>IF($P108="","",IF(INDEX(EntryNotes,$P108)=0,"",INDEX(EntryNotes,$P108)))</f>
        <v/>
      </c>
      <c r="O108" s="28">
        <f>IF($P108="","",IF(INDEX(EntryTxnID,$P108)=0,"",INDEX(EntryTxnID,$P108)))</f>
        <v/>
      </c>
      <c r="P108" s="28">
        <f>IFERROR(MATCH($C$5&amp;"|"&amp;RIGHT("000000"&amp;92,6),CalcRankKey,0),"")</f>
        <v/>
      </c>
    </row>
    <row r="109">
      <c r="A109" s="26">
        <f>IF($B109="","",93)</f>
        <v/>
      </c>
      <c r="B109" s="26">
        <f>IF($P109="","",IF(INDEX(CalcNormDate,$P109)=0,"",INDEX(CalcNormDate,$P109)))</f>
        <v/>
      </c>
      <c r="C109" s="26">
        <f>IF($P109="","",IF(INDEX(CalcTime,$P109)=0,"",INDEX(CalcTime,$P109)))</f>
        <v/>
      </c>
      <c r="D109" s="26">
        <f>IF($P109="","",IF(INDEX(EntryParty,$P109)=0,"",INDEX(EntryParty,$P109)))</f>
        <v/>
      </c>
      <c r="E109" s="26">
        <f>IF($P109="","",IF(INDEX(EntryPartyName,$P109)=0,"",INDEX(EntryPartyName,$P109)))</f>
        <v/>
      </c>
      <c r="F109" s="26">
        <f>IF($P109="","",IF(INDEX(EntryPartyType,$P109)=0,"",INDEX(EntryPartyType,$P109)))</f>
        <v/>
      </c>
      <c r="G109" s="26">
        <f>IF($P109="","",IF(INDEX(EntryTxnType,$P109)=0,"",INDEX(EntryTxnType,$P109)))</f>
        <v/>
      </c>
      <c r="H109" s="27">
        <f>IF($P109="","",IF(INDEX(EntryDep,$P109)=0,"",INDEX(EntryDep,$P109)))</f>
        <v/>
      </c>
      <c r="I109" s="27">
        <f>IF($P109="","",IF(INDEX(EntryWit,$P109)=0,"",INDEX(EntryWit,$P109)))</f>
        <v/>
      </c>
      <c r="J109" s="27">
        <f>IF($B109="","",IF($A109=1,$C$7,IF(J108="",0,J108))+IF($H109="",0,$H109)-IF($I109="",0,$I109))</f>
        <v/>
      </c>
      <c r="K109" s="27">
        <f>IF($P109="","",IF(INDEX(EntryMan,$P109)=0,"",INDEX(EntryMan,$P109)))</f>
        <v/>
      </c>
      <c r="L109" s="26">
        <f>IF($B109="","",IF($K109="","—",IF(ROUND($K109-$J109,0)=0,"√","×")))</f>
        <v/>
      </c>
      <c r="M109" s="26">
        <f>IF($B109="","",IF(COUNTIFS(EntryDates,$B109,CalcTime,$C109,CalcBank,$C$5,EntryParty,$D109,EntryDep,$H109,EntryWit,$I109)&gt;1,"تکرار",""))</f>
        <v/>
      </c>
      <c r="N109" s="26">
        <f>IF($P109="","",IF(INDEX(EntryNotes,$P109)=0,"",INDEX(EntryNotes,$P109)))</f>
        <v/>
      </c>
      <c r="O109" s="26">
        <f>IF($P109="","",IF(INDEX(EntryTxnID,$P109)=0,"",INDEX(EntryTxnID,$P109)))</f>
        <v/>
      </c>
      <c r="P109" s="26">
        <f>IFERROR(MATCH($C$5&amp;"|"&amp;RIGHT("000000"&amp;93,6),CalcRankKey,0),"")</f>
        <v/>
      </c>
    </row>
    <row r="110">
      <c r="A110" s="28">
        <f>IF($B110="","",94)</f>
        <v/>
      </c>
      <c r="B110" s="28">
        <f>IF($P110="","",IF(INDEX(CalcNormDate,$P110)=0,"",INDEX(CalcNormDate,$P110)))</f>
        <v/>
      </c>
      <c r="C110" s="28">
        <f>IF($P110="","",IF(INDEX(CalcTime,$P110)=0,"",INDEX(CalcTime,$P110)))</f>
        <v/>
      </c>
      <c r="D110" s="28">
        <f>IF($P110="","",IF(INDEX(EntryParty,$P110)=0,"",INDEX(EntryParty,$P110)))</f>
        <v/>
      </c>
      <c r="E110" s="28">
        <f>IF($P110="","",IF(INDEX(EntryPartyName,$P110)=0,"",INDEX(EntryPartyName,$P110)))</f>
        <v/>
      </c>
      <c r="F110" s="28">
        <f>IF($P110="","",IF(INDEX(EntryPartyType,$P110)=0,"",INDEX(EntryPartyType,$P110)))</f>
        <v/>
      </c>
      <c r="G110" s="28">
        <f>IF($P110="","",IF(INDEX(EntryTxnType,$P110)=0,"",INDEX(EntryTxnType,$P110)))</f>
        <v/>
      </c>
      <c r="H110" s="29">
        <f>IF($P110="","",IF(INDEX(EntryDep,$P110)=0,"",INDEX(EntryDep,$P110)))</f>
        <v/>
      </c>
      <c r="I110" s="29">
        <f>IF($P110="","",IF(INDEX(EntryWit,$P110)=0,"",INDEX(EntryWit,$P110)))</f>
        <v/>
      </c>
      <c r="J110" s="29">
        <f>IF($B110="","",IF($A110=1,$C$7,IF(J109="",0,J109))+IF($H110="",0,$H110)-IF($I110="",0,$I110))</f>
        <v/>
      </c>
      <c r="K110" s="29">
        <f>IF($P110="","",IF(INDEX(EntryMan,$P110)=0,"",INDEX(EntryMan,$P110)))</f>
        <v/>
      </c>
      <c r="L110" s="28">
        <f>IF($B110="","",IF($K110="","—",IF(ROUND($K110-$J110,0)=0,"√","×")))</f>
        <v/>
      </c>
      <c r="M110" s="28">
        <f>IF($B110="","",IF(COUNTIFS(EntryDates,$B110,CalcTime,$C110,CalcBank,$C$5,EntryParty,$D110,EntryDep,$H110,EntryWit,$I110)&gt;1,"تکرار",""))</f>
        <v/>
      </c>
      <c r="N110" s="28">
        <f>IF($P110="","",IF(INDEX(EntryNotes,$P110)=0,"",INDEX(EntryNotes,$P110)))</f>
        <v/>
      </c>
      <c r="O110" s="28">
        <f>IF($P110="","",IF(INDEX(EntryTxnID,$P110)=0,"",INDEX(EntryTxnID,$P110)))</f>
        <v/>
      </c>
      <c r="P110" s="28">
        <f>IFERROR(MATCH($C$5&amp;"|"&amp;RIGHT("000000"&amp;94,6),CalcRankKey,0),"")</f>
        <v/>
      </c>
    </row>
    <row r="111">
      <c r="A111" s="26">
        <f>IF($B111="","",95)</f>
        <v/>
      </c>
      <c r="B111" s="26">
        <f>IF($P111="","",IF(INDEX(CalcNormDate,$P111)=0,"",INDEX(CalcNormDate,$P111)))</f>
        <v/>
      </c>
      <c r="C111" s="26">
        <f>IF($P111="","",IF(INDEX(CalcTime,$P111)=0,"",INDEX(CalcTime,$P111)))</f>
        <v/>
      </c>
      <c r="D111" s="26">
        <f>IF($P111="","",IF(INDEX(EntryParty,$P111)=0,"",INDEX(EntryParty,$P111)))</f>
        <v/>
      </c>
      <c r="E111" s="26">
        <f>IF($P111="","",IF(INDEX(EntryPartyName,$P111)=0,"",INDEX(EntryPartyName,$P111)))</f>
        <v/>
      </c>
      <c r="F111" s="26">
        <f>IF($P111="","",IF(INDEX(EntryPartyType,$P111)=0,"",INDEX(EntryPartyType,$P111)))</f>
        <v/>
      </c>
      <c r="G111" s="26">
        <f>IF($P111="","",IF(INDEX(EntryTxnType,$P111)=0,"",INDEX(EntryTxnType,$P111)))</f>
        <v/>
      </c>
      <c r="H111" s="27">
        <f>IF($P111="","",IF(INDEX(EntryDep,$P111)=0,"",INDEX(EntryDep,$P111)))</f>
        <v/>
      </c>
      <c r="I111" s="27">
        <f>IF($P111="","",IF(INDEX(EntryWit,$P111)=0,"",INDEX(EntryWit,$P111)))</f>
        <v/>
      </c>
      <c r="J111" s="27">
        <f>IF($B111="","",IF($A111=1,$C$7,IF(J110="",0,J110))+IF($H111="",0,$H111)-IF($I111="",0,$I111))</f>
        <v/>
      </c>
      <c r="K111" s="27">
        <f>IF($P111="","",IF(INDEX(EntryMan,$P111)=0,"",INDEX(EntryMan,$P111)))</f>
        <v/>
      </c>
      <c r="L111" s="26">
        <f>IF($B111="","",IF($K111="","—",IF(ROUND($K111-$J111,0)=0,"√","×")))</f>
        <v/>
      </c>
      <c r="M111" s="26">
        <f>IF($B111="","",IF(COUNTIFS(EntryDates,$B111,CalcTime,$C111,CalcBank,$C$5,EntryParty,$D111,EntryDep,$H111,EntryWit,$I111)&gt;1,"تکرار",""))</f>
        <v/>
      </c>
      <c r="N111" s="26">
        <f>IF($P111="","",IF(INDEX(EntryNotes,$P111)=0,"",INDEX(EntryNotes,$P111)))</f>
        <v/>
      </c>
      <c r="O111" s="26">
        <f>IF($P111="","",IF(INDEX(EntryTxnID,$P111)=0,"",INDEX(EntryTxnID,$P111)))</f>
        <v/>
      </c>
      <c r="P111" s="26">
        <f>IFERROR(MATCH($C$5&amp;"|"&amp;RIGHT("000000"&amp;95,6),CalcRankKey,0),"")</f>
        <v/>
      </c>
    </row>
    <row r="112">
      <c r="A112" s="28">
        <f>IF($B112="","",96)</f>
        <v/>
      </c>
      <c r="B112" s="28">
        <f>IF($P112="","",IF(INDEX(CalcNormDate,$P112)=0,"",INDEX(CalcNormDate,$P112)))</f>
        <v/>
      </c>
      <c r="C112" s="28">
        <f>IF($P112="","",IF(INDEX(CalcTime,$P112)=0,"",INDEX(CalcTime,$P112)))</f>
        <v/>
      </c>
      <c r="D112" s="28">
        <f>IF($P112="","",IF(INDEX(EntryParty,$P112)=0,"",INDEX(EntryParty,$P112)))</f>
        <v/>
      </c>
      <c r="E112" s="28">
        <f>IF($P112="","",IF(INDEX(EntryPartyName,$P112)=0,"",INDEX(EntryPartyName,$P112)))</f>
        <v/>
      </c>
      <c r="F112" s="28">
        <f>IF($P112="","",IF(INDEX(EntryPartyType,$P112)=0,"",INDEX(EntryPartyType,$P112)))</f>
        <v/>
      </c>
      <c r="G112" s="28">
        <f>IF($P112="","",IF(INDEX(EntryTxnType,$P112)=0,"",INDEX(EntryTxnType,$P112)))</f>
        <v/>
      </c>
      <c r="H112" s="29">
        <f>IF($P112="","",IF(INDEX(EntryDep,$P112)=0,"",INDEX(EntryDep,$P112)))</f>
        <v/>
      </c>
      <c r="I112" s="29">
        <f>IF($P112="","",IF(INDEX(EntryWit,$P112)=0,"",INDEX(EntryWit,$P112)))</f>
        <v/>
      </c>
      <c r="J112" s="29">
        <f>IF($B112="","",IF($A112=1,$C$7,IF(J111="",0,J111))+IF($H112="",0,$H112)-IF($I112="",0,$I112))</f>
        <v/>
      </c>
      <c r="K112" s="29">
        <f>IF($P112="","",IF(INDEX(EntryMan,$P112)=0,"",INDEX(EntryMan,$P112)))</f>
        <v/>
      </c>
      <c r="L112" s="28">
        <f>IF($B112="","",IF($K112="","—",IF(ROUND($K112-$J112,0)=0,"√","×")))</f>
        <v/>
      </c>
      <c r="M112" s="28">
        <f>IF($B112="","",IF(COUNTIFS(EntryDates,$B112,CalcTime,$C112,CalcBank,$C$5,EntryParty,$D112,EntryDep,$H112,EntryWit,$I112)&gt;1,"تکرار",""))</f>
        <v/>
      </c>
      <c r="N112" s="28">
        <f>IF($P112="","",IF(INDEX(EntryNotes,$P112)=0,"",INDEX(EntryNotes,$P112)))</f>
        <v/>
      </c>
      <c r="O112" s="28">
        <f>IF($P112="","",IF(INDEX(EntryTxnID,$P112)=0,"",INDEX(EntryTxnID,$P112)))</f>
        <v/>
      </c>
      <c r="P112" s="28">
        <f>IFERROR(MATCH($C$5&amp;"|"&amp;RIGHT("000000"&amp;96,6),CalcRankKey,0),"")</f>
        <v/>
      </c>
    </row>
    <row r="113">
      <c r="A113" s="26">
        <f>IF($B113="","",97)</f>
        <v/>
      </c>
      <c r="B113" s="26">
        <f>IF($P113="","",IF(INDEX(CalcNormDate,$P113)=0,"",INDEX(CalcNormDate,$P113)))</f>
        <v/>
      </c>
      <c r="C113" s="26">
        <f>IF($P113="","",IF(INDEX(CalcTime,$P113)=0,"",INDEX(CalcTime,$P113)))</f>
        <v/>
      </c>
      <c r="D113" s="26">
        <f>IF($P113="","",IF(INDEX(EntryParty,$P113)=0,"",INDEX(EntryParty,$P113)))</f>
        <v/>
      </c>
      <c r="E113" s="26">
        <f>IF($P113="","",IF(INDEX(EntryPartyName,$P113)=0,"",INDEX(EntryPartyName,$P113)))</f>
        <v/>
      </c>
      <c r="F113" s="26">
        <f>IF($P113="","",IF(INDEX(EntryPartyType,$P113)=0,"",INDEX(EntryPartyType,$P113)))</f>
        <v/>
      </c>
      <c r="G113" s="26">
        <f>IF($P113="","",IF(INDEX(EntryTxnType,$P113)=0,"",INDEX(EntryTxnType,$P113)))</f>
        <v/>
      </c>
      <c r="H113" s="27">
        <f>IF($P113="","",IF(INDEX(EntryDep,$P113)=0,"",INDEX(EntryDep,$P113)))</f>
        <v/>
      </c>
      <c r="I113" s="27">
        <f>IF($P113="","",IF(INDEX(EntryWit,$P113)=0,"",INDEX(EntryWit,$P113)))</f>
        <v/>
      </c>
      <c r="J113" s="27">
        <f>IF($B113="","",IF($A113=1,$C$7,IF(J112="",0,J112))+IF($H113="",0,$H113)-IF($I113="",0,$I113))</f>
        <v/>
      </c>
      <c r="K113" s="27">
        <f>IF($P113="","",IF(INDEX(EntryMan,$P113)=0,"",INDEX(EntryMan,$P113)))</f>
        <v/>
      </c>
      <c r="L113" s="26">
        <f>IF($B113="","",IF($K113="","—",IF(ROUND($K113-$J113,0)=0,"√","×")))</f>
        <v/>
      </c>
      <c r="M113" s="26">
        <f>IF($B113="","",IF(COUNTIFS(EntryDates,$B113,CalcTime,$C113,CalcBank,$C$5,EntryParty,$D113,EntryDep,$H113,EntryWit,$I113)&gt;1,"تکرار",""))</f>
        <v/>
      </c>
      <c r="N113" s="26">
        <f>IF($P113="","",IF(INDEX(EntryNotes,$P113)=0,"",INDEX(EntryNotes,$P113)))</f>
        <v/>
      </c>
      <c r="O113" s="26">
        <f>IF($P113="","",IF(INDEX(EntryTxnID,$P113)=0,"",INDEX(EntryTxnID,$P113)))</f>
        <v/>
      </c>
      <c r="P113" s="26">
        <f>IFERROR(MATCH($C$5&amp;"|"&amp;RIGHT("000000"&amp;97,6),CalcRankKey,0),"")</f>
        <v/>
      </c>
    </row>
    <row r="114">
      <c r="A114" s="28">
        <f>IF($B114="","",98)</f>
        <v/>
      </c>
      <c r="B114" s="28">
        <f>IF($P114="","",IF(INDEX(CalcNormDate,$P114)=0,"",INDEX(CalcNormDate,$P114)))</f>
        <v/>
      </c>
      <c r="C114" s="28">
        <f>IF($P114="","",IF(INDEX(CalcTime,$P114)=0,"",INDEX(CalcTime,$P114)))</f>
        <v/>
      </c>
      <c r="D114" s="28">
        <f>IF($P114="","",IF(INDEX(EntryParty,$P114)=0,"",INDEX(EntryParty,$P114)))</f>
        <v/>
      </c>
      <c r="E114" s="28">
        <f>IF($P114="","",IF(INDEX(EntryPartyName,$P114)=0,"",INDEX(EntryPartyName,$P114)))</f>
        <v/>
      </c>
      <c r="F114" s="28">
        <f>IF($P114="","",IF(INDEX(EntryPartyType,$P114)=0,"",INDEX(EntryPartyType,$P114)))</f>
        <v/>
      </c>
      <c r="G114" s="28">
        <f>IF($P114="","",IF(INDEX(EntryTxnType,$P114)=0,"",INDEX(EntryTxnType,$P114)))</f>
        <v/>
      </c>
      <c r="H114" s="29">
        <f>IF($P114="","",IF(INDEX(EntryDep,$P114)=0,"",INDEX(EntryDep,$P114)))</f>
        <v/>
      </c>
      <c r="I114" s="29">
        <f>IF($P114="","",IF(INDEX(EntryWit,$P114)=0,"",INDEX(EntryWit,$P114)))</f>
        <v/>
      </c>
      <c r="J114" s="29">
        <f>IF($B114="","",IF($A114=1,$C$7,IF(J113="",0,J113))+IF($H114="",0,$H114)-IF($I114="",0,$I114))</f>
        <v/>
      </c>
      <c r="K114" s="29">
        <f>IF($P114="","",IF(INDEX(EntryMan,$P114)=0,"",INDEX(EntryMan,$P114)))</f>
        <v/>
      </c>
      <c r="L114" s="28">
        <f>IF($B114="","",IF($K114="","—",IF(ROUND($K114-$J114,0)=0,"√","×")))</f>
        <v/>
      </c>
      <c r="M114" s="28">
        <f>IF($B114="","",IF(COUNTIFS(EntryDates,$B114,CalcTime,$C114,CalcBank,$C$5,EntryParty,$D114,EntryDep,$H114,EntryWit,$I114)&gt;1,"تکرار",""))</f>
        <v/>
      </c>
      <c r="N114" s="28">
        <f>IF($P114="","",IF(INDEX(EntryNotes,$P114)=0,"",INDEX(EntryNotes,$P114)))</f>
        <v/>
      </c>
      <c r="O114" s="28">
        <f>IF($P114="","",IF(INDEX(EntryTxnID,$P114)=0,"",INDEX(EntryTxnID,$P114)))</f>
        <v/>
      </c>
      <c r="P114" s="28">
        <f>IFERROR(MATCH($C$5&amp;"|"&amp;RIGHT("000000"&amp;98,6),CalcRankKey,0),"")</f>
        <v/>
      </c>
    </row>
    <row r="115">
      <c r="A115" s="26">
        <f>IF($B115="","",99)</f>
        <v/>
      </c>
      <c r="B115" s="26">
        <f>IF($P115="","",IF(INDEX(CalcNormDate,$P115)=0,"",INDEX(CalcNormDate,$P115)))</f>
        <v/>
      </c>
      <c r="C115" s="26">
        <f>IF($P115="","",IF(INDEX(CalcTime,$P115)=0,"",INDEX(CalcTime,$P115)))</f>
        <v/>
      </c>
      <c r="D115" s="26">
        <f>IF($P115="","",IF(INDEX(EntryParty,$P115)=0,"",INDEX(EntryParty,$P115)))</f>
        <v/>
      </c>
      <c r="E115" s="26">
        <f>IF($P115="","",IF(INDEX(EntryPartyName,$P115)=0,"",INDEX(EntryPartyName,$P115)))</f>
        <v/>
      </c>
      <c r="F115" s="26">
        <f>IF($P115="","",IF(INDEX(EntryPartyType,$P115)=0,"",INDEX(EntryPartyType,$P115)))</f>
        <v/>
      </c>
      <c r="G115" s="26">
        <f>IF($P115="","",IF(INDEX(EntryTxnType,$P115)=0,"",INDEX(EntryTxnType,$P115)))</f>
        <v/>
      </c>
      <c r="H115" s="27">
        <f>IF($P115="","",IF(INDEX(EntryDep,$P115)=0,"",INDEX(EntryDep,$P115)))</f>
        <v/>
      </c>
      <c r="I115" s="27">
        <f>IF($P115="","",IF(INDEX(EntryWit,$P115)=0,"",INDEX(EntryWit,$P115)))</f>
        <v/>
      </c>
      <c r="J115" s="27">
        <f>IF($B115="","",IF($A115=1,$C$7,IF(J114="",0,J114))+IF($H115="",0,$H115)-IF($I115="",0,$I115))</f>
        <v/>
      </c>
      <c r="K115" s="27">
        <f>IF($P115="","",IF(INDEX(EntryMan,$P115)=0,"",INDEX(EntryMan,$P115)))</f>
        <v/>
      </c>
      <c r="L115" s="26">
        <f>IF($B115="","",IF($K115="","—",IF(ROUND($K115-$J115,0)=0,"√","×")))</f>
        <v/>
      </c>
      <c r="M115" s="26">
        <f>IF($B115="","",IF(COUNTIFS(EntryDates,$B115,CalcTime,$C115,CalcBank,$C$5,EntryParty,$D115,EntryDep,$H115,EntryWit,$I115)&gt;1,"تکرار",""))</f>
        <v/>
      </c>
      <c r="N115" s="26">
        <f>IF($P115="","",IF(INDEX(EntryNotes,$P115)=0,"",INDEX(EntryNotes,$P115)))</f>
        <v/>
      </c>
      <c r="O115" s="26">
        <f>IF($P115="","",IF(INDEX(EntryTxnID,$P115)=0,"",INDEX(EntryTxnID,$P115)))</f>
        <v/>
      </c>
      <c r="P115" s="26">
        <f>IFERROR(MATCH($C$5&amp;"|"&amp;RIGHT("000000"&amp;99,6),CalcRankKey,0),"")</f>
        <v/>
      </c>
    </row>
    <row r="116">
      <c r="A116" s="28">
        <f>IF($B116="","",100)</f>
        <v/>
      </c>
      <c r="B116" s="28">
        <f>IF($P116="","",IF(INDEX(CalcNormDate,$P116)=0,"",INDEX(CalcNormDate,$P116)))</f>
        <v/>
      </c>
      <c r="C116" s="28">
        <f>IF($P116="","",IF(INDEX(CalcTime,$P116)=0,"",INDEX(CalcTime,$P116)))</f>
        <v/>
      </c>
      <c r="D116" s="28">
        <f>IF($P116="","",IF(INDEX(EntryParty,$P116)=0,"",INDEX(EntryParty,$P116)))</f>
        <v/>
      </c>
      <c r="E116" s="28">
        <f>IF($P116="","",IF(INDEX(EntryPartyName,$P116)=0,"",INDEX(EntryPartyName,$P116)))</f>
        <v/>
      </c>
      <c r="F116" s="28">
        <f>IF($P116="","",IF(INDEX(EntryPartyType,$P116)=0,"",INDEX(EntryPartyType,$P116)))</f>
        <v/>
      </c>
      <c r="G116" s="28">
        <f>IF($P116="","",IF(INDEX(EntryTxnType,$P116)=0,"",INDEX(EntryTxnType,$P116)))</f>
        <v/>
      </c>
      <c r="H116" s="29">
        <f>IF($P116="","",IF(INDEX(EntryDep,$P116)=0,"",INDEX(EntryDep,$P116)))</f>
        <v/>
      </c>
      <c r="I116" s="29">
        <f>IF($P116="","",IF(INDEX(EntryWit,$P116)=0,"",INDEX(EntryWit,$P116)))</f>
        <v/>
      </c>
      <c r="J116" s="29">
        <f>IF($B116="","",IF($A116=1,$C$7,IF(J115="",0,J115))+IF($H116="",0,$H116)-IF($I116="",0,$I116))</f>
        <v/>
      </c>
      <c r="K116" s="29">
        <f>IF($P116="","",IF(INDEX(EntryMan,$P116)=0,"",INDEX(EntryMan,$P116)))</f>
        <v/>
      </c>
      <c r="L116" s="28">
        <f>IF($B116="","",IF($K116="","—",IF(ROUND($K116-$J116,0)=0,"√","×")))</f>
        <v/>
      </c>
      <c r="M116" s="28">
        <f>IF($B116="","",IF(COUNTIFS(EntryDates,$B116,CalcTime,$C116,CalcBank,$C$5,EntryParty,$D116,EntryDep,$H116,EntryWit,$I116)&gt;1,"تکرار",""))</f>
        <v/>
      </c>
      <c r="N116" s="28">
        <f>IF($P116="","",IF(INDEX(EntryNotes,$P116)=0,"",INDEX(EntryNotes,$P116)))</f>
        <v/>
      </c>
      <c r="O116" s="28">
        <f>IF($P116="","",IF(INDEX(EntryTxnID,$P116)=0,"",INDEX(EntryTxnID,$P116)))</f>
        <v/>
      </c>
      <c r="P116" s="28">
        <f>IFERROR(MATCH($C$5&amp;"|"&amp;RIGHT("000000"&amp;100,6),CalcRankKey,0),"")</f>
        <v/>
      </c>
    </row>
    <row r="117">
      <c r="A117" s="26">
        <f>IF($B117="","",101)</f>
        <v/>
      </c>
      <c r="B117" s="26">
        <f>IF($P117="","",IF(INDEX(CalcNormDate,$P117)=0,"",INDEX(CalcNormDate,$P117)))</f>
        <v/>
      </c>
      <c r="C117" s="26">
        <f>IF($P117="","",IF(INDEX(CalcTime,$P117)=0,"",INDEX(CalcTime,$P117)))</f>
        <v/>
      </c>
      <c r="D117" s="26">
        <f>IF($P117="","",IF(INDEX(EntryParty,$P117)=0,"",INDEX(EntryParty,$P117)))</f>
        <v/>
      </c>
      <c r="E117" s="26">
        <f>IF($P117="","",IF(INDEX(EntryPartyName,$P117)=0,"",INDEX(EntryPartyName,$P117)))</f>
        <v/>
      </c>
      <c r="F117" s="26">
        <f>IF($P117="","",IF(INDEX(EntryPartyType,$P117)=0,"",INDEX(EntryPartyType,$P117)))</f>
        <v/>
      </c>
      <c r="G117" s="26">
        <f>IF($P117="","",IF(INDEX(EntryTxnType,$P117)=0,"",INDEX(EntryTxnType,$P117)))</f>
        <v/>
      </c>
      <c r="H117" s="27">
        <f>IF($P117="","",IF(INDEX(EntryDep,$P117)=0,"",INDEX(EntryDep,$P117)))</f>
        <v/>
      </c>
      <c r="I117" s="27">
        <f>IF($P117="","",IF(INDEX(EntryWit,$P117)=0,"",INDEX(EntryWit,$P117)))</f>
        <v/>
      </c>
      <c r="J117" s="27">
        <f>IF($B117="","",IF($A117=1,$C$7,IF(J116="",0,J116))+IF($H117="",0,$H117)-IF($I117="",0,$I117))</f>
        <v/>
      </c>
      <c r="K117" s="27">
        <f>IF($P117="","",IF(INDEX(EntryMan,$P117)=0,"",INDEX(EntryMan,$P117)))</f>
        <v/>
      </c>
      <c r="L117" s="26">
        <f>IF($B117="","",IF($K117="","—",IF(ROUND($K117-$J117,0)=0,"√","×")))</f>
        <v/>
      </c>
      <c r="M117" s="26">
        <f>IF($B117="","",IF(COUNTIFS(EntryDates,$B117,CalcTime,$C117,CalcBank,$C$5,EntryParty,$D117,EntryDep,$H117,EntryWit,$I117)&gt;1,"تکرار",""))</f>
        <v/>
      </c>
      <c r="N117" s="26">
        <f>IF($P117="","",IF(INDEX(EntryNotes,$P117)=0,"",INDEX(EntryNotes,$P117)))</f>
        <v/>
      </c>
      <c r="O117" s="26">
        <f>IF($P117="","",IF(INDEX(EntryTxnID,$P117)=0,"",INDEX(EntryTxnID,$P117)))</f>
        <v/>
      </c>
      <c r="P117" s="26">
        <f>IFERROR(MATCH($C$5&amp;"|"&amp;RIGHT("000000"&amp;101,6),CalcRankKey,0),"")</f>
        <v/>
      </c>
    </row>
    <row r="118">
      <c r="A118" s="28">
        <f>IF($B118="","",102)</f>
        <v/>
      </c>
      <c r="B118" s="28">
        <f>IF($P118="","",IF(INDEX(CalcNormDate,$P118)=0,"",INDEX(CalcNormDate,$P118)))</f>
        <v/>
      </c>
      <c r="C118" s="28">
        <f>IF($P118="","",IF(INDEX(CalcTime,$P118)=0,"",INDEX(CalcTime,$P118)))</f>
        <v/>
      </c>
      <c r="D118" s="28">
        <f>IF($P118="","",IF(INDEX(EntryParty,$P118)=0,"",INDEX(EntryParty,$P118)))</f>
        <v/>
      </c>
      <c r="E118" s="28">
        <f>IF($P118="","",IF(INDEX(EntryPartyName,$P118)=0,"",INDEX(EntryPartyName,$P118)))</f>
        <v/>
      </c>
      <c r="F118" s="28">
        <f>IF($P118="","",IF(INDEX(EntryPartyType,$P118)=0,"",INDEX(EntryPartyType,$P118)))</f>
        <v/>
      </c>
      <c r="G118" s="28">
        <f>IF($P118="","",IF(INDEX(EntryTxnType,$P118)=0,"",INDEX(EntryTxnType,$P118)))</f>
        <v/>
      </c>
      <c r="H118" s="29">
        <f>IF($P118="","",IF(INDEX(EntryDep,$P118)=0,"",INDEX(EntryDep,$P118)))</f>
        <v/>
      </c>
      <c r="I118" s="29">
        <f>IF($P118="","",IF(INDEX(EntryWit,$P118)=0,"",INDEX(EntryWit,$P118)))</f>
        <v/>
      </c>
      <c r="J118" s="29">
        <f>IF($B118="","",IF($A118=1,$C$7,IF(J117="",0,J117))+IF($H118="",0,$H118)-IF($I118="",0,$I118))</f>
        <v/>
      </c>
      <c r="K118" s="29">
        <f>IF($P118="","",IF(INDEX(EntryMan,$P118)=0,"",INDEX(EntryMan,$P118)))</f>
        <v/>
      </c>
      <c r="L118" s="28">
        <f>IF($B118="","",IF($K118="","—",IF(ROUND($K118-$J118,0)=0,"√","×")))</f>
        <v/>
      </c>
      <c r="M118" s="28">
        <f>IF($B118="","",IF(COUNTIFS(EntryDates,$B118,CalcTime,$C118,CalcBank,$C$5,EntryParty,$D118,EntryDep,$H118,EntryWit,$I118)&gt;1,"تکرار",""))</f>
        <v/>
      </c>
      <c r="N118" s="28">
        <f>IF($P118="","",IF(INDEX(EntryNotes,$P118)=0,"",INDEX(EntryNotes,$P118)))</f>
        <v/>
      </c>
      <c r="O118" s="28">
        <f>IF($P118="","",IF(INDEX(EntryTxnID,$P118)=0,"",INDEX(EntryTxnID,$P118)))</f>
        <v/>
      </c>
      <c r="P118" s="28">
        <f>IFERROR(MATCH($C$5&amp;"|"&amp;RIGHT("000000"&amp;102,6),CalcRankKey,0),"")</f>
        <v/>
      </c>
    </row>
    <row r="119">
      <c r="A119" s="26">
        <f>IF($B119="","",103)</f>
        <v/>
      </c>
      <c r="B119" s="26">
        <f>IF($P119="","",IF(INDEX(CalcNormDate,$P119)=0,"",INDEX(CalcNormDate,$P119)))</f>
        <v/>
      </c>
      <c r="C119" s="26">
        <f>IF($P119="","",IF(INDEX(CalcTime,$P119)=0,"",INDEX(CalcTime,$P119)))</f>
        <v/>
      </c>
      <c r="D119" s="26">
        <f>IF($P119="","",IF(INDEX(EntryParty,$P119)=0,"",INDEX(EntryParty,$P119)))</f>
        <v/>
      </c>
      <c r="E119" s="26">
        <f>IF($P119="","",IF(INDEX(EntryPartyName,$P119)=0,"",INDEX(EntryPartyName,$P119)))</f>
        <v/>
      </c>
      <c r="F119" s="26">
        <f>IF($P119="","",IF(INDEX(EntryPartyType,$P119)=0,"",INDEX(EntryPartyType,$P119)))</f>
        <v/>
      </c>
      <c r="G119" s="26">
        <f>IF($P119="","",IF(INDEX(EntryTxnType,$P119)=0,"",INDEX(EntryTxnType,$P119)))</f>
        <v/>
      </c>
      <c r="H119" s="27">
        <f>IF($P119="","",IF(INDEX(EntryDep,$P119)=0,"",INDEX(EntryDep,$P119)))</f>
        <v/>
      </c>
      <c r="I119" s="27">
        <f>IF($P119="","",IF(INDEX(EntryWit,$P119)=0,"",INDEX(EntryWit,$P119)))</f>
        <v/>
      </c>
      <c r="J119" s="27">
        <f>IF($B119="","",IF($A119=1,$C$7,IF(J118="",0,J118))+IF($H119="",0,$H119)-IF($I119="",0,$I119))</f>
        <v/>
      </c>
      <c r="K119" s="27">
        <f>IF($P119="","",IF(INDEX(EntryMan,$P119)=0,"",INDEX(EntryMan,$P119)))</f>
        <v/>
      </c>
      <c r="L119" s="26">
        <f>IF($B119="","",IF($K119="","—",IF(ROUND($K119-$J119,0)=0,"√","×")))</f>
        <v/>
      </c>
      <c r="M119" s="26">
        <f>IF($B119="","",IF(COUNTIFS(EntryDates,$B119,CalcTime,$C119,CalcBank,$C$5,EntryParty,$D119,EntryDep,$H119,EntryWit,$I119)&gt;1,"تکرار",""))</f>
        <v/>
      </c>
      <c r="N119" s="26">
        <f>IF($P119="","",IF(INDEX(EntryNotes,$P119)=0,"",INDEX(EntryNotes,$P119)))</f>
        <v/>
      </c>
      <c r="O119" s="26">
        <f>IF($P119="","",IF(INDEX(EntryTxnID,$P119)=0,"",INDEX(EntryTxnID,$P119)))</f>
        <v/>
      </c>
      <c r="P119" s="26">
        <f>IFERROR(MATCH($C$5&amp;"|"&amp;RIGHT("000000"&amp;103,6),CalcRankKey,0),"")</f>
        <v/>
      </c>
    </row>
    <row r="120">
      <c r="A120" s="28">
        <f>IF($B120="","",104)</f>
        <v/>
      </c>
      <c r="B120" s="28">
        <f>IF($P120="","",IF(INDEX(CalcNormDate,$P120)=0,"",INDEX(CalcNormDate,$P120)))</f>
        <v/>
      </c>
      <c r="C120" s="28">
        <f>IF($P120="","",IF(INDEX(CalcTime,$P120)=0,"",INDEX(CalcTime,$P120)))</f>
        <v/>
      </c>
      <c r="D120" s="28">
        <f>IF($P120="","",IF(INDEX(EntryParty,$P120)=0,"",INDEX(EntryParty,$P120)))</f>
        <v/>
      </c>
      <c r="E120" s="28">
        <f>IF($P120="","",IF(INDEX(EntryPartyName,$P120)=0,"",INDEX(EntryPartyName,$P120)))</f>
        <v/>
      </c>
      <c r="F120" s="28">
        <f>IF($P120="","",IF(INDEX(EntryPartyType,$P120)=0,"",INDEX(EntryPartyType,$P120)))</f>
        <v/>
      </c>
      <c r="G120" s="28">
        <f>IF($P120="","",IF(INDEX(EntryTxnType,$P120)=0,"",INDEX(EntryTxnType,$P120)))</f>
        <v/>
      </c>
      <c r="H120" s="29">
        <f>IF($P120="","",IF(INDEX(EntryDep,$P120)=0,"",INDEX(EntryDep,$P120)))</f>
        <v/>
      </c>
      <c r="I120" s="29">
        <f>IF($P120="","",IF(INDEX(EntryWit,$P120)=0,"",INDEX(EntryWit,$P120)))</f>
        <v/>
      </c>
      <c r="J120" s="29">
        <f>IF($B120="","",IF($A120=1,$C$7,IF(J119="",0,J119))+IF($H120="",0,$H120)-IF($I120="",0,$I120))</f>
        <v/>
      </c>
      <c r="K120" s="29">
        <f>IF($P120="","",IF(INDEX(EntryMan,$P120)=0,"",INDEX(EntryMan,$P120)))</f>
        <v/>
      </c>
      <c r="L120" s="28">
        <f>IF($B120="","",IF($K120="","—",IF(ROUND($K120-$J120,0)=0,"√","×")))</f>
        <v/>
      </c>
      <c r="M120" s="28">
        <f>IF($B120="","",IF(COUNTIFS(EntryDates,$B120,CalcTime,$C120,CalcBank,$C$5,EntryParty,$D120,EntryDep,$H120,EntryWit,$I120)&gt;1,"تکرار",""))</f>
        <v/>
      </c>
      <c r="N120" s="28">
        <f>IF($P120="","",IF(INDEX(EntryNotes,$P120)=0,"",INDEX(EntryNotes,$P120)))</f>
        <v/>
      </c>
      <c r="O120" s="28">
        <f>IF($P120="","",IF(INDEX(EntryTxnID,$P120)=0,"",INDEX(EntryTxnID,$P120)))</f>
        <v/>
      </c>
      <c r="P120" s="28">
        <f>IFERROR(MATCH($C$5&amp;"|"&amp;RIGHT("000000"&amp;104,6),CalcRankKey,0),"")</f>
        <v/>
      </c>
    </row>
    <row r="121">
      <c r="A121" s="26">
        <f>IF($B121="","",105)</f>
        <v/>
      </c>
      <c r="B121" s="26">
        <f>IF($P121="","",IF(INDEX(CalcNormDate,$P121)=0,"",INDEX(CalcNormDate,$P121)))</f>
        <v/>
      </c>
      <c r="C121" s="26">
        <f>IF($P121="","",IF(INDEX(CalcTime,$P121)=0,"",INDEX(CalcTime,$P121)))</f>
        <v/>
      </c>
      <c r="D121" s="26">
        <f>IF($P121="","",IF(INDEX(EntryParty,$P121)=0,"",INDEX(EntryParty,$P121)))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IF($P121="","",IF(INDEX(EntryPartyType,$P121)=0,"",INDEX(EntryPartyType,$P121)))</f>
        <v/>
      </c>
      <c r="G121" s="26">
        <f>IF($P121="","",IF(INDEX(EntryTxnType,$P121)=0,"",INDEX(EntryTxnType,$P121)))</f>
        <v/>
      </c>
      <c r="H121" s="27">
        <f>IF($P121="","",IF(INDEX(EntryDep,$P121)=0,"",INDEX(EntryDep,$P121)))</f>
        <v/>
      </c>
      <c r="I121" s="27">
        <f>IF($P121="","",IF(INDEX(EntryWit,$P121)=0,"",INDEX(EntryWit,$P121)))</f>
        <v/>
      </c>
      <c r="J121" s="27">
        <f>IF($B121="","",IF($A121=1,$C$7,IF(J120="",0,J120))+IF($H121="",0,$H121)-IF($I121="",0,$I121))</f>
        <v/>
      </c>
      <c r="K121" s="27">
        <f>IF($P121="","",IF(INDEX(EntryMan,$P121)=0,"",INDEX(EntryMan,$P121)))</f>
        <v/>
      </c>
      <c r="L121" s="26">
        <f>IF($B121="","",IF($K121="","—",IF(ROUND($K121-$J121,0)=0,"√","×")))</f>
        <v/>
      </c>
      <c r="M121" s="26">
        <f>IF($B121="","",IF(COUNTIFS(EntryDates,$B121,CalcTime,$C121,CalcBank,$C$5,EntryParty,$D121,EntryDep,$H121,EntryWit,$I121)&gt;1,"تکرار",""))</f>
        <v/>
      </c>
      <c r="N121" s="26">
        <f>IF($P121="","",IF(INDEX(EntryNotes,$P121)=0,"",INDEX(EntryNotes,$P121)))</f>
        <v/>
      </c>
      <c r="O121" s="26">
        <f>IF($P121="","",IF(INDEX(EntryTxnID,$P121)=0,"",INDEX(EntryTxnID,$P121)))</f>
        <v/>
      </c>
      <c r="P121" s="26">
        <f>IFERROR(MATCH($C$5&amp;"|"&amp;RIGHT("000000"&amp;105,6),CalcRankKey,0),"")</f>
        <v/>
      </c>
    </row>
    <row r="122">
      <c r="A122" s="28">
        <f>IF($B122="","",106)</f>
        <v/>
      </c>
      <c r="B122" s="28">
        <f>IF($P122="","",IF(INDEX(CalcNormDate,$P122)=0,"",INDEX(CalcNormDate,$P122)))</f>
        <v/>
      </c>
      <c r="C122" s="28">
        <f>IF($P122="","",IF(INDEX(CalcTime,$P122)=0,"",INDEX(CalcTime,$P122)))</f>
        <v/>
      </c>
      <c r="D122" s="28">
        <f>IF($P122="","",IF(INDEX(EntryParty,$P122)=0,"",INDEX(EntryParty,$P122)))</f>
        <v/>
      </c>
      <c r="E122" s="28">
        <f>IF($P122="","",IF(INDEX(EntryPartyName,$P122)=0,"",INDEX(EntryPartyName,$P122)))</f>
        <v/>
      </c>
      <c r="F122" s="28">
        <f>IF($P122="","",IF(INDEX(EntryPartyType,$P122)=0,"",INDEX(EntryPartyType,$P122)))</f>
        <v/>
      </c>
      <c r="G122" s="28">
        <f>IF($P122="","",IF(INDEX(EntryTxnType,$P122)=0,"",INDEX(EntryTxnType,$P122)))</f>
        <v/>
      </c>
      <c r="H122" s="29">
        <f>IF($P122="","",IF(INDEX(EntryDep,$P122)=0,"",INDEX(EntryDep,$P122)))</f>
        <v/>
      </c>
      <c r="I122" s="29">
        <f>IF($P122="","",IF(INDEX(EntryWit,$P122)=0,"",INDEX(EntryWit,$P122)))</f>
        <v/>
      </c>
      <c r="J122" s="29">
        <f>IF($B122="","",IF($A122=1,$C$7,IF(J121="",0,J121))+IF($H122="",0,$H122)-IF($I122="",0,$I122))</f>
        <v/>
      </c>
      <c r="K122" s="29">
        <f>IF($P122="","",IF(INDEX(EntryMan,$P122)=0,"",INDEX(EntryMan,$P122)))</f>
        <v/>
      </c>
      <c r="L122" s="28">
        <f>IF($B122="","",IF($K122="","—",IF(ROUND($K122-$J122,0)=0,"√","×")))</f>
        <v/>
      </c>
      <c r="M122" s="28">
        <f>IF($B122="","",IF(COUNTIFS(EntryDates,$B122,CalcTime,$C122,CalcBank,$C$5,EntryParty,$D122,EntryDep,$H122,EntryWit,$I122)&gt;1,"تکرار",""))</f>
        <v/>
      </c>
      <c r="N122" s="28">
        <f>IF($P122="","",IF(INDEX(EntryNotes,$P122)=0,"",INDEX(EntryNotes,$P122)))</f>
        <v/>
      </c>
      <c r="O122" s="28">
        <f>IF($P122="","",IF(INDEX(EntryTxnID,$P122)=0,"",INDEX(EntryTxnID,$P122)))</f>
        <v/>
      </c>
      <c r="P122" s="28">
        <f>IFERROR(MATCH($C$5&amp;"|"&amp;RIGHT("000000"&amp;106,6),CalcRankKey,0),"")</f>
        <v/>
      </c>
    </row>
    <row r="123">
      <c r="A123" s="26">
        <f>IF($B123="","",107)</f>
        <v/>
      </c>
      <c r="B123" s="26">
        <f>IF($P123="","",IF(INDEX(CalcNormDate,$P123)=0,"",INDEX(CalcNormDate,$P123)))</f>
        <v/>
      </c>
      <c r="C123" s="26">
        <f>IF($P123="","",IF(INDEX(CalcTime,$P123)=0,"",INDEX(CalcTime,$P123)))</f>
        <v/>
      </c>
      <c r="D123" s="26">
        <f>IF($P123="","",IF(INDEX(EntryParty,$P123)=0,"",INDEX(EntryParty,$P123)))</f>
        <v/>
      </c>
      <c r="E123" s="26">
        <f>IF($P123="","",IF(INDEX(EntryPartyName,$P123)=0,"",INDEX(EntryPartyName,$P123)))</f>
        <v/>
      </c>
      <c r="F123" s="26">
        <f>IF($P123="","",IF(INDEX(EntryPartyType,$P123)=0,"",INDEX(EntryPartyType,$P123)))</f>
        <v/>
      </c>
      <c r="G123" s="26">
        <f>IF($P123="","",IF(INDEX(EntryTxnType,$P123)=0,"",INDEX(EntryTxnType,$P123)))</f>
        <v/>
      </c>
      <c r="H123" s="27">
        <f>IF($P123="","",IF(INDEX(EntryDep,$P123)=0,"",INDEX(EntryDep,$P123)))</f>
        <v/>
      </c>
      <c r="I123" s="27">
        <f>IF($P123="","",IF(INDEX(EntryWit,$P123)=0,"",INDEX(EntryWit,$P123)))</f>
        <v/>
      </c>
      <c r="J123" s="27">
        <f>IF($B123="","",IF($A123=1,$C$7,IF(J122="",0,J122))+IF($H123="",0,$H123)-IF($I123="",0,$I123))</f>
        <v/>
      </c>
      <c r="K123" s="27">
        <f>IF($P123="","",IF(INDEX(EntryMan,$P123)=0,"",INDEX(EntryMan,$P123)))</f>
        <v/>
      </c>
      <c r="L123" s="26">
        <f>IF($B123="","",IF($K123="","—",IF(ROUND($K123-$J123,0)=0,"√","×")))</f>
        <v/>
      </c>
      <c r="M123" s="26">
        <f>IF($B123="","",IF(COUNTIFS(EntryDates,$B123,CalcTime,$C123,CalcBank,$C$5,EntryParty,$D123,EntryDep,$H123,EntryWit,$I123)&gt;1,"تکرار",""))</f>
        <v/>
      </c>
      <c r="N123" s="26">
        <f>IF($P123="","",IF(INDEX(EntryNotes,$P123)=0,"",INDEX(EntryNotes,$P123)))</f>
        <v/>
      </c>
      <c r="O123" s="26">
        <f>IF($P123="","",IF(INDEX(EntryTxnID,$P123)=0,"",INDEX(EntryTxnID,$P123)))</f>
        <v/>
      </c>
      <c r="P123" s="26">
        <f>IFERROR(MATCH($C$5&amp;"|"&amp;RIGHT("000000"&amp;107,6),CalcRankKey,0),"")</f>
        <v/>
      </c>
    </row>
    <row r="124">
      <c r="A124" s="28">
        <f>IF($B124="","",108)</f>
        <v/>
      </c>
      <c r="B124" s="28">
        <f>IF($P124="","",IF(INDEX(CalcNormDate,$P124)=0,"",INDEX(CalcNormDate,$P124)))</f>
        <v/>
      </c>
      <c r="C124" s="28">
        <f>IF($P124="","",IF(INDEX(CalcTime,$P124)=0,"",INDEX(CalcTime,$P124)))</f>
        <v/>
      </c>
      <c r="D124" s="28">
        <f>IF($P124="","",IF(INDEX(EntryParty,$P124)=0,"",INDEX(EntryParty,$P124)))</f>
        <v/>
      </c>
      <c r="E124" s="28">
        <f>IF($P124="","",IF(INDEX(EntryPartyName,$P124)=0,"",INDEX(EntryPartyName,$P124)))</f>
        <v/>
      </c>
      <c r="F124" s="28">
        <f>IF($P124="","",IF(INDEX(EntryPartyType,$P124)=0,"",INDEX(EntryPartyType,$P124)))</f>
        <v/>
      </c>
      <c r="G124" s="28">
        <f>IF($P124="","",IF(INDEX(EntryTxnType,$P124)=0,"",INDEX(EntryTxnType,$P124)))</f>
        <v/>
      </c>
      <c r="H124" s="29">
        <f>IF($P124="","",IF(INDEX(EntryDep,$P124)=0,"",INDEX(EntryDep,$P124)))</f>
        <v/>
      </c>
      <c r="I124" s="29">
        <f>IF($P124="","",IF(INDEX(EntryWit,$P124)=0,"",INDEX(EntryWit,$P124)))</f>
        <v/>
      </c>
      <c r="J124" s="29">
        <f>IF($B124="","",IF($A124=1,$C$7,IF(J123="",0,J123))+IF($H124="",0,$H124)-IF($I124="",0,$I124))</f>
        <v/>
      </c>
      <c r="K124" s="29">
        <f>IF($P124="","",IF(INDEX(EntryMan,$P124)=0,"",INDEX(EntryMan,$P124)))</f>
        <v/>
      </c>
      <c r="L124" s="28">
        <f>IF($B124="","",IF($K124="","—",IF(ROUND($K124-$J124,0)=0,"√","×")))</f>
        <v/>
      </c>
      <c r="M124" s="28">
        <f>IF($B124="","",IF(COUNTIFS(EntryDates,$B124,CalcTime,$C124,CalcBank,$C$5,EntryParty,$D124,EntryDep,$H124,EntryWit,$I124)&gt;1,"تکرار",""))</f>
        <v/>
      </c>
      <c r="N124" s="28">
        <f>IF($P124="","",IF(INDEX(EntryNotes,$P124)=0,"",INDEX(EntryNotes,$P124)))</f>
        <v/>
      </c>
      <c r="O124" s="28">
        <f>IF($P124="","",IF(INDEX(EntryTxnID,$P124)=0,"",INDEX(EntryTxnID,$P124)))</f>
        <v/>
      </c>
      <c r="P124" s="28">
        <f>IFERROR(MATCH($C$5&amp;"|"&amp;RIGHT("000000"&amp;108,6),CalcRankKey,0),"")</f>
        <v/>
      </c>
    </row>
    <row r="125">
      <c r="A125" s="26">
        <f>IF($B125="","",109)</f>
        <v/>
      </c>
      <c r="B125" s="26">
        <f>IF($P125="","",IF(INDEX(CalcNormDate,$P125)=0,"",INDEX(CalcNormDate,$P125)))</f>
        <v/>
      </c>
      <c r="C125" s="26">
        <f>IF($P125="","",IF(INDEX(CalcTime,$P125)=0,"",INDEX(CalcTime,$P125)))</f>
        <v/>
      </c>
      <c r="D125" s="26">
        <f>IF($P125="","",IF(INDEX(EntryParty,$P125)=0,"",INDEX(EntryParty,$P125)))</f>
        <v/>
      </c>
      <c r="E125" s="26">
        <f>IF($P125="","",IF(INDEX(EntryPartyName,$P125)=0,"",INDEX(EntryPartyName,$P125)))</f>
        <v/>
      </c>
      <c r="F125" s="26">
        <f>IF($P125="","",IF(INDEX(EntryPartyType,$P125)=0,"",INDEX(EntryPartyType,$P125)))</f>
        <v/>
      </c>
      <c r="G125" s="26">
        <f>IF($P125="","",IF(INDEX(EntryTxnType,$P125)=0,"",INDEX(EntryTxnType,$P125)))</f>
        <v/>
      </c>
      <c r="H125" s="27">
        <f>IF($P125="","",IF(INDEX(EntryDep,$P125)=0,"",INDEX(EntryDep,$P125)))</f>
        <v/>
      </c>
      <c r="I125" s="27">
        <f>IF($P125="","",IF(INDEX(EntryWit,$P125)=0,"",INDEX(EntryWit,$P125)))</f>
        <v/>
      </c>
      <c r="J125" s="27">
        <f>IF($B125="","",IF($A125=1,$C$7,IF(J124="",0,J124))+IF($H125="",0,$H125)-IF($I125="",0,$I125))</f>
        <v/>
      </c>
      <c r="K125" s="27">
        <f>IF($P125="","",IF(INDEX(EntryMan,$P125)=0,"",INDEX(EntryMan,$P125)))</f>
        <v/>
      </c>
      <c r="L125" s="26">
        <f>IF($B125="","",IF($K125="","—",IF(ROUND($K125-$J125,0)=0,"√","×")))</f>
        <v/>
      </c>
      <c r="M125" s="26">
        <f>IF($B125="","",IF(COUNTIFS(EntryDates,$B125,CalcTime,$C125,CalcBank,$C$5,EntryParty,$D125,EntryDep,$H125,EntryWit,$I125)&gt;1,"تکرار",""))</f>
        <v/>
      </c>
      <c r="N125" s="26">
        <f>IF($P125="","",IF(INDEX(EntryNotes,$P125)=0,"",INDEX(EntryNotes,$P125)))</f>
        <v/>
      </c>
      <c r="O125" s="26">
        <f>IF($P125="","",IF(INDEX(EntryTxnID,$P125)=0,"",INDEX(EntryTxnID,$P125)))</f>
        <v/>
      </c>
      <c r="P125" s="26">
        <f>IFERROR(MATCH($C$5&amp;"|"&amp;RIGHT("000000"&amp;109,6),CalcRankKey,0),"")</f>
        <v/>
      </c>
    </row>
    <row r="126">
      <c r="A126" s="28">
        <f>IF($B126="","",110)</f>
        <v/>
      </c>
      <c r="B126" s="28">
        <f>IF($P126="","",IF(INDEX(CalcNormDate,$P126)=0,"",INDEX(CalcNormDate,$P126)))</f>
        <v/>
      </c>
      <c r="C126" s="28">
        <f>IF($P126="","",IF(INDEX(CalcTime,$P126)=0,"",INDEX(CalcTime,$P126)))</f>
        <v/>
      </c>
      <c r="D126" s="28">
        <f>IF($P126="","",IF(INDEX(EntryParty,$P126)=0,"",INDEX(EntryParty,$P126)))</f>
        <v/>
      </c>
      <c r="E126" s="28">
        <f>IF($P126="","",IF(INDEX(EntryPartyName,$P126)=0,"",INDEX(EntryPartyName,$P126)))</f>
        <v/>
      </c>
      <c r="F126" s="28">
        <f>IF($P126="","",IF(INDEX(EntryPartyType,$P126)=0,"",INDEX(EntryPartyType,$P126)))</f>
        <v/>
      </c>
      <c r="G126" s="28">
        <f>IF($P126="","",IF(INDEX(EntryTxnType,$P126)=0,"",INDEX(EntryTxnType,$P126)))</f>
        <v/>
      </c>
      <c r="H126" s="29">
        <f>IF($P126="","",IF(INDEX(EntryDep,$P126)=0,"",INDEX(EntryDep,$P126)))</f>
        <v/>
      </c>
      <c r="I126" s="29">
        <f>IF($P126="","",IF(INDEX(EntryWit,$P126)=0,"",INDEX(EntryWit,$P126)))</f>
        <v/>
      </c>
      <c r="J126" s="29">
        <f>IF($B126="","",IF($A126=1,$C$7,IF(J125="",0,J125))+IF($H126="",0,$H126)-IF($I126="",0,$I126))</f>
        <v/>
      </c>
      <c r="K126" s="29">
        <f>IF($P126="","",IF(INDEX(EntryMan,$P126)=0,"",INDEX(EntryMan,$P126)))</f>
        <v/>
      </c>
      <c r="L126" s="28">
        <f>IF($B126="","",IF($K126="","—",IF(ROUND($K126-$J126,0)=0,"√","×")))</f>
        <v/>
      </c>
      <c r="M126" s="28">
        <f>IF($B126="","",IF(COUNTIFS(EntryDates,$B126,CalcTime,$C126,CalcBank,$C$5,EntryParty,$D126,EntryDep,$H126,EntryWit,$I126)&gt;1,"تکرار",""))</f>
        <v/>
      </c>
      <c r="N126" s="28">
        <f>IF($P126="","",IF(INDEX(EntryNotes,$P126)=0,"",INDEX(EntryNotes,$P126)))</f>
        <v/>
      </c>
      <c r="O126" s="28">
        <f>IF($P126="","",IF(INDEX(EntryTxnID,$P126)=0,"",INDEX(EntryTxnID,$P126)))</f>
        <v/>
      </c>
      <c r="P126" s="28">
        <f>IFERROR(MATCH($C$5&amp;"|"&amp;RIGHT("000000"&amp;110,6),CalcRankKey,0),"")</f>
        <v/>
      </c>
    </row>
    <row r="127">
      <c r="A127" s="26">
        <f>IF($B127="","",111)</f>
        <v/>
      </c>
      <c r="B127" s="26">
        <f>IF($P127="","",IF(INDEX(CalcNormDate,$P127)=0,"",INDEX(CalcNormDate,$P127)))</f>
        <v/>
      </c>
      <c r="C127" s="26">
        <f>IF($P127="","",IF(INDEX(CalcTime,$P127)=0,"",INDEX(CalcTime,$P127)))</f>
        <v/>
      </c>
      <c r="D127" s="26">
        <f>IF($P127="","",IF(INDEX(EntryParty,$P127)=0,"",INDEX(EntryParty,$P127)))</f>
        <v/>
      </c>
      <c r="E127" s="26">
        <f>IF($P127="","",IF(INDEX(EntryPartyName,$P127)=0,"",INDEX(EntryPartyName,$P127)))</f>
        <v/>
      </c>
      <c r="F127" s="26">
        <f>IF($P127="","",IF(INDEX(EntryPartyType,$P127)=0,"",INDEX(EntryPartyType,$P127)))</f>
        <v/>
      </c>
      <c r="G127" s="26">
        <f>IF($P127="","",IF(INDEX(EntryTxnType,$P127)=0,"",INDEX(EntryTxnType,$P127)))</f>
        <v/>
      </c>
      <c r="H127" s="27">
        <f>IF($P127="","",IF(INDEX(EntryDep,$P127)=0,"",INDEX(EntryDep,$P127)))</f>
        <v/>
      </c>
      <c r="I127" s="27">
        <f>IF($P127="","",IF(INDEX(EntryWit,$P127)=0,"",INDEX(EntryWit,$P127)))</f>
        <v/>
      </c>
      <c r="J127" s="27">
        <f>IF($B127="","",IF($A127=1,$C$7,IF(J126="",0,J126))+IF($H127="",0,$H127)-IF($I127="",0,$I127))</f>
        <v/>
      </c>
      <c r="K127" s="27">
        <f>IF($P127="","",IF(INDEX(EntryMan,$P127)=0,"",INDEX(EntryMan,$P127)))</f>
        <v/>
      </c>
      <c r="L127" s="26">
        <f>IF($B127="","",IF($K127="","—",IF(ROUND($K127-$J127,0)=0,"√","×")))</f>
        <v/>
      </c>
      <c r="M127" s="26">
        <f>IF($B127="","",IF(COUNTIFS(EntryDates,$B127,CalcTime,$C127,CalcBank,$C$5,EntryParty,$D127,EntryDep,$H127,EntryWit,$I127)&gt;1,"تکرار",""))</f>
        <v/>
      </c>
      <c r="N127" s="26">
        <f>IF($P127="","",IF(INDEX(EntryNotes,$P127)=0,"",INDEX(EntryNotes,$P127)))</f>
        <v/>
      </c>
      <c r="O127" s="26">
        <f>IF($P127="","",IF(INDEX(EntryTxnID,$P127)=0,"",INDEX(EntryTxnID,$P127)))</f>
        <v/>
      </c>
      <c r="P127" s="26">
        <f>IFERROR(MATCH($C$5&amp;"|"&amp;RIGHT("000000"&amp;111,6),CalcRankKey,0),"")</f>
        <v/>
      </c>
    </row>
    <row r="128">
      <c r="A128" s="28">
        <f>IF($B128="","",112)</f>
        <v/>
      </c>
      <c r="B128" s="28">
        <f>IF($P128="","",IF(INDEX(CalcNormDate,$P128)=0,"",INDEX(CalcNormDate,$P128)))</f>
        <v/>
      </c>
      <c r="C128" s="28">
        <f>IF($P128="","",IF(INDEX(CalcTime,$P128)=0,"",INDEX(CalcTime,$P128)))</f>
        <v/>
      </c>
      <c r="D128" s="28">
        <f>IF($P128="","",IF(INDEX(EntryParty,$P128)=0,"",INDEX(EntryParty,$P128)))</f>
        <v/>
      </c>
      <c r="E128" s="28">
        <f>IF($P128="","",IF(INDEX(EntryPartyName,$P128)=0,"",INDEX(EntryPartyName,$P128)))</f>
        <v/>
      </c>
      <c r="F128" s="28">
        <f>IF($P128="","",IF(INDEX(EntryPartyType,$P128)=0,"",INDEX(EntryPartyType,$P128)))</f>
        <v/>
      </c>
      <c r="G128" s="28">
        <f>IF($P128="","",IF(INDEX(EntryTxnType,$P128)=0,"",INDEX(EntryTxnType,$P128)))</f>
        <v/>
      </c>
      <c r="H128" s="29">
        <f>IF($P128="","",IF(INDEX(EntryDep,$P128)=0,"",INDEX(EntryDep,$P128)))</f>
        <v/>
      </c>
      <c r="I128" s="29">
        <f>IF($P128="","",IF(INDEX(EntryWit,$P128)=0,"",INDEX(EntryWit,$P128)))</f>
        <v/>
      </c>
      <c r="J128" s="29">
        <f>IF($B128="","",IF($A128=1,$C$7,IF(J127="",0,J127))+IF($H128="",0,$H128)-IF($I128="",0,$I128))</f>
        <v/>
      </c>
      <c r="K128" s="29">
        <f>IF($P128="","",IF(INDEX(EntryMan,$P128)=0,"",INDEX(EntryMan,$P128)))</f>
        <v/>
      </c>
      <c r="L128" s="28">
        <f>IF($B128="","",IF($K128="","—",IF(ROUND($K128-$J128,0)=0,"√","×")))</f>
        <v/>
      </c>
      <c r="M128" s="28">
        <f>IF($B128="","",IF(COUNTIFS(EntryDates,$B128,CalcTime,$C128,CalcBank,$C$5,EntryParty,$D128,EntryDep,$H128,EntryWit,$I128)&gt;1,"تکرار",""))</f>
        <v/>
      </c>
      <c r="N128" s="28">
        <f>IF($P128="","",IF(INDEX(EntryNotes,$P128)=0,"",INDEX(EntryNotes,$P128)))</f>
        <v/>
      </c>
      <c r="O128" s="28">
        <f>IF($P128="","",IF(INDEX(EntryTxnID,$P128)=0,"",INDEX(EntryTxnID,$P128)))</f>
        <v/>
      </c>
      <c r="P128" s="28">
        <f>IFERROR(MATCH($C$5&amp;"|"&amp;RIGHT("000000"&amp;112,6),CalcRankKey,0),"")</f>
        <v/>
      </c>
    </row>
    <row r="129">
      <c r="A129" s="26">
        <f>IF($B129="","",113)</f>
        <v/>
      </c>
      <c r="B129" s="26">
        <f>IF($P129="","",IF(INDEX(CalcNormDate,$P129)=0,"",INDEX(CalcNormDate,$P129)))</f>
        <v/>
      </c>
      <c r="C129" s="26">
        <f>IF($P129="","",IF(INDEX(CalcTime,$P129)=0,"",INDEX(CalcTime,$P129)))</f>
        <v/>
      </c>
      <c r="D129" s="26">
        <f>IF($P129="","",IF(INDEX(EntryParty,$P129)=0,"",INDEX(EntryParty,$P129)))</f>
        <v/>
      </c>
      <c r="E129" s="26">
        <f>IF($P129="","",IF(INDEX(EntryPartyName,$P129)=0,"",INDEX(EntryPartyName,$P129)))</f>
        <v/>
      </c>
      <c r="F129" s="26">
        <f>IF($P129="","",IF(INDEX(EntryPartyType,$P129)=0,"",INDEX(EntryPartyType,$P129)))</f>
        <v/>
      </c>
      <c r="G129" s="26">
        <f>IF($P129="","",IF(INDEX(EntryTxnType,$P129)=0,"",INDEX(EntryTxnType,$P129)))</f>
        <v/>
      </c>
      <c r="H129" s="27">
        <f>IF($P129="","",IF(INDEX(EntryDep,$P129)=0,"",INDEX(EntryDep,$P129)))</f>
        <v/>
      </c>
      <c r="I129" s="27">
        <f>IF($P129="","",IF(INDEX(EntryWit,$P129)=0,"",INDEX(EntryWit,$P129)))</f>
        <v/>
      </c>
      <c r="J129" s="27">
        <f>IF($B129="","",IF($A129=1,$C$7,IF(J128="",0,J128))+IF($H129="",0,$H129)-IF($I129="",0,$I129))</f>
        <v/>
      </c>
      <c r="K129" s="27">
        <f>IF($P129="","",IF(INDEX(EntryMan,$P129)=0,"",INDEX(EntryMan,$P129)))</f>
        <v/>
      </c>
      <c r="L129" s="26">
        <f>IF($B129="","",IF($K129="","—",IF(ROUND($K129-$J129,0)=0,"√","×")))</f>
        <v/>
      </c>
      <c r="M129" s="26">
        <f>IF($B129="","",IF(COUNTIFS(EntryDates,$B129,CalcTime,$C129,CalcBank,$C$5,EntryParty,$D129,EntryDep,$H129,EntryWit,$I129)&gt;1,"تکرار",""))</f>
        <v/>
      </c>
      <c r="N129" s="26">
        <f>IF($P129="","",IF(INDEX(EntryNotes,$P129)=0,"",INDEX(EntryNotes,$P129)))</f>
        <v/>
      </c>
      <c r="O129" s="26">
        <f>IF($P129="","",IF(INDEX(EntryTxnID,$P129)=0,"",INDEX(EntryTxnID,$P129)))</f>
        <v/>
      </c>
      <c r="P129" s="26">
        <f>IFERROR(MATCH($C$5&amp;"|"&amp;RIGHT("000000"&amp;113,6),CalcRankKey,0),"")</f>
        <v/>
      </c>
    </row>
    <row r="130">
      <c r="A130" s="28">
        <f>IF($B130="","",114)</f>
        <v/>
      </c>
      <c r="B130" s="28">
        <f>IF($P130="","",IF(INDEX(CalcNormDate,$P130)=0,"",INDEX(CalcNormDate,$P130)))</f>
        <v/>
      </c>
      <c r="C130" s="28">
        <f>IF($P130="","",IF(INDEX(CalcTime,$P130)=0,"",INDEX(CalcTime,$P130)))</f>
        <v/>
      </c>
      <c r="D130" s="28">
        <f>IF($P130="","",IF(INDEX(EntryParty,$P130)=0,"",INDEX(EntryParty,$P130)))</f>
        <v/>
      </c>
      <c r="E130" s="28">
        <f>IF($P130="","",IF(INDEX(EntryPartyName,$P130)=0,"",INDEX(EntryPartyName,$P130)))</f>
        <v/>
      </c>
      <c r="F130" s="28">
        <f>IF($P130="","",IF(INDEX(EntryPartyType,$P130)=0,"",INDEX(EntryPartyType,$P130)))</f>
        <v/>
      </c>
      <c r="G130" s="28">
        <f>IF($P130="","",IF(INDEX(EntryTxnType,$P130)=0,"",INDEX(EntryTxnType,$P130)))</f>
        <v/>
      </c>
      <c r="H130" s="29">
        <f>IF($P130="","",IF(INDEX(EntryDep,$P130)=0,"",INDEX(EntryDep,$P130)))</f>
        <v/>
      </c>
      <c r="I130" s="29">
        <f>IF($P130="","",IF(INDEX(EntryWit,$P130)=0,"",INDEX(EntryWit,$P130)))</f>
        <v/>
      </c>
      <c r="J130" s="29">
        <f>IF($B130="","",IF($A130=1,$C$7,IF(J129="",0,J129))+IF($H130="",0,$H130)-IF($I130="",0,$I130))</f>
        <v/>
      </c>
      <c r="K130" s="29">
        <f>IF($P130="","",IF(INDEX(EntryMan,$P130)=0,"",INDEX(EntryMan,$P130)))</f>
        <v/>
      </c>
      <c r="L130" s="28">
        <f>IF($B130="","",IF($K130="","—",IF(ROUND($K130-$J130,0)=0,"√","×")))</f>
        <v/>
      </c>
      <c r="M130" s="28">
        <f>IF($B130="","",IF(COUNTIFS(EntryDates,$B130,CalcTime,$C130,CalcBank,$C$5,EntryParty,$D130,EntryDep,$H130,EntryWit,$I130)&gt;1,"تکرار",""))</f>
        <v/>
      </c>
      <c r="N130" s="28">
        <f>IF($P130="","",IF(INDEX(EntryNotes,$P130)=0,"",INDEX(EntryNotes,$P130)))</f>
        <v/>
      </c>
      <c r="O130" s="28">
        <f>IF($P130="","",IF(INDEX(EntryTxnID,$P130)=0,"",INDEX(EntryTxnID,$P130)))</f>
        <v/>
      </c>
      <c r="P130" s="28">
        <f>IFERROR(MATCH($C$5&amp;"|"&amp;RIGHT("000000"&amp;114,6),CalcRankKey,0),"")</f>
        <v/>
      </c>
    </row>
    <row r="131">
      <c r="A131" s="26">
        <f>IF($B131="","",115)</f>
        <v/>
      </c>
      <c r="B131" s="26">
        <f>IF($P131="","",IF(INDEX(CalcNormDate,$P131)=0,"",INDEX(CalcNormDate,$P131)))</f>
        <v/>
      </c>
      <c r="C131" s="26">
        <f>IF($P131="","",IF(INDEX(CalcTime,$P131)=0,"",INDEX(CalcTime,$P131)))</f>
        <v/>
      </c>
      <c r="D131" s="26">
        <f>IF($P131="","",IF(INDEX(EntryParty,$P131)=0,"",INDEX(EntryParty,$P131)))</f>
        <v/>
      </c>
      <c r="E131" s="26">
        <f>IF($P131="","",IF(INDEX(EntryPartyName,$P131)=0,"",INDEX(EntryPartyName,$P131)))</f>
        <v/>
      </c>
      <c r="F131" s="26">
        <f>IF($P131="","",IF(INDEX(EntryPartyType,$P131)=0,"",INDEX(EntryPartyType,$P131)))</f>
        <v/>
      </c>
      <c r="G131" s="26">
        <f>IF($P131="","",IF(INDEX(EntryTxnType,$P131)=0,"",INDEX(EntryTxnType,$P131)))</f>
        <v/>
      </c>
      <c r="H131" s="27">
        <f>IF($P131="","",IF(INDEX(EntryDep,$P131)=0,"",INDEX(EntryDep,$P131)))</f>
        <v/>
      </c>
      <c r="I131" s="27">
        <f>IF($P131="","",IF(INDEX(EntryWit,$P131)=0,"",INDEX(EntryWit,$P131)))</f>
        <v/>
      </c>
      <c r="J131" s="27">
        <f>IF($B131="","",IF($A131=1,$C$7,IF(J130="",0,J130))+IF($H131="",0,$H131)-IF($I131="",0,$I131))</f>
        <v/>
      </c>
      <c r="K131" s="27">
        <f>IF($P131="","",IF(INDEX(EntryMan,$P131)=0,"",INDEX(EntryMan,$P131)))</f>
        <v/>
      </c>
      <c r="L131" s="26">
        <f>IF($B131="","",IF($K131="","—",IF(ROUND($K131-$J131,0)=0,"√","×")))</f>
        <v/>
      </c>
      <c r="M131" s="26">
        <f>IF($B131="","",IF(COUNTIFS(EntryDates,$B131,CalcTime,$C131,CalcBank,$C$5,EntryParty,$D131,EntryDep,$H131,EntryWit,$I131)&gt;1,"تکرار",""))</f>
        <v/>
      </c>
      <c r="N131" s="26">
        <f>IF($P131="","",IF(INDEX(EntryNotes,$P131)=0,"",INDEX(EntryNotes,$P131)))</f>
        <v/>
      </c>
      <c r="O131" s="26">
        <f>IF($P131="","",IF(INDEX(EntryTxnID,$P131)=0,"",INDEX(EntryTxnID,$P131)))</f>
        <v/>
      </c>
      <c r="P131" s="26">
        <f>IFERROR(MATCH($C$5&amp;"|"&amp;RIGHT("000000"&amp;115,6),CalcRankKey,0),"")</f>
        <v/>
      </c>
    </row>
    <row r="132">
      <c r="A132" s="28">
        <f>IF($B132="","",116)</f>
        <v/>
      </c>
      <c r="B132" s="28">
        <f>IF($P132="","",IF(INDEX(CalcNormDate,$P132)=0,"",INDEX(CalcNormDate,$P132)))</f>
        <v/>
      </c>
      <c r="C132" s="28">
        <f>IF($P132="","",IF(INDEX(CalcTime,$P132)=0,"",INDEX(CalcTime,$P132)))</f>
        <v/>
      </c>
      <c r="D132" s="28">
        <f>IF($P132="","",IF(INDEX(EntryParty,$P132)=0,"",INDEX(EntryParty,$P132)))</f>
        <v/>
      </c>
      <c r="E132" s="28">
        <f>IF($P132="","",IF(INDEX(EntryPartyName,$P132)=0,"",INDEX(EntryPartyName,$P132)))</f>
        <v/>
      </c>
      <c r="F132" s="28">
        <f>IF($P132="","",IF(INDEX(EntryPartyType,$P132)=0,"",INDEX(EntryPartyType,$P132)))</f>
        <v/>
      </c>
      <c r="G132" s="28">
        <f>IF($P132="","",IF(INDEX(EntryTxnType,$P132)=0,"",INDEX(EntryTxnType,$P132)))</f>
        <v/>
      </c>
      <c r="H132" s="29">
        <f>IF($P132="","",IF(INDEX(EntryDep,$P132)=0,"",INDEX(EntryDep,$P132)))</f>
        <v/>
      </c>
      <c r="I132" s="29">
        <f>IF($P132="","",IF(INDEX(EntryWit,$P132)=0,"",INDEX(EntryWit,$P132)))</f>
        <v/>
      </c>
      <c r="J132" s="29">
        <f>IF($B132="","",IF($A132=1,$C$7,IF(J131="",0,J131))+IF($H132="",0,$H132)-IF($I132="",0,$I132))</f>
        <v/>
      </c>
      <c r="K132" s="29">
        <f>IF($P132="","",IF(INDEX(EntryMan,$P132)=0,"",INDEX(EntryMan,$P132)))</f>
        <v/>
      </c>
      <c r="L132" s="28">
        <f>IF($B132="","",IF($K132="","—",IF(ROUND($K132-$J132,0)=0,"√","×")))</f>
        <v/>
      </c>
      <c r="M132" s="28">
        <f>IF($B132="","",IF(COUNTIFS(EntryDates,$B132,CalcTime,$C132,CalcBank,$C$5,EntryParty,$D132,EntryDep,$H132,EntryWit,$I132)&gt;1,"تکرار",""))</f>
        <v/>
      </c>
      <c r="N132" s="28">
        <f>IF($P132="","",IF(INDEX(EntryNotes,$P132)=0,"",INDEX(EntryNotes,$P132)))</f>
        <v/>
      </c>
      <c r="O132" s="28">
        <f>IF($P132="","",IF(INDEX(EntryTxnID,$P132)=0,"",INDEX(EntryTxnID,$P132)))</f>
        <v/>
      </c>
      <c r="P132" s="28">
        <f>IFERROR(MATCH($C$5&amp;"|"&amp;RIGHT("000000"&amp;116,6),CalcRankKey,0),"")</f>
        <v/>
      </c>
    </row>
    <row r="133">
      <c r="A133" s="26">
        <f>IF($B133="","",117)</f>
        <v/>
      </c>
      <c r="B133" s="26">
        <f>IF($P133="","",IF(INDEX(CalcNormDate,$P133)=0,"",INDEX(CalcNormDate,$P133)))</f>
        <v/>
      </c>
      <c r="C133" s="26">
        <f>IF($P133="","",IF(INDEX(CalcTime,$P133)=0,"",INDEX(CalcTime,$P133)))</f>
        <v/>
      </c>
      <c r="D133" s="26">
        <f>IF($P133="","",IF(INDEX(EntryParty,$P133)=0,"",INDEX(EntryParty,$P133)))</f>
        <v/>
      </c>
      <c r="E133" s="26">
        <f>IF($P133="","",IF(INDEX(EntryPartyName,$P133)=0,"",INDEX(EntryPartyName,$P133)))</f>
        <v/>
      </c>
      <c r="F133" s="26">
        <f>IF($P133="","",IF(INDEX(EntryPartyType,$P133)=0,"",INDEX(EntryPartyType,$P133)))</f>
        <v/>
      </c>
      <c r="G133" s="26">
        <f>IF($P133="","",IF(INDEX(EntryTxnType,$P133)=0,"",INDEX(EntryTxnType,$P133)))</f>
        <v/>
      </c>
      <c r="H133" s="27">
        <f>IF($P133="","",IF(INDEX(EntryDep,$P133)=0,"",INDEX(EntryDep,$P133)))</f>
        <v/>
      </c>
      <c r="I133" s="27">
        <f>IF($P133="","",IF(INDEX(EntryWit,$P133)=0,"",INDEX(EntryWit,$P133)))</f>
        <v/>
      </c>
      <c r="J133" s="27">
        <f>IF($B133="","",IF($A133=1,$C$7,IF(J132="",0,J132))+IF($H133="",0,$H133)-IF($I133="",0,$I133))</f>
        <v/>
      </c>
      <c r="K133" s="27">
        <f>IF($P133="","",IF(INDEX(EntryMan,$P133)=0,"",INDEX(EntryMan,$P133)))</f>
        <v/>
      </c>
      <c r="L133" s="26">
        <f>IF($B133="","",IF($K133="","—",IF(ROUND($K133-$J133,0)=0,"√","×")))</f>
        <v/>
      </c>
      <c r="M133" s="26">
        <f>IF($B133="","",IF(COUNTIFS(EntryDates,$B133,CalcTime,$C133,CalcBank,$C$5,EntryParty,$D133,EntryDep,$H133,EntryWit,$I133)&gt;1,"تکرار",""))</f>
        <v/>
      </c>
      <c r="N133" s="26">
        <f>IF($P133="","",IF(INDEX(EntryNotes,$P133)=0,"",INDEX(EntryNotes,$P133)))</f>
        <v/>
      </c>
      <c r="O133" s="26">
        <f>IF($P133="","",IF(INDEX(EntryTxnID,$P133)=0,"",INDEX(EntryTxnID,$P133)))</f>
        <v/>
      </c>
      <c r="P133" s="26">
        <f>IFERROR(MATCH($C$5&amp;"|"&amp;RIGHT("000000"&amp;117,6),CalcRankKey,0),"")</f>
        <v/>
      </c>
    </row>
    <row r="134">
      <c r="A134" s="28">
        <f>IF($B134="","",118)</f>
        <v/>
      </c>
      <c r="B134" s="28">
        <f>IF($P134="","",IF(INDEX(CalcNormDate,$P134)=0,"",INDEX(CalcNormDate,$P134)))</f>
        <v/>
      </c>
      <c r="C134" s="28">
        <f>IF($P134="","",IF(INDEX(CalcTime,$P134)=0,"",INDEX(CalcTime,$P134)))</f>
        <v/>
      </c>
      <c r="D134" s="28">
        <f>IF($P134="","",IF(INDEX(EntryParty,$P134)=0,"",INDEX(EntryParty,$P134)))</f>
        <v/>
      </c>
      <c r="E134" s="28">
        <f>IF($P134="","",IF(INDEX(EntryPartyName,$P134)=0,"",INDEX(EntryPartyName,$P134)))</f>
        <v/>
      </c>
      <c r="F134" s="28">
        <f>IF($P134="","",IF(INDEX(EntryPartyType,$P134)=0,"",INDEX(EntryPartyType,$P134)))</f>
        <v/>
      </c>
      <c r="G134" s="28">
        <f>IF($P134="","",IF(INDEX(EntryTxnType,$P134)=0,"",INDEX(EntryTxnType,$P134)))</f>
        <v/>
      </c>
      <c r="H134" s="29">
        <f>IF($P134="","",IF(INDEX(EntryDep,$P134)=0,"",INDEX(EntryDep,$P134)))</f>
        <v/>
      </c>
      <c r="I134" s="29">
        <f>IF($P134="","",IF(INDEX(EntryWit,$P134)=0,"",INDEX(EntryWit,$P134)))</f>
        <v/>
      </c>
      <c r="J134" s="29">
        <f>IF($B134="","",IF($A134=1,$C$7,IF(J133="",0,J133))+IF($H134="",0,$H134)-IF($I134="",0,$I134))</f>
        <v/>
      </c>
      <c r="K134" s="29">
        <f>IF($P134="","",IF(INDEX(EntryMan,$P134)=0,"",INDEX(EntryMan,$P134)))</f>
        <v/>
      </c>
      <c r="L134" s="28">
        <f>IF($B134="","",IF($K134="","—",IF(ROUND($K134-$J134,0)=0,"√","×")))</f>
        <v/>
      </c>
      <c r="M134" s="28">
        <f>IF($B134="","",IF(COUNTIFS(EntryDates,$B134,CalcTime,$C134,CalcBank,$C$5,EntryParty,$D134,EntryDep,$H134,EntryWit,$I134)&gt;1,"تکرار",""))</f>
        <v/>
      </c>
      <c r="N134" s="28">
        <f>IF($P134="","",IF(INDEX(EntryNotes,$P134)=0,"",INDEX(EntryNotes,$P134)))</f>
        <v/>
      </c>
      <c r="O134" s="28">
        <f>IF($P134="","",IF(INDEX(EntryTxnID,$P134)=0,"",INDEX(EntryTxnID,$P134)))</f>
        <v/>
      </c>
      <c r="P134" s="28">
        <f>IFERROR(MATCH($C$5&amp;"|"&amp;RIGHT("000000"&amp;118,6),CalcRankKey,0),"")</f>
        <v/>
      </c>
    </row>
    <row r="135">
      <c r="A135" s="26">
        <f>IF($B135="","",119)</f>
        <v/>
      </c>
      <c r="B135" s="26">
        <f>IF($P135="","",IF(INDEX(CalcNormDate,$P135)=0,"",INDEX(CalcNormDate,$P135)))</f>
        <v/>
      </c>
      <c r="C135" s="26">
        <f>IF($P135="","",IF(INDEX(CalcTime,$P135)=0,"",INDEX(CalcTime,$P135)))</f>
        <v/>
      </c>
      <c r="D135" s="26">
        <f>IF($P135="","",IF(INDEX(EntryParty,$P135)=0,"",INDEX(EntryParty,$P135)))</f>
        <v/>
      </c>
      <c r="E135" s="26">
        <f>IF($P135="","",IF(INDEX(EntryPartyName,$P135)=0,"",INDEX(EntryPartyName,$P135)))</f>
        <v/>
      </c>
      <c r="F135" s="26">
        <f>IF($P135="","",IF(INDEX(EntryPartyType,$P135)=0,"",INDEX(EntryPartyType,$P135)))</f>
        <v/>
      </c>
      <c r="G135" s="26">
        <f>IF($P135="","",IF(INDEX(EntryTxnType,$P135)=0,"",INDEX(EntryTxnType,$P135)))</f>
        <v/>
      </c>
      <c r="H135" s="27">
        <f>IF($P135="","",IF(INDEX(EntryDep,$P135)=0,"",INDEX(EntryDep,$P135)))</f>
        <v/>
      </c>
      <c r="I135" s="27">
        <f>IF($P135="","",IF(INDEX(EntryWit,$P135)=0,"",INDEX(EntryWit,$P135)))</f>
        <v/>
      </c>
      <c r="J135" s="27">
        <f>IF($B135="","",IF($A135=1,$C$7,IF(J134="",0,J134))+IF($H135="",0,$H135)-IF($I135="",0,$I135))</f>
        <v/>
      </c>
      <c r="K135" s="27">
        <f>IF($P135="","",IF(INDEX(EntryMan,$P135)=0,"",INDEX(EntryMan,$P135)))</f>
        <v/>
      </c>
      <c r="L135" s="26">
        <f>IF($B135="","",IF($K135="","—",IF(ROUND($K135-$J135,0)=0,"√","×")))</f>
        <v/>
      </c>
      <c r="M135" s="26">
        <f>IF($B135="","",IF(COUNTIFS(EntryDates,$B135,CalcTime,$C135,CalcBank,$C$5,EntryParty,$D135,EntryDep,$H135,EntryWit,$I135)&gt;1,"تکرار",""))</f>
        <v/>
      </c>
      <c r="N135" s="26">
        <f>IF($P135="","",IF(INDEX(EntryNotes,$P135)=0,"",INDEX(EntryNotes,$P135)))</f>
        <v/>
      </c>
      <c r="O135" s="26">
        <f>IF($P135="","",IF(INDEX(EntryTxnID,$P135)=0,"",INDEX(EntryTxnID,$P135)))</f>
        <v/>
      </c>
      <c r="P135" s="26">
        <f>IFERROR(MATCH($C$5&amp;"|"&amp;RIGHT("000000"&amp;119,6),CalcRankKey,0),"")</f>
        <v/>
      </c>
    </row>
    <row r="136">
      <c r="A136" s="28">
        <f>IF($B136="","",120)</f>
        <v/>
      </c>
      <c r="B136" s="28">
        <f>IF($P136="","",IF(INDEX(CalcNormDate,$P136)=0,"",INDEX(CalcNormDate,$P136)))</f>
        <v/>
      </c>
      <c r="C136" s="28">
        <f>IF($P136="","",IF(INDEX(CalcTime,$P136)=0,"",INDEX(CalcTime,$P136)))</f>
        <v/>
      </c>
      <c r="D136" s="28">
        <f>IF($P136="","",IF(INDEX(EntryParty,$P136)=0,"",INDEX(EntryParty,$P136)))</f>
        <v/>
      </c>
      <c r="E136" s="28">
        <f>IF($P136="","",IF(INDEX(EntryPartyName,$P136)=0,"",INDEX(EntryPartyName,$P136)))</f>
        <v/>
      </c>
      <c r="F136" s="28">
        <f>IF($P136="","",IF(INDEX(EntryPartyType,$P136)=0,"",INDEX(EntryPartyType,$P136)))</f>
        <v/>
      </c>
      <c r="G136" s="28">
        <f>IF($P136="","",IF(INDEX(EntryTxnType,$P136)=0,"",INDEX(EntryTxnType,$P136)))</f>
        <v/>
      </c>
      <c r="H136" s="29">
        <f>IF($P136="","",IF(INDEX(EntryDep,$P136)=0,"",INDEX(EntryDep,$P136)))</f>
        <v/>
      </c>
      <c r="I136" s="29">
        <f>IF($P136="","",IF(INDEX(EntryWit,$P136)=0,"",INDEX(EntryWit,$P136)))</f>
        <v/>
      </c>
      <c r="J136" s="29">
        <f>IF($B136="","",IF($A136=1,$C$7,IF(J135="",0,J135))+IF($H136="",0,$H136)-IF($I136="",0,$I136))</f>
        <v/>
      </c>
      <c r="K136" s="29">
        <f>IF($P136="","",IF(INDEX(EntryMan,$P136)=0,"",INDEX(EntryMan,$P136)))</f>
        <v/>
      </c>
      <c r="L136" s="28">
        <f>IF($B136="","",IF($K136="","—",IF(ROUND($K136-$J136,0)=0,"√","×")))</f>
        <v/>
      </c>
      <c r="M136" s="28">
        <f>IF($B136="","",IF(COUNTIFS(EntryDates,$B136,CalcTime,$C136,CalcBank,$C$5,EntryParty,$D136,EntryDep,$H136,EntryWit,$I136)&gt;1,"تکرار",""))</f>
        <v/>
      </c>
      <c r="N136" s="28">
        <f>IF($P136="","",IF(INDEX(EntryNotes,$P136)=0,"",INDEX(EntryNotes,$P136)))</f>
        <v/>
      </c>
      <c r="O136" s="28">
        <f>IF($P136="","",IF(INDEX(EntryTxnID,$P136)=0,"",INDEX(EntryTxnID,$P136)))</f>
        <v/>
      </c>
      <c r="P136" s="28">
        <f>IFERROR(MATCH($C$5&amp;"|"&amp;RIGHT("000000"&amp;120,6),CalcRankKey,0),"")</f>
        <v/>
      </c>
    </row>
    <row r="137">
      <c r="A137" s="26">
        <f>IF($B137="","",121)</f>
        <v/>
      </c>
      <c r="B137" s="26">
        <f>IF($P137="","",IF(INDEX(CalcNormDate,$P137)=0,"",INDEX(CalcNormDate,$P137)))</f>
        <v/>
      </c>
      <c r="C137" s="26">
        <f>IF($P137="","",IF(INDEX(CalcTime,$P137)=0,"",INDEX(CalcTime,$P137)))</f>
        <v/>
      </c>
      <c r="D137" s="26">
        <f>IF($P137="","",IF(INDEX(EntryParty,$P137)=0,"",INDEX(EntryParty,$P137)))</f>
        <v/>
      </c>
      <c r="E137" s="26">
        <f>IF($P137="","",IF(INDEX(EntryPartyName,$P137)=0,"",INDEX(EntryPartyName,$P137)))</f>
        <v/>
      </c>
      <c r="F137" s="26">
        <f>IF($P137="","",IF(INDEX(EntryPartyType,$P137)=0,"",INDEX(EntryPartyType,$P137)))</f>
        <v/>
      </c>
      <c r="G137" s="26">
        <f>IF($P137="","",IF(INDEX(EntryTxnType,$P137)=0,"",INDEX(EntryTxnType,$P137)))</f>
        <v/>
      </c>
      <c r="H137" s="27">
        <f>IF($P137="","",IF(INDEX(EntryDep,$P137)=0,"",INDEX(EntryDep,$P137)))</f>
        <v/>
      </c>
      <c r="I137" s="27">
        <f>IF($P137="","",IF(INDEX(EntryWit,$P137)=0,"",INDEX(EntryWit,$P137)))</f>
        <v/>
      </c>
      <c r="J137" s="27">
        <f>IF($B137="","",IF($A137=1,$C$7,IF(J136="",0,J136))+IF($H137="",0,$H137)-IF($I137="",0,$I137))</f>
        <v/>
      </c>
      <c r="K137" s="27">
        <f>IF($P137="","",IF(INDEX(EntryMan,$P137)=0,"",INDEX(EntryMan,$P137)))</f>
        <v/>
      </c>
      <c r="L137" s="26">
        <f>IF($B137="","",IF($K137="","—",IF(ROUND($K137-$J137,0)=0,"√","×")))</f>
        <v/>
      </c>
      <c r="M137" s="26">
        <f>IF($B137="","",IF(COUNTIFS(EntryDates,$B137,CalcTime,$C137,CalcBank,$C$5,EntryParty,$D137,EntryDep,$H137,EntryWit,$I137)&gt;1,"تکرار",""))</f>
        <v/>
      </c>
      <c r="N137" s="26">
        <f>IF($P137="","",IF(INDEX(EntryNotes,$P137)=0,"",INDEX(EntryNotes,$P137)))</f>
        <v/>
      </c>
      <c r="O137" s="26">
        <f>IF($P137="","",IF(INDEX(EntryTxnID,$P137)=0,"",INDEX(EntryTxnID,$P137)))</f>
        <v/>
      </c>
      <c r="P137" s="26">
        <f>IFERROR(MATCH($C$5&amp;"|"&amp;RIGHT("000000"&amp;121,6),CalcRankKey,0),"")</f>
        <v/>
      </c>
    </row>
    <row r="138">
      <c r="A138" s="28">
        <f>IF($B138="","",122)</f>
        <v/>
      </c>
      <c r="B138" s="28">
        <f>IF($P138="","",IF(INDEX(CalcNormDate,$P138)=0,"",INDEX(CalcNormDate,$P138)))</f>
        <v/>
      </c>
      <c r="C138" s="28">
        <f>IF($P138="","",IF(INDEX(CalcTime,$P138)=0,"",INDEX(CalcTime,$P138)))</f>
        <v/>
      </c>
      <c r="D138" s="28">
        <f>IF($P138="","",IF(INDEX(EntryParty,$P138)=0,"",INDEX(EntryParty,$P138)))</f>
        <v/>
      </c>
      <c r="E138" s="28">
        <f>IF($P138="","",IF(INDEX(EntryPartyName,$P138)=0,"",INDEX(EntryPartyName,$P138)))</f>
        <v/>
      </c>
      <c r="F138" s="28">
        <f>IF($P138="","",IF(INDEX(EntryPartyType,$P138)=0,"",INDEX(EntryPartyType,$P138)))</f>
        <v/>
      </c>
      <c r="G138" s="28">
        <f>IF($P138="","",IF(INDEX(EntryTxnType,$P138)=0,"",INDEX(EntryTxnType,$P138)))</f>
        <v/>
      </c>
      <c r="H138" s="29">
        <f>IF($P138="","",IF(INDEX(EntryDep,$P138)=0,"",INDEX(EntryDep,$P138)))</f>
        <v/>
      </c>
      <c r="I138" s="29">
        <f>IF($P138="","",IF(INDEX(EntryWit,$P138)=0,"",INDEX(EntryWit,$P138)))</f>
        <v/>
      </c>
      <c r="J138" s="29">
        <f>IF($B138="","",IF($A138=1,$C$7,IF(J137="",0,J137))+IF($H138="",0,$H138)-IF($I138="",0,$I138))</f>
        <v/>
      </c>
      <c r="K138" s="29">
        <f>IF($P138="","",IF(INDEX(EntryMan,$P138)=0,"",INDEX(EntryMan,$P138)))</f>
        <v/>
      </c>
      <c r="L138" s="28">
        <f>IF($B138="","",IF($K138="","—",IF(ROUND($K138-$J138,0)=0,"√","×")))</f>
        <v/>
      </c>
      <c r="M138" s="28">
        <f>IF($B138="","",IF(COUNTIFS(EntryDates,$B138,CalcTime,$C138,CalcBank,$C$5,EntryParty,$D138,EntryDep,$H138,EntryWit,$I138)&gt;1,"تکرار",""))</f>
        <v/>
      </c>
      <c r="N138" s="28">
        <f>IF($P138="","",IF(INDEX(EntryNotes,$P138)=0,"",INDEX(EntryNotes,$P138)))</f>
        <v/>
      </c>
      <c r="O138" s="28">
        <f>IF($P138="","",IF(INDEX(EntryTxnID,$P138)=0,"",INDEX(EntryTxnID,$P138)))</f>
        <v/>
      </c>
      <c r="P138" s="28">
        <f>IFERROR(MATCH($C$5&amp;"|"&amp;RIGHT("000000"&amp;122,6),CalcRankKey,0),"")</f>
        <v/>
      </c>
    </row>
    <row r="139">
      <c r="A139" s="26">
        <f>IF($B139="","",123)</f>
        <v/>
      </c>
      <c r="B139" s="26">
        <f>IF($P139="","",IF(INDEX(CalcNormDate,$P139)=0,"",INDEX(CalcNormDate,$P139)))</f>
        <v/>
      </c>
      <c r="C139" s="26">
        <f>IF($P139="","",IF(INDEX(CalcTime,$P139)=0,"",INDEX(CalcTime,$P139)))</f>
        <v/>
      </c>
      <c r="D139" s="26">
        <f>IF($P139="","",IF(INDEX(EntryParty,$P139)=0,"",INDEX(EntryParty,$P139)))</f>
        <v/>
      </c>
      <c r="E139" s="26">
        <f>IF($P139="","",IF(INDEX(EntryPartyName,$P139)=0,"",INDEX(EntryPartyName,$P139)))</f>
        <v/>
      </c>
      <c r="F139" s="26">
        <f>IF($P139="","",IF(INDEX(EntryPartyType,$P139)=0,"",INDEX(EntryPartyType,$P139)))</f>
        <v/>
      </c>
      <c r="G139" s="26">
        <f>IF($P139="","",IF(INDEX(EntryTxnType,$P139)=0,"",INDEX(EntryTxnType,$P139)))</f>
        <v/>
      </c>
      <c r="H139" s="27">
        <f>IF($P139="","",IF(INDEX(EntryDep,$P139)=0,"",INDEX(EntryDep,$P139)))</f>
        <v/>
      </c>
      <c r="I139" s="27">
        <f>IF($P139="","",IF(INDEX(EntryWit,$P139)=0,"",INDEX(EntryWit,$P139)))</f>
        <v/>
      </c>
      <c r="J139" s="27">
        <f>IF($B139="","",IF($A139=1,$C$7,IF(J138="",0,J138))+IF($H139="",0,$H139)-IF($I139="",0,$I139))</f>
        <v/>
      </c>
      <c r="K139" s="27">
        <f>IF($P139="","",IF(INDEX(EntryMan,$P139)=0,"",INDEX(EntryMan,$P139)))</f>
        <v/>
      </c>
      <c r="L139" s="26">
        <f>IF($B139="","",IF($K139="","—",IF(ROUND($K139-$J139,0)=0,"√","×")))</f>
        <v/>
      </c>
      <c r="M139" s="26">
        <f>IF($B139="","",IF(COUNTIFS(EntryDates,$B139,CalcTime,$C139,CalcBank,$C$5,EntryParty,$D139,EntryDep,$H139,EntryWit,$I139)&gt;1,"تکرار",""))</f>
        <v/>
      </c>
      <c r="N139" s="26">
        <f>IF($P139="","",IF(INDEX(EntryNotes,$P139)=0,"",INDEX(EntryNotes,$P139)))</f>
        <v/>
      </c>
      <c r="O139" s="26">
        <f>IF($P139="","",IF(INDEX(EntryTxnID,$P139)=0,"",INDEX(EntryTxnID,$P139)))</f>
        <v/>
      </c>
      <c r="P139" s="26">
        <f>IFERROR(MATCH($C$5&amp;"|"&amp;RIGHT("000000"&amp;123,6),CalcRankKey,0),"")</f>
        <v/>
      </c>
    </row>
    <row r="140">
      <c r="A140" s="28">
        <f>IF($B140="","",124)</f>
        <v/>
      </c>
      <c r="B140" s="28">
        <f>IF($P140="","",IF(INDEX(CalcNormDate,$P140)=0,"",INDEX(CalcNormDate,$P140)))</f>
        <v/>
      </c>
      <c r="C140" s="28">
        <f>IF($P140="","",IF(INDEX(CalcTime,$P140)=0,"",INDEX(CalcTime,$P140)))</f>
        <v/>
      </c>
      <c r="D140" s="28">
        <f>IF($P140="","",IF(INDEX(EntryParty,$P140)=0,"",INDEX(EntryParty,$P140)))</f>
        <v/>
      </c>
      <c r="E140" s="28">
        <f>IF($P140="","",IF(INDEX(EntryPartyName,$P140)=0,"",INDEX(EntryPartyName,$P140)))</f>
        <v/>
      </c>
      <c r="F140" s="28">
        <f>IF($P140="","",IF(INDEX(EntryPartyType,$P140)=0,"",INDEX(EntryPartyType,$P140)))</f>
        <v/>
      </c>
      <c r="G140" s="28">
        <f>IF($P140="","",IF(INDEX(EntryTxnType,$P140)=0,"",INDEX(EntryTxnType,$P140)))</f>
        <v/>
      </c>
      <c r="H140" s="29">
        <f>IF($P140="","",IF(INDEX(EntryDep,$P140)=0,"",INDEX(EntryDep,$P140)))</f>
        <v/>
      </c>
      <c r="I140" s="29">
        <f>IF($P140="","",IF(INDEX(EntryWit,$P140)=0,"",INDEX(EntryWit,$P140)))</f>
        <v/>
      </c>
      <c r="J140" s="29">
        <f>IF($B140="","",IF($A140=1,$C$7,IF(J139="",0,J139))+IF($H140="",0,$H140)-IF($I140="",0,$I140))</f>
        <v/>
      </c>
      <c r="K140" s="29">
        <f>IF($P140="","",IF(INDEX(EntryMan,$P140)=0,"",INDEX(EntryMan,$P140)))</f>
        <v/>
      </c>
      <c r="L140" s="28">
        <f>IF($B140="","",IF($K140="","—",IF(ROUND($K140-$J140,0)=0,"√","×")))</f>
        <v/>
      </c>
      <c r="M140" s="28">
        <f>IF($B140="","",IF(COUNTIFS(EntryDates,$B140,CalcTime,$C140,CalcBank,$C$5,EntryParty,$D140,EntryDep,$H140,EntryWit,$I140)&gt;1,"تکرار",""))</f>
        <v/>
      </c>
      <c r="N140" s="28">
        <f>IF($P140="","",IF(INDEX(EntryNotes,$P140)=0,"",INDEX(EntryNotes,$P140)))</f>
        <v/>
      </c>
      <c r="O140" s="28">
        <f>IF($P140="","",IF(INDEX(EntryTxnID,$P140)=0,"",INDEX(EntryTxnID,$P140)))</f>
        <v/>
      </c>
      <c r="P140" s="28">
        <f>IFERROR(MATCH($C$5&amp;"|"&amp;RIGHT("000000"&amp;124,6),CalcRankKey,0),"")</f>
        <v/>
      </c>
    </row>
    <row r="141">
      <c r="A141" s="26">
        <f>IF($B141="","",125)</f>
        <v/>
      </c>
      <c r="B141" s="26">
        <f>IF($P141="","",IF(INDEX(CalcNormDate,$P141)=0,"",INDEX(CalcNormDate,$P141)))</f>
        <v/>
      </c>
      <c r="C141" s="26">
        <f>IF($P141="","",IF(INDEX(CalcTime,$P141)=0,"",INDEX(CalcTime,$P141)))</f>
        <v/>
      </c>
      <c r="D141" s="26">
        <f>IF($P141="","",IF(INDEX(EntryParty,$P141)=0,"",INDEX(EntryParty,$P141)))</f>
        <v/>
      </c>
      <c r="E141" s="26">
        <f>IF($P141="","",IF(INDEX(EntryPartyName,$P141)=0,"",INDEX(EntryPartyName,$P141)))</f>
        <v/>
      </c>
      <c r="F141" s="26">
        <f>IF($P141="","",IF(INDEX(EntryPartyType,$P141)=0,"",INDEX(EntryPartyType,$P141)))</f>
        <v/>
      </c>
      <c r="G141" s="26">
        <f>IF($P141="","",IF(INDEX(EntryTxnType,$P141)=0,"",INDEX(EntryTxnType,$P141)))</f>
        <v/>
      </c>
      <c r="H141" s="27">
        <f>IF($P141="","",IF(INDEX(EntryDep,$P141)=0,"",INDEX(EntryDep,$P141)))</f>
        <v/>
      </c>
      <c r="I141" s="27">
        <f>IF($P141="","",IF(INDEX(EntryWit,$P141)=0,"",INDEX(EntryWit,$P141)))</f>
        <v/>
      </c>
      <c r="J141" s="27">
        <f>IF($B141="","",IF($A141=1,$C$7,IF(J140="",0,J140))+IF($H141="",0,$H141)-IF($I141="",0,$I141))</f>
        <v/>
      </c>
      <c r="K141" s="27">
        <f>IF($P141="","",IF(INDEX(EntryMan,$P141)=0,"",INDEX(EntryMan,$P141)))</f>
        <v/>
      </c>
      <c r="L141" s="26">
        <f>IF($B141="","",IF($K141="","—",IF(ROUND($K141-$J141,0)=0,"√","×")))</f>
        <v/>
      </c>
      <c r="M141" s="26">
        <f>IF($B141="","",IF(COUNTIFS(EntryDates,$B141,CalcTime,$C141,CalcBank,$C$5,EntryParty,$D141,EntryDep,$H141,EntryWit,$I141)&gt;1,"تکرار",""))</f>
        <v/>
      </c>
      <c r="N141" s="26">
        <f>IF($P141="","",IF(INDEX(EntryNotes,$P141)=0,"",INDEX(EntryNotes,$P141)))</f>
        <v/>
      </c>
      <c r="O141" s="26">
        <f>IF($P141="","",IF(INDEX(EntryTxnID,$P141)=0,"",INDEX(EntryTxnID,$P141)))</f>
        <v/>
      </c>
      <c r="P141" s="26">
        <f>IFERROR(MATCH($C$5&amp;"|"&amp;RIGHT("000000"&amp;125,6),CalcRankKey,0),"")</f>
        <v/>
      </c>
    </row>
    <row r="142">
      <c r="A142" s="28">
        <f>IF($B142="","",126)</f>
        <v/>
      </c>
      <c r="B142" s="28">
        <f>IF($P142="","",IF(INDEX(CalcNormDate,$P142)=0,"",INDEX(CalcNormDate,$P142)))</f>
        <v/>
      </c>
      <c r="C142" s="28">
        <f>IF($P142="","",IF(INDEX(CalcTime,$P142)=0,"",INDEX(CalcTime,$P142)))</f>
        <v/>
      </c>
      <c r="D142" s="28">
        <f>IF($P142="","",IF(INDEX(EntryParty,$P142)=0,"",INDEX(EntryParty,$P142)))</f>
        <v/>
      </c>
      <c r="E142" s="28">
        <f>IF($P142="","",IF(INDEX(EntryPartyName,$P142)=0,"",INDEX(EntryPartyName,$P142)))</f>
        <v/>
      </c>
      <c r="F142" s="28">
        <f>IF($P142="","",IF(INDEX(EntryPartyType,$P142)=0,"",INDEX(EntryPartyType,$P142)))</f>
        <v/>
      </c>
      <c r="G142" s="28">
        <f>IF($P142="","",IF(INDEX(EntryTxnType,$P142)=0,"",INDEX(EntryTxnType,$P142)))</f>
        <v/>
      </c>
      <c r="H142" s="29">
        <f>IF($P142="","",IF(INDEX(EntryDep,$P142)=0,"",INDEX(EntryDep,$P142)))</f>
        <v/>
      </c>
      <c r="I142" s="29">
        <f>IF($P142="","",IF(INDEX(EntryWit,$P142)=0,"",INDEX(EntryWit,$P142)))</f>
        <v/>
      </c>
      <c r="J142" s="29">
        <f>IF($B142="","",IF($A142=1,$C$7,IF(J141="",0,J141))+IF($H142="",0,$H142)-IF($I142="",0,$I142))</f>
        <v/>
      </c>
      <c r="K142" s="29">
        <f>IF($P142="","",IF(INDEX(EntryMan,$P142)=0,"",INDEX(EntryMan,$P142)))</f>
        <v/>
      </c>
      <c r="L142" s="28">
        <f>IF($B142="","",IF($K142="","—",IF(ROUND($K142-$J142,0)=0,"√","×")))</f>
        <v/>
      </c>
      <c r="M142" s="28">
        <f>IF($B142="","",IF(COUNTIFS(EntryDates,$B142,CalcTime,$C142,CalcBank,$C$5,EntryParty,$D142,EntryDep,$H142,EntryWit,$I142)&gt;1,"تکرار",""))</f>
        <v/>
      </c>
      <c r="N142" s="28">
        <f>IF($P142="","",IF(INDEX(EntryNotes,$P142)=0,"",INDEX(EntryNotes,$P142)))</f>
        <v/>
      </c>
      <c r="O142" s="28">
        <f>IF($P142="","",IF(INDEX(EntryTxnID,$P142)=0,"",INDEX(EntryTxnID,$P142)))</f>
        <v/>
      </c>
      <c r="P142" s="28">
        <f>IFERROR(MATCH($C$5&amp;"|"&amp;RIGHT("000000"&amp;126,6),CalcRankKey,0),"")</f>
        <v/>
      </c>
    </row>
    <row r="143">
      <c r="A143" s="26">
        <f>IF($B143="","",127)</f>
        <v/>
      </c>
      <c r="B143" s="26">
        <f>IF($P143="","",IF(INDEX(CalcNormDate,$P143)=0,"",INDEX(CalcNormDate,$P143)))</f>
        <v/>
      </c>
      <c r="C143" s="26">
        <f>IF($P143="","",IF(INDEX(CalcTime,$P143)=0,"",INDEX(CalcTime,$P143)))</f>
        <v/>
      </c>
      <c r="D143" s="26">
        <f>IF($P143="","",IF(INDEX(EntryParty,$P143)=0,"",INDEX(EntryParty,$P143)))</f>
        <v/>
      </c>
      <c r="E143" s="26">
        <f>IF($P143="","",IF(INDEX(EntryPartyName,$P143)=0,"",INDEX(EntryPartyName,$P143)))</f>
        <v/>
      </c>
      <c r="F143" s="26">
        <f>IF($P143="","",IF(INDEX(EntryPartyType,$P143)=0,"",INDEX(EntryPartyType,$P143)))</f>
        <v/>
      </c>
      <c r="G143" s="26">
        <f>IF($P143="","",IF(INDEX(EntryTxnType,$P143)=0,"",INDEX(EntryTxnType,$P143)))</f>
        <v/>
      </c>
      <c r="H143" s="27">
        <f>IF($P143="","",IF(INDEX(EntryDep,$P143)=0,"",INDEX(EntryDep,$P143)))</f>
        <v/>
      </c>
      <c r="I143" s="27">
        <f>IF($P143="","",IF(INDEX(EntryWit,$P143)=0,"",INDEX(EntryWit,$P143)))</f>
        <v/>
      </c>
      <c r="J143" s="27">
        <f>IF($B143="","",IF($A143=1,$C$7,IF(J142="",0,J142))+IF($H143="",0,$H143)-IF($I143="",0,$I143))</f>
        <v/>
      </c>
      <c r="K143" s="27">
        <f>IF($P143="","",IF(INDEX(EntryMan,$P143)=0,"",INDEX(EntryMan,$P143)))</f>
        <v/>
      </c>
      <c r="L143" s="26">
        <f>IF($B143="","",IF($K143="","—",IF(ROUND($K143-$J143,0)=0,"√","×")))</f>
        <v/>
      </c>
      <c r="M143" s="26">
        <f>IF($B143="","",IF(COUNTIFS(EntryDates,$B143,CalcTime,$C143,CalcBank,$C$5,EntryParty,$D143,EntryDep,$H143,EntryWit,$I143)&gt;1,"تکرار",""))</f>
        <v/>
      </c>
      <c r="N143" s="26">
        <f>IF($P143="","",IF(INDEX(EntryNotes,$P143)=0,"",INDEX(EntryNotes,$P143)))</f>
        <v/>
      </c>
      <c r="O143" s="26">
        <f>IF($P143="","",IF(INDEX(EntryTxnID,$P143)=0,"",INDEX(EntryTxnID,$P143)))</f>
        <v/>
      </c>
      <c r="P143" s="26">
        <f>IFERROR(MATCH($C$5&amp;"|"&amp;RIGHT("000000"&amp;127,6),CalcRankKey,0),"")</f>
        <v/>
      </c>
    </row>
    <row r="144">
      <c r="A144" s="28">
        <f>IF($B144="","",128)</f>
        <v/>
      </c>
      <c r="B144" s="28">
        <f>IF($P144="","",IF(INDEX(CalcNormDate,$P144)=0,"",INDEX(CalcNormDate,$P144)))</f>
        <v/>
      </c>
      <c r="C144" s="28">
        <f>IF($P144="","",IF(INDEX(CalcTime,$P144)=0,"",INDEX(CalcTime,$P144)))</f>
        <v/>
      </c>
      <c r="D144" s="28">
        <f>IF($P144="","",IF(INDEX(EntryParty,$P144)=0,"",INDEX(EntryParty,$P144)))</f>
        <v/>
      </c>
      <c r="E144" s="28">
        <f>IF($P144="","",IF(INDEX(EntryPartyName,$P144)=0,"",INDEX(EntryPartyName,$P144)))</f>
        <v/>
      </c>
      <c r="F144" s="28">
        <f>IF($P144="","",IF(INDEX(EntryPartyType,$P144)=0,"",INDEX(EntryPartyType,$P144)))</f>
        <v/>
      </c>
      <c r="G144" s="28">
        <f>IF($P144="","",IF(INDEX(EntryTxnType,$P144)=0,"",INDEX(EntryTxnType,$P144)))</f>
        <v/>
      </c>
      <c r="H144" s="29">
        <f>IF($P144="","",IF(INDEX(EntryDep,$P144)=0,"",INDEX(EntryDep,$P144)))</f>
        <v/>
      </c>
      <c r="I144" s="29">
        <f>IF($P144="","",IF(INDEX(EntryWit,$P144)=0,"",INDEX(EntryWit,$P144)))</f>
        <v/>
      </c>
      <c r="J144" s="29">
        <f>IF($B144="","",IF($A144=1,$C$7,IF(J143="",0,J143))+IF($H144="",0,$H144)-IF($I144="",0,$I144))</f>
        <v/>
      </c>
      <c r="K144" s="29">
        <f>IF($P144="","",IF(INDEX(EntryMan,$P144)=0,"",INDEX(EntryMan,$P144)))</f>
        <v/>
      </c>
      <c r="L144" s="28">
        <f>IF($B144="","",IF($K144="","—",IF(ROUND($K144-$J144,0)=0,"√","×")))</f>
        <v/>
      </c>
      <c r="M144" s="28">
        <f>IF($B144="","",IF(COUNTIFS(EntryDates,$B144,CalcTime,$C144,CalcBank,$C$5,EntryParty,$D144,EntryDep,$H144,EntryWit,$I144)&gt;1,"تکرار",""))</f>
        <v/>
      </c>
      <c r="N144" s="28">
        <f>IF($P144="","",IF(INDEX(EntryNotes,$P144)=0,"",INDEX(EntryNotes,$P144)))</f>
        <v/>
      </c>
      <c r="O144" s="28">
        <f>IF($P144="","",IF(INDEX(EntryTxnID,$P144)=0,"",INDEX(EntryTxnID,$P144)))</f>
        <v/>
      </c>
      <c r="P144" s="28">
        <f>IFERROR(MATCH($C$5&amp;"|"&amp;RIGHT("000000"&amp;128,6),CalcRankKey,0),"")</f>
        <v/>
      </c>
    </row>
    <row r="145">
      <c r="A145" s="26">
        <f>IF($B145="","",129)</f>
        <v/>
      </c>
      <c r="B145" s="26">
        <f>IF($P145="","",IF(INDEX(CalcNormDate,$P145)=0,"",INDEX(CalcNormDate,$P145)))</f>
        <v/>
      </c>
      <c r="C145" s="26">
        <f>IF($P145="","",IF(INDEX(CalcTime,$P145)=0,"",INDEX(CalcTime,$P145)))</f>
        <v/>
      </c>
      <c r="D145" s="26">
        <f>IF($P145="","",IF(INDEX(EntryParty,$P145)=0,"",INDEX(EntryParty,$P145)))</f>
        <v/>
      </c>
      <c r="E145" s="26">
        <f>IF($P145="","",IF(INDEX(EntryPartyName,$P145)=0,"",INDEX(EntryPartyName,$P145)))</f>
        <v/>
      </c>
      <c r="F145" s="26">
        <f>IF($P145="","",IF(INDEX(EntryPartyType,$P145)=0,"",INDEX(EntryPartyType,$P145)))</f>
        <v/>
      </c>
      <c r="G145" s="26">
        <f>IF($P145="","",IF(INDEX(EntryTxnType,$P145)=0,"",INDEX(EntryTxnType,$P145)))</f>
        <v/>
      </c>
      <c r="H145" s="27">
        <f>IF($P145="","",IF(INDEX(EntryDep,$P145)=0,"",INDEX(EntryDep,$P145)))</f>
        <v/>
      </c>
      <c r="I145" s="27">
        <f>IF($P145="","",IF(INDEX(EntryWit,$P145)=0,"",INDEX(EntryWit,$P145)))</f>
        <v/>
      </c>
      <c r="J145" s="27">
        <f>IF($B145="","",IF($A145=1,$C$7,IF(J144="",0,J144))+IF($H145="",0,$H145)-IF($I145="",0,$I145))</f>
        <v/>
      </c>
      <c r="K145" s="27">
        <f>IF($P145="","",IF(INDEX(EntryMan,$P145)=0,"",INDEX(EntryMan,$P145)))</f>
        <v/>
      </c>
      <c r="L145" s="26">
        <f>IF($B145="","",IF($K145="","—",IF(ROUND($K145-$J145,0)=0,"√","×")))</f>
        <v/>
      </c>
      <c r="M145" s="26">
        <f>IF($B145="","",IF(COUNTIFS(EntryDates,$B145,CalcTime,$C145,CalcBank,$C$5,EntryParty,$D145,EntryDep,$H145,EntryWit,$I145)&gt;1,"تکرار",""))</f>
        <v/>
      </c>
      <c r="N145" s="26">
        <f>IF($P145="","",IF(INDEX(EntryNotes,$P145)=0,"",INDEX(EntryNotes,$P145)))</f>
        <v/>
      </c>
      <c r="O145" s="26">
        <f>IF($P145="","",IF(INDEX(EntryTxnID,$P145)=0,"",INDEX(EntryTxnID,$P145)))</f>
        <v/>
      </c>
      <c r="P145" s="26">
        <f>IFERROR(MATCH($C$5&amp;"|"&amp;RIGHT("000000"&amp;129,6),CalcRankKey,0),"")</f>
        <v/>
      </c>
    </row>
    <row r="146">
      <c r="A146" s="28">
        <f>IF($B146="","",130)</f>
        <v/>
      </c>
      <c r="B146" s="28">
        <f>IF($P146="","",IF(INDEX(CalcNormDate,$P146)=0,"",INDEX(CalcNormDate,$P146)))</f>
        <v/>
      </c>
      <c r="C146" s="28">
        <f>IF($P146="","",IF(INDEX(CalcTime,$P146)=0,"",INDEX(CalcTime,$P146)))</f>
        <v/>
      </c>
      <c r="D146" s="28">
        <f>IF($P146="","",IF(INDEX(EntryParty,$P146)=0,"",INDEX(EntryParty,$P146)))</f>
        <v/>
      </c>
      <c r="E146" s="28">
        <f>IF($P146="","",IF(INDEX(EntryPartyName,$P146)=0,"",INDEX(EntryPartyName,$P146)))</f>
        <v/>
      </c>
      <c r="F146" s="28">
        <f>IF($P146="","",IF(INDEX(EntryPartyType,$P146)=0,"",INDEX(EntryPartyType,$P146)))</f>
        <v/>
      </c>
      <c r="G146" s="28">
        <f>IF($P146="","",IF(INDEX(EntryTxnType,$P146)=0,"",INDEX(EntryTxnType,$P146)))</f>
        <v/>
      </c>
      <c r="H146" s="29">
        <f>IF($P146="","",IF(INDEX(EntryDep,$P146)=0,"",INDEX(EntryDep,$P146)))</f>
        <v/>
      </c>
      <c r="I146" s="29">
        <f>IF($P146="","",IF(INDEX(EntryWit,$P146)=0,"",INDEX(EntryWit,$P146)))</f>
        <v/>
      </c>
      <c r="J146" s="29">
        <f>IF($B146="","",IF($A146=1,$C$7,IF(J145="",0,J145))+IF($H146="",0,$H146)-IF($I146="",0,$I146))</f>
        <v/>
      </c>
      <c r="K146" s="29">
        <f>IF($P146="","",IF(INDEX(EntryMan,$P146)=0,"",INDEX(EntryMan,$P146)))</f>
        <v/>
      </c>
      <c r="L146" s="28">
        <f>IF($B146="","",IF($K146="","—",IF(ROUND($K146-$J146,0)=0,"√","×")))</f>
        <v/>
      </c>
      <c r="M146" s="28">
        <f>IF($B146="","",IF(COUNTIFS(EntryDates,$B146,CalcTime,$C146,CalcBank,$C$5,EntryParty,$D146,EntryDep,$H146,EntryWit,$I146)&gt;1,"تکرار",""))</f>
        <v/>
      </c>
      <c r="N146" s="28">
        <f>IF($P146="","",IF(INDEX(EntryNotes,$P146)=0,"",INDEX(EntryNotes,$P146)))</f>
        <v/>
      </c>
      <c r="O146" s="28">
        <f>IF($P146="","",IF(INDEX(EntryTxnID,$P146)=0,"",INDEX(EntryTxnID,$P146)))</f>
        <v/>
      </c>
      <c r="P146" s="28">
        <f>IFERROR(MATCH($C$5&amp;"|"&amp;RIGHT("000000"&amp;130,6),CalcRankKey,0),"")</f>
        <v/>
      </c>
    </row>
    <row r="147">
      <c r="A147" s="26">
        <f>IF($B147="","",131)</f>
        <v/>
      </c>
      <c r="B147" s="26">
        <f>IF($P147="","",IF(INDEX(CalcNormDate,$P147)=0,"",INDEX(CalcNormDate,$P147)))</f>
        <v/>
      </c>
      <c r="C147" s="26">
        <f>IF($P147="","",IF(INDEX(CalcTime,$P147)=0,"",INDEX(CalcTime,$P147)))</f>
        <v/>
      </c>
      <c r="D147" s="26">
        <f>IF($P147="","",IF(INDEX(EntryParty,$P147)=0,"",INDEX(EntryParty,$P147)))</f>
        <v/>
      </c>
      <c r="E147" s="26">
        <f>IF($P147="","",IF(INDEX(EntryPartyName,$P147)=0,"",INDEX(EntryPartyName,$P147)))</f>
        <v/>
      </c>
      <c r="F147" s="26">
        <f>IF($P147="","",IF(INDEX(EntryPartyType,$P147)=0,"",INDEX(EntryPartyType,$P147)))</f>
        <v/>
      </c>
      <c r="G147" s="26">
        <f>IF($P147="","",IF(INDEX(EntryTxnType,$P147)=0,"",INDEX(EntryTxnType,$P147)))</f>
        <v/>
      </c>
      <c r="H147" s="27">
        <f>IF($P147="","",IF(INDEX(EntryDep,$P147)=0,"",INDEX(EntryDep,$P147)))</f>
        <v/>
      </c>
      <c r="I147" s="27">
        <f>IF($P147="","",IF(INDEX(EntryWit,$P147)=0,"",INDEX(EntryWit,$P147)))</f>
        <v/>
      </c>
      <c r="J147" s="27">
        <f>IF($B147="","",IF($A147=1,$C$7,IF(J146="",0,J146))+IF($H147="",0,$H147)-IF($I147="",0,$I147))</f>
        <v/>
      </c>
      <c r="K147" s="27">
        <f>IF($P147="","",IF(INDEX(EntryMan,$P147)=0,"",INDEX(EntryMan,$P147)))</f>
        <v/>
      </c>
      <c r="L147" s="26">
        <f>IF($B147="","",IF($K147="","—",IF(ROUND($K147-$J147,0)=0,"√","×")))</f>
        <v/>
      </c>
      <c r="M147" s="26">
        <f>IF($B147="","",IF(COUNTIFS(EntryDates,$B147,CalcTime,$C147,CalcBank,$C$5,EntryParty,$D147,EntryDep,$H147,EntryWit,$I147)&gt;1,"تکرار",""))</f>
        <v/>
      </c>
      <c r="N147" s="26">
        <f>IF($P147="","",IF(INDEX(EntryNotes,$P147)=0,"",INDEX(EntryNotes,$P147)))</f>
        <v/>
      </c>
      <c r="O147" s="26">
        <f>IF($P147="","",IF(INDEX(EntryTxnID,$P147)=0,"",INDEX(EntryTxnID,$P147)))</f>
        <v/>
      </c>
      <c r="P147" s="26">
        <f>IFERROR(MATCH($C$5&amp;"|"&amp;RIGHT("000000"&amp;131,6),CalcRankKey,0),"")</f>
        <v/>
      </c>
    </row>
    <row r="148">
      <c r="A148" s="28">
        <f>IF($B148="","",132)</f>
        <v/>
      </c>
      <c r="B148" s="28">
        <f>IF($P148="","",IF(INDEX(CalcNormDate,$P148)=0,"",INDEX(CalcNormDate,$P148)))</f>
        <v/>
      </c>
      <c r="C148" s="28">
        <f>IF($P148="","",IF(INDEX(CalcTime,$P148)=0,"",INDEX(CalcTime,$P148)))</f>
        <v/>
      </c>
      <c r="D148" s="28">
        <f>IF($P148="","",IF(INDEX(EntryParty,$P148)=0,"",INDEX(EntryParty,$P148)))</f>
        <v/>
      </c>
      <c r="E148" s="28">
        <f>IF($P148="","",IF(INDEX(EntryPartyName,$P148)=0,"",INDEX(EntryPartyName,$P148)))</f>
        <v/>
      </c>
      <c r="F148" s="28">
        <f>IF($P148="","",IF(INDEX(EntryPartyType,$P148)=0,"",INDEX(EntryPartyType,$P148)))</f>
        <v/>
      </c>
      <c r="G148" s="28">
        <f>IF($P148="","",IF(INDEX(EntryTxnType,$P148)=0,"",INDEX(EntryTxnType,$P148)))</f>
        <v/>
      </c>
      <c r="H148" s="29">
        <f>IF($P148="","",IF(INDEX(EntryDep,$P148)=0,"",INDEX(EntryDep,$P148)))</f>
        <v/>
      </c>
      <c r="I148" s="29">
        <f>IF($P148="","",IF(INDEX(EntryWit,$P148)=0,"",INDEX(EntryWit,$P148)))</f>
        <v/>
      </c>
      <c r="J148" s="29">
        <f>IF($B148="","",IF($A148=1,$C$7,IF(J147="",0,J147))+IF($H148="",0,$H148)-IF($I148="",0,$I148))</f>
        <v/>
      </c>
      <c r="K148" s="29">
        <f>IF($P148="","",IF(INDEX(EntryMan,$P148)=0,"",INDEX(EntryMan,$P148)))</f>
        <v/>
      </c>
      <c r="L148" s="28">
        <f>IF($B148="","",IF($K148="","—",IF(ROUND($K148-$J148,0)=0,"√","×")))</f>
        <v/>
      </c>
      <c r="M148" s="28">
        <f>IF($B148="","",IF(COUNTIFS(EntryDates,$B148,CalcTime,$C148,CalcBank,$C$5,EntryParty,$D148,EntryDep,$H148,EntryWit,$I148)&gt;1,"تکرار",""))</f>
        <v/>
      </c>
      <c r="N148" s="28">
        <f>IF($P148="","",IF(INDEX(EntryNotes,$P148)=0,"",INDEX(EntryNotes,$P148)))</f>
        <v/>
      </c>
      <c r="O148" s="28">
        <f>IF($P148="","",IF(INDEX(EntryTxnID,$P148)=0,"",INDEX(EntryTxnID,$P148)))</f>
        <v/>
      </c>
      <c r="P148" s="28">
        <f>IFERROR(MATCH($C$5&amp;"|"&amp;RIGHT("000000"&amp;132,6),CalcRankKey,0),"")</f>
        <v/>
      </c>
    </row>
    <row r="149">
      <c r="A149" s="26">
        <f>IF($B149="","",133)</f>
        <v/>
      </c>
      <c r="B149" s="26">
        <f>IF($P149="","",IF(INDEX(CalcNormDate,$P149)=0,"",INDEX(CalcNormDate,$P149)))</f>
        <v/>
      </c>
      <c r="C149" s="26">
        <f>IF($P149="","",IF(INDEX(CalcTime,$P149)=0,"",INDEX(CalcTime,$P149)))</f>
        <v/>
      </c>
      <c r="D149" s="26">
        <f>IF($P149="","",IF(INDEX(EntryParty,$P149)=0,"",INDEX(EntryParty,$P149)))</f>
        <v/>
      </c>
      <c r="E149" s="26">
        <f>IF($P149="","",IF(INDEX(EntryPartyName,$P149)=0,"",INDEX(EntryPartyName,$P149)))</f>
        <v/>
      </c>
      <c r="F149" s="26">
        <f>IF($P149="","",IF(INDEX(EntryPartyType,$P149)=0,"",INDEX(EntryPartyType,$P149)))</f>
        <v/>
      </c>
      <c r="G149" s="26">
        <f>IF($P149="","",IF(INDEX(EntryTxnType,$P149)=0,"",INDEX(EntryTxnType,$P149)))</f>
        <v/>
      </c>
      <c r="H149" s="27">
        <f>IF($P149="","",IF(INDEX(EntryDep,$P149)=0,"",INDEX(EntryDep,$P149)))</f>
        <v/>
      </c>
      <c r="I149" s="27">
        <f>IF($P149="","",IF(INDEX(EntryWit,$P149)=0,"",INDEX(EntryWit,$P149)))</f>
        <v/>
      </c>
      <c r="J149" s="27">
        <f>IF($B149="","",IF($A149=1,$C$7,IF(J148="",0,J148))+IF($H149="",0,$H149)-IF($I149="",0,$I149))</f>
        <v/>
      </c>
      <c r="K149" s="27">
        <f>IF($P149="","",IF(INDEX(EntryMan,$P149)=0,"",INDEX(EntryMan,$P149)))</f>
        <v/>
      </c>
      <c r="L149" s="26">
        <f>IF($B149="","",IF($K149="","—",IF(ROUND($K149-$J149,0)=0,"√","×")))</f>
        <v/>
      </c>
      <c r="M149" s="26">
        <f>IF($B149="","",IF(COUNTIFS(EntryDates,$B149,CalcTime,$C149,CalcBank,$C$5,EntryParty,$D149,EntryDep,$H149,EntryWit,$I149)&gt;1,"تکرار",""))</f>
        <v/>
      </c>
      <c r="N149" s="26">
        <f>IF($P149="","",IF(INDEX(EntryNotes,$P149)=0,"",INDEX(EntryNotes,$P149)))</f>
        <v/>
      </c>
      <c r="O149" s="26">
        <f>IF($P149="","",IF(INDEX(EntryTxnID,$P149)=0,"",INDEX(EntryTxnID,$P149)))</f>
        <v/>
      </c>
      <c r="P149" s="26">
        <f>IFERROR(MATCH($C$5&amp;"|"&amp;RIGHT("000000"&amp;133,6),CalcRankKey,0),"")</f>
        <v/>
      </c>
    </row>
    <row r="150">
      <c r="A150" s="28">
        <f>IF($B150="","",134)</f>
        <v/>
      </c>
      <c r="B150" s="28">
        <f>IF($P150="","",IF(INDEX(CalcNormDate,$P150)=0,"",INDEX(CalcNormDate,$P150)))</f>
        <v/>
      </c>
      <c r="C150" s="28">
        <f>IF($P150="","",IF(INDEX(CalcTime,$P150)=0,"",INDEX(CalcTime,$P150)))</f>
        <v/>
      </c>
      <c r="D150" s="28">
        <f>IF($P150="","",IF(INDEX(EntryParty,$P150)=0,"",INDEX(EntryParty,$P150)))</f>
        <v/>
      </c>
      <c r="E150" s="28">
        <f>IF($P150="","",IF(INDEX(EntryPartyName,$P150)=0,"",INDEX(EntryPartyName,$P150)))</f>
        <v/>
      </c>
      <c r="F150" s="28">
        <f>IF($P150="","",IF(INDEX(EntryPartyType,$P150)=0,"",INDEX(EntryPartyType,$P150)))</f>
        <v/>
      </c>
      <c r="G150" s="28">
        <f>IF($P150="","",IF(INDEX(EntryTxnType,$P150)=0,"",INDEX(EntryTxnType,$P150)))</f>
        <v/>
      </c>
      <c r="H150" s="29">
        <f>IF($P150="","",IF(INDEX(EntryDep,$P150)=0,"",INDEX(EntryDep,$P150)))</f>
        <v/>
      </c>
      <c r="I150" s="29">
        <f>IF($P150="","",IF(INDEX(EntryWit,$P150)=0,"",INDEX(EntryWit,$P150)))</f>
        <v/>
      </c>
      <c r="J150" s="29">
        <f>IF($B150="","",IF($A150=1,$C$7,IF(J149="",0,J149))+IF($H150="",0,$H150)-IF($I150="",0,$I150))</f>
        <v/>
      </c>
      <c r="K150" s="29">
        <f>IF($P150="","",IF(INDEX(EntryMan,$P150)=0,"",INDEX(EntryMan,$P150)))</f>
        <v/>
      </c>
      <c r="L150" s="28">
        <f>IF($B150="","",IF($K150="","—",IF(ROUND($K150-$J150,0)=0,"√","×")))</f>
        <v/>
      </c>
      <c r="M150" s="28">
        <f>IF($B150="","",IF(COUNTIFS(EntryDates,$B150,CalcTime,$C150,CalcBank,$C$5,EntryParty,$D150,EntryDep,$H150,EntryWit,$I150)&gt;1,"تکرار",""))</f>
        <v/>
      </c>
      <c r="N150" s="28">
        <f>IF($P150="","",IF(INDEX(EntryNotes,$P150)=0,"",INDEX(EntryNotes,$P150)))</f>
        <v/>
      </c>
      <c r="O150" s="28">
        <f>IF($P150="","",IF(INDEX(EntryTxnID,$P150)=0,"",INDEX(EntryTxnID,$P150)))</f>
        <v/>
      </c>
      <c r="P150" s="28">
        <f>IFERROR(MATCH($C$5&amp;"|"&amp;RIGHT("000000"&amp;134,6),CalcRankKey,0),"")</f>
        <v/>
      </c>
    </row>
    <row r="151">
      <c r="A151" s="26">
        <f>IF($B151="","",135)</f>
        <v/>
      </c>
      <c r="B151" s="26">
        <f>IF($P151="","",IF(INDEX(CalcNormDate,$P151)=0,"",INDEX(CalcNormDate,$P151)))</f>
        <v/>
      </c>
      <c r="C151" s="26">
        <f>IF($P151="","",IF(INDEX(CalcTime,$P151)=0,"",INDEX(CalcTime,$P151)))</f>
        <v/>
      </c>
      <c r="D151" s="26">
        <f>IF($P151="","",IF(INDEX(EntryParty,$P151)=0,"",INDEX(EntryParty,$P151)))</f>
        <v/>
      </c>
      <c r="E151" s="26">
        <f>IF($P151="","",IF(INDEX(EntryPartyName,$P151)=0,"",INDEX(EntryPartyName,$P151)))</f>
        <v/>
      </c>
      <c r="F151" s="26">
        <f>IF($P151="","",IF(INDEX(EntryPartyType,$P151)=0,"",INDEX(EntryPartyType,$P151)))</f>
        <v/>
      </c>
      <c r="G151" s="26">
        <f>IF($P151="","",IF(INDEX(EntryTxnType,$P151)=0,"",INDEX(EntryTxnType,$P151)))</f>
        <v/>
      </c>
      <c r="H151" s="27">
        <f>IF($P151="","",IF(INDEX(EntryDep,$P151)=0,"",INDEX(EntryDep,$P151)))</f>
        <v/>
      </c>
      <c r="I151" s="27">
        <f>IF($P151="","",IF(INDEX(EntryWit,$P151)=0,"",INDEX(EntryWit,$P151)))</f>
        <v/>
      </c>
      <c r="J151" s="27">
        <f>IF($B151="","",IF($A151=1,$C$7,IF(J150="",0,J150))+IF($H151="",0,$H151)-IF($I151="",0,$I151))</f>
        <v/>
      </c>
      <c r="K151" s="27">
        <f>IF($P151="","",IF(INDEX(EntryMan,$P151)=0,"",INDEX(EntryMan,$P151)))</f>
        <v/>
      </c>
      <c r="L151" s="26">
        <f>IF($B151="","",IF($K151="","—",IF(ROUND($K151-$J151,0)=0,"√","×")))</f>
        <v/>
      </c>
      <c r="M151" s="26">
        <f>IF($B151="","",IF(COUNTIFS(EntryDates,$B151,CalcTime,$C151,CalcBank,$C$5,EntryParty,$D151,EntryDep,$H151,EntryWit,$I151)&gt;1,"تکرار",""))</f>
        <v/>
      </c>
      <c r="N151" s="26">
        <f>IF($P151="","",IF(INDEX(EntryNotes,$P151)=0,"",INDEX(EntryNotes,$P151)))</f>
        <v/>
      </c>
      <c r="O151" s="26">
        <f>IF($P151="","",IF(INDEX(EntryTxnID,$P151)=0,"",INDEX(EntryTxnID,$P151)))</f>
        <v/>
      </c>
      <c r="P151" s="26">
        <f>IFERROR(MATCH($C$5&amp;"|"&amp;RIGHT("000000"&amp;135,6),CalcRankKey,0),"")</f>
        <v/>
      </c>
    </row>
    <row r="152">
      <c r="A152" s="28">
        <f>IF($B152="","",136)</f>
        <v/>
      </c>
      <c r="B152" s="28">
        <f>IF($P152="","",IF(INDEX(CalcNormDate,$P152)=0,"",INDEX(CalcNormDate,$P152)))</f>
        <v/>
      </c>
      <c r="C152" s="28">
        <f>IF($P152="","",IF(INDEX(CalcTime,$P152)=0,"",INDEX(CalcTime,$P152)))</f>
        <v/>
      </c>
      <c r="D152" s="28">
        <f>IF($P152="","",IF(INDEX(EntryParty,$P152)=0,"",INDEX(EntryParty,$P152)))</f>
        <v/>
      </c>
      <c r="E152" s="28">
        <f>IF($P152="","",IF(INDEX(EntryPartyName,$P152)=0,"",INDEX(EntryPartyName,$P152)))</f>
        <v/>
      </c>
      <c r="F152" s="28">
        <f>IF($P152="","",IF(INDEX(EntryPartyType,$P152)=0,"",INDEX(EntryPartyType,$P152)))</f>
        <v/>
      </c>
      <c r="G152" s="28">
        <f>IF($P152="","",IF(INDEX(EntryTxnType,$P152)=0,"",INDEX(EntryTxnType,$P152)))</f>
        <v/>
      </c>
      <c r="H152" s="29">
        <f>IF($P152="","",IF(INDEX(EntryDep,$P152)=0,"",INDEX(EntryDep,$P152)))</f>
        <v/>
      </c>
      <c r="I152" s="29">
        <f>IF($P152="","",IF(INDEX(EntryWit,$P152)=0,"",INDEX(EntryWit,$P152)))</f>
        <v/>
      </c>
      <c r="J152" s="29">
        <f>IF($B152="","",IF($A152=1,$C$7,IF(J151="",0,J151))+IF($H152="",0,$H152)-IF($I152="",0,$I152))</f>
        <v/>
      </c>
      <c r="K152" s="29">
        <f>IF($P152="","",IF(INDEX(EntryMan,$P152)=0,"",INDEX(EntryMan,$P152)))</f>
        <v/>
      </c>
      <c r="L152" s="28">
        <f>IF($B152="","",IF($K152="","—",IF(ROUND($K152-$J152,0)=0,"√","×")))</f>
        <v/>
      </c>
      <c r="M152" s="28">
        <f>IF($B152="","",IF(COUNTIFS(EntryDates,$B152,CalcTime,$C152,CalcBank,$C$5,EntryParty,$D152,EntryDep,$H152,EntryWit,$I152)&gt;1,"تکرار",""))</f>
        <v/>
      </c>
      <c r="N152" s="28">
        <f>IF($P152="","",IF(INDEX(EntryNotes,$P152)=0,"",INDEX(EntryNotes,$P152)))</f>
        <v/>
      </c>
      <c r="O152" s="28">
        <f>IF($P152="","",IF(INDEX(EntryTxnID,$P152)=0,"",INDEX(EntryTxnID,$P152)))</f>
        <v/>
      </c>
      <c r="P152" s="28">
        <f>IFERROR(MATCH($C$5&amp;"|"&amp;RIGHT("000000"&amp;136,6),CalcRankKey,0),"")</f>
        <v/>
      </c>
    </row>
    <row r="153">
      <c r="A153" s="26">
        <f>IF($B153="","",137)</f>
        <v/>
      </c>
      <c r="B153" s="26">
        <f>IF($P153="","",IF(INDEX(CalcNormDate,$P153)=0,"",INDEX(CalcNormDate,$P153)))</f>
        <v/>
      </c>
      <c r="C153" s="26">
        <f>IF($P153="","",IF(INDEX(CalcTime,$P153)=0,"",INDEX(CalcTime,$P153)))</f>
        <v/>
      </c>
      <c r="D153" s="26">
        <f>IF($P153="","",IF(INDEX(EntryParty,$P153)=0,"",INDEX(EntryParty,$P153)))</f>
        <v/>
      </c>
      <c r="E153" s="26">
        <f>IF($P153="","",IF(INDEX(EntryPartyName,$P153)=0,"",INDEX(EntryPartyName,$P153)))</f>
        <v/>
      </c>
      <c r="F153" s="26">
        <f>IF($P153="","",IF(INDEX(EntryPartyType,$P153)=0,"",INDEX(EntryPartyType,$P153)))</f>
        <v/>
      </c>
      <c r="G153" s="26">
        <f>IF($P153="","",IF(INDEX(EntryTxnType,$P153)=0,"",INDEX(EntryTxnType,$P153)))</f>
        <v/>
      </c>
      <c r="H153" s="27">
        <f>IF($P153="","",IF(INDEX(EntryDep,$P153)=0,"",INDEX(EntryDep,$P153)))</f>
        <v/>
      </c>
      <c r="I153" s="27">
        <f>IF($P153="","",IF(INDEX(EntryWit,$P153)=0,"",INDEX(EntryWit,$P153)))</f>
        <v/>
      </c>
      <c r="J153" s="27">
        <f>IF($B153="","",IF($A153=1,$C$7,IF(J152="",0,J152))+IF($H153="",0,$H153)-IF($I153="",0,$I153))</f>
        <v/>
      </c>
      <c r="K153" s="27">
        <f>IF($P153="","",IF(INDEX(EntryMan,$P153)=0,"",INDEX(EntryMan,$P153)))</f>
        <v/>
      </c>
      <c r="L153" s="26">
        <f>IF($B153="","",IF($K153="","—",IF(ROUND($K153-$J153,0)=0,"√","×")))</f>
        <v/>
      </c>
      <c r="M153" s="26">
        <f>IF($B153="","",IF(COUNTIFS(EntryDates,$B153,CalcTime,$C153,CalcBank,$C$5,EntryParty,$D153,EntryDep,$H153,EntryWit,$I153)&gt;1,"تکرار",""))</f>
        <v/>
      </c>
      <c r="N153" s="26">
        <f>IF($P153="","",IF(INDEX(EntryNotes,$P153)=0,"",INDEX(EntryNotes,$P153)))</f>
        <v/>
      </c>
      <c r="O153" s="26">
        <f>IF($P153="","",IF(INDEX(EntryTxnID,$P153)=0,"",INDEX(EntryTxnID,$P153)))</f>
        <v/>
      </c>
      <c r="P153" s="26">
        <f>IFERROR(MATCH($C$5&amp;"|"&amp;RIGHT("000000"&amp;137,6),CalcRankKey,0),"")</f>
        <v/>
      </c>
    </row>
    <row r="154">
      <c r="A154" s="28">
        <f>IF($B154="","",138)</f>
        <v/>
      </c>
      <c r="B154" s="28">
        <f>IF($P154="","",IF(INDEX(CalcNormDate,$P154)=0,"",INDEX(CalcNormDate,$P154)))</f>
        <v/>
      </c>
      <c r="C154" s="28">
        <f>IF($P154="","",IF(INDEX(CalcTime,$P154)=0,"",INDEX(CalcTime,$P154)))</f>
        <v/>
      </c>
      <c r="D154" s="28">
        <f>IF($P154="","",IF(INDEX(EntryParty,$P154)=0,"",INDEX(EntryParty,$P154)))</f>
        <v/>
      </c>
      <c r="E154" s="28">
        <f>IF($P154="","",IF(INDEX(EntryPartyName,$P154)=0,"",INDEX(EntryPartyName,$P154)))</f>
        <v/>
      </c>
      <c r="F154" s="28">
        <f>IF($P154="","",IF(INDEX(EntryPartyType,$P154)=0,"",INDEX(EntryPartyType,$P154)))</f>
        <v/>
      </c>
      <c r="G154" s="28">
        <f>IF($P154="","",IF(INDEX(EntryTxnType,$P154)=0,"",INDEX(EntryTxnType,$P154)))</f>
        <v/>
      </c>
      <c r="H154" s="29">
        <f>IF($P154="","",IF(INDEX(EntryDep,$P154)=0,"",INDEX(EntryDep,$P154)))</f>
        <v/>
      </c>
      <c r="I154" s="29">
        <f>IF($P154="","",IF(INDEX(EntryWit,$P154)=0,"",INDEX(EntryWit,$P154)))</f>
        <v/>
      </c>
      <c r="J154" s="29">
        <f>IF($B154="","",IF($A154=1,$C$7,IF(J153="",0,J153))+IF($H154="",0,$H154)-IF($I154="",0,$I154))</f>
        <v/>
      </c>
      <c r="K154" s="29">
        <f>IF($P154="","",IF(INDEX(EntryMan,$P154)=0,"",INDEX(EntryMan,$P154)))</f>
        <v/>
      </c>
      <c r="L154" s="28">
        <f>IF($B154="","",IF($K154="","—",IF(ROUND($K154-$J154,0)=0,"√","×")))</f>
        <v/>
      </c>
      <c r="M154" s="28">
        <f>IF($B154="","",IF(COUNTIFS(EntryDates,$B154,CalcTime,$C154,CalcBank,$C$5,EntryParty,$D154,EntryDep,$H154,EntryWit,$I154)&gt;1,"تکرار",""))</f>
        <v/>
      </c>
      <c r="N154" s="28">
        <f>IF($P154="","",IF(INDEX(EntryNotes,$P154)=0,"",INDEX(EntryNotes,$P154)))</f>
        <v/>
      </c>
      <c r="O154" s="28">
        <f>IF($P154="","",IF(INDEX(EntryTxnID,$P154)=0,"",INDEX(EntryTxnID,$P154)))</f>
        <v/>
      </c>
      <c r="P154" s="28">
        <f>IFERROR(MATCH($C$5&amp;"|"&amp;RIGHT("000000"&amp;138,6),CalcRankKey,0),"")</f>
        <v/>
      </c>
    </row>
    <row r="155">
      <c r="A155" s="26">
        <f>IF($B155="","",139)</f>
        <v/>
      </c>
      <c r="B155" s="26">
        <f>IF($P155="","",IF(INDEX(CalcNormDate,$P155)=0,"",INDEX(CalcNormDate,$P155)))</f>
        <v/>
      </c>
      <c r="C155" s="26">
        <f>IF($P155="","",IF(INDEX(CalcTime,$P155)=0,"",INDEX(CalcTime,$P155)))</f>
        <v/>
      </c>
      <c r="D155" s="26">
        <f>IF($P155="","",IF(INDEX(EntryParty,$P155)=0,"",INDEX(EntryParty,$P155)))</f>
        <v/>
      </c>
      <c r="E155" s="26">
        <f>IF($P155="","",IF(INDEX(EntryPartyName,$P155)=0,"",INDEX(EntryPartyName,$P155)))</f>
        <v/>
      </c>
      <c r="F155" s="26">
        <f>IF($P155="","",IF(INDEX(EntryPartyType,$P155)=0,"",INDEX(EntryPartyType,$P155)))</f>
        <v/>
      </c>
      <c r="G155" s="26">
        <f>IF($P155="","",IF(INDEX(EntryTxnType,$P155)=0,"",INDEX(EntryTxnType,$P155)))</f>
        <v/>
      </c>
      <c r="H155" s="27">
        <f>IF($P155="","",IF(INDEX(EntryDep,$P155)=0,"",INDEX(EntryDep,$P155)))</f>
        <v/>
      </c>
      <c r="I155" s="27">
        <f>IF($P155="","",IF(INDEX(EntryWit,$P155)=0,"",INDEX(EntryWit,$P155)))</f>
        <v/>
      </c>
      <c r="J155" s="27">
        <f>IF($B155="","",IF($A155=1,$C$7,IF(J154="",0,J154))+IF($H155="",0,$H155)-IF($I155="",0,$I155))</f>
        <v/>
      </c>
      <c r="K155" s="27">
        <f>IF($P155="","",IF(INDEX(EntryMan,$P155)=0,"",INDEX(EntryMan,$P155)))</f>
        <v/>
      </c>
      <c r="L155" s="26">
        <f>IF($B155="","",IF($K155="","—",IF(ROUND($K155-$J155,0)=0,"√","×")))</f>
        <v/>
      </c>
      <c r="M155" s="26">
        <f>IF($B155="","",IF(COUNTIFS(EntryDates,$B155,CalcTime,$C155,CalcBank,$C$5,EntryParty,$D155,EntryDep,$H155,EntryWit,$I155)&gt;1,"تکرار",""))</f>
        <v/>
      </c>
      <c r="N155" s="26">
        <f>IF($P155="","",IF(INDEX(EntryNotes,$P155)=0,"",INDEX(EntryNotes,$P155)))</f>
        <v/>
      </c>
      <c r="O155" s="26">
        <f>IF($P155="","",IF(INDEX(EntryTxnID,$P155)=0,"",INDEX(EntryTxnID,$P155)))</f>
        <v/>
      </c>
      <c r="P155" s="26">
        <f>IFERROR(MATCH($C$5&amp;"|"&amp;RIGHT("000000"&amp;139,6),CalcRankKey,0),"")</f>
        <v/>
      </c>
    </row>
    <row r="156">
      <c r="A156" s="28">
        <f>IF($B156="","",140)</f>
        <v/>
      </c>
      <c r="B156" s="28">
        <f>IF($P156="","",IF(INDEX(CalcNormDate,$P156)=0,"",INDEX(CalcNormDate,$P156)))</f>
        <v/>
      </c>
      <c r="C156" s="28">
        <f>IF($P156="","",IF(INDEX(CalcTime,$P156)=0,"",INDEX(CalcTime,$P156)))</f>
        <v/>
      </c>
      <c r="D156" s="28">
        <f>IF($P156="","",IF(INDEX(EntryParty,$P156)=0,"",INDEX(EntryParty,$P156)))</f>
        <v/>
      </c>
      <c r="E156" s="28">
        <f>IF($P156="","",IF(INDEX(EntryPartyName,$P156)=0,"",INDEX(EntryPartyName,$P156)))</f>
        <v/>
      </c>
      <c r="F156" s="28">
        <f>IF($P156="","",IF(INDEX(EntryPartyType,$P156)=0,"",INDEX(EntryPartyType,$P156)))</f>
        <v/>
      </c>
      <c r="G156" s="28">
        <f>IF($P156="","",IF(INDEX(EntryTxnType,$P156)=0,"",INDEX(EntryTxnType,$P156)))</f>
        <v/>
      </c>
      <c r="H156" s="29">
        <f>IF($P156="","",IF(INDEX(EntryDep,$P156)=0,"",INDEX(EntryDep,$P156)))</f>
        <v/>
      </c>
      <c r="I156" s="29">
        <f>IF($P156="","",IF(INDEX(EntryWit,$P156)=0,"",INDEX(EntryWit,$P156)))</f>
        <v/>
      </c>
      <c r="J156" s="29">
        <f>IF($B156="","",IF($A156=1,$C$7,IF(J155="",0,J155))+IF($H156="",0,$H156)-IF($I156="",0,$I156))</f>
        <v/>
      </c>
      <c r="K156" s="29">
        <f>IF($P156="","",IF(INDEX(EntryMan,$P156)=0,"",INDEX(EntryMan,$P156)))</f>
        <v/>
      </c>
      <c r="L156" s="28">
        <f>IF($B156="","",IF($K156="","—",IF(ROUND($K156-$J156,0)=0,"√","×")))</f>
        <v/>
      </c>
      <c r="M156" s="28">
        <f>IF($B156="","",IF(COUNTIFS(EntryDates,$B156,CalcTime,$C156,CalcBank,$C$5,EntryParty,$D156,EntryDep,$H156,EntryWit,$I156)&gt;1,"تکرار",""))</f>
        <v/>
      </c>
      <c r="N156" s="28">
        <f>IF($P156="","",IF(INDEX(EntryNotes,$P156)=0,"",INDEX(EntryNotes,$P156)))</f>
        <v/>
      </c>
      <c r="O156" s="28">
        <f>IF($P156="","",IF(INDEX(EntryTxnID,$P156)=0,"",INDEX(EntryTxnID,$P156)))</f>
        <v/>
      </c>
      <c r="P156" s="28">
        <f>IFERROR(MATCH($C$5&amp;"|"&amp;RIGHT("000000"&amp;140,6),CalcRankKey,0),"")</f>
        <v/>
      </c>
    </row>
    <row r="157">
      <c r="A157" s="26">
        <f>IF($B157="","",141)</f>
        <v/>
      </c>
      <c r="B157" s="26">
        <f>IF($P157="","",IF(INDEX(CalcNormDate,$P157)=0,"",INDEX(CalcNormDate,$P157)))</f>
        <v/>
      </c>
      <c r="C157" s="26">
        <f>IF($P157="","",IF(INDEX(CalcTime,$P157)=0,"",INDEX(CalcTime,$P157)))</f>
        <v/>
      </c>
      <c r="D157" s="26">
        <f>IF($P157="","",IF(INDEX(EntryParty,$P157)=0,"",INDEX(EntryParty,$P157)))</f>
        <v/>
      </c>
      <c r="E157" s="26">
        <f>IF($P157="","",IF(INDEX(EntryPartyName,$P157)=0,"",INDEX(EntryPartyName,$P157)))</f>
        <v/>
      </c>
      <c r="F157" s="26">
        <f>IF($P157="","",IF(INDEX(EntryPartyType,$P157)=0,"",INDEX(EntryPartyType,$P157)))</f>
        <v/>
      </c>
      <c r="G157" s="26">
        <f>IF($P157="","",IF(INDEX(EntryTxnType,$P157)=0,"",INDEX(EntryTxnType,$P157)))</f>
        <v/>
      </c>
      <c r="H157" s="27">
        <f>IF($P157="","",IF(INDEX(EntryDep,$P157)=0,"",INDEX(EntryDep,$P157)))</f>
        <v/>
      </c>
      <c r="I157" s="27">
        <f>IF($P157="","",IF(INDEX(EntryWit,$P157)=0,"",INDEX(EntryWit,$P157)))</f>
        <v/>
      </c>
      <c r="J157" s="27">
        <f>IF($B157="","",IF($A157=1,$C$7,IF(J156="",0,J156))+IF($H157="",0,$H157)-IF($I157="",0,$I157))</f>
        <v/>
      </c>
      <c r="K157" s="27">
        <f>IF($P157="","",IF(INDEX(EntryMan,$P157)=0,"",INDEX(EntryMan,$P157)))</f>
        <v/>
      </c>
      <c r="L157" s="26">
        <f>IF($B157="","",IF($K157="","—",IF(ROUND($K157-$J157,0)=0,"√","×")))</f>
        <v/>
      </c>
      <c r="M157" s="26">
        <f>IF($B157="","",IF(COUNTIFS(EntryDates,$B157,CalcTime,$C157,CalcBank,$C$5,EntryParty,$D157,EntryDep,$H157,EntryWit,$I157)&gt;1,"تکرار",""))</f>
        <v/>
      </c>
      <c r="N157" s="26">
        <f>IF($P157="","",IF(INDEX(EntryNotes,$P157)=0,"",INDEX(EntryNotes,$P157)))</f>
        <v/>
      </c>
      <c r="O157" s="26">
        <f>IF($P157="","",IF(INDEX(EntryTxnID,$P157)=0,"",INDEX(EntryTxnID,$P157)))</f>
        <v/>
      </c>
      <c r="P157" s="26">
        <f>IFERROR(MATCH($C$5&amp;"|"&amp;RIGHT("000000"&amp;141,6),CalcRankKey,0),"")</f>
        <v/>
      </c>
    </row>
    <row r="158">
      <c r="A158" s="28">
        <f>IF($B158="","",142)</f>
        <v/>
      </c>
      <c r="B158" s="28">
        <f>IF($P158="","",IF(INDEX(CalcNormDate,$P158)=0,"",INDEX(CalcNormDate,$P158)))</f>
        <v/>
      </c>
      <c r="C158" s="28">
        <f>IF($P158="","",IF(INDEX(CalcTime,$P158)=0,"",INDEX(CalcTime,$P158)))</f>
        <v/>
      </c>
      <c r="D158" s="28">
        <f>IF($P158="","",IF(INDEX(EntryParty,$P158)=0,"",INDEX(EntryParty,$P158)))</f>
        <v/>
      </c>
      <c r="E158" s="28">
        <f>IF($P158="","",IF(INDEX(EntryPartyName,$P158)=0,"",INDEX(EntryPartyName,$P158)))</f>
        <v/>
      </c>
      <c r="F158" s="28">
        <f>IF($P158="","",IF(INDEX(EntryPartyType,$P158)=0,"",INDEX(EntryPartyType,$P158)))</f>
        <v/>
      </c>
      <c r="G158" s="28">
        <f>IF($P158="","",IF(INDEX(EntryTxnType,$P158)=0,"",INDEX(EntryTxnType,$P158)))</f>
        <v/>
      </c>
      <c r="H158" s="29">
        <f>IF($P158="","",IF(INDEX(EntryDep,$P158)=0,"",INDEX(EntryDep,$P158)))</f>
        <v/>
      </c>
      <c r="I158" s="29">
        <f>IF($P158="","",IF(INDEX(EntryWit,$P158)=0,"",INDEX(EntryWit,$P158)))</f>
        <v/>
      </c>
      <c r="J158" s="29">
        <f>IF($B158="","",IF($A158=1,$C$7,IF(J157="",0,J157))+IF($H158="",0,$H158)-IF($I158="",0,$I158))</f>
        <v/>
      </c>
      <c r="K158" s="29">
        <f>IF($P158="","",IF(INDEX(EntryMan,$P158)=0,"",INDEX(EntryMan,$P158)))</f>
        <v/>
      </c>
      <c r="L158" s="28">
        <f>IF($B158="","",IF($K158="","—",IF(ROUND($K158-$J158,0)=0,"√","×")))</f>
        <v/>
      </c>
      <c r="M158" s="28">
        <f>IF($B158="","",IF(COUNTIFS(EntryDates,$B158,CalcTime,$C158,CalcBank,$C$5,EntryParty,$D158,EntryDep,$H158,EntryWit,$I158)&gt;1,"تکرار",""))</f>
        <v/>
      </c>
      <c r="N158" s="28">
        <f>IF($P158="","",IF(INDEX(EntryNotes,$P158)=0,"",INDEX(EntryNotes,$P158)))</f>
        <v/>
      </c>
      <c r="O158" s="28">
        <f>IF($P158="","",IF(INDEX(EntryTxnID,$P158)=0,"",INDEX(EntryTxnID,$P158)))</f>
        <v/>
      </c>
      <c r="P158" s="28">
        <f>IFERROR(MATCH($C$5&amp;"|"&amp;RIGHT("000000"&amp;142,6),CalcRankKey,0),"")</f>
        <v/>
      </c>
    </row>
    <row r="159">
      <c r="A159" s="26">
        <f>IF($B159="","",143)</f>
        <v/>
      </c>
      <c r="B159" s="26">
        <f>IF($P159="","",IF(INDEX(CalcNormDate,$P159)=0,"",INDEX(CalcNormDate,$P159)))</f>
        <v/>
      </c>
      <c r="C159" s="26">
        <f>IF($P159="","",IF(INDEX(CalcTime,$P159)=0,"",INDEX(CalcTime,$P159)))</f>
        <v/>
      </c>
      <c r="D159" s="26">
        <f>IF($P159="","",IF(INDEX(EntryParty,$P159)=0,"",INDEX(EntryParty,$P159)))</f>
        <v/>
      </c>
      <c r="E159" s="26">
        <f>IF($P159="","",IF(INDEX(EntryPartyName,$P159)=0,"",INDEX(EntryPartyName,$P159)))</f>
        <v/>
      </c>
      <c r="F159" s="26">
        <f>IF($P159="","",IF(INDEX(EntryPartyType,$P159)=0,"",INDEX(EntryPartyType,$P159)))</f>
        <v/>
      </c>
      <c r="G159" s="26">
        <f>IF($P159="","",IF(INDEX(EntryTxnType,$P159)=0,"",INDEX(EntryTxnType,$P159)))</f>
        <v/>
      </c>
      <c r="H159" s="27">
        <f>IF($P159="","",IF(INDEX(EntryDep,$P159)=0,"",INDEX(EntryDep,$P159)))</f>
        <v/>
      </c>
      <c r="I159" s="27">
        <f>IF($P159="","",IF(INDEX(EntryWit,$P159)=0,"",INDEX(EntryWit,$P159)))</f>
        <v/>
      </c>
      <c r="J159" s="27">
        <f>IF($B159="","",IF($A159=1,$C$7,IF(J158="",0,J158))+IF($H159="",0,$H159)-IF($I159="",0,$I159))</f>
        <v/>
      </c>
      <c r="K159" s="27">
        <f>IF($P159="","",IF(INDEX(EntryMan,$P159)=0,"",INDEX(EntryMan,$P159)))</f>
        <v/>
      </c>
      <c r="L159" s="26">
        <f>IF($B159="","",IF($K159="","—",IF(ROUND($K159-$J159,0)=0,"√","×")))</f>
        <v/>
      </c>
      <c r="M159" s="26">
        <f>IF($B159="","",IF(COUNTIFS(EntryDates,$B159,CalcTime,$C159,CalcBank,$C$5,EntryParty,$D159,EntryDep,$H159,EntryWit,$I159)&gt;1,"تکرار",""))</f>
        <v/>
      </c>
      <c r="N159" s="26">
        <f>IF($P159="","",IF(INDEX(EntryNotes,$P159)=0,"",INDEX(EntryNotes,$P159)))</f>
        <v/>
      </c>
      <c r="O159" s="26">
        <f>IF($P159="","",IF(INDEX(EntryTxnID,$P159)=0,"",INDEX(EntryTxnID,$P159)))</f>
        <v/>
      </c>
      <c r="P159" s="26">
        <f>IFERROR(MATCH($C$5&amp;"|"&amp;RIGHT("000000"&amp;143,6),CalcRankKey,0),"")</f>
        <v/>
      </c>
    </row>
    <row r="160">
      <c r="A160" s="28">
        <f>IF($B160="","",144)</f>
        <v/>
      </c>
      <c r="B160" s="28">
        <f>IF($P160="","",IF(INDEX(CalcNormDate,$P160)=0,"",INDEX(CalcNormDate,$P160)))</f>
        <v/>
      </c>
      <c r="C160" s="28">
        <f>IF($P160="","",IF(INDEX(CalcTime,$P160)=0,"",INDEX(CalcTime,$P160)))</f>
        <v/>
      </c>
      <c r="D160" s="28">
        <f>IF($P160="","",IF(INDEX(EntryParty,$P160)=0,"",INDEX(EntryParty,$P160)))</f>
        <v/>
      </c>
      <c r="E160" s="28">
        <f>IF($P160="","",IF(INDEX(EntryPartyName,$P160)=0,"",INDEX(EntryPartyName,$P160)))</f>
        <v/>
      </c>
      <c r="F160" s="28">
        <f>IF($P160="","",IF(INDEX(EntryPartyType,$P160)=0,"",INDEX(EntryPartyType,$P160)))</f>
        <v/>
      </c>
      <c r="G160" s="28">
        <f>IF($P160="","",IF(INDEX(EntryTxnType,$P160)=0,"",INDEX(EntryTxnType,$P160)))</f>
        <v/>
      </c>
      <c r="H160" s="29">
        <f>IF($P160="","",IF(INDEX(EntryDep,$P160)=0,"",INDEX(EntryDep,$P160)))</f>
        <v/>
      </c>
      <c r="I160" s="29">
        <f>IF($P160="","",IF(INDEX(EntryWit,$P160)=0,"",INDEX(EntryWit,$P160)))</f>
        <v/>
      </c>
      <c r="J160" s="29">
        <f>IF($B160="","",IF($A160=1,$C$7,IF(J159="",0,J159))+IF($H160="",0,$H160)-IF($I160="",0,$I160))</f>
        <v/>
      </c>
      <c r="K160" s="29">
        <f>IF($P160="","",IF(INDEX(EntryMan,$P160)=0,"",INDEX(EntryMan,$P160)))</f>
        <v/>
      </c>
      <c r="L160" s="28">
        <f>IF($B160="","",IF($K160="","—",IF(ROUND($K160-$J160,0)=0,"√","×")))</f>
        <v/>
      </c>
      <c r="M160" s="28">
        <f>IF($B160="","",IF(COUNTIFS(EntryDates,$B160,CalcTime,$C160,CalcBank,$C$5,EntryParty,$D160,EntryDep,$H160,EntryWit,$I160)&gt;1,"تکرار",""))</f>
        <v/>
      </c>
      <c r="N160" s="28">
        <f>IF($P160="","",IF(INDEX(EntryNotes,$P160)=0,"",INDEX(EntryNotes,$P160)))</f>
        <v/>
      </c>
      <c r="O160" s="28">
        <f>IF($P160="","",IF(INDEX(EntryTxnID,$P160)=0,"",INDEX(EntryTxnID,$P160)))</f>
        <v/>
      </c>
      <c r="P160" s="28">
        <f>IFERROR(MATCH($C$5&amp;"|"&amp;RIGHT("000000"&amp;144,6),CalcRankKey,0),"")</f>
        <v/>
      </c>
    </row>
    <row r="161">
      <c r="A161" s="26">
        <f>IF($B161="","",145)</f>
        <v/>
      </c>
      <c r="B161" s="26">
        <f>IF($P161="","",IF(INDEX(CalcNormDate,$P161)=0,"",INDEX(CalcNormDate,$P161)))</f>
        <v/>
      </c>
      <c r="C161" s="26">
        <f>IF($P161="","",IF(INDEX(CalcTime,$P161)=0,"",INDEX(CalcTime,$P161)))</f>
        <v/>
      </c>
      <c r="D161" s="26">
        <f>IF($P161="","",IF(INDEX(EntryParty,$P161)=0,"",INDEX(EntryParty,$P161)))</f>
        <v/>
      </c>
      <c r="E161" s="26">
        <f>IF($P161="","",IF(INDEX(EntryPartyName,$P161)=0,"",INDEX(EntryPartyName,$P161)))</f>
        <v/>
      </c>
      <c r="F161" s="26">
        <f>IF($P161="","",IF(INDEX(EntryPartyType,$P161)=0,"",INDEX(EntryPartyType,$P161)))</f>
        <v/>
      </c>
      <c r="G161" s="26">
        <f>IF($P161="","",IF(INDEX(EntryTxnType,$P161)=0,"",INDEX(EntryTxnType,$P161)))</f>
        <v/>
      </c>
      <c r="H161" s="27">
        <f>IF($P161="","",IF(INDEX(EntryDep,$P161)=0,"",INDEX(EntryDep,$P161)))</f>
        <v/>
      </c>
      <c r="I161" s="27">
        <f>IF($P161="","",IF(INDEX(EntryWit,$P161)=0,"",INDEX(EntryWit,$P161)))</f>
        <v/>
      </c>
      <c r="J161" s="27">
        <f>IF($B161="","",IF($A161=1,$C$7,IF(J160="",0,J160))+IF($H161="",0,$H161)-IF($I161="",0,$I161))</f>
        <v/>
      </c>
      <c r="K161" s="27">
        <f>IF($P161="","",IF(INDEX(EntryMan,$P161)=0,"",INDEX(EntryMan,$P161)))</f>
        <v/>
      </c>
      <c r="L161" s="26">
        <f>IF($B161="","",IF($K161="","—",IF(ROUND($K161-$J161,0)=0,"√","×")))</f>
        <v/>
      </c>
      <c r="M161" s="26">
        <f>IF($B161="","",IF(COUNTIFS(EntryDates,$B161,CalcTime,$C161,CalcBank,$C$5,EntryParty,$D161,EntryDep,$H161,EntryWit,$I161)&gt;1,"تکرار",""))</f>
        <v/>
      </c>
      <c r="N161" s="26">
        <f>IF($P161="","",IF(INDEX(EntryNotes,$P161)=0,"",INDEX(EntryNotes,$P161)))</f>
        <v/>
      </c>
      <c r="O161" s="26">
        <f>IF($P161="","",IF(INDEX(EntryTxnID,$P161)=0,"",INDEX(EntryTxnID,$P161)))</f>
        <v/>
      </c>
      <c r="P161" s="26">
        <f>IFERROR(MATCH($C$5&amp;"|"&amp;RIGHT("000000"&amp;145,6),CalcRankKey,0),"")</f>
        <v/>
      </c>
    </row>
    <row r="162">
      <c r="A162" s="28">
        <f>IF($B162="","",146)</f>
        <v/>
      </c>
      <c r="B162" s="28">
        <f>IF($P162="","",IF(INDEX(CalcNormDate,$P162)=0,"",INDEX(CalcNormDate,$P162)))</f>
        <v/>
      </c>
      <c r="C162" s="28">
        <f>IF($P162="","",IF(INDEX(CalcTime,$P162)=0,"",INDEX(CalcTime,$P162)))</f>
        <v/>
      </c>
      <c r="D162" s="28">
        <f>IF($P162="","",IF(INDEX(EntryParty,$P162)=0,"",INDEX(EntryParty,$P162)))</f>
        <v/>
      </c>
      <c r="E162" s="28">
        <f>IF($P162="","",IF(INDEX(EntryPartyName,$P162)=0,"",INDEX(EntryPartyName,$P162)))</f>
        <v/>
      </c>
      <c r="F162" s="28">
        <f>IF($P162="","",IF(INDEX(EntryPartyType,$P162)=0,"",INDEX(EntryPartyType,$P162)))</f>
        <v/>
      </c>
      <c r="G162" s="28">
        <f>IF($P162="","",IF(INDEX(EntryTxnType,$P162)=0,"",INDEX(EntryTxnType,$P162)))</f>
        <v/>
      </c>
      <c r="H162" s="29">
        <f>IF($P162="","",IF(INDEX(EntryDep,$P162)=0,"",INDEX(EntryDep,$P162)))</f>
        <v/>
      </c>
      <c r="I162" s="29">
        <f>IF($P162="","",IF(INDEX(EntryWit,$P162)=0,"",INDEX(EntryWit,$P162)))</f>
        <v/>
      </c>
      <c r="J162" s="29">
        <f>IF($B162="","",IF($A162=1,$C$7,IF(J161="",0,J161))+IF($H162="",0,$H162)-IF($I162="",0,$I162))</f>
        <v/>
      </c>
      <c r="K162" s="29">
        <f>IF($P162="","",IF(INDEX(EntryMan,$P162)=0,"",INDEX(EntryMan,$P162)))</f>
        <v/>
      </c>
      <c r="L162" s="28">
        <f>IF($B162="","",IF($K162="","—",IF(ROUND($K162-$J162,0)=0,"√","×")))</f>
        <v/>
      </c>
      <c r="M162" s="28">
        <f>IF($B162="","",IF(COUNTIFS(EntryDates,$B162,CalcTime,$C162,CalcBank,$C$5,EntryParty,$D162,EntryDep,$H162,EntryWit,$I162)&gt;1,"تکرار",""))</f>
        <v/>
      </c>
      <c r="N162" s="28">
        <f>IF($P162="","",IF(INDEX(EntryNotes,$P162)=0,"",INDEX(EntryNotes,$P162)))</f>
        <v/>
      </c>
      <c r="O162" s="28">
        <f>IF($P162="","",IF(INDEX(EntryTxnID,$P162)=0,"",INDEX(EntryTxnID,$P162)))</f>
        <v/>
      </c>
      <c r="P162" s="28">
        <f>IFERROR(MATCH($C$5&amp;"|"&amp;RIGHT("000000"&amp;146,6),CalcRankKey,0),"")</f>
        <v/>
      </c>
    </row>
    <row r="163">
      <c r="A163" s="26">
        <f>IF($B163="","",147)</f>
        <v/>
      </c>
      <c r="B163" s="26">
        <f>IF($P163="","",IF(INDEX(CalcNormDate,$P163)=0,"",INDEX(CalcNormDate,$P163)))</f>
        <v/>
      </c>
      <c r="C163" s="26">
        <f>IF($P163="","",IF(INDEX(CalcTime,$P163)=0,"",INDEX(CalcTime,$P163)))</f>
        <v/>
      </c>
      <c r="D163" s="26">
        <f>IF($P163="","",IF(INDEX(EntryParty,$P163)=0,"",INDEX(EntryParty,$P163)))</f>
        <v/>
      </c>
      <c r="E163" s="26">
        <f>IF($P163="","",IF(INDEX(EntryPartyName,$P163)=0,"",INDEX(EntryPartyName,$P163)))</f>
        <v/>
      </c>
      <c r="F163" s="26">
        <f>IF($P163="","",IF(INDEX(EntryPartyType,$P163)=0,"",INDEX(EntryPartyType,$P163)))</f>
        <v/>
      </c>
      <c r="G163" s="26">
        <f>IF($P163="","",IF(INDEX(EntryTxnType,$P163)=0,"",INDEX(EntryTxnType,$P163)))</f>
        <v/>
      </c>
      <c r="H163" s="27">
        <f>IF($P163="","",IF(INDEX(EntryDep,$P163)=0,"",INDEX(EntryDep,$P163)))</f>
        <v/>
      </c>
      <c r="I163" s="27">
        <f>IF($P163="","",IF(INDEX(EntryWit,$P163)=0,"",INDEX(EntryWit,$P163)))</f>
        <v/>
      </c>
      <c r="J163" s="27">
        <f>IF($B163="","",IF($A163=1,$C$7,IF(J162="",0,J162))+IF($H163="",0,$H163)-IF($I163="",0,$I163))</f>
        <v/>
      </c>
      <c r="K163" s="27">
        <f>IF($P163="","",IF(INDEX(EntryMan,$P163)=0,"",INDEX(EntryMan,$P163)))</f>
        <v/>
      </c>
      <c r="L163" s="26">
        <f>IF($B163="","",IF($K163="","—",IF(ROUND($K163-$J163,0)=0,"√","×")))</f>
        <v/>
      </c>
      <c r="M163" s="26">
        <f>IF($B163="","",IF(COUNTIFS(EntryDates,$B163,CalcTime,$C163,CalcBank,$C$5,EntryParty,$D163,EntryDep,$H163,EntryWit,$I163)&gt;1,"تکرار",""))</f>
        <v/>
      </c>
      <c r="N163" s="26">
        <f>IF($P163="","",IF(INDEX(EntryNotes,$P163)=0,"",INDEX(EntryNotes,$P163)))</f>
        <v/>
      </c>
      <c r="O163" s="26">
        <f>IF($P163="","",IF(INDEX(EntryTxnID,$P163)=0,"",INDEX(EntryTxnID,$P163)))</f>
        <v/>
      </c>
      <c r="P163" s="26">
        <f>IFERROR(MATCH($C$5&amp;"|"&amp;RIGHT("000000"&amp;147,6),CalcRankKey,0),"")</f>
        <v/>
      </c>
    </row>
    <row r="164">
      <c r="A164" s="28">
        <f>IF($B164="","",148)</f>
        <v/>
      </c>
      <c r="B164" s="28">
        <f>IF($P164="","",IF(INDEX(CalcNormDate,$P164)=0,"",INDEX(CalcNormDate,$P164)))</f>
        <v/>
      </c>
      <c r="C164" s="28">
        <f>IF($P164="","",IF(INDEX(CalcTime,$P164)=0,"",INDEX(CalcTime,$P164)))</f>
        <v/>
      </c>
      <c r="D164" s="28">
        <f>IF($P164="","",IF(INDEX(EntryParty,$P164)=0,"",INDEX(EntryParty,$P164)))</f>
        <v/>
      </c>
      <c r="E164" s="28">
        <f>IF($P164="","",IF(INDEX(EntryPartyName,$P164)=0,"",INDEX(EntryPartyName,$P164)))</f>
        <v/>
      </c>
      <c r="F164" s="28">
        <f>IF($P164="","",IF(INDEX(EntryPartyType,$P164)=0,"",INDEX(EntryPartyType,$P164)))</f>
        <v/>
      </c>
      <c r="G164" s="28">
        <f>IF($P164="","",IF(INDEX(EntryTxnType,$P164)=0,"",INDEX(EntryTxnType,$P164)))</f>
        <v/>
      </c>
      <c r="H164" s="29">
        <f>IF($P164="","",IF(INDEX(EntryDep,$P164)=0,"",INDEX(EntryDep,$P164)))</f>
        <v/>
      </c>
      <c r="I164" s="29">
        <f>IF($P164="","",IF(INDEX(EntryWit,$P164)=0,"",INDEX(EntryWit,$P164)))</f>
        <v/>
      </c>
      <c r="J164" s="29">
        <f>IF($B164="","",IF($A164=1,$C$7,IF(J163="",0,J163))+IF($H164="",0,$H164)-IF($I164="",0,$I164))</f>
        <v/>
      </c>
      <c r="K164" s="29">
        <f>IF($P164="","",IF(INDEX(EntryMan,$P164)=0,"",INDEX(EntryMan,$P164)))</f>
        <v/>
      </c>
      <c r="L164" s="28">
        <f>IF($B164="","",IF($K164="","—",IF(ROUND($K164-$J164,0)=0,"√","×")))</f>
        <v/>
      </c>
      <c r="M164" s="28">
        <f>IF($B164="","",IF(COUNTIFS(EntryDates,$B164,CalcTime,$C164,CalcBank,$C$5,EntryParty,$D164,EntryDep,$H164,EntryWit,$I164)&gt;1,"تکرار",""))</f>
        <v/>
      </c>
      <c r="N164" s="28">
        <f>IF($P164="","",IF(INDEX(EntryNotes,$P164)=0,"",INDEX(EntryNotes,$P164)))</f>
        <v/>
      </c>
      <c r="O164" s="28">
        <f>IF($P164="","",IF(INDEX(EntryTxnID,$P164)=0,"",INDEX(EntryTxnID,$P164)))</f>
        <v/>
      </c>
      <c r="P164" s="28">
        <f>IFERROR(MATCH($C$5&amp;"|"&amp;RIGHT("000000"&amp;148,6),CalcRankKey,0),"")</f>
        <v/>
      </c>
    </row>
    <row r="165">
      <c r="A165" s="26">
        <f>IF($B165="","",149)</f>
        <v/>
      </c>
      <c r="B165" s="26">
        <f>IF($P165="","",IF(INDEX(CalcNormDate,$P165)=0,"",INDEX(CalcNormDate,$P165)))</f>
        <v/>
      </c>
      <c r="C165" s="26">
        <f>IF($P165="","",IF(INDEX(CalcTime,$P165)=0,"",INDEX(CalcTime,$P165)))</f>
        <v/>
      </c>
      <c r="D165" s="26">
        <f>IF($P165="","",IF(INDEX(EntryParty,$P165)=0,"",INDEX(EntryParty,$P165)))</f>
        <v/>
      </c>
      <c r="E165" s="26">
        <f>IF($P165="","",IF(INDEX(EntryPartyName,$P165)=0,"",INDEX(EntryPartyName,$P165)))</f>
        <v/>
      </c>
      <c r="F165" s="26">
        <f>IF($P165="","",IF(INDEX(EntryPartyType,$P165)=0,"",INDEX(EntryPartyType,$P165)))</f>
        <v/>
      </c>
      <c r="G165" s="26">
        <f>IF($P165="","",IF(INDEX(EntryTxnType,$P165)=0,"",INDEX(EntryTxnType,$P165)))</f>
        <v/>
      </c>
      <c r="H165" s="27">
        <f>IF($P165="","",IF(INDEX(EntryDep,$P165)=0,"",INDEX(EntryDep,$P165)))</f>
        <v/>
      </c>
      <c r="I165" s="27">
        <f>IF($P165="","",IF(INDEX(EntryWit,$P165)=0,"",INDEX(EntryWit,$P165)))</f>
        <v/>
      </c>
      <c r="J165" s="27">
        <f>IF($B165="","",IF($A165=1,$C$7,IF(J164="",0,J164))+IF($H165="",0,$H165)-IF($I165="",0,$I165))</f>
        <v/>
      </c>
      <c r="K165" s="27">
        <f>IF($P165="","",IF(INDEX(EntryMan,$P165)=0,"",INDEX(EntryMan,$P165)))</f>
        <v/>
      </c>
      <c r="L165" s="26">
        <f>IF($B165="","",IF($K165="","—",IF(ROUND($K165-$J165,0)=0,"√","×")))</f>
        <v/>
      </c>
      <c r="M165" s="26">
        <f>IF($B165="","",IF(COUNTIFS(EntryDates,$B165,CalcTime,$C165,CalcBank,$C$5,EntryParty,$D165,EntryDep,$H165,EntryWit,$I165)&gt;1,"تکرار",""))</f>
        <v/>
      </c>
      <c r="N165" s="26">
        <f>IF($P165="","",IF(INDEX(EntryNotes,$P165)=0,"",INDEX(EntryNotes,$P165)))</f>
        <v/>
      </c>
      <c r="O165" s="26">
        <f>IF($P165="","",IF(INDEX(EntryTxnID,$P165)=0,"",INDEX(EntryTxnID,$P165)))</f>
        <v/>
      </c>
      <c r="P165" s="26">
        <f>IFERROR(MATCH($C$5&amp;"|"&amp;RIGHT("000000"&amp;149,6),CalcRankKey,0),"")</f>
        <v/>
      </c>
    </row>
    <row r="166">
      <c r="A166" s="28">
        <f>IF($B166="","",150)</f>
        <v/>
      </c>
      <c r="B166" s="28">
        <f>IF($P166="","",IF(INDEX(CalcNormDate,$P166)=0,"",INDEX(CalcNormDate,$P166)))</f>
        <v/>
      </c>
      <c r="C166" s="28">
        <f>IF($P166="","",IF(INDEX(CalcTime,$P166)=0,"",INDEX(CalcTime,$P166)))</f>
        <v/>
      </c>
      <c r="D166" s="28">
        <f>IF($P166="","",IF(INDEX(EntryParty,$P166)=0,"",INDEX(EntryParty,$P166)))</f>
        <v/>
      </c>
      <c r="E166" s="28">
        <f>IF($P166="","",IF(INDEX(EntryPartyName,$P166)=0,"",INDEX(EntryPartyName,$P166)))</f>
        <v/>
      </c>
      <c r="F166" s="28">
        <f>IF($P166="","",IF(INDEX(EntryPartyType,$P166)=0,"",INDEX(EntryPartyType,$P166)))</f>
        <v/>
      </c>
      <c r="G166" s="28">
        <f>IF($P166="","",IF(INDEX(EntryTxnType,$P166)=0,"",INDEX(EntryTxnType,$P166)))</f>
        <v/>
      </c>
      <c r="H166" s="29">
        <f>IF($P166="","",IF(INDEX(EntryDep,$P166)=0,"",INDEX(EntryDep,$P166)))</f>
        <v/>
      </c>
      <c r="I166" s="29">
        <f>IF($P166="","",IF(INDEX(EntryWit,$P166)=0,"",INDEX(EntryWit,$P166)))</f>
        <v/>
      </c>
      <c r="J166" s="29">
        <f>IF($B166="","",IF($A166=1,$C$7,IF(J165="",0,J165))+IF($H166="",0,$H166)-IF($I166="",0,$I166))</f>
        <v/>
      </c>
      <c r="K166" s="29">
        <f>IF($P166="","",IF(INDEX(EntryMan,$P166)=0,"",INDEX(EntryMan,$P166)))</f>
        <v/>
      </c>
      <c r="L166" s="28">
        <f>IF($B166="","",IF($K166="","—",IF(ROUND($K166-$J166,0)=0,"√","×")))</f>
        <v/>
      </c>
      <c r="M166" s="28">
        <f>IF($B166="","",IF(COUNTIFS(EntryDates,$B166,CalcTime,$C166,CalcBank,$C$5,EntryParty,$D166,EntryDep,$H166,EntryWit,$I166)&gt;1,"تکرار",""))</f>
        <v/>
      </c>
      <c r="N166" s="28">
        <f>IF($P166="","",IF(INDEX(EntryNotes,$P166)=0,"",INDEX(EntryNotes,$P166)))</f>
        <v/>
      </c>
      <c r="O166" s="28">
        <f>IF($P166="","",IF(INDEX(EntryTxnID,$P166)=0,"",INDEX(EntryTxnID,$P166)))</f>
        <v/>
      </c>
      <c r="P166" s="28">
        <f>IFERROR(MATCH($C$5&amp;"|"&amp;RIGHT("000000"&amp;150,6),CalcRankKey,0),"")</f>
        <v/>
      </c>
    </row>
    <row r="167">
      <c r="A167" s="26">
        <f>IF($B167="","",151)</f>
        <v/>
      </c>
      <c r="B167" s="26">
        <f>IF($P167="","",IF(INDEX(CalcNormDate,$P167)=0,"",INDEX(CalcNormDate,$P167)))</f>
        <v/>
      </c>
      <c r="C167" s="26">
        <f>IF($P167="","",IF(INDEX(CalcTime,$P167)=0,"",INDEX(CalcTime,$P167)))</f>
        <v/>
      </c>
      <c r="D167" s="26">
        <f>IF($P167="","",IF(INDEX(EntryParty,$P167)=0,"",INDEX(EntryParty,$P167)))</f>
        <v/>
      </c>
      <c r="E167" s="26">
        <f>IF($P167="","",IF(INDEX(EntryPartyName,$P167)=0,"",INDEX(EntryPartyName,$P167)))</f>
        <v/>
      </c>
      <c r="F167" s="26">
        <f>IF($P167="","",IF(INDEX(EntryPartyType,$P167)=0,"",INDEX(EntryPartyType,$P167)))</f>
        <v/>
      </c>
      <c r="G167" s="26">
        <f>IF($P167="","",IF(INDEX(EntryTxnType,$P167)=0,"",INDEX(EntryTxnType,$P167)))</f>
        <v/>
      </c>
      <c r="H167" s="27">
        <f>IF($P167="","",IF(INDEX(EntryDep,$P167)=0,"",INDEX(EntryDep,$P167)))</f>
        <v/>
      </c>
      <c r="I167" s="27">
        <f>IF($P167="","",IF(INDEX(EntryWit,$P167)=0,"",INDEX(EntryWit,$P167)))</f>
        <v/>
      </c>
      <c r="J167" s="27">
        <f>IF($B167="","",IF($A167=1,$C$7,IF(J166="",0,J166))+IF($H167="",0,$H167)-IF($I167="",0,$I167))</f>
        <v/>
      </c>
      <c r="K167" s="27">
        <f>IF($P167="","",IF(INDEX(EntryMan,$P167)=0,"",INDEX(EntryMan,$P167)))</f>
        <v/>
      </c>
      <c r="L167" s="26">
        <f>IF($B167="","",IF($K167="","—",IF(ROUND($K167-$J167,0)=0,"√","×")))</f>
        <v/>
      </c>
      <c r="M167" s="26">
        <f>IF($B167="","",IF(COUNTIFS(EntryDates,$B167,CalcTime,$C167,CalcBank,$C$5,EntryParty,$D167,EntryDep,$H167,EntryWit,$I167)&gt;1,"تکرار",""))</f>
        <v/>
      </c>
      <c r="N167" s="26">
        <f>IF($P167="","",IF(INDEX(EntryNotes,$P167)=0,"",INDEX(EntryNotes,$P167)))</f>
        <v/>
      </c>
      <c r="O167" s="26">
        <f>IF($P167="","",IF(INDEX(EntryTxnID,$P167)=0,"",INDEX(EntryTxnID,$P167)))</f>
        <v/>
      </c>
      <c r="P167" s="26">
        <f>IFERROR(MATCH($C$5&amp;"|"&amp;RIGHT("000000"&amp;151,6),CalcRankKey,0),"")</f>
        <v/>
      </c>
    </row>
    <row r="168">
      <c r="A168" s="28">
        <f>IF($B168="","",152)</f>
        <v/>
      </c>
      <c r="B168" s="28">
        <f>IF($P168="","",IF(INDEX(CalcNormDate,$P168)=0,"",INDEX(CalcNormDate,$P168)))</f>
        <v/>
      </c>
      <c r="C168" s="28">
        <f>IF($P168="","",IF(INDEX(CalcTime,$P168)=0,"",INDEX(CalcTime,$P168)))</f>
        <v/>
      </c>
      <c r="D168" s="28">
        <f>IF($P168="","",IF(INDEX(EntryParty,$P168)=0,"",INDEX(EntryParty,$P168)))</f>
        <v/>
      </c>
      <c r="E168" s="28">
        <f>IF($P168="","",IF(INDEX(EntryPartyName,$P168)=0,"",INDEX(EntryPartyName,$P168)))</f>
        <v/>
      </c>
      <c r="F168" s="28">
        <f>IF($P168="","",IF(INDEX(EntryPartyType,$P168)=0,"",INDEX(EntryPartyType,$P168)))</f>
        <v/>
      </c>
      <c r="G168" s="28">
        <f>IF($P168="","",IF(INDEX(EntryTxnType,$P168)=0,"",INDEX(EntryTxnType,$P168)))</f>
        <v/>
      </c>
      <c r="H168" s="29">
        <f>IF($P168="","",IF(INDEX(EntryDep,$P168)=0,"",INDEX(EntryDep,$P168)))</f>
        <v/>
      </c>
      <c r="I168" s="29">
        <f>IF($P168="","",IF(INDEX(EntryWit,$P168)=0,"",INDEX(EntryWit,$P168)))</f>
        <v/>
      </c>
      <c r="J168" s="29">
        <f>IF($B168="","",IF($A168=1,$C$7,IF(J167="",0,J167))+IF($H168="",0,$H168)-IF($I168="",0,$I168))</f>
        <v/>
      </c>
      <c r="K168" s="29">
        <f>IF($P168="","",IF(INDEX(EntryMan,$P168)=0,"",INDEX(EntryMan,$P168)))</f>
        <v/>
      </c>
      <c r="L168" s="28">
        <f>IF($B168="","",IF($K168="","—",IF(ROUND($K168-$J168,0)=0,"√","×")))</f>
        <v/>
      </c>
      <c r="M168" s="28">
        <f>IF($B168="","",IF(COUNTIFS(EntryDates,$B168,CalcTime,$C168,CalcBank,$C$5,EntryParty,$D168,EntryDep,$H168,EntryWit,$I168)&gt;1,"تکرار",""))</f>
        <v/>
      </c>
      <c r="N168" s="28">
        <f>IF($P168="","",IF(INDEX(EntryNotes,$P168)=0,"",INDEX(EntryNotes,$P168)))</f>
        <v/>
      </c>
      <c r="O168" s="28">
        <f>IF($P168="","",IF(INDEX(EntryTxnID,$P168)=0,"",INDEX(EntryTxnID,$P168)))</f>
        <v/>
      </c>
      <c r="P168" s="28">
        <f>IFERROR(MATCH($C$5&amp;"|"&amp;RIGHT("000000"&amp;152,6),CalcRankKey,0),"")</f>
        <v/>
      </c>
    </row>
    <row r="169">
      <c r="A169" s="26">
        <f>IF($B169="","",153)</f>
        <v/>
      </c>
      <c r="B169" s="26">
        <f>IF($P169="","",IF(INDEX(CalcNormDate,$P169)=0,"",INDEX(CalcNormDate,$P169)))</f>
        <v/>
      </c>
      <c r="C169" s="26">
        <f>IF($P169="","",IF(INDEX(CalcTime,$P169)=0,"",INDEX(CalcTime,$P169)))</f>
        <v/>
      </c>
      <c r="D169" s="26">
        <f>IF($P169="","",IF(INDEX(EntryParty,$P169)=0,"",INDEX(EntryParty,$P169)))</f>
        <v/>
      </c>
      <c r="E169" s="26">
        <f>IF($P169="","",IF(INDEX(EntryPartyName,$P169)=0,"",INDEX(EntryPartyName,$P169)))</f>
        <v/>
      </c>
      <c r="F169" s="26">
        <f>IF($P169="","",IF(INDEX(EntryPartyType,$P169)=0,"",INDEX(EntryPartyType,$P169)))</f>
        <v/>
      </c>
      <c r="G169" s="26">
        <f>IF($P169="","",IF(INDEX(EntryTxnType,$P169)=0,"",INDEX(EntryTxnType,$P169)))</f>
        <v/>
      </c>
      <c r="H169" s="27">
        <f>IF($P169="","",IF(INDEX(EntryDep,$P169)=0,"",INDEX(EntryDep,$P169)))</f>
        <v/>
      </c>
      <c r="I169" s="27">
        <f>IF($P169="","",IF(INDEX(EntryWit,$P169)=0,"",INDEX(EntryWit,$P169)))</f>
        <v/>
      </c>
      <c r="J169" s="27">
        <f>IF($B169="","",IF($A169=1,$C$7,IF(J168="",0,J168))+IF($H169="",0,$H169)-IF($I169="",0,$I169))</f>
        <v/>
      </c>
      <c r="K169" s="27">
        <f>IF($P169="","",IF(INDEX(EntryMan,$P169)=0,"",INDEX(EntryMan,$P169)))</f>
        <v/>
      </c>
      <c r="L169" s="26">
        <f>IF($B169="","",IF($K169="","—",IF(ROUND($K169-$J169,0)=0,"√","×")))</f>
        <v/>
      </c>
      <c r="M169" s="26">
        <f>IF($B169="","",IF(COUNTIFS(EntryDates,$B169,CalcTime,$C169,CalcBank,$C$5,EntryParty,$D169,EntryDep,$H169,EntryWit,$I169)&gt;1,"تکرار",""))</f>
        <v/>
      </c>
      <c r="N169" s="26">
        <f>IF($P169="","",IF(INDEX(EntryNotes,$P169)=0,"",INDEX(EntryNotes,$P169)))</f>
        <v/>
      </c>
      <c r="O169" s="26">
        <f>IF($P169="","",IF(INDEX(EntryTxnID,$P169)=0,"",INDEX(EntryTxnID,$P169)))</f>
        <v/>
      </c>
      <c r="P169" s="26">
        <f>IFERROR(MATCH($C$5&amp;"|"&amp;RIGHT("000000"&amp;153,6),CalcRankKey,0),"")</f>
        <v/>
      </c>
    </row>
    <row r="170">
      <c r="A170" s="28">
        <f>IF($B170="","",154)</f>
        <v/>
      </c>
      <c r="B170" s="28">
        <f>IF($P170="","",IF(INDEX(CalcNormDate,$P170)=0,"",INDEX(CalcNormDate,$P170)))</f>
        <v/>
      </c>
      <c r="C170" s="28">
        <f>IF($P170="","",IF(INDEX(CalcTime,$P170)=0,"",INDEX(CalcTime,$P170)))</f>
        <v/>
      </c>
      <c r="D170" s="28">
        <f>IF($P170="","",IF(INDEX(EntryParty,$P170)=0,"",INDEX(EntryParty,$P170)))</f>
        <v/>
      </c>
      <c r="E170" s="28">
        <f>IF($P170="","",IF(INDEX(EntryPartyName,$P170)=0,"",INDEX(EntryPartyName,$P170)))</f>
        <v/>
      </c>
      <c r="F170" s="28">
        <f>IF($P170="","",IF(INDEX(EntryPartyType,$P170)=0,"",INDEX(EntryPartyType,$P170)))</f>
        <v/>
      </c>
      <c r="G170" s="28">
        <f>IF($P170="","",IF(INDEX(EntryTxnType,$P170)=0,"",INDEX(EntryTxnType,$P170)))</f>
        <v/>
      </c>
      <c r="H170" s="29">
        <f>IF($P170="","",IF(INDEX(EntryDep,$P170)=0,"",INDEX(EntryDep,$P170)))</f>
        <v/>
      </c>
      <c r="I170" s="29">
        <f>IF($P170="","",IF(INDEX(EntryWit,$P170)=0,"",INDEX(EntryWit,$P170)))</f>
        <v/>
      </c>
      <c r="J170" s="29">
        <f>IF($B170="","",IF($A170=1,$C$7,IF(J169="",0,J169))+IF($H170="",0,$H170)-IF($I170="",0,$I170))</f>
        <v/>
      </c>
      <c r="K170" s="29">
        <f>IF($P170="","",IF(INDEX(EntryMan,$P170)=0,"",INDEX(EntryMan,$P170)))</f>
        <v/>
      </c>
      <c r="L170" s="28">
        <f>IF($B170="","",IF($K170="","—",IF(ROUND($K170-$J170,0)=0,"√","×")))</f>
        <v/>
      </c>
      <c r="M170" s="28">
        <f>IF($B170="","",IF(COUNTIFS(EntryDates,$B170,CalcTime,$C170,CalcBank,$C$5,EntryParty,$D170,EntryDep,$H170,EntryWit,$I170)&gt;1,"تکرار",""))</f>
        <v/>
      </c>
      <c r="N170" s="28">
        <f>IF($P170="","",IF(INDEX(EntryNotes,$P170)=0,"",INDEX(EntryNotes,$P170)))</f>
        <v/>
      </c>
      <c r="O170" s="28">
        <f>IF($P170="","",IF(INDEX(EntryTxnID,$P170)=0,"",INDEX(EntryTxnID,$P170)))</f>
        <v/>
      </c>
      <c r="P170" s="28">
        <f>IFERROR(MATCH($C$5&amp;"|"&amp;RIGHT("000000"&amp;154,6),CalcRankKey,0),"")</f>
        <v/>
      </c>
    </row>
    <row r="171">
      <c r="A171" s="26">
        <f>IF($B171="","",155)</f>
        <v/>
      </c>
      <c r="B171" s="26">
        <f>IF($P171="","",IF(INDEX(CalcNormDate,$P171)=0,"",INDEX(CalcNormDate,$P171)))</f>
        <v/>
      </c>
      <c r="C171" s="26">
        <f>IF($P171="","",IF(INDEX(CalcTime,$P171)=0,"",INDEX(CalcTime,$P171)))</f>
        <v/>
      </c>
      <c r="D171" s="26">
        <f>IF($P171="","",IF(INDEX(EntryParty,$P171)=0,"",INDEX(EntryParty,$P171)))</f>
        <v/>
      </c>
      <c r="E171" s="26">
        <f>IF($P171="","",IF(INDEX(EntryPartyName,$P171)=0,"",INDEX(EntryPartyName,$P171)))</f>
        <v/>
      </c>
      <c r="F171" s="26">
        <f>IF($P171="","",IF(INDEX(EntryPartyType,$P171)=0,"",INDEX(EntryPartyType,$P171)))</f>
        <v/>
      </c>
      <c r="G171" s="26">
        <f>IF($P171="","",IF(INDEX(EntryTxnType,$P171)=0,"",INDEX(EntryTxnType,$P171)))</f>
        <v/>
      </c>
      <c r="H171" s="27">
        <f>IF($P171="","",IF(INDEX(EntryDep,$P171)=0,"",INDEX(EntryDep,$P171)))</f>
        <v/>
      </c>
      <c r="I171" s="27">
        <f>IF($P171="","",IF(INDEX(EntryWit,$P171)=0,"",INDEX(EntryWit,$P171)))</f>
        <v/>
      </c>
      <c r="J171" s="27">
        <f>IF($B171="","",IF($A171=1,$C$7,IF(J170="",0,J170))+IF($H171="",0,$H171)-IF($I171="",0,$I171))</f>
        <v/>
      </c>
      <c r="K171" s="27">
        <f>IF($P171="","",IF(INDEX(EntryMan,$P171)=0,"",INDEX(EntryMan,$P171)))</f>
        <v/>
      </c>
      <c r="L171" s="26">
        <f>IF($B171="","",IF($K171="","—",IF(ROUND($K171-$J171,0)=0,"√","×")))</f>
        <v/>
      </c>
      <c r="M171" s="26">
        <f>IF($B171="","",IF(COUNTIFS(EntryDates,$B171,CalcTime,$C171,CalcBank,$C$5,EntryParty,$D171,EntryDep,$H171,EntryWit,$I171)&gt;1,"تکرار",""))</f>
        <v/>
      </c>
      <c r="N171" s="26">
        <f>IF($P171="","",IF(INDEX(EntryNotes,$P171)=0,"",INDEX(EntryNotes,$P171)))</f>
        <v/>
      </c>
      <c r="O171" s="26">
        <f>IF($P171="","",IF(INDEX(EntryTxnID,$P171)=0,"",INDEX(EntryTxnID,$P171)))</f>
        <v/>
      </c>
      <c r="P171" s="26">
        <f>IFERROR(MATCH($C$5&amp;"|"&amp;RIGHT("000000"&amp;155,6),CalcRankKey,0),"")</f>
        <v/>
      </c>
    </row>
    <row r="172">
      <c r="A172" s="28">
        <f>IF($B172="","",156)</f>
        <v/>
      </c>
      <c r="B172" s="28">
        <f>IF($P172="","",IF(INDEX(CalcNormDate,$P172)=0,"",INDEX(CalcNormDate,$P172)))</f>
        <v/>
      </c>
      <c r="C172" s="28">
        <f>IF($P172="","",IF(INDEX(CalcTime,$P172)=0,"",INDEX(CalcTime,$P172)))</f>
        <v/>
      </c>
      <c r="D172" s="28">
        <f>IF($P172="","",IF(INDEX(EntryParty,$P172)=0,"",INDEX(EntryParty,$P172)))</f>
        <v/>
      </c>
      <c r="E172" s="28">
        <f>IF($P172="","",IF(INDEX(EntryPartyName,$P172)=0,"",INDEX(EntryPartyName,$P172)))</f>
        <v/>
      </c>
      <c r="F172" s="28">
        <f>IF($P172="","",IF(INDEX(EntryPartyType,$P172)=0,"",INDEX(EntryPartyType,$P172)))</f>
        <v/>
      </c>
      <c r="G172" s="28">
        <f>IF($P172="","",IF(INDEX(EntryTxnType,$P172)=0,"",INDEX(EntryTxnType,$P172)))</f>
        <v/>
      </c>
      <c r="H172" s="29">
        <f>IF($P172="","",IF(INDEX(EntryDep,$P172)=0,"",INDEX(EntryDep,$P172)))</f>
        <v/>
      </c>
      <c r="I172" s="29">
        <f>IF($P172="","",IF(INDEX(EntryWit,$P172)=0,"",INDEX(EntryWit,$P172)))</f>
        <v/>
      </c>
      <c r="J172" s="29">
        <f>IF($B172="","",IF($A172=1,$C$7,IF(J171="",0,J171))+IF($H172="",0,$H172)-IF($I172="",0,$I172))</f>
        <v/>
      </c>
      <c r="K172" s="29">
        <f>IF($P172="","",IF(INDEX(EntryMan,$P172)=0,"",INDEX(EntryMan,$P172)))</f>
        <v/>
      </c>
      <c r="L172" s="28">
        <f>IF($B172="","",IF($K172="","—",IF(ROUND($K172-$J172,0)=0,"√","×")))</f>
        <v/>
      </c>
      <c r="M172" s="28">
        <f>IF($B172="","",IF(COUNTIFS(EntryDates,$B172,CalcTime,$C172,CalcBank,$C$5,EntryParty,$D172,EntryDep,$H172,EntryWit,$I172)&gt;1,"تکرار",""))</f>
        <v/>
      </c>
      <c r="N172" s="28">
        <f>IF($P172="","",IF(INDEX(EntryNotes,$P172)=0,"",INDEX(EntryNotes,$P172)))</f>
        <v/>
      </c>
      <c r="O172" s="28">
        <f>IF($P172="","",IF(INDEX(EntryTxnID,$P172)=0,"",INDEX(EntryTxnID,$P172)))</f>
        <v/>
      </c>
      <c r="P172" s="28">
        <f>IFERROR(MATCH($C$5&amp;"|"&amp;RIGHT("000000"&amp;156,6),CalcRankKey,0),"")</f>
        <v/>
      </c>
    </row>
    <row r="173">
      <c r="A173" s="26">
        <f>IF($B173="","",157)</f>
        <v/>
      </c>
      <c r="B173" s="26">
        <f>IF($P173="","",IF(INDEX(CalcNormDate,$P173)=0,"",INDEX(CalcNormDate,$P173)))</f>
        <v/>
      </c>
      <c r="C173" s="26">
        <f>IF($P173="","",IF(INDEX(CalcTime,$P173)=0,"",INDEX(CalcTime,$P173)))</f>
        <v/>
      </c>
      <c r="D173" s="26">
        <f>IF($P173="","",IF(INDEX(EntryParty,$P173)=0,"",INDEX(EntryParty,$P173)))</f>
        <v/>
      </c>
      <c r="E173" s="26">
        <f>IF($P173="","",IF(INDEX(EntryPartyName,$P173)=0,"",INDEX(EntryPartyName,$P173)))</f>
        <v/>
      </c>
      <c r="F173" s="26">
        <f>IF($P173="","",IF(INDEX(EntryPartyType,$P173)=0,"",INDEX(EntryPartyType,$P173)))</f>
        <v/>
      </c>
      <c r="G173" s="26">
        <f>IF($P173="","",IF(INDEX(EntryTxnType,$P173)=0,"",INDEX(EntryTxnType,$P173)))</f>
        <v/>
      </c>
      <c r="H173" s="27">
        <f>IF($P173="","",IF(INDEX(EntryDep,$P173)=0,"",INDEX(EntryDep,$P173)))</f>
        <v/>
      </c>
      <c r="I173" s="27">
        <f>IF($P173="","",IF(INDEX(EntryWit,$P173)=0,"",INDEX(EntryWit,$P173)))</f>
        <v/>
      </c>
      <c r="J173" s="27">
        <f>IF($B173="","",IF($A173=1,$C$7,IF(J172="",0,J172))+IF($H173="",0,$H173)-IF($I173="",0,$I173))</f>
        <v/>
      </c>
      <c r="K173" s="27">
        <f>IF($P173="","",IF(INDEX(EntryMan,$P173)=0,"",INDEX(EntryMan,$P173)))</f>
        <v/>
      </c>
      <c r="L173" s="26">
        <f>IF($B173="","",IF($K173="","—",IF(ROUND($K173-$J173,0)=0,"√","×")))</f>
        <v/>
      </c>
      <c r="M173" s="26">
        <f>IF($B173="","",IF(COUNTIFS(EntryDates,$B173,CalcTime,$C173,CalcBank,$C$5,EntryParty,$D173,EntryDep,$H173,EntryWit,$I173)&gt;1,"تکرار",""))</f>
        <v/>
      </c>
      <c r="N173" s="26">
        <f>IF($P173="","",IF(INDEX(EntryNotes,$P173)=0,"",INDEX(EntryNotes,$P173)))</f>
        <v/>
      </c>
      <c r="O173" s="26">
        <f>IF($P173="","",IF(INDEX(EntryTxnID,$P173)=0,"",INDEX(EntryTxnID,$P173)))</f>
        <v/>
      </c>
      <c r="P173" s="26">
        <f>IFERROR(MATCH($C$5&amp;"|"&amp;RIGHT("000000"&amp;157,6),CalcRankKey,0),"")</f>
        <v/>
      </c>
    </row>
    <row r="174">
      <c r="A174" s="28">
        <f>IF($B174="","",158)</f>
        <v/>
      </c>
      <c r="B174" s="28">
        <f>IF($P174="","",IF(INDEX(CalcNormDate,$P174)=0,"",INDEX(CalcNormDate,$P174)))</f>
        <v/>
      </c>
      <c r="C174" s="28">
        <f>IF($P174="","",IF(INDEX(CalcTime,$P174)=0,"",INDEX(CalcTime,$P174)))</f>
        <v/>
      </c>
      <c r="D174" s="28">
        <f>IF($P174="","",IF(INDEX(EntryParty,$P174)=0,"",INDEX(EntryParty,$P174)))</f>
        <v/>
      </c>
      <c r="E174" s="28">
        <f>IF($P174="","",IF(INDEX(EntryPartyName,$P174)=0,"",INDEX(EntryPartyName,$P174)))</f>
        <v/>
      </c>
      <c r="F174" s="28">
        <f>IF($P174="","",IF(INDEX(EntryPartyType,$P174)=0,"",INDEX(EntryPartyType,$P174)))</f>
        <v/>
      </c>
      <c r="G174" s="28">
        <f>IF($P174="","",IF(INDEX(EntryTxnType,$P174)=0,"",INDEX(EntryTxnType,$P174)))</f>
        <v/>
      </c>
      <c r="H174" s="29">
        <f>IF($P174="","",IF(INDEX(EntryDep,$P174)=0,"",INDEX(EntryDep,$P174)))</f>
        <v/>
      </c>
      <c r="I174" s="29">
        <f>IF($P174="","",IF(INDEX(EntryWit,$P174)=0,"",INDEX(EntryWit,$P174)))</f>
        <v/>
      </c>
      <c r="J174" s="29">
        <f>IF($B174="","",IF($A174=1,$C$7,IF(J173="",0,J173))+IF($H174="",0,$H174)-IF($I174="",0,$I174))</f>
        <v/>
      </c>
      <c r="K174" s="29">
        <f>IF($P174="","",IF(INDEX(EntryMan,$P174)=0,"",INDEX(EntryMan,$P174)))</f>
        <v/>
      </c>
      <c r="L174" s="28">
        <f>IF($B174="","",IF($K174="","—",IF(ROUND($K174-$J174,0)=0,"√","×")))</f>
        <v/>
      </c>
      <c r="M174" s="28">
        <f>IF($B174="","",IF(COUNTIFS(EntryDates,$B174,CalcTime,$C174,CalcBank,$C$5,EntryParty,$D174,EntryDep,$H174,EntryWit,$I174)&gt;1,"تکرار",""))</f>
        <v/>
      </c>
      <c r="N174" s="28">
        <f>IF($P174="","",IF(INDEX(EntryNotes,$P174)=0,"",INDEX(EntryNotes,$P174)))</f>
        <v/>
      </c>
      <c r="O174" s="28">
        <f>IF($P174="","",IF(INDEX(EntryTxnID,$P174)=0,"",INDEX(EntryTxnID,$P174)))</f>
        <v/>
      </c>
      <c r="P174" s="28">
        <f>IFERROR(MATCH($C$5&amp;"|"&amp;RIGHT("000000"&amp;158,6),CalcRankKey,0),"")</f>
        <v/>
      </c>
    </row>
    <row r="175">
      <c r="A175" s="26">
        <f>IF($B175="","",159)</f>
        <v/>
      </c>
      <c r="B175" s="26">
        <f>IF($P175="","",IF(INDEX(CalcNormDate,$P175)=0,"",INDEX(CalcNormDate,$P175)))</f>
        <v/>
      </c>
      <c r="C175" s="26">
        <f>IF($P175="","",IF(INDEX(CalcTime,$P175)=0,"",INDEX(CalcTime,$P175)))</f>
        <v/>
      </c>
      <c r="D175" s="26">
        <f>IF($P175="","",IF(INDEX(EntryParty,$P175)=0,"",INDEX(EntryParty,$P175)))</f>
        <v/>
      </c>
      <c r="E175" s="26">
        <f>IF($P175="","",IF(INDEX(EntryPartyName,$P175)=0,"",INDEX(EntryPartyName,$P175)))</f>
        <v/>
      </c>
      <c r="F175" s="26">
        <f>IF($P175="","",IF(INDEX(EntryPartyType,$P175)=0,"",INDEX(EntryPartyType,$P175)))</f>
        <v/>
      </c>
      <c r="G175" s="26">
        <f>IF($P175="","",IF(INDEX(EntryTxnType,$P175)=0,"",INDEX(EntryTxnType,$P175)))</f>
        <v/>
      </c>
      <c r="H175" s="27">
        <f>IF($P175="","",IF(INDEX(EntryDep,$P175)=0,"",INDEX(EntryDep,$P175)))</f>
        <v/>
      </c>
      <c r="I175" s="27">
        <f>IF($P175="","",IF(INDEX(EntryWit,$P175)=0,"",INDEX(EntryWit,$P175)))</f>
        <v/>
      </c>
      <c r="J175" s="27">
        <f>IF($B175="","",IF($A175=1,$C$7,IF(J174="",0,J174))+IF($H175="",0,$H175)-IF($I175="",0,$I175))</f>
        <v/>
      </c>
      <c r="K175" s="27">
        <f>IF($P175="","",IF(INDEX(EntryMan,$P175)=0,"",INDEX(EntryMan,$P175)))</f>
        <v/>
      </c>
      <c r="L175" s="26">
        <f>IF($B175="","",IF($K175="","—",IF(ROUND($K175-$J175,0)=0,"√","×")))</f>
        <v/>
      </c>
      <c r="M175" s="26">
        <f>IF($B175="","",IF(COUNTIFS(EntryDates,$B175,CalcTime,$C175,CalcBank,$C$5,EntryParty,$D175,EntryDep,$H175,EntryWit,$I175)&gt;1,"تکرار",""))</f>
        <v/>
      </c>
      <c r="N175" s="26">
        <f>IF($P175="","",IF(INDEX(EntryNotes,$P175)=0,"",INDEX(EntryNotes,$P175)))</f>
        <v/>
      </c>
      <c r="O175" s="26">
        <f>IF($P175="","",IF(INDEX(EntryTxnID,$P175)=0,"",INDEX(EntryTxnID,$P175)))</f>
        <v/>
      </c>
      <c r="P175" s="26">
        <f>IFERROR(MATCH($C$5&amp;"|"&amp;RIGHT("000000"&amp;159,6),CalcRankKey,0),"")</f>
        <v/>
      </c>
    </row>
    <row r="176">
      <c r="A176" s="28">
        <f>IF($B176="","",160)</f>
        <v/>
      </c>
      <c r="B176" s="28">
        <f>IF($P176="","",IF(INDEX(CalcNormDate,$P176)=0,"",INDEX(CalcNormDate,$P176)))</f>
        <v/>
      </c>
      <c r="C176" s="28">
        <f>IF($P176="","",IF(INDEX(CalcTime,$P176)=0,"",INDEX(CalcTime,$P176)))</f>
        <v/>
      </c>
      <c r="D176" s="28">
        <f>IF($P176="","",IF(INDEX(EntryParty,$P176)=0,"",INDEX(EntryParty,$P176)))</f>
        <v/>
      </c>
      <c r="E176" s="28">
        <f>IF($P176="","",IF(INDEX(EntryPartyName,$P176)=0,"",INDEX(EntryPartyName,$P176)))</f>
        <v/>
      </c>
      <c r="F176" s="28">
        <f>IF($P176="","",IF(INDEX(EntryPartyType,$P176)=0,"",INDEX(EntryPartyType,$P176)))</f>
        <v/>
      </c>
      <c r="G176" s="28">
        <f>IF($P176="","",IF(INDEX(EntryTxnType,$P176)=0,"",INDEX(EntryTxnType,$P176)))</f>
        <v/>
      </c>
      <c r="H176" s="29">
        <f>IF($P176="","",IF(INDEX(EntryDep,$P176)=0,"",INDEX(EntryDep,$P176)))</f>
        <v/>
      </c>
      <c r="I176" s="29">
        <f>IF($P176="","",IF(INDEX(EntryWit,$P176)=0,"",INDEX(EntryWit,$P176)))</f>
        <v/>
      </c>
      <c r="J176" s="29">
        <f>IF($B176="","",IF($A176=1,$C$7,IF(J175="",0,J175))+IF($H176="",0,$H176)-IF($I176="",0,$I176))</f>
        <v/>
      </c>
      <c r="K176" s="29">
        <f>IF($P176="","",IF(INDEX(EntryMan,$P176)=0,"",INDEX(EntryMan,$P176)))</f>
        <v/>
      </c>
      <c r="L176" s="28">
        <f>IF($B176="","",IF($K176="","—",IF(ROUND($K176-$J176,0)=0,"√","×")))</f>
        <v/>
      </c>
      <c r="M176" s="28">
        <f>IF($B176="","",IF(COUNTIFS(EntryDates,$B176,CalcTime,$C176,CalcBank,$C$5,EntryParty,$D176,EntryDep,$H176,EntryWit,$I176)&gt;1,"تکرار",""))</f>
        <v/>
      </c>
      <c r="N176" s="28">
        <f>IF($P176="","",IF(INDEX(EntryNotes,$P176)=0,"",INDEX(EntryNotes,$P176)))</f>
        <v/>
      </c>
      <c r="O176" s="28">
        <f>IF($P176="","",IF(INDEX(EntryTxnID,$P176)=0,"",INDEX(EntryTxnID,$P176)))</f>
        <v/>
      </c>
      <c r="P176" s="28">
        <f>IFERROR(MATCH($C$5&amp;"|"&amp;RIGHT("000000"&amp;160,6),CalcRankKey,0),"")</f>
        <v/>
      </c>
    </row>
    <row r="177">
      <c r="A177" s="26">
        <f>IF($B177="","",161)</f>
        <v/>
      </c>
      <c r="B177" s="26">
        <f>IF($P177="","",IF(INDEX(CalcNormDate,$P177)=0,"",INDEX(CalcNormDate,$P177)))</f>
        <v/>
      </c>
      <c r="C177" s="26">
        <f>IF($P177="","",IF(INDEX(CalcTime,$P177)=0,"",INDEX(CalcTime,$P177)))</f>
        <v/>
      </c>
      <c r="D177" s="26">
        <f>IF($P177="","",IF(INDEX(EntryParty,$P177)=0,"",INDEX(EntryParty,$P177)))</f>
        <v/>
      </c>
      <c r="E177" s="26">
        <f>IF($P177="","",IF(INDEX(EntryPartyName,$P177)=0,"",INDEX(EntryPartyName,$P177)))</f>
        <v/>
      </c>
      <c r="F177" s="26">
        <f>IF($P177="","",IF(INDEX(EntryPartyType,$P177)=0,"",INDEX(EntryPartyType,$P177)))</f>
        <v/>
      </c>
      <c r="G177" s="26">
        <f>IF($P177="","",IF(INDEX(EntryTxnType,$P177)=0,"",INDEX(EntryTxnType,$P177)))</f>
        <v/>
      </c>
      <c r="H177" s="27">
        <f>IF($P177="","",IF(INDEX(EntryDep,$P177)=0,"",INDEX(EntryDep,$P177)))</f>
        <v/>
      </c>
      <c r="I177" s="27">
        <f>IF($P177="","",IF(INDEX(EntryWit,$P177)=0,"",INDEX(EntryWit,$P177)))</f>
        <v/>
      </c>
      <c r="J177" s="27">
        <f>IF($B177="","",IF($A177=1,$C$7,IF(J176="",0,J176))+IF($H177="",0,$H177)-IF($I177="",0,$I177))</f>
        <v/>
      </c>
      <c r="K177" s="27">
        <f>IF($P177="","",IF(INDEX(EntryMan,$P177)=0,"",INDEX(EntryMan,$P177)))</f>
        <v/>
      </c>
      <c r="L177" s="26">
        <f>IF($B177="","",IF($K177="","—",IF(ROUND($K177-$J177,0)=0,"√","×")))</f>
        <v/>
      </c>
      <c r="M177" s="26">
        <f>IF($B177="","",IF(COUNTIFS(EntryDates,$B177,CalcTime,$C177,CalcBank,$C$5,EntryParty,$D177,EntryDep,$H177,EntryWit,$I177)&gt;1,"تکرار",""))</f>
        <v/>
      </c>
      <c r="N177" s="26">
        <f>IF($P177="","",IF(INDEX(EntryNotes,$P177)=0,"",INDEX(EntryNotes,$P177)))</f>
        <v/>
      </c>
      <c r="O177" s="26">
        <f>IF($P177="","",IF(INDEX(EntryTxnID,$P177)=0,"",INDEX(EntryTxnID,$P177)))</f>
        <v/>
      </c>
      <c r="P177" s="26">
        <f>IFERROR(MATCH($C$5&amp;"|"&amp;RIGHT("000000"&amp;161,6),CalcRankKey,0),"")</f>
        <v/>
      </c>
    </row>
    <row r="178">
      <c r="A178" s="28">
        <f>IF($B178="","",162)</f>
        <v/>
      </c>
      <c r="B178" s="28">
        <f>IF($P178="","",IF(INDEX(CalcNormDate,$P178)=0,"",INDEX(CalcNormDate,$P178)))</f>
        <v/>
      </c>
      <c r="C178" s="28">
        <f>IF($P178="","",IF(INDEX(CalcTime,$P178)=0,"",INDEX(CalcTime,$P178)))</f>
        <v/>
      </c>
      <c r="D178" s="28">
        <f>IF($P178="","",IF(INDEX(EntryParty,$P178)=0,"",INDEX(EntryParty,$P178)))</f>
        <v/>
      </c>
      <c r="E178" s="28">
        <f>IF($P178="","",IF(INDEX(EntryPartyName,$P178)=0,"",INDEX(EntryPartyName,$P178)))</f>
        <v/>
      </c>
      <c r="F178" s="28">
        <f>IF($P178="","",IF(INDEX(EntryPartyType,$P178)=0,"",INDEX(EntryPartyType,$P178)))</f>
        <v/>
      </c>
      <c r="G178" s="28">
        <f>IF($P178="","",IF(INDEX(EntryTxnType,$P178)=0,"",INDEX(EntryTxnType,$P178)))</f>
        <v/>
      </c>
      <c r="H178" s="29">
        <f>IF($P178="","",IF(INDEX(EntryDep,$P178)=0,"",INDEX(EntryDep,$P178)))</f>
        <v/>
      </c>
      <c r="I178" s="29">
        <f>IF($P178="","",IF(INDEX(EntryWit,$P178)=0,"",INDEX(EntryWit,$P178)))</f>
        <v/>
      </c>
      <c r="J178" s="29">
        <f>IF($B178="","",IF($A178=1,$C$7,IF(J177="",0,J177))+IF($H178="",0,$H178)-IF($I178="",0,$I178))</f>
        <v/>
      </c>
      <c r="K178" s="29">
        <f>IF($P178="","",IF(INDEX(EntryMan,$P178)=0,"",INDEX(EntryMan,$P178)))</f>
        <v/>
      </c>
      <c r="L178" s="28">
        <f>IF($B178="","",IF($K178="","—",IF(ROUND($K178-$J178,0)=0,"√","×")))</f>
        <v/>
      </c>
      <c r="M178" s="28">
        <f>IF($B178="","",IF(COUNTIFS(EntryDates,$B178,CalcTime,$C178,CalcBank,$C$5,EntryParty,$D178,EntryDep,$H178,EntryWit,$I178)&gt;1,"تکرار",""))</f>
        <v/>
      </c>
      <c r="N178" s="28">
        <f>IF($P178="","",IF(INDEX(EntryNotes,$P178)=0,"",INDEX(EntryNotes,$P178)))</f>
        <v/>
      </c>
      <c r="O178" s="28">
        <f>IF($P178="","",IF(INDEX(EntryTxnID,$P178)=0,"",INDEX(EntryTxnID,$P178)))</f>
        <v/>
      </c>
      <c r="P178" s="28">
        <f>IFERROR(MATCH($C$5&amp;"|"&amp;RIGHT("000000"&amp;162,6),CalcRankKey,0),"")</f>
        <v/>
      </c>
    </row>
    <row r="179">
      <c r="A179" s="26">
        <f>IF($B179="","",163)</f>
        <v/>
      </c>
      <c r="B179" s="26">
        <f>IF($P179="","",IF(INDEX(CalcNormDate,$P179)=0,"",INDEX(CalcNormDate,$P179)))</f>
        <v/>
      </c>
      <c r="C179" s="26">
        <f>IF($P179="","",IF(INDEX(CalcTime,$P179)=0,"",INDEX(CalcTime,$P179)))</f>
        <v/>
      </c>
      <c r="D179" s="26">
        <f>IF($P179="","",IF(INDEX(EntryParty,$P179)=0,"",INDEX(EntryParty,$P179)))</f>
        <v/>
      </c>
      <c r="E179" s="26">
        <f>IF($P179="","",IF(INDEX(EntryPartyName,$P179)=0,"",INDEX(EntryPartyName,$P179)))</f>
        <v/>
      </c>
      <c r="F179" s="26">
        <f>IF($P179="","",IF(INDEX(EntryPartyType,$P179)=0,"",INDEX(EntryPartyType,$P179)))</f>
        <v/>
      </c>
      <c r="G179" s="26">
        <f>IF($P179="","",IF(INDEX(EntryTxnType,$P179)=0,"",INDEX(EntryTxnType,$P179)))</f>
        <v/>
      </c>
      <c r="H179" s="27">
        <f>IF($P179="","",IF(INDEX(EntryDep,$P179)=0,"",INDEX(EntryDep,$P179)))</f>
        <v/>
      </c>
      <c r="I179" s="27">
        <f>IF($P179="","",IF(INDEX(EntryWit,$P179)=0,"",INDEX(EntryWit,$P179)))</f>
        <v/>
      </c>
      <c r="J179" s="27">
        <f>IF($B179="","",IF($A179=1,$C$7,IF(J178="",0,J178))+IF($H179="",0,$H179)-IF($I179="",0,$I179))</f>
        <v/>
      </c>
      <c r="K179" s="27">
        <f>IF($P179="","",IF(INDEX(EntryMan,$P179)=0,"",INDEX(EntryMan,$P179)))</f>
        <v/>
      </c>
      <c r="L179" s="26">
        <f>IF($B179="","",IF($K179="","—",IF(ROUND($K179-$J179,0)=0,"√","×")))</f>
        <v/>
      </c>
      <c r="M179" s="26">
        <f>IF($B179="","",IF(COUNTIFS(EntryDates,$B179,CalcTime,$C179,CalcBank,$C$5,EntryParty,$D179,EntryDep,$H179,EntryWit,$I179)&gt;1,"تکرار",""))</f>
        <v/>
      </c>
      <c r="N179" s="26">
        <f>IF($P179="","",IF(INDEX(EntryNotes,$P179)=0,"",INDEX(EntryNotes,$P179)))</f>
        <v/>
      </c>
      <c r="O179" s="26">
        <f>IF($P179="","",IF(INDEX(EntryTxnID,$P179)=0,"",INDEX(EntryTxnID,$P179)))</f>
        <v/>
      </c>
      <c r="P179" s="26">
        <f>IFERROR(MATCH($C$5&amp;"|"&amp;RIGHT("000000"&amp;163,6),CalcRankKey,0),"")</f>
        <v/>
      </c>
    </row>
    <row r="180">
      <c r="A180" s="28">
        <f>IF($B180="","",164)</f>
        <v/>
      </c>
      <c r="B180" s="28">
        <f>IF($P180="","",IF(INDEX(CalcNormDate,$P180)=0,"",INDEX(CalcNormDate,$P180)))</f>
        <v/>
      </c>
      <c r="C180" s="28">
        <f>IF($P180="","",IF(INDEX(CalcTime,$P180)=0,"",INDEX(CalcTime,$P180)))</f>
        <v/>
      </c>
      <c r="D180" s="28">
        <f>IF($P180="","",IF(INDEX(EntryParty,$P180)=0,"",INDEX(EntryParty,$P180)))</f>
        <v/>
      </c>
      <c r="E180" s="28">
        <f>IF($P180="","",IF(INDEX(EntryPartyName,$P180)=0,"",INDEX(EntryPartyName,$P180)))</f>
        <v/>
      </c>
      <c r="F180" s="28">
        <f>IF($P180="","",IF(INDEX(EntryPartyType,$P180)=0,"",INDEX(EntryPartyType,$P180)))</f>
        <v/>
      </c>
      <c r="G180" s="28">
        <f>IF($P180="","",IF(INDEX(EntryTxnType,$P180)=0,"",INDEX(EntryTxnType,$P180)))</f>
        <v/>
      </c>
      <c r="H180" s="29">
        <f>IF($P180="","",IF(INDEX(EntryDep,$P180)=0,"",INDEX(EntryDep,$P180)))</f>
        <v/>
      </c>
      <c r="I180" s="29">
        <f>IF($P180="","",IF(INDEX(EntryWit,$P180)=0,"",INDEX(EntryWit,$P180)))</f>
        <v/>
      </c>
      <c r="J180" s="29">
        <f>IF($B180="","",IF($A180=1,$C$7,IF(J179="",0,J179))+IF($H180="",0,$H180)-IF($I180="",0,$I180))</f>
        <v/>
      </c>
      <c r="K180" s="29">
        <f>IF($P180="","",IF(INDEX(EntryMan,$P180)=0,"",INDEX(EntryMan,$P180)))</f>
        <v/>
      </c>
      <c r="L180" s="28">
        <f>IF($B180="","",IF($K180="","—",IF(ROUND($K180-$J180,0)=0,"√","×")))</f>
        <v/>
      </c>
      <c r="M180" s="28">
        <f>IF($B180="","",IF(COUNTIFS(EntryDates,$B180,CalcTime,$C180,CalcBank,$C$5,EntryParty,$D180,EntryDep,$H180,EntryWit,$I180)&gt;1,"تکرار",""))</f>
        <v/>
      </c>
      <c r="N180" s="28">
        <f>IF($P180="","",IF(INDEX(EntryNotes,$P180)=0,"",INDEX(EntryNotes,$P180)))</f>
        <v/>
      </c>
      <c r="O180" s="28">
        <f>IF($P180="","",IF(INDEX(EntryTxnID,$P180)=0,"",INDEX(EntryTxnID,$P180)))</f>
        <v/>
      </c>
      <c r="P180" s="28">
        <f>IFERROR(MATCH($C$5&amp;"|"&amp;RIGHT("000000"&amp;164,6),CalcRankKey,0),"")</f>
        <v/>
      </c>
    </row>
    <row r="181">
      <c r="A181" s="26">
        <f>IF($B181="","",165)</f>
        <v/>
      </c>
      <c r="B181" s="26">
        <f>IF($P181="","",IF(INDEX(CalcNormDate,$P181)=0,"",INDEX(CalcNormDate,$P181)))</f>
        <v/>
      </c>
      <c r="C181" s="26">
        <f>IF($P181="","",IF(INDEX(CalcTime,$P181)=0,"",INDEX(CalcTime,$P181)))</f>
        <v/>
      </c>
      <c r="D181" s="26">
        <f>IF($P181="","",IF(INDEX(EntryParty,$P181)=0,"",INDEX(EntryParty,$P181)))</f>
        <v/>
      </c>
      <c r="E181" s="26">
        <f>IF($P181="","",IF(INDEX(EntryPartyName,$P181)=0,"",INDEX(EntryPartyName,$P181)))</f>
        <v/>
      </c>
      <c r="F181" s="26">
        <f>IF($P181="","",IF(INDEX(EntryPartyType,$P181)=0,"",INDEX(EntryPartyType,$P181)))</f>
        <v/>
      </c>
      <c r="G181" s="26">
        <f>IF($P181="","",IF(INDEX(EntryTxnType,$P181)=0,"",INDEX(EntryTxnType,$P181)))</f>
        <v/>
      </c>
      <c r="H181" s="27">
        <f>IF($P181="","",IF(INDEX(EntryDep,$P181)=0,"",INDEX(EntryDep,$P181)))</f>
        <v/>
      </c>
      <c r="I181" s="27">
        <f>IF($P181="","",IF(INDEX(EntryWit,$P181)=0,"",INDEX(EntryWit,$P181)))</f>
        <v/>
      </c>
      <c r="J181" s="27">
        <f>IF($B181="","",IF($A181=1,$C$7,IF(J180="",0,J180))+IF($H181="",0,$H181)-IF($I181="",0,$I181))</f>
        <v/>
      </c>
      <c r="K181" s="27">
        <f>IF($P181="","",IF(INDEX(EntryMan,$P181)=0,"",INDEX(EntryMan,$P181)))</f>
        <v/>
      </c>
      <c r="L181" s="26">
        <f>IF($B181="","",IF($K181="","—",IF(ROUND($K181-$J181,0)=0,"√","×")))</f>
        <v/>
      </c>
      <c r="M181" s="26">
        <f>IF($B181="","",IF(COUNTIFS(EntryDates,$B181,CalcTime,$C181,CalcBank,$C$5,EntryParty,$D181,EntryDep,$H181,EntryWit,$I181)&gt;1,"تکرار",""))</f>
        <v/>
      </c>
      <c r="N181" s="26">
        <f>IF($P181="","",IF(INDEX(EntryNotes,$P181)=0,"",INDEX(EntryNotes,$P181)))</f>
        <v/>
      </c>
      <c r="O181" s="26">
        <f>IF($P181="","",IF(INDEX(EntryTxnID,$P181)=0,"",INDEX(EntryTxnID,$P181)))</f>
        <v/>
      </c>
      <c r="P181" s="26">
        <f>IFERROR(MATCH($C$5&amp;"|"&amp;RIGHT("000000"&amp;165,6),CalcRankKey,0),"")</f>
        <v/>
      </c>
    </row>
    <row r="182">
      <c r="A182" s="28">
        <f>IF($B182="","",166)</f>
        <v/>
      </c>
      <c r="B182" s="28">
        <f>IF($P182="","",IF(INDEX(CalcNormDate,$P182)=0,"",INDEX(CalcNormDate,$P182)))</f>
        <v/>
      </c>
      <c r="C182" s="28">
        <f>IF($P182="","",IF(INDEX(CalcTime,$P182)=0,"",INDEX(CalcTime,$P182)))</f>
        <v/>
      </c>
      <c r="D182" s="28">
        <f>IF($P182="","",IF(INDEX(EntryParty,$P182)=0,"",INDEX(EntryParty,$P182)))</f>
        <v/>
      </c>
      <c r="E182" s="28">
        <f>IF($P182="","",IF(INDEX(EntryPartyName,$P182)=0,"",INDEX(EntryPartyName,$P182)))</f>
        <v/>
      </c>
      <c r="F182" s="28">
        <f>IF($P182="","",IF(INDEX(EntryPartyType,$P182)=0,"",INDEX(EntryPartyType,$P182)))</f>
        <v/>
      </c>
      <c r="G182" s="28">
        <f>IF($P182="","",IF(INDEX(EntryTxnType,$P182)=0,"",INDEX(EntryTxnType,$P182)))</f>
        <v/>
      </c>
      <c r="H182" s="29">
        <f>IF($P182="","",IF(INDEX(EntryDep,$P182)=0,"",INDEX(EntryDep,$P182)))</f>
        <v/>
      </c>
      <c r="I182" s="29">
        <f>IF($P182="","",IF(INDEX(EntryWit,$P182)=0,"",INDEX(EntryWit,$P182)))</f>
        <v/>
      </c>
      <c r="J182" s="29">
        <f>IF($B182="","",IF($A182=1,$C$7,IF(J181="",0,J181))+IF($H182="",0,$H182)-IF($I182="",0,$I182))</f>
        <v/>
      </c>
      <c r="K182" s="29">
        <f>IF($P182="","",IF(INDEX(EntryMan,$P182)=0,"",INDEX(EntryMan,$P182)))</f>
        <v/>
      </c>
      <c r="L182" s="28">
        <f>IF($B182="","",IF($K182="","—",IF(ROUND($K182-$J182,0)=0,"√","×")))</f>
        <v/>
      </c>
      <c r="M182" s="28">
        <f>IF($B182="","",IF(COUNTIFS(EntryDates,$B182,CalcTime,$C182,CalcBank,$C$5,EntryParty,$D182,EntryDep,$H182,EntryWit,$I182)&gt;1,"تکرار",""))</f>
        <v/>
      </c>
      <c r="N182" s="28">
        <f>IF($P182="","",IF(INDEX(EntryNotes,$P182)=0,"",INDEX(EntryNotes,$P182)))</f>
        <v/>
      </c>
      <c r="O182" s="28">
        <f>IF($P182="","",IF(INDEX(EntryTxnID,$P182)=0,"",INDEX(EntryTxnID,$P182)))</f>
        <v/>
      </c>
      <c r="P182" s="28">
        <f>IFERROR(MATCH($C$5&amp;"|"&amp;RIGHT("000000"&amp;166,6),CalcRankKey,0),"")</f>
        <v/>
      </c>
    </row>
    <row r="183">
      <c r="A183" s="26">
        <f>IF($B183="","",167)</f>
        <v/>
      </c>
      <c r="B183" s="26">
        <f>IF($P183="","",IF(INDEX(CalcNormDate,$P183)=0,"",INDEX(CalcNormDate,$P183)))</f>
        <v/>
      </c>
      <c r="C183" s="26">
        <f>IF($P183="","",IF(INDEX(CalcTime,$P183)=0,"",INDEX(CalcTime,$P183)))</f>
        <v/>
      </c>
      <c r="D183" s="26">
        <f>IF($P183="","",IF(INDEX(EntryParty,$P183)=0,"",INDEX(EntryParty,$P183)))</f>
        <v/>
      </c>
      <c r="E183" s="26">
        <f>IF($P183="","",IF(INDEX(EntryPartyName,$P183)=0,"",INDEX(EntryPartyName,$P183)))</f>
        <v/>
      </c>
      <c r="F183" s="26">
        <f>IF($P183="","",IF(INDEX(EntryPartyType,$P183)=0,"",INDEX(EntryPartyType,$P183)))</f>
        <v/>
      </c>
      <c r="G183" s="26">
        <f>IF($P183="","",IF(INDEX(EntryTxnType,$P183)=0,"",INDEX(EntryTxnType,$P183)))</f>
        <v/>
      </c>
      <c r="H183" s="27">
        <f>IF($P183="","",IF(INDEX(EntryDep,$P183)=0,"",INDEX(EntryDep,$P183)))</f>
        <v/>
      </c>
      <c r="I183" s="27">
        <f>IF($P183="","",IF(INDEX(EntryWit,$P183)=0,"",INDEX(EntryWit,$P183)))</f>
        <v/>
      </c>
      <c r="J183" s="27">
        <f>IF($B183="","",IF($A183=1,$C$7,IF(J182="",0,J182))+IF($H183="",0,$H183)-IF($I183="",0,$I183))</f>
        <v/>
      </c>
      <c r="K183" s="27">
        <f>IF($P183="","",IF(INDEX(EntryMan,$P183)=0,"",INDEX(EntryMan,$P183)))</f>
        <v/>
      </c>
      <c r="L183" s="26">
        <f>IF($B183="","",IF($K183="","—",IF(ROUND($K183-$J183,0)=0,"√","×")))</f>
        <v/>
      </c>
      <c r="M183" s="26">
        <f>IF($B183="","",IF(COUNTIFS(EntryDates,$B183,CalcTime,$C183,CalcBank,$C$5,EntryParty,$D183,EntryDep,$H183,EntryWit,$I183)&gt;1,"تکرار",""))</f>
        <v/>
      </c>
      <c r="N183" s="26">
        <f>IF($P183="","",IF(INDEX(EntryNotes,$P183)=0,"",INDEX(EntryNotes,$P183)))</f>
        <v/>
      </c>
      <c r="O183" s="26">
        <f>IF($P183="","",IF(INDEX(EntryTxnID,$P183)=0,"",INDEX(EntryTxnID,$P183)))</f>
        <v/>
      </c>
      <c r="P183" s="26">
        <f>IFERROR(MATCH($C$5&amp;"|"&amp;RIGHT("000000"&amp;167,6),CalcRankKey,0),"")</f>
        <v/>
      </c>
    </row>
    <row r="184">
      <c r="A184" s="28">
        <f>IF($B184="","",168)</f>
        <v/>
      </c>
      <c r="B184" s="28">
        <f>IF($P184="","",IF(INDEX(CalcNormDate,$P184)=0,"",INDEX(CalcNormDate,$P184)))</f>
        <v/>
      </c>
      <c r="C184" s="28">
        <f>IF($P184="","",IF(INDEX(CalcTime,$P184)=0,"",INDEX(CalcTime,$P184)))</f>
        <v/>
      </c>
      <c r="D184" s="28">
        <f>IF($P184="","",IF(INDEX(EntryParty,$P184)=0,"",INDEX(EntryParty,$P184)))</f>
        <v/>
      </c>
      <c r="E184" s="28">
        <f>IF($P184="","",IF(INDEX(EntryPartyName,$P184)=0,"",INDEX(EntryPartyName,$P184)))</f>
        <v/>
      </c>
      <c r="F184" s="28">
        <f>IF($P184="","",IF(INDEX(EntryPartyType,$P184)=0,"",INDEX(EntryPartyType,$P184)))</f>
        <v/>
      </c>
      <c r="G184" s="28">
        <f>IF($P184="","",IF(INDEX(EntryTxnType,$P184)=0,"",INDEX(EntryTxnType,$P184)))</f>
        <v/>
      </c>
      <c r="H184" s="29">
        <f>IF($P184="","",IF(INDEX(EntryDep,$P184)=0,"",INDEX(EntryDep,$P184)))</f>
        <v/>
      </c>
      <c r="I184" s="29">
        <f>IF($P184="","",IF(INDEX(EntryWit,$P184)=0,"",INDEX(EntryWit,$P184)))</f>
        <v/>
      </c>
      <c r="J184" s="29">
        <f>IF($B184="","",IF($A184=1,$C$7,IF(J183="",0,J183))+IF($H184="",0,$H184)-IF($I184="",0,$I184))</f>
        <v/>
      </c>
      <c r="K184" s="29">
        <f>IF($P184="","",IF(INDEX(EntryMan,$P184)=0,"",INDEX(EntryMan,$P184)))</f>
        <v/>
      </c>
      <c r="L184" s="28">
        <f>IF($B184="","",IF($K184="","—",IF(ROUND($K184-$J184,0)=0,"√","×")))</f>
        <v/>
      </c>
      <c r="M184" s="28">
        <f>IF($B184="","",IF(COUNTIFS(EntryDates,$B184,CalcTime,$C184,CalcBank,$C$5,EntryParty,$D184,EntryDep,$H184,EntryWit,$I184)&gt;1,"تکرار",""))</f>
        <v/>
      </c>
      <c r="N184" s="28">
        <f>IF($P184="","",IF(INDEX(EntryNotes,$P184)=0,"",INDEX(EntryNotes,$P184)))</f>
        <v/>
      </c>
      <c r="O184" s="28">
        <f>IF($P184="","",IF(INDEX(EntryTxnID,$P184)=0,"",INDEX(EntryTxnID,$P184)))</f>
        <v/>
      </c>
      <c r="P184" s="28">
        <f>IFERROR(MATCH($C$5&amp;"|"&amp;RIGHT("000000"&amp;168,6),CalcRankKey,0),"")</f>
        <v/>
      </c>
    </row>
    <row r="185">
      <c r="A185" s="26">
        <f>IF($B185="","",169)</f>
        <v/>
      </c>
      <c r="B185" s="26">
        <f>IF($P185="","",IF(INDEX(CalcNormDate,$P185)=0,"",INDEX(CalcNormDate,$P185)))</f>
        <v/>
      </c>
      <c r="C185" s="26">
        <f>IF($P185="","",IF(INDEX(CalcTime,$P185)=0,"",INDEX(CalcTime,$P185)))</f>
        <v/>
      </c>
      <c r="D185" s="26">
        <f>IF($P185="","",IF(INDEX(EntryParty,$P185)=0,"",INDEX(EntryParty,$P185)))</f>
        <v/>
      </c>
      <c r="E185" s="26">
        <f>IF($P185="","",IF(INDEX(EntryPartyName,$P185)=0,"",INDEX(EntryPartyName,$P185)))</f>
        <v/>
      </c>
      <c r="F185" s="26">
        <f>IF($P185="","",IF(INDEX(EntryPartyType,$P185)=0,"",INDEX(EntryPartyType,$P185)))</f>
        <v/>
      </c>
      <c r="G185" s="26">
        <f>IF($P185="","",IF(INDEX(EntryTxnType,$P185)=0,"",INDEX(EntryTxnType,$P185)))</f>
        <v/>
      </c>
      <c r="H185" s="27">
        <f>IF($P185="","",IF(INDEX(EntryDep,$P185)=0,"",INDEX(EntryDep,$P185)))</f>
        <v/>
      </c>
      <c r="I185" s="27">
        <f>IF($P185="","",IF(INDEX(EntryWit,$P185)=0,"",INDEX(EntryWit,$P185)))</f>
        <v/>
      </c>
      <c r="J185" s="27">
        <f>IF($B185="","",IF($A185=1,$C$7,IF(J184="",0,J184))+IF($H185="",0,$H185)-IF($I185="",0,$I185))</f>
        <v/>
      </c>
      <c r="K185" s="27">
        <f>IF($P185="","",IF(INDEX(EntryMan,$P185)=0,"",INDEX(EntryMan,$P185)))</f>
        <v/>
      </c>
      <c r="L185" s="26">
        <f>IF($B185="","",IF($K185="","—",IF(ROUND($K185-$J185,0)=0,"√","×")))</f>
        <v/>
      </c>
      <c r="M185" s="26">
        <f>IF($B185="","",IF(COUNTIFS(EntryDates,$B185,CalcTime,$C185,CalcBank,$C$5,EntryParty,$D185,EntryDep,$H185,EntryWit,$I185)&gt;1,"تکرار",""))</f>
        <v/>
      </c>
      <c r="N185" s="26">
        <f>IF($P185="","",IF(INDEX(EntryNotes,$P185)=0,"",INDEX(EntryNotes,$P185)))</f>
        <v/>
      </c>
      <c r="O185" s="26">
        <f>IF($P185="","",IF(INDEX(EntryTxnID,$P185)=0,"",INDEX(EntryTxnID,$P185)))</f>
        <v/>
      </c>
      <c r="P185" s="26">
        <f>IFERROR(MATCH($C$5&amp;"|"&amp;RIGHT("000000"&amp;169,6),CalcRankKey,0),"")</f>
        <v/>
      </c>
    </row>
    <row r="186">
      <c r="A186" s="28">
        <f>IF($B186="","",170)</f>
        <v/>
      </c>
      <c r="B186" s="28">
        <f>IF($P186="","",IF(INDEX(CalcNormDate,$P186)=0,"",INDEX(CalcNormDate,$P186)))</f>
        <v/>
      </c>
      <c r="C186" s="28">
        <f>IF($P186="","",IF(INDEX(CalcTime,$P186)=0,"",INDEX(CalcTime,$P186)))</f>
        <v/>
      </c>
      <c r="D186" s="28">
        <f>IF($P186="","",IF(INDEX(EntryParty,$P186)=0,"",INDEX(EntryParty,$P186)))</f>
        <v/>
      </c>
      <c r="E186" s="28">
        <f>IF($P186="","",IF(INDEX(EntryPartyName,$P186)=0,"",INDEX(EntryPartyName,$P186)))</f>
        <v/>
      </c>
      <c r="F186" s="28">
        <f>IF($P186="","",IF(INDEX(EntryPartyType,$P186)=0,"",INDEX(EntryPartyType,$P186)))</f>
        <v/>
      </c>
      <c r="G186" s="28">
        <f>IF($P186="","",IF(INDEX(EntryTxnType,$P186)=0,"",INDEX(EntryTxnType,$P186)))</f>
        <v/>
      </c>
      <c r="H186" s="29">
        <f>IF($P186="","",IF(INDEX(EntryDep,$P186)=0,"",INDEX(EntryDep,$P186)))</f>
        <v/>
      </c>
      <c r="I186" s="29">
        <f>IF($P186="","",IF(INDEX(EntryWit,$P186)=0,"",INDEX(EntryWit,$P186)))</f>
        <v/>
      </c>
      <c r="J186" s="29">
        <f>IF($B186="","",IF($A186=1,$C$7,IF(J185="",0,J185))+IF($H186="",0,$H186)-IF($I186="",0,$I186))</f>
        <v/>
      </c>
      <c r="K186" s="29">
        <f>IF($P186="","",IF(INDEX(EntryMan,$P186)=0,"",INDEX(EntryMan,$P186)))</f>
        <v/>
      </c>
      <c r="L186" s="28">
        <f>IF($B186="","",IF($K186="","—",IF(ROUND($K186-$J186,0)=0,"√","×")))</f>
        <v/>
      </c>
      <c r="M186" s="28">
        <f>IF($B186="","",IF(COUNTIFS(EntryDates,$B186,CalcTime,$C186,CalcBank,$C$5,EntryParty,$D186,EntryDep,$H186,EntryWit,$I186)&gt;1,"تکرار",""))</f>
        <v/>
      </c>
      <c r="N186" s="28">
        <f>IF($P186="","",IF(INDEX(EntryNotes,$P186)=0,"",INDEX(EntryNotes,$P186)))</f>
        <v/>
      </c>
      <c r="O186" s="28">
        <f>IF($P186="","",IF(INDEX(EntryTxnID,$P186)=0,"",INDEX(EntryTxnID,$P186)))</f>
        <v/>
      </c>
      <c r="P186" s="28">
        <f>IFERROR(MATCH($C$5&amp;"|"&amp;RIGHT("000000"&amp;170,6),CalcRankKey,0),"")</f>
        <v/>
      </c>
    </row>
    <row r="187">
      <c r="A187" s="26">
        <f>IF($B187="","",171)</f>
        <v/>
      </c>
      <c r="B187" s="26">
        <f>IF($P187="","",IF(INDEX(CalcNormDate,$P187)=0,"",INDEX(CalcNormDate,$P187)))</f>
        <v/>
      </c>
      <c r="C187" s="26">
        <f>IF($P187="","",IF(INDEX(CalcTime,$P187)=0,"",INDEX(CalcTime,$P187)))</f>
        <v/>
      </c>
      <c r="D187" s="26">
        <f>IF($P187="","",IF(INDEX(EntryParty,$P187)=0,"",INDEX(EntryParty,$P187)))</f>
        <v/>
      </c>
      <c r="E187" s="26">
        <f>IF($P187="","",IF(INDEX(EntryPartyName,$P187)=0,"",INDEX(EntryPartyName,$P187)))</f>
        <v/>
      </c>
      <c r="F187" s="26">
        <f>IF($P187="","",IF(INDEX(EntryPartyType,$P187)=0,"",INDEX(EntryPartyType,$P187)))</f>
        <v/>
      </c>
      <c r="G187" s="26">
        <f>IF($P187="","",IF(INDEX(EntryTxnType,$P187)=0,"",INDEX(EntryTxnType,$P187)))</f>
        <v/>
      </c>
      <c r="H187" s="27">
        <f>IF($P187="","",IF(INDEX(EntryDep,$P187)=0,"",INDEX(EntryDep,$P187)))</f>
        <v/>
      </c>
      <c r="I187" s="27">
        <f>IF($P187="","",IF(INDEX(EntryWit,$P187)=0,"",INDEX(EntryWit,$P187)))</f>
        <v/>
      </c>
      <c r="J187" s="27">
        <f>IF($B187="","",IF($A187=1,$C$7,IF(J186="",0,J186))+IF($H187="",0,$H187)-IF($I187="",0,$I187))</f>
        <v/>
      </c>
      <c r="K187" s="27">
        <f>IF($P187="","",IF(INDEX(EntryMan,$P187)=0,"",INDEX(EntryMan,$P187)))</f>
        <v/>
      </c>
      <c r="L187" s="26">
        <f>IF($B187="","",IF($K187="","—",IF(ROUND($K187-$J187,0)=0,"√","×")))</f>
        <v/>
      </c>
      <c r="M187" s="26">
        <f>IF($B187="","",IF(COUNTIFS(EntryDates,$B187,CalcTime,$C187,CalcBank,$C$5,EntryParty,$D187,EntryDep,$H187,EntryWit,$I187)&gt;1,"تکرار",""))</f>
        <v/>
      </c>
      <c r="N187" s="26">
        <f>IF($P187="","",IF(INDEX(EntryNotes,$P187)=0,"",INDEX(EntryNotes,$P187)))</f>
        <v/>
      </c>
      <c r="O187" s="26">
        <f>IF($P187="","",IF(INDEX(EntryTxnID,$P187)=0,"",INDEX(EntryTxnID,$P187)))</f>
        <v/>
      </c>
      <c r="P187" s="26">
        <f>IFERROR(MATCH($C$5&amp;"|"&amp;RIGHT("000000"&amp;171,6),CalcRankKey,0),"")</f>
        <v/>
      </c>
    </row>
    <row r="188">
      <c r="A188" s="28">
        <f>IF($B188="","",172)</f>
        <v/>
      </c>
      <c r="B188" s="28">
        <f>IF($P188="","",IF(INDEX(CalcNormDate,$P188)=0,"",INDEX(CalcNormDate,$P188)))</f>
        <v/>
      </c>
      <c r="C188" s="28">
        <f>IF($P188="","",IF(INDEX(CalcTime,$P188)=0,"",INDEX(CalcTime,$P188)))</f>
        <v/>
      </c>
      <c r="D188" s="28">
        <f>IF($P188="","",IF(INDEX(EntryParty,$P188)=0,"",INDEX(EntryParty,$P188)))</f>
        <v/>
      </c>
      <c r="E188" s="28">
        <f>IF($P188="","",IF(INDEX(EntryPartyName,$P188)=0,"",INDEX(EntryPartyName,$P188)))</f>
        <v/>
      </c>
      <c r="F188" s="28">
        <f>IF($P188="","",IF(INDEX(EntryPartyType,$P188)=0,"",INDEX(EntryPartyType,$P188)))</f>
        <v/>
      </c>
      <c r="G188" s="28">
        <f>IF($P188="","",IF(INDEX(EntryTxnType,$P188)=0,"",INDEX(EntryTxnType,$P188)))</f>
        <v/>
      </c>
      <c r="H188" s="29">
        <f>IF($P188="","",IF(INDEX(EntryDep,$P188)=0,"",INDEX(EntryDep,$P188)))</f>
        <v/>
      </c>
      <c r="I188" s="29">
        <f>IF($P188="","",IF(INDEX(EntryWit,$P188)=0,"",INDEX(EntryWit,$P188)))</f>
        <v/>
      </c>
      <c r="J188" s="29">
        <f>IF($B188="","",IF($A188=1,$C$7,IF(J187="",0,J187))+IF($H188="",0,$H188)-IF($I188="",0,$I188))</f>
        <v/>
      </c>
      <c r="K188" s="29">
        <f>IF($P188="","",IF(INDEX(EntryMan,$P188)=0,"",INDEX(EntryMan,$P188)))</f>
        <v/>
      </c>
      <c r="L188" s="28">
        <f>IF($B188="","",IF($K188="","—",IF(ROUND($K188-$J188,0)=0,"√","×")))</f>
        <v/>
      </c>
      <c r="M188" s="28">
        <f>IF($B188="","",IF(COUNTIFS(EntryDates,$B188,CalcTime,$C188,CalcBank,$C$5,EntryParty,$D188,EntryDep,$H188,EntryWit,$I188)&gt;1,"تکرار",""))</f>
        <v/>
      </c>
      <c r="N188" s="28">
        <f>IF($P188="","",IF(INDEX(EntryNotes,$P188)=0,"",INDEX(EntryNotes,$P188)))</f>
        <v/>
      </c>
      <c r="O188" s="28">
        <f>IF($P188="","",IF(INDEX(EntryTxnID,$P188)=0,"",INDEX(EntryTxnID,$P188)))</f>
        <v/>
      </c>
      <c r="P188" s="28">
        <f>IFERROR(MATCH($C$5&amp;"|"&amp;RIGHT("000000"&amp;172,6),CalcRankKey,0),"")</f>
        <v/>
      </c>
    </row>
    <row r="189">
      <c r="A189" s="26">
        <f>IF($B189="","",173)</f>
        <v/>
      </c>
      <c r="B189" s="26">
        <f>IF($P189="","",IF(INDEX(CalcNormDate,$P189)=0,"",INDEX(CalcNormDate,$P189)))</f>
        <v/>
      </c>
      <c r="C189" s="26">
        <f>IF($P189="","",IF(INDEX(CalcTime,$P189)=0,"",INDEX(CalcTime,$P189)))</f>
        <v/>
      </c>
      <c r="D189" s="26">
        <f>IF($P189="","",IF(INDEX(EntryParty,$P189)=0,"",INDEX(EntryParty,$P189)))</f>
        <v/>
      </c>
      <c r="E189" s="26">
        <f>IF($P189="","",IF(INDEX(EntryPartyName,$P189)=0,"",INDEX(EntryPartyName,$P189)))</f>
        <v/>
      </c>
      <c r="F189" s="26">
        <f>IF($P189="","",IF(INDEX(EntryPartyType,$P189)=0,"",INDEX(EntryPartyType,$P189)))</f>
        <v/>
      </c>
      <c r="G189" s="26">
        <f>IF($P189="","",IF(INDEX(EntryTxnType,$P189)=0,"",INDEX(EntryTxnType,$P189)))</f>
        <v/>
      </c>
      <c r="H189" s="27">
        <f>IF($P189="","",IF(INDEX(EntryDep,$P189)=0,"",INDEX(EntryDep,$P189)))</f>
        <v/>
      </c>
      <c r="I189" s="27">
        <f>IF($P189="","",IF(INDEX(EntryWit,$P189)=0,"",INDEX(EntryWit,$P189)))</f>
        <v/>
      </c>
      <c r="J189" s="27">
        <f>IF($B189="","",IF($A189=1,$C$7,IF(J188="",0,J188))+IF($H189="",0,$H189)-IF($I189="",0,$I189))</f>
        <v/>
      </c>
      <c r="K189" s="27">
        <f>IF($P189="","",IF(INDEX(EntryMan,$P189)=0,"",INDEX(EntryMan,$P189)))</f>
        <v/>
      </c>
      <c r="L189" s="26">
        <f>IF($B189="","",IF($K189="","—",IF(ROUND($K189-$J189,0)=0,"√","×")))</f>
        <v/>
      </c>
      <c r="M189" s="26">
        <f>IF($B189="","",IF(COUNTIFS(EntryDates,$B189,CalcTime,$C189,CalcBank,$C$5,EntryParty,$D189,EntryDep,$H189,EntryWit,$I189)&gt;1,"تکرار",""))</f>
        <v/>
      </c>
      <c r="N189" s="26">
        <f>IF($P189="","",IF(INDEX(EntryNotes,$P189)=0,"",INDEX(EntryNotes,$P189)))</f>
        <v/>
      </c>
      <c r="O189" s="26">
        <f>IF($P189="","",IF(INDEX(EntryTxnID,$P189)=0,"",INDEX(EntryTxnID,$P189)))</f>
        <v/>
      </c>
      <c r="P189" s="26">
        <f>IFERROR(MATCH($C$5&amp;"|"&amp;RIGHT("000000"&amp;173,6),CalcRankKey,0),"")</f>
        <v/>
      </c>
    </row>
    <row r="190">
      <c r="A190" s="28">
        <f>IF($B190="","",174)</f>
        <v/>
      </c>
      <c r="B190" s="28">
        <f>IF($P190="","",IF(INDEX(CalcNormDate,$P190)=0,"",INDEX(CalcNormDate,$P190)))</f>
        <v/>
      </c>
      <c r="C190" s="28">
        <f>IF($P190="","",IF(INDEX(CalcTime,$P190)=0,"",INDEX(CalcTime,$P190)))</f>
        <v/>
      </c>
      <c r="D190" s="28">
        <f>IF($P190="","",IF(INDEX(EntryParty,$P190)=0,"",INDEX(EntryParty,$P190)))</f>
        <v/>
      </c>
      <c r="E190" s="28">
        <f>IF($P190="","",IF(INDEX(EntryPartyName,$P190)=0,"",INDEX(EntryPartyName,$P190)))</f>
        <v/>
      </c>
      <c r="F190" s="28">
        <f>IF($P190="","",IF(INDEX(EntryPartyType,$P190)=0,"",INDEX(EntryPartyType,$P190)))</f>
        <v/>
      </c>
      <c r="G190" s="28">
        <f>IF($P190="","",IF(INDEX(EntryTxnType,$P190)=0,"",INDEX(EntryTxnType,$P190)))</f>
        <v/>
      </c>
      <c r="H190" s="29">
        <f>IF($P190="","",IF(INDEX(EntryDep,$P190)=0,"",INDEX(EntryDep,$P190)))</f>
        <v/>
      </c>
      <c r="I190" s="29">
        <f>IF($P190="","",IF(INDEX(EntryWit,$P190)=0,"",INDEX(EntryWit,$P190)))</f>
        <v/>
      </c>
      <c r="J190" s="29">
        <f>IF($B190="","",IF($A190=1,$C$7,IF(J189="",0,J189))+IF($H190="",0,$H190)-IF($I190="",0,$I190))</f>
        <v/>
      </c>
      <c r="K190" s="29">
        <f>IF($P190="","",IF(INDEX(EntryMan,$P190)=0,"",INDEX(EntryMan,$P190)))</f>
        <v/>
      </c>
      <c r="L190" s="28">
        <f>IF($B190="","",IF($K190="","—",IF(ROUND($K190-$J190,0)=0,"√","×")))</f>
        <v/>
      </c>
      <c r="M190" s="28">
        <f>IF($B190="","",IF(COUNTIFS(EntryDates,$B190,CalcTime,$C190,CalcBank,$C$5,EntryParty,$D190,EntryDep,$H190,EntryWit,$I190)&gt;1,"تکرار",""))</f>
        <v/>
      </c>
      <c r="N190" s="28">
        <f>IF($P190="","",IF(INDEX(EntryNotes,$P190)=0,"",INDEX(EntryNotes,$P190)))</f>
        <v/>
      </c>
      <c r="O190" s="28">
        <f>IF($P190="","",IF(INDEX(EntryTxnID,$P190)=0,"",INDEX(EntryTxnID,$P190)))</f>
        <v/>
      </c>
      <c r="P190" s="28">
        <f>IFERROR(MATCH($C$5&amp;"|"&amp;RIGHT("000000"&amp;174,6),CalcRankKey,0),"")</f>
        <v/>
      </c>
    </row>
    <row r="191">
      <c r="A191" s="26">
        <f>IF($B191="","",175)</f>
        <v/>
      </c>
      <c r="B191" s="26">
        <f>IF($P191="","",IF(INDEX(CalcNormDate,$P191)=0,"",INDEX(CalcNormDate,$P191)))</f>
        <v/>
      </c>
      <c r="C191" s="26">
        <f>IF($P191="","",IF(INDEX(CalcTime,$P191)=0,"",INDEX(CalcTime,$P191)))</f>
        <v/>
      </c>
      <c r="D191" s="26">
        <f>IF($P191="","",IF(INDEX(EntryParty,$P191)=0,"",INDEX(EntryParty,$P191)))</f>
        <v/>
      </c>
      <c r="E191" s="26">
        <f>IF($P191="","",IF(INDEX(EntryPartyName,$P191)=0,"",INDEX(EntryPartyName,$P191)))</f>
        <v/>
      </c>
      <c r="F191" s="26">
        <f>IF($P191="","",IF(INDEX(EntryPartyType,$P191)=0,"",INDEX(EntryPartyType,$P191)))</f>
        <v/>
      </c>
      <c r="G191" s="26">
        <f>IF($P191="","",IF(INDEX(EntryTxnType,$P191)=0,"",INDEX(EntryTxnType,$P191)))</f>
        <v/>
      </c>
      <c r="H191" s="27">
        <f>IF($P191="","",IF(INDEX(EntryDep,$P191)=0,"",INDEX(EntryDep,$P191)))</f>
        <v/>
      </c>
      <c r="I191" s="27">
        <f>IF($P191="","",IF(INDEX(EntryWit,$P191)=0,"",INDEX(EntryWit,$P191)))</f>
        <v/>
      </c>
      <c r="J191" s="27">
        <f>IF($B191="","",IF($A191=1,$C$7,IF(J190="",0,J190))+IF($H191="",0,$H191)-IF($I191="",0,$I191))</f>
        <v/>
      </c>
      <c r="K191" s="27">
        <f>IF($P191="","",IF(INDEX(EntryMan,$P191)=0,"",INDEX(EntryMan,$P191)))</f>
        <v/>
      </c>
      <c r="L191" s="26">
        <f>IF($B191="","",IF($K191="","—",IF(ROUND($K191-$J191,0)=0,"√","×")))</f>
        <v/>
      </c>
      <c r="M191" s="26">
        <f>IF($B191="","",IF(COUNTIFS(EntryDates,$B191,CalcTime,$C191,CalcBank,$C$5,EntryParty,$D191,EntryDep,$H191,EntryWit,$I191)&gt;1,"تکرار",""))</f>
        <v/>
      </c>
      <c r="N191" s="26">
        <f>IF($P191="","",IF(INDEX(EntryNotes,$P191)=0,"",INDEX(EntryNotes,$P191)))</f>
        <v/>
      </c>
      <c r="O191" s="26">
        <f>IF($P191="","",IF(INDEX(EntryTxnID,$P191)=0,"",INDEX(EntryTxnID,$P191)))</f>
        <v/>
      </c>
      <c r="P191" s="26">
        <f>IFERROR(MATCH($C$5&amp;"|"&amp;RIGHT("000000"&amp;175,6),CalcRankKey,0),"")</f>
        <v/>
      </c>
    </row>
    <row r="192">
      <c r="A192" s="28">
        <f>IF($B192="","",176)</f>
        <v/>
      </c>
      <c r="B192" s="28">
        <f>IF($P192="","",IF(INDEX(CalcNormDate,$P192)=0,"",INDEX(CalcNormDate,$P192)))</f>
        <v/>
      </c>
      <c r="C192" s="28">
        <f>IF($P192="","",IF(INDEX(CalcTime,$P192)=0,"",INDEX(CalcTime,$P192)))</f>
        <v/>
      </c>
      <c r="D192" s="28">
        <f>IF($P192="","",IF(INDEX(EntryParty,$P192)=0,"",INDEX(EntryParty,$P192)))</f>
        <v/>
      </c>
      <c r="E192" s="28">
        <f>IF($P192="","",IF(INDEX(EntryPartyName,$P192)=0,"",INDEX(EntryPartyName,$P192)))</f>
        <v/>
      </c>
      <c r="F192" s="28">
        <f>IF($P192="","",IF(INDEX(EntryPartyType,$P192)=0,"",INDEX(EntryPartyType,$P192)))</f>
        <v/>
      </c>
      <c r="G192" s="28">
        <f>IF($P192="","",IF(INDEX(EntryTxnType,$P192)=0,"",INDEX(EntryTxnType,$P192)))</f>
        <v/>
      </c>
      <c r="H192" s="29">
        <f>IF($P192="","",IF(INDEX(EntryDep,$P192)=0,"",INDEX(EntryDep,$P192)))</f>
        <v/>
      </c>
      <c r="I192" s="29">
        <f>IF($P192="","",IF(INDEX(EntryWit,$P192)=0,"",INDEX(EntryWit,$P192)))</f>
        <v/>
      </c>
      <c r="J192" s="29">
        <f>IF($B192="","",IF($A192=1,$C$7,IF(J191="",0,J191))+IF($H192="",0,$H192)-IF($I192="",0,$I192))</f>
        <v/>
      </c>
      <c r="K192" s="29">
        <f>IF($P192="","",IF(INDEX(EntryMan,$P192)=0,"",INDEX(EntryMan,$P192)))</f>
        <v/>
      </c>
      <c r="L192" s="28">
        <f>IF($B192="","",IF($K192="","—",IF(ROUND($K192-$J192,0)=0,"√","×")))</f>
        <v/>
      </c>
      <c r="M192" s="28">
        <f>IF($B192="","",IF(COUNTIFS(EntryDates,$B192,CalcTime,$C192,CalcBank,$C$5,EntryParty,$D192,EntryDep,$H192,EntryWit,$I192)&gt;1,"تکرار",""))</f>
        <v/>
      </c>
      <c r="N192" s="28">
        <f>IF($P192="","",IF(INDEX(EntryNotes,$P192)=0,"",INDEX(EntryNotes,$P192)))</f>
        <v/>
      </c>
      <c r="O192" s="28">
        <f>IF($P192="","",IF(INDEX(EntryTxnID,$P192)=0,"",INDEX(EntryTxnID,$P192)))</f>
        <v/>
      </c>
      <c r="P192" s="28">
        <f>IFERROR(MATCH($C$5&amp;"|"&amp;RIGHT("000000"&amp;176,6),CalcRankKey,0),"")</f>
        <v/>
      </c>
    </row>
    <row r="193">
      <c r="A193" s="26">
        <f>IF($B193="","",177)</f>
        <v/>
      </c>
      <c r="B193" s="26">
        <f>IF($P193="","",IF(INDEX(CalcNormDate,$P193)=0,"",INDEX(CalcNormDate,$P193)))</f>
        <v/>
      </c>
      <c r="C193" s="26">
        <f>IF($P193="","",IF(INDEX(CalcTime,$P193)=0,"",INDEX(CalcTime,$P193)))</f>
        <v/>
      </c>
      <c r="D193" s="26">
        <f>IF($P193="","",IF(INDEX(EntryParty,$P193)=0,"",INDEX(EntryParty,$P193)))</f>
        <v/>
      </c>
      <c r="E193" s="26">
        <f>IF($P193="","",IF(INDEX(EntryPartyName,$P193)=0,"",INDEX(EntryPartyName,$P193)))</f>
        <v/>
      </c>
      <c r="F193" s="26">
        <f>IF($P193="","",IF(INDEX(EntryPartyType,$P193)=0,"",INDEX(EntryPartyType,$P193)))</f>
        <v/>
      </c>
      <c r="G193" s="26">
        <f>IF($P193="","",IF(INDEX(EntryTxnType,$P193)=0,"",INDEX(EntryTxnType,$P193)))</f>
        <v/>
      </c>
      <c r="H193" s="27">
        <f>IF($P193="","",IF(INDEX(EntryDep,$P193)=0,"",INDEX(EntryDep,$P193)))</f>
        <v/>
      </c>
      <c r="I193" s="27">
        <f>IF($P193="","",IF(INDEX(EntryWit,$P193)=0,"",INDEX(EntryWit,$P193)))</f>
        <v/>
      </c>
      <c r="J193" s="27">
        <f>IF($B193="","",IF($A193=1,$C$7,IF(J192="",0,J192))+IF($H193="",0,$H193)-IF($I193="",0,$I193))</f>
        <v/>
      </c>
      <c r="K193" s="27">
        <f>IF($P193="","",IF(INDEX(EntryMan,$P193)=0,"",INDEX(EntryMan,$P193)))</f>
        <v/>
      </c>
      <c r="L193" s="26">
        <f>IF($B193="","",IF($K193="","—",IF(ROUND($K193-$J193,0)=0,"√","×")))</f>
        <v/>
      </c>
      <c r="M193" s="26">
        <f>IF($B193="","",IF(COUNTIFS(EntryDates,$B193,CalcTime,$C193,CalcBank,$C$5,EntryParty,$D193,EntryDep,$H193,EntryWit,$I193)&gt;1,"تکرار",""))</f>
        <v/>
      </c>
      <c r="N193" s="26">
        <f>IF($P193="","",IF(INDEX(EntryNotes,$P193)=0,"",INDEX(EntryNotes,$P193)))</f>
        <v/>
      </c>
      <c r="O193" s="26">
        <f>IF($P193="","",IF(INDEX(EntryTxnID,$P193)=0,"",INDEX(EntryTxnID,$P193)))</f>
        <v/>
      </c>
      <c r="P193" s="26">
        <f>IFERROR(MATCH($C$5&amp;"|"&amp;RIGHT("000000"&amp;177,6),CalcRankKey,0),"")</f>
        <v/>
      </c>
    </row>
    <row r="194">
      <c r="A194" s="28">
        <f>IF($B194="","",178)</f>
        <v/>
      </c>
      <c r="B194" s="28">
        <f>IF($P194="","",IF(INDEX(CalcNormDate,$P194)=0,"",INDEX(CalcNormDate,$P194)))</f>
        <v/>
      </c>
      <c r="C194" s="28">
        <f>IF($P194="","",IF(INDEX(CalcTime,$P194)=0,"",INDEX(CalcTime,$P194)))</f>
        <v/>
      </c>
      <c r="D194" s="28">
        <f>IF($P194="","",IF(INDEX(EntryParty,$P194)=0,"",INDEX(EntryParty,$P194)))</f>
        <v/>
      </c>
      <c r="E194" s="28">
        <f>IF($P194="","",IF(INDEX(EntryPartyName,$P194)=0,"",INDEX(EntryPartyName,$P194)))</f>
        <v/>
      </c>
      <c r="F194" s="28">
        <f>IF($P194="","",IF(INDEX(EntryPartyType,$P194)=0,"",INDEX(EntryPartyType,$P194)))</f>
        <v/>
      </c>
      <c r="G194" s="28">
        <f>IF($P194="","",IF(INDEX(EntryTxnType,$P194)=0,"",INDEX(EntryTxnType,$P194)))</f>
        <v/>
      </c>
      <c r="H194" s="29">
        <f>IF($P194="","",IF(INDEX(EntryDep,$P194)=0,"",INDEX(EntryDep,$P194)))</f>
        <v/>
      </c>
      <c r="I194" s="29">
        <f>IF($P194="","",IF(INDEX(EntryWit,$P194)=0,"",INDEX(EntryWit,$P194)))</f>
        <v/>
      </c>
      <c r="J194" s="29">
        <f>IF($B194="","",IF($A194=1,$C$7,IF(J193="",0,J193))+IF($H194="",0,$H194)-IF($I194="",0,$I194))</f>
        <v/>
      </c>
      <c r="K194" s="29">
        <f>IF($P194="","",IF(INDEX(EntryMan,$P194)=0,"",INDEX(EntryMan,$P194)))</f>
        <v/>
      </c>
      <c r="L194" s="28">
        <f>IF($B194="","",IF($K194="","—",IF(ROUND($K194-$J194,0)=0,"√","×")))</f>
        <v/>
      </c>
      <c r="M194" s="28">
        <f>IF($B194="","",IF(COUNTIFS(EntryDates,$B194,CalcTime,$C194,CalcBank,$C$5,EntryParty,$D194,EntryDep,$H194,EntryWit,$I194)&gt;1,"تکرار",""))</f>
        <v/>
      </c>
      <c r="N194" s="28">
        <f>IF($P194="","",IF(INDEX(EntryNotes,$P194)=0,"",INDEX(EntryNotes,$P194)))</f>
        <v/>
      </c>
      <c r="O194" s="28">
        <f>IF($P194="","",IF(INDEX(EntryTxnID,$P194)=0,"",INDEX(EntryTxnID,$P194)))</f>
        <v/>
      </c>
      <c r="P194" s="28">
        <f>IFERROR(MATCH($C$5&amp;"|"&amp;RIGHT("000000"&amp;178,6),CalcRankKey,0),"")</f>
        <v/>
      </c>
    </row>
    <row r="195">
      <c r="A195" s="26">
        <f>IF($B195="","",179)</f>
        <v/>
      </c>
      <c r="B195" s="26">
        <f>IF($P195="","",IF(INDEX(CalcNormDate,$P195)=0,"",INDEX(CalcNormDate,$P195)))</f>
        <v/>
      </c>
      <c r="C195" s="26">
        <f>IF($P195="","",IF(INDEX(CalcTime,$P195)=0,"",INDEX(CalcTime,$P195)))</f>
        <v/>
      </c>
      <c r="D195" s="26">
        <f>IF($P195="","",IF(INDEX(EntryParty,$P195)=0,"",INDEX(EntryParty,$P195)))</f>
        <v/>
      </c>
      <c r="E195" s="26">
        <f>IF($P195="","",IF(INDEX(EntryPartyName,$P195)=0,"",INDEX(EntryPartyName,$P195)))</f>
        <v/>
      </c>
      <c r="F195" s="26">
        <f>IF($P195="","",IF(INDEX(EntryPartyType,$P195)=0,"",INDEX(EntryPartyType,$P195)))</f>
        <v/>
      </c>
      <c r="G195" s="26">
        <f>IF($P195="","",IF(INDEX(EntryTxnType,$P195)=0,"",INDEX(EntryTxnType,$P195)))</f>
        <v/>
      </c>
      <c r="H195" s="27">
        <f>IF($P195="","",IF(INDEX(EntryDep,$P195)=0,"",INDEX(EntryDep,$P195)))</f>
        <v/>
      </c>
      <c r="I195" s="27">
        <f>IF($P195="","",IF(INDEX(EntryWit,$P195)=0,"",INDEX(EntryWit,$P195)))</f>
        <v/>
      </c>
      <c r="J195" s="27">
        <f>IF($B195="","",IF($A195=1,$C$7,IF(J194="",0,J194))+IF($H195="",0,$H195)-IF($I195="",0,$I195))</f>
        <v/>
      </c>
      <c r="K195" s="27">
        <f>IF($P195="","",IF(INDEX(EntryMan,$P195)=0,"",INDEX(EntryMan,$P195)))</f>
        <v/>
      </c>
      <c r="L195" s="26">
        <f>IF($B195="","",IF($K195="","—",IF(ROUND($K195-$J195,0)=0,"√","×")))</f>
        <v/>
      </c>
      <c r="M195" s="26">
        <f>IF($B195="","",IF(COUNTIFS(EntryDates,$B195,CalcTime,$C195,CalcBank,$C$5,EntryParty,$D195,EntryDep,$H195,EntryWit,$I195)&gt;1,"تکرار",""))</f>
        <v/>
      </c>
      <c r="N195" s="26">
        <f>IF($P195="","",IF(INDEX(EntryNotes,$P195)=0,"",INDEX(EntryNotes,$P195)))</f>
        <v/>
      </c>
      <c r="O195" s="26">
        <f>IF($P195="","",IF(INDEX(EntryTxnID,$P195)=0,"",INDEX(EntryTxnID,$P195)))</f>
        <v/>
      </c>
      <c r="P195" s="26">
        <f>IFERROR(MATCH($C$5&amp;"|"&amp;RIGHT("000000"&amp;179,6),CalcRankKey,0),"")</f>
        <v/>
      </c>
    </row>
    <row r="196">
      <c r="A196" s="28">
        <f>IF($B196="","",180)</f>
        <v/>
      </c>
      <c r="B196" s="28">
        <f>IF($P196="","",IF(INDEX(CalcNormDate,$P196)=0,"",INDEX(CalcNormDate,$P196)))</f>
        <v/>
      </c>
      <c r="C196" s="28">
        <f>IF($P196="","",IF(INDEX(CalcTime,$P196)=0,"",INDEX(CalcTime,$P196)))</f>
        <v/>
      </c>
      <c r="D196" s="28">
        <f>IF($P196="","",IF(INDEX(EntryParty,$P196)=0,"",INDEX(EntryParty,$P196)))</f>
        <v/>
      </c>
      <c r="E196" s="28">
        <f>IF($P196="","",IF(INDEX(EntryPartyName,$P196)=0,"",INDEX(EntryPartyName,$P196)))</f>
        <v/>
      </c>
      <c r="F196" s="28">
        <f>IF($P196="","",IF(INDEX(EntryPartyType,$P196)=0,"",INDEX(EntryPartyType,$P196)))</f>
        <v/>
      </c>
      <c r="G196" s="28">
        <f>IF($P196="","",IF(INDEX(EntryTxnType,$P196)=0,"",INDEX(EntryTxnType,$P196)))</f>
        <v/>
      </c>
      <c r="H196" s="29">
        <f>IF($P196="","",IF(INDEX(EntryDep,$P196)=0,"",INDEX(EntryDep,$P196)))</f>
        <v/>
      </c>
      <c r="I196" s="29">
        <f>IF($P196="","",IF(INDEX(EntryWit,$P196)=0,"",INDEX(EntryWit,$P196)))</f>
        <v/>
      </c>
      <c r="J196" s="29">
        <f>IF($B196="","",IF($A196=1,$C$7,IF(J195="",0,J195))+IF($H196="",0,$H196)-IF($I196="",0,$I196))</f>
        <v/>
      </c>
      <c r="K196" s="29">
        <f>IF($P196="","",IF(INDEX(EntryMan,$P196)=0,"",INDEX(EntryMan,$P196)))</f>
        <v/>
      </c>
      <c r="L196" s="28">
        <f>IF($B196="","",IF($K196="","—",IF(ROUND($K196-$J196,0)=0,"√","×")))</f>
        <v/>
      </c>
      <c r="M196" s="28">
        <f>IF($B196="","",IF(COUNTIFS(EntryDates,$B196,CalcTime,$C196,CalcBank,$C$5,EntryParty,$D196,EntryDep,$H196,EntryWit,$I196)&gt;1,"تکرار",""))</f>
        <v/>
      </c>
      <c r="N196" s="28">
        <f>IF($P196="","",IF(INDEX(EntryNotes,$P196)=0,"",INDEX(EntryNotes,$P196)))</f>
        <v/>
      </c>
      <c r="O196" s="28">
        <f>IF($P196="","",IF(INDEX(EntryTxnID,$P196)=0,"",INDEX(EntryTxnID,$P196)))</f>
        <v/>
      </c>
      <c r="P196" s="28">
        <f>IFERROR(MATCH($C$5&amp;"|"&amp;RIGHT("000000"&amp;180,6),CalcRankKey,0),"")</f>
        <v/>
      </c>
    </row>
    <row r="197">
      <c r="A197" s="26">
        <f>IF($B197="","",181)</f>
        <v/>
      </c>
      <c r="B197" s="26">
        <f>IF($P197="","",IF(INDEX(CalcNormDate,$P197)=0,"",INDEX(CalcNormDate,$P197)))</f>
        <v/>
      </c>
      <c r="C197" s="26">
        <f>IF($P197="","",IF(INDEX(CalcTime,$P197)=0,"",INDEX(CalcTime,$P197)))</f>
        <v/>
      </c>
      <c r="D197" s="26">
        <f>IF($P197="","",IF(INDEX(EntryParty,$P197)=0,"",INDEX(EntryParty,$P197)))</f>
        <v/>
      </c>
      <c r="E197" s="26">
        <f>IF($P197="","",IF(INDEX(EntryPartyName,$P197)=0,"",INDEX(EntryPartyName,$P197)))</f>
        <v/>
      </c>
      <c r="F197" s="26">
        <f>IF($P197="","",IF(INDEX(EntryPartyType,$P197)=0,"",INDEX(EntryPartyType,$P197)))</f>
        <v/>
      </c>
      <c r="G197" s="26">
        <f>IF($P197="","",IF(INDEX(EntryTxnType,$P197)=0,"",INDEX(EntryTxnType,$P197)))</f>
        <v/>
      </c>
      <c r="H197" s="27">
        <f>IF($P197="","",IF(INDEX(EntryDep,$P197)=0,"",INDEX(EntryDep,$P197)))</f>
        <v/>
      </c>
      <c r="I197" s="27">
        <f>IF($P197="","",IF(INDEX(EntryWit,$P197)=0,"",INDEX(EntryWit,$P197)))</f>
        <v/>
      </c>
      <c r="J197" s="27">
        <f>IF($B197="","",IF($A197=1,$C$7,IF(J196="",0,J196))+IF($H197="",0,$H197)-IF($I197="",0,$I197))</f>
        <v/>
      </c>
      <c r="K197" s="27">
        <f>IF($P197="","",IF(INDEX(EntryMan,$P197)=0,"",INDEX(EntryMan,$P197)))</f>
        <v/>
      </c>
      <c r="L197" s="26">
        <f>IF($B197="","",IF($K197="","—",IF(ROUND($K197-$J197,0)=0,"√","×")))</f>
        <v/>
      </c>
      <c r="M197" s="26">
        <f>IF($B197="","",IF(COUNTIFS(EntryDates,$B197,CalcTime,$C197,CalcBank,$C$5,EntryParty,$D197,EntryDep,$H197,EntryWit,$I197)&gt;1,"تکرار",""))</f>
        <v/>
      </c>
      <c r="N197" s="26">
        <f>IF($P197="","",IF(INDEX(EntryNotes,$P197)=0,"",INDEX(EntryNotes,$P197)))</f>
        <v/>
      </c>
      <c r="O197" s="26">
        <f>IF($P197="","",IF(INDEX(EntryTxnID,$P197)=0,"",INDEX(EntryTxnID,$P197)))</f>
        <v/>
      </c>
      <c r="P197" s="26">
        <f>IFERROR(MATCH($C$5&amp;"|"&amp;RIGHT("000000"&amp;181,6),CalcRankKey,0),"")</f>
        <v/>
      </c>
    </row>
    <row r="198">
      <c r="A198" s="28">
        <f>IF($B198="","",182)</f>
        <v/>
      </c>
      <c r="B198" s="28">
        <f>IF($P198="","",IF(INDEX(CalcNormDate,$P198)=0,"",INDEX(CalcNormDate,$P198)))</f>
        <v/>
      </c>
      <c r="C198" s="28">
        <f>IF($P198="","",IF(INDEX(CalcTime,$P198)=0,"",INDEX(CalcTime,$P198)))</f>
        <v/>
      </c>
      <c r="D198" s="28">
        <f>IF($P198="","",IF(INDEX(EntryParty,$P198)=0,"",INDEX(EntryParty,$P198)))</f>
        <v/>
      </c>
      <c r="E198" s="28">
        <f>IF($P198="","",IF(INDEX(EntryPartyName,$P198)=0,"",INDEX(EntryPartyName,$P198)))</f>
        <v/>
      </c>
      <c r="F198" s="28">
        <f>IF($P198="","",IF(INDEX(EntryPartyType,$P198)=0,"",INDEX(EntryPartyType,$P198)))</f>
        <v/>
      </c>
      <c r="G198" s="28">
        <f>IF($P198="","",IF(INDEX(EntryTxnType,$P198)=0,"",INDEX(EntryTxnType,$P198)))</f>
        <v/>
      </c>
      <c r="H198" s="29">
        <f>IF($P198="","",IF(INDEX(EntryDep,$P198)=0,"",INDEX(EntryDep,$P198)))</f>
        <v/>
      </c>
      <c r="I198" s="29">
        <f>IF($P198="","",IF(INDEX(EntryWit,$P198)=0,"",INDEX(EntryWit,$P198)))</f>
        <v/>
      </c>
      <c r="J198" s="29">
        <f>IF($B198="","",IF($A198=1,$C$7,IF(J197="",0,J197))+IF($H198="",0,$H198)-IF($I198="",0,$I198))</f>
        <v/>
      </c>
      <c r="K198" s="29">
        <f>IF($P198="","",IF(INDEX(EntryMan,$P198)=0,"",INDEX(EntryMan,$P198)))</f>
        <v/>
      </c>
      <c r="L198" s="28">
        <f>IF($B198="","",IF($K198="","—",IF(ROUND($K198-$J198,0)=0,"√","×")))</f>
        <v/>
      </c>
      <c r="M198" s="28">
        <f>IF($B198="","",IF(COUNTIFS(EntryDates,$B198,CalcTime,$C198,CalcBank,$C$5,EntryParty,$D198,EntryDep,$H198,EntryWit,$I198)&gt;1,"تکرار",""))</f>
        <v/>
      </c>
      <c r="N198" s="28">
        <f>IF($P198="","",IF(INDEX(EntryNotes,$P198)=0,"",INDEX(EntryNotes,$P198)))</f>
        <v/>
      </c>
      <c r="O198" s="28">
        <f>IF($P198="","",IF(INDEX(EntryTxnID,$P198)=0,"",INDEX(EntryTxnID,$P198)))</f>
        <v/>
      </c>
      <c r="P198" s="28">
        <f>IFERROR(MATCH($C$5&amp;"|"&amp;RIGHT("000000"&amp;182,6),CalcRankKey,0),"")</f>
        <v/>
      </c>
    </row>
    <row r="199">
      <c r="A199" s="26">
        <f>IF($B199="","",183)</f>
        <v/>
      </c>
      <c r="B199" s="26">
        <f>IF($P199="","",IF(INDEX(CalcNormDate,$P199)=0,"",INDEX(CalcNormDate,$P199)))</f>
        <v/>
      </c>
      <c r="C199" s="26">
        <f>IF($P199="","",IF(INDEX(CalcTime,$P199)=0,"",INDEX(CalcTime,$P199)))</f>
        <v/>
      </c>
      <c r="D199" s="26">
        <f>IF($P199="","",IF(INDEX(EntryParty,$P199)=0,"",INDEX(EntryParty,$P199)))</f>
        <v/>
      </c>
      <c r="E199" s="26">
        <f>IF($P199="","",IF(INDEX(EntryPartyName,$P199)=0,"",INDEX(EntryPartyName,$P199)))</f>
        <v/>
      </c>
      <c r="F199" s="26">
        <f>IF($P199="","",IF(INDEX(EntryPartyType,$P199)=0,"",INDEX(EntryPartyType,$P199)))</f>
        <v/>
      </c>
      <c r="G199" s="26">
        <f>IF($P199="","",IF(INDEX(EntryTxnType,$P199)=0,"",INDEX(EntryTxnType,$P199)))</f>
        <v/>
      </c>
      <c r="H199" s="27">
        <f>IF($P199="","",IF(INDEX(EntryDep,$P199)=0,"",INDEX(EntryDep,$P199)))</f>
        <v/>
      </c>
      <c r="I199" s="27">
        <f>IF($P199="","",IF(INDEX(EntryWit,$P199)=0,"",INDEX(EntryWit,$P199)))</f>
        <v/>
      </c>
      <c r="J199" s="27">
        <f>IF($B199="","",IF($A199=1,$C$7,IF(J198="",0,J198))+IF($H199="",0,$H199)-IF($I199="",0,$I199))</f>
        <v/>
      </c>
      <c r="K199" s="27">
        <f>IF($P199="","",IF(INDEX(EntryMan,$P199)=0,"",INDEX(EntryMan,$P199)))</f>
        <v/>
      </c>
      <c r="L199" s="26">
        <f>IF($B199="","",IF($K199="","—",IF(ROUND($K199-$J199,0)=0,"√","×")))</f>
        <v/>
      </c>
      <c r="M199" s="26">
        <f>IF($B199="","",IF(COUNTIFS(EntryDates,$B199,CalcTime,$C199,CalcBank,$C$5,EntryParty,$D199,EntryDep,$H199,EntryWit,$I199)&gt;1,"تکرار",""))</f>
        <v/>
      </c>
      <c r="N199" s="26">
        <f>IF($P199="","",IF(INDEX(EntryNotes,$P199)=0,"",INDEX(EntryNotes,$P199)))</f>
        <v/>
      </c>
      <c r="O199" s="26">
        <f>IF($P199="","",IF(INDEX(EntryTxnID,$P199)=0,"",INDEX(EntryTxnID,$P199)))</f>
        <v/>
      </c>
      <c r="P199" s="26">
        <f>IFERROR(MATCH($C$5&amp;"|"&amp;RIGHT("000000"&amp;183,6),CalcRankKey,0),"")</f>
        <v/>
      </c>
    </row>
    <row r="200">
      <c r="A200" s="28">
        <f>IF($B200="","",184)</f>
        <v/>
      </c>
      <c r="B200" s="28">
        <f>IF($P200="","",IF(INDEX(CalcNormDate,$P200)=0,"",INDEX(CalcNormDate,$P200)))</f>
        <v/>
      </c>
      <c r="C200" s="28">
        <f>IF($P200="","",IF(INDEX(CalcTime,$P200)=0,"",INDEX(CalcTime,$P200)))</f>
        <v/>
      </c>
      <c r="D200" s="28">
        <f>IF($P200="","",IF(INDEX(EntryParty,$P200)=0,"",INDEX(EntryParty,$P200)))</f>
        <v/>
      </c>
      <c r="E200" s="28">
        <f>IF($P200="","",IF(INDEX(EntryPartyName,$P200)=0,"",INDEX(EntryPartyName,$P200)))</f>
        <v/>
      </c>
      <c r="F200" s="28">
        <f>IF($P200="","",IF(INDEX(EntryPartyType,$P200)=0,"",INDEX(EntryPartyType,$P200)))</f>
        <v/>
      </c>
      <c r="G200" s="28">
        <f>IF($P200="","",IF(INDEX(EntryTxnType,$P200)=0,"",INDEX(EntryTxnType,$P200)))</f>
        <v/>
      </c>
      <c r="H200" s="29">
        <f>IF($P200="","",IF(INDEX(EntryDep,$P200)=0,"",INDEX(EntryDep,$P200)))</f>
        <v/>
      </c>
      <c r="I200" s="29">
        <f>IF($P200="","",IF(INDEX(EntryWit,$P200)=0,"",INDEX(EntryWit,$P200)))</f>
        <v/>
      </c>
      <c r="J200" s="29">
        <f>IF($B200="","",IF($A200=1,$C$7,IF(J199="",0,J199))+IF($H200="",0,$H200)-IF($I200="",0,$I200))</f>
        <v/>
      </c>
      <c r="K200" s="29">
        <f>IF($P200="","",IF(INDEX(EntryMan,$P200)=0,"",INDEX(EntryMan,$P200)))</f>
        <v/>
      </c>
      <c r="L200" s="28">
        <f>IF($B200="","",IF($K200="","—",IF(ROUND($K200-$J200,0)=0,"√","×")))</f>
        <v/>
      </c>
      <c r="M200" s="28">
        <f>IF($B200="","",IF(COUNTIFS(EntryDates,$B200,CalcTime,$C200,CalcBank,$C$5,EntryParty,$D200,EntryDep,$H200,EntryWit,$I200)&gt;1,"تکرار",""))</f>
        <v/>
      </c>
      <c r="N200" s="28">
        <f>IF($P200="","",IF(INDEX(EntryNotes,$P200)=0,"",INDEX(EntryNotes,$P200)))</f>
        <v/>
      </c>
      <c r="O200" s="28">
        <f>IF($P200="","",IF(INDEX(EntryTxnID,$P200)=0,"",INDEX(EntryTxnID,$P200)))</f>
        <v/>
      </c>
      <c r="P200" s="28">
        <f>IFERROR(MATCH($C$5&amp;"|"&amp;RIGHT("000000"&amp;184,6),CalcRankKey,0),"")</f>
        <v/>
      </c>
    </row>
    <row r="201">
      <c r="A201" s="26">
        <f>IF($B201="","",185)</f>
        <v/>
      </c>
      <c r="B201" s="26">
        <f>IF($P201="","",IF(INDEX(CalcNormDate,$P201)=0,"",INDEX(CalcNormDate,$P201)))</f>
        <v/>
      </c>
      <c r="C201" s="26">
        <f>IF($P201="","",IF(INDEX(CalcTime,$P201)=0,"",INDEX(CalcTime,$P201)))</f>
        <v/>
      </c>
      <c r="D201" s="26">
        <f>IF($P201="","",IF(INDEX(EntryParty,$P201)=0,"",INDEX(EntryParty,$P201)))</f>
        <v/>
      </c>
      <c r="E201" s="26">
        <f>IF($P201="","",IF(INDEX(EntryPartyName,$P201)=0,"",INDEX(EntryPartyName,$P201)))</f>
        <v/>
      </c>
      <c r="F201" s="26">
        <f>IF($P201="","",IF(INDEX(EntryPartyType,$P201)=0,"",INDEX(EntryPartyType,$P201)))</f>
        <v/>
      </c>
      <c r="G201" s="26">
        <f>IF($P201="","",IF(INDEX(EntryTxnType,$P201)=0,"",INDEX(EntryTxnType,$P201)))</f>
        <v/>
      </c>
      <c r="H201" s="27">
        <f>IF($P201="","",IF(INDEX(EntryDep,$P201)=0,"",INDEX(EntryDep,$P201)))</f>
        <v/>
      </c>
      <c r="I201" s="27">
        <f>IF($P201="","",IF(INDEX(EntryWit,$P201)=0,"",INDEX(EntryWit,$P201)))</f>
        <v/>
      </c>
      <c r="J201" s="27">
        <f>IF($B201="","",IF($A201=1,$C$7,IF(J200="",0,J200))+IF($H201="",0,$H201)-IF($I201="",0,$I201))</f>
        <v/>
      </c>
      <c r="K201" s="27">
        <f>IF($P201="","",IF(INDEX(EntryMan,$P201)=0,"",INDEX(EntryMan,$P201)))</f>
        <v/>
      </c>
      <c r="L201" s="26">
        <f>IF($B201="","",IF($K201="","—",IF(ROUND($K201-$J201,0)=0,"√","×")))</f>
        <v/>
      </c>
      <c r="M201" s="26">
        <f>IF($B201="","",IF(COUNTIFS(EntryDates,$B201,CalcTime,$C201,CalcBank,$C$5,EntryParty,$D201,EntryDep,$H201,EntryWit,$I201)&gt;1,"تکرار",""))</f>
        <v/>
      </c>
      <c r="N201" s="26">
        <f>IF($P201="","",IF(INDEX(EntryNotes,$P201)=0,"",INDEX(EntryNotes,$P201)))</f>
        <v/>
      </c>
      <c r="O201" s="26">
        <f>IF($P201="","",IF(INDEX(EntryTxnID,$P201)=0,"",INDEX(EntryTxnID,$P201)))</f>
        <v/>
      </c>
      <c r="P201" s="26">
        <f>IFERROR(MATCH($C$5&amp;"|"&amp;RIGHT("000000"&amp;185,6),CalcRankKey,0),"")</f>
        <v/>
      </c>
    </row>
    <row r="202">
      <c r="A202" s="28">
        <f>IF($B202="","",186)</f>
        <v/>
      </c>
      <c r="B202" s="28">
        <f>IF($P202="","",IF(INDEX(CalcNormDate,$P202)=0,"",INDEX(CalcNormDate,$P202)))</f>
        <v/>
      </c>
      <c r="C202" s="28">
        <f>IF($P202="","",IF(INDEX(CalcTime,$P202)=0,"",INDEX(CalcTime,$P202)))</f>
        <v/>
      </c>
      <c r="D202" s="28">
        <f>IF($P202="","",IF(INDEX(EntryParty,$P202)=0,"",INDEX(EntryParty,$P202)))</f>
        <v/>
      </c>
      <c r="E202" s="28">
        <f>IF($P202="","",IF(INDEX(EntryPartyName,$P202)=0,"",INDEX(EntryPartyName,$P202)))</f>
        <v/>
      </c>
      <c r="F202" s="28">
        <f>IF($P202="","",IF(INDEX(EntryPartyType,$P202)=0,"",INDEX(EntryPartyType,$P202)))</f>
        <v/>
      </c>
      <c r="G202" s="28">
        <f>IF($P202="","",IF(INDEX(EntryTxnType,$P202)=0,"",INDEX(EntryTxnType,$P202)))</f>
        <v/>
      </c>
      <c r="H202" s="29">
        <f>IF($P202="","",IF(INDEX(EntryDep,$P202)=0,"",INDEX(EntryDep,$P202)))</f>
        <v/>
      </c>
      <c r="I202" s="29">
        <f>IF($P202="","",IF(INDEX(EntryWit,$P202)=0,"",INDEX(EntryWit,$P202)))</f>
        <v/>
      </c>
      <c r="J202" s="29">
        <f>IF($B202="","",IF($A202=1,$C$7,IF(J201="",0,J201))+IF($H202="",0,$H202)-IF($I202="",0,$I202))</f>
        <v/>
      </c>
      <c r="K202" s="29">
        <f>IF($P202="","",IF(INDEX(EntryMan,$P202)=0,"",INDEX(EntryMan,$P202)))</f>
        <v/>
      </c>
      <c r="L202" s="28">
        <f>IF($B202="","",IF($K202="","—",IF(ROUND($K202-$J202,0)=0,"√","×")))</f>
        <v/>
      </c>
      <c r="M202" s="28">
        <f>IF($B202="","",IF(COUNTIFS(EntryDates,$B202,CalcTime,$C202,CalcBank,$C$5,EntryParty,$D202,EntryDep,$H202,EntryWit,$I202)&gt;1,"تکرار",""))</f>
        <v/>
      </c>
      <c r="N202" s="28">
        <f>IF($P202="","",IF(INDEX(EntryNotes,$P202)=0,"",INDEX(EntryNotes,$P202)))</f>
        <v/>
      </c>
      <c r="O202" s="28">
        <f>IF($P202="","",IF(INDEX(EntryTxnID,$P202)=0,"",INDEX(EntryTxnID,$P202)))</f>
        <v/>
      </c>
      <c r="P202" s="28">
        <f>IFERROR(MATCH($C$5&amp;"|"&amp;RIGHT("000000"&amp;186,6),CalcRankKey,0),"")</f>
        <v/>
      </c>
    </row>
    <row r="203">
      <c r="A203" s="26">
        <f>IF($B203="","",187)</f>
        <v/>
      </c>
      <c r="B203" s="26">
        <f>IF($P203="","",IF(INDEX(CalcNormDate,$P203)=0,"",INDEX(CalcNormDate,$P203)))</f>
        <v/>
      </c>
      <c r="C203" s="26">
        <f>IF($P203="","",IF(INDEX(CalcTime,$P203)=0,"",INDEX(CalcTime,$P203)))</f>
        <v/>
      </c>
      <c r="D203" s="26">
        <f>IF($P203="","",IF(INDEX(EntryParty,$P203)=0,"",INDEX(EntryParty,$P203)))</f>
        <v/>
      </c>
      <c r="E203" s="26">
        <f>IF($P203="","",IF(INDEX(EntryPartyName,$P203)=0,"",INDEX(EntryPartyName,$P203)))</f>
        <v/>
      </c>
      <c r="F203" s="26">
        <f>IF($P203="","",IF(INDEX(EntryPartyType,$P203)=0,"",INDEX(EntryPartyType,$P203)))</f>
        <v/>
      </c>
      <c r="G203" s="26">
        <f>IF($P203="","",IF(INDEX(EntryTxnType,$P203)=0,"",INDEX(EntryTxnType,$P203)))</f>
        <v/>
      </c>
      <c r="H203" s="27">
        <f>IF($P203="","",IF(INDEX(EntryDep,$P203)=0,"",INDEX(EntryDep,$P203)))</f>
        <v/>
      </c>
      <c r="I203" s="27">
        <f>IF($P203="","",IF(INDEX(EntryWit,$P203)=0,"",INDEX(EntryWit,$P203)))</f>
        <v/>
      </c>
      <c r="J203" s="27">
        <f>IF($B203="","",IF($A203=1,$C$7,IF(J202="",0,J202))+IF($H203="",0,$H203)-IF($I203="",0,$I203))</f>
        <v/>
      </c>
      <c r="K203" s="27">
        <f>IF($P203="","",IF(INDEX(EntryMan,$P203)=0,"",INDEX(EntryMan,$P203)))</f>
        <v/>
      </c>
      <c r="L203" s="26">
        <f>IF($B203="","",IF($K203="","—",IF(ROUND($K203-$J203,0)=0,"√","×")))</f>
        <v/>
      </c>
      <c r="M203" s="26">
        <f>IF($B203="","",IF(COUNTIFS(EntryDates,$B203,CalcTime,$C203,CalcBank,$C$5,EntryParty,$D203,EntryDep,$H203,EntryWit,$I203)&gt;1,"تکرار",""))</f>
        <v/>
      </c>
      <c r="N203" s="26">
        <f>IF($P203="","",IF(INDEX(EntryNotes,$P203)=0,"",INDEX(EntryNotes,$P203)))</f>
        <v/>
      </c>
      <c r="O203" s="26">
        <f>IF($P203="","",IF(INDEX(EntryTxnID,$P203)=0,"",INDEX(EntryTxnID,$P203)))</f>
        <v/>
      </c>
      <c r="P203" s="26">
        <f>IFERROR(MATCH($C$5&amp;"|"&amp;RIGHT("000000"&amp;187,6),CalcRankKey,0),"")</f>
        <v/>
      </c>
    </row>
    <row r="204">
      <c r="A204" s="28">
        <f>IF($B204="","",188)</f>
        <v/>
      </c>
      <c r="B204" s="28">
        <f>IF($P204="","",IF(INDEX(CalcNormDate,$P204)=0,"",INDEX(CalcNormDate,$P204)))</f>
        <v/>
      </c>
      <c r="C204" s="28">
        <f>IF($P204="","",IF(INDEX(CalcTime,$P204)=0,"",INDEX(CalcTime,$P204)))</f>
        <v/>
      </c>
      <c r="D204" s="28">
        <f>IF($P204="","",IF(INDEX(EntryParty,$P204)=0,"",INDEX(EntryParty,$P204)))</f>
        <v/>
      </c>
      <c r="E204" s="28">
        <f>IF($P204="","",IF(INDEX(EntryPartyName,$P204)=0,"",INDEX(EntryPartyName,$P204)))</f>
        <v/>
      </c>
      <c r="F204" s="28">
        <f>IF($P204="","",IF(INDEX(EntryPartyType,$P204)=0,"",INDEX(EntryPartyType,$P204)))</f>
        <v/>
      </c>
      <c r="G204" s="28">
        <f>IF($P204="","",IF(INDEX(EntryTxnType,$P204)=0,"",INDEX(EntryTxnType,$P204)))</f>
        <v/>
      </c>
      <c r="H204" s="29">
        <f>IF($P204="","",IF(INDEX(EntryDep,$P204)=0,"",INDEX(EntryDep,$P204)))</f>
        <v/>
      </c>
      <c r="I204" s="29">
        <f>IF($P204="","",IF(INDEX(EntryWit,$P204)=0,"",INDEX(EntryWit,$P204)))</f>
        <v/>
      </c>
      <c r="J204" s="29">
        <f>IF($B204="","",IF($A204=1,$C$7,IF(J203="",0,J203))+IF($H204="",0,$H204)-IF($I204="",0,$I204))</f>
        <v/>
      </c>
      <c r="K204" s="29">
        <f>IF($P204="","",IF(INDEX(EntryMan,$P204)=0,"",INDEX(EntryMan,$P204)))</f>
        <v/>
      </c>
      <c r="L204" s="28">
        <f>IF($B204="","",IF($K204="","—",IF(ROUND($K204-$J204,0)=0,"√","×")))</f>
        <v/>
      </c>
      <c r="M204" s="28">
        <f>IF($B204="","",IF(COUNTIFS(EntryDates,$B204,CalcTime,$C204,CalcBank,$C$5,EntryParty,$D204,EntryDep,$H204,EntryWit,$I204)&gt;1,"تکرار",""))</f>
        <v/>
      </c>
      <c r="N204" s="28">
        <f>IF($P204="","",IF(INDEX(EntryNotes,$P204)=0,"",INDEX(EntryNotes,$P204)))</f>
        <v/>
      </c>
      <c r="O204" s="28">
        <f>IF($P204="","",IF(INDEX(EntryTxnID,$P204)=0,"",INDEX(EntryTxnID,$P204)))</f>
        <v/>
      </c>
      <c r="P204" s="28">
        <f>IFERROR(MATCH($C$5&amp;"|"&amp;RIGHT("000000"&amp;188,6),CalcRankKey,0),"")</f>
        <v/>
      </c>
    </row>
    <row r="205">
      <c r="A205" s="26">
        <f>IF($B205="","",189)</f>
        <v/>
      </c>
      <c r="B205" s="26">
        <f>IF($P205="","",IF(INDEX(CalcNormDate,$P205)=0,"",INDEX(CalcNormDate,$P205)))</f>
        <v/>
      </c>
      <c r="C205" s="26">
        <f>IF($P205="","",IF(INDEX(CalcTime,$P205)=0,"",INDEX(CalcTime,$P205)))</f>
        <v/>
      </c>
      <c r="D205" s="26">
        <f>IF($P205="","",IF(INDEX(EntryParty,$P205)=0,"",INDEX(EntryParty,$P205)))</f>
        <v/>
      </c>
      <c r="E205" s="26">
        <f>IF($P205="","",IF(INDEX(EntryPartyName,$P205)=0,"",INDEX(EntryPartyName,$P205)))</f>
        <v/>
      </c>
      <c r="F205" s="26">
        <f>IF($P205="","",IF(INDEX(EntryPartyType,$P205)=0,"",INDEX(EntryPartyType,$P205)))</f>
        <v/>
      </c>
      <c r="G205" s="26">
        <f>IF($P205="","",IF(INDEX(EntryTxnType,$P205)=0,"",INDEX(EntryTxnType,$P205)))</f>
        <v/>
      </c>
      <c r="H205" s="27">
        <f>IF($P205="","",IF(INDEX(EntryDep,$P205)=0,"",INDEX(EntryDep,$P205)))</f>
        <v/>
      </c>
      <c r="I205" s="27">
        <f>IF($P205="","",IF(INDEX(EntryWit,$P205)=0,"",INDEX(EntryWit,$P205)))</f>
        <v/>
      </c>
      <c r="J205" s="27">
        <f>IF($B205="","",IF($A205=1,$C$7,IF(J204="",0,J204))+IF($H205="",0,$H205)-IF($I205="",0,$I205))</f>
        <v/>
      </c>
      <c r="K205" s="27">
        <f>IF($P205="","",IF(INDEX(EntryMan,$P205)=0,"",INDEX(EntryMan,$P205)))</f>
        <v/>
      </c>
      <c r="L205" s="26">
        <f>IF($B205="","",IF($K205="","—",IF(ROUND($K205-$J205,0)=0,"√","×")))</f>
        <v/>
      </c>
      <c r="M205" s="26">
        <f>IF($B205="","",IF(COUNTIFS(EntryDates,$B205,CalcTime,$C205,CalcBank,$C$5,EntryParty,$D205,EntryDep,$H205,EntryWit,$I205)&gt;1,"تکرار",""))</f>
        <v/>
      </c>
      <c r="N205" s="26">
        <f>IF($P205="","",IF(INDEX(EntryNotes,$P205)=0,"",INDEX(EntryNotes,$P205)))</f>
        <v/>
      </c>
      <c r="O205" s="26">
        <f>IF($P205="","",IF(INDEX(EntryTxnID,$P205)=0,"",INDEX(EntryTxnID,$P205)))</f>
        <v/>
      </c>
      <c r="P205" s="26">
        <f>IFERROR(MATCH($C$5&amp;"|"&amp;RIGHT("000000"&amp;189,6),CalcRankKey,0),"")</f>
        <v/>
      </c>
    </row>
    <row r="206">
      <c r="A206" s="28">
        <f>IF($B206="","",190)</f>
        <v/>
      </c>
      <c r="B206" s="28">
        <f>IF($P206="","",IF(INDEX(CalcNormDate,$P206)=0,"",INDEX(CalcNormDate,$P206)))</f>
        <v/>
      </c>
      <c r="C206" s="28">
        <f>IF($P206="","",IF(INDEX(CalcTime,$P206)=0,"",INDEX(CalcTime,$P206)))</f>
        <v/>
      </c>
      <c r="D206" s="28">
        <f>IF($P206="","",IF(INDEX(EntryParty,$P206)=0,"",INDEX(EntryParty,$P206)))</f>
        <v/>
      </c>
      <c r="E206" s="28">
        <f>IF($P206="","",IF(INDEX(EntryPartyName,$P206)=0,"",INDEX(EntryPartyName,$P206)))</f>
        <v/>
      </c>
      <c r="F206" s="28">
        <f>IF($P206="","",IF(INDEX(EntryPartyType,$P206)=0,"",INDEX(EntryPartyType,$P206)))</f>
        <v/>
      </c>
      <c r="G206" s="28">
        <f>IF($P206="","",IF(INDEX(EntryTxnType,$P206)=0,"",INDEX(EntryTxnType,$P206)))</f>
        <v/>
      </c>
      <c r="H206" s="29">
        <f>IF($P206="","",IF(INDEX(EntryDep,$P206)=0,"",INDEX(EntryDep,$P206)))</f>
        <v/>
      </c>
      <c r="I206" s="29">
        <f>IF($P206="","",IF(INDEX(EntryWit,$P206)=0,"",INDEX(EntryWit,$P206)))</f>
        <v/>
      </c>
      <c r="J206" s="29">
        <f>IF($B206="","",IF($A206=1,$C$7,IF(J205="",0,J205))+IF($H206="",0,$H206)-IF($I206="",0,$I206))</f>
        <v/>
      </c>
      <c r="K206" s="29">
        <f>IF($P206="","",IF(INDEX(EntryMan,$P206)=0,"",INDEX(EntryMan,$P206)))</f>
        <v/>
      </c>
      <c r="L206" s="28">
        <f>IF($B206="","",IF($K206="","—",IF(ROUND($K206-$J206,0)=0,"√","×")))</f>
        <v/>
      </c>
      <c r="M206" s="28">
        <f>IF($B206="","",IF(COUNTIFS(EntryDates,$B206,CalcTime,$C206,CalcBank,$C$5,EntryParty,$D206,EntryDep,$H206,EntryWit,$I206)&gt;1,"تکرار",""))</f>
        <v/>
      </c>
      <c r="N206" s="28">
        <f>IF($P206="","",IF(INDEX(EntryNotes,$P206)=0,"",INDEX(EntryNotes,$P206)))</f>
        <v/>
      </c>
      <c r="O206" s="28">
        <f>IF($P206="","",IF(INDEX(EntryTxnID,$P206)=0,"",INDEX(EntryTxnID,$P206)))</f>
        <v/>
      </c>
      <c r="P206" s="28">
        <f>IFERROR(MATCH($C$5&amp;"|"&amp;RIGHT("000000"&amp;190,6),CalcRankKey,0),"")</f>
        <v/>
      </c>
    </row>
    <row r="207">
      <c r="A207" s="26">
        <f>IF($B207="","",191)</f>
        <v/>
      </c>
      <c r="B207" s="26">
        <f>IF($P207="","",IF(INDEX(CalcNormDate,$P207)=0,"",INDEX(CalcNormDate,$P207)))</f>
        <v/>
      </c>
      <c r="C207" s="26">
        <f>IF($P207="","",IF(INDEX(CalcTime,$P207)=0,"",INDEX(CalcTime,$P207)))</f>
        <v/>
      </c>
      <c r="D207" s="26">
        <f>IF($P207="","",IF(INDEX(EntryParty,$P207)=0,"",INDEX(EntryParty,$P207)))</f>
        <v/>
      </c>
      <c r="E207" s="26">
        <f>IF($P207="","",IF(INDEX(EntryPartyName,$P207)=0,"",INDEX(EntryPartyName,$P207)))</f>
        <v/>
      </c>
      <c r="F207" s="26">
        <f>IF($P207="","",IF(INDEX(EntryPartyType,$P207)=0,"",INDEX(EntryPartyType,$P207)))</f>
        <v/>
      </c>
      <c r="G207" s="26">
        <f>IF($P207="","",IF(INDEX(EntryTxnType,$P207)=0,"",INDEX(EntryTxnType,$P207)))</f>
        <v/>
      </c>
      <c r="H207" s="27">
        <f>IF($P207="","",IF(INDEX(EntryDep,$P207)=0,"",INDEX(EntryDep,$P207)))</f>
        <v/>
      </c>
      <c r="I207" s="27">
        <f>IF($P207="","",IF(INDEX(EntryWit,$P207)=0,"",INDEX(EntryWit,$P207)))</f>
        <v/>
      </c>
      <c r="J207" s="27">
        <f>IF($B207="","",IF($A207=1,$C$7,IF(J206="",0,J206))+IF($H207="",0,$H207)-IF($I207="",0,$I207))</f>
        <v/>
      </c>
      <c r="K207" s="27">
        <f>IF($P207="","",IF(INDEX(EntryMan,$P207)=0,"",INDEX(EntryMan,$P207)))</f>
        <v/>
      </c>
      <c r="L207" s="26">
        <f>IF($B207="","",IF($K207="","—",IF(ROUND($K207-$J207,0)=0,"√","×")))</f>
        <v/>
      </c>
      <c r="M207" s="26">
        <f>IF($B207="","",IF(COUNTIFS(EntryDates,$B207,CalcTime,$C207,CalcBank,$C$5,EntryParty,$D207,EntryDep,$H207,EntryWit,$I207)&gt;1,"تکرار",""))</f>
        <v/>
      </c>
      <c r="N207" s="26">
        <f>IF($P207="","",IF(INDEX(EntryNotes,$P207)=0,"",INDEX(EntryNotes,$P207)))</f>
        <v/>
      </c>
      <c r="O207" s="26">
        <f>IF($P207="","",IF(INDEX(EntryTxnID,$P207)=0,"",INDEX(EntryTxnID,$P207)))</f>
        <v/>
      </c>
      <c r="P207" s="26">
        <f>IFERROR(MATCH($C$5&amp;"|"&amp;RIGHT("000000"&amp;191,6),CalcRankKey,0),"")</f>
        <v/>
      </c>
    </row>
    <row r="208">
      <c r="A208" s="28">
        <f>IF($B208="","",192)</f>
        <v/>
      </c>
      <c r="B208" s="28">
        <f>IF($P208="","",IF(INDEX(CalcNormDate,$P208)=0,"",INDEX(CalcNormDate,$P208)))</f>
        <v/>
      </c>
      <c r="C208" s="28">
        <f>IF($P208="","",IF(INDEX(CalcTime,$P208)=0,"",INDEX(CalcTime,$P208)))</f>
        <v/>
      </c>
      <c r="D208" s="28">
        <f>IF($P208="","",IF(INDEX(EntryParty,$P208)=0,"",INDEX(EntryParty,$P208)))</f>
        <v/>
      </c>
      <c r="E208" s="28">
        <f>IF($P208="","",IF(INDEX(EntryPartyName,$P208)=0,"",INDEX(EntryPartyName,$P208)))</f>
        <v/>
      </c>
      <c r="F208" s="28">
        <f>IF($P208="","",IF(INDEX(EntryPartyType,$P208)=0,"",INDEX(EntryPartyType,$P208)))</f>
        <v/>
      </c>
      <c r="G208" s="28">
        <f>IF($P208="","",IF(INDEX(EntryTxnType,$P208)=0,"",INDEX(EntryTxnType,$P208)))</f>
        <v/>
      </c>
      <c r="H208" s="29">
        <f>IF($P208="","",IF(INDEX(EntryDep,$P208)=0,"",INDEX(EntryDep,$P208)))</f>
        <v/>
      </c>
      <c r="I208" s="29">
        <f>IF($P208="","",IF(INDEX(EntryWit,$P208)=0,"",INDEX(EntryWit,$P208)))</f>
        <v/>
      </c>
      <c r="J208" s="29">
        <f>IF($B208="","",IF($A208=1,$C$7,IF(J207="",0,J207))+IF($H208="",0,$H208)-IF($I208="",0,$I208))</f>
        <v/>
      </c>
      <c r="K208" s="29">
        <f>IF($P208="","",IF(INDEX(EntryMan,$P208)=0,"",INDEX(EntryMan,$P208)))</f>
        <v/>
      </c>
      <c r="L208" s="28">
        <f>IF($B208="","",IF($K208="","—",IF(ROUND($K208-$J208,0)=0,"√","×")))</f>
        <v/>
      </c>
      <c r="M208" s="28">
        <f>IF($B208="","",IF(COUNTIFS(EntryDates,$B208,CalcTime,$C208,CalcBank,$C$5,EntryParty,$D208,EntryDep,$H208,EntryWit,$I208)&gt;1,"تکرار",""))</f>
        <v/>
      </c>
      <c r="N208" s="28">
        <f>IF($P208="","",IF(INDEX(EntryNotes,$P208)=0,"",INDEX(EntryNotes,$P208)))</f>
        <v/>
      </c>
      <c r="O208" s="28">
        <f>IF($P208="","",IF(INDEX(EntryTxnID,$P208)=0,"",INDEX(EntryTxnID,$P208)))</f>
        <v/>
      </c>
      <c r="P208" s="28">
        <f>IFERROR(MATCH($C$5&amp;"|"&amp;RIGHT("000000"&amp;192,6),CalcRankKey,0),"")</f>
        <v/>
      </c>
    </row>
    <row r="209">
      <c r="A209" s="26">
        <f>IF($B209="","",193)</f>
        <v/>
      </c>
      <c r="B209" s="26">
        <f>IF($P209="","",IF(INDEX(CalcNormDate,$P209)=0,"",INDEX(CalcNormDate,$P209)))</f>
        <v/>
      </c>
      <c r="C209" s="26">
        <f>IF($P209="","",IF(INDEX(CalcTime,$P209)=0,"",INDEX(CalcTime,$P209)))</f>
        <v/>
      </c>
      <c r="D209" s="26">
        <f>IF($P209="","",IF(INDEX(EntryParty,$P209)=0,"",INDEX(EntryParty,$P209)))</f>
        <v/>
      </c>
      <c r="E209" s="26">
        <f>IF($P209="","",IF(INDEX(EntryPartyName,$P209)=0,"",INDEX(EntryPartyName,$P209)))</f>
        <v/>
      </c>
      <c r="F209" s="26">
        <f>IF($P209="","",IF(INDEX(EntryPartyType,$P209)=0,"",INDEX(EntryPartyType,$P209)))</f>
        <v/>
      </c>
      <c r="G209" s="26">
        <f>IF($P209="","",IF(INDEX(EntryTxnType,$P209)=0,"",INDEX(EntryTxnType,$P209)))</f>
        <v/>
      </c>
      <c r="H209" s="27">
        <f>IF($P209="","",IF(INDEX(EntryDep,$P209)=0,"",INDEX(EntryDep,$P209)))</f>
        <v/>
      </c>
      <c r="I209" s="27">
        <f>IF($P209="","",IF(INDEX(EntryWit,$P209)=0,"",INDEX(EntryWit,$P209)))</f>
        <v/>
      </c>
      <c r="J209" s="27">
        <f>IF($B209="","",IF($A209=1,$C$7,IF(J208="",0,J208))+IF($H209="",0,$H209)-IF($I209="",0,$I209))</f>
        <v/>
      </c>
      <c r="K209" s="27">
        <f>IF($P209="","",IF(INDEX(EntryMan,$P209)=0,"",INDEX(EntryMan,$P209)))</f>
        <v/>
      </c>
      <c r="L209" s="26">
        <f>IF($B209="","",IF($K209="","—",IF(ROUND($K209-$J209,0)=0,"√","×")))</f>
        <v/>
      </c>
      <c r="M209" s="26">
        <f>IF($B209="","",IF(COUNTIFS(EntryDates,$B209,CalcTime,$C209,CalcBank,$C$5,EntryParty,$D209,EntryDep,$H209,EntryWit,$I209)&gt;1,"تکرار",""))</f>
        <v/>
      </c>
      <c r="N209" s="26">
        <f>IF($P209="","",IF(INDEX(EntryNotes,$P209)=0,"",INDEX(EntryNotes,$P209)))</f>
        <v/>
      </c>
      <c r="O209" s="26">
        <f>IF($P209="","",IF(INDEX(EntryTxnID,$P209)=0,"",INDEX(EntryTxnID,$P209)))</f>
        <v/>
      </c>
      <c r="P209" s="26">
        <f>IFERROR(MATCH($C$5&amp;"|"&amp;RIGHT("000000"&amp;193,6),CalcRankKey,0),"")</f>
        <v/>
      </c>
    </row>
    <row r="210">
      <c r="A210" s="28">
        <f>IF($B210="","",194)</f>
        <v/>
      </c>
      <c r="B210" s="28">
        <f>IF($P210="","",IF(INDEX(CalcNormDate,$P210)=0,"",INDEX(CalcNormDate,$P210)))</f>
        <v/>
      </c>
      <c r="C210" s="28">
        <f>IF($P210="","",IF(INDEX(CalcTime,$P210)=0,"",INDEX(CalcTime,$P210)))</f>
        <v/>
      </c>
      <c r="D210" s="28">
        <f>IF($P210="","",IF(INDEX(EntryParty,$P210)=0,"",INDEX(EntryParty,$P210)))</f>
        <v/>
      </c>
      <c r="E210" s="28">
        <f>IF($P210="","",IF(INDEX(EntryPartyName,$P210)=0,"",INDEX(EntryPartyName,$P210)))</f>
        <v/>
      </c>
      <c r="F210" s="28">
        <f>IF($P210="","",IF(INDEX(EntryPartyType,$P210)=0,"",INDEX(EntryPartyType,$P210)))</f>
        <v/>
      </c>
      <c r="G210" s="28">
        <f>IF($P210="","",IF(INDEX(EntryTxnType,$P210)=0,"",INDEX(EntryTxnType,$P210)))</f>
        <v/>
      </c>
      <c r="H210" s="29">
        <f>IF($P210="","",IF(INDEX(EntryDep,$P210)=0,"",INDEX(EntryDep,$P210)))</f>
        <v/>
      </c>
      <c r="I210" s="29">
        <f>IF($P210="","",IF(INDEX(EntryWit,$P210)=0,"",INDEX(EntryWit,$P210)))</f>
        <v/>
      </c>
      <c r="J210" s="29">
        <f>IF($B210="","",IF($A210=1,$C$7,IF(J209="",0,J209))+IF($H210="",0,$H210)-IF($I210="",0,$I210))</f>
        <v/>
      </c>
      <c r="K210" s="29">
        <f>IF($P210="","",IF(INDEX(EntryMan,$P210)=0,"",INDEX(EntryMan,$P210)))</f>
        <v/>
      </c>
      <c r="L210" s="28">
        <f>IF($B210="","",IF($K210="","—",IF(ROUND($K210-$J210,0)=0,"√","×")))</f>
        <v/>
      </c>
      <c r="M210" s="28">
        <f>IF($B210="","",IF(COUNTIFS(EntryDates,$B210,CalcTime,$C210,CalcBank,$C$5,EntryParty,$D210,EntryDep,$H210,EntryWit,$I210)&gt;1,"تکرار",""))</f>
        <v/>
      </c>
      <c r="N210" s="28">
        <f>IF($P210="","",IF(INDEX(EntryNotes,$P210)=0,"",INDEX(EntryNotes,$P210)))</f>
        <v/>
      </c>
      <c r="O210" s="28">
        <f>IF($P210="","",IF(INDEX(EntryTxnID,$P210)=0,"",INDEX(EntryTxnID,$P210)))</f>
        <v/>
      </c>
      <c r="P210" s="28">
        <f>IFERROR(MATCH($C$5&amp;"|"&amp;RIGHT("000000"&amp;194,6),CalcRankKey,0),"")</f>
        <v/>
      </c>
    </row>
    <row r="211">
      <c r="A211" s="26">
        <f>IF($B211="","",195)</f>
        <v/>
      </c>
      <c r="B211" s="26">
        <f>IF($P211="","",IF(INDEX(CalcNormDate,$P211)=0,"",INDEX(CalcNormDate,$P211)))</f>
        <v/>
      </c>
      <c r="C211" s="26">
        <f>IF($P211="","",IF(INDEX(CalcTime,$P211)=0,"",INDEX(CalcTime,$P211)))</f>
        <v/>
      </c>
      <c r="D211" s="26">
        <f>IF($P211="","",IF(INDEX(EntryParty,$P211)=0,"",INDEX(EntryParty,$P211)))</f>
        <v/>
      </c>
      <c r="E211" s="26">
        <f>IF($P211="","",IF(INDEX(EntryPartyName,$P211)=0,"",INDEX(EntryPartyName,$P211)))</f>
        <v/>
      </c>
      <c r="F211" s="26">
        <f>IF($P211="","",IF(INDEX(EntryPartyType,$P211)=0,"",INDEX(EntryPartyType,$P211)))</f>
        <v/>
      </c>
      <c r="G211" s="26">
        <f>IF($P211="","",IF(INDEX(EntryTxnType,$P211)=0,"",INDEX(EntryTxnType,$P211)))</f>
        <v/>
      </c>
      <c r="H211" s="27">
        <f>IF($P211="","",IF(INDEX(EntryDep,$P211)=0,"",INDEX(EntryDep,$P211)))</f>
        <v/>
      </c>
      <c r="I211" s="27">
        <f>IF($P211="","",IF(INDEX(EntryWit,$P211)=0,"",INDEX(EntryWit,$P211)))</f>
        <v/>
      </c>
      <c r="J211" s="27">
        <f>IF($B211="","",IF($A211=1,$C$7,IF(J210="",0,J210))+IF($H211="",0,$H211)-IF($I211="",0,$I211))</f>
        <v/>
      </c>
      <c r="K211" s="27">
        <f>IF($P211="","",IF(INDEX(EntryMan,$P211)=0,"",INDEX(EntryMan,$P211)))</f>
        <v/>
      </c>
      <c r="L211" s="26">
        <f>IF($B211="","",IF($K211="","—",IF(ROUND($K211-$J211,0)=0,"√","×")))</f>
        <v/>
      </c>
      <c r="M211" s="26">
        <f>IF($B211="","",IF(COUNTIFS(EntryDates,$B211,CalcTime,$C211,CalcBank,$C$5,EntryParty,$D211,EntryDep,$H211,EntryWit,$I211)&gt;1,"تکرار",""))</f>
        <v/>
      </c>
      <c r="N211" s="26">
        <f>IF($P211="","",IF(INDEX(EntryNotes,$P211)=0,"",INDEX(EntryNotes,$P211)))</f>
        <v/>
      </c>
      <c r="O211" s="26">
        <f>IF($P211="","",IF(INDEX(EntryTxnID,$P211)=0,"",INDEX(EntryTxnID,$P211)))</f>
        <v/>
      </c>
      <c r="P211" s="26">
        <f>IFERROR(MATCH($C$5&amp;"|"&amp;RIGHT("000000"&amp;195,6),CalcRankKey,0),"")</f>
        <v/>
      </c>
    </row>
    <row r="212">
      <c r="A212" s="28">
        <f>IF($B212="","",196)</f>
        <v/>
      </c>
      <c r="B212" s="28">
        <f>IF($P212="","",IF(INDEX(CalcNormDate,$P212)=0,"",INDEX(CalcNormDate,$P212)))</f>
        <v/>
      </c>
      <c r="C212" s="28">
        <f>IF($P212="","",IF(INDEX(CalcTime,$P212)=0,"",INDEX(CalcTime,$P212)))</f>
        <v/>
      </c>
      <c r="D212" s="28">
        <f>IF($P212="","",IF(INDEX(EntryParty,$P212)=0,"",INDEX(EntryParty,$P212)))</f>
        <v/>
      </c>
      <c r="E212" s="28">
        <f>IF($P212="","",IF(INDEX(EntryPartyName,$P212)=0,"",INDEX(EntryPartyName,$P212)))</f>
        <v/>
      </c>
      <c r="F212" s="28">
        <f>IF($P212="","",IF(INDEX(EntryPartyType,$P212)=0,"",INDEX(EntryPartyType,$P212)))</f>
        <v/>
      </c>
      <c r="G212" s="28">
        <f>IF($P212="","",IF(INDEX(EntryTxnType,$P212)=0,"",INDEX(EntryTxnType,$P212)))</f>
        <v/>
      </c>
      <c r="H212" s="29">
        <f>IF($P212="","",IF(INDEX(EntryDep,$P212)=0,"",INDEX(EntryDep,$P212)))</f>
        <v/>
      </c>
      <c r="I212" s="29">
        <f>IF($P212="","",IF(INDEX(EntryWit,$P212)=0,"",INDEX(EntryWit,$P212)))</f>
        <v/>
      </c>
      <c r="J212" s="29">
        <f>IF($B212="","",IF($A212=1,$C$7,IF(J211="",0,J211))+IF($H212="",0,$H212)-IF($I212="",0,$I212))</f>
        <v/>
      </c>
      <c r="K212" s="29">
        <f>IF($P212="","",IF(INDEX(EntryMan,$P212)=0,"",INDEX(EntryMan,$P212)))</f>
        <v/>
      </c>
      <c r="L212" s="28">
        <f>IF($B212="","",IF($K212="","—",IF(ROUND($K212-$J212,0)=0,"√","×")))</f>
        <v/>
      </c>
      <c r="M212" s="28">
        <f>IF($B212="","",IF(COUNTIFS(EntryDates,$B212,CalcTime,$C212,CalcBank,$C$5,EntryParty,$D212,EntryDep,$H212,EntryWit,$I212)&gt;1,"تکرار",""))</f>
        <v/>
      </c>
      <c r="N212" s="28">
        <f>IF($P212="","",IF(INDEX(EntryNotes,$P212)=0,"",INDEX(EntryNotes,$P212)))</f>
        <v/>
      </c>
      <c r="O212" s="28">
        <f>IF($P212="","",IF(INDEX(EntryTxnID,$P212)=0,"",INDEX(EntryTxnID,$P212)))</f>
        <v/>
      </c>
      <c r="P212" s="28">
        <f>IFERROR(MATCH($C$5&amp;"|"&amp;RIGHT("000000"&amp;196,6),CalcRankKey,0),"")</f>
        <v/>
      </c>
    </row>
    <row r="213">
      <c r="A213" s="26">
        <f>IF($B213="","",197)</f>
        <v/>
      </c>
      <c r="B213" s="26">
        <f>IF($P213="","",IF(INDEX(CalcNormDate,$P213)=0,"",INDEX(CalcNormDate,$P213)))</f>
        <v/>
      </c>
      <c r="C213" s="26">
        <f>IF($P213="","",IF(INDEX(CalcTime,$P213)=0,"",INDEX(CalcTime,$P213)))</f>
        <v/>
      </c>
      <c r="D213" s="26">
        <f>IF($P213="","",IF(INDEX(EntryParty,$P213)=0,"",INDEX(EntryParty,$P213)))</f>
        <v/>
      </c>
      <c r="E213" s="26">
        <f>IF($P213="","",IF(INDEX(EntryPartyName,$P213)=0,"",INDEX(EntryPartyName,$P213)))</f>
        <v/>
      </c>
      <c r="F213" s="26">
        <f>IF($P213="","",IF(INDEX(EntryPartyType,$P213)=0,"",INDEX(EntryPartyType,$P213)))</f>
        <v/>
      </c>
      <c r="G213" s="26">
        <f>IF($P213="","",IF(INDEX(EntryTxnType,$P213)=0,"",INDEX(EntryTxnType,$P213)))</f>
        <v/>
      </c>
      <c r="H213" s="27">
        <f>IF($P213="","",IF(INDEX(EntryDep,$P213)=0,"",INDEX(EntryDep,$P213)))</f>
        <v/>
      </c>
      <c r="I213" s="27">
        <f>IF($P213="","",IF(INDEX(EntryWit,$P213)=0,"",INDEX(EntryWit,$P213)))</f>
        <v/>
      </c>
      <c r="J213" s="27">
        <f>IF($B213="","",IF($A213=1,$C$7,IF(J212="",0,J212))+IF($H213="",0,$H213)-IF($I213="",0,$I213))</f>
        <v/>
      </c>
      <c r="K213" s="27">
        <f>IF($P213="","",IF(INDEX(EntryMan,$P213)=0,"",INDEX(EntryMan,$P213)))</f>
        <v/>
      </c>
      <c r="L213" s="26">
        <f>IF($B213="","",IF($K213="","—",IF(ROUND($K213-$J213,0)=0,"√","×")))</f>
        <v/>
      </c>
      <c r="M213" s="26">
        <f>IF($B213="","",IF(COUNTIFS(EntryDates,$B213,CalcTime,$C213,CalcBank,$C$5,EntryParty,$D213,EntryDep,$H213,EntryWit,$I213)&gt;1,"تکرار",""))</f>
        <v/>
      </c>
      <c r="N213" s="26">
        <f>IF($P213="","",IF(INDEX(EntryNotes,$P213)=0,"",INDEX(EntryNotes,$P213)))</f>
        <v/>
      </c>
      <c r="O213" s="26">
        <f>IF($P213="","",IF(INDEX(EntryTxnID,$P213)=0,"",INDEX(EntryTxnID,$P213)))</f>
        <v/>
      </c>
      <c r="P213" s="26">
        <f>IFERROR(MATCH($C$5&amp;"|"&amp;RIGHT("000000"&amp;197,6),CalcRankKey,0),"")</f>
        <v/>
      </c>
    </row>
    <row r="214">
      <c r="A214" s="28">
        <f>IF($B214="","",198)</f>
        <v/>
      </c>
      <c r="B214" s="28">
        <f>IF($P214="","",IF(INDEX(CalcNormDate,$P214)=0,"",INDEX(CalcNormDate,$P214)))</f>
        <v/>
      </c>
      <c r="C214" s="28">
        <f>IF($P214="","",IF(INDEX(CalcTime,$P214)=0,"",INDEX(CalcTime,$P214)))</f>
        <v/>
      </c>
      <c r="D214" s="28">
        <f>IF($P214="","",IF(INDEX(EntryParty,$P214)=0,"",INDEX(EntryParty,$P214)))</f>
        <v/>
      </c>
      <c r="E214" s="28">
        <f>IF($P214="","",IF(INDEX(EntryPartyName,$P214)=0,"",INDEX(EntryPartyName,$P214)))</f>
        <v/>
      </c>
      <c r="F214" s="28">
        <f>IF($P214="","",IF(INDEX(EntryPartyType,$P214)=0,"",INDEX(EntryPartyType,$P214)))</f>
        <v/>
      </c>
      <c r="G214" s="28">
        <f>IF($P214="","",IF(INDEX(EntryTxnType,$P214)=0,"",INDEX(EntryTxnType,$P214)))</f>
        <v/>
      </c>
      <c r="H214" s="29">
        <f>IF($P214="","",IF(INDEX(EntryDep,$P214)=0,"",INDEX(EntryDep,$P214)))</f>
        <v/>
      </c>
      <c r="I214" s="29">
        <f>IF($P214="","",IF(INDEX(EntryWit,$P214)=0,"",INDEX(EntryWit,$P214)))</f>
        <v/>
      </c>
      <c r="J214" s="29">
        <f>IF($B214="","",IF($A214=1,$C$7,IF(J213="",0,J213))+IF($H214="",0,$H214)-IF($I214="",0,$I214))</f>
        <v/>
      </c>
      <c r="K214" s="29">
        <f>IF($P214="","",IF(INDEX(EntryMan,$P214)=0,"",INDEX(EntryMan,$P214)))</f>
        <v/>
      </c>
      <c r="L214" s="28">
        <f>IF($B214="","",IF($K214="","—",IF(ROUND($K214-$J214,0)=0,"√","×")))</f>
        <v/>
      </c>
      <c r="M214" s="28">
        <f>IF($B214="","",IF(COUNTIFS(EntryDates,$B214,CalcTime,$C214,CalcBank,$C$5,EntryParty,$D214,EntryDep,$H214,EntryWit,$I214)&gt;1,"تکرار",""))</f>
        <v/>
      </c>
      <c r="N214" s="28">
        <f>IF($P214="","",IF(INDEX(EntryNotes,$P214)=0,"",INDEX(EntryNotes,$P214)))</f>
        <v/>
      </c>
      <c r="O214" s="28">
        <f>IF($P214="","",IF(INDEX(EntryTxnID,$P214)=0,"",INDEX(EntryTxnID,$P214)))</f>
        <v/>
      </c>
      <c r="P214" s="28">
        <f>IFERROR(MATCH($C$5&amp;"|"&amp;RIGHT("000000"&amp;198,6),CalcRankKey,0),"")</f>
        <v/>
      </c>
    </row>
    <row r="215">
      <c r="A215" s="26">
        <f>IF($B215="","",199)</f>
        <v/>
      </c>
      <c r="B215" s="26">
        <f>IF($P215="","",IF(INDEX(CalcNormDate,$P215)=0,"",INDEX(CalcNormDate,$P215)))</f>
        <v/>
      </c>
      <c r="C215" s="26">
        <f>IF($P215="","",IF(INDEX(CalcTime,$P215)=0,"",INDEX(CalcTime,$P215)))</f>
        <v/>
      </c>
      <c r="D215" s="26">
        <f>IF($P215="","",IF(INDEX(EntryParty,$P215)=0,"",INDEX(EntryParty,$P215)))</f>
        <v/>
      </c>
      <c r="E215" s="26">
        <f>IF($P215="","",IF(INDEX(EntryPartyName,$P215)=0,"",INDEX(EntryPartyName,$P215)))</f>
        <v/>
      </c>
      <c r="F215" s="26">
        <f>IF($P215="","",IF(INDEX(EntryPartyType,$P215)=0,"",INDEX(EntryPartyType,$P215)))</f>
        <v/>
      </c>
      <c r="G215" s="26">
        <f>IF($P215="","",IF(INDEX(EntryTxnType,$P215)=0,"",INDEX(EntryTxnType,$P215)))</f>
        <v/>
      </c>
      <c r="H215" s="27">
        <f>IF($P215="","",IF(INDEX(EntryDep,$P215)=0,"",INDEX(EntryDep,$P215)))</f>
        <v/>
      </c>
      <c r="I215" s="27">
        <f>IF($P215="","",IF(INDEX(EntryWit,$P215)=0,"",INDEX(EntryWit,$P215)))</f>
        <v/>
      </c>
      <c r="J215" s="27">
        <f>IF($B215="","",IF($A215=1,$C$7,IF(J214="",0,J214))+IF($H215="",0,$H215)-IF($I215="",0,$I215))</f>
        <v/>
      </c>
      <c r="K215" s="27">
        <f>IF($P215="","",IF(INDEX(EntryMan,$P215)=0,"",INDEX(EntryMan,$P215)))</f>
        <v/>
      </c>
      <c r="L215" s="26">
        <f>IF($B215="","",IF($K215="","—",IF(ROUND($K215-$J215,0)=0,"√","×")))</f>
        <v/>
      </c>
      <c r="M215" s="26">
        <f>IF($B215="","",IF(COUNTIFS(EntryDates,$B215,CalcTime,$C215,CalcBank,$C$5,EntryParty,$D215,EntryDep,$H215,EntryWit,$I215)&gt;1,"تکرار",""))</f>
        <v/>
      </c>
      <c r="N215" s="26">
        <f>IF($P215="","",IF(INDEX(EntryNotes,$P215)=0,"",INDEX(EntryNotes,$P215)))</f>
        <v/>
      </c>
      <c r="O215" s="26">
        <f>IF($P215="","",IF(INDEX(EntryTxnID,$P215)=0,"",INDEX(EntryTxnID,$P215)))</f>
        <v/>
      </c>
      <c r="P215" s="26">
        <f>IFERROR(MATCH($C$5&amp;"|"&amp;RIGHT("000000"&amp;199,6),CalcRankKey,0),"")</f>
        <v/>
      </c>
    </row>
    <row r="216">
      <c r="A216" s="28">
        <f>IF($B216="","",200)</f>
        <v/>
      </c>
      <c r="B216" s="28">
        <f>IF($P216="","",IF(INDEX(CalcNormDate,$P216)=0,"",INDEX(CalcNormDate,$P216)))</f>
        <v/>
      </c>
      <c r="C216" s="28">
        <f>IF($P216="","",IF(INDEX(CalcTime,$P216)=0,"",INDEX(CalcTime,$P216)))</f>
        <v/>
      </c>
      <c r="D216" s="28">
        <f>IF($P216="","",IF(INDEX(EntryParty,$P216)=0,"",INDEX(EntryParty,$P216)))</f>
        <v/>
      </c>
      <c r="E216" s="28">
        <f>IF($P216="","",IF(INDEX(EntryPartyName,$P216)=0,"",INDEX(EntryPartyName,$P216)))</f>
        <v/>
      </c>
      <c r="F216" s="28">
        <f>IF($P216="","",IF(INDEX(EntryPartyType,$P216)=0,"",INDEX(EntryPartyType,$P216)))</f>
        <v/>
      </c>
      <c r="G216" s="28">
        <f>IF($P216="","",IF(INDEX(EntryTxnType,$P216)=0,"",INDEX(EntryTxnType,$P216)))</f>
        <v/>
      </c>
      <c r="H216" s="29">
        <f>IF($P216="","",IF(INDEX(EntryDep,$P216)=0,"",INDEX(EntryDep,$P216)))</f>
        <v/>
      </c>
      <c r="I216" s="29">
        <f>IF($P216="","",IF(INDEX(EntryWit,$P216)=0,"",INDEX(EntryWit,$P216)))</f>
        <v/>
      </c>
      <c r="J216" s="29">
        <f>IF($B216="","",IF($A216=1,$C$7,IF(J215="",0,J215))+IF($H216="",0,$H216)-IF($I216="",0,$I216))</f>
        <v/>
      </c>
      <c r="K216" s="29">
        <f>IF($P216="","",IF(INDEX(EntryMan,$P216)=0,"",INDEX(EntryMan,$P216)))</f>
        <v/>
      </c>
      <c r="L216" s="28">
        <f>IF($B216="","",IF($K216="","—",IF(ROUND($K216-$J216,0)=0,"√","×")))</f>
        <v/>
      </c>
      <c r="M216" s="28">
        <f>IF($B216="","",IF(COUNTIFS(EntryDates,$B216,CalcTime,$C216,CalcBank,$C$5,EntryParty,$D216,EntryDep,$H216,EntryWit,$I216)&gt;1,"تکرار",""))</f>
        <v/>
      </c>
      <c r="N216" s="28">
        <f>IF($P216="","",IF(INDEX(EntryNotes,$P216)=0,"",INDEX(EntryNotes,$P216)))</f>
        <v/>
      </c>
      <c r="O216" s="28">
        <f>IF($P216="","",IF(INDEX(EntryTxnID,$P216)=0,"",INDEX(EntryTxnID,$P216)))</f>
        <v/>
      </c>
      <c r="P216" s="28">
        <f>IFERROR(MATCH($C$5&amp;"|"&amp;RIGHT("000000"&amp;200,6),CalcRankKey,0),"")</f>
        <v/>
      </c>
    </row>
    <row r="217">
      <c r="A217" s="26">
        <f>IF($B217="","",201)</f>
        <v/>
      </c>
      <c r="B217" s="26">
        <f>IF($P217="","",IF(INDEX(CalcNormDate,$P217)=0,"",INDEX(CalcNormDate,$P217)))</f>
        <v/>
      </c>
      <c r="C217" s="26">
        <f>IF($P217="","",IF(INDEX(CalcTime,$P217)=0,"",INDEX(CalcTime,$P217)))</f>
        <v/>
      </c>
      <c r="D217" s="26">
        <f>IF($P217="","",IF(INDEX(EntryParty,$P217)=0,"",INDEX(EntryParty,$P217)))</f>
        <v/>
      </c>
      <c r="E217" s="26">
        <f>IF($P217="","",IF(INDEX(EntryPartyName,$P217)=0,"",INDEX(EntryPartyName,$P217)))</f>
        <v/>
      </c>
      <c r="F217" s="26">
        <f>IF($P217="","",IF(INDEX(EntryPartyType,$P217)=0,"",INDEX(EntryPartyType,$P217)))</f>
        <v/>
      </c>
      <c r="G217" s="26">
        <f>IF($P217="","",IF(INDEX(EntryTxnType,$P217)=0,"",INDEX(EntryTxnType,$P217)))</f>
        <v/>
      </c>
      <c r="H217" s="27">
        <f>IF($P217="","",IF(INDEX(EntryDep,$P217)=0,"",INDEX(EntryDep,$P217)))</f>
        <v/>
      </c>
      <c r="I217" s="27">
        <f>IF($P217="","",IF(INDEX(EntryWit,$P217)=0,"",INDEX(EntryWit,$P217)))</f>
        <v/>
      </c>
      <c r="J217" s="27">
        <f>IF($B217="","",IF($A217=1,$C$7,IF(J216="",0,J216))+IF($H217="",0,$H217)-IF($I217="",0,$I217))</f>
        <v/>
      </c>
      <c r="K217" s="27">
        <f>IF($P217="","",IF(INDEX(EntryMan,$P217)=0,"",INDEX(EntryMan,$P217)))</f>
        <v/>
      </c>
      <c r="L217" s="26">
        <f>IF($B217="","",IF($K217="","—",IF(ROUND($K217-$J217,0)=0,"√","×")))</f>
        <v/>
      </c>
      <c r="M217" s="26">
        <f>IF($B217="","",IF(COUNTIFS(EntryDates,$B217,CalcTime,$C217,CalcBank,$C$5,EntryParty,$D217,EntryDep,$H217,EntryWit,$I217)&gt;1,"تکرار",""))</f>
        <v/>
      </c>
      <c r="N217" s="26">
        <f>IF($P217="","",IF(INDEX(EntryNotes,$P217)=0,"",INDEX(EntryNotes,$P217)))</f>
        <v/>
      </c>
      <c r="O217" s="26">
        <f>IF($P217="","",IF(INDEX(EntryTxnID,$P217)=0,"",INDEX(EntryTxnID,$P217)))</f>
        <v/>
      </c>
      <c r="P217" s="26">
        <f>IFERROR(MATCH($C$5&amp;"|"&amp;RIGHT("000000"&amp;201,6),CalcRankKey,0),"")</f>
        <v/>
      </c>
    </row>
    <row r="218">
      <c r="A218" s="28">
        <f>IF($B218="","",202)</f>
        <v/>
      </c>
      <c r="B218" s="28">
        <f>IF($P218="","",IF(INDEX(CalcNormDate,$P218)=0,"",INDEX(CalcNormDate,$P218)))</f>
        <v/>
      </c>
      <c r="C218" s="28">
        <f>IF($P218="","",IF(INDEX(CalcTime,$P218)=0,"",INDEX(CalcTime,$P218)))</f>
        <v/>
      </c>
      <c r="D218" s="28">
        <f>IF($P218="","",IF(INDEX(EntryParty,$P218)=0,"",INDEX(EntryParty,$P218)))</f>
        <v/>
      </c>
      <c r="E218" s="28">
        <f>IF($P218="","",IF(INDEX(EntryPartyName,$P218)=0,"",INDEX(EntryPartyName,$P218)))</f>
        <v/>
      </c>
      <c r="F218" s="28">
        <f>IF($P218="","",IF(INDEX(EntryPartyType,$P218)=0,"",INDEX(EntryPartyType,$P218)))</f>
        <v/>
      </c>
      <c r="G218" s="28">
        <f>IF($P218="","",IF(INDEX(EntryTxnType,$P218)=0,"",INDEX(EntryTxnType,$P218)))</f>
        <v/>
      </c>
      <c r="H218" s="29">
        <f>IF($P218="","",IF(INDEX(EntryDep,$P218)=0,"",INDEX(EntryDep,$P218)))</f>
        <v/>
      </c>
      <c r="I218" s="29">
        <f>IF($P218="","",IF(INDEX(EntryWit,$P218)=0,"",INDEX(EntryWit,$P218)))</f>
        <v/>
      </c>
      <c r="J218" s="29">
        <f>IF($B218="","",IF($A218=1,$C$7,IF(J217="",0,J217))+IF($H218="",0,$H218)-IF($I218="",0,$I218))</f>
        <v/>
      </c>
      <c r="K218" s="29">
        <f>IF($P218="","",IF(INDEX(EntryMan,$P218)=0,"",INDEX(EntryMan,$P218)))</f>
        <v/>
      </c>
      <c r="L218" s="28">
        <f>IF($B218="","",IF($K218="","—",IF(ROUND($K218-$J218,0)=0,"√","×")))</f>
        <v/>
      </c>
      <c r="M218" s="28">
        <f>IF($B218="","",IF(COUNTIFS(EntryDates,$B218,CalcTime,$C218,CalcBank,$C$5,EntryParty,$D218,EntryDep,$H218,EntryWit,$I218)&gt;1,"تکرار",""))</f>
        <v/>
      </c>
      <c r="N218" s="28">
        <f>IF($P218="","",IF(INDEX(EntryNotes,$P218)=0,"",INDEX(EntryNotes,$P218)))</f>
        <v/>
      </c>
      <c r="O218" s="28">
        <f>IF($P218="","",IF(INDEX(EntryTxnID,$P218)=0,"",INDEX(EntryTxnID,$P218)))</f>
        <v/>
      </c>
      <c r="P218" s="28">
        <f>IFERROR(MATCH($C$5&amp;"|"&amp;RIGHT("000000"&amp;202,6),CalcRankKey,0),"")</f>
        <v/>
      </c>
    </row>
    <row r="219">
      <c r="A219" s="26">
        <f>IF($B219="","",203)</f>
        <v/>
      </c>
      <c r="B219" s="26">
        <f>IF($P219="","",IF(INDEX(CalcNormDate,$P219)=0,"",INDEX(CalcNormDate,$P219)))</f>
        <v/>
      </c>
      <c r="C219" s="26">
        <f>IF($P219="","",IF(INDEX(CalcTime,$P219)=0,"",INDEX(CalcTime,$P219)))</f>
        <v/>
      </c>
      <c r="D219" s="26">
        <f>IF($P219="","",IF(INDEX(EntryParty,$P219)=0,"",INDEX(EntryParty,$P219)))</f>
        <v/>
      </c>
      <c r="E219" s="26">
        <f>IF($P219="","",IF(INDEX(EntryPartyName,$P219)=0,"",INDEX(EntryPartyName,$P219)))</f>
        <v/>
      </c>
      <c r="F219" s="26">
        <f>IF($P219="","",IF(INDEX(EntryPartyType,$P219)=0,"",INDEX(EntryPartyType,$P219)))</f>
        <v/>
      </c>
      <c r="G219" s="26">
        <f>IF($P219="","",IF(INDEX(EntryTxnType,$P219)=0,"",INDEX(EntryTxnType,$P219)))</f>
        <v/>
      </c>
      <c r="H219" s="27">
        <f>IF($P219="","",IF(INDEX(EntryDep,$P219)=0,"",INDEX(EntryDep,$P219)))</f>
        <v/>
      </c>
      <c r="I219" s="27">
        <f>IF($P219="","",IF(INDEX(EntryWit,$P219)=0,"",INDEX(EntryWit,$P219)))</f>
        <v/>
      </c>
      <c r="J219" s="27">
        <f>IF($B219="","",IF($A219=1,$C$7,IF(J218="",0,J218))+IF($H219="",0,$H219)-IF($I219="",0,$I219))</f>
        <v/>
      </c>
      <c r="K219" s="27">
        <f>IF($P219="","",IF(INDEX(EntryMan,$P219)=0,"",INDEX(EntryMan,$P219)))</f>
        <v/>
      </c>
      <c r="L219" s="26">
        <f>IF($B219="","",IF($K219="","—",IF(ROUND($K219-$J219,0)=0,"√","×")))</f>
        <v/>
      </c>
      <c r="M219" s="26">
        <f>IF($B219="","",IF(COUNTIFS(EntryDates,$B219,CalcTime,$C219,CalcBank,$C$5,EntryParty,$D219,EntryDep,$H219,EntryWit,$I219)&gt;1,"تکرار",""))</f>
        <v/>
      </c>
      <c r="N219" s="26">
        <f>IF($P219="","",IF(INDEX(EntryNotes,$P219)=0,"",INDEX(EntryNotes,$P219)))</f>
        <v/>
      </c>
      <c r="O219" s="26">
        <f>IF($P219="","",IF(INDEX(EntryTxnID,$P219)=0,"",INDEX(EntryTxnID,$P219)))</f>
        <v/>
      </c>
      <c r="P219" s="26">
        <f>IFERROR(MATCH($C$5&amp;"|"&amp;RIGHT("000000"&amp;203,6),CalcRankKey,0),"")</f>
        <v/>
      </c>
    </row>
    <row r="220">
      <c r="A220" s="28">
        <f>IF($B220="","",204)</f>
        <v/>
      </c>
      <c r="B220" s="28">
        <f>IF($P220="","",IF(INDEX(CalcNormDate,$P220)=0,"",INDEX(CalcNormDate,$P220)))</f>
        <v/>
      </c>
      <c r="C220" s="28">
        <f>IF($P220="","",IF(INDEX(CalcTime,$P220)=0,"",INDEX(CalcTime,$P220)))</f>
        <v/>
      </c>
      <c r="D220" s="28">
        <f>IF($P220="","",IF(INDEX(EntryParty,$P220)=0,"",INDEX(EntryParty,$P220)))</f>
        <v/>
      </c>
      <c r="E220" s="28">
        <f>IF($P220="","",IF(INDEX(EntryPartyName,$P220)=0,"",INDEX(EntryPartyName,$P220)))</f>
        <v/>
      </c>
      <c r="F220" s="28">
        <f>IF($P220="","",IF(INDEX(EntryPartyType,$P220)=0,"",INDEX(EntryPartyType,$P220)))</f>
        <v/>
      </c>
      <c r="G220" s="28">
        <f>IF($P220="","",IF(INDEX(EntryTxnType,$P220)=0,"",INDEX(EntryTxnType,$P220)))</f>
        <v/>
      </c>
      <c r="H220" s="29">
        <f>IF($P220="","",IF(INDEX(EntryDep,$P220)=0,"",INDEX(EntryDep,$P220)))</f>
        <v/>
      </c>
      <c r="I220" s="29">
        <f>IF($P220="","",IF(INDEX(EntryWit,$P220)=0,"",INDEX(EntryWit,$P220)))</f>
        <v/>
      </c>
      <c r="J220" s="29">
        <f>IF($B220="","",IF($A220=1,$C$7,IF(J219="",0,J219))+IF($H220="",0,$H220)-IF($I220="",0,$I220))</f>
        <v/>
      </c>
      <c r="K220" s="29">
        <f>IF($P220="","",IF(INDEX(EntryMan,$P220)=0,"",INDEX(EntryMan,$P220)))</f>
        <v/>
      </c>
      <c r="L220" s="28">
        <f>IF($B220="","",IF($K220="","—",IF(ROUND($K220-$J220,0)=0,"√","×")))</f>
        <v/>
      </c>
      <c r="M220" s="28">
        <f>IF($B220="","",IF(COUNTIFS(EntryDates,$B220,CalcTime,$C220,CalcBank,$C$5,EntryParty,$D220,EntryDep,$H220,EntryWit,$I220)&gt;1,"تکرار",""))</f>
        <v/>
      </c>
      <c r="N220" s="28">
        <f>IF($P220="","",IF(INDEX(EntryNotes,$P220)=0,"",INDEX(EntryNotes,$P220)))</f>
        <v/>
      </c>
      <c r="O220" s="28">
        <f>IF($P220="","",IF(INDEX(EntryTxnID,$P220)=0,"",INDEX(EntryTxnID,$P220)))</f>
        <v/>
      </c>
      <c r="P220" s="28">
        <f>IFERROR(MATCH($C$5&amp;"|"&amp;RIGHT("000000"&amp;204,6),CalcRankKey,0),"")</f>
        <v/>
      </c>
    </row>
    <row r="221">
      <c r="A221" s="26">
        <f>IF($B221="","",205)</f>
        <v/>
      </c>
      <c r="B221" s="26">
        <f>IF($P221="","",IF(INDEX(CalcNormDate,$P221)=0,"",INDEX(CalcNormDate,$P221)))</f>
        <v/>
      </c>
      <c r="C221" s="26">
        <f>IF($P221="","",IF(INDEX(CalcTime,$P221)=0,"",INDEX(CalcTime,$P221)))</f>
        <v/>
      </c>
      <c r="D221" s="26">
        <f>IF($P221="","",IF(INDEX(EntryParty,$P221)=0,"",INDEX(EntryParty,$P221)))</f>
        <v/>
      </c>
      <c r="E221" s="26">
        <f>IF($P221="","",IF(INDEX(EntryPartyName,$P221)=0,"",INDEX(EntryPartyName,$P221)))</f>
        <v/>
      </c>
      <c r="F221" s="26">
        <f>IF($P221="","",IF(INDEX(EntryPartyType,$P221)=0,"",INDEX(EntryPartyType,$P221)))</f>
        <v/>
      </c>
      <c r="G221" s="26">
        <f>IF($P221="","",IF(INDEX(EntryTxnType,$P221)=0,"",INDEX(EntryTxnType,$P221)))</f>
        <v/>
      </c>
      <c r="H221" s="27">
        <f>IF($P221="","",IF(INDEX(EntryDep,$P221)=0,"",INDEX(EntryDep,$P221)))</f>
        <v/>
      </c>
      <c r="I221" s="27">
        <f>IF($P221="","",IF(INDEX(EntryWit,$P221)=0,"",INDEX(EntryWit,$P221)))</f>
        <v/>
      </c>
      <c r="J221" s="27">
        <f>IF($B221="","",IF($A221=1,$C$7,IF(J220="",0,J220))+IF($H221="",0,$H221)-IF($I221="",0,$I221))</f>
        <v/>
      </c>
      <c r="K221" s="27">
        <f>IF($P221="","",IF(INDEX(EntryMan,$P221)=0,"",INDEX(EntryMan,$P221)))</f>
        <v/>
      </c>
      <c r="L221" s="26">
        <f>IF($B221="","",IF($K221="","—",IF(ROUND($K221-$J221,0)=0,"√","×")))</f>
        <v/>
      </c>
      <c r="M221" s="26">
        <f>IF($B221="","",IF(COUNTIFS(EntryDates,$B221,CalcTime,$C221,CalcBank,$C$5,EntryParty,$D221,EntryDep,$H221,EntryWit,$I221)&gt;1,"تکرار",""))</f>
        <v/>
      </c>
      <c r="N221" s="26">
        <f>IF($P221="","",IF(INDEX(EntryNotes,$P221)=0,"",INDEX(EntryNotes,$P221)))</f>
        <v/>
      </c>
      <c r="O221" s="26">
        <f>IF($P221="","",IF(INDEX(EntryTxnID,$P221)=0,"",INDEX(EntryTxnID,$P221)))</f>
        <v/>
      </c>
      <c r="P221" s="26">
        <f>IFERROR(MATCH($C$5&amp;"|"&amp;RIGHT("000000"&amp;205,6),CalcRankKey,0),"")</f>
        <v/>
      </c>
    </row>
    <row r="222">
      <c r="A222" s="28">
        <f>IF($B222="","",206)</f>
        <v/>
      </c>
      <c r="B222" s="28">
        <f>IF($P222="","",IF(INDEX(CalcNormDate,$P222)=0,"",INDEX(CalcNormDate,$P222)))</f>
        <v/>
      </c>
      <c r="C222" s="28">
        <f>IF($P222="","",IF(INDEX(CalcTime,$P222)=0,"",INDEX(CalcTime,$P222)))</f>
        <v/>
      </c>
      <c r="D222" s="28">
        <f>IF($P222="","",IF(INDEX(EntryParty,$P222)=0,"",INDEX(EntryParty,$P222)))</f>
        <v/>
      </c>
      <c r="E222" s="28">
        <f>IF($P222="","",IF(INDEX(EntryPartyName,$P222)=0,"",INDEX(EntryPartyName,$P222)))</f>
        <v/>
      </c>
      <c r="F222" s="28">
        <f>IF($P222="","",IF(INDEX(EntryPartyType,$P222)=0,"",INDEX(EntryPartyType,$P222)))</f>
        <v/>
      </c>
      <c r="G222" s="28">
        <f>IF($P222="","",IF(INDEX(EntryTxnType,$P222)=0,"",INDEX(EntryTxnType,$P222)))</f>
        <v/>
      </c>
      <c r="H222" s="29">
        <f>IF($P222="","",IF(INDEX(EntryDep,$P222)=0,"",INDEX(EntryDep,$P222)))</f>
        <v/>
      </c>
      <c r="I222" s="29">
        <f>IF($P222="","",IF(INDEX(EntryWit,$P222)=0,"",INDEX(EntryWit,$P222)))</f>
        <v/>
      </c>
      <c r="J222" s="29">
        <f>IF($B222="","",IF($A222=1,$C$7,IF(J221="",0,J221))+IF($H222="",0,$H222)-IF($I222="",0,$I222))</f>
        <v/>
      </c>
      <c r="K222" s="29">
        <f>IF($P222="","",IF(INDEX(EntryMan,$P222)=0,"",INDEX(EntryMan,$P222)))</f>
        <v/>
      </c>
      <c r="L222" s="28">
        <f>IF($B222="","",IF($K222="","—",IF(ROUND($K222-$J222,0)=0,"√","×")))</f>
        <v/>
      </c>
      <c r="M222" s="28">
        <f>IF($B222="","",IF(COUNTIFS(EntryDates,$B222,CalcTime,$C222,CalcBank,$C$5,EntryParty,$D222,EntryDep,$H222,EntryWit,$I222)&gt;1,"تکرار",""))</f>
        <v/>
      </c>
      <c r="N222" s="28">
        <f>IF($P222="","",IF(INDEX(EntryNotes,$P222)=0,"",INDEX(EntryNotes,$P222)))</f>
        <v/>
      </c>
      <c r="O222" s="28">
        <f>IF($P222="","",IF(INDEX(EntryTxnID,$P222)=0,"",INDEX(EntryTxnID,$P222)))</f>
        <v/>
      </c>
      <c r="P222" s="28">
        <f>IFERROR(MATCH($C$5&amp;"|"&amp;RIGHT("000000"&amp;206,6),CalcRankKey,0),"")</f>
        <v/>
      </c>
    </row>
    <row r="223">
      <c r="A223" s="26">
        <f>IF($B223="","",207)</f>
        <v/>
      </c>
      <c r="B223" s="26">
        <f>IF($P223="","",IF(INDEX(CalcNormDate,$P223)=0,"",INDEX(CalcNormDate,$P223)))</f>
        <v/>
      </c>
      <c r="C223" s="26">
        <f>IF($P223="","",IF(INDEX(CalcTime,$P223)=0,"",INDEX(CalcTime,$P223)))</f>
        <v/>
      </c>
      <c r="D223" s="26">
        <f>IF($P223="","",IF(INDEX(EntryParty,$P223)=0,"",INDEX(EntryParty,$P223)))</f>
        <v/>
      </c>
      <c r="E223" s="26">
        <f>IF($P223="","",IF(INDEX(EntryPartyName,$P223)=0,"",INDEX(EntryPartyName,$P223)))</f>
        <v/>
      </c>
      <c r="F223" s="26">
        <f>IF($P223="","",IF(INDEX(EntryPartyType,$P223)=0,"",INDEX(EntryPartyType,$P223)))</f>
        <v/>
      </c>
      <c r="G223" s="26">
        <f>IF($P223="","",IF(INDEX(EntryTxnType,$P223)=0,"",INDEX(EntryTxnType,$P223)))</f>
        <v/>
      </c>
      <c r="H223" s="27">
        <f>IF($P223="","",IF(INDEX(EntryDep,$P223)=0,"",INDEX(EntryDep,$P223)))</f>
        <v/>
      </c>
      <c r="I223" s="27">
        <f>IF($P223="","",IF(INDEX(EntryWit,$P223)=0,"",INDEX(EntryWit,$P223)))</f>
        <v/>
      </c>
      <c r="J223" s="27">
        <f>IF($B223="","",IF($A223=1,$C$7,IF(J222="",0,J222))+IF($H223="",0,$H223)-IF($I223="",0,$I223))</f>
        <v/>
      </c>
      <c r="K223" s="27">
        <f>IF($P223="","",IF(INDEX(EntryMan,$P223)=0,"",INDEX(EntryMan,$P223)))</f>
        <v/>
      </c>
      <c r="L223" s="26">
        <f>IF($B223="","",IF($K223="","—",IF(ROUND($K223-$J223,0)=0,"√","×")))</f>
        <v/>
      </c>
      <c r="M223" s="26">
        <f>IF($B223="","",IF(COUNTIFS(EntryDates,$B223,CalcTime,$C223,CalcBank,$C$5,EntryParty,$D223,EntryDep,$H223,EntryWit,$I223)&gt;1,"تکرار",""))</f>
        <v/>
      </c>
      <c r="N223" s="26">
        <f>IF($P223="","",IF(INDEX(EntryNotes,$P223)=0,"",INDEX(EntryNotes,$P223)))</f>
        <v/>
      </c>
      <c r="O223" s="26">
        <f>IF($P223="","",IF(INDEX(EntryTxnID,$P223)=0,"",INDEX(EntryTxnID,$P223)))</f>
        <v/>
      </c>
      <c r="P223" s="26">
        <f>IFERROR(MATCH($C$5&amp;"|"&amp;RIGHT("000000"&amp;207,6),CalcRankKey,0),"")</f>
        <v/>
      </c>
    </row>
    <row r="224">
      <c r="A224" s="28">
        <f>IF($B224="","",208)</f>
        <v/>
      </c>
      <c r="B224" s="28">
        <f>IF($P224="","",IF(INDEX(CalcNormDate,$P224)=0,"",INDEX(CalcNormDate,$P224)))</f>
        <v/>
      </c>
      <c r="C224" s="28">
        <f>IF($P224="","",IF(INDEX(CalcTime,$P224)=0,"",INDEX(CalcTime,$P224)))</f>
        <v/>
      </c>
      <c r="D224" s="28">
        <f>IF($P224="","",IF(INDEX(EntryParty,$P224)=0,"",INDEX(EntryParty,$P224)))</f>
        <v/>
      </c>
      <c r="E224" s="28">
        <f>IF($P224="","",IF(INDEX(EntryPartyName,$P224)=0,"",INDEX(EntryPartyName,$P224)))</f>
        <v/>
      </c>
      <c r="F224" s="28">
        <f>IF($P224="","",IF(INDEX(EntryPartyType,$P224)=0,"",INDEX(EntryPartyType,$P224)))</f>
        <v/>
      </c>
      <c r="G224" s="28">
        <f>IF($P224="","",IF(INDEX(EntryTxnType,$P224)=0,"",INDEX(EntryTxnType,$P224)))</f>
        <v/>
      </c>
      <c r="H224" s="29">
        <f>IF($P224="","",IF(INDEX(EntryDep,$P224)=0,"",INDEX(EntryDep,$P224)))</f>
        <v/>
      </c>
      <c r="I224" s="29">
        <f>IF($P224="","",IF(INDEX(EntryWit,$P224)=0,"",INDEX(EntryWit,$P224)))</f>
        <v/>
      </c>
      <c r="J224" s="29">
        <f>IF($B224="","",IF($A224=1,$C$7,IF(J223="",0,J223))+IF($H224="",0,$H224)-IF($I224="",0,$I224))</f>
        <v/>
      </c>
      <c r="K224" s="29">
        <f>IF($P224="","",IF(INDEX(EntryMan,$P224)=0,"",INDEX(EntryMan,$P224)))</f>
        <v/>
      </c>
      <c r="L224" s="28">
        <f>IF($B224="","",IF($K224="","—",IF(ROUND($K224-$J224,0)=0,"√","×")))</f>
        <v/>
      </c>
      <c r="M224" s="28">
        <f>IF($B224="","",IF(COUNTIFS(EntryDates,$B224,CalcTime,$C224,CalcBank,$C$5,EntryParty,$D224,EntryDep,$H224,EntryWit,$I224)&gt;1,"تکرار",""))</f>
        <v/>
      </c>
      <c r="N224" s="28">
        <f>IF($P224="","",IF(INDEX(EntryNotes,$P224)=0,"",INDEX(EntryNotes,$P224)))</f>
        <v/>
      </c>
      <c r="O224" s="28">
        <f>IF($P224="","",IF(INDEX(EntryTxnID,$P224)=0,"",INDEX(EntryTxnID,$P224)))</f>
        <v/>
      </c>
      <c r="P224" s="28">
        <f>IFERROR(MATCH($C$5&amp;"|"&amp;RIGHT("000000"&amp;208,6),CalcRankKey,0),"")</f>
        <v/>
      </c>
    </row>
    <row r="225">
      <c r="A225" s="26">
        <f>IF($B225="","",209)</f>
        <v/>
      </c>
      <c r="B225" s="26">
        <f>IF($P225="","",IF(INDEX(CalcNormDate,$P225)=0,"",INDEX(CalcNormDate,$P225)))</f>
        <v/>
      </c>
      <c r="C225" s="26">
        <f>IF($P225="","",IF(INDEX(CalcTime,$P225)=0,"",INDEX(CalcTime,$P225)))</f>
        <v/>
      </c>
      <c r="D225" s="26">
        <f>IF($P225="","",IF(INDEX(EntryParty,$P225)=0,"",INDEX(EntryParty,$P225)))</f>
        <v/>
      </c>
      <c r="E225" s="26">
        <f>IF($P225="","",IF(INDEX(EntryPartyName,$P225)=0,"",INDEX(EntryPartyName,$P225)))</f>
        <v/>
      </c>
      <c r="F225" s="26">
        <f>IF($P225="","",IF(INDEX(EntryPartyType,$P225)=0,"",INDEX(EntryPartyType,$P225)))</f>
        <v/>
      </c>
      <c r="G225" s="26">
        <f>IF($P225="","",IF(INDEX(EntryTxnType,$P225)=0,"",INDEX(EntryTxnType,$P225)))</f>
        <v/>
      </c>
      <c r="H225" s="27">
        <f>IF($P225="","",IF(INDEX(EntryDep,$P225)=0,"",INDEX(EntryDep,$P225)))</f>
        <v/>
      </c>
      <c r="I225" s="27">
        <f>IF($P225="","",IF(INDEX(EntryWit,$P225)=0,"",INDEX(EntryWit,$P225)))</f>
        <v/>
      </c>
      <c r="J225" s="27">
        <f>IF($B225="","",IF($A225=1,$C$7,IF(J224="",0,J224))+IF($H225="",0,$H225)-IF($I225="",0,$I225))</f>
        <v/>
      </c>
      <c r="K225" s="27">
        <f>IF($P225="","",IF(INDEX(EntryMan,$P225)=0,"",INDEX(EntryMan,$P225)))</f>
        <v/>
      </c>
      <c r="L225" s="26">
        <f>IF($B225="","",IF($K225="","—",IF(ROUND($K225-$J225,0)=0,"√","×")))</f>
        <v/>
      </c>
      <c r="M225" s="26">
        <f>IF($B225="","",IF(COUNTIFS(EntryDates,$B225,CalcTime,$C225,CalcBank,$C$5,EntryParty,$D225,EntryDep,$H225,EntryWit,$I225)&gt;1,"تکرار",""))</f>
        <v/>
      </c>
      <c r="N225" s="26">
        <f>IF($P225="","",IF(INDEX(EntryNotes,$P225)=0,"",INDEX(EntryNotes,$P225)))</f>
        <v/>
      </c>
      <c r="O225" s="26">
        <f>IF($P225="","",IF(INDEX(EntryTxnID,$P225)=0,"",INDEX(EntryTxnID,$P225)))</f>
        <v/>
      </c>
      <c r="P225" s="26">
        <f>IFERROR(MATCH($C$5&amp;"|"&amp;RIGHT("000000"&amp;209,6),CalcRankKey,0),"")</f>
        <v/>
      </c>
    </row>
    <row r="226">
      <c r="A226" s="28">
        <f>IF($B226="","",210)</f>
        <v/>
      </c>
      <c r="B226" s="28">
        <f>IF($P226="","",IF(INDEX(CalcNormDate,$P226)=0,"",INDEX(CalcNormDate,$P226)))</f>
        <v/>
      </c>
      <c r="C226" s="28">
        <f>IF($P226="","",IF(INDEX(CalcTime,$P226)=0,"",INDEX(CalcTime,$P226)))</f>
        <v/>
      </c>
      <c r="D226" s="28">
        <f>IF($P226="","",IF(INDEX(EntryParty,$P226)=0,"",INDEX(EntryParty,$P226)))</f>
        <v/>
      </c>
      <c r="E226" s="28">
        <f>IF($P226="","",IF(INDEX(EntryPartyName,$P226)=0,"",INDEX(EntryPartyName,$P226)))</f>
        <v/>
      </c>
      <c r="F226" s="28">
        <f>IF($P226="","",IF(INDEX(EntryPartyType,$P226)=0,"",INDEX(EntryPartyType,$P226)))</f>
        <v/>
      </c>
      <c r="G226" s="28">
        <f>IF($P226="","",IF(INDEX(EntryTxnType,$P226)=0,"",INDEX(EntryTxnType,$P226)))</f>
        <v/>
      </c>
      <c r="H226" s="29">
        <f>IF($P226="","",IF(INDEX(EntryDep,$P226)=0,"",INDEX(EntryDep,$P226)))</f>
        <v/>
      </c>
      <c r="I226" s="29">
        <f>IF($P226="","",IF(INDEX(EntryWit,$P226)=0,"",INDEX(EntryWit,$P226)))</f>
        <v/>
      </c>
      <c r="J226" s="29">
        <f>IF($B226="","",IF($A226=1,$C$7,IF(J225="",0,J225))+IF($H226="",0,$H226)-IF($I226="",0,$I226))</f>
        <v/>
      </c>
      <c r="K226" s="29">
        <f>IF($P226="","",IF(INDEX(EntryMan,$P226)=0,"",INDEX(EntryMan,$P226)))</f>
        <v/>
      </c>
      <c r="L226" s="28">
        <f>IF($B226="","",IF($K226="","—",IF(ROUND($K226-$J226,0)=0,"√","×")))</f>
        <v/>
      </c>
      <c r="M226" s="28">
        <f>IF($B226="","",IF(COUNTIFS(EntryDates,$B226,CalcTime,$C226,CalcBank,$C$5,EntryParty,$D226,EntryDep,$H226,EntryWit,$I226)&gt;1,"تکرار",""))</f>
        <v/>
      </c>
      <c r="N226" s="28">
        <f>IF($P226="","",IF(INDEX(EntryNotes,$P226)=0,"",INDEX(EntryNotes,$P226)))</f>
        <v/>
      </c>
      <c r="O226" s="28">
        <f>IF($P226="","",IF(INDEX(EntryTxnID,$P226)=0,"",INDEX(EntryTxnID,$P226)))</f>
        <v/>
      </c>
      <c r="P226" s="28">
        <f>IFERROR(MATCH($C$5&amp;"|"&amp;RIGHT("000000"&amp;210,6),CalcRankKey,0),"")</f>
        <v/>
      </c>
    </row>
    <row r="227">
      <c r="A227" s="26">
        <f>IF($B227="","",211)</f>
        <v/>
      </c>
      <c r="B227" s="26">
        <f>IF($P227="","",IF(INDEX(CalcNormDate,$P227)=0,"",INDEX(CalcNormDate,$P227)))</f>
        <v/>
      </c>
      <c r="C227" s="26">
        <f>IF($P227="","",IF(INDEX(CalcTime,$P227)=0,"",INDEX(CalcTime,$P227)))</f>
        <v/>
      </c>
      <c r="D227" s="26">
        <f>IF($P227="","",IF(INDEX(EntryParty,$P227)=0,"",INDEX(EntryParty,$P227)))</f>
        <v/>
      </c>
      <c r="E227" s="26">
        <f>IF($P227="","",IF(INDEX(EntryPartyName,$P227)=0,"",INDEX(EntryPartyName,$P227)))</f>
        <v/>
      </c>
      <c r="F227" s="26">
        <f>IF($P227="","",IF(INDEX(EntryPartyType,$P227)=0,"",INDEX(EntryPartyType,$P227)))</f>
        <v/>
      </c>
      <c r="G227" s="26">
        <f>IF($P227="","",IF(INDEX(EntryTxnType,$P227)=0,"",INDEX(EntryTxnType,$P227)))</f>
        <v/>
      </c>
      <c r="H227" s="27">
        <f>IF($P227="","",IF(INDEX(EntryDep,$P227)=0,"",INDEX(EntryDep,$P227)))</f>
        <v/>
      </c>
      <c r="I227" s="27">
        <f>IF($P227="","",IF(INDEX(EntryWit,$P227)=0,"",INDEX(EntryWit,$P227)))</f>
        <v/>
      </c>
      <c r="J227" s="27">
        <f>IF($B227="","",IF($A227=1,$C$7,IF(J226="",0,J226))+IF($H227="",0,$H227)-IF($I227="",0,$I227))</f>
        <v/>
      </c>
      <c r="K227" s="27">
        <f>IF($P227="","",IF(INDEX(EntryMan,$P227)=0,"",INDEX(EntryMan,$P227)))</f>
        <v/>
      </c>
      <c r="L227" s="26">
        <f>IF($B227="","",IF($K227="","—",IF(ROUND($K227-$J227,0)=0,"√","×")))</f>
        <v/>
      </c>
      <c r="M227" s="26">
        <f>IF($B227="","",IF(COUNTIFS(EntryDates,$B227,CalcTime,$C227,CalcBank,$C$5,EntryParty,$D227,EntryDep,$H227,EntryWit,$I227)&gt;1,"تکرار",""))</f>
        <v/>
      </c>
      <c r="N227" s="26">
        <f>IF($P227="","",IF(INDEX(EntryNotes,$P227)=0,"",INDEX(EntryNotes,$P227)))</f>
        <v/>
      </c>
      <c r="O227" s="26">
        <f>IF($P227="","",IF(INDEX(EntryTxnID,$P227)=0,"",INDEX(EntryTxnID,$P227)))</f>
        <v/>
      </c>
      <c r="P227" s="26">
        <f>IFERROR(MATCH($C$5&amp;"|"&amp;RIGHT("000000"&amp;211,6),CalcRankKey,0),"")</f>
        <v/>
      </c>
    </row>
    <row r="228">
      <c r="A228" s="28">
        <f>IF($B228="","",212)</f>
        <v/>
      </c>
      <c r="B228" s="28">
        <f>IF($P228="","",IF(INDEX(CalcNormDate,$P228)=0,"",INDEX(CalcNormDate,$P228)))</f>
        <v/>
      </c>
      <c r="C228" s="28">
        <f>IF($P228="","",IF(INDEX(CalcTime,$P228)=0,"",INDEX(CalcTime,$P228)))</f>
        <v/>
      </c>
      <c r="D228" s="28">
        <f>IF($P228="","",IF(INDEX(EntryParty,$P228)=0,"",INDEX(EntryParty,$P228)))</f>
        <v/>
      </c>
      <c r="E228" s="28">
        <f>IF($P228="","",IF(INDEX(EntryPartyName,$P228)=0,"",INDEX(EntryPartyName,$P228)))</f>
        <v/>
      </c>
      <c r="F228" s="28">
        <f>IF($P228="","",IF(INDEX(EntryPartyType,$P228)=0,"",INDEX(EntryPartyType,$P228)))</f>
        <v/>
      </c>
      <c r="G228" s="28">
        <f>IF($P228="","",IF(INDEX(EntryTxnType,$P228)=0,"",INDEX(EntryTxnType,$P228)))</f>
        <v/>
      </c>
      <c r="H228" s="29">
        <f>IF($P228="","",IF(INDEX(EntryDep,$P228)=0,"",INDEX(EntryDep,$P228)))</f>
        <v/>
      </c>
      <c r="I228" s="29">
        <f>IF($P228="","",IF(INDEX(EntryWit,$P228)=0,"",INDEX(EntryWit,$P228)))</f>
        <v/>
      </c>
      <c r="J228" s="29">
        <f>IF($B228="","",IF($A228=1,$C$7,IF(J227="",0,J227))+IF($H228="",0,$H228)-IF($I228="",0,$I228))</f>
        <v/>
      </c>
      <c r="K228" s="29">
        <f>IF($P228="","",IF(INDEX(EntryMan,$P228)=0,"",INDEX(EntryMan,$P228)))</f>
        <v/>
      </c>
      <c r="L228" s="28">
        <f>IF($B228="","",IF($K228="","—",IF(ROUND($K228-$J228,0)=0,"√","×")))</f>
        <v/>
      </c>
      <c r="M228" s="28">
        <f>IF($B228="","",IF(COUNTIFS(EntryDates,$B228,CalcTime,$C228,CalcBank,$C$5,EntryParty,$D228,EntryDep,$H228,EntryWit,$I228)&gt;1,"تکرار",""))</f>
        <v/>
      </c>
      <c r="N228" s="28">
        <f>IF($P228="","",IF(INDEX(EntryNotes,$P228)=0,"",INDEX(EntryNotes,$P228)))</f>
        <v/>
      </c>
      <c r="O228" s="28">
        <f>IF($P228="","",IF(INDEX(EntryTxnID,$P228)=0,"",INDEX(EntryTxnID,$P228)))</f>
        <v/>
      </c>
      <c r="P228" s="28">
        <f>IFERROR(MATCH($C$5&amp;"|"&amp;RIGHT("000000"&amp;212,6),CalcRankKey,0),"")</f>
        <v/>
      </c>
    </row>
    <row r="229">
      <c r="A229" s="26">
        <f>IF($B229="","",213)</f>
        <v/>
      </c>
      <c r="B229" s="26">
        <f>IF($P229="","",IF(INDEX(CalcNormDate,$P229)=0,"",INDEX(CalcNormDate,$P229)))</f>
        <v/>
      </c>
      <c r="C229" s="26">
        <f>IF($P229="","",IF(INDEX(CalcTime,$P229)=0,"",INDEX(CalcTime,$P229)))</f>
        <v/>
      </c>
      <c r="D229" s="26">
        <f>IF($P229="","",IF(INDEX(EntryParty,$P229)=0,"",INDEX(EntryParty,$P229)))</f>
        <v/>
      </c>
      <c r="E229" s="26">
        <f>IF($P229="","",IF(INDEX(EntryPartyName,$P229)=0,"",INDEX(EntryPartyName,$P229)))</f>
        <v/>
      </c>
      <c r="F229" s="26">
        <f>IF($P229="","",IF(INDEX(EntryPartyType,$P229)=0,"",INDEX(EntryPartyType,$P229)))</f>
        <v/>
      </c>
      <c r="G229" s="26">
        <f>IF($P229="","",IF(INDEX(EntryTxnType,$P229)=0,"",INDEX(EntryTxnType,$P229)))</f>
        <v/>
      </c>
      <c r="H229" s="27">
        <f>IF($P229="","",IF(INDEX(EntryDep,$P229)=0,"",INDEX(EntryDep,$P229)))</f>
        <v/>
      </c>
      <c r="I229" s="27">
        <f>IF($P229="","",IF(INDEX(EntryWit,$P229)=0,"",INDEX(EntryWit,$P229)))</f>
        <v/>
      </c>
      <c r="J229" s="27">
        <f>IF($B229="","",IF($A229=1,$C$7,IF(J228="",0,J228))+IF($H229="",0,$H229)-IF($I229="",0,$I229))</f>
        <v/>
      </c>
      <c r="K229" s="27">
        <f>IF($P229="","",IF(INDEX(EntryMan,$P229)=0,"",INDEX(EntryMan,$P229)))</f>
        <v/>
      </c>
      <c r="L229" s="26">
        <f>IF($B229="","",IF($K229="","—",IF(ROUND($K229-$J229,0)=0,"√","×")))</f>
        <v/>
      </c>
      <c r="M229" s="26">
        <f>IF($B229="","",IF(COUNTIFS(EntryDates,$B229,CalcTime,$C229,CalcBank,$C$5,EntryParty,$D229,EntryDep,$H229,EntryWit,$I229)&gt;1,"تکرار",""))</f>
        <v/>
      </c>
      <c r="N229" s="26">
        <f>IF($P229="","",IF(INDEX(EntryNotes,$P229)=0,"",INDEX(EntryNotes,$P229)))</f>
        <v/>
      </c>
      <c r="O229" s="26">
        <f>IF($P229="","",IF(INDEX(EntryTxnID,$P229)=0,"",INDEX(EntryTxnID,$P229)))</f>
        <v/>
      </c>
      <c r="P229" s="26">
        <f>IFERROR(MATCH($C$5&amp;"|"&amp;RIGHT("000000"&amp;213,6),CalcRankKey,0),"")</f>
        <v/>
      </c>
    </row>
    <row r="230">
      <c r="A230" s="28">
        <f>IF($B230="","",214)</f>
        <v/>
      </c>
      <c r="B230" s="28">
        <f>IF($P230="","",IF(INDEX(CalcNormDate,$P230)=0,"",INDEX(CalcNormDate,$P230)))</f>
        <v/>
      </c>
      <c r="C230" s="28">
        <f>IF($P230="","",IF(INDEX(CalcTime,$P230)=0,"",INDEX(CalcTime,$P230)))</f>
        <v/>
      </c>
      <c r="D230" s="28">
        <f>IF($P230="","",IF(INDEX(EntryParty,$P230)=0,"",INDEX(EntryParty,$P230)))</f>
        <v/>
      </c>
      <c r="E230" s="28">
        <f>IF($P230="","",IF(INDEX(EntryPartyName,$P230)=0,"",INDEX(EntryPartyName,$P230)))</f>
        <v/>
      </c>
      <c r="F230" s="28">
        <f>IF($P230="","",IF(INDEX(EntryPartyType,$P230)=0,"",INDEX(EntryPartyType,$P230)))</f>
        <v/>
      </c>
      <c r="G230" s="28">
        <f>IF($P230="","",IF(INDEX(EntryTxnType,$P230)=0,"",INDEX(EntryTxnType,$P230)))</f>
        <v/>
      </c>
      <c r="H230" s="29">
        <f>IF($P230="","",IF(INDEX(EntryDep,$P230)=0,"",INDEX(EntryDep,$P230)))</f>
        <v/>
      </c>
      <c r="I230" s="29">
        <f>IF($P230="","",IF(INDEX(EntryWit,$P230)=0,"",INDEX(EntryWit,$P230)))</f>
        <v/>
      </c>
      <c r="J230" s="29">
        <f>IF($B230="","",IF($A230=1,$C$7,IF(J229="",0,J229))+IF($H230="",0,$H230)-IF($I230="",0,$I230))</f>
        <v/>
      </c>
      <c r="K230" s="29">
        <f>IF($P230="","",IF(INDEX(EntryMan,$P230)=0,"",INDEX(EntryMan,$P230)))</f>
        <v/>
      </c>
      <c r="L230" s="28">
        <f>IF($B230="","",IF($K230="","—",IF(ROUND($K230-$J230,0)=0,"√","×")))</f>
        <v/>
      </c>
      <c r="M230" s="28">
        <f>IF($B230="","",IF(COUNTIFS(EntryDates,$B230,CalcTime,$C230,CalcBank,$C$5,EntryParty,$D230,EntryDep,$H230,EntryWit,$I230)&gt;1,"تکرار",""))</f>
        <v/>
      </c>
      <c r="N230" s="28">
        <f>IF($P230="","",IF(INDEX(EntryNotes,$P230)=0,"",INDEX(EntryNotes,$P230)))</f>
        <v/>
      </c>
      <c r="O230" s="28">
        <f>IF($P230="","",IF(INDEX(EntryTxnID,$P230)=0,"",INDEX(EntryTxnID,$P230)))</f>
        <v/>
      </c>
      <c r="P230" s="28">
        <f>IFERROR(MATCH($C$5&amp;"|"&amp;RIGHT("000000"&amp;214,6),CalcRankKey,0),"")</f>
        <v/>
      </c>
    </row>
    <row r="231">
      <c r="A231" s="26">
        <f>IF($B231="","",215)</f>
        <v/>
      </c>
      <c r="B231" s="26">
        <f>IF($P231="","",IF(INDEX(CalcNormDate,$P231)=0,"",INDEX(CalcNormDate,$P231)))</f>
        <v/>
      </c>
      <c r="C231" s="26">
        <f>IF($P231="","",IF(INDEX(CalcTime,$P231)=0,"",INDEX(CalcTime,$P231)))</f>
        <v/>
      </c>
      <c r="D231" s="26">
        <f>IF($P231="","",IF(INDEX(EntryParty,$P231)=0,"",INDEX(EntryParty,$P231)))</f>
        <v/>
      </c>
      <c r="E231" s="26">
        <f>IF($P231="","",IF(INDEX(EntryPartyName,$P231)=0,"",INDEX(EntryPartyName,$P231)))</f>
        <v/>
      </c>
      <c r="F231" s="26">
        <f>IF($P231="","",IF(INDEX(EntryPartyType,$P231)=0,"",INDEX(EntryPartyType,$P231)))</f>
        <v/>
      </c>
      <c r="G231" s="26">
        <f>IF($P231="","",IF(INDEX(EntryTxnType,$P231)=0,"",INDEX(EntryTxnType,$P231)))</f>
        <v/>
      </c>
      <c r="H231" s="27">
        <f>IF($P231="","",IF(INDEX(EntryDep,$P231)=0,"",INDEX(EntryDep,$P231)))</f>
        <v/>
      </c>
      <c r="I231" s="27">
        <f>IF($P231="","",IF(INDEX(EntryWit,$P231)=0,"",INDEX(EntryWit,$P231)))</f>
        <v/>
      </c>
      <c r="J231" s="27">
        <f>IF($B231="","",IF($A231=1,$C$7,IF(J230="",0,J230))+IF($H231="",0,$H231)-IF($I231="",0,$I231))</f>
        <v/>
      </c>
      <c r="K231" s="27">
        <f>IF($P231="","",IF(INDEX(EntryMan,$P231)=0,"",INDEX(EntryMan,$P231)))</f>
        <v/>
      </c>
      <c r="L231" s="26">
        <f>IF($B231="","",IF($K231="","—",IF(ROUND($K231-$J231,0)=0,"√","×")))</f>
        <v/>
      </c>
      <c r="M231" s="26">
        <f>IF($B231="","",IF(COUNTIFS(EntryDates,$B231,CalcTime,$C231,CalcBank,$C$5,EntryParty,$D231,EntryDep,$H231,EntryWit,$I231)&gt;1,"تکرار",""))</f>
        <v/>
      </c>
      <c r="N231" s="26">
        <f>IF($P231="","",IF(INDEX(EntryNotes,$P231)=0,"",INDEX(EntryNotes,$P231)))</f>
        <v/>
      </c>
      <c r="O231" s="26">
        <f>IF($P231="","",IF(INDEX(EntryTxnID,$P231)=0,"",INDEX(EntryTxnID,$P231)))</f>
        <v/>
      </c>
      <c r="P231" s="26">
        <f>IFERROR(MATCH($C$5&amp;"|"&amp;RIGHT("000000"&amp;215,6),CalcRankKey,0),"")</f>
        <v/>
      </c>
    </row>
    <row r="232">
      <c r="A232" s="28">
        <f>IF($B232="","",216)</f>
        <v/>
      </c>
      <c r="B232" s="28">
        <f>IF($P232="","",IF(INDEX(CalcNormDate,$P232)=0,"",INDEX(CalcNormDate,$P232)))</f>
        <v/>
      </c>
      <c r="C232" s="28">
        <f>IF($P232="","",IF(INDEX(CalcTime,$P232)=0,"",INDEX(CalcTime,$P232)))</f>
        <v/>
      </c>
      <c r="D232" s="28">
        <f>IF($P232="","",IF(INDEX(EntryParty,$P232)=0,"",INDEX(EntryParty,$P232)))</f>
        <v/>
      </c>
      <c r="E232" s="28">
        <f>IF($P232="","",IF(INDEX(EntryPartyName,$P232)=0,"",INDEX(EntryPartyName,$P232)))</f>
        <v/>
      </c>
      <c r="F232" s="28">
        <f>IF($P232="","",IF(INDEX(EntryPartyType,$P232)=0,"",INDEX(EntryPartyType,$P232)))</f>
        <v/>
      </c>
      <c r="G232" s="28">
        <f>IF($P232="","",IF(INDEX(EntryTxnType,$P232)=0,"",INDEX(EntryTxnType,$P232)))</f>
        <v/>
      </c>
      <c r="H232" s="29">
        <f>IF($P232="","",IF(INDEX(EntryDep,$P232)=0,"",INDEX(EntryDep,$P232)))</f>
        <v/>
      </c>
      <c r="I232" s="29">
        <f>IF($P232="","",IF(INDEX(EntryWit,$P232)=0,"",INDEX(EntryWit,$P232)))</f>
        <v/>
      </c>
      <c r="J232" s="29">
        <f>IF($B232="","",IF($A232=1,$C$7,IF(J231="",0,J231))+IF($H232="",0,$H232)-IF($I232="",0,$I232))</f>
        <v/>
      </c>
      <c r="K232" s="29">
        <f>IF($P232="","",IF(INDEX(EntryMan,$P232)=0,"",INDEX(EntryMan,$P232)))</f>
        <v/>
      </c>
      <c r="L232" s="28">
        <f>IF($B232="","",IF($K232="","—",IF(ROUND($K232-$J232,0)=0,"√","×")))</f>
        <v/>
      </c>
      <c r="M232" s="28">
        <f>IF($B232="","",IF(COUNTIFS(EntryDates,$B232,CalcTime,$C232,CalcBank,$C$5,EntryParty,$D232,EntryDep,$H232,EntryWit,$I232)&gt;1,"تکرار",""))</f>
        <v/>
      </c>
      <c r="N232" s="28">
        <f>IF($P232="","",IF(INDEX(EntryNotes,$P232)=0,"",INDEX(EntryNotes,$P232)))</f>
        <v/>
      </c>
      <c r="O232" s="28">
        <f>IF($P232="","",IF(INDEX(EntryTxnID,$P232)=0,"",INDEX(EntryTxnID,$P232)))</f>
        <v/>
      </c>
      <c r="P232" s="28">
        <f>IFERROR(MATCH($C$5&amp;"|"&amp;RIGHT("000000"&amp;216,6),CalcRankKey,0),"")</f>
        <v/>
      </c>
    </row>
    <row r="233">
      <c r="A233" s="26">
        <f>IF($B233="","",217)</f>
        <v/>
      </c>
      <c r="B233" s="26">
        <f>IF($P233="","",IF(INDEX(CalcNormDate,$P233)=0,"",INDEX(CalcNormDate,$P233)))</f>
        <v/>
      </c>
      <c r="C233" s="26">
        <f>IF($P233="","",IF(INDEX(CalcTime,$P233)=0,"",INDEX(CalcTime,$P233)))</f>
        <v/>
      </c>
      <c r="D233" s="26">
        <f>IF($P233="","",IF(INDEX(EntryParty,$P233)=0,"",INDEX(EntryParty,$P233)))</f>
        <v/>
      </c>
      <c r="E233" s="26">
        <f>IF($P233="","",IF(INDEX(EntryPartyName,$P233)=0,"",INDEX(EntryPartyName,$P233)))</f>
        <v/>
      </c>
      <c r="F233" s="26">
        <f>IF($P233="","",IF(INDEX(EntryPartyType,$P233)=0,"",INDEX(EntryPartyType,$P233)))</f>
        <v/>
      </c>
      <c r="G233" s="26">
        <f>IF($P233="","",IF(INDEX(EntryTxnType,$P233)=0,"",INDEX(EntryTxnType,$P233)))</f>
        <v/>
      </c>
      <c r="H233" s="27">
        <f>IF($P233="","",IF(INDEX(EntryDep,$P233)=0,"",INDEX(EntryDep,$P233)))</f>
        <v/>
      </c>
      <c r="I233" s="27">
        <f>IF($P233="","",IF(INDEX(EntryWit,$P233)=0,"",INDEX(EntryWit,$P233)))</f>
        <v/>
      </c>
      <c r="J233" s="27">
        <f>IF($B233="","",IF($A233=1,$C$7,IF(J232="",0,J232))+IF($H233="",0,$H233)-IF($I233="",0,$I233))</f>
        <v/>
      </c>
      <c r="K233" s="27">
        <f>IF($P233="","",IF(INDEX(EntryMan,$P233)=0,"",INDEX(EntryMan,$P233)))</f>
        <v/>
      </c>
      <c r="L233" s="26">
        <f>IF($B233="","",IF($K233="","—",IF(ROUND($K233-$J233,0)=0,"√","×")))</f>
        <v/>
      </c>
      <c r="M233" s="26">
        <f>IF($B233="","",IF(COUNTIFS(EntryDates,$B233,CalcTime,$C233,CalcBank,$C$5,EntryParty,$D233,EntryDep,$H233,EntryWit,$I233)&gt;1,"تکرار",""))</f>
        <v/>
      </c>
      <c r="N233" s="26">
        <f>IF($P233="","",IF(INDEX(EntryNotes,$P233)=0,"",INDEX(EntryNotes,$P233)))</f>
        <v/>
      </c>
      <c r="O233" s="26">
        <f>IF($P233="","",IF(INDEX(EntryTxnID,$P233)=0,"",INDEX(EntryTxnID,$P233)))</f>
        <v/>
      </c>
      <c r="P233" s="26">
        <f>IFERROR(MATCH($C$5&amp;"|"&amp;RIGHT("000000"&amp;217,6),CalcRankKey,0),"")</f>
        <v/>
      </c>
    </row>
    <row r="234">
      <c r="A234" s="28">
        <f>IF($B234="","",218)</f>
        <v/>
      </c>
      <c r="B234" s="28">
        <f>IF($P234="","",IF(INDEX(CalcNormDate,$P234)=0,"",INDEX(CalcNormDate,$P234)))</f>
        <v/>
      </c>
      <c r="C234" s="28">
        <f>IF($P234="","",IF(INDEX(CalcTime,$P234)=0,"",INDEX(CalcTime,$P234)))</f>
        <v/>
      </c>
      <c r="D234" s="28">
        <f>IF($P234="","",IF(INDEX(EntryParty,$P234)=0,"",INDEX(EntryParty,$P234)))</f>
        <v/>
      </c>
      <c r="E234" s="28">
        <f>IF($P234="","",IF(INDEX(EntryPartyName,$P234)=0,"",INDEX(EntryPartyName,$P234)))</f>
        <v/>
      </c>
      <c r="F234" s="28">
        <f>IF($P234="","",IF(INDEX(EntryPartyType,$P234)=0,"",INDEX(EntryPartyType,$P234)))</f>
        <v/>
      </c>
      <c r="G234" s="28">
        <f>IF($P234="","",IF(INDEX(EntryTxnType,$P234)=0,"",INDEX(EntryTxnType,$P234)))</f>
        <v/>
      </c>
      <c r="H234" s="29">
        <f>IF($P234="","",IF(INDEX(EntryDep,$P234)=0,"",INDEX(EntryDep,$P234)))</f>
        <v/>
      </c>
      <c r="I234" s="29">
        <f>IF($P234="","",IF(INDEX(EntryWit,$P234)=0,"",INDEX(EntryWit,$P234)))</f>
        <v/>
      </c>
      <c r="J234" s="29">
        <f>IF($B234="","",IF($A234=1,$C$7,IF(J233="",0,J233))+IF($H234="",0,$H234)-IF($I234="",0,$I234))</f>
        <v/>
      </c>
      <c r="K234" s="29">
        <f>IF($P234="","",IF(INDEX(EntryMan,$P234)=0,"",INDEX(EntryMan,$P234)))</f>
        <v/>
      </c>
      <c r="L234" s="28">
        <f>IF($B234="","",IF($K234="","—",IF(ROUND($K234-$J234,0)=0,"√","×")))</f>
        <v/>
      </c>
      <c r="M234" s="28">
        <f>IF($B234="","",IF(COUNTIFS(EntryDates,$B234,CalcTime,$C234,CalcBank,$C$5,EntryParty,$D234,EntryDep,$H234,EntryWit,$I234)&gt;1,"تکرار",""))</f>
        <v/>
      </c>
      <c r="N234" s="28">
        <f>IF($P234="","",IF(INDEX(EntryNotes,$P234)=0,"",INDEX(EntryNotes,$P234)))</f>
        <v/>
      </c>
      <c r="O234" s="28">
        <f>IF($P234="","",IF(INDEX(EntryTxnID,$P234)=0,"",INDEX(EntryTxnID,$P234)))</f>
        <v/>
      </c>
      <c r="P234" s="28">
        <f>IFERROR(MATCH($C$5&amp;"|"&amp;RIGHT("000000"&amp;218,6),CalcRankKey,0),"")</f>
        <v/>
      </c>
    </row>
    <row r="235">
      <c r="A235" s="26">
        <f>IF($B235="","",219)</f>
        <v/>
      </c>
      <c r="B235" s="26">
        <f>IF($P235="","",IF(INDEX(CalcNormDate,$P235)=0,"",INDEX(CalcNormDate,$P235)))</f>
        <v/>
      </c>
      <c r="C235" s="26">
        <f>IF($P235="","",IF(INDEX(CalcTime,$P235)=0,"",INDEX(CalcTime,$P235)))</f>
        <v/>
      </c>
      <c r="D235" s="26">
        <f>IF($P235="","",IF(INDEX(EntryParty,$P235)=0,"",INDEX(EntryParty,$P235)))</f>
        <v/>
      </c>
      <c r="E235" s="26">
        <f>IF($P235="","",IF(INDEX(EntryPartyName,$P235)=0,"",INDEX(EntryPartyName,$P235)))</f>
        <v/>
      </c>
      <c r="F235" s="26">
        <f>IF($P235="","",IF(INDEX(EntryPartyType,$P235)=0,"",INDEX(EntryPartyType,$P235)))</f>
        <v/>
      </c>
      <c r="G235" s="26">
        <f>IF($P235="","",IF(INDEX(EntryTxnType,$P235)=0,"",INDEX(EntryTxnType,$P235)))</f>
        <v/>
      </c>
      <c r="H235" s="27">
        <f>IF($P235="","",IF(INDEX(EntryDep,$P235)=0,"",INDEX(EntryDep,$P235)))</f>
        <v/>
      </c>
      <c r="I235" s="27">
        <f>IF($P235="","",IF(INDEX(EntryWit,$P235)=0,"",INDEX(EntryWit,$P235)))</f>
        <v/>
      </c>
      <c r="J235" s="27">
        <f>IF($B235="","",IF($A235=1,$C$7,IF(J234="",0,J234))+IF($H235="",0,$H235)-IF($I235="",0,$I235))</f>
        <v/>
      </c>
      <c r="K235" s="27">
        <f>IF($P235="","",IF(INDEX(EntryMan,$P235)=0,"",INDEX(EntryMan,$P235)))</f>
        <v/>
      </c>
      <c r="L235" s="26">
        <f>IF($B235="","",IF($K235="","—",IF(ROUND($K235-$J235,0)=0,"√","×")))</f>
        <v/>
      </c>
      <c r="M235" s="26">
        <f>IF($B235="","",IF(COUNTIFS(EntryDates,$B235,CalcTime,$C235,CalcBank,$C$5,EntryParty,$D235,EntryDep,$H235,EntryWit,$I235)&gt;1,"تکرار",""))</f>
        <v/>
      </c>
      <c r="N235" s="26">
        <f>IF($P235="","",IF(INDEX(EntryNotes,$P235)=0,"",INDEX(EntryNotes,$P235)))</f>
        <v/>
      </c>
      <c r="O235" s="26">
        <f>IF($P235="","",IF(INDEX(EntryTxnID,$P235)=0,"",INDEX(EntryTxnID,$P235)))</f>
        <v/>
      </c>
      <c r="P235" s="26">
        <f>IFERROR(MATCH($C$5&amp;"|"&amp;RIGHT("000000"&amp;219,6),CalcRankKey,0),"")</f>
        <v/>
      </c>
    </row>
    <row r="236">
      <c r="A236" s="28">
        <f>IF($B236="","",220)</f>
        <v/>
      </c>
      <c r="B236" s="28">
        <f>IF($P236="","",IF(INDEX(CalcNormDate,$P236)=0,"",INDEX(CalcNormDate,$P236)))</f>
        <v/>
      </c>
      <c r="C236" s="28">
        <f>IF($P236="","",IF(INDEX(CalcTime,$P236)=0,"",INDEX(CalcTime,$P236)))</f>
        <v/>
      </c>
      <c r="D236" s="28">
        <f>IF($P236="","",IF(INDEX(EntryParty,$P236)=0,"",INDEX(EntryParty,$P236)))</f>
        <v/>
      </c>
      <c r="E236" s="28">
        <f>IF($P236="","",IF(INDEX(EntryPartyName,$P236)=0,"",INDEX(EntryPartyName,$P236)))</f>
        <v/>
      </c>
      <c r="F236" s="28">
        <f>IF($P236="","",IF(INDEX(EntryPartyType,$P236)=0,"",INDEX(EntryPartyType,$P236)))</f>
        <v/>
      </c>
      <c r="G236" s="28">
        <f>IF($P236="","",IF(INDEX(EntryTxnType,$P236)=0,"",INDEX(EntryTxnType,$P236)))</f>
        <v/>
      </c>
      <c r="H236" s="29">
        <f>IF($P236="","",IF(INDEX(EntryDep,$P236)=0,"",INDEX(EntryDep,$P236)))</f>
        <v/>
      </c>
      <c r="I236" s="29">
        <f>IF($P236="","",IF(INDEX(EntryWit,$P236)=0,"",INDEX(EntryWit,$P236)))</f>
        <v/>
      </c>
      <c r="J236" s="29">
        <f>IF($B236="","",IF($A236=1,$C$7,IF(J235="",0,J235))+IF($H236="",0,$H236)-IF($I236="",0,$I236))</f>
        <v/>
      </c>
      <c r="K236" s="29">
        <f>IF($P236="","",IF(INDEX(EntryMan,$P236)=0,"",INDEX(EntryMan,$P236)))</f>
        <v/>
      </c>
      <c r="L236" s="28">
        <f>IF($B236="","",IF($K236="","—",IF(ROUND($K236-$J236,0)=0,"√","×")))</f>
        <v/>
      </c>
      <c r="M236" s="28">
        <f>IF($B236="","",IF(COUNTIFS(EntryDates,$B236,CalcTime,$C236,CalcBank,$C$5,EntryParty,$D236,EntryDep,$H236,EntryWit,$I236)&gt;1,"تکرار",""))</f>
        <v/>
      </c>
      <c r="N236" s="28">
        <f>IF($P236="","",IF(INDEX(EntryNotes,$P236)=0,"",INDEX(EntryNotes,$P236)))</f>
        <v/>
      </c>
      <c r="O236" s="28">
        <f>IF($P236="","",IF(INDEX(EntryTxnID,$P236)=0,"",INDEX(EntryTxnID,$P236)))</f>
        <v/>
      </c>
      <c r="P236" s="28">
        <f>IFERROR(MATCH($C$5&amp;"|"&amp;RIGHT("000000"&amp;220,6),CalcRankKey,0),"")</f>
        <v/>
      </c>
    </row>
    <row r="237">
      <c r="A237" s="26">
        <f>IF($B237="","",221)</f>
        <v/>
      </c>
      <c r="B237" s="26">
        <f>IF($P237="","",IF(INDEX(CalcNormDate,$P237)=0,"",INDEX(CalcNormDate,$P237)))</f>
        <v/>
      </c>
      <c r="C237" s="26">
        <f>IF($P237="","",IF(INDEX(CalcTime,$P237)=0,"",INDEX(CalcTime,$P237)))</f>
        <v/>
      </c>
      <c r="D237" s="26">
        <f>IF($P237="","",IF(INDEX(EntryParty,$P237)=0,"",INDEX(EntryParty,$P237)))</f>
        <v/>
      </c>
      <c r="E237" s="26">
        <f>IF($P237="","",IF(INDEX(EntryPartyName,$P237)=0,"",INDEX(EntryPartyName,$P237)))</f>
        <v/>
      </c>
      <c r="F237" s="26">
        <f>IF($P237="","",IF(INDEX(EntryPartyType,$P237)=0,"",INDEX(EntryPartyType,$P237)))</f>
        <v/>
      </c>
      <c r="G237" s="26">
        <f>IF($P237="","",IF(INDEX(EntryTxnType,$P237)=0,"",INDEX(EntryTxnType,$P237)))</f>
        <v/>
      </c>
      <c r="H237" s="27">
        <f>IF($P237="","",IF(INDEX(EntryDep,$P237)=0,"",INDEX(EntryDep,$P237)))</f>
        <v/>
      </c>
      <c r="I237" s="27">
        <f>IF($P237="","",IF(INDEX(EntryWit,$P237)=0,"",INDEX(EntryWit,$P237)))</f>
        <v/>
      </c>
      <c r="J237" s="27">
        <f>IF($B237="","",IF($A237=1,$C$7,IF(J236="",0,J236))+IF($H237="",0,$H237)-IF($I237="",0,$I237))</f>
        <v/>
      </c>
      <c r="K237" s="27">
        <f>IF($P237="","",IF(INDEX(EntryMan,$P237)=0,"",INDEX(EntryMan,$P237)))</f>
        <v/>
      </c>
      <c r="L237" s="26">
        <f>IF($B237="","",IF($K237="","—",IF(ROUND($K237-$J237,0)=0,"√","×")))</f>
        <v/>
      </c>
      <c r="M237" s="26">
        <f>IF($B237="","",IF(COUNTIFS(EntryDates,$B237,CalcTime,$C237,CalcBank,$C$5,EntryParty,$D237,EntryDep,$H237,EntryWit,$I237)&gt;1,"تکرار",""))</f>
        <v/>
      </c>
      <c r="N237" s="26">
        <f>IF($P237="","",IF(INDEX(EntryNotes,$P237)=0,"",INDEX(EntryNotes,$P237)))</f>
        <v/>
      </c>
      <c r="O237" s="26">
        <f>IF($P237="","",IF(INDEX(EntryTxnID,$P237)=0,"",INDEX(EntryTxnID,$P237)))</f>
        <v/>
      </c>
      <c r="P237" s="26">
        <f>IFERROR(MATCH($C$5&amp;"|"&amp;RIGHT("000000"&amp;221,6),CalcRankKey,0),"")</f>
        <v/>
      </c>
    </row>
    <row r="238">
      <c r="A238" s="28">
        <f>IF($B238="","",222)</f>
        <v/>
      </c>
      <c r="B238" s="28">
        <f>IF($P238="","",IF(INDEX(CalcNormDate,$P238)=0,"",INDEX(CalcNormDate,$P238)))</f>
        <v/>
      </c>
      <c r="C238" s="28">
        <f>IF($P238="","",IF(INDEX(CalcTime,$P238)=0,"",INDEX(CalcTime,$P238)))</f>
        <v/>
      </c>
      <c r="D238" s="28">
        <f>IF($P238="","",IF(INDEX(EntryParty,$P238)=0,"",INDEX(EntryParty,$P238)))</f>
        <v/>
      </c>
      <c r="E238" s="28">
        <f>IF($P238="","",IF(INDEX(EntryPartyName,$P238)=0,"",INDEX(EntryPartyName,$P238)))</f>
        <v/>
      </c>
      <c r="F238" s="28">
        <f>IF($P238="","",IF(INDEX(EntryPartyType,$P238)=0,"",INDEX(EntryPartyType,$P238)))</f>
        <v/>
      </c>
      <c r="G238" s="28">
        <f>IF($P238="","",IF(INDEX(EntryTxnType,$P238)=0,"",INDEX(EntryTxnType,$P238)))</f>
        <v/>
      </c>
      <c r="H238" s="29">
        <f>IF($P238="","",IF(INDEX(EntryDep,$P238)=0,"",INDEX(EntryDep,$P238)))</f>
        <v/>
      </c>
      <c r="I238" s="29">
        <f>IF($P238="","",IF(INDEX(EntryWit,$P238)=0,"",INDEX(EntryWit,$P238)))</f>
        <v/>
      </c>
      <c r="J238" s="29">
        <f>IF($B238="","",IF($A238=1,$C$7,IF(J237="",0,J237))+IF($H238="",0,$H238)-IF($I238="",0,$I238))</f>
        <v/>
      </c>
      <c r="K238" s="29">
        <f>IF($P238="","",IF(INDEX(EntryMan,$P238)=0,"",INDEX(EntryMan,$P238)))</f>
        <v/>
      </c>
      <c r="L238" s="28">
        <f>IF($B238="","",IF($K238="","—",IF(ROUND($K238-$J238,0)=0,"√","×")))</f>
        <v/>
      </c>
      <c r="M238" s="28">
        <f>IF($B238="","",IF(COUNTIFS(EntryDates,$B238,CalcTime,$C238,CalcBank,$C$5,EntryParty,$D238,EntryDep,$H238,EntryWit,$I238)&gt;1,"تکرار",""))</f>
        <v/>
      </c>
      <c r="N238" s="28">
        <f>IF($P238="","",IF(INDEX(EntryNotes,$P238)=0,"",INDEX(EntryNotes,$P238)))</f>
        <v/>
      </c>
      <c r="O238" s="28">
        <f>IF($P238="","",IF(INDEX(EntryTxnID,$P238)=0,"",INDEX(EntryTxnID,$P238)))</f>
        <v/>
      </c>
      <c r="P238" s="28">
        <f>IFERROR(MATCH($C$5&amp;"|"&amp;RIGHT("000000"&amp;222,6),CalcRankKey,0),"")</f>
        <v/>
      </c>
    </row>
    <row r="239">
      <c r="A239" s="26">
        <f>IF($B239="","",223)</f>
        <v/>
      </c>
      <c r="B239" s="26">
        <f>IF($P239="","",IF(INDEX(CalcNormDate,$P239)=0,"",INDEX(CalcNormDate,$P239)))</f>
        <v/>
      </c>
      <c r="C239" s="26">
        <f>IF($P239="","",IF(INDEX(CalcTime,$P239)=0,"",INDEX(CalcTime,$P239)))</f>
        <v/>
      </c>
      <c r="D239" s="26">
        <f>IF($P239="","",IF(INDEX(EntryParty,$P239)=0,"",INDEX(EntryParty,$P239)))</f>
        <v/>
      </c>
      <c r="E239" s="26">
        <f>IF($P239="","",IF(INDEX(EntryPartyName,$P239)=0,"",INDEX(EntryPartyName,$P239)))</f>
        <v/>
      </c>
      <c r="F239" s="26">
        <f>IF($P239="","",IF(INDEX(EntryPartyType,$P239)=0,"",INDEX(EntryPartyType,$P239)))</f>
        <v/>
      </c>
      <c r="G239" s="26">
        <f>IF($P239="","",IF(INDEX(EntryTxnType,$P239)=0,"",INDEX(EntryTxnType,$P239)))</f>
        <v/>
      </c>
      <c r="H239" s="27">
        <f>IF($P239="","",IF(INDEX(EntryDep,$P239)=0,"",INDEX(EntryDep,$P239)))</f>
        <v/>
      </c>
      <c r="I239" s="27">
        <f>IF($P239="","",IF(INDEX(EntryWit,$P239)=0,"",INDEX(EntryWit,$P239)))</f>
        <v/>
      </c>
      <c r="J239" s="27">
        <f>IF($B239="","",IF($A239=1,$C$7,IF(J238="",0,J238))+IF($H239="",0,$H239)-IF($I239="",0,$I239))</f>
        <v/>
      </c>
      <c r="K239" s="27">
        <f>IF($P239="","",IF(INDEX(EntryMan,$P239)=0,"",INDEX(EntryMan,$P239)))</f>
        <v/>
      </c>
      <c r="L239" s="26">
        <f>IF($B239="","",IF($K239="","—",IF(ROUND($K239-$J239,0)=0,"√","×")))</f>
        <v/>
      </c>
      <c r="M239" s="26">
        <f>IF($B239="","",IF(COUNTIFS(EntryDates,$B239,CalcTime,$C239,CalcBank,$C$5,EntryParty,$D239,EntryDep,$H239,EntryWit,$I239)&gt;1,"تکرار",""))</f>
        <v/>
      </c>
      <c r="N239" s="26">
        <f>IF($P239="","",IF(INDEX(EntryNotes,$P239)=0,"",INDEX(EntryNotes,$P239)))</f>
        <v/>
      </c>
      <c r="O239" s="26">
        <f>IF($P239="","",IF(INDEX(EntryTxnID,$P239)=0,"",INDEX(EntryTxnID,$P239)))</f>
        <v/>
      </c>
      <c r="P239" s="26">
        <f>IFERROR(MATCH($C$5&amp;"|"&amp;RIGHT("000000"&amp;223,6),CalcRankKey,0),"")</f>
        <v/>
      </c>
    </row>
    <row r="240">
      <c r="A240" s="28">
        <f>IF($B240="","",224)</f>
        <v/>
      </c>
      <c r="B240" s="28">
        <f>IF($P240="","",IF(INDEX(CalcNormDate,$P240)=0,"",INDEX(CalcNormDate,$P240)))</f>
        <v/>
      </c>
      <c r="C240" s="28">
        <f>IF($P240="","",IF(INDEX(CalcTime,$P240)=0,"",INDEX(CalcTime,$P240)))</f>
        <v/>
      </c>
      <c r="D240" s="28">
        <f>IF($P240="","",IF(INDEX(EntryParty,$P240)=0,"",INDEX(EntryParty,$P240)))</f>
        <v/>
      </c>
      <c r="E240" s="28">
        <f>IF($P240="","",IF(INDEX(EntryPartyName,$P240)=0,"",INDEX(EntryPartyName,$P240)))</f>
        <v/>
      </c>
      <c r="F240" s="28">
        <f>IF($P240="","",IF(INDEX(EntryPartyType,$P240)=0,"",INDEX(EntryPartyType,$P240)))</f>
        <v/>
      </c>
      <c r="G240" s="28">
        <f>IF($P240="","",IF(INDEX(EntryTxnType,$P240)=0,"",INDEX(EntryTxnType,$P240)))</f>
        <v/>
      </c>
      <c r="H240" s="29">
        <f>IF($P240="","",IF(INDEX(EntryDep,$P240)=0,"",INDEX(EntryDep,$P240)))</f>
        <v/>
      </c>
      <c r="I240" s="29">
        <f>IF($P240="","",IF(INDEX(EntryWit,$P240)=0,"",INDEX(EntryWit,$P240)))</f>
        <v/>
      </c>
      <c r="J240" s="29">
        <f>IF($B240="","",IF($A240=1,$C$7,IF(J239="",0,J239))+IF($H240="",0,$H240)-IF($I240="",0,$I240))</f>
        <v/>
      </c>
      <c r="K240" s="29">
        <f>IF($P240="","",IF(INDEX(EntryMan,$P240)=0,"",INDEX(EntryMan,$P240)))</f>
        <v/>
      </c>
      <c r="L240" s="28">
        <f>IF($B240="","",IF($K240="","—",IF(ROUND($K240-$J240,0)=0,"√","×")))</f>
        <v/>
      </c>
      <c r="M240" s="28">
        <f>IF($B240="","",IF(COUNTIFS(EntryDates,$B240,CalcTime,$C240,CalcBank,$C$5,EntryParty,$D240,EntryDep,$H240,EntryWit,$I240)&gt;1,"تکرار",""))</f>
        <v/>
      </c>
      <c r="N240" s="28">
        <f>IF($P240="","",IF(INDEX(EntryNotes,$P240)=0,"",INDEX(EntryNotes,$P240)))</f>
        <v/>
      </c>
      <c r="O240" s="28">
        <f>IF($P240="","",IF(INDEX(EntryTxnID,$P240)=0,"",INDEX(EntryTxnID,$P240)))</f>
        <v/>
      </c>
      <c r="P240" s="28">
        <f>IFERROR(MATCH($C$5&amp;"|"&amp;RIGHT("000000"&amp;224,6),CalcRankKey,0),"")</f>
        <v/>
      </c>
    </row>
    <row r="241">
      <c r="A241" s="26">
        <f>IF($B241="","",225)</f>
        <v/>
      </c>
      <c r="B241" s="26">
        <f>IF($P241="","",IF(INDEX(CalcNormDate,$P241)=0,"",INDEX(CalcNormDate,$P241)))</f>
        <v/>
      </c>
      <c r="C241" s="26">
        <f>IF($P241="","",IF(INDEX(CalcTime,$P241)=0,"",INDEX(CalcTime,$P241)))</f>
        <v/>
      </c>
      <c r="D241" s="26">
        <f>IF($P241="","",IF(INDEX(EntryParty,$P241)=0,"",INDEX(EntryParty,$P241)))</f>
        <v/>
      </c>
      <c r="E241" s="26">
        <f>IF($P241="","",IF(INDEX(EntryPartyName,$P241)=0,"",INDEX(EntryPartyName,$P241)))</f>
        <v/>
      </c>
      <c r="F241" s="26">
        <f>IF($P241="","",IF(INDEX(EntryPartyType,$P241)=0,"",INDEX(EntryPartyType,$P241)))</f>
        <v/>
      </c>
      <c r="G241" s="26">
        <f>IF($P241="","",IF(INDEX(EntryTxnType,$P241)=0,"",INDEX(EntryTxnType,$P241)))</f>
        <v/>
      </c>
      <c r="H241" s="27">
        <f>IF($P241="","",IF(INDEX(EntryDep,$P241)=0,"",INDEX(EntryDep,$P241)))</f>
        <v/>
      </c>
      <c r="I241" s="27">
        <f>IF($P241="","",IF(INDEX(EntryWit,$P241)=0,"",INDEX(EntryWit,$P241)))</f>
        <v/>
      </c>
      <c r="J241" s="27">
        <f>IF($B241="","",IF($A241=1,$C$7,IF(J240="",0,J240))+IF($H241="",0,$H241)-IF($I241="",0,$I241))</f>
        <v/>
      </c>
      <c r="K241" s="27">
        <f>IF($P241="","",IF(INDEX(EntryMan,$P241)=0,"",INDEX(EntryMan,$P241)))</f>
        <v/>
      </c>
      <c r="L241" s="26">
        <f>IF($B241="","",IF($K241="","—",IF(ROUND($K241-$J241,0)=0,"√","×")))</f>
        <v/>
      </c>
      <c r="M241" s="26">
        <f>IF($B241="","",IF(COUNTIFS(EntryDates,$B241,CalcTime,$C241,CalcBank,$C$5,EntryParty,$D241,EntryDep,$H241,EntryWit,$I241)&gt;1,"تکرار",""))</f>
        <v/>
      </c>
      <c r="N241" s="26">
        <f>IF($P241="","",IF(INDEX(EntryNotes,$P241)=0,"",INDEX(EntryNotes,$P241)))</f>
        <v/>
      </c>
      <c r="O241" s="26">
        <f>IF($P241="","",IF(INDEX(EntryTxnID,$P241)=0,"",INDEX(EntryTxnID,$P241)))</f>
        <v/>
      </c>
      <c r="P241" s="26">
        <f>IFERROR(MATCH($C$5&amp;"|"&amp;RIGHT("000000"&amp;225,6),CalcRankKey,0),"")</f>
        <v/>
      </c>
    </row>
    <row r="242">
      <c r="A242" s="28">
        <f>IF($B242="","",226)</f>
        <v/>
      </c>
      <c r="B242" s="28">
        <f>IF($P242="","",IF(INDEX(CalcNormDate,$P242)=0,"",INDEX(CalcNormDate,$P242)))</f>
        <v/>
      </c>
      <c r="C242" s="28">
        <f>IF($P242="","",IF(INDEX(CalcTime,$P242)=0,"",INDEX(CalcTime,$P242)))</f>
        <v/>
      </c>
      <c r="D242" s="28">
        <f>IF($P242="","",IF(INDEX(EntryParty,$P242)=0,"",INDEX(EntryParty,$P242)))</f>
        <v/>
      </c>
      <c r="E242" s="28">
        <f>IF($P242="","",IF(INDEX(EntryPartyName,$P242)=0,"",INDEX(EntryPartyName,$P242)))</f>
        <v/>
      </c>
      <c r="F242" s="28">
        <f>IF($P242="","",IF(INDEX(EntryPartyType,$P242)=0,"",INDEX(EntryPartyType,$P242)))</f>
        <v/>
      </c>
      <c r="G242" s="28">
        <f>IF($P242="","",IF(INDEX(EntryTxnType,$P242)=0,"",INDEX(EntryTxnType,$P242)))</f>
        <v/>
      </c>
      <c r="H242" s="29">
        <f>IF($P242="","",IF(INDEX(EntryDep,$P242)=0,"",INDEX(EntryDep,$P242)))</f>
        <v/>
      </c>
      <c r="I242" s="29">
        <f>IF($P242="","",IF(INDEX(EntryWit,$P242)=0,"",INDEX(EntryWit,$P242)))</f>
        <v/>
      </c>
      <c r="J242" s="29">
        <f>IF($B242="","",IF($A242=1,$C$7,IF(J241="",0,J241))+IF($H242="",0,$H242)-IF($I242="",0,$I242))</f>
        <v/>
      </c>
      <c r="K242" s="29">
        <f>IF($P242="","",IF(INDEX(EntryMan,$P242)=0,"",INDEX(EntryMan,$P242)))</f>
        <v/>
      </c>
      <c r="L242" s="28">
        <f>IF($B242="","",IF($K242="","—",IF(ROUND($K242-$J242,0)=0,"√","×")))</f>
        <v/>
      </c>
      <c r="M242" s="28">
        <f>IF($B242="","",IF(COUNTIFS(EntryDates,$B242,CalcTime,$C242,CalcBank,$C$5,EntryParty,$D242,EntryDep,$H242,EntryWit,$I242)&gt;1,"تکرار",""))</f>
        <v/>
      </c>
      <c r="N242" s="28">
        <f>IF($P242="","",IF(INDEX(EntryNotes,$P242)=0,"",INDEX(EntryNotes,$P242)))</f>
        <v/>
      </c>
      <c r="O242" s="28">
        <f>IF($P242="","",IF(INDEX(EntryTxnID,$P242)=0,"",INDEX(EntryTxnID,$P242)))</f>
        <v/>
      </c>
      <c r="P242" s="28">
        <f>IFERROR(MATCH($C$5&amp;"|"&amp;RIGHT("000000"&amp;226,6),CalcRankKey,0),"")</f>
        <v/>
      </c>
    </row>
    <row r="243">
      <c r="A243" s="26">
        <f>IF($B243="","",227)</f>
        <v/>
      </c>
      <c r="B243" s="26">
        <f>IF($P243="","",IF(INDEX(CalcNormDate,$P243)=0,"",INDEX(CalcNormDate,$P243)))</f>
        <v/>
      </c>
      <c r="C243" s="26">
        <f>IF($P243="","",IF(INDEX(CalcTime,$P243)=0,"",INDEX(CalcTime,$P243)))</f>
        <v/>
      </c>
      <c r="D243" s="26">
        <f>IF($P243="","",IF(INDEX(EntryParty,$P243)=0,"",INDEX(EntryParty,$P243)))</f>
        <v/>
      </c>
      <c r="E243" s="26">
        <f>IF($P243="","",IF(INDEX(EntryPartyName,$P243)=0,"",INDEX(EntryPartyName,$P243)))</f>
        <v/>
      </c>
      <c r="F243" s="26">
        <f>IF($P243="","",IF(INDEX(EntryPartyType,$P243)=0,"",INDEX(EntryPartyType,$P243)))</f>
        <v/>
      </c>
      <c r="G243" s="26">
        <f>IF($P243="","",IF(INDEX(EntryTxnType,$P243)=0,"",INDEX(EntryTxnType,$P243)))</f>
        <v/>
      </c>
      <c r="H243" s="27">
        <f>IF($P243="","",IF(INDEX(EntryDep,$P243)=0,"",INDEX(EntryDep,$P243)))</f>
        <v/>
      </c>
      <c r="I243" s="27">
        <f>IF($P243="","",IF(INDEX(EntryWit,$P243)=0,"",INDEX(EntryWit,$P243)))</f>
        <v/>
      </c>
      <c r="J243" s="27">
        <f>IF($B243="","",IF($A243=1,$C$7,IF(J242="",0,J242))+IF($H243="",0,$H243)-IF($I243="",0,$I243))</f>
        <v/>
      </c>
      <c r="K243" s="27">
        <f>IF($P243="","",IF(INDEX(EntryMan,$P243)=0,"",INDEX(EntryMan,$P243)))</f>
        <v/>
      </c>
      <c r="L243" s="26">
        <f>IF($B243="","",IF($K243="","—",IF(ROUND($K243-$J243,0)=0,"√","×")))</f>
        <v/>
      </c>
      <c r="M243" s="26">
        <f>IF($B243="","",IF(COUNTIFS(EntryDates,$B243,CalcTime,$C243,CalcBank,$C$5,EntryParty,$D243,EntryDep,$H243,EntryWit,$I243)&gt;1,"تکرار",""))</f>
        <v/>
      </c>
      <c r="N243" s="26">
        <f>IF($P243="","",IF(INDEX(EntryNotes,$P243)=0,"",INDEX(EntryNotes,$P243)))</f>
        <v/>
      </c>
      <c r="O243" s="26">
        <f>IF($P243="","",IF(INDEX(EntryTxnID,$P243)=0,"",INDEX(EntryTxnID,$P243)))</f>
        <v/>
      </c>
      <c r="P243" s="26">
        <f>IFERROR(MATCH($C$5&amp;"|"&amp;RIGHT("000000"&amp;227,6),CalcRankKey,0),"")</f>
        <v/>
      </c>
    </row>
    <row r="244">
      <c r="A244" s="28">
        <f>IF($B244="","",228)</f>
        <v/>
      </c>
      <c r="B244" s="28">
        <f>IF($P244="","",IF(INDEX(CalcNormDate,$P244)=0,"",INDEX(CalcNormDate,$P244)))</f>
        <v/>
      </c>
      <c r="C244" s="28">
        <f>IF($P244="","",IF(INDEX(CalcTime,$P244)=0,"",INDEX(CalcTime,$P244)))</f>
        <v/>
      </c>
      <c r="D244" s="28">
        <f>IF($P244="","",IF(INDEX(EntryParty,$P244)=0,"",INDEX(EntryParty,$P244)))</f>
        <v/>
      </c>
      <c r="E244" s="28">
        <f>IF($P244="","",IF(INDEX(EntryPartyName,$P244)=0,"",INDEX(EntryPartyName,$P244)))</f>
        <v/>
      </c>
      <c r="F244" s="28">
        <f>IF($P244="","",IF(INDEX(EntryPartyType,$P244)=0,"",INDEX(EntryPartyType,$P244)))</f>
        <v/>
      </c>
      <c r="G244" s="28">
        <f>IF($P244="","",IF(INDEX(EntryTxnType,$P244)=0,"",INDEX(EntryTxnType,$P244)))</f>
        <v/>
      </c>
      <c r="H244" s="29">
        <f>IF($P244="","",IF(INDEX(EntryDep,$P244)=0,"",INDEX(EntryDep,$P244)))</f>
        <v/>
      </c>
      <c r="I244" s="29">
        <f>IF($P244="","",IF(INDEX(EntryWit,$P244)=0,"",INDEX(EntryWit,$P244)))</f>
        <v/>
      </c>
      <c r="J244" s="29">
        <f>IF($B244="","",IF($A244=1,$C$7,IF(J243="",0,J243))+IF($H244="",0,$H244)-IF($I244="",0,$I244))</f>
        <v/>
      </c>
      <c r="K244" s="29">
        <f>IF($P244="","",IF(INDEX(EntryMan,$P244)=0,"",INDEX(EntryMan,$P244)))</f>
        <v/>
      </c>
      <c r="L244" s="28">
        <f>IF($B244="","",IF($K244="","—",IF(ROUND($K244-$J244,0)=0,"√","×")))</f>
        <v/>
      </c>
      <c r="M244" s="28">
        <f>IF($B244="","",IF(COUNTIFS(EntryDates,$B244,CalcTime,$C244,CalcBank,$C$5,EntryParty,$D244,EntryDep,$H244,EntryWit,$I244)&gt;1,"تکرار",""))</f>
        <v/>
      </c>
      <c r="N244" s="28">
        <f>IF($P244="","",IF(INDEX(EntryNotes,$P244)=0,"",INDEX(EntryNotes,$P244)))</f>
        <v/>
      </c>
      <c r="O244" s="28">
        <f>IF($P244="","",IF(INDEX(EntryTxnID,$P244)=0,"",INDEX(EntryTxnID,$P244)))</f>
        <v/>
      </c>
      <c r="P244" s="28">
        <f>IFERROR(MATCH($C$5&amp;"|"&amp;RIGHT("000000"&amp;228,6),CalcRankKey,0),"")</f>
        <v/>
      </c>
    </row>
    <row r="245">
      <c r="A245" s="26">
        <f>IF($B245="","",229)</f>
        <v/>
      </c>
      <c r="B245" s="26">
        <f>IF($P245="","",IF(INDEX(CalcNormDate,$P245)=0,"",INDEX(CalcNormDate,$P245)))</f>
        <v/>
      </c>
      <c r="C245" s="26">
        <f>IF($P245="","",IF(INDEX(CalcTime,$P245)=0,"",INDEX(CalcTime,$P245)))</f>
        <v/>
      </c>
      <c r="D245" s="26">
        <f>IF($P245="","",IF(INDEX(EntryParty,$P245)=0,"",INDEX(EntryParty,$P245)))</f>
        <v/>
      </c>
      <c r="E245" s="26">
        <f>IF($P245="","",IF(INDEX(EntryPartyName,$P245)=0,"",INDEX(EntryPartyName,$P245)))</f>
        <v/>
      </c>
      <c r="F245" s="26">
        <f>IF($P245="","",IF(INDEX(EntryPartyType,$P245)=0,"",INDEX(EntryPartyType,$P245)))</f>
        <v/>
      </c>
      <c r="G245" s="26">
        <f>IF($P245="","",IF(INDEX(EntryTxnType,$P245)=0,"",INDEX(EntryTxnType,$P245)))</f>
        <v/>
      </c>
      <c r="H245" s="27">
        <f>IF($P245="","",IF(INDEX(EntryDep,$P245)=0,"",INDEX(EntryDep,$P245)))</f>
        <v/>
      </c>
      <c r="I245" s="27">
        <f>IF($P245="","",IF(INDEX(EntryWit,$P245)=0,"",INDEX(EntryWit,$P245)))</f>
        <v/>
      </c>
      <c r="J245" s="27">
        <f>IF($B245="","",IF($A245=1,$C$7,IF(J244="",0,J244))+IF($H245="",0,$H245)-IF($I245="",0,$I245))</f>
        <v/>
      </c>
      <c r="K245" s="27">
        <f>IF($P245="","",IF(INDEX(EntryMan,$P245)=0,"",INDEX(EntryMan,$P245)))</f>
        <v/>
      </c>
      <c r="L245" s="26">
        <f>IF($B245="","",IF($K245="","—",IF(ROUND($K245-$J245,0)=0,"√","×")))</f>
        <v/>
      </c>
      <c r="M245" s="26">
        <f>IF($B245="","",IF(COUNTIFS(EntryDates,$B245,CalcTime,$C245,CalcBank,$C$5,EntryParty,$D245,EntryDep,$H245,EntryWit,$I245)&gt;1,"تکرار",""))</f>
        <v/>
      </c>
      <c r="N245" s="26">
        <f>IF($P245="","",IF(INDEX(EntryNotes,$P245)=0,"",INDEX(EntryNotes,$P245)))</f>
        <v/>
      </c>
      <c r="O245" s="26">
        <f>IF($P245="","",IF(INDEX(EntryTxnID,$P245)=0,"",INDEX(EntryTxnID,$P245)))</f>
        <v/>
      </c>
      <c r="P245" s="26">
        <f>IFERROR(MATCH($C$5&amp;"|"&amp;RIGHT("000000"&amp;229,6),CalcRankKey,0),"")</f>
        <v/>
      </c>
    </row>
    <row r="246">
      <c r="A246" s="28">
        <f>IF($B246="","",230)</f>
        <v/>
      </c>
      <c r="B246" s="28">
        <f>IF($P246="","",IF(INDEX(CalcNormDate,$P246)=0,"",INDEX(CalcNormDate,$P246)))</f>
        <v/>
      </c>
      <c r="C246" s="28">
        <f>IF($P246="","",IF(INDEX(CalcTime,$P246)=0,"",INDEX(CalcTime,$P246)))</f>
        <v/>
      </c>
      <c r="D246" s="28">
        <f>IF($P246="","",IF(INDEX(EntryParty,$P246)=0,"",INDEX(EntryParty,$P246)))</f>
        <v/>
      </c>
      <c r="E246" s="28">
        <f>IF($P246="","",IF(INDEX(EntryPartyName,$P246)=0,"",INDEX(EntryPartyName,$P246)))</f>
        <v/>
      </c>
      <c r="F246" s="28">
        <f>IF($P246="","",IF(INDEX(EntryPartyType,$P246)=0,"",INDEX(EntryPartyType,$P246)))</f>
        <v/>
      </c>
      <c r="G246" s="28">
        <f>IF($P246="","",IF(INDEX(EntryTxnType,$P246)=0,"",INDEX(EntryTxnType,$P246)))</f>
        <v/>
      </c>
      <c r="H246" s="29">
        <f>IF($P246="","",IF(INDEX(EntryDep,$P246)=0,"",INDEX(EntryDep,$P246)))</f>
        <v/>
      </c>
      <c r="I246" s="29">
        <f>IF($P246="","",IF(INDEX(EntryWit,$P246)=0,"",INDEX(EntryWit,$P246)))</f>
        <v/>
      </c>
      <c r="J246" s="29">
        <f>IF($B246="","",IF($A246=1,$C$7,IF(J245="",0,J245))+IF($H246="",0,$H246)-IF($I246="",0,$I246))</f>
        <v/>
      </c>
      <c r="K246" s="29">
        <f>IF($P246="","",IF(INDEX(EntryMan,$P246)=0,"",INDEX(EntryMan,$P246)))</f>
        <v/>
      </c>
      <c r="L246" s="28">
        <f>IF($B246="","",IF($K246="","—",IF(ROUND($K246-$J246,0)=0,"√","×")))</f>
        <v/>
      </c>
      <c r="M246" s="28">
        <f>IF($B246="","",IF(COUNTIFS(EntryDates,$B246,CalcTime,$C246,CalcBank,$C$5,EntryParty,$D246,EntryDep,$H246,EntryWit,$I246)&gt;1,"تکرار",""))</f>
        <v/>
      </c>
      <c r="N246" s="28">
        <f>IF($P246="","",IF(INDEX(EntryNotes,$P246)=0,"",INDEX(EntryNotes,$P246)))</f>
        <v/>
      </c>
      <c r="O246" s="28">
        <f>IF($P246="","",IF(INDEX(EntryTxnID,$P246)=0,"",INDEX(EntryTxnID,$P246)))</f>
        <v/>
      </c>
      <c r="P246" s="28">
        <f>IFERROR(MATCH($C$5&amp;"|"&amp;RIGHT("000000"&amp;230,6),CalcRankKey,0),"")</f>
        <v/>
      </c>
    </row>
    <row r="247">
      <c r="A247" s="26">
        <f>IF($B247="","",231)</f>
        <v/>
      </c>
      <c r="B247" s="26">
        <f>IF($P247="","",IF(INDEX(CalcNormDate,$P247)=0,"",INDEX(CalcNormDate,$P247)))</f>
        <v/>
      </c>
      <c r="C247" s="26">
        <f>IF($P247="","",IF(INDEX(CalcTime,$P247)=0,"",INDEX(CalcTime,$P247)))</f>
        <v/>
      </c>
      <c r="D247" s="26">
        <f>IF($P247="","",IF(INDEX(EntryParty,$P247)=0,"",INDEX(EntryParty,$P247)))</f>
        <v/>
      </c>
      <c r="E247" s="26">
        <f>IF($P247="","",IF(INDEX(EntryPartyName,$P247)=0,"",INDEX(EntryPartyName,$P247)))</f>
        <v/>
      </c>
      <c r="F247" s="26">
        <f>IF($P247="","",IF(INDEX(EntryPartyType,$P247)=0,"",INDEX(EntryPartyType,$P247)))</f>
        <v/>
      </c>
      <c r="G247" s="26">
        <f>IF($P247="","",IF(INDEX(EntryTxnType,$P247)=0,"",INDEX(EntryTxnType,$P247)))</f>
        <v/>
      </c>
      <c r="H247" s="27">
        <f>IF($P247="","",IF(INDEX(EntryDep,$P247)=0,"",INDEX(EntryDep,$P247)))</f>
        <v/>
      </c>
      <c r="I247" s="27">
        <f>IF($P247="","",IF(INDEX(EntryWit,$P247)=0,"",INDEX(EntryWit,$P247)))</f>
        <v/>
      </c>
      <c r="J247" s="27">
        <f>IF($B247="","",IF($A247=1,$C$7,IF(J246="",0,J246))+IF($H247="",0,$H247)-IF($I247="",0,$I247))</f>
        <v/>
      </c>
      <c r="K247" s="27">
        <f>IF($P247="","",IF(INDEX(EntryMan,$P247)=0,"",INDEX(EntryMan,$P247)))</f>
        <v/>
      </c>
      <c r="L247" s="26">
        <f>IF($B247="","",IF($K247="","—",IF(ROUND($K247-$J247,0)=0,"√","×")))</f>
        <v/>
      </c>
      <c r="M247" s="26">
        <f>IF($B247="","",IF(COUNTIFS(EntryDates,$B247,CalcTime,$C247,CalcBank,$C$5,EntryParty,$D247,EntryDep,$H247,EntryWit,$I247)&gt;1,"تکرار",""))</f>
        <v/>
      </c>
      <c r="N247" s="26">
        <f>IF($P247="","",IF(INDEX(EntryNotes,$P247)=0,"",INDEX(EntryNotes,$P247)))</f>
        <v/>
      </c>
      <c r="O247" s="26">
        <f>IF($P247="","",IF(INDEX(EntryTxnID,$P247)=0,"",INDEX(EntryTxnID,$P247)))</f>
        <v/>
      </c>
      <c r="P247" s="26">
        <f>IFERROR(MATCH($C$5&amp;"|"&amp;RIGHT("000000"&amp;231,6),CalcRankKey,0),"")</f>
        <v/>
      </c>
    </row>
    <row r="248">
      <c r="A248" s="28">
        <f>IF($B248="","",232)</f>
        <v/>
      </c>
      <c r="B248" s="28">
        <f>IF($P248="","",IF(INDEX(CalcNormDate,$P248)=0,"",INDEX(CalcNormDate,$P248)))</f>
        <v/>
      </c>
      <c r="C248" s="28">
        <f>IF($P248="","",IF(INDEX(CalcTime,$P248)=0,"",INDEX(CalcTime,$P248)))</f>
        <v/>
      </c>
      <c r="D248" s="28">
        <f>IF($P248="","",IF(INDEX(EntryParty,$P248)=0,"",INDEX(EntryParty,$P248)))</f>
        <v/>
      </c>
      <c r="E248" s="28">
        <f>IF($P248="","",IF(INDEX(EntryPartyName,$P248)=0,"",INDEX(EntryPartyName,$P248)))</f>
        <v/>
      </c>
      <c r="F248" s="28">
        <f>IF($P248="","",IF(INDEX(EntryPartyType,$P248)=0,"",INDEX(EntryPartyType,$P248)))</f>
        <v/>
      </c>
      <c r="G248" s="28">
        <f>IF($P248="","",IF(INDEX(EntryTxnType,$P248)=0,"",INDEX(EntryTxnType,$P248)))</f>
        <v/>
      </c>
      <c r="H248" s="29">
        <f>IF($P248="","",IF(INDEX(EntryDep,$P248)=0,"",INDEX(EntryDep,$P248)))</f>
        <v/>
      </c>
      <c r="I248" s="29">
        <f>IF($P248="","",IF(INDEX(EntryWit,$P248)=0,"",INDEX(EntryWit,$P248)))</f>
        <v/>
      </c>
      <c r="J248" s="29">
        <f>IF($B248="","",IF($A248=1,$C$7,IF(J247="",0,J247))+IF($H248="",0,$H248)-IF($I248="",0,$I248))</f>
        <v/>
      </c>
      <c r="K248" s="29">
        <f>IF($P248="","",IF(INDEX(EntryMan,$P248)=0,"",INDEX(EntryMan,$P248)))</f>
        <v/>
      </c>
      <c r="L248" s="28">
        <f>IF($B248="","",IF($K248="","—",IF(ROUND($K248-$J248,0)=0,"√","×")))</f>
        <v/>
      </c>
      <c r="M248" s="28">
        <f>IF($B248="","",IF(COUNTIFS(EntryDates,$B248,CalcTime,$C248,CalcBank,$C$5,EntryParty,$D248,EntryDep,$H248,EntryWit,$I248)&gt;1,"تکرار",""))</f>
        <v/>
      </c>
      <c r="N248" s="28">
        <f>IF($P248="","",IF(INDEX(EntryNotes,$P248)=0,"",INDEX(EntryNotes,$P248)))</f>
        <v/>
      </c>
      <c r="O248" s="28">
        <f>IF($P248="","",IF(INDEX(EntryTxnID,$P248)=0,"",INDEX(EntryTxnID,$P248)))</f>
        <v/>
      </c>
      <c r="P248" s="28">
        <f>IFERROR(MATCH($C$5&amp;"|"&amp;RIGHT("000000"&amp;232,6),CalcRankKey,0),"")</f>
        <v/>
      </c>
    </row>
    <row r="249">
      <c r="A249" s="26">
        <f>IF($B249="","",233)</f>
        <v/>
      </c>
      <c r="B249" s="26">
        <f>IF($P249="","",IF(INDEX(CalcNormDate,$P249)=0,"",INDEX(CalcNormDate,$P249)))</f>
        <v/>
      </c>
      <c r="C249" s="26">
        <f>IF($P249="","",IF(INDEX(CalcTime,$P249)=0,"",INDEX(CalcTime,$P249)))</f>
        <v/>
      </c>
      <c r="D249" s="26">
        <f>IF($P249="","",IF(INDEX(EntryParty,$P249)=0,"",INDEX(EntryParty,$P249)))</f>
        <v/>
      </c>
      <c r="E249" s="26">
        <f>IF($P249="","",IF(INDEX(EntryPartyName,$P249)=0,"",INDEX(EntryPartyName,$P249)))</f>
        <v/>
      </c>
      <c r="F249" s="26">
        <f>IF($P249="","",IF(INDEX(EntryPartyType,$P249)=0,"",INDEX(EntryPartyType,$P249)))</f>
        <v/>
      </c>
      <c r="G249" s="26">
        <f>IF($P249="","",IF(INDEX(EntryTxnType,$P249)=0,"",INDEX(EntryTxnType,$P249)))</f>
        <v/>
      </c>
      <c r="H249" s="27">
        <f>IF($P249="","",IF(INDEX(EntryDep,$P249)=0,"",INDEX(EntryDep,$P249)))</f>
        <v/>
      </c>
      <c r="I249" s="27">
        <f>IF($P249="","",IF(INDEX(EntryWit,$P249)=0,"",INDEX(EntryWit,$P249)))</f>
        <v/>
      </c>
      <c r="J249" s="27">
        <f>IF($B249="","",IF($A249=1,$C$7,IF(J248="",0,J248))+IF($H249="",0,$H249)-IF($I249="",0,$I249))</f>
        <v/>
      </c>
      <c r="K249" s="27">
        <f>IF($P249="","",IF(INDEX(EntryMan,$P249)=0,"",INDEX(EntryMan,$P249)))</f>
        <v/>
      </c>
      <c r="L249" s="26">
        <f>IF($B249="","",IF($K249="","—",IF(ROUND($K249-$J249,0)=0,"√","×")))</f>
        <v/>
      </c>
      <c r="M249" s="26">
        <f>IF($B249="","",IF(COUNTIFS(EntryDates,$B249,CalcTime,$C249,CalcBank,$C$5,EntryParty,$D249,EntryDep,$H249,EntryWit,$I249)&gt;1,"تکرار",""))</f>
        <v/>
      </c>
      <c r="N249" s="26">
        <f>IF($P249="","",IF(INDEX(EntryNotes,$P249)=0,"",INDEX(EntryNotes,$P249)))</f>
        <v/>
      </c>
      <c r="O249" s="26">
        <f>IF($P249="","",IF(INDEX(EntryTxnID,$P249)=0,"",INDEX(EntryTxnID,$P249)))</f>
        <v/>
      </c>
      <c r="P249" s="26">
        <f>IFERROR(MATCH($C$5&amp;"|"&amp;RIGHT("000000"&amp;233,6),CalcRankKey,0),"")</f>
        <v/>
      </c>
    </row>
    <row r="250">
      <c r="A250" s="28">
        <f>IF($B250="","",234)</f>
        <v/>
      </c>
      <c r="B250" s="28">
        <f>IF($P250="","",IF(INDEX(CalcNormDate,$P250)=0,"",INDEX(CalcNormDate,$P250)))</f>
        <v/>
      </c>
      <c r="C250" s="28">
        <f>IF($P250="","",IF(INDEX(CalcTime,$P250)=0,"",INDEX(CalcTime,$P250)))</f>
        <v/>
      </c>
      <c r="D250" s="28">
        <f>IF($P250="","",IF(INDEX(EntryParty,$P250)=0,"",INDEX(EntryParty,$P250)))</f>
        <v/>
      </c>
      <c r="E250" s="28">
        <f>IF($P250="","",IF(INDEX(EntryPartyName,$P250)=0,"",INDEX(EntryPartyName,$P250)))</f>
        <v/>
      </c>
      <c r="F250" s="28">
        <f>IF($P250="","",IF(INDEX(EntryPartyType,$P250)=0,"",INDEX(EntryPartyType,$P250)))</f>
        <v/>
      </c>
      <c r="G250" s="28">
        <f>IF($P250="","",IF(INDEX(EntryTxnType,$P250)=0,"",INDEX(EntryTxnType,$P250)))</f>
        <v/>
      </c>
      <c r="H250" s="29">
        <f>IF($P250="","",IF(INDEX(EntryDep,$P250)=0,"",INDEX(EntryDep,$P250)))</f>
        <v/>
      </c>
      <c r="I250" s="29">
        <f>IF($P250="","",IF(INDEX(EntryWit,$P250)=0,"",INDEX(EntryWit,$P250)))</f>
        <v/>
      </c>
      <c r="J250" s="29">
        <f>IF($B250="","",IF($A250=1,$C$7,IF(J249="",0,J249))+IF($H250="",0,$H250)-IF($I250="",0,$I250))</f>
        <v/>
      </c>
      <c r="K250" s="29">
        <f>IF($P250="","",IF(INDEX(EntryMan,$P250)=0,"",INDEX(EntryMan,$P250)))</f>
        <v/>
      </c>
      <c r="L250" s="28">
        <f>IF($B250="","",IF($K250="","—",IF(ROUND($K250-$J250,0)=0,"√","×")))</f>
        <v/>
      </c>
      <c r="M250" s="28">
        <f>IF($B250="","",IF(COUNTIFS(EntryDates,$B250,CalcTime,$C250,CalcBank,$C$5,EntryParty,$D250,EntryDep,$H250,EntryWit,$I250)&gt;1,"تکرار",""))</f>
        <v/>
      </c>
      <c r="N250" s="28">
        <f>IF($P250="","",IF(INDEX(EntryNotes,$P250)=0,"",INDEX(EntryNotes,$P250)))</f>
        <v/>
      </c>
      <c r="O250" s="28">
        <f>IF($P250="","",IF(INDEX(EntryTxnID,$P250)=0,"",INDEX(EntryTxnID,$P250)))</f>
        <v/>
      </c>
      <c r="P250" s="28">
        <f>IFERROR(MATCH($C$5&amp;"|"&amp;RIGHT("000000"&amp;234,6),CalcRankKey,0),"")</f>
        <v/>
      </c>
    </row>
    <row r="251">
      <c r="A251" s="26">
        <f>IF($B251="","",235)</f>
        <v/>
      </c>
      <c r="B251" s="26">
        <f>IF($P251="","",IF(INDEX(CalcNormDate,$P251)=0,"",INDEX(CalcNormDate,$P251)))</f>
        <v/>
      </c>
      <c r="C251" s="26">
        <f>IF($P251="","",IF(INDEX(CalcTime,$P251)=0,"",INDEX(CalcTime,$P251)))</f>
        <v/>
      </c>
      <c r="D251" s="26">
        <f>IF($P251="","",IF(INDEX(EntryParty,$P251)=0,"",INDEX(EntryParty,$P251)))</f>
        <v/>
      </c>
      <c r="E251" s="26">
        <f>IF($P251="","",IF(INDEX(EntryPartyName,$P251)=0,"",INDEX(EntryPartyName,$P251)))</f>
        <v/>
      </c>
      <c r="F251" s="26">
        <f>IF($P251="","",IF(INDEX(EntryPartyType,$P251)=0,"",INDEX(EntryPartyType,$P251)))</f>
        <v/>
      </c>
      <c r="G251" s="26">
        <f>IF($P251="","",IF(INDEX(EntryTxnType,$P251)=0,"",INDEX(EntryTxnType,$P251)))</f>
        <v/>
      </c>
      <c r="H251" s="27">
        <f>IF($P251="","",IF(INDEX(EntryDep,$P251)=0,"",INDEX(EntryDep,$P251)))</f>
        <v/>
      </c>
      <c r="I251" s="27">
        <f>IF($P251="","",IF(INDEX(EntryWit,$P251)=0,"",INDEX(EntryWit,$P251)))</f>
        <v/>
      </c>
      <c r="J251" s="27">
        <f>IF($B251="","",IF($A251=1,$C$7,IF(J250="",0,J250))+IF($H251="",0,$H251)-IF($I251="",0,$I251))</f>
        <v/>
      </c>
      <c r="K251" s="27">
        <f>IF($P251="","",IF(INDEX(EntryMan,$P251)=0,"",INDEX(EntryMan,$P251)))</f>
        <v/>
      </c>
      <c r="L251" s="26">
        <f>IF($B251="","",IF($K251="","—",IF(ROUND($K251-$J251,0)=0,"√","×")))</f>
        <v/>
      </c>
      <c r="M251" s="26">
        <f>IF($B251="","",IF(COUNTIFS(EntryDates,$B251,CalcTime,$C251,CalcBank,$C$5,EntryParty,$D251,EntryDep,$H251,EntryWit,$I251)&gt;1,"تکرار",""))</f>
        <v/>
      </c>
      <c r="N251" s="26">
        <f>IF($P251="","",IF(INDEX(EntryNotes,$P251)=0,"",INDEX(EntryNotes,$P251)))</f>
        <v/>
      </c>
      <c r="O251" s="26">
        <f>IF($P251="","",IF(INDEX(EntryTxnID,$P251)=0,"",INDEX(EntryTxnID,$P251)))</f>
        <v/>
      </c>
      <c r="P251" s="26">
        <f>IFERROR(MATCH($C$5&amp;"|"&amp;RIGHT("000000"&amp;235,6),CalcRankKey,0),"")</f>
        <v/>
      </c>
    </row>
    <row r="252">
      <c r="A252" s="28">
        <f>IF($B252="","",236)</f>
        <v/>
      </c>
      <c r="B252" s="28">
        <f>IF($P252="","",IF(INDEX(CalcNormDate,$P252)=0,"",INDEX(CalcNormDate,$P252)))</f>
        <v/>
      </c>
      <c r="C252" s="28">
        <f>IF($P252="","",IF(INDEX(CalcTime,$P252)=0,"",INDEX(CalcTime,$P252)))</f>
        <v/>
      </c>
      <c r="D252" s="28">
        <f>IF($P252="","",IF(INDEX(EntryParty,$P252)=0,"",INDEX(EntryParty,$P252)))</f>
        <v/>
      </c>
      <c r="E252" s="28">
        <f>IF($P252="","",IF(INDEX(EntryPartyName,$P252)=0,"",INDEX(EntryPartyName,$P252)))</f>
        <v/>
      </c>
      <c r="F252" s="28">
        <f>IF($P252="","",IF(INDEX(EntryPartyType,$P252)=0,"",INDEX(EntryPartyType,$P252)))</f>
        <v/>
      </c>
      <c r="G252" s="28">
        <f>IF($P252="","",IF(INDEX(EntryTxnType,$P252)=0,"",INDEX(EntryTxnType,$P252)))</f>
        <v/>
      </c>
      <c r="H252" s="29">
        <f>IF($P252="","",IF(INDEX(EntryDep,$P252)=0,"",INDEX(EntryDep,$P252)))</f>
        <v/>
      </c>
      <c r="I252" s="29">
        <f>IF($P252="","",IF(INDEX(EntryWit,$P252)=0,"",INDEX(EntryWit,$P252)))</f>
        <v/>
      </c>
      <c r="J252" s="29">
        <f>IF($B252="","",IF($A252=1,$C$7,IF(J251="",0,J251))+IF($H252="",0,$H252)-IF($I252="",0,$I252))</f>
        <v/>
      </c>
      <c r="K252" s="29">
        <f>IF($P252="","",IF(INDEX(EntryMan,$P252)=0,"",INDEX(EntryMan,$P252)))</f>
        <v/>
      </c>
      <c r="L252" s="28">
        <f>IF($B252="","",IF($K252="","—",IF(ROUND($K252-$J252,0)=0,"√","×")))</f>
        <v/>
      </c>
      <c r="M252" s="28">
        <f>IF($B252="","",IF(COUNTIFS(EntryDates,$B252,CalcTime,$C252,CalcBank,$C$5,EntryParty,$D252,EntryDep,$H252,EntryWit,$I252)&gt;1,"تکرار",""))</f>
        <v/>
      </c>
      <c r="N252" s="28">
        <f>IF($P252="","",IF(INDEX(EntryNotes,$P252)=0,"",INDEX(EntryNotes,$P252)))</f>
        <v/>
      </c>
      <c r="O252" s="28">
        <f>IF($P252="","",IF(INDEX(EntryTxnID,$P252)=0,"",INDEX(EntryTxnID,$P252)))</f>
        <v/>
      </c>
      <c r="P252" s="28">
        <f>IFERROR(MATCH($C$5&amp;"|"&amp;RIGHT("000000"&amp;236,6),CalcRankKey,0),"")</f>
        <v/>
      </c>
    </row>
    <row r="253">
      <c r="A253" s="26">
        <f>IF($B253="","",237)</f>
        <v/>
      </c>
      <c r="B253" s="26">
        <f>IF($P253="","",IF(INDEX(CalcNormDate,$P253)=0,"",INDEX(CalcNormDate,$P253)))</f>
        <v/>
      </c>
      <c r="C253" s="26">
        <f>IF($P253="","",IF(INDEX(CalcTime,$P253)=0,"",INDEX(CalcTime,$P253)))</f>
        <v/>
      </c>
      <c r="D253" s="26">
        <f>IF($P253="","",IF(INDEX(EntryParty,$P253)=0,"",INDEX(EntryParty,$P253)))</f>
        <v/>
      </c>
      <c r="E253" s="26">
        <f>IF($P253="","",IF(INDEX(EntryPartyName,$P253)=0,"",INDEX(EntryPartyName,$P253)))</f>
        <v/>
      </c>
      <c r="F253" s="26">
        <f>IF($P253="","",IF(INDEX(EntryPartyType,$P253)=0,"",INDEX(EntryPartyType,$P253)))</f>
        <v/>
      </c>
      <c r="G253" s="26">
        <f>IF($P253="","",IF(INDEX(EntryTxnType,$P253)=0,"",INDEX(EntryTxnType,$P253)))</f>
        <v/>
      </c>
      <c r="H253" s="27">
        <f>IF($P253="","",IF(INDEX(EntryDep,$P253)=0,"",INDEX(EntryDep,$P253)))</f>
        <v/>
      </c>
      <c r="I253" s="27">
        <f>IF($P253="","",IF(INDEX(EntryWit,$P253)=0,"",INDEX(EntryWit,$P253)))</f>
        <v/>
      </c>
      <c r="J253" s="27">
        <f>IF($B253="","",IF($A253=1,$C$7,IF(J252="",0,J252))+IF($H253="",0,$H253)-IF($I253="",0,$I253))</f>
        <v/>
      </c>
      <c r="K253" s="27">
        <f>IF($P253="","",IF(INDEX(EntryMan,$P253)=0,"",INDEX(EntryMan,$P253)))</f>
        <v/>
      </c>
      <c r="L253" s="26">
        <f>IF($B253="","",IF($K253="","—",IF(ROUND($K253-$J253,0)=0,"√","×")))</f>
        <v/>
      </c>
      <c r="M253" s="26">
        <f>IF($B253="","",IF(COUNTIFS(EntryDates,$B253,CalcTime,$C253,CalcBank,$C$5,EntryParty,$D253,EntryDep,$H253,EntryWit,$I253)&gt;1,"تکرار",""))</f>
        <v/>
      </c>
      <c r="N253" s="26">
        <f>IF($P253="","",IF(INDEX(EntryNotes,$P253)=0,"",INDEX(EntryNotes,$P253)))</f>
        <v/>
      </c>
      <c r="O253" s="26">
        <f>IF($P253="","",IF(INDEX(EntryTxnID,$P253)=0,"",INDEX(EntryTxnID,$P253)))</f>
        <v/>
      </c>
      <c r="P253" s="26">
        <f>IFERROR(MATCH($C$5&amp;"|"&amp;RIGHT("000000"&amp;237,6),CalcRankKey,0),"")</f>
        <v/>
      </c>
    </row>
    <row r="254">
      <c r="A254" s="28">
        <f>IF($B254="","",238)</f>
        <v/>
      </c>
      <c r="B254" s="28">
        <f>IF($P254="","",IF(INDEX(CalcNormDate,$P254)=0,"",INDEX(CalcNormDate,$P254)))</f>
        <v/>
      </c>
      <c r="C254" s="28">
        <f>IF($P254="","",IF(INDEX(CalcTime,$P254)=0,"",INDEX(CalcTime,$P254)))</f>
        <v/>
      </c>
      <c r="D254" s="28">
        <f>IF($P254="","",IF(INDEX(EntryParty,$P254)=0,"",INDEX(EntryParty,$P254)))</f>
        <v/>
      </c>
      <c r="E254" s="28">
        <f>IF($P254="","",IF(INDEX(EntryPartyName,$P254)=0,"",INDEX(EntryPartyName,$P254)))</f>
        <v/>
      </c>
      <c r="F254" s="28">
        <f>IF($P254="","",IF(INDEX(EntryPartyType,$P254)=0,"",INDEX(EntryPartyType,$P254)))</f>
        <v/>
      </c>
      <c r="G254" s="28">
        <f>IF($P254="","",IF(INDEX(EntryTxnType,$P254)=0,"",INDEX(EntryTxnType,$P254)))</f>
        <v/>
      </c>
      <c r="H254" s="29">
        <f>IF($P254="","",IF(INDEX(EntryDep,$P254)=0,"",INDEX(EntryDep,$P254)))</f>
        <v/>
      </c>
      <c r="I254" s="29">
        <f>IF($P254="","",IF(INDEX(EntryWit,$P254)=0,"",INDEX(EntryWit,$P254)))</f>
        <v/>
      </c>
      <c r="J254" s="29">
        <f>IF($B254="","",IF($A254=1,$C$7,IF(J253="",0,J253))+IF($H254="",0,$H254)-IF($I254="",0,$I254))</f>
        <v/>
      </c>
      <c r="K254" s="29">
        <f>IF($P254="","",IF(INDEX(EntryMan,$P254)=0,"",INDEX(EntryMan,$P254)))</f>
        <v/>
      </c>
      <c r="L254" s="28">
        <f>IF($B254="","",IF($K254="","—",IF(ROUND($K254-$J254,0)=0,"√","×")))</f>
        <v/>
      </c>
      <c r="M254" s="28">
        <f>IF($B254="","",IF(COUNTIFS(EntryDates,$B254,CalcTime,$C254,CalcBank,$C$5,EntryParty,$D254,EntryDep,$H254,EntryWit,$I254)&gt;1,"تکرار",""))</f>
        <v/>
      </c>
      <c r="N254" s="28">
        <f>IF($P254="","",IF(INDEX(EntryNotes,$P254)=0,"",INDEX(EntryNotes,$P254)))</f>
        <v/>
      </c>
      <c r="O254" s="28">
        <f>IF($P254="","",IF(INDEX(EntryTxnID,$P254)=0,"",INDEX(EntryTxnID,$P254)))</f>
        <v/>
      </c>
      <c r="P254" s="28">
        <f>IFERROR(MATCH($C$5&amp;"|"&amp;RIGHT("000000"&amp;238,6),CalcRankKey,0),"")</f>
        <v/>
      </c>
    </row>
    <row r="255">
      <c r="A255" s="26">
        <f>IF($B255="","",239)</f>
        <v/>
      </c>
      <c r="B255" s="26">
        <f>IF($P255="","",IF(INDEX(CalcNormDate,$P255)=0,"",INDEX(CalcNormDate,$P255)))</f>
        <v/>
      </c>
      <c r="C255" s="26">
        <f>IF($P255="","",IF(INDEX(CalcTime,$P255)=0,"",INDEX(CalcTime,$P255)))</f>
        <v/>
      </c>
      <c r="D255" s="26">
        <f>IF($P255="","",IF(INDEX(EntryParty,$P255)=0,"",INDEX(EntryParty,$P255)))</f>
        <v/>
      </c>
      <c r="E255" s="26">
        <f>IF($P255="","",IF(INDEX(EntryPartyName,$P255)=0,"",INDEX(EntryPartyName,$P255)))</f>
        <v/>
      </c>
      <c r="F255" s="26">
        <f>IF($P255="","",IF(INDEX(EntryPartyType,$P255)=0,"",INDEX(EntryPartyType,$P255)))</f>
        <v/>
      </c>
      <c r="G255" s="26">
        <f>IF($P255="","",IF(INDEX(EntryTxnType,$P255)=0,"",INDEX(EntryTxnType,$P255)))</f>
        <v/>
      </c>
      <c r="H255" s="27">
        <f>IF($P255="","",IF(INDEX(EntryDep,$P255)=0,"",INDEX(EntryDep,$P255)))</f>
        <v/>
      </c>
      <c r="I255" s="27">
        <f>IF($P255="","",IF(INDEX(EntryWit,$P255)=0,"",INDEX(EntryWit,$P255)))</f>
        <v/>
      </c>
      <c r="J255" s="27">
        <f>IF($B255="","",IF($A255=1,$C$7,IF(J254="",0,J254))+IF($H255="",0,$H255)-IF($I255="",0,$I255))</f>
        <v/>
      </c>
      <c r="K255" s="27">
        <f>IF($P255="","",IF(INDEX(EntryMan,$P255)=0,"",INDEX(EntryMan,$P255)))</f>
        <v/>
      </c>
      <c r="L255" s="26">
        <f>IF($B255="","",IF($K255="","—",IF(ROUND($K255-$J255,0)=0,"√","×")))</f>
        <v/>
      </c>
      <c r="M255" s="26">
        <f>IF($B255="","",IF(COUNTIFS(EntryDates,$B255,CalcTime,$C255,CalcBank,$C$5,EntryParty,$D255,EntryDep,$H255,EntryWit,$I255)&gt;1,"تکرار",""))</f>
        <v/>
      </c>
      <c r="N255" s="26">
        <f>IF($P255="","",IF(INDEX(EntryNotes,$P255)=0,"",INDEX(EntryNotes,$P255)))</f>
        <v/>
      </c>
      <c r="O255" s="26">
        <f>IF($P255="","",IF(INDEX(EntryTxnID,$P255)=0,"",INDEX(EntryTxnID,$P255)))</f>
        <v/>
      </c>
      <c r="P255" s="26">
        <f>IFERROR(MATCH($C$5&amp;"|"&amp;RIGHT("000000"&amp;239,6),CalcRankKey,0),"")</f>
        <v/>
      </c>
    </row>
    <row r="256">
      <c r="A256" s="28">
        <f>IF($B256="","",240)</f>
        <v/>
      </c>
      <c r="B256" s="28">
        <f>IF($P256="","",IF(INDEX(CalcNormDate,$P256)=0,"",INDEX(CalcNormDate,$P256)))</f>
        <v/>
      </c>
      <c r="C256" s="28">
        <f>IF($P256="","",IF(INDEX(CalcTime,$P256)=0,"",INDEX(CalcTime,$P256)))</f>
        <v/>
      </c>
      <c r="D256" s="28">
        <f>IF($P256="","",IF(INDEX(EntryParty,$P256)=0,"",INDEX(EntryParty,$P256)))</f>
        <v/>
      </c>
      <c r="E256" s="28">
        <f>IF($P256="","",IF(INDEX(EntryPartyName,$P256)=0,"",INDEX(EntryPartyName,$P256)))</f>
        <v/>
      </c>
      <c r="F256" s="28">
        <f>IF($P256="","",IF(INDEX(EntryPartyType,$P256)=0,"",INDEX(EntryPartyType,$P256)))</f>
        <v/>
      </c>
      <c r="G256" s="28">
        <f>IF($P256="","",IF(INDEX(EntryTxnType,$P256)=0,"",INDEX(EntryTxnType,$P256)))</f>
        <v/>
      </c>
      <c r="H256" s="29">
        <f>IF($P256="","",IF(INDEX(EntryDep,$P256)=0,"",INDEX(EntryDep,$P256)))</f>
        <v/>
      </c>
      <c r="I256" s="29">
        <f>IF($P256="","",IF(INDEX(EntryWit,$P256)=0,"",INDEX(EntryWit,$P256)))</f>
        <v/>
      </c>
      <c r="J256" s="29">
        <f>IF($B256="","",IF($A256=1,$C$7,IF(J255="",0,J255))+IF($H256="",0,$H256)-IF($I256="",0,$I256))</f>
        <v/>
      </c>
      <c r="K256" s="29">
        <f>IF($P256="","",IF(INDEX(EntryMan,$P256)=0,"",INDEX(EntryMan,$P256)))</f>
        <v/>
      </c>
      <c r="L256" s="28">
        <f>IF($B256="","",IF($K256="","—",IF(ROUND($K256-$J256,0)=0,"√","×")))</f>
        <v/>
      </c>
      <c r="M256" s="28">
        <f>IF($B256="","",IF(COUNTIFS(EntryDates,$B256,CalcTime,$C256,CalcBank,$C$5,EntryParty,$D256,EntryDep,$H256,EntryWit,$I256)&gt;1,"تکرار",""))</f>
        <v/>
      </c>
      <c r="N256" s="28">
        <f>IF($P256="","",IF(INDEX(EntryNotes,$P256)=0,"",INDEX(EntryNotes,$P256)))</f>
        <v/>
      </c>
      <c r="O256" s="28">
        <f>IF($P256="","",IF(INDEX(EntryTxnID,$P256)=0,"",INDEX(EntryTxnID,$P256)))</f>
        <v/>
      </c>
      <c r="P256" s="28">
        <f>IFERROR(MATCH($C$5&amp;"|"&amp;RIGHT("000000"&amp;240,6),CalcRankKey,0),"")</f>
        <v/>
      </c>
    </row>
    <row r="257">
      <c r="A257" s="26">
        <f>IF($B257="","",241)</f>
        <v/>
      </c>
      <c r="B257" s="26">
        <f>IF($P257="","",IF(INDEX(CalcNormDate,$P257)=0,"",INDEX(CalcNormDate,$P257)))</f>
        <v/>
      </c>
      <c r="C257" s="26">
        <f>IF($P257="","",IF(INDEX(CalcTime,$P257)=0,"",INDEX(CalcTime,$P257)))</f>
        <v/>
      </c>
      <c r="D257" s="26">
        <f>IF($P257="","",IF(INDEX(EntryParty,$P257)=0,"",INDEX(EntryParty,$P257)))</f>
        <v/>
      </c>
      <c r="E257" s="26">
        <f>IF($P257="","",IF(INDEX(EntryPartyName,$P257)=0,"",INDEX(EntryPartyName,$P257)))</f>
        <v/>
      </c>
      <c r="F257" s="26">
        <f>IF($P257="","",IF(INDEX(EntryPartyType,$P257)=0,"",INDEX(EntryPartyType,$P257)))</f>
        <v/>
      </c>
      <c r="G257" s="26">
        <f>IF($P257="","",IF(INDEX(EntryTxnType,$P257)=0,"",INDEX(EntryTxnType,$P257)))</f>
        <v/>
      </c>
      <c r="H257" s="27">
        <f>IF($P257="","",IF(INDEX(EntryDep,$P257)=0,"",INDEX(EntryDep,$P257)))</f>
        <v/>
      </c>
      <c r="I257" s="27">
        <f>IF($P257="","",IF(INDEX(EntryWit,$P257)=0,"",INDEX(EntryWit,$P257)))</f>
        <v/>
      </c>
      <c r="J257" s="27">
        <f>IF($B257="","",IF($A257=1,$C$7,IF(J256="",0,J256))+IF($H257="",0,$H257)-IF($I257="",0,$I257))</f>
        <v/>
      </c>
      <c r="K257" s="27">
        <f>IF($P257="","",IF(INDEX(EntryMan,$P257)=0,"",INDEX(EntryMan,$P257)))</f>
        <v/>
      </c>
      <c r="L257" s="26">
        <f>IF($B257="","",IF($K257="","—",IF(ROUND($K257-$J257,0)=0,"√","×")))</f>
        <v/>
      </c>
      <c r="M257" s="26">
        <f>IF($B257="","",IF(COUNTIFS(EntryDates,$B257,CalcTime,$C257,CalcBank,$C$5,EntryParty,$D257,EntryDep,$H257,EntryWit,$I257)&gt;1,"تکرار",""))</f>
        <v/>
      </c>
      <c r="N257" s="26">
        <f>IF($P257="","",IF(INDEX(EntryNotes,$P257)=0,"",INDEX(EntryNotes,$P257)))</f>
        <v/>
      </c>
      <c r="O257" s="26">
        <f>IF($P257="","",IF(INDEX(EntryTxnID,$P257)=0,"",INDEX(EntryTxnID,$P257)))</f>
        <v/>
      </c>
      <c r="P257" s="26">
        <f>IFERROR(MATCH($C$5&amp;"|"&amp;RIGHT("000000"&amp;241,6),CalcRankKey,0),"")</f>
        <v/>
      </c>
    </row>
    <row r="258">
      <c r="A258" s="28">
        <f>IF($B258="","",242)</f>
        <v/>
      </c>
      <c r="B258" s="28">
        <f>IF($P258="","",IF(INDEX(CalcNormDate,$P258)=0,"",INDEX(CalcNormDate,$P258)))</f>
        <v/>
      </c>
      <c r="C258" s="28">
        <f>IF($P258="","",IF(INDEX(CalcTime,$P258)=0,"",INDEX(CalcTime,$P258)))</f>
        <v/>
      </c>
      <c r="D258" s="28">
        <f>IF($P258="","",IF(INDEX(EntryParty,$P258)=0,"",INDEX(EntryParty,$P258)))</f>
        <v/>
      </c>
      <c r="E258" s="28">
        <f>IF($P258="","",IF(INDEX(EntryPartyName,$P258)=0,"",INDEX(EntryPartyName,$P258)))</f>
        <v/>
      </c>
      <c r="F258" s="28">
        <f>IF($P258="","",IF(INDEX(EntryPartyType,$P258)=0,"",INDEX(EntryPartyType,$P258)))</f>
        <v/>
      </c>
      <c r="G258" s="28">
        <f>IF($P258="","",IF(INDEX(EntryTxnType,$P258)=0,"",INDEX(EntryTxnType,$P258)))</f>
        <v/>
      </c>
      <c r="H258" s="29">
        <f>IF($P258="","",IF(INDEX(EntryDep,$P258)=0,"",INDEX(EntryDep,$P258)))</f>
        <v/>
      </c>
      <c r="I258" s="29">
        <f>IF($P258="","",IF(INDEX(EntryWit,$P258)=0,"",INDEX(EntryWit,$P258)))</f>
        <v/>
      </c>
      <c r="J258" s="29">
        <f>IF($B258="","",IF($A258=1,$C$7,IF(J257="",0,J257))+IF($H258="",0,$H258)-IF($I258="",0,$I258))</f>
        <v/>
      </c>
      <c r="K258" s="29">
        <f>IF($P258="","",IF(INDEX(EntryMan,$P258)=0,"",INDEX(EntryMan,$P258)))</f>
        <v/>
      </c>
      <c r="L258" s="28">
        <f>IF($B258="","",IF($K258="","—",IF(ROUND($K258-$J258,0)=0,"√","×")))</f>
        <v/>
      </c>
      <c r="M258" s="28">
        <f>IF($B258="","",IF(COUNTIFS(EntryDates,$B258,CalcTime,$C258,CalcBank,$C$5,EntryParty,$D258,EntryDep,$H258,EntryWit,$I258)&gt;1,"تکرار",""))</f>
        <v/>
      </c>
      <c r="N258" s="28">
        <f>IF($P258="","",IF(INDEX(EntryNotes,$P258)=0,"",INDEX(EntryNotes,$P258)))</f>
        <v/>
      </c>
      <c r="O258" s="28">
        <f>IF($P258="","",IF(INDEX(EntryTxnID,$P258)=0,"",INDEX(EntryTxnID,$P258)))</f>
        <v/>
      </c>
      <c r="P258" s="28">
        <f>IFERROR(MATCH($C$5&amp;"|"&amp;RIGHT("000000"&amp;242,6),CalcRankKey,0),"")</f>
        <v/>
      </c>
    </row>
    <row r="259">
      <c r="A259" s="26">
        <f>IF($B259="","",243)</f>
        <v/>
      </c>
      <c r="B259" s="26">
        <f>IF($P259="","",IF(INDEX(CalcNormDate,$P259)=0,"",INDEX(CalcNormDate,$P259)))</f>
        <v/>
      </c>
      <c r="C259" s="26">
        <f>IF($P259="","",IF(INDEX(CalcTime,$P259)=0,"",INDEX(CalcTime,$P259)))</f>
        <v/>
      </c>
      <c r="D259" s="26">
        <f>IF($P259="","",IF(INDEX(EntryParty,$P259)=0,"",INDEX(EntryParty,$P259)))</f>
        <v/>
      </c>
      <c r="E259" s="26">
        <f>IF($P259="","",IF(INDEX(EntryPartyName,$P259)=0,"",INDEX(EntryPartyName,$P259)))</f>
        <v/>
      </c>
      <c r="F259" s="26">
        <f>IF($P259="","",IF(INDEX(EntryPartyType,$P259)=0,"",INDEX(EntryPartyType,$P259)))</f>
        <v/>
      </c>
      <c r="G259" s="26">
        <f>IF($P259="","",IF(INDEX(EntryTxnType,$P259)=0,"",INDEX(EntryTxnType,$P259)))</f>
        <v/>
      </c>
      <c r="H259" s="27">
        <f>IF($P259="","",IF(INDEX(EntryDep,$P259)=0,"",INDEX(EntryDep,$P259)))</f>
        <v/>
      </c>
      <c r="I259" s="27">
        <f>IF($P259="","",IF(INDEX(EntryWit,$P259)=0,"",INDEX(EntryWit,$P259)))</f>
        <v/>
      </c>
      <c r="J259" s="27">
        <f>IF($B259="","",IF($A259=1,$C$7,IF(J258="",0,J258))+IF($H259="",0,$H259)-IF($I259="",0,$I259))</f>
        <v/>
      </c>
      <c r="K259" s="27">
        <f>IF($P259="","",IF(INDEX(EntryMan,$P259)=0,"",INDEX(EntryMan,$P259)))</f>
        <v/>
      </c>
      <c r="L259" s="26">
        <f>IF($B259="","",IF($K259="","—",IF(ROUND($K259-$J259,0)=0,"√","×")))</f>
        <v/>
      </c>
      <c r="M259" s="26">
        <f>IF($B259="","",IF(COUNTIFS(EntryDates,$B259,CalcTime,$C259,CalcBank,$C$5,EntryParty,$D259,EntryDep,$H259,EntryWit,$I259)&gt;1,"تکرار",""))</f>
        <v/>
      </c>
      <c r="N259" s="26">
        <f>IF($P259="","",IF(INDEX(EntryNotes,$P259)=0,"",INDEX(EntryNotes,$P259)))</f>
        <v/>
      </c>
      <c r="O259" s="26">
        <f>IF($P259="","",IF(INDEX(EntryTxnID,$P259)=0,"",INDEX(EntryTxnID,$P259)))</f>
        <v/>
      </c>
      <c r="P259" s="26">
        <f>IFERROR(MATCH($C$5&amp;"|"&amp;RIGHT("000000"&amp;243,6),CalcRankKey,0),"")</f>
        <v/>
      </c>
    </row>
    <row r="260">
      <c r="A260" s="28">
        <f>IF($B260="","",244)</f>
        <v/>
      </c>
      <c r="B260" s="28">
        <f>IF($P260="","",IF(INDEX(CalcNormDate,$P260)=0,"",INDEX(CalcNormDate,$P260)))</f>
        <v/>
      </c>
      <c r="C260" s="28">
        <f>IF($P260="","",IF(INDEX(CalcTime,$P260)=0,"",INDEX(CalcTime,$P260)))</f>
        <v/>
      </c>
      <c r="D260" s="28">
        <f>IF($P260="","",IF(INDEX(EntryParty,$P260)=0,"",INDEX(EntryParty,$P260)))</f>
        <v/>
      </c>
      <c r="E260" s="28">
        <f>IF($P260="","",IF(INDEX(EntryPartyName,$P260)=0,"",INDEX(EntryPartyName,$P260)))</f>
        <v/>
      </c>
      <c r="F260" s="28">
        <f>IF($P260="","",IF(INDEX(EntryPartyType,$P260)=0,"",INDEX(EntryPartyType,$P260)))</f>
        <v/>
      </c>
      <c r="G260" s="28">
        <f>IF($P260="","",IF(INDEX(EntryTxnType,$P260)=0,"",INDEX(EntryTxnType,$P260)))</f>
        <v/>
      </c>
      <c r="H260" s="29">
        <f>IF($P260="","",IF(INDEX(EntryDep,$P260)=0,"",INDEX(EntryDep,$P260)))</f>
        <v/>
      </c>
      <c r="I260" s="29">
        <f>IF($P260="","",IF(INDEX(EntryWit,$P260)=0,"",INDEX(EntryWit,$P260)))</f>
        <v/>
      </c>
      <c r="J260" s="29">
        <f>IF($B260="","",IF($A260=1,$C$7,IF(J259="",0,J259))+IF($H260="",0,$H260)-IF($I260="",0,$I260))</f>
        <v/>
      </c>
      <c r="K260" s="29">
        <f>IF($P260="","",IF(INDEX(EntryMan,$P260)=0,"",INDEX(EntryMan,$P260)))</f>
        <v/>
      </c>
      <c r="L260" s="28">
        <f>IF($B260="","",IF($K260="","—",IF(ROUND($K260-$J260,0)=0,"√","×")))</f>
        <v/>
      </c>
      <c r="M260" s="28">
        <f>IF($B260="","",IF(COUNTIFS(EntryDates,$B260,CalcTime,$C260,CalcBank,$C$5,EntryParty,$D260,EntryDep,$H260,EntryWit,$I260)&gt;1,"تکرار",""))</f>
        <v/>
      </c>
      <c r="N260" s="28">
        <f>IF($P260="","",IF(INDEX(EntryNotes,$P260)=0,"",INDEX(EntryNotes,$P260)))</f>
        <v/>
      </c>
      <c r="O260" s="28">
        <f>IF($P260="","",IF(INDEX(EntryTxnID,$P260)=0,"",INDEX(EntryTxnID,$P260)))</f>
        <v/>
      </c>
      <c r="P260" s="28">
        <f>IFERROR(MATCH($C$5&amp;"|"&amp;RIGHT("000000"&amp;244,6),CalcRankKey,0),"")</f>
        <v/>
      </c>
    </row>
    <row r="261">
      <c r="A261" s="26">
        <f>IF($B261="","",245)</f>
        <v/>
      </c>
      <c r="B261" s="26">
        <f>IF($P261="","",IF(INDEX(CalcNormDate,$P261)=0,"",INDEX(CalcNormDate,$P261)))</f>
        <v/>
      </c>
      <c r="C261" s="26">
        <f>IF($P261="","",IF(INDEX(CalcTime,$P261)=0,"",INDEX(CalcTime,$P261)))</f>
        <v/>
      </c>
      <c r="D261" s="26">
        <f>IF($P261="","",IF(INDEX(EntryParty,$P261)=0,"",INDEX(EntryParty,$P261)))</f>
        <v/>
      </c>
      <c r="E261" s="26">
        <f>IF($P261="","",IF(INDEX(EntryPartyName,$P261)=0,"",INDEX(EntryPartyName,$P261)))</f>
        <v/>
      </c>
      <c r="F261" s="26">
        <f>IF($P261="","",IF(INDEX(EntryPartyType,$P261)=0,"",INDEX(EntryPartyType,$P261)))</f>
        <v/>
      </c>
      <c r="G261" s="26">
        <f>IF($P261="","",IF(INDEX(EntryTxnType,$P261)=0,"",INDEX(EntryTxnType,$P261)))</f>
        <v/>
      </c>
      <c r="H261" s="27">
        <f>IF($P261="","",IF(INDEX(EntryDep,$P261)=0,"",INDEX(EntryDep,$P261)))</f>
        <v/>
      </c>
      <c r="I261" s="27">
        <f>IF($P261="","",IF(INDEX(EntryWit,$P261)=0,"",INDEX(EntryWit,$P261)))</f>
        <v/>
      </c>
      <c r="J261" s="27">
        <f>IF($B261="","",IF($A261=1,$C$7,IF(J260="",0,J260))+IF($H261="",0,$H261)-IF($I261="",0,$I261))</f>
        <v/>
      </c>
      <c r="K261" s="27">
        <f>IF($P261="","",IF(INDEX(EntryMan,$P261)=0,"",INDEX(EntryMan,$P261)))</f>
        <v/>
      </c>
      <c r="L261" s="26">
        <f>IF($B261="","",IF($K261="","—",IF(ROUND($K261-$J261,0)=0,"√","×")))</f>
        <v/>
      </c>
      <c r="M261" s="26">
        <f>IF($B261="","",IF(COUNTIFS(EntryDates,$B261,CalcTime,$C261,CalcBank,$C$5,EntryParty,$D261,EntryDep,$H261,EntryWit,$I261)&gt;1,"تکرار",""))</f>
        <v/>
      </c>
      <c r="N261" s="26">
        <f>IF($P261="","",IF(INDEX(EntryNotes,$P261)=0,"",INDEX(EntryNotes,$P261)))</f>
        <v/>
      </c>
      <c r="O261" s="26">
        <f>IF($P261="","",IF(INDEX(EntryTxnID,$P261)=0,"",INDEX(EntryTxnID,$P261)))</f>
        <v/>
      </c>
      <c r="P261" s="26">
        <f>IFERROR(MATCH($C$5&amp;"|"&amp;RIGHT("000000"&amp;245,6),CalcRankKey,0),"")</f>
        <v/>
      </c>
    </row>
    <row r="262">
      <c r="A262" s="28">
        <f>IF($B262="","",246)</f>
        <v/>
      </c>
      <c r="B262" s="28">
        <f>IF($P262="","",IF(INDEX(CalcNormDate,$P262)=0,"",INDEX(CalcNormDate,$P262)))</f>
        <v/>
      </c>
      <c r="C262" s="28">
        <f>IF($P262="","",IF(INDEX(CalcTime,$P262)=0,"",INDEX(CalcTime,$P262)))</f>
        <v/>
      </c>
      <c r="D262" s="28">
        <f>IF($P262="","",IF(INDEX(EntryParty,$P262)=0,"",INDEX(EntryParty,$P262)))</f>
        <v/>
      </c>
      <c r="E262" s="28">
        <f>IF($P262="","",IF(INDEX(EntryPartyName,$P262)=0,"",INDEX(EntryPartyName,$P262)))</f>
        <v/>
      </c>
      <c r="F262" s="28">
        <f>IF($P262="","",IF(INDEX(EntryPartyType,$P262)=0,"",INDEX(EntryPartyType,$P262)))</f>
        <v/>
      </c>
      <c r="G262" s="28">
        <f>IF($P262="","",IF(INDEX(EntryTxnType,$P262)=0,"",INDEX(EntryTxnType,$P262)))</f>
        <v/>
      </c>
      <c r="H262" s="29">
        <f>IF($P262="","",IF(INDEX(EntryDep,$P262)=0,"",INDEX(EntryDep,$P262)))</f>
        <v/>
      </c>
      <c r="I262" s="29">
        <f>IF($P262="","",IF(INDEX(EntryWit,$P262)=0,"",INDEX(EntryWit,$P262)))</f>
        <v/>
      </c>
      <c r="J262" s="29">
        <f>IF($B262="","",IF($A262=1,$C$7,IF(J261="",0,J261))+IF($H262="",0,$H262)-IF($I262="",0,$I262))</f>
        <v/>
      </c>
      <c r="K262" s="29">
        <f>IF($P262="","",IF(INDEX(EntryMan,$P262)=0,"",INDEX(EntryMan,$P262)))</f>
        <v/>
      </c>
      <c r="L262" s="28">
        <f>IF($B262="","",IF($K262="","—",IF(ROUND($K262-$J262,0)=0,"√","×")))</f>
        <v/>
      </c>
      <c r="M262" s="28">
        <f>IF($B262="","",IF(COUNTIFS(EntryDates,$B262,CalcTime,$C262,CalcBank,$C$5,EntryParty,$D262,EntryDep,$H262,EntryWit,$I262)&gt;1,"تکرار",""))</f>
        <v/>
      </c>
      <c r="N262" s="28">
        <f>IF($P262="","",IF(INDEX(EntryNotes,$P262)=0,"",INDEX(EntryNotes,$P262)))</f>
        <v/>
      </c>
      <c r="O262" s="28">
        <f>IF($P262="","",IF(INDEX(EntryTxnID,$P262)=0,"",INDEX(EntryTxnID,$P262)))</f>
        <v/>
      </c>
      <c r="P262" s="28">
        <f>IFERROR(MATCH($C$5&amp;"|"&amp;RIGHT("000000"&amp;246,6),CalcRankKey,0),"")</f>
        <v/>
      </c>
    </row>
    <row r="263">
      <c r="A263" s="26">
        <f>IF($B263="","",247)</f>
        <v/>
      </c>
      <c r="B263" s="26">
        <f>IF($P263="","",IF(INDEX(CalcNormDate,$P263)=0,"",INDEX(CalcNormDate,$P263)))</f>
        <v/>
      </c>
      <c r="C263" s="26">
        <f>IF($P263="","",IF(INDEX(CalcTime,$P263)=0,"",INDEX(CalcTime,$P263)))</f>
        <v/>
      </c>
      <c r="D263" s="26">
        <f>IF($P263="","",IF(INDEX(EntryParty,$P263)=0,"",INDEX(EntryParty,$P263)))</f>
        <v/>
      </c>
      <c r="E263" s="26">
        <f>IF($P263="","",IF(INDEX(EntryPartyName,$P263)=0,"",INDEX(EntryPartyName,$P263)))</f>
        <v/>
      </c>
      <c r="F263" s="26">
        <f>IF($P263="","",IF(INDEX(EntryPartyType,$P263)=0,"",INDEX(EntryPartyType,$P263)))</f>
        <v/>
      </c>
      <c r="G263" s="26">
        <f>IF($P263="","",IF(INDEX(EntryTxnType,$P263)=0,"",INDEX(EntryTxnType,$P263)))</f>
        <v/>
      </c>
      <c r="H263" s="27">
        <f>IF($P263="","",IF(INDEX(EntryDep,$P263)=0,"",INDEX(EntryDep,$P263)))</f>
        <v/>
      </c>
      <c r="I263" s="27">
        <f>IF($P263="","",IF(INDEX(EntryWit,$P263)=0,"",INDEX(EntryWit,$P263)))</f>
        <v/>
      </c>
      <c r="J263" s="27">
        <f>IF($B263="","",IF($A263=1,$C$7,IF(J262="",0,J262))+IF($H263="",0,$H263)-IF($I263="",0,$I263))</f>
        <v/>
      </c>
      <c r="K263" s="27">
        <f>IF($P263="","",IF(INDEX(EntryMan,$P263)=0,"",INDEX(EntryMan,$P263)))</f>
        <v/>
      </c>
      <c r="L263" s="26">
        <f>IF($B263="","",IF($K263="","—",IF(ROUND($K263-$J263,0)=0,"√","×")))</f>
        <v/>
      </c>
      <c r="M263" s="26">
        <f>IF($B263="","",IF(COUNTIFS(EntryDates,$B263,CalcTime,$C263,CalcBank,$C$5,EntryParty,$D263,EntryDep,$H263,EntryWit,$I263)&gt;1,"تکرار",""))</f>
        <v/>
      </c>
      <c r="N263" s="26">
        <f>IF($P263="","",IF(INDEX(EntryNotes,$P263)=0,"",INDEX(EntryNotes,$P263)))</f>
        <v/>
      </c>
      <c r="O263" s="26">
        <f>IF($P263="","",IF(INDEX(EntryTxnID,$P263)=0,"",INDEX(EntryTxnID,$P263)))</f>
        <v/>
      </c>
      <c r="P263" s="26">
        <f>IFERROR(MATCH($C$5&amp;"|"&amp;RIGHT("000000"&amp;247,6),CalcRankKey,0),"")</f>
        <v/>
      </c>
    </row>
    <row r="264">
      <c r="A264" s="28">
        <f>IF($B264="","",248)</f>
        <v/>
      </c>
      <c r="B264" s="28">
        <f>IF($P264="","",IF(INDEX(CalcNormDate,$P264)=0,"",INDEX(CalcNormDate,$P264)))</f>
        <v/>
      </c>
      <c r="C264" s="28">
        <f>IF($P264="","",IF(INDEX(CalcTime,$P264)=0,"",INDEX(CalcTime,$P264)))</f>
        <v/>
      </c>
      <c r="D264" s="28">
        <f>IF($P264="","",IF(INDEX(EntryParty,$P264)=0,"",INDEX(EntryParty,$P264)))</f>
        <v/>
      </c>
      <c r="E264" s="28">
        <f>IF($P264="","",IF(INDEX(EntryPartyName,$P264)=0,"",INDEX(EntryPartyName,$P264)))</f>
        <v/>
      </c>
      <c r="F264" s="28">
        <f>IF($P264="","",IF(INDEX(EntryPartyType,$P264)=0,"",INDEX(EntryPartyType,$P264)))</f>
        <v/>
      </c>
      <c r="G264" s="28">
        <f>IF($P264="","",IF(INDEX(EntryTxnType,$P264)=0,"",INDEX(EntryTxnType,$P264)))</f>
        <v/>
      </c>
      <c r="H264" s="29">
        <f>IF($P264="","",IF(INDEX(EntryDep,$P264)=0,"",INDEX(EntryDep,$P264)))</f>
        <v/>
      </c>
      <c r="I264" s="29">
        <f>IF($P264="","",IF(INDEX(EntryWit,$P264)=0,"",INDEX(EntryWit,$P264)))</f>
        <v/>
      </c>
      <c r="J264" s="29">
        <f>IF($B264="","",IF($A264=1,$C$7,IF(J263="",0,J263))+IF($H264="",0,$H264)-IF($I264="",0,$I264))</f>
        <v/>
      </c>
      <c r="K264" s="29">
        <f>IF($P264="","",IF(INDEX(EntryMan,$P264)=0,"",INDEX(EntryMan,$P264)))</f>
        <v/>
      </c>
      <c r="L264" s="28">
        <f>IF($B264="","",IF($K264="","—",IF(ROUND($K264-$J264,0)=0,"√","×")))</f>
        <v/>
      </c>
      <c r="M264" s="28">
        <f>IF($B264="","",IF(COUNTIFS(EntryDates,$B264,CalcTime,$C264,CalcBank,$C$5,EntryParty,$D264,EntryDep,$H264,EntryWit,$I264)&gt;1,"تکرار",""))</f>
        <v/>
      </c>
      <c r="N264" s="28">
        <f>IF($P264="","",IF(INDEX(EntryNotes,$P264)=0,"",INDEX(EntryNotes,$P264)))</f>
        <v/>
      </c>
      <c r="O264" s="28">
        <f>IF($P264="","",IF(INDEX(EntryTxnID,$P264)=0,"",INDEX(EntryTxnID,$P264)))</f>
        <v/>
      </c>
      <c r="P264" s="28">
        <f>IFERROR(MATCH($C$5&amp;"|"&amp;RIGHT("000000"&amp;248,6),CalcRankKey,0),"")</f>
        <v/>
      </c>
    </row>
    <row r="265">
      <c r="A265" s="26">
        <f>IF($B265="","",249)</f>
        <v/>
      </c>
      <c r="B265" s="26">
        <f>IF($P265="","",IF(INDEX(CalcNormDate,$P265)=0,"",INDEX(CalcNormDate,$P265)))</f>
        <v/>
      </c>
      <c r="C265" s="26">
        <f>IF($P265="","",IF(INDEX(CalcTime,$P265)=0,"",INDEX(CalcTime,$P265)))</f>
        <v/>
      </c>
      <c r="D265" s="26">
        <f>IF($P265="","",IF(INDEX(EntryParty,$P265)=0,"",INDEX(EntryParty,$P265)))</f>
        <v/>
      </c>
      <c r="E265" s="26">
        <f>IF($P265="","",IF(INDEX(EntryPartyName,$P265)=0,"",INDEX(EntryPartyName,$P265)))</f>
        <v/>
      </c>
      <c r="F265" s="26">
        <f>IF($P265="","",IF(INDEX(EntryPartyType,$P265)=0,"",INDEX(EntryPartyType,$P265)))</f>
        <v/>
      </c>
      <c r="G265" s="26">
        <f>IF($P265="","",IF(INDEX(EntryTxnType,$P265)=0,"",INDEX(EntryTxnType,$P265)))</f>
        <v/>
      </c>
      <c r="H265" s="27">
        <f>IF($P265="","",IF(INDEX(EntryDep,$P265)=0,"",INDEX(EntryDep,$P265)))</f>
        <v/>
      </c>
      <c r="I265" s="27">
        <f>IF($P265="","",IF(INDEX(EntryWit,$P265)=0,"",INDEX(EntryWit,$P265)))</f>
        <v/>
      </c>
      <c r="J265" s="27">
        <f>IF($B265="","",IF($A265=1,$C$7,IF(J264="",0,J264))+IF($H265="",0,$H265)-IF($I265="",0,$I265))</f>
        <v/>
      </c>
      <c r="K265" s="27">
        <f>IF($P265="","",IF(INDEX(EntryMan,$P265)=0,"",INDEX(EntryMan,$P265)))</f>
        <v/>
      </c>
      <c r="L265" s="26">
        <f>IF($B265="","",IF($K265="","—",IF(ROUND($K265-$J265,0)=0,"√","×")))</f>
        <v/>
      </c>
      <c r="M265" s="26">
        <f>IF($B265="","",IF(COUNTIFS(EntryDates,$B265,CalcTime,$C265,CalcBank,$C$5,EntryParty,$D265,EntryDep,$H265,EntryWit,$I265)&gt;1,"تکرار",""))</f>
        <v/>
      </c>
      <c r="N265" s="26">
        <f>IF($P265="","",IF(INDEX(EntryNotes,$P265)=0,"",INDEX(EntryNotes,$P265)))</f>
        <v/>
      </c>
      <c r="O265" s="26">
        <f>IF($P265="","",IF(INDEX(EntryTxnID,$P265)=0,"",INDEX(EntryTxnID,$P265)))</f>
        <v/>
      </c>
      <c r="P265" s="26">
        <f>IFERROR(MATCH($C$5&amp;"|"&amp;RIGHT("000000"&amp;249,6),CalcRankKey,0),"")</f>
        <v/>
      </c>
    </row>
    <row r="266">
      <c r="A266" s="28">
        <f>IF($B266="","",250)</f>
        <v/>
      </c>
      <c r="B266" s="28">
        <f>IF($P266="","",IF(INDEX(CalcNormDate,$P266)=0,"",INDEX(CalcNormDate,$P266)))</f>
        <v/>
      </c>
      <c r="C266" s="28">
        <f>IF($P266="","",IF(INDEX(CalcTime,$P266)=0,"",INDEX(CalcTime,$P266)))</f>
        <v/>
      </c>
      <c r="D266" s="28">
        <f>IF($P266="","",IF(INDEX(EntryParty,$P266)=0,"",INDEX(EntryParty,$P266)))</f>
        <v/>
      </c>
      <c r="E266" s="28">
        <f>IF($P266="","",IF(INDEX(EntryPartyName,$P266)=0,"",INDEX(EntryPartyName,$P266)))</f>
        <v/>
      </c>
      <c r="F266" s="28">
        <f>IF($P266="","",IF(INDEX(EntryPartyType,$P266)=0,"",INDEX(EntryPartyType,$P266)))</f>
        <v/>
      </c>
      <c r="G266" s="28">
        <f>IF($P266="","",IF(INDEX(EntryTxnType,$P266)=0,"",INDEX(EntryTxnType,$P266)))</f>
        <v/>
      </c>
      <c r="H266" s="29">
        <f>IF($P266="","",IF(INDEX(EntryDep,$P266)=0,"",INDEX(EntryDep,$P266)))</f>
        <v/>
      </c>
      <c r="I266" s="29">
        <f>IF($P266="","",IF(INDEX(EntryWit,$P266)=0,"",INDEX(EntryWit,$P266)))</f>
        <v/>
      </c>
      <c r="J266" s="29">
        <f>IF($B266="","",IF($A266=1,$C$7,IF(J265="",0,J265))+IF($H266="",0,$H266)-IF($I266="",0,$I266))</f>
        <v/>
      </c>
      <c r="K266" s="29">
        <f>IF($P266="","",IF(INDEX(EntryMan,$P266)=0,"",INDEX(EntryMan,$P266)))</f>
        <v/>
      </c>
      <c r="L266" s="28">
        <f>IF($B266="","",IF($K266="","—",IF(ROUND($K266-$J266,0)=0,"√","×")))</f>
        <v/>
      </c>
      <c r="M266" s="28">
        <f>IF($B266="","",IF(COUNTIFS(EntryDates,$B266,CalcTime,$C266,CalcBank,$C$5,EntryParty,$D266,EntryDep,$H266,EntryWit,$I266)&gt;1,"تکرار",""))</f>
        <v/>
      </c>
      <c r="N266" s="28">
        <f>IF($P266="","",IF(INDEX(EntryNotes,$P266)=0,"",INDEX(EntryNotes,$P266)))</f>
        <v/>
      </c>
      <c r="O266" s="28">
        <f>IF($P266="","",IF(INDEX(EntryTxnID,$P266)=0,"",INDEX(EntryTxnID,$P266)))</f>
        <v/>
      </c>
      <c r="P266" s="28">
        <f>IFERROR(MATCH($C$5&amp;"|"&amp;RIGHT("000000"&amp;250,6),CalcRankKey,0),"")</f>
        <v/>
      </c>
    </row>
    <row r="267">
      <c r="A267" s="26">
        <f>IF($B267="","",251)</f>
        <v/>
      </c>
      <c r="B267" s="26">
        <f>IF($P267="","",IF(INDEX(CalcNormDate,$P267)=0,"",INDEX(CalcNormDate,$P267)))</f>
        <v/>
      </c>
      <c r="C267" s="26">
        <f>IF($P267="","",IF(INDEX(CalcTime,$P267)=0,"",INDEX(CalcTime,$P267)))</f>
        <v/>
      </c>
      <c r="D267" s="26">
        <f>IF($P267="","",IF(INDEX(EntryParty,$P267)=0,"",INDEX(EntryParty,$P267)))</f>
        <v/>
      </c>
      <c r="E267" s="26">
        <f>IF($P267="","",IF(INDEX(EntryPartyName,$P267)=0,"",INDEX(EntryPartyName,$P267)))</f>
        <v/>
      </c>
      <c r="F267" s="26">
        <f>IF($P267="","",IF(INDEX(EntryPartyType,$P267)=0,"",INDEX(EntryPartyType,$P267)))</f>
        <v/>
      </c>
      <c r="G267" s="26">
        <f>IF($P267="","",IF(INDEX(EntryTxnType,$P267)=0,"",INDEX(EntryTxnType,$P267)))</f>
        <v/>
      </c>
      <c r="H267" s="27">
        <f>IF($P267="","",IF(INDEX(EntryDep,$P267)=0,"",INDEX(EntryDep,$P267)))</f>
        <v/>
      </c>
      <c r="I267" s="27">
        <f>IF($P267="","",IF(INDEX(EntryWit,$P267)=0,"",INDEX(EntryWit,$P267)))</f>
        <v/>
      </c>
      <c r="J267" s="27">
        <f>IF($B267="","",IF($A267=1,$C$7,IF(J266="",0,J266))+IF($H267="",0,$H267)-IF($I267="",0,$I267))</f>
        <v/>
      </c>
      <c r="K267" s="27">
        <f>IF($P267="","",IF(INDEX(EntryMan,$P267)=0,"",INDEX(EntryMan,$P267)))</f>
        <v/>
      </c>
      <c r="L267" s="26">
        <f>IF($B267="","",IF($K267="","—",IF(ROUND($K267-$J267,0)=0,"√","×")))</f>
        <v/>
      </c>
      <c r="M267" s="26">
        <f>IF($B267="","",IF(COUNTIFS(EntryDates,$B267,CalcTime,$C267,CalcBank,$C$5,EntryParty,$D267,EntryDep,$H267,EntryWit,$I267)&gt;1,"تکرار",""))</f>
        <v/>
      </c>
      <c r="N267" s="26">
        <f>IF($P267="","",IF(INDEX(EntryNotes,$P267)=0,"",INDEX(EntryNotes,$P267)))</f>
        <v/>
      </c>
      <c r="O267" s="26">
        <f>IF($P267="","",IF(INDEX(EntryTxnID,$P267)=0,"",INDEX(EntryTxnID,$P267)))</f>
        <v/>
      </c>
      <c r="P267" s="26">
        <f>IFERROR(MATCH($C$5&amp;"|"&amp;RIGHT("000000"&amp;251,6),CalcRankKey,0),"")</f>
        <v/>
      </c>
    </row>
    <row r="268">
      <c r="A268" s="28">
        <f>IF($B268="","",252)</f>
        <v/>
      </c>
      <c r="B268" s="28">
        <f>IF($P268="","",IF(INDEX(CalcNormDate,$P268)=0,"",INDEX(CalcNormDate,$P268)))</f>
        <v/>
      </c>
      <c r="C268" s="28">
        <f>IF($P268="","",IF(INDEX(CalcTime,$P268)=0,"",INDEX(CalcTime,$P268)))</f>
        <v/>
      </c>
      <c r="D268" s="28">
        <f>IF($P268="","",IF(INDEX(EntryParty,$P268)=0,"",INDEX(EntryParty,$P268)))</f>
        <v/>
      </c>
      <c r="E268" s="28">
        <f>IF($P268="","",IF(INDEX(EntryPartyName,$P268)=0,"",INDEX(EntryPartyName,$P268)))</f>
        <v/>
      </c>
      <c r="F268" s="28">
        <f>IF($P268="","",IF(INDEX(EntryPartyType,$P268)=0,"",INDEX(EntryPartyType,$P268)))</f>
        <v/>
      </c>
      <c r="G268" s="28">
        <f>IF($P268="","",IF(INDEX(EntryTxnType,$P268)=0,"",INDEX(EntryTxnType,$P268)))</f>
        <v/>
      </c>
      <c r="H268" s="29">
        <f>IF($P268="","",IF(INDEX(EntryDep,$P268)=0,"",INDEX(EntryDep,$P268)))</f>
        <v/>
      </c>
      <c r="I268" s="29">
        <f>IF($P268="","",IF(INDEX(EntryWit,$P268)=0,"",INDEX(EntryWit,$P268)))</f>
        <v/>
      </c>
      <c r="J268" s="29">
        <f>IF($B268="","",IF($A268=1,$C$7,IF(J267="",0,J267))+IF($H268="",0,$H268)-IF($I268="",0,$I268))</f>
        <v/>
      </c>
      <c r="K268" s="29">
        <f>IF($P268="","",IF(INDEX(EntryMan,$P268)=0,"",INDEX(EntryMan,$P268)))</f>
        <v/>
      </c>
      <c r="L268" s="28">
        <f>IF($B268="","",IF($K268="","—",IF(ROUND($K268-$J268,0)=0,"√","×")))</f>
        <v/>
      </c>
      <c r="M268" s="28">
        <f>IF($B268="","",IF(COUNTIFS(EntryDates,$B268,CalcTime,$C268,CalcBank,$C$5,EntryParty,$D268,EntryDep,$H268,EntryWit,$I268)&gt;1,"تکرار",""))</f>
        <v/>
      </c>
      <c r="N268" s="28">
        <f>IF($P268="","",IF(INDEX(EntryNotes,$P268)=0,"",INDEX(EntryNotes,$P268)))</f>
        <v/>
      </c>
      <c r="O268" s="28">
        <f>IF($P268="","",IF(INDEX(EntryTxnID,$P268)=0,"",INDEX(EntryTxnID,$P268)))</f>
        <v/>
      </c>
      <c r="P268" s="28">
        <f>IFERROR(MATCH($C$5&amp;"|"&amp;RIGHT("000000"&amp;252,6),CalcRankKey,0),"")</f>
        <v/>
      </c>
    </row>
    <row r="269">
      <c r="A269" s="26">
        <f>IF($B269="","",253)</f>
        <v/>
      </c>
      <c r="B269" s="26">
        <f>IF($P269="","",IF(INDEX(CalcNormDate,$P269)=0,"",INDEX(CalcNormDate,$P269)))</f>
        <v/>
      </c>
      <c r="C269" s="26">
        <f>IF($P269="","",IF(INDEX(CalcTime,$P269)=0,"",INDEX(CalcTime,$P269)))</f>
        <v/>
      </c>
      <c r="D269" s="26">
        <f>IF($P269="","",IF(INDEX(EntryParty,$P269)=0,"",INDEX(EntryParty,$P269)))</f>
        <v/>
      </c>
      <c r="E269" s="26">
        <f>IF($P269="","",IF(INDEX(EntryPartyName,$P269)=0,"",INDEX(EntryPartyName,$P269)))</f>
        <v/>
      </c>
      <c r="F269" s="26">
        <f>IF($P269="","",IF(INDEX(EntryPartyType,$P269)=0,"",INDEX(EntryPartyType,$P269)))</f>
        <v/>
      </c>
      <c r="G269" s="26">
        <f>IF($P269="","",IF(INDEX(EntryTxnType,$P269)=0,"",INDEX(EntryTxnType,$P269)))</f>
        <v/>
      </c>
      <c r="H269" s="27">
        <f>IF($P269="","",IF(INDEX(EntryDep,$P269)=0,"",INDEX(EntryDep,$P269)))</f>
        <v/>
      </c>
      <c r="I269" s="27">
        <f>IF($P269="","",IF(INDEX(EntryWit,$P269)=0,"",INDEX(EntryWit,$P269)))</f>
        <v/>
      </c>
      <c r="J269" s="27">
        <f>IF($B269="","",IF($A269=1,$C$7,IF(J268="",0,J268))+IF($H269="",0,$H269)-IF($I269="",0,$I269))</f>
        <v/>
      </c>
      <c r="K269" s="27">
        <f>IF($P269="","",IF(INDEX(EntryMan,$P269)=0,"",INDEX(EntryMan,$P269)))</f>
        <v/>
      </c>
      <c r="L269" s="26">
        <f>IF($B269="","",IF($K269="","—",IF(ROUND($K269-$J269,0)=0,"√","×")))</f>
        <v/>
      </c>
      <c r="M269" s="26">
        <f>IF($B269="","",IF(COUNTIFS(EntryDates,$B269,CalcTime,$C269,CalcBank,$C$5,EntryParty,$D269,EntryDep,$H269,EntryWit,$I269)&gt;1,"تکرار",""))</f>
        <v/>
      </c>
      <c r="N269" s="26">
        <f>IF($P269="","",IF(INDEX(EntryNotes,$P269)=0,"",INDEX(EntryNotes,$P269)))</f>
        <v/>
      </c>
      <c r="O269" s="26">
        <f>IF($P269="","",IF(INDEX(EntryTxnID,$P269)=0,"",INDEX(EntryTxnID,$P269)))</f>
        <v/>
      </c>
      <c r="P269" s="26">
        <f>IFERROR(MATCH($C$5&amp;"|"&amp;RIGHT("000000"&amp;253,6),CalcRankKey,0),"")</f>
        <v/>
      </c>
    </row>
    <row r="270">
      <c r="A270" s="28">
        <f>IF($B270="","",254)</f>
        <v/>
      </c>
      <c r="B270" s="28">
        <f>IF($P270="","",IF(INDEX(CalcNormDate,$P270)=0,"",INDEX(CalcNormDate,$P270)))</f>
        <v/>
      </c>
      <c r="C270" s="28">
        <f>IF($P270="","",IF(INDEX(CalcTime,$P270)=0,"",INDEX(CalcTime,$P270)))</f>
        <v/>
      </c>
      <c r="D270" s="28">
        <f>IF($P270="","",IF(INDEX(EntryParty,$P270)=0,"",INDEX(EntryParty,$P270)))</f>
        <v/>
      </c>
      <c r="E270" s="28">
        <f>IF($P270="","",IF(INDEX(EntryPartyName,$P270)=0,"",INDEX(EntryPartyName,$P270)))</f>
        <v/>
      </c>
      <c r="F270" s="28">
        <f>IF($P270="","",IF(INDEX(EntryPartyType,$P270)=0,"",INDEX(EntryPartyType,$P270)))</f>
        <v/>
      </c>
      <c r="G270" s="28">
        <f>IF($P270="","",IF(INDEX(EntryTxnType,$P270)=0,"",INDEX(EntryTxnType,$P270)))</f>
        <v/>
      </c>
      <c r="H270" s="29">
        <f>IF($P270="","",IF(INDEX(EntryDep,$P270)=0,"",INDEX(EntryDep,$P270)))</f>
        <v/>
      </c>
      <c r="I270" s="29">
        <f>IF($P270="","",IF(INDEX(EntryWit,$P270)=0,"",INDEX(EntryWit,$P270)))</f>
        <v/>
      </c>
      <c r="J270" s="29">
        <f>IF($B270="","",IF($A270=1,$C$7,IF(J269="",0,J269))+IF($H270="",0,$H270)-IF($I270="",0,$I270))</f>
        <v/>
      </c>
      <c r="K270" s="29">
        <f>IF($P270="","",IF(INDEX(EntryMan,$P270)=0,"",INDEX(EntryMan,$P270)))</f>
        <v/>
      </c>
      <c r="L270" s="28">
        <f>IF($B270="","",IF($K270="","—",IF(ROUND($K270-$J270,0)=0,"√","×")))</f>
        <v/>
      </c>
      <c r="M270" s="28">
        <f>IF($B270="","",IF(COUNTIFS(EntryDates,$B270,CalcTime,$C270,CalcBank,$C$5,EntryParty,$D270,EntryDep,$H270,EntryWit,$I270)&gt;1,"تکرار",""))</f>
        <v/>
      </c>
      <c r="N270" s="28">
        <f>IF($P270="","",IF(INDEX(EntryNotes,$P270)=0,"",INDEX(EntryNotes,$P270)))</f>
        <v/>
      </c>
      <c r="O270" s="28">
        <f>IF($P270="","",IF(INDEX(EntryTxnID,$P270)=0,"",INDEX(EntryTxnID,$P270)))</f>
        <v/>
      </c>
      <c r="P270" s="28">
        <f>IFERROR(MATCH($C$5&amp;"|"&amp;RIGHT("000000"&amp;254,6),CalcRankKey,0),"")</f>
        <v/>
      </c>
    </row>
    <row r="271">
      <c r="A271" s="26">
        <f>IF($B271="","",255)</f>
        <v/>
      </c>
      <c r="B271" s="26">
        <f>IF($P271="","",IF(INDEX(CalcNormDate,$P271)=0,"",INDEX(CalcNormDate,$P271)))</f>
        <v/>
      </c>
      <c r="C271" s="26">
        <f>IF($P271="","",IF(INDEX(CalcTime,$P271)=0,"",INDEX(CalcTime,$P271)))</f>
        <v/>
      </c>
      <c r="D271" s="26">
        <f>IF($P271="","",IF(INDEX(EntryParty,$P271)=0,"",INDEX(EntryParty,$P271)))</f>
        <v/>
      </c>
      <c r="E271" s="26">
        <f>IF($P271="","",IF(INDEX(EntryPartyName,$P271)=0,"",INDEX(EntryPartyName,$P271)))</f>
        <v/>
      </c>
      <c r="F271" s="26">
        <f>IF($P271="","",IF(INDEX(EntryPartyType,$P271)=0,"",INDEX(EntryPartyType,$P271)))</f>
        <v/>
      </c>
      <c r="G271" s="26">
        <f>IF($P271="","",IF(INDEX(EntryTxnType,$P271)=0,"",INDEX(EntryTxnType,$P271)))</f>
        <v/>
      </c>
      <c r="H271" s="27">
        <f>IF($P271="","",IF(INDEX(EntryDep,$P271)=0,"",INDEX(EntryDep,$P271)))</f>
        <v/>
      </c>
      <c r="I271" s="27">
        <f>IF($P271="","",IF(INDEX(EntryWit,$P271)=0,"",INDEX(EntryWit,$P271)))</f>
        <v/>
      </c>
      <c r="J271" s="27">
        <f>IF($B271="","",IF($A271=1,$C$7,IF(J270="",0,J270))+IF($H271="",0,$H271)-IF($I271="",0,$I271))</f>
        <v/>
      </c>
      <c r="K271" s="27">
        <f>IF($P271="","",IF(INDEX(EntryMan,$P271)=0,"",INDEX(EntryMan,$P271)))</f>
        <v/>
      </c>
      <c r="L271" s="26">
        <f>IF($B271="","",IF($K271="","—",IF(ROUND($K271-$J271,0)=0,"√","×")))</f>
        <v/>
      </c>
      <c r="M271" s="26">
        <f>IF($B271="","",IF(COUNTIFS(EntryDates,$B271,CalcTime,$C271,CalcBank,$C$5,EntryParty,$D271,EntryDep,$H271,EntryWit,$I271)&gt;1,"تکرار",""))</f>
        <v/>
      </c>
      <c r="N271" s="26">
        <f>IF($P271="","",IF(INDEX(EntryNotes,$P271)=0,"",INDEX(EntryNotes,$P271)))</f>
        <v/>
      </c>
      <c r="O271" s="26">
        <f>IF($P271="","",IF(INDEX(EntryTxnID,$P271)=0,"",INDEX(EntryTxnID,$P271)))</f>
        <v/>
      </c>
      <c r="P271" s="26">
        <f>IFERROR(MATCH($C$5&amp;"|"&amp;RIGHT("000000"&amp;255,6),CalcRankKey,0),"")</f>
        <v/>
      </c>
    </row>
    <row r="272">
      <c r="A272" s="28">
        <f>IF($B272="","",256)</f>
        <v/>
      </c>
      <c r="B272" s="28">
        <f>IF($P272="","",IF(INDEX(CalcNormDate,$P272)=0,"",INDEX(CalcNormDate,$P272)))</f>
        <v/>
      </c>
      <c r="C272" s="28">
        <f>IF($P272="","",IF(INDEX(CalcTime,$P272)=0,"",INDEX(CalcTime,$P272)))</f>
        <v/>
      </c>
      <c r="D272" s="28">
        <f>IF($P272="","",IF(INDEX(EntryParty,$P272)=0,"",INDEX(EntryParty,$P272)))</f>
        <v/>
      </c>
      <c r="E272" s="28">
        <f>IF($P272="","",IF(INDEX(EntryPartyName,$P272)=0,"",INDEX(EntryPartyName,$P272)))</f>
        <v/>
      </c>
      <c r="F272" s="28">
        <f>IF($P272="","",IF(INDEX(EntryPartyType,$P272)=0,"",INDEX(EntryPartyType,$P272)))</f>
        <v/>
      </c>
      <c r="G272" s="28">
        <f>IF($P272="","",IF(INDEX(EntryTxnType,$P272)=0,"",INDEX(EntryTxnType,$P272)))</f>
        <v/>
      </c>
      <c r="H272" s="29">
        <f>IF($P272="","",IF(INDEX(EntryDep,$P272)=0,"",INDEX(EntryDep,$P272)))</f>
        <v/>
      </c>
      <c r="I272" s="29">
        <f>IF($P272="","",IF(INDEX(EntryWit,$P272)=0,"",INDEX(EntryWit,$P272)))</f>
        <v/>
      </c>
      <c r="J272" s="29">
        <f>IF($B272="","",IF($A272=1,$C$7,IF(J271="",0,J271))+IF($H272="",0,$H272)-IF($I272="",0,$I272))</f>
        <v/>
      </c>
      <c r="K272" s="29">
        <f>IF($P272="","",IF(INDEX(EntryMan,$P272)=0,"",INDEX(EntryMan,$P272)))</f>
        <v/>
      </c>
      <c r="L272" s="28">
        <f>IF($B272="","",IF($K272="","—",IF(ROUND($K272-$J272,0)=0,"√","×")))</f>
        <v/>
      </c>
      <c r="M272" s="28">
        <f>IF($B272="","",IF(COUNTIFS(EntryDates,$B272,CalcTime,$C272,CalcBank,$C$5,EntryParty,$D272,EntryDep,$H272,EntryWit,$I272)&gt;1,"تکرار",""))</f>
        <v/>
      </c>
      <c r="N272" s="28">
        <f>IF($P272="","",IF(INDEX(EntryNotes,$P272)=0,"",INDEX(EntryNotes,$P272)))</f>
        <v/>
      </c>
      <c r="O272" s="28">
        <f>IF($P272="","",IF(INDEX(EntryTxnID,$P272)=0,"",INDEX(EntryTxnID,$P272)))</f>
        <v/>
      </c>
      <c r="P272" s="28">
        <f>IFERROR(MATCH($C$5&amp;"|"&amp;RIGHT("000000"&amp;256,6),CalcRankKey,0),"")</f>
        <v/>
      </c>
    </row>
    <row r="273">
      <c r="A273" s="26">
        <f>IF($B273="","",257)</f>
        <v/>
      </c>
      <c r="B273" s="26">
        <f>IF($P273="","",IF(INDEX(CalcNormDate,$P273)=0,"",INDEX(CalcNormDate,$P273)))</f>
        <v/>
      </c>
      <c r="C273" s="26">
        <f>IF($P273="","",IF(INDEX(CalcTime,$P273)=0,"",INDEX(CalcTime,$P273)))</f>
        <v/>
      </c>
      <c r="D273" s="26">
        <f>IF($P273="","",IF(INDEX(EntryParty,$P273)=0,"",INDEX(EntryParty,$P273)))</f>
        <v/>
      </c>
      <c r="E273" s="26">
        <f>IF($P273="","",IF(INDEX(EntryPartyName,$P273)=0,"",INDEX(EntryPartyName,$P273)))</f>
        <v/>
      </c>
      <c r="F273" s="26">
        <f>IF($P273="","",IF(INDEX(EntryPartyType,$P273)=0,"",INDEX(EntryPartyType,$P273)))</f>
        <v/>
      </c>
      <c r="G273" s="26">
        <f>IF($P273="","",IF(INDEX(EntryTxnType,$P273)=0,"",INDEX(EntryTxnType,$P273)))</f>
        <v/>
      </c>
      <c r="H273" s="27">
        <f>IF($P273="","",IF(INDEX(EntryDep,$P273)=0,"",INDEX(EntryDep,$P273)))</f>
        <v/>
      </c>
      <c r="I273" s="27">
        <f>IF($P273="","",IF(INDEX(EntryWit,$P273)=0,"",INDEX(EntryWit,$P273)))</f>
        <v/>
      </c>
      <c r="J273" s="27">
        <f>IF($B273="","",IF($A273=1,$C$7,IF(J272="",0,J272))+IF($H273="",0,$H273)-IF($I273="",0,$I273))</f>
        <v/>
      </c>
      <c r="K273" s="27">
        <f>IF($P273="","",IF(INDEX(EntryMan,$P273)=0,"",INDEX(EntryMan,$P273)))</f>
        <v/>
      </c>
      <c r="L273" s="26">
        <f>IF($B273="","",IF($K273="","—",IF(ROUND($K273-$J273,0)=0,"√","×")))</f>
        <v/>
      </c>
      <c r="M273" s="26">
        <f>IF($B273="","",IF(COUNTIFS(EntryDates,$B273,CalcTime,$C273,CalcBank,$C$5,EntryParty,$D273,EntryDep,$H273,EntryWit,$I273)&gt;1,"تکرار",""))</f>
        <v/>
      </c>
      <c r="N273" s="26">
        <f>IF($P273="","",IF(INDEX(EntryNotes,$P273)=0,"",INDEX(EntryNotes,$P273)))</f>
        <v/>
      </c>
      <c r="O273" s="26">
        <f>IF($P273="","",IF(INDEX(EntryTxnID,$P273)=0,"",INDEX(EntryTxnID,$P273)))</f>
        <v/>
      </c>
      <c r="P273" s="26">
        <f>IFERROR(MATCH($C$5&amp;"|"&amp;RIGHT("000000"&amp;257,6),CalcRankKey,0),"")</f>
        <v/>
      </c>
    </row>
    <row r="274">
      <c r="A274" s="28">
        <f>IF($B274="","",258)</f>
        <v/>
      </c>
      <c r="B274" s="28">
        <f>IF($P274="","",IF(INDEX(CalcNormDate,$P274)=0,"",INDEX(CalcNormDate,$P274)))</f>
        <v/>
      </c>
      <c r="C274" s="28">
        <f>IF($P274="","",IF(INDEX(CalcTime,$P274)=0,"",INDEX(CalcTime,$P274)))</f>
        <v/>
      </c>
      <c r="D274" s="28">
        <f>IF($P274="","",IF(INDEX(EntryParty,$P274)=0,"",INDEX(EntryParty,$P274)))</f>
        <v/>
      </c>
      <c r="E274" s="28">
        <f>IF($P274="","",IF(INDEX(EntryPartyName,$P274)=0,"",INDEX(EntryPartyName,$P274)))</f>
        <v/>
      </c>
      <c r="F274" s="28">
        <f>IF($P274="","",IF(INDEX(EntryPartyType,$P274)=0,"",INDEX(EntryPartyType,$P274)))</f>
        <v/>
      </c>
      <c r="G274" s="28">
        <f>IF($P274="","",IF(INDEX(EntryTxnType,$P274)=0,"",INDEX(EntryTxnType,$P274)))</f>
        <v/>
      </c>
      <c r="H274" s="29">
        <f>IF($P274="","",IF(INDEX(EntryDep,$P274)=0,"",INDEX(EntryDep,$P274)))</f>
        <v/>
      </c>
      <c r="I274" s="29">
        <f>IF($P274="","",IF(INDEX(EntryWit,$P274)=0,"",INDEX(EntryWit,$P274)))</f>
        <v/>
      </c>
      <c r="J274" s="29">
        <f>IF($B274="","",IF($A274=1,$C$7,IF(J273="",0,J273))+IF($H274="",0,$H274)-IF($I274="",0,$I274))</f>
        <v/>
      </c>
      <c r="K274" s="29">
        <f>IF($P274="","",IF(INDEX(EntryMan,$P274)=0,"",INDEX(EntryMan,$P274)))</f>
        <v/>
      </c>
      <c r="L274" s="28">
        <f>IF($B274="","",IF($K274="","—",IF(ROUND($K274-$J274,0)=0,"√","×")))</f>
        <v/>
      </c>
      <c r="M274" s="28">
        <f>IF($B274="","",IF(COUNTIFS(EntryDates,$B274,CalcTime,$C274,CalcBank,$C$5,EntryParty,$D274,EntryDep,$H274,EntryWit,$I274)&gt;1,"تکرار",""))</f>
        <v/>
      </c>
      <c r="N274" s="28">
        <f>IF($P274="","",IF(INDEX(EntryNotes,$P274)=0,"",INDEX(EntryNotes,$P274)))</f>
        <v/>
      </c>
      <c r="O274" s="28">
        <f>IF($P274="","",IF(INDEX(EntryTxnID,$P274)=0,"",INDEX(EntryTxnID,$P274)))</f>
        <v/>
      </c>
      <c r="P274" s="28">
        <f>IFERROR(MATCH($C$5&amp;"|"&amp;RIGHT("000000"&amp;258,6),CalcRankKey,0),"")</f>
        <v/>
      </c>
    </row>
    <row r="275">
      <c r="A275" s="26">
        <f>IF($B275="","",259)</f>
        <v/>
      </c>
      <c r="B275" s="26">
        <f>IF($P275="","",IF(INDEX(CalcNormDate,$P275)=0,"",INDEX(CalcNormDate,$P275)))</f>
        <v/>
      </c>
      <c r="C275" s="26">
        <f>IF($P275="","",IF(INDEX(CalcTime,$P275)=0,"",INDEX(CalcTime,$P275)))</f>
        <v/>
      </c>
      <c r="D275" s="26">
        <f>IF($P275="","",IF(INDEX(EntryParty,$P275)=0,"",INDEX(EntryParty,$P275)))</f>
        <v/>
      </c>
      <c r="E275" s="26">
        <f>IF($P275="","",IF(INDEX(EntryPartyName,$P275)=0,"",INDEX(EntryPartyName,$P275)))</f>
        <v/>
      </c>
      <c r="F275" s="26">
        <f>IF($P275="","",IF(INDEX(EntryPartyType,$P275)=0,"",INDEX(EntryPartyType,$P275)))</f>
        <v/>
      </c>
      <c r="G275" s="26">
        <f>IF($P275="","",IF(INDEX(EntryTxnType,$P275)=0,"",INDEX(EntryTxnType,$P275)))</f>
        <v/>
      </c>
      <c r="H275" s="27">
        <f>IF($P275="","",IF(INDEX(EntryDep,$P275)=0,"",INDEX(EntryDep,$P275)))</f>
        <v/>
      </c>
      <c r="I275" s="27">
        <f>IF($P275="","",IF(INDEX(EntryWit,$P275)=0,"",INDEX(EntryWit,$P275)))</f>
        <v/>
      </c>
      <c r="J275" s="27">
        <f>IF($B275="","",IF($A275=1,$C$7,IF(J274="",0,J274))+IF($H275="",0,$H275)-IF($I275="",0,$I275))</f>
        <v/>
      </c>
      <c r="K275" s="27">
        <f>IF($P275="","",IF(INDEX(EntryMan,$P275)=0,"",INDEX(EntryMan,$P275)))</f>
        <v/>
      </c>
      <c r="L275" s="26">
        <f>IF($B275="","",IF($K275="","—",IF(ROUND($K275-$J275,0)=0,"√","×")))</f>
        <v/>
      </c>
      <c r="M275" s="26">
        <f>IF($B275="","",IF(COUNTIFS(EntryDates,$B275,CalcTime,$C275,CalcBank,$C$5,EntryParty,$D275,EntryDep,$H275,EntryWit,$I275)&gt;1,"تکرار",""))</f>
        <v/>
      </c>
      <c r="N275" s="26">
        <f>IF($P275="","",IF(INDEX(EntryNotes,$P275)=0,"",INDEX(EntryNotes,$P275)))</f>
        <v/>
      </c>
      <c r="O275" s="26">
        <f>IF($P275="","",IF(INDEX(EntryTxnID,$P275)=0,"",INDEX(EntryTxnID,$P275)))</f>
        <v/>
      </c>
      <c r="P275" s="26">
        <f>IFERROR(MATCH($C$5&amp;"|"&amp;RIGHT("000000"&amp;259,6),CalcRankKey,0),"")</f>
        <v/>
      </c>
    </row>
    <row r="276">
      <c r="A276" s="28">
        <f>IF($B276="","",260)</f>
        <v/>
      </c>
      <c r="B276" s="28">
        <f>IF($P276="","",IF(INDEX(CalcNormDate,$P276)=0,"",INDEX(CalcNormDate,$P276)))</f>
        <v/>
      </c>
      <c r="C276" s="28">
        <f>IF($P276="","",IF(INDEX(CalcTime,$P276)=0,"",INDEX(CalcTime,$P276)))</f>
        <v/>
      </c>
      <c r="D276" s="28">
        <f>IF($P276="","",IF(INDEX(EntryParty,$P276)=0,"",INDEX(EntryParty,$P276)))</f>
        <v/>
      </c>
      <c r="E276" s="28">
        <f>IF($P276="","",IF(INDEX(EntryPartyName,$P276)=0,"",INDEX(EntryPartyName,$P276)))</f>
        <v/>
      </c>
      <c r="F276" s="28">
        <f>IF($P276="","",IF(INDEX(EntryPartyType,$P276)=0,"",INDEX(EntryPartyType,$P276)))</f>
        <v/>
      </c>
      <c r="G276" s="28">
        <f>IF($P276="","",IF(INDEX(EntryTxnType,$P276)=0,"",INDEX(EntryTxnType,$P276)))</f>
        <v/>
      </c>
      <c r="H276" s="29">
        <f>IF($P276="","",IF(INDEX(EntryDep,$P276)=0,"",INDEX(EntryDep,$P276)))</f>
        <v/>
      </c>
      <c r="I276" s="29">
        <f>IF($P276="","",IF(INDEX(EntryWit,$P276)=0,"",INDEX(EntryWit,$P276)))</f>
        <v/>
      </c>
      <c r="J276" s="29">
        <f>IF($B276="","",IF($A276=1,$C$7,IF(J275="",0,J275))+IF($H276="",0,$H276)-IF($I276="",0,$I276))</f>
        <v/>
      </c>
      <c r="K276" s="29">
        <f>IF($P276="","",IF(INDEX(EntryMan,$P276)=0,"",INDEX(EntryMan,$P276)))</f>
        <v/>
      </c>
      <c r="L276" s="28">
        <f>IF($B276="","",IF($K276="","—",IF(ROUND($K276-$J276,0)=0,"√","×")))</f>
        <v/>
      </c>
      <c r="M276" s="28">
        <f>IF($B276="","",IF(COUNTIFS(EntryDates,$B276,CalcTime,$C276,CalcBank,$C$5,EntryParty,$D276,EntryDep,$H276,EntryWit,$I276)&gt;1,"تکرار",""))</f>
        <v/>
      </c>
      <c r="N276" s="28">
        <f>IF($P276="","",IF(INDEX(EntryNotes,$P276)=0,"",INDEX(EntryNotes,$P276)))</f>
        <v/>
      </c>
      <c r="O276" s="28">
        <f>IF($P276="","",IF(INDEX(EntryTxnID,$P276)=0,"",INDEX(EntryTxnID,$P276)))</f>
        <v/>
      </c>
      <c r="P276" s="28">
        <f>IFERROR(MATCH($C$5&amp;"|"&amp;RIGHT("000000"&amp;260,6),CalcRankKey,0),"")</f>
        <v/>
      </c>
    </row>
    <row r="277">
      <c r="A277" s="26">
        <f>IF($B277="","",261)</f>
        <v/>
      </c>
      <c r="B277" s="26">
        <f>IF($P277="","",IF(INDEX(CalcNormDate,$P277)=0,"",INDEX(CalcNormDate,$P277)))</f>
        <v/>
      </c>
      <c r="C277" s="26">
        <f>IF($P277="","",IF(INDEX(CalcTime,$P277)=0,"",INDEX(CalcTime,$P277)))</f>
        <v/>
      </c>
      <c r="D277" s="26">
        <f>IF($P277="","",IF(INDEX(EntryParty,$P277)=0,"",INDEX(EntryParty,$P277)))</f>
        <v/>
      </c>
      <c r="E277" s="26">
        <f>IF($P277="","",IF(INDEX(EntryPartyName,$P277)=0,"",INDEX(EntryPartyName,$P277)))</f>
        <v/>
      </c>
      <c r="F277" s="26">
        <f>IF($P277="","",IF(INDEX(EntryPartyType,$P277)=0,"",INDEX(EntryPartyType,$P277)))</f>
        <v/>
      </c>
      <c r="G277" s="26">
        <f>IF($P277="","",IF(INDEX(EntryTxnType,$P277)=0,"",INDEX(EntryTxnType,$P277)))</f>
        <v/>
      </c>
      <c r="H277" s="27">
        <f>IF($P277="","",IF(INDEX(EntryDep,$P277)=0,"",INDEX(EntryDep,$P277)))</f>
        <v/>
      </c>
      <c r="I277" s="27">
        <f>IF($P277="","",IF(INDEX(EntryWit,$P277)=0,"",INDEX(EntryWit,$P277)))</f>
        <v/>
      </c>
      <c r="J277" s="27">
        <f>IF($B277="","",IF($A277=1,$C$7,IF(J276="",0,J276))+IF($H277="",0,$H277)-IF($I277="",0,$I277))</f>
        <v/>
      </c>
      <c r="K277" s="27">
        <f>IF($P277="","",IF(INDEX(EntryMan,$P277)=0,"",INDEX(EntryMan,$P277)))</f>
        <v/>
      </c>
      <c r="L277" s="26">
        <f>IF($B277="","",IF($K277="","—",IF(ROUND($K277-$J277,0)=0,"√","×")))</f>
        <v/>
      </c>
      <c r="M277" s="26">
        <f>IF($B277="","",IF(COUNTIFS(EntryDates,$B277,CalcTime,$C277,CalcBank,$C$5,EntryParty,$D277,EntryDep,$H277,EntryWit,$I277)&gt;1,"تکرار",""))</f>
        <v/>
      </c>
      <c r="N277" s="26">
        <f>IF($P277="","",IF(INDEX(EntryNotes,$P277)=0,"",INDEX(EntryNotes,$P277)))</f>
        <v/>
      </c>
      <c r="O277" s="26">
        <f>IF($P277="","",IF(INDEX(EntryTxnID,$P277)=0,"",INDEX(EntryTxnID,$P277)))</f>
        <v/>
      </c>
      <c r="P277" s="26">
        <f>IFERROR(MATCH($C$5&amp;"|"&amp;RIGHT("000000"&amp;261,6),CalcRankKey,0),"")</f>
        <v/>
      </c>
    </row>
    <row r="278">
      <c r="A278" s="28">
        <f>IF($B278="","",262)</f>
        <v/>
      </c>
      <c r="B278" s="28">
        <f>IF($P278="","",IF(INDEX(CalcNormDate,$P278)=0,"",INDEX(CalcNormDate,$P278)))</f>
        <v/>
      </c>
      <c r="C278" s="28">
        <f>IF($P278="","",IF(INDEX(CalcTime,$P278)=0,"",INDEX(CalcTime,$P278)))</f>
        <v/>
      </c>
      <c r="D278" s="28">
        <f>IF($P278="","",IF(INDEX(EntryParty,$P278)=0,"",INDEX(EntryParty,$P278)))</f>
        <v/>
      </c>
      <c r="E278" s="28">
        <f>IF($P278="","",IF(INDEX(EntryPartyName,$P278)=0,"",INDEX(EntryPartyName,$P278)))</f>
        <v/>
      </c>
      <c r="F278" s="28">
        <f>IF($P278="","",IF(INDEX(EntryPartyType,$P278)=0,"",INDEX(EntryPartyType,$P278)))</f>
        <v/>
      </c>
      <c r="G278" s="28">
        <f>IF($P278="","",IF(INDEX(EntryTxnType,$P278)=0,"",INDEX(EntryTxnType,$P278)))</f>
        <v/>
      </c>
      <c r="H278" s="29">
        <f>IF($P278="","",IF(INDEX(EntryDep,$P278)=0,"",INDEX(EntryDep,$P278)))</f>
        <v/>
      </c>
      <c r="I278" s="29">
        <f>IF($P278="","",IF(INDEX(EntryWit,$P278)=0,"",INDEX(EntryWit,$P278)))</f>
        <v/>
      </c>
      <c r="J278" s="29">
        <f>IF($B278="","",IF($A278=1,$C$7,IF(J277="",0,J277))+IF($H278="",0,$H278)-IF($I278="",0,$I278))</f>
        <v/>
      </c>
      <c r="K278" s="29">
        <f>IF($P278="","",IF(INDEX(EntryMan,$P278)=0,"",INDEX(EntryMan,$P278)))</f>
        <v/>
      </c>
      <c r="L278" s="28">
        <f>IF($B278="","",IF($K278="","—",IF(ROUND($K278-$J278,0)=0,"√","×")))</f>
        <v/>
      </c>
      <c r="M278" s="28">
        <f>IF($B278="","",IF(COUNTIFS(EntryDates,$B278,CalcTime,$C278,CalcBank,$C$5,EntryParty,$D278,EntryDep,$H278,EntryWit,$I278)&gt;1,"تکرار",""))</f>
        <v/>
      </c>
      <c r="N278" s="28">
        <f>IF($P278="","",IF(INDEX(EntryNotes,$P278)=0,"",INDEX(EntryNotes,$P278)))</f>
        <v/>
      </c>
      <c r="O278" s="28">
        <f>IF($P278="","",IF(INDEX(EntryTxnID,$P278)=0,"",INDEX(EntryTxnID,$P278)))</f>
        <v/>
      </c>
      <c r="P278" s="28">
        <f>IFERROR(MATCH($C$5&amp;"|"&amp;RIGHT("000000"&amp;262,6),CalcRankKey,0),"")</f>
        <v/>
      </c>
    </row>
    <row r="279">
      <c r="A279" s="26">
        <f>IF($B279="","",263)</f>
        <v/>
      </c>
      <c r="B279" s="26">
        <f>IF($P279="","",IF(INDEX(CalcNormDate,$P279)=0,"",INDEX(CalcNormDate,$P279)))</f>
        <v/>
      </c>
      <c r="C279" s="26">
        <f>IF($P279="","",IF(INDEX(CalcTime,$P279)=0,"",INDEX(CalcTime,$P279)))</f>
        <v/>
      </c>
      <c r="D279" s="26">
        <f>IF($P279="","",IF(INDEX(EntryParty,$P279)=0,"",INDEX(EntryParty,$P279)))</f>
        <v/>
      </c>
      <c r="E279" s="26">
        <f>IF($P279="","",IF(INDEX(EntryPartyName,$P279)=0,"",INDEX(EntryPartyName,$P279)))</f>
        <v/>
      </c>
      <c r="F279" s="26">
        <f>IF($P279="","",IF(INDEX(EntryPartyType,$P279)=0,"",INDEX(EntryPartyType,$P279)))</f>
        <v/>
      </c>
      <c r="G279" s="26">
        <f>IF($P279="","",IF(INDEX(EntryTxnType,$P279)=0,"",INDEX(EntryTxnType,$P279)))</f>
        <v/>
      </c>
      <c r="H279" s="27">
        <f>IF($P279="","",IF(INDEX(EntryDep,$P279)=0,"",INDEX(EntryDep,$P279)))</f>
        <v/>
      </c>
      <c r="I279" s="27">
        <f>IF($P279="","",IF(INDEX(EntryWit,$P279)=0,"",INDEX(EntryWit,$P279)))</f>
        <v/>
      </c>
      <c r="J279" s="27">
        <f>IF($B279="","",IF($A279=1,$C$7,IF(J278="",0,J278))+IF($H279="",0,$H279)-IF($I279="",0,$I279))</f>
        <v/>
      </c>
      <c r="K279" s="27">
        <f>IF($P279="","",IF(INDEX(EntryMan,$P279)=0,"",INDEX(EntryMan,$P279)))</f>
        <v/>
      </c>
      <c r="L279" s="26">
        <f>IF($B279="","",IF($K279="","—",IF(ROUND($K279-$J279,0)=0,"√","×")))</f>
        <v/>
      </c>
      <c r="M279" s="26">
        <f>IF($B279="","",IF(COUNTIFS(EntryDates,$B279,CalcTime,$C279,CalcBank,$C$5,EntryParty,$D279,EntryDep,$H279,EntryWit,$I279)&gt;1,"تکرار",""))</f>
        <v/>
      </c>
      <c r="N279" s="26">
        <f>IF($P279="","",IF(INDEX(EntryNotes,$P279)=0,"",INDEX(EntryNotes,$P279)))</f>
        <v/>
      </c>
      <c r="O279" s="26">
        <f>IF($P279="","",IF(INDEX(EntryTxnID,$P279)=0,"",INDEX(EntryTxnID,$P279)))</f>
        <v/>
      </c>
      <c r="P279" s="26">
        <f>IFERROR(MATCH($C$5&amp;"|"&amp;RIGHT("000000"&amp;263,6),CalcRankKey,0),"")</f>
        <v/>
      </c>
    </row>
    <row r="280">
      <c r="A280" s="28">
        <f>IF($B280="","",264)</f>
        <v/>
      </c>
      <c r="B280" s="28">
        <f>IF($P280="","",IF(INDEX(CalcNormDate,$P280)=0,"",INDEX(CalcNormDate,$P280)))</f>
        <v/>
      </c>
      <c r="C280" s="28">
        <f>IF($P280="","",IF(INDEX(CalcTime,$P280)=0,"",INDEX(CalcTime,$P280)))</f>
        <v/>
      </c>
      <c r="D280" s="28">
        <f>IF($P280="","",IF(INDEX(EntryParty,$P280)=0,"",INDEX(EntryParty,$P280)))</f>
        <v/>
      </c>
      <c r="E280" s="28">
        <f>IF($P280="","",IF(INDEX(EntryPartyName,$P280)=0,"",INDEX(EntryPartyName,$P280)))</f>
        <v/>
      </c>
      <c r="F280" s="28">
        <f>IF($P280="","",IF(INDEX(EntryPartyType,$P280)=0,"",INDEX(EntryPartyType,$P280)))</f>
        <v/>
      </c>
      <c r="G280" s="28">
        <f>IF($P280="","",IF(INDEX(EntryTxnType,$P280)=0,"",INDEX(EntryTxnType,$P280)))</f>
        <v/>
      </c>
      <c r="H280" s="29">
        <f>IF($P280="","",IF(INDEX(EntryDep,$P280)=0,"",INDEX(EntryDep,$P280)))</f>
        <v/>
      </c>
      <c r="I280" s="29">
        <f>IF($P280="","",IF(INDEX(EntryWit,$P280)=0,"",INDEX(EntryWit,$P280)))</f>
        <v/>
      </c>
      <c r="J280" s="29">
        <f>IF($B280="","",IF($A280=1,$C$7,IF(J279="",0,J279))+IF($H280="",0,$H280)-IF($I280="",0,$I280))</f>
        <v/>
      </c>
      <c r="K280" s="29">
        <f>IF($P280="","",IF(INDEX(EntryMan,$P280)=0,"",INDEX(EntryMan,$P280)))</f>
        <v/>
      </c>
      <c r="L280" s="28">
        <f>IF($B280="","",IF($K280="","—",IF(ROUND($K280-$J280,0)=0,"√","×")))</f>
        <v/>
      </c>
      <c r="M280" s="28">
        <f>IF($B280="","",IF(COUNTIFS(EntryDates,$B280,CalcTime,$C280,CalcBank,$C$5,EntryParty,$D280,EntryDep,$H280,EntryWit,$I280)&gt;1,"تکرار",""))</f>
        <v/>
      </c>
      <c r="N280" s="28">
        <f>IF($P280="","",IF(INDEX(EntryNotes,$P280)=0,"",INDEX(EntryNotes,$P280)))</f>
        <v/>
      </c>
      <c r="O280" s="28">
        <f>IF($P280="","",IF(INDEX(EntryTxnID,$P280)=0,"",INDEX(EntryTxnID,$P280)))</f>
        <v/>
      </c>
      <c r="P280" s="28">
        <f>IFERROR(MATCH($C$5&amp;"|"&amp;RIGHT("000000"&amp;264,6),CalcRankKey,0),"")</f>
        <v/>
      </c>
    </row>
    <row r="281">
      <c r="A281" s="26">
        <f>IF($B281="","",265)</f>
        <v/>
      </c>
      <c r="B281" s="26">
        <f>IF($P281="","",IF(INDEX(CalcNormDate,$P281)=0,"",INDEX(CalcNormDate,$P281)))</f>
        <v/>
      </c>
      <c r="C281" s="26">
        <f>IF($P281="","",IF(INDEX(CalcTime,$P281)=0,"",INDEX(CalcTime,$P281)))</f>
        <v/>
      </c>
      <c r="D281" s="26">
        <f>IF($P281="","",IF(INDEX(EntryParty,$P281)=0,"",INDEX(EntryParty,$P281)))</f>
        <v/>
      </c>
      <c r="E281" s="26">
        <f>IF($P281="","",IF(INDEX(EntryPartyName,$P281)=0,"",INDEX(EntryPartyName,$P281)))</f>
        <v/>
      </c>
      <c r="F281" s="26">
        <f>IF($P281="","",IF(INDEX(EntryPartyType,$P281)=0,"",INDEX(EntryPartyType,$P281)))</f>
        <v/>
      </c>
      <c r="G281" s="26">
        <f>IF($P281="","",IF(INDEX(EntryTxnType,$P281)=0,"",INDEX(EntryTxnType,$P281)))</f>
        <v/>
      </c>
      <c r="H281" s="27">
        <f>IF($P281="","",IF(INDEX(EntryDep,$P281)=0,"",INDEX(EntryDep,$P281)))</f>
        <v/>
      </c>
      <c r="I281" s="27">
        <f>IF($P281="","",IF(INDEX(EntryWit,$P281)=0,"",INDEX(EntryWit,$P281)))</f>
        <v/>
      </c>
      <c r="J281" s="27">
        <f>IF($B281="","",IF($A281=1,$C$7,IF(J280="",0,J280))+IF($H281="",0,$H281)-IF($I281="",0,$I281))</f>
        <v/>
      </c>
      <c r="K281" s="27">
        <f>IF($P281="","",IF(INDEX(EntryMan,$P281)=0,"",INDEX(EntryMan,$P281)))</f>
        <v/>
      </c>
      <c r="L281" s="26">
        <f>IF($B281="","",IF($K281="","—",IF(ROUND($K281-$J281,0)=0,"√","×")))</f>
        <v/>
      </c>
      <c r="M281" s="26">
        <f>IF($B281="","",IF(COUNTIFS(EntryDates,$B281,CalcTime,$C281,CalcBank,$C$5,EntryParty,$D281,EntryDep,$H281,EntryWit,$I281)&gt;1,"تکرار",""))</f>
        <v/>
      </c>
      <c r="N281" s="26">
        <f>IF($P281="","",IF(INDEX(EntryNotes,$P281)=0,"",INDEX(EntryNotes,$P281)))</f>
        <v/>
      </c>
      <c r="O281" s="26">
        <f>IF($P281="","",IF(INDEX(EntryTxnID,$P281)=0,"",INDEX(EntryTxnID,$P281)))</f>
        <v/>
      </c>
      <c r="P281" s="26">
        <f>IFERROR(MATCH($C$5&amp;"|"&amp;RIGHT("000000"&amp;265,6),CalcRankKey,0),"")</f>
        <v/>
      </c>
    </row>
    <row r="282">
      <c r="A282" s="28">
        <f>IF($B282="","",266)</f>
        <v/>
      </c>
      <c r="B282" s="28">
        <f>IF($P282="","",IF(INDEX(CalcNormDate,$P282)=0,"",INDEX(CalcNormDate,$P282)))</f>
        <v/>
      </c>
      <c r="C282" s="28">
        <f>IF($P282="","",IF(INDEX(CalcTime,$P282)=0,"",INDEX(CalcTime,$P282)))</f>
        <v/>
      </c>
      <c r="D282" s="28">
        <f>IF($P282="","",IF(INDEX(EntryParty,$P282)=0,"",INDEX(EntryParty,$P282)))</f>
        <v/>
      </c>
      <c r="E282" s="28">
        <f>IF($P282="","",IF(INDEX(EntryPartyName,$P282)=0,"",INDEX(EntryPartyName,$P282)))</f>
        <v/>
      </c>
      <c r="F282" s="28">
        <f>IF($P282="","",IF(INDEX(EntryPartyType,$P282)=0,"",INDEX(EntryPartyType,$P282)))</f>
        <v/>
      </c>
      <c r="G282" s="28">
        <f>IF($P282="","",IF(INDEX(EntryTxnType,$P282)=0,"",INDEX(EntryTxnType,$P282)))</f>
        <v/>
      </c>
      <c r="H282" s="29">
        <f>IF($P282="","",IF(INDEX(EntryDep,$P282)=0,"",INDEX(EntryDep,$P282)))</f>
        <v/>
      </c>
      <c r="I282" s="29">
        <f>IF($P282="","",IF(INDEX(EntryWit,$P282)=0,"",INDEX(EntryWit,$P282)))</f>
        <v/>
      </c>
      <c r="J282" s="29">
        <f>IF($B282="","",IF($A282=1,$C$7,IF(J281="",0,J281))+IF($H282="",0,$H282)-IF($I282="",0,$I282))</f>
        <v/>
      </c>
      <c r="K282" s="29">
        <f>IF($P282="","",IF(INDEX(EntryMan,$P282)=0,"",INDEX(EntryMan,$P282)))</f>
        <v/>
      </c>
      <c r="L282" s="28">
        <f>IF($B282="","",IF($K282="","—",IF(ROUND($K282-$J282,0)=0,"√","×")))</f>
        <v/>
      </c>
      <c r="M282" s="28">
        <f>IF($B282="","",IF(COUNTIFS(EntryDates,$B282,CalcTime,$C282,CalcBank,$C$5,EntryParty,$D282,EntryDep,$H282,EntryWit,$I282)&gt;1,"تکرار",""))</f>
        <v/>
      </c>
      <c r="N282" s="28">
        <f>IF($P282="","",IF(INDEX(EntryNotes,$P282)=0,"",INDEX(EntryNotes,$P282)))</f>
        <v/>
      </c>
      <c r="O282" s="28">
        <f>IF($P282="","",IF(INDEX(EntryTxnID,$P282)=0,"",INDEX(EntryTxnID,$P282)))</f>
        <v/>
      </c>
      <c r="P282" s="28">
        <f>IFERROR(MATCH($C$5&amp;"|"&amp;RIGHT("000000"&amp;266,6),CalcRankKey,0),"")</f>
        <v/>
      </c>
    </row>
    <row r="283">
      <c r="A283" s="26">
        <f>IF($B283="","",267)</f>
        <v/>
      </c>
      <c r="B283" s="26">
        <f>IF($P283="","",IF(INDEX(CalcNormDate,$P283)=0,"",INDEX(CalcNormDate,$P283)))</f>
        <v/>
      </c>
      <c r="C283" s="26">
        <f>IF($P283="","",IF(INDEX(CalcTime,$P283)=0,"",INDEX(CalcTime,$P283)))</f>
        <v/>
      </c>
      <c r="D283" s="26">
        <f>IF($P283="","",IF(INDEX(EntryParty,$P283)=0,"",INDEX(EntryParty,$P283)))</f>
        <v/>
      </c>
      <c r="E283" s="26">
        <f>IF($P283="","",IF(INDEX(EntryPartyName,$P283)=0,"",INDEX(EntryPartyName,$P283)))</f>
        <v/>
      </c>
      <c r="F283" s="26">
        <f>IF($P283="","",IF(INDEX(EntryPartyType,$P283)=0,"",INDEX(EntryPartyType,$P283)))</f>
        <v/>
      </c>
      <c r="G283" s="26">
        <f>IF($P283="","",IF(INDEX(EntryTxnType,$P283)=0,"",INDEX(EntryTxnType,$P283)))</f>
        <v/>
      </c>
      <c r="H283" s="27">
        <f>IF($P283="","",IF(INDEX(EntryDep,$P283)=0,"",INDEX(EntryDep,$P283)))</f>
        <v/>
      </c>
      <c r="I283" s="27">
        <f>IF($P283="","",IF(INDEX(EntryWit,$P283)=0,"",INDEX(EntryWit,$P283)))</f>
        <v/>
      </c>
      <c r="J283" s="27">
        <f>IF($B283="","",IF($A283=1,$C$7,IF(J282="",0,J282))+IF($H283="",0,$H283)-IF($I283="",0,$I283))</f>
        <v/>
      </c>
      <c r="K283" s="27">
        <f>IF($P283="","",IF(INDEX(EntryMan,$P283)=0,"",INDEX(EntryMan,$P283)))</f>
        <v/>
      </c>
      <c r="L283" s="26">
        <f>IF($B283="","",IF($K283="","—",IF(ROUND($K283-$J283,0)=0,"√","×")))</f>
        <v/>
      </c>
      <c r="M283" s="26">
        <f>IF($B283="","",IF(COUNTIFS(EntryDates,$B283,CalcTime,$C283,CalcBank,$C$5,EntryParty,$D283,EntryDep,$H283,EntryWit,$I283)&gt;1,"تکرار",""))</f>
        <v/>
      </c>
      <c r="N283" s="26">
        <f>IF($P283="","",IF(INDEX(EntryNotes,$P283)=0,"",INDEX(EntryNotes,$P283)))</f>
        <v/>
      </c>
      <c r="O283" s="26">
        <f>IF($P283="","",IF(INDEX(EntryTxnID,$P283)=0,"",INDEX(EntryTxnID,$P283)))</f>
        <v/>
      </c>
      <c r="P283" s="26">
        <f>IFERROR(MATCH($C$5&amp;"|"&amp;RIGHT("000000"&amp;267,6),CalcRankKey,0),"")</f>
        <v/>
      </c>
    </row>
    <row r="284">
      <c r="A284" s="28">
        <f>IF($B284="","",268)</f>
        <v/>
      </c>
      <c r="B284" s="28">
        <f>IF($P284="","",IF(INDEX(CalcNormDate,$P284)=0,"",INDEX(CalcNormDate,$P284)))</f>
        <v/>
      </c>
      <c r="C284" s="28">
        <f>IF($P284="","",IF(INDEX(CalcTime,$P284)=0,"",INDEX(CalcTime,$P284)))</f>
        <v/>
      </c>
      <c r="D284" s="28">
        <f>IF($P284="","",IF(INDEX(EntryParty,$P284)=0,"",INDEX(EntryParty,$P284)))</f>
        <v/>
      </c>
      <c r="E284" s="28">
        <f>IF($P284="","",IF(INDEX(EntryPartyName,$P284)=0,"",INDEX(EntryPartyName,$P284)))</f>
        <v/>
      </c>
      <c r="F284" s="28">
        <f>IF($P284="","",IF(INDEX(EntryPartyType,$P284)=0,"",INDEX(EntryPartyType,$P284)))</f>
        <v/>
      </c>
      <c r="G284" s="28">
        <f>IF($P284="","",IF(INDEX(EntryTxnType,$P284)=0,"",INDEX(EntryTxnType,$P284)))</f>
        <v/>
      </c>
      <c r="H284" s="29">
        <f>IF($P284="","",IF(INDEX(EntryDep,$P284)=0,"",INDEX(EntryDep,$P284)))</f>
        <v/>
      </c>
      <c r="I284" s="29">
        <f>IF($P284="","",IF(INDEX(EntryWit,$P284)=0,"",INDEX(EntryWit,$P284)))</f>
        <v/>
      </c>
      <c r="J284" s="29">
        <f>IF($B284="","",IF($A284=1,$C$7,IF(J283="",0,J283))+IF($H284="",0,$H284)-IF($I284="",0,$I284))</f>
        <v/>
      </c>
      <c r="K284" s="29">
        <f>IF($P284="","",IF(INDEX(EntryMan,$P284)=0,"",INDEX(EntryMan,$P284)))</f>
        <v/>
      </c>
      <c r="L284" s="28">
        <f>IF($B284="","",IF($K284="","—",IF(ROUND($K284-$J284,0)=0,"√","×")))</f>
        <v/>
      </c>
      <c r="M284" s="28">
        <f>IF($B284="","",IF(COUNTIFS(EntryDates,$B284,CalcTime,$C284,CalcBank,$C$5,EntryParty,$D284,EntryDep,$H284,EntryWit,$I284)&gt;1,"تکرار",""))</f>
        <v/>
      </c>
      <c r="N284" s="28">
        <f>IF($P284="","",IF(INDEX(EntryNotes,$P284)=0,"",INDEX(EntryNotes,$P284)))</f>
        <v/>
      </c>
      <c r="O284" s="28">
        <f>IF($P284="","",IF(INDEX(EntryTxnID,$P284)=0,"",INDEX(EntryTxnID,$P284)))</f>
        <v/>
      </c>
      <c r="P284" s="28">
        <f>IFERROR(MATCH($C$5&amp;"|"&amp;RIGHT("000000"&amp;268,6),CalcRankKey,0),"")</f>
        <v/>
      </c>
    </row>
    <row r="285">
      <c r="A285" s="26">
        <f>IF($B285="","",269)</f>
        <v/>
      </c>
      <c r="B285" s="26">
        <f>IF($P285="","",IF(INDEX(CalcNormDate,$P285)=0,"",INDEX(CalcNormDate,$P285)))</f>
        <v/>
      </c>
      <c r="C285" s="26">
        <f>IF($P285="","",IF(INDEX(CalcTime,$P285)=0,"",INDEX(CalcTime,$P285)))</f>
        <v/>
      </c>
      <c r="D285" s="26">
        <f>IF($P285="","",IF(INDEX(EntryParty,$P285)=0,"",INDEX(EntryParty,$P285)))</f>
        <v/>
      </c>
      <c r="E285" s="26">
        <f>IF($P285="","",IF(INDEX(EntryPartyName,$P285)=0,"",INDEX(EntryPartyName,$P285)))</f>
        <v/>
      </c>
      <c r="F285" s="26">
        <f>IF($P285="","",IF(INDEX(EntryPartyType,$P285)=0,"",INDEX(EntryPartyType,$P285)))</f>
        <v/>
      </c>
      <c r="G285" s="26">
        <f>IF($P285="","",IF(INDEX(EntryTxnType,$P285)=0,"",INDEX(EntryTxnType,$P285)))</f>
        <v/>
      </c>
      <c r="H285" s="27">
        <f>IF($P285="","",IF(INDEX(EntryDep,$P285)=0,"",INDEX(EntryDep,$P285)))</f>
        <v/>
      </c>
      <c r="I285" s="27">
        <f>IF($P285="","",IF(INDEX(EntryWit,$P285)=0,"",INDEX(EntryWit,$P285)))</f>
        <v/>
      </c>
      <c r="J285" s="27">
        <f>IF($B285="","",IF($A285=1,$C$7,IF(J284="",0,J284))+IF($H285="",0,$H285)-IF($I285="",0,$I285))</f>
        <v/>
      </c>
      <c r="K285" s="27">
        <f>IF($P285="","",IF(INDEX(EntryMan,$P285)=0,"",INDEX(EntryMan,$P285)))</f>
        <v/>
      </c>
      <c r="L285" s="26">
        <f>IF($B285="","",IF($K285="","—",IF(ROUND($K285-$J285,0)=0,"√","×")))</f>
        <v/>
      </c>
      <c r="M285" s="26">
        <f>IF($B285="","",IF(COUNTIFS(EntryDates,$B285,CalcTime,$C285,CalcBank,$C$5,EntryParty,$D285,EntryDep,$H285,EntryWit,$I285)&gt;1,"تکرار",""))</f>
        <v/>
      </c>
      <c r="N285" s="26">
        <f>IF($P285="","",IF(INDEX(EntryNotes,$P285)=0,"",INDEX(EntryNotes,$P285)))</f>
        <v/>
      </c>
      <c r="O285" s="26">
        <f>IF($P285="","",IF(INDEX(EntryTxnID,$P285)=0,"",INDEX(EntryTxnID,$P285)))</f>
        <v/>
      </c>
      <c r="P285" s="26">
        <f>IFERROR(MATCH($C$5&amp;"|"&amp;RIGHT("000000"&amp;269,6),CalcRankKey,0),"")</f>
        <v/>
      </c>
    </row>
    <row r="286">
      <c r="A286" s="28">
        <f>IF($B286="","",270)</f>
        <v/>
      </c>
      <c r="B286" s="28">
        <f>IF($P286="","",IF(INDEX(CalcNormDate,$P286)=0,"",INDEX(CalcNormDate,$P286)))</f>
        <v/>
      </c>
      <c r="C286" s="28">
        <f>IF($P286="","",IF(INDEX(CalcTime,$P286)=0,"",INDEX(CalcTime,$P286)))</f>
        <v/>
      </c>
      <c r="D286" s="28">
        <f>IF($P286="","",IF(INDEX(EntryParty,$P286)=0,"",INDEX(EntryParty,$P286)))</f>
        <v/>
      </c>
      <c r="E286" s="28">
        <f>IF($P286="","",IF(INDEX(EntryPartyName,$P286)=0,"",INDEX(EntryPartyName,$P286)))</f>
        <v/>
      </c>
      <c r="F286" s="28">
        <f>IF($P286="","",IF(INDEX(EntryPartyType,$P286)=0,"",INDEX(EntryPartyType,$P286)))</f>
        <v/>
      </c>
      <c r="G286" s="28">
        <f>IF($P286="","",IF(INDEX(EntryTxnType,$P286)=0,"",INDEX(EntryTxnType,$P286)))</f>
        <v/>
      </c>
      <c r="H286" s="29">
        <f>IF($P286="","",IF(INDEX(EntryDep,$P286)=0,"",INDEX(EntryDep,$P286)))</f>
        <v/>
      </c>
      <c r="I286" s="29">
        <f>IF($P286="","",IF(INDEX(EntryWit,$P286)=0,"",INDEX(EntryWit,$P286)))</f>
        <v/>
      </c>
      <c r="J286" s="29">
        <f>IF($B286="","",IF($A286=1,$C$7,IF(J285="",0,J285))+IF($H286="",0,$H286)-IF($I286="",0,$I286))</f>
        <v/>
      </c>
      <c r="K286" s="29">
        <f>IF($P286="","",IF(INDEX(EntryMan,$P286)=0,"",INDEX(EntryMan,$P286)))</f>
        <v/>
      </c>
      <c r="L286" s="28">
        <f>IF($B286="","",IF($K286="","—",IF(ROUND($K286-$J286,0)=0,"√","×")))</f>
        <v/>
      </c>
      <c r="M286" s="28">
        <f>IF($B286="","",IF(COUNTIFS(EntryDates,$B286,CalcTime,$C286,CalcBank,$C$5,EntryParty,$D286,EntryDep,$H286,EntryWit,$I286)&gt;1,"تکرار",""))</f>
        <v/>
      </c>
      <c r="N286" s="28">
        <f>IF($P286="","",IF(INDEX(EntryNotes,$P286)=0,"",INDEX(EntryNotes,$P286)))</f>
        <v/>
      </c>
      <c r="O286" s="28">
        <f>IF($P286="","",IF(INDEX(EntryTxnID,$P286)=0,"",INDEX(EntryTxnID,$P286)))</f>
        <v/>
      </c>
      <c r="P286" s="28">
        <f>IFERROR(MATCH($C$5&amp;"|"&amp;RIGHT("000000"&amp;270,6),CalcRankKey,0),"")</f>
        <v/>
      </c>
    </row>
    <row r="287">
      <c r="A287" s="26">
        <f>IF($B287="","",271)</f>
        <v/>
      </c>
      <c r="B287" s="26">
        <f>IF($P287="","",IF(INDEX(CalcNormDate,$P287)=0,"",INDEX(CalcNormDate,$P287)))</f>
        <v/>
      </c>
      <c r="C287" s="26">
        <f>IF($P287="","",IF(INDEX(CalcTime,$P287)=0,"",INDEX(CalcTime,$P287)))</f>
        <v/>
      </c>
      <c r="D287" s="26">
        <f>IF($P287="","",IF(INDEX(EntryParty,$P287)=0,"",INDEX(EntryParty,$P287)))</f>
        <v/>
      </c>
      <c r="E287" s="26">
        <f>IF($P287="","",IF(INDEX(EntryPartyName,$P287)=0,"",INDEX(EntryPartyName,$P287)))</f>
        <v/>
      </c>
      <c r="F287" s="26">
        <f>IF($P287="","",IF(INDEX(EntryPartyType,$P287)=0,"",INDEX(EntryPartyType,$P287)))</f>
        <v/>
      </c>
      <c r="G287" s="26">
        <f>IF($P287="","",IF(INDEX(EntryTxnType,$P287)=0,"",INDEX(EntryTxnType,$P287)))</f>
        <v/>
      </c>
      <c r="H287" s="27">
        <f>IF($P287="","",IF(INDEX(EntryDep,$P287)=0,"",INDEX(EntryDep,$P287)))</f>
        <v/>
      </c>
      <c r="I287" s="27">
        <f>IF($P287="","",IF(INDEX(EntryWit,$P287)=0,"",INDEX(EntryWit,$P287)))</f>
        <v/>
      </c>
      <c r="J287" s="27">
        <f>IF($B287="","",IF($A287=1,$C$7,IF(J286="",0,J286))+IF($H287="",0,$H287)-IF($I287="",0,$I287))</f>
        <v/>
      </c>
      <c r="K287" s="27">
        <f>IF($P287="","",IF(INDEX(EntryMan,$P287)=0,"",INDEX(EntryMan,$P287)))</f>
        <v/>
      </c>
      <c r="L287" s="26">
        <f>IF($B287="","",IF($K287="","—",IF(ROUND($K287-$J287,0)=0,"√","×")))</f>
        <v/>
      </c>
      <c r="M287" s="26">
        <f>IF($B287="","",IF(COUNTIFS(EntryDates,$B287,CalcTime,$C287,CalcBank,$C$5,EntryParty,$D287,EntryDep,$H287,EntryWit,$I287)&gt;1,"تکرار",""))</f>
        <v/>
      </c>
      <c r="N287" s="26">
        <f>IF($P287="","",IF(INDEX(EntryNotes,$P287)=0,"",INDEX(EntryNotes,$P287)))</f>
        <v/>
      </c>
      <c r="O287" s="26">
        <f>IF($P287="","",IF(INDEX(EntryTxnID,$P287)=0,"",INDEX(EntryTxnID,$P287)))</f>
        <v/>
      </c>
      <c r="P287" s="26">
        <f>IFERROR(MATCH($C$5&amp;"|"&amp;RIGHT("000000"&amp;271,6),CalcRankKey,0),"")</f>
        <v/>
      </c>
    </row>
    <row r="288">
      <c r="A288" s="28">
        <f>IF($B288="","",272)</f>
        <v/>
      </c>
      <c r="B288" s="28">
        <f>IF($P288="","",IF(INDEX(CalcNormDate,$P288)=0,"",INDEX(CalcNormDate,$P288)))</f>
        <v/>
      </c>
      <c r="C288" s="28">
        <f>IF($P288="","",IF(INDEX(CalcTime,$P288)=0,"",INDEX(CalcTime,$P288)))</f>
        <v/>
      </c>
      <c r="D288" s="28">
        <f>IF($P288="","",IF(INDEX(EntryParty,$P288)=0,"",INDEX(EntryParty,$P288)))</f>
        <v/>
      </c>
      <c r="E288" s="28">
        <f>IF($P288="","",IF(INDEX(EntryPartyName,$P288)=0,"",INDEX(EntryPartyName,$P288)))</f>
        <v/>
      </c>
      <c r="F288" s="28">
        <f>IF($P288="","",IF(INDEX(EntryPartyType,$P288)=0,"",INDEX(EntryPartyType,$P288)))</f>
        <v/>
      </c>
      <c r="G288" s="28">
        <f>IF($P288="","",IF(INDEX(EntryTxnType,$P288)=0,"",INDEX(EntryTxnType,$P288)))</f>
        <v/>
      </c>
      <c r="H288" s="29">
        <f>IF($P288="","",IF(INDEX(EntryDep,$P288)=0,"",INDEX(EntryDep,$P288)))</f>
        <v/>
      </c>
      <c r="I288" s="29">
        <f>IF($P288="","",IF(INDEX(EntryWit,$P288)=0,"",INDEX(EntryWit,$P288)))</f>
        <v/>
      </c>
      <c r="J288" s="29">
        <f>IF($B288="","",IF($A288=1,$C$7,IF(J287="",0,J287))+IF($H288="",0,$H288)-IF($I288="",0,$I288))</f>
        <v/>
      </c>
      <c r="K288" s="29">
        <f>IF($P288="","",IF(INDEX(EntryMan,$P288)=0,"",INDEX(EntryMan,$P288)))</f>
        <v/>
      </c>
      <c r="L288" s="28">
        <f>IF($B288="","",IF($K288="","—",IF(ROUND($K288-$J288,0)=0,"√","×")))</f>
        <v/>
      </c>
      <c r="M288" s="28">
        <f>IF($B288="","",IF(COUNTIFS(EntryDates,$B288,CalcTime,$C288,CalcBank,$C$5,EntryParty,$D288,EntryDep,$H288,EntryWit,$I288)&gt;1,"تکرار",""))</f>
        <v/>
      </c>
      <c r="N288" s="28">
        <f>IF($P288="","",IF(INDEX(EntryNotes,$P288)=0,"",INDEX(EntryNotes,$P288)))</f>
        <v/>
      </c>
      <c r="O288" s="28">
        <f>IF($P288="","",IF(INDEX(EntryTxnID,$P288)=0,"",INDEX(EntryTxnID,$P288)))</f>
        <v/>
      </c>
      <c r="P288" s="28">
        <f>IFERROR(MATCH($C$5&amp;"|"&amp;RIGHT("000000"&amp;272,6),CalcRankKey,0),"")</f>
        <v/>
      </c>
    </row>
    <row r="289">
      <c r="A289" s="26">
        <f>IF($B289="","",273)</f>
        <v/>
      </c>
      <c r="B289" s="26">
        <f>IF($P289="","",IF(INDEX(CalcNormDate,$P289)=0,"",INDEX(CalcNormDate,$P289)))</f>
        <v/>
      </c>
      <c r="C289" s="26">
        <f>IF($P289="","",IF(INDEX(CalcTime,$P289)=0,"",INDEX(CalcTime,$P289)))</f>
        <v/>
      </c>
      <c r="D289" s="26">
        <f>IF($P289="","",IF(INDEX(EntryParty,$P289)=0,"",INDEX(EntryParty,$P289)))</f>
        <v/>
      </c>
      <c r="E289" s="26">
        <f>IF($P289="","",IF(INDEX(EntryPartyName,$P289)=0,"",INDEX(EntryPartyName,$P289)))</f>
        <v/>
      </c>
      <c r="F289" s="26">
        <f>IF($P289="","",IF(INDEX(EntryPartyType,$P289)=0,"",INDEX(EntryPartyType,$P289)))</f>
        <v/>
      </c>
      <c r="G289" s="26">
        <f>IF($P289="","",IF(INDEX(EntryTxnType,$P289)=0,"",INDEX(EntryTxnType,$P289)))</f>
        <v/>
      </c>
      <c r="H289" s="27">
        <f>IF($P289="","",IF(INDEX(EntryDep,$P289)=0,"",INDEX(EntryDep,$P289)))</f>
        <v/>
      </c>
      <c r="I289" s="27">
        <f>IF($P289="","",IF(INDEX(EntryWit,$P289)=0,"",INDEX(EntryWit,$P289)))</f>
        <v/>
      </c>
      <c r="J289" s="27">
        <f>IF($B289="","",IF($A289=1,$C$7,IF(J288="",0,J288))+IF($H289="",0,$H289)-IF($I289="",0,$I289))</f>
        <v/>
      </c>
      <c r="K289" s="27">
        <f>IF($P289="","",IF(INDEX(EntryMan,$P289)=0,"",INDEX(EntryMan,$P289)))</f>
        <v/>
      </c>
      <c r="L289" s="26">
        <f>IF($B289="","",IF($K289="","—",IF(ROUND($K289-$J289,0)=0,"√","×")))</f>
        <v/>
      </c>
      <c r="M289" s="26">
        <f>IF($B289="","",IF(COUNTIFS(EntryDates,$B289,CalcTime,$C289,CalcBank,$C$5,EntryParty,$D289,EntryDep,$H289,EntryWit,$I289)&gt;1,"تکرار",""))</f>
        <v/>
      </c>
      <c r="N289" s="26">
        <f>IF($P289="","",IF(INDEX(EntryNotes,$P289)=0,"",INDEX(EntryNotes,$P289)))</f>
        <v/>
      </c>
      <c r="O289" s="26">
        <f>IF($P289="","",IF(INDEX(EntryTxnID,$P289)=0,"",INDEX(EntryTxnID,$P289)))</f>
        <v/>
      </c>
      <c r="P289" s="26">
        <f>IFERROR(MATCH($C$5&amp;"|"&amp;RIGHT("000000"&amp;273,6),CalcRankKey,0),"")</f>
        <v/>
      </c>
    </row>
    <row r="290">
      <c r="A290" s="28">
        <f>IF($B290="","",274)</f>
        <v/>
      </c>
      <c r="B290" s="28">
        <f>IF($P290="","",IF(INDEX(CalcNormDate,$P290)=0,"",INDEX(CalcNormDate,$P290)))</f>
        <v/>
      </c>
      <c r="C290" s="28">
        <f>IF($P290="","",IF(INDEX(CalcTime,$P290)=0,"",INDEX(CalcTime,$P290)))</f>
        <v/>
      </c>
      <c r="D290" s="28">
        <f>IF($P290="","",IF(INDEX(EntryParty,$P290)=0,"",INDEX(EntryParty,$P290)))</f>
        <v/>
      </c>
      <c r="E290" s="28">
        <f>IF($P290="","",IF(INDEX(EntryPartyName,$P290)=0,"",INDEX(EntryPartyName,$P290)))</f>
        <v/>
      </c>
      <c r="F290" s="28">
        <f>IF($P290="","",IF(INDEX(EntryPartyType,$P290)=0,"",INDEX(EntryPartyType,$P290)))</f>
        <v/>
      </c>
      <c r="G290" s="28">
        <f>IF($P290="","",IF(INDEX(EntryTxnType,$P290)=0,"",INDEX(EntryTxnType,$P290)))</f>
        <v/>
      </c>
      <c r="H290" s="29">
        <f>IF($P290="","",IF(INDEX(EntryDep,$P290)=0,"",INDEX(EntryDep,$P290)))</f>
        <v/>
      </c>
      <c r="I290" s="29">
        <f>IF($P290="","",IF(INDEX(EntryWit,$P290)=0,"",INDEX(EntryWit,$P290)))</f>
        <v/>
      </c>
      <c r="J290" s="29">
        <f>IF($B290="","",IF($A290=1,$C$7,IF(J289="",0,J289))+IF($H290="",0,$H290)-IF($I290="",0,$I290))</f>
        <v/>
      </c>
      <c r="K290" s="29">
        <f>IF($P290="","",IF(INDEX(EntryMan,$P290)=0,"",INDEX(EntryMan,$P290)))</f>
        <v/>
      </c>
      <c r="L290" s="28">
        <f>IF($B290="","",IF($K290="","—",IF(ROUND($K290-$J290,0)=0,"√","×")))</f>
        <v/>
      </c>
      <c r="M290" s="28">
        <f>IF($B290="","",IF(COUNTIFS(EntryDates,$B290,CalcTime,$C290,CalcBank,$C$5,EntryParty,$D290,EntryDep,$H290,EntryWit,$I290)&gt;1,"تکرار",""))</f>
        <v/>
      </c>
      <c r="N290" s="28">
        <f>IF($P290="","",IF(INDEX(EntryNotes,$P290)=0,"",INDEX(EntryNotes,$P290)))</f>
        <v/>
      </c>
      <c r="O290" s="28">
        <f>IF($P290="","",IF(INDEX(EntryTxnID,$P290)=0,"",INDEX(EntryTxnID,$P290)))</f>
        <v/>
      </c>
      <c r="P290" s="28">
        <f>IFERROR(MATCH($C$5&amp;"|"&amp;RIGHT("000000"&amp;274,6),CalcRankKey,0),"")</f>
        <v/>
      </c>
    </row>
    <row r="291">
      <c r="A291" s="26">
        <f>IF($B291="","",275)</f>
        <v/>
      </c>
      <c r="B291" s="26">
        <f>IF($P291="","",IF(INDEX(CalcNormDate,$P291)=0,"",INDEX(CalcNormDate,$P291)))</f>
        <v/>
      </c>
      <c r="C291" s="26">
        <f>IF($P291="","",IF(INDEX(CalcTime,$P291)=0,"",INDEX(CalcTime,$P291)))</f>
        <v/>
      </c>
      <c r="D291" s="26">
        <f>IF($P291="","",IF(INDEX(EntryParty,$P291)=0,"",INDEX(EntryParty,$P291)))</f>
        <v/>
      </c>
      <c r="E291" s="26">
        <f>IF($P291="","",IF(INDEX(EntryPartyName,$P291)=0,"",INDEX(EntryPartyName,$P291)))</f>
        <v/>
      </c>
      <c r="F291" s="26">
        <f>IF($P291="","",IF(INDEX(EntryPartyType,$P291)=0,"",INDEX(EntryPartyType,$P291)))</f>
        <v/>
      </c>
      <c r="G291" s="26">
        <f>IF($P291="","",IF(INDEX(EntryTxnType,$P291)=0,"",INDEX(EntryTxnType,$P291)))</f>
        <v/>
      </c>
      <c r="H291" s="27">
        <f>IF($P291="","",IF(INDEX(EntryDep,$P291)=0,"",INDEX(EntryDep,$P291)))</f>
        <v/>
      </c>
      <c r="I291" s="27">
        <f>IF($P291="","",IF(INDEX(EntryWit,$P291)=0,"",INDEX(EntryWit,$P291)))</f>
        <v/>
      </c>
      <c r="J291" s="27">
        <f>IF($B291="","",IF($A291=1,$C$7,IF(J290="",0,J290))+IF($H291="",0,$H291)-IF($I291="",0,$I291))</f>
        <v/>
      </c>
      <c r="K291" s="27">
        <f>IF($P291="","",IF(INDEX(EntryMan,$P291)=0,"",INDEX(EntryMan,$P291)))</f>
        <v/>
      </c>
      <c r="L291" s="26">
        <f>IF($B291="","",IF($K291="","—",IF(ROUND($K291-$J291,0)=0,"√","×")))</f>
        <v/>
      </c>
      <c r="M291" s="26">
        <f>IF($B291="","",IF(COUNTIFS(EntryDates,$B291,CalcTime,$C291,CalcBank,$C$5,EntryParty,$D291,EntryDep,$H291,EntryWit,$I291)&gt;1,"تکرار",""))</f>
        <v/>
      </c>
      <c r="N291" s="26">
        <f>IF($P291="","",IF(INDEX(EntryNotes,$P291)=0,"",INDEX(EntryNotes,$P291)))</f>
        <v/>
      </c>
      <c r="O291" s="26">
        <f>IF($P291="","",IF(INDEX(EntryTxnID,$P291)=0,"",INDEX(EntryTxnID,$P291)))</f>
        <v/>
      </c>
      <c r="P291" s="26">
        <f>IFERROR(MATCH($C$5&amp;"|"&amp;RIGHT("000000"&amp;275,6),CalcRankKey,0),"")</f>
        <v/>
      </c>
    </row>
    <row r="292">
      <c r="A292" s="28">
        <f>IF($B292="","",276)</f>
        <v/>
      </c>
      <c r="B292" s="28">
        <f>IF($P292="","",IF(INDEX(CalcNormDate,$P292)=0,"",INDEX(CalcNormDate,$P292)))</f>
        <v/>
      </c>
      <c r="C292" s="28">
        <f>IF($P292="","",IF(INDEX(CalcTime,$P292)=0,"",INDEX(CalcTime,$P292)))</f>
        <v/>
      </c>
      <c r="D292" s="28">
        <f>IF($P292="","",IF(INDEX(EntryParty,$P292)=0,"",INDEX(EntryParty,$P292)))</f>
        <v/>
      </c>
      <c r="E292" s="28">
        <f>IF($P292="","",IF(INDEX(EntryPartyName,$P292)=0,"",INDEX(EntryPartyName,$P292)))</f>
        <v/>
      </c>
      <c r="F292" s="28">
        <f>IF($P292="","",IF(INDEX(EntryPartyType,$P292)=0,"",INDEX(EntryPartyType,$P292)))</f>
        <v/>
      </c>
      <c r="G292" s="28">
        <f>IF($P292="","",IF(INDEX(EntryTxnType,$P292)=0,"",INDEX(EntryTxnType,$P292)))</f>
        <v/>
      </c>
      <c r="H292" s="29">
        <f>IF($P292="","",IF(INDEX(EntryDep,$P292)=0,"",INDEX(EntryDep,$P292)))</f>
        <v/>
      </c>
      <c r="I292" s="29">
        <f>IF($P292="","",IF(INDEX(EntryWit,$P292)=0,"",INDEX(EntryWit,$P292)))</f>
        <v/>
      </c>
      <c r="J292" s="29">
        <f>IF($B292="","",IF($A292=1,$C$7,IF(J291="",0,J291))+IF($H292="",0,$H292)-IF($I292="",0,$I292))</f>
        <v/>
      </c>
      <c r="K292" s="29">
        <f>IF($P292="","",IF(INDEX(EntryMan,$P292)=0,"",INDEX(EntryMan,$P292)))</f>
        <v/>
      </c>
      <c r="L292" s="28">
        <f>IF($B292="","",IF($K292="","—",IF(ROUND($K292-$J292,0)=0,"√","×")))</f>
        <v/>
      </c>
      <c r="M292" s="28">
        <f>IF($B292="","",IF(COUNTIFS(EntryDates,$B292,CalcTime,$C292,CalcBank,$C$5,EntryParty,$D292,EntryDep,$H292,EntryWit,$I292)&gt;1,"تکرار",""))</f>
        <v/>
      </c>
      <c r="N292" s="28">
        <f>IF($P292="","",IF(INDEX(EntryNotes,$P292)=0,"",INDEX(EntryNotes,$P292)))</f>
        <v/>
      </c>
      <c r="O292" s="28">
        <f>IF($P292="","",IF(INDEX(EntryTxnID,$P292)=0,"",INDEX(EntryTxnID,$P292)))</f>
        <v/>
      </c>
      <c r="P292" s="28">
        <f>IFERROR(MATCH($C$5&amp;"|"&amp;RIGHT("000000"&amp;276,6),CalcRankKey,0),"")</f>
        <v/>
      </c>
    </row>
    <row r="293">
      <c r="A293" s="26">
        <f>IF($B293="","",277)</f>
        <v/>
      </c>
      <c r="B293" s="26">
        <f>IF($P293="","",IF(INDEX(CalcNormDate,$P293)=0,"",INDEX(CalcNormDate,$P293)))</f>
        <v/>
      </c>
      <c r="C293" s="26">
        <f>IF($P293="","",IF(INDEX(CalcTime,$P293)=0,"",INDEX(CalcTime,$P293)))</f>
        <v/>
      </c>
      <c r="D293" s="26">
        <f>IF($P293="","",IF(INDEX(EntryParty,$P293)=0,"",INDEX(EntryParty,$P293)))</f>
        <v/>
      </c>
      <c r="E293" s="26">
        <f>IF($P293="","",IF(INDEX(EntryPartyName,$P293)=0,"",INDEX(EntryPartyName,$P293)))</f>
        <v/>
      </c>
      <c r="F293" s="26">
        <f>IF($P293="","",IF(INDEX(EntryPartyType,$P293)=0,"",INDEX(EntryPartyType,$P293)))</f>
        <v/>
      </c>
      <c r="G293" s="26">
        <f>IF($P293="","",IF(INDEX(EntryTxnType,$P293)=0,"",INDEX(EntryTxnType,$P293)))</f>
        <v/>
      </c>
      <c r="H293" s="27">
        <f>IF($P293="","",IF(INDEX(EntryDep,$P293)=0,"",INDEX(EntryDep,$P293)))</f>
        <v/>
      </c>
      <c r="I293" s="27">
        <f>IF($P293="","",IF(INDEX(EntryWit,$P293)=0,"",INDEX(EntryWit,$P293)))</f>
        <v/>
      </c>
      <c r="J293" s="27">
        <f>IF($B293="","",IF($A293=1,$C$7,IF(J292="",0,J292))+IF($H293="",0,$H293)-IF($I293="",0,$I293))</f>
        <v/>
      </c>
      <c r="K293" s="27">
        <f>IF($P293="","",IF(INDEX(EntryMan,$P293)=0,"",INDEX(EntryMan,$P293)))</f>
        <v/>
      </c>
      <c r="L293" s="26">
        <f>IF($B293="","",IF($K293="","—",IF(ROUND($K293-$J293,0)=0,"√","×")))</f>
        <v/>
      </c>
      <c r="M293" s="26">
        <f>IF($B293="","",IF(COUNTIFS(EntryDates,$B293,CalcTime,$C293,CalcBank,$C$5,EntryParty,$D293,EntryDep,$H293,EntryWit,$I293)&gt;1,"تکرار",""))</f>
        <v/>
      </c>
      <c r="N293" s="26">
        <f>IF($P293="","",IF(INDEX(EntryNotes,$P293)=0,"",INDEX(EntryNotes,$P293)))</f>
        <v/>
      </c>
      <c r="O293" s="26">
        <f>IF($P293="","",IF(INDEX(EntryTxnID,$P293)=0,"",INDEX(EntryTxnID,$P293)))</f>
        <v/>
      </c>
      <c r="P293" s="26">
        <f>IFERROR(MATCH($C$5&amp;"|"&amp;RIGHT("000000"&amp;277,6),CalcRankKey,0),"")</f>
        <v/>
      </c>
    </row>
    <row r="294">
      <c r="A294" s="28">
        <f>IF($B294="","",278)</f>
        <v/>
      </c>
      <c r="B294" s="28">
        <f>IF($P294="","",IF(INDEX(CalcNormDate,$P294)=0,"",INDEX(CalcNormDate,$P294)))</f>
        <v/>
      </c>
      <c r="C294" s="28">
        <f>IF($P294="","",IF(INDEX(CalcTime,$P294)=0,"",INDEX(CalcTime,$P294)))</f>
        <v/>
      </c>
      <c r="D294" s="28">
        <f>IF($P294="","",IF(INDEX(EntryParty,$P294)=0,"",INDEX(EntryParty,$P294)))</f>
        <v/>
      </c>
      <c r="E294" s="28">
        <f>IF($P294="","",IF(INDEX(EntryPartyName,$P294)=0,"",INDEX(EntryPartyName,$P294)))</f>
        <v/>
      </c>
      <c r="F294" s="28">
        <f>IF($P294="","",IF(INDEX(EntryPartyType,$P294)=0,"",INDEX(EntryPartyType,$P294)))</f>
        <v/>
      </c>
      <c r="G294" s="28">
        <f>IF($P294="","",IF(INDEX(EntryTxnType,$P294)=0,"",INDEX(EntryTxnType,$P294)))</f>
        <v/>
      </c>
      <c r="H294" s="29">
        <f>IF($P294="","",IF(INDEX(EntryDep,$P294)=0,"",INDEX(EntryDep,$P294)))</f>
        <v/>
      </c>
      <c r="I294" s="29">
        <f>IF($P294="","",IF(INDEX(EntryWit,$P294)=0,"",INDEX(EntryWit,$P294)))</f>
        <v/>
      </c>
      <c r="J294" s="29">
        <f>IF($B294="","",IF($A294=1,$C$7,IF(J293="",0,J293))+IF($H294="",0,$H294)-IF($I294="",0,$I294))</f>
        <v/>
      </c>
      <c r="K294" s="29">
        <f>IF($P294="","",IF(INDEX(EntryMan,$P294)=0,"",INDEX(EntryMan,$P294)))</f>
        <v/>
      </c>
      <c r="L294" s="28">
        <f>IF($B294="","",IF($K294="","—",IF(ROUND($K294-$J294,0)=0,"√","×")))</f>
        <v/>
      </c>
      <c r="M294" s="28">
        <f>IF($B294="","",IF(COUNTIFS(EntryDates,$B294,CalcTime,$C294,CalcBank,$C$5,EntryParty,$D294,EntryDep,$H294,EntryWit,$I294)&gt;1,"تکرار",""))</f>
        <v/>
      </c>
      <c r="N294" s="28">
        <f>IF($P294="","",IF(INDEX(EntryNotes,$P294)=0,"",INDEX(EntryNotes,$P294)))</f>
        <v/>
      </c>
      <c r="O294" s="28">
        <f>IF($P294="","",IF(INDEX(EntryTxnID,$P294)=0,"",INDEX(EntryTxnID,$P294)))</f>
        <v/>
      </c>
      <c r="P294" s="28">
        <f>IFERROR(MATCH($C$5&amp;"|"&amp;RIGHT("000000"&amp;278,6),CalcRankKey,0),"")</f>
        <v/>
      </c>
    </row>
    <row r="295">
      <c r="A295" s="26">
        <f>IF($B295="","",279)</f>
        <v/>
      </c>
      <c r="B295" s="26">
        <f>IF($P295="","",IF(INDEX(CalcNormDate,$P295)=0,"",INDEX(CalcNormDate,$P295)))</f>
        <v/>
      </c>
      <c r="C295" s="26">
        <f>IF($P295="","",IF(INDEX(CalcTime,$P295)=0,"",INDEX(CalcTime,$P295)))</f>
        <v/>
      </c>
      <c r="D295" s="26">
        <f>IF($P295="","",IF(INDEX(EntryParty,$P295)=0,"",INDEX(EntryParty,$P295)))</f>
        <v/>
      </c>
      <c r="E295" s="26">
        <f>IF($P295="","",IF(INDEX(EntryPartyName,$P295)=0,"",INDEX(EntryPartyName,$P295)))</f>
        <v/>
      </c>
      <c r="F295" s="26">
        <f>IF($P295="","",IF(INDEX(EntryPartyType,$P295)=0,"",INDEX(EntryPartyType,$P295)))</f>
        <v/>
      </c>
      <c r="G295" s="26">
        <f>IF($P295="","",IF(INDEX(EntryTxnType,$P295)=0,"",INDEX(EntryTxnType,$P295)))</f>
        <v/>
      </c>
      <c r="H295" s="27">
        <f>IF($P295="","",IF(INDEX(EntryDep,$P295)=0,"",INDEX(EntryDep,$P295)))</f>
        <v/>
      </c>
      <c r="I295" s="27">
        <f>IF($P295="","",IF(INDEX(EntryWit,$P295)=0,"",INDEX(EntryWit,$P295)))</f>
        <v/>
      </c>
      <c r="J295" s="27">
        <f>IF($B295="","",IF($A295=1,$C$7,IF(J294="",0,J294))+IF($H295="",0,$H295)-IF($I295="",0,$I295))</f>
        <v/>
      </c>
      <c r="K295" s="27">
        <f>IF($P295="","",IF(INDEX(EntryMan,$P295)=0,"",INDEX(EntryMan,$P295)))</f>
        <v/>
      </c>
      <c r="L295" s="26">
        <f>IF($B295="","",IF($K295="","—",IF(ROUND($K295-$J295,0)=0,"√","×")))</f>
        <v/>
      </c>
      <c r="M295" s="26">
        <f>IF($B295="","",IF(COUNTIFS(EntryDates,$B295,CalcTime,$C295,CalcBank,$C$5,EntryParty,$D295,EntryDep,$H295,EntryWit,$I295)&gt;1,"تکرار",""))</f>
        <v/>
      </c>
      <c r="N295" s="26">
        <f>IF($P295="","",IF(INDEX(EntryNotes,$P295)=0,"",INDEX(EntryNotes,$P295)))</f>
        <v/>
      </c>
      <c r="O295" s="26">
        <f>IF($P295="","",IF(INDEX(EntryTxnID,$P295)=0,"",INDEX(EntryTxnID,$P295)))</f>
        <v/>
      </c>
      <c r="P295" s="26">
        <f>IFERROR(MATCH($C$5&amp;"|"&amp;RIGHT("000000"&amp;279,6),CalcRankKey,0),"")</f>
        <v/>
      </c>
    </row>
    <row r="296">
      <c r="A296" s="28">
        <f>IF($B296="","",280)</f>
        <v/>
      </c>
      <c r="B296" s="28">
        <f>IF($P296="","",IF(INDEX(CalcNormDate,$P296)=0,"",INDEX(CalcNormDate,$P296)))</f>
        <v/>
      </c>
      <c r="C296" s="28">
        <f>IF($P296="","",IF(INDEX(CalcTime,$P296)=0,"",INDEX(CalcTime,$P296)))</f>
        <v/>
      </c>
      <c r="D296" s="28">
        <f>IF($P296="","",IF(INDEX(EntryParty,$P296)=0,"",INDEX(EntryParty,$P296)))</f>
        <v/>
      </c>
      <c r="E296" s="28">
        <f>IF($P296="","",IF(INDEX(EntryPartyName,$P296)=0,"",INDEX(EntryPartyName,$P296)))</f>
        <v/>
      </c>
      <c r="F296" s="28">
        <f>IF($P296="","",IF(INDEX(EntryPartyType,$P296)=0,"",INDEX(EntryPartyType,$P296)))</f>
        <v/>
      </c>
      <c r="G296" s="28">
        <f>IF($P296="","",IF(INDEX(EntryTxnType,$P296)=0,"",INDEX(EntryTxnType,$P296)))</f>
        <v/>
      </c>
      <c r="H296" s="29">
        <f>IF($P296="","",IF(INDEX(EntryDep,$P296)=0,"",INDEX(EntryDep,$P296)))</f>
        <v/>
      </c>
      <c r="I296" s="29">
        <f>IF($P296="","",IF(INDEX(EntryWit,$P296)=0,"",INDEX(EntryWit,$P296)))</f>
        <v/>
      </c>
      <c r="J296" s="29">
        <f>IF($B296="","",IF($A296=1,$C$7,IF(J295="",0,J295))+IF($H296="",0,$H296)-IF($I296="",0,$I296))</f>
        <v/>
      </c>
      <c r="K296" s="29">
        <f>IF($P296="","",IF(INDEX(EntryMan,$P296)=0,"",INDEX(EntryMan,$P296)))</f>
        <v/>
      </c>
      <c r="L296" s="28">
        <f>IF($B296="","",IF($K296="","—",IF(ROUND($K296-$J296,0)=0,"√","×")))</f>
        <v/>
      </c>
      <c r="M296" s="28">
        <f>IF($B296="","",IF(COUNTIFS(EntryDates,$B296,CalcTime,$C296,CalcBank,$C$5,EntryParty,$D296,EntryDep,$H296,EntryWit,$I296)&gt;1,"تکرار",""))</f>
        <v/>
      </c>
      <c r="N296" s="28">
        <f>IF($P296="","",IF(INDEX(EntryNotes,$P296)=0,"",INDEX(EntryNotes,$P296)))</f>
        <v/>
      </c>
      <c r="O296" s="28">
        <f>IF($P296="","",IF(INDEX(EntryTxnID,$P296)=0,"",INDEX(EntryTxnID,$P296)))</f>
        <v/>
      </c>
      <c r="P296" s="28">
        <f>IFERROR(MATCH($C$5&amp;"|"&amp;RIGHT("000000"&amp;280,6),CalcRankKey,0),"")</f>
        <v/>
      </c>
    </row>
    <row r="297">
      <c r="A297" s="26">
        <f>IF($B297="","",281)</f>
        <v/>
      </c>
      <c r="B297" s="26">
        <f>IF($P297="","",IF(INDEX(CalcNormDate,$P297)=0,"",INDEX(CalcNormDate,$P297)))</f>
        <v/>
      </c>
      <c r="C297" s="26">
        <f>IF($P297="","",IF(INDEX(CalcTime,$P297)=0,"",INDEX(CalcTime,$P297)))</f>
        <v/>
      </c>
      <c r="D297" s="26">
        <f>IF($P297="","",IF(INDEX(EntryParty,$P297)=0,"",INDEX(EntryParty,$P297)))</f>
        <v/>
      </c>
      <c r="E297" s="26">
        <f>IF($P297="","",IF(INDEX(EntryPartyName,$P297)=0,"",INDEX(EntryPartyName,$P297)))</f>
        <v/>
      </c>
      <c r="F297" s="26">
        <f>IF($P297="","",IF(INDEX(EntryPartyType,$P297)=0,"",INDEX(EntryPartyType,$P297)))</f>
        <v/>
      </c>
      <c r="G297" s="26">
        <f>IF($P297="","",IF(INDEX(EntryTxnType,$P297)=0,"",INDEX(EntryTxnType,$P297)))</f>
        <v/>
      </c>
      <c r="H297" s="27">
        <f>IF($P297="","",IF(INDEX(EntryDep,$P297)=0,"",INDEX(EntryDep,$P297)))</f>
        <v/>
      </c>
      <c r="I297" s="27">
        <f>IF($P297="","",IF(INDEX(EntryWit,$P297)=0,"",INDEX(EntryWit,$P297)))</f>
        <v/>
      </c>
      <c r="J297" s="27">
        <f>IF($B297="","",IF($A297=1,$C$7,IF(J296="",0,J296))+IF($H297="",0,$H297)-IF($I297="",0,$I297))</f>
        <v/>
      </c>
      <c r="K297" s="27">
        <f>IF($P297="","",IF(INDEX(EntryMan,$P297)=0,"",INDEX(EntryMan,$P297)))</f>
        <v/>
      </c>
      <c r="L297" s="26">
        <f>IF($B297="","",IF($K297="","—",IF(ROUND($K297-$J297,0)=0,"√","×")))</f>
        <v/>
      </c>
      <c r="M297" s="26">
        <f>IF($B297="","",IF(COUNTIFS(EntryDates,$B297,CalcTime,$C297,CalcBank,$C$5,EntryParty,$D297,EntryDep,$H297,EntryWit,$I297)&gt;1,"تکرار",""))</f>
        <v/>
      </c>
      <c r="N297" s="26">
        <f>IF($P297="","",IF(INDEX(EntryNotes,$P297)=0,"",INDEX(EntryNotes,$P297)))</f>
        <v/>
      </c>
      <c r="O297" s="26">
        <f>IF($P297="","",IF(INDEX(EntryTxnID,$P297)=0,"",INDEX(EntryTxnID,$P297)))</f>
        <v/>
      </c>
      <c r="P297" s="26">
        <f>IFERROR(MATCH($C$5&amp;"|"&amp;RIGHT("000000"&amp;281,6),CalcRankKey,0),"")</f>
        <v/>
      </c>
    </row>
    <row r="298">
      <c r="A298" s="28">
        <f>IF($B298="","",282)</f>
        <v/>
      </c>
      <c r="B298" s="28">
        <f>IF($P298="","",IF(INDEX(CalcNormDate,$P298)=0,"",INDEX(CalcNormDate,$P298)))</f>
        <v/>
      </c>
      <c r="C298" s="28">
        <f>IF($P298="","",IF(INDEX(CalcTime,$P298)=0,"",INDEX(CalcTime,$P298)))</f>
        <v/>
      </c>
      <c r="D298" s="28">
        <f>IF($P298="","",IF(INDEX(EntryParty,$P298)=0,"",INDEX(EntryParty,$P298)))</f>
        <v/>
      </c>
      <c r="E298" s="28">
        <f>IF($P298="","",IF(INDEX(EntryPartyName,$P298)=0,"",INDEX(EntryPartyName,$P298)))</f>
        <v/>
      </c>
      <c r="F298" s="28">
        <f>IF($P298="","",IF(INDEX(EntryPartyType,$P298)=0,"",INDEX(EntryPartyType,$P298)))</f>
        <v/>
      </c>
      <c r="G298" s="28">
        <f>IF($P298="","",IF(INDEX(EntryTxnType,$P298)=0,"",INDEX(EntryTxnType,$P298)))</f>
        <v/>
      </c>
      <c r="H298" s="29">
        <f>IF($P298="","",IF(INDEX(EntryDep,$P298)=0,"",INDEX(EntryDep,$P298)))</f>
        <v/>
      </c>
      <c r="I298" s="29">
        <f>IF($P298="","",IF(INDEX(EntryWit,$P298)=0,"",INDEX(EntryWit,$P298)))</f>
        <v/>
      </c>
      <c r="J298" s="29">
        <f>IF($B298="","",IF($A298=1,$C$7,IF(J297="",0,J297))+IF($H298="",0,$H298)-IF($I298="",0,$I298))</f>
        <v/>
      </c>
      <c r="K298" s="29">
        <f>IF($P298="","",IF(INDEX(EntryMan,$P298)=0,"",INDEX(EntryMan,$P298)))</f>
        <v/>
      </c>
      <c r="L298" s="28">
        <f>IF($B298="","",IF($K298="","—",IF(ROUND($K298-$J298,0)=0,"√","×")))</f>
        <v/>
      </c>
      <c r="M298" s="28">
        <f>IF($B298="","",IF(COUNTIFS(EntryDates,$B298,CalcTime,$C298,CalcBank,$C$5,EntryParty,$D298,EntryDep,$H298,EntryWit,$I298)&gt;1,"تکرار",""))</f>
        <v/>
      </c>
      <c r="N298" s="28">
        <f>IF($P298="","",IF(INDEX(EntryNotes,$P298)=0,"",INDEX(EntryNotes,$P298)))</f>
        <v/>
      </c>
      <c r="O298" s="28">
        <f>IF($P298="","",IF(INDEX(EntryTxnID,$P298)=0,"",INDEX(EntryTxnID,$P298)))</f>
        <v/>
      </c>
      <c r="P298" s="28">
        <f>IFERROR(MATCH($C$5&amp;"|"&amp;RIGHT("000000"&amp;282,6),CalcRankKey,0),"")</f>
        <v/>
      </c>
    </row>
    <row r="299">
      <c r="A299" s="26">
        <f>IF($B299="","",283)</f>
        <v/>
      </c>
      <c r="B299" s="26">
        <f>IF($P299="","",IF(INDEX(CalcNormDate,$P299)=0,"",INDEX(CalcNormDate,$P299)))</f>
        <v/>
      </c>
      <c r="C299" s="26">
        <f>IF($P299="","",IF(INDEX(CalcTime,$P299)=0,"",INDEX(CalcTime,$P299)))</f>
        <v/>
      </c>
      <c r="D299" s="26">
        <f>IF($P299="","",IF(INDEX(EntryParty,$P299)=0,"",INDEX(EntryParty,$P299)))</f>
        <v/>
      </c>
      <c r="E299" s="26">
        <f>IF($P299="","",IF(INDEX(EntryPartyName,$P299)=0,"",INDEX(EntryPartyName,$P299)))</f>
        <v/>
      </c>
      <c r="F299" s="26">
        <f>IF($P299="","",IF(INDEX(EntryPartyType,$P299)=0,"",INDEX(EntryPartyType,$P299)))</f>
        <v/>
      </c>
      <c r="G299" s="26">
        <f>IF($P299="","",IF(INDEX(EntryTxnType,$P299)=0,"",INDEX(EntryTxnType,$P299)))</f>
        <v/>
      </c>
      <c r="H299" s="27">
        <f>IF($P299="","",IF(INDEX(EntryDep,$P299)=0,"",INDEX(EntryDep,$P299)))</f>
        <v/>
      </c>
      <c r="I299" s="27">
        <f>IF($P299="","",IF(INDEX(EntryWit,$P299)=0,"",INDEX(EntryWit,$P299)))</f>
        <v/>
      </c>
      <c r="J299" s="27">
        <f>IF($B299="","",IF($A299=1,$C$7,IF(J298="",0,J298))+IF($H299="",0,$H299)-IF($I299="",0,$I299))</f>
        <v/>
      </c>
      <c r="K299" s="27">
        <f>IF($P299="","",IF(INDEX(EntryMan,$P299)=0,"",INDEX(EntryMan,$P299)))</f>
        <v/>
      </c>
      <c r="L299" s="26">
        <f>IF($B299="","",IF($K299="","—",IF(ROUND($K299-$J299,0)=0,"√","×")))</f>
        <v/>
      </c>
      <c r="M299" s="26">
        <f>IF($B299="","",IF(COUNTIFS(EntryDates,$B299,CalcTime,$C299,CalcBank,$C$5,EntryParty,$D299,EntryDep,$H299,EntryWit,$I299)&gt;1,"تکرار",""))</f>
        <v/>
      </c>
      <c r="N299" s="26">
        <f>IF($P299="","",IF(INDEX(EntryNotes,$P299)=0,"",INDEX(EntryNotes,$P299)))</f>
        <v/>
      </c>
      <c r="O299" s="26">
        <f>IF($P299="","",IF(INDEX(EntryTxnID,$P299)=0,"",INDEX(EntryTxnID,$P299)))</f>
        <v/>
      </c>
      <c r="P299" s="26">
        <f>IFERROR(MATCH($C$5&amp;"|"&amp;RIGHT("000000"&amp;283,6),CalcRankKey,0),"")</f>
        <v/>
      </c>
    </row>
    <row r="300">
      <c r="A300" s="28">
        <f>IF($B300="","",284)</f>
        <v/>
      </c>
      <c r="B300" s="28">
        <f>IF($P300="","",IF(INDEX(CalcNormDate,$P300)=0,"",INDEX(CalcNormDate,$P300)))</f>
        <v/>
      </c>
      <c r="C300" s="28">
        <f>IF($P300="","",IF(INDEX(CalcTime,$P300)=0,"",INDEX(CalcTime,$P300)))</f>
        <v/>
      </c>
      <c r="D300" s="28">
        <f>IF($P300="","",IF(INDEX(EntryParty,$P300)=0,"",INDEX(EntryParty,$P300)))</f>
        <v/>
      </c>
      <c r="E300" s="28">
        <f>IF($P300="","",IF(INDEX(EntryPartyName,$P300)=0,"",INDEX(EntryPartyName,$P300)))</f>
        <v/>
      </c>
      <c r="F300" s="28">
        <f>IF($P300="","",IF(INDEX(EntryPartyType,$P300)=0,"",INDEX(EntryPartyType,$P300)))</f>
        <v/>
      </c>
      <c r="G300" s="28">
        <f>IF($P300="","",IF(INDEX(EntryTxnType,$P300)=0,"",INDEX(EntryTxnType,$P300)))</f>
        <v/>
      </c>
      <c r="H300" s="29">
        <f>IF($P300="","",IF(INDEX(EntryDep,$P300)=0,"",INDEX(EntryDep,$P300)))</f>
        <v/>
      </c>
      <c r="I300" s="29">
        <f>IF($P300="","",IF(INDEX(EntryWit,$P300)=0,"",INDEX(EntryWit,$P300)))</f>
        <v/>
      </c>
      <c r="J300" s="29">
        <f>IF($B300="","",IF($A300=1,$C$7,IF(J299="",0,J299))+IF($H300="",0,$H300)-IF($I300="",0,$I300))</f>
        <v/>
      </c>
      <c r="K300" s="29">
        <f>IF($P300="","",IF(INDEX(EntryMan,$P300)=0,"",INDEX(EntryMan,$P300)))</f>
        <v/>
      </c>
      <c r="L300" s="28">
        <f>IF($B300="","",IF($K300="","—",IF(ROUND($K300-$J300,0)=0,"√","×")))</f>
        <v/>
      </c>
      <c r="M300" s="28">
        <f>IF($B300="","",IF(COUNTIFS(EntryDates,$B300,CalcTime,$C300,CalcBank,$C$5,EntryParty,$D300,EntryDep,$H300,EntryWit,$I300)&gt;1,"تکرار",""))</f>
        <v/>
      </c>
      <c r="N300" s="28">
        <f>IF($P300="","",IF(INDEX(EntryNotes,$P300)=0,"",INDEX(EntryNotes,$P300)))</f>
        <v/>
      </c>
      <c r="O300" s="28">
        <f>IF($P300="","",IF(INDEX(EntryTxnID,$P300)=0,"",INDEX(EntryTxnID,$P300)))</f>
        <v/>
      </c>
      <c r="P300" s="28">
        <f>IFERROR(MATCH($C$5&amp;"|"&amp;RIGHT("000000"&amp;284,6),CalcRankKey,0),"")</f>
        <v/>
      </c>
    </row>
    <row r="301">
      <c r="A301" s="26">
        <f>IF($B301="","",285)</f>
        <v/>
      </c>
      <c r="B301" s="26">
        <f>IF($P301="","",IF(INDEX(CalcNormDate,$P301)=0,"",INDEX(CalcNormDate,$P301)))</f>
        <v/>
      </c>
      <c r="C301" s="26">
        <f>IF($P301="","",IF(INDEX(CalcTime,$P301)=0,"",INDEX(CalcTime,$P301)))</f>
        <v/>
      </c>
      <c r="D301" s="26">
        <f>IF($P301="","",IF(INDEX(EntryParty,$P301)=0,"",INDEX(EntryParty,$P301)))</f>
        <v/>
      </c>
      <c r="E301" s="26">
        <f>IF($P301="","",IF(INDEX(EntryPartyName,$P301)=0,"",INDEX(EntryPartyName,$P301)))</f>
        <v/>
      </c>
      <c r="F301" s="26">
        <f>IF($P301="","",IF(INDEX(EntryPartyType,$P301)=0,"",INDEX(EntryPartyType,$P301)))</f>
        <v/>
      </c>
      <c r="G301" s="26">
        <f>IF($P301="","",IF(INDEX(EntryTxnType,$P301)=0,"",INDEX(EntryTxnType,$P301)))</f>
        <v/>
      </c>
      <c r="H301" s="27">
        <f>IF($P301="","",IF(INDEX(EntryDep,$P301)=0,"",INDEX(EntryDep,$P301)))</f>
        <v/>
      </c>
      <c r="I301" s="27">
        <f>IF($P301="","",IF(INDEX(EntryWit,$P301)=0,"",INDEX(EntryWit,$P301)))</f>
        <v/>
      </c>
      <c r="J301" s="27">
        <f>IF($B301="","",IF($A301=1,$C$7,IF(J300="",0,J300))+IF($H301="",0,$H301)-IF($I301="",0,$I301))</f>
        <v/>
      </c>
      <c r="K301" s="27">
        <f>IF($P301="","",IF(INDEX(EntryMan,$P301)=0,"",INDEX(EntryMan,$P301)))</f>
        <v/>
      </c>
      <c r="L301" s="26">
        <f>IF($B301="","",IF($K301="","—",IF(ROUND($K301-$J301,0)=0,"√","×")))</f>
        <v/>
      </c>
      <c r="M301" s="26">
        <f>IF($B301="","",IF(COUNTIFS(EntryDates,$B301,CalcTime,$C301,CalcBank,$C$5,EntryParty,$D301,EntryDep,$H301,EntryWit,$I301)&gt;1,"تکرار",""))</f>
        <v/>
      </c>
      <c r="N301" s="26">
        <f>IF($P301="","",IF(INDEX(EntryNotes,$P301)=0,"",INDEX(EntryNotes,$P301)))</f>
        <v/>
      </c>
      <c r="O301" s="26">
        <f>IF($P301="","",IF(INDEX(EntryTxnID,$P301)=0,"",INDEX(EntryTxnID,$P301)))</f>
        <v/>
      </c>
      <c r="P301" s="26">
        <f>IFERROR(MATCH($C$5&amp;"|"&amp;RIGHT("000000"&amp;285,6),CalcRankKey,0),"")</f>
        <v/>
      </c>
    </row>
    <row r="302">
      <c r="A302" s="28">
        <f>IF($B302="","",286)</f>
        <v/>
      </c>
      <c r="B302" s="28">
        <f>IF($P302="","",IF(INDEX(CalcNormDate,$P302)=0,"",INDEX(CalcNormDate,$P302)))</f>
        <v/>
      </c>
      <c r="C302" s="28">
        <f>IF($P302="","",IF(INDEX(CalcTime,$P302)=0,"",INDEX(CalcTime,$P302)))</f>
        <v/>
      </c>
      <c r="D302" s="28">
        <f>IF($P302="","",IF(INDEX(EntryParty,$P302)=0,"",INDEX(EntryParty,$P302)))</f>
        <v/>
      </c>
      <c r="E302" s="28">
        <f>IF($P302="","",IF(INDEX(EntryPartyName,$P302)=0,"",INDEX(EntryPartyName,$P302)))</f>
        <v/>
      </c>
      <c r="F302" s="28">
        <f>IF($P302="","",IF(INDEX(EntryPartyType,$P302)=0,"",INDEX(EntryPartyType,$P302)))</f>
        <v/>
      </c>
      <c r="G302" s="28">
        <f>IF($P302="","",IF(INDEX(EntryTxnType,$P302)=0,"",INDEX(EntryTxnType,$P302)))</f>
        <v/>
      </c>
      <c r="H302" s="29">
        <f>IF($P302="","",IF(INDEX(EntryDep,$P302)=0,"",INDEX(EntryDep,$P302)))</f>
        <v/>
      </c>
      <c r="I302" s="29">
        <f>IF($P302="","",IF(INDEX(EntryWit,$P302)=0,"",INDEX(EntryWit,$P302)))</f>
        <v/>
      </c>
      <c r="J302" s="29">
        <f>IF($B302="","",IF($A302=1,$C$7,IF(J301="",0,J301))+IF($H302="",0,$H302)-IF($I302="",0,$I302))</f>
        <v/>
      </c>
      <c r="K302" s="29">
        <f>IF($P302="","",IF(INDEX(EntryMan,$P302)=0,"",INDEX(EntryMan,$P302)))</f>
        <v/>
      </c>
      <c r="L302" s="28">
        <f>IF($B302="","",IF($K302="","—",IF(ROUND($K302-$J302,0)=0,"√","×")))</f>
        <v/>
      </c>
      <c r="M302" s="28">
        <f>IF($B302="","",IF(COUNTIFS(EntryDates,$B302,CalcTime,$C302,CalcBank,$C$5,EntryParty,$D302,EntryDep,$H302,EntryWit,$I302)&gt;1,"تکرار",""))</f>
        <v/>
      </c>
      <c r="N302" s="28">
        <f>IF($P302="","",IF(INDEX(EntryNotes,$P302)=0,"",INDEX(EntryNotes,$P302)))</f>
        <v/>
      </c>
      <c r="O302" s="28">
        <f>IF($P302="","",IF(INDEX(EntryTxnID,$P302)=0,"",INDEX(EntryTxnID,$P302)))</f>
        <v/>
      </c>
      <c r="P302" s="28">
        <f>IFERROR(MATCH($C$5&amp;"|"&amp;RIGHT("000000"&amp;286,6),CalcRankKey,0),"")</f>
        <v/>
      </c>
    </row>
    <row r="303">
      <c r="A303" s="26">
        <f>IF($B303="","",287)</f>
        <v/>
      </c>
      <c r="B303" s="26">
        <f>IF($P303="","",IF(INDEX(CalcNormDate,$P303)=0,"",INDEX(CalcNormDate,$P303)))</f>
        <v/>
      </c>
      <c r="C303" s="26">
        <f>IF($P303="","",IF(INDEX(CalcTime,$P303)=0,"",INDEX(CalcTime,$P303)))</f>
        <v/>
      </c>
      <c r="D303" s="26">
        <f>IF($P303="","",IF(INDEX(EntryParty,$P303)=0,"",INDEX(EntryParty,$P303)))</f>
        <v/>
      </c>
      <c r="E303" s="26">
        <f>IF($P303="","",IF(INDEX(EntryPartyName,$P303)=0,"",INDEX(EntryPartyName,$P303)))</f>
        <v/>
      </c>
      <c r="F303" s="26">
        <f>IF($P303="","",IF(INDEX(EntryPartyType,$P303)=0,"",INDEX(EntryPartyType,$P303)))</f>
        <v/>
      </c>
      <c r="G303" s="26">
        <f>IF($P303="","",IF(INDEX(EntryTxnType,$P303)=0,"",INDEX(EntryTxnType,$P303)))</f>
        <v/>
      </c>
      <c r="H303" s="27">
        <f>IF($P303="","",IF(INDEX(EntryDep,$P303)=0,"",INDEX(EntryDep,$P303)))</f>
        <v/>
      </c>
      <c r="I303" s="27">
        <f>IF($P303="","",IF(INDEX(EntryWit,$P303)=0,"",INDEX(EntryWit,$P303)))</f>
        <v/>
      </c>
      <c r="J303" s="27">
        <f>IF($B303="","",IF($A303=1,$C$7,IF(J302="",0,J302))+IF($H303="",0,$H303)-IF($I303="",0,$I303))</f>
        <v/>
      </c>
      <c r="K303" s="27">
        <f>IF($P303="","",IF(INDEX(EntryMan,$P303)=0,"",INDEX(EntryMan,$P303)))</f>
        <v/>
      </c>
      <c r="L303" s="26">
        <f>IF($B303="","",IF($K303="","—",IF(ROUND($K303-$J303,0)=0,"√","×")))</f>
        <v/>
      </c>
      <c r="M303" s="26">
        <f>IF($B303="","",IF(COUNTIFS(EntryDates,$B303,CalcTime,$C303,CalcBank,$C$5,EntryParty,$D303,EntryDep,$H303,EntryWit,$I303)&gt;1,"تکرار",""))</f>
        <v/>
      </c>
      <c r="N303" s="26">
        <f>IF($P303="","",IF(INDEX(EntryNotes,$P303)=0,"",INDEX(EntryNotes,$P303)))</f>
        <v/>
      </c>
      <c r="O303" s="26">
        <f>IF($P303="","",IF(INDEX(EntryTxnID,$P303)=0,"",INDEX(EntryTxnID,$P303)))</f>
        <v/>
      </c>
      <c r="P303" s="26">
        <f>IFERROR(MATCH($C$5&amp;"|"&amp;RIGHT("000000"&amp;287,6),CalcRankKey,0),"")</f>
        <v/>
      </c>
    </row>
    <row r="304">
      <c r="A304" s="28">
        <f>IF($B304="","",288)</f>
        <v/>
      </c>
      <c r="B304" s="28">
        <f>IF($P304="","",IF(INDEX(CalcNormDate,$P304)=0,"",INDEX(CalcNormDate,$P304)))</f>
        <v/>
      </c>
      <c r="C304" s="28">
        <f>IF($P304="","",IF(INDEX(CalcTime,$P304)=0,"",INDEX(CalcTime,$P304)))</f>
        <v/>
      </c>
      <c r="D304" s="28">
        <f>IF($P304="","",IF(INDEX(EntryParty,$P304)=0,"",INDEX(EntryParty,$P304)))</f>
        <v/>
      </c>
      <c r="E304" s="28">
        <f>IF($P304="","",IF(INDEX(EntryPartyName,$P304)=0,"",INDEX(EntryPartyName,$P304)))</f>
        <v/>
      </c>
      <c r="F304" s="28">
        <f>IF($P304="","",IF(INDEX(EntryPartyType,$P304)=0,"",INDEX(EntryPartyType,$P304)))</f>
        <v/>
      </c>
      <c r="G304" s="28">
        <f>IF($P304="","",IF(INDEX(EntryTxnType,$P304)=0,"",INDEX(EntryTxnType,$P304)))</f>
        <v/>
      </c>
      <c r="H304" s="29">
        <f>IF($P304="","",IF(INDEX(EntryDep,$P304)=0,"",INDEX(EntryDep,$P304)))</f>
        <v/>
      </c>
      <c r="I304" s="29">
        <f>IF($P304="","",IF(INDEX(EntryWit,$P304)=0,"",INDEX(EntryWit,$P304)))</f>
        <v/>
      </c>
      <c r="J304" s="29">
        <f>IF($B304="","",IF($A304=1,$C$7,IF(J303="",0,J303))+IF($H304="",0,$H304)-IF($I304="",0,$I304))</f>
        <v/>
      </c>
      <c r="K304" s="29">
        <f>IF($P304="","",IF(INDEX(EntryMan,$P304)=0,"",INDEX(EntryMan,$P304)))</f>
        <v/>
      </c>
      <c r="L304" s="28">
        <f>IF($B304="","",IF($K304="","—",IF(ROUND($K304-$J304,0)=0,"√","×")))</f>
        <v/>
      </c>
      <c r="M304" s="28">
        <f>IF($B304="","",IF(COUNTIFS(EntryDates,$B304,CalcTime,$C304,CalcBank,$C$5,EntryParty,$D304,EntryDep,$H304,EntryWit,$I304)&gt;1,"تکرار",""))</f>
        <v/>
      </c>
      <c r="N304" s="28">
        <f>IF($P304="","",IF(INDEX(EntryNotes,$P304)=0,"",INDEX(EntryNotes,$P304)))</f>
        <v/>
      </c>
      <c r="O304" s="28">
        <f>IF($P304="","",IF(INDEX(EntryTxnID,$P304)=0,"",INDEX(EntryTxnID,$P304)))</f>
        <v/>
      </c>
      <c r="P304" s="28">
        <f>IFERROR(MATCH($C$5&amp;"|"&amp;RIGHT("000000"&amp;288,6),CalcRankKey,0),"")</f>
        <v/>
      </c>
    </row>
    <row r="305">
      <c r="A305" s="26">
        <f>IF($B305="","",289)</f>
        <v/>
      </c>
      <c r="B305" s="26">
        <f>IF($P305="","",IF(INDEX(CalcNormDate,$P305)=0,"",INDEX(CalcNormDate,$P305)))</f>
        <v/>
      </c>
      <c r="C305" s="26">
        <f>IF($P305="","",IF(INDEX(CalcTime,$P305)=0,"",INDEX(CalcTime,$P305)))</f>
        <v/>
      </c>
      <c r="D305" s="26">
        <f>IF($P305="","",IF(INDEX(EntryParty,$P305)=0,"",INDEX(EntryParty,$P305)))</f>
        <v/>
      </c>
      <c r="E305" s="26">
        <f>IF($P305="","",IF(INDEX(EntryPartyName,$P305)=0,"",INDEX(EntryPartyName,$P305)))</f>
        <v/>
      </c>
      <c r="F305" s="26">
        <f>IF($P305="","",IF(INDEX(EntryPartyType,$P305)=0,"",INDEX(EntryPartyType,$P305)))</f>
        <v/>
      </c>
      <c r="G305" s="26">
        <f>IF($P305="","",IF(INDEX(EntryTxnType,$P305)=0,"",INDEX(EntryTxnType,$P305)))</f>
        <v/>
      </c>
      <c r="H305" s="27">
        <f>IF($P305="","",IF(INDEX(EntryDep,$P305)=0,"",INDEX(EntryDep,$P305)))</f>
        <v/>
      </c>
      <c r="I305" s="27">
        <f>IF($P305="","",IF(INDEX(EntryWit,$P305)=0,"",INDEX(EntryWit,$P305)))</f>
        <v/>
      </c>
      <c r="J305" s="27">
        <f>IF($B305="","",IF($A305=1,$C$7,IF(J304="",0,J304))+IF($H305="",0,$H305)-IF($I305="",0,$I305))</f>
        <v/>
      </c>
      <c r="K305" s="27">
        <f>IF($P305="","",IF(INDEX(EntryMan,$P305)=0,"",INDEX(EntryMan,$P305)))</f>
        <v/>
      </c>
      <c r="L305" s="26">
        <f>IF($B305="","",IF($K305="","—",IF(ROUND($K305-$J305,0)=0,"√","×")))</f>
        <v/>
      </c>
      <c r="M305" s="26">
        <f>IF($B305="","",IF(COUNTIFS(EntryDates,$B305,CalcTime,$C305,CalcBank,$C$5,EntryParty,$D305,EntryDep,$H305,EntryWit,$I305)&gt;1,"تکرار",""))</f>
        <v/>
      </c>
      <c r="N305" s="26">
        <f>IF($P305="","",IF(INDEX(EntryNotes,$P305)=0,"",INDEX(EntryNotes,$P305)))</f>
        <v/>
      </c>
      <c r="O305" s="26">
        <f>IF($P305="","",IF(INDEX(EntryTxnID,$P305)=0,"",INDEX(EntryTxnID,$P305)))</f>
        <v/>
      </c>
      <c r="P305" s="26">
        <f>IFERROR(MATCH($C$5&amp;"|"&amp;RIGHT("000000"&amp;289,6),CalcRankKey,0),"")</f>
        <v/>
      </c>
    </row>
    <row r="306">
      <c r="A306" s="28">
        <f>IF($B306="","",290)</f>
        <v/>
      </c>
      <c r="B306" s="28">
        <f>IF($P306="","",IF(INDEX(CalcNormDate,$P306)=0,"",INDEX(CalcNormDate,$P306)))</f>
        <v/>
      </c>
      <c r="C306" s="28">
        <f>IF($P306="","",IF(INDEX(CalcTime,$P306)=0,"",INDEX(CalcTime,$P306)))</f>
        <v/>
      </c>
      <c r="D306" s="28">
        <f>IF($P306="","",IF(INDEX(EntryParty,$P306)=0,"",INDEX(EntryParty,$P306)))</f>
        <v/>
      </c>
      <c r="E306" s="28">
        <f>IF($P306="","",IF(INDEX(EntryPartyName,$P306)=0,"",INDEX(EntryPartyName,$P306)))</f>
        <v/>
      </c>
      <c r="F306" s="28">
        <f>IF($P306="","",IF(INDEX(EntryPartyType,$P306)=0,"",INDEX(EntryPartyType,$P306)))</f>
        <v/>
      </c>
      <c r="G306" s="28">
        <f>IF($P306="","",IF(INDEX(EntryTxnType,$P306)=0,"",INDEX(EntryTxnType,$P306)))</f>
        <v/>
      </c>
      <c r="H306" s="29">
        <f>IF($P306="","",IF(INDEX(EntryDep,$P306)=0,"",INDEX(EntryDep,$P306)))</f>
        <v/>
      </c>
      <c r="I306" s="29">
        <f>IF($P306="","",IF(INDEX(EntryWit,$P306)=0,"",INDEX(EntryWit,$P306)))</f>
        <v/>
      </c>
      <c r="J306" s="29">
        <f>IF($B306="","",IF($A306=1,$C$7,IF(J305="",0,J305))+IF($H306="",0,$H306)-IF($I306="",0,$I306))</f>
        <v/>
      </c>
      <c r="K306" s="29">
        <f>IF($P306="","",IF(INDEX(EntryMan,$P306)=0,"",INDEX(EntryMan,$P306)))</f>
        <v/>
      </c>
      <c r="L306" s="28">
        <f>IF($B306="","",IF($K306="","—",IF(ROUND($K306-$J306,0)=0,"√","×")))</f>
        <v/>
      </c>
      <c r="M306" s="28">
        <f>IF($B306="","",IF(COUNTIFS(EntryDates,$B306,CalcTime,$C306,CalcBank,$C$5,EntryParty,$D306,EntryDep,$H306,EntryWit,$I306)&gt;1,"تکرار",""))</f>
        <v/>
      </c>
      <c r="N306" s="28">
        <f>IF($P306="","",IF(INDEX(EntryNotes,$P306)=0,"",INDEX(EntryNotes,$P306)))</f>
        <v/>
      </c>
      <c r="O306" s="28">
        <f>IF($P306="","",IF(INDEX(EntryTxnID,$P306)=0,"",INDEX(EntryTxnID,$P306)))</f>
        <v/>
      </c>
      <c r="P306" s="28">
        <f>IFERROR(MATCH($C$5&amp;"|"&amp;RIGHT("000000"&amp;290,6),CalcRankKey,0),"")</f>
        <v/>
      </c>
    </row>
    <row r="307">
      <c r="A307" s="26">
        <f>IF($B307="","",291)</f>
        <v/>
      </c>
      <c r="B307" s="26">
        <f>IF($P307="","",IF(INDEX(CalcNormDate,$P307)=0,"",INDEX(CalcNormDate,$P307)))</f>
        <v/>
      </c>
      <c r="C307" s="26">
        <f>IF($P307="","",IF(INDEX(CalcTime,$P307)=0,"",INDEX(CalcTime,$P307)))</f>
        <v/>
      </c>
      <c r="D307" s="26">
        <f>IF($P307="","",IF(INDEX(EntryParty,$P307)=0,"",INDEX(EntryParty,$P307)))</f>
        <v/>
      </c>
      <c r="E307" s="26">
        <f>IF($P307="","",IF(INDEX(EntryPartyName,$P307)=0,"",INDEX(EntryPartyName,$P307)))</f>
        <v/>
      </c>
      <c r="F307" s="26">
        <f>IF($P307="","",IF(INDEX(EntryPartyType,$P307)=0,"",INDEX(EntryPartyType,$P307)))</f>
        <v/>
      </c>
      <c r="G307" s="26">
        <f>IF($P307="","",IF(INDEX(EntryTxnType,$P307)=0,"",INDEX(EntryTxnType,$P307)))</f>
        <v/>
      </c>
      <c r="H307" s="27">
        <f>IF($P307="","",IF(INDEX(EntryDep,$P307)=0,"",INDEX(EntryDep,$P307)))</f>
        <v/>
      </c>
      <c r="I307" s="27">
        <f>IF($P307="","",IF(INDEX(EntryWit,$P307)=0,"",INDEX(EntryWit,$P307)))</f>
        <v/>
      </c>
      <c r="J307" s="27">
        <f>IF($B307="","",IF($A307=1,$C$7,IF(J306="",0,J306))+IF($H307="",0,$H307)-IF($I307="",0,$I307))</f>
        <v/>
      </c>
      <c r="K307" s="27">
        <f>IF($P307="","",IF(INDEX(EntryMan,$P307)=0,"",INDEX(EntryMan,$P307)))</f>
        <v/>
      </c>
      <c r="L307" s="26">
        <f>IF($B307="","",IF($K307="","—",IF(ROUND($K307-$J307,0)=0,"√","×")))</f>
        <v/>
      </c>
      <c r="M307" s="26">
        <f>IF($B307="","",IF(COUNTIFS(EntryDates,$B307,CalcTime,$C307,CalcBank,$C$5,EntryParty,$D307,EntryDep,$H307,EntryWit,$I307)&gt;1,"تکرار",""))</f>
        <v/>
      </c>
      <c r="N307" s="26">
        <f>IF($P307="","",IF(INDEX(EntryNotes,$P307)=0,"",INDEX(EntryNotes,$P307)))</f>
        <v/>
      </c>
      <c r="O307" s="26">
        <f>IF($P307="","",IF(INDEX(EntryTxnID,$P307)=0,"",INDEX(EntryTxnID,$P307)))</f>
        <v/>
      </c>
      <c r="P307" s="26">
        <f>IFERROR(MATCH($C$5&amp;"|"&amp;RIGHT("000000"&amp;291,6),CalcRankKey,0),"")</f>
        <v/>
      </c>
    </row>
    <row r="308">
      <c r="A308" s="28">
        <f>IF($B308="","",292)</f>
        <v/>
      </c>
      <c r="B308" s="28">
        <f>IF($P308="","",IF(INDEX(CalcNormDate,$P308)=0,"",INDEX(CalcNormDate,$P308)))</f>
        <v/>
      </c>
      <c r="C308" s="28">
        <f>IF($P308="","",IF(INDEX(CalcTime,$P308)=0,"",INDEX(CalcTime,$P308)))</f>
        <v/>
      </c>
      <c r="D308" s="28">
        <f>IF($P308="","",IF(INDEX(EntryParty,$P308)=0,"",INDEX(EntryParty,$P308)))</f>
        <v/>
      </c>
      <c r="E308" s="28">
        <f>IF($P308="","",IF(INDEX(EntryPartyName,$P308)=0,"",INDEX(EntryPartyName,$P308)))</f>
        <v/>
      </c>
      <c r="F308" s="28">
        <f>IF($P308="","",IF(INDEX(EntryPartyType,$P308)=0,"",INDEX(EntryPartyType,$P308)))</f>
        <v/>
      </c>
      <c r="G308" s="28">
        <f>IF($P308="","",IF(INDEX(EntryTxnType,$P308)=0,"",INDEX(EntryTxnType,$P308)))</f>
        <v/>
      </c>
      <c r="H308" s="29">
        <f>IF($P308="","",IF(INDEX(EntryDep,$P308)=0,"",INDEX(EntryDep,$P308)))</f>
        <v/>
      </c>
      <c r="I308" s="29">
        <f>IF($P308="","",IF(INDEX(EntryWit,$P308)=0,"",INDEX(EntryWit,$P308)))</f>
        <v/>
      </c>
      <c r="J308" s="29">
        <f>IF($B308="","",IF($A308=1,$C$7,IF(J307="",0,J307))+IF($H308="",0,$H308)-IF($I308="",0,$I308))</f>
        <v/>
      </c>
      <c r="K308" s="29">
        <f>IF($P308="","",IF(INDEX(EntryMan,$P308)=0,"",INDEX(EntryMan,$P308)))</f>
        <v/>
      </c>
      <c r="L308" s="28">
        <f>IF($B308="","",IF($K308="","—",IF(ROUND($K308-$J308,0)=0,"√","×")))</f>
        <v/>
      </c>
      <c r="M308" s="28">
        <f>IF($B308="","",IF(COUNTIFS(EntryDates,$B308,CalcTime,$C308,CalcBank,$C$5,EntryParty,$D308,EntryDep,$H308,EntryWit,$I308)&gt;1,"تکرار",""))</f>
        <v/>
      </c>
      <c r="N308" s="28">
        <f>IF($P308="","",IF(INDEX(EntryNotes,$P308)=0,"",INDEX(EntryNotes,$P308)))</f>
        <v/>
      </c>
      <c r="O308" s="28">
        <f>IF($P308="","",IF(INDEX(EntryTxnID,$P308)=0,"",INDEX(EntryTxnID,$P308)))</f>
        <v/>
      </c>
      <c r="P308" s="28">
        <f>IFERROR(MATCH($C$5&amp;"|"&amp;RIGHT("000000"&amp;292,6),CalcRankKey,0),"")</f>
        <v/>
      </c>
    </row>
    <row r="309">
      <c r="A309" s="26">
        <f>IF($B309="","",293)</f>
        <v/>
      </c>
      <c r="B309" s="26">
        <f>IF($P309="","",IF(INDEX(CalcNormDate,$P309)=0,"",INDEX(CalcNormDate,$P309)))</f>
        <v/>
      </c>
      <c r="C309" s="26">
        <f>IF($P309="","",IF(INDEX(CalcTime,$P309)=0,"",INDEX(CalcTime,$P309)))</f>
        <v/>
      </c>
      <c r="D309" s="26">
        <f>IF($P309="","",IF(INDEX(EntryParty,$P309)=0,"",INDEX(EntryParty,$P309)))</f>
        <v/>
      </c>
      <c r="E309" s="26">
        <f>IF($P309="","",IF(INDEX(EntryPartyName,$P309)=0,"",INDEX(EntryPartyName,$P309)))</f>
        <v/>
      </c>
      <c r="F309" s="26">
        <f>IF($P309="","",IF(INDEX(EntryPartyType,$P309)=0,"",INDEX(EntryPartyType,$P309)))</f>
        <v/>
      </c>
      <c r="G309" s="26">
        <f>IF($P309="","",IF(INDEX(EntryTxnType,$P309)=0,"",INDEX(EntryTxnType,$P309)))</f>
        <v/>
      </c>
      <c r="H309" s="27">
        <f>IF($P309="","",IF(INDEX(EntryDep,$P309)=0,"",INDEX(EntryDep,$P309)))</f>
        <v/>
      </c>
      <c r="I309" s="27">
        <f>IF($P309="","",IF(INDEX(EntryWit,$P309)=0,"",INDEX(EntryWit,$P309)))</f>
        <v/>
      </c>
      <c r="J309" s="27">
        <f>IF($B309="","",IF($A309=1,$C$7,IF(J308="",0,J308))+IF($H309="",0,$H309)-IF($I309="",0,$I309))</f>
        <v/>
      </c>
      <c r="K309" s="27">
        <f>IF($P309="","",IF(INDEX(EntryMan,$P309)=0,"",INDEX(EntryMan,$P309)))</f>
        <v/>
      </c>
      <c r="L309" s="26">
        <f>IF($B309="","",IF($K309="","—",IF(ROUND($K309-$J309,0)=0,"√","×")))</f>
        <v/>
      </c>
      <c r="M309" s="26">
        <f>IF($B309="","",IF(COUNTIFS(EntryDates,$B309,CalcTime,$C309,CalcBank,$C$5,EntryParty,$D309,EntryDep,$H309,EntryWit,$I309)&gt;1,"تکرار",""))</f>
        <v/>
      </c>
      <c r="N309" s="26">
        <f>IF($P309="","",IF(INDEX(EntryNotes,$P309)=0,"",INDEX(EntryNotes,$P309)))</f>
        <v/>
      </c>
      <c r="O309" s="26">
        <f>IF($P309="","",IF(INDEX(EntryTxnID,$P309)=0,"",INDEX(EntryTxnID,$P309)))</f>
        <v/>
      </c>
      <c r="P309" s="26">
        <f>IFERROR(MATCH($C$5&amp;"|"&amp;RIGHT("000000"&amp;293,6),CalcRankKey,0),"")</f>
        <v/>
      </c>
    </row>
    <row r="310">
      <c r="A310" s="28">
        <f>IF($B310="","",294)</f>
        <v/>
      </c>
      <c r="B310" s="28">
        <f>IF($P310="","",IF(INDEX(CalcNormDate,$P310)=0,"",INDEX(CalcNormDate,$P310)))</f>
        <v/>
      </c>
      <c r="C310" s="28">
        <f>IF($P310="","",IF(INDEX(CalcTime,$P310)=0,"",INDEX(CalcTime,$P310)))</f>
        <v/>
      </c>
      <c r="D310" s="28">
        <f>IF($P310="","",IF(INDEX(EntryParty,$P310)=0,"",INDEX(EntryParty,$P310)))</f>
        <v/>
      </c>
      <c r="E310" s="28">
        <f>IF($P310="","",IF(INDEX(EntryPartyName,$P310)=0,"",INDEX(EntryPartyName,$P310)))</f>
        <v/>
      </c>
      <c r="F310" s="28">
        <f>IF($P310="","",IF(INDEX(EntryPartyType,$P310)=0,"",INDEX(EntryPartyType,$P310)))</f>
        <v/>
      </c>
      <c r="G310" s="28">
        <f>IF($P310="","",IF(INDEX(EntryTxnType,$P310)=0,"",INDEX(EntryTxnType,$P310)))</f>
        <v/>
      </c>
      <c r="H310" s="29">
        <f>IF($P310="","",IF(INDEX(EntryDep,$P310)=0,"",INDEX(EntryDep,$P310)))</f>
        <v/>
      </c>
      <c r="I310" s="29">
        <f>IF($P310="","",IF(INDEX(EntryWit,$P310)=0,"",INDEX(EntryWit,$P310)))</f>
        <v/>
      </c>
      <c r="J310" s="29">
        <f>IF($B310="","",IF($A310=1,$C$7,IF(J309="",0,J309))+IF($H310="",0,$H310)-IF($I310="",0,$I310))</f>
        <v/>
      </c>
      <c r="K310" s="29">
        <f>IF($P310="","",IF(INDEX(EntryMan,$P310)=0,"",INDEX(EntryMan,$P310)))</f>
        <v/>
      </c>
      <c r="L310" s="28">
        <f>IF($B310="","",IF($K310="","—",IF(ROUND($K310-$J310,0)=0,"√","×")))</f>
        <v/>
      </c>
      <c r="M310" s="28">
        <f>IF($B310="","",IF(COUNTIFS(EntryDates,$B310,CalcTime,$C310,CalcBank,$C$5,EntryParty,$D310,EntryDep,$H310,EntryWit,$I310)&gt;1,"تکرار",""))</f>
        <v/>
      </c>
      <c r="N310" s="28">
        <f>IF($P310="","",IF(INDEX(EntryNotes,$P310)=0,"",INDEX(EntryNotes,$P310)))</f>
        <v/>
      </c>
      <c r="O310" s="28">
        <f>IF($P310="","",IF(INDEX(EntryTxnID,$P310)=0,"",INDEX(EntryTxnID,$P310)))</f>
        <v/>
      </c>
      <c r="P310" s="28">
        <f>IFERROR(MATCH($C$5&amp;"|"&amp;RIGHT("000000"&amp;294,6),CalcRankKey,0),"")</f>
        <v/>
      </c>
    </row>
    <row r="311">
      <c r="A311" s="26">
        <f>IF($B311="","",295)</f>
        <v/>
      </c>
      <c r="B311" s="26">
        <f>IF($P311="","",IF(INDEX(CalcNormDate,$P311)=0,"",INDEX(CalcNormDate,$P311)))</f>
        <v/>
      </c>
      <c r="C311" s="26">
        <f>IF($P311="","",IF(INDEX(CalcTime,$P311)=0,"",INDEX(CalcTime,$P311)))</f>
        <v/>
      </c>
      <c r="D311" s="26">
        <f>IF($P311="","",IF(INDEX(EntryParty,$P311)=0,"",INDEX(EntryParty,$P311)))</f>
        <v/>
      </c>
      <c r="E311" s="26">
        <f>IF($P311="","",IF(INDEX(EntryPartyName,$P311)=0,"",INDEX(EntryPartyName,$P311)))</f>
        <v/>
      </c>
      <c r="F311" s="26">
        <f>IF($P311="","",IF(INDEX(EntryPartyType,$P311)=0,"",INDEX(EntryPartyType,$P311)))</f>
        <v/>
      </c>
      <c r="G311" s="26">
        <f>IF($P311="","",IF(INDEX(EntryTxnType,$P311)=0,"",INDEX(EntryTxnType,$P311)))</f>
        <v/>
      </c>
      <c r="H311" s="27">
        <f>IF($P311="","",IF(INDEX(EntryDep,$P311)=0,"",INDEX(EntryDep,$P311)))</f>
        <v/>
      </c>
      <c r="I311" s="27">
        <f>IF($P311="","",IF(INDEX(EntryWit,$P311)=0,"",INDEX(EntryWit,$P311)))</f>
        <v/>
      </c>
      <c r="J311" s="27">
        <f>IF($B311="","",IF($A311=1,$C$7,IF(J310="",0,J310))+IF($H311="",0,$H311)-IF($I311="",0,$I311))</f>
        <v/>
      </c>
      <c r="K311" s="27">
        <f>IF($P311="","",IF(INDEX(EntryMan,$P311)=0,"",INDEX(EntryMan,$P311)))</f>
        <v/>
      </c>
      <c r="L311" s="26">
        <f>IF($B311="","",IF($K311="","—",IF(ROUND($K311-$J311,0)=0,"√","×")))</f>
        <v/>
      </c>
      <c r="M311" s="26">
        <f>IF($B311="","",IF(COUNTIFS(EntryDates,$B311,CalcTime,$C311,CalcBank,$C$5,EntryParty,$D311,EntryDep,$H311,EntryWit,$I311)&gt;1,"تکرار",""))</f>
        <v/>
      </c>
      <c r="N311" s="26">
        <f>IF($P311="","",IF(INDEX(EntryNotes,$P311)=0,"",INDEX(EntryNotes,$P311)))</f>
        <v/>
      </c>
      <c r="O311" s="26">
        <f>IF($P311="","",IF(INDEX(EntryTxnID,$P311)=0,"",INDEX(EntryTxnID,$P311)))</f>
        <v/>
      </c>
      <c r="P311" s="26">
        <f>IFERROR(MATCH($C$5&amp;"|"&amp;RIGHT("000000"&amp;295,6),CalcRankKey,0),"")</f>
        <v/>
      </c>
    </row>
    <row r="312">
      <c r="A312" s="28">
        <f>IF($B312="","",296)</f>
        <v/>
      </c>
      <c r="B312" s="28">
        <f>IF($P312="","",IF(INDEX(CalcNormDate,$P312)=0,"",INDEX(CalcNormDate,$P312)))</f>
        <v/>
      </c>
      <c r="C312" s="28">
        <f>IF($P312="","",IF(INDEX(CalcTime,$P312)=0,"",INDEX(CalcTime,$P312)))</f>
        <v/>
      </c>
      <c r="D312" s="28">
        <f>IF($P312="","",IF(INDEX(EntryParty,$P312)=0,"",INDEX(EntryParty,$P312)))</f>
        <v/>
      </c>
      <c r="E312" s="28">
        <f>IF($P312="","",IF(INDEX(EntryPartyName,$P312)=0,"",INDEX(EntryPartyName,$P312)))</f>
        <v/>
      </c>
      <c r="F312" s="28">
        <f>IF($P312="","",IF(INDEX(EntryPartyType,$P312)=0,"",INDEX(EntryPartyType,$P312)))</f>
        <v/>
      </c>
      <c r="G312" s="28">
        <f>IF($P312="","",IF(INDEX(EntryTxnType,$P312)=0,"",INDEX(EntryTxnType,$P312)))</f>
        <v/>
      </c>
      <c r="H312" s="29">
        <f>IF($P312="","",IF(INDEX(EntryDep,$P312)=0,"",INDEX(EntryDep,$P312)))</f>
        <v/>
      </c>
      <c r="I312" s="29">
        <f>IF($P312="","",IF(INDEX(EntryWit,$P312)=0,"",INDEX(EntryWit,$P312)))</f>
        <v/>
      </c>
      <c r="J312" s="29">
        <f>IF($B312="","",IF($A312=1,$C$7,IF(J311="",0,J311))+IF($H312="",0,$H312)-IF($I312="",0,$I312))</f>
        <v/>
      </c>
      <c r="K312" s="29">
        <f>IF($P312="","",IF(INDEX(EntryMan,$P312)=0,"",INDEX(EntryMan,$P312)))</f>
        <v/>
      </c>
      <c r="L312" s="28">
        <f>IF($B312="","",IF($K312="","—",IF(ROUND($K312-$J312,0)=0,"√","×")))</f>
        <v/>
      </c>
      <c r="M312" s="28">
        <f>IF($B312="","",IF(COUNTIFS(EntryDates,$B312,CalcTime,$C312,CalcBank,$C$5,EntryParty,$D312,EntryDep,$H312,EntryWit,$I312)&gt;1,"تکرار",""))</f>
        <v/>
      </c>
      <c r="N312" s="28">
        <f>IF($P312="","",IF(INDEX(EntryNotes,$P312)=0,"",INDEX(EntryNotes,$P312)))</f>
        <v/>
      </c>
      <c r="O312" s="28">
        <f>IF($P312="","",IF(INDEX(EntryTxnID,$P312)=0,"",INDEX(EntryTxnID,$P312)))</f>
        <v/>
      </c>
      <c r="P312" s="28">
        <f>IFERROR(MATCH($C$5&amp;"|"&amp;RIGHT("000000"&amp;296,6),CalcRankKey,0),"")</f>
        <v/>
      </c>
    </row>
    <row r="313">
      <c r="A313" s="26">
        <f>IF($B313="","",297)</f>
        <v/>
      </c>
      <c r="B313" s="26">
        <f>IF($P313="","",IF(INDEX(CalcNormDate,$P313)=0,"",INDEX(CalcNormDate,$P313)))</f>
        <v/>
      </c>
      <c r="C313" s="26">
        <f>IF($P313="","",IF(INDEX(CalcTime,$P313)=0,"",INDEX(CalcTime,$P313)))</f>
        <v/>
      </c>
      <c r="D313" s="26">
        <f>IF($P313="","",IF(INDEX(EntryParty,$P313)=0,"",INDEX(EntryParty,$P313)))</f>
        <v/>
      </c>
      <c r="E313" s="26">
        <f>IF($P313="","",IF(INDEX(EntryPartyName,$P313)=0,"",INDEX(EntryPartyName,$P313)))</f>
        <v/>
      </c>
      <c r="F313" s="26">
        <f>IF($P313="","",IF(INDEX(EntryPartyType,$P313)=0,"",INDEX(EntryPartyType,$P313)))</f>
        <v/>
      </c>
      <c r="G313" s="26">
        <f>IF($P313="","",IF(INDEX(EntryTxnType,$P313)=0,"",INDEX(EntryTxnType,$P313)))</f>
        <v/>
      </c>
      <c r="H313" s="27">
        <f>IF($P313="","",IF(INDEX(EntryDep,$P313)=0,"",INDEX(EntryDep,$P313)))</f>
        <v/>
      </c>
      <c r="I313" s="27">
        <f>IF($P313="","",IF(INDEX(EntryWit,$P313)=0,"",INDEX(EntryWit,$P313)))</f>
        <v/>
      </c>
      <c r="J313" s="27">
        <f>IF($B313="","",IF($A313=1,$C$7,IF(J312="",0,J312))+IF($H313="",0,$H313)-IF($I313="",0,$I313))</f>
        <v/>
      </c>
      <c r="K313" s="27">
        <f>IF($P313="","",IF(INDEX(EntryMan,$P313)=0,"",INDEX(EntryMan,$P313)))</f>
        <v/>
      </c>
      <c r="L313" s="26">
        <f>IF($B313="","",IF($K313="","—",IF(ROUND($K313-$J313,0)=0,"√","×")))</f>
        <v/>
      </c>
      <c r="M313" s="26">
        <f>IF($B313="","",IF(COUNTIFS(EntryDates,$B313,CalcTime,$C313,CalcBank,$C$5,EntryParty,$D313,EntryDep,$H313,EntryWit,$I313)&gt;1,"تکرار",""))</f>
        <v/>
      </c>
      <c r="N313" s="26">
        <f>IF($P313="","",IF(INDEX(EntryNotes,$P313)=0,"",INDEX(EntryNotes,$P313)))</f>
        <v/>
      </c>
      <c r="O313" s="26">
        <f>IF($P313="","",IF(INDEX(EntryTxnID,$P313)=0,"",INDEX(EntryTxnID,$P313)))</f>
        <v/>
      </c>
      <c r="P313" s="26">
        <f>IFERROR(MATCH($C$5&amp;"|"&amp;RIGHT("000000"&amp;297,6),CalcRankKey,0),"")</f>
        <v/>
      </c>
    </row>
    <row r="314">
      <c r="A314" s="28">
        <f>IF($B314="","",298)</f>
        <v/>
      </c>
      <c r="B314" s="28">
        <f>IF($P314="","",IF(INDEX(CalcNormDate,$P314)=0,"",INDEX(CalcNormDate,$P314)))</f>
        <v/>
      </c>
      <c r="C314" s="28">
        <f>IF($P314="","",IF(INDEX(CalcTime,$P314)=0,"",INDEX(CalcTime,$P314)))</f>
        <v/>
      </c>
      <c r="D314" s="28">
        <f>IF($P314="","",IF(INDEX(EntryParty,$P314)=0,"",INDEX(EntryParty,$P314)))</f>
        <v/>
      </c>
      <c r="E314" s="28">
        <f>IF($P314="","",IF(INDEX(EntryPartyName,$P314)=0,"",INDEX(EntryPartyName,$P314)))</f>
        <v/>
      </c>
      <c r="F314" s="28">
        <f>IF($P314="","",IF(INDEX(EntryPartyType,$P314)=0,"",INDEX(EntryPartyType,$P314)))</f>
        <v/>
      </c>
      <c r="G314" s="28">
        <f>IF($P314="","",IF(INDEX(EntryTxnType,$P314)=0,"",INDEX(EntryTxnType,$P314)))</f>
        <v/>
      </c>
      <c r="H314" s="29">
        <f>IF($P314="","",IF(INDEX(EntryDep,$P314)=0,"",INDEX(EntryDep,$P314)))</f>
        <v/>
      </c>
      <c r="I314" s="29">
        <f>IF($P314="","",IF(INDEX(EntryWit,$P314)=0,"",INDEX(EntryWit,$P314)))</f>
        <v/>
      </c>
      <c r="J314" s="29">
        <f>IF($B314="","",IF($A314=1,$C$7,IF(J313="",0,J313))+IF($H314="",0,$H314)-IF($I314="",0,$I314))</f>
        <v/>
      </c>
      <c r="K314" s="29">
        <f>IF($P314="","",IF(INDEX(EntryMan,$P314)=0,"",INDEX(EntryMan,$P314)))</f>
        <v/>
      </c>
      <c r="L314" s="28">
        <f>IF($B314="","",IF($K314="","—",IF(ROUND($K314-$J314,0)=0,"√","×")))</f>
        <v/>
      </c>
      <c r="M314" s="28">
        <f>IF($B314="","",IF(COUNTIFS(EntryDates,$B314,CalcTime,$C314,CalcBank,$C$5,EntryParty,$D314,EntryDep,$H314,EntryWit,$I314)&gt;1,"تکرار",""))</f>
        <v/>
      </c>
      <c r="N314" s="28">
        <f>IF($P314="","",IF(INDEX(EntryNotes,$P314)=0,"",INDEX(EntryNotes,$P314)))</f>
        <v/>
      </c>
      <c r="O314" s="28">
        <f>IF($P314="","",IF(INDEX(EntryTxnID,$P314)=0,"",INDEX(EntryTxnID,$P314)))</f>
        <v/>
      </c>
      <c r="P314" s="28">
        <f>IFERROR(MATCH($C$5&amp;"|"&amp;RIGHT("000000"&amp;298,6),CalcRankKey,0),"")</f>
        <v/>
      </c>
    </row>
    <row r="315">
      <c r="A315" s="26">
        <f>IF($B315="","",299)</f>
        <v/>
      </c>
      <c r="B315" s="26">
        <f>IF($P315="","",IF(INDEX(CalcNormDate,$P315)=0,"",INDEX(CalcNormDate,$P315)))</f>
        <v/>
      </c>
      <c r="C315" s="26">
        <f>IF($P315="","",IF(INDEX(CalcTime,$P315)=0,"",INDEX(CalcTime,$P315)))</f>
        <v/>
      </c>
      <c r="D315" s="26">
        <f>IF($P315="","",IF(INDEX(EntryParty,$P315)=0,"",INDEX(EntryParty,$P315)))</f>
        <v/>
      </c>
      <c r="E315" s="26">
        <f>IF($P315="","",IF(INDEX(EntryPartyName,$P315)=0,"",INDEX(EntryPartyName,$P315)))</f>
        <v/>
      </c>
      <c r="F315" s="26">
        <f>IF($P315="","",IF(INDEX(EntryPartyType,$P315)=0,"",INDEX(EntryPartyType,$P315)))</f>
        <v/>
      </c>
      <c r="G315" s="26">
        <f>IF($P315="","",IF(INDEX(EntryTxnType,$P315)=0,"",INDEX(EntryTxnType,$P315)))</f>
        <v/>
      </c>
      <c r="H315" s="27">
        <f>IF($P315="","",IF(INDEX(EntryDep,$P315)=0,"",INDEX(EntryDep,$P315)))</f>
        <v/>
      </c>
      <c r="I315" s="27">
        <f>IF($P315="","",IF(INDEX(EntryWit,$P315)=0,"",INDEX(EntryWit,$P315)))</f>
        <v/>
      </c>
      <c r="J315" s="27">
        <f>IF($B315="","",IF($A315=1,$C$7,IF(J314="",0,J314))+IF($H315="",0,$H315)-IF($I315="",0,$I315))</f>
        <v/>
      </c>
      <c r="K315" s="27">
        <f>IF($P315="","",IF(INDEX(EntryMan,$P315)=0,"",INDEX(EntryMan,$P315)))</f>
        <v/>
      </c>
      <c r="L315" s="26">
        <f>IF($B315="","",IF($K315="","—",IF(ROUND($K315-$J315,0)=0,"√","×")))</f>
        <v/>
      </c>
      <c r="M315" s="26">
        <f>IF($B315="","",IF(COUNTIFS(EntryDates,$B315,CalcTime,$C315,CalcBank,$C$5,EntryParty,$D315,EntryDep,$H315,EntryWit,$I315)&gt;1,"تکرار",""))</f>
        <v/>
      </c>
      <c r="N315" s="26">
        <f>IF($P315="","",IF(INDEX(EntryNotes,$P315)=0,"",INDEX(EntryNotes,$P315)))</f>
        <v/>
      </c>
      <c r="O315" s="26">
        <f>IF($P315="","",IF(INDEX(EntryTxnID,$P315)=0,"",INDEX(EntryTxnID,$P315)))</f>
        <v/>
      </c>
      <c r="P315" s="26">
        <f>IFERROR(MATCH($C$5&amp;"|"&amp;RIGHT("000000"&amp;299,6),CalcRankKey,0),"")</f>
        <v/>
      </c>
    </row>
    <row r="316">
      <c r="A316" s="28">
        <f>IF($B316="","",300)</f>
        <v/>
      </c>
      <c r="B316" s="28">
        <f>IF($P316="","",IF(INDEX(CalcNormDate,$P316)=0,"",INDEX(CalcNormDate,$P316)))</f>
        <v/>
      </c>
      <c r="C316" s="28">
        <f>IF($P316="","",IF(INDEX(CalcTime,$P316)=0,"",INDEX(CalcTime,$P316)))</f>
        <v/>
      </c>
      <c r="D316" s="28">
        <f>IF($P316="","",IF(INDEX(EntryParty,$P316)=0,"",INDEX(EntryParty,$P316)))</f>
        <v/>
      </c>
      <c r="E316" s="28">
        <f>IF($P316="","",IF(INDEX(EntryPartyName,$P316)=0,"",INDEX(EntryPartyName,$P316)))</f>
        <v/>
      </c>
      <c r="F316" s="28">
        <f>IF($P316="","",IF(INDEX(EntryPartyType,$P316)=0,"",INDEX(EntryPartyType,$P316)))</f>
        <v/>
      </c>
      <c r="G316" s="28">
        <f>IF($P316="","",IF(INDEX(EntryTxnType,$P316)=0,"",INDEX(EntryTxnType,$P316)))</f>
        <v/>
      </c>
      <c r="H316" s="29">
        <f>IF($P316="","",IF(INDEX(EntryDep,$P316)=0,"",INDEX(EntryDep,$P316)))</f>
        <v/>
      </c>
      <c r="I316" s="29">
        <f>IF($P316="","",IF(INDEX(EntryWit,$P316)=0,"",INDEX(EntryWit,$P316)))</f>
        <v/>
      </c>
      <c r="J316" s="29">
        <f>IF($B316="","",IF($A316=1,$C$7,IF(J315="",0,J315))+IF($H316="",0,$H316)-IF($I316="",0,$I316))</f>
        <v/>
      </c>
      <c r="K316" s="29">
        <f>IF($P316="","",IF(INDEX(EntryMan,$P316)=0,"",INDEX(EntryMan,$P316)))</f>
        <v/>
      </c>
      <c r="L316" s="28">
        <f>IF($B316="","",IF($K316="","—",IF(ROUND($K316-$J316,0)=0,"√","×")))</f>
        <v/>
      </c>
      <c r="M316" s="28">
        <f>IF($B316="","",IF(COUNTIFS(EntryDates,$B316,CalcTime,$C316,CalcBank,$C$5,EntryParty,$D316,EntryDep,$H316,EntryWit,$I316)&gt;1,"تکرار",""))</f>
        <v/>
      </c>
      <c r="N316" s="28">
        <f>IF($P316="","",IF(INDEX(EntryNotes,$P316)=0,"",INDEX(EntryNotes,$P316)))</f>
        <v/>
      </c>
      <c r="O316" s="28">
        <f>IF($P316="","",IF(INDEX(EntryTxnID,$P316)=0,"",INDEX(EntryTxnID,$P316)))</f>
        <v/>
      </c>
      <c r="P316" s="28">
        <f>IFERROR(MATCH($C$5&amp;"|"&amp;RIGHT("000000"&amp;300,6),CalcRankKey,0),"")</f>
        <v/>
      </c>
    </row>
    <row r="317">
      <c r="A317" s="26">
        <f>IF($B317="","",301)</f>
        <v/>
      </c>
      <c r="B317" s="26">
        <f>IF($P317="","",IF(INDEX(CalcNormDate,$P317)=0,"",INDEX(CalcNormDate,$P317)))</f>
        <v/>
      </c>
      <c r="C317" s="26">
        <f>IF($P317="","",IF(INDEX(CalcTime,$P317)=0,"",INDEX(CalcTime,$P317)))</f>
        <v/>
      </c>
      <c r="D317" s="26">
        <f>IF($P317="","",IF(INDEX(EntryParty,$P317)=0,"",INDEX(EntryParty,$P317)))</f>
        <v/>
      </c>
      <c r="E317" s="26">
        <f>IF($P317="","",IF(INDEX(EntryPartyName,$P317)=0,"",INDEX(EntryPartyName,$P317)))</f>
        <v/>
      </c>
      <c r="F317" s="26">
        <f>IF($P317="","",IF(INDEX(EntryPartyType,$P317)=0,"",INDEX(EntryPartyType,$P317)))</f>
        <v/>
      </c>
      <c r="G317" s="26">
        <f>IF($P317="","",IF(INDEX(EntryTxnType,$P317)=0,"",INDEX(EntryTxnType,$P317)))</f>
        <v/>
      </c>
      <c r="H317" s="27">
        <f>IF($P317="","",IF(INDEX(EntryDep,$P317)=0,"",INDEX(EntryDep,$P317)))</f>
        <v/>
      </c>
      <c r="I317" s="27">
        <f>IF($P317="","",IF(INDEX(EntryWit,$P317)=0,"",INDEX(EntryWit,$P317)))</f>
        <v/>
      </c>
      <c r="J317" s="27">
        <f>IF($B317="","",IF($A317=1,$C$7,IF(J316="",0,J316))+IF($H317="",0,$H317)-IF($I317="",0,$I317))</f>
        <v/>
      </c>
      <c r="K317" s="27">
        <f>IF($P317="","",IF(INDEX(EntryMan,$P317)=0,"",INDEX(EntryMan,$P317)))</f>
        <v/>
      </c>
      <c r="L317" s="26">
        <f>IF($B317="","",IF($K317="","—",IF(ROUND($K317-$J317,0)=0,"√","×")))</f>
        <v/>
      </c>
      <c r="M317" s="26">
        <f>IF($B317="","",IF(COUNTIFS(EntryDates,$B317,CalcTime,$C317,CalcBank,$C$5,EntryParty,$D317,EntryDep,$H317,EntryWit,$I317)&gt;1,"تکرار",""))</f>
        <v/>
      </c>
      <c r="N317" s="26">
        <f>IF($P317="","",IF(INDEX(EntryNotes,$P317)=0,"",INDEX(EntryNotes,$P317)))</f>
        <v/>
      </c>
      <c r="O317" s="26">
        <f>IF($P317="","",IF(INDEX(EntryTxnID,$P317)=0,"",INDEX(EntryTxnID,$P317)))</f>
        <v/>
      </c>
      <c r="P317" s="26">
        <f>IFERROR(MATCH($C$5&amp;"|"&amp;RIGHT("000000"&amp;301,6),CalcRankKey,0),"")</f>
        <v/>
      </c>
    </row>
    <row r="318">
      <c r="A318" s="28">
        <f>IF($B318="","",302)</f>
        <v/>
      </c>
      <c r="B318" s="28">
        <f>IF($P318="","",IF(INDEX(CalcNormDate,$P318)=0,"",INDEX(CalcNormDate,$P318)))</f>
        <v/>
      </c>
      <c r="C318" s="28">
        <f>IF($P318="","",IF(INDEX(CalcTime,$P318)=0,"",INDEX(CalcTime,$P318)))</f>
        <v/>
      </c>
      <c r="D318" s="28">
        <f>IF($P318="","",IF(INDEX(EntryParty,$P318)=0,"",INDEX(EntryParty,$P318)))</f>
        <v/>
      </c>
      <c r="E318" s="28">
        <f>IF($P318="","",IF(INDEX(EntryPartyName,$P318)=0,"",INDEX(EntryPartyName,$P318)))</f>
        <v/>
      </c>
      <c r="F318" s="28">
        <f>IF($P318="","",IF(INDEX(EntryPartyType,$P318)=0,"",INDEX(EntryPartyType,$P318)))</f>
        <v/>
      </c>
      <c r="G318" s="28">
        <f>IF($P318="","",IF(INDEX(EntryTxnType,$P318)=0,"",INDEX(EntryTxnType,$P318)))</f>
        <v/>
      </c>
      <c r="H318" s="29">
        <f>IF($P318="","",IF(INDEX(EntryDep,$P318)=0,"",INDEX(EntryDep,$P318)))</f>
        <v/>
      </c>
      <c r="I318" s="29">
        <f>IF($P318="","",IF(INDEX(EntryWit,$P318)=0,"",INDEX(EntryWit,$P318)))</f>
        <v/>
      </c>
      <c r="J318" s="29">
        <f>IF($B318="","",IF($A318=1,$C$7,IF(J317="",0,J317))+IF($H318="",0,$H318)-IF($I318="",0,$I318))</f>
        <v/>
      </c>
      <c r="K318" s="29">
        <f>IF($P318="","",IF(INDEX(EntryMan,$P318)=0,"",INDEX(EntryMan,$P318)))</f>
        <v/>
      </c>
      <c r="L318" s="28">
        <f>IF($B318="","",IF($K318="","—",IF(ROUND($K318-$J318,0)=0,"√","×")))</f>
        <v/>
      </c>
      <c r="M318" s="28">
        <f>IF($B318="","",IF(COUNTIFS(EntryDates,$B318,CalcTime,$C318,CalcBank,$C$5,EntryParty,$D318,EntryDep,$H318,EntryWit,$I318)&gt;1,"تکرار",""))</f>
        <v/>
      </c>
      <c r="N318" s="28">
        <f>IF($P318="","",IF(INDEX(EntryNotes,$P318)=0,"",INDEX(EntryNotes,$P318)))</f>
        <v/>
      </c>
      <c r="O318" s="28">
        <f>IF($P318="","",IF(INDEX(EntryTxnID,$P318)=0,"",INDEX(EntryTxnID,$P318)))</f>
        <v/>
      </c>
      <c r="P318" s="28">
        <f>IFERROR(MATCH($C$5&amp;"|"&amp;RIGHT("000000"&amp;302,6),CalcRankKey,0),"")</f>
        <v/>
      </c>
    </row>
    <row r="319">
      <c r="A319" s="26">
        <f>IF($B319="","",303)</f>
        <v/>
      </c>
      <c r="B319" s="26">
        <f>IF($P319="","",IF(INDEX(CalcNormDate,$P319)=0,"",INDEX(CalcNormDate,$P319)))</f>
        <v/>
      </c>
      <c r="C319" s="26">
        <f>IF($P319="","",IF(INDEX(CalcTime,$P319)=0,"",INDEX(CalcTime,$P319)))</f>
        <v/>
      </c>
      <c r="D319" s="26">
        <f>IF($P319="","",IF(INDEX(EntryParty,$P319)=0,"",INDEX(EntryParty,$P319)))</f>
        <v/>
      </c>
      <c r="E319" s="26">
        <f>IF($P319="","",IF(INDEX(EntryPartyName,$P319)=0,"",INDEX(EntryPartyName,$P319)))</f>
        <v/>
      </c>
      <c r="F319" s="26">
        <f>IF($P319="","",IF(INDEX(EntryPartyType,$P319)=0,"",INDEX(EntryPartyType,$P319)))</f>
        <v/>
      </c>
      <c r="G319" s="26">
        <f>IF($P319="","",IF(INDEX(EntryTxnType,$P319)=0,"",INDEX(EntryTxnType,$P319)))</f>
        <v/>
      </c>
      <c r="H319" s="27">
        <f>IF($P319="","",IF(INDEX(EntryDep,$P319)=0,"",INDEX(EntryDep,$P319)))</f>
        <v/>
      </c>
      <c r="I319" s="27">
        <f>IF($P319="","",IF(INDEX(EntryWit,$P319)=0,"",INDEX(EntryWit,$P319)))</f>
        <v/>
      </c>
      <c r="J319" s="27">
        <f>IF($B319="","",IF($A319=1,$C$7,IF(J318="",0,J318))+IF($H319="",0,$H319)-IF($I319="",0,$I319))</f>
        <v/>
      </c>
      <c r="K319" s="27">
        <f>IF($P319="","",IF(INDEX(EntryMan,$P319)=0,"",INDEX(EntryMan,$P319)))</f>
        <v/>
      </c>
      <c r="L319" s="26">
        <f>IF($B319="","",IF($K319="","—",IF(ROUND($K319-$J319,0)=0,"√","×")))</f>
        <v/>
      </c>
      <c r="M319" s="26">
        <f>IF($B319="","",IF(COUNTIFS(EntryDates,$B319,CalcTime,$C319,CalcBank,$C$5,EntryParty,$D319,EntryDep,$H319,EntryWit,$I319)&gt;1,"تکرار",""))</f>
        <v/>
      </c>
      <c r="N319" s="26">
        <f>IF($P319="","",IF(INDEX(EntryNotes,$P319)=0,"",INDEX(EntryNotes,$P319)))</f>
        <v/>
      </c>
      <c r="O319" s="26">
        <f>IF($P319="","",IF(INDEX(EntryTxnID,$P319)=0,"",INDEX(EntryTxnID,$P319)))</f>
        <v/>
      </c>
      <c r="P319" s="26">
        <f>IFERROR(MATCH($C$5&amp;"|"&amp;RIGHT("000000"&amp;303,6),CalcRankKey,0),"")</f>
        <v/>
      </c>
    </row>
    <row r="320">
      <c r="A320" s="28">
        <f>IF($B320="","",304)</f>
        <v/>
      </c>
      <c r="B320" s="28">
        <f>IF($P320="","",IF(INDEX(CalcNormDate,$P320)=0,"",INDEX(CalcNormDate,$P320)))</f>
        <v/>
      </c>
      <c r="C320" s="28">
        <f>IF($P320="","",IF(INDEX(CalcTime,$P320)=0,"",INDEX(CalcTime,$P320)))</f>
        <v/>
      </c>
      <c r="D320" s="28">
        <f>IF($P320="","",IF(INDEX(EntryParty,$P320)=0,"",INDEX(EntryParty,$P320)))</f>
        <v/>
      </c>
      <c r="E320" s="28">
        <f>IF($P320="","",IF(INDEX(EntryPartyName,$P320)=0,"",INDEX(EntryPartyName,$P320)))</f>
        <v/>
      </c>
      <c r="F320" s="28">
        <f>IF($P320="","",IF(INDEX(EntryPartyType,$P320)=0,"",INDEX(EntryPartyType,$P320)))</f>
        <v/>
      </c>
      <c r="G320" s="28">
        <f>IF($P320="","",IF(INDEX(EntryTxnType,$P320)=0,"",INDEX(EntryTxnType,$P320)))</f>
        <v/>
      </c>
      <c r="H320" s="29">
        <f>IF($P320="","",IF(INDEX(EntryDep,$P320)=0,"",INDEX(EntryDep,$P320)))</f>
        <v/>
      </c>
      <c r="I320" s="29">
        <f>IF($P320="","",IF(INDEX(EntryWit,$P320)=0,"",INDEX(EntryWit,$P320)))</f>
        <v/>
      </c>
      <c r="J320" s="29">
        <f>IF($B320="","",IF($A320=1,$C$7,IF(J319="",0,J319))+IF($H320="",0,$H320)-IF($I320="",0,$I320))</f>
        <v/>
      </c>
      <c r="K320" s="29">
        <f>IF($P320="","",IF(INDEX(EntryMan,$P320)=0,"",INDEX(EntryMan,$P320)))</f>
        <v/>
      </c>
      <c r="L320" s="28">
        <f>IF($B320="","",IF($K320="","—",IF(ROUND($K320-$J320,0)=0,"√","×")))</f>
        <v/>
      </c>
      <c r="M320" s="28">
        <f>IF($B320="","",IF(COUNTIFS(EntryDates,$B320,CalcTime,$C320,CalcBank,$C$5,EntryParty,$D320,EntryDep,$H320,EntryWit,$I320)&gt;1,"تکرار",""))</f>
        <v/>
      </c>
      <c r="N320" s="28">
        <f>IF($P320="","",IF(INDEX(EntryNotes,$P320)=0,"",INDEX(EntryNotes,$P320)))</f>
        <v/>
      </c>
      <c r="O320" s="28">
        <f>IF($P320="","",IF(INDEX(EntryTxnID,$P320)=0,"",INDEX(EntryTxnID,$P320)))</f>
        <v/>
      </c>
      <c r="P320" s="28">
        <f>IFERROR(MATCH($C$5&amp;"|"&amp;RIGHT("000000"&amp;304,6),CalcRankKey,0),"")</f>
        <v/>
      </c>
    </row>
    <row r="321">
      <c r="A321" s="26">
        <f>IF($B321="","",305)</f>
        <v/>
      </c>
      <c r="B321" s="26">
        <f>IF($P321="","",IF(INDEX(CalcNormDate,$P321)=0,"",INDEX(CalcNormDate,$P321)))</f>
        <v/>
      </c>
      <c r="C321" s="26">
        <f>IF($P321="","",IF(INDEX(CalcTime,$P321)=0,"",INDEX(CalcTime,$P321)))</f>
        <v/>
      </c>
      <c r="D321" s="26">
        <f>IF($P321="","",IF(INDEX(EntryParty,$P321)=0,"",INDEX(EntryParty,$P321)))</f>
        <v/>
      </c>
      <c r="E321" s="26">
        <f>IF($P321="","",IF(INDEX(EntryPartyName,$P321)=0,"",INDEX(EntryPartyName,$P321)))</f>
        <v/>
      </c>
      <c r="F321" s="26">
        <f>IF($P321="","",IF(INDEX(EntryPartyType,$P321)=0,"",INDEX(EntryPartyType,$P321)))</f>
        <v/>
      </c>
      <c r="G321" s="26">
        <f>IF($P321="","",IF(INDEX(EntryTxnType,$P321)=0,"",INDEX(EntryTxnType,$P321)))</f>
        <v/>
      </c>
      <c r="H321" s="27">
        <f>IF($P321="","",IF(INDEX(EntryDep,$P321)=0,"",INDEX(EntryDep,$P321)))</f>
        <v/>
      </c>
      <c r="I321" s="27">
        <f>IF($P321="","",IF(INDEX(EntryWit,$P321)=0,"",INDEX(EntryWit,$P321)))</f>
        <v/>
      </c>
      <c r="J321" s="27">
        <f>IF($B321="","",IF($A321=1,$C$7,IF(J320="",0,J320))+IF($H321="",0,$H321)-IF($I321="",0,$I321))</f>
        <v/>
      </c>
      <c r="K321" s="27">
        <f>IF($P321="","",IF(INDEX(EntryMan,$P321)=0,"",INDEX(EntryMan,$P321)))</f>
        <v/>
      </c>
      <c r="L321" s="26">
        <f>IF($B321="","",IF($K321="","—",IF(ROUND($K321-$J321,0)=0,"√","×")))</f>
        <v/>
      </c>
      <c r="M321" s="26">
        <f>IF($B321="","",IF(COUNTIFS(EntryDates,$B321,CalcTime,$C321,CalcBank,$C$5,EntryParty,$D321,EntryDep,$H321,EntryWit,$I321)&gt;1,"تکرار",""))</f>
        <v/>
      </c>
      <c r="N321" s="26">
        <f>IF($P321="","",IF(INDEX(EntryNotes,$P321)=0,"",INDEX(EntryNotes,$P321)))</f>
        <v/>
      </c>
      <c r="O321" s="26">
        <f>IF($P321="","",IF(INDEX(EntryTxnID,$P321)=0,"",INDEX(EntryTxnID,$P321)))</f>
        <v/>
      </c>
      <c r="P321" s="26">
        <f>IFERROR(MATCH($C$5&amp;"|"&amp;RIGHT("000000"&amp;305,6),CalcRankKey,0),"")</f>
        <v/>
      </c>
    </row>
    <row r="322">
      <c r="A322" s="28">
        <f>IF($B322="","",306)</f>
        <v/>
      </c>
      <c r="B322" s="28">
        <f>IF($P322="","",IF(INDEX(CalcNormDate,$P322)=0,"",INDEX(CalcNormDate,$P322)))</f>
        <v/>
      </c>
      <c r="C322" s="28">
        <f>IF($P322="","",IF(INDEX(CalcTime,$P322)=0,"",INDEX(CalcTime,$P322)))</f>
        <v/>
      </c>
      <c r="D322" s="28">
        <f>IF($P322="","",IF(INDEX(EntryParty,$P322)=0,"",INDEX(EntryParty,$P322)))</f>
        <v/>
      </c>
      <c r="E322" s="28">
        <f>IF($P322="","",IF(INDEX(EntryPartyName,$P322)=0,"",INDEX(EntryPartyName,$P322)))</f>
        <v/>
      </c>
      <c r="F322" s="28">
        <f>IF($P322="","",IF(INDEX(EntryPartyType,$P322)=0,"",INDEX(EntryPartyType,$P322)))</f>
        <v/>
      </c>
      <c r="G322" s="28">
        <f>IF($P322="","",IF(INDEX(EntryTxnType,$P322)=0,"",INDEX(EntryTxnType,$P322)))</f>
        <v/>
      </c>
      <c r="H322" s="29">
        <f>IF($P322="","",IF(INDEX(EntryDep,$P322)=0,"",INDEX(EntryDep,$P322)))</f>
        <v/>
      </c>
      <c r="I322" s="29">
        <f>IF($P322="","",IF(INDEX(EntryWit,$P322)=0,"",INDEX(EntryWit,$P322)))</f>
        <v/>
      </c>
      <c r="J322" s="29">
        <f>IF($B322="","",IF($A322=1,$C$7,IF(J321="",0,J321))+IF($H322="",0,$H322)-IF($I322="",0,$I322))</f>
        <v/>
      </c>
      <c r="K322" s="29">
        <f>IF($P322="","",IF(INDEX(EntryMan,$P322)=0,"",INDEX(EntryMan,$P322)))</f>
        <v/>
      </c>
      <c r="L322" s="28">
        <f>IF($B322="","",IF($K322="","—",IF(ROUND($K322-$J322,0)=0,"√","×")))</f>
        <v/>
      </c>
      <c r="M322" s="28">
        <f>IF($B322="","",IF(COUNTIFS(EntryDates,$B322,CalcTime,$C322,CalcBank,$C$5,EntryParty,$D322,EntryDep,$H322,EntryWit,$I322)&gt;1,"تکرار",""))</f>
        <v/>
      </c>
      <c r="N322" s="28">
        <f>IF($P322="","",IF(INDEX(EntryNotes,$P322)=0,"",INDEX(EntryNotes,$P322)))</f>
        <v/>
      </c>
      <c r="O322" s="28">
        <f>IF($P322="","",IF(INDEX(EntryTxnID,$P322)=0,"",INDEX(EntryTxnID,$P322)))</f>
        <v/>
      </c>
      <c r="P322" s="28">
        <f>IFERROR(MATCH($C$5&amp;"|"&amp;RIGHT("000000"&amp;306,6),CalcRankKey,0),"")</f>
        <v/>
      </c>
    </row>
    <row r="323">
      <c r="A323" s="26">
        <f>IF($B323="","",307)</f>
        <v/>
      </c>
      <c r="B323" s="26">
        <f>IF($P323="","",IF(INDEX(CalcNormDate,$P323)=0,"",INDEX(CalcNormDate,$P323)))</f>
        <v/>
      </c>
      <c r="C323" s="26">
        <f>IF($P323="","",IF(INDEX(CalcTime,$P323)=0,"",INDEX(CalcTime,$P323)))</f>
        <v/>
      </c>
      <c r="D323" s="26">
        <f>IF($P323="","",IF(INDEX(EntryParty,$P323)=0,"",INDEX(EntryParty,$P323)))</f>
        <v/>
      </c>
      <c r="E323" s="26">
        <f>IF($P323="","",IF(INDEX(EntryPartyName,$P323)=0,"",INDEX(EntryPartyName,$P323)))</f>
        <v/>
      </c>
      <c r="F323" s="26">
        <f>IF($P323="","",IF(INDEX(EntryPartyType,$P323)=0,"",INDEX(EntryPartyType,$P323)))</f>
        <v/>
      </c>
      <c r="G323" s="26">
        <f>IF($P323="","",IF(INDEX(EntryTxnType,$P323)=0,"",INDEX(EntryTxnType,$P323)))</f>
        <v/>
      </c>
      <c r="H323" s="27">
        <f>IF($P323="","",IF(INDEX(EntryDep,$P323)=0,"",INDEX(EntryDep,$P323)))</f>
        <v/>
      </c>
      <c r="I323" s="27">
        <f>IF($P323="","",IF(INDEX(EntryWit,$P323)=0,"",INDEX(EntryWit,$P323)))</f>
        <v/>
      </c>
      <c r="J323" s="27">
        <f>IF($B323="","",IF($A323=1,$C$7,IF(J322="",0,J322))+IF($H323="",0,$H323)-IF($I323="",0,$I323))</f>
        <v/>
      </c>
      <c r="K323" s="27">
        <f>IF($P323="","",IF(INDEX(EntryMan,$P323)=0,"",INDEX(EntryMan,$P323)))</f>
        <v/>
      </c>
      <c r="L323" s="26">
        <f>IF($B323="","",IF($K323="","—",IF(ROUND($K323-$J323,0)=0,"√","×")))</f>
        <v/>
      </c>
      <c r="M323" s="26">
        <f>IF($B323="","",IF(COUNTIFS(EntryDates,$B323,CalcTime,$C323,CalcBank,$C$5,EntryParty,$D323,EntryDep,$H323,EntryWit,$I323)&gt;1,"تکرار",""))</f>
        <v/>
      </c>
      <c r="N323" s="26">
        <f>IF($P323="","",IF(INDEX(EntryNotes,$P323)=0,"",INDEX(EntryNotes,$P323)))</f>
        <v/>
      </c>
      <c r="O323" s="26">
        <f>IF($P323="","",IF(INDEX(EntryTxnID,$P323)=0,"",INDEX(EntryTxnID,$P323)))</f>
        <v/>
      </c>
      <c r="P323" s="26">
        <f>IFERROR(MATCH($C$5&amp;"|"&amp;RIGHT("000000"&amp;307,6),CalcRankKey,0),"")</f>
        <v/>
      </c>
    </row>
    <row r="324">
      <c r="A324" s="28">
        <f>IF($B324="","",308)</f>
        <v/>
      </c>
      <c r="B324" s="28">
        <f>IF($P324="","",IF(INDEX(CalcNormDate,$P324)=0,"",INDEX(CalcNormDate,$P324)))</f>
        <v/>
      </c>
      <c r="C324" s="28">
        <f>IF($P324="","",IF(INDEX(CalcTime,$P324)=0,"",INDEX(CalcTime,$P324)))</f>
        <v/>
      </c>
      <c r="D324" s="28">
        <f>IF($P324="","",IF(INDEX(EntryParty,$P324)=0,"",INDEX(EntryParty,$P324)))</f>
        <v/>
      </c>
      <c r="E324" s="28">
        <f>IF($P324="","",IF(INDEX(EntryPartyName,$P324)=0,"",INDEX(EntryPartyName,$P324)))</f>
        <v/>
      </c>
      <c r="F324" s="28">
        <f>IF($P324="","",IF(INDEX(EntryPartyType,$P324)=0,"",INDEX(EntryPartyType,$P324)))</f>
        <v/>
      </c>
      <c r="G324" s="28">
        <f>IF($P324="","",IF(INDEX(EntryTxnType,$P324)=0,"",INDEX(EntryTxnType,$P324)))</f>
        <v/>
      </c>
      <c r="H324" s="29">
        <f>IF($P324="","",IF(INDEX(EntryDep,$P324)=0,"",INDEX(EntryDep,$P324)))</f>
        <v/>
      </c>
      <c r="I324" s="29">
        <f>IF($P324="","",IF(INDEX(EntryWit,$P324)=0,"",INDEX(EntryWit,$P324)))</f>
        <v/>
      </c>
      <c r="J324" s="29">
        <f>IF($B324="","",IF($A324=1,$C$7,IF(J323="",0,J323))+IF($H324="",0,$H324)-IF($I324="",0,$I324))</f>
        <v/>
      </c>
      <c r="K324" s="29">
        <f>IF($P324="","",IF(INDEX(EntryMan,$P324)=0,"",INDEX(EntryMan,$P324)))</f>
        <v/>
      </c>
      <c r="L324" s="28">
        <f>IF($B324="","",IF($K324="","—",IF(ROUND($K324-$J324,0)=0,"√","×")))</f>
        <v/>
      </c>
      <c r="M324" s="28">
        <f>IF($B324="","",IF(COUNTIFS(EntryDates,$B324,CalcTime,$C324,CalcBank,$C$5,EntryParty,$D324,EntryDep,$H324,EntryWit,$I324)&gt;1,"تکرار",""))</f>
        <v/>
      </c>
      <c r="N324" s="28">
        <f>IF($P324="","",IF(INDEX(EntryNotes,$P324)=0,"",INDEX(EntryNotes,$P324)))</f>
        <v/>
      </c>
      <c r="O324" s="28">
        <f>IF($P324="","",IF(INDEX(EntryTxnID,$P324)=0,"",INDEX(EntryTxnID,$P324)))</f>
        <v/>
      </c>
      <c r="P324" s="28">
        <f>IFERROR(MATCH($C$5&amp;"|"&amp;RIGHT("000000"&amp;308,6),CalcRankKey,0),"")</f>
        <v/>
      </c>
    </row>
    <row r="325">
      <c r="A325" s="26">
        <f>IF($B325="","",309)</f>
        <v/>
      </c>
      <c r="B325" s="26">
        <f>IF($P325="","",IF(INDEX(CalcNormDate,$P325)=0,"",INDEX(CalcNormDate,$P325)))</f>
        <v/>
      </c>
      <c r="C325" s="26">
        <f>IF($P325="","",IF(INDEX(CalcTime,$P325)=0,"",INDEX(CalcTime,$P325)))</f>
        <v/>
      </c>
      <c r="D325" s="26">
        <f>IF($P325="","",IF(INDEX(EntryParty,$P325)=0,"",INDEX(EntryParty,$P325)))</f>
        <v/>
      </c>
      <c r="E325" s="26">
        <f>IF($P325="","",IF(INDEX(EntryPartyName,$P325)=0,"",INDEX(EntryPartyName,$P325)))</f>
        <v/>
      </c>
      <c r="F325" s="26">
        <f>IF($P325="","",IF(INDEX(EntryPartyType,$P325)=0,"",INDEX(EntryPartyType,$P325)))</f>
        <v/>
      </c>
      <c r="G325" s="26">
        <f>IF($P325="","",IF(INDEX(EntryTxnType,$P325)=0,"",INDEX(EntryTxnType,$P325)))</f>
        <v/>
      </c>
      <c r="H325" s="27">
        <f>IF($P325="","",IF(INDEX(EntryDep,$P325)=0,"",INDEX(EntryDep,$P325)))</f>
        <v/>
      </c>
      <c r="I325" s="27">
        <f>IF($P325="","",IF(INDEX(EntryWit,$P325)=0,"",INDEX(EntryWit,$P325)))</f>
        <v/>
      </c>
      <c r="J325" s="27">
        <f>IF($B325="","",IF($A325=1,$C$7,IF(J324="",0,J324))+IF($H325="",0,$H325)-IF($I325="",0,$I325))</f>
        <v/>
      </c>
      <c r="K325" s="27">
        <f>IF($P325="","",IF(INDEX(EntryMan,$P325)=0,"",INDEX(EntryMan,$P325)))</f>
        <v/>
      </c>
      <c r="L325" s="26">
        <f>IF($B325="","",IF($K325="","—",IF(ROUND($K325-$J325,0)=0,"√","×")))</f>
        <v/>
      </c>
      <c r="M325" s="26">
        <f>IF($B325="","",IF(COUNTIFS(EntryDates,$B325,CalcTime,$C325,CalcBank,$C$5,EntryParty,$D325,EntryDep,$H325,EntryWit,$I325)&gt;1,"تکرار",""))</f>
        <v/>
      </c>
      <c r="N325" s="26">
        <f>IF($P325="","",IF(INDEX(EntryNotes,$P325)=0,"",INDEX(EntryNotes,$P325)))</f>
        <v/>
      </c>
      <c r="O325" s="26">
        <f>IF($P325="","",IF(INDEX(EntryTxnID,$P325)=0,"",INDEX(EntryTxnID,$P325)))</f>
        <v/>
      </c>
      <c r="P325" s="26">
        <f>IFERROR(MATCH($C$5&amp;"|"&amp;RIGHT("000000"&amp;309,6),CalcRankKey,0),"")</f>
        <v/>
      </c>
    </row>
    <row r="326">
      <c r="A326" s="28">
        <f>IF($B326="","",310)</f>
        <v/>
      </c>
      <c r="B326" s="28">
        <f>IF($P326="","",IF(INDEX(CalcNormDate,$P326)=0,"",INDEX(CalcNormDate,$P326)))</f>
        <v/>
      </c>
      <c r="C326" s="28">
        <f>IF($P326="","",IF(INDEX(CalcTime,$P326)=0,"",INDEX(CalcTime,$P326)))</f>
        <v/>
      </c>
      <c r="D326" s="28">
        <f>IF($P326="","",IF(INDEX(EntryParty,$P326)=0,"",INDEX(EntryParty,$P326)))</f>
        <v/>
      </c>
      <c r="E326" s="28">
        <f>IF($P326="","",IF(INDEX(EntryPartyName,$P326)=0,"",INDEX(EntryPartyName,$P326)))</f>
        <v/>
      </c>
      <c r="F326" s="28">
        <f>IF($P326="","",IF(INDEX(EntryPartyType,$P326)=0,"",INDEX(EntryPartyType,$P326)))</f>
        <v/>
      </c>
      <c r="G326" s="28">
        <f>IF($P326="","",IF(INDEX(EntryTxnType,$P326)=0,"",INDEX(EntryTxnType,$P326)))</f>
        <v/>
      </c>
      <c r="H326" s="29">
        <f>IF($P326="","",IF(INDEX(EntryDep,$P326)=0,"",INDEX(EntryDep,$P326)))</f>
        <v/>
      </c>
      <c r="I326" s="29">
        <f>IF($P326="","",IF(INDEX(EntryWit,$P326)=0,"",INDEX(EntryWit,$P326)))</f>
        <v/>
      </c>
      <c r="J326" s="29">
        <f>IF($B326="","",IF($A326=1,$C$7,IF(J325="",0,J325))+IF($H326="",0,$H326)-IF($I326="",0,$I326))</f>
        <v/>
      </c>
      <c r="K326" s="29">
        <f>IF($P326="","",IF(INDEX(EntryMan,$P326)=0,"",INDEX(EntryMan,$P326)))</f>
        <v/>
      </c>
      <c r="L326" s="28">
        <f>IF($B326="","",IF($K326="","—",IF(ROUND($K326-$J326,0)=0,"√","×")))</f>
        <v/>
      </c>
      <c r="M326" s="28">
        <f>IF($B326="","",IF(COUNTIFS(EntryDates,$B326,CalcTime,$C326,CalcBank,$C$5,EntryParty,$D326,EntryDep,$H326,EntryWit,$I326)&gt;1,"تکرار",""))</f>
        <v/>
      </c>
      <c r="N326" s="28">
        <f>IF($P326="","",IF(INDEX(EntryNotes,$P326)=0,"",INDEX(EntryNotes,$P326)))</f>
        <v/>
      </c>
      <c r="O326" s="28">
        <f>IF($P326="","",IF(INDEX(EntryTxnID,$P326)=0,"",INDEX(EntryTxnID,$P326)))</f>
        <v/>
      </c>
      <c r="P326" s="28">
        <f>IFERROR(MATCH($C$5&amp;"|"&amp;RIGHT("000000"&amp;310,6),CalcRankKey,0),"")</f>
        <v/>
      </c>
    </row>
    <row r="327">
      <c r="A327" s="26">
        <f>IF($B327="","",311)</f>
        <v/>
      </c>
      <c r="B327" s="26">
        <f>IF($P327="","",IF(INDEX(CalcNormDate,$P327)=0,"",INDEX(CalcNormDate,$P327)))</f>
        <v/>
      </c>
      <c r="C327" s="26">
        <f>IF($P327="","",IF(INDEX(CalcTime,$P327)=0,"",INDEX(CalcTime,$P327)))</f>
        <v/>
      </c>
      <c r="D327" s="26">
        <f>IF($P327="","",IF(INDEX(EntryParty,$P327)=0,"",INDEX(EntryParty,$P327)))</f>
        <v/>
      </c>
      <c r="E327" s="26">
        <f>IF($P327="","",IF(INDEX(EntryPartyName,$P327)=0,"",INDEX(EntryPartyName,$P327)))</f>
        <v/>
      </c>
      <c r="F327" s="26">
        <f>IF($P327="","",IF(INDEX(EntryPartyType,$P327)=0,"",INDEX(EntryPartyType,$P327)))</f>
        <v/>
      </c>
      <c r="G327" s="26">
        <f>IF($P327="","",IF(INDEX(EntryTxnType,$P327)=0,"",INDEX(EntryTxnType,$P327)))</f>
        <v/>
      </c>
      <c r="H327" s="27">
        <f>IF($P327="","",IF(INDEX(EntryDep,$P327)=0,"",INDEX(EntryDep,$P327)))</f>
        <v/>
      </c>
      <c r="I327" s="27">
        <f>IF($P327="","",IF(INDEX(EntryWit,$P327)=0,"",INDEX(EntryWit,$P327)))</f>
        <v/>
      </c>
      <c r="J327" s="27">
        <f>IF($B327="","",IF($A327=1,$C$7,IF(J326="",0,J326))+IF($H327="",0,$H327)-IF($I327="",0,$I327))</f>
        <v/>
      </c>
      <c r="K327" s="27">
        <f>IF($P327="","",IF(INDEX(EntryMan,$P327)=0,"",INDEX(EntryMan,$P327)))</f>
        <v/>
      </c>
      <c r="L327" s="26">
        <f>IF($B327="","",IF($K327="","—",IF(ROUND($K327-$J327,0)=0,"√","×")))</f>
        <v/>
      </c>
      <c r="M327" s="26">
        <f>IF($B327="","",IF(COUNTIFS(EntryDates,$B327,CalcTime,$C327,CalcBank,$C$5,EntryParty,$D327,EntryDep,$H327,EntryWit,$I327)&gt;1,"تکرار",""))</f>
        <v/>
      </c>
      <c r="N327" s="26">
        <f>IF($P327="","",IF(INDEX(EntryNotes,$P327)=0,"",INDEX(EntryNotes,$P327)))</f>
        <v/>
      </c>
      <c r="O327" s="26">
        <f>IF($P327="","",IF(INDEX(EntryTxnID,$P327)=0,"",INDEX(EntryTxnID,$P327)))</f>
        <v/>
      </c>
      <c r="P327" s="26">
        <f>IFERROR(MATCH($C$5&amp;"|"&amp;RIGHT("000000"&amp;311,6),CalcRankKey,0),"")</f>
        <v/>
      </c>
    </row>
    <row r="328">
      <c r="A328" s="28">
        <f>IF($B328="","",312)</f>
        <v/>
      </c>
      <c r="B328" s="28">
        <f>IF($P328="","",IF(INDEX(CalcNormDate,$P328)=0,"",INDEX(CalcNormDate,$P328)))</f>
        <v/>
      </c>
      <c r="C328" s="28">
        <f>IF($P328="","",IF(INDEX(CalcTime,$P328)=0,"",INDEX(CalcTime,$P328)))</f>
        <v/>
      </c>
      <c r="D328" s="28">
        <f>IF($P328="","",IF(INDEX(EntryParty,$P328)=0,"",INDEX(EntryParty,$P328)))</f>
        <v/>
      </c>
      <c r="E328" s="28">
        <f>IF($P328="","",IF(INDEX(EntryPartyName,$P328)=0,"",INDEX(EntryPartyName,$P328)))</f>
        <v/>
      </c>
      <c r="F328" s="28">
        <f>IF($P328="","",IF(INDEX(EntryPartyType,$P328)=0,"",INDEX(EntryPartyType,$P328)))</f>
        <v/>
      </c>
      <c r="G328" s="28">
        <f>IF($P328="","",IF(INDEX(EntryTxnType,$P328)=0,"",INDEX(EntryTxnType,$P328)))</f>
        <v/>
      </c>
      <c r="H328" s="29">
        <f>IF($P328="","",IF(INDEX(EntryDep,$P328)=0,"",INDEX(EntryDep,$P328)))</f>
        <v/>
      </c>
      <c r="I328" s="29">
        <f>IF($P328="","",IF(INDEX(EntryWit,$P328)=0,"",INDEX(EntryWit,$P328)))</f>
        <v/>
      </c>
      <c r="J328" s="29">
        <f>IF($B328="","",IF($A328=1,$C$7,IF(J327="",0,J327))+IF($H328="",0,$H328)-IF($I328="",0,$I328))</f>
        <v/>
      </c>
      <c r="K328" s="29">
        <f>IF($P328="","",IF(INDEX(EntryMan,$P328)=0,"",INDEX(EntryMan,$P328)))</f>
        <v/>
      </c>
      <c r="L328" s="28">
        <f>IF($B328="","",IF($K328="","—",IF(ROUND($K328-$J328,0)=0,"√","×")))</f>
        <v/>
      </c>
      <c r="M328" s="28">
        <f>IF($B328="","",IF(COUNTIFS(EntryDates,$B328,CalcTime,$C328,CalcBank,$C$5,EntryParty,$D328,EntryDep,$H328,EntryWit,$I328)&gt;1,"تکرار",""))</f>
        <v/>
      </c>
      <c r="N328" s="28">
        <f>IF($P328="","",IF(INDEX(EntryNotes,$P328)=0,"",INDEX(EntryNotes,$P328)))</f>
        <v/>
      </c>
      <c r="O328" s="28">
        <f>IF($P328="","",IF(INDEX(EntryTxnID,$P328)=0,"",INDEX(EntryTxnID,$P328)))</f>
        <v/>
      </c>
      <c r="P328" s="28">
        <f>IFERROR(MATCH($C$5&amp;"|"&amp;RIGHT("000000"&amp;312,6),CalcRankKey,0),"")</f>
        <v/>
      </c>
    </row>
    <row r="329">
      <c r="A329" s="26">
        <f>IF($B329="","",313)</f>
        <v/>
      </c>
      <c r="B329" s="26">
        <f>IF($P329="","",IF(INDEX(CalcNormDate,$P329)=0,"",INDEX(CalcNormDate,$P329)))</f>
        <v/>
      </c>
      <c r="C329" s="26">
        <f>IF($P329="","",IF(INDEX(CalcTime,$P329)=0,"",INDEX(CalcTime,$P329)))</f>
        <v/>
      </c>
      <c r="D329" s="26">
        <f>IF($P329="","",IF(INDEX(EntryParty,$P329)=0,"",INDEX(EntryParty,$P329)))</f>
        <v/>
      </c>
      <c r="E329" s="26">
        <f>IF($P329="","",IF(INDEX(EntryPartyName,$P329)=0,"",INDEX(EntryPartyName,$P329)))</f>
        <v/>
      </c>
      <c r="F329" s="26">
        <f>IF($P329="","",IF(INDEX(EntryPartyType,$P329)=0,"",INDEX(EntryPartyType,$P329)))</f>
        <v/>
      </c>
      <c r="G329" s="26">
        <f>IF($P329="","",IF(INDEX(EntryTxnType,$P329)=0,"",INDEX(EntryTxnType,$P329)))</f>
        <v/>
      </c>
      <c r="H329" s="27">
        <f>IF($P329="","",IF(INDEX(EntryDep,$P329)=0,"",INDEX(EntryDep,$P329)))</f>
        <v/>
      </c>
      <c r="I329" s="27">
        <f>IF($P329="","",IF(INDEX(EntryWit,$P329)=0,"",INDEX(EntryWit,$P329)))</f>
        <v/>
      </c>
      <c r="J329" s="27">
        <f>IF($B329="","",IF($A329=1,$C$7,IF(J328="",0,J328))+IF($H329="",0,$H329)-IF($I329="",0,$I329))</f>
        <v/>
      </c>
      <c r="K329" s="27">
        <f>IF($P329="","",IF(INDEX(EntryMan,$P329)=0,"",INDEX(EntryMan,$P329)))</f>
        <v/>
      </c>
      <c r="L329" s="26">
        <f>IF($B329="","",IF($K329="","—",IF(ROUND($K329-$J329,0)=0,"√","×")))</f>
        <v/>
      </c>
      <c r="M329" s="26">
        <f>IF($B329="","",IF(COUNTIFS(EntryDates,$B329,CalcTime,$C329,CalcBank,$C$5,EntryParty,$D329,EntryDep,$H329,EntryWit,$I329)&gt;1,"تکرار",""))</f>
        <v/>
      </c>
      <c r="N329" s="26">
        <f>IF($P329="","",IF(INDEX(EntryNotes,$P329)=0,"",INDEX(EntryNotes,$P329)))</f>
        <v/>
      </c>
      <c r="O329" s="26">
        <f>IF($P329="","",IF(INDEX(EntryTxnID,$P329)=0,"",INDEX(EntryTxnID,$P329)))</f>
        <v/>
      </c>
      <c r="P329" s="26">
        <f>IFERROR(MATCH($C$5&amp;"|"&amp;RIGHT("000000"&amp;313,6),CalcRankKey,0),"")</f>
        <v/>
      </c>
    </row>
    <row r="330">
      <c r="A330" s="28">
        <f>IF($B330="","",314)</f>
        <v/>
      </c>
      <c r="B330" s="28">
        <f>IF($P330="","",IF(INDEX(CalcNormDate,$P330)=0,"",INDEX(CalcNormDate,$P330)))</f>
        <v/>
      </c>
      <c r="C330" s="28">
        <f>IF($P330="","",IF(INDEX(CalcTime,$P330)=0,"",INDEX(CalcTime,$P330)))</f>
        <v/>
      </c>
      <c r="D330" s="28">
        <f>IF($P330="","",IF(INDEX(EntryParty,$P330)=0,"",INDEX(EntryParty,$P330)))</f>
        <v/>
      </c>
      <c r="E330" s="28">
        <f>IF($P330="","",IF(INDEX(EntryPartyName,$P330)=0,"",INDEX(EntryPartyName,$P330)))</f>
        <v/>
      </c>
      <c r="F330" s="28">
        <f>IF($P330="","",IF(INDEX(EntryPartyType,$P330)=0,"",INDEX(EntryPartyType,$P330)))</f>
        <v/>
      </c>
      <c r="G330" s="28">
        <f>IF($P330="","",IF(INDEX(EntryTxnType,$P330)=0,"",INDEX(EntryTxnType,$P330)))</f>
        <v/>
      </c>
      <c r="H330" s="29">
        <f>IF($P330="","",IF(INDEX(EntryDep,$P330)=0,"",INDEX(EntryDep,$P330)))</f>
        <v/>
      </c>
      <c r="I330" s="29">
        <f>IF($P330="","",IF(INDEX(EntryWit,$P330)=0,"",INDEX(EntryWit,$P330)))</f>
        <v/>
      </c>
      <c r="J330" s="29">
        <f>IF($B330="","",IF($A330=1,$C$7,IF(J329="",0,J329))+IF($H330="",0,$H330)-IF($I330="",0,$I330))</f>
        <v/>
      </c>
      <c r="K330" s="29">
        <f>IF($P330="","",IF(INDEX(EntryMan,$P330)=0,"",INDEX(EntryMan,$P330)))</f>
        <v/>
      </c>
      <c r="L330" s="28">
        <f>IF($B330="","",IF($K330="","—",IF(ROUND($K330-$J330,0)=0,"√","×")))</f>
        <v/>
      </c>
      <c r="M330" s="28">
        <f>IF($B330="","",IF(COUNTIFS(EntryDates,$B330,CalcTime,$C330,CalcBank,$C$5,EntryParty,$D330,EntryDep,$H330,EntryWit,$I330)&gt;1,"تکرار",""))</f>
        <v/>
      </c>
      <c r="N330" s="28">
        <f>IF($P330="","",IF(INDEX(EntryNotes,$P330)=0,"",INDEX(EntryNotes,$P330)))</f>
        <v/>
      </c>
      <c r="O330" s="28">
        <f>IF($P330="","",IF(INDEX(EntryTxnID,$P330)=0,"",INDEX(EntryTxnID,$P330)))</f>
        <v/>
      </c>
      <c r="P330" s="28">
        <f>IFERROR(MATCH($C$5&amp;"|"&amp;RIGHT("000000"&amp;314,6),CalcRankKey,0),"")</f>
        <v/>
      </c>
    </row>
    <row r="331">
      <c r="A331" s="26">
        <f>IF($B331="","",315)</f>
        <v/>
      </c>
      <c r="B331" s="26">
        <f>IF($P331="","",IF(INDEX(CalcNormDate,$P331)=0,"",INDEX(CalcNormDate,$P331)))</f>
        <v/>
      </c>
      <c r="C331" s="26">
        <f>IF($P331="","",IF(INDEX(CalcTime,$P331)=0,"",INDEX(CalcTime,$P331)))</f>
        <v/>
      </c>
      <c r="D331" s="26">
        <f>IF($P331="","",IF(INDEX(EntryParty,$P331)=0,"",INDEX(EntryParty,$P331)))</f>
        <v/>
      </c>
      <c r="E331" s="26">
        <f>IF($P331="","",IF(INDEX(EntryPartyName,$P331)=0,"",INDEX(EntryPartyName,$P331)))</f>
        <v/>
      </c>
      <c r="F331" s="26">
        <f>IF($P331="","",IF(INDEX(EntryPartyType,$P331)=0,"",INDEX(EntryPartyType,$P331)))</f>
        <v/>
      </c>
      <c r="G331" s="26">
        <f>IF($P331="","",IF(INDEX(EntryTxnType,$P331)=0,"",INDEX(EntryTxnType,$P331)))</f>
        <v/>
      </c>
      <c r="H331" s="27">
        <f>IF($P331="","",IF(INDEX(EntryDep,$P331)=0,"",INDEX(EntryDep,$P331)))</f>
        <v/>
      </c>
      <c r="I331" s="27">
        <f>IF($P331="","",IF(INDEX(EntryWit,$P331)=0,"",INDEX(EntryWit,$P331)))</f>
        <v/>
      </c>
      <c r="J331" s="27">
        <f>IF($B331="","",IF($A331=1,$C$7,IF(J330="",0,J330))+IF($H331="",0,$H331)-IF($I331="",0,$I331))</f>
        <v/>
      </c>
      <c r="K331" s="27">
        <f>IF($P331="","",IF(INDEX(EntryMan,$P331)=0,"",INDEX(EntryMan,$P331)))</f>
        <v/>
      </c>
      <c r="L331" s="26">
        <f>IF($B331="","",IF($K331="","—",IF(ROUND($K331-$J331,0)=0,"√","×")))</f>
        <v/>
      </c>
      <c r="M331" s="26">
        <f>IF($B331="","",IF(COUNTIFS(EntryDates,$B331,CalcTime,$C331,CalcBank,$C$5,EntryParty,$D331,EntryDep,$H331,EntryWit,$I331)&gt;1,"تکرار",""))</f>
        <v/>
      </c>
      <c r="N331" s="26">
        <f>IF($P331="","",IF(INDEX(EntryNotes,$P331)=0,"",INDEX(EntryNotes,$P331)))</f>
        <v/>
      </c>
      <c r="O331" s="26">
        <f>IF($P331="","",IF(INDEX(EntryTxnID,$P331)=0,"",INDEX(EntryTxnID,$P331)))</f>
        <v/>
      </c>
      <c r="P331" s="26">
        <f>IFERROR(MATCH($C$5&amp;"|"&amp;RIGHT("000000"&amp;315,6),CalcRankKey,0),"")</f>
        <v/>
      </c>
    </row>
    <row r="332">
      <c r="A332" s="28">
        <f>IF($B332="","",316)</f>
        <v/>
      </c>
      <c r="B332" s="28">
        <f>IF($P332="","",IF(INDEX(CalcNormDate,$P332)=0,"",INDEX(CalcNormDate,$P332)))</f>
        <v/>
      </c>
      <c r="C332" s="28">
        <f>IF($P332="","",IF(INDEX(CalcTime,$P332)=0,"",INDEX(CalcTime,$P332)))</f>
        <v/>
      </c>
      <c r="D332" s="28">
        <f>IF($P332="","",IF(INDEX(EntryParty,$P332)=0,"",INDEX(EntryParty,$P332)))</f>
        <v/>
      </c>
      <c r="E332" s="28">
        <f>IF($P332="","",IF(INDEX(EntryPartyName,$P332)=0,"",INDEX(EntryPartyName,$P332)))</f>
        <v/>
      </c>
      <c r="F332" s="28">
        <f>IF($P332="","",IF(INDEX(EntryPartyType,$P332)=0,"",INDEX(EntryPartyType,$P332)))</f>
        <v/>
      </c>
      <c r="G332" s="28">
        <f>IF($P332="","",IF(INDEX(EntryTxnType,$P332)=0,"",INDEX(EntryTxnType,$P332)))</f>
        <v/>
      </c>
      <c r="H332" s="29">
        <f>IF($P332="","",IF(INDEX(EntryDep,$P332)=0,"",INDEX(EntryDep,$P332)))</f>
        <v/>
      </c>
      <c r="I332" s="29">
        <f>IF($P332="","",IF(INDEX(EntryWit,$P332)=0,"",INDEX(EntryWit,$P332)))</f>
        <v/>
      </c>
      <c r="J332" s="29">
        <f>IF($B332="","",IF($A332=1,$C$7,IF(J331="",0,J331))+IF($H332="",0,$H332)-IF($I332="",0,$I332))</f>
        <v/>
      </c>
      <c r="K332" s="29">
        <f>IF($P332="","",IF(INDEX(EntryMan,$P332)=0,"",INDEX(EntryMan,$P332)))</f>
        <v/>
      </c>
      <c r="L332" s="28">
        <f>IF($B332="","",IF($K332="","—",IF(ROUND($K332-$J332,0)=0,"√","×")))</f>
        <v/>
      </c>
      <c r="M332" s="28">
        <f>IF($B332="","",IF(COUNTIFS(EntryDates,$B332,CalcTime,$C332,CalcBank,$C$5,EntryParty,$D332,EntryDep,$H332,EntryWit,$I332)&gt;1,"تکرار",""))</f>
        <v/>
      </c>
      <c r="N332" s="28">
        <f>IF($P332="","",IF(INDEX(EntryNotes,$P332)=0,"",INDEX(EntryNotes,$P332)))</f>
        <v/>
      </c>
      <c r="O332" s="28">
        <f>IF($P332="","",IF(INDEX(EntryTxnID,$P332)=0,"",INDEX(EntryTxnID,$P332)))</f>
        <v/>
      </c>
      <c r="P332" s="28">
        <f>IFERROR(MATCH($C$5&amp;"|"&amp;RIGHT("000000"&amp;316,6),CalcRankKey,0),"")</f>
        <v/>
      </c>
    </row>
    <row r="333">
      <c r="A333" s="26">
        <f>IF($B333="","",317)</f>
        <v/>
      </c>
      <c r="B333" s="26">
        <f>IF($P333="","",IF(INDEX(CalcNormDate,$P333)=0,"",INDEX(CalcNormDate,$P333)))</f>
        <v/>
      </c>
      <c r="C333" s="26">
        <f>IF($P333="","",IF(INDEX(CalcTime,$P333)=0,"",INDEX(CalcTime,$P333)))</f>
        <v/>
      </c>
      <c r="D333" s="26">
        <f>IF($P333="","",IF(INDEX(EntryParty,$P333)=0,"",INDEX(EntryParty,$P333)))</f>
        <v/>
      </c>
      <c r="E333" s="26">
        <f>IF($P333="","",IF(INDEX(EntryPartyName,$P333)=0,"",INDEX(EntryPartyName,$P333)))</f>
        <v/>
      </c>
      <c r="F333" s="26">
        <f>IF($P333="","",IF(INDEX(EntryPartyType,$P333)=0,"",INDEX(EntryPartyType,$P333)))</f>
        <v/>
      </c>
      <c r="G333" s="26">
        <f>IF($P333="","",IF(INDEX(EntryTxnType,$P333)=0,"",INDEX(EntryTxnType,$P333)))</f>
        <v/>
      </c>
      <c r="H333" s="27">
        <f>IF($P333="","",IF(INDEX(EntryDep,$P333)=0,"",INDEX(EntryDep,$P333)))</f>
        <v/>
      </c>
      <c r="I333" s="27">
        <f>IF($P333="","",IF(INDEX(EntryWit,$P333)=0,"",INDEX(EntryWit,$P333)))</f>
        <v/>
      </c>
      <c r="J333" s="27">
        <f>IF($B333="","",IF($A333=1,$C$7,IF(J332="",0,J332))+IF($H333="",0,$H333)-IF($I333="",0,$I333))</f>
        <v/>
      </c>
      <c r="K333" s="27">
        <f>IF($P333="","",IF(INDEX(EntryMan,$P333)=0,"",INDEX(EntryMan,$P333)))</f>
        <v/>
      </c>
      <c r="L333" s="26">
        <f>IF($B333="","",IF($K333="","—",IF(ROUND($K333-$J333,0)=0,"√","×")))</f>
        <v/>
      </c>
      <c r="M333" s="26">
        <f>IF($B333="","",IF(COUNTIFS(EntryDates,$B333,CalcTime,$C333,CalcBank,$C$5,EntryParty,$D333,EntryDep,$H333,EntryWit,$I333)&gt;1,"تکرار",""))</f>
        <v/>
      </c>
      <c r="N333" s="26">
        <f>IF($P333="","",IF(INDEX(EntryNotes,$P333)=0,"",INDEX(EntryNotes,$P333)))</f>
        <v/>
      </c>
      <c r="O333" s="26">
        <f>IF($P333="","",IF(INDEX(EntryTxnID,$P333)=0,"",INDEX(EntryTxnID,$P333)))</f>
        <v/>
      </c>
      <c r="P333" s="26">
        <f>IFERROR(MATCH($C$5&amp;"|"&amp;RIGHT("000000"&amp;317,6),CalcRankKey,0),"")</f>
        <v/>
      </c>
    </row>
    <row r="334">
      <c r="A334" s="28">
        <f>IF($B334="","",318)</f>
        <v/>
      </c>
      <c r="B334" s="28">
        <f>IF($P334="","",IF(INDEX(CalcNormDate,$P334)=0,"",INDEX(CalcNormDate,$P334)))</f>
        <v/>
      </c>
      <c r="C334" s="28">
        <f>IF($P334="","",IF(INDEX(CalcTime,$P334)=0,"",INDEX(CalcTime,$P334)))</f>
        <v/>
      </c>
      <c r="D334" s="28">
        <f>IF($P334="","",IF(INDEX(EntryParty,$P334)=0,"",INDEX(EntryParty,$P334)))</f>
        <v/>
      </c>
      <c r="E334" s="28">
        <f>IF($P334="","",IF(INDEX(EntryPartyName,$P334)=0,"",INDEX(EntryPartyName,$P334)))</f>
        <v/>
      </c>
      <c r="F334" s="28">
        <f>IF($P334="","",IF(INDEX(EntryPartyType,$P334)=0,"",INDEX(EntryPartyType,$P334)))</f>
        <v/>
      </c>
      <c r="G334" s="28">
        <f>IF($P334="","",IF(INDEX(EntryTxnType,$P334)=0,"",INDEX(EntryTxnType,$P334)))</f>
        <v/>
      </c>
      <c r="H334" s="29">
        <f>IF($P334="","",IF(INDEX(EntryDep,$P334)=0,"",INDEX(EntryDep,$P334)))</f>
        <v/>
      </c>
      <c r="I334" s="29">
        <f>IF($P334="","",IF(INDEX(EntryWit,$P334)=0,"",INDEX(EntryWit,$P334)))</f>
        <v/>
      </c>
      <c r="J334" s="29">
        <f>IF($B334="","",IF($A334=1,$C$7,IF(J333="",0,J333))+IF($H334="",0,$H334)-IF($I334="",0,$I334))</f>
        <v/>
      </c>
      <c r="K334" s="29">
        <f>IF($P334="","",IF(INDEX(EntryMan,$P334)=0,"",INDEX(EntryMan,$P334)))</f>
        <v/>
      </c>
      <c r="L334" s="28">
        <f>IF($B334="","",IF($K334="","—",IF(ROUND($K334-$J334,0)=0,"√","×")))</f>
        <v/>
      </c>
      <c r="M334" s="28">
        <f>IF($B334="","",IF(COUNTIFS(EntryDates,$B334,CalcTime,$C334,CalcBank,$C$5,EntryParty,$D334,EntryDep,$H334,EntryWit,$I334)&gt;1,"تکرار",""))</f>
        <v/>
      </c>
      <c r="N334" s="28">
        <f>IF($P334="","",IF(INDEX(EntryNotes,$P334)=0,"",INDEX(EntryNotes,$P334)))</f>
        <v/>
      </c>
      <c r="O334" s="28">
        <f>IF($P334="","",IF(INDEX(EntryTxnID,$P334)=0,"",INDEX(EntryTxnID,$P334)))</f>
        <v/>
      </c>
      <c r="P334" s="28">
        <f>IFERROR(MATCH($C$5&amp;"|"&amp;RIGHT("000000"&amp;318,6),CalcRankKey,0),"")</f>
        <v/>
      </c>
    </row>
    <row r="335">
      <c r="A335" s="26">
        <f>IF($B335="","",319)</f>
        <v/>
      </c>
      <c r="B335" s="26">
        <f>IF($P335="","",IF(INDEX(CalcNormDate,$P335)=0,"",INDEX(CalcNormDate,$P335)))</f>
        <v/>
      </c>
      <c r="C335" s="26">
        <f>IF($P335="","",IF(INDEX(CalcTime,$P335)=0,"",INDEX(CalcTime,$P335)))</f>
        <v/>
      </c>
      <c r="D335" s="26">
        <f>IF($P335="","",IF(INDEX(EntryParty,$P335)=0,"",INDEX(EntryParty,$P335)))</f>
        <v/>
      </c>
      <c r="E335" s="26">
        <f>IF($P335="","",IF(INDEX(EntryPartyName,$P335)=0,"",INDEX(EntryPartyName,$P335)))</f>
        <v/>
      </c>
      <c r="F335" s="26">
        <f>IF($P335="","",IF(INDEX(EntryPartyType,$P335)=0,"",INDEX(EntryPartyType,$P335)))</f>
        <v/>
      </c>
      <c r="G335" s="26">
        <f>IF($P335="","",IF(INDEX(EntryTxnType,$P335)=0,"",INDEX(EntryTxnType,$P335)))</f>
        <v/>
      </c>
      <c r="H335" s="27">
        <f>IF($P335="","",IF(INDEX(EntryDep,$P335)=0,"",INDEX(EntryDep,$P335)))</f>
        <v/>
      </c>
      <c r="I335" s="27">
        <f>IF($P335="","",IF(INDEX(EntryWit,$P335)=0,"",INDEX(EntryWit,$P335)))</f>
        <v/>
      </c>
      <c r="J335" s="27">
        <f>IF($B335="","",IF($A335=1,$C$7,IF(J334="",0,J334))+IF($H335="",0,$H335)-IF($I335="",0,$I335))</f>
        <v/>
      </c>
      <c r="K335" s="27">
        <f>IF($P335="","",IF(INDEX(EntryMan,$P335)=0,"",INDEX(EntryMan,$P335)))</f>
        <v/>
      </c>
      <c r="L335" s="26">
        <f>IF($B335="","",IF($K335="","—",IF(ROUND($K335-$J335,0)=0,"√","×")))</f>
        <v/>
      </c>
      <c r="M335" s="26">
        <f>IF($B335="","",IF(COUNTIFS(EntryDates,$B335,CalcTime,$C335,CalcBank,$C$5,EntryParty,$D335,EntryDep,$H335,EntryWit,$I335)&gt;1,"تکرار",""))</f>
        <v/>
      </c>
      <c r="N335" s="26">
        <f>IF($P335="","",IF(INDEX(EntryNotes,$P335)=0,"",INDEX(EntryNotes,$P335)))</f>
        <v/>
      </c>
      <c r="O335" s="26">
        <f>IF($P335="","",IF(INDEX(EntryTxnID,$P335)=0,"",INDEX(EntryTxnID,$P335)))</f>
        <v/>
      </c>
      <c r="P335" s="26">
        <f>IFERROR(MATCH($C$5&amp;"|"&amp;RIGHT("000000"&amp;319,6),CalcRankKey,0),"")</f>
        <v/>
      </c>
    </row>
    <row r="336">
      <c r="A336" s="28">
        <f>IF($B336="","",320)</f>
        <v/>
      </c>
      <c r="B336" s="28">
        <f>IF($P336="","",IF(INDEX(CalcNormDate,$P336)=0,"",INDEX(CalcNormDate,$P336)))</f>
        <v/>
      </c>
      <c r="C336" s="28">
        <f>IF($P336="","",IF(INDEX(CalcTime,$P336)=0,"",INDEX(CalcTime,$P336)))</f>
        <v/>
      </c>
      <c r="D336" s="28">
        <f>IF($P336="","",IF(INDEX(EntryParty,$P336)=0,"",INDEX(EntryParty,$P336)))</f>
        <v/>
      </c>
      <c r="E336" s="28">
        <f>IF($P336="","",IF(INDEX(EntryPartyName,$P336)=0,"",INDEX(EntryPartyName,$P336)))</f>
        <v/>
      </c>
      <c r="F336" s="28">
        <f>IF($P336="","",IF(INDEX(EntryPartyType,$P336)=0,"",INDEX(EntryPartyType,$P336)))</f>
        <v/>
      </c>
      <c r="G336" s="28">
        <f>IF($P336="","",IF(INDEX(EntryTxnType,$P336)=0,"",INDEX(EntryTxnType,$P336)))</f>
        <v/>
      </c>
      <c r="H336" s="29">
        <f>IF($P336="","",IF(INDEX(EntryDep,$P336)=0,"",INDEX(EntryDep,$P336)))</f>
        <v/>
      </c>
      <c r="I336" s="29">
        <f>IF($P336="","",IF(INDEX(EntryWit,$P336)=0,"",INDEX(EntryWit,$P336)))</f>
        <v/>
      </c>
      <c r="J336" s="29">
        <f>IF($B336="","",IF($A336=1,$C$7,IF(J335="",0,J335))+IF($H336="",0,$H336)-IF($I336="",0,$I336))</f>
        <v/>
      </c>
      <c r="K336" s="29">
        <f>IF($P336="","",IF(INDEX(EntryMan,$P336)=0,"",INDEX(EntryMan,$P336)))</f>
        <v/>
      </c>
      <c r="L336" s="28">
        <f>IF($B336="","",IF($K336="","—",IF(ROUND($K336-$J336,0)=0,"√","×")))</f>
        <v/>
      </c>
      <c r="M336" s="28">
        <f>IF($B336="","",IF(COUNTIFS(EntryDates,$B336,CalcTime,$C336,CalcBank,$C$5,EntryParty,$D336,EntryDep,$H336,EntryWit,$I336)&gt;1,"تکرار",""))</f>
        <v/>
      </c>
      <c r="N336" s="28">
        <f>IF($P336="","",IF(INDEX(EntryNotes,$P336)=0,"",INDEX(EntryNotes,$P336)))</f>
        <v/>
      </c>
      <c r="O336" s="28">
        <f>IF($P336="","",IF(INDEX(EntryTxnID,$P336)=0,"",INDEX(EntryTxnID,$P336)))</f>
        <v/>
      </c>
      <c r="P336" s="28">
        <f>IFERROR(MATCH($C$5&amp;"|"&amp;RIGHT("000000"&amp;320,6),CalcRankKey,0),"")</f>
        <v/>
      </c>
    </row>
    <row r="337">
      <c r="A337" s="26">
        <f>IF($B337="","",321)</f>
        <v/>
      </c>
      <c r="B337" s="26">
        <f>IF($P337="","",IF(INDEX(CalcNormDate,$P337)=0,"",INDEX(CalcNormDate,$P337)))</f>
        <v/>
      </c>
      <c r="C337" s="26">
        <f>IF($P337="","",IF(INDEX(CalcTime,$P337)=0,"",INDEX(CalcTime,$P337)))</f>
        <v/>
      </c>
      <c r="D337" s="26">
        <f>IF($P337="","",IF(INDEX(EntryParty,$P337)=0,"",INDEX(EntryParty,$P337)))</f>
        <v/>
      </c>
      <c r="E337" s="26">
        <f>IF($P337="","",IF(INDEX(EntryPartyName,$P337)=0,"",INDEX(EntryPartyName,$P337)))</f>
        <v/>
      </c>
      <c r="F337" s="26">
        <f>IF($P337="","",IF(INDEX(EntryPartyType,$P337)=0,"",INDEX(EntryPartyType,$P337)))</f>
        <v/>
      </c>
      <c r="G337" s="26">
        <f>IF($P337="","",IF(INDEX(EntryTxnType,$P337)=0,"",INDEX(EntryTxnType,$P337)))</f>
        <v/>
      </c>
      <c r="H337" s="27">
        <f>IF($P337="","",IF(INDEX(EntryDep,$P337)=0,"",INDEX(EntryDep,$P337)))</f>
        <v/>
      </c>
      <c r="I337" s="27">
        <f>IF($P337="","",IF(INDEX(EntryWit,$P337)=0,"",INDEX(EntryWit,$P337)))</f>
        <v/>
      </c>
      <c r="J337" s="27">
        <f>IF($B337="","",IF($A337=1,$C$7,IF(J336="",0,J336))+IF($H337="",0,$H337)-IF($I337="",0,$I337))</f>
        <v/>
      </c>
      <c r="K337" s="27">
        <f>IF($P337="","",IF(INDEX(EntryMan,$P337)=0,"",INDEX(EntryMan,$P337)))</f>
        <v/>
      </c>
      <c r="L337" s="26">
        <f>IF($B337="","",IF($K337="","—",IF(ROUND($K337-$J337,0)=0,"√","×")))</f>
        <v/>
      </c>
      <c r="M337" s="26">
        <f>IF($B337="","",IF(COUNTIFS(EntryDates,$B337,CalcTime,$C337,CalcBank,$C$5,EntryParty,$D337,EntryDep,$H337,EntryWit,$I337)&gt;1,"تکرار",""))</f>
        <v/>
      </c>
      <c r="N337" s="26">
        <f>IF($P337="","",IF(INDEX(EntryNotes,$P337)=0,"",INDEX(EntryNotes,$P337)))</f>
        <v/>
      </c>
      <c r="O337" s="26">
        <f>IF($P337="","",IF(INDEX(EntryTxnID,$P337)=0,"",INDEX(EntryTxnID,$P337)))</f>
        <v/>
      </c>
      <c r="P337" s="26">
        <f>IFERROR(MATCH($C$5&amp;"|"&amp;RIGHT("000000"&amp;321,6),CalcRankKey,0),"")</f>
        <v/>
      </c>
    </row>
    <row r="338">
      <c r="A338" s="28">
        <f>IF($B338="","",322)</f>
        <v/>
      </c>
      <c r="B338" s="28">
        <f>IF($P338="","",IF(INDEX(CalcNormDate,$P338)=0,"",INDEX(CalcNormDate,$P338)))</f>
        <v/>
      </c>
      <c r="C338" s="28">
        <f>IF($P338="","",IF(INDEX(CalcTime,$P338)=0,"",INDEX(CalcTime,$P338)))</f>
        <v/>
      </c>
      <c r="D338" s="28">
        <f>IF($P338="","",IF(INDEX(EntryParty,$P338)=0,"",INDEX(EntryParty,$P338)))</f>
        <v/>
      </c>
      <c r="E338" s="28">
        <f>IF($P338="","",IF(INDEX(EntryPartyName,$P338)=0,"",INDEX(EntryPartyName,$P338)))</f>
        <v/>
      </c>
      <c r="F338" s="28">
        <f>IF($P338="","",IF(INDEX(EntryPartyType,$P338)=0,"",INDEX(EntryPartyType,$P338)))</f>
        <v/>
      </c>
      <c r="G338" s="28">
        <f>IF($P338="","",IF(INDEX(EntryTxnType,$P338)=0,"",INDEX(EntryTxnType,$P338)))</f>
        <v/>
      </c>
      <c r="H338" s="29">
        <f>IF($P338="","",IF(INDEX(EntryDep,$P338)=0,"",INDEX(EntryDep,$P338)))</f>
        <v/>
      </c>
      <c r="I338" s="29">
        <f>IF($P338="","",IF(INDEX(EntryWit,$P338)=0,"",INDEX(EntryWit,$P338)))</f>
        <v/>
      </c>
      <c r="J338" s="29">
        <f>IF($B338="","",IF($A338=1,$C$7,IF(J337="",0,J337))+IF($H338="",0,$H338)-IF($I338="",0,$I338))</f>
        <v/>
      </c>
      <c r="K338" s="29">
        <f>IF($P338="","",IF(INDEX(EntryMan,$P338)=0,"",INDEX(EntryMan,$P338)))</f>
        <v/>
      </c>
      <c r="L338" s="28">
        <f>IF($B338="","",IF($K338="","—",IF(ROUND($K338-$J338,0)=0,"√","×")))</f>
        <v/>
      </c>
      <c r="M338" s="28">
        <f>IF($B338="","",IF(COUNTIFS(EntryDates,$B338,CalcTime,$C338,CalcBank,$C$5,EntryParty,$D338,EntryDep,$H338,EntryWit,$I338)&gt;1,"تکرار",""))</f>
        <v/>
      </c>
      <c r="N338" s="28">
        <f>IF($P338="","",IF(INDEX(EntryNotes,$P338)=0,"",INDEX(EntryNotes,$P338)))</f>
        <v/>
      </c>
      <c r="O338" s="28">
        <f>IF($P338="","",IF(INDEX(EntryTxnID,$P338)=0,"",INDEX(EntryTxnID,$P338)))</f>
        <v/>
      </c>
      <c r="P338" s="28">
        <f>IFERROR(MATCH($C$5&amp;"|"&amp;RIGHT("000000"&amp;322,6),CalcRankKey,0),"")</f>
        <v/>
      </c>
    </row>
    <row r="339">
      <c r="A339" s="26">
        <f>IF($B339="","",323)</f>
        <v/>
      </c>
      <c r="B339" s="26">
        <f>IF($P339="","",IF(INDEX(CalcNormDate,$P339)=0,"",INDEX(CalcNormDate,$P339)))</f>
        <v/>
      </c>
      <c r="C339" s="26">
        <f>IF($P339="","",IF(INDEX(CalcTime,$P339)=0,"",INDEX(CalcTime,$P339)))</f>
        <v/>
      </c>
      <c r="D339" s="26">
        <f>IF($P339="","",IF(INDEX(EntryParty,$P339)=0,"",INDEX(EntryParty,$P339)))</f>
        <v/>
      </c>
      <c r="E339" s="26">
        <f>IF($P339="","",IF(INDEX(EntryPartyName,$P339)=0,"",INDEX(EntryPartyName,$P339)))</f>
        <v/>
      </c>
      <c r="F339" s="26">
        <f>IF($P339="","",IF(INDEX(EntryPartyType,$P339)=0,"",INDEX(EntryPartyType,$P339)))</f>
        <v/>
      </c>
      <c r="G339" s="26">
        <f>IF($P339="","",IF(INDEX(EntryTxnType,$P339)=0,"",INDEX(EntryTxnType,$P339)))</f>
        <v/>
      </c>
      <c r="H339" s="27">
        <f>IF($P339="","",IF(INDEX(EntryDep,$P339)=0,"",INDEX(EntryDep,$P339)))</f>
        <v/>
      </c>
      <c r="I339" s="27">
        <f>IF($P339="","",IF(INDEX(EntryWit,$P339)=0,"",INDEX(EntryWit,$P339)))</f>
        <v/>
      </c>
      <c r="J339" s="27">
        <f>IF($B339="","",IF($A339=1,$C$7,IF(J338="",0,J338))+IF($H339="",0,$H339)-IF($I339="",0,$I339))</f>
        <v/>
      </c>
      <c r="K339" s="27">
        <f>IF($P339="","",IF(INDEX(EntryMan,$P339)=0,"",INDEX(EntryMan,$P339)))</f>
        <v/>
      </c>
      <c r="L339" s="26">
        <f>IF($B339="","",IF($K339="","—",IF(ROUND($K339-$J339,0)=0,"√","×")))</f>
        <v/>
      </c>
      <c r="M339" s="26">
        <f>IF($B339="","",IF(COUNTIFS(EntryDates,$B339,CalcTime,$C339,CalcBank,$C$5,EntryParty,$D339,EntryDep,$H339,EntryWit,$I339)&gt;1,"تکرار",""))</f>
        <v/>
      </c>
      <c r="N339" s="26">
        <f>IF($P339="","",IF(INDEX(EntryNotes,$P339)=0,"",INDEX(EntryNotes,$P339)))</f>
        <v/>
      </c>
      <c r="O339" s="26">
        <f>IF($P339="","",IF(INDEX(EntryTxnID,$P339)=0,"",INDEX(EntryTxnID,$P339)))</f>
        <v/>
      </c>
      <c r="P339" s="26">
        <f>IFERROR(MATCH($C$5&amp;"|"&amp;RIGHT("000000"&amp;323,6),CalcRankKey,0),"")</f>
        <v/>
      </c>
    </row>
    <row r="340">
      <c r="A340" s="28">
        <f>IF($B340="","",324)</f>
        <v/>
      </c>
      <c r="B340" s="28">
        <f>IF($P340="","",IF(INDEX(CalcNormDate,$P340)=0,"",INDEX(CalcNormDate,$P340)))</f>
        <v/>
      </c>
      <c r="C340" s="28">
        <f>IF($P340="","",IF(INDEX(CalcTime,$P340)=0,"",INDEX(CalcTime,$P340)))</f>
        <v/>
      </c>
      <c r="D340" s="28">
        <f>IF($P340="","",IF(INDEX(EntryParty,$P340)=0,"",INDEX(EntryParty,$P340)))</f>
        <v/>
      </c>
      <c r="E340" s="28">
        <f>IF($P340="","",IF(INDEX(EntryPartyName,$P340)=0,"",INDEX(EntryPartyName,$P340)))</f>
        <v/>
      </c>
      <c r="F340" s="28">
        <f>IF($P340="","",IF(INDEX(EntryPartyType,$P340)=0,"",INDEX(EntryPartyType,$P340)))</f>
        <v/>
      </c>
      <c r="G340" s="28">
        <f>IF($P340="","",IF(INDEX(EntryTxnType,$P340)=0,"",INDEX(EntryTxnType,$P340)))</f>
        <v/>
      </c>
      <c r="H340" s="29">
        <f>IF($P340="","",IF(INDEX(EntryDep,$P340)=0,"",INDEX(EntryDep,$P340)))</f>
        <v/>
      </c>
      <c r="I340" s="29">
        <f>IF($P340="","",IF(INDEX(EntryWit,$P340)=0,"",INDEX(EntryWit,$P340)))</f>
        <v/>
      </c>
      <c r="J340" s="29">
        <f>IF($B340="","",IF($A340=1,$C$7,IF(J339="",0,J339))+IF($H340="",0,$H340)-IF($I340="",0,$I340))</f>
        <v/>
      </c>
      <c r="K340" s="29">
        <f>IF($P340="","",IF(INDEX(EntryMan,$P340)=0,"",INDEX(EntryMan,$P340)))</f>
        <v/>
      </c>
      <c r="L340" s="28">
        <f>IF($B340="","",IF($K340="","—",IF(ROUND($K340-$J340,0)=0,"√","×")))</f>
        <v/>
      </c>
      <c r="M340" s="28">
        <f>IF($B340="","",IF(COUNTIFS(EntryDates,$B340,CalcTime,$C340,CalcBank,$C$5,EntryParty,$D340,EntryDep,$H340,EntryWit,$I340)&gt;1,"تکرار",""))</f>
        <v/>
      </c>
      <c r="N340" s="28">
        <f>IF($P340="","",IF(INDEX(EntryNotes,$P340)=0,"",INDEX(EntryNotes,$P340)))</f>
        <v/>
      </c>
      <c r="O340" s="28">
        <f>IF($P340="","",IF(INDEX(EntryTxnID,$P340)=0,"",INDEX(EntryTxnID,$P340)))</f>
        <v/>
      </c>
      <c r="P340" s="28">
        <f>IFERROR(MATCH($C$5&amp;"|"&amp;RIGHT("000000"&amp;324,6),CalcRankKey,0),"")</f>
        <v/>
      </c>
    </row>
    <row r="341">
      <c r="A341" s="26">
        <f>IF($B341="","",325)</f>
        <v/>
      </c>
      <c r="B341" s="26">
        <f>IF($P341="","",IF(INDEX(CalcNormDate,$P341)=0,"",INDEX(CalcNormDate,$P341)))</f>
        <v/>
      </c>
      <c r="C341" s="26">
        <f>IF($P341="","",IF(INDEX(CalcTime,$P341)=0,"",INDEX(CalcTime,$P341)))</f>
        <v/>
      </c>
      <c r="D341" s="26">
        <f>IF($P341="","",IF(INDEX(EntryParty,$P341)=0,"",INDEX(EntryParty,$P341)))</f>
        <v/>
      </c>
      <c r="E341" s="26">
        <f>IF($P341="","",IF(INDEX(EntryPartyName,$P341)=0,"",INDEX(EntryPartyName,$P341)))</f>
        <v/>
      </c>
      <c r="F341" s="26">
        <f>IF($P341="","",IF(INDEX(EntryPartyType,$P341)=0,"",INDEX(EntryPartyType,$P341)))</f>
        <v/>
      </c>
      <c r="G341" s="26">
        <f>IF($P341="","",IF(INDEX(EntryTxnType,$P341)=0,"",INDEX(EntryTxnType,$P341)))</f>
        <v/>
      </c>
      <c r="H341" s="27">
        <f>IF($P341="","",IF(INDEX(EntryDep,$P341)=0,"",INDEX(EntryDep,$P341)))</f>
        <v/>
      </c>
      <c r="I341" s="27">
        <f>IF($P341="","",IF(INDEX(EntryWit,$P341)=0,"",INDEX(EntryWit,$P341)))</f>
        <v/>
      </c>
      <c r="J341" s="27">
        <f>IF($B341="","",IF($A341=1,$C$7,IF(J340="",0,J340))+IF($H341="",0,$H341)-IF($I341="",0,$I341))</f>
        <v/>
      </c>
      <c r="K341" s="27">
        <f>IF($P341="","",IF(INDEX(EntryMan,$P341)=0,"",INDEX(EntryMan,$P341)))</f>
        <v/>
      </c>
      <c r="L341" s="26">
        <f>IF($B341="","",IF($K341="","—",IF(ROUND($K341-$J341,0)=0,"√","×")))</f>
        <v/>
      </c>
      <c r="M341" s="26">
        <f>IF($B341="","",IF(COUNTIFS(EntryDates,$B341,CalcTime,$C341,CalcBank,$C$5,EntryParty,$D341,EntryDep,$H341,EntryWit,$I341)&gt;1,"تکرار",""))</f>
        <v/>
      </c>
      <c r="N341" s="26">
        <f>IF($P341="","",IF(INDEX(EntryNotes,$P341)=0,"",INDEX(EntryNotes,$P341)))</f>
        <v/>
      </c>
      <c r="O341" s="26">
        <f>IF($P341="","",IF(INDEX(EntryTxnID,$P341)=0,"",INDEX(EntryTxnID,$P341)))</f>
        <v/>
      </c>
      <c r="P341" s="26">
        <f>IFERROR(MATCH($C$5&amp;"|"&amp;RIGHT("000000"&amp;325,6),CalcRankKey,0),"")</f>
        <v/>
      </c>
    </row>
    <row r="342">
      <c r="A342" s="28">
        <f>IF($B342="","",326)</f>
        <v/>
      </c>
      <c r="B342" s="28">
        <f>IF($P342="","",IF(INDEX(CalcNormDate,$P342)=0,"",INDEX(CalcNormDate,$P342)))</f>
        <v/>
      </c>
      <c r="C342" s="28">
        <f>IF($P342="","",IF(INDEX(CalcTime,$P342)=0,"",INDEX(CalcTime,$P342)))</f>
        <v/>
      </c>
      <c r="D342" s="28">
        <f>IF($P342="","",IF(INDEX(EntryParty,$P342)=0,"",INDEX(EntryParty,$P342)))</f>
        <v/>
      </c>
      <c r="E342" s="28">
        <f>IF($P342="","",IF(INDEX(EntryPartyName,$P342)=0,"",INDEX(EntryPartyName,$P342)))</f>
        <v/>
      </c>
      <c r="F342" s="28">
        <f>IF($P342="","",IF(INDEX(EntryPartyType,$P342)=0,"",INDEX(EntryPartyType,$P342)))</f>
        <v/>
      </c>
      <c r="G342" s="28">
        <f>IF($P342="","",IF(INDEX(EntryTxnType,$P342)=0,"",INDEX(EntryTxnType,$P342)))</f>
        <v/>
      </c>
      <c r="H342" s="29">
        <f>IF($P342="","",IF(INDEX(EntryDep,$P342)=0,"",INDEX(EntryDep,$P342)))</f>
        <v/>
      </c>
      <c r="I342" s="29">
        <f>IF($P342="","",IF(INDEX(EntryWit,$P342)=0,"",INDEX(EntryWit,$P342)))</f>
        <v/>
      </c>
      <c r="J342" s="29">
        <f>IF($B342="","",IF($A342=1,$C$7,IF(J341="",0,J341))+IF($H342="",0,$H342)-IF($I342="",0,$I342))</f>
        <v/>
      </c>
      <c r="K342" s="29">
        <f>IF($P342="","",IF(INDEX(EntryMan,$P342)=0,"",INDEX(EntryMan,$P342)))</f>
        <v/>
      </c>
      <c r="L342" s="28">
        <f>IF($B342="","",IF($K342="","—",IF(ROUND($K342-$J342,0)=0,"√","×")))</f>
        <v/>
      </c>
      <c r="M342" s="28">
        <f>IF($B342="","",IF(COUNTIFS(EntryDates,$B342,CalcTime,$C342,CalcBank,$C$5,EntryParty,$D342,EntryDep,$H342,EntryWit,$I342)&gt;1,"تکرار",""))</f>
        <v/>
      </c>
      <c r="N342" s="28">
        <f>IF($P342="","",IF(INDEX(EntryNotes,$P342)=0,"",INDEX(EntryNotes,$P342)))</f>
        <v/>
      </c>
      <c r="O342" s="28">
        <f>IF($P342="","",IF(INDEX(EntryTxnID,$P342)=0,"",INDEX(EntryTxnID,$P342)))</f>
        <v/>
      </c>
      <c r="P342" s="28">
        <f>IFERROR(MATCH($C$5&amp;"|"&amp;RIGHT("000000"&amp;326,6),CalcRankKey,0),"")</f>
        <v/>
      </c>
    </row>
    <row r="343">
      <c r="A343" s="26">
        <f>IF($B343="","",327)</f>
        <v/>
      </c>
      <c r="B343" s="26">
        <f>IF($P343="","",IF(INDEX(CalcNormDate,$P343)=0,"",INDEX(CalcNormDate,$P343)))</f>
        <v/>
      </c>
      <c r="C343" s="26">
        <f>IF($P343="","",IF(INDEX(CalcTime,$P343)=0,"",INDEX(CalcTime,$P343)))</f>
        <v/>
      </c>
      <c r="D343" s="26">
        <f>IF($P343="","",IF(INDEX(EntryParty,$P343)=0,"",INDEX(EntryParty,$P343)))</f>
        <v/>
      </c>
      <c r="E343" s="26">
        <f>IF($P343="","",IF(INDEX(EntryPartyName,$P343)=0,"",INDEX(EntryPartyName,$P343)))</f>
        <v/>
      </c>
      <c r="F343" s="26">
        <f>IF($P343="","",IF(INDEX(EntryPartyType,$P343)=0,"",INDEX(EntryPartyType,$P343)))</f>
        <v/>
      </c>
      <c r="G343" s="26">
        <f>IF($P343="","",IF(INDEX(EntryTxnType,$P343)=0,"",INDEX(EntryTxnType,$P343)))</f>
        <v/>
      </c>
      <c r="H343" s="27">
        <f>IF($P343="","",IF(INDEX(EntryDep,$P343)=0,"",INDEX(EntryDep,$P343)))</f>
        <v/>
      </c>
      <c r="I343" s="27">
        <f>IF($P343="","",IF(INDEX(EntryWit,$P343)=0,"",INDEX(EntryWit,$P343)))</f>
        <v/>
      </c>
      <c r="J343" s="27">
        <f>IF($B343="","",IF($A343=1,$C$7,IF(J342="",0,J342))+IF($H343="",0,$H343)-IF($I343="",0,$I343))</f>
        <v/>
      </c>
      <c r="K343" s="27">
        <f>IF($P343="","",IF(INDEX(EntryMan,$P343)=0,"",INDEX(EntryMan,$P343)))</f>
        <v/>
      </c>
      <c r="L343" s="26">
        <f>IF($B343="","",IF($K343="","—",IF(ROUND($K343-$J343,0)=0,"√","×")))</f>
        <v/>
      </c>
      <c r="M343" s="26">
        <f>IF($B343="","",IF(COUNTIFS(EntryDates,$B343,CalcTime,$C343,CalcBank,$C$5,EntryParty,$D343,EntryDep,$H343,EntryWit,$I343)&gt;1,"تکرار",""))</f>
        <v/>
      </c>
      <c r="N343" s="26">
        <f>IF($P343="","",IF(INDEX(EntryNotes,$P343)=0,"",INDEX(EntryNotes,$P343)))</f>
        <v/>
      </c>
      <c r="O343" s="26">
        <f>IF($P343="","",IF(INDEX(EntryTxnID,$P343)=0,"",INDEX(EntryTxnID,$P343)))</f>
        <v/>
      </c>
      <c r="P343" s="26">
        <f>IFERROR(MATCH($C$5&amp;"|"&amp;RIGHT("000000"&amp;327,6),CalcRankKey,0),"")</f>
        <v/>
      </c>
    </row>
    <row r="344">
      <c r="A344" s="28">
        <f>IF($B344="","",328)</f>
        <v/>
      </c>
      <c r="B344" s="28">
        <f>IF($P344="","",IF(INDEX(CalcNormDate,$P344)=0,"",INDEX(CalcNormDate,$P344)))</f>
        <v/>
      </c>
      <c r="C344" s="28">
        <f>IF($P344="","",IF(INDEX(CalcTime,$P344)=0,"",INDEX(CalcTime,$P344)))</f>
        <v/>
      </c>
      <c r="D344" s="28">
        <f>IF($P344="","",IF(INDEX(EntryParty,$P344)=0,"",INDEX(EntryParty,$P344)))</f>
        <v/>
      </c>
      <c r="E344" s="28">
        <f>IF($P344="","",IF(INDEX(EntryPartyName,$P344)=0,"",INDEX(EntryPartyName,$P344)))</f>
        <v/>
      </c>
      <c r="F344" s="28">
        <f>IF($P344="","",IF(INDEX(EntryPartyType,$P344)=0,"",INDEX(EntryPartyType,$P344)))</f>
        <v/>
      </c>
      <c r="G344" s="28">
        <f>IF($P344="","",IF(INDEX(EntryTxnType,$P344)=0,"",INDEX(EntryTxnType,$P344)))</f>
        <v/>
      </c>
      <c r="H344" s="29">
        <f>IF($P344="","",IF(INDEX(EntryDep,$P344)=0,"",INDEX(EntryDep,$P344)))</f>
        <v/>
      </c>
      <c r="I344" s="29">
        <f>IF($P344="","",IF(INDEX(EntryWit,$P344)=0,"",INDEX(EntryWit,$P344)))</f>
        <v/>
      </c>
      <c r="J344" s="29">
        <f>IF($B344="","",IF($A344=1,$C$7,IF(J343="",0,J343))+IF($H344="",0,$H344)-IF($I344="",0,$I344))</f>
        <v/>
      </c>
      <c r="K344" s="29">
        <f>IF($P344="","",IF(INDEX(EntryMan,$P344)=0,"",INDEX(EntryMan,$P344)))</f>
        <v/>
      </c>
      <c r="L344" s="28">
        <f>IF($B344="","",IF($K344="","—",IF(ROUND($K344-$J344,0)=0,"√","×")))</f>
        <v/>
      </c>
      <c r="M344" s="28">
        <f>IF($B344="","",IF(COUNTIFS(EntryDates,$B344,CalcTime,$C344,CalcBank,$C$5,EntryParty,$D344,EntryDep,$H344,EntryWit,$I344)&gt;1,"تکرار",""))</f>
        <v/>
      </c>
      <c r="N344" s="28">
        <f>IF($P344="","",IF(INDEX(EntryNotes,$P344)=0,"",INDEX(EntryNotes,$P344)))</f>
        <v/>
      </c>
      <c r="O344" s="28">
        <f>IF($P344="","",IF(INDEX(EntryTxnID,$P344)=0,"",INDEX(EntryTxnID,$P344)))</f>
        <v/>
      </c>
      <c r="P344" s="28">
        <f>IFERROR(MATCH($C$5&amp;"|"&amp;RIGHT("000000"&amp;328,6),CalcRankKey,0),"")</f>
        <v/>
      </c>
    </row>
    <row r="345">
      <c r="A345" s="26">
        <f>IF($B345="","",329)</f>
        <v/>
      </c>
      <c r="B345" s="26">
        <f>IF($P345="","",IF(INDEX(CalcNormDate,$P345)=0,"",INDEX(CalcNormDate,$P345)))</f>
        <v/>
      </c>
      <c r="C345" s="26">
        <f>IF($P345="","",IF(INDEX(CalcTime,$P345)=0,"",INDEX(CalcTime,$P345)))</f>
        <v/>
      </c>
      <c r="D345" s="26">
        <f>IF($P345="","",IF(INDEX(EntryParty,$P345)=0,"",INDEX(EntryParty,$P345)))</f>
        <v/>
      </c>
      <c r="E345" s="26">
        <f>IF($P345="","",IF(INDEX(EntryPartyName,$P345)=0,"",INDEX(EntryPartyName,$P345)))</f>
        <v/>
      </c>
      <c r="F345" s="26">
        <f>IF($P345="","",IF(INDEX(EntryPartyType,$P345)=0,"",INDEX(EntryPartyType,$P345)))</f>
        <v/>
      </c>
      <c r="G345" s="26">
        <f>IF($P345="","",IF(INDEX(EntryTxnType,$P345)=0,"",INDEX(EntryTxnType,$P345)))</f>
        <v/>
      </c>
      <c r="H345" s="27">
        <f>IF($P345="","",IF(INDEX(EntryDep,$P345)=0,"",INDEX(EntryDep,$P345)))</f>
        <v/>
      </c>
      <c r="I345" s="27">
        <f>IF($P345="","",IF(INDEX(EntryWit,$P345)=0,"",INDEX(EntryWit,$P345)))</f>
        <v/>
      </c>
      <c r="J345" s="27">
        <f>IF($B345="","",IF($A345=1,$C$7,IF(J344="",0,J344))+IF($H345="",0,$H345)-IF($I345="",0,$I345))</f>
        <v/>
      </c>
      <c r="K345" s="27">
        <f>IF($P345="","",IF(INDEX(EntryMan,$P345)=0,"",INDEX(EntryMan,$P345)))</f>
        <v/>
      </c>
      <c r="L345" s="26">
        <f>IF($B345="","",IF($K345="","—",IF(ROUND($K345-$J345,0)=0,"√","×")))</f>
        <v/>
      </c>
      <c r="M345" s="26">
        <f>IF($B345="","",IF(COUNTIFS(EntryDates,$B345,CalcTime,$C345,CalcBank,$C$5,EntryParty,$D345,EntryDep,$H345,EntryWit,$I345)&gt;1,"تکرار",""))</f>
        <v/>
      </c>
      <c r="N345" s="26">
        <f>IF($P345="","",IF(INDEX(EntryNotes,$P345)=0,"",INDEX(EntryNotes,$P345)))</f>
        <v/>
      </c>
      <c r="O345" s="26">
        <f>IF($P345="","",IF(INDEX(EntryTxnID,$P345)=0,"",INDEX(EntryTxnID,$P345)))</f>
        <v/>
      </c>
      <c r="P345" s="26">
        <f>IFERROR(MATCH($C$5&amp;"|"&amp;RIGHT("000000"&amp;329,6),CalcRankKey,0),"")</f>
        <v/>
      </c>
    </row>
    <row r="346">
      <c r="A346" s="28">
        <f>IF($B346="","",330)</f>
        <v/>
      </c>
      <c r="B346" s="28">
        <f>IF($P346="","",IF(INDEX(CalcNormDate,$P346)=0,"",INDEX(CalcNormDate,$P346)))</f>
        <v/>
      </c>
      <c r="C346" s="28">
        <f>IF($P346="","",IF(INDEX(CalcTime,$P346)=0,"",INDEX(CalcTime,$P346)))</f>
        <v/>
      </c>
      <c r="D346" s="28">
        <f>IF($P346="","",IF(INDEX(EntryParty,$P346)=0,"",INDEX(EntryParty,$P346)))</f>
        <v/>
      </c>
      <c r="E346" s="28">
        <f>IF($P346="","",IF(INDEX(EntryPartyName,$P346)=0,"",INDEX(EntryPartyName,$P346)))</f>
        <v/>
      </c>
      <c r="F346" s="28">
        <f>IF($P346="","",IF(INDEX(EntryPartyType,$P346)=0,"",INDEX(EntryPartyType,$P346)))</f>
        <v/>
      </c>
      <c r="G346" s="28">
        <f>IF($P346="","",IF(INDEX(EntryTxnType,$P346)=0,"",INDEX(EntryTxnType,$P346)))</f>
        <v/>
      </c>
      <c r="H346" s="29">
        <f>IF($P346="","",IF(INDEX(EntryDep,$P346)=0,"",INDEX(EntryDep,$P346)))</f>
        <v/>
      </c>
      <c r="I346" s="29">
        <f>IF($P346="","",IF(INDEX(EntryWit,$P346)=0,"",INDEX(EntryWit,$P346)))</f>
        <v/>
      </c>
      <c r="J346" s="29">
        <f>IF($B346="","",IF($A346=1,$C$7,IF(J345="",0,J345))+IF($H346="",0,$H346)-IF($I346="",0,$I346))</f>
        <v/>
      </c>
      <c r="K346" s="29">
        <f>IF($P346="","",IF(INDEX(EntryMan,$P346)=0,"",INDEX(EntryMan,$P346)))</f>
        <v/>
      </c>
      <c r="L346" s="28">
        <f>IF($B346="","",IF($K346="","—",IF(ROUND($K346-$J346,0)=0,"√","×")))</f>
        <v/>
      </c>
      <c r="M346" s="28">
        <f>IF($B346="","",IF(COUNTIFS(EntryDates,$B346,CalcTime,$C346,CalcBank,$C$5,EntryParty,$D346,EntryDep,$H346,EntryWit,$I346)&gt;1,"تکرار",""))</f>
        <v/>
      </c>
      <c r="N346" s="28">
        <f>IF($P346="","",IF(INDEX(EntryNotes,$P346)=0,"",INDEX(EntryNotes,$P346)))</f>
        <v/>
      </c>
      <c r="O346" s="28">
        <f>IF($P346="","",IF(INDEX(EntryTxnID,$P346)=0,"",INDEX(EntryTxnID,$P346)))</f>
        <v/>
      </c>
      <c r="P346" s="28">
        <f>IFERROR(MATCH($C$5&amp;"|"&amp;RIGHT("000000"&amp;330,6),CalcRankKey,0),"")</f>
        <v/>
      </c>
    </row>
    <row r="347">
      <c r="A347" s="26">
        <f>IF($B347="","",331)</f>
        <v/>
      </c>
      <c r="B347" s="26">
        <f>IF($P347="","",IF(INDEX(CalcNormDate,$P347)=0,"",INDEX(CalcNormDate,$P347)))</f>
        <v/>
      </c>
      <c r="C347" s="26">
        <f>IF($P347="","",IF(INDEX(CalcTime,$P347)=0,"",INDEX(CalcTime,$P347)))</f>
        <v/>
      </c>
      <c r="D347" s="26">
        <f>IF($P347="","",IF(INDEX(EntryParty,$P347)=0,"",INDEX(EntryParty,$P347)))</f>
        <v/>
      </c>
      <c r="E347" s="26">
        <f>IF($P347="","",IF(INDEX(EntryPartyName,$P347)=0,"",INDEX(EntryPartyName,$P347)))</f>
        <v/>
      </c>
      <c r="F347" s="26">
        <f>IF($P347="","",IF(INDEX(EntryPartyType,$P347)=0,"",INDEX(EntryPartyType,$P347)))</f>
        <v/>
      </c>
      <c r="G347" s="26">
        <f>IF($P347="","",IF(INDEX(EntryTxnType,$P347)=0,"",INDEX(EntryTxnType,$P347)))</f>
        <v/>
      </c>
      <c r="H347" s="27">
        <f>IF($P347="","",IF(INDEX(EntryDep,$P347)=0,"",INDEX(EntryDep,$P347)))</f>
        <v/>
      </c>
      <c r="I347" s="27">
        <f>IF($P347="","",IF(INDEX(EntryWit,$P347)=0,"",INDEX(EntryWit,$P347)))</f>
        <v/>
      </c>
      <c r="J347" s="27">
        <f>IF($B347="","",IF($A347=1,$C$7,IF(J346="",0,J346))+IF($H347="",0,$H347)-IF($I347="",0,$I347))</f>
        <v/>
      </c>
      <c r="K347" s="27">
        <f>IF($P347="","",IF(INDEX(EntryMan,$P347)=0,"",INDEX(EntryMan,$P347)))</f>
        <v/>
      </c>
      <c r="L347" s="26">
        <f>IF($B347="","",IF($K347="","—",IF(ROUND($K347-$J347,0)=0,"√","×")))</f>
        <v/>
      </c>
      <c r="M347" s="26">
        <f>IF($B347="","",IF(COUNTIFS(EntryDates,$B347,CalcTime,$C347,CalcBank,$C$5,EntryParty,$D347,EntryDep,$H347,EntryWit,$I347)&gt;1,"تکرار",""))</f>
        <v/>
      </c>
      <c r="N347" s="26">
        <f>IF($P347="","",IF(INDEX(EntryNotes,$P347)=0,"",INDEX(EntryNotes,$P347)))</f>
        <v/>
      </c>
      <c r="O347" s="26">
        <f>IF($P347="","",IF(INDEX(EntryTxnID,$P347)=0,"",INDEX(EntryTxnID,$P347)))</f>
        <v/>
      </c>
      <c r="P347" s="26">
        <f>IFERROR(MATCH($C$5&amp;"|"&amp;RIGHT("000000"&amp;331,6),CalcRankKey,0),"")</f>
        <v/>
      </c>
    </row>
    <row r="348">
      <c r="A348" s="28">
        <f>IF($B348="","",332)</f>
        <v/>
      </c>
      <c r="B348" s="28">
        <f>IF($P348="","",IF(INDEX(CalcNormDate,$P348)=0,"",INDEX(CalcNormDate,$P348)))</f>
        <v/>
      </c>
      <c r="C348" s="28">
        <f>IF($P348="","",IF(INDEX(CalcTime,$P348)=0,"",INDEX(CalcTime,$P348)))</f>
        <v/>
      </c>
      <c r="D348" s="28">
        <f>IF($P348="","",IF(INDEX(EntryParty,$P348)=0,"",INDEX(EntryParty,$P348)))</f>
        <v/>
      </c>
      <c r="E348" s="28">
        <f>IF($P348="","",IF(INDEX(EntryPartyName,$P348)=0,"",INDEX(EntryPartyName,$P348)))</f>
        <v/>
      </c>
      <c r="F348" s="28">
        <f>IF($P348="","",IF(INDEX(EntryPartyType,$P348)=0,"",INDEX(EntryPartyType,$P348)))</f>
        <v/>
      </c>
      <c r="G348" s="28">
        <f>IF($P348="","",IF(INDEX(EntryTxnType,$P348)=0,"",INDEX(EntryTxnType,$P348)))</f>
        <v/>
      </c>
      <c r="H348" s="29">
        <f>IF($P348="","",IF(INDEX(EntryDep,$P348)=0,"",INDEX(EntryDep,$P348)))</f>
        <v/>
      </c>
      <c r="I348" s="29">
        <f>IF($P348="","",IF(INDEX(EntryWit,$P348)=0,"",INDEX(EntryWit,$P348)))</f>
        <v/>
      </c>
      <c r="J348" s="29">
        <f>IF($B348="","",IF($A348=1,$C$7,IF(J347="",0,J347))+IF($H348="",0,$H348)-IF($I348="",0,$I348))</f>
        <v/>
      </c>
      <c r="K348" s="29">
        <f>IF($P348="","",IF(INDEX(EntryMan,$P348)=0,"",INDEX(EntryMan,$P348)))</f>
        <v/>
      </c>
      <c r="L348" s="28">
        <f>IF($B348="","",IF($K348="","—",IF(ROUND($K348-$J348,0)=0,"√","×")))</f>
        <v/>
      </c>
      <c r="M348" s="28">
        <f>IF($B348="","",IF(COUNTIFS(EntryDates,$B348,CalcTime,$C348,CalcBank,$C$5,EntryParty,$D348,EntryDep,$H348,EntryWit,$I348)&gt;1,"تکرار",""))</f>
        <v/>
      </c>
      <c r="N348" s="28">
        <f>IF($P348="","",IF(INDEX(EntryNotes,$P348)=0,"",INDEX(EntryNotes,$P348)))</f>
        <v/>
      </c>
      <c r="O348" s="28">
        <f>IF($P348="","",IF(INDEX(EntryTxnID,$P348)=0,"",INDEX(EntryTxnID,$P348)))</f>
        <v/>
      </c>
      <c r="P348" s="28">
        <f>IFERROR(MATCH($C$5&amp;"|"&amp;RIGHT("000000"&amp;332,6),CalcRankKey,0),"")</f>
        <v/>
      </c>
    </row>
    <row r="349">
      <c r="A349" s="26">
        <f>IF($B349="","",333)</f>
        <v/>
      </c>
      <c r="B349" s="26">
        <f>IF($P349="","",IF(INDEX(CalcNormDate,$P349)=0,"",INDEX(CalcNormDate,$P349)))</f>
        <v/>
      </c>
      <c r="C349" s="26">
        <f>IF($P349="","",IF(INDEX(CalcTime,$P349)=0,"",INDEX(CalcTime,$P349)))</f>
        <v/>
      </c>
      <c r="D349" s="26">
        <f>IF($P349="","",IF(INDEX(EntryParty,$P349)=0,"",INDEX(EntryParty,$P349)))</f>
        <v/>
      </c>
      <c r="E349" s="26">
        <f>IF($P349="","",IF(INDEX(EntryPartyName,$P349)=0,"",INDEX(EntryPartyName,$P349)))</f>
        <v/>
      </c>
      <c r="F349" s="26">
        <f>IF($P349="","",IF(INDEX(EntryPartyType,$P349)=0,"",INDEX(EntryPartyType,$P349)))</f>
        <v/>
      </c>
      <c r="G349" s="26">
        <f>IF($P349="","",IF(INDEX(EntryTxnType,$P349)=0,"",INDEX(EntryTxnType,$P349)))</f>
        <v/>
      </c>
      <c r="H349" s="27">
        <f>IF($P349="","",IF(INDEX(EntryDep,$P349)=0,"",INDEX(EntryDep,$P349)))</f>
        <v/>
      </c>
      <c r="I349" s="27">
        <f>IF($P349="","",IF(INDEX(EntryWit,$P349)=0,"",INDEX(EntryWit,$P349)))</f>
        <v/>
      </c>
      <c r="J349" s="27">
        <f>IF($B349="","",IF($A349=1,$C$7,IF(J348="",0,J348))+IF($H349="",0,$H349)-IF($I349="",0,$I349))</f>
        <v/>
      </c>
      <c r="K349" s="27">
        <f>IF($P349="","",IF(INDEX(EntryMan,$P349)=0,"",INDEX(EntryMan,$P349)))</f>
        <v/>
      </c>
      <c r="L349" s="26">
        <f>IF($B349="","",IF($K349="","—",IF(ROUND($K349-$J349,0)=0,"√","×")))</f>
        <v/>
      </c>
      <c r="M349" s="26">
        <f>IF($B349="","",IF(COUNTIFS(EntryDates,$B349,CalcTime,$C349,CalcBank,$C$5,EntryParty,$D349,EntryDep,$H349,EntryWit,$I349)&gt;1,"تکرار",""))</f>
        <v/>
      </c>
      <c r="N349" s="26">
        <f>IF($P349="","",IF(INDEX(EntryNotes,$P349)=0,"",INDEX(EntryNotes,$P349)))</f>
        <v/>
      </c>
      <c r="O349" s="26">
        <f>IF($P349="","",IF(INDEX(EntryTxnID,$P349)=0,"",INDEX(EntryTxnID,$P349)))</f>
        <v/>
      </c>
      <c r="P349" s="26">
        <f>IFERROR(MATCH($C$5&amp;"|"&amp;RIGHT("000000"&amp;333,6),CalcRankKey,0),"")</f>
        <v/>
      </c>
    </row>
    <row r="350">
      <c r="A350" s="28">
        <f>IF($B350="","",334)</f>
        <v/>
      </c>
      <c r="B350" s="28">
        <f>IF($P350="","",IF(INDEX(CalcNormDate,$P350)=0,"",INDEX(CalcNormDate,$P350)))</f>
        <v/>
      </c>
      <c r="C350" s="28">
        <f>IF($P350="","",IF(INDEX(CalcTime,$P350)=0,"",INDEX(CalcTime,$P350)))</f>
        <v/>
      </c>
      <c r="D350" s="28">
        <f>IF($P350="","",IF(INDEX(EntryParty,$P350)=0,"",INDEX(EntryParty,$P350)))</f>
        <v/>
      </c>
      <c r="E350" s="28">
        <f>IF($P350="","",IF(INDEX(EntryPartyName,$P350)=0,"",INDEX(EntryPartyName,$P350)))</f>
        <v/>
      </c>
      <c r="F350" s="28">
        <f>IF($P350="","",IF(INDEX(EntryPartyType,$P350)=0,"",INDEX(EntryPartyType,$P350)))</f>
        <v/>
      </c>
      <c r="G350" s="28">
        <f>IF($P350="","",IF(INDEX(EntryTxnType,$P350)=0,"",INDEX(EntryTxnType,$P350)))</f>
        <v/>
      </c>
      <c r="H350" s="29">
        <f>IF($P350="","",IF(INDEX(EntryDep,$P350)=0,"",INDEX(EntryDep,$P350)))</f>
        <v/>
      </c>
      <c r="I350" s="29">
        <f>IF($P350="","",IF(INDEX(EntryWit,$P350)=0,"",INDEX(EntryWit,$P350)))</f>
        <v/>
      </c>
      <c r="J350" s="29">
        <f>IF($B350="","",IF($A350=1,$C$7,IF(J349="",0,J349))+IF($H350="",0,$H350)-IF($I350="",0,$I350))</f>
        <v/>
      </c>
      <c r="K350" s="29">
        <f>IF($P350="","",IF(INDEX(EntryMan,$P350)=0,"",INDEX(EntryMan,$P350)))</f>
        <v/>
      </c>
      <c r="L350" s="28">
        <f>IF($B350="","",IF($K350="","—",IF(ROUND($K350-$J350,0)=0,"√","×")))</f>
        <v/>
      </c>
      <c r="M350" s="28">
        <f>IF($B350="","",IF(COUNTIFS(EntryDates,$B350,CalcTime,$C350,CalcBank,$C$5,EntryParty,$D350,EntryDep,$H350,EntryWit,$I350)&gt;1,"تکرار",""))</f>
        <v/>
      </c>
      <c r="N350" s="28">
        <f>IF($P350="","",IF(INDEX(EntryNotes,$P350)=0,"",INDEX(EntryNotes,$P350)))</f>
        <v/>
      </c>
      <c r="O350" s="28">
        <f>IF($P350="","",IF(INDEX(EntryTxnID,$P350)=0,"",INDEX(EntryTxnID,$P350)))</f>
        <v/>
      </c>
      <c r="P350" s="28">
        <f>IFERROR(MATCH($C$5&amp;"|"&amp;RIGHT("000000"&amp;334,6),CalcRankKey,0),"")</f>
        <v/>
      </c>
    </row>
    <row r="351">
      <c r="A351" s="26">
        <f>IF($B351="","",335)</f>
        <v/>
      </c>
      <c r="B351" s="26">
        <f>IF($P351="","",IF(INDEX(CalcNormDate,$P351)=0,"",INDEX(CalcNormDate,$P351)))</f>
        <v/>
      </c>
      <c r="C351" s="26">
        <f>IF($P351="","",IF(INDEX(CalcTime,$P351)=0,"",INDEX(CalcTime,$P351)))</f>
        <v/>
      </c>
      <c r="D351" s="26">
        <f>IF($P351="","",IF(INDEX(EntryParty,$P351)=0,"",INDEX(EntryParty,$P351)))</f>
        <v/>
      </c>
      <c r="E351" s="26">
        <f>IF($P351="","",IF(INDEX(EntryPartyName,$P351)=0,"",INDEX(EntryPartyName,$P351)))</f>
        <v/>
      </c>
      <c r="F351" s="26">
        <f>IF($P351="","",IF(INDEX(EntryPartyType,$P351)=0,"",INDEX(EntryPartyType,$P351)))</f>
        <v/>
      </c>
      <c r="G351" s="26">
        <f>IF($P351="","",IF(INDEX(EntryTxnType,$P351)=0,"",INDEX(EntryTxnType,$P351)))</f>
        <v/>
      </c>
      <c r="H351" s="27">
        <f>IF($P351="","",IF(INDEX(EntryDep,$P351)=0,"",INDEX(EntryDep,$P351)))</f>
        <v/>
      </c>
      <c r="I351" s="27">
        <f>IF($P351="","",IF(INDEX(EntryWit,$P351)=0,"",INDEX(EntryWit,$P351)))</f>
        <v/>
      </c>
      <c r="J351" s="27">
        <f>IF($B351="","",IF($A351=1,$C$7,IF(J350="",0,J350))+IF($H351="",0,$H351)-IF($I351="",0,$I351))</f>
        <v/>
      </c>
      <c r="K351" s="27">
        <f>IF($P351="","",IF(INDEX(EntryMan,$P351)=0,"",INDEX(EntryMan,$P351)))</f>
        <v/>
      </c>
      <c r="L351" s="26">
        <f>IF($B351="","",IF($K351="","—",IF(ROUND($K351-$J351,0)=0,"√","×")))</f>
        <v/>
      </c>
      <c r="M351" s="26">
        <f>IF($B351="","",IF(COUNTIFS(EntryDates,$B351,CalcTime,$C351,CalcBank,$C$5,EntryParty,$D351,EntryDep,$H351,EntryWit,$I351)&gt;1,"تکرار",""))</f>
        <v/>
      </c>
      <c r="N351" s="26">
        <f>IF($P351="","",IF(INDEX(EntryNotes,$P351)=0,"",INDEX(EntryNotes,$P351)))</f>
        <v/>
      </c>
      <c r="O351" s="26">
        <f>IF($P351="","",IF(INDEX(EntryTxnID,$P351)=0,"",INDEX(EntryTxnID,$P351)))</f>
        <v/>
      </c>
      <c r="P351" s="26">
        <f>IFERROR(MATCH($C$5&amp;"|"&amp;RIGHT("000000"&amp;335,6),CalcRankKey,0),"")</f>
        <v/>
      </c>
    </row>
    <row r="352">
      <c r="A352" s="28">
        <f>IF($B352="","",336)</f>
        <v/>
      </c>
      <c r="B352" s="28">
        <f>IF($P352="","",IF(INDEX(CalcNormDate,$P352)=0,"",INDEX(CalcNormDate,$P352)))</f>
        <v/>
      </c>
      <c r="C352" s="28">
        <f>IF($P352="","",IF(INDEX(CalcTime,$P352)=0,"",INDEX(CalcTime,$P352)))</f>
        <v/>
      </c>
      <c r="D352" s="28">
        <f>IF($P352="","",IF(INDEX(EntryParty,$P352)=0,"",INDEX(EntryParty,$P352)))</f>
        <v/>
      </c>
      <c r="E352" s="28">
        <f>IF($P352="","",IF(INDEX(EntryPartyName,$P352)=0,"",INDEX(EntryPartyName,$P352)))</f>
        <v/>
      </c>
      <c r="F352" s="28">
        <f>IF($P352="","",IF(INDEX(EntryPartyType,$P352)=0,"",INDEX(EntryPartyType,$P352)))</f>
        <v/>
      </c>
      <c r="G352" s="28">
        <f>IF($P352="","",IF(INDEX(EntryTxnType,$P352)=0,"",INDEX(EntryTxnType,$P352)))</f>
        <v/>
      </c>
      <c r="H352" s="29">
        <f>IF($P352="","",IF(INDEX(EntryDep,$P352)=0,"",INDEX(EntryDep,$P352)))</f>
        <v/>
      </c>
      <c r="I352" s="29">
        <f>IF($P352="","",IF(INDEX(EntryWit,$P352)=0,"",INDEX(EntryWit,$P352)))</f>
        <v/>
      </c>
      <c r="J352" s="29">
        <f>IF($B352="","",IF($A352=1,$C$7,IF(J351="",0,J351))+IF($H352="",0,$H352)-IF($I352="",0,$I352))</f>
        <v/>
      </c>
      <c r="K352" s="29">
        <f>IF($P352="","",IF(INDEX(EntryMan,$P352)=0,"",INDEX(EntryMan,$P352)))</f>
        <v/>
      </c>
      <c r="L352" s="28">
        <f>IF($B352="","",IF($K352="","—",IF(ROUND($K352-$J352,0)=0,"√","×")))</f>
        <v/>
      </c>
      <c r="M352" s="28">
        <f>IF($B352="","",IF(COUNTIFS(EntryDates,$B352,CalcTime,$C352,CalcBank,$C$5,EntryParty,$D352,EntryDep,$H352,EntryWit,$I352)&gt;1,"تکرار",""))</f>
        <v/>
      </c>
      <c r="N352" s="28">
        <f>IF($P352="","",IF(INDEX(EntryNotes,$P352)=0,"",INDEX(EntryNotes,$P352)))</f>
        <v/>
      </c>
      <c r="O352" s="28">
        <f>IF($P352="","",IF(INDEX(EntryTxnID,$P352)=0,"",INDEX(EntryTxnID,$P352)))</f>
        <v/>
      </c>
      <c r="P352" s="28">
        <f>IFERROR(MATCH($C$5&amp;"|"&amp;RIGHT("000000"&amp;336,6),CalcRankKey,0),"")</f>
        <v/>
      </c>
    </row>
    <row r="353">
      <c r="A353" s="26">
        <f>IF($B353="","",337)</f>
        <v/>
      </c>
      <c r="B353" s="26">
        <f>IF($P353="","",IF(INDEX(CalcNormDate,$P353)=0,"",INDEX(CalcNormDate,$P353)))</f>
        <v/>
      </c>
      <c r="C353" s="26">
        <f>IF($P353="","",IF(INDEX(CalcTime,$P353)=0,"",INDEX(CalcTime,$P353)))</f>
        <v/>
      </c>
      <c r="D353" s="26">
        <f>IF($P353="","",IF(INDEX(EntryParty,$P353)=0,"",INDEX(EntryParty,$P353)))</f>
        <v/>
      </c>
      <c r="E353" s="26">
        <f>IF($P353="","",IF(INDEX(EntryPartyName,$P353)=0,"",INDEX(EntryPartyName,$P353)))</f>
        <v/>
      </c>
      <c r="F353" s="26">
        <f>IF($P353="","",IF(INDEX(EntryPartyType,$P353)=0,"",INDEX(EntryPartyType,$P353)))</f>
        <v/>
      </c>
      <c r="G353" s="26">
        <f>IF($P353="","",IF(INDEX(EntryTxnType,$P353)=0,"",INDEX(EntryTxnType,$P353)))</f>
        <v/>
      </c>
      <c r="H353" s="27">
        <f>IF($P353="","",IF(INDEX(EntryDep,$P353)=0,"",INDEX(EntryDep,$P353)))</f>
        <v/>
      </c>
      <c r="I353" s="27">
        <f>IF($P353="","",IF(INDEX(EntryWit,$P353)=0,"",INDEX(EntryWit,$P353)))</f>
        <v/>
      </c>
      <c r="J353" s="27">
        <f>IF($B353="","",IF($A353=1,$C$7,IF(J352="",0,J352))+IF($H353="",0,$H353)-IF($I353="",0,$I353))</f>
        <v/>
      </c>
      <c r="K353" s="27">
        <f>IF($P353="","",IF(INDEX(EntryMan,$P353)=0,"",INDEX(EntryMan,$P353)))</f>
        <v/>
      </c>
      <c r="L353" s="26">
        <f>IF($B353="","",IF($K353="","—",IF(ROUND($K353-$J353,0)=0,"√","×")))</f>
        <v/>
      </c>
      <c r="M353" s="26">
        <f>IF($B353="","",IF(COUNTIFS(EntryDates,$B353,CalcTime,$C353,CalcBank,$C$5,EntryParty,$D353,EntryDep,$H353,EntryWit,$I353)&gt;1,"تکرار",""))</f>
        <v/>
      </c>
      <c r="N353" s="26">
        <f>IF($P353="","",IF(INDEX(EntryNotes,$P353)=0,"",INDEX(EntryNotes,$P353)))</f>
        <v/>
      </c>
      <c r="O353" s="26">
        <f>IF($P353="","",IF(INDEX(EntryTxnID,$P353)=0,"",INDEX(EntryTxnID,$P353)))</f>
        <v/>
      </c>
      <c r="P353" s="26">
        <f>IFERROR(MATCH($C$5&amp;"|"&amp;RIGHT("000000"&amp;337,6),CalcRankKey,0),"")</f>
        <v/>
      </c>
    </row>
    <row r="354">
      <c r="A354" s="28">
        <f>IF($B354="","",338)</f>
        <v/>
      </c>
      <c r="B354" s="28">
        <f>IF($P354="","",IF(INDEX(CalcNormDate,$P354)=0,"",INDEX(CalcNormDate,$P354)))</f>
        <v/>
      </c>
      <c r="C354" s="28">
        <f>IF($P354="","",IF(INDEX(CalcTime,$P354)=0,"",INDEX(CalcTime,$P354)))</f>
        <v/>
      </c>
      <c r="D354" s="28">
        <f>IF($P354="","",IF(INDEX(EntryParty,$P354)=0,"",INDEX(EntryParty,$P354)))</f>
        <v/>
      </c>
      <c r="E354" s="28">
        <f>IF($P354="","",IF(INDEX(EntryPartyName,$P354)=0,"",INDEX(EntryPartyName,$P354)))</f>
        <v/>
      </c>
      <c r="F354" s="28">
        <f>IF($P354="","",IF(INDEX(EntryPartyType,$P354)=0,"",INDEX(EntryPartyType,$P354)))</f>
        <v/>
      </c>
      <c r="G354" s="28">
        <f>IF($P354="","",IF(INDEX(EntryTxnType,$P354)=0,"",INDEX(EntryTxnType,$P354)))</f>
        <v/>
      </c>
      <c r="H354" s="29">
        <f>IF($P354="","",IF(INDEX(EntryDep,$P354)=0,"",INDEX(EntryDep,$P354)))</f>
        <v/>
      </c>
      <c r="I354" s="29">
        <f>IF($P354="","",IF(INDEX(EntryWit,$P354)=0,"",INDEX(EntryWit,$P354)))</f>
        <v/>
      </c>
      <c r="J354" s="29">
        <f>IF($B354="","",IF($A354=1,$C$7,IF(J353="",0,J353))+IF($H354="",0,$H354)-IF($I354="",0,$I354))</f>
        <v/>
      </c>
      <c r="K354" s="29">
        <f>IF($P354="","",IF(INDEX(EntryMan,$P354)=0,"",INDEX(EntryMan,$P354)))</f>
        <v/>
      </c>
      <c r="L354" s="28">
        <f>IF($B354="","",IF($K354="","—",IF(ROUND($K354-$J354,0)=0,"√","×")))</f>
        <v/>
      </c>
      <c r="M354" s="28">
        <f>IF($B354="","",IF(COUNTIFS(EntryDates,$B354,CalcTime,$C354,CalcBank,$C$5,EntryParty,$D354,EntryDep,$H354,EntryWit,$I354)&gt;1,"تکرار",""))</f>
        <v/>
      </c>
      <c r="N354" s="28">
        <f>IF($P354="","",IF(INDEX(EntryNotes,$P354)=0,"",INDEX(EntryNotes,$P354)))</f>
        <v/>
      </c>
      <c r="O354" s="28">
        <f>IF($P354="","",IF(INDEX(EntryTxnID,$P354)=0,"",INDEX(EntryTxnID,$P354)))</f>
        <v/>
      </c>
      <c r="P354" s="28">
        <f>IFERROR(MATCH($C$5&amp;"|"&amp;RIGHT("000000"&amp;338,6),CalcRankKey,0),"")</f>
        <v/>
      </c>
    </row>
    <row r="355">
      <c r="A355" s="26">
        <f>IF($B355="","",339)</f>
        <v/>
      </c>
      <c r="B355" s="26">
        <f>IF($P355="","",IF(INDEX(CalcNormDate,$P355)=0,"",INDEX(CalcNormDate,$P355)))</f>
        <v/>
      </c>
      <c r="C355" s="26">
        <f>IF($P355="","",IF(INDEX(CalcTime,$P355)=0,"",INDEX(CalcTime,$P355)))</f>
        <v/>
      </c>
      <c r="D355" s="26">
        <f>IF($P355="","",IF(INDEX(EntryParty,$P355)=0,"",INDEX(EntryParty,$P355)))</f>
        <v/>
      </c>
      <c r="E355" s="26">
        <f>IF($P355="","",IF(INDEX(EntryPartyName,$P355)=0,"",INDEX(EntryPartyName,$P355)))</f>
        <v/>
      </c>
      <c r="F355" s="26">
        <f>IF($P355="","",IF(INDEX(EntryPartyType,$P355)=0,"",INDEX(EntryPartyType,$P355)))</f>
        <v/>
      </c>
      <c r="G355" s="26">
        <f>IF($P355="","",IF(INDEX(EntryTxnType,$P355)=0,"",INDEX(EntryTxnType,$P355)))</f>
        <v/>
      </c>
      <c r="H355" s="27">
        <f>IF($P355="","",IF(INDEX(EntryDep,$P355)=0,"",INDEX(EntryDep,$P355)))</f>
        <v/>
      </c>
      <c r="I355" s="27">
        <f>IF($P355="","",IF(INDEX(EntryWit,$P355)=0,"",INDEX(EntryWit,$P355)))</f>
        <v/>
      </c>
      <c r="J355" s="27">
        <f>IF($B355="","",IF($A355=1,$C$7,IF(J354="",0,J354))+IF($H355="",0,$H355)-IF($I355="",0,$I355))</f>
        <v/>
      </c>
      <c r="K355" s="27">
        <f>IF($P355="","",IF(INDEX(EntryMan,$P355)=0,"",INDEX(EntryMan,$P355)))</f>
        <v/>
      </c>
      <c r="L355" s="26">
        <f>IF($B355="","",IF($K355="","—",IF(ROUND($K355-$J355,0)=0,"√","×")))</f>
        <v/>
      </c>
      <c r="M355" s="26">
        <f>IF($B355="","",IF(COUNTIFS(EntryDates,$B355,CalcTime,$C355,CalcBank,$C$5,EntryParty,$D355,EntryDep,$H355,EntryWit,$I355)&gt;1,"تکرار",""))</f>
        <v/>
      </c>
      <c r="N355" s="26">
        <f>IF($P355="","",IF(INDEX(EntryNotes,$P355)=0,"",INDEX(EntryNotes,$P355)))</f>
        <v/>
      </c>
      <c r="O355" s="26">
        <f>IF($P355="","",IF(INDEX(EntryTxnID,$P355)=0,"",INDEX(EntryTxnID,$P355)))</f>
        <v/>
      </c>
      <c r="P355" s="26">
        <f>IFERROR(MATCH($C$5&amp;"|"&amp;RIGHT("000000"&amp;339,6),CalcRankKey,0),"")</f>
        <v/>
      </c>
    </row>
    <row r="356">
      <c r="A356" s="28">
        <f>IF($B356="","",340)</f>
        <v/>
      </c>
      <c r="B356" s="28">
        <f>IF($P356="","",IF(INDEX(CalcNormDate,$P356)=0,"",INDEX(CalcNormDate,$P356)))</f>
        <v/>
      </c>
      <c r="C356" s="28">
        <f>IF($P356="","",IF(INDEX(CalcTime,$P356)=0,"",INDEX(CalcTime,$P356)))</f>
        <v/>
      </c>
      <c r="D356" s="28">
        <f>IF($P356="","",IF(INDEX(EntryParty,$P356)=0,"",INDEX(EntryParty,$P356)))</f>
        <v/>
      </c>
      <c r="E356" s="28">
        <f>IF($P356="","",IF(INDEX(EntryPartyName,$P356)=0,"",INDEX(EntryPartyName,$P356)))</f>
        <v/>
      </c>
      <c r="F356" s="28">
        <f>IF($P356="","",IF(INDEX(EntryPartyType,$P356)=0,"",INDEX(EntryPartyType,$P356)))</f>
        <v/>
      </c>
      <c r="G356" s="28">
        <f>IF($P356="","",IF(INDEX(EntryTxnType,$P356)=0,"",INDEX(EntryTxnType,$P356)))</f>
        <v/>
      </c>
      <c r="H356" s="29">
        <f>IF($P356="","",IF(INDEX(EntryDep,$P356)=0,"",INDEX(EntryDep,$P356)))</f>
        <v/>
      </c>
      <c r="I356" s="29">
        <f>IF($P356="","",IF(INDEX(EntryWit,$P356)=0,"",INDEX(EntryWit,$P356)))</f>
        <v/>
      </c>
      <c r="J356" s="29">
        <f>IF($B356="","",IF($A356=1,$C$7,IF(J355="",0,J355))+IF($H356="",0,$H356)-IF($I356="",0,$I356))</f>
        <v/>
      </c>
      <c r="K356" s="29">
        <f>IF($P356="","",IF(INDEX(EntryMan,$P356)=0,"",INDEX(EntryMan,$P356)))</f>
        <v/>
      </c>
      <c r="L356" s="28">
        <f>IF($B356="","",IF($K356="","—",IF(ROUND($K356-$J356,0)=0,"√","×")))</f>
        <v/>
      </c>
      <c r="M356" s="28">
        <f>IF($B356="","",IF(COUNTIFS(EntryDates,$B356,CalcTime,$C356,CalcBank,$C$5,EntryParty,$D356,EntryDep,$H356,EntryWit,$I356)&gt;1,"تکرار",""))</f>
        <v/>
      </c>
      <c r="N356" s="28">
        <f>IF($P356="","",IF(INDEX(EntryNotes,$P356)=0,"",INDEX(EntryNotes,$P356)))</f>
        <v/>
      </c>
      <c r="O356" s="28">
        <f>IF($P356="","",IF(INDEX(EntryTxnID,$P356)=0,"",INDEX(EntryTxnID,$P356)))</f>
        <v/>
      </c>
      <c r="P356" s="28">
        <f>IFERROR(MATCH($C$5&amp;"|"&amp;RIGHT("000000"&amp;340,6),CalcRankKey,0),"")</f>
        <v/>
      </c>
    </row>
    <row r="357">
      <c r="A357" s="26">
        <f>IF($B357="","",341)</f>
        <v/>
      </c>
      <c r="B357" s="26">
        <f>IF($P357="","",IF(INDEX(CalcNormDate,$P357)=0,"",INDEX(CalcNormDate,$P357)))</f>
        <v/>
      </c>
      <c r="C357" s="26">
        <f>IF($P357="","",IF(INDEX(CalcTime,$P357)=0,"",INDEX(CalcTime,$P357)))</f>
        <v/>
      </c>
      <c r="D357" s="26">
        <f>IF($P357="","",IF(INDEX(EntryParty,$P357)=0,"",INDEX(EntryParty,$P357)))</f>
        <v/>
      </c>
      <c r="E357" s="26">
        <f>IF($P357="","",IF(INDEX(EntryPartyName,$P357)=0,"",INDEX(EntryPartyName,$P357)))</f>
        <v/>
      </c>
      <c r="F357" s="26">
        <f>IF($P357="","",IF(INDEX(EntryPartyType,$P357)=0,"",INDEX(EntryPartyType,$P357)))</f>
        <v/>
      </c>
      <c r="G357" s="26">
        <f>IF($P357="","",IF(INDEX(EntryTxnType,$P357)=0,"",INDEX(EntryTxnType,$P357)))</f>
        <v/>
      </c>
      <c r="H357" s="27">
        <f>IF($P357="","",IF(INDEX(EntryDep,$P357)=0,"",INDEX(EntryDep,$P357)))</f>
        <v/>
      </c>
      <c r="I357" s="27">
        <f>IF($P357="","",IF(INDEX(EntryWit,$P357)=0,"",INDEX(EntryWit,$P357)))</f>
        <v/>
      </c>
      <c r="J357" s="27">
        <f>IF($B357="","",IF($A357=1,$C$7,IF(J356="",0,J356))+IF($H357="",0,$H357)-IF($I357="",0,$I357))</f>
        <v/>
      </c>
      <c r="K357" s="27">
        <f>IF($P357="","",IF(INDEX(EntryMan,$P357)=0,"",INDEX(EntryMan,$P357)))</f>
        <v/>
      </c>
      <c r="L357" s="26">
        <f>IF($B357="","",IF($K357="","—",IF(ROUND($K357-$J357,0)=0,"√","×")))</f>
        <v/>
      </c>
      <c r="M357" s="26">
        <f>IF($B357="","",IF(COUNTIFS(EntryDates,$B357,CalcTime,$C357,CalcBank,$C$5,EntryParty,$D357,EntryDep,$H357,EntryWit,$I357)&gt;1,"تکرار",""))</f>
        <v/>
      </c>
      <c r="N357" s="26">
        <f>IF($P357="","",IF(INDEX(EntryNotes,$P357)=0,"",INDEX(EntryNotes,$P357)))</f>
        <v/>
      </c>
      <c r="O357" s="26">
        <f>IF($P357="","",IF(INDEX(EntryTxnID,$P357)=0,"",INDEX(EntryTxnID,$P357)))</f>
        <v/>
      </c>
      <c r="P357" s="26">
        <f>IFERROR(MATCH($C$5&amp;"|"&amp;RIGHT("000000"&amp;341,6),CalcRankKey,0),"")</f>
        <v/>
      </c>
    </row>
    <row r="358">
      <c r="A358" s="28">
        <f>IF($B358="","",342)</f>
        <v/>
      </c>
      <c r="B358" s="28">
        <f>IF($P358="","",IF(INDEX(CalcNormDate,$P358)=0,"",INDEX(CalcNormDate,$P358)))</f>
        <v/>
      </c>
      <c r="C358" s="28">
        <f>IF($P358="","",IF(INDEX(CalcTime,$P358)=0,"",INDEX(CalcTime,$P358)))</f>
        <v/>
      </c>
      <c r="D358" s="28">
        <f>IF($P358="","",IF(INDEX(EntryParty,$P358)=0,"",INDEX(EntryParty,$P358)))</f>
        <v/>
      </c>
      <c r="E358" s="28">
        <f>IF($P358="","",IF(INDEX(EntryPartyName,$P358)=0,"",INDEX(EntryPartyName,$P358)))</f>
        <v/>
      </c>
      <c r="F358" s="28">
        <f>IF($P358="","",IF(INDEX(EntryPartyType,$P358)=0,"",INDEX(EntryPartyType,$P358)))</f>
        <v/>
      </c>
      <c r="G358" s="28">
        <f>IF($P358="","",IF(INDEX(EntryTxnType,$P358)=0,"",INDEX(EntryTxnType,$P358)))</f>
        <v/>
      </c>
      <c r="H358" s="29">
        <f>IF($P358="","",IF(INDEX(EntryDep,$P358)=0,"",INDEX(EntryDep,$P358)))</f>
        <v/>
      </c>
      <c r="I358" s="29">
        <f>IF($P358="","",IF(INDEX(EntryWit,$P358)=0,"",INDEX(EntryWit,$P358)))</f>
        <v/>
      </c>
      <c r="J358" s="29">
        <f>IF($B358="","",IF($A358=1,$C$7,IF(J357="",0,J357))+IF($H358="",0,$H358)-IF($I358="",0,$I358))</f>
        <v/>
      </c>
      <c r="K358" s="29">
        <f>IF($P358="","",IF(INDEX(EntryMan,$P358)=0,"",INDEX(EntryMan,$P358)))</f>
        <v/>
      </c>
      <c r="L358" s="28">
        <f>IF($B358="","",IF($K358="","—",IF(ROUND($K358-$J358,0)=0,"√","×")))</f>
        <v/>
      </c>
      <c r="M358" s="28">
        <f>IF($B358="","",IF(COUNTIFS(EntryDates,$B358,CalcTime,$C358,CalcBank,$C$5,EntryParty,$D358,EntryDep,$H358,EntryWit,$I358)&gt;1,"تکرار",""))</f>
        <v/>
      </c>
      <c r="N358" s="28">
        <f>IF($P358="","",IF(INDEX(EntryNotes,$P358)=0,"",INDEX(EntryNotes,$P358)))</f>
        <v/>
      </c>
      <c r="O358" s="28">
        <f>IF($P358="","",IF(INDEX(EntryTxnID,$P358)=0,"",INDEX(EntryTxnID,$P358)))</f>
        <v/>
      </c>
      <c r="P358" s="28">
        <f>IFERROR(MATCH($C$5&amp;"|"&amp;RIGHT("000000"&amp;342,6),CalcRankKey,0),"")</f>
        <v/>
      </c>
    </row>
    <row r="359">
      <c r="A359" s="26">
        <f>IF($B359="","",343)</f>
        <v/>
      </c>
      <c r="B359" s="26">
        <f>IF($P359="","",IF(INDEX(CalcNormDate,$P359)=0,"",INDEX(CalcNormDate,$P359)))</f>
        <v/>
      </c>
      <c r="C359" s="26">
        <f>IF($P359="","",IF(INDEX(CalcTime,$P359)=0,"",INDEX(CalcTime,$P359)))</f>
        <v/>
      </c>
      <c r="D359" s="26">
        <f>IF($P359="","",IF(INDEX(EntryParty,$P359)=0,"",INDEX(EntryParty,$P359)))</f>
        <v/>
      </c>
      <c r="E359" s="26">
        <f>IF($P359="","",IF(INDEX(EntryPartyName,$P359)=0,"",INDEX(EntryPartyName,$P359)))</f>
        <v/>
      </c>
      <c r="F359" s="26">
        <f>IF($P359="","",IF(INDEX(EntryPartyType,$P359)=0,"",INDEX(EntryPartyType,$P359)))</f>
        <v/>
      </c>
      <c r="G359" s="26">
        <f>IF($P359="","",IF(INDEX(EntryTxnType,$P359)=0,"",INDEX(EntryTxnType,$P359)))</f>
        <v/>
      </c>
      <c r="H359" s="27">
        <f>IF($P359="","",IF(INDEX(EntryDep,$P359)=0,"",INDEX(EntryDep,$P359)))</f>
        <v/>
      </c>
      <c r="I359" s="27">
        <f>IF($P359="","",IF(INDEX(EntryWit,$P359)=0,"",INDEX(EntryWit,$P359)))</f>
        <v/>
      </c>
      <c r="J359" s="27">
        <f>IF($B359="","",IF($A359=1,$C$7,IF(J358="",0,J358))+IF($H359="",0,$H359)-IF($I359="",0,$I359))</f>
        <v/>
      </c>
      <c r="K359" s="27">
        <f>IF($P359="","",IF(INDEX(EntryMan,$P359)=0,"",INDEX(EntryMan,$P359)))</f>
        <v/>
      </c>
      <c r="L359" s="26">
        <f>IF($B359="","",IF($K359="","—",IF(ROUND($K359-$J359,0)=0,"√","×")))</f>
        <v/>
      </c>
      <c r="M359" s="26">
        <f>IF($B359="","",IF(COUNTIFS(EntryDates,$B359,CalcTime,$C359,CalcBank,$C$5,EntryParty,$D359,EntryDep,$H359,EntryWit,$I359)&gt;1,"تکرار",""))</f>
        <v/>
      </c>
      <c r="N359" s="26">
        <f>IF($P359="","",IF(INDEX(EntryNotes,$P359)=0,"",INDEX(EntryNotes,$P359)))</f>
        <v/>
      </c>
      <c r="O359" s="26">
        <f>IF($P359="","",IF(INDEX(EntryTxnID,$P359)=0,"",INDEX(EntryTxnID,$P359)))</f>
        <v/>
      </c>
      <c r="P359" s="26">
        <f>IFERROR(MATCH($C$5&amp;"|"&amp;RIGHT("000000"&amp;343,6),CalcRankKey,0),"")</f>
        <v/>
      </c>
    </row>
    <row r="360">
      <c r="A360" s="28">
        <f>IF($B360="","",344)</f>
        <v/>
      </c>
      <c r="B360" s="28">
        <f>IF($P360="","",IF(INDEX(CalcNormDate,$P360)=0,"",INDEX(CalcNormDate,$P360)))</f>
        <v/>
      </c>
      <c r="C360" s="28">
        <f>IF($P360="","",IF(INDEX(CalcTime,$P360)=0,"",INDEX(CalcTime,$P360)))</f>
        <v/>
      </c>
      <c r="D360" s="28">
        <f>IF($P360="","",IF(INDEX(EntryParty,$P360)=0,"",INDEX(EntryParty,$P360)))</f>
        <v/>
      </c>
      <c r="E360" s="28">
        <f>IF($P360="","",IF(INDEX(EntryPartyName,$P360)=0,"",INDEX(EntryPartyName,$P360)))</f>
        <v/>
      </c>
      <c r="F360" s="28">
        <f>IF($P360="","",IF(INDEX(EntryPartyType,$P360)=0,"",INDEX(EntryPartyType,$P360)))</f>
        <v/>
      </c>
      <c r="G360" s="28">
        <f>IF($P360="","",IF(INDEX(EntryTxnType,$P360)=0,"",INDEX(EntryTxnType,$P360)))</f>
        <v/>
      </c>
      <c r="H360" s="29">
        <f>IF($P360="","",IF(INDEX(EntryDep,$P360)=0,"",INDEX(EntryDep,$P360)))</f>
        <v/>
      </c>
      <c r="I360" s="29">
        <f>IF($P360="","",IF(INDEX(EntryWit,$P360)=0,"",INDEX(EntryWit,$P360)))</f>
        <v/>
      </c>
      <c r="J360" s="29">
        <f>IF($B360="","",IF($A360=1,$C$7,IF(J359="",0,J359))+IF($H360="",0,$H360)-IF($I360="",0,$I360))</f>
        <v/>
      </c>
      <c r="K360" s="29">
        <f>IF($P360="","",IF(INDEX(EntryMan,$P360)=0,"",INDEX(EntryMan,$P360)))</f>
        <v/>
      </c>
      <c r="L360" s="28">
        <f>IF($B360="","",IF($K360="","—",IF(ROUND($K360-$J360,0)=0,"√","×")))</f>
        <v/>
      </c>
      <c r="M360" s="28">
        <f>IF($B360="","",IF(COUNTIFS(EntryDates,$B360,CalcTime,$C360,CalcBank,$C$5,EntryParty,$D360,EntryDep,$H360,EntryWit,$I360)&gt;1,"تکرار",""))</f>
        <v/>
      </c>
      <c r="N360" s="28">
        <f>IF($P360="","",IF(INDEX(EntryNotes,$P360)=0,"",INDEX(EntryNotes,$P360)))</f>
        <v/>
      </c>
      <c r="O360" s="28">
        <f>IF($P360="","",IF(INDEX(EntryTxnID,$P360)=0,"",INDEX(EntryTxnID,$P360)))</f>
        <v/>
      </c>
      <c r="P360" s="28">
        <f>IFERROR(MATCH($C$5&amp;"|"&amp;RIGHT("000000"&amp;344,6),CalcRankKey,0),"")</f>
        <v/>
      </c>
    </row>
    <row r="361">
      <c r="A361" s="26">
        <f>IF($B361="","",345)</f>
        <v/>
      </c>
      <c r="B361" s="26">
        <f>IF($P361="","",IF(INDEX(CalcNormDate,$P361)=0,"",INDEX(CalcNormDate,$P361)))</f>
        <v/>
      </c>
      <c r="C361" s="26">
        <f>IF($P361="","",IF(INDEX(CalcTime,$P361)=0,"",INDEX(CalcTime,$P361)))</f>
        <v/>
      </c>
      <c r="D361" s="26">
        <f>IF($P361="","",IF(INDEX(EntryParty,$P361)=0,"",INDEX(EntryParty,$P361)))</f>
        <v/>
      </c>
      <c r="E361" s="26">
        <f>IF($P361="","",IF(INDEX(EntryPartyName,$P361)=0,"",INDEX(EntryPartyName,$P361)))</f>
        <v/>
      </c>
      <c r="F361" s="26">
        <f>IF($P361="","",IF(INDEX(EntryPartyType,$P361)=0,"",INDEX(EntryPartyType,$P361)))</f>
        <v/>
      </c>
      <c r="G361" s="26">
        <f>IF($P361="","",IF(INDEX(EntryTxnType,$P361)=0,"",INDEX(EntryTxnType,$P361)))</f>
        <v/>
      </c>
      <c r="H361" s="27">
        <f>IF($P361="","",IF(INDEX(EntryDep,$P361)=0,"",INDEX(EntryDep,$P361)))</f>
        <v/>
      </c>
      <c r="I361" s="27">
        <f>IF($P361="","",IF(INDEX(EntryWit,$P361)=0,"",INDEX(EntryWit,$P361)))</f>
        <v/>
      </c>
      <c r="J361" s="27">
        <f>IF($B361="","",IF($A361=1,$C$7,IF(J360="",0,J360))+IF($H361="",0,$H361)-IF($I361="",0,$I361))</f>
        <v/>
      </c>
      <c r="K361" s="27">
        <f>IF($P361="","",IF(INDEX(EntryMan,$P361)=0,"",INDEX(EntryMan,$P361)))</f>
        <v/>
      </c>
      <c r="L361" s="26">
        <f>IF($B361="","",IF($K361="","—",IF(ROUND($K361-$J361,0)=0,"√","×")))</f>
        <v/>
      </c>
      <c r="M361" s="26">
        <f>IF($B361="","",IF(COUNTIFS(EntryDates,$B361,CalcTime,$C361,CalcBank,$C$5,EntryParty,$D361,EntryDep,$H361,EntryWit,$I361)&gt;1,"تکرار",""))</f>
        <v/>
      </c>
      <c r="N361" s="26">
        <f>IF($P361="","",IF(INDEX(EntryNotes,$P361)=0,"",INDEX(EntryNotes,$P361)))</f>
        <v/>
      </c>
      <c r="O361" s="26">
        <f>IF($P361="","",IF(INDEX(EntryTxnID,$P361)=0,"",INDEX(EntryTxnID,$P361)))</f>
        <v/>
      </c>
      <c r="P361" s="26">
        <f>IFERROR(MATCH($C$5&amp;"|"&amp;RIGHT("000000"&amp;345,6),CalcRankKey,0),"")</f>
        <v/>
      </c>
    </row>
    <row r="362">
      <c r="A362" s="28">
        <f>IF($B362="","",346)</f>
        <v/>
      </c>
      <c r="B362" s="28">
        <f>IF($P362="","",IF(INDEX(CalcNormDate,$P362)=0,"",INDEX(CalcNormDate,$P362)))</f>
        <v/>
      </c>
      <c r="C362" s="28">
        <f>IF($P362="","",IF(INDEX(CalcTime,$P362)=0,"",INDEX(CalcTime,$P362)))</f>
        <v/>
      </c>
      <c r="D362" s="28">
        <f>IF($P362="","",IF(INDEX(EntryParty,$P362)=0,"",INDEX(EntryParty,$P362)))</f>
        <v/>
      </c>
      <c r="E362" s="28">
        <f>IF($P362="","",IF(INDEX(EntryPartyName,$P362)=0,"",INDEX(EntryPartyName,$P362)))</f>
        <v/>
      </c>
      <c r="F362" s="28">
        <f>IF($P362="","",IF(INDEX(EntryPartyType,$P362)=0,"",INDEX(EntryPartyType,$P362)))</f>
        <v/>
      </c>
      <c r="G362" s="28">
        <f>IF($P362="","",IF(INDEX(EntryTxnType,$P362)=0,"",INDEX(EntryTxnType,$P362)))</f>
        <v/>
      </c>
      <c r="H362" s="29">
        <f>IF($P362="","",IF(INDEX(EntryDep,$P362)=0,"",INDEX(EntryDep,$P362)))</f>
        <v/>
      </c>
      <c r="I362" s="29">
        <f>IF($P362="","",IF(INDEX(EntryWit,$P362)=0,"",INDEX(EntryWit,$P362)))</f>
        <v/>
      </c>
      <c r="J362" s="29">
        <f>IF($B362="","",IF($A362=1,$C$7,IF(J361="",0,J361))+IF($H362="",0,$H362)-IF($I362="",0,$I362))</f>
        <v/>
      </c>
      <c r="K362" s="29">
        <f>IF($P362="","",IF(INDEX(EntryMan,$P362)=0,"",INDEX(EntryMan,$P362)))</f>
        <v/>
      </c>
      <c r="L362" s="28">
        <f>IF($B362="","",IF($K362="","—",IF(ROUND($K362-$J362,0)=0,"√","×")))</f>
        <v/>
      </c>
      <c r="M362" s="28">
        <f>IF($B362="","",IF(COUNTIFS(EntryDates,$B362,CalcTime,$C362,CalcBank,$C$5,EntryParty,$D362,EntryDep,$H362,EntryWit,$I362)&gt;1,"تکرار",""))</f>
        <v/>
      </c>
      <c r="N362" s="28">
        <f>IF($P362="","",IF(INDEX(EntryNotes,$P362)=0,"",INDEX(EntryNotes,$P362)))</f>
        <v/>
      </c>
      <c r="O362" s="28">
        <f>IF($P362="","",IF(INDEX(EntryTxnID,$P362)=0,"",INDEX(EntryTxnID,$P362)))</f>
        <v/>
      </c>
      <c r="P362" s="28">
        <f>IFERROR(MATCH($C$5&amp;"|"&amp;RIGHT("000000"&amp;346,6),CalcRankKey,0),"")</f>
        <v/>
      </c>
    </row>
    <row r="363">
      <c r="A363" s="26">
        <f>IF($B363="","",347)</f>
        <v/>
      </c>
      <c r="B363" s="26">
        <f>IF($P363="","",IF(INDEX(CalcNormDate,$P363)=0,"",INDEX(CalcNormDate,$P363)))</f>
        <v/>
      </c>
      <c r="C363" s="26">
        <f>IF($P363="","",IF(INDEX(CalcTime,$P363)=0,"",INDEX(CalcTime,$P363)))</f>
        <v/>
      </c>
      <c r="D363" s="26">
        <f>IF($P363="","",IF(INDEX(EntryParty,$P363)=0,"",INDEX(EntryParty,$P363)))</f>
        <v/>
      </c>
      <c r="E363" s="26">
        <f>IF($P363="","",IF(INDEX(EntryPartyName,$P363)=0,"",INDEX(EntryPartyName,$P363)))</f>
        <v/>
      </c>
      <c r="F363" s="26">
        <f>IF($P363="","",IF(INDEX(EntryPartyType,$P363)=0,"",INDEX(EntryPartyType,$P363)))</f>
        <v/>
      </c>
      <c r="G363" s="26">
        <f>IF($P363="","",IF(INDEX(EntryTxnType,$P363)=0,"",INDEX(EntryTxnType,$P363)))</f>
        <v/>
      </c>
      <c r="H363" s="27">
        <f>IF($P363="","",IF(INDEX(EntryDep,$P363)=0,"",INDEX(EntryDep,$P363)))</f>
        <v/>
      </c>
      <c r="I363" s="27">
        <f>IF($P363="","",IF(INDEX(EntryWit,$P363)=0,"",INDEX(EntryWit,$P363)))</f>
        <v/>
      </c>
      <c r="J363" s="27">
        <f>IF($B363="","",IF($A363=1,$C$7,IF(J362="",0,J362))+IF($H363="",0,$H363)-IF($I363="",0,$I363))</f>
        <v/>
      </c>
      <c r="K363" s="27">
        <f>IF($P363="","",IF(INDEX(EntryMan,$P363)=0,"",INDEX(EntryMan,$P363)))</f>
        <v/>
      </c>
      <c r="L363" s="26">
        <f>IF($B363="","",IF($K363="","—",IF(ROUND($K363-$J363,0)=0,"√","×")))</f>
        <v/>
      </c>
      <c r="M363" s="26">
        <f>IF($B363="","",IF(COUNTIFS(EntryDates,$B363,CalcTime,$C363,CalcBank,$C$5,EntryParty,$D363,EntryDep,$H363,EntryWit,$I363)&gt;1,"تکرار",""))</f>
        <v/>
      </c>
      <c r="N363" s="26">
        <f>IF($P363="","",IF(INDEX(EntryNotes,$P363)=0,"",INDEX(EntryNotes,$P363)))</f>
        <v/>
      </c>
      <c r="O363" s="26">
        <f>IF($P363="","",IF(INDEX(EntryTxnID,$P363)=0,"",INDEX(EntryTxnID,$P363)))</f>
        <v/>
      </c>
      <c r="P363" s="26">
        <f>IFERROR(MATCH($C$5&amp;"|"&amp;RIGHT("000000"&amp;347,6),CalcRankKey,0),"")</f>
        <v/>
      </c>
    </row>
    <row r="364">
      <c r="A364" s="28">
        <f>IF($B364="","",348)</f>
        <v/>
      </c>
      <c r="B364" s="28">
        <f>IF($P364="","",IF(INDEX(CalcNormDate,$P364)=0,"",INDEX(CalcNormDate,$P364)))</f>
        <v/>
      </c>
      <c r="C364" s="28">
        <f>IF($P364="","",IF(INDEX(CalcTime,$P364)=0,"",INDEX(CalcTime,$P364)))</f>
        <v/>
      </c>
      <c r="D364" s="28">
        <f>IF($P364="","",IF(INDEX(EntryParty,$P364)=0,"",INDEX(EntryParty,$P364)))</f>
        <v/>
      </c>
      <c r="E364" s="28">
        <f>IF($P364="","",IF(INDEX(EntryPartyName,$P364)=0,"",INDEX(EntryPartyName,$P364)))</f>
        <v/>
      </c>
      <c r="F364" s="28">
        <f>IF($P364="","",IF(INDEX(EntryPartyType,$P364)=0,"",INDEX(EntryPartyType,$P364)))</f>
        <v/>
      </c>
      <c r="G364" s="28">
        <f>IF($P364="","",IF(INDEX(EntryTxnType,$P364)=0,"",INDEX(EntryTxnType,$P364)))</f>
        <v/>
      </c>
      <c r="H364" s="29">
        <f>IF($P364="","",IF(INDEX(EntryDep,$P364)=0,"",INDEX(EntryDep,$P364)))</f>
        <v/>
      </c>
      <c r="I364" s="29">
        <f>IF($P364="","",IF(INDEX(EntryWit,$P364)=0,"",INDEX(EntryWit,$P364)))</f>
        <v/>
      </c>
      <c r="J364" s="29">
        <f>IF($B364="","",IF($A364=1,$C$7,IF(J363="",0,J363))+IF($H364="",0,$H364)-IF($I364="",0,$I364))</f>
        <v/>
      </c>
      <c r="K364" s="29">
        <f>IF($P364="","",IF(INDEX(EntryMan,$P364)=0,"",INDEX(EntryMan,$P364)))</f>
        <v/>
      </c>
      <c r="L364" s="28">
        <f>IF($B364="","",IF($K364="","—",IF(ROUND($K364-$J364,0)=0,"√","×")))</f>
        <v/>
      </c>
      <c r="M364" s="28">
        <f>IF($B364="","",IF(COUNTIFS(EntryDates,$B364,CalcTime,$C364,CalcBank,$C$5,EntryParty,$D364,EntryDep,$H364,EntryWit,$I364)&gt;1,"تکرار",""))</f>
        <v/>
      </c>
      <c r="N364" s="28">
        <f>IF($P364="","",IF(INDEX(EntryNotes,$P364)=0,"",INDEX(EntryNotes,$P364)))</f>
        <v/>
      </c>
      <c r="O364" s="28">
        <f>IF($P364="","",IF(INDEX(EntryTxnID,$P364)=0,"",INDEX(EntryTxnID,$P364)))</f>
        <v/>
      </c>
      <c r="P364" s="28">
        <f>IFERROR(MATCH($C$5&amp;"|"&amp;RIGHT("000000"&amp;348,6),CalcRankKey,0),"")</f>
        <v/>
      </c>
    </row>
    <row r="365">
      <c r="A365" s="26">
        <f>IF($B365="","",349)</f>
        <v/>
      </c>
      <c r="B365" s="26">
        <f>IF($P365="","",IF(INDEX(CalcNormDate,$P365)=0,"",INDEX(CalcNormDate,$P365)))</f>
        <v/>
      </c>
      <c r="C365" s="26">
        <f>IF($P365="","",IF(INDEX(CalcTime,$P365)=0,"",INDEX(CalcTime,$P365)))</f>
        <v/>
      </c>
      <c r="D365" s="26">
        <f>IF($P365="","",IF(INDEX(EntryParty,$P365)=0,"",INDEX(EntryParty,$P365)))</f>
        <v/>
      </c>
      <c r="E365" s="26">
        <f>IF($P365="","",IF(INDEX(EntryPartyName,$P365)=0,"",INDEX(EntryPartyName,$P365)))</f>
        <v/>
      </c>
      <c r="F365" s="26">
        <f>IF($P365="","",IF(INDEX(EntryPartyType,$P365)=0,"",INDEX(EntryPartyType,$P365)))</f>
        <v/>
      </c>
      <c r="G365" s="26">
        <f>IF($P365="","",IF(INDEX(EntryTxnType,$P365)=0,"",INDEX(EntryTxnType,$P365)))</f>
        <v/>
      </c>
      <c r="H365" s="27">
        <f>IF($P365="","",IF(INDEX(EntryDep,$P365)=0,"",INDEX(EntryDep,$P365)))</f>
        <v/>
      </c>
      <c r="I365" s="27">
        <f>IF($P365="","",IF(INDEX(EntryWit,$P365)=0,"",INDEX(EntryWit,$P365)))</f>
        <v/>
      </c>
      <c r="J365" s="27">
        <f>IF($B365="","",IF($A365=1,$C$7,IF(J364="",0,J364))+IF($H365="",0,$H365)-IF($I365="",0,$I365))</f>
        <v/>
      </c>
      <c r="K365" s="27">
        <f>IF($P365="","",IF(INDEX(EntryMan,$P365)=0,"",INDEX(EntryMan,$P365)))</f>
        <v/>
      </c>
      <c r="L365" s="26">
        <f>IF($B365="","",IF($K365="","—",IF(ROUND($K365-$J365,0)=0,"√","×")))</f>
        <v/>
      </c>
      <c r="M365" s="26">
        <f>IF($B365="","",IF(COUNTIFS(EntryDates,$B365,CalcTime,$C365,CalcBank,$C$5,EntryParty,$D365,EntryDep,$H365,EntryWit,$I365)&gt;1,"تکرار",""))</f>
        <v/>
      </c>
      <c r="N365" s="26">
        <f>IF($P365="","",IF(INDEX(EntryNotes,$P365)=0,"",INDEX(EntryNotes,$P365)))</f>
        <v/>
      </c>
      <c r="O365" s="26">
        <f>IF($P365="","",IF(INDEX(EntryTxnID,$P365)=0,"",INDEX(EntryTxnID,$P365)))</f>
        <v/>
      </c>
      <c r="P365" s="26">
        <f>IFERROR(MATCH($C$5&amp;"|"&amp;RIGHT("000000"&amp;349,6),CalcRankKey,0),"")</f>
        <v/>
      </c>
    </row>
    <row r="366">
      <c r="A366" s="28">
        <f>IF($B366="","",350)</f>
        <v/>
      </c>
      <c r="B366" s="28">
        <f>IF($P366="","",IF(INDEX(CalcNormDate,$P366)=0,"",INDEX(CalcNormDate,$P366)))</f>
        <v/>
      </c>
      <c r="C366" s="28">
        <f>IF($P366="","",IF(INDEX(CalcTime,$P366)=0,"",INDEX(CalcTime,$P366)))</f>
        <v/>
      </c>
      <c r="D366" s="28">
        <f>IF($P366="","",IF(INDEX(EntryParty,$P366)=0,"",INDEX(EntryParty,$P366)))</f>
        <v/>
      </c>
      <c r="E366" s="28">
        <f>IF($P366="","",IF(INDEX(EntryPartyName,$P366)=0,"",INDEX(EntryPartyName,$P366)))</f>
        <v/>
      </c>
      <c r="F366" s="28">
        <f>IF($P366="","",IF(INDEX(EntryPartyType,$P366)=0,"",INDEX(EntryPartyType,$P366)))</f>
        <v/>
      </c>
      <c r="G366" s="28">
        <f>IF($P366="","",IF(INDEX(EntryTxnType,$P366)=0,"",INDEX(EntryTxnType,$P366)))</f>
        <v/>
      </c>
      <c r="H366" s="29">
        <f>IF($P366="","",IF(INDEX(EntryDep,$P366)=0,"",INDEX(EntryDep,$P366)))</f>
        <v/>
      </c>
      <c r="I366" s="29">
        <f>IF($P366="","",IF(INDEX(EntryWit,$P366)=0,"",INDEX(EntryWit,$P366)))</f>
        <v/>
      </c>
      <c r="J366" s="29">
        <f>IF($B366="","",IF($A366=1,$C$7,IF(J365="",0,J365))+IF($H366="",0,$H366)-IF($I366="",0,$I366))</f>
        <v/>
      </c>
      <c r="K366" s="29">
        <f>IF($P366="","",IF(INDEX(EntryMan,$P366)=0,"",INDEX(EntryMan,$P366)))</f>
        <v/>
      </c>
      <c r="L366" s="28">
        <f>IF($B366="","",IF($K366="","—",IF(ROUND($K366-$J366,0)=0,"√","×")))</f>
        <v/>
      </c>
      <c r="M366" s="28">
        <f>IF($B366="","",IF(COUNTIFS(EntryDates,$B366,CalcTime,$C366,CalcBank,$C$5,EntryParty,$D366,EntryDep,$H366,EntryWit,$I366)&gt;1,"تکرار",""))</f>
        <v/>
      </c>
      <c r="N366" s="28">
        <f>IF($P366="","",IF(INDEX(EntryNotes,$P366)=0,"",INDEX(EntryNotes,$P366)))</f>
        <v/>
      </c>
      <c r="O366" s="28">
        <f>IF($P366="","",IF(INDEX(EntryTxnID,$P366)=0,"",INDEX(EntryTxnID,$P366)))</f>
        <v/>
      </c>
      <c r="P366" s="28">
        <f>IFERROR(MATCH($C$5&amp;"|"&amp;RIGHT("000000"&amp;350,6),CalcRankKey,0),"")</f>
        <v/>
      </c>
    </row>
    <row r="367">
      <c r="A367" s="26">
        <f>IF($B367="","",351)</f>
        <v/>
      </c>
      <c r="B367" s="26">
        <f>IF($P367="","",IF(INDEX(CalcNormDate,$P367)=0,"",INDEX(CalcNormDate,$P367)))</f>
        <v/>
      </c>
      <c r="C367" s="26">
        <f>IF($P367="","",IF(INDEX(CalcTime,$P367)=0,"",INDEX(CalcTime,$P367)))</f>
        <v/>
      </c>
      <c r="D367" s="26">
        <f>IF($P367="","",IF(INDEX(EntryParty,$P367)=0,"",INDEX(EntryParty,$P367)))</f>
        <v/>
      </c>
      <c r="E367" s="26">
        <f>IF($P367="","",IF(INDEX(EntryPartyName,$P367)=0,"",INDEX(EntryPartyName,$P367)))</f>
        <v/>
      </c>
      <c r="F367" s="26">
        <f>IF($P367="","",IF(INDEX(EntryPartyType,$P367)=0,"",INDEX(EntryPartyType,$P367)))</f>
        <v/>
      </c>
      <c r="G367" s="26">
        <f>IF($P367="","",IF(INDEX(EntryTxnType,$P367)=0,"",INDEX(EntryTxnType,$P367)))</f>
        <v/>
      </c>
      <c r="H367" s="27">
        <f>IF($P367="","",IF(INDEX(EntryDep,$P367)=0,"",INDEX(EntryDep,$P367)))</f>
        <v/>
      </c>
      <c r="I367" s="27">
        <f>IF($P367="","",IF(INDEX(EntryWit,$P367)=0,"",INDEX(EntryWit,$P367)))</f>
        <v/>
      </c>
      <c r="J367" s="27">
        <f>IF($B367="","",IF($A367=1,$C$7,IF(J366="",0,J366))+IF($H367="",0,$H367)-IF($I367="",0,$I367))</f>
        <v/>
      </c>
      <c r="K367" s="27">
        <f>IF($P367="","",IF(INDEX(EntryMan,$P367)=0,"",INDEX(EntryMan,$P367)))</f>
        <v/>
      </c>
      <c r="L367" s="26">
        <f>IF($B367="","",IF($K367="","—",IF(ROUND($K367-$J367,0)=0,"√","×")))</f>
        <v/>
      </c>
      <c r="M367" s="26">
        <f>IF($B367="","",IF(COUNTIFS(EntryDates,$B367,CalcTime,$C367,CalcBank,$C$5,EntryParty,$D367,EntryDep,$H367,EntryWit,$I367)&gt;1,"تکرار",""))</f>
        <v/>
      </c>
      <c r="N367" s="26">
        <f>IF($P367="","",IF(INDEX(EntryNotes,$P367)=0,"",INDEX(EntryNotes,$P367)))</f>
        <v/>
      </c>
      <c r="O367" s="26">
        <f>IF($P367="","",IF(INDEX(EntryTxnID,$P367)=0,"",INDEX(EntryTxnID,$P367)))</f>
        <v/>
      </c>
      <c r="P367" s="26">
        <f>IFERROR(MATCH($C$5&amp;"|"&amp;RIGHT("000000"&amp;351,6),CalcRankKey,0),"")</f>
        <v/>
      </c>
    </row>
    <row r="368">
      <c r="A368" s="28">
        <f>IF($B368="","",352)</f>
        <v/>
      </c>
      <c r="B368" s="28">
        <f>IF($P368="","",IF(INDEX(CalcNormDate,$P368)=0,"",INDEX(CalcNormDate,$P368)))</f>
        <v/>
      </c>
      <c r="C368" s="28">
        <f>IF($P368="","",IF(INDEX(CalcTime,$P368)=0,"",INDEX(CalcTime,$P368)))</f>
        <v/>
      </c>
      <c r="D368" s="28">
        <f>IF($P368="","",IF(INDEX(EntryParty,$P368)=0,"",INDEX(EntryParty,$P368)))</f>
        <v/>
      </c>
      <c r="E368" s="28">
        <f>IF($P368="","",IF(INDEX(EntryPartyName,$P368)=0,"",INDEX(EntryPartyName,$P368)))</f>
        <v/>
      </c>
      <c r="F368" s="28">
        <f>IF($P368="","",IF(INDEX(EntryPartyType,$P368)=0,"",INDEX(EntryPartyType,$P368)))</f>
        <v/>
      </c>
      <c r="G368" s="28">
        <f>IF($P368="","",IF(INDEX(EntryTxnType,$P368)=0,"",INDEX(EntryTxnType,$P368)))</f>
        <v/>
      </c>
      <c r="H368" s="29">
        <f>IF($P368="","",IF(INDEX(EntryDep,$P368)=0,"",INDEX(EntryDep,$P368)))</f>
        <v/>
      </c>
      <c r="I368" s="29">
        <f>IF($P368="","",IF(INDEX(EntryWit,$P368)=0,"",INDEX(EntryWit,$P368)))</f>
        <v/>
      </c>
      <c r="J368" s="29">
        <f>IF($B368="","",IF($A368=1,$C$7,IF(J367="",0,J367))+IF($H368="",0,$H368)-IF($I368="",0,$I368))</f>
        <v/>
      </c>
      <c r="K368" s="29">
        <f>IF($P368="","",IF(INDEX(EntryMan,$P368)=0,"",INDEX(EntryMan,$P368)))</f>
        <v/>
      </c>
      <c r="L368" s="28">
        <f>IF($B368="","",IF($K368="","—",IF(ROUND($K368-$J368,0)=0,"√","×")))</f>
        <v/>
      </c>
      <c r="M368" s="28">
        <f>IF($B368="","",IF(COUNTIFS(EntryDates,$B368,CalcTime,$C368,CalcBank,$C$5,EntryParty,$D368,EntryDep,$H368,EntryWit,$I368)&gt;1,"تکرار",""))</f>
        <v/>
      </c>
      <c r="N368" s="28">
        <f>IF($P368="","",IF(INDEX(EntryNotes,$P368)=0,"",INDEX(EntryNotes,$P368)))</f>
        <v/>
      </c>
      <c r="O368" s="28">
        <f>IF($P368="","",IF(INDEX(EntryTxnID,$P368)=0,"",INDEX(EntryTxnID,$P368)))</f>
        <v/>
      </c>
      <c r="P368" s="28">
        <f>IFERROR(MATCH($C$5&amp;"|"&amp;RIGHT("000000"&amp;352,6),CalcRankKey,0),"")</f>
        <v/>
      </c>
    </row>
    <row r="369">
      <c r="A369" s="26">
        <f>IF($B369="","",353)</f>
        <v/>
      </c>
      <c r="B369" s="26">
        <f>IF($P369="","",IF(INDEX(CalcNormDate,$P369)=0,"",INDEX(CalcNormDate,$P369)))</f>
        <v/>
      </c>
      <c r="C369" s="26">
        <f>IF($P369="","",IF(INDEX(CalcTime,$P369)=0,"",INDEX(CalcTime,$P369)))</f>
        <v/>
      </c>
      <c r="D369" s="26">
        <f>IF($P369="","",IF(INDEX(EntryParty,$P369)=0,"",INDEX(EntryParty,$P369)))</f>
        <v/>
      </c>
      <c r="E369" s="26">
        <f>IF($P369="","",IF(INDEX(EntryPartyName,$P369)=0,"",INDEX(EntryPartyName,$P369)))</f>
        <v/>
      </c>
      <c r="F369" s="26">
        <f>IF($P369="","",IF(INDEX(EntryPartyType,$P369)=0,"",INDEX(EntryPartyType,$P369)))</f>
        <v/>
      </c>
      <c r="G369" s="26">
        <f>IF($P369="","",IF(INDEX(EntryTxnType,$P369)=0,"",INDEX(EntryTxnType,$P369)))</f>
        <v/>
      </c>
      <c r="H369" s="27">
        <f>IF($P369="","",IF(INDEX(EntryDep,$P369)=0,"",INDEX(EntryDep,$P369)))</f>
        <v/>
      </c>
      <c r="I369" s="27">
        <f>IF($P369="","",IF(INDEX(EntryWit,$P369)=0,"",INDEX(EntryWit,$P369)))</f>
        <v/>
      </c>
      <c r="J369" s="27">
        <f>IF($B369="","",IF($A369=1,$C$7,IF(J368="",0,J368))+IF($H369="",0,$H369)-IF($I369="",0,$I369))</f>
        <v/>
      </c>
      <c r="K369" s="27">
        <f>IF($P369="","",IF(INDEX(EntryMan,$P369)=0,"",INDEX(EntryMan,$P369)))</f>
        <v/>
      </c>
      <c r="L369" s="26">
        <f>IF($B369="","",IF($K369="","—",IF(ROUND($K369-$J369,0)=0,"√","×")))</f>
        <v/>
      </c>
      <c r="M369" s="26">
        <f>IF($B369="","",IF(COUNTIFS(EntryDates,$B369,CalcTime,$C369,CalcBank,$C$5,EntryParty,$D369,EntryDep,$H369,EntryWit,$I369)&gt;1,"تکرار",""))</f>
        <v/>
      </c>
      <c r="N369" s="26">
        <f>IF($P369="","",IF(INDEX(EntryNotes,$P369)=0,"",INDEX(EntryNotes,$P369)))</f>
        <v/>
      </c>
      <c r="O369" s="26">
        <f>IF($P369="","",IF(INDEX(EntryTxnID,$P369)=0,"",INDEX(EntryTxnID,$P369)))</f>
        <v/>
      </c>
      <c r="P369" s="26">
        <f>IFERROR(MATCH($C$5&amp;"|"&amp;RIGHT("000000"&amp;353,6),CalcRankKey,0),"")</f>
        <v/>
      </c>
    </row>
    <row r="370">
      <c r="A370" s="28">
        <f>IF($B370="","",354)</f>
        <v/>
      </c>
      <c r="B370" s="28">
        <f>IF($P370="","",IF(INDEX(CalcNormDate,$P370)=0,"",INDEX(CalcNormDate,$P370)))</f>
        <v/>
      </c>
      <c r="C370" s="28">
        <f>IF($P370="","",IF(INDEX(CalcTime,$P370)=0,"",INDEX(CalcTime,$P370)))</f>
        <v/>
      </c>
      <c r="D370" s="28">
        <f>IF($P370="","",IF(INDEX(EntryParty,$P370)=0,"",INDEX(EntryParty,$P370)))</f>
        <v/>
      </c>
      <c r="E370" s="28">
        <f>IF($P370="","",IF(INDEX(EntryPartyName,$P370)=0,"",INDEX(EntryPartyName,$P370)))</f>
        <v/>
      </c>
      <c r="F370" s="28">
        <f>IF($P370="","",IF(INDEX(EntryPartyType,$P370)=0,"",INDEX(EntryPartyType,$P370)))</f>
        <v/>
      </c>
      <c r="G370" s="28">
        <f>IF($P370="","",IF(INDEX(EntryTxnType,$P370)=0,"",INDEX(EntryTxnType,$P370)))</f>
        <v/>
      </c>
      <c r="H370" s="29">
        <f>IF($P370="","",IF(INDEX(EntryDep,$P370)=0,"",INDEX(EntryDep,$P370)))</f>
        <v/>
      </c>
      <c r="I370" s="29">
        <f>IF($P370="","",IF(INDEX(EntryWit,$P370)=0,"",INDEX(EntryWit,$P370)))</f>
        <v/>
      </c>
      <c r="J370" s="29">
        <f>IF($B370="","",IF($A370=1,$C$7,IF(J369="",0,J369))+IF($H370="",0,$H370)-IF($I370="",0,$I370))</f>
        <v/>
      </c>
      <c r="K370" s="29">
        <f>IF($P370="","",IF(INDEX(EntryMan,$P370)=0,"",INDEX(EntryMan,$P370)))</f>
        <v/>
      </c>
      <c r="L370" s="28">
        <f>IF($B370="","",IF($K370="","—",IF(ROUND($K370-$J370,0)=0,"√","×")))</f>
        <v/>
      </c>
      <c r="M370" s="28">
        <f>IF($B370="","",IF(COUNTIFS(EntryDates,$B370,CalcTime,$C370,CalcBank,$C$5,EntryParty,$D370,EntryDep,$H370,EntryWit,$I370)&gt;1,"تکرار",""))</f>
        <v/>
      </c>
      <c r="N370" s="28">
        <f>IF($P370="","",IF(INDEX(EntryNotes,$P370)=0,"",INDEX(EntryNotes,$P370)))</f>
        <v/>
      </c>
      <c r="O370" s="28">
        <f>IF($P370="","",IF(INDEX(EntryTxnID,$P370)=0,"",INDEX(EntryTxnID,$P370)))</f>
        <v/>
      </c>
      <c r="P370" s="28">
        <f>IFERROR(MATCH($C$5&amp;"|"&amp;RIGHT("000000"&amp;354,6),CalcRankKey,0),"")</f>
        <v/>
      </c>
    </row>
    <row r="371">
      <c r="A371" s="26">
        <f>IF($B371="","",355)</f>
        <v/>
      </c>
      <c r="B371" s="26">
        <f>IF($P371="","",IF(INDEX(CalcNormDate,$P371)=0,"",INDEX(CalcNormDate,$P371)))</f>
        <v/>
      </c>
      <c r="C371" s="26">
        <f>IF($P371="","",IF(INDEX(CalcTime,$P371)=0,"",INDEX(CalcTime,$P371)))</f>
        <v/>
      </c>
      <c r="D371" s="26">
        <f>IF($P371="","",IF(INDEX(EntryParty,$P371)=0,"",INDEX(EntryParty,$P371)))</f>
        <v/>
      </c>
      <c r="E371" s="26">
        <f>IF($P371="","",IF(INDEX(EntryPartyName,$P371)=0,"",INDEX(EntryPartyName,$P371)))</f>
        <v/>
      </c>
      <c r="F371" s="26">
        <f>IF($P371="","",IF(INDEX(EntryPartyType,$P371)=0,"",INDEX(EntryPartyType,$P371)))</f>
        <v/>
      </c>
      <c r="G371" s="26">
        <f>IF($P371="","",IF(INDEX(EntryTxnType,$P371)=0,"",INDEX(EntryTxnType,$P371)))</f>
        <v/>
      </c>
      <c r="H371" s="27">
        <f>IF($P371="","",IF(INDEX(EntryDep,$P371)=0,"",INDEX(EntryDep,$P371)))</f>
        <v/>
      </c>
      <c r="I371" s="27">
        <f>IF($P371="","",IF(INDEX(EntryWit,$P371)=0,"",INDEX(EntryWit,$P371)))</f>
        <v/>
      </c>
      <c r="J371" s="27">
        <f>IF($B371="","",IF($A371=1,$C$7,IF(J370="",0,J370))+IF($H371="",0,$H371)-IF($I371="",0,$I371))</f>
        <v/>
      </c>
      <c r="K371" s="27">
        <f>IF($P371="","",IF(INDEX(EntryMan,$P371)=0,"",INDEX(EntryMan,$P371)))</f>
        <v/>
      </c>
      <c r="L371" s="26">
        <f>IF($B371="","",IF($K371="","—",IF(ROUND($K371-$J371,0)=0,"√","×")))</f>
        <v/>
      </c>
      <c r="M371" s="26">
        <f>IF($B371="","",IF(COUNTIFS(EntryDates,$B371,CalcTime,$C371,CalcBank,$C$5,EntryParty,$D371,EntryDep,$H371,EntryWit,$I371)&gt;1,"تکرار",""))</f>
        <v/>
      </c>
      <c r="N371" s="26">
        <f>IF($P371="","",IF(INDEX(EntryNotes,$P371)=0,"",INDEX(EntryNotes,$P371)))</f>
        <v/>
      </c>
      <c r="O371" s="26">
        <f>IF($P371="","",IF(INDEX(EntryTxnID,$P371)=0,"",INDEX(EntryTxnID,$P371)))</f>
        <v/>
      </c>
      <c r="P371" s="26">
        <f>IFERROR(MATCH($C$5&amp;"|"&amp;RIGHT("000000"&amp;355,6),CalcRankKey,0),"")</f>
        <v/>
      </c>
    </row>
    <row r="372">
      <c r="A372" s="28">
        <f>IF($B372="","",356)</f>
        <v/>
      </c>
      <c r="B372" s="28">
        <f>IF($P372="","",IF(INDEX(CalcNormDate,$P372)=0,"",INDEX(CalcNormDate,$P372)))</f>
        <v/>
      </c>
      <c r="C372" s="28">
        <f>IF($P372="","",IF(INDEX(CalcTime,$P372)=0,"",INDEX(CalcTime,$P372)))</f>
        <v/>
      </c>
      <c r="D372" s="28">
        <f>IF($P372="","",IF(INDEX(EntryParty,$P372)=0,"",INDEX(EntryParty,$P372)))</f>
        <v/>
      </c>
      <c r="E372" s="28">
        <f>IF($P372="","",IF(INDEX(EntryPartyName,$P372)=0,"",INDEX(EntryPartyName,$P372)))</f>
        <v/>
      </c>
      <c r="F372" s="28">
        <f>IF($P372="","",IF(INDEX(EntryPartyType,$P372)=0,"",INDEX(EntryPartyType,$P372)))</f>
        <v/>
      </c>
      <c r="G372" s="28">
        <f>IF($P372="","",IF(INDEX(EntryTxnType,$P372)=0,"",INDEX(EntryTxnType,$P372)))</f>
        <v/>
      </c>
      <c r="H372" s="29">
        <f>IF($P372="","",IF(INDEX(EntryDep,$P372)=0,"",INDEX(EntryDep,$P372)))</f>
        <v/>
      </c>
      <c r="I372" s="29">
        <f>IF($P372="","",IF(INDEX(EntryWit,$P372)=0,"",INDEX(EntryWit,$P372)))</f>
        <v/>
      </c>
      <c r="J372" s="29">
        <f>IF($B372="","",IF($A372=1,$C$7,IF(J371="",0,J371))+IF($H372="",0,$H372)-IF($I372="",0,$I372))</f>
        <v/>
      </c>
      <c r="K372" s="29">
        <f>IF($P372="","",IF(INDEX(EntryMan,$P372)=0,"",INDEX(EntryMan,$P372)))</f>
        <v/>
      </c>
      <c r="L372" s="28">
        <f>IF($B372="","",IF($K372="","—",IF(ROUND($K372-$J372,0)=0,"√","×")))</f>
        <v/>
      </c>
      <c r="M372" s="28">
        <f>IF($B372="","",IF(COUNTIFS(EntryDates,$B372,CalcTime,$C372,CalcBank,$C$5,EntryParty,$D372,EntryDep,$H372,EntryWit,$I372)&gt;1,"تکرار",""))</f>
        <v/>
      </c>
      <c r="N372" s="28">
        <f>IF($P372="","",IF(INDEX(EntryNotes,$P372)=0,"",INDEX(EntryNotes,$P372)))</f>
        <v/>
      </c>
      <c r="O372" s="28">
        <f>IF($P372="","",IF(INDEX(EntryTxnID,$P372)=0,"",INDEX(EntryTxnID,$P372)))</f>
        <v/>
      </c>
      <c r="P372" s="28">
        <f>IFERROR(MATCH($C$5&amp;"|"&amp;RIGHT("000000"&amp;356,6),CalcRankKey,0),"")</f>
        <v/>
      </c>
    </row>
    <row r="373">
      <c r="A373" s="26">
        <f>IF($B373="","",357)</f>
        <v/>
      </c>
      <c r="B373" s="26">
        <f>IF($P373="","",IF(INDEX(CalcNormDate,$P373)=0,"",INDEX(CalcNormDate,$P373)))</f>
        <v/>
      </c>
      <c r="C373" s="26">
        <f>IF($P373="","",IF(INDEX(CalcTime,$P373)=0,"",INDEX(CalcTime,$P373)))</f>
        <v/>
      </c>
      <c r="D373" s="26">
        <f>IF($P373="","",IF(INDEX(EntryParty,$P373)=0,"",INDEX(EntryParty,$P373)))</f>
        <v/>
      </c>
      <c r="E373" s="26">
        <f>IF($P373="","",IF(INDEX(EntryPartyName,$P373)=0,"",INDEX(EntryPartyName,$P373)))</f>
        <v/>
      </c>
      <c r="F373" s="26">
        <f>IF($P373="","",IF(INDEX(EntryPartyType,$P373)=0,"",INDEX(EntryPartyType,$P373)))</f>
        <v/>
      </c>
      <c r="G373" s="26">
        <f>IF($P373="","",IF(INDEX(EntryTxnType,$P373)=0,"",INDEX(EntryTxnType,$P373)))</f>
        <v/>
      </c>
      <c r="H373" s="27">
        <f>IF($P373="","",IF(INDEX(EntryDep,$P373)=0,"",INDEX(EntryDep,$P373)))</f>
        <v/>
      </c>
      <c r="I373" s="27">
        <f>IF($P373="","",IF(INDEX(EntryWit,$P373)=0,"",INDEX(EntryWit,$P373)))</f>
        <v/>
      </c>
      <c r="J373" s="27">
        <f>IF($B373="","",IF($A373=1,$C$7,IF(J372="",0,J372))+IF($H373="",0,$H373)-IF($I373="",0,$I373))</f>
        <v/>
      </c>
      <c r="K373" s="27">
        <f>IF($P373="","",IF(INDEX(EntryMan,$P373)=0,"",INDEX(EntryMan,$P373)))</f>
        <v/>
      </c>
      <c r="L373" s="26">
        <f>IF($B373="","",IF($K373="","—",IF(ROUND($K373-$J373,0)=0,"√","×")))</f>
        <v/>
      </c>
      <c r="M373" s="26">
        <f>IF($B373="","",IF(COUNTIFS(EntryDates,$B373,CalcTime,$C373,CalcBank,$C$5,EntryParty,$D373,EntryDep,$H373,EntryWit,$I373)&gt;1,"تکرار",""))</f>
        <v/>
      </c>
      <c r="N373" s="26">
        <f>IF($P373="","",IF(INDEX(EntryNotes,$P373)=0,"",INDEX(EntryNotes,$P373)))</f>
        <v/>
      </c>
      <c r="O373" s="26">
        <f>IF($P373="","",IF(INDEX(EntryTxnID,$P373)=0,"",INDEX(EntryTxnID,$P373)))</f>
        <v/>
      </c>
      <c r="P373" s="26">
        <f>IFERROR(MATCH($C$5&amp;"|"&amp;RIGHT("000000"&amp;357,6),CalcRankKey,0),"")</f>
        <v/>
      </c>
    </row>
    <row r="374">
      <c r="A374" s="28">
        <f>IF($B374="","",358)</f>
        <v/>
      </c>
      <c r="B374" s="28">
        <f>IF($P374="","",IF(INDEX(CalcNormDate,$P374)=0,"",INDEX(CalcNormDate,$P374)))</f>
        <v/>
      </c>
      <c r="C374" s="28">
        <f>IF($P374="","",IF(INDEX(CalcTime,$P374)=0,"",INDEX(CalcTime,$P374)))</f>
        <v/>
      </c>
      <c r="D374" s="28">
        <f>IF($P374="","",IF(INDEX(EntryParty,$P374)=0,"",INDEX(EntryParty,$P374)))</f>
        <v/>
      </c>
      <c r="E374" s="28">
        <f>IF($P374="","",IF(INDEX(EntryPartyName,$P374)=0,"",INDEX(EntryPartyName,$P374)))</f>
        <v/>
      </c>
      <c r="F374" s="28">
        <f>IF($P374="","",IF(INDEX(EntryPartyType,$P374)=0,"",INDEX(EntryPartyType,$P374)))</f>
        <v/>
      </c>
      <c r="G374" s="28">
        <f>IF($P374="","",IF(INDEX(EntryTxnType,$P374)=0,"",INDEX(EntryTxnType,$P374)))</f>
        <v/>
      </c>
      <c r="H374" s="29">
        <f>IF($P374="","",IF(INDEX(EntryDep,$P374)=0,"",INDEX(EntryDep,$P374)))</f>
        <v/>
      </c>
      <c r="I374" s="29">
        <f>IF($P374="","",IF(INDEX(EntryWit,$P374)=0,"",INDEX(EntryWit,$P374)))</f>
        <v/>
      </c>
      <c r="J374" s="29">
        <f>IF($B374="","",IF($A374=1,$C$7,IF(J373="",0,J373))+IF($H374="",0,$H374)-IF($I374="",0,$I374))</f>
        <v/>
      </c>
      <c r="K374" s="29">
        <f>IF($P374="","",IF(INDEX(EntryMan,$P374)=0,"",INDEX(EntryMan,$P374)))</f>
        <v/>
      </c>
      <c r="L374" s="28">
        <f>IF($B374="","",IF($K374="","—",IF(ROUND($K374-$J374,0)=0,"√","×")))</f>
        <v/>
      </c>
      <c r="M374" s="28">
        <f>IF($B374="","",IF(COUNTIFS(EntryDates,$B374,CalcTime,$C374,CalcBank,$C$5,EntryParty,$D374,EntryDep,$H374,EntryWit,$I374)&gt;1,"تکرار",""))</f>
        <v/>
      </c>
      <c r="N374" s="28">
        <f>IF($P374="","",IF(INDEX(EntryNotes,$P374)=0,"",INDEX(EntryNotes,$P374)))</f>
        <v/>
      </c>
      <c r="O374" s="28">
        <f>IF($P374="","",IF(INDEX(EntryTxnID,$P374)=0,"",INDEX(EntryTxnID,$P374)))</f>
        <v/>
      </c>
      <c r="P374" s="28">
        <f>IFERROR(MATCH($C$5&amp;"|"&amp;RIGHT("000000"&amp;358,6),CalcRankKey,0),"")</f>
        <v/>
      </c>
    </row>
    <row r="375">
      <c r="A375" s="26">
        <f>IF($B375="","",359)</f>
        <v/>
      </c>
      <c r="B375" s="26">
        <f>IF($P375="","",IF(INDEX(CalcNormDate,$P375)=0,"",INDEX(CalcNormDate,$P375)))</f>
        <v/>
      </c>
      <c r="C375" s="26">
        <f>IF($P375="","",IF(INDEX(CalcTime,$P375)=0,"",INDEX(CalcTime,$P375)))</f>
        <v/>
      </c>
      <c r="D375" s="26">
        <f>IF($P375="","",IF(INDEX(EntryParty,$P375)=0,"",INDEX(EntryParty,$P375)))</f>
        <v/>
      </c>
      <c r="E375" s="26">
        <f>IF($P375="","",IF(INDEX(EntryPartyName,$P375)=0,"",INDEX(EntryPartyName,$P375)))</f>
        <v/>
      </c>
      <c r="F375" s="26">
        <f>IF($P375="","",IF(INDEX(EntryPartyType,$P375)=0,"",INDEX(EntryPartyType,$P375)))</f>
        <v/>
      </c>
      <c r="G375" s="26">
        <f>IF($P375="","",IF(INDEX(EntryTxnType,$P375)=0,"",INDEX(EntryTxnType,$P375)))</f>
        <v/>
      </c>
      <c r="H375" s="27">
        <f>IF($P375="","",IF(INDEX(EntryDep,$P375)=0,"",INDEX(EntryDep,$P375)))</f>
        <v/>
      </c>
      <c r="I375" s="27">
        <f>IF($P375="","",IF(INDEX(EntryWit,$P375)=0,"",INDEX(EntryWit,$P375)))</f>
        <v/>
      </c>
      <c r="J375" s="27">
        <f>IF($B375="","",IF($A375=1,$C$7,IF(J374="",0,J374))+IF($H375="",0,$H375)-IF($I375="",0,$I375))</f>
        <v/>
      </c>
      <c r="K375" s="27">
        <f>IF($P375="","",IF(INDEX(EntryMan,$P375)=0,"",INDEX(EntryMan,$P375)))</f>
        <v/>
      </c>
      <c r="L375" s="26">
        <f>IF($B375="","",IF($K375="","—",IF(ROUND($K375-$J375,0)=0,"√","×")))</f>
        <v/>
      </c>
      <c r="M375" s="26">
        <f>IF($B375="","",IF(COUNTIFS(EntryDates,$B375,CalcTime,$C375,CalcBank,$C$5,EntryParty,$D375,EntryDep,$H375,EntryWit,$I375)&gt;1,"تکرار",""))</f>
        <v/>
      </c>
      <c r="N375" s="26">
        <f>IF($P375="","",IF(INDEX(EntryNotes,$P375)=0,"",INDEX(EntryNotes,$P375)))</f>
        <v/>
      </c>
      <c r="O375" s="26">
        <f>IF($P375="","",IF(INDEX(EntryTxnID,$P375)=0,"",INDEX(EntryTxnID,$P375)))</f>
        <v/>
      </c>
      <c r="P375" s="26">
        <f>IFERROR(MATCH($C$5&amp;"|"&amp;RIGHT("000000"&amp;359,6),CalcRankKey,0),"")</f>
        <v/>
      </c>
    </row>
    <row r="376">
      <c r="A376" s="28">
        <f>IF($B376="","",360)</f>
        <v/>
      </c>
      <c r="B376" s="28">
        <f>IF($P376="","",IF(INDEX(CalcNormDate,$P376)=0,"",INDEX(CalcNormDate,$P376)))</f>
        <v/>
      </c>
      <c r="C376" s="28">
        <f>IF($P376="","",IF(INDEX(CalcTime,$P376)=0,"",INDEX(CalcTime,$P376)))</f>
        <v/>
      </c>
      <c r="D376" s="28">
        <f>IF($P376="","",IF(INDEX(EntryParty,$P376)=0,"",INDEX(EntryParty,$P376)))</f>
        <v/>
      </c>
      <c r="E376" s="28">
        <f>IF($P376="","",IF(INDEX(EntryPartyName,$P376)=0,"",INDEX(EntryPartyName,$P376)))</f>
        <v/>
      </c>
      <c r="F376" s="28">
        <f>IF($P376="","",IF(INDEX(EntryPartyType,$P376)=0,"",INDEX(EntryPartyType,$P376)))</f>
        <v/>
      </c>
      <c r="G376" s="28">
        <f>IF($P376="","",IF(INDEX(EntryTxnType,$P376)=0,"",INDEX(EntryTxnType,$P376)))</f>
        <v/>
      </c>
      <c r="H376" s="29">
        <f>IF($P376="","",IF(INDEX(EntryDep,$P376)=0,"",INDEX(EntryDep,$P376)))</f>
        <v/>
      </c>
      <c r="I376" s="29">
        <f>IF($P376="","",IF(INDEX(EntryWit,$P376)=0,"",INDEX(EntryWit,$P376)))</f>
        <v/>
      </c>
      <c r="J376" s="29">
        <f>IF($B376="","",IF($A376=1,$C$7,IF(J375="",0,J375))+IF($H376="",0,$H376)-IF($I376="",0,$I376))</f>
        <v/>
      </c>
      <c r="K376" s="29">
        <f>IF($P376="","",IF(INDEX(EntryMan,$P376)=0,"",INDEX(EntryMan,$P376)))</f>
        <v/>
      </c>
      <c r="L376" s="28">
        <f>IF($B376="","",IF($K376="","—",IF(ROUND($K376-$J376,0)=0,"√","×")))</f>
        <v/>
      </c>
      <c r="M376" s="28">
        <f>IF($B376="","",IF(COUNTIFS(EntryDates,$B376,CalcTime,$C376,CalcBank,$C$5,EntryParty,$D376,EntryDep,$H376,EntryWit,$I376)&gt;1,"تکرار",""))</f>
        <v/>
      </c>
      <c r="N376" s="28">
        <f>IF($P376="","",IF(INDEX(EntryNotes,$P376)=0,"",INDEX(EntryNotes,$P376)))</f>
        <v/>
      </c>
      <c r="O376" s="28">
        <f>IF($P376="","",IF(INDEX(EntryTxnID,$P376)=0,"",INDEX(EntryTxnID,$P376)))</f>
        <v/>
      </c>
      <c r="P376" s="28">
        <f>IFERROR(MATCH($C$5&amp;"|"&amp;RIGHT("000000"&amp;360,6),CalcRankKey,0),"")</f>
        <v/>
      </c>
    </row>
    <row r="377">
      <c r="A377" s="26">
        <f>IF($B377="","",361)</f>
        <v/>
      </c>
      <c r="B377" s="26">
        <f>IF($P377="","",IF(INDEX(CalcNormDate,$P377)=0,"",INDEX(CalcNormDate,$P377)))</f>
        <v/>
      </c>
      <c r="C377" s="26">
        <f>IF($P377="","",IF(INDEX(CalcTime,$P377)=0,"",INDEX(CalcTime,$P377)))</f>
        <v/>
      </c>
      <c r="D377" s="26">
        <f>IF($P377="","",IF(INDEX(EntryParty,$P377)=0,"",INDEX(EntryParty,$P377)))</f>
        <v/>
      </c>
      <c r="E377" s="26">
        <f>IF($P377="","",IF(INDEX(EntryPartyName,$P377)=0,"",INDEX(EntryPartyName,$P377)))</f>
        <v/>
      </c>
      <c r="F377" s="26">
        <f>IF($P377="","",IF(INDEX(EntryPartyType,$P377)=0,"",INDEX(EntryPartyType,$P377)))</f>
        <v/>
      </c>
      <c r="G377" s="26">
        <f>IF($P377="","",IF(INDEX(EntryTxnType,$P377)=0,"",INDEX(EntryTxnType,$P377)))</f>
        <v/>
      </c>
      <c r="H377" s="27">
        <f>IF($P377="","",IF(INDEX(EntryDep,$P377)=0,"",INDEX(EntryDep,$P377)))</f>
        <v/>
      </c>
      <c r="I377" s="27">
        <f>IF($P377="","",IF(INDEX(EntryWit,$P377)=0,"",INDEX(EntryWit,$P377)))</f>
        <v/>
      </c>
      <c r="J377" s="27">
        <f>IF($B377="","",IF($A377=1,$C$7,IF(J376="",0,J376))+IF($H377="",0,$H377)-IF($I377="",0,$I377))</f>
        <v/>
      </c>
      <c r="K377" s="27">
        <f>IF($P377="","",IF(INDEX(EntryMan,$P377)=0,"",INDEX(EntryMan,$P377)))</f>
        <v/>
      </c>
      <c r="L377" s="26">
        <f>IF($B377="","",IF($K377="","—",IF(ROUND($K377-$J377,0)=0,"√","×")))</f>
        <v/>
      </c>
      <c r="M377" s="26">
        <f>IF($B377="","",IF(COUNTIFS(EntryDates,$B377,CalcTime,$C377,CalcBank,$C$5,EntryParty,$D377,EntryDep,$H377,EntryWit,$I377)&gt;1,"تکرار",""))</f>
        <v/>
      </c>
      <c r="N377" s="26">
        <f>IF($P377="","",IF(INDEX(EntryNotes,$P377)=0,"",INDEX(EntryNotes,$P377)))</f>
        <v/>
      </c>
      <c r="O377" s="26">
        <f>IF($P377="","",IF(INDEX(EntryTxnID,$P377)=0,"",INDEX(EntryTxnID,$P377)))</f>
        <v/>
      </c>
      <c r="P377" s="26">
        <f>IFERROR(MATCH($C$5&amp;"|"&amp;RIGHT("000000"&amp;361,6),CalcRankKey,0),"")</f>
        <v/>
      </c>
    </row>
    <row r="378">
      <c r="A378" s="28">
        <f>IF($B378="","",362)</f>
        <v/>
      </c>
      <c r="B378" s="28">
        <f>IF($P378="","",IF(INDEX(CalcNormDate,$P378)=0,"",INDEX(CalcNormDate,$P378)))</f>
        <v/>
      </c>
      <c r="C378" s="28">
        <f>IF($P378="","",IF(INDEX(CalcTime,$P378)=0,"",INDEX(CalcTime,$P378)))</f>
        <v/>
      </c>
      <c r="D378" s="28">
        <f>IF($P378="","",IF(INDEX(EntryParty,$P378)=0,"",INDEX(EntryParty,$P378)))</f>
        <v/>
      </c>
      <c r="E378" s="28">
        <f>IF($P378="","",IF(INDEX(EntryPartyName,$P378)=0,"",INDEX(EntryPartyName,$P378)))</f>
        <v/>
      </c>
      <c r="F378" s="28">
        <f>IF($P378="","",IF(INDEX(EntryPartyType,$P378)=0,"",INDEX(EntryPartyType,$P378)))</f>
        <v/>
      </c>
      <c r="G378" s="28">
        <f>IF($P378="","",IF(INDEX(EntryTxnType,$P378)=0,"",INDEX(EntryTxnType,$P378)))</f>
        <v/>
      </c>
      <c r="H378" s="29">
        <f>IF($P378="","",IF(INDEX(EntryDep,$P378)=0,"",INDEX(EntryDep,$P378)))</f>
        <v/>
      </c>
      <c r="I378" s="29">
        <f>IF($P378="","",IF(INDEX(EntryWit,$P378)=0,"",INDEX(EntryWit,$P378)))</f>
        <v/>
      </c>
      <c r="J378" s="29">
        <f>IF($B378="","",IF($A378=1,$C$7,IF(J377="",0,J377))+IF($H378="",0,$H378)-IF($I378="",0,$I378))</f>
        <v/>
      </c>
      <c r="K378" s="29">
        <f>IF($P378="","",IF(INDEX(EntryMan,$P378)=0,"",INDEX(EntryMan,$P378)))</f>
        <v/>
      </c>
      <c r="L378" s="28">
        <f>IF($B378="","",IF($K378="","—",IF(ROUND($K378-$J378,0)=0,"√","×")))</f>
        <v/>
      </c>
      <c r="M378" s="28">
        <f>IF($B378="","",IF(COUNTIFS(EntryDates,$B378,CalcTime,$C378,CalcBank,$C$5,EntryParty,$D378,EntryDep,$H378,EntryWit,$I378)&gt;1,"تکرار",""))</f>
        <v/>
      </c>
      <c r="N378" s="28">
        <f>IF($P378="","",IF(INDEX(EntryNotes,$P378)=0,"",INDEX(EntryNotes,$P378)))</f>
        <v/>
      </c>
      <c r="O378" s="28">
        <f>IF($P378="","",IF(INDEX(EntryTxnID,$P378)=0,"",INDEX(EntryTxnID,$P378)))</f>
        <v/>
      </c>
      <c r="P378" s="28">
        <f>IFERROR(MATCH($C$5&amp;"|"&amp;RIGHT("000000"&amp;362,6),CalcRankKey,0),"")</f>
        <v/>
      </c>
    </row>
    <row r="379">
      <c r="A379" s="26">
        <f>IF($B379="","",363)</f>
        <v/>
      </c>
      <c r="B379" s="26">
        <f>IF($P379="","",IF(INDEX(CalcNormDate,$P379)=0,"",INDEX(CalcNormDate,$P379)))</f>
        <v/>
      </c>
      <c r="C379" s="26">
        <f>IF($P379="","",IF(INDEX(CalcTime,$P379)=0,"",INDEX(CalcTime,$P379)))</f>
        <v/>
      </c>
      <c r="D379" s="26">
        <f>IF($P379="","",IF(INDEX(EntryParty,$P379)=0,"",INDEX(EntryParty,$P379)))</f>
        <v/>
      </c>
      <c r="E379" s="26">
        <f>IF($P379="","",IF(INDEX(EntryPartyName,$P379)=0,"",INDEX(EntryPartyName,$P379)))</f>
        <v/>
      </c>
      <c r="F379" s="26">
        <f>IF($P379="","",IF(INDEX(EntryPartyType,$P379)=0,"",INDEX(EntryPartyType,$P379)))</f>
        <v/>
      </c>
      <c r="G379" s="26">
        <f>IF($P379="","",IF(INDEX(EntryTxnType,$P379)=0,"",INDEX(EntryTxnType,$P379)))</f>
        <v/>
      </c>
      <c r="H379" s="27">
        <f>IF($P379="","",IF(INDEX(EntryDep,$P379)=0,"",INDEX(EntryDep,$P379)))</f>
        <v/>
      </c>
      <c r="I379" s="27">
        <f>IF($P379="","",IF(INDEX(EntryWit,$P379)=0,"",INDEX(EntryWit,$P379)))</f>
        <v/>
      </c>
      <c r="J379" s="27">
        <f>IF($B379="","",IF($A379=1,$C$7,IF(J378="",0,J378))+IF($H379="",0,$H379)-IF($I379="",0,$I379))</f>
        <v/>
      </c>
      <c r="K379" s="27">
        <f>IF($P379="","",IF(INDEX(EntryMan,$P379)=0,"",INDEX(EntryMan,$P379)))</f>
        <v/>
      </c>
      <c r="L379" s="26">
        <f>IF($B379="","",IF($K379="","—",IF(ROUND($K379-$J379,0)=0,"√","×")))</f>
        <v/>
      </c>
      <c r="M379" s="26">
        <f>IF($B379="","",IF(COUNTIFS(EntryDates,$B379,CalcTime,$C379,CalcBank,$C$5,EntryParty,$D379,EntryDep,$H379,EntryWit,$I379)&gt;1,"تکرار",""))</f>
        <v/>
      </c>
      <c r="N379" s="26">
        <f>IF($P379="","",IF(INDEX(EntryNotes,$P379)=0,"",INDEX(EntryNotes,$P379)))</f>
        <v/>
      </c>
      <c r="O379" s="26">
        <f>IF($P379="","",IF(INDEX(EntryTxnID,$P379)=0,"",INDEX(EntryTxnID,$P379)))</f>
        <v/>
      </c>
      <c r="P379" s="26">
        <f>IFERROR(MATCH($C$5&amp;"|"&amp;RIGHT("000000"&amp;363,6),CalcRankKey,0),"")</f>
        <v/>
      </c>
    </row>
    <row r="380">
      <c r="A380" s="28">
        <f>IF($B380="","",364)</f>
        <v/>
      </c>
      <c r="B380" s="28">
        <f>IF($P380="","",IF(INDEX(CalcNormDate,$P380)=0,"",INDEX(CalcNormDate,$P380)))</f>
        <v/>
      </c>
      <c r="C380" s="28">
        <f>IF($P380="","",IF(INDEX(CalcTime,$P380)=0,"",INDEX(CalcTime,$P380)))</f>
        <v/>
      </c>
      <c r="D380" s="28">
        <f>IF($P380="","",IF(INDEX(EntryParty,$P380)=0,"",INDEX(EntryParty,$P380)))</f>
        <v/>
      </c>
      <c r="E380" s="28">
        <f>IF($P380="","",IF(INDEX(EntryPartyName,$P380)=0,"",INDEX(EntryPartyName,$P380)))</f>
        <v/>
      </c>
      <c r="F380" s="28">
        <f>IF($P380="","",IF(INDEX(EntryPartyType,$P380)=0,"",INDEX(EntryPartyType,$P380)))</f>
        <v/>
      </c>
      <c r="G380" s="28">
        <f>IF($P380="","",IF(INDEX(EntryTxnType,$P380)=0,"",INDEX(EntryTxnType,$P380)))</f>
        <v/>
      </c>
      <c r="H380" s="29">
        <f>IF($P380="","",IF(INDEX(EntryDep,$P380)=0,"",INDEX(EntryDep,$P380)))</f>
        <v/>
      </c>
      <c r="I380" s="29">
        <f>IF($P380="","",IF(INDEX(EntryWit,$P380)=0,"",INDEX(EntryWit,$P380)))</f>
        <v/>
      </c>
      <c r="J380" s="29">
        <f>IF($B380="","",IF($A380=1,$C$7,IF(J379="",0,J379))+IF($H380="",0,$H380)-IF($I380="",0,$I380))</f>
        <v/>
      </c>
      <c r="K380" s="29">
        <f>IF($P380="","",IF(INDEX(EntryMan,$P380)=0,"",INDEX(EntryMan,$P380)))</f>
        <v/>
      </c>
      <c r="L380" s="28">
        <f>IF($B380="","",IF($K380="","—",IF(ROUND($K380-$J380,0)=0,"√","×")))</f>
        <v/>
      </c>
      <c r="M380" s="28">
        <f>IF($B380="","",IF(COUNTIFS(EntryDates,$B380,CalcTime,$C380,CalcBank,$C$5,EntryParty,$D380,EntryDep,$H380,EntryWit,$I380)&gt;1,"تکرار",""))</f>
        <v/>
      </c>
      <c r="N380" s="28">
        <f>IF($P380="","",IF(INDEX(EntryNotes,$P380)=0,"",INDEX(EntryNotes,$P380)))</f>
        <v/>
      </c>
      <c r="O380" s="28">
        <f>IF($P380="","",IF(INDEX(EntryTxnID,$P380)=0,"",INDEX(EntryTxnID,$P380)))</f>
        <v/>
      </c>
      <c r="P380" s="28">
        <f>IFERROR(MATCH($C$5&amp;"|"&amp;RIGHT("000000"&amp;364,6),CalcRankKey,0),"")</f>
        <v/>
      </c>
    </row>
    <row r="381">
      <c r="A381" s="26">
        <f>IF($B381="","",365)</f>
        <v/>
      </c>
      <c r="B381" s="26">
        <f>IF($P381="","",IF(INDEX(CalcNormDate,$P381)=0,"",INDEX(CalcNormDate,$P381)))</f>
        <v/>
      </c>
      <c r="C381" s="26">
        <f>IF($P381="","",IF(INDEX(CalcTime,$P381)=0,"",INDEX(CalcTime,$P381)))</f>
        <v/>
      </c>
      <c r="D381" s="26">
        <f>IF($P381="","",IF(INDEX(EntryParty,$P381)=0,"",INDEX(EntryParty,$P381)))</f>
        <v/>
      </c>
      <c r="E381" s="26">
        <f>IF($P381="","",IF(INDEX(EntryPartyName,$P381)=0,"",INDEX(EntryPartyName,$P381)))</f>
        <v/>
      </c>
      <c r="F381" s="26">
        <f>IF($P381="","",IF(INDEX(EntryPartyType,$P381)=0,"",INDEX(EntryPartyType,$P381)))</f>
        <v/>
      </c>
      <c r="G381" s="26">
        <f>IF($P381="","",IF(INDEX(EntryTxnType,$P381)=0,"",INDEX(EntryTxnType,$P381)))</f>
        <v/>
      </c>
      <c r="H381" s="27">
        <f>IF($P381="","",IF(INDEX(EntryDep,$P381)=0,"",INDEX(EntryDep,$P381)))</f>
        <v/>
      </c>
      <c r="I381" s="27">
        <f>IF($P381="","",IF(INDEX(EntryWit,$P381)=0,"",INDEX(EntryWit,$P381)))</f>
        <v/>
      </c>
      <c r="J381" s="27">
        <f>IF($B381="","",IF($A381=1,$C$7,IF(J380="",0,J380))+IF($H381="",0,$H381)-IF($I381="",0,$I381))</f>
        <v/>
      </c>
      <c r="K381" s="27">
        <f>IF($P381="","",IF(INDEX(EntryMan,$P381)=0,"",INDEX(EntryMan,$P381)))</f>
        <v/>
      </c>
      <c r="L381" s="26">
        <f>IF($B381="","",IF($K381="","—",IF(ROUND($K381-$J381,0)=0,"√","×")))</f>
        <v/>
      </c>
      <c r="M381" s="26">
        <f>IF($B381="","",IF(COUNTIFS(EntryDates,$B381,CalcTime,$C381,CalcBank,$C$5,EntryParty,$D381,EntryDep,$H381,EntryWit,$I381)&gt;1,"تکرار",""))</f>
        <v/>
      </c>
      <c r="N381" s="26">
        <f>IF($P381="","",IF(INDEX(EntryNotes,$P381)=0,"",INDEX(EntryNotes,$P381)))</f>
        <v/>
      </c>
      <c r="O381" s="26">
        <f>IF($P381="","",IF(INDEX(EntryTxnID,$P381)=0,"",INDEX(EntryTxnID,$P381)))</f>
        <v/>
      </c>
      <c r="P381" s="26">
        <f>IFERROR(MATCH($C$5&amp;"|"&amp;RIGHT("000000"&amp;365,6),CalcRankKey,0),"")</f>
        <v/>
      </c>
    </row>
    <row r="382">
      <c r="A382" s="28">
        <f>IF($B382="","",366)</f>
        <v/>
      </c>
      <c r="B382" s="28">
        <f>IF($P382="","",IF(INDEX(CalcNormDate,$P382)=0,"",INDEX(CalcNormDate,$P382)))</f>
        <v/>
      </c>
      <c r="C382" s="28">
        <f>IF($P382="","",IF(INDEX(CalcTime,$P382)=0,"",INDEX(CalcTime,$P382)))</f>
        <v/>
      </c>
      <c r="D382" s="28">
        <f>IF($P382="","",IF(INDEX(EntryParty,$P382)=0,"",INDEX(EntryParty,$P382)))</f>
        <v/>
      </c>
      <c r="E382" s="28">
        <f>IF($P382="","",IF(INDEX(EntryPartyName,$P382)=0,"",INDEX(EntryPartyName,$P382)))</f>
        <v/>
      </c>
      <c r="F382" s="28">
        <f>IF($P382="","",IF(INDEX(EntryPartyType,$P382)=0,"",INDEX(EntryPartyType,$P382)))</f>
        <v/>
      </c>
      <c r="G382" s="28">
        <f>IF($P382="","",IF(INDEX(EntryTxnType,$P382)=0,"",INDEX(EntryTxnType,$P382)))</f>
        <v/>
      </c>
      <c r="H382" s="29">
        <f>IF($P382="","",IF(INDEX(EntryDep,$P382)=0,"",INDEX(EntryDep,$P382)))</f>
        <v/>
      </c>
      <c r="I382" s="29">
        <f>IF($P382="","",IF(INDEX(EntryWit,$P382)=0,"",INDEX(EntryWit,$P382)))</f>
        <v/>
      </c>
      <c r="J382" s="29">
        <f>IF($B382="","",IF($A382=1,$C$7,IF(J381="",0,J381))+IF($H382="",0,$H382)-IF($I382="",0,$I382))</f>
        <v/>
      </c>
      <c r="K382" s="29">
        <f>IF($P382="","",IF(INDEX(EntryMan,$P382)=0,"",INDEX(EntryMan,$P382)))</f>
        <v/>
      </c>
      <c r="L382" s="28">
        <f>IF($B382="","",IF($K382="","—",IF(ROUND($K382-$J382,0)=0,"√","×")))</f>
        <v/>
      </c>
      <c r="M382" s="28">
        <f>IF($B382="","",IF(COUNTIFS(EntryDates,$B382,CalcTime,$C382,CalcBank,$C$5,EntryParty,$D382,EntryDep,$H382,EntryWit,$I382)&gt;1,"تکرار",""))</f>
        <v/>
      </c>
      <c r="N382" s="28">
        <f>IF($P382="","",IF(INDEX(EntryNotes,$P382)=0,"",INDEX(EntryNotes,$P382)))</f>
        <v/>
      </c>
      <c r="O382" s="28">
        <f>IF($P382="","",IF(INDEX(EntryTxnID,$P382)=0,"",INDEX(EntryTxnID,$P382)))</f>
        <v/>
      </c>
      <c r="P382" s="28">
        <f>IFERROR(MATCH($C$5&amp;"|"&amp;RIGHT("000000"&amp;366,6),CalcRankKey,0),"")</f>
        <v/>
      </c>
    </row>
    <row r="383">
      <c r="A383" s="26">
        <f>IF($B383="","",367)</f>
        <v/>
      </c>
      <c r="B383" s="26">
        <f>IF($P383="","",IF(INDEX(CalcNormDate,$P383)=0,"",INDEX(CalcNormDate,$P383)))</f>
        <v/>
      </c>
      <c r="C383" s="26">
        <f>IF($P383="","",IF(INDEX(CalcTime,$P383)=0,"",INDEX(CalcTime,$P383)))</f>
        <v/>
      </c>
      <c r="D383" s="26">
        <f>IF($P383="","",IF(INDEX(EntryParty,$P383)=0,"",INDEX(EntryParty,$P383)))</f>
        <v/>
      </c>
      <c r="E383" s="26">
        <f>IF($P383="","",IF(INDEX(EntryPartyName,$P383)=0,"",INDEX(EntryPartyName,$P383)))</f>
        <v/>
      </c>
      <c r="F383" s="26">
        <f>IF($P383="","",IF(INDEX(EntryPartyType,$P383)=0,"",INDEX(EntryPartyType,$P383)))</f>
        <v/>
      </c>
      <c r="G383" s="26">
        <f>IF($P383="","",IF(INDEX(EntryTxnType,$P383)=0,"",INDEX(EntryTxnType,$P383)))</f>
        <v/>
      </c>
      <c r="H383" s="27">
        <f>IF($P383="","",IF(INDEX(EntryDep,$P383)=0,"",INDEX(EntryDep,$P383)))</f>
        <v/>
      </c>
      <c r="I383" s="27">
        <f>IF($P383="","",IF(INDEX(EntryWit,$P383)=0,"",INDEX(EntryWit,$P383)))</f>
        <v/>
      </c>
      <c r="J383" s="27">
        <f>IF($B383="","",IF($A383=1,$C$7,IF(J382="",0,J382))+IF($H383="",0,$H383)-IF($I383="",0,$I383))</f>
        <v/>
      </c>
      <c r="K383" s="27">
        <f>IF($P383="","",IF(INDEX(EntryMan,$P383)=0,"",INDEX(EntryMan,$P383)))</f>
        <v/>
      </c>
      <c r="L383" s="26">
        <f>IF($B383="","",IF($K383="","—",IF(ROUND($K383-$J383,0)=0,"√","×")))</f>
        <v/>
      </c>
      <c r="M383" s="26">
        <f>IF($B383="","",IF(COUNTIFS(EntryDates,$B383,CalcTime,$C383,CalcBank,$C$5,EntryParty,$D383,EntryDep,$H383,EntryWit,$I383)&gt;1,"تکرار",""))</f>
        <v/>
      </c>
      <c r="N383" s="26">
        <f>IF($P383="","",IF(INDEX(EntryNotes,$P383)=0,"",INDEX(EntryNotes,$P383)))</f>
        <v/>
      </c>
      <c r="O383" s="26">
        <f>IF($P383="","",IF(INDEX(EntryTxnID,$P383)=0,"",INDEX(EntryTxnID,$P383)))</f>
        <v/>
      </c>
      <c r="P383" s="26">
        <f>IFERROR(MATCH($C$5&amp;"|"&amp;RIGHT("000000"&amp;367,6),CalcRankKey,0),"")</f>
        <v/>
      </c>
    </row>
    <row r="384">
      <c r="A384" s="28">
        <f>IF($B384="","",368)</f>
        <v/>
      </c>
      <c r="B384" s="28">
        <f>IF($P384="","",IF(INDEX(CalcNormDate,$P384)=0,"",INDEX(CalcNormDate,$P384)))</f>
        <v/>
      </c>
      <c r="C384" s="28">
        <f>IF($P384="","",IF(INDEX(CalcTime,$P384)=0,"",INDEX(CalcTime,$P384)))</f>
        <v/>
      </c>
      <c r="D384" s="28">
        <f>IF($P384="","",IF(INDEX(EntryParty,$P384)=0,"",INDEX(EntryParty,$P384)))</f>
        <v/>
      </c>
      <c r="E384" s="28">
        <f>IF($P384="","",IF(INDEX(EntryPartyName,$P384)=0,"",INDEX(EntryPartyName,$P384)))</f>
        <v/>
      </c>
      <c r="F384" s="28">
        <f>IF($P384="","",IF(INDEX(EntryPartyType,$P384)=0,"",INDEX(EntryPartyType,$P384)))</f>
        <v/>
      </c>
      <c r="G384" s="28">
        <f>IF($P384="","",IF(INDEX(EntryTxnType,$P384)=0,"",INDEX(EntryTxnType,$P384)))</f>
        <v/>
      </c>
      <c r="H384" s="29">
        <f>IF($P384="","",IF(INDEX(EntryDep,$P384)=0,"",INDEX(EntryDep,$P384)))</f>
        <v/>
      </c>
      <c r="I384" s="29">
        <f>IF($P384="","",IF(INDEX(EntryWit,$P384)=0,"",INDEX(EntryWit,$P384)))</f>
        <v/>
      </c>
      <c r="J384" s="29">
        <f>IF($B384="","",IF($A384=1,$C$7,IF(J383="",0,J383))+IF($H384="",0,$H384)-IF($I384="",0,$I384))</f>
        <v/>
      </c>
      <c r="K384" s="29">
        <f>IF($P384="","",IF(INDEX(EntryMan,$P384)=0,"",INDEX(EntryMan,$P384)))</f>
        <v/>
      </c>
      <c r="L384" s="28">
        <f>IF($B384="","",IF($K384="","—",IF(ROUND($K384-$J384,0)=0,"√","×")))</f>
        <v/>
      </c>
      <c r="M384" s="28">
        <f>IF($B384="","",IF(COUNTIFS(EntryDates,$B384,CalcTime,$C384,CalcBank,$C$5,EntryParty,$D384,EntryDep,$H384,EntryWit,$I384)&gt;1,"تکرار",""))</f>
        <v/>
      </c>
      <c r="N384" s="28">
        <f>IF($P384="","",IF(INDEX(EntryNotes,$P384)=0,"",INDEX(EntryNotes,$P384)))</f>
        <v/>
      </c>
      <c r="O384" s="28">
        <f>IF($P384="","",IF(INDEX(EntryTxnID,$P384)=0,"",INDEX(EntryTxnID,$P384)))</f>
        <v/>
      </c>
      <c r="P384" s="28">
        <f>IFERROR(MATCH($C$5&amp;"|"&amp;RIGHT("000000"&amp;368,6),CalcRankKey,0),"")</f>
        <v/>
      </c>
    </row>
    <row r="385">
      <c r="A385" s="26">
        <f>IF($B385="","",369)</f>
        <v/>
      </c>
      <c r="B385" s="26">
        <f>IF($P385="","",IF(INDEX(CalcNormDate,$P385)=0,"",INDEX(CalcNormDate,$P385)))</f>
        <v/>
      </c>
      <c r="C385" s="26">
        <f>IF($P385="","",IF(INDEX(CalcTime,$P385)=0,"",INDEX(CalcTime,$P385)))</f>
        <v/>
      </c>
      <c r="D385" s="26">
        <f>IF($P385="","",IF(INDEX(EntryParty,$P385)=0,"",INDEX(EntryParty,$P385)))</f>
        <v/>
      </c>
      <c r="E385" s="26">
        <f>IF($P385="","",IF(INDEX(EntryPartyName,$P385)=0,"",INDEX(EntryPartyName,$P385)))</f>
        <v/>
      </c>
      <c r="F385" s="26">
        <f>IF($P385="","",IF(INDEX(EntryPartyType,$P385)=0,"",INDEX(EntryPartyType,$P385)))</f>
        <v/>
      </c>
      <c r="G385" s="26">
        <f>IF($P385="","",IF(INDEX(EntryTxnType,$P385)=0,"",INDEX(EntryTxnType,$P385)))</f>
        <v/>
      </c>
      <c r="H385" s="27">
        <f>IF($P385="","",IF(INDEX(EntryDep,$P385)=0,"",INDEX(EntryDep,$P385)))</f>
        <v/>
      </c>
      <c r="I385" s="27">
        <f>IF($P385="","",IF(INDEX(EntryWit,$P385)=0,"",INDEX(EntryWit,$P385)))</f>
        <v/>
      </c>
      <c r="J385" s="27">
        <f>IF($B385="","",IF($A385=1,$C$7,IF(J384="",0,J384))+IF($H385="",0,$H385)-IF($I385="",0,$I385))</f>
        <v/>
      </c>
      <c r="K385" s="27">
        <f>IF($P385="","",IF(INDEX(EntryMan,$P385)=0,"",INDEX(EntryMan,$P385)))</f>
        <v/>
      </c>
      <c r="L385" s="26">
        <f>IF($B385="","",IF($K385="","—",IF(ROUND($K385-$J385,0)=0,"√","×")))</f>
        <v/>
      </c>
      <c r="M385" s="26">
        <f>IF($B385="","",IF(COUNTIFS(EntryDates,$B385,CalcTime,$C385,CalcBank,$C$5,EntryParty,$D385,EntryDep,$H385,EntryWit,$I385)&gt;1,"تکرار",""))</f>
        <v/>
      </c>
      <c r="N385" s="26">
        <f>IF($P385="","",IF(INDEX(EntryNotes,$P385)=0,"",INDEX(EntryNotes,$P385)))</f>
        <v/>
      </c>
      <c r="O385" s="26">
        <f>IF($P385="","",IF(INDEX(EntryTxnID,$P385)=0,"",INDEX(EntryTxnID,$P385)))</f>
        <v/>
      </c>
      <c r="P385" s="26">
        <f>IFERROR(MATCH($C$5&amp;"|"&amp;RIGHT("000000"&amp;369,6),CalcRankKey,0),"")</f>
        <v/>
      </c>
    </row>
    <row r="386">
      <c r="A386" s="28">
        <f>IF($B386="","",370)</f>
        <v/>
      </c>
      <c r="B386" s="28">
        <f>IF($P386="","",IF(INDEX(CalcNormDate,$P386)=0,"",INDEX(CalcNormDate,$P386)))</f>
        <v/>
      </c>
      <c r="C386" s="28">
        <f>IF($P386="","",IF(INDEX(CalcTime,$P386)=0,"",INDEX(CalcTime,$P386)))</f>
        <v/>
      </c>
      <c r="D386" s="28">
        <f>IF($P386="","",IF(INDEX(EntryParty,$P386)=0,"",INDEX(EntryParty,$P386)))</f>
        <v/>
      </c>
      <c r="E386" s="28">
        <f>IF($P386="","",IF(INDEX(EntryPartyName,$P386)=0,"",INDEX(EntryPartyName,$P386)))</f>
        <v/>
      </c>
      <c r="F386" s="28">
        <f>IF($P386="","",IF(INDEX(EntryPartyType,$P386)=0,"",INDEX(EntryPartyType,$P386)))</f>
        <v/>
      </c>
      <c r="G386" s="28">
        <f>IF($P386="","",IF(INDEX(EntryTxnType,$P386)=0,"",INDEX(EntryTxnType,$P386)))</f>
        <v/>
      </c>
      <c r="H386" s="29">
        <f>IF($P386="","",IF(INDEX(EntryDep,$P386)=0,"",INDEX(EntryDep,$P386)))</f>
        <v/>
      </c>
      <c r="I386" s="29">
        <f>IF($P386="","",IF(INDEX(EntryWit,$P386)=0,"",INDEX(EntryWit,$P386)))</f>
        <v/>
      </c>
      <c r="J386" s="29">
        <f>IF($B386="","",IF($A386=1,$C$7,IF(J385="",0,J385))+IF($H386="",0,$H386)-IF($I386="",0,$I386))</f>
        <v/>
      </c>
      <c r="K386" s="29">
        <f>IF($P386="","",IF(INDEX(EntryMan,$P386)=0,"",INDEX(EntryMan,$P386)))</f>
        <v/>
      </c>
      <c r="L386" s="28">
        <f>IF($B386="","",IF($K386="","—",IF(ROUND($K386-$J386,0)=0,"√","×")))</f>
        <v/>
      </c>
      <c r="M386" s="28">
        <f>IF($B386="","",IF(COUNTIFS(EntryDates,$B386,CalcTime,$C386,CalcBank,$C$5,EntryParty,$D386,EntryDep,$H386,EntryWit,$I386)&gt;1,"تکرار",""))</f>
        <v/>
      </c>
      <c r="N386" s="28">
        <f>IF($P386="","",IF(INDEX(EntryNotes,$P386)=0,"",INDEX(EntryNotes,$P386)))</f>
        <v/>
      </c>
      <c r="O386" s="28">
        <f>IF($P386="","",IF(INDEX(EntryTxnID,$P386)=0,"",INDEX(EntryTxnID,$P386)))</f>
        <v/>
      </c>
      <c r="P386" s="28">
        <f>IFERROR(MATCH($C$5&amp;"|"&amp;RIGHT("000000"&amp;370,6),CalcRankKey,0),"")</f>
        <v/>
      </c>
    </row>
    <row r="387">
      <c r="A387" s="26">
        <f>IF($B387="","",371)</f>
        <v/>
      </c>
      <c r="B387" s="26">
        <f>IF($P387="","",IF(INDEX(CalcNormDate,$P387)=0,"",INDEX(CalcNormDate,$P387)))</f>
        <v/>
      </c>
      <c r="C387" s="26">
        <f>IF($P387="","",IF(INDEX(CalcTime,$P387)=0,"",INDEX(CalcTime,$P387)))</f>
        <v/>
      </c>
      <c r="D387" s="26">
        <f>IF($P387="","",IF(INDEX(EntryParty,$P387)=0,"",INDEX(EntryParty,$P387)))</f>
        <v/>
      </c>
      <c r="E387" s="26">
        <f>IF($P387="","",IF(INDEX(EntryPartyName,$P387)=0,"",INDEX(EntryPartyName,$P387)))</f>
        <v/>
      </c>
      <c r="F387" s="26">
        <f>IF($P387="","",IF(INDEX(EntryPartyType,$P387)=0,"",INDEX(EntryPartyType,$P387)))</f>
        <v/>
      </c>
      <c r="G387" s="26">
        <f>IF($P387="","",IF(INDEX(EntryTxnType,$P387)=0,"",INDEX(EntryTxnType,$P387)))</f>
        <v/>
      </c>
      <c r="H387" s="27">
        <f>IF($P387="","",IF(INDEX(EntryDep,$P387)=0,"",INDEX(EntryDep,$P387)))</f>
        <v/>
      </c>
      <c r="I387" s="27">
        <f>IF($P387="","",IF(INDEX(EntryWit,$P387)=0,"",INDEX(EntryWit,$P387)))</f>
        <v/>
      </c>
      <c r="J387" s="27">
        <f>IF($B387="","",IF($A387=1,$C$7,IF(J386="",0,J386))+IF($H387="",0,$H387)-IF($I387="",0,$I387))</f>
        <v/>
      </c>
      <c r="K387" s="27">
        <f>IF($P387="","",IF(INDEX(EntryMan,$P387)=0,"",INDEX(EntryMan,$P387)))</f>
        <v/>
      </c>
      <c r="L387" s="26">
        <f>IF($B387="","",IF($K387="","—",IF(ROUND($K387-$J387,0)=0,"√","×")))</f>
        <v/>
      </c>
      <c r="M387" s="26">
        <f>IF($B387="","",IF(COUNTIFS(EntryDates,$B387,CalcTime,$C387,CalcBank,$C$5,EntryParty,$D387,EntryDep,$H387,EntryWit,$I387)&gt;1,"تکرار",""))</f>
        <v/>
      </c>
      <c r="N387" s="26">
        <f>IF($P387="","",IF(INDEX(EntryNotes,$P387)=0,"",INDEX(EntryNotes,$P387)))</f>
        <v/>
      </c>
      <c r="O387" s="26">
        <f>IF($P387="","",IF(INDEX(EntryTxnID,$P387)=0,"",INDEX(EntryTxnID,$P387)))</f>
        <v/>
      </c>
      <c r="P387" s="26">
        <f>IFERROR(MATCH($C$5&amp;"|"&amp;RIGHT("000000"&amp;371,6),CalcRankKey,0),"")</f>
        <v/>
      </c>
    </row>
    <row r="388">
      <c r="A388" s="28">
        <f>IF($B388="","",372)</f>
        <v/>
      </c>
      <c r="B388" s="28">
        <f>IF($P388="","",IF(INDEX(CalcNormDate,$P388)=0,"",INDEX(CalcNormDate,$P388)))</f>
        <v/>
      </c>
      <c r="C388" s="28">
        <f>IF($P388="","",IF(INDEX(CalcTime,$P388)=0,"",INDEX(CalcTime,$P388)))</f>
        <v/>
      </c>
      <c r="D388" s="28">
        <f>IF($P388="","",IF(INDEX(EntryParty,$P388)=0,"",INDEX(EntryParty,$P388)))</f>
        <v/>
      </c>
      <c r="E388" s="28">
        <f>IF($P388="","",IF(INDEX(EntryPartyName,$P388)=0,"",INDEX(EntryPartyName,$P388)))</f>
        <v/>
      </c>
      <c r="F388" s="28">
        <f>IF($P388="","",IF(INDEX(EntryPartyType,$P388)=0,"",INDEX(EntryPartyType,$P388)))</f>
        <v/>
      </c>
      <c r="G388" s="28">
        <f>IF($P388="","",IF(INDEX(EntryTxnType,$P388)=0,"",INDEX(EntryTxnType,$P388)))</f>
        <v/>
      </c>
      <c r="H388" s="29">
        <f>IF($P388="","",IF(INDEX(EntryDep,$P388)=0,"",INDEX(EntryDep,$P388)))</f>
        <v/>
      </c>
      <c r="I388" s="29">
        <f>IF($P388="","",IF(INDEX(EntryWit,$P388)=0,"",INDEX(EntryWit,$P388)))</f>
        <v/>
      </c>
      <c r="J388" s="29">
        <f>IF($B388="","",IF($A388=1,$C$7,IF(J387="",0,J387))+IF($H388="",0,$H388)-IF($I388="",0,$I388))</f>
        <v/>
      </c>
      <c r="K388" s="29">
        <f>IF($P388="","",IF(INDEX(EntryMan,$P388)=0,"",INDEX(EntryMan,$P388)))</f>
        <v/>
      </c>
      <c r="L388" s="28">
        <f>IF($B388="","",IF($K388="","—",IF(ROUND($K388-$J388,0)=0,"√","×")))</f>
        <v/>
      </c>
      <c r="M388" s="28">
        <f>IF($B388="","",IF(COUNTIFS(EntryDates,$B388,CalcTime,$C388,CalcBank,$C$5,EntryParty,$D388,EntryDep,$H388,EntryWit,$I388)&gt;1,"تکرار",""))</f>
        <v/>
      </c>
      <c r="N388" s="28">
        <f>IF($P388="","",IF(INDEX(EntryNotes,$P388)=0,"",INDEX(EntryNotes,$P388)))</f>
        <v/>
      </c>
      <c r="O388" s="28">
        <f>IF($P388="","",IF(INDEX(EntryTxnID,$P388)=0,"",INDEX(EntryTxnID,$P388)))</f>
        <v/>
      </c>
      <c r="P388" s="28">
        <f>IFERROR(MATCH($C$5&amp;"|"&amp;RIGHT("000000"&amp;372,6),CalcRankKey,0),"")</f>
        <v/>
      </c>
    </row>
    <row r="389">
      <c r="A389" s="26">
        <f>IF($B389="","",373)</f>
        <v/>
      </c>
      <c r="B389" s="26">
        <f>IF($P389="","",IF(INDEX(CalcNormDate,$P389)=0,"",INDEX(CalcNormDate,$P389)))</f>
        <v/>
      </c>
      <c r="C389" s="26">
        <f>IF($P389="","",IF(INDEX(CalcTime,$P389)=0,"",INDEX(CalcTime,$P389)))</f>
        <v/>
      </c>
      <c r="D389" s="26">
        <f>IF($P389="","",IF(INDEX(EntryParty,$P389)=0,"",INDEX(EntryParty,$P389)))</f>
        <v/>
      </c>
      <c r="E389" s="26">
        <f>IF($P389="","",IF(INDEX(EntryPartyName,$P389)=0,"",INDEX(EntryPartyName,$P389)))</f>
        <v/>
      </c>
      <c r="F389" s="26">
        <f>IF($P389="","",IF(INDEX(EntryPartyType,$P389)=0,"",INDEX(EntryPartyType,$P389)))</f>
        <v/>
      </c>
      <c r="G389" s="26">
        <f>IF($P389="","",IF(INDEX(EntryTxnType,$P389)=0,"",INDEX(EntryTxnType,$P389)))</f>
        <v/>
      </c>
      <c r="H389" s="27">
        <f>IF($P389="","",IF(INDEX(EntryDep,$P389)=0,"",INDEX(EntryDep,$P389)))</f>
        <v/>
      </c>
      <c r="I389" s="27">
        <f>IF($P389="","",IF(INDEX(EntryWit,$P389)=0,"",INDEX(EntryWit,$P389)))</f>
        <v/>
      </c>
      <c r="J389" s="27">
        <f>IF($B389="","",IF($A389=1,$C$7,IF(J388="",0,J388))+IF($H389="",0,$H389)-IF($I389="",0,$I389))</f>
        <v/>
      </c>
      <c r="K389" s="27">
        <f>IF($P389="","",IF(INDEX(EntryMan,$P389)=0,"",INDEX(EntryMan,$P389)))</f>
        <v/>
      </c>
      <c r="L389" s="26">
        <f>IF($B389="","",IF($K389="","—",IF(ROUND($K389-$J389,0)=0,"√","×")))</f>
        <v/>
      </c>
      <c r="M389" s="26">
        <f>IF($B389="","",IF(COUNTIFS(EntryDates,$B389,CalcTime,$C389,CalcBank,$C$5,EntryParty,$D389,EntryDep,$H389,EntryWit,$I389)&gt;1,"تکرار",""))</f>
        <v/>
      </c>
      <c r="N389" s="26">
        <f>IF($P389="","",IF(INDEX(EntryNotes,$P389)=0,"",INDEX(EntryNotes,$P389)))</f>
        <v/>
      </c>
      <c r="O389" s="26">
        <f>IF($P389="","",IF(INDEX(EntryTxnID,$P389)=0,"",INDEX(EntryTxnID,$P389)))</f>
        <v/>
      </c>
      <c r="P389" s="26">
        <f>IFERROR(MATCH($C$5&amp;"|"&amp;RIGHT("000000"&amp;373,6),CalcRankKey,0),"")</f>
        <v/>
      </c>
    </row>
    <row r="390">
      <c r="A390" s="28">
        <f>IF($B390="","",374)</f>
        <v/>
      </c>
      <c r="B390" s="28">
        <f>IF($P390="","",IF(INDEX(CalcNormDate,$P390)=0,"",INDEX(CalcNormDate,$P390)))</f>
        <v/>
      </c>
      <c r="C390" s="28">
        <f>IF($P390="","",IF(INDEX(CalcTime,$P390)=0,"",INDEX(CalcTime,$P390)))</f>
        <v/>
      </c>
      <c r="D390" s="28">
        <f>IF($P390="","",IF(INDEX(EntryParty,$P390)=0,"",INDEX(EntryParty,$P390)))</f>
        <v/>
      </c>
      <c r="E390" s="28">
        <f>IF($P390="","",IF(INDEX(EntryPartyName,$P390)=0,"",INDEX(EntryPartyName,$P390)))</f>
        <v/>
      </c>
      <c r="F390" s="28">
        <f>IF($P390="","",IF(INDEX(EntryPartyType,$P390)=0,"",INDEX(EntryPartyType,$P390)))</f>
        <v/>
      </c>
      <c r="G390" s="28">
        <f>IF($P390="","",IF(INDEX(EntryTxnType,$P390)=0,"",INDEX(EntryTxnType,$P390)))</f>
        <v/>
      </c>
      <c r="H390" s="29">
        <f>IF($P390="","",IF(INDEX(EntryDep,$P390)=0,"",INDEX(EntryDep,$P390)))</f>
        <v/>
      </c>
      <c r="I390" s="29">
        <f>IF($P390="","",IF(INDEX(EntryWit,$P390)=0,"",INDEX(EntryWit,$P390)))</f>
        <v/>
      </c>
      <c r="J390" s="29">
        <f>IF($B390="","",IF($A390=1,$C$7,IF(J389="",0,J389))+IF($H390="",0,$H390)-IF($I390="",0,$I390))</f>
        <v/>
      </c>
      <c r="K390" s="29">
        <f>IF($P390="","",IF(INDEX(EntryMan,$P390)=0,"",INDEX(EntryMan,$P390)))</f>
        <v/>
      </c>
      <c r="L390" s="28">
        <f>IF($B390="","",IF($K390="","—",IF(ROUND($K390-$J390,0)=0,"√","×")))</f>
        <v/>
      </c>
      <c r="M390" s="28">
        <f>IF($B390="","",IF(COUNTIFS(EntryDates,$B390,CalcTime,$C390,CalcBank,$C$5,EntryParty,$D390,EntryDep,$H390,EntryWit,$I390)&gt;1,"تکرار",""))</f>
        <v/>
      </c>
      <c r="N390" s="28">
        <f>IF($P390="","",IF(INDEX(EntryNotes,$P390)=0,"",INDEX(EntryNotes,$P390)))</f>
        <v/>
      </c>
      <c r="O390" s="28">
        <f>IF($P390="","",IF(INDEX(EntryTxnID,$P390)=0,"",INDEX(EntryTxnID,$P390)))</f>
        <v/>
      </c>
      <c r="P390" s="28">
        <f>IFERROR(MATCH($C$5&amp;"|"&amp;RIGHT("000000"&amp;374,6),CalcRankKey,0),"")</f>
        <v/>
      </c>
    </row>
    <row r="391">
      <c r="A391" s="26">
        <f>IF($B391="","",375)</f>
        <v/>
      </c>
      <c r="B391" s="26">
        <f>IF($P391="","",IF(INDEX(CalcNormDate,$P391)=0,"",INDEX(CalcNormDate,$P391)))</f>
        <v/>
      </c>
      <c r="C391" s="26">
        <f>IF($P391="","",IF(INDEX(CalcTime,$P391)=0,"",INDEX(CalcTime,$P391)))</f>
        <v/>
      </c>
      <c r="D391" s="26">
        <f>IF($P391="","",IF(INDEX(EntryParty,$P391)=0,"",INDEX(EntryParty,$P391)))</f>
        <v/>
      </c>
      <c r="E391" s="26">
        <f>IF($P391="","",IF(INDEX(EntryPartyName,$P391)=0,"",INDEX(EntryPartyName,$P391)))</f>
        <v/>
      </c>
      <c r="F391" s="26">
        <f>IF($P391="","",IF(INDEX(EntryPartyType,$P391)=0,"",INDEX(EntryPartyType,$P391)))</f>
        <v/>
      </c>
      <c r="G391" s="26">
        <f>IF($P391="","",IF(INDEX(EntryTxnType,$P391)=0,"",INDEX(EntryTxnType,$P391)))</f>
        <v/>
      </c>
      <c r="H391" s="27">
        <f>IF($P391="","",IF(INDEX(EntryDep,$P391)=0,"",INDEX(EntryDep,$P391)))</f>
        <v/>
      </c>
      <c r="I391" s="27">
        <f>IF($P391="","",IF(INDEX(EntryWit,$P391)=0,"",INDEX(EntryWit,$P391)))</f>
        <v/>
      </c>
      <c r="J391" s="27">
        <f>IF($B391="","",IF($A391=1,$C$7,IF(J390="",0,J390))+IF($H391="",0,$H391)-IF($I391="",0,$I391))</f>
        <v/>
      </c>
      <c r="K391" s="27">
        <f>IF($P391="","",IF(INDEX(EntryMan,$P391)=0,"",INDEX(EntryMan,$P391)))</f>
        <v/>
      </c>
      <c r="L391" s="26">
        <f>IF($B391="","",IF($K391="","—",IF(ROUND($K391-$J391,0)=0,"√","×")))</f>
        <v/>
      </c>
      <c r="M391" s="26">
        <f>IF($B391="","",IF(COUNTIFS(EntryDates,$B391,CalcTime,$C391,CalcBank,$C$5,EntryParty,$D391,EntryDep,$H391,EntryWit,$I391)&gt;1,"تکرار",""))</f>
        <v/>
      </c>
      <c r="N391" s="26">
        <f>IF($P391="","",IF(INDEX(EntryNotes,$P391)=0,"",INDEX(EntryNotes,$P391)))</f>
        <v/>
      </c>
      <c r="O391" s="26">
        <f>IF($P391="","",IF(INDEX(EntryTxnID,$P391)=0,"",INDEX(EntryTxnID,$P391)))</f>
        <v/>
      </c>
      <c r="P391" s="26">
        <f>IFERROR(MATCH($C$5&amp;"|"&amp;RIGHT("000000"&amp;375,6),CalcRankKey,0),"")</f>
        <v/>
      </c>
    </row>
    <row r="392">
      <c r="A392" s="28">
        <f>IF($B392="","",376)</f>
        <v/>
      </c>
      <c r="B392" s="28">
        <f>IF($P392="","",IF(INDEX(CalcNormDate,$P392)=0,"",INDEX(CalcNormDate,$P392)))</f>
        <v/>
      </c>
      <c r="C392" s="28">
        <f>IF($P392="","",IF(INDEX(CalcTime,$P392)=0,"",INDEX(CalcTime,$P392)))</f>
        <v/>
      </c>
      <c r="D392" s="28">
        <f>IF($P392="","",IF(INDEX(EntryParty,$P392)=0,"",INDEX(EntryParty,$P392)))</f>
        <v/>
      </c>
      <c r="E392" s="28">
        <f>IF($P392="","",IF(INDEX(EntryPartyName,$P392)=0,"",INDEX(EntryPartyName,$P392)))</f>
        <v/>
      </c>
      <c r="F392" s="28">
        <f>IF($P392="","",IF(INDEX(EntryPartyType,$P392)=0,"",INDEX(EntryPartyType,$P392)))</f>
        <v/>
      </c>
      <c r="G392" s="28">
        <f>IF($P392="","",IF(INDEX(EntryTxnType,$P392)=0,"",INDEX(EntryTxnType,$P392)))</f>
        <v/>
      </c>
      <c r="H392" s="29">
        <f>IF($P392="","",IF(INDEX(EntryDep,$P392)=0,"",INDEX(EntryDep,$P392)))</f>
        <v/>
      </c>
      <c r="I392" s="29">
        <f>IF($P392="","",IF(INDEX(EntryWit,$P392)=0,"",INDEX(EntryWit,$P392)))</f>
        <v/>
      </c>
      <c r="J392" s="29">
        <f>IF($B392="","",IF($A392=1,$C$7,IF(J391="",0,J391))+IF($H392="",0,$H392)-IF($I392="",0,$I392))</f>
        <v/>
      </c>
      <c r="K392" s="29">
        <f>IF($P392="","",IF(INDEX(EntryMan,$P392)=0,"",INDEX(EntryMan,$P392)))</f>
        <v/>
      </c>
      <c r="L392" s="28">
        <f>IF($B392="","",IF($K392="","—",IF(ROUND($K392-$J392,0)=0,"√","×")))</f>
        <v/>
      </c>
      <c r="M392" s="28">
        <f>IF($B392="","",IF(COUNTIFS(EntryDates,$B392,CalcTime,$C392,CalcBank,$C$5,EntryParty,$D392,EntryDep,$H392,EntryWit,$I392)&gt;1,"تکرار",""))</f>
        <v/>
      </c>
      <c r="N392" s="28">
        <f>IF($P392="","",IF(INDEX(EntryNotes,$P392)=0,"",INDEX(EntryNotes,$P392)))</f>
        <v/>
      </c>
      <c r="O392" s="28">
        <f>IF($P392="","",IF(INDEX(EntryTxnID,$P392)=0,"",INDEX(EntryTxnID,$P392)))</f>
        <v/>
      </c>
      <c r="P392" s="28">
        <f>IFERROR(MATCH($C$5&amp;"|"&amp;RIGHT("000000"&amp;376,6),CalcRankKey,0),"")</f>
        <v/>
      </c>
    </row>
    <row r="393">
      <c r="A393" s="26">
        <f>IF($B393="","",377)</f>
        <v/>
      </c>
      <c r="B393" s="26">
        <f>IF($P393="","",IF(INDEX(CalcNormDate,$P393)=0,"",INDEX(CalcNormDate,$P393)))</f>
        <v/>
      </c>
      <c r="C393" s="26">
        <f>IF($P393="","",IF(INDEX(CalcTime,$P393)=0,"",INDEX(CalcTime,$P393)))</f>
        <v/>
      </c>
      <c r="D393" s="26">
        <f>IF($P393="","",IF(INDEX(EntryParty,$P393)=0,"",INDEX(EntryParty,$P393)))</f>
        <v/>
      </c>
      <c r="E393" s="26">
        <f>IF($P393="","",IF(INDEX(EntryPartyName,$P393)=0,"",INDEX(EntryPartyName,$P393)))</f>
        <v/>
      </c>
      <c r="F393" s="26">
        <f>IF($P393="","",IF(INDEX(EntryPartyType,$P393)=0,"",INDEX(EntryPartyType,$P393)))</f>
        <v/>
      </c>
      <c r="G393" s="26">
        <f>IF($P393="","",IF(INDEX(EntryTxnType,$P393)=0,"",INDEX(EntryTxnType,$P393)))</f>
        <v/>
      </c>
      <c r="H393" s="27">
        <f>IF($P393="","",IF(INDEX(EntryDep,$P393)=0,"",INDEX(EntryDep,$P393)))</f>
        <v/>
      </c>
      <c r="I393" s="27">
        <f>IF($P393="","",IF(INDEX(EntryWit,$P393)=0,"",INDEX(EntryWit,$P393)))</f>
        <v/>
      </c>
      <c r="J393" s="27">
        <f>IF($B393="","",IF($A393=1,$C$7,IF(J392="",0,J392))+IF($H393="",0,$H393)-IF($I393="",0,$I393))</f>
        <v/>
      </c>
      <c r="K393" s="27">
        <f>IF($P393="","",IF(INDEX(EntryMan,$P393)=0,"",INDEX(EntryMan,$P393)))</f>
        <v/>
      </c>
      <c r="L393" s="26">
        <f>IF($B393="","",IF($K393="","—",IF(ROUND($K393-$J393,0)=0,"√","×")))</f>
        <v/>
      </c>
      <c r="M393" s="26">
        <f>IF($B393="","",IF(COUNTIFS(EntryDates,$B393,CalcTime,$C393,CalcBank,$C$5,EntryParty,$D393,EntryDep,$H393,EntryWit,$I393)&gt;1,"تکرار",""))</f>
        <v/>
      </c>
      <c r="N393" s="26">
        <f>IF($P393="","",IF(INDEX(EntryNotes,$P393)=0,"",INDEX(EntryNotes,$P393)))</f>
        <v/>
      </c>
      <c r="O393" s="26">
        <f>IF($P393="","",IF(INDEX(EntryTxnID,$P393)=0,"",INDEX(EntryTxnID,$P393)))</f>
        <v/>
      </c>
      <c r="P393" s="26">
        <f>IFERROR(MATCH($C$5&amp;"|"&amp;RIGHT("000000"&amp;377,6),CalcRankKey,0),"")</f>
        <v/>
      </c>
    </row>
    <row r="394">
      <c r="A394" s="28">
        <f>IF($B394="","",378)</f>
        <v/>
      </c>
      <c r="B394" s="28">
        <f>IF($P394="","",IF(INDEX(CalcNormDate,$P394)=0,"",INDEX(CalcNormDate,$P394)))</f>
        <v/>
      </c>
      <c r="C394" s="28">
        <f>IF($P394="","",IF(INDEX(CalcTime,$P394)=0,"",INDEX(CalcTime,$P394)))</f>
        <v/>
      </c>
      <c r="D394" s="28">
        <f>IF($P394="","",IF(INDEX(EntryParty,$P394)=0,"",INDEX(EntryParty,$P394)))</f>
        <v/>
      </c>
      <c r="E394" s="28">
        <f>IF($P394="","",IF(INDEX(EntryPartyName,$P394)=0,"",INDEX(EntryPartyName,$P394)))</f>
        <v/>
      </c>
      <c r="F394" s="28">
        <f>IF($P394="","",IF(INDEX(EntryPartyType,$P394)=0,"",INDEX(EntryPartyType,$P394)))</f>
        <v/>
      </c>
      <c r="G394" s="28">
        <f>IF($P394="","",IF(INDEX(EntryTxnType,$P394)=0,"",INDEX(EntryTxnType,$P394)))</f>
        <v/>
      </c>
      <c r="H394" s="29">
        <f>IF($P394="","",IF(INDEX(EntryDep,$P394)=0,"",INDEX(EntryDep,$P394)))</f>
        <v/>
      </c>
      <c r="I394" s="29">
        <f>IF($P394="","",IF(INDEX(EntryWit,$P394)=0,"",INDEX(EntryWit,$P394)))</f>
        <v/>
      </c>
      <c r="J394" s="29">
        <f>IF($B394="","",IF($A394=1,$C$7,IF(J393="",0,J393))+IF($H394="",0,$H394)-IF($I394="",0,$I394))</f>
        <v/>
      </c>
      <c r="K394" s="29">
        <f>IF($P394="","",IF(INDEX(EntryMan,$P394)=0,"",INDEX(EntryMan,$P394)))</f>
        <v/>
      </c>
      <c r="L394" s="28">
        <f>IF($B394="","",IF($K394="","—",IF(ROUND($K394-$J394,0)=0,"√","×")))</f>
        <v/>
      </c>
      <c r="M394" s="28">
        <f>IF($B394="","",IF(COUNTIFS(EntryDates,$B394,CalcTime,$C394,CalcBank,$C$5,EntryParty,$D394,EntryDep,$H394,EntryWit,$I394)&gt;1,"تکرار",""))</f>
        <v/>
      </c>
      <c r="N394" s="28">
        <f>IF($P394="","",IF(INDEX(EntryNotes,$P394)=0,"",INDEX(EntryNotes,$P394)))</f>
        <v/>
      </c>
      <c r="O394" s="28">
        <f>IF($P394="","",IF(INDEX(EntryTxnID,$P394)=0,"",INDEX(EntryTxnID,$P394)))</f>
        <v/>
      </c>
      <c r="P394" s="28">
        <f>IFERROR(MATCH($C$5&amp;"|"&amp;RIGHT("000000"&amp;378,6),CalcRankKey,0),"")</f>
        <v/>
      </c>
    </row>
    <row r="395">
      <c r="A395" s="26">
        <f>IF($B395="","",379)</f>
        <v/>
      </c>
      <c r="B395" s="26">
        <f>IF($P395="","",IF(INDEX(CalcNormDate,$P395)=0,"",INDEX(CalcNormDate,$P395)))</f>
        <v/>
      </c>
      <c r="C395" s="26">
        <f>IF($P395="","",IF(INDEX(CalcTime,$P395)=0,"",INDEX(CalcTime,$P395)))</f>
        <v/>
      </c>
      <c r="D395" s="26">
        <f>IF($P395="","",IF(INDEX(EntryParty,$P395)=0,"",INDEX(EntryParty,$P395)))</f>
        <v/>
      </c>
      <c r="E395" s="26">
        <f>IF($P395="","",IF(INDEX(EntryPartyName,$P395)=0,"",INDEX(EntryPartyName,$P395)))</f>
        <v/>
      </c>
      <c r="F395" s="26">
        <f>IF($P395="","",IF(INDEX(EntryPartyType,$P395)=0,"",INDEX(EntryPartyType,$P395)))</f>
        <v/>
      </c>
      <c r="G395" s="26">
        <f>IF($P395="","",IF(INDEX(EntryTxnType,$P395)=0,"",INDEX(EntryTxnType,$P395)))</f>
        <v/>
      </c>
      <c r="H395" s="27">
        <f>IF($P395="","",IF(INDEX(EntryDep,$P395)=0,"",INDEX(EntryDep,$P395)))</f>
        <v/>
      </c>
      <c r="I395" s="27">
        <f>IF($P395="","",IF(INDEX(EntryWit,$P395)=0,"",INDEX(EntryWit,$P395)))</f>
        <v/>
      </c>
      <c r="J395" s="27">
        <f>IF($B395="","",IF($A395=1,$C$7,IF(J394="",0,J394))+IF($H395="",0,$H395)-IF($I395="",0,$I395))</f>
        <v/>
      </c>
      <c r="K395" s="27">
        <f>IF($P395="","",IF(INDEX(EntryMan,$P395)=0,"",INDEX(EntryMan,$P395)))</f>
        <v/>
      </c>
      <c r="L395" s="26">
        <f>IF($B395="","",IF($K395="","—",IF(ROUND($K395-$J395,0)=0,"√","×")))</f>
        <v/>
      </c>
      <c r="M395" s="26">
        <f>IF($B395="","",IF(COUNTIFS(EntryDates,$B395,CalcTime,$C395,CalcBank,$C$5,EntryParty,$D395,EntryDep,$H395,EntryWit,$I395)&gt;1,"تکرار",""))</f>
        <v/>
      </c>
      <c r="N395" s="26">
        <f>IF($P395="","",IF(INDEX(EntryNotes,$P395)=0,"",INDEX(EntryNotes,$P395)))</f>
        <v/>
      </c>
      <c r="O395" s="26">
        <f>IF($P395="","",IF(INDEX(EntryTxnID,$P395)=0,"",INDEX(EntryTxnID,$P395)))</f>
        <v/>
      </c>
      <c r="P395" s="26">
        <f>IFERROR(MATCH($C$5&amp;"|"&amp;RIGHT("000000"&amp;379,6),CalcRankKey,0),"")</f>
        <v/>
      </c>
    </row>
    <row r="396">
      <c r="A396" s="28">
        <f>IF($B396="","",380)</f>
        <v/>
      </c>
      <c r="B396" s="28">
        <f>IF($P396="","",IF(INDEX(CalcNormDate,$P396)=0,"",INDEX(CalcNormDate,$P396)))</f>
        <v/>
      </c>
      <c r="C396" s="28">
        <f>IF($P396="","",IF(INDEX(CalcTime,$P396)=0,"",INDEX(CalcTime,$P396)))</f>
        <v/>
      </c>
      <c r="D396" s="28">
        <f>IF($P396="","",IF(INDEX(EntryParty,$P396)=0,"",INDEX(EntryParty,$P396)))</f>
        <v/>
      </c>
      <c r="E396" s="28">
        <f>IF($P396="","",IF(INDEX(EntryPartyName,$P396)=0,"",INDEX(EntryPartyName,$P396)))</f>
        <v/>
      </c>
      <c r="F396" s="28">
        <f>IF($P396="","",IF(INDEX(EntryPartyType,$P396)=0,"",INDEX(EntryPartyType,$P396)))</f>
        <v/>
      </c>
      <c r="G396" s="28">
        <f>IF($P396="","",IF(INDEX(EntryTxnType,$P396)=0,"",INDEX(EntryTxnType,$P396)))</f>
        <v/>
      </c>
      <c r="H396" s="29">
        <f>IF($P396="","",IF(INDEX(EntryDep,$P396)=0,"",INDEX(EntryDep,$P396)))</f>
        <v/>
      </c>
      <c r="I396" s="29">
        <f>IF($P396="","",IF(INDEX(EntryWit,$P396)=0,"",INDEX(EntryWit,$P396)))</f>
        <v/>
      </c>
      <c r="J396" s="29">
        <f>IF($B396="","",IF($A396=1,$C$7,IF(J395="",0,J395))+IF($H396="",0,$H396)-IF($I396="",0,$I396))</f>
        <v/>
      </c>
      <c r="K396" s="29">
        <f>IF($P396="","",IF(INDEX(EntryMan,$P396)=0,"",INDEX(EntryMan,$P396)))</f>
        <v/>
      </c>
      <c r="L396" s="28">
        <f>IF($B396="","",IF($K396="","—",IF(ROUND($K396-$J396,0)=0,"√","×")))</f>
        <v/>
      </c>
      <c r="M396" s="28">
        <f>IF($B396="","",IF(COUNTIFS(EntryDates,$B396,CalcTime,$C396,CalcBank,$C$5,EntryParty,$D396,EntryDep,$H396,EntryWit,$I396)&gt;1,"تکرار",""))</f>
        <v/>
      </c>
      <c r="N396" s="28">
        <f>IF($P396="","",IF(INDEX(EntryNotes,$P396)=0,"",INDEX(EntryNotes,$P396)))</f>
        <v/>
      </c>
      <c r="O396" s="28">
        <f>IF($P396="","",IF(INDEX(EntryTxnID,$P396)=0,"",INDEX(EntryTxnID,$P396)))</f>
        <v/>
      </c>
      <c r="P396" s="28">
        <f>IFERROR(MATCH($C$5&amp;"|"&amp;RIGHT("000000"&amp;380,6),CalcRankKey,0),"")</f>
        <v/>
      </c>
    </row>
    <row r="397">
      <c r="A397" s="26">
        <f>IF($B397="","",381)</f>
        <v/>
      </c>
      <c r="B397" s="26">
        <f>IF($P397="","",IF(INDEX(CalcNormDate,$P397)=0,"",INDEX(CalcNormDate,$P397)))</f>
        <v/>
      </c>
      <c r="C397" s="26">
        <f>IF($P397="","",IF(INDEX(CalcTime,$P397)=0,"",INDEX(CalcTime,$P397)))</f>
        <v/>
      </c>
      <c r="D397" s="26">
        <f>IF($P397="","",IF(INDEX(EntryParty,$P397)=0,"",INDEX(EntryParty,$P397)))</f>
        <v/>
      </c>
      <c r="E397" s="26">
        <f>IF($P397="","",IF(INDEX(EntryPartyName,$P397)=0,"",INDEX(EntryPartyName,$P397)))</f>
        <v/>
      </c>
      <c r="F397" s="26">
        <f>IF($P397="","",IF(INDEX(EntryPartyType,$P397)=0,"",INDEX(EntryPartyType,$P397)))</f>
        <v/>
      </c>
      <c r="G397" s="26">
        <f>IF($P397="","",IF(INDEX(EntryTxnType,$P397)=0,"",INDEX(EntryTxnType,$P397)))</f>
        <v/>
      </c>
      <c r="H397" s="27">
        <f>IF($P397="","",IF(INDEX(EntryDep,$P397)=0,"",INDEX(EntryDep,$P397)))</f>
        <v/>
      </c>
      <c r="I397" s="27">
        <f>IF($P397="","",IF(INDEX(EntryWit,$P397)=0,"",INDEX(EntryWit,$P397)))</f>
        <v/>
      </c>
      <c r="J397" s="27">
        <f>IF($B397="","",IF($A397=1,$C$7,IF(J396="",0,J396))+IF($H397="",0,$H397)-IF($I397="",0,$I397))</f>
        <v/>
      </c>
      <c r="K397" s="27">
        <f>IF($P397="","",IF(INDEX(EntryMan,$P397)=0,"",INDEX(EntryMan,$P397)))</f>
        <v/>
      </c>
      <c r="L397" s="26">
        <f>IF($B397="","",IF($K397="","—",IF(ROUND($K397-$J397,0)=0,"√","×")))</f>
        <v/>
      </c>
      <c r="M397" s="26">
        <f>IF($B397="","",IF(COUNTIFS(EntryDates,$B397,CalcTime,$C397,CalcBank,$C$5,EntryParty,$D397,EntryDep,$H397,EntryWit,$I397)&gt;1,"تکرار",""))</f>
        <v/>
      </c>
      <c r="N397" s="26">
        <f>IF($P397="","",IF(INDEX(EntryNotes,$P397)=0,"",INDEX(EntryNotes,$P397)))</f>
        <v/>
      </c>
      <c r="O397" s="26">
        <f>IF($P397="","",IF(INDEX(EntryTxnID,$P397)=0,"",INDEX(EntryTxnID,$P397)))</f>
        <v/>
      </c>
      <c r="P397" s="26">
        <f>IFERROR(MATCH($C$5&amp;"|"&amp;RIGHT("000000"&amp;381,6),CalcRankKey,0),"")</f>
        <v/>
      </c>
    </row>
    <row r="398">
      <c r="A398" s="28">
        <f>IF($B398="","",382)</f>
        <v/>
      </c>
      <c r="B398" s="28">
        <f>IF($P398="","",IF(INDEX(CalcNormDate,$P398)=0,"",INDEX(CalcNormDate,$P398)))</f>
        <v/>
      </c>
      <c r="C398" s="28">
        <f>IF($P398="","",IF(INDEX(CalcTime,$P398)=0,"",INDEX(CalcTime,$P398)))</f>
        <v/>
      </c>
      <c r="D398" s="28">
        <f>IF($P398="","",IF(INDEX(EntryParty,$P398)=0,"",INDEX(EntryParty,$P398)))</f>
        <v/>
      </c>
      <c r="E398" s="28">
        <f>IF($P398="","",IF(INDEX(EntryPartyName,$P398)=0,"",INDEX(EntryPartyName,$P398)))</f>
        <v/>
      </c>
      <c r="F398" s="28">
        <f>IF($P398="","",IF(INDEX(EntryPartyType,$P398)=0,"",INDEX(EntryPartyType,$P398)))</f>
        <v/>
      </c>
      <c r="G398" s="28">
        <f>IF($P398="","",IF(INDEX(EntryTxnType,$P398)=0,"",INDEX(EntryTxnType,$P398)))</f>
        <v/>
      </c>
      <c r="H398" s="29">
        <f>IF($P398="","",IF(INDEX(EntryDep,$P398)=0,"",INDEX(EntryDep,$P398)))</f>
        <v/>
      </c>
      <c r="I398" s="29">
        <f>IF($P398="","",IF(INDEX(EntryWit,$P398)=0,"",INDEX(EntryWit,$P398)))</f>
        <v/>
      </c>
      <c r="J398" s="29">
        <f>IF($B398="","",IF($A398=1,$C$7,IF(J397="",0,J397))+IF($H398="",0,$H398)-IF($I398="",0,$I398))</f>
        <v/>
      </c>
      <c r="K398" s="29">
        <f>IF($P398="","",IF(INDEX(EntryMan,$P398)=0,"",INDEX(EntryMan,$P398)))</f>
        <v/>
      </c>
      <c r="L398" s="28">
        <f>IF($B398="","",IF($K398="","—",IF(ROUND($K398-$J398,0)=0,"√","×")))</f>
        <v/>
      </c>
      <c r="M398" s="28">
        <f>IF($B398="","",IF(COUNTIFS(EntryDates,$B398,CalcTime,$C398,CalcBank,$C$5,EntryParty,$D398,EntryDep,$H398,EntryWit,$I398)&gt;1,"تکرار",""))</f>
        <v/>
      </c>
      <c r="N398" s="28">
        <f>IF($P398="","",IF(INDEX(EntryNotes,$P398)=0,"",INDEX(EntryNotes,$P398)))</f>
        <v/>
      </c>
      <c r="O398" s="28">
        <f>IF($P398="","",IF(INDEX(EntryTxnID,$P398)=0,"",INDEX(EntryTxnID,$P398)))</f>
        <v/>
      </c>
      <c r="P398" s="28">
        <f>IFERROR(MATCH($C$5&amp;"|"&amp;RIGHT("000000"&amp;382,6),CalcRankKey,0),"")</f>
        <v/>
      </c>
    </row>
    <row r="399">
      <c r="A399" s="26">
        <f>IF($B399="","",383)</f>
        <v/>
      </c>
      <c r="B399" s="26">
        <f>IF($P399="","",IF(INDEX(CalcNormDate,$P399)=0,"",INDEX(CalcNormDate,$P399)))</f>
        <v/>
      </c>
      <c r="C399" s="26">
        <f>IF($P399="","",IF(INDEX(CalcTime,$P399)=0,"",INDEX(CalcTime,$P399)))</f>
        <v/>
      </c>
      <c r="D399" s="26">
        <f>IF($P399="","",IF(INDEX(EntryParty,$P399)=0,"",INDEX(EntryParty,$P399)))</f>
        <v/>
      </c>
      <c r="E399" s="26">
        <f>IF($P399="","",IF(INDEX(EntryPartyName,$P399)=0,"",INDEX(EntryPartyName,$P399)))</f>
        <v/>
      </c>
      <c r="F399" s="26">
        <f>IF($P399="","",IF(INDEX(EntryPartyType,$P399)=0,"",INDEX(EntryPartyType,$P399)))</f>
        <v/>
      </c>
      <c r="G399" s="26">
        <f>IF($P399="","",IF(INDEX(EntryTxnType,$P399)=0,"",INDEX(EntryTxnType,$P399)))</f>
        <v/>
      </c>
      <c r="H399" s="27">
        <f>IF($P399="","",IF(INDEX(EntryDep,$P399)=0,"",INDEX(EntryDep,$P399)))</f>
        <v/>
      </c>
      <c r="I399" s="27">
        <f>IF($P399="","",IF(INDEX(EntryWit,$P399)=0,"",INDEX(EntryWit,$P399)))</f>
        <v/>
      </c>
      <c r="J399" s="27">
        <f>IF($B399="","",IF($A399=1,$C$7,IF(J398="",0,J398))+IF($H399="",0,$H399)-IF($I399="",0,$I399))</f>
        <v/>
      </c>
      <c r="K399" s="27">
        <f>IF($P399="","",IF(INDEX(EntryMan,$P399)=0,"",INDEX(EntryMan,$P399)))</f>
        <v/>
      </c>
      <c r="L399" s="26">
        <f>IF($B399="","",IF($K399="","—",IF(ROUND($K399-$J399,0)=0,"√","×")))</f>
        <v/>
      </c>
      <c r="M399" s="26">
        <f>IF($B399="","",IF(COUNTIFS(EntryDates,$B399,CalcTime,$C399,CalcBank,$C$5,EntryParty,$D399,EntryDep,$H399,EntryWit,$I399)&gt;1,"تکرار",""))</f>
        <v/>
      </c>
      <c r="N399" s="26">
        <f>IF($P399="","",IF(INDEX(EntryNotes,$P399)=0,"",INDEX(EntryNotes,$P399)))</f>
        <v/>
      </c>
      <c r="O399" s="26">
        <f>IF($P399="","",IF(INDEX(EntryTxnID,$P399)=0,"",INDEX(EntryTxnID,$P399)))</f>
        <v/>
      </c>
      <c r="P399" s="26">
        <f>IFERROR(MATCH($C$5&amp;"|"&amp;RIGHT("000000"&amp;383,6),CalcRankKey,0),"")</f>
        <v/>
      </c>
    </row>
    <row r="400">
      <c r="A400" s="28">
        <f>IF($B400="","",384)</f>
        <v/>
      </c>
      <c r="B400" s="28">
        <f>IF($P400="","",IF(INDEX(CalcNormDate,$P400)=0,"",INDEX(CalcNormDate,$P400)))</f>
        <v/>
      </c>
      <c r="C400" s="28">
        <f>IF($P400="","",IF(INDEX(CalcTime,$P400)=0,"",INDEX(CalcTime,$P400)))</f>
        <v/>
      </c>
      <c r="D400" s="28">
        <f>IF($P400="","",IF(INDEX(EntryParty,$P400)=0,"",INDEX(EntryParty,$P400)))</f>
        <v/>
      </c>
      <c r="E400" s="28">
        <f>IF($P400="","",IF(INDEX(EntryPartyName,$P400)=0,"",INDEX(EntryPartyName,$P400)))</f>
        <v/>
      </c>
      <c r="F400" s="28">
        <f>IF($P400="","",IF(INDEX(EntryPartyType,$P400)=0,"",INDEX(EntryPartyType,$P400)))</f>
        <v/>
      </c>
      <c r="G400" s="28">
        <f>IF($P400="","",IF(INDEX(EntryTxnType,$P400)=0,"",INDEX(EntryTxnType,$P400)))</f>
        <v/>
      </c>
      <c r="H400" s="29">
        <f>IF($P400="","",IF(INDEX(EntryDep,$P400)=0,"",INDEX(EntryDep,$P400)))</f>
        <v/>
      </c>
      <c r="I400" s="29">
        <f>IF($P400="","",IF(INDEX(EntryWit,$P400)=0,"",INDEX(EntryWit,$P400)))</f>
        <v/>
      </c>
      <c r="J400" s="29">
        <f>IF($B400="","",IF($A400=1,$C$7,IF(J399="",0,J399))+IF($H400="",0,$H400)-IF($I400="",0,$I400))</f>
        <v/>
      </c>
      <c r="K400" s="29">
        <f>IF($P400="","",IF(INDEX(EntryMan,$P400)=0,"",INDEX(EntryMan,$P400)))</f>
        <v/>
      </c>
      <c r="L400" s="28">
        <f>IF($B400="","",IF($K400="","—",IF(ROUND($K400-$J400,0)=0,"√","×")))</f>
        <v/>
      </c>
      <c r="M400" s="28">
        <f>IF($B400="","",IF(COUNTIFS(EntryDates,$B400,CalcTime,$C400,CalcBank,$C$5,EntryParty,$D400,EntryDep,$H400,EntryWit,$I400)&gt;1,"تکرار",""))</f>
        <v/>
      </c>
      <c r="N400" s="28">
        <f>IF($P400="","",IF(INDEX(EntryNotes,$P400)=0,"",INDEX(EntryNotes,$P400)))</f>
        <v/>
      </c>
      <c r="O400" s="28">
        <f>IF($P400="","",IF(INDEX(EntryTxnID,$P400)=0,"",INDEX(EntryTxnID,$P400)))</f>
        <v/>
      </c>
      <c r="P400" s="28">
        <f>IFERROR(MATCH($C$5&amp;"|"&amp;RIGHT("000000"&amp;384,6),CalcRankKey,0),"")</f>
        <v/>
      </c>
    </row>
    <row r="401">
      <c r="A401" s="26">
        <f>IF($B401="","",385)</f>
        <v/>
      </c>
      <c r="B401" s="26">
        <f>IF($P401="","",IF(INDEX(CalcNormDate,$P401)=0,"",INDEX(CalcNormDate,$P401)))</f>
        <v/>
      </c>
      <c r="C401" s="26">
        <f>IF($P401="","",IF(INDEX(CalcTime,$P401)=0,"",INDEX(CalcTime,$P401)))</f>
        <v/>
      </c>
      <c r="D401" s="26">
        <f>IF($P401="","",IF(INDEX(EntryParty,$P401)=0,"",INDEX(EntryParty,$P401)))</f>
        <v/>
      </c>
      <c r="E401" s="26">
        <f>IF($P401="","",IF(INDEX(EntryPartyName,$P401)=0,"",INDEX(EntryPartyName,$P401)))</f>
        <v/>
      </c>
      <c r="F401" s="26">
        <f>IF($P401="","",IF(INDEX(EntryPartyType,$P401)=0,"",INDEX(EntryPartyType,$P401)))</f>
        <v/>
      </c>
      <c r="G401" s="26">
        <f>IF($P401="","",IF(INDEX(EntryTxnType,$P401)=0,"",INDEX(EntryTxnType,$P401)))</f>
        <v/>
      </c>
      <c r="H401" s="27">
        <f>IF($P401="","",IF(INDEX(EntryDep,$P401)=0,"",INDEX(EntryDep,$P401)))</f>
        <v/>
      </c>
      <c r="I401" s="27">
        <f>IF($P401="","",IF(INDEX(EntryWit,$P401)=0,"",INDEX(EntryWit,$P401)))</f>
        <v/>
      </c>
      <c r="J401" s="27">
        <f>IF($B401="","",IF($A401=1,$C$7,IF(J400="",0,J400))+IF($H401="",0,$H401)-IF($I401="",0,$I401))</f>
        <v/>
      </c>
      <c r="K401" s="27">
        <f>IF($P401="","",IF(INDEX(EntryMan,$P401)=0,"",INDEX(EntryMan,$P401)))</f>
        <v/>
      </c>
      <c r="L401" s="26">
        <f>IF($B401="","",IF($K401="","—",IF(ROUND($K401-$J401,0)=0,"√","×")))</f>
        <v/>
      </c>
      <c r="M401" s="26">
        <f>IF($B401="","",IF(COUNTIFS(EntryDates,$B401,CalcTime,$C401,CalcBank,$C$5,EntryParty,$D401,EntryDep,$H401,EntryWit,$I401)&gt;1,"تکرار",""))</f>
        <v/>
      </c>
      <c r="N401" s="26">
        <f>IF($P401="","",IF(INDEX(EntryNotes,$P401)=0,"",INDEX(EntryNotes,$P401)))</f>
        <v/>
      </c>
      <c r="O401" s="26">
        <f>IF($P401="","",IF(INDEX(EntryTxnID,$P401)=0,"",INDEX(EntryTxnID,$P401)))</f>
        <v/>
      </c>
      <c r="P401" s="26">
        <f>IFERROR(MATCH($C$5&amp;"|"&amp;RIGHT("000000"&amp;385,6),CalcRankKey,0),"")</f>
        <v/>
      </c>
    </row>
    <row r="402">
      <c r="A402" s="28">
        <f>IF($B402="","",386)</f>
        <v/>
      </c>
      <c r="B402" s="28">
        <f>IF($P402="","",IF(INDEX(CalcNormDate,$P402)=0,"",INDEX(CalcNormDate,$P402)))</f>
        <v/>
      </c>
      <c r="C402" s="28">
        <f>IF($P402="","",IF(INDEX(CalcTime,$P402)=0,"",INDEX(CalcTime,$P402)))</f>
        <v/>
      </c>
      <c r="D402" s="28">
        <f>IF($P402="","",IF(INDEX(EntryParty,$P402)=0,"",INDEX(EntryParty,$P402)))</f>
        <v/>
      </c>
      <c r="E402" s="28">
        <f>IF($P402="","",IF(INDEX(EntryPartyName,$P402)=0,"",INDEX(EntryPartyName,$P402)))</f>
        <v/>
      </c>
      <c r="F402" s="28">
        <f>IF($P402="","",IF(INDEX(EntryPartyType,$P402)=0,"",INDEX(EntryPartyType,$P402)))</f>
        <v/>
      </c>
      <c r="G402" s="28">
        <f>IF($P402="","",IF(INDEX(EntryTxnType,$P402)=0,"",INDEX(EntryTxnType,$P402)))</f>
        <v/>
      </c>
      <c r="H402" s="29">
        <f>IF($P402="","",IF(INDEX(EntryDep,$P402)=0,"",INDEX(EntryDep,$P402)))</f>
        <v/>
      </c>
      <c r="I402" s="29">
        <f>IF($P402="","",IF(INDEX(EntryWit,$P402)=0,"",INDEX(EntryWit,$P402)))</f>
        <v/>
      </c>
      <c r="J402" s="29">
        <f>IF($B402="","",IF($A402=1,$C$7,IF(J401="",0,J401))+IF($H402="",0,$H402)-IF($I402="",0,$I402))</f>
        <v/>
      </c>
      <c r="K402" s="29">
        <f>IF($P402="","",IF(INDEX(EntryMan,$P402)=0,"",INDEX(EntryMan,$P402)))</f>
        <v/>
      </c>
      <c r="L402" s="28">
        <f>IF($B402="","",IF($K402="","—",IF(ROUND($K402-$J402,0)=0,"√","×")))</f>
        <v/>
      </c>
      <c r="M402" s="28">
        <f>IF($B402="","",IF(COUNTIFS(EntryDates,$B402,CalcTime,$C402,CalcBank,$C$5,EntryParty,$D402,EntryDep,$H402,EntryWit,$I402)&gt;1,"تکرار",""))</f>
        <v/>
      </c>
      <c r="N402" s="28">
        <f>IF($P402="","",IF(INDEX(EntryNotes,$P402)=0,"",INDEX(EntryNotes,$P402)))</f>
        <v/>
      </c>
      <c r="O402" s="28">
        <f>IF($P402="","",IF(INDEX(EntryTxnID,$P402)=0,"",INDEX(EntryTxnID,$P402)))</f>
        <v/>
      </c>
      <c r="P402" s="28">
        <f>IFERROR(MATCH($C$5&amp;"|"&amp;RIGHT("000000"&amp;386,6),CalcRankKey,0),"")</f>
        <v/>
      </c>
    </row>
    <row r="403">
      <c r="A403" s="26">
        <f>IF($B403="","",387)</f>
        <v/>
      </c>
      <c r="B403" s="26">
        <f>IF($P403="","",IF(INDEX(CalcNormDate,$P403)=0,"",INDEX(CalcNormDate,$P403)))</f>
        <v/>
      </c>
      <c r="C403" s="26">
        <f>IF($P403="","",IF(INDEX(CalcTime,$P403)=0,"",INDEX(CalcTime,$P403)))</f>
        <v/>
      </c>
      <c r="D403" s="26">
        <f>IF($P403="","",IF(INDEX(EntryParty,$P403)=0,"",INDEX(EntryParty,$P403)))</f>
        <v/>
      </c>
      <c r="E403" s="26">
        <f>IF($P403="","",IF(INDEX(EntryPartyName,$P403)=0,"",INDEX(EntryPartyName,$P403)))</f>
        <v/>
      </c>
      <c r="F403" s="26">
        <f>IF($P403="","",IF(INDEX(EntryPartyType,$P403)=0,"",INDEX(EntryPartyType,$P403)))</f>
        <v/>
      </c>
      <c r="G403" s="26">
        <f>IF($P403="","",IF(INDEX(EntryTxnType,$P403)=0,"",INDEX(EntryTxnType,$P403)))</f>
        <v/>
      </c>
      <c r="H403" s="27">
        <f>IF($P403="","",IF(INDEX(EntryDep,$P403)=0,"",INDEX(EntryDep,$P403)))</f>
        <v/>
      </c>
      <c r="I403" s="27">
        <f>IF($P403="","",IF(INDEX(EntryWit,$P403)=0,"",INDEX(EntryWit,$P403)))</f>
        <v/>
      </c>
      <c r="J403" s="27">
        <f>IF($B403="","",IF($A403=1,$C$7,IF(J402="",0,J402))+IF($H403="",0,$H403)-IF($I403="",0,$I403))</f>
        <v/>
      </c>
      <c r="K403" s="27">
        <f>IF($P403="","",IF(INDEX(EntryMan,$P403)=0,"",INDEX(EntryMan,$P403)))</f>
        <v/>
      </c>
      <c r="L403" s="26">
        <f>IF($B403="","",IF($K403="","—",IF(ROUND($K403-$J403,0)=0,"√","×")))</f>
        <v/>
      </c>
      <c r="M403" s="26">
        <f>IF($B403="","",IF(COUNTIFS(EntryDates,$B403,CalcTime,$C403,CalcBank,$C$5,EntryParty,$D403,EntryDep,$H403,EntryWit,$I403)&gt;1,"تکرار",""))</f>
        <v/>
      </c>
      <c r="N403" s="26">
        <f>IF($P403="","",IF(INDEX(EntryNotes,$P403)=0,"",INDEX(EntryNotes,$P403)))</f>
        <v/>
      </c>
      <c r="O403" s="26">
        <f>IF($P403="","",IF(INDEX(EntryTxnID,$P403)=0,"",INDEX(EntryTxnID,$P403)))</f>
        <v/>
      </c>
      <c r="P403" s="26">
        <f>IFERROR(MATCH($C$5&amp;"|"&amp;RIGHT("000000"&amp;387,6),CalcRankKey,0),"")</f>
        <v/>
      </c>
    </row>
    <row r="404">
      <c r="A404" s="28">
        <f>IF($B404="","",388)</f>
        <v/>
      </c>
      <c r="B404" s="28">
        <f>IF($P404="","",IF(INDEX(CalcNormDate,$P404)=0,"",INDEX(CalcNormDate,$P404)))</f>
        <v/>
      </c>
      <c r="C404" s="28">
        <f>IF($P404="","",IF(INDEX(CalcTime,$P404)=0,"",INDEX(CalcTime,$P404)))</f>
        <v/>
      </c>
      <c r="D404" s="28">
        <f>IF($P404="","",IF(INDEX(EntryParty,$P404)=0,"",INDEX(EntryParty,$P404)))</f>
        <v/>
      </c>
      <c r="E404" s="28">
        <f>IF($P404="","",IF(INDEX(EntryPartyName,$P404)=0,"",INDEX(EntryPartyName,$P404)))</f>
        <v/>
      </c>
      <c r="F404" s="28">
        <f>IF($P404="","",IF(INDEX(EntryPartyType,$P404)=0,"",INDEX(EntryPartyType,$P404)))</f>
        <v/>
      </c>
      <c r="G404" s="28">
        <f>IF($P404="","",IF(INDEX(EntryTxnType,$P404)=0,"",INDEX(EntryTxnType,$P404)))</f>
        <v/>
      </c>
      <c r="H404" s="29">
        <f>IF($P404="","",IF(INDEX(EntryDep,$P404)=0,"",INDEX(EntryDep,$P404)))</f>
        <v/>
      </c>
      <c r="I404" s="29">
        <f>IF($P404="","",IF(INDEX(EntryWit,$P404)=0,"",INDEX(EntryWit,$P404)))</f>
        <v/>
      </c>
      <c r="J404" s="29">
        <f>IF($B404="","",IF($A404=1,$C$7,IF(J403="",0,J403))+IF($H404="",0,$H404)-IF($I404="",0,$I404))</f>
        <v/>
      </c>
      <c r="K404" s="29">
        <f>IF($P404="","",IF(INDEX(EntryMan,$P404)=0,"",INDEX(EntryMan,$P404)))</f>
        <v/>
      </c>
      <c r="L404" s="28">
        <f>IF($B404="","",IF($K404="","—",IF(ROUND($K404-$J404,0)=0,"√","×")))</f>
        <v/>
      </c>
      <c r="M404" s="28">
        <f>IF($B404="","",IF(COUNTIFS(EntryDates,$B404,CalcTime,$C404,CalcBank,$C$5,EntryParty,$D404,EntryDep,$H404,EntryWit,$I404)&gt;1,"تکرار",""))</f>
        <v/>
      </c>
      <c r="N404" s="28">
        <f>IF($P404="","",IF(INDEX(EntryNotes,$P404)=0,"",INDEX(EntryNotes,$P404)))</f>
        <v/>
      </c>
      <c r="O404" s="28">
        <f>IF($P404="","",IF(INDEX(EntryTxnID,$P404)=0,"",INDEX(EntryTxnID,$P404)))</f>
        <v/>
      </c>
      <c r="P404" s="28">
        <f>IFERROR(MATCH($C$5&amp;"|"&amp;RIGHT("000000"&amp;388,6),CalcRankKey,0),"")</f>
        <v/>
      </c>
    </row>
    <row r="405">
      <c r="A405" s="26">
        <f>IF($B405="","",389)</f>
        <v/>
      </c>
      <c r="B405" s="26">
        <f>IF($P405="","",IF(INDEX(CalcNormDate,$P405)=0,"",INDEX(CalcNormDate,$P405)))</f>
        <v/>
      </c>
      <c r="C405" s="26">
        <f>IF($P405="","",IF(INDEX(CalcTime,$P405)=0,"",INDEX(CalcTime,$P405)))</f>
        <v/>
      </c>
      <c r="D405" s="26">
        <f>IF($P405="","",IF(INDEX(EntryParty,$P405)=0,"",INDEX(EntryParty,$P405)))</f>
        <v/>
      </c>
      <c r="E405" s="26">
        <f>IF($P405="","",IF(INDEX(EntryPartyName,$P405)=0,"",INDEX(EntryPartyName,$P405)))</f>
        <v/>
      </c>
      <c r="F405" s="26">
        <f>IF($P405="","",IF(INDEX(EntryPartyType,$P405)=0,"",INDEX(EntryPartyType,$P405)))</f>
        <v/>
      </c>
      <c r="G405" s="26">
        <f>IF($P405="","",IF(INDEX(EntryTxnType,$P405)=0,"",INDEX(EntryTxnType,$P405)))</f>
        <v/>
      </c>
      <c r="H405" s="27">
        <f>IF($P405="","",IF(INDEX(EntryDep,$P405)=0,"",INDEX(EntryDep,$P405)))</f>
        <v/>
      </c>
      <c r="I405" s="27">
        <f>IF($P405="","",IF(INDEX(EntryWit,$P405)=0,"",INDEX(EntryWit,$P405)))</f>
        <v/>
      </c>
      <c r="J405" s="27">
        <f>IF($B405="","",IF($A405=1,$C$7,IF(J404="",0,J404))+IF($H405="",0,$H405)-IF($I405="",0,$I405))</f>
        <v/>
      </c>
      <c r="K405" s="27">
        <f>IF($P405="","",IF(INDEX(EntryMan,$P405)=0,"",INDEX(EntryMan,$P405)))</f>
        <v/>
      </c>
      <c r="L405" s="26">
        <f>IF($B405="","",IF($K405="","—",IF(ROUND($K405-$J405,0)=0,"√","×")))</f>
        <v/>
      </c>
      <c r="M405" s="26">
        <f>IF($B405="","",IF(COUNTIFS(EntryDates,$B405,CalcTime,$C405,CalcBank,$C$5,EntryParty,$D405,EntryDep,$H405,EntryWit,$I405)&gt;1,"تکرار",""))</f>
        <v/>
      </c>
      <c r="N405" s="26">
        <f>IF($P405="","",IF(INDEX(EntryNotes,$P405)=0,"",INDEX(EntryNotes,$P405)))</f>
        <v/>
      </c>
      <c r="O405" s="26">
        <f>IF($P405="","",IF(INDEX(EntryTxnID,$P405)=0,"",INDEX(EntryTxnID,$P405)))</f>
        <v/>
      </c>
      <c r="P405" s="26">
        <f>IFERROR(MATCH($C$5&amp;"|"&amp;RIGHT("000000"&amp;389,6),CalcRankKey,0),"")</f>
        <v/>
      </c>
    </row>
    <row r="406">
      <c r="A406" s="28">
        <f>IF($B406="","",390)</f>
        <v/>
      </c>
      <c r="B406" s="28">
        <f>IF($P406="","",IF(INDEX(CalcNormDate,$P406)=0,"",INDEX(CalcNormDate,$P406)))</f>
        <v/>
      </c>
      <c r="C406" s="28">
        <f>IF($P406="","",IF(INDEX(CalcTime,$P406)=0,"",INDEX(CalcTime,$P406)))</f>
        <v/>
      </c>
      <c r="D406" s="28">
        <f>IF($P406="","",IF(INDEX(EntryParty,$P406)=0,"",INDEX(EntryParty,$P406)))</f>
        <v/>
      </c>
      <c r="E406" s="28">
        <f>IF($P406="","",IF(INDEX(EntryPartyName,$P406)=0,"",INDEX(EntryPartyName,$P406)))</f>
        <v/>
      </c>
      <c r="F406" s="28">
        <f>IF($P406="","",IF(INDEX(EntryPartyType,$P406)=0,"",INDEX(EntryPartyType,$P406)))</f>
        <v/>
      </c>
      <c r="G406" s="28">
        <f>IF($P406="","",IF(INDEX(EntryTxnType,$P406)=0,"",INDEX(EntryTxnType,$P406)))</f>
        <v/>
      </c>
      <c r="H406" s="29">
        <f>IF($P406="","",IF(INDEX(EntryDep,$P406)=0,"",INDEX(EntryDep,$P406)))</f>
        <v/>
      </c>
      <c r="I406" s="29">
        <f>IF($P406="","",IF(INDEX(EntryWit,$P406)=0,"",INDEX(EntryWit,$P406)))</f>
        <v/>
      </c>
      <c r="J406" s="29">
        <f>IF($B406="","",IF($A406=1,$C$7,IF(J405="",0,J405))+IF($H406="",0,$H406)-IF($I406="",0,$I406))</f>
        <v/>
      </c>
      <c r="K406" s="29">
        <f>IF($P406="","",IF(INDEX(EntryMan,$P406)=0,"",INDEX(EntryMan,$P406)))</f>
        <v/>
      </c>
      <c r="L406" s="28">
        <f>IF($B406="","",IF($K406="","—",IF(ROUND($K406-$J406,0)=0,"√","×")))</f>
        <v/>
      </c>
      <c r="M406" s="28">
        <f>IF($B406="","",IF(COUNTIFS(EntryDates,$B406,CalcTime,$C406,CalcBank,$C$5,EntryParty,$D406,EntryDep,$H406,EntryWit,$I406)&gt;1,"تکرار",""))</f>
        <v/>
      </c>
      <c r="N406" s="28">
        <f>IF($P406="","",IF(INDEX(EntryNotes,$P406)=0,"",INDEX(EntryNotes,$P406)))</f>
        <v/>
      </c>
      <c r="O406" s="28">
        <f>IF($P406="","",IF(INDEX(EntryTxnID,$P406)=0,"",INDEX(EntryTxnID,$P406)))</f>
        <v/>
      </c>
      <c r="P406" s="28">
        <f>IFERROR(MATCH($C$5&amp;"|"&amp;RIGHT("000000"&amp;390,6),CalcRankKey,0),"")</f>
        <v/>
      </c>
    </row>
    <row r="407">
      <c r="A407" s="26">
        <f>IF($B407="","",391)</f>
        <v/>
      </c>
      <c r="B407" s="26">
        <f>IF($P407="","",IF(INDEX(CalcNormDate,$P407)=0,"",INDEX(CalcNormDate,$P407)))</f>
        <v/>
      </c>
      <c r="C407" s="26">
        <f>IF($P407="","",IF(INDEX(CalcTime,$P407)=0,"",INDEX(CalcTime,$P407)))</f>
        <v/>
      </c>
      <c r="D407" s="26">
        <f>IF($P407="","",IF(INDEX(EntryParty,$P407)=0,"",INDEX(EntryParty,$P407)))</f>
        <v/>
      </c>
      <c r="E407" s="26">
        <f>IF($P407="","",IF(INDEX(EntryPartyName,$P407)=0,"",INDEX(EntryPartyName,$P407)))</f>
        <v/>
      </c>
      <c r="F407" s="26">
        <f>IF($P407="","",IF(INDEX(EntryPartyType,$P407)=0,"",INDEX(EntryPartyType,$P407)))</f>
        <v/>
      </c>
      <c r="G407" s="26">
        <f>IF($P407="","",IF(INDEX(EntryTxnType,$P407)=0,"",INDEX(EntryTxnType,$P407)))</f>
        <v/>
      </c>
      <c r="H407" s="27">
        <f>IF($P407="","",IF(INDEX(EntryDep,$P407)=0,"",INDEX(EntryDep,$P407)))</f>
        <v/>
      </c>
      <c r="I407" s="27">
        <f>IF($P407="","",IF(INDEX(EntryWit,$P407)=0,"",INDEX(EntryWit,$P407)))</f>
        <v/>
      </c>
      <c r="J407" s="27">
        <f>IF($B407="","",IF($A407=1,$C$7,IF(J406="",0,J406))+IF($H407="",0,$H407)-IF($I407="",0,$I407))</f>
        <v/>
      </c>
      <c r="K407" s="27">
        <f>IF($P407="","",IF(INDEX(EntryMan,$P407)=0,"",INDEX(EntryMan,$P407)))</f>
        <v/>
      </c>
      <c r="L407" s="26">
        <f>IF($B407="","",IF($K407="","—",IF(ROUND($K407-$J407,0)=0,"√","×")))</f>
        <v/>
      </c>
      <c r="M407" s="26">
        <f>IF($B407="","",IF(COUNTIFS(EntryDates,$B407,CalcTime,$C407,CalcBank,$C$5,EntryParty,$D407,EntryDep,$H407,EntryWit,$I407)&gt;1,"تکرار",""))</f>
        <v/>
      </c>
      <c r="N407" s="26">
        <f>IF($P407="","",IF(INDEX(EntryNotes,$P407)=0,"",INDEX(EntryNotes,$P407)))</f>
        <v/>
      </c>
      <c r="O407" s="26">
        <f>IF($P407="","",IF(INDEX(EntryTxnID,$P407)=0,"",INDEX(EntryTxnID,$P407)))</f>
        <v/>
      </c>
      <c r="P407" s="26">
        <f>IFERROR(MATCH($C$5&amp;"|"&amp;RIGHT("000000"&amp;391,6),CalcRankKey,0),"")</f>
        <v/>
      </c>
    </row>
    <row r="408">
      <c r="A408" s="28">
        <f>IF($B408="","",392)</f>
        <v/>
      </c>
      <c r="B408" s="28">
        <f>IF($P408="","",IF(INDEX(CalcNormDate,$P408)=0,"",INDEX(CalcNormDate,$P408)))</f>
        <v/>
      </c>
      <c r="C408" s="28">
        <f>IF($P408="","",IF(INDEX(CalcTime,$P408)=0,"",INDEX(CalcTime,$P408)))</f>
        <v/>
      </c>
      <c r="D408" s="28">
        <f>IF($P408="","",IF(INDEX(EntryParty,$P408)=0,"",INDEX(EntryParty,$P408)))</f>
        <v/>
      </c>
      <c r="E408" s="28">
        <f>IF($P408="","",IF(INDEX(EntryPartyName,$P408)=0,"",INDEX(EntryPartyName,$P408)))</f>
        <v/>
      </c>
      <c r="F408" s="28">
        <f>IF($P408="","",IF(INDEX(EntryPartyType,$P408)=0,"",INDEX(EntryPartyType,$P408)))</f>
        <v/>
      </c>
      <c r="G408" s="28">
        <f>IF($P408="","",IF(INDEX(EntryTxnType,$P408)=0,"",INDEX(EntryTxnType,$P408)))</f>
        <v/>
      </c>
      <c r="H408" s="29">
        <f>IF($P408="","",IF(INDEX(EntryDep,$P408)=0,"",INDEX(EntryDep,$P408)))</f>
        <v/>
      </c>
      <c r="I408" s="29">
        <f>IF($P408="","",IF(INDEX(EntryWit,$P408)=0,"",INDEX(EntryWit,$P408)))</f>
        <v/>
      </c>
      <c r="J408" s="29">
        <f>IF($B408="","",IF($A408=1,$C$7,IF(J407="",0,J407))+IF($H408="",0,$H408)-IF($I408="",0,$I408))</f>
        <v/>
      </c>
      <c r="K408" s="29">
        <f>IF($P408="","",IF(INDEX(EntryMan,$P408)=0,"",INDEX(EntryMan,$P408)))</f>
        <v/>
      </c>
      <c r="L408" s="28">
        <f>IF($B408="","",IF($K408="","—",IF(ROUND($K408-$J408,0)=0,"√","×")))</f>
        <v/>
      </c>
      <c r="M408" s="28">
        <f>IF($B408="","",IF(COUNTIFS(EntryDates,$B408,CalcTime,$C408,CalcBank,$C$5,EntryParty,$D408,EntryDep,$H408,EntryWit,$I408)&gt;1,"تکرار",""))</f>
        <v/>
      </c>
      <c r="N408" s="28">
        <f>IF($P408="","",IF(INDEX(EntryNotes,$P408)=0,"",INDEX(EntryNotes,$P408)))</f>
        <v/>
      </c>
      <c r="O408" s="28">
        <f>IF($P408="","",IF(INDEX(EntryTxnID,$P408)=0,"",INDEX(EntryTxnID,$P408)))</f>
        <v/>
      </c>
      <c r="P408" s="28">
        <f>IFERROR(MATCH($C$5&amp;"|"&amp;RIGHT("000000"&amp;392,6),CalcRankKey,0),"")</f>
        <v/>
      </c>
    </row>
    <row r="409">
      <c r="A409" s="26">
        <f>IF($B409="","",393)</f>
        <v/>
      </c>
      <c r="B409" s="26">
        <f>IF($P409="","",IF(INDEX(CalcNormDate,$P409)=0,"",INDEX(CalcNormDate,$P409)))</f>
        <v/>
      </c>
      <c r="C409" s="26">
        <f>IF($P409="","",IF(INDEX(CalcTime,$P409)=0,"",INDEX(CalcTime,$P409)))</f>
        <v/>
      </c>
      <c r="D409" s="26">
        <f>IF($P409="","",IF(INDEX(EntryParty,$P409)=0,"",INDEX(EntryParty,$P409)))</f>
        <v/>
      </c>
      <c r="E409" s="26">
        <f>IF($P409="","",IF(INDEX(EntryPartyName,$P409)=0,"",INDEX(EntryPartyName,$P409)))</f>
        <v/>
      </c>
      <c r="F409" s="26">
        <f>IF($P409="","",IF(INDEX(EntryPartyType,$P409)=0,"",INDEX(EntryPartyType,$P409)))</f>
        <v/>
      </c>
      <c r="G409" s="26">
        <f>IF($P409="","",IF(INDEX(EntryTxnType,$P409)=0,"",INDEX(EntryTxnType,$P409)))</f>
        <v/>
      </c>
      <c r="H409" s="27">
        <f>IF($P409="","",IF(INDEX(EntryDep,$P409)=0,"",INDEX(EntryDep,$P409)))</f>
        <v/>
      </c>
      <c r="I409" s="27">
        <f>IF($P409="","",IF(INDEX(EntryWit,$P409)=0,"",INDEX(EntryWit,$P409)))</f>
        <v/>
      </c>
      <c r="J409" s="27">
        <f>IF($B409="","",IF($A409=1,$C$7,IF(J408="",0,J408))+IF($H409="",0,$H409)-IF($I409="",0,$I409))</f>
        <v/>
      </c>
      <c r="K409" s="27">
        <f>IF($P409="","",IF(INDEX(EntryMan,$P409)=0,"",INDEX(EntryMan,$P409)))</f>
        <v/>
      </c>
      <c r="L409" s="26">
        <f>IF($B409="","",IF($K409="","—",IF(ROUND($K409-$J409,0)=0,"√","×")))</f>
        <v/>
      </c>
      <c r="M409" s="26">
        <f>IF($B409="","",IF(COUNTIFS(EntryDates,$B409,CalcTime,$C409,CalcBank,$C$5,EntryParty,$D409,EntryDep,$H409,EntryWit,$I409)&gt;1,"تکرار",""))</f>
        <v/>
      </c>
      <c r="N409" s="26">
        <f>IF($P409="","",IF(INDEX(EntryNotes,$P409)=0,"",INDEX(EntryNotes,$P409)))</f>
        <v/>
      </c>
      <c r="O409" s="26">
        <f>IF($P409="","",IF(INDEX(EntryTxnID,$P409)=0,"",INDEX(EntryTxnID,$P409)))</f>
        <v/>
      </c>
      <c r="P409" s="26">
        <f>IFERROR(MATCH($C$5&amp;"|"&amp;RIGHT("000000"&amp;393,6),CalcRankKey,0),"")</f>
        <v/>
      </c>
    </row>
    <row r="410">
      <c r="A410" s="28">
        <f>IF($B410="","",394)</f>
        <v/>
      </c>
      <c r="B410" s="28">
        <f>IF($P410="","",IF(INDEX(CalcNormDate,$P410)=0,"",INDEX(CalcNormDate,$P410)))</f>
        <v/>
      </c>
      <c r="C410" s="28">
        <f>IF($P410="","",IF(INDEX(CalcTime,$P410)=0,"",INDEX(CalcTime,$P410)))</f>
        <v/>
      </c>
      <c r="D410" s="28">
        <f>IF($P410="","",IF(INDEX(EntryParty,$P410)=0,"",INDEX(EntryParty,$P410)))</f>
        <v/>
      </c>
      <c r="E410" s="28">
        <f>IF($P410="","",IF(INDEX(EntryPartyName,$P410)=0,"",INDEX(EntryPartyName,$P410)))</f>
        <v/>
      </c>
      <c r="F410" s="28">
        <f>IF($P410="","",IF(INDEX(EntryPartyType,$P410)=0,"",INDEX(EntryPartyType,$P410)))</f>
        <v/>
      </c>
      <c r="G410" s="28">
        <f>IF($P410="","",IF(INDEX(EntryTxnType,$P410)=0,"",INDEX(EntryTxnType,$P410)))</f>
        <v/>
      </c>
      <c r="H410" s="29">
        <f>IF($P410="","",IF(INDEX(EntryDep,$P410)=0,"",INDEX(EntryDep,$P410)))</f>
        <v/>
      </c>
      <c r="I410" s="29">
        <f>IF($P410="","",IF(INDEX(EntryWit,$P410)=0,"",INDEX(EntryWit,$P410)))</f>
        <v/>
      </c>
      <c r="J410" s="29">
        <f>IF($B410="","",IF($A410=1,$C$7,IF(J409="",0,J409))+IF($H410="",0,$H410)-IF($I410="",0,$I410))</f>
        <v/>
      </c>
      <c r="K410" s="29">
        <f>IF($P410="","",IF(INDEX(EntryMan,$P410)=0,"",INDEX(EntryMan,$P410)))</f>
        <v/>
      </c>
      <c r="L410" s="28">
        <f>IF($B410="","",IF($K410="","—",IF(ROUND($K410-$J410,0)=0,"√","×")))</f>
        <v/>
      </c>
      <c r="M410" s="28">
        <f>IF($B410="","",IF(COUNTIFS(EntryDates,$B410,CalcTime,$C410,CalcBank,$C$5,EntryParty,$D410,EntryDep,$H410,EntryWit,$I410)&gt;1,"تکرار",""))</f>
        <v/>
      </c>
      <c r="N410" s="28">
        <f>IF($P410="","",IF(INDEX(EntryNotes,$P410)=0,"",INDEX(EntryNotes,$P410)))</f>
        <v/>
      </c>
      <c r="O410" s="28">
        <f>IF($P410="","",IF(INDEX(EntryTxnID,$P410)=0,"",INDEX(EntryTxnID,$P410)))</f>
        <v/>
      </c>
      <c r="P410" s="28">
        <f>IFERROR(MATCH($C$5&amp;"|"&amp;RIGHT("000000"&amp;394,6),CalcRankKey,0),"")</f>
        <v/>
      </c>
    </row>
    <row r="411">
      <c r="A411" s="26">
        <f>IF($B411="","",395)</f>
        <v/>
      </c>
      <c r="B411" s="26">
        <f>IF($P411="","",IF(INDEX(CalcNormDate,$P411)=0,"",INDEX(CalcNormDate,$P411)))</f>
        <v/>
      </c>
      <c r="C411" s="26">
        <f>IF($P411="","",IF(INDEX(CalcTime,$P411)=0,"",INDEX(CalcTime,$P411)))</f>
        <v/>
      </c>
      <c r="D411" s="26">
        <f>IF($P411="","",IF(INDEX(EntryParty,$P411)=0,"",INDEX(EntryParty,$P411)))</f>
        <v/>
      </c>
      <c r="E411" s="26">
        <f>IF($P411="","",IF(INDEX(EntryPartyName,$P411)=0,"",INDEX(EntryPartyName,$P411)))</f>
        <v/>
      </c>
      <c r="F411" s="26">
        <f>IF($P411="","",IF(INDEX(EntryPartyType,$P411)=0,"",INDEX(EntryPartyType,$P411)))</f>
        <v/>
      </c>
      <c r="G411" s="26">
        <f>IF($P411="","",IF(INDEX(EntryTxnType,$P411)=0,"",INDEX(EntryTxnType,$P411)))</f>
        <v/>
      </c>
      <c r="H411" s="27">
        <f>IF($P411="","",IF(INDEX(EntryDep,$P411)=0,"",INDEX(EntryDep,$P411)))</f>
        <v/>
      </c>
      <c r="I411" s="27">
        <f>IF($P411="","",IF(INDEX(EntryWit,$P411)=0,"",INDEX(EntryWit,$P411)))</f>
        <v/>
      </c>
      <c r="J411" s="27">
        <f>IF($B411="","",IF($A411=1,$C$7,IF(J410="",0,J410))+IF($H411="",0,$H411)-IF($I411="",0,$I411))</f>
        <v/>
      </c>
      <c r="K411" s="27">
        <f>IF($P411="","",IF(INDEX(EntryMan,$P411)=0,"",INDEX(EntryMan,$P411)))</f>
        <v/>
      </c>
      <c r="L411" s="26">
        <f>IF($B411="","",IF($K411="","—",IF(ROUND($K411-$J411,0)=0,"√","×")))</f>
        <v/>
      </c>
      <c r="M411" s="26">
        <f>IF($B411="","",IF(COUNTIFS(EntryDates,$B411,CalcTime,$C411,CalcBank,$C$5,EntryParty,$D411,EntryDep,$H411,EntryWit,$I411)&gt;1,"تکرار",""))</f>
        <v/>
      </c>
      <c r="N411" s="26">
        <f>IF($P411="","",IF(INDEX(EntryNotes,$P411)=0,"",INDEX(EntryNotes,$P411)))</f>
        <v/>
      </c>
      <c r="O411" s="26">
        <f>IF($P411="","",IF(INDEX(EntryTxnID,$P411)=0,"",INDEX(EntryTxnID,$P411)))</f>
        <v/>
      </c>
      <c r="P411" s="26">
        <f>IFERROR(MATCH($C$5&amp;"|"&amp;RIGHT("000000"&amp;395,6),CalcRankKey,0),"")</f>
        <v/>
      </c>
    </row>
    <row r="412">
      <c r="A412" s="28">
        <f>IF($B412="","",396)</f>
        <v/>
      </c>
      <c r="B412" s="28">
        <f>IF($P412="","",IF(INDEX(CalcNormDate,$P412)=0,"",INDEX(CalcNormDate,$P412)))</f>
        <v/>
      </c>
      <c r="C412" s="28">
        <f>IF($P412="","",IF(INDEX(CalcTime,$P412)=0,"",INDEX(CalcTime,$P412)))</f>
        <v/>
      </c>
      <c r="D412" s="28">
        <f>IF($P412="","",IF(INDEX(EntryParty,$P412)=0,"",INDEX(EntryParty,$P412)))</f>
        <v/>
      </c>
      <c r="E412" s="28">
        <f>IF($P412="","",IF(INDEX(EntryPartyName,$P412)=0,"",INDEX(EntryPartyName,$P412)))</f>
        <v/>
      </c>
      <c r="F412" s="28">
        <f>IF($P412="","",IF(INDEX(EntryPartyType,$P412)=0,"",INDEX(EntryPartyType,$P412)))</f>
        <v/>
      </c>
      <c r="G412" s="28">
        <f>IF($P412="","",IF(INDEX(EntryTxnType,$P412)=0,"",INDEX(EntryTxnType,$P412)))</f>
        <v/>
      </c>
      <c r="H412" s="29">
        <f>IF($P412="","",IF(INDEX(EntryDep,$P412)=0,"",INDEX(EntryDep,$P412)))</f>
        <v/>
      </c>
      <c r="I412" s="29">
        <f>IF($P412="","",IF(INDEX(EntryWit,$P412)=0,"",INDEX(EntryWit,$P412)))</f>
        <v/>
      </c>
      <c r="J412" s="29">
        <f>IF($B412="","",IF($A412=1,$C$7,IF(J411="",0,J411))+IF($H412="",0,$H412)-IF($I412="",0,$I412))</f>
        <v/>
      </c>
      <c r="K412" s="29">
        <f>IF($P412="","",IF(INDEX(EntryMan,$P412)=0,"",INDEX(EntryMan,$P412)))</f>
        <v/>
      </c>
      <c r="L412" s="28">
        <f>IF($B412="","",IF($K412="","—",IF(ROUND($K412-$J412,0)=0,"√","×")))</f>
        <v/>
      </c>
      <c r="M412" s="28">
        <f>IF($B412="","",IF(COUNTIFS(EntryDates,$B412,CalcTime,$C412,CalcBank,$C$5,EntryParty,$D412,EntryDep,$H412,EntryWit,$I412)&gt;1,"تکرار",""))</f>
        <v/>
      </c>
      <c r="N412" s="28">
        <f>IF($P412="","",IF(INDEX(EntryNotes,$P412)=0,"",INDEX(EntryNotes,$P412)))</f>
        <v/>
      </c>
      <c r="O412" s="28">
        <f>IF($P412="","",IF(INDEX(EntryTxnID,$P412)=0,"",INDEX(EntryTxnID,$P412)))</f>
        <v/>
      </c>
      <c r="P412" s="28">
        <f>IFERROR(MATCH($C$5&amp;"|"&amp;RIGHT("000000"&amp;396,6),CalcRankKey,0),"")</f>
        <v/>
      </c>
    </row>
    <row r="413">
      <c r="A413" s="26">
        <f>IF($B413="","",397)</f>
        <v/>
      </c>
      <c r="B413" s="26">
        <f>IF($P413="","",IF(INDEX(CalcNormDate,$P413)=0,"",INDEX(CalcNormDate,$P413)))</f>
        <v/>
      </c>
      <c r="C413" s="26">
        <f>IF($P413="","",IF(INDEX(CalcTime,$P413)=0,"",INDEX(CalcTime,$P413)))</f>
        <v/>
      </c>
      <c r="D413" s="26">
        <f>IF($P413="","",IF(INDEX(EntryParty,$P413)=0,"",INDEX(EntryParty,$P413)))</f>
        <v/>
      </c>
      <c r="E413" s="26">
        <f>IF($P413="","",IF(INDEX(EntryPartyName,$P413)=0,"",INDEX(EntryPartyName,$P413)))</f>
        <v/>
      </c>
      <c r="F413" s="26">
        <f>IF($P413="","",IF(INDEX(EntryPartyType,$P413)=0,"",INDEX(EntryPartyType,$P413)))</f>
        <v/>
      </c>
      <c r="G413" s="26">
        <f>IF($P413="","",IF(INDEX(EntryTxnType,$P413)=0,"",INDEX(EntryTxnType,$P413)))</f>
        <v/>
      </c>
      <c r="H413" s="27">
        <f>IF($P413="","",IF(INDEX(EntryDep,$P413)=0,"",INDEX(EntryDep,$P413)))</f>
        <v/>
      </c>
      <c r="I413" s="27">
        <f>IF($P413="","",IF(INDEX(EntryWit,$P413)=0,"",INDEX(EntryWit,$P413)))</f>
        <v/>
      </c>
      <c r="J413" s="27">
        <f>IF($B413="","",IF($A413=1,$C$7,IF(J412="",0,J412))+IF($H413="",0,$H413)-IF($I413="",0,$I413))</f>
        <v/>
      </c>
      <c r="K413" s="27">
        <f>IF($P413="","",IF(INDEX(EntryMan,$P413)=0,"",INDEX(EntryMan,$P413)))</f>
        <v/>
      </c>
      <c r="L413" s="26">
        <f>IF($B413="","",IF($K413="","—",IF(ROUND($K413-$J413,0)=0,"√","×")))</f>
        <v/>
      </c>
      <c r="M413" s="26">
        <f>IF($B413="","",IF(COUNTIFS(EntryDates,$B413,CalcTime,$C413,CalcBank,$C$5,EntryParty,$D413,EntryDep,$H413,EntryWit,$I413)&gt;1,"تکرار",""))</f>
        <v/>
      </c>
      <c r="N413" s="26">
        <f>IF($P413="","",IF(INDEX(EntryNotes,$P413)=0,"",INDEX(EntryNotes,$P413)))</f>
        <v/>
      </c>
      <c r="O413" s="26">
        <f>IF($P413="","",IF(INDEX(EntryTxnID,$P413)=0,"",INDEX(EntryTxnID,$P413)))</f>
        <v/>
      </c>
      <c r="P413" s="26">
        <f>IFERROR(MATCH($C$5&amp;"|"&amp;RIGHT("000000"&amp;397,6),CalcRankKey,0),"")</f>
        <v/>
      </c>
    </row>
    <row r="414">
      <c r="A414" s="28">
        <f>IF($B414="","",398)</f>
        <v/>
      </c>
      <c r="B414" s="28">
        <f>IF($P414="","",IF(INDEX(CalcNormDate,$P414)=0,"",INDEX(CalcNormDate,$P414)))</f>
        <v/>
      </c>
      <c r="C414" s="28">
        <f>IF($P414="","",IF(INDEX(CalcTime,$P414)=0,"",INDEX(CalcTime,$P414)))</f>
        <v/>
      </c>
      <c r="D414" s="28">
        <f>IF($P414="","",IF(INDEX(EntryParty,$P414)=0,"",INDEX(EntryParty,$P414)))</f>
        <v/>
      </c>
      <c r="E414" s="28">
        <f>IF($P414="","",IF(INDEX(EntryPartyName,$P414)=0,"",INDEX(EntryPartyName,$P414)))</f>
        <v/>
      </c>
      <c r="F414" s="28">
        <f>IF($P414="","",IF(INDEX(EntryPartyType,$P414)=0,"",INDEX(EntryPartyType,$P414)))</f>
        <v/>
      </c>
      <c r="G414" s="28">
        <f>IF($P414="","",IF(INDEX(EntryTxnType,$P414)=0,"",INDEX(EntryTxnType,$P414)))</f>
        <v/>
      </c>
      <c r="H414" s="29">
        <f>IF($P414="","",IF(INDEX(EntryDep,$P414)=0,"",INDEX(EntryDep,$P414)))</f>
        <v/>
      </c>
      <c r="I414" s="29">
        <f>IF($P414="","",IF(INDEX(EntryWit,$P414)=0,"",INDEX(EntryWit,$P414)))</f>
        <v/>
      </c>
      <c r="J414" s="29">
        <f>IF($B414="","",IF($A414=1,$C$7,IF(J413="",0,J413))+IF($H414="",0,$H414)-IF($I414="",0,$I414))</f>
        <v/>
      </c>
      <c r="K414" s="29">
        <f>IF($P414="","",IF(INDEX(EntryMan,$P414)=0,"",INDEX(EntryMan,$P414)))</f>
        <v/>
      </c>
      <c r="L414" s="28">
        <f>IF($B414="","",IF($K414="","—",IF(ROUND($K414-$J414,0)=0,"√","×")))</f>
        <v/>
      </c>
      <c r="M414" s="28">
        <f>IF($B414="","",IF(COUNTIFS(EntryDates,$B414,CalcTime,$C414,CalcBank,$C$5,EntryParty,$D414,EntryDep,$H414,EntryWit,$I414)&gt;1,"تکرار",""))</f>
        <v/>
      </c>
      <c r="N414" s="28">
        <f>IF($P414="","",IF(INDEX(EntryNotes,$P414)=0,"",INDEX(EntryNotes,$P414)))</f>
        <v/>
      </c>
      <c r="O414" s="28">
        <f>IF($P414="","",IF(INDEX(EntryTxnID,$P414)=0,"",INDEX(EntryTxnID,$P414)))</f>
        <v/>
      </c>
      <c r="P414" s="28">
        <f>IFERROR(MATCH($C$5&amp;"|"&amp;RIGHT("000000"&amp;398,6),CalcRankKey,0),"")</f>
        <v/>
      </c>
    </row>
    <row r="415">
      <c r="A415" s="26">
        <f>IF($B415="","",399)</f>
        <v/>
      </c>
      <c r="B415" s="26">
        <f>IF($P415="","",IF(INDEX(CalcNormDate,$P415)=0,"",INDEX(CalcNormDate,$P415)))</f>
        <v/>
      </c>
      <c r="C415" s="26">
        <f>IF($P415="","",IF(INDEX(CalcTime,$P415)=0,"",INDEX(CalcTime,$P415)))</f>
        <v/>
      </c>
      <c r="D415" s="26">
        <f>IF($P415="","",IF(INDEX(EntryParty,$P415)=0,"",INDEX(EntryParty,$P415)))</f>
        <v/>
      </c>
      <c r="E415" s="26">
        <f>IF($P415="","",IF(INDEX(EntryPartyName,$P415)=0,"",INDEX(EntryPartyName,$P415)))</f>
        <v/>
      </c>
      <c r="F415" s="26">
        <f>IF($P415="","",IF(INDEX(EntryPartyType,$P415)=0,"",INDEX(EntryPartyType,$P415)))</f>
        <v/>
      </c>
      <c r="G415" s="26">
        <f>IF($P415="","",IF(INDEX(EntryTxnType,$P415)=0,"",INDEX(EntryTxnType,$P415)))</f>
        <v/>
      </c>
      <c r="H415" s="27">
        <f>IF($P415="","",IF(INDEX(EntryDep,$P415)=0,"",INDEX(EntryDep,$P415)))</f>
        <v/>
      </c>
      <c r="I415" s="27">
        <f>IF($P415="","",IF(INDEX(EntryWit,$P415)=0,"",INDEX(EntryWit,$P415)))</f>
        <v/>
      </c>
      <c r="J415" s="27">
        <f>IF($B415="","",IF($A415=1,$C$7,IF(J414="",0,J414))+IF($H415="",0,$H415)-IF($I415="",0,$I415))</f>
        <v/>
      </c>
      <c r="K415" s="27">
        <f>IF($P415="","",IF(INDEX(EntryMan,$P415)=0,"",INDEX(EntryMan,$P415)))</f>
        <v/>
      </c>
      <c r="L415" s="26">
        <f>IF($B415="","",IF($K415="","—",IF(ROUND($K415-$J415,0)=0,"√","×")))</f>
        <v/>
      </c>
      <c r="M415" s="26">
        <f>IF($B415="","",IF(COUNTIFS(EntryDates,$B415,CalcTime,$C415,CalcBank,$C$5,EntryParty,$D415,EntryDep,$H415,EntryWit,$I415)&gt;1,"تکرار",""))</f>
        <v/>
      </c>
      <c r="N415" s="26">
        <f>IF($P415="","",IF(INDEX(EntryNotes,$P415)=0,"",INDEX(EntryNotes,$P415)))</f>
        <v/>
      </c>
      <c r="O415" s="26">
        <f>IF($P415="","",IF(INDEX(EntryTxnID,$P415)=0,"",INDEX(EntryTxnID,$P415)))</f>
        <v/>
      </c>
      <c r="P415" s="26">
        <f>IFERROR(MATCH($C$5&amp;"|"&amp;RIGHT("000000"&amp;399,6),CalcRankKey,0),"")</f>
        <v/>
      </c>
    </row>
    <row r="416">
      <c r="A416" s="28">
        <f>IF($B416="","",400)</f>
        <v/>
      </c>
      <c r="B416" s="28">
        <f>IF($P416="","",IF(INDEX(CalcNormDate,$P416)=0,"",INDEX(CalcNormDate,$P416)))</f>
        <v/>
      </c>
      <c r="C416" s="28">
        <f>IF($P416="","",IF(INDEX(CalcTime,$P416)=0,"",INDEX(CalcTime,$P416)))</f>
        <v/>
      </c>
      <c r="D416" s="28">
        <f>IF($P416="","",IF(INDEX(EntryParty,$P416)=0,"",INDEX(EntryParty,$P416)))</f>
        <v/>
      </c>
      <c r="E416" s="28">
        <f>IF($P416="","",IF(INDEX(EntryPartyName,$P416)=0,"",INDEX(EntryPartyName,$P416)))</f>
        <v/>
      </c>
      <c r="F416" s="28">
        <f>IF($P416="","",IF(INDEX(EntryPartyType,$P416)=0,"",INDEX(EntryPartyType,$P416)))</f>
        <v/>
      </c>
      <c r="G416" s="28">
        <f>IF($P416="","",IF(INDEX(EntryTxnType,$P416)=0,"",INDEX(EntryTxnType,$P416)))</f>
        <v/>
      </c>
      <c r="H416" s="29">
        <f>IF($P416="","",IF(INDEX(EntryDep,$P416)=0,"",INDEX(EntryDep,$P416)))</f>
        <v/>
      </c>
      <c r="I416" s="29">
        <f>IF($P416="","",IF(INDEX(EntryWit,$P416)=0,"",INDEX(EntryWit,$P416)))</f>
        <v/>
      </c>
      <c r="J416" s="29">
        <f>IF($B416="","",IF($A416=1,$C$7,IF(J415="",0,J415))+IF($H416="",0,$H416)-IF($I416="",0,$I416))</f>
        <v/>
      </c>
      <c r="K416" s="29">
        <f>IF($P416="","",IF(INDEX(EntryMan,$P416)=0,"",INDEX(EntryMan,$P416)))</f>
        <v/>
      </c>
      <c r="L416" s="28">
        <f>IF($B416="","",IF($K416="","—",IF(ROUND($K416-$J416,0)=0,"√","×")))</f>
        <v/>
      </c>
      <c r="M416" s="28">
        <f>IF($B416="","",IF(COUNTIFS(EntryDates,$B416,CalcTime,$C416,CalcBank,$C$5,EntryParty,$D416,EntryDep,$H416,EntryWit,$I416)&gt;1,"تکرار",""))</f>
        <v/>
      </c>
      <c r="N416" s="28">
        <f>IF($P416="","",IF(INDEX(EntryNotes,$P416)=0,"",INDEX(EntryNotes,$P416)))</f>
        <v/>
      </c>
      <c r="O416" s="28">
        <f>IF($P416="","",IF(INDEX(EntryTxnID,$P416)=0,"",INDEX(EntryTxnID,$P416)))</f>
        <v/>
      </c>
      <c r="P416" s="28">
        <f>IFERROR(MATCH($C$5&amp;"|"&amp;RIGHT("000000"&amp;400,6),CalcRankKey,0),"")</f>
        <v/>
      </c>
    </row>
    <row r="417">
      <c r="A417" s="26">
        <f>IF($B417="","",401)</f>
        <v/>
      </c>
      <c r="B417" s="26">
        <f>IF($P417="","",IF(INDEX(CalcNormDate,$P417)=0,"",INDEX(CalcNormDate,$P417)))</f>
        <v/>
      </c>
      <c r="C417" s="26">
        <f>IF($P417="","",IF(INDEX(CalcTime,$P417)=0,"",INDEX(CalcTime,$P417)))</f>
        <v/>
      </c>
      <c r="D417" s="26">
        <f>IF($P417="","",IF(INDEX(EntryParty,$P417)=0,"",INDEX(EntryParty,$P417)))</f>
        <v/>
      </c>
      <c r="E417" s="26">
        <f>IF($P417="","",IF(INDEX(EntryPartyName,$P417)=0,"",INDEX(EntryPartyName,$P417)))</f>
        <v/>
      </c>
      <c r="F417" s="26">
        <f>IF($P417="","",IF(INDEX(EntryPartyType,$P417)=0,"",INDEX(EntryPartyType,$P417)))</f>
        <v/>
      </c>
      <c r="G417" s="26">
        <f>IF($P417="","",IF(INDEX(EntryTxnType,$P417)=0,"",INDEX(EntryTxnType,$P417)))</f>
        <v/>
      </c>
      <c r="H417" s="27">
        <f>IF($P417="","",IF(INDEX(EntryDep,$P417)=0,"",INDEX(EntryDep,$P417)))</f>
        <v/>
      </c>
      <c r="I417" s="27">
        <f>IF($P417="","",IF(INDEX(EntryWit,$P417)=0,"",INDEX(EntryWit,$P417)))</f>
        <v/>
      </c>
      <c r="J417" s="27">
        <f>IF($B417="","",IF($A417=1,$C$7,IF(J416="",0,J416))+IF($H417="",0,$H417)-IF($I417="",0,$I417))</f>
        <v/>
      </c>
      <c r="K417" s="27">
        <f>IF($P417="","",IF(INDEX(EntryMan,$P417)=0,"",INDEX(EntryMan,$P417)))</f>
        <v/>
      </c>
      <c r="L417" s="26">
        <f>IF($B417="","",IF($K417="","—",IF(ROUND($K417-$J417,0)=0,"√","×")))</f>
        <v/>
      </c>
      <c r="M417" s="26">
        <f>IF($B417="","",IF(COUNTIFS(EntryDates,$B417,CalcTime,$C417,CalcBank,$C$5,EntryParty,$D417,EntryDep,$H417,EntryWit,$I417)&gt;1,"تکرار",""))</f>
        <v/>
      </c>
      <c r="N417" s="26">
        <f>IF($P417="","",IF(INDEX(EntryNotes,$P417)=0,"",INDEX(EntryNotes,$P417)))</f>
        <v/>
      </c>
      <c r="O417" s="26">
        <f>IF($P417="","",IF(INDEX(EntryTxnID,$P417)=0,"",INDEX(EntryTxnID,$P417)))</f>
        <v/>
      </c>
      <c r="P417" s="26">
        <f>IFERROR(MATCH($C$5&amp;"|"&amp;RIGHT("000000"&amp;401,6),CalcRankKey,0),"")</f>
        <v/>
      </c>
    </row>
    <row r="418">
      <c r="A418" s="28">
        <f>IF($B418="","",402)</f>
        <v/>
      </c>
      <c r="B418" s="28">
        <f>IF($P418="","",IF(INDEX(CalcNormDate,$P418)=0,"",INDEX(CalcNormDate,$P418)))</f>
        <v/>
      </c>
      <c r="C418" s="28">
        <f>IF($P418="","",IF(INDEX(CalcTime,$P418)=0,"",INDEX(CalcTime,$P418)))</f>
        <v/>
      </c>
      <c r="D418" s="28">
        <f>IF($P418="","",IF(INDEX(EntryParty,$P418)=0,"",INDEX(EntryParty,$P418)))</f>
        <v/>
      </c>
      <c r="E418" s="28">
        <f>IF($P418="","",IF(INDEX(EntryPartyName,$P418)=0,"",INDEX(EntryPartyName,$P418)))</f>
        <v/>
      </c>
      <c r="F418" s="28">
        <f>IF($P418="","",IF(INDEX(EntryPartyType,$P418)=0,"",INDEX(EntryPartyType,$P418)))</f>
        <v/>
      </c>
      <c r="G418" s="28">
        <f>IF($P418="","",IF(INDEX(EntryTxnType,$P418)=0,"",INDEX(EntryTxnType,$P418)))</f>
        <v/>
      </c>
      <c r="H418" s="29">
        <f>IF($P418="","",IF(INDEX(EntryDep,$P418)=0,"",INDEX(EntryDep,$P418)))</f>
        <v/>
      </c>
      <c r="I418" s="29">
        <f>IF($P418="","",IF(INDEX(EntryWit,$P418)=0,"",INDEX(EntryWit,$P418)))</f>
        <v/>
      </c>
      <c r="J418" s="29">
        <f>IF($B418="","",IF($A418=1,$C$7,IF(J417="",0,J417))+IF($H418="",0,$H418)-IF($I418="",0,$I418))</f>
        <v/>
      </c>
      <c r="K418" s="29">
        <f>IF($P418="","",IF(INDEX(EntryMan,$P418)=0,"",INDEX(EntryMan,$P418)))</f>
        <v/>
      </c>
      <c r="L418" s="28">
        <f>IF($B418="","",IF($K418="","—",IF(ROUND($K418-$J418,0)=0,"√","×")))</f>
        <v/>
      </c>
      <c r="M418" s="28">
        <f>IF($B418="","",IF(COUNTIFS(EntryDates,$B418,CalcTime,$C418,CalcBank,$C$5,EntryParty,$D418,EntryDep,$H418,EntryWit,$I418)&gt;1,"تکرار",""))</f>
        <v/>
      </c>
      <c r="N418" s="28">
        <f>IF($P418="","",IF(INDEX(EntryNotes,$P418)=0,"",INDEX(EntryNotes,$P418)))</f>
        <v/>
      </c>
      <c r="O418" s="28">
        <f>IF($P418="","",IF(INDEX(EntryTxnID,$P418)=0,"",INDEX(EntryTxnID,$P418)))</f>
        <v/>
      </c>
      <c r="P418" s="28">
        <f>IFERROR(MATCH($C$5&amp;"|"&amp;RIGHT("000000"&amp;402,6),CalcRankKey,0),"")</f>
        <v/>
      </c>
    </row>
    <row r="419">
      <c r="A419" s="26">
        <f>IF($B419="","",403)</f>
        <v/>
      </c>
      <c r="B419" s="26">
        <f>IF($P419="","",IF(INDEX(CalcNormDate,$P419)=0,"",INDEX(CalcNormDate,$P419)))</f>
        <v/>
      </c>
      <c r="C419" s="26">
        <f>IF($P419="","",IF(INDEX(CalcTime,$P419)=0,"",INDEX(CalcTime,$P419)))</f>
        <v/>
      </c>
      <c r="D419" s="26">
        <f>IF($P419="","",IF(INDEX(EntryParty,$P419)=0,"",INDEX(EntryParty,$P419)))</f>
        <v/>
      </c>
      <c r="E419" s="26">
        <f>IF($P419="","",IF(INDEX(EntryPartyName,$P419)=0,"",INDEX(EntryPartyName,$P419)))</f>
        <v/>
      </c>
      <c r="F419" s="26">
        <f>IF($P419="","",IF(INDEX(EntryPartyType,$P419)=0,"",INDEX(EntryPartyType,$P419)))</f>
        <v/>
      </c>
      <c r="G419" s="26">
        <f>IF($P419="","",IF(INDEX(EntryTxnType,$P419)=0,"",INDEX(EntryTxnType,$P419)))</f>
        <v/>
      </c>
      <c r="H419" s="27">
        <f>IF($P419="","",IF(INDEX(EntryDep,$P419)=0,"",INDEX(EntryDep,$P419)))</f>
        <v/>
      </c>
      <c r="I419" s="27">
        <f>IF($P419="","",IF(INDEX(EntryWit,$P419)=0,"",INDEX(EntryWit,$P419)))</f>
        <v/>
      </c>
      <c r="J419" s="27">
        <f>IF($B419="","",IF($A419=1,$C$7,IF(J418="",0,J418))+IF($H419="",0,$H419)-IF($I419="",0,$I419))</f>
        <v/>
      </c>
      <c r="K419" s="27">
        <f>IF($P419="","",IF(INDEX(EntryMan,$P419)=0,"",INDEX(EntryMan,$P419)))</f>
        <v/>
      </c>
      <c r="L419" s="26">
        <f>IF($B419="","",IF($K419="","—",IF(ROUND($K419-$J419,0)=0,"√","×")))</f>
        <v/>
      </c>
      <c r="M419" s="26">
        <f>IF($B419="","",IF(COUNTIFS(EntryDates,$B419,CalcTime,$C419,CalcBank,$C$5,EntryParty,$D419,EntryDep,$H419,EntryWit,$I419)&gt;1,"تکرار",""))</f>
        <v/>
      </c>
      <c r="N419" s="26">
        <f>IF($P419="","",IF(INDEX(EntryNotes,$P419)=0,"",INDEX(EntryNotes,$P419)))</f>
        <v/>
      </c>
      <c r="O419" s="26">
        <f>IF($P419="","",IF(INDEX(EntryTxnID,$P419)=0,"",INDEX(EntryTxnID,$P419)))</f>
        <v/>
      </c>
      <c r="P419" s="26">
        <f>IFERROR(MATCH($C$5&amp;"|"&amp;RIGHT("000000"&amp;403,6),CalcRankKey,0),"")</f>
        <v/>
      </c>
    </row>
    <row r="420">
      <c r="A420" s="28">
        <f>IF($B420="","",404)</f>
        <v/>
      </c>
      <c r="B420" s="28">
        <f>IF($P420="","",IF(INDEX(CalcNormDate,$P420)=0,"",INDEX(CalcNormDate,$P420)))</f>
        <v/>
      </c>
      <c r="C420" s="28">
        <f>IF($P420="","",IF(INDEX(CalcTime,$P420)=0,"",INDEX(CalcTime,$P420)))</f>
        <v/>
      </c>
      <c r="D420" s="28">
        <f>IF($P420="","",IF(INDEX(EntryParty,$P420)=0,"",INDEX(EntryParty,$P420)))</f>
        <v/>
      </c>
      <c r="E420" s="28">
        <f>IF($P420="","",IF(INDEX(EntryPartyName,$P420)=0,"",INDEX(EntryPartyName,$P420)))</f>
        <v/>
      </c>
      <c r="F420" s="28">
        <f>IF($P420="","",IF(INDEX(EntryPartyType,$P420)=0,"",INDEX(EntryPartyType,$P420)))</f>
        <v/>
      </c>
      <c r="G420" s="28">
        <f>IF($P420="","",IF(INDEX(EntryTxnType,$P420)=0,"",INDEX(EntryTxnType,$P420)))</f>
        <v/>
      </c>
      <c r="H420" s="29">
        <f>IF($P420="","",IF(INDEX(EntryDep,$P420)=0,"",INDEX(EntryDep,$P420)))</f>
        <v/>
      </c>
      <c r="I420" s="29">
        <f>IF($P420="","",IF(INDEX(EntryWit,$P420)=0,"",INDEX(EntryWit,$P420)))</f>
        <v/>
      </c>
      <c r="J420" s="29">
        <f>IF($B420="","",IF($A420=1,$C$7,IF(J419="",0,J419))+IF($H420="",0,$H420)-IF($I420="",0,$I420))</f>
        <v/>
      </c>
      <c r="K420" s="29">
        <f>IF($P420="","",IF(INDEX(EntryMan,$P420)=0,"",INDEX(EntryMan,$P420)))</f>
        <v/>
      </c>
      <c r="L420" s="28">
        <f>IF($B420="","",IF($K420="","—",IF(ROUND($K420-$J420,0)=0,"√","×")))</f>
        <v/>
      </c>
      <c r="M420" s="28">
        <f>IF($B420="","",IF(COUNTIFS(EntryDates,$B420,CalcTime,$C420,CalcBank,$C$5,EntryParty,$D420,EntryDep,$H420,EntryWit,$I420)&gt;1,"تکرار",""))</f>
        <v/>
      </c>
      <c r="N420" s="28">
        <f>IF($P420="","",IF(INDEX(EntryNotes,$P420)=0,"",INDEX(EntryNotes,$P420)))</f>
        <v/>
      </c>
      <c r="O420" s="28">
        <f>IF($P420="","",IF(INDEX(EntryTxnID,$P420)=0,"",INDEX(EntryTxnID,$P420)))</f>
        <v/>
      </c>
      <c r="P420" s="28">
        <f>IFERROR(MATCH($C$5&amp;"|"&amp;RIGHT("000000"&amp;404,6),CalcRankKey,0),"")</f>
        <v/>
      </c>
    </row>
    <row r="421">
      <c r="A421" s="26">
        <f>IF($B421="","",405)</f>
        <v/>
      </c>
      <c r="B421" s="26">
        <f>IF($P421="","",IF(INDEX(CalcNormDate,$P421)=0,"",INDEX(CalcNormDate,$P421)))</f>
        <v/>
      </c>
      <c r="C421" s="26">
        <f>IF($P421="","",IF(INDEX(CalcTime,$P421)=0,"",INDEX(CalcTime,$P421)))</f>
        <v/>
      </c>
      <c r="D421" s="26">
        <f>IF($P421="","",IF(INDEX(EntryParty,$P421)=0,"",INDEX(EntryParty,$P421)))</f>
        <v/>
      </c>
      <c r="E421" s="26">
        <f>IF($P421="","",IF(INDEX(EntryPartyName,$P421)=0,"",INDEX(EntryPartyName,$P421)))</f>
        <v/>
      </c>
      <c r="F421" s="26">
        <f>IF($P421="","",IF(INDEX(EntryPartyType,$P421)=0,"",INDEX(EntryPartyType,$P421)))</f>
        <v/>
      </c>
      <c r="G421" s="26">
        <f>IF($P421="","",IF(INDEX(EntryTxnType,$P421)=0,"",INDEX(EntryTxnType,$P421)))</f>
        <v/>
      </c>
      <c r="H421" s="27">
        <f>IF($P421="","",IF(INDEX(EntryDep,$P421)=0,"",INDEX(EntryDep,$P421)))</f>
        <v/>
      </c>
      <c r="I421" s="27">
        <f>IF($P421="","",IF(INDEX(EntryWit,$P421)=0,"",INDEX(EntryWit,$P421)))</f>
        <v/>
      </c>
      <c r="J421" s="27">
        <f>IF($B421="","",IF($A421=1,$C$7,IF(J420="",0,J420))+IF($H421="",0,$H421)-IF($I421="",0,$I421))</f>
        <v/>
      </c>
      <c r="K421" s="27">
        <f>IF($P421="","",IF(INDEX(EntryMan,$P421)=0,"",INDEX(EntryMan,$P421)))</f>
        <v/>
      </c>
      <c r="L421" s="26">
        <f>IF($B421="","",IF($K421="","—",IF(ROUND($K421-$J421,0)=0,"√","×")))</f>
        <v/>
      </c>
      <c r="M421" s="26">
        <f>IF($B421="","",IF(COUNTIFS(EntryDates,$B421,CalcTime,$C421,CalcBank,$C$5,EntryParty,$D421,EntryDep,$H421,EntryWit,$I421)&gt;1,"تکرار",""))</f>
        <v/>
      </c>
      <c r="N421" s="26">
        <f>IF($P421="","",IF(INDEX(EntryNotes,$P421)=0,"",INDEX(EntryNotes,$P421)))</f>
        <v/>
      </c>
      <c r="O421" s="26">
        <f>IF($P421="","",IF(INDEX(EntryTxnID,$P421)=0,"",INDEX(EntryTxnID,$P421)))</f>
        <v/>
      </c>
      <c r="P421" s="26">
        <f>IFERROR(MATCH($C$5&amp;"|"&amp;RIGHT("000000"&amp;405,6),CalcRankKey,0),"")</f>
        <v/>
      </c>
    </row>
    <row r="422">
      <c r="A422" s="28">
        <f>IF($B422="","",406)</f>
        <v/>
      </c>
      <c r="B422" s="28">
        <f>IF($P422="","",IF(INDEX(CalcNormDate,$P422)=0,"",INDEX(CalcNormDate,$P422)))</f>
        <v/>
      </c>
      <c r="C422" s="28">
        <f>IF($P422="","",IF(INDEX(CalcTime,$P422)=0,"",INDEX(CalcTime,$P422)))</f>
        <v/>
      </c>
      <c r="D422" s="28">
        <f>IF($P422="","",IF(INDEX(EntryParty,$P422)=0,"",INDEX(EntryParty,$P422)))</f>
        <v/>
      </c>
      <c r="E422" s="28">
        <f>IF($P422="","",IF(INDEX(EntryPartyName,$P422)=0,"",INDEX(EntryPartyName,$P422)))</f>
        <v/>
      </c>
      <c r="F422" s="28">
        <f>IF($P422="","",IF(INDEX(EntryPartyType,$P422)=0,"",INDEX(EntryPartyType,$P422)))</f>
        <v/>
      </c>
      <c r="G422" s="28">
        <f>IF($P422="","",IF(INDEX(EntryTxnType,$P422)=0,"",INDEX(EntryTxnType,$P422)))</f>
        <v/>
      </c>
      <c r="H422" s="29">
        <f>IF($P422="","",IF(INDEX(EntryDep,$P422)=0,"",INDEX(EntryDep,$P422)))</f>
        <v/>
      </c>
      <c r="I422" s="29">
        <f>IF($P422="","",IF(INDEX(EntryWit,$P422)=0,"",INDEX(EntryWit,$P422)))</f>
        <v/>
      </c>
      <c r="J422" s="29">
        <f>IF($B422="","",IF($A422=1,$C$7,IF(J421="",0,J421))+IF($H422="",0,$H422)-IF($I422="",0,$I422))</f>
        <v/>
      </c>
      <c r="K422" s="29">
        <f>IF($P422="","",IF(INDEX(EntryMan,$P422)=0,"",INDEX(EntryMan,$P422)))</f>
        <v/>
      </c>
      <c r="L422" s="28">
        <f>IF($B422="","",IF($K422="","—",IF(ROUND($K422-$J422,0)=0,"√","×")))</f>
        <v/>
      </c>
      <c r="M422" s="28">
        <f>IF($B422="","",IF(COUNTIFS(EntryDates,$B422,CalcTime,$C422,CalcBank,$C$5,EntryParty,$D422,EntryDep,$H422,EntryWit,$I422)&gt;1,"تکرار",""))</f>
        <v/>
      </c>
      <c r="N422" s="28">
        <f>IF($P422="","",IF(INDEX(EntryNotes,$P422)=0,"",INDEX(EntryNotes,$P422)))</f>
        <v/>
      </c>
      <c r="O422" s="28">
        <f>IF($P422="","",IF(INDEX(EntryTxnID,$P422)=0,"",INDEX(EntryTxnID,$P422)))</f>
        <v/>
      </c>
      <c r="P422" s="28">
        <f>IFERROR(MATCH($C$5&amp;"|"&amp;RIGHT("000000"&amp;406,6),CalcRankKey,0),"")</f>
        <v/>
      </c>
    </row>
    <row r="423">
      <c r="A423" s="26">
        <f>IF($B423="","",407)</f>
        <v/>
      </c>
      <c r="B423" s="26">
        <f>IF($P423="","",IF(INDEX(CalcNormDate,$P423)=0,"",INDEX(CalcNormDate,$P423)))</f>
        <v/>
      </c>
      <c r="C423" s="26">
        <f>IF($P423="","",IF(INDEX(CalcTime,$P423)=0,"",INDEX(CalcTime,$P423)))</f>
        <v/>
      </c>
      <c r="D423" s="26">
        <f>IF($P423="","",IF(INDEX(EntryParty,$P423)=0,"",INDEX(EntryParty,$P423)))</f>
        <v/>
      </c>
      <c r="E423" s="26">
        <f>IF($P423="","",IF(INDEX(EntryPartyName,$P423)=0,"",INDEX(EntryPartyName,$P423)))</f>
        <v/>
      </c>
      <c r="F423" s="26">
        <f>IF($P423="","",IF(INDEX(EntryPartyType,$P423)=0,"",INDEX(EntryPartyType,$P423)))</f>
        <v/>
      </c>
      <c r="G423" s="26">
        <f>IF($P423="","",IF(INDEX(EntryTxnType,$P423)=0,"",INDEX(EntryTxnType,$P423)))</f>
        <v/>
      </c>
      <c r="H423" s="27">
        <f>IF($P423="","",IF(INDEX(EntryDep,$P423)=0,"",INDEX(EntryDep,$P423)))</f>
        <v/>
      </c>
      <c r="I423" s="27">
        <f>IF($P423="","",IF(INDEX(EntryWit,$P423)=0,"",INDEX(EntryWit,$P423)))</f>
        <v/>
      </c>
      <c r="J423" s="27">
        <f>IF($B423="","",IF($A423=1,$C$7,IF(J422="",0,J422))+IF($H423="",0,$H423)-IF($I423="",0,$I423))</f>
        <v/>
      </c>
      <c r="K423" s="27">
        <f>IF($P423="","",IF(INDEX(EntryMan,$P423)=0,"",INDEX(EntryMan,$P423)))</f>
        <v/>
      </c>
      <c r="L423" s="26">
        <f>IF($B423="","",IF($K423="","—",IF(ROUND($K423-$J423,0)=0,"√","×")))</f>
        <v/>
      </c>
      <c r="M423" s="26">
        <f>IF($B423="","",IF(COUNTIFS(EntryDates,$B423,CalcTime,$C423,CalcBank,$C$5,EntryParty,$D423,EntryDep,$H423,EntryWit,$I423)&gt;1,"تکرار",""))</f>
        <v/>
      </c>
      <c r="N423" s="26">
        <f>IF($P423="","",IF(INDEX(EntryNotes,$P423)=0,"",INDEX(EntryNotes,$P423)))</f>
        <v/>
      </c>
      <c r="O423" s="26">
        <f>IF($P423="","",IF(INDEX(EntryTxnID,$P423)=0,"",INDEX(EntryTxnID,$P423)))</f>
        <v/>
      </c>
      <c r="P423" s="26">
        <f>IFERROR(MATCH($C$5&amp;"|"&amp;RIGHT("000000"&amp;407,6),CalcRankKey,0),"")</f>
        <v/>
      </c>
    </row>
    <row r="424">
      <c r="A424" s="28">
        <f>IF($B424="","",408)</f>
        <v/>
      </c>
      <c r="B424" s="28">
        <f>IF($P424="","",IF(INDEX(CalcNormDate,$P424)=0,"",INDEX(CalcNormDate,$P424)))</f>
        <v/>
      </c>
      <c r="C424" s="28">
        <f>IF($P424="","",IF(INDEX(CalcTime,$P424)=0,"",INDEX(CalcTime,$P424)))</f>
        <v/>
      </c>
      <c r="D424" s="28">
        <f>IF($P424="","",IF(INDEX(EntryParty,$P424)=0,"",INDEX(EntryParty,$P424)))</f>
        <v/>
      </c>
      <c r="E424" s="28">
        <f>IF($P424="","",IF(INDEX(EntryPartyName,$P424)=0,"",INDEX(EntryPartyName,$P424)))</f>
        <v/>
      </c>
      <c r="F424" s="28">
        <f>IF($P424="","",IF(INDEX(EntryPartyType,$P424)=0,"",INDEX(EntryPartyType,$P424)))</f>
        <v/>
      </c>
      <c r="G424" s="28">
        <f>IF($P424="","",IF(INDEX(EntryTxnType,$P424)=0,"",INDEX(EntryTxnType,$P424)))</f>
        <v/>
      </c>
      <c r="H424" s="29">
        <f>IF($P424="","",IF(INDEX(EntryDep,$P424)=0,"",INDEX(EntryDep,$P424)))</f>
        <v/>
      </c>
      <c r="I424" s="29">
        <f>IF($P424="","",IF(INDEX(EntryWit,$P424)=0,"",INDEX(EntryWit,$P424)))</f>
        <v/>
      </c>
      <c r="J424" s="29">
        <f>IF($B424="","",IF($A424=1,$C$7,IF(J423="",0,J423))+IF($H424="",0,$H424)-IF($I424="",0,$I424))</f>
        <v/>
      </c>
      <c r="K424" s="29">
        <f>IF($P424="","",IF(INDEX(EntryMan,$P424)=0,"",INDEX(EntryMan,$P424)))</f>
        <v/>
      </c>
      <c r="L424" s="28">
        <f>IF($B424="","",IF($K424="","—",IF(ROUND($K424-$J424,0)=0,"√","×")))</f>
        <v/>
      </c>
      <c r="M424" s="28">
        <f>IF($B424="","",IF(COUNTIFS(EntryDates,$B424,CalcTime,$C424,CalcBank,$C$5,EntryParty,$D424,EntryDep,$H424,EntryWit,$I424)&gt;1,"تکرار",""))</f>
        <v/>
      </c>
      <c r="N424" s="28">
        <f>IF($P424="","",IF(INDEX(EntryNotes,$P424)=0,"",INDEX(EntryNotes,$P424)))</f>
        <v/>
      </c>
      <c r="O424" s="28">
        <f>IF($P424="","",IF(INDEX(EntryTxnID,$P424)=0,"",INDEX(EntryTxnID,$P424)))</f>
        <v/>
      </c>
      <c r="P424" s="28">
        <f>IFERROR(MATCH($C$5&amp;"|"&amp;RIGHT("000000"&amp;408,6),CalcRankKey,0),"")</f>
        <v/>
      </c>
    </row>
    <row r="425">
      <c r="A425" s="26">
        <f>IF($B425="","",409)</f>
        <v/>
      </c>
      <c r="B425" s="26">
        <f>IF($P425="","",IF(INDEX(CalcNormDate,$P425)=0,"",INDEX(CalcNormDate,$P425)))</f>
        <v/>
      </c>
      <c r="C425" s="26">
        <f>IF($P425="","",IF(INDEX(CalcTime,$P425)=0,"",INDEX(CalcTime,$P425)))</f>
        <v/>
      </c>
      <c r="D425" s="26">
        <f>IF($P425="","",IF(INDEX(EntryParty,$P425)=0,"",INDEX(EntryParty,$P425)))</f>
        <v/>
      </c>
      <c r="E425" s="26">
        <f>IF($P425="","",IF(INDEX(EntryPartyName,$P425)=0,"",INDEX(EntryPartyName,$P425)))</f>
        <v/>
      </c>
      <c r="F425" s="26">
        <f>IF($P425="","",IF(INDEX(EntryPartyType,$P425)=0,"",INDEX(EntryPartyType,$P425)))</f>
        <v/>
      </c>
      <c r="G425" s="26">
        <f>IF($P425="","",IF(INDEX(EntryTxnType,$P425)=0,"",INDEX(EntryTxnType,$P425)))</f>
        <v/>
      </c>
      <c r="H425" s="27">
        <f>IF($P425="","",IF(INDEX(EntryDep,$P425)=0,"",INDEX(EntryDep,$P425)))</f>
        <v/>
      </c>
      <c r="I425" s="27">
        <f>IF($P425="","",IF(INDEX(EntryWit,$P425)=0,"",INDEX(EntryWit,$P425)))</f>
        <v/>
      </c>
      <c r="J425" s="27">
        <f>IF($B425="","",IF($A425=1,$C$7,IF(J424="",0,J424))+IF($H425="",0,$H425)-IF($I425="",0,$I425))</f>
        <v/>
      </c>
      <c r="K425" s="27">
        <f>IF($P425="","",IF(INDEX(EntryMan,$P425)=0,"",INDEX(EntryMan,$P425)))</f>
        <v/>
      </c>
      <c r="L425" s="26">
        <f>IF($B425="","",IF($K425="","—",IF(ROUND($K425-$J425,0)=0,"√","×")))</f>
        <v/>
      </c>
      <c r="M425" s="26">
        <f>IF($B425="","",IF(COUNTIFS(EntryDates,$B425,CalcTime,$C425,CalcBank,$C$5,EntryParty,$D425,EntryDep,$H425,EntryWit,$I425)&gt;1,"تکرار",""))</f>
        <v/>
      </c>
      <c r="N425" s="26">
        <f>IF($P425="","",IF(INDEX(EntryNotes,$P425)=0,"",INDEX(EntryNotes,$P425)))</f>
        <v/>
      </c>
      <c r="O425" s="26">
        <f>IF($P425="","",IF(INDEX(EntryTxnID,$P425)=0,"",INDEX(EntryTxnID,$P425)))</f>
        <v/>
      </c>
      <c r="P425" s="26">
        <f>IFERROR(MATCH($C$5&amp;"|"&amp;RIGHT("000000"&amp;409,6),CalcRankKey,0),"")</f>
        <v/>
      </c>
    </row>
    <row r="426">
      <c r="A426" s="28">
        <f>IF($B426="","",410)</f>
        <v/>
      </c>
      <c r="B426" s="28">
        <f>IF($P426="","",IF(INDEX(CalcNormDate,$P426)=0,"",INDEX(CalcNormDate,$P426)))</f>
        <v/>
      </c>
      <c r="C426" s="28">
        <f>IF($P426="","",IF(INDEX(CalcTime,$P426)=0,"",INDEX(CalcTime,$P426)))</f>
        <v/>
      </c>
      <c r="D426" s="28">
        <f>IF($P426="","",IF(INDEX(EntryParty,$P426)=0,"",INDEX(EntryParty,$P426)))</f>
        <v/>
      </c>
      <c r="E426" s="28">
        <f>IF($P426="","",IF(INDEX(EntryPartyName,$P426)=0,"",INDEX(EntryPartyName,$P426)))</f>
        <v/>
      </c>
      <c r="F426" s="28">
        <f>IF($P426="","",IF(INDEX(EntryPartyType,$P426)=0,"",INDEX(EntryPartyType,$P426)))</f>
        <v/>
      </c>
      <c r="G426" s="28">
        <f>IF($P426="","",IF(INDEX(EntryTxnType,$P426)=0,"",INDEX(EntryTxnType,$P426)))</f>
        <v/>
      </c>
      <c r="H426" s="29">
        <f>IF($P426="","",IF(INDEX(EntryDep,$P426)=0,"",INDEX(EntryDep,$P426)))</f>
        <v/>
      </c>
      <c r="I426" s="29">
        <f>IF($P426="","",IF(INDEX(EntryWit,$P426)=0,"",INDEX(EntryWit,$P426)))</f>
        <v/>
      </c>
      <c r="J426" s="29">
        <f>IF($B426="","",IF($A426=1,$C$7,IF(J425="",0,J425))+IF($H426="",0,$H426)-IF($I426="",0,$I426))</f>
        <v/>
      </c>
      <c r="K426" s="29">
        <f>IF($P426="","",IF(INDEX(EntryMan,$P426)=0,"",INDEX(EntryMan,$P426)))</f>
        <v/>
      </c>
      <c r="L426" s="28">
        <f>IF($B426="","",IF($K426="","—",IF(ROUND($K426-$J426,0)=0,"√","×")))</f>
        <v/>
      </c>
      <c r="M426" s="28">
        <f>IF($B426="","",IF(COUNTIFS(EntryDates,$B426,CalcTime,$C426,CalcBank,$C$5,EntryParty,$D426,EntryDep,$H426,EntryWit,$I426)&gt;1,"تکرار",""))</f>
        <v/>
      </c>
      <c r="N426" s="28">
        <f>IF($P426="","",IF(INDEX(EntryNotes,$P426)=0,"",INDEX(EntryNotes,$P426)))</f>
        <v/>
      </c>
      <c r="O426" s="28">
        <f>IF($P426="","",IF(INDEX(EntryTxnID,$P426)=0,"",INDEX(EntryTxnID,$P426)))</f>
        <v/>
      </c>
      <c r="P426" s="28">
        <f>IFERROR(MATCH($C$5&amp;"|"&amp;RIGHT("000000"&amp;410,6),CalcRankKey,0),"")</f>
        <v/>
      </c>
    </row>
    <row r="427">
      <c r="A427" s="26">
        <f>IF($B427="","",411)</f>
        <v/>
      </c>
      <c r="B427" s="26">
        <f>IF($P427="","",IF(INDEX(CalcNormDate,$P427)=0,"",INDEX(CalcNormDate,$P427)))</f>
        <v/>
      </c>
      <c r="C427" s="26">
        <f>IF($P427="","",IF(INDEX(CalcTime,$P427)=0,"",INDEX(CalcTime,$P427)))</f>
        <v/>
      </c>
      <c r="D427" s="26">
        <f>IF($P427="","",IF(INDEX(EntryParty,$P427)=0,"",INDEX(EntryParty,$P427)))</f>
        <v/>
      </c>
      <c r="E427" s="26">
        <f>IF($P427="","",IF(INDEX(EntryPartyName,$P427)=0,"",INDEX(EntryPartyName,$P427)))</f>
        <v/>
      </c>
      <c r="F427" s="26">
        <f>IF($P427="","",IF(INDEX(EntryPartyType,$P427)=0,"",INDEX(EntryPartyType,$P427)))</f>
        <v/>
      </c>
      <c r="G427" s="26">
        <f>IF($P427="","",IF(INDEX(EntryTxnType,$P427)=0,"",INDEX(EntryTxnType,$P427)))</f>
        <v/>
      </c>
      <c r="H427" s="27">
        <f>IF($P427="","",IF(INDEX(EntryDep,$P427)=0,"",INDEX(EntryDep,$P427)))</f>
        <v/>
      </c>
      <c r="I427" s="27">
        <f>IF($P427="","",IF(INDEX(EntryWit,$P427)=0,"",INDEX(EntryWit,$P427)))</f>
        <v/>
      </c>
      <c r="J427" s="27">
        <f>IF($B427="","",IF($A427=1,$C$7,IF(J426="",0,J426))+IF($H427="",0,$H427)-IF($I427="",0,$I427))</f>
        <v/>
      </c>
      <c r="K427" s="27">
        <f>IF($P427="","",IF(INDEX(EntryMan,$P427)=0,"",INDEX(EntryMan,$P427)))</f>
        <v/>
      </c>
      <c r="L427" s="26">
        <f>IF($B427="","",IF($K427="","—",IF(ROUND($K427-$J427,0)=0,"√","×")))</f>
        <v/>
      </c>
      <c r="M427" s="26">
        <f>IF($B427="","",IF(COUNTIFS(EntryDates,$B427,CalcTime,$C427,CalcBank,$C$5,EntryParty,$D427,EntryDep,$H427,EntryWit,$I427)&gt;1,"تکرار",""))</f>
        <v/>
      </c>
      <c r="N427" s="26">
        <f>IF($P427="","",IF(INDEX(EntryNotes,$P427)=0,"",INDEX(EntryNotes,$P427)))</f>
        <v/>
      </c>
      <c r="O427" s="26">
        <f>IF($P427="","",IF(INDEX(EntryTxnID,$P427)=0,"",INDEX(EntryTxnID,$P427)))</f>
        <v/>
      </c>
      <c r="P427" s="26">
        <f>IFERROR(MATCH($C$5&amp;"|"&amp;RIGHT("000000"&amp;411,6),CalcRankKey,0),"")</f>
        <v/>
      </c>
    </row>
    <row r="428">
      <c r="A428" s="28">
        <f>IF($B428="","",412)</f>
        <v/>
      </c>
      <c r="B428" s="28">
        <f>IF($P428="","",IF(INDEX(CalcNormDate,$P428)=0,"",INDEX(CalcNormDate,$P428)))</f>
        <v/>
      </c>
      <c r="C428" s="28">
        <f>IF($P428="","",IF(INDEX(CalcTime,$P428)=0,"",INDEX(CalcTime,$P428)))</f>
        <v/>
      </c>
      <c r="D428" s="28">
        <f>IF($P428="","",IF(INDEX(EntryParty,$P428)=0,"",INDEX(EntryParty,$P428)))</f>
        <v/>
      </c>
      <c r="E428" s="28">
        <f>IF($P428="","",IF(INDEX(EntryPartyName,$P428)=0,"",INDEX(EntryPartyName,$P428)))</f>
        <v/>
      </c>
      <c r="F428" s="28">
        <f>IF($P428="","",IF(INDEX(EntryPartyType,$P428)=0,"",INDEX(EntryPartyType,$P428)))</f>
        <v/>
      </c>
      <c r="G428" s="28">
        <f>IF($P428="","",IF(INDEX(EntryTxnType,$P428)=0,"",INDEX(EntryTxnType,$P428)))</f>
        <v/>
      </c>
      <c r="H428" s="29">
        <f>IF($P428="","",IF(INDEX(EntryDep,$P428)=0,"",INDEX(EntryDep,$P428)))</f>
        <v/>
      </c>
      <c r="I428" s="29">
        <f>IF($P428="","",IF(INDEX(EntryWit,$P428)=0,"",INDEX(EntryWit,$P428)))</f>
        <v/>
      </c>
      <c r="J428" s="29">
        <f>IF($B428="","",IF($A428=1,$C$7,IF(J427="",0,J427))+IF($H428="",0,$H428)-IF($I428="",0,$I428))</f>
        <v/>
      </c>
      <c r="K428" s="29">
        <f>IF($P428="","",IF(INDEX(EntryMan,$P428)=0,"",INDEX(EntryMan,$P428)))</f>
        <v/>
      </c>
      <c r="L428" s="28">
        <f>IF($B428="","",IF($K428="","—",IF(ROUND($K428-$J428,0)=0,"√","×")))</f>
        <v/>
      </c>
      <c r="M428" s="28">
        <f>IF($B428="","",IF(COUNTIFS(EntryDates,$B428,CalcTime,$C428,CalcBank,$C$5,EntryParty,$D428,EntryDep,$H428,EntryWit,$I428)&gt;1,"تکرار",""))</f>
        <v/>
      </c>
      <c r="N428" s="28">
        <f>IF($P428="","",IF(INDEX(EntryNotes,$P428)=0,"",INDEX(EntryNotes,$P428)))</f>
        <v/>
      </c>
      <c r="O428" s="28">
        <f>IF($P428="","",IF(INDEX(EntryTxnID,$P428)=0,"",INDEX(EntryTxnID,$P428)))</f>
        <v/>
      </c>
      <c r="P428" s="28">
        <f>IFERROR(MATCH($C$5&amp;"|"&amp;RIGHT("000000"&amp;412,6),CalcRankKey,0),"")</f>
        <v/>
      </c>
    </row>
    <row r="429">
      <c r="A429" s="26">
        <f>IF($B429="","",413)</f>
        <v/>
      </c>
      <c r="B429" s="26">
        <f>IF($P429="","",IF(INDEX(CalcNormDate,$P429)=0,"",INDEX(CalcNormDate,$P429)))</f>
        <v/>
      </c>
      <c r="C429" s="26">
        <f>IF($P429="","",IF(INDEX(CalcTime,$P429)=0,"",INDEX(CalcTime,$P429)))</f>
        <v/>
      </c>
      <c r="D429" s="26">
        <f>IF($P429="","",IF(INDEX(EntryParty,$P429)=0,"",INDEX(EntryParty,$P429)))</f>
        <v/>
      </c>
      <c r="E429" s="26">
        <f>IF($P429="","",IF(INDEX(EntryPartyName,$P429)=0,"",INDEX(EntryPartyName,$P429)))</f>
        <v/>
      </c>
      <c r="F429" s="26">
        <f>IF($P429="","",IF(INDEX(EntryPartyType,$P429)=0,"",INDEX(EntryPartyType,$P429)))</f>
        <v/>
      </c>
      <c r="G429" s="26">
        <f>IF($P429="","",IF(INDEX(EntryTxnType,$P429)=0,"",INDEX(EntryTxnType,$P429)))</f>
        <v/>
      </c>
      <c r="H429" s="27">
        <f>IF($P429="","",IF(INDEX(EntryDep,$P429)=0,"",INDEX(EntryDep,$P429)))</f>
        <v/>
      </c>
      <c r="I429" s="27">
        <f>IF($P429="","",IF(INDEX(EntryWit,$P429)=0,"",INDEX(EntryWit,$P429)))</f>
        <v/>
      </c>
      <c r="J429" s="27">
        <f>IF($B429="","",IF($A429=1,$C$7,IF(J428="",0,J428))+IF($H429="",0,$H429)-IF($I429="",0,$I429))</f>
        <v/>
      </c>
      <c r="K429" s="27">
        <f>IF($P429="","",IF(INDEX(EntryMan,$P429)=0,"",INDEX(EntryMan,$P429)))</f>
        <v/>
      </c>
      <c r="L429" s="26">
        <f>IF($B429="","",IF($K429="","—",IF(ROUND($K429-$J429,0)=0,"√","×")))</f>
        <v/>
      </c>
      <c r="M429" s="26">
        <f>IF($B429="","",IF(COUNTIFS(EntryDates,$B429,CalcTime,$C429,CalcBank,$C$5,EntryParty,$D429,EntryDep,$H429,EntryWit,$I429)&gt;1,"تکرار",""))</f>
        <v/>
      </c>
      <c r="N429" s="26">
        <f>IF($P429="","",IF(INDEX(EntryNotes,$P429)=0,"",INDEX(EntryNotes,$P429)))</f>
        <v/>
      </c>
      <c r="O429" s="26">
        <f>IF($P429="","",IF(INDEX(EntryTxnID,$P429)=0,"",INDEX(EntryTxnID,$P429)))</f>
        <v/>
      </c>
      <c r="P429" s="26">
        <f>IFERROR(MATCH($C$5&amp;"|"&amp;RIGHT("000000"&amp;413,6),CalcRankKey,0),"")</f>
        <v/>
      </c>
    </row>
    <row r="430">
      <c r="A430" s="28">
        <f>IF($B430="","",414)</f>
        <v/>
      </c>
      <c r="B430" s="28">
        <f>IF($P430="","",IF(INDEX(CalcNormDate,$P430)=0,"",INDEX(CalcNormDate,$P430)))</f>
        <v/>
      </c>
      <c r="C430" s="28">
        <f>IF($P430="","",IF(INDEX(CalcTime,$P430)=0,"",INDEX(CalcTime,$P430)))</f>
        <v/>
      </c>
      <c r="D430" s="28">
        <f>IF($P430="","",IF(INDEX(EntryParty,$P430)=0,"",INDEX(EntryParty,$P430)))</f>
        <v/>
      </c>
      <c r="E430" s="28">
        <f>IF($P430="","",IF(INDEX(EntryPartyName,$P430)=0,"",INDEX(EntryPartyName,$P430)))</f>
        <v/>
      </c>
      <c r="F430" s="28">
        <f>IF($P430="","",IF(INDEX(EntryPartyType,$P430)=0,"",INDEX(EntryPartyType,$P430)))</f>
        <v/>
      </c>
      <c r="G430" s="28">
        <f>IF($P430="","",IF(INDEX(EntryTxnType,$P430)=0,"",INDEX(EntryTxnType,$P430)))</f>
        <v/>
      </c>
      <c r="H430" s="29">
        <f>IF($P430="","",IF(INDEX(EntryDep,$P430)=0,"",INDEX(EntryDep,$P430)))</f>
        <v/>
      </c>
      <c r="I430" s="29">
        <f>IF($P430="","",IF(INDEX(EntryWit,$P430)=0,"",INDEX(EntryWit,$P430)))</f>
        <v/>
      </c>
      <c r="J430" s="29">
        <f>IF($B430="","",IF($A430=1,$C$7,IF(J429="",0,J429))+IF($H430="",0,$H430)-IF($I430="",0,$I430))</f>
        <v/>
      </c>
      <c r="K430" s="29">
        <f>IF($P430="","",IF(INDEX(EntryMan,$P430)=0,"",INDEX(EntryMan,$P430)))</f>
        <v/>
      </c>
      <c r="L430" s="28">
        <f>IF($B430="","",IF($K430="","—",IF(ROUND($K430-$J430,0)=0,"√","×")))</f>
        <v/>
      </c>
      <c r="M430" s="28">
        <f>IF($B430="","",IF(COUNTIFS(EntryDates,$B430,CalcTime,$C430,CalcBank,$C$5,EntryParty,$D430,EntryDep,$H430,EntryWit,$I430)&gt;1,"تکرار",""))</f>
        <v/>
      </c>
      <c r="N430" s="28">
        <f>IF($P430="","",IF(INDEX(EntryNotes,$P430)=0,"",INDEX(EntryNotes,$P430)))</f>
        <v/>
      </c>
      <c r="O430" s="28">
        <f>IF($P430="","",IF(INDEX(EntryTxnID,$P430)=0,"",INDEX(EntryTxnID,$P430)))</f>
        <v/>
      </c>
      <c r="P430" s="28">
        <f>IFERROR(MATCH($C$5&amp;"|"&amp;RIGHT("000000"&amp;414,6),CalcRankKey,0),"")</f>
        <v/>
      </c>
    </row>
    <row r="431">
      <c r="A431" s="26">
        <f>IF($B431="","",415)</f>
        <v/>
      </c>
      <c r="B431" s="26">
        <f>IF($P431="","",IF(INDEX(CalcNormDate,$P431)=0,"",INDEX(CalcNormDate,$P431)))</f>
        <v/>
      </c>
      <c r="C431" s="26">
        <f>IF($P431="","",IF(INDEX(CalcTime,$P431)=0,"",INDEX(CalcTime,$P431)))</f>
        <v/>
      </c>
      <c r="D431" s="26">
        <f>IF($P431="","",IF(INDEX(EntryParty,$P431)=0,"",INDEX(EntryParty,$P431)))</f>
        <v/>
      </c>
      <c r="E431" s="26">
        <f>IF($P431="","",IF(INDEX(EntryPartyName,$P431)=0,"",INDEX(EntryPartyName,$P431)))</f>
        <v/>
      </c>
      <c r="F431" s="26">
        <f>IF($P431="","",IF(INDEX(EntryPartyType,$P431)=0,"",INDEX(EntryPartyType,$P431)))</f>
        <v/>
      </c>
      <c r="G431" s="26">
        <f>IF($P431="","",IF(INDEX(EntryTxnType,$P431)=0,"",INDEX(EntryTxnType,$P431)))</f>
        <v/>
      </c>
      <c r="H431" s="27">
        <f>IF($P431="","",IF(INDEX(EntryDep,$P431)=0,"",INDEX(EntryDep,$P431)))</f>
        <v/>
      </c>
      <c r="I431" s="27">
        <f>IF($P431="","",IF(INDEX(EntryWit,$P431)=0,"",INDEX(EntryWit,$P431)))</f>
        <v/>
      </c>
      <c r="J431" s="27">
        <f>IF($B431="","",IF($A431=1,$C$7,IF(J430="",0,J430))+IF($H431="",0,$H431)-IF($I431="",0,$I431))</f>
        <v/>
      </c>
      <c r="K431" s="27">
        <f>IF($P431="","",IF(INDEX(EntryMan,$P431)=0,"",INDEX(EntryMan,$P431)))</f>
        <v/>
      </c>
      <c r="L431" s="26">
        <f>IF($B431="","",IF($K431="","—",IF(ROUND($K431-$J431,0)=0,"√","×")))</f>
        <v/>
      </c>
      <c r="M431" s="26">
        <f>IF($B431="","",IF(COUNTIFS(EntryDates,$B431,CalcTime,$C431,CalcBank,$C$5,EntryParty,$D431,EntryDep,$H431,EntryWit,$I431)&gt;1,"تکرار",""))</f>
        <v/>
      </c>
      <c r="N431" s="26">
        <f>IF($P431="","",IF(INDEX(EntryNotes,$P431)=0,"",INDEX(EntryNotes,$P431)))</f>
        <v/>
      </c>
      <c r="O431" s="26">
        <f>IF($P431="","",IF(INDEX(EntryTxnID,$P431)=0,"",INDEX(EntryTxnID,$P431)))</f>
        <v/>
      </c>
      <c r="P431" s="26">
        <f>IFERROR(MATCH($C$5&amp;"|"&amp;RIGHT("000000"&amp;415,6),CalcRankKey,0),"")</f>
        <v/>
      </c>
    </row>
    <row r="432">
      <c r="A432" s="28">
        <f>IF($B432="","",416)</f>
        <v/>
      </c>
      <c r="B432" s="28">
        <f>IF($P432="","",IF(INDEX(CalcNormDate,$P432)=0,"",INDEX(CalcNormDate,$P432)))</f>
        <v/>
      </c>
      <c r="C432" s="28">
        <f>IF($P432="","",IF(INDEX(CalcTime,$P432)=0,"",INDEX(CalcTime,$P432)))</f>
        <v/>
      </c>
      <c r="D432" s="28">
        <f>IF($P432="","",IF(INDEX(EntryParty,$P432)=0,"",INDEX(EntryParty,$P432)))</f>
        <v/>
      </c>
      <c r="E432" s="28">
        <f>IF($P432="","",IF(INDEX(EntryPartyName,$P432)=0,"",INDEX(EntryPartyName,$P432)))</f>
        <v/>
      </c>
      <c r="F432" s="28">
        <f>IF($P432="","",IF(INDEX(EntryPartyType,$P432)=0,"",INDEX(EntryPartyType,$P432)))</f>
        <v/>
      </c>
      <c r="G432" s="28">
        <f>IF($P432="","",IF(INDEX(EntryTxnType,$P432)=0,"",INDEX(EntryTxnType,$P432)))</f>
        <v/>
      </c>
      <c r="H432" s="29">
        <f>IF($P432="","",IF(INDEX(EntryDep,$P432)=0,"",INDEX(EntryDep,$P432)))</f>
        <v/>
      </c>
      <c r="I432" s="29">
        <f>IF($P432="","",IF(INDEX(EntryWit,$P432)=0,"",INDEX(EntryWit,$P432)))</f>
        <v/>
      </c>
      <c r="J432" s="29">
        <f>IF($B432="","",IF($A432=1,$C$7,IF(J431="",0,J431))+IF($H432="",0,$H432)-IF($I432="",0,$I432))</f>
        <v/>
      </c>
      <c r="K432" s="29">
        <f>IF($P432="","",IF(INDEX(EntryMan,$P432)=0,"",INDEX(EntryMan,$P432)))</f>
        <v/>
      </c>
      <c r="L432" s="28">
        <f>IF($B432="","",IF($K432="","—",IF(ROUND($K432-$J432,0)=0,"√","×")))</f>
        <v/>
      </c>
      <c r="M432" s="28">
        <f>IF($B432="","",IF(COUNTIFS(EntryDates,$B432,CalcTime,$C432,CalcBank,$C$5,EntryParty,$D432,EntryDep,$H432,EntryWit,$I432)&gt;1,"تکرار",""))</f>
        <v/>
      </c>
      <c r="N432" s="28">
        <f>IF($P432="","",IF(INDEX(EntryNotes,$P432)=0,"",INDEX(EntryNotes,$P432)))</f>
        <v/>
      </c>
      <c r="O432" s="28">
        <f>IF($P432="","",IF(INDEX(EntryTxnID,$P432)=0,"",INDEX(EntryTxnID,$P432)))</f>
        <v/>
      </c>
      <c r="P432" s="28">
        <f>IFERROR(MATCH($C$5&amp;"|"&amp;RIGHT("000000"&amp;416,6),CalcRankKey,0),"")</f>
        <v/>
      </c>
    </row>
    <row r="433">
      <c r="A433" s="26">
        <f>IF($B433="","",417)</f>
        <v/>
      </c>
      <c r="B433" s="26">
        <f>IF($P433="","",IF(INDEX(CalcNormDate,$P433)=0,"",INDEX(CalcNormDate,$P433)))</f>
        <v/>
      </c>
      <c r="C433" s="26">
        <f>IF($P433="","",IF(INDEX(CalcTime,$P433)=0,"",INDEX(CalcTime,$P433)))</f>
        <v/>
      </c>
      <c r="D433" s="26">
        <f>IF($P433="","",IF(INDEX(EntryParty,$P433)=0,"",INDEX(EntryParty,$P433)))</f>
        <v/>
      </c>
      <c r="E433" s="26">
        <f>IF($P433="","",IF(INDEX(EntryPartyName,$P433)=0,"",INDEX(EntryPartyName,$P433)))</f>
        <v/>
      </c>
      <c r="F433" s="26">
        <f>IF($P433="","",IF(INDEX(EntryPartyType,$P433)=0,"",INDEX(EntryPartyType,$P433)))</f>
        <v/>
      </c>
      <c r="G433" s="26">
        <f>IF($P433="","",IF(INDEX(EntryTxnType,$P433)=0,"",INDEX(EntryTxnType,$P433)))</f>
        <v/>
      </c>
      <c r="H433" s="27">
        <f>IF($P433="","",IF(INDEX(EntryDep,$P433)=0,"",INDEX(EntryDep,$P433)))</f>
        <v/>
      </c>
      <c r="I433" s="27">
        <f>IF($P433="","",IF(INDEX(EntryWit,$P433)=0,"",INDEX(EntryWit,$P433)))</f>
        <v/>
      </c>
      <c r="J433" s="27">
        <f>IF($B433="","",IF($A433=1,$C$7,IF(J432="",0,J432))+IF($H433="",0,$H433)-IF($I433="",0,$I433))</f>
        <v/>
      </c>
      <c r="K433" s="27">
        <f>IF($P433="","",IF(INDEX(EntryMan,$P433)=0,"",INDEX(EntryMan,$P433)))</f>
        <v/>
      </c>
      <c r="L433" s="26">
        <f>IF($B433="","",IF($K433="","—",IF(ROUND($K433-$J433,0)=0,"√","×")))</f>
        <v/>
      </c>
      <c r="M433" s="26">
        <f>IF($B433="","",IF(COUNTIFS(EntryDates,$B433,CalcTime,$C433,CalcBank,$C$5,EntryParty,$D433,EntryDep,$H433,EntryWit,$I433)&gt;1,"تکرار",""))</f>
        <v/>
      </c>
      <c r="N433" s="26">
        <f>IF($P433="","",IF(INDEX(EntryNotes,$P433)=0,"",INDEX(EntryNotes,$P433)))</f>
        <v/>
      </c>
      <c r="O433" s="26">
        <f>IF($P433="","",IF(INDEX(EntryTxnID,$P433)=0,"",INDEX(EntryTxnID,$P433)))</f>
        <v/>
      </c>
      <c r="P433" s="26">
        <f>IFERROR(MATCH($C$5&amp;"|"&amp;RIGHT("000000"&amp;417,6),CalcRankKey,0),"")</f>
        <v/>
      </c>
    </row>
    <row r="434">
      <c r="A434" s="28">
        <f>IF($B434="","",418)</f>
        <v/>
      </c>
      <c r="B434" s="28">
        <f>IF($P434="","",IF(INDEX(CalcNormDate,$P434)=0,"",INDEX(CalcNormDate,$P434)))</f>
        <v/>
      </c>
      <c r="C434" s="28">
        <f>IF($P434="","",IF(INDEX(CalcTime,$P434)=0,"",INDEX(CalcTime,$P434)))</f>
        <v/>
      </c>
      <c r="D434" s="28">
        <f>IF($P434="","",IF(INDEX(EntryParty,$P434)=0,"",INDEX(EntryParty,$P434)))</f>
        <v/>
      </c>
      <c r="E434" s="28">
        <f>IF($P434="","",IF(INDEX(EntryPartyName,$P434)=0,"",INDEX(EntryPartyName,$P434)))</f>
        <v/>
      </c>
      <c r="F434" s="28">
        <f>IF($P434="","",IF(INDEX(EntryPartyType,$P434)=0,"",INDEX(EntryPartyType,$P434)))</f>
        <v/>
      </c>
      <c r="G434" s="28">
        <f>IF($P434="","",IF(INDEX(EntryTxnType,$P434)=0,"",INDEX(EntryTxnType,$P434)))</f>
        <v/>
      </c>
      <c r="H434" s="29">
        <f>IF($P434="","",IF(INDEX(EntryDep,$P434)=0,"",INDEX(EntryDep,$P434)))</f>
        <v/>
      </c>
      <c r="I434" s="29">
        <f>IF($P434="","",IF(INDEX(EntryWit,$P434)=0,"",INDEX(EntryWit,$P434)))</f>
        <v/>
      </c>
      <c r="J434" s="29">
        <f>IF($B434="","",IF($A434=1,$C$7,IF(J433="",0,J433))+IF($H434="",0,$H434)-IF($I434="",0,$I434))</f>
        <v/>
      </c>
      <c r="K434" s="29">
        <f>IF($P434="","",IF(INDEX(EntryMan,$P434)=0,"",INDEX(EntryMan,$P434)))</f>
        <v/>
      </c>
      <c r="L434" s="28">
        <f>IF($B434="","",IF($K434="","—",IF(ROUND($K434-$J434,0)=0,"√","×")))</f>
        <v/>
      </c>
      <c r="M434" s="28">
        <f>IF($B434="","",IF(COUNTIFS(EntryDates,$B434,CalcTime,$C434,CalcBank,$C$5,EntryParty,$D434,EntryDep,$H434,EntryWit,$I434)&gt;1,"تکرار",""))</f>
        <v/>
      </c>
      <c r="N434" s="28">
        <f>IF($P434="","",IF(INDEX(EntryNotes,$P434)=0,"",INDEX(EntryNotes,$P434)))</f>
        <v/>
      </c>
      <c r="O434" s="28">
        <f>IF($P434="","",IF(INDEX(EntryTxnID,$P434)=0,"",INDEX(EntryTxnID,$P434)))</f>
        <v/>
      </c>
      <c r="P434" s="28">
        <f>IFERROR(MATCH($C$5&amp;"|"&amp;RIGHT("000000"&amp;418,6),CalcRankKey,0),"")</f>
        <v/>
      </c>
    </row>
    <row r="435">
      <c r="A435" s="26">
        <f>IF($B435="","",419)</f>
        <v/>
      </c>
      <c r="B435" s="26">
        <f>IF($P435="","",IF(INDEX(CalcNormDate,$P435)=0,"",INDEX(CalcNormDate,$P435)))</f>
        <v/>
      </c>
      <c r="C435" s="26">
        <f>IF($P435="","",IF(INDEX(CalcTime,$P435)=0,"",INDEX(CalcTime,$P435)))</f>
        <v/>
      </c>
      <c r="D435" s="26">
        <f>IF($P435="","",IF(INDEX(EntryParty,$P435)=0,"",INDEX(EntryParty,$P435)))</f>
        <v/>
      </c>
      <c r="E435" s="26">
        <f>IF($P435="","",IF(INDEX(EntryPartyName,$P435)=0,"",INDEX(EntryPartyName,$P435)))</f>
        <v/>
      </c>
      <c r="F435" s="26">
        <f>IF($P435="","",IF(INDEX(EntryPartyType,$P435)=0,"",INDEX(EntryPartyType,$P435)))</f>
        <v/>
      </c>
      <c r="G435" s="26">
        <f>IF($P435="","",IF(INDEX(EntryTxnType,$P435)=0,"",INDEX(EntryTxnType,$P435)))</f>
        <v/>
      </c>
      <c r="H435" s="27">
        <f>IF($P435="","",IF(INDEX(EntryDep,$P435)=0,"",INDEX(EntryDep,$P435)))</f>
        <v/>
      </c>
      <c r="I435" s="27">
        <f>IF($P435="","",IF(INDEX(EntryWit,$P435)=0,"",INDEX(EntryWit,$P435)))</f>
        <v/>
      </c>
      <c r="J435" s="27">
        <f>IF($B435="","",IF($A435=1,$C$7,IF(J434="",0,J434))+IF($H435="",0,$H435)-IF($I435="",0,$I435))</f>
        <v/>
      </c>
      <c r="K435" s="27">
        <f>IF($P435="","",IF(INDEX(EntryMan,$P435)=0,"",INDEX(EntryMan,$P435)))</f>
        <v/>
      </c>
      <c r="L435" s="26">
        <f>IF($B435="","",IF($K435="","—",IF(ROUND($K435-$J435,0)=0,"√","×")))</f>
        <v/>
      </c>
      <c r="M435" s="26">
        <f>IF($B435="","",IF(COUNTIFS(EntryDates,$B435,CalcTime,$C435,CalcBank,$C$5,EntryParty,$D435,EntryDep,$H435,EntryWit,$I435)&gt;1,"تکرار",""))</f>
        <v/>
      </c>
      <c r="N435" s="26">
        <f>IF($P435="","",IF(INDEX(EntryNotes,$P435)=0,"",INDEX(EntryNotes,$P435)))</f>
        <v/>
      </c>
      <c r="O435" s="26">
        <f>IF($P435="","",IF(INDEX(EntryTxnID,$P435)=0,"",INDEX(EntryTxnID,$P435)))</f>
        <v/>
      </c>
      <c r="P435" s="26">
        <f>IFERROR(MATCH($C$5&amp;"|"&amp;RIGHT("000000"&amp;419,6),CalcRankKey,0),"")</f>
        <v/>
      </c>
    </row>
    <row r="436">
      <c r="A436" s="28">
        <f>IF($B436="","",420)</f>
        <v/>
      </c>
      <c r="B436" s="28">
        <f>IF($P436="","",IF(INDEX(CalcNormDate,$P436)=0,"",INDEX(CalcNormDate,$P436)))</f>
        <v/>
      </c>
      <c r="C436" s="28">
        <f>IF($P436="","",IF(INDEX(CalcTime,$P436)=0,"",INDEX(CalcTime,$P436)))</f>
        <v/>
      </c>
      <c r="D436" s="28">
        <f>IF($P436="","",IF(INDEX(EntryParty,$P436)=0,"",INDEX(EntryParty,$P436)))</f>
        <v/>
      </c>
      <c r="E436" s="28">
        <f>IF($P436="","",IF(INDEX(EntryPartyName,$P436)=0,"",INDEX(EntryPartyName,$P436)))</f>
        <v/>
      </c>
      <c r="F436" s="28">
        <f>IF($P436="","",IF(INDEX(EntryPartyType,$P436)=0,"",INDEX(EntryPartyType,$P436)))</f>
        <v/>
      </c>
      <c r="G436" s="28">
        <f>IF($P436="","",IF(INDEX(EntryTxnType,$P436)=0,"",INDEX(EntryTxnType,$P436)))</f>
        <v/>
      </c>
      <c r="H436" s="29">
        <f>IF($P436="","",IF(INDEX(EntryDep,$P436)=0,"",INDEX(EntryDep,$P436)))</f>
        <v/>
      </c>
      <c r="I436" s="29">
        <f>IF($P436="","",IF(INDEX(EntryWit,$P436)=0,"",INDEX(EntryWit,$P436)))</f>
        <v/>
      </c>
      <c r="J436" s="29">
        <f>IF($B436="","",IF($A436=1,$C$7,IF(J435="",0,J435))+IF($H436="",0,$H436)-IF($I436="",0,$I436))</f>
        <v/>
      </c>
      <c r="K436" s="29">
        <f>IF($P436="","",IF(INDEX(EntryMan,$P436)=0,"",INDEX(EntryMan,$P436)))</f>
        <v/>
      </c>
      <c r="L436" s="28">
        <f>IF($B436="","",IF($K436="","—",IF(ROUND($K436-$J436,0)=0,"√","×")))</f>
        <v/>
      </c>
      <c r="M436" s="28">
        <f>IF($B436="","",IF(COUNTIFS(EntryDates,$B436,CalcTime,$C436,CalcBank,$C$5,EntryParty,$D436,EntryDep,$H436,EntryWit,$I436)&gt;1,"تکرار",""))</f>
        <v/>
      </c>
      <c r="N436" s="28">
        <f>IF($P436="","",IF(INDEX(EntryNotes,$P436)=0,"",INDEX(EntryNotes,$P436)))</f>
        <v/>
      </c>
      <c r="O436" s="28">
        <f>IF($P436="","",IF(INDEX(EntryTxnID,$P436)=0,"",INDEX(EntryTxnID,$P436)))</f>
        <v/>
      </c>
      <c r="P436" s="28">
        <f>IFERROR(MATCH($C$5&amp;"|"&amp;RIGHT("000000"&amp;420,6),CalcRankKey,0),"")</f>
        <v/>
      </c>
    </row>
    <row r="437">
      <c r="A437" s="26">
        <f>IF($B437="","",421)</f>
        <v/>
      </c>
      <c r="B437" s="26">
        <f>IF($P437="","",IF(INDEX(CalcNormDate,$P437)=0,"",INDEX(CalcNormDate,$P437)))</f>
        <v/>
      </c>
      <c r="C437" s="26">
        <f>IF($P437="","",IF(INDEX(CalcTime,$P437)=0,"",INDEX(CalcTime,$P437)))</f>
        <v/>
      </c>
      <c r="D437" s="26">
        <f>IF($P437="","",IF(INDEX(EntryParty,$P437)=0,"",INDEX(EntryParty,$P437)))</f>
        <v/>
      </c>
      <c r="E437" s="26">
        <f>IF($P437="","",IF(INDEX(EntryPartyName,$P437)=0,"",INDEX(EntryPartyName,$P437)))</f>
        <v/>
      </c>
      <c r="F437" s="26">
        <f>IF($P437="","",IF(INDEX(EntryPartyType,$P437)=0,"",INDEX(EntryPartyType,$P437)))</f>
        <v/>
      </c>
      <c r="G437" s="26">
        <f>IF($P437="","",IF(INDEX(EntryTxnType,$P437)=0,"",INDEX(EntryTxnType,$P437)))</f>
        <v/>
      </c>
      <c r="H437" s="27">
        <f>IF($P437="","",IF(INDEX(EntryDep,$P437)=0,"",INDEX(EntryDep,$P437)))</f>
        <v/>
      </c>
      <c r="I437" s="27">
        <f>IF($P437="","",IF(INDEX(EntryWit,$P437)=0,"",INDEX(EntryWit,$P437)))</f>
        <v/>
      </c>
      <c r="J437" s="27">
        <f>IF($B437="","",IF($A437=1,$C$7,IF(J436="",0,J436))+IF($H437="",0,$H437)-IF($I437="",0,$I437))</f>
        <v/>
      </c>
      <c r="K437" s="27">
        <f>IF($P437="","",IF(INDEX(EntryMan,$P437)=0,"",INDEX(EntryMan,$P437)))</f>
        <v/>
      </c>
      <c r="L437" s="26">
        <f>IF($B437="","",IF($K437="","—",IF(ROUND($K437-$J437,0)=0,"√","×")))</f>
        <v/>
      </c>
      <c r="M437" s="26">
        <f>IF($B437="","",IF(COUNTIFS(EntryDates,$B437,CalcTime,$C437,CalcBank,$C$5,EntryParty,$D437,EntryDep,$H437,EntryWit,$I437)&gt;1,"تکرار",""))</f>
        <v/>
      </c>
      <c r="N437" s="26">
        <f>IF($P437="","",IF(INDEX(EntryNotes,$P437)=0,"",INDEX(EntryNotes,$P437)))</f>
        <v/>
      </c>
      <c r="O437" s="26">
        <f>IF($P437="","",IF(INDEX(EntryTxnID,$P437)=0,"",INDEX(EntryTxnID,$P437)))</f>
        <v/>
      </c>
      <c r="P437" s="26">
        <f>IFERROR(MATCH($C$5&amp;"|"&amp;RIGHT("000000"&amp;421,6),CalcRankKey,0),"")</f>
        <v/>
      </c>
    </row>
    <row r="438">
      <c r="A438" s="28">
        <f>IF($B438="","",422)</f>
        <v/>
      </c>
      <c r="B438" s="28">
        <f>IF($P438="","",IF(INDEX(CalcNormDate,$P438)=0,"",INDEX(CalcNormDate,$P438)))</f>
        <v/>
      </c>
      <c r="C438" s="28">
        <f>IF($P438="","",IF(INDEX(CalcTime,$P438)=0,"",INDEX(CalcTime,$P438)))</f>
        <v/>
      </c>
      <c r="D438" s="28">
        <f>IF($P438="","",IF(INDEX(EntryParty,$P438)=0,"",INDEX(EntryParty,$P438)))</f>
        <v/>
      </c>
      <c r="E438" s="28">
        <f>IF($P438="","",IF(INDEX(EntryPartyName,$P438)=0,"",INDEX(EntryPartyName,$P438)))</f>
        <v/>
      </c>
      <c r="F438" s="28">
        <f>IF($P438="","",IF(INDEX(EntryPartyType,$P438)=0,"",INDEX(EntryPartyType,$P438)))</f>
        <v/>
      </c>
      <c r="G438" s="28">
        <f>IF($P438="","",IF(INDEX(EntryTxnType,$P438)=0,"",INDEX(EntryTxnType,$P438)))</f>
        <v/>
      </c>
      <c r="H438" s="29">
        <f>IF($P438="","",IF(INDEX(EntryDep,$P438)=0,"",INDEX(EntryDep,$P438)))</f>
        <v/>
      </c>
      <c r="I438" s="29">
        <f>IF($P438="","",IF(INDEX(EntryWit,$P438)=0,"",INDEX(EntryWit,$P438)))</f>
        <v/>
      </c>
      <c r="J438" s="29">
        <f>IF($B438="","",IF($A438=1,$C$7,IF(J437="",0,J437))+IF($H438="",0,$H438)-IF($I438="",0,$I438))</f>
        <v/>
      </c>
      <c r="K438" s="29">
        <f>IF($P438="","",IF(INDEX(EntryMan,$P438)=0,"",INDEX(EntryMan,$P438)))</f>
        <v/>
      </c>
      <c r="L438" s="28">
        <f>IF($B438="","",IF($K438="","—",IF(ROUND($K438-$J438,0)=0,"√","×")))</f>
        <v/>
      </c>
      <c r="M438" s="28">
        <f>IF($B438="","",IF(COUNTIFS(EntryDates,$B438,CalcTime,$C438,CalcBank,$C$5,EntryParty,$D438,EntryDep,$H438,EntryWit,$I438)&gt;1,"تکرار",""))</f>
        <v/>
      </c>
      <c r="N438" s="28">
        <f>IF($P438="","",IF(INDEX(EntryNotes,$P438)=0,"",INDEX(EntryNotes,$P438)))</f>
        <v/>
      </c>
      <c r="O438" s="28">
        <f>IF($P438="","",IF(INDEX(EntryTxnID,$P438)=0,"",INDEX(EntryTxnID,$P438)))</f>
        <v/>
      </c>
      <c r="P438" s="28">
        <f>IFERROR(MATCH($C$5&amp;"|"&amp;RIGHT("000000"&amp;422,6),CalcRankKey,0),"")</f>
        <v/>
      </c>
    </row>
    <row r="439">
      <c r="A439" s="26">
        <f>IF($B439="","",423)</f>
        <v/>
      </c>
      <c r="B439" s="26">
        <f>IF($P439="","",IF(INDEX(CalcNormDate,$P439)=0,"",INDEX(CalcNormDate,$P439)))</f>
        <v/>
      </c>
      <c r="C439" s="26">
        <f>IF($P439="","",IF(INDEX(CalcTime,$P439)=0,"",INDEX(CalcTime,$P439)))</f>
        <v/>
      </c>
      <c r="D439" s="26">
        <f>IF($P439="","",IF(INDEX(EntryParty,$P439)=0,"",INDEX(EntryParty,$P439)))</f>
        <v/>
      </c>
      <c r="E439" s="26">
        <f>IF($P439="","",IF(INDEX(EntryPartyName,$P439)=0,"",INDEX(EntryPartyName,$P439)))</f>
        <v/>
      </c>
      <c r="F439" s="26">
        <f>IF($P439="","",IF(INDEX(EntryPartyType,$P439)=0,"",INDEX(EntryPartyType,$P439)))</f>
        <v/>
      </c>
      <c r="G439" s="26">
        <f>IF($P439="","",IF(INDEX(EntryTxnType,$P439)=0,"",INDEX(EntryTxnType,$P439)))</f>
        <v/>
      </c>
      <c r="H439" s="27">
        <f>IF($P439="","",IF(INDEX(EntryDep,$P439)=0,"",INDEX(EntryDep,$P439)))</f>
        <v/>
      </c>
      <c r="I439" s="27">
        <f>IF($P439="","",IF(INDEX(EntryWit,$P439)=0,"",INDEX(EntryWit,$P439)))</f>
        <v/>
      </c>
      <c r="J439" s="27">
        <f>IF($B439="","",IF($A439=1,$C$7,IF(J438="",0,J438))+IF($H439="",0,$H439)-IF($I439="",0,$I439))</f>
        <v/>
      </c>
      <c r="K439" s="27">
        <f>IF($P439="","",IF(INDEX(EntryMan,$P439)=0,"",INDEX(EntryMan,$P439)))</f>
        <v/>
      </c>
      <c r="L439" s="26">
        <f>IF($B439="","",IF($K439="","—",IF(ROUND($K439-$J439,0)=0,"√","×")))</f>
        <v/>
      </c>
      <c r="M439" s="26">
        <f>IF($B439="","",IF(COUNTIFS(EntryDates,$B439,CalcTime,$C439,CalcBank,$C$5,EntryParty,$D439,EntryDep,$H439,EntryWit,$I439)&gt;1,"تکرار",""))</f>
        <v/>
      </c>
      <c r="N439" s="26">
        <f>IF($P439="","",IF(INDEX(EntryNotes,$P439)=0,"",INDEX(EntryNotes,$P439)))</f>
        <v/>
      </c>
      <c r="O439" s="26">
        <f>IF($P439="","",IF(INDEX(EntryTxnID,$P439)=0,"",INDEX(EntryTxnID,$P439)))</f>
        <v/>
      </c>
      <c r="P439" s="26">
        <f>IFERROR(MATCH($C$5&amp;"|"&amp;RIGHT("000000"&amp;423,6),CalcRankKey,0),"")</f>
        <v/>
      </c>
    </row>
    <row r="440">
      <c r="A440" s="28">
        <f>IF($B440="","",424)</f>
        <v/>
      </c>
      <c r="B440" s="28">
        <f>IF($P440="","",IF(INDEX(CalcNormDate,$P440)=0,"",INDEX(CalcNormDate,$P440)))</f>
        <v/>
      </c>
      <c r="C440" s="28">
        <f>IF($P440="","",IF(INDEX(CalcTime,$P440)=0,"",INDEX(CalcTime,$P440)))</f>
        <v/>
      </c>
      <c r="D440" s="28">
        <f>IF($P440="","",IF(INDEX(EntryParty,$P440)=0,"",INDEX(EntryParty,$P440)))</f>
        <v/>
      </c>
      <c r="E440" s="28">
        <f>IF($P440="","",IF(INDEX(EntryPartyName,$P440)=0,"",INDEX(EntryPartyName,$P440)))</f>
        <v/>
      </c>
      <c r="F440" s="28">
        <f>IF($P440="","",IF(INDEX(EntryPartyType,$P440)=0,"",INDEX(EntryPartyType,$P440)))</f>
        <v/>
      </c>
      <c r="G440" s="28">
        <f>IF($P440="","",IF(INDEX(EntryTxnType,$P440)=0,"",INDEX(EntryTxnType,$P440)))</f>
        <v/>
      </c>
      <c r="H440" s="29">
        <f>IF($P440="","",IF(INDEX(EntryDep,$P440)=0,"",INDEX(EntryDep,$P440)))</f>
        <v/>
      </c>
      <c r="I440" s="29">
        <f>IF($P440="","",IF(INDEX(EntryWit,$P440)=0,"",INDEX(EntryWit,$P440)))</f>
        <v/>
      </c>
      <c r="J440" s="29">
        <f>IF($B440="","",IF($A440=1,$C$7,IF(J439="",0,J439))+IF($H440="",0,$H440)-IF($I440="",0,$I440))</f>
        <v/>
      </c>
      <c r="K440" s="29">
        <f>IF($P440="","",IF(INDEX(EntryMan,$P440)=0,"",INDEX(EntryMan,$P440)))</f>
        <v/>
      </c>
      <c r="L440" s="28">
        <f>IF($B440="","",IF($K440="","—",IF(ROUND($K440-$J440,0)=0,"√","×")))</f>
        <v/>
      </c>
      <c r="M440" s="28">
        <f>IF($B440="","",IF(COUNTIFS(EntryDates,$B440,CalcTime,$C440,CalcBank,$C$5,EntryParty,$D440,EntryDep,$H440,EntryWit,$I440)&gt;1,"تکرار",""))</f>
        <v/>
      </c>
      <c r="N440" s="28">
        <f>IF($P440="","",IF(INDEX(EntryNotes,$P440)=0,"",INDEX(EntryNotes,$P440)))</f>
        <v/>
      </c>
      <c r="O440" s="28">
        <f>IF($P440="","",IF(INDEX(EntryTxnID,$P440)=0,"",INDEX(EntryTxnID,$P440)))</f>
        <v/>
      </c>
      <c r="P440" s="28">
        <f>IFERROR(MATCH($C$5&amp;"|"&amp;RIGHT("000000"&amp;424,6),CalcRankKey,0),"")</f>
        <v/>
      </c>
    </row>
    <row r="441">
      <c r="A441" s="26">
        <f>IF($B441="","",425)</f>
        <v/>
      </c>
      <c r="B441" s="26">
        <f>IF($P441="","",IF(INDEX(CalcNormDate,$P441)=0,"",INDEX(CalcNormDate,$P441)))</f>
        <v/>
      </c>
      <c r="C441" s="26">
        <f>IF($P441="","",IF(INDEX(CalcTime,$P441)=0,"",INDEX(CalcTime,$P441)))</f>
        <v/>
      </c>
      <c r="D441" s="26">
        <f>IF($P441="","",IF(INDEX(EntryParty,$P441)=0,"",INDEX(EntryParty,$P441)))</f>
        <v/>
      </c>
      <c r="E441" s="26">
        <f>IF($P441="","",IF(INDEX(EntryPartyName,$P441)=0,"",INDEX(EntryPartyName,$P441)))</f>
        <v/>
      </c>
      <c r="F441" s="26">
        <f>IF($P441="","",IF(INDEX(EntryPartyType,$P441)=0,"",INDEX(EntryPartyType,$P441)))</f>
        <v/>
      </c>
      <c r="G441" s="26">
        <f>IF($P441="","",IF(INDEX(EntryTxnType,$P441)=0,"",INDEX(EntryTxnType,$P441)))</f>
        <v/>
      </c>
      <c r="H441" s="27">
        <f>IF($P441="","",IF(INDEX(EntryDep,$P441)=0,"",INDEX(EntryDep,$P441)))</f>
        <v/>
      </c>
      <c r="I441" s="27">
        <f>IF($P441="","",IF(INDEX(EntryWit,$P441)=0,"",INDEX(EntryWit,$P441)))</f>
        <v/>
      </c>
      <c r="J441" s="27">
        <f>IF($B441="","",IF($A441=1,$C$7,IF(J440="",0,J440))+IF($H441="",0,$H441)-IF($I441="",0,$I441))</f>
        <v/>
      </c>
      <c r="K441" s="27">
        <f>IF($P441="","",IF(INDEX(EntryMan,$P441)=0,"",INDEX(EntryMan,$P441)))</f>
        <v/>
      </c>
      <c r="L441" s="26">
        <f>IF($B441="","",IF($K441="","—",IF(ROUND($K441-$J441,0)=0,"√","×")))</f>
        <v/>
      </c>
      <c r="M441" s="26">
        <f>IF($B441="","",IF(COUNTIFS(EntryDates,$B441,CalcTime,$C441,CalcBank,$C$5,EntryParty,$D441,EntryDep,$H441,EntryWit,$I441)&gt;1,"تکرار",""))</f>
        <v/>
      </c>
      <c r="N441" s="26">
        <f>IF($P441="","",IF(INDEX(EntryNotes,$P441)=0,"",INDEX(EntryNotes,$P441)))</f>
        <v/>
      </c>
      <c r="O441" s="26">
        <f>IF($P441="","",IF(INDEX(EntryTxnID,$P441)=0,"",INDEX(EntryTxnID,$P441)))</f>
        <v/>
      </c>
      <c r="P441" s="26">
        <f>IFERROR(MATCH($C$5&amp;"|"&amp;RIGHT("000000"&amp;425,6),CalcRankKey,0),"")</f>
        <v/>
      </c>
    </row>
    <row r="442">
      <c r="A442" s="28">
        <f>IF($B442="","",426)</f>
        <v/>
      </c>
      <c r="B442" s="28">
        <f>IF($P442="","",IF(INDEX(CalcNormDate,$P442)=0,"",INDEX(CalcNormDate,$P442)))</f>
        <v/>
      </c>
      <c r="C442" s="28">
        <f>IF($P442="","",IF(INDEX(CalcTime,$P442)=0,"",INDEX(CalcTime,$P442)))</f>
        <v/>
      </c>
      <c r="D442" s="28">
        <f>IF($P442="","",IF(INDEX(EntryParty,$P442)=0,"",INDEX(EntryParty,$P442)))</f>
        <v/>
      </c>
      <c r="E442" s="28">
        <f>IF($P442="","",IF(INDEX(EntryPartyName,$P442)=0,"",INDEX(EntryPartyName,$P442)))</f>
        <v/>
      </c>
      <c r="F442" s="28">
        <f>IF($P442="","",IF(INDEX(EntryPartyType,$P442)=0,"",INDEX(EntryPartyType,$P442)))</f>
        <v/>
      </c>
      <c r="G442" s="28">
        <f>IF($P442="","",IF(INDEX(EntryTxnType,$P442)=0,"",INDEX(EntryTxnType,$P442)))</f>
        <v/>
      </c>
      <c r="H442" s="29">
        <f>IF($P442="","",IF(INDEX(EntryDep,$P442)=0,"",INDEX(EntryDep,$P442)))</f>
        <v/>
      </c>
      <c r="I442" s="29">
        <f>IF($P442="","",IF(INDEX(EntryWit,$P442)=0,"",INDEX(EntryWit,$P442)))</f>
        <v/>
      </c>
      <c r="J442" s="29">
        <f>IF($B442="","",IF($A442=1,$C$7,IF(J441="",0,J441))+IF($H442="",0,$H442)-IF($I442="",0,$I442))</f>
        <v/>
      </c>
      <c r="K442" s="29">
        <f>IF($P442="","",IF(INDEX(EntryMan,$P442)=0,"",INDEX(EntryMan,$P442)))</f>
        <v/>
      </c>
      <c r="L442" s="28">
        <f>IF($B442="","",IF($K442="","—",IF(ROUND($K442-$J442,0)=0,"√","×")))</f>
        <v/>
      </c>
      <c r="M442" s="28">
        <f>IF($B442="","",IF(COUNTIFS(EntryDates,$B442,CalcTime,$C442,CalcBank,$C$5,EntryParty,$D442,EntryDep,$H442,EntryWit,$I442)&gt;1,"تکرار",""))</f>
        <v/>
      </c>
      <c r="N442" s="28">
        <f>IF($P442="","",IF(INDEX(EntryNotes,$P442)=0,"",INDEX(EntryNotes,$P442)))</f>
        <v/>
      </c>
      <c r="O442" s="28">
        <f>IF($P442="","",IF(INDEX(EntryTxnID,$P442)=0,"",INDEX(EntryTxnID,$P442)))</f>
        <v/>
      </c>
      <c r="P442" s="28">
        <f>IFERROR(MATCH($C$5&amp;"|"&amp;RIGHT("000000"&amp;426,6),CalcRankKey,0),"")</f>
        <v/>
      </c>
    </row>
    <row r="443">
      <c r="A443" s="26">
        <f>IF($B443="","",427)</f>
        <v/>
      </c>
      <c r="B443" s="26">
        <f>IF($P443="","",IF(INDEX(CalcNormDate,$P443)=0,"",INDEX(CalcNormDate,$P443)))</f>
        <v/>
      </c>
      <c r="C443" s="26">
        <f>IF($P443="","",IF(INDEX(CalcTime,$P443)=0,"",INDEX(CalcTime,$P443)))</f>
        <v/>
      </c>
      <c r="D443" s="26">
        <f>IF($P443="","",IF(INDEX(EntryParty,$P443)=0,"",INDEX(EntryParty,$P443)))</f>
        <v/>
      </c>
      <c r="E443" s="26">
        <f>IF($P443="","",IF(INDEX(EntryPartyName,$P443)=0,"",INDEX(EntryPartyName,$P443)))</f>
        <v/>
      </c>
      <c r="F443" s="26">
        <f>IF($P443="","",IF(INDEX(EntryPartyType,$P443)=0,"",INDEX(EntryPartyType,$P443)))</f>
        <v/>
      </c>
      <c r="G443" s="26">
        <f>IF($P443="","",IF(INDEX(EntryTxnType,$P443)=0,"",INDEX(EntryTxnType,$P443)))</f>
        <v/>
      </c>
      <c r="H443" s="27">
        <f>IF($P443="","",IF(INDEX(EntryDep,$P443)=0,"",INDEX(EntryDep,$P443)))</f>
        <v/>
      </c>
      <c r="I443" s="27">
        <f>IF($P443="","",IF(INDEX(EntryWit,$P443)=0,"",INDEX(EntryWit,$P443)))</f>
        <v/>
      </c>
      <c r="J443" s="27">
        <f>IF($B443="","",IF($A443=1,$C$7,IF(J442="",0,J442))+IF($H443="",0,$H443)-IF($I443="",0,$I443))</f>
        <v/>
      </c>
      <c r="K443" s="27">
        <f>IF($P443="","",IF(INDEX(EntryMan,$P443)=0,"",INDEX(EntryMan,$P443)))</f>
        <v/>
      </c>
      <c r="L443" s="26">
        <f>IF($B443="","",IF($K443="","—",IF(ROUND($K443-$J443,0)=0,"√","×")))</f>
        <v/>
      </c>
      <c r="M443" s="26">
        <f>IF($B443="","",IF(COUNTIFS(EntryDates,$B443,CalcTime,$C443,CalcBank,$C$5,EntryParty,$D443,EntryDep,$H443,EntryWit,$I443)&gt;1,"تکرار",""))</f>
        <v/>
      </c>
      <c r="N443" s="26">
        <f>IF($P443="","",IF(INDEX(EntryNotes,$P443)=0,"",INDEX(EntryNotes,$P443)))</f>
        <v/>
      </c>
      <c r="O443" s="26">
        <f>IF($P443="","",IF(INDEX(EntryTxnID,$P443)=0,"",INDEX(EntryTxnID,$P443)))</f>
        <v/>
      </c>
      <c r="P443" s="26">
        <f>IFERROR(MATCH($C$5&amp;"|"&amp;RIGHT("000000"&amp;427,6),CalcRankKey,0),"")</f>
        <v/>
      </c>
    </row>
    <row r="444">
      <c r="A444" s="28">
        <f>IF($B444="","",428)</f>
        <v/>
      </c>
      <c r="B444" s="28">
        <f>IF($P444="","",IF(INDEX(CalcNormDate,$P444)=0,"",INDEX(CalcNormDate,$P444)))</f>
        <v/>
      </c>
      <c r="C444" s="28">
        <f>IF($P444="","",IF(INDEX(CalcTime,$P444)=0,"",INDEX(CalcTime,$P444)))</f>
        <v/>
      </c>
      <c r="D444" s="28">
        <f>IF($P444="","",IF(INDEX(EntryParty,$P444)=0,"",INDEX(EntryParty,$P444)))</f>
        <v/>
      </c>
      <c r="E444" s="28">
        <f>IF($P444="","",IF(INDEX(EntryPartyName,$P444)=0,"",INDEX(EntryPartyName,$P444)))</f>
        <v/>
      </c>
      <c r="F444" s="28">
        <f>IF($P444="","",IF(INDEX(EntryPartyType,$P444)=0,"",INDEX(EntryPartyType,$P444)))</f>
        <v/>
      </c>
      <c r="G444" s="28">
        <f>IF($P444="","",IF(INDEX(EntryTxnType,$P444)=0,"",INDEX(EntryTxnType,$P444)))</f>
        <v/>
      </c>
      <c r="H444" s="29">
        <f>IF($P444="","",IF(INDEX(EntryDep,$P444)=0,"",INDEX(EntryDep,$P444)))</f>
        <v/>
      </c>
      <c r="I444" s="29">
        <f>IF($P444="","",IF(INDEX(EntryWit,$P444)=0,"",INDEX(EntryWit,$P444)))</f>
        <v/>
      </c>
      <c r="J444" s="29">
        <f>IF($B444="","",IF($A444=1,$C$7,IF(J443="",0,J443))+IF($H444="",0,$H444)-IF($I444="",0,$I444))</f>
        <v/>
      </c>
      <c r="K444" s="29">
        <f>IF($P444="","",IF(INDEX(EntryMan,$P444)=0,"",INDEX(EntryMan,$P444)))</f>
        <v/>
      </c>
      <c r="L444" s="28">
        <f>IF($B444="","",IF($K444="","—",IF(ROUND($K444-$J444,0)=0,"√","×")))</f>
        <v/>
      </c>
      <c r="M444" s="28">
        <f>IF($B444="","",IF(COUNTIFS(EntryDates,$B444,CalcTime,$C444,CalcBank,$C$5,EntryParty,$D444,EntryDep,$H444,EntryWit,$I444)&gt;1,"تکرار",""))</f>
        <v/>
      </c>
      <c r="N444" s="28">
        <f>IF($P444="","",IF(INDEX(EntryNotes,$P444)=0,"",INDEX(EntryNotes,$P444)))</f>
        <v/>
      </c>
      <c r="O444" s="28">
        <f>IF($P444="","",IF(INDEX(EntryTxnID,$P444)=0,"",INDEX(EntryTxnID,$P444)))</f>
        <v/>
      </c>
      <c r="P444" s="28">
        <f>IFERROR(MATCH($C$5&amp;"|"&amp;RIGHT("000000"&amp;428,6),CalcRankKey,0),"")</f>
        <v/>
      </c>
    </row>
    <row r="445">
      <c r="A445" s="26">
        <f>IF($B445="","",429)</f>
        <v/>
      </c>
      <c r="B445" s="26">
        <f>IF($P445="","",IF(INDEX(CalcNormDate,$P445)=0,"",INDEX(CalcNormDate,$P445)))</f>
        <v/>
      </c>
      <c r="C445" s="26">
        <f>IF($P445="","",IF(INDEX(CalcTime,$P445)=0,"",INDEX(CalcTime,$P445)))</f>
        <v/>
      </c>
      <c r="D445" s="26">
        <f>IF($P445="","",IF(INDEX(EntryParty,$P445)=0,"",INDEX(EntryParty,$P445)))</f>
        <v/>
      </c>
      <c r="E445" s="26">
        <f>IF($P445="","",IF(INDEX(EntryPartyName,$P445)=0,"",INDEX(EntryPartyName,$P445)))</f>
        <v/>
      </c>
      <c r="F445" s="26">
        <f>IF($P445="","",IF(INDEX(EntryPartyType,$P445)=0,"",INDEX(EntryPartyType,$P445)))</f>
        <v/>
      </c>
      <c r="G445" s="26">
        <f>IF($P445="","",IF(INDEX(EntryTxnType,$P445)=0,"",INDEX(EntryTxnType,$P445)))</f>
        <v/>
      </c>
      <c r="H445" s="27">
        <f>IF($P445="","",IF(INDEX(EntryDep,$P445)=0,"",INDEX(EntryDep,$P445)))</f>
        <v/>
      </c>
      <c r="I445" s="27">
        <f>IF($P445="","",IF(INDEX(EntryWit,$P445)=0,"",INDEX(EntryWit,$P445)))</f>
        <v/>
      </c>
      <c r="J445" s="27">
        <f>IF($B445="","",IF($A445=1,$C$7,IF(J444="",0,J444))+IF($H445="",0,$H445)-IF($I445="",0,$I445))</f>
        <v/>
      </c>
      <c r="K445" s="27">
        <f>IF($P445="","",IF(INDEX(EntryMan,$P445)=0,"",INDEX(EntryMan,$P445)))</f>
        <v/>
      </c>
      <c r="L445" s="26">
        <f>IF($B445="","",IF($K445="","—",IF(ROUND($K445-$J445,0)=0,"√","×")))</f>
        <v/>
      </c>
      <c r="M445" s="26">
        <f>IF($B445="","",IF(COUNTIFS(EntryDates,$B445,CalcTime,$C445,CalcBank,$C$5,EntryParty,$D445,EntryDep,$H445,EntryWit,$I445)&gt;1,"تکرار",""))</f>
        <v/>
      </c>
      <c r="N445" s="26">
        <f>IF($P445="","",IF(INDEX(EntryNotes,$P445)=0,"",INDEX(EntryNotes,$P445)))</f>
        <v/>
      </c>
      <c r="O445" s="26">
        <f>IF($P445="","",IF(INDEX(EntryTxnID,$P445)=0,"",INDEX(EntryTxnID,$P445)))</f>
        <v/>
      </c>
      <c r="P445" s="26">
        <f>IFERROR(MATCH($C$5&amp;"|"&amp;RIGHT("000000"&amp;429,6),CalcRankKey,0),"")</f>
        <v/>
      </c>
    </row>
    <row r="446">
      <c r="A446" s="28">
        <f>IF($B446="","",430)</f>
        <v/>
      </c>
      <c r="B446" s="28">
        <f>IF($P446="","",IF(INDEX(CalcNormDate,$P446)=0,"",INDEX(CalcNormDate,$P446)))</f>
        <v/>
      </c>
      <c r="C446" s="28">
        <f>IF($P446="","",IF(INDEX(CalcTime,$P446)=0,"",INDEX(CalcTime,$P446)))</f>
        <v/>
      </c>
      <c r="D446" s="28">
        <f>IF($P446="","",IF(INDEX(EntryParty,$P446)=0,"",INDEX(EntryParty,$P446)))</f>
        <v/>
      </c>
      <c r="E446" s="28">
        <f>IF($P446="","",IF(INDEX(EntryPartyName,$P446)=0,"",INDEX(EntryPartyName,$P446)))</f>
        <v/>
      </c>
      <c r="F446" s="28">
        <f>IF($P446="","",IF(INDEX(EntryPartyType,$P446)=0,"",INDEX(EntryPartyType,$P446)))</f>
        <v/>
      </c>
      <c r="G446" s="28">
        <f>IF($P446="","",IF(INDEX(EntryTxnType,$P446)=0,"",INDEX(EntryTxnType,$P446)))</f>
        <v/>
      </c>
      <c r="H446" s="29">
        <f>IF($P446="","",IF(INDEX(EntryDep,$P446)=0,"",INDEX(EntryDep,$P446)))</f>
        <v/>
      </c>
      <c r="I446" s="29">
        <f>IF($P446="","",IF(INDEX(EntryWit,$P446)=0,"",INDEX(EntryWit,$P446)))</f>
        <v/>
      </c>
      <c r="J446" s="29">
        <f>IF($B446="","",IF($A446=1,$C$7,IF(J445="",0,J445))+IF($H446="",0,$H446)-IF($I446="",0,$I446))</f>
        <v/>
      </c>
      <c r="K446" s="29">
        <f>IF($P446="","",IF(INDEX(EntryMan,$P446)=0,"",INDEX(EntryMan,$P446)))</f>
        <v/>
      </c>
      <c r="L446" s="28">
        <f>IF($B446="","",IF($K446="","—",IF(ROUND($K446-$J446,0)=0,"√","×")))</f>
        <v/>
      </c>
      <c r="M446" s="28">
        <f>IF($B446="","",IF(COUNTIFS(EntryDates,$B446,CalcTime,$C446,CalcBank,$C$5,EntryParty,$D446,EntryDep,$H446,EntryWit,$I446)&gt;1,"تکرار",""))</f>
        <v/>
      </c>
      <c r="N446" s="28">
        <f>IF($P446="","",IF(INDEX(EntryNotes,$P446)=0,"",INDEX(EntryNotes,$P446)))</f>
        <v/>
      </c>
      <c r="O446" s="28">
        <f>IF($P446="","",IF(INDEX(EntryTxnID,$P446)=0,"",INDEX(EntryTxnID,$P446)))</f>
        <v/>
      </c>
      <c r="P446" s="28">
        <f>IFERROR(MATCH($C$5&amp;"|"&amp;RIGHT("000000"&amp;430,6),CalcRankKey,0),"")</f>
        <v/>
      </c>
    </row>
    <row r="447">
      <c r="A447" s="26">
        <f>IF($B447="","",431)</f>
        <v/>
      </c>
      <c r="B447" s="26">
        <f>IF($P447="","",IF(INDEX(CalcNormDate,$P447)=0,"",INDEX(CalcNormDate,$P447)))</f>
        <v/>
      </c>
      <c r="C447" s="26">
        <f>IF($P447="","",IF(INDEX(CalcTime,$P447)=0,"",INDEX(CalcTime,$P447)))</f>
        <v/>
      </c>
      <c r="D447" s="26">
        <f>IF($P447="","",IF(INDEX(EntryParty,$P447)=0,"",INDEX(EntryParty,$P447)))</f>
        <v/>
      </c>
      <c r="E447" s="26">
        <f>IF($P447="","",IF(INDEX(EntryPartyName,$P447)=0,"",INDEX(EntryPartyName,$P447)))</f>
        <v/>
      </c>
      <c r="F447" s="26">
        <f>IF($P447="","",IF(INDEX(EntryPartyType,$P447)=0,"",INDEX(EntryPartyType,$P447)))</f>
        <v/>
      </c>
      <c r="G447" s="26">
        <f>IF($P447="","",IF(INDEX(EntryTxnType,$P447)=0,"",INDEX(EntryTxnType,$P447)))</f>
        <v/>
      </c>
      <c r="H447" s="27">
        <f>IF($P447="","",IF(INDEX(EntryDep,$P447)=0,"",INDEX(EntryDep,$P447)))</f>
        <v/>
      </c>
      <c r="I447" s="27">
        <f>IF($P447="","",IF(INDEX(EntryWit,$P447)=0,"",INDEX(EntryWit,$P447)))</f>
        <v/>
      </c>
      <c r="J447" s="27">
        <f>IF($B447="","",IF($A447=1,$C$7,IF(J446="",0,J446))+IF($H447="",0,$H447)-IF($I447="",0,$I447))</f>
        <v/>
      </c>
      <c r="K447" s="27">
        <f>IF($P447="","",IF(INDEX(EntryMan,$P447)=0,"",INDEX(EntryMan,$P447)))</f>
        <v/>
      </c>
      <c r="L447" s="26">
        <f>IF($B447="","",IF($K447="","—",IF(ROUND($K447-$J447,0)=0,"√","×")))</f>
        <v/>
      </c>
      <c r="M447" s="26">
        <f>IF($B447="","",IF(COUNTIFS(EntryDates,$B447,CalcTime,$C447,CalcBank,$C$5,EntryParty,$D447,EntryDep,$H447,EntryWit,$I447)&gt;1,"تکرار",""))</f>
        <v/>
      </c>
      <c r="N447" s="26">
        <f>IF($P447="","",IF(INDEX(EntryNotes,$P447)=0,"",INDEX(EntryNotes,$P447)))</f>
        <v/>
      </c>
      <c r="O447" s="26">
        <f>IF($P447="","",IF(INDEX(EntryTxnID,$P447)=0,"",INDEX(EntryTxnID,$P447)))</f>
        <v/>
      </c>
      <c r="P447" s="26">
        <f>IFERROR(MATCH($C$5&amp;"|"&amp;RIGHT("000000"&amp;431,6),CalcRankKey,0),"")</f>
        <v/>
      </c>
    </row>
    <row r="448">
      <c r="A448" s="28">
        <f>IF($B448="","",432)</f>
        <v/>
      </c>
      <c r="B448" s="28">
        <f>IF($P448="","",IF(INDEX(CalcNormDate,$P448)=0,"",INDEX(CalcNormDate,$P448)))</f>
        <v/>
      </c>
      <c r="C448" s="28">
        <f>IF($P448="","",IF(INDEX(CalcTime,$P448)=0,"",INDEX(CalcTime,$P448)))</f>
        <v/>
      </c>
      <c r="D448" s="28">
        <f>IF($P448="","",IF(INDEX(EntryParty,$P448)=0,"",INDEX(EntryParty,$P448)))</f>
        <v/>
      </c>
      <c r="E448" s="28">
        <f>IF($P448="","",IF(INDEX(EntryPartyName,$P448)=0,"",INDEX(EntryPartyName,$P448)))</f>
        <v/>
      </c>
      <c r="F448" s="28">
        <f>IF($P448="","",IF(INDEX(EntryPartyType,$P448)=0,"",INDEX(EntryPartyType,$P448)))</f>
        <v/>
      </c>
      <c r="G448" s="28">
        <f>IF($P448="","",IF(INDEX(EntryTxnType,$P448)=0,"",INDEX(EntryTxnType,$P448)))</f>
        <v/>
      </c>
      <c r="H448" s="29">
        <f>IF($P448="","",IF(INDEX(EntryDep,$P448)=0,"",INDEX(EntryDep,$P448)))</f>
        <v/>
      </c>
      <c r="I448" s="29">
        <f>IF($P448="","",IF(INDEX(EntryWit,$P448)=0,"",INDEX(EntryWit,$P448)))</f>
        <v/>
      </c>
      <c r="J448" s="29">
        <f>IF($B448="","",IF($A448=1,$C$7,IF(J447="",0,J447))+IF($H448="",0,$H448)-IF($I448="",0,$I448))</f>
        <v/>
      </c>
      <c r="K448" s="29">
        <f>IF($P448="","",IF(INDEX(EntryMan,$P448)=0,"",INDEX(EntryMan,$P448)))</f>
        <v/>
      </c>
      <c r="L448" s="28">
        <f>IF($B448="","",IF($K448="","—",IF(ROUND($K448-$J448,0)=0,"√","×")))</f>
        <v/>
      </c>
      <c r="M448" s="28">
        <f>IF($B448="","",IF(COUNTIFS(EntryDates,$B448,CalcTime,$C448,CalcBank,$C$5,EntryParty,$D448,EntryDep,$H448,EntryWit,$I448)&gt;1,"تکرار",""))</f>
        <v/>
      </c>
      <c r="N448" s="28">
        <f>IF($P448="","",IF(INDEX(EntryNotes,$P448)=0,"",INDEX(EntryNotes,$P448)))</f>
        <v/>
      </c>
      <c r="O448" s="28">
        <f>IF($P448="","",IF(INDEX(EntryTxnID,$P448)=0,"",INDEX(EntryTxnID,$P448)))</f>
        <v/>
      </c>
      <c r="P448" s="28">
        <f>IFERROR(MATCH($C$5&amp;"|"&amp;RIGHT("000000"&amp;432,6),CalcRankKey,0),"")</f>
        <v/>
      </c>
    </row>
    <row r="449">
      <c r="A449" s="26">
        <f>IF($B449="","",433)</f>
        <v/>
      </c>
      <c r="B449" s="26">
        <f>IF($P449="","",IF(INDEX(CalcNormDate,$P449)=0,"",INDEX(CalcNormDate,$P449)))</f>
        <v/>
      </c>
      <c r="C449" s="26">
        <f>IF($P449="","",IF(INDEX(CalcTime,$P449)=0,"",INDEX(CalcTime,$P449)))</f>
        <v/>
      </c>
      <c r="D449" s="26">
        <f>IF($P449="","",IF(INDEX(EntryParty,$P449)=0,"",INDEX(EntryParty,$P449)))</f>
        <v/>
      </c>
      <c r="E449" s="26">
        <f>IF($P449="","",IF(INDEX(EntryPartyName,$P449)=0,"",INDEX(EntryPartyName,$P449)))</f>
        <v/>
      </c>
      <c r="F449" s="26">
        <f>IF($P449="","",IF(INDEX(EntryPartyType,$P449)=0,"",INDEX(EntryPartyType,$P449)))</f>
        <v/>
      </c>
      <c r="G449" s="26">
        <f>IF($P449="","",IF(INDEX(EntryTxnType,$P449)=0,"",INDEX(EntryTxnType,$P449)))</f>
        <v/>
      </c>
      <c r="H449" s="27">
        <f>IF($P449="","",IF(INDEX(EntryDep,$P449)=0,"",INDEX(EntryDep,$P449)))</f>
        <v/>
      </c>
      <c r="I449" s="27">
        <f>IF($P449="","",IF(INDEX(EntryWit,$P449)=0,"",INDEX(EntryWit,$P449)))</f>
        <v/>
      </c>
      <c r="J449" s="27">
        <f>IF($B449="","",IF($A449=1,$C$7,IF(J448="",0,J448))+IF($H449="",0,$H449)-IF($I449="",0,$I449))</f>
        <v/>
      </c>
      <c r="K449" s="27">
        <f>IF($P449="","",IF(INDEX(EntryMan,$P449)=0,"",INDEX(EntryMan,$P449)))</f>
        <v/>
      </c>
      <c r="L449" s="26">
        <f>IF($B449="","",IF($K449="","—",IF(ROUND($K449-$J449,0)=0,"√","×")))</f>
        <v/>
      </c>
      <c r="M449" s="26">
        <f>IF($B449="","",IF(COUNTIFS(EntryDates,$B449,CalcTime,$C449,CalcBank,$C$5,EntryParty,$D449,EntryDep,$H449,EntryWit,$I449)&gt;1,"تکرار",""))</f>
        <v/>
      </c>
      <c r="N449" s="26">
        <f>IF($P449="","",IF(INDEX(EntryNotes,$P449)=0,"",INDEX(EntryNotes,$P449)))</f>
        <v/>
      </c>
      <c r="O449" s="26">
        <f>IF($P449="","",IF(INDEX(EntryTxnID,$P449)=0,"",INDEX(EntryTxnID,$P449)))</f>
        <v/>
      </c>
      <c r="P449" s="26">
        <f>IFERROR(MATCH($C$5&amp;"|"&amp;RIGHT("000000"&amp;433,6),CalcRankKey,0),"")</f>
        <v/>
      </c>
    </row>
    <row r="450">
      <c r="A450" s="28">
        <f>IF($B450="","",434)</f>
        <v/>
      </c>
      <c r="B450" s="28">
        <f>IF($P450="","",IF(INDEX(CalcNormDate,$P450)=0,"",INDEX(CalcNormDate,$P450)))</f>
        <v/>
      </c>
      <c r="C450" s="28">
        <f>IF($P450="","",IF(INDEX(CalcTime,$P450)=0,"",INDEX(CalcTime,$P450)))</f>
        <v/>
      </c>
      <c r="D450" s="28">
        <f>IF($P450="","",IF(INDEX(EntryParty,$P450)=0,"",INDEX(EntryParty,$P450)))</f>
        <v/>
      </c>
      <c r="E450" s="28">
        <f>IF($P450="","",IF(INDEX(EntryPartyName,$P450)=0,"",INDEX(EntryPartyName,$P450)))</f>
        <v/>
      </c>
      <c r="F450" s="28">
        <f>IF($P450="","",IF(INDEX(EntryPartyType,$P450)=0,"",INDEX(EntryPartyType,$P450)))</f>
        <v/>
      </c>
      <c r="G450" s="28">
        <f>IF($P450="","",IF(INDEX(EntryTxnType,$P450)=0,"",INDEX(EntryTxnType,$P450)))</f>
        <v/>
      </c>
      <c r="H450" s="29">
        <f>IF($P450="","",IF(INDEX(EntryDep,$P450)=0,"",INDEX(EntryDep,$P450)))</f>
        <v/>
      </c>
      <c r="I450" s="29">
        <f>IF($P450="","",IF(INDEX(EntryWit,$P450)=0,"",INDEX(EntryWit,$P450)))</f>
        <v/>
      </c>
      <c r="J450" s="29">
        <f>IF($B450="","",IF($A450=1,$C$7,IF(J449="",0,J449))+IF($H450="",0,$H450)-IF($I450="",0,$I450))</f>
        <v/>
      </c>
      <c r="K450" s="29">
        <f>IF($P450="","",IF(INDEX(EntryMan,$P450)=0,"",INDEX(EntryMan,$P450)))</f>
        <v/>
      </c>
      <c r="L450" s="28">
        <f>IF($B450="","",IF($K450="","—",IF(ROUND($K450-$J450,0)=0,"√","×")))</f>
        <v/>
      </c>
      <c r="M450" s="28">
        <f>IF($B450="","",IF(COUNTIFS(EntryDates,$B450,CalcTime,$C450,CalcBank,$C$5,EntryParty,$D450,EntryDep,$H450,EntryWit,$I450)&gt;1,"تکرار",""))</f>
        <v/>
      </c>
      <c r="N450" s="28">
        <f>IF($P450="","",IF(INDEX(EntryNotes,$P450)=0,"",INDEX(EntryNotes,$P450)))</f>
        <v/>
      </c>
      <c r="O450" s="28">
        <f>IF($P450="","",IF(INDEX(EntryTxnID,$P450)=0,"",INDEX(EntryTxnID,$P450)))</f>
        <v/>
      </c>
      <c r="P450" s="28">
        <f>IFERROR(MATCH($C$5&amp;"|"&amp;RIGHT("000000"&amp;434,6),CalcRankKey,0),"")</f>
        <v/>
      </c>
    </row>
    <row r="451">
      <c r="A451" s="26">
        <f>IF($B451="","",435)</f>
        <v/>
      </c>
      <c r="B451" s="26">
        <f>IF($P451="","",IF(INDEX(CalcNormDate,$P451)=0,"",INDEX(CalcNormDate,$P451)))</f>
        <v/>
      </c>
      <c r="C451" s="26">
        <f>IF($P451="","",IF(INDEX(CalcTime,$P451)=0,"",INDEX(CalcTime,$P451)))</f>
        <v/>
      </c>
      <c r="D451" s="26">
        <f>IF($P451="","",IF(INDEX(EntryParty,$P451)=0,"",INDEX(EntryParty,$P451)))</f>
        <v/>
      </c>
      <c r="E451" s="26">
        <f>IF($P451="","",IF(INDEX(EntryPartyName,$P451)=0,"",INDEX(EntryPartyName,$P451)))</f>
        <v/>
      </c>
      <c r="F451" s="26">
        <f>IF($P451="","",IF(INDEX(EntryPartyType,$P451)=0,"",INDEX(EntryPartyType,$P451)))</f>
        <v/>
      </c>
      <c r="G451" s="26">
        <f>IF($P451="","",IF(INDEX(EntryTxnType,$P451)=0,"",INDEX(EntryTxnType,$P451)))</f>
        <v/>
      </c>
      <c r="H451" s="27">
        <f>IF($P451="","",IF(INDEX(EntryDep,$P451)=0,"",INDEX(EntryDep,$P451)))</f>
        <v/>
      </c>
      <c r="I451" s="27">
        <f>IF($P451="","",IF(INDEX(EntryWit,$P451)=0,"",INDEX(EntryWit,$P451)))</f>
        <v/>
      </c>
      <c r="J451" s="27">
        <f>IF($B451="","",IF($A451=1,$C$7,IF(J450="",0,J450))+IF($H451="",0,$H451)-IF($I451="",0,$I451))</f>
        <v/>
      </c>
      <c r="K451" s="27">
        <f>IF($P451="","",IF(INDEX(EntryMan,$P451)=0,"",INDEX(EntryMan,$P451)))</f>
        <v/>
      </c>
      <c r="L451" s="26">
        <f>IF($B451="","",IF($K451="","—",IF(ROUND($K451-$J451,0)=0,"√","×")))</f>
        <v/>
      </c>
      <c r="M451" s="26">
        <f>IF($B451="","",IF(COUNTIFS(EntryDates,$B451,CalcTime,$C451,CalcBank,$C$5,EntryParty,$D451,EntryDep,$H451,EntryWit,$I451)&gt;1,"تکرار",""))</f>
        <v/>
      </c>
      <c r="N451" s="26">
        <f>IF($P451="","",IF(INDEX(EntryNotes,$P451)=0,"",INDEX(EntryNotes,$P451)))</f>
        <v/>
      </c>
      <c r="O451" s="26">
        <f>IF($P451="","",IF(INDEX(EntryTxnID,$P451)=0,"",INDEX(EntryTxnID,$P451)))</f>
        <v/>
      </c>
      <c r="P451" s="26">
        <f>IFERROR(MATCH($C$5&amp;"|"&amp;RIGHT("000000"&amp;435,6),CalcRankKey,0),"")</f>
        <v/>
      </c>
    </row>
    <row r="452">
      <c r="A452" s="28">
        <f>IF($B452="","",436)</f>
        <v/>
      </c>
      <c r="B452" s="28">
        <f>IF($P452="","",IF(INDEX(CalcNormDate,$P452)=0,"",INDEX(CalcNormDate,$P452)))</f>
        <v/>
      </c>
      <c r="C452" s="28">
        <f>IF($P452="","",IF(INDEX(CalcTime,$P452)=0,"",INDEX(CalcTime,$P452)))</f>
        <v/>
      </c>
      <c r="D452" s="28">
        <f>IF($P452="","",IF(INDEX(EntryParty,$P452)=0,"",INDEX(EntryParty,$P452)))</f>
        <v/>
      </c>
      <c r="E452" s="28">
        <f>IF($P452="","",IF(INDEX(EntryPartyName,$P452)=0,"",INDEX(EntryPartyName,$P452)))</f>
        <v/>
      </c>
      <c r="F452" s="28">
        <f>IF($P452="","",IF(INDEX(EntryPartyType,$P452)=0,"",INDEX(EntryPartyType,$P452)))</f>
        <v/>
      </c>
      <c r="G452" s="28">
        <f>IF($P452="","",IF(INDEX(EntryTxnType,$P452)=0,"",INDEX(EntryTxnType,$P452)))</f>
        <v/>
      </c>
      <c r="H452" s="29">
        <f>IF($P452="","",IF(INDEX(EntryDep,$P452)=0,"",INDEX(EntryDep,$P452)))</f>
        <v/>
      </c>
      <c r="I452" s="29">
        <f>IF($P452="","",IF(INDEX(EntryWit,$P452)=0,"",INDEX(EntryWit,$P452)))</f>
        <v/>
      </c>
      <c r="J452" s="29">
        <f>IF($B452="","",IF($A452=1,$C$7,IF(J451="",0,J451))+IF($H452="",0,$H452)-IF($I452="",0,$I452))</f>
        <v/>
      </c>
      <c r="K452" s="29">
        <f>IF($P452="","",IF(INDEX(EntryMan,$P452)=0,"",INDEX(EntryMan,$P452)))</f>
        <v/>
      </c>
      <c r="L452" s="28">
        <f>IF($B452="","",IF($K452="","—",IF(ROUND($K452-$J452,0)=0,"√","×")))</f>
        <v/>
      </c>
      <c r="M452" s="28">
        <f>IF($B452="","",IF(COUNTIFS(EntryDates,$B452,CalcTime,$C452,CalcBank,$C$5,EntryParty,$D452,EntryDep,$H452,EntryWit,$I452)&gt;1,"تکرار",""))</f>
        <v/>
      </c>
      <c r="N452" s="28">
        <f>IF($P452="","",IF(INDEX(EntryNotes,$P452)=0,"",INDEX(EntryNotes,$P452)))</f>
        <v/>
      </c>
      <c r="O452" s="28">
        <f>IF($P452="","",IF(INDEX(EntryTxnID,$P452)=0,"",INDEX(EntryTxnID,$P452)))</f>
        <v/>
      </c>
      <c r="P452" s="28">
        <f>IFERROR(MATCH($C$5&amp;"|"&amp;RIGHT("000000"&amp;436,6),CalcRankKey,0),"")</f>
        <v/>
      </c>
    </row>
    <row r="453">
      <c r="A453" s="26">
        <f>IF($B453="","",437)</f>
        <v/>
      </c>
      <c r="B453" s="26">
        <f>IF($P453="","",IF(INDEX(CalcNormDate,$P453)=0,"",INDEX(CalcNormDate,$P453)))</f>
        <v/>
      </c>
      <c r="C453" s="26">
        <f>IF($P453="","",IF(INDEX(CalcTime,$P453)=0,"",INDEX(CalcTime,$P453)))</f>
        <v/>
      </c>
      <c r="D453" s="26">
        <f>IF($P453="","",IF(INDEX(EntryParty,$P453)=0,"",INDEX(EntryParty,$P453)))</f>
        <v/>
      </c>
      <c r="E453" s="26">
        <f>IF($P453="","",IF(INDEX(EntryPartyName,$P453)=0,"",INDEX(EntryPartyName,$P453)))</f>
        <v/>
      </c>
      <c r="F453" s="26">
        <f>IF($P453="","",IF(INDEX(EntryPartyType,$P453)=0,"",INDEX(EntryPartyType,$P453)))</f>
        <v/>
      </c>
      <c r="G453" s="26">
        <f>IF($P453="","",IF(INDEX(EntryTxnType,$P453)=0,"",INDEX(EntryTxnType,$P453)))</f>
        <v/>
      </c>
      <c r="H453" s="27">
        <f>IF($P453="","",IF(INDEX(EntryDep,$P453)=0,"",INDEX(EntryDep,$P453)))</f>
        <v/>
      </c>
      <c r="I453" s="27">
        <f>IF($P453="","",IF(INDEX(EntryWit,$P453)=0,"",INDEX(EntryWit,$P453)))</f>
        <v/>
      </c>
      <c r="J453" s="27">
        <f>IF($B453="","",IF($A453=1,$C$7,IF(J452="",0,J452))+IF($H453="",0,$H453)-IF($I453="",0,$I453))</f>
        <v/>
      </c>
      <c r="K453" s="27">
        <f>IF($P453="","",IF(INDEX(EntryMan,$P453)=0,"",INDEX(EntryMan,$P453)))</f>
        <v/>
      </c>
      <c r="L453" s="26">
        <f>IF($B453="","",IF($K453="","—",IF(ROUND($K453-$J453,0)=0,"√","×")))</f>
        <v/>
      </c>
      <c r="M453" s="26">
        <f>IF($B453="","",IF(COUNTIFS(EntryDates,$B453,CalcTime,$C453,CalcBank,$C$5,EntryParty,$D453,EntryDep,$H453,EntryWit,$I453)&gt;1,"تکرار",""))</f>
        <v/>
      </c>
      <c r="N453" s="26">
        <f>IF($P453="","",IF(INDEX(EntryNotes,$P453)=0,"",INDEX(EntryNotes,$P453)))</f>
        <v/>
      </c>
      <c r="O453" s="26">
        <f>IF($P453="","",IF(INDEX(EntryTxnID,$P453)=0,"",INDEX(EntryTxnID,$P453)))</f>
        <v/>
      </c>
      <c r="P453" s="26">
        <f>IFERROR(MATCH($C$5&amp;"|"&amp;RIGHT("000000"&amp;437,6),CalcRankKey,0),"")</f>
        <v/>
      </c>
    </row>
    <row r="454">
      <c r="A454" s="28">
        <f>IF($B454="","",438)</f>
        <v/>
      </c>
      <c r="B454" s="28">
        <f>IF($P454="","",IF(INDEX(CalcNormDate,$P454)=0,"",INDEX(CalcNormDate,$P454)))</f>
        <v/>
      </c>
      <c r="C454" s="28">
        <f>IF($P454="","",IF(INDEX(CalcTime,$P454)=0,"",INDEX(CalcTime,$P454)))</f>
        <v/>
      </c>
      <c r="D454" s="28">
        <f>IF($P454="","",IF(INDEX(EntryParty,$P454)=0,"",INDEX(EntryParty,$P454)))</f>
        <v/>
      </c>
      <c r="E454" s="28">
        <f>IF($P454="","",IF(INDEX(EntryPartyName,$P454)=0,"",INDEX(EntryPartyName,$P454)))</f>
        <v/>
      </c>
      <c r="F454" s="28">
        <f>IF($P454="","",IF(INDEX(EntryPartyType,$P454)=0,"",INDEX(EntryPartyType,$P454)))</f>
        <v/>
      </c>
      <c r="G454" s="28">
        <f>IF($P454="","",IF(INDEX(EntryTxnType,$P454)=0,"",INDEX(EntryTxnType,$P454)))</f>
        <v/>
      </c>
      <c r="H454" s="29">
        <f>IF($P454="","",IF(INDEX(EntryDep,$P454)=0,"",INDEX(EntryDep,$P454)))</f>
        <v/>
      </c>
      <c r="I454" s="29">
        <f>IF($P454="","",IF(INDEX(EntryWit,$P454)=0,"",INDEX(EntryWit,$P454)))</f>
        <v/>
      </c>
      <c r="J454" s="29">
        <f>IF($B454="","",IF($A454=1,$C$7,IF(J453="",0,J453))+IF($H454="",0,$H454)-IF($I454="",0,$I454))</f>
        <v/>
      </c>
      <c r="K454" s="29">
        <f>IF($P454="","",IF(INDEX(EntryMan,$P454)=0,"",INDEX(EntryMan,$P454)))</f>
        <v/>
      </c>
      <c r="L454" s="28">
        <f>IF($B454="","",IF($K454="","—",IF(ROUND($K454-$J454,0)=0,"√","×")))</f>
        <v/>
      </c>
      <c r="M454" s="28">
        <f>IF($B454="","",IF(COUNTIFS(EntryDates,$B454,CalcTime,$C454,CalcBank,$C$5,EntryParty,$D454,EntryDep,$H454,EntryWit,$I454)&gt;1,"تکرار",""))</f>
        <v/>
      </c>
      <c r="N454" s="28">
        <f>IF($P454="","",IF(INDEX(EntryNotes,$P454)=0,"",INDEX(EntryNotes,$P454)))</f>
        <v/>
      </c>
      <c r="O454" s="28">
        <f>IF($P454="","",IF(INDEX(EntryTxnID,$P454)=0,"",INDEX(EntryTxnID,$P454)))</f>
        <v/>
      </c>
      <c r="P454" s="28">
        <f>IFERROR(MATCH($C$5&amp;"|"&amp;RIGHT("000000"&amp;438,6),CalcRankKey,0),"")</f>
        <v/>
      </c>
    </row>
    <row r="455">
      <c r="A455" s="26">
        <f>IF($B455="","",439)</f>
        <v/>
      </c>
      <c r="B455" s="26">
        <f>IF($P455="","",IF(INDEX(CalcNormDate,$P455)=0,"",INDEX(CalcNormDate,$P455)))</f>
        <v/>
      </c>
      <c r="C455" s="26">
        <f>IF($P455="","",IF(INDEX(CalcTime,$P455)=0,"",INDEX(CalcTime,$P455)))</f>
        <v/>
      </c>
      <c r="D455" s="26">
        <f>IF($P455="","",IF(INDEX(EntryParty,$P455)=0,"",INDEX(EntryParty,$P455)))</f>
        <v/>
      </c>
      <c r="E455" s="26">
        <f>IF($P455="","",IF(INDEX(EntryPartyName,$P455)=0,"",INDEX(EntryPartyName,$P455)))</f>
        <v/>
      </c>
      <c r="F455" s="26">
        <f>IF($P455="","",IF(INDEX(EntryPartyType,$P455)=0,"",INDEX(EntryPartyType,$P455)))</f>
        <v/>
      </c>
      <c r="G455" s="26">
        <f>IF($P455="","",IF(INDEX(EntryTxnType,$P455)=0,"",INDEX(EntryTxnType,$P455)))</f>
        <v/>
      </c>
      <c r="H455" s="27">
        <f>IF($P455="","",IF(INDEX(EntryDep,$P455)=0,"",INDEX(EntryDep,$P455)))</f>
        <v/>
      </c>
      <c r="I455" s="27">
        <f>IF($P455="","",IF(INDEX(EntryWit,$P455)=0,"",INDEX(EntryWit,$P455)))</f>
        <v/>
      </c>
      <c r="J455" s="27">
        <f>IF($B455="","",IF($A455=1,$C$7,IF(J454="",0,J454))+IF($H455="",0,$H455)-IF($I455="",0,$I455))</f>
        <v/>
      </c>
      <c r="K455" s="27">
        <f>IF($P455="","",IF(INDEX(EntryMan,$P455)=0,"",INDEX(EntryMan,$P455)))</f>
        <v/>
      </c>
      <c r="L455" s="26">
        <f>IF($B455="","",IF($K455="","—",IF(ROUND($K455-$J455,0)=0,"√","×")))</f>
        <v/>
      </c>
      <c r="M455" s="26">
        <f>IF($B455="","",IF(COUNTIFS(EntryDates,$B455,CalcTime,$C455,CalcBank,$C$5,EntryParty,$D455,EntryDep,$H455,EntryWit,$I455)&gt;1,"تکرار",""))</f>
        <v/>
      </c>
      <c r="N455" s="26">
        <f>IF($P455="","",IF(INDEX(EntryNotes,$P455)=0,"",INDEX(EntryNotes,$P455)))</f>
        <v/>
      </c>
      <c r="O455" s="26">
        <f>IF($P455="","",IF(INDEX(EntryTxnID,$P455)=0,"",INDEX(EntryTxnID,$P455)))</f>
        <v/>
      </c>
      <c r="P455" s="26">
        <f>IFERROR(MATCH($C$5&amp;"|"&amp;RIGHT("000000"&amp;439,6),CalcRankKey,0),"")</f>
        <v/>
      </c>
    </row>
    <row r="456">
      <c r="A456" s="28">
        <f>IF($B456="","",440)</f>
        <v/>
      </c>
      <c r="B456" s="28">
        <f>IF($P456="","",IF(INDEX(CalcNormDate,$P456)=0,"",INDEX(CalcNormDate,$P456)))</f>
        <v/>
      </c>
      <c r="C456" s="28">
        <f>IF($P456="","",IF(INDEX(CalcTime,$P456)=0,"",INDEX(CalcTime,$P456)))</f>
        <v/>
      </c>
      <c r="D456" s="28">
        <f>IF($P456="","",IF(INDEX(EntryParty,$P456)=0,"",INDEX(EntryParty,$P456)))</f>
        <v/>
      </c>
      <c r="E456" s="28">
        <f>IF($P456="","",IF(INDEX(EntryPartyName,$P456)=0,"",INDEX(EntryPartyName,$P456)))</f>
        <v/>
      </c>
      <c r="F456" s="28">
        <f>IF($P456="","",IF(INDEX(EntryPartyType,$P456)=0,"",INDEX(EntryPartyType,$P456)))</f>
        <v/>
      </c>
      <c r="G456" s="28">
        <f>IF($P456="","",IF(INDEX(EntryTxnType,$P456)=0,"",INDEX(EntryTxnType,$P456)))</f>
        <v/>
      </c>
      <c r="H456" s="29">
        <f>IF($P456="","",IF(INDEX(EntryDep,$P456)=0,"",INDEX(EntryDep,$P456)))</f>
        <v/>
      </c>
      <c r="I456" s="29">
        <f>IF($P456="","",IF(INDEX(EntryWit,$P456)=0,"",INDEX(EntryWit,$P456)))</f>
        <v/>
      </c>
      <c r="J456" s="29">
        <f>IF($B456="","",IF($A456=1,$C$7,IF(J455="",0,J455))+IF($H456="",0,$H456)-IF($I456="",0,$I456))</f>
        <v/>
      </c>
      <c r="K456" s="29">
        <f>IF($P456="","",IF(INDEX(EntryMan,$P456)=0,"",INDEX(EntryMan,$P456)))</f>
        <v/>
      </c>
      <c r="L456" s="28">
        <f>IF($B456="","",IF($K456="","—",IF(ROUND($K456-$J456,0)=0,"√","×")))</f>
        <v/>
      </c>
      <c r="M456" s="28">
        <f>IF($B456="","",IF(COUNTIFS(EntryDates,$B456,CalcTime,$C456,CalcBank,$C$5,EntryParty,$D456,EntryDep,$H456,EntryWit,$I456)&gt;1,"تکرار",""))</f>
        <v/>
      </c>
      <c r="N456" s="28">
        <f>IF($P456="","",IF(INDEX(EntryNotes,$P456)=0,"",INDEX(EntryNotes,$P456)))</f>
        <v/>
      </c>
      <c r="O456" s="28">
        <f>IF($P456="","",IF(INDEX(EntryTxnID,$P456)=0,"",INDEX(EntryTxnID,$P456)))</f>
        <v/>
      </c>
      <c r="P456" s="28">
        <f>IFERROR(MATCH($C$5&amp;"|"&amp;RIGHT("000000"&amp;440,6),CalcRankKey,0),"")</f>
        <v/>
      </c>
    </row>
    <row r="457">
      <c r="A457" s="26">
        <f>IF($B457="","",441)</f>
        <v/>
      </c>
      <c r="B457" s="26">
        <f>IF($P457="","",IF(INDEX(CalcNormDate,$P457)=0,"",INDEX(CalcNormDate,$P457)))</f>
        <v/>
      </c>
      <c r="C457" s="26">
        <f>IF($P457="","",IF(INDEX(CalcTime,$P457)=0,"",INDEX(CalcTime,$P457)))</f>
        <v/>
      </c>
      <c r="D457" s="26">
        <f>IF($P457="","",IF(INDEX(EntryParty,$P457)=0,"",INDEX(EntryParty,$P457)))</f>
        <v/>
      </c>
      <c r="E457" s="26">
        <f>IF($P457="","",IF(INDEX(EntryPartyName,$P457)=0,"",INDEX(EntryPartyName,$P457)))</f>
        <v/>
      </c>
      <c r="F457" s="26">
        <f>IF($P457="","",IF(INDEX(EntryPartyType,$P457)=0,"",INDEX(EntryPartyType,$P457)))</f>
        <v/>
      </c>
      <c r="G457" s="26">
        <f>IF($P457="","",IF(INDEX(EntryTxnType,$P457)=0,"",INDEX(EntryTxnType,$P457)))</f>
        <v/>
      </c>
      <c r="H457" s="27">
        <f>IF($P457="","",IF(INDEX(EntryDep,$P457)=0,"",INDEX(EntryDep,$P457)))</f>
        <v/>
      </c>
      <c r="I457" s="27">
        <f>IF($P457="","",IF(INDEX(EntryWit,$P457)=0,"",INDEX(EntryWit,$P457)))</f>
        <v/>
      </c>
      <c r="J457" s="27">
        <f>IF($B457="","",IF($A457=1,$C$7,IF(J456="",0,J456))+IF($H457="",0,$H457)-IF($I457="",0,$I457))</f>
        <v/>
      </c>
      <c r="K457" s="27">
        <f>IF($P457="","",IF(INDEX(EntryMan,$P457)=0,"",INDEX(EntryMan,$P457)))</f>
        <v/>
      </c>
      <c r="L457" s="26">
        <f>IF($B457="","",IF($K457="","—",IF(ROUND($K457-$J457,0)=0,"√","×")))</f>
        <v/>
      </c>
      <c r="M457" s="26">
        <f>IF($B457="","",IF(COUNTIFS(EntryDates,$B457,CalcTime,$C457,CalcBank,$C$5,EntryParty,$D457,EntryDep,$H457,EntryWit,$I457)&gt;1,"تکرار",""))</f>
        <v/>
      </c>
      <c r="N457" s="26">
        <f>IF($P457="","",IF(INDEX(EntryNotes,$P457)=0,"",INDEX(EntryNotes,$P457)))</f>
        <v/>
      </c>
      <c r="O457" s="26">
        <f>IF($P457="","",IF(INDEX(EntryTxnID,$P457)=0,"",INDEX(EntryTxnID,$P457)))</f>
        <v/>
      </c>
      <c r="P457" s="26">
        <f>IFERROR(MATCH($C$5&amp;"|"&amp;RIGHT("000000"&amp;441,6),CalcRankKey,0),"")</f>
        <v/>
      </c>
    </row>
    <row r="458">
      <c r="A458" s="28">
        <f>IF($B458="","",442)</f>
        <v/>
      </c>
      <c r="B458" s="28">
        <f>IF($P458="","",IF(INDEX(CalcNormDate,$P458)=0,"",INDEX(CalcNormDate,$P458)))</f>
        <v/>
      </c>
      <c r="C458" s="28">
        <f>IF($P458="","",IF(INDEX(CalcTime,$P458)=0,"",INDEX(CalcTime,$P458)))</f>
        <v/>
      </c>
      <c r="D458" s="28">
        <f>IF($P458="","",IF(INDEX(EntryParty,$P458)=0,"",INDEX(EntryParty,$P458)))</f>
        <v/>
      </c>
      <c r="E458" s="28">
        <f>IF($P458="","",IF(INDEX(EntryPartyName,$P458)=0,"",INDEX(EntryPartyName,$P458)))</f>
        <v/>
      </c>
      <c r="F458" s="28">
        <f>IF($P458="","",IF(INDEX(EntryPartyType,$P458)=0,"",INDEX(EntryPartyType,$P458)))</f>
        <v/>
      </c>
      <c r="G458" s="28">
        <f>IF($P458="","",IF(INDEX(EntryTxnType,$P458)=0,"",INDEX(EntryTxnType,$P458)))</f>
        <v/>
      </c>
      <c r="H458" s="29">
        <f>IF($P458="","",IF(INDEX(EntryDep,$P458)=0,"",INDEX(EntryDep,$P458)))</f>
        <v/>
      </c>
      <c r="I458" s="29">
        <f>IF($P458="","",IF(INDEX(EntryWit,$P458)=0,"",INDEX(EntryWit,$P458)))</f>
        <v/>
      </c>
      <c r="J458" s="29">
        <f>IF($B458="","",IF($A458=1,$C$7,IF(J457="",0,J457))+IF($H458="",0,$H458)-IF($I458="",0,$I458))</f>
        <v/>
      </c>
      <c r="K458" s="29">
        <f>IF($P458="","",IF(INDEX(EntryMan,$P458)=0,"",INDEX(EntryMan,$P458)))</f>
        <v/>
      </c>
      <c r="L458" s="28">
        <f>IF($B458="","",IF($K458="","—",IF(ROUND($K458-$J458,0)=0,"√","×")))</f>
        <v/>
      </c>
      <c r="M458" s="28">
        <f>IF($B458="","",IF(COUNTIFS(EntryDates,$B458,CalcTime,$C458,CalcBank,$C$5,EntryParty,$D458,EntryDep,$H458,EntryWit,$I458)&gt;1,"تکرار",""))</f>
        <v/>
      </c>
      <c r="N458" s="28">
        <f>IF($P458="","",IF(INDEX(EntryNotes,$P458)=0,"",INDEX(EntryNotes,$P458)))</f>
        <v/>
      </c>
      <c r="O458" s="28">
        <f>IF($P458="","",IF(INDEX(EntryTxnID,$P458)=0,"",INDEX(EntryTxnID,$P458)))</f>
        <v/>
      </c>
      <c r="P458" s="28">
        <f>IFERROR(MATCH($C$5&amp;"|"&amp;RIGHT("000000"&amp;442,6),CalcRankKey,0),"")</f>
        <v/>
      </c>
    </row>
    <row r="459">
      <c r="A459" s="26">
        <f>IF($B459="","",443)</f>
        <v/>
      </c>
      <c r="B459" s="26">
        <f>IF($P459="","",IF(INDEX(CalcNormDate,$P459)=0,"",INDEX(CalcNormDate,$P459)))</f>
        <v/>
      </c>
      <c r="C459" s="26">
        <f>IF($P459="","",IF(INDEX(CalcTime,$P459)=0,"",INDEX(CalcTime,$P459)))</f>
        <v/>
      </c>
      <c r="D459" s="26">
        <f>IF($P459="","",IF(INDEX(EntryParty,$P459)=0,"",INDEX(EntryParty,$P459)))</f>
        <v/>
      </c>
      <c r="E459" s="26">
        <f>IF($P459="","",IF(INDEX(EntryPartyName,$P459)=0,"",INDEX(EntryPartyName,$P459)))</f>
        <v/>
      </c>
      <c r="F459" s="26">
        <f>IF($P459="","",IF(INDEX(EntryPartyType,$P459)=0,"",INDEX(EntryPartyType,$P459)))</f>
        <v/>
      </c>
      <c r="G459" s="26">
        <f>IF($P459="","",IF(INDEX(EntryTxnType,$P459)=0,"",INDEX(EntryTxnType,$P459)))</f>
        <v/>
      </c>
      <c r="H459" s="27">
        <f>IF($P459="","",IF(INDEX(EntryDep,$P459)=0,"",INDEX(EntryDep,$P459)))</f>
        <v/>
      </c>
      <c r="I459" s="27">
        <f>IF($P459="","",IF(INDEX(EntryWit,$P459)=0,"",INDEX(EntryWit,$P459)))</f>
        <v/>
      </c>
      <c r="J459" s="27">
        <f>IF($B459="","",IF($A459=1,$C$7,IF(J458="",0,J458))+IF($H459="",0,$H459)-IF($I459="",0,$I459))</f>
        <v/>
      </c>
      <c r="K459" s="27">
        <f>IF($P459="","",IF(INDEX(EntryMan,$P459)=0,"",INDEX(EntryMan,$P459)))</f>
        <v/>
      </c>
      <c r="L459" s="26">
        <f>IF($B459="","",IF($K459="","—",IF(ROUND($K459-$J459,0)=0,"√","×")))</f>
        <v/>
      </c>
      <c r="M459" s="26">
        <f>IF($B459="","",IF(COUNTIFS(EntryDates,$B459,CalcTime,$C459,CalcBank,$C$5,EntryParty,$D459,EntryDep,$H459,EntryWit,$I459)&gt;1,"تکرار",""))</f>
        <v/>
      </c>
      <c r="N459" s="26">
        <f>IF($P459="","",IF(INDEX(EntryNotes,$P459)=0,"",INDEX(EntryNotes,$P459)))</f>
        <v/>
      </c>
      <c r="O459" s="26">
        <f>IF($P459="","",IF(INDEX(EntryTxnID,$P459)=0,"",INDEX(EntryTxnID,$P459)))</f>
        <v/>
      </c>
      <c r="P459" s="26">
        <f>IFERROR(MATCH($C$5&amp;"|"&amp;RIGHT("000000"&amp;443,6),CalcRankKey,0),"")</f>
        <v/>
      </c>
    </row>
    <row r="460">
      <c r="A460" s="28">
        <f>IF($B460="","",444)</f>
        <v/>
      </c>
      <c r="B460" s="28">
        <f>IF($P460="","",IF(INDEX(CalcNormDate,$P460)=0,"",INDEX(CalcNormDate,$P460)))</f>
        <v/>
      </c>
      <c r="C460" s="28">
        <f>IF($P460="","",IF(INDEX(CalcTime,$P460)=0,"",INDEX(CalcTime,$P460)))</f>
        <v/>
      </c>
      <c r="D460" s="28">
        <f>IF($P460="","",IF(INDEX(EntryParty,$P460)=0,"",INDEX(EntryParty,$P460)))</f>
        <v/>
      </c>
      <c r="E460" s="28">
        <f>IF($P460="","",IF(INDEX(EntryPartyName,$P460)=0,"",INDEX(EntryPartyName,$P460)))</f>
        <v/>
      </c>
      <c r="F460" s="28">
        <f>IF($P460="","",IF(INDEX(EntryPartyType,$P460)=0,"",INDEX(EntryPartyType,$P460)))</f>
        <v/>
      </c>
      <c r="G460" s="28">
        <f>IF($P460="","",IF(INDEX(EntryTxnType,$P460)=0,"",INDEX(EntryTxnType,$P460)))</f>
        <v/>
      </c>
      <c r="H460" s="29">
        <f>IF($P460="","",IF(INDEX(EntryDep,$P460)=0,"",INDEX(EntryDep,$P460)))</f>
        <v/>
      </c>
      <c r="I460" s="29">
        <f>IF($P460="","",IF(INDEX(EntryWit,$P460)=0,"",INDEX(EntryWit,$P460)))</f>
        <v/>
      </c>
      <c r="J460" s="29">
        <f>IF($B460="","",IF($A460=1,$C$7,IF(J459="",0,J459))+IF($H460="",0,$H460)-IF($I460="",0,$I460))</f>
        <v/>
      </c>
      <c r="K460" s="29">
        <f>IF($P460="","",IF(INDEX(EntryMan,$P460)=0,"",INDEX(EntryMan,$P460)))</f>
        <v/>
      </c>
      <c r="L460" s="28">
        <f>IF($B460="","",IF($K460="","—",IF(ROUND($K460-$J460,0)=0,"√","×")))</f>
        <v/>
      </c>
      <c r="M460" s="28">
        <f>IF($B460="","",IF(COUNTIFS(EntryDates,$B460,CalcTime,$C460,CalcBank,$C$5,EntryParty,$D460,EntryDep,$H460,EntryWit,$I460)&gt;1,"تکرار",""))</f>
        <v/>
      </c>
      <c r="N460" s="28">
        <f>IF($P460="","",IF(INDEX(EntryNotes,$P460)=0,"",INDEX(EntryNotes,$P460)))</f>
        <v/>
      </c>
      <c r="O460" s="28">
        <f>IF($P460="","",IF(INDEX(EntryTxnID,$P460)=0,"",INDEX(EntryTxnID,$P460)))</f>
        <v/>
      </c>
      <c r="P460" s="28">
        <f>IFERROR(MATCH($C$5&amp;"|"&amp;RIGHT("000000"&amp;444,6),CalcRankKey,0),"")</f>
        <v/>
      </c>
    </row>
    <row r="461">
      <c r="A461" s="26">
        <f>IF($B461="","",445)</f>
        <v/>
      </c>
      <c r="B461" s="26">
        <f>IF($P461="","",IF(INDEX(CalcNormDate,$P461)=0,"",INDEX(CalcNormDate,$P461)))</f>
        <v/>
      </c>
      <c r="C461" s="26">
        <f>IF($P461="","",IF(INDEX(CalcTime,$P461)=0,"",INDEX(CalcTime,$P461)))</f>
        <v/>
      </c>
      <c r="D461" s="26">
        <f>IF($P461="","",IF(INDEX(EntryParty,$P461)=0,"",INDEX(EntryParty,$P461)))</f>
        <v/>
      </c>
      <c r="E461" s="26">
        <f>IF($P461="","",IF(INDEX(EntryPartyName,$P461)=0,"",INDEX(EntryPartyName,$P461)))</f>
        <v/>
      </c>
      <c r="F461" s="26">
        <f>IF($P461="","",IF(INDEX(EntryPartyType,$P461)=0,"",INDEX(EntryPartyType,$P461)))</f>
        <v/>
      </c>
      <c r="G461" s="26">
        <f>IF($P461="","",IF(INDEX(EntryTxnType,$P461)=0,"",INDEX(EntryTxnType,$P461)))</f>
        <v/>
      </c>
      <c r="H461" s="27">
        <f>IF($P461="","",IF(INDEX(EntryDep,$P461)=0,"",INDEX(EntryDep,$P461)))</f>
        <v/>
      </c>
      <c r="I461" s="27">
        <f>IF($P461="","",IF(INDEX(EntryWit,$P461)=0,"",INDEX(EntryWit,$P461)))</f>
        <v/>
      </c>
      <c r="J461" s="27">
        <f>IF($B461="","",IF($A461=1,$C$7,IF(J460="",0,J460))+IF($H461="",0,$H461)-IF($I461="",0,$I461))</f>
        <v/>
      </c>
      <c r="K461" s="27">
        <f>IF($P461="","",IF(INDEX(EntryMan,$P461)=0,"",INDEX(EntryMan,$P461)))</f>
        <v/>
      </c>
      <c r="L461" s="26">
        <f>IF($B461="","",IF($K461="","—",IF(ROUND($K461-$J461,0)=0,"√","×")))</f>
        <v/>
      </c>
      <c r="M461" s="26">
        <f>IF($B461="","",IF(COUNTIFS(EntryDates,$B461,CalcTime,$C461,CalcBank,$C$5,EntryParty,$D461,EntryDep,$H461,EntryWit,$I461)&gt;1,"تکرار",""))</f>
        <v/>
      </c>
      <c r="N461" s="26">
        <f>IF($P461="","",IF(INDEX(EntryNotes,$P461)=0,"",INDEX(EntryNotes,$P461)))</f>
        <v/>
      </c>
      <c r="O461" s="26">
        <f>IF($P461="","",IF(INDEX(EntryTxnID,$P461)=0,"",INDEX(EntryTxnID,$P461)))</f>
        <v/>
      </c>
      <c r="P461" s="26">
        <f>IFERROR(MATCH($C$5&amp;"|"&amp;RIGHT("000000"&amp;445,6),CalcRankKey,0),"")</f>
        <v/>
      </c>
    </row>
    <row r="462">
      <c r="A462" s="28">
        <f>IF($B462="","",446)</f>
        <v/>
      </c>
      <c r="B462" s="28">
        <f>IF($P462="","",IF(INDEX(CalcNormDate,$P462)=0,"",INDEX(CalcNormDate,$P462)))</f>
        <v/>
      </c>
      <c r="C462" s="28">
        <f>IF($P462="","",IF(INDEX(CalcTime,$P462)=0,"",INDEX(CalcTime,$P462)))</f>
        <v/>
      </c>
      <c r="D462" s="28">
        <f>IF($P462="","",IF(INDEX(EntryParty,$P462)=0,"",INDEX(EntryParty,$P462)))</f>
        <v/>
      </c>
      <c r="E462" s="28">
        <f>IF($P462="","",IF(INDEX(EntryPartyName,$P462)=0,"",INDEX(EntryPartyName,$P462)))</f>
        <v/>
      </c>
      <c r="F462" s="28">
        <f>IF($P462="","",IF(INDEX(EntryPartyType,$P462)=0,"",INDEX(EntryPartyType,$P462)))</f>
        <v/>
      </c>
      <c r="G462" s="28">
        <f>IF($P462="","",IF(INDEX(EntryTxnType,$P462)=0,"",INDEX(EntryTxnType,$P462)))</f>
        <v/>
      </c>
      <c r="H462" s="29">
        <f>IF($P462="","",IF(INDEX(EntryDep,$P462)=0,"",INDEX(EntryDep,$P462)))</f>
        <v/>
      </c>
      <c r="I462" s="29">
        <f>IF($P462="","",IF(INDEX(EntryWit,$P462)=0,"",INDEX(EntryWit,$P462)))</f>
        <v/>
      </c>
      <c r="J462" s="29">
        <f>IF($B462="","",IF($A462=1,$C$7,IF(J461="",0,J461))+IF($H462="",0,$H462)-IF($I462="",0,$I462))</f>
        <v/>
      </c>
      <c r="K462" s="29">
        <f>IF($P462="","",IF(INDEX(EntryMan,$P462)=0,"",INDEX(EntryMan,$P462)))</f>
        <v/>
      </c>
      <c r="L462" s="28">
        <f>IF($B462="","",IF($K462="","—",IF(ROUND($K462-$J462,0)=0,"√","×")))</f>
        <v/>
      </c>
      <c r="M462" s="28">
        <f>IF($B462="","",IF(COUNTIFS(EntryDates,$B462,CalcTime,$C462,CalcBank,$C$5,EntryParty,$D462,EntryDep,$H462,EntryWit,$I462)&gt;1,"تکرار",""))</f>
        <v/>
      </c>
      <c r="N462" s="28">
        <f>IF($P462="","",IF(INDEX(EntryNotes,$P462)=0,"",INDEX(EntryNotes,$P462)))</f>
        <v/>
      </c>
      <c r="O462" s="28">
        <f>IF($P462="","",IF(INDEX(EntryTxnID,$P462)=0,"",INDEX(EntryTxnID,$P462)))</f>
        <v/>
      </c>
      <c r="P462" s="28">
        <f>IFERROR(MATCH($C$5&amp;"|"&amp;RIGHT("000000"&amp;446,6),CalcRankKey,0),"")</f>
        <v/>
      </c>
    </row>
    <row r="463">
      <c r="A463" s="26">
        <f>IF($B463="","",447)</f>
        <v/>
      </c>
      <c r="B463" s="26">
        <f>IF($P463="","",IF(INDEX(CalcNormDate,$P463)=0,"",INDEX(CalcNormDate,$P463)))</f>
        <v/>
      </c>
      <c r="C463" s="26">
        <f>IF($P463="","",IF(INDEX(CalcTime,$P463)=0,"",INDEX(CalcTime,$P463)))</f>
        <v/>
      </c>
      <c r="D463" s="26">
        <f>IF($P463="","",IF(INDEX(EntryParty,$P463)=0,"",INDEX(EntryParty,$P463)))</f>
        <v/>
      </c>
      <c r="E463" s="26">
        <f>IF($P463="","",IF(INDEX(EntryPartyName,$P463)=0,"",INDEX(EntryPartyName,$P463)))</f>
        <v/>
      </c>
      <c r="F463" s="26">
        <f>IF($P463="","",IF(INDEX(EntryPartyType,$P463)=0,"",INDEX(EntryPartyType,$P463)))</f>
        <v/>
      </c>
      <c r="G463" s="26">
        <f>IF($P463="","",IF(INDEX(EntryTxnType,$P463)=0,"",INDEX(EntryTxnType,$P463)))</f>
        <v/>
      </c>
      <c r="H463" s="27">
        <f>IF($P463="","",IF(INDEX(EntryDep,$P463)=0,"",INDEX(EntryDep,$P463)))</f>
        <v/>
      </c>
      <c r="I463" s="27">
        <f>IF($P463="","",IF(INDEX(EntryWit,$P463)=0,"",INDEX(EntryWit,$P463)))</f>
        <v/>
      </c>
      <c r="J463" s="27">
        <f>IF($B463="","",IF($A463=1,$C$7,IF(J462="",0,J462))+IF($H463="",0,$H463)-IF($I463="",0,$I463))</f>
        <v/>
      </c>
      <c r="K463" s="27">
        <f>IF($P463="","",IF(INDEX(EntryMan,$P463)=0,"",INDEX(EntryMan,$P463)))</f>
        <v/>
      </c>
      <c r="L463" s="26">
        <f>IF($B463="","",IF($K463="","—",IF(ROUND($K463-$J463,0)=0,"√","×")))</f>
        <v/>
      </c>
      <c r="M463" s="26">
        <f>IF($B463="","",IF(COUNTIFS(EntryDates,$B463,CalcTime,$C463,CalcBank,$C$5,EntryParty,$D463,EntryDep,$H463,EntryWit,$I463)&gt;1,"تکرار",""))</f>
        <v/>
      </c>
      <c r="N463" s="26">
        <f>IF($P463="","",IF(INDEX(EntryNotes,$P463)=0,"",INDEX(EntryNotes,$P463)))</f>
        <v/>
      </c>
      <c r="O463" s="26">
        <f>IF($P463="","",IF(INDEX(EntryTxnID,$P463)=0,"",INDEX(EntryTxnID,$P463)))</f>
        <v/>
      </c>
      <c r="P463" s="26">
        <f>IFERROR(MATCH($C$5&amp;"|"&amp;RIGHT("000000"&amp;447,6),CalcRankKey,0),"")</f>
        <v/>
      </c>
    </row>
    <row r="464">
      <c r="A464" s="28">
        <f>IF($B464="","",448)</f>
        <v/>
      </c>
      <c r="B464" s="28">
        <f>IF($P464="","",IF(INDEX(CalcNormDate,$P464)=0,"",INDEX(CalcNormDate,$P464)))</f>
        <v/>
      </c>
      <c r="C464" s="28">
        <f>IF($P464="","",IF(INDEX(CalcTime,$P464)=0,"",INDEX(CalcTime,$P464)))</f>
        <v/>
      </c>
      <c r="D464" s="28">
        <f>IF($P464="","",IF(INDEX(EntryParty,$P464)=0,"",INDEX(EntryParty,$P464)))</f>
        <v/>
      </c>
      <c r="E464" s="28">
        <f>IF($P464="","",IF(INDEX(EntryPartyName,$P464)=0,"",INDEX(EntryPartyName,$P464)))</f>
        <v/>
      </c>
      <c r="F464" s="28">
        <f>IF($P464="","",IF(INDEX(EntryPartyType,$P464)=0,"",INDEX(EntryPartyType,$P464)))</f>
        <v/>
      </c>
      <c r="G464" s="28">
        <f>IF($P464="","",IF(INDEX(EntryTxnType,$P464)=0,"",INDEX(EntryTxnType,$P464)))</f>
        <v/>
      </c>
      <c r="H464" s="29">
        <f>IF($P464="","",IF(INDEX(EntryDep,$P464)=0,"",INDEX(EntryDep,$P464)))</f>
        <v/>
      </c>
      <c r="I464" s="29">
        <f>IF($P464="","",IF(INDEX(EntryWit,$P464)=0,"",INDEX(EntryWit,$P464)))</f>
        <v/>
      </c>
      <c r="J464" s="29">
        <f>IF($B464="","",IF($A464=1,$C$7,IF(J463="",0,J463))+IF($H464="",0,$H464)-IF($I464="",0,$I464))</f>
        <v/>
      </c>
      <c r="K464" s="29">
        <f>IF($P464="","",IF(INDEX(EntryMan,$P464)=0,"",INDEX(EntryMan,$P464)))</f>
        <v/>
      </c>
      <c r="L464" s="28">
        <f>IF($B464="","",IF($K464="","—",IF(ROUND($K464-$J464,0)=0,"√","×")))</f>
        <v/>
      </c>
      <c r="M464" s="28">
        <f>IF($B464="","",IF(COUNTIFS(EntryDates,$B464,CalcTime,$C464,CalcBank,$C$5,EntryParty,$D464,EntryDep,$H464,EntryWit,$I464)&gt;1,"تکرار",""))</f>
        <v/>
      </c>
      <c r="N464" s="28">
        <f>IF($P464="","",IF(INDEX(EntryNotes,$P464)=0,"",INDEX(EntryNotes,$P464)))</f>
        <v/>
      </c>
      <c r="O464" s="28">
        <f>IF($P464="","",IF(INDEX(EntryTxnID,$P464)=0,"",INDEX(EntryTxnID,$P464)))</f>
        <v/>
      </c>
      <c r="P464" s="28">
        <f>IFERROR(MATCH($C$5&amp;"|"&amp;RIGHT("000000"&amp;448,6),CalcRankKey,0),"")</f>
        <v/>
      </c>
    </row>
    <row r="465">
      <c r="A465" s="26">
        <f>IF($B465="","",449)</f>
        <v/>
      </c>
      <c r="B465" s="26">
        <f>IF($P465="","",IF(INDEX(CalcNormDate,$P465)=0,"",INDEX(CalcNormDate,$P465)))</f>
        <v/>
      </c>
      <c r="C465" s="26">
        <f>IF($P465="","",IF(INDEX(CalcTime,$P465)=0,"",INDEX(CalcTime,$P465)))</f>
        <v/>
      </c>
      <c r="D465" s="26">
        <f>IF($P465="","",IF(INDEX(EntryParty,$P465)=0,"",INDEX(EntryParty,$P465)))</f>
        <v/>
      </c>
      <c r="E465" s="26">
        <f>IF($P465="","",IF(INDEX(EntryPartyName,$P465)=0,"",INDEX(EntryPartyName,$P465)))</f>
        <v/>
      </c>
      <c r="F465" s="26">
        <f>IF($P465="","",IF(INDEX(EntryPartyType,$P465)=0,"",INDEX(EntryPartyType,$P465)))</f>
        <v/>
      </c>
      <c r="G465" s="26">
        <f>IF($P465="","",IF(INDEX(EntryTxnType,$P465)=0,"",INDEX(EntryTxnType,$P465)))</f>
        <v/>
      </c>
      <c r="H465" s="27">
        <f>IF($P465="","",IF(INDEX(EntryDep,$P465)=0,"",INDEX(EntryDep,$P465)))</f>
        <v/>
      </c>
      <c r="I465" s="27">
        <f>IF($P465="","",IF(INDEX(EntryWit,$P465)=0,"",INDEX(EntryWit,$P465)))</f>
        <v/>
      </c>
      <c r="J465" s="27">
        <f>IF($B465="","",IF($A465=1,$C$7,IF(J464="",0,J464))+IF($H465="",0,$H465)-IF($I465="",0,$I465))</f>
        <v/>
      </c>
      <c r="K465" s="27">
        <f>IF($P465="","",IF(INDEX(EntryMan,$P465)=0,"",INDEX(EntryMan,$P465)))</f>
        <v/>
      </c>
      <c r="L465" s="26">
        <f>IF($B465="","",IF($K465="","—",IF(ROUND($K465-$J465,0)=0,"√","×")))</f>
        <v/>
      </c>
      <c r="M465" s="26">
        <f>IF($B465="","",IF(COUNTIFS(EntryDates,$B465,CalcTime,$C465,CalcBank,$C$5,EntryParty,$D465,EntryDep,$H465,EntryWit,$I465)&gt;1,"تکرار",""))</f>
        <v/>
      </c>
      <c r="N465" s="26">
        <f>IF($P465="","",IF(INDEX(EntryNotes,$P465)=0,"",INDEX(EntryNotes,$P465)))</f>
        <v/>
      </c>
      <c r="O465" s="26">
        <f>IF($P465="","",IF(INDEX(EntryTxnID,$P465)=0,"",INDEX(EntryTxnID,$P465)))</f>
        <v/>
      </c>
      <c r="P465" s="26">
        <f>IFERROR(MATCH($C$5&amp;"|"&amp;RIGHT("000000"&amp;449,6),CalcRankKey,0),"")</f>
        <v/>
      </c>
    </row>
    <row r="466">
      <c r="A466" s="28">
        <f>IF($B466="","",450)</f>
        <v/>
      </c>
      <c r="B466" s="28">
        <f>IF($P466="","",IF(INDEX(CalcNormDate,$P466)=0,"",INDEX(CalcNormDate,$P466)))</f>
        <v/>
      </c>
      <c r="C466" s="28">
        <f>IF($P466="","",IF(INDEX(CalcTime,$P466)=0,"",INDEX(CalcTime,$P466)))</f>
        <v/>
      </c>
      <c r="D466" s="28">
        <f>IF($P466="","",IF(INDEX(EntryParty,$P466)=0,"",INDEX(EntryParty,$P466)))</f>
        <v/>
      </c>
      <c r="E466" s="28">
        <f>IF($P466="","",IF(INDEX(EntryPartyName,$P466)=0,"",INDEX(EntryPartyName,$P466)))</f>
        <v/>
      </c>
      <c r="F466" s="28">
        <f>IF($P466="","",IF(INDEX(EntryPartyType,$P466)=0,"",INDEX(EntryPartyType,$P466)))</f>
        <v/>
      </c>
      <c r="G466" s="28">
        <f>IF($P466="","",IF(INDEX(EntryTxnType,$P466)=0,"",INDEX(EntryTxnType,$P466)))</f>
        <v/>
      </c>
      <c r="H466" s="29">
        <f>IF($P466="","",IF(INDEX(EntryDep,$P466)=0,"",INDEX(EntryDep,$P466)))</f>
        <v/>
      </c>
      <c r="I466" s="29">
        <f>IF($P466="","",IF(INDEX(EntryWit,$P466)=0,"",INDEX(EntryWit,$P466)))</f>
        <v/>
      </c>
      <c r="J466" s="29">
        <f>IF($B466="","",IF($A466=1,$C$7,IF(J465="",0,J465))+IF($H466="",0,$H466)-IF($I466="",0,$I466))</f>
        <v/>
      </c>
      <c r="K466" s="29">
        <f>IF($P466="","",IF(INDEX(EntryMan,$P466)=0,"",INDEX(EntryMan,$P466)))</f>
        <v/>
      </c>
      <c r="L466" s="28">
        <f>IF($B466="","",IF($K466="","—",IF(ROUND($K466-$J466,0)=0,"√","×")))</f>
        <v/>
      </c>
      <c r="M466" s="28">
        <f>IF($B466="","",IF(COUNTIFS(EntryDates,$B466,CalcTime,$C466,CalcBank,$C$5,EntryParty,$D466,EntryDep,$H466,EntryWit,$I466)&gt;1,"تکرار",""))</f>
        <v/>
      </c>
      <c r="N466" s="28">
        <f>IF($P466="","",IF(INDEX(EntryNotes,$P466)=0,"",INDEX(EntryNotes,$P466)))</f>
        <v/>
      </c>
      <c r="O466" s="28">
        <f>IF($P466="","",IF(INDEX(EntryTxnID,$P466)=0,"",INDEX(EntryTxnID,$P466)))</f>
        <v/>
      </c>
      <c r="P466" s="28">
        <f>IFERROR(MATCH($C$5&amp;"|"&amp;RIGHT("000000"&amp;450,6),CalcRankKey,0),"")</f>
        <v/>
      </c>
    </row>
    <row r="467">
      <c r="A467" s="26">
        <f>IF($B467="","",451)</f>
        <v/>
      </c>
      <c r="B467" s="26">
        <f>IF($P467="","",IF(INDEX(CalcNormDate,$P467)=0,"",INDEX(CalcNormDate,$P467)))</f>
        <v/>
      </c>
      <c r="C467" s="26">
        <f>IF($P467="","",IF(INDEX(CalcTime,$P467)=0,"",INDEX(CalcTime,$P467)))</f>
        <v/>
      </c>
      <c r="D467" s="26">
        <f>IF($P467="","",IF(INDEX(EntryParty,$P467)=0,"",INDEX(EntryParty,$P467)))</f>
        <v/>
      </c>
      <c r="E467" s="26">
        <f>IF($P467="","",IF(INDEX(EntryPartyName,$P467)=0,"",INDEX(EntryPartyName,$P467)))</f>
        <v/>
      </c>
      <c r="F467" s="26">
        <f>IF($P467="","",IF(INDEX(EntryPartyType,$P467)=0,"",INDEX(EntryPartyType,$P467)))</f>
        <v/>
      </c>
      <c r="G467" s="26">
        <f>IF($P467="","",IF(INDEX(EntryTxnType,$P467)=0,"",INDEX(EntryTxnType,$P467)))</f>
        <v/>
      </c>
      <c r="H467" s="27">
        <f>IF($P467="","",IF(INDEX(EntryDep,$P467)=0,"",INDEX(EntryDep,$P467)))</f>
        <v/>
      </c>
      <c r="I467" s="27">
        <f>IF($P467="","",IF(INDEX(EntryWit,$P467)=0,"",INDEX(EntryWit,$P467)))</f>
        <v/>
      </c>
      <c r="J467" s="27">
        <f>IF($B467="","",IF($A467=1,$C$7,IF(J466="",0,J466))+IF($H467="",0,$H467)-IF($I467="",0,$I467))</f>
        <v/>
      </c>
      <c r="K467" s="27">
        <f>IF($P467="","",IF(INDEX(EntryMan,$P467)=0,"",INDEX(EntryMan,$P467)))</f>
        <v/>
      </c>
      <c r="L467" s="26">
        <f>IF($B467="","",IF($K467="","—",IF(ROUND($K467-$J467,0)=0,"√","×")))</f>
        <v/>
      </c>
      <c r="M467" s="26">
        <f>IF($B467="","",IF(COUNTIFS(EntryDates,$B467,CalcTime,$C467,CalcBank,$C$5,EntryParty,$D467,EntryDep,$H467,EntryWit,$I467)&gt;1,"تکرار",""))</f>
        <v/>
      </c>
      <c r="N467" s="26">
        <f>IF($P467="","",IF(INDEX(EntryNotes,$P467)=0,"",INDEX(EntryNotes,$P467)))</f>
        <v/>
      </c>
      <c r="O467" s="26">
        <f>IF($P467="","",IF(INDEX(EntryTxnID,$P467)=0,"",INDEX(EntryTxnID,$P467)))</f>
        <v/>
      </c>
      <c r="P467" s="26">
        <f>IFERROR(MATCH($C$5&amp;"|"&amp;RIGHT("000000"&amp;451,6),CalcRankKey,0),"")</f>
        <v/>
      </c>
    </row>
    <row r="468">
      <c r="A468" s="28">
        <f>IF($B468="","",452)</f>
        <v/>
      </c>
      <c r="B468" s="28">
        <f>IF($P468="","",IF(INDEX(CalcNormDate,$P468)=0,"",INDEX(CalcNormDate,$P468)))</f>
        <v/>
      </c>
      <c r="C468" s="28">
        <f>IF($P468="","",IF(INDEX(CalcTime,$P468)=0,"",INDEX(CalcTime,$P468)))</f>
        <v/>
      </c>
      <c r="D468" s="28">
        <f>IF($P468="","",IF(INDEX(EntryParty,$P468)=0,"",INDEX(EntryParty,$P468)))</f>
        <v/>
      </c>
      <c r="E468" s="28">
        <f>IF($P468="","",IF(INDEX(EntryPartyName,$P468)=0,"",INDEX(EntryPartyName,$P468)))</f>
        <v/>
      </c>
      <c r="F468" s="28">
        <f>IF($P468="","",IF(INDEX(EntryPartyType,$P468)=0,"",INDEX(EntryPartyType,$P468)))</f>
        <v/>
      </c>
      <c r="G468" s="28">
        <f>IF($P468="","",IF(INDEX(EntryTxnType,$P468)=0,"",INDEX(EntryTxnType,$P468)))</f>
        <v/>
      </c>
      <c r="H468" s="29">
        <f>IF($P468="","",IF(INDEX(EntryDep,$P468)=0,"",INDEX(EntryDep,$P468)))</f>
        <v/>
      </c>
      <c r="I468" s="29">
        <f>IF($P468="","",IF(INDEX(EntryWit,$P468)=0,"",INDEX(EntryWit,$P468)))</f>
        <v/>
      </c>
      <c r="J468" s="29">
        <f>IF($B468="","",IF($A468=1,$C$7,IF(J467="",0,J467))+IF($H468="",0,$H468)-IF($I468="",0,$I468))</f>
        <v/>
      </c>
      <c r="K468" s="29">
        <f>IF($P468="","",IF(INDEX(EntryMan,$P468)=0,"",INDEX(EntryMan,$P468)))</f>
        <v/>
      </c>
      <c r="L468" s="28">
        <f>IF($B468="","",IF($K468="","—",IF(ROUND($K468-$J468,0)=0,"√","×")))</f>
        <v/>
      </c>
      <c r="M468" s="28">
        <f>IF($B468="","",IF(COUNTIFS(EntryDates,$B468,CalcTime,$C468,CalcBank,$C$5,EntryParty,$D468,EntryDep,$H468,EntryWit,$I468)&gt;1,"تکرار",""))</f>
        <v/>
      </c>
      <c r="N468" s="28">
        <f>IF($P468="","",IF(INDEX(EntryNotes,$P468)=0,"",INDEX(EntryNotes,$P468)))</f>
        <v/>
      </c>
      <c r="O468" s="28">
        <f>IF($P468="","",IF(INDEX(EntryTxnID,$P468)=0,"",INDEX(EntryTxnID,$P468)))</f>
        <v/>
      </c>
      <c r="P468" s="28">
        <f>IFERROR(MATCH($C$5&amp;"|"&amp;RIGHT("000000"&amp;452,6),CalcRankKey,0),"")</f>
        <v/>
      </c>
    </row>
    <row r="469">
      <c r="A469" s="26">
        <f>IF($B469="","",453)</f>
        <v/>
      </c>
      <c r="B469" s="26">
        <f>IF($P469="","",IF(INDEX(CalcNormDate,$P469)=0,"",INDEX(CalcNormDate,$P469)))</f>
        <v/>
      </c>
      <c r="C469" s="26">
        <f>IF($P469="","",IF(INDEX(CalcTime,$P469)=0,"",INDEX(CalcTime,$P469)))</f>
        <v/>
      </c>
      <c r="D469" s="26">
        <f>IF($P469="","",IF(INDEX(EntryParty,$P469)=0,"",INDEX(EntryParty,$P469)))</f>
        <v/>
      </c>
      <c r="E469" s="26">
        <f>IF($P469="","",IF(INDEX(EntryPartyName,$P469)=0,"",INDEX(EntryPartyName,$P469)))</f>
        <v/>
      </c>
      <c r="F469" s="26">
        <f>IF($P469="","",IF(INDEX(EntryPartyType,$P469)=0,"",INDEX(EntryPartyType,$P469)))</f>
        <v/>
      </c>
      <c r="G469" s="26">
        <f>IF($P469="","",IF(INDEX(EntryTxnType,$P469)=0,"",INDEX(EntryTxnType,$P469)))</f>
        <v/>
      </c>
      <c r="H469" s="27">
        <f>IF($P469="","",IF(INDEX(EntryDep,$P469)=0,"",INDEX(EntryDep,$P469)))</f>
        <v/>
      </c>
      <c r="I469" s="27">
        <f>IF($P469="","",IF(INDEX(EntryWit,$P469)=0,"",INDEX(EntryWit,$P469)))</f>
        <v/>
      </c>
      <c r="J469" s="27">
        <f>IF($B469="","",IF($A469=1,$C$7,IF(J468="",0,J468))+IF($H469="",0,$H469)-IF($I469="",0,$I469))</f>
        <v/>
      </c>
      <c r="K469" s="27">
        <f>IF($P469="","",IF(INDEX(EntryMan,$P469)=0,"",INDEX(EntryMan,$P469)))</f>
        <v/>
      </c>
      <c r="L469" s="26">
        <f>IF($B469="","",IF($K469="","—",IF(ROUND($K469-$J469,0)=0,"√","×")))</f>
        <v/>
      </c>
      <c r="M469" s="26">
        <f>IF($B469="","",IF(COUNTIFS(EntryDates,$B469,CalcTime,$C469,CalcBank,$C$5,EntryParty,$D469,EntryDep,$H469,EntryWit,$I469)&gt;1,"تکرار",""))</f>
        <v/>
      </c>
      <c r="N469" s="26">
        <f>IF($P469="","",IF(INDEX(EntryNotes,$P469)=0,"",INDEX(EntryNotes,$P469)))</f>
        <v/>
      </c>
      <c r="O469" s="26">
        <f>IF($P469="","",IF(INDEX(EntryTxnID,$P469)=0,"",INDEX(EntryTxnID,$P469)))</f>
        <v/>
      </c>
      <c r="P469" s="26">
        <f>IFERROR(MATCH($C$5&amp;"|"&amp;RIGHT("000000"&amp;453,6),CalcRankKey,0),"")</f>
        <v/>
      </c>
    </row>
    <row r="470">
      <c r="A470" s="28">
        <f>IF($B470="","",454)</f>
        <v/>
      </c>
      <c r="B470" s="28">
        <f>IF($P470="","",IF(INDEX(CalcNormDate,$P470)=0,"",INDEX(CalcNormDate,$P470)))</f>
        <v/>
      </c>
      <c r="C470" s="28">
        <f>IF($P470="","",IF(INDEX(CalcTime,$P470)=0,"",INDEX(CalcTime,$P470)))</f>
        <v/>
      </c>
      <c r="D470" s="28">
        <f>IF($P470="","",IF(INDEX(EntryParty,$P470)=0,"",INDEX(EntryParty,$P470)))</f>
        <v/>
      </c>
      <c r="E470" s="28">
        <f>IF($P470="","",IF(INDEX(EntryPartyName,$P470)=0,"",INDEX(EntryPartyName,$P470)))</f>
        <v/>
      </c>
      <c r="F470" s="28">
        <f>IF($P470="","",IF(INDEX(EntryPartyType,$P470)=0,"",INDEX(EntryPartyType,$P470)))</f>
        <v/>
      </c>
      <c r="G470" s="28">
        <f>IF($P470="","",IF(INDEX(EntryTxnType,$P470)=0,"",INDEX(EntryTxnType,$P470)))</f>
        <v/>
      </c>
      <c r="H470" s="29">
        <f>IF($P470="","",IF(INDEX(EntryDep,$P470)=0,"",INDEX(EntryDep,$P470)))</f>
        <v/>
      </c>
      <c r="I470" s="29">
        <f>IF($P470="","",IF(INDEX(EntryWit,$P470)=0,"",INDEX(EntryWit,$P470)))</f>
        <v/>
      </c>
      <c r="J470" s="29">
        <f>IF($B470="","",IF($A470=1,$C$7,IF(J469="",0,J469))+IF($H470="",0,$H470)-IF($I470="",0,$I470))</f>
        <v/>
      </c>
      <c r="K470" s="29">
        <f>IF($P470="","",IF(INDEX(EntryMan,$P470)=0,"",INDEX(EntryMan,$P470)))</f>
        <v/>
      </c>
      <c r="L470" s="28">
        <f>IF($B470="","",IF($K470="","—",IF(ROUND($K470-$J470,0)=0,"√","×")))</f>
        <v/>
      </c>
      <c r="M470" s="28">
        <f>IF($B470="","",IF(COUNTIFS(EntryDates,$B470,CalcTime,$C470,CalcBank,$C$5,EntryParty,$D470,EntryDep,$H470,EntryWit,$I470)&gt;1,"تکرار",""))</f>
        <v/>
      </c>
      <c r="N470" s="28">
        <f>IF($P470="","",IF(INDEX(EntryNotes,$P470)=0,"",INDEX(EntryNotes,$P470)))</f>
        <v/>
      </c>
      <c r="O470" s="28">
        <f>IF($P470="","",IF(INDEX(EntryTxnID,$P470)=0,"",INDEX(EntryTxnID,$P470)))</f>
        <v/>
      </c>
      <c r="P470" s="28">
        <f>IFERROR(MATCH($C$5&amp;"|"&amp;RIGHT("000000"&amp;454,6),CalcRankKey,0),"")</f>
        <v/>
      </c>
    </row>
    <row r="471">
      <c r="A471" s="26">
        <f>IF($B471="","",455)</f>
        <v/>
      </c>
      <c r="B471" s="26">
        <f>IF($P471="","",IF(INDEX(CalcNormDate,$P471)=0,"",INDEX(CalcNormDate,$P471)))</f>
        <v/>
      </c>
      <c r="C471" s="26">
        <f>IF($P471="","",IF(INDEX(CalcTime,$P471)=0,"",INDEX(CalcTime,$P471)))</f>
        <v/>
      </c>
      <c r="D471" s="26">
        <f>IF($P471="","",IF(INDEX(EntryParty,$P471)=0,"",INDEX(EntryParty,$P471)))</f>
        <v/>
      </c>
      <c r="E471" s="26">
        <f>IF($P471="","",IF(INDEX(EntryPartyName,$P471)=0,"",INDEX(EntryPartyName,$P471)))</f>
        <v/>
      </c>
      <c r="F471" s="26">
        <f>IF($P471="","",IF(INDEX(EntryPartyType,$P471)=0,"",INDEX(EntryPartyType,$P471)))</f>
        <v/>
      </c>
      <c r="G471" s="26">
        <f>IF($P471="","",IF(INDEX(EntryTxnType,$P471)=0,"",INDEX(EntryTxnType,$P471)))</f>
        <v/>
      </c>
      <c r="H471" s="27">
        <f>IF($P471="","",IF(INDEX(EntryDep,$P471)=0,"",INDEX(EntryDep,$P471)))</f>
        <v/>
      </c>
      <c r="I471" s="27">
        <f>IF($P471="","",IF(INDEX(EntryWit,$P471)=0,"",INDEX(EntryWit,$P471)))</f>
        <v/>
      </c>
      <c r="J471" s="27">
        <f>IF($B471="","",IF($A471=1,$C$7,IF(J470="",0,J470))+IF($H471="",0,$H471)-IF($I471="",0,$I471))</f>
        <v/>
      </c>
      <c r="K471" s="27">
        <f>IF($P471="","",IF(INDEX(EntryMan,$P471)=0,"",INDEX(EntryMan,$P471)))</f>
        <v/>
      </c>
      <c r="L471" s="26">
        <f>IF($B471="","",IF($K471="","—",IF(ROUND($K471-$J471,0)=0,"√","×")))</f>
        <v/>
      </c>
      <c r="M471" s="26">
        <f>IF($B471="","",IF(COUNTIFS(EntryDates,$B471,CalcTime,$C471,CalcBank,$C$5,EntryParty,$D471,EntryDep,$H471,EntryWit,$I471)&gt;1,"تکرار",""))</f>
        <v/>
      </c>
      <c r="N471" s="26">
        <f>IF($P471="","",IF(INDEX(EntryNotes,$P471)=0,"",INDEX(EntryNotes,$P471)))</f>
        <v/>
      </c>
      <c r="O471" s="26">
        <f>IF($P471="","",IF(INDEX(EntryTxnID,$P471)=0,"",INDEX(EntryTxnID,$P471)))</f>
        <v/>
      </c>
      <c r="P471" s="26">
        <f>IFERROR(MATCH($C$5&amp;"|"&amp;RIGHT("000000"&amp;455,6),CalcRankKey,0),"")</f>
        <v/>
      </c>
    </row>
    <row r="472">
      <c r="A472" s="28">
        <f>IF($B472="","",456)</f>
        <v/>
      </c>
      <c r="B472" s="28">
        <f>IF($P472="","",IF(INDEX(CalcNormDate,$P472)=0,"",INDEX(CalcNormDate,$P472)))</f>
        <v/>
      </c>
      <c r="C472" s="28">
        <f>IF($P472="","",IF(INDEX(CalcTime,$P472)=0,"",INDEX(CalcTime,$P472)))</f>
        <v/>
      </c>
      <c r="D472" s="28">
        <f>IF($P472="","",IF(INDEX(EntryParty,$P472)=0,"",INDEX(EntryParty,$P472)))</f>
        <v/>
      </c>
      <c r="E472" s="28">
        <f>IF($P472="","",IF(INDEX(EntryPartyName,$P472)=0,"",INDEX(EntryPartyName,$P472)))</f>
        <v/>
      </c>
      <c r="F472" s="28">
        <f>IF($P472="","",IF(INDEX(EntryPartyType,$P472)=0,"",INDEX(EntryPartyType,$P472)))</f>
        <v/>
      </c>
      <c r="G472" s="28">
        <f>IF($P472="","",IF(INDEX(EntryTxnType,$P472)=0,"",INDEX(EntryTxnType,$P472)))</f>
        <v/>
      </c>
      <c r="H472" s="29">
        <f>IF($P472="","",IF(INDEX(EntryDep,$P472)=0,"",INDEX(EntryDep,$P472)))</f>
        <v/>
      </c>
      <c r="I472" s="29">
        <f>IF($P472="","",IF(INDEX(EntryWit,$P472)=0,"",INDEX(EntryWit,$P472)))</f>
        <v/>
      </c>
      <c r="J472" s="29">
        <f>IF($B472="","",IF($A472=1,$C$7,IF(J471="",0,J471))+IF($H472="",0,$H472)-IF($I472="",0,$I472))</f>
        <v/>
      </c>
      <c r="K472" s="29">
        <f>IF($P472="","",IF(INDEX(EntryMan,$P472)=0,"",INDEX(EntryMan,$P472)))</f>
        <v/>
      </c>
      <c r="L472" s="28">
        <f>IF($B472="","",IF($K472="","—",IF(ROUND($K472-$J472,0)=0,"√","×")))</f>
        <v/>
      </c>
      <c r="M472" s="28">
        <f>IF($B472="","",IF(COUNTIFS(EntryDates,$B472,CalcTime,$C472,CalcBank,$C$5,EntryParty,$D472,EntryDep,$H472,EntryWit,$I472)&gt;1,"تکرار",""))</f>
        <v/>
      </c>
      <c r="N472" s="28">
        <f>IF($P472="","",IF(INDEX(EntryNotes,$P472)=0,"",INDEX(EntryNotes,$P472)))</f>
        <v/>
      </c>
      <c r="O472" s="28">
        <f>IF($P472="","",IF(INDEX(EntryTxnID,$P472)=0,"",INDEX(EntryTxnID,$P472)))</f>
        <v/>
      </c>
      <c r="P472" s="28">
        <f>IFERROR(MATCH($C$5&amp;"|"&amp;RIGHT("000000"&amp;456,6),CalcRankKey,0),"")</f>
        <v/>
      </c>
    </row>
    <row r="473">
      <c r="A473" s="26">
        <f>IF($B473="","",457)</f>
        <v/>
      </c>
      <c r="B473" s="26">
        <f>IF($P473="","",IF(INDEX(CalcNormDate,$P473)=0,"",INDEX(CalcNormDate,$P473)))</f>
        <v/>
      </c>
      <c r="C473" s="26">
        <f>IF($P473="","",IF(INDEX(CalcTime,$P473)=0,"",INDEX(CalcTime,$P473)))</f>
        <v/>
      </c>
      <c r="D473" s="26">
        <f>IF($P473="","",IF(INDEX(EntryParty,$P473)=0,"",INDEX(EntryParty,$P473)))</f>
        <v/>
      </c>
      <c r="E473" s="26">
        <f>IF($P473="","",IF(INDEX(EntryPartyName,$P473)=0,"",INDEX(EntryPartyName,$P473)))</f>
        <v/>
      </c>
      <c r="F473" s="26">
        <f>IF($P473="","",IF(INDEX(EntryPartyType,$P473)=0,"",INDEX(EntryPartyType,$P473)))</f>
        <v/>
      </c>
      <c r="G473" s="26">
        <f>IF($P473="","",IF(INDEX(EntryTxnType,$P473)=0,"",INDEX(EntryTxnType,$P473)))</f>
        <v/>
      </c>
      <c r="H473" s="27">
        <f>IF($P473="","",IF(INDEX(EntryDep,$P473)=0,"",INDEX(EntryDep,$P473)))</f>
        <v/>
      </c>
      <c r="I473" s="27">
        <f>IF($P473="","",IF(INDEX(EntryWit,$P473)=0,"",INDEX(EntryWit,$P473)))</f>
        <v/>
      </c>
      <c r="J473" s="27">
        <f>IF($B473="","",IF($A473=1,$C$7,IF(J472="",0,J472))+IF($H473="",0,$H473)-IF($I473="",0,$I473))</f>
        <v/>
      </c>
      <c r="K473" s="27">
        <f>IF($P473="","",IF(INDEX(EntryMan,$P473)=0,"",INDEX(EntryMan,$P473)))</f>
        <v/>
      </c>
      <c r="L473" s="26">
        <f>IF($B473="","",IF($K473="","—",IF(ROUND($K473-$J473,0)=0,"√","×")))</f>
        <v/>
      </c>
      <c r="M473" s="26">
        <f>IF($B473="","",IF(COUNTIFS(EntryDates,$B473,CalcTime,$C473,CalcBank,$C$5,EntryParty,$D473,EntryDep,$H473,EntryWit,$I473)&gt;1,"تکرار",""))</f>
        <v/>
      </c>
      <c r="N473" s="26">
        <f>IF($P473="","",IF(INDEX(EntryNotes,$P473)=0,"",INDEX(EntryNotes,$P473)))</f>
        <v/>
      </c>
      <c r="O473" s="26">
        <f>IF($P473="","",IF(INDEX(EntryTxnID,$P473)=0,"",INDEX(EntryTxnID,$P473)))</f>
        <v/>
      </c>
      <c r="P473" s="26">
        <f>IFERROR(MATCH($C$5&amp;"|"&amp;RIGHT("000000"&amp;457,6),CalcRankKey,0),"")</f>
        <v/>
      </c>
    </row>
    <row r="474">
      <c r="A474" s="28">
        <f>IF($B474="","",458)</f>
        <v/>
      </c>
      <c r="B474" s="28">
        <f>IF($P474="","",IF(INDEX(CalcNormDate,$P474)=0,"",INDEX(CalcNormDate,$P474)))</f>
        <v/>
      </c>
      <c r="C474" s="28">
        <f>IF($P474="","",IF(INDEX(CalcTime,$P474)=0,"",INDEX(CalcTime,$P474)))</f>
        <v/>
      </c>
      <c r="D474" s="28">
        <f>IF($P474="","",IF(INDEX(EntryParty,$P474)=0,"",INDEX(EntryParty,$P474)))</f>
        <v/>
      </c>
      <c r="E474" s="28">
        <f>IF($P474="","",IF(INDEX(EntryPartyName,$P474)=0,"",INDEX(EntryPartyName,$P474)))</f>
        <v/>
      </c>
      <c r="F474" s="28">
        <f>IF($P474="","",IF(INDEX(EntryPartyType,$P474)=0,"",INDEX(EntryPartyType,$P474)))</f>
        <v/>
      </c>
      <c r="G474" s="28">
        <f>IF($P474="","",IF(INDEX(EntryTxnType,$P474)=0,"",INDEX(EntryTxnType,$P474)))</f>
        <v/>
      </c>
      <c r="H474" s="29">
        <f>IF($P474="","",IF(INDEX(EntryDep,$P474)=0,"",INDEX(EntryDep,$P474)))</f>
        <v/>
      </c>
      <c r="I474" s="29">
        <f>IF($P474="","",IF(INDEX(EntryWit,$P474)=0,"",INDEX(EntryWit,$P474)))</f>
        <v/>
      </c>
      <c r="J474" s="29">
        <f>IF($B474="","",IF($A474=1,$C$7,IF(J473="",0,J473))+IF($H474="",0,$H474)-IF($I474="",0,$I474))</f>
        <v/>
      </c>
      <c r="K474" s="29">
        <f>IF($P474="","",IF(INDEX(EntryMan,$P474)=0,"",INDEX(EntryMan,$P474)))</f>
        <v/>
      </c>
      <c r="L474" s="28">
        <f>IF($B474="","",IF($K474="","—",IF(ROUND($K474-$J474,0)=0,"√","×")))</f>
        <v/>
      </c>
      <c r="M474" s="28">
        <f>IF($B474="","",IF(COUNTIFS(EntryDates,$B474,CalcTime,$C474,CalcBank,$C$5,EntryParty,$D474,EntryDep,$H474,EntryWit,$I474)&gt;1,"تکرار",""))</f>
        <v/>
      </c>
      <c r="N474" s="28">
        <f>IF($P474="","",IF(INDEX(EntryNotes,$P474)=0,"",INDEX(EntryNotes,$P474)))</f>
        <v/>
      </c>
      <c r="O474" s="28">
        <f>IF($P474="","",IF(INDEX(EntryTxnID,$P474)=0,"",INDEX(EntryTxnID,$P474)))</f>
        <v/>
      </c>
      <c r="P474" s="28">
        <f>IFERROR(MATCH($C$5&amp;"|"&amp;RIGHT("000000"&amp;458,6),CalcRankKey,0),"")</f>
        <v/>
      </c>
    </row>
    <row r="475">
      <c r="A475" s="26">
        <f>IF($B475="","",459)</f>
        <v/>
      </c>
      <c r="B475" s="26">
        <f>IF($P475="","",IF(INDEX(CalcNormDate,$P475)=0,"",INDEX(CalcNormDate,$P475)))</f>
        <v/>
      </c>
      <c r="C475" s="26">
        <f>IF($P475="","",IF(INDEX(CalcTime,$P475)=0,"",INDEX(CalcTime,$P475)))</f>
        <v/>
      </c>
      <c r="D475" s="26">
        <f>IF($P475="","",IF(INDEX(EntryParty,$P475)=0,"",INDEX(EntryParty,$P475)))</f>
        <v/>
      </c>
      <c r="E475" s="26">
        <f>IF($P475="","",IF(INDEX(EntryPartyName,$P475)=0,"",INDEX(EntryPartyName,$P475)))</f>
        <v/>
      </c>
      <c r="F475" s="26">
        <f>IF($P475="","",IF(INDEX(EntryPartyType,$P475)=0,"",INDEX(EntryPartyType,$P475)))</f>
        <v/>
      </c>
      <c r="G475" s="26">
        <f>IF($P475="","",IF(INDEX(EntryTxnType,$P475)=0,"",INDEX(EntryTxnType,$P475)))</f>
        <v/>
      </c>
      <c r="H475" s="27">
        <f>IF($P475="","",IF(INDEX(EntryDep,$P475)=0,"",INDEX(EntryDep,$P475)))</f>
        <v/>
      </c>
      <c r="I475" s="27">
        <f>IF($P475="","",IF(INDEX(EntryWit,$P475)=0,"",INDEX(EntryWit,$P475)))</f>
        <v/>
      </c>
      <c r="J475" s="27">
        <f>IF($B475="","",IF($A475=1,$C$7,IF(J474="",0,J474))+IF($H475="",0,$H475)-IF($I475="",0,$I475))</f>
        <v/>
      </c>
      <c r="K475" s="27">
        <f>IF($P475="","",IF(INDEX(EntryMan,$P475)=0,"",INDEX(EntryMan,$P475)))</f>
        <v/>
      </c>
      <c r="L475" s="26">
        <f>IF($B475="","",IF($K475="","—",IF(ROUND($K475-$J475,0)=0,"√","×")))</f>
        <v/>
      </c>
      <c r="M475" s="26">
        <f>IF($B475="","",IF(COUNTIFS(EntryDates,$B475,CalcTime,$C475,CalcBank,$C$5,EntryParty,$D475,EntryDep,$H475,EntryWit,$I475)&gt;1,"تکرار",""))</f>
        <v/>
      </c>
      <c r="N475" s="26">
        <f>IF($P475="","",IF(INDEX(EntryNotes,$P475)=0,"",INDEX(EntryNotes,$P475)))</f>
        <v/>
      </c>
      <c r="O475" s="26">
        <f>IF($P475="","",IF(INDEX(EntryTxnID,$P475)=0,"",INDEX(EntryTxnID,$P475)))</f>
        <v/>
      </c>
      <c r="P475" s="26">
        <f>IFERROR(MATCH($C$5&amp;"|"&amp;RIGHT("000000"&amp;459,6),CalcRankKey,0),"")</f>
        <v/>
      </c>
    </row>
    <row r="476">
      <c r="A476" s="28">
        <f>IF($B476="","",460)</f>
        <v/>
      </c>
      <c r="B476" s="28">
        <f>IF($P476="","",IF(INDEX(CalcNormDate,$P476)=0,"",INDEX(CalcNormDate,$P476)))</f>
        <v/>
      </c>
      <c r="C476" s="28">
        <f>IF($P476="","",IF(INDEX(CalcTime,$P476)=0,"",INDEX(CalcTime,$P476)))</f>
        <v/>
      </c>
      <c r="D476" s="28">
        <f>IF($P476="","",IF(INDEX(EntryParty,$P476)=0,"",INDEX(EntryParty,$P476)))</f>
        <v/>
      </c>
      <c r="E476" s="28">
        <f>IF($P476="","",IF(INDEX(EntryPartyName,$P476)=0,"",INDEX(EntryPartyName,$P476)))</f>
        <v/>
      </c>
      <c r="F476" s="28">
        <f>IF($P476="","",IF(INDEX(EntryPartyType,$P476)=0,"",INDEX(EntryPartyType,$P476)))</f>
        <v/>
      </c>
      <c r="G476" s="28">
        <f>IF($P476="","",IF(INDEX(EntryTxnType,$P476)=0,"",INDEX(EntryTxnType,$P476)))</f>
        <v/>
      </c>
      <c r="H476" s="29">
        <f>IF($P476="","",IF(INDEX(EntryDep,$P476)=0,"",INDEX(EntryDep,$P476)))</f>
        <v/>
      </c>
      <c r="I476" s="29">
        <f>IF($P476="","",IF(INDEX(EntryWit,$P476)=0,"",INDEX(EntryWit,$P476)))</f>
        <v/>
      </c>
      <c r="J476" s="29">
        <f>IF($B476="","",IF($A476=1,$C$7,IF(J475="",0,J475))+IF($H476="",0,$H476)-IF($I476="",0,$I476))</f>
        <v/>
      </c>
      <c r="K476" s="29">
        <f>IF($P476="","",IF(INDEX(EntryMan,$P476)=0,"",INDEX(EntryMan,$P476)))</f>
        <v/>
      </c>
      <c r="L476" s="28">
        <f>IF($B476="","",IF($K476="","—",IF(ROUND($K476-$J476,0)=0,"√","×")))</f>
        <v/>
      </c>
      <c r="M476" s="28">
        <f>IF($B476="","",IF(COUNTIFS(EntryDates,$B476,CalcTime,$C476,CalcBank,$C$5,EntryParty,$D476,EntryDep,$H476,EntryWit,$I476)&gt;1,"تکرار",""))</f>
        <v/>
      </c>
      <c r="N476" s="28">
        <f>IF($P476="","",IF(INDEX(EntryNotes,$P476)=0,"",INDEX(EntryNotes,$P476)))</f>
        <v/>
      </c>
      <c r="O476" s="28">
        <f>IF($P476="","",IF(INDEX(EntryTxnID,$P476)=0,"",INDEX(EntryTxnID,$P476)))</f>
        <v/>
      </c>
      <c r="P476" s="28">
        <f>IFERROR(MATCH($C$5&amp;"|"&amp;RIGHT("000000"&amp;460,6),CalcRankKey,0),"")</f>
        <v/>
      </c>
    </row>
    <row r="477">
      <c r="A477" s="26">
        <f>IF($B477="","",461)</f>
        <v/>
      </c>
      <c r="B477" s="26">
        <f>IF($P477="","",IF(INDEX(CalcNormDate,$P477)=0,"",INDEX(CalcNormDate,$P477)))</f>
        <v/>
      </c>
      <c r="C477" s="26">
        <f>IF($P477="","",IF(INDEX(CalcTime,$P477)=0,"",INDEX(CalcTime,$P477)))</f>
        <v/>
      </c>
      <c r="D477" s="26">
        <f>IF($P477="","",IF(INDEX(EntryParty,$P477)=0,"",INDEX(EntryParty,$P477)))</f>
        <v/>
      </c>
      <c r="E477" s="26">
        <f>IF($P477="","",IF(INDEX(EntryPartyName,$P477)=0,"",INDEX(EntryPartyName,$P477)))</f>
        <v/>
      </c>
      <c r="F477" s="26">
        <f>IF($P477="","",IF(INDEX(EntryPartyType,$P477)=0,"",INDEX(EntryPartyType,$P477)))</f>
        <v/>
      </c>
      <c r="G477" s="26">
        <f>IF($P477="","",IF(INDEX(EntryTxnType,$P477)=0,"",INDEX(EntryTxnType,$P477)))</f>
        <v/>
      </c>
      <c r="H477" s="27">
        <f>IF($P477="","",IF(INDEX(EntryDep,$P477)=0,"",INDEX(EntryDep,$P477)))</f>
        <v/>
      </c>
      <c r="I477" s="27">
        <f>IF($P477="","",IF(INDEX(EntryWit,$P477)=0,"",INDEX(EntryWit,$P477)))</f>
        <v/>
      </c>
      <c r="J477" s="27">
        <f>IF($B477="","",IF($A477=1,$C$7,IF(J476="",0,J476))+IF($H477="",0,$H477)-IF($I477="",0,$I477))</f>
        <v/>
      </c>
      <c r="K477" s="27">
        <f>IF($P477="","",IF(INDEX(EntryMan,$P477)=0,"",INDEX(EntryMan,$P477)))</f>
        <v/>
      </c>
      <c r="L477" s="26">
        <f>IF($B477="","",IF($K477="","—",IF(ROUND($K477-$J477,0)=0,"√","×")))</f>
        <v/>
      </c>
      <c r="M477" s="26">
        <f>IF($B477="","",IF(COUNTIFS(EntryDates,$B477,CalcTime,$C477,CalcBank,$C$5,EntryParty,$D477,EntryDep,$H477,EntryWit,$I477)&gt;1,"تکرار",""))</f>
        <v/>
      </c>
      <c r="N477" s="26">
        <f>IF($P477="","",IF(INDEX(EntryNotes,$P477)=0,"",INDEX(EntryNotes,$P477)))</f>
        <v/>
      </c>
      <c r="O477" s="26">
        <f>IF($P477="","",IF(INDEX(EntryTxnID,$P477)=0,"",INDEX(EntryTxnID,$P477)))</f>
        <v/>
      </c>
      <c r="P477" s="26">
        <f>IFERROR(MATCH($C$5&amp;"|"&amp;RIGHT("000000"&amp;461,6),CalcRankKey,0),"")</f>
        <v/>
      </c>
    </row>
    <row r="478">
      <c r="A478" s="28">
        <f>IF($B478="","",462)</f>
        <v/>
      </c>
      <c r="B478" s="28">
        <f>IF($P478="","",IF(INDEX(CalcNormDate,$P478)=0,"",INDEX(CalcNormDate,$P478)))</f>
        <v/>
      </c>
      <c r="C478" s="28">
        <f>IF($P478="","",IF(INDEX(CalcTime,$P478)=0,"",INDEX(CalcTime,$P478)))</f>
        <v/>
      </c>
      <c r="D478" s="28">
        <f>IF($P478="","",IF(INDEX(EntryParty,$P478)=0,"",INDEX(EntryParty,$P478)))</f>
        <v/>
      </c>
      <c r="E478" s="28">
        <f>IF($P478="","",IF(INDEX(EntryPartyName,$P478)=0,"",INDEX(EntryPartyName,$P478)))</f>
        <v/>
      </c>
      <c r="F478" s="28">
        <f>IF($P478="","",IF(INDEX(EntryPartyType,$P478)=0,"",INDEX(EntryPartyType,$P478)))</f>
        <v/>
      </c>
      <c r="G478" s="28">
        <f>IF($P478="","",IF(INDEX(EntryTxnType,$P478)=0,"",INDEX(EntryTxnType,$P478)))</f>
        <v/>
      </c>
      <c r="H478" s="29">
        <f>IF($P478="","",IF(INDEX(EntryDep,$P478)=0,"",INDEX(EntryDep,$P478)))</f>
        <v/>
      </c>
      <c r="I478" s="29">
        <f>IF($P478="","",IF(INDEX(EntryWit,$P478)=0,"",INDEX(EntryWit,$P478)))</f>
        <v/>
      </c>
      <c r="J478" s="29">
        <f>IF($B478="","",IF($A478=1,$C$7,IF(J477="",0,J477))+IF($H478="",0,$H478)-IF($I478="",0,$I478))</f>
        <v/>
      </c>
      <c r="K478" s="29">
        <f>IF($P478="","",IF(INDEX(EntryMan,$P478)=0,"",INDEX(EntryMan,$P478)))</f>
        <v/>
      </c>
      <c r="L478" s="28">
        <f>IF($B478="","",IF($K478="","—",IF(ROUND($K478-$J478,0)=0,"√","×")))</f>
        <v/>
      </c>
      <c r="M478" s="28">
        <f>IF($B478="","",IF(COUNTIFS(EntryDates,$B478,CalcTime,$C478,CalcBank,$C$5,EntryParty,$D478,EntryDep,$H478,EntryWit,$I478)&gt;1,"تکرار",""))</f>
        <v/>
      </c>
      <c r="N478" s="28">
        <f>IF($P478="","",IF(INDEX(EntryNotes,$P478)=0,"",INDEX(EntryNotes,$P478)))</f>
        <v/>
      </c>
      <c r="O478" s="28">
        <f>IF($P478="","",IF(INDEX(EntryTxnID,$P478)=0,"",INDEX(EntryTxnID,$P478)))</f>
        <v/>
      </c>
      <c r="P478" s="28">
        <f>IFERROR(MATCH($C$5&amp;"|"&amp;RIGHT("000000"&amp;462,6),CalcRankKey,0),"")</f>
        <v/>
      </c>
    </row>
    <row r="479">
      <c r="A479" s="26">
        <f>IF($B479="","",463)</f>
        <v/>
      </c>
      <c r="B479" s="26">
        <f>IF($P479="","",IF(INDEX(CalcNormDate,$P479)=0,"",INDEX(CalcNormDate,$P479)))</f>
        <v/>
      </c>
      <c r="C479" s="26">
        <f>IF($P479="","",IF(INDEX(CalcTime,$P479)=0,"",INDEX(CalcTime,$P479)))</f>
        <v/>
      </c>
      <c r="D479" s="26">
        <f>IF($P479="","",IF(INDEX(EntryParty,$P479)=0,"",INDEX(EntryParty,$P479)))</f>
        <v/>
      </c>
      <c r="E479" s="26">
        <f>IF($P479="","",IF(INDEX(EntryPartyName,$P479)=0,"",INDEX(EntryPartyName,$P479)))</f>
        <v/>
      </c>
      <c r="F479" s="26">
        <f>IF($P479="","",IF(INDEX(EntryPartyType,$P479)=0,"",INDEX(EntryPartyType,$P479)))</f>
        <v/>
      </c>
      <c r="G479" s="26">
        <f>IF($P479="","",IF(INDEX(EntryTxnType,$P479)=0,"",INDEX(EntryTxnType,$P479)))</f>
        <v/>
      </c>
      <c r="H479" s="27">
        <f>IF($P479="","",IF(INDEX(EntryDep,$P479)=0,"",INDEX(EntryDep,$P479)))</f>
        <v/>
      </c>
      <c r="I479" s="27">
        <f>IF($P479="","",IF(INDEX(EntryWit,$P479)=0,"",INDEX(EntryWit,$P479)))</f>
        <v/>
      </c>
      <c r="J479" s="27">
        <f>IF($B479="","",IF($A479=1,$C$7,IF(J478="",0,J478))+IF($H479="",0,$H479)-IF($I479="",0,$I479))</f>
        <v/>
      </c>
      <c r="K479" s="27">
        <f>IF($P479="","",IF(INDEX(EntryMan,$P479)=0,"",INDEX(EntryMan,$P479)))</f>
        <v/>
      </c>
      <c r="L479" s="26">
        <f>IF($B479="","",IF($K479="","—",IF(ROUND($K479-$J479,0)=0,"√","×")))</f>
        <v/>
      </c>
      <c r="M479" s="26">
        <f>IF($B479="","",IF(COUNTIFS(EntryDates,$B479,CalcTime,$C479,CalcBank,$C$5,EntryParty,$D479,EntryDep,$H479,EntryWit,$I479)&gt;1,"تکرار",""))</f>
        <v/>
      </c>
      <c r="N479" s="26">
        <f>IF($P479="","",IF(INDEX(EntryNotes,$P479)=0,"",INDEX(EntryNotes,$P479)))</f>
        <v/>
      </c>
      <c r="O479" s="26">
        <f>IF($P479="","",IF(INDEX(EntryTxnID,$P479)=0,"",INDEX(EntryTxnID,$P479)))</f>
        <v/>
      </c>
      <c r="P479" s="26">
        <f>IFERROR(MATCH($C$5&amp;"|"&amp;RIGHT("000000"&amp;463,6),CalcRankKey,0),"")</f>
        <v/>
      </c>
    </row>
    <row r="480">
      <c r="A480" s="28">
        <f>IF($B480="","",464)</f>
        <v/>
      </c>
      <c r="B480" s="28">
        <f>IF($P480="","",IF(INDEX(CalcNormDate,$P480)=0,"",INDEX(CalcNormDate,$P480)))</f>
        <v/>
      </c>
      <c r="C480" s="28">
        <f>IF($P480="","",IF(INDEX(CalcTime,$P480)=0,"",INDEX(CalcTime,$P480)))</f>
        <v/>
      </c>
      <c r="D480" s="28">
        <f>IF($P480="","",IF(INDEX(EntryParty,$P480)=0,"",INDEX(EntryParty,$P480)))</f>
        <v/>
      </c>
      <c r="E480" s="28">
        <f>IF($P480="","",IF(INDEX(EntryPartyName,$P480)=0,"",INDEX(EntryPartyName,$P480)))</f>
        <v/>
      </c>
      <c r="F480" s="28">
        <f>IF($P480="","",IF(INDEX(EntryPartyType,$P480)=0,"",INDEX(EntryPartyType,$P480)))</f>
        <v/>
      </c>
      <c r="G480" s="28">
        <f>IF($P480="","",IF(INDEX(EntryTxnType,$P480)=0,"",INDEX(EntryTxnType,$P480)))</f>
        <v/>
      </c>
      <c r="H480" s="29">
        <f>IF($P480="","",IF(INDEX(EntryDep,$P480)=0,"",INDEX(EntryDep,$P480)))</f>
        <v/>
      </c>
      <c r="I480" s="29">
        <f>IF($P480="","",IF(INDEX(EntryWit,$P480)=0,"",INDEX(EntryWit,$P480)))</f>
        <v/>
      </c>
      <c r="J480" s="29">
        <f>IF($B480="","",IF($A480=1,$C$7,IF(J479="",0,J479))+IF($H480="",0,$H480)-IF($I480="",0,$I480))</f>
        <v/>
      </c>
      <c r="K480" s="29">
        <f>IF($P480="","",IF(INDEX(EntryMan,$P480)=0,"",INDEX(EntryMan,$P480)))</f>
        <v/>
      </c>
      <c r="L480" s="28">
        <f>IF($B480="","",IF($K480="","—",IF(ROUND($K480-$J480,0)=0,"√","×")))</f>
        <v/>
      </c>
      <c r="M480" s="28">
        <f>IF($B480="","",IF(COUNTIFS(EntryDates,$B480,CalcTime,$C480,CalcBank,$C$5,EntryParty,$D480,EntryDep,$H480,EntryWit,$I480)&gt;1,"تکرار",""))</f>
        <v/>
      </c>
      <c r="N480" s="28">
        <f>IF($P480="","",IF(INDEX(EntryNotes,$P480)=0,"",INDEX(EntryNotes,$P480)))</f>
        <v/>
      </c>
      <c r="O480" s="28">
        <f>IF($P480="","",IF(INDEX(EntryTxnID,$P480)=0,"",INDEX(EntryTxnID,$P480)))</f>
        <v/>
      </c>
      <c r="P480" s="28">
        <f>IFERROR(MATCH($C$5&amp;"|"&amp;RIGHT("000000"&amp;464,6),CalcRankKey,0),"")</f>
        <v/>
      </c>
    </row>
    <row r="481">
      <c r="A481" s="26">
        <f>IF($B481="","",465)</f>
        <v/>
      </c>
      <c r="B481" s="26">
        <f>IF($P481="","",IF(INDEX(CalcNormDate,$P481)=0,"",INDEX(CalcNormDate,$P481)))</f>
        <v/>
      </c>
      <c r="C481" s="26">
        <f>IF($P481="","",IF(INDEX(CalcTime,$P481)=0,"",INDEX(CalcTime,$P481)))</f>
        <v/>
      </c>
      <c r="D481" s="26">
        <f>IF($P481="","",IF(INDEX(EntryParty,$P481)=0,"",INDEX(EntryParty,$P481)))</f>
        <v/>
      </c>
      <c r="E481" s="26">
        <f>IF($P481="","",IF(INDEX(EntryPartyName,$P481)=0,"",INDEX(EntryPartyName,$P481)))</f>
        <v/>
      </c>
      <c r="F481" s="26">
        <f>IF($P481="","",IF(INDEX(EntryPartyType,$P481)=0,"",INDEX(EntryPartyType,$P481)))</f>
        <v/>
      </c>
      <c r="G481" s="26">
        <f>IF($P481="","",IF(INDEX(EntryTxnType,$P481)=0,"",INDEX(EntryTxnType,$P481)))</f>
        <v/>
      </c>
      <c r="H481" s="27">
        <f>IF($P481="","",IF(INDEX(EntryDep,$P481)=0,"",INDEX(EntryDep,$P481)))</f>
        <v/>
      </c>
      <c r="I481" s="27">
        <f>IF($P481="","",IF(INDEX(EntryWit,$P481)=0,"",INDEX(EntryWit,$P481)))</f>
        <v/>
      </c>
      <c r="J481" s="27">
        <f>IF($B481="","",IF($A481=1,$C$7,IF(J480="",0,J480))+IF($H481="",0,$H481)-IF($I481="",0,$I481))</f>
        <v/>
      </c>
      <c r="K481" s="27">
        <f>IF($P481="","",IF(INDEX(EntryMan,$P481)=0,"",INDEX(EntryMan,$P481)))</f>
        <v/>
      </c>
      <c r="L481" s="26">
        <f>IF($B481="","",IF($K481="","—",IF(ROUND($K481-$J481,0)=0,"√","×")))</f>
        <v/>
      </c>
      <c r="M481" s="26">
        <f>IF($B481="","",IF(COUNTIFS(EntryDates,$B481,CalcTime,$C481,CalcBank,$C$5,EntryParty,$D481,EntryDep,$H481,EntryWit,$I481)&gt;1,"تکرار",""))</f>
        <v/>
      </c>
      <c r="N481" s="26">
        <f>IF($P481="","",IF(INDEX(EntryNotes,$P481)=0,"",INDEX(EntryNotes,$P481)))</f>
        <v/>
      </c>
      <c r="O481" s="26">
        <f>IF($P481="","",IF(INDEX(EntryTxnID,$P481)=0,"",INDEX(EntryTxnID,$P481)))</f>
        <v/>
      </c>
      <c r="P481" s="26">
        <f>IFERROR(MATCH($C$5&amp;"|"&amp;RIGHT("000000"&amp;465,6),CalcRankKey,0),"")</f>
        <v/>
      </c>
    </row>
    <row r="482">
      <c r="A482" s="28">
        <f>IF($B482="","",466)</f>
        <v/>
      </c>
      <c r="B482" s="28">
        <f>IF($P482="","",IF(INDEX(CalcNormDate,$P482)=0,"",INDEX(CalcNormDate,$P482)))</f>
        <v/>
      </c>
      <c r="C482" s="28">
        <f>IF($P482="","",IF(INDEX(CalcTime,$P482)=0,"",INDEX(CalcTime,$P482)))</f>
        <v/>
      </c>
      <c r="D482" s="28">
        <f>IF($P482="","",IF(INDEX(EntryParty,$P482)=0,"",INDEX(EntryParty,$P482)))</f>
        <v/>
      </c>
      <c r="E482" s="28">
        <f>IF($P482="","",IF(INDEX(EntryPartyName,$P482)=0,"",INDEX(EntryPartyName,$P482)))</f>
        <v/>
      </c>
      <c r="F482" s="28">
        <f>IF($P482="","",IF(INDEX(EntryPartyType,$P482)=0,"",INDEX(EntryPartyType,$P482)))</f>
        <v/>
      </c>
      <c r="G482" s="28">
        <f>IF($P482="","",IF(INDEX(EntryTxnType,$P482)=0,"",INDEX(EntryTxnType,$P482)))</f>
        <v/>
      </c>
      <c r="H482" s="29">
        <f>IF($P482="","",IF(INDEX(EntryDep,$P482)=0,"",INDEX(EntryDep,$P482)))</f>
        <v/>
      </c>
      <c r="I482" s="29">
        <f>IF($P482="","",IF(INDEX(EntryWit,$P482)=0,"",INDEX(EntryWit,$P482)))</f>
        <v/>
      </c>
      <c r="J482" s="29">
        <f>IF($B482="","",IF($A482=1,$C$7,IF(J481="",0,J481))+IF($H482="",0,$H482)-IF($I482="",0,$I482))</f>
        <v/>
      </c>
      <c r="K482" s="29">
        <f>IF($P482="","",IF(INDEX(EntryMan,$P482)=0,"",INDEX(EntryMan,$P482)))</f>
        <v/>
      </c>
      <c r="L482" s="28">
        <f>IF($B482="","",IF($K482="","—",IF(ROUND($K482-$J482,0)=0,"√","×")))</f>
        <v/>
      </c>
      <c r="M482" s="28">
        <f>IF($B482="","",IF(COUNTIFS(EntryDates,$B482,CalcTime,$C482,CalcBank,$C$5,EntryParty,$D482,EntryDep,$H482,EntryWit,$I482)&gt;1,"تکرار",""))</f>
        <v/>
      </c>
      <c r="N482" s="28">
        <f>IF($P482="","",IF(INDEX(EntryNotes,$P482)=0,"",INDEX(EntryNotes,$P482)))</f>
        <v/>
      </c>
      <c r="O482" s="28">
        <f>IF($P482="","",IF(INDEX(EntryTxnID,$P482)=0,"",INDEX(EntryTxnID,$P482)))</f>
        <v/>
      </c>
      <c r="P482" s="28">
        <f>IFERROR(MATCH($C$5&amp;"|"&amp;RIGHT("000000"&amp;466,6),CalcRankKey,0),"")</f>
        <v/>
      </c>
    </row>
    <row r="483">
      <c r="A483" s="26">
        <f>IF($B483="","",467)</f>
        <v/>
      </c>
      <c r="B483" s="26">
        <f>IF($P483="","",IF(INDEX(CalcNormDate,$P483)=0,"",INDEX(CalcNormDate,$P483)))</f>
        <v/>
      </c>
      <c r="C483" s="26">
        <f>IF($P483="","",IF(INDEX(CalcTime,$P483)=0,"",INDEX(CalcTime,$P483)))</f>
        <v/>
      </c>
      <c r="D483" s="26">
        <f>IF($P483="","",IF(INDEX(EntryParty,$P483)=0,"",INDEX(EntryParty,$P483)))</f>
        <v/>
      </c>
      <c r="E483" s="26">
        <f>IF($P483="","",IF(INDEX(EntryPartyName,$P483)=0,"",INDEX(EntryPartyName,$P483)))</f>
        <v/>
      </c>
      <c r="F483" s="26">
        <f>IF($P483="","",IF(INDEX(EntryPartyType,$P483)=0,"",INDEX(EntryPartyType,$P483)))</f>
        <v/>
      </c>
      <c r="G483" s="26">
        <f>IF($P483="","",IF(INDEX(EntryTxnType,$P483)=0,"",INDEX(EntryTxnType,$P483)))</f>
        <v/>
      </c>
      <c r="H483" s="27">
        <f>IF($P483="","",IF(INDEX(EntryDep,$P483)=0,"",INDEX(EntryDep,$P483)))</f>
        <v/>
      </c>
      <c r="I483" s="27">
        <f>IF($P483="","",IF(INDEX(EntryWit,$P483)=0,"",INDEX(EntryWit,$P483)))</f>
        <v/>
      </c>
      <c r="J483" s="27">
        <f>IF($B483="","",IF($A483=1,$C$7,IF(J482="",0,J482))+IF($H483="",0,$H483)-IF($I483="",0,$I483))</f>
        <v/>
      </c>
      <c r="K483" s="27">
        <f>IF($P483="","",IF(INDEX(EntryMan,$P483)=0,"",INDEX(EntryMan,$P483)))</f>
        <v/>
      </c>
      <c r="L483" s="26">
        <f>IF($B483="","",IF($K483="","—",IF(ROUND($K483-$J483,0)=0,"√","×")))</f>
        <v/>
      </c>
      <c r="M483" s="26">
        <f>IF($B483="","",IF(COUNTIFS(EntryDates,$B483,CalcTime,$C483,CalcBank,$C$5,EntryParty,$D483,EntryDep,$H483,EntryWit,$I483)&gt;1,"تکرار",""))</f>
        <v/>
      </c>
      <c r="N483" s="26">
        <f>IF($P483="","",IF(INDEX(EntryNotes,$P483)=0,"",INDEX(EntryNotes,$P483)))</f>
        <v/>
      </c>
      <c r="O483" s="26">
        <f>IF($P483="","",IF(INDEX(EntryTxnID,$P483)=0,"",INDEX(EntryTxnID,$P483)))</f>
        <v/>
      </c>
      <c r="P483" s="26">
        <f>IFERROR(MATCH($C$5&amp;"|"&amp;RIGHT("000000"&amp;467,6),CalcRankKey,0),"")</f>
        <v/>
      </c>
    </row>
    <row r="484">
      <c r="A484" s="28">
        <f>IF($B484="","",468)</f>
        <v/>
      </c>
      <c r="B484" s="28">
        <f>IF($P484="","",IF(INDEX(CalcNormDate,$P484)=0,"",INDEX(CalcNormDate,$P484)))</f>
        <v/>
      </c>
      <c r="C484" s="28">
        <f>IF($P484="","",IF(INDEX(CalcTime,$P484)=0,"",INDEX(CalcTime,$P484)))</f>
        <v/>
      </c>
      <c r="D484" s="28">
        <f>IF($P484="","",IF(INDEX(EntryParty,$P484)=0,"",INDEX(EntryParty,$P484)))</f>
        <v/>
      </c>
      <c r="E484" s="28">
        <f>IF($P484="","",IF(INDEX(EntryPartyName,$P484)=0,"",INDEX(EntryPartyName,$P484)))</f>
        <v/>
      </c>
      <c r="F484" s="28">
        <f>IF($P484="","",IF(INDEX(EntryPartyType,$P484)=0,"",INDEX(EntryPartyType,$P484)))</f>
        <v/>
      </c>
      <c r="G484" s="28">
        <f>IF($P484="","",IF(INDEX(EntryTxnType,$P484)=0,"",INDEX(EntryTxnType,$P484)))</f>
        <v/>
      </c>
      <c r="H484" s="29">
        <f>IF($P484="","",IF(INDEX(EntryDep,$P484)=0,"",INDEX(EntryDep,$P484)))</f>
        <v/>
      </c>
      <c r="I484" s="29">
        <f>IF($P484="","",IF(INDEX(EntryWit,$P484)=0,"",INDEX(EntryWit,$P484)))</f>
        <v/>
      </c>
      <c r="J484" s="29">
        <f>IF($B484="","",IF($A484=1,$C$7,IF(J483="",0,J483))+IF($H484="",0,$H484)-IF($I484="",0,$I484))</f>
        <v/>
      </c>
      <c r="K484" s="29">
        <f>IF($P484="","",IF(INDEX(EntryMan,$P484)=0,"",INDEX(EntryMan,$P484)))</f>
        <v/>
      </c>
      <c r="L484" s="28">
        <f>IF($B484="","",IF($K484="","—",IF(ROUND($K484-$J484,0)=0,"√","×")))</f>
        <v/>
      </c>
      <c r="M484" s="28">
        <f>IF($B484="","",IF(COUNTIFS(EntryDates,$B484,CalcTime,$C484,CalcBank,$C$5,EntryParty,$D484,EntryDep,$H484,EntryWit,$I484)&gt;1,"تکرار",""))</f>
        <v/>
      </c>
      <c r="N484" s="28">
        <f>IF($P484="","",IF(INDEX(EntryNotes,$P484)=0,"",INDEX(EntryNotes,$P484)))</f>
        <v/>
      </c>
      <c r="O484" s="28">
        <f>IF($P484="","",IF(INDEX(EntryTxnID,$P484)=0,"",INDEX(EntryTxnID,$P484)))</f>
        <v/>
      </c>
      <c r="P484" s="28">
        <f>IFERROR(MATCH($C$5&amp;"|"&amp;RIGHT("000000"&amp;468,6),CalcRankKey,0),"")</f>
        <v/>
      </c>
    </row>
    <row r="485">
      <c r="A485" s="26">
        <f>IF($B485="","",469)</f>
        <v/>
      </c>
      <c r="B485" s="26">
        <f>IF($P485="","",IF(INDEX(CalcNormDate,$P485)=0,"",INDEX(CalcNormDate,$P485)))</f>
        <v/>
      </c>
      <c r="C485" s="26">
        <f>IF($P485="","",IF(INDEX(CalcTime,$P485)=0,"",INDEX(CalcTime,$P485)))</f>
        <v/>
      </c>
      <c r="D485" s="26">
        <f>IF($P485="","",IF(INDEX(EntryParty,$P485)=0,"",INDEX(EntryParty,$P485)))</f>
        <v/>
      </c>
      <c r="E485" s="26">
        <f>IF($P485="","",IF(INDEX(EntryPartyName,$P485)=0,"",INDEX(EntryPartyName,$P485)))</f>
        <v/>
      </c>
      <c r="F485" s="26">
        <f>IF($P485="","",IF(INDEX(EntryPartyType,$P485)=0,"",INDEX(EntryPartyType,$P485)))</f>
        <v/>
      </c>
      <c r="G485" s="26">
        <f>IF($P485="","",IF(INDEX(EntryTxnType,$P485)=0,"",INDEX(EntryTxnType,$P485)))</f>
        <v/>
      </c>
      <c r="H485" s="27">
        <f>IF($P485="","",IF(INDEX(EntryDep,$P485)=0,"",INDEX(EntryDep,$P485)))</f>
        <v/>
      </c>
      <c r="I485" s="27">
        <f>IF($P485="","",IF(INDEX(EntryWit,$P485)=0,"",INDEX(EntryWit,$P485)))</f>
        <v/>
      </c>
      <c r="J485" s="27">
        <f>IF($B485="","",IF($A485=1,$C$7,IF(J484="",0,J484))+IF($H485="",0,$H485)-IF($I485="",0,$I485))</f>
        <v/>
      </c>
      <c r="K485" s="27">
        <f>IF($P485="","",IF(INDEX(EntryMan,$P485)=0,"",INDEX(EntryMan,$P485)))</f>
        <v/>
      </c>
      <c r="L485" s="26">
        <f>IF($B485="","",IF($K485="","—",IF(ROUND($K485-$J485,0)=0,"√","×")))</f>
        <v/>
      </c>
      <c r="M485" s="26">
        <f>IF($B485="","",IF(COUNTIFS(EntryDates,$B485,CalcTime,$C485,CalcBank,$C$5,EntryParty,$D485,EntryDep,$H485,EntryWit,$I485)&gt;1,"تکرار",""))</f>
        <v/>
      </c>
      <c r="N485" s="26">
        <f>IF($P485="","",IF(INDEX(EntryNotes,$P485)=0,"",INDEX(EntryNotes,$P485)))</f>
        <v/>
      </c>
      <c r="O485" s="26">
        <f>IF($P485="","",IF(INDEX(EntryTxnID,$P485)=0,"",INDEX(EntryTxnID,$P485)))</f>
        <v/>
      </c>
      <c r="P485" s="26">
        <f>IFERROR(MATCH($C$5&amp;"|"&amp;RIGHT("000000"&amp;469,6),CalcRankKey,0),"")</f>
        <v/>
      </c>
    </row>
    <row r="486">
      <c r="A486" s="28">
        <f>IF($B486="","",470)</f>
        <v/>
      </c>
      <c r="B486" s="28">
        <f>IF($P486="","",IF(INDEX(CalcNormDate,$P486)=0,"",INDEX(CalcNormDate,$P486)))</f>
        <v/>
      </c>
      <c r="C486" s="28">
        <f>IF($P486="","",IF(INDEX(CalcTime,$P486)=0,"",INDEX(CalcTime,$P486)))</f>
        <v/>
      </c>
      <c r="D486" s="28">
        <f>IF($P486="","",IF(INDEX(EntryParty,$P486)=0,"",INDEX(EntryParty,$P486)))</f>
        <v/>
      </c>
      <c r="E486" s="28">
        <f>IF($P486="","",IF(INDEX(EntryPartyName,$P486)=0,"",INDEX(EntryPartyName,$P486)))</f>
        <v/>
      </c>
      <c r="F486" s="28">
        <f>IF($P486="","",IF(INDEX(EntryPartyType,$P486)=0,"",INDEX(EntryPartyType,$P486)))</f>
        <v/>
      </c>
      <c r="G486" s="28">
        <f>IF($P486="","",IF(INDEX(EntryTxnType,$P486)=0,"",INDEX(EntryTxnType,$P486)))</f>
        <v/>
      </c>
      <c r="H486" s="29">
        <f>IF($P486="","",IF(INDEX(EntryDep,$P486)=0,"",INDEX(EntryDep,$P486)))</f>
        <v/>
      </c>
      <c r="I486" s="29">
        <f>IF($P486="","",IF(INDEX(EntryWit,$P486)=0,"",INDEX(EntryWit,$P486)))</f>
        <v/>
      </c>
      <c r="J486" s="29">
        <f>IF($B486="","",IF($A486=1,$C$7,IF(J485="",0,J485))+IF($H486="",0,$H486)-IF($I486="",0,$I486))</f>
        <v/>
      </c>
      <c r="K486" s="29">
        <f>IF($P486="","",IF(INDEX(EntryMan,$P486)=0,"",INDEX(EntryMan,$P486)))</f>
        <v/>
      </c>
      <c r="L486" s="28">
        <f>IF($B486="","",IF($K486="","—",IF(ROUND($K486-$J486,0)=0,"√","×")))</f>
        <v/>
      </c>
      <c r="M486" s="28">
        <f>IF($B486="","",IF(COUNTIFS(EntryDates,$B486,CalcTime,$C486,CalcBank,$C$5,EntryParty,$D486,EntryDep,$H486,EntryWit,$I486)&gt;1,"تکرار",""))</f>
        <v/>
      </c>
      <c r="N486" s="28">
        <f>IF($P486="","",IF(INDEX(EntryNotes,$P486)=0,"",INDEX(EntryNotes,$P486)))</f>
        <v/>
      </c>
      <c r="O486" s="28">
        <f>IF($P486="","",IF(INDEX(EntryTxnID,$P486)=0,"",INDEX(EntryTxnID,$P486)))</f>
        <v/>
      </c>
      <c r="P486" s="28">
        <f>IFERROR(MATCH($C$5&amp;"|"&amp;RIGHT("000000"&amp;470,6),CalcRankKey,0),"")</f>
        <v/>
      </c>
    </row>
    <row r="487">
      <c r="A487" s="26">
        <f>IF($B487="","",471)</f>
        <v/>
      </c>
      <c r="B487" s="26">
        <f>IF($P487="","",IF(INDEX(CalcNormDate,$P487)=0,"",INDEX(CalcNormDate,$P487)))</f>
        <v/>
      </c>
      <c r="C487" s="26">
        <f>IF($P487="","",IF(INDEX(CalcTime,$P487)=0,"",INDEX(CalcTime,$P487)))</f>
        <v/>
      </c>
      <c r="D487" s="26">
        <f>IF($P487="","",IF(INDEX(EntryParty,$P487)=0,"",INDEX(EntryParty,$P487)))</f>
        <v/>
      </c>
      <c r="E487" s="26">
        <f>IF($P487="","",IF(INDEX(EntryPartyName,$P487)=0,"",INDEX(EntryPartyName,$P487)))</f>
        <v/>
      </c>
      <c r="F487" s="26">
        <f>IF($P487="","",IF(INDEX(EntryPartyType,$P487)=0,"",INDEX(EntryPartyType,$P487)))</f>
        <v/>
      </c>
      <c r="G487" s="26">
        <f>IF($P487="","",IF(INDEX(EntryTxnType,$P487)=0,"",INDEX(EntryTxnType,$P487)))</f>
        <v/>
      </c>
      <c r="H487" s="27">
        <f>IF($P487="","",IF(INDEX(EntryDep,$P487)=0,"",INDEX(EntryDep,$P487)))</f>
        <v/>
      </c>
      <c r="I487" s="27">
        <f>IF($P487="","",IF(INDEX(EntryWit,$P487)=0,"",INDEX(EntryWit,$P487)))</f>
        <v/>
      </c>
      <c r="J487" s="27">
        <f>IF($B487="","",IF($A487=1,$C$7,IF(J486="",0,J486))+IF($H487="",0,$H487)-IF($I487="",0,$I487))</f>
        <v/>
      </c>
      <c r="K487" s="27">
        <f>IF($P487="","",IF(INDEX(EntryMan,$P487)=0,"",INDEX(EntryMan,$P487)))</f>
        <v/>
      </c>
      <c r="L487" s="26">
        <f>IF($B487="","",IF($K487="","—",IF(ROUND($K487-$J487,0)=0,"√","×")))</f>
        <v/>
      </c>
      <c r="M487" s="26">
        <f>IF($B487="","",IF(COUNTIFS(EntryDates,$B487,CalcTime,$C487,CalcBank,$C$5,EntryParty,$D487,EntryDep,$H487,EntryWit,$I487)&gt;1,"تکرار",""))</f>
        <v/>
      </c>
      <c r="N487" s="26">
        <f>IF($P487="","",IF(INDEX(EntryNotes,$P487)=0,"",INDEX(EntryNotes,$P487)))</f>
        <v/>
      </c>
      <c r="O487" s="26">
        <f>IF($P487="","",IF(INDEX(EntryTxnID,$P487)=0,"",INDEX(EntryTxnID,$P487)))</f>
        <v/>
      </c>
      <c r="P487" s="26">
        <f>IFERROR(MATCH($C$5&amp;"|"&amp;RIGHT("000000"&amp;471,6),CalcRankKey,0),"")</f>
        <v/>
      </c>
    </row>
    <row r="488">
      <c r="A488" s="28">
        <f>IF($B488="","",472)</f>
        <v/>
      </c>
      <c r="B488" s="28">
        <f>IF($P488="","",IF(INDEX(CalcNormDate,$P488)=0,"",INDEX(CalcNormDate,$P488)))</f>
        <v/>
      </c>
      <c r="C488" s="28">
        <f>IF($P488="","",IF(INDEX(CalcTime,$P488)=0,"",INDEX(CalcTime,$P488)))</f>
        <v/>
      </c>
      <c r="D488" s="28">
        <f>IF($P488="","",IF(INDEX(EntryParty,$P488)=0,"",INDEX(EntryParty,$P488)))</f>
        <v/>
      </c>
      <c r="E488" s="28">
        <f>IF($P488="","",IF(INDEX(EntryPartyName,$P488)=0,"",INDEX(EntryPartyName,$P488)))</f>
        <v/>
      </c>
      <c r="F488" s="28">
        <f>IF($P488="","",IF(INDEX(EntryPartyType,$P488)=0,"",INDEX(EntryPartyType,$P488)))</f>
        <v/>
      </c>
      <c r="G488" s="28">
        <f>IF($P488="","",IF(INDEX(EntryTxnType,$P488)=0,"",INDEX(EntryTxnType,$P488)))</f>
        <v/>
      </c>
      <c r="H488" s="29">
        <f>IF($P488="","",IF(INDEX(EntryDep,$P488)=0,"",INDEX(EntryDep,$P488)))</f>
        <v/>
      </c>
      <c r="I488" s="29">
        <f>IF($P488="","",IF(INDEX(EntryWit,$P488)=0,"",INDEX(EntryWit,$P488)))</f>
        <v/>
      </c>
      <c r="J488" s="29">
        <f>IF($B488="","",IF($A488=1,$C$7,IF(J487="",0,J487))+IF($H488="",0,$H488)-IF($I488="",0,$I488))</f>
        <v/>
      </c>
      <c r="K488" s="29">
        <f>IF($P488="","",IF(INDEX(EntryMan,$P488)=0,"",INDEX(EntryMan,$P488)))</f>
        <v/>
      </c>
      <c r="L488" s="28">
        <f>IF($B488="","",IF($K488="","—",IF(ROUND($K488-$J488,0)=0,"√","×")))</f>
        <v/>
      </c>
      <c r="M488" s="28">
        <f>IF($B488="","",IF(COUNTIFS(EntryDates,$B488,CalcTime,$C488,CalcBank,$C$5,EntryParty,$D488,EntryDep,$H488,EntryWit,$I488)&gt;1,"تکرار",""))</f>
        <v/>
      </c>
      <c r="N488" s="28">
        <f>IF($P488="","",IF(INDEX(EntryNotes,$P488)=0,"",INDEX(EntryNotes,$P488)))</f>
        <v/>
      </c>
      <c r="O488" s="28">
        <f>IF($P488="","",IF(INDEX(EntryTxnID,$P488)=0,"",INDEX(EntryTxnID,$P488)))</f>
        <v/>
      </c>
      <c r="P488" s="28">
        <f>IFERROR(MATCH($C$5&amp;"|"&amp;RIGHT("000000"&amp;472,6),CalcRankKey,0),"")</f>
        <v/>
      </c>
    </row>
    <row r="489">
      <c r="A489" s="26">
        <f>IF($B489="","",473)</f>
        <v/>
      </c>
      <c r="B489" s="26">
        <f>IF($P489="","",IF(INDEX(CalcNormDate,$P489)=0,"",INDEX(CalcNormDate,$P489)))</f>
        <v/>
      </c>
      <c r="C489" s="26">
        <f>IF($P489="","",IF(INDEX(CalcTime,$P489)=0,"",INDEX(CalcTime,$P489)))</f>
        <v/>
      </c>
      <c r="D489" s="26">
        <f>IF($P489="","",IF(INDEX(EntryParty,$P489)=0,"",INDEX(EntryParty,$P489)))</f>
        <v/>
      </c>
      <c r="E489" s="26">
        <f>IF($P489="","",IF(INDEX(EntryPartyName,$P489)=0,"",INDEX(EntryPartyName,$P489)))</f>
        <v/>
      </c>
      <c r="F489" s="26">
        <f>IF($P489="","",IF(INDEX(EntryPartyType,$P489)=0,"",INDEX(EntryPartyType,$P489)))</f>
        <v/>
      </c>
      <c r="G489" s="26">
        <f>IF($P489="","",IF(INDEX(EntryTxnType,$P489)=0,"",INDEX(EntryTxnType,$P489)))</f>
        <v/>
      </c>
      <c r="H489" s="27">
        <f>IF($P489="","",IF(INDEX(EntryDep,$P489)=0,"",INDEX(EntryDep,$P489)))</f>
        <v/>
      </c>
      <c r="I489" s="27">
        <f>IF($P489="","",IF(INDEX(EntryWit,$P489)=0,"",INDEX(EntryWit,$P489)))</f>
        <v/>
      </c>
      <c r="J489" s="27">
        <f>IF($B489="","",IF($A489=1,$C$7,IF(J488="",0,J488))+IF($H489="",0,$H489)-IF($I489="",0,$I489))</f>
        <v/>
      </c>
      <c r="K489" s="27">
        <f>IF($P489="","",IF(INDEX(EntryMan,$P489)=0,"",INDEX(EntryMan,$P489)))</f>
        <v/>
      </c>
      <c r="L489" s="26">
        <f>IF($B489="","",IF($K489="","—",IF(ROUND($K489-$J489,0)=0,"√","×")))</f>
        <v/>
      </c>
      <c r="M489" s="26">
        <f>IF($B489="","",IF(COUNTIFS(EntryDates,$B489,CalcTime,$C489,CalcBank,$C$5,EntryParty,$D489,EntryDep,$H489,EntryWit,$I489)&gt;1,"تکرار",""))</f>
        <v/>
      </c>
      <c r="N489" s="26">
        <f>IF($P489="","",IF(INDEX(EntryNotes,$P489)=0,"",INDEX(EntryNotes,$P489)))</f>
        <v/>
      </c>
      <c r="O489" s="26">
        <f>IF($P489="","",IF(INDEX(EntryTxnID,$P489)=0,"",INDEX(EntryTxnID,$P489)))</f>
        <v/>
      </c>
      <c r="P489" s="26">
        <f>IFERROR(MATCH($C$5&amp;"|"&amp;RIGHT("000000"&amp;473,6),CalcRankKey,0),"")</f>
        <v/>
      </c>
    </row>
    <row r="490">
      <c r="A490" s="28">
        <f>IF($B490="","",474)</f>
        <v/>
      </c>
      <c r="B490" s="28">
        <f>IF($P490="","",IF(INDEX(CalcNormDate,$P490)=0,"",INDEX(CalcNormDate,$P490)))</f>
        <v/>
      </c>
      <c r="C490" s="28">
        <f>IF($P490="","",IF(INDEX(CalcTime,$P490)=0,"",INDEX(CalcTime,$P490)))</f>
        <v/>
      </c>
      <c r="D490" s="28">
        <f>IF($P490="","",IF(INDEX(EntryParty,$P490)=0,"",INDEX(EntryParty,$P490)))</f>
        <v/>
      </c>
      <c r="E490" s="28">
        <f>IF($P490="","",IF(INDEX(EntryPartyName,$P490)=0,"",INDEX(EntryPartyName,$P490)))</f>
        <v/>
      </c>
      <c r="F490" s="28">
        <f>IF($P490="","",IF(INDEX(EntryPartyType,$P490)=0,"",INDEX(EntryPartyType,$P490)))</f>
        <v/>
      </c>
      <c r="G490" s="28">
        <f>IF($P490="","",IF(INDEX(EntryTxnType,$P490)=0,"",INDEX(EntryTxnType,$P490)))</f>
        <v/>
      </c>
      <c r="H490" s="29">
        <f>IF($P490="","",IF(INDEX(EntryDep,$P490)=0,"",INDEX(EntryDep,$P490)))</f>
        <v/>
      </c>
      <c r="I490" s="29">
        <f>IF($P490="","",IF(INDEX(EntryWit,$P490)=0,"",INDEX(EntryWit,$P490)))</f>
        <v/>
      </c>
      <c r="J490" s="29">
        <f>IF($B490="","",IF($A490=1,$C$7,IF(J489="",0,J489))+IF($H490="",0,$H490)-IF($I490="",0,$I490))</f>
        <v/>
      </c>
      <c r="K490" s="29">
        <f>IF($P490="","",IF(INDEX(EntryMan,$P490)=0,"",INDEX(EntryMan,$P490)))</f>
        <v/>
      </c>
      <c r="L490" s="28">
        <f>IF($B490="","",IF($K490="","—",IF(ROUND($K490-$J490,0)=0,"√","×")))</f>
        <v/>
      </c>
      <c r="M490" s="28">
        <f>IF($B490="","",IF(COUNTIFS(EntryDates,$B490,CalcTime,$C490,CalcBank,$C$5,EntryParty,$D490,EntryDep,$H490,EntryWit,$I490)&gt;1,"تکرار",""))</f>
        <v/>
      </c>
      <c r="N490" s="28">
        <f>IF($P490="","",IF(INDEX(EntryNotes,$P490)=0,"",INDEX(EntryNotes,$P490)))</f>
        <v/>
      </c>
      <c r="O490" s="28">
        <f>IF($P490="","",IF(INDEX(EntryTxnID,$P490)=0,"",INDEX(EntryTxnID,$P490)))</f>
        <v/>
      </c>
      <c r="P490" s="28">
        <f>IFERROR(MATCH($C$5&amp;"|"&amp;RIGHT("000000"&amp;474,6),CalcRankKey,0),"")</f>
        <v/>
      </c>
    </row>
    <row r="491">
      <c r="A491" s="26">
        <f>IF($B491="","",475)</f>
        <v/>
      </c>
      <c r="B491" s="26">
        <f>IF($P491="","",IF(INDEX(CalcNormDate,$P491)=0,"",INDEX(CalcNormDate,$P491)))</f>
        <v/>
      </c>
      <c r="C491" s="26">
        <f>IF($P491="","",IF(INDEX(CalcTime,$P491)=0,"",INDEX(CalcTime,$P491)))</f>
        <v/>
      </c>
      <c r="D491" s="26">
        <f>IF($P491="","",IF(INDEX(EntryParty,$P491)=0,"",INDEX(EntryParty,$P491)))</f>
        <v/>
      </c>
      <c r="E491" s="26">
        <f>IF($P491="","",IF(INDEX(EntryPartyName,$P491)=0,"",INDEX(EntryPartyName,$P491)))</f>
        <v/>
      </c>
      <c r="F491" s="26">
        <f>IF($P491="","",IF(INDEX(EntryPartyType,$P491)=0,"",INDEX(EntryPartyType,$P491)))</f>
        <v/>
      </c>
      <c r="G491" s="26">
        <f>IF($P491="","",IF(INDEX(EntryTxnType,$P491)=0,"",INDEX(EntryTxnType,$P491)))</f>
        <v/>
      </c>
      <c r="H491" s="27">
        <f>IF($P491="","",IF(INDEX(EntryDep,$P491)=0,"",INDEX(EntryDep,$P491)))</f>
        <v/>
      </c>
      <c r="I491" s="27">
        <f>IF($P491="","",IF(INDEX(EntryWit,$P491)=0,"",INDEX(EntryWit,$P491)))</f>
        <v/>
      </c>
      <c r="J491" s="27">
        <f>IF($B491="","",IF($A491=1,$C$7,IF(J490="",0,J490))+IF($H491="",0,$H491)-IF($I491="",0,$I491))</f>
        <v/>
      </c>
      <c r="K491" s="27">
        <f>IF($P491="","",IF(INDEX(EntryMan,$P491)=0,"",INDEX(EntryMan,$P491)))</f>
        <v/>
      </c>
      <c r="L491" s="26">
        <f>IF($B491="","",IF($K491="","—",IF(ROUND($K491-$J491,0)=0,"√","×")))</f>
        <v/>
      </c>
      <c r="M491" s="26">
        <f>IF($B491="","",IF(COUNTIFS(EntryDates,$B491,CalcTime,$C491,CalcBank,$C$5,EntryParty,$D491,EntryDep,$H491,EntryWit,$I491)&gt;1,"تکرار",""))</f>
        <v/>
      </c>
      <c r="N491" s="26">
        <f>IF($P491="","",IF(INDEX(EntryNotes,$P491)=0,"",INDEX(EntryNotes,$P491)))</f>
        <v/>
      </c>
      <c r="O491" s="26">
        <f>IF($P491="","",IF(INDEX(EntryTxnID,$P491)=0,"",INDEX(EntryTxnID,$P491)))</f>
        <v/>
      </c>
      <c r="P491" s="26">
        <f>IFERROR(MATCH($C$5&amp;"|"&amp;RIGHT("000000"&amp;475,6),CalcRankKey,0),"")</f>
        <v/>
      </c>
    </row>
    <row r="492">
      <c r="A492" s="28">
        <f>IF($B492="","",476)</f>
        <v/>
      </c>
      <c r="B492" s="28">
        <f>IF($P492="","",IF(INDEX(CalcNormDate,$P492)=0,"",INDEX(CalcNormDate,$P492)))</f>
        <v/>
      </c>
      <c r="C492" s="28">
        <f>IF($P492="","",IF(INDEX(CalcTime,$P492)=0,"",INDEX(CalcTime,$P492)))</f>
        <v/>
      </c>
      <c r="D492" s="28">
        <f>IF($P492="","",IF(INDEX(EntryParty,$P492)=0,"",INDEX(EntryParty,$P492)))</f>
        <v/>
      </c>
      <c r="E492" s="28">
        <f>IF($P492="","",IF(INDEX(EntryPartyName,$P492)=0,"",INDEX(EntryPartyName,$P492)))</f>
        <v/>
      </c>
      <c r="F492" s="28">
        <f>IF($P492="","",IF(INDEX(EntryPartyType,$P492)=0,"",INDEX(EntryPartyType,$P492)))</f>
        <v/>
      </c>
      <c r="G492" s="28">
        <f>IF($P492="","",IF(INDEX(EntryTxnType,$P492)=0,"",INDEX(EntryTxnType,$P492)))</f>
        <v/>
      </c>
      <c r="H492" s="29">
        <f>IF($P492="","",IF(INDEX(EntryDep,$P492)=0,"",INDEX(EntryDep,$P492)))</f>
        <v/>
      </c>
      <c r="I492" s="29">
        <f>IF($P492="","",IF(INDEX(EntryWit,$P492)=0,"",INDEX(EntryWit,$P492)))</f>
        <v/>
      </c>
      <c r="J492" s="29">
        <f>IF($B492="","",IF($A492=1,$C$7,IF(J491="",0,J491))+IF($H492="",0,$H492)-IF($I492="",0,$I492))</f>
        <v/>
      </c>
      <c r="K492" s="29">
        <f>IF($P492="","",IF(INDEX(EntryMan,$P492)=0,"",INDEX(EntryMan,$P492)))</f>
        <v/>
      </c>
      <c r="L492" s="28">
        <f>IF($B492="","",IF($K492="","—",IF(ROUND($K492-$J492,0)=0,"√","×")))</f>
        <v/>
      </c>
      <c r="M492" s="28">
        <f>IF($B492="","",IF(COUNTIFS(EntryDates,$B492,CalcTime,$C492,CalcBank,$C$5,EntryParty,$D492,EntryDep,$H492,EntryWit,$I492)&gt;1,"تکرار",""))</f>
        <v/>
      </c>
      <c r="N492" s="28">
        <f>IF($P492="","",IF(INDEX(EntryNotes,$P492)=0,"",INDEX(EntryNotes,$P492)))</f>
        <v/>
      </c>
      <c r="O492" s="28">
        <f>IF($P492="","",IF(INDEX(EntryTxnID,$P492)=0,"",INDEX(EntryTxnID,$P492)))</f>
        <v/>
      </c>
      <c r="P492" s="28">
        <f>IFERROR(MATCH($C$5&amp;"|"&amp;RIGHT("000000"&amp;476,6),CalcRankKey,0),"")</f>
        <v/>
      </c>
    </row>
    <row r="493">
      <c r="A493" s="26">
        <f>IF($B493="","",477)</f>
        <v/>
      </c>
      <c r="B493" s="26">
        <f>IF($P493="","",IF(INDEX(CalcNormDate,$P493)=0,"",INDEX(CalcNormDate,$P493)))</f>
        <v/>
      </c>
      <c r="C493" s="26">
        <f>IF($P493="","",IF(INDEX(CalcTime,$P493)=0,"",INDEX(CalcTime,$P493)))</f>
        <v/>
      </c>
      <c r="D493" s="26">
        <f>IF($P493="","",IF(INDEX(EntryParty,$P493)=0,"",INDEX(EntryParty,$P493)))</f>
        <v/>
      </c>
      <c r="E493" s="26">
        <f>IF($P493="","",IF(INDEX(EntryPartyName,$P493)=0,"",INDEX(EntryPartyName,$P493)))</f>
        <v/>
      </c>
      <c r="F493" s="26">
        <f>IF($P493="","",IF(INDEX(EntryPartyType,$P493)=0,"",INDEX(EntryPartyType,$P493)))</f>
        <v/>
      </c>
      <c r="G493" s="26">
        <f>IF($P493="","",IF(INDEX(EntryTxnType,$P493)=0,"",INDEX(EntryTxnType,$P493)))</f>
        <v/>
      </c>
      <c r="H493" s="27">
        <f>IF($P493="","",IF(INDEX(EntryDep,$P493)=0,"",INDEX(EntryDep,$P493)))</f>
        <v/>
      </c>
      <c r="I493" s="27">
        <f>IF($P493="","",IF(INDEX(EntryWit,$P493)=0,"",INDEX(EntryWit,$P493)))</f>
        <v/>
      </c>
      <c r="J493" s="27">
        <f>IF($B493="","",IF($A493=1,$C$7,IF(J492="",0,J492))+IF($H493="",0,$H493)-IF($I493="",0,$I493))</f>
        <v/>
      </c>
      <c r="K493" s="27">
        <f>IF($P493="","",IF(INDEX(EntryMan,$P493)=0,"",INDEX(EntryMan,$P493)))</f>
        <v/>
      </c>
      <c r="L493" s="26">
        <f>IF($B493="","",IF($K493="","—",IF(ROUND($K493-$J493,0)=0,"√","×")))</f>
        <v/>
      </c>
      <c r="M493" s="26">
        <f>IF($B493="","",IF(COUNTIFS(EntryDates,$B493,CalcTime,$C493,CalcBank,$C$5,EntryParty,$D493,EntryDep,$H493,EntryWit,$I493)&gt;1,"تکرار",""))</f>
        <v/>
      </c>
      <c r="N493" s="26">
        <f>IF($P493="","",IF(INDEX(EntryNotes,$P493)=0,"",INDEX(EntryNotes,$P493)))</f>
        <v/>
      </c>
      <c r="O493" s="26">
        <f>IF($P493="","",IF(INDEX(EntryTxnID,$P493)=0,"",INDEX(EntryTxnID,$P493)))</f>
        <v/>
      </c>
      <c r="P493" s="26">
        <f>IFERROR(MATCH($C$5&amp;"|"&amp;RIGHT("000000"&amp;477,6),CalcRankKey,0),"")</f>
        <v/>
      </c>
    </row>
    <row r="494">
      <c r="A494" s="28">
        <f>IF($B494="","",478)</f>
        <v/>
      </c>
      <c r="B494" s="28">
        <f>IF($P494="","",IF(INDEX(CalcNormDate,$P494)=0,"",INDEX(CalcNormDate,$P494)))</f>
        <v/>
      </c>
      <c r="C494" s="28">
        <f>IF($P494="","",IF(INDEX(CalcTime,$P494)=0,"",INDEX(CalcTime,$P494)))</f>
        <v/>
      </c>
      <c r="D494" s="28">
        <f>IF($P494="","",IF(INDEX(EntryParty,$P494)=0,"",INDEX(EntryParty,$P494)))</f>
        <v/>
      </c>
      <c r="E494" s="28">
        <f>IF($P494="","",IF(INDEX(EntryPartyName,$P494)=0,"",INDEX(EntryPartyName,$P494)))</f>
        <v/>
      </c>
      <c r="F494" s="28">
        <f>IF($P494="","",IF(INDEX(EntryPartyType,$P494)=0,"",INDEX(EntryPartyType,$P494)))</f>
        <v/>
      </c>
      <c r="G494" s="28">
        <f>IF($P494="","",IF(INDEX(EntryTxnType,$P494)=0,"",INDEX(EntryTxnType,$P494)))</f>
        <v/>
      </c>
      <c r="H494" s="29">
        <f>IF($P494="","",IF(INDEX(EntryDep,$P494)=0,"",INDEX(EntryDep,$P494)))</f>
        <v/>
      </c>
      <c r="I494" s="29">
        <f>IF($P494="","",IF(INDEX(EntryWit,$P494)=0,"",INDEX(EntryWit,$P494)))</f>
        <v/>
      </c>
      <c r="J494" s="29">
        <f>IF($B494="","",IF($A494=1,$C$7,IF(J493="",0,J493))+IF($H494="",0,$H494)-IF($I494="",0,$I494))</f>
        <v/>
      </c>
      <c r="K494" s="29">
        <f>IF($P494="","",IF(INDEX(EntryMan,$P494)=0,"",INDEX(EntryMan,$P494)))</f>
        <v/>
      </c>
      <c r="L494" s="28">
        <f>IF($B494="","",IF($K494="","—",IF(ROUND($K494-$J494,0)=0,"√","×")))</f>
        <v/>
      </c>
      <c r="M494" s="28">
        <f>IF($B494="","",IF(COUNTIFS(EntryDates,$B494,CalcTime,$C494,CalcBank,$C$5,EntryParty,$D494,EntryDep,$H494,EntryWit,$I494)&gt;1,"تکرار",""))</f>
        <v/>
      </c>
      <c r="N494" s="28">
        <f>IF($P494="","",IF(INDEX(EntryNotes,$P494)=0,"",INDEX(EntryNotes,$P494)))</f>
        <v/>
      </c>
      <c r="O494" s="28">
        <f>IF($P494="","",IF(INDEX(EntryTxnID,$P494)=0,"",INDEX(EntryTxnID,$P494)))</f>
        <v/>
      </c>
      <c r="P494" s="28">
        <f>IFERROR(MATCH($C$5&amp;"|"&amp;RIGHT("000000"&amp;478,6),CalcRankKey,0),"")</f>
        <v/>
      </c>
    </row>
    <row r="495">
      <c r="A495" s="26">
        <f>IF($B495="","",479)</f>
        <v/>
      </c>
      <c r="B495" s="26">
        <f>IF($P495="","",IF(INDEX(CalcNormDate,$P495)=0,"",INDEX(CalcNormDate,$P495)))</f>
        <v/>
      </c>
      <c r="C495" s="26">
        <f>IF($P495="","",IF(INDEX(CalcTime,$P495)=0,"",INDEX(CalcTime,$P495)))</f>
        <v/>
      </c>
      <c r="D495" s="26">
        <f>IF($P495="","",IF(INDEX(EntryParty,$P495)=0,"",INDEX(EntryParty,$P495)))</f>
        <v/>
      </c>
      <c r="E495" s="26">
        <f>IF($P495="","",IF(INDEX(EntryPartyName,$P495)=0,"",INDEX(EntryPartyName,$P495)))</f>
        <v/>
      </c>
      <c r="F495" s="26">
        <f>IF($P495="","",IF(INDEX(EntryPartyType,$P495)=0,"",INDEX(EntryPartyType,$P495)))</f>
        <v/>
      </c>
      <c r="G495" s="26">
        <f>IF($P495="","",IF(INDEX(EntryTxnType,$P495)=0,"",INDEX(EntryTxnType,$P495)))</f>
        <v/>
      </c>
      <c r="H495" s="27">
        <f>IF($P495="","",IF(INDEX(EntryDep,$P495)=0,"",INDEX(EntryDep,$P495)))</f>
        <v/>
      </c>
      <c r="I495" s="27">
        <f>IF($P495="","",IF(INDEX(EntryWit,$P495)=0,"",INDEX(EntryWit,$P495)))</f>
        <v/>
      </c>
      <c r="J495" s="27">
        <f>IF($B495="","",IF($A495=1,$C$7,IF(J494="",0,J494))+IF($H495="",0,$H495)-IF($I495="",0,$I495))</f>
        <v/>
      </c>
      <c r="K495" s="27">
        <f>IF($P495="","",IF(INDEX(EntryMan,$P495)=0,"",INDEX(EntryMan,$P495)))</f>
        <v/>
      </c>
      <c r="L495" s="26">
        <f>IF($B495="","",IF($K495="","—",IF(ROUND($K495-$J495,0)=0,"√","×")))</f>
        <v/>
      </c>
      <c r="M495" s="26">
        <f>IF($B495="","",IF(COUNTIFS(EntryDates,$B495,CalcTime,$C495,CalcBank,$C$5,EntryParty,$D495,EntryDep,$H495,EntryWit,$I495)&gt;1,"تکرار",""))</f>
        <v/>
      </c>
      <c r="N495" s="26">
        <f>IF($P495="","",IF(INDEX(EntryNotes,$P495)=0,"",INDEX(EntryNotes,$P495)))</f>
        <v/>
      </c>
      <c r="O495" s="26">
        <f>IF($P495="","",IF(INDEX(EntryTxnID,$P495)=0,"",INDEX(EntryTxnID,$P495)))</f>
        <v/>
      </c>
      <c r="P495" s="26">
        <f>IFERROR(MATCH($C$5&amp;"|"&amp;RIGHT("000000"&amp;479,6),CalcRankKey,0),"")</f>
        <v/>
      </c>
    </row>
    <row r="496">
      <c r="A496" s="28">
        <f>IF($B496="","",480)</f>
        <v/>
      </c>
      <c r="B496" s="28">
        <f>IF($P496="","",IF(INDEX(CalcNormDate,$P496)=0,"",INDEX(CalcNormDate,$P496)))</f>
        <v/>
      </c>
      <c r="C496" s="28">
        <f>IF($P496="","",IF(INDEX(CalcTime,$P496)=0,"",INDEX(CalcTime,$P496)))</f>
        <v/>
      </c>
      <c r="D496" s="28">
        <f>IF($P496="","",IF(INDEX(EntryParty,$P496)=0,"",INDEX(EntryParty,$P496)))</f>
        <v/>
      </c>
      <c r="E496" s="28">
        <f>IF($P496="","",IF(INDEX(EntryPartyName,$P496)=0,"",INDEX(EntryPartyName,$P496)))</f>
        <v/>
      </c>
      <c r="F496" s="28">
        <f>IF($P496="","",IF(INDEX(EntryPartyType,$P496)=0,"",INDEX(EntryPartyType,$P496)))</f>
        <v/>
      </c>
      <c r="G496" s="28">
        <f>IF($P496="","",IF(INDEX(EntryTxnType,$P496)=0,"",INDEX(EntryTxnType,$P496)))</f>
        <v/>
      </c>
      <c r="H496" s="29">
        <f>IF($P496="","",IF(INDEX(EntryDep,$P496)=0,"",INDEX(EntryDep,$P496)))</f>
        <v/>
      </c>
      <c r="I496" s="29">
        <f>IF($P496="","",IF(INDEX(EntryWit,$P496)=0,"",INDEX(EntryWit,$P496)))</f>
        <v/>
      </c>
      <c r="J496" s="29">
        <f>IF($B496="","",IF($A496=1,$C$7,IF(J495="",0,J495))+IF($H496="",0,$H496)-IF($I496="",0,$I496))</f>
        <v/>
      </c>
      <c r="K496" s="29">
        <f>IF($P496="","",IF(INDEX(EntryMan,$P496)=0,"",INDEX(EntryMan,$P496)))</f>
        <v/>
      </c>
      <c r="L496" s="28">
        <f>IF($B496="","",IF($K496="","—",IF(ROUND($K496-$J496,0)=0,"√","×")))</f>
        <v/>
      </c>
      <c r="M496" s="28">
        <f>IF($B496="","",IF(COUNTIFS(EntryDates,$B496,CalcTime,$C496,CalcBank,$C$5,EntryParty,$D496,EntryDep,$H496,EntryWit,$I496)&gt;1,"تکرار",""))</f>
        <v/>
      </c>
      <c r="N496" s="28">
        <f>IF($P496="","",IF(INDEX(EntryNotes,$P496)=0,"",INDEX(EntryNotes,$P496)))</f>
        <v/>
      </c>
      <c r="O496" s="28">
        <f>IF($P496="","",IF(INDEX(EntryTxnID,$P496)=0,"",INDEX(EntryTxnID,$P496)))</f>
        <v/>
      </c>
      <c r="P496" s="28">
        <f>IFERROR(MATCH($C$5&amp;"|"&amp;RIGHT("000000"&amp;480,6),CalcRankKey,0),"")</f>
        <v/>
      </c>
    </row>
    <row r="497">
      <c r="A497" s="26">
        <f>IF($B497="","",481)</f>
        <v/>
      </c>
      <c r="B497" s="26">
        <f>IF($P497="","",IF(INDEX(CalcNormDate,$P497)=0,"",INDEX(CalcNormDate,$P497)))</f>
        <v/>
      </c>
      <c r="C497" s="26">
        <f>IF($P497="","",IF(INDEX(CalcTime,$P497)=0,"",INDEX(CalcTime,$P497)))</f>
        <v/>
      </c>
      <c r="D497" s="26">
        <f>IF($P497="","",IF(INDEX(EntryParty,$P497)=0,"",INDEX(EntryParty,$P497)))</f>
        <v/>
      </c>
      <c r="E497" s="26">
        <f>IF($P497="","",IF(INDEX(EntryPartyName,$P497)=0,"",INDEX(EntryPartyName,$P497)))</f>
        <v/>
      </c>
      <c r="F497" s="26">
        <f>IF($P497="","",IF(INDEX(EntryPartyType,$P497)=0,"",INDEX(EntryPartyType,$P497)))</f>
        <v/>
      </c>
      <c r="G497" s="26">
        <f>IF($P497="","",IF(INDEX(EntryTxnType,$P497)=0,"",INDEX(EntryTxnType,$P497)))</f>
        <v/>
      </c>
      <c r="H497" s="27">
        <f>IF($P497="","",IF(INDEX(EntryDep,$P497)=0,"",INDEX(EntryDep,$P497)))</f>
        <v/>
      </c>
      <c r="I497" s="27">
        <f>IF($P497="","",IF(INDEX(EntryWit,$P497)=0,"",INDEX(EntryWit,$P497)))</f>
        <v/>
      </c>
      <c r="J497" s="27">
        <f>IF($B497="","",IF($A497=1,$C$7,IF(J496="",0,J496))+IF($H497="",0,$H497)-IF($I497="",0,$I497))</f>
        <v/>
      </c>
      <c r="K497" s="27">
        <f>IF($P497="","",IF(INDEX(EntryMan,$P497)=0,"",INDEX(EntryMan,$P497)))</f>
        <v/>
      </c>
      <c r="L497" s="26">
        <f>IF($B497="","",IF($K497="","—",IF(ROUND($K497-$J497,0)=0,"√","×")))</f>
        <v/>
      </c>
      <c r="M497" s="26">
        <f>IF($B497="","",IF(COUNTIFS(EntryDates,$B497,CalcTime,$C497,CalcBank,$C$5,EntryParty,$D497,EntryDep,$H497,EntryWit,$I497)&gt;1,"تکرار",""))</f>
        <v/>
      </c>
      <c r="N497" s="26">
        <f>IF($P497="","",IF(INDEX(EntryNotes,$P497)=0,"",INDEX(EntryNotes,$P497)))</f>
        <v/>
      </c>
      <c r="O497" s="26">
        <f>IF($P497="","",IF(INDEX(EntryTxnID,$P497)=0,"",INDEX(EntryTxnID,$P497)))</f>
        <v/>
      </c>
      <c r="P497" s="26">
        <f>IFERROR(MATCH($C$5&amp;"|"&amp;RIGHT("000000"&amp;481,6),CalcRankKey,0),"")</f>
        <v/>
      </c>
    </row>
    <row r="498">
      <c r="A498" s="28">
        <f>IF($B498="","",482)</f>
        <v/>
      </c>
      <c r="B498" s="28">
        <f>IF($P498="","",IF(INDEX(CalcNormDate,$P498)=0,"",INDEX(CalcNormDate,$P498)))</f>
        <v/>
      </c>
      <c r="C498" s="28">
        <f>IF($P498="","",IF(INDEX(CalcTime,$P498)=0,"",INDEX(CalcTime,$P498)))</f>
        <v/>
      </c>
      <c r="D498" s="28">
        <f>IF($P498="","",IF(INDEX(EntryParty,$P498)=0,"",INDEX(EntryParty,$P498)))</f>
        <v/>
      </c>
      <c r="E498" s="28">
        <f>IF($P498="","",IF(INDEX(EntryPartyName,$P498)=0,"",INDEX(EntryPartyName,$P498)))</f>
        <v/>
      </c>
      <c r="F498" s="28">
        <f>IF($P498="","",IF(INDEX(EntryPartyType,$P498)=0,"",INDEX(EntryPartyType,$P498)))</f>
        <v/>
      </c>
      <c r="G498" s="28">
        <f>IF($P498="","",IF(INDEX(EntryTxnType,$P498)=0,"",INDEX(EntryTxnType,$P498)))</f>
        <v/>
      </c>
      <c r="H498" s="29">
        <f>IF($P498="","",IF(INDEX(EntryDep,$P498)=0,"",INDEX(EntryDep,$P498)))</f>
        <v/>
      </c>
      <c r="I498" s="29">
        <f>IF($P498="","",IF(INDEX(EntryWit,$P498)=0,"",INDEX(EntryWit,$P498)))</f>
        <v/>
      </c>
      <c r="J498" s="29">
        <f>IF($B498="","",IF($A498=1,$C$7,IF(J497="",0,J497))+IF($H498="",0,$H498)-IF($I498="",0,$I498))</f>
        <v/>
      </c>
      <c r="K498" s="29">
        <f>IF($P498="","",IF(INDEX(EntryMan,$P498)=0,"",INDEX(EntryMan,$P498)))</f>
        <v/>
      </c>
      <c r="L498" s="28">
        <f>IF($B498="","",IF($K498="","—",IF(ROUND($K498-$J498,0)=0,"√","×")))</f>
        <v/>
      </c>
      <c r="M498" s="28">
        <f>IF($B498="","",IF(COUNTIFS(EntryDates,$B498,CalcTime,$C498,CalcBank,$C$5,EntryParty,$D498,EntryDep,$H498,EntryWit,$I498)&gt;1,"تکرار",""))</f>
        <v/>
      </c>
      <c r="N498" s="28">
        <f>IF($P498="","",IF(INDEX(EntryNotes,$P498)=0,"",INDEX(EntryNotes,$P498)))</f>
        <v/>
      </c>
      <c r="O498" s="28">
        <f>IF($P498="","",IF(INDEX(EntryTxnID,$P498)=0,"",INDEX(EntryTxnID,$P498)))</f>
        <v/>
      </c>
      <c r="P498" s="28">
        <f>IFERROR(MATCH($C$5&amp;"|"&amp;RIGHT("000000"&amp;482,6),CalcRankKey,0),"")</f>
        <v/>
      </c>
    </row>
    <row r="499">
      <c r="A499" s="26">
        <f>IF($B499="","",483)</f>
        <v/>
      </c>
      <c r="B499" s="26">
        <f>IF($P499="","",IF(INDEX(CalcNormDate,$P499)=0,"",INDEX(CalcNormDate,$P499)))</f>
        <v/>
      </c>
      <c r="C499" s="26">
        <f>IF($P499="","",IF(INDEX(CalcTime,$P499)=0,"",INDEX(CalcTime,$P499)))</f>
        <v/>
      </c>
      <c r="D499" s="26">
        <f>IF($P499="","",IF(INDEX(EntryParty,$P499)=0,"",INDEX(EntryParty,$P499)))</f>
        <v/>
      </c>
      <c r="E499" s="26">
        <f>IF($P499="","",IF(INDEX(EntryPartyName,$P499)=0,"",INDEX(EntryPartyName,$P499)))</f>
        <v/>
      </c>
      <c r="F499" s="26">
        <f>IF($P499="","",IF(INDEX(EntryPartyType,$P499)=0,"",INDEX(EntryPartyType,$P499)))</f>
        <v/>
      </c>
      <c r="G499" s="26">
        <f>IF($P499="","",IF(INDEX(EntryTxnType,$P499)=0,"",INDEX(EntryTxnType,$P499)))</f>
        <v/>
      </c>
      <c r="H499" s="27">
        <f>IF($P499="","",IF(INDEX(EntryDep,$P499)=0,"",INDEX(EntryDep,$P499)))</f>
        <v/>
      </c>
      <c r="I499" s="27">
        <f>IF($P499="","",IF(INDEX(EntryWit,$P499)=0,"",INDEX(EntryWit,$P499)))</f>
        <v/>
      </c>
      <c r="J499" s="27">
        <f>IF($B499="","",IF($A499=1,$C$7,IF(J498="",0,J498))+IF($H499="",0,$H499)-IF($I499="",0,$I499))</f>
        <v/>
      </c>
      <c r="K499" s="27">
        <f>IF($P499="","",IF(INDEX(EntryMan,$P499)=0,"",INDEX(EntryMan,$P499)))</f>
        <v/>
      </c>
      <c r="L499" s="26">
        <f>IF($B499="","",IF($K499="","—",IF(ROUND($K499-$J499,0)=0,"√","×")))</f>
        <v/>
      </c>
      <c r="M499" s="26">
        <f>IF($B499="","",IF(COUNTIFS(EntryDates,$B499,CalcTime,$C499,CalcBank,$C$5,EntryParty,$D499,EntryDep,$H499,EntryWit,$I499)&gt;1,"تکرار",""))</f>
        <v/>
      </c>
      <c r="N499" s="26">
        <f>IF($P499="","",IF(INDEX(EntryNotes,$P499)=0,"",INDEX(EntryNotes,$P499)))</f>
        <v/>
      </c>
      <c r="O499" s="26">
        <f>IF($P499="","",IF(INDEX(EntryTxnID,$P499)=0,"",INDEX(EntryTxnID,$P499)))</f>
        <v/>
      </c>
      <c r="P499" s="26">
        <f>IFERROR(MATCH($C$5&amp;"|"&amp;RIGHT("000000"&amp;483,6),CalcRankKey,0),"")</f>
        <v/>
      </c>
    </row>
    <row r="500">
      <c r="A500" s="28">
        <f>IF($B500="","",484)</f>
        <v/>
      </c>
      <c r="B500" s="28">
        <f>IF($P500="","",IF(INDEX(CalcNormDate,$P500)=0,"",INDEX(CalcNormDate,$P500)))</f>
        <v/>
      </c>
      <c r="C500" s="28">
        <f>IF($P500="","",IF(INDEX(CalcTime,$P500)=0,"",INDEX(CalcTime,$P500)))</f>
        <v/>
      </c>
      <c r="D500" s="28">
        <f>IF($P500="","",IF(INDEX(EntryParty,$P500)=0,"",INDEX(EntryParty,$P500)))</f>
        <v/>
      </c>
      <c r="E500" s="28">
        <f>IF($P500="","",IF(INDEX(EntryPartyName,$P500)=0,"",INDEX(EntryPartyName,$P500)))</f>
        <v/>
      </c>
      <c r="F500" s="28">
        <f>IF($P500="","",IF(INDEX(EntryPartyType,$P500)=0,"",INDEX(EntryPartyType,$P500)))</f>
        <v/>
      </c>
      <c r="G500" s="28">
        <f>IF($P500="","",IF(INDEX(EntryTxnType,$P500)=0,"",INDEX(EntryTxnType,$P500)))</f>
        <v/>
      </c>
      <c r="H500" s="29">
        <f>IF($P500="","",IF(INDEX(EntryDep,$P500)=0,"",INDEX(EntryDep,$P500)))</f>
        <v/>
      </c>
      <c r="I500" s="29">
        <f>IF($P500="","",IF(INDEX(EntryWit,$P500)=0,"",INDEX(EntryWit,$P500)))</f>
        <v/>
      </c>
      <c r="J500" s="29">
        <f>IF($B500="","",IF($A500=1,$C$7,IF(J499="",0,J499))+IF($H500="",0,$H500)-IF($I500="",0,$I500))</f>
        <v/>
      </c>
      <c r="K500" s="29">
        <f>IF($P500="","",IF(INDEX(EntryMan,$P500)=0,"",INDEX(EntryMan,$P500)))</f>
        <v/>
      </c>
      <c r="L500" s="28">
        <f>IF($B500="","",IF($K500="","—",IF(ROUND($K500-$J500,0)=0,"√","×")))</f>
        <v/>
      </c>
      <c r="M500" s="28">
        <f>IF($B500="","",IF(COUNTIFS(EntryDates,$B500,CalcTime,$C500,CalcBank,$C$5,EntryParty,$D500,EntryDep,$H500,EntryWit,$I500)&gt;1,"تکرار",""))</f>
        <v/>
      </c>
      <c r="N500" s="28">
        <f>IF($P500="","",IF(INDEX(EntryNotes,$P500)=0,"",INDEX(EntryNotes,$P500)))</f>
        <v/>
      </c>
      <c r="O500" s="28">
        <f>IF($P500="","",IF(INDEX(EntryTxnID,$P500)=0,"",INDEX(EntryTxnID,$P500)))</f>
        <v/>
      </c>
      <c r="P500" s="28">
        <f>IFERROR(MATCH($C$5&amp;"|"&amp;RIGHT("000000"&amp;484,6),CalcRankKey,0),"")</f>
        <v/>
      </c>
    </row>
    <row r="501">
      <c r="A501" s="26">
        <f>IF($B501="","",485)</f>
        <v/>
      </c>
      <c r="B501" s="26">
        <f>IF($P501="","",IF(INDEX(CalcNormDate,$P501)=0,"",INDEX(CalcNormDate,$P501)))</f>
        <v/>
      </c>
      <c r="C501" s="26">
        <f>IF($P501="","",IF(INDEX(CalcTime,$P501)=0,"",INDEX(CalcTime,$P501)))</f>
        <v/>
      </c>
      <c r="D501" s="26">
        <f>IF($P501="","",IF(INDEX(EntryParty,$P501)=0,"",INDEX(EntryParty,$P501)))</f>
        <v/>
      </c>
      <c r="E501" s="26">
        <f>IF($P501="","",IF(INDEX(EntryPartyName,$P501)=0,"",INDEX(EntryPartyName,$P501)))</f>
        <v/>
      </c>
      <c r="F501" s="26">
        <f>IF($P501="","",IF(INDEX(EntryPartyType,$P501)=0,"",INDEX(EntryPartyType,$P501)))</f>
        <v/>
      </c>
      <c r="G501" s="26">
        <f>IF($P501="","",IF(INDEX(EntryTxnType,$P501)=0,"",INDEX(EntryTxnType,$P501)))</f>
        <v/>
      </c>
      <c r="H501" s="27">
        <f>IF($P501="","",IF(INDEX(EntryDep,$P501)=0,"",INDEX(EntryDep,$P501)))</f>
        <v/>
      </c>
      <c r="I501" s="27">
        <f>IF($P501="","",IF(INDEX(EntryWit,$P501)=0,"",INDEX(EntryWit,$P501)))</f>
        <v/>
      </c>
      <c r="J501" s="27">
        <f>IF($B501="","",IF($A501=1,$C$7,IF(J500="",0,J500))+IF($H501="",0,$H501)-IF($I501="",0,$I501))</f>
        <v/>
      </c>
      <c r="K501" s="27">
        <f>IF($P501="","",IF(INDEX(EntryMan,$P501)=0,"",INDEX(EntryMan,$P501)))</f>
        <v/>
      </c>
      <c r="L501" s="26">
        <f>IF($B501="","",IF($K501="","—",IF(ROUND($K501-$J501,0)=0,"√","×")))</f>
        <v/>
      </c>
      <c r="M501" s="26">
        <f>IF($B501="","",IF(COUNTIFS(EntryDates,$B501,CalcTime,$C501,CalcBank,$C$5,EntryParty,$D501,EntryDep,$H501,EntryWit,$I501)&gt;1,"تکرار",""))</f>
        <v/>
      </c>
      <c r="N501" s="26">
        <f>IF($P501="","",IF(INDEX(EntryNotes,$P501)=0,"",INDEX(EntryNotes,$P501)))</f>
        <v/>
      </c>
      <c r="O501" s="26">
        <f>IF($P501="","",IF(INDEX(EntryTxnID,$P501)=0,"",INDEX(EntryTxnID,$P501)))</f>
        <v/>
      </c>
      <c r="P501" s="26">
        <f>IFERROR(MATCH($C$5&amp;"|"&amp;RIGHT("000000"&amp;485,6),CalcRankKey,0),"")</f>
        <v/>
      </c>
    </row>
    <row r="502">
      <c r="A502" s="28">
        <f>IF($B502="","",486)</f>
        <v/>
      </c>
      <c r="B502" s="28">
        <f>IF($P502="","",IF(INDEX(CalcNormDate,$P502)=0,"",INDEX(CalcNormDate,$P502)))</f>
        <v/>
      </c>
      <c r="C502" s="28">
        <f>IF($P502="","",IF(INDEX(CalcTime,$P502)=0,"",INDEX(CalcTime,$P502)))</f>
        <v/>
      </c>
      <c r="D502" s="28">
        <f>IF($P502="","",IF(INDEX(EntryParty,$P502)=0,"",INDEX(EntryParty,$P502)))</f>
        <v/>
      </c>
      <c r="E502" s="28">
        <f>IF($P502="","",IF(INDEX(EntryPartyName,$P502)=0,"",INDEX(EntryPartyName,$P502)))</f>
        <v/>
      </c>
      <c r="F502" s="28">
        <f>IF($P502="","",IF(INDEX(EntryPartyType,$P502)=0,"",INDEX(EntryPartyType,$P502)))</f>
        <v/>
      </c>
      <c r="G502" s="28">
        <f>IF($P502="","",IF(INDEX(EntryTxnType,$P502)=0,"",INDEX(EntryTxnType,$P502)))</f>
        <v/>
      </c>
      <c r="H502" s="29">
        <f>IF($P502="","",IF(INDEX(EntryDep,$P502)=0,"",INDEX(EntryDep,$P502)))</f>
        <v/>
      </c>
      <c r="I502" s="29">
        <f>IF($P502="","",IF(INDEX(EntryWit,$P502)=0,"",INDEX(EntryWit,$P502)))</f>
        <v/>
      </c>
      <c r="J502" s="29">
        <f>IF($B502="","",IF($A502=1,$C$7,IF(J501="",0,J501))+IF($H502="",0,$H502)-IF($I502="",0,$I502))</f>
        <v/>
      </c>
      <c r="K502" s="29">
        <f>IF($P502="","",IF(INDEX(EntryMan,$P502)=0,"",INDEX(EntryMan,$P502)))</f>
        <v/>
      </c>
      <c r="L502" s="28">
        <f>IF($B502="","",IF($K502="","—",IF(ROUND($K502-$J502,0)=0,"√","×")))</f>
        <v/>
      </c>
      <c r="M502" s="28">
        <f>IF($B502="","",IF(COUNTIFS(EntryDates,$B502,CalcTime,$C502,CalcBank,$C$5,EntryParty,$D502,EntryDep,$H502,EntryWit,$I502)&gt;1,"تکرار",""))</f>
        <v/>
      </c>
      <c r="N502" s="28">
        <f>IF($P502="","",IF(INDEX(EntryNotes,$P502)=0,"",INDEX(EntryNotes,$P502)))</f>
        <v/>
      </c>
      <c r="O502" s="28">
        <f>IF($P502="","",IF(INDEX(EntryTxnID,$P502)=0,"",INDEX(EntryTxnID,$P502)))</f>
        <v/>
      </c>
      <c r="P502" s="28">
        <f>IFERROR(MATCH($C$5&amp;"|"&amp;RIGHT("000000"&amp;486,6),CalcRankKey,0),"")</f>
        <v/>
      </c>
    </row>
    <row r="503">
      <c r="A503" s="26">
        <f>IF($B503="","",487)</f>
        <v/>
      </c>
      <c r="B503" s="26">
        <f>IF($P503="","",IF(INDEX(CalcNormDate,$P503)=0,"",INDEX(CalcNormDate,$P503)))</f>
        <v/>
      </c>
      <c r="C503" s="26">
        <f>IF($P503="","",IF(INDEX(CalcTime,$P503)=0,"",INDEX(CalcTime,$P503)))</f>
        <v/>
      </c>
      <c r="D503" s="26">
        <f>IF($P503="","",IF(INDEX(EntryParty,$P503)=0,"",INDEX(EntryParty,$P503)))</f>
        <v/>
      </c>
      <c r="E503" s="26">
        <f>IF($P503="","",IF(INDEX(EntryPartyName,$P503)=0,"",INDEX(EntryPartyName,$P503)))</f>
        <v/>
      </c>
      <c r="F503" s="26">
        <f>IF($P503="","",IF(INDEX(EntryPartyType,$P503)=0,"",INDEX(EntryPartyType,$P503)))</f>
        <v/>
      </c>
      <c r="G503" s="26">
        <f>IF($P503="","",IF(INDEX(EntryTxnType,$P503)=0,"",INDEX(EntryTxnType,$P503)))</f>
        <v/>
      </c>
      <c r="H503" s="27">
        <f>IF($P503="","",IF(INDEX(EntryDep,$P503)=0,"",INDEX(EntryDep,$P503)))</f>
        <v/>
      </c>
      <c r="I503" s="27">
        <f>IF($P503="","",IF(INDEX(EntryWit,$P503)=0,"",INDEX(EntryWit,$P503)))</f>
        <v/>
      </c>
      <c r="J503" s="27">
        <f>IF($B503="","",IF($A503=1,$C$7,IF(J502="",0,J502))+IF($H503="",0,$H503)-IF($I503="",0,$I503))</f>
        <v/>
      </c>
      <c r="K503" s="27">
        <f>IF($P503="","",IF(INDEX(EntryMan,$P503)=0,"",INDEX(EntryMan,$P503)))</f>
        <v/>
      </c>
      <c r="L503" s="26">
        <f>IF($B503="","",IF($K503="","—",IF(ROUND($K503-$J503,0)=0,"√","×")))</f>
        <v/>
      </c>
      <c r="M503" s="26">
        <f>IF($B503="","",IF(COUNTIFS(EntryDates,$B503,CalcTime,$C503,CalcBank,$C$5,EntryParty,$D503,EntryDep,$H503,EntryWit,$I503)&gt;1,"تکرار",""))</f>
        <v/>
      </c>
      <c r="N503" s="26">
        <f>IF($P503="","",IF(INDEX(EntryNotes,$P503)=0,"",INDEX(EntryNotes,$P503)))</f>
        <v/>
      </c>
      <c r="O503" s="26">
        <f>IF($P503="","",IF(INDEX(EntryTxnID,$P503)=0,"",INDEX(EntryTxnID,$P503)))</f>
        <v/>
      </c>
      <c r="P503" s="26">
        <f>IFERROR(MATCH($C$5&amp;"|"&amp;RIGHT("000000"&amp;487,6),CalcRankKey,0),"")</f>
        <v/>
      </c>
    </row>
    <row r="504">
      <c r="A504" s="28">
        <f>IF($B504="","",488)</f>
        <v/>
      </c>
      <c r="B504" s="28">
        <f>IF($P504="","",IF(INDEX(CalcNormDate,$P504)=0,"",INDEX(CalcNormDate,$P504)))</f>
        <v/>
      </c>
      <c r="C504" s="28">
        <f>IF($P504="","",IF(INDEX(CalcTime,$P504)=0,"",INDEX(CalcTime,$P504)))</f>
        <v/>
      </c>
      <c r="D504" s="28">
        <f>IF($P504="","",IF(INDEX(EntryParty,$P504)=0,"",INDEX(EntryParty,$P504)))</f>
        <v/>
      </c>
      <c r="E504" s="28">
        <f>IF($P504="","",IF(INDEX(EntryPartyName,$P504)=0,"",INDEX(EntryPartyName,$P504)))</f>
        <v/>
      </c>
      <c r="F504" s="28">
        <f>IF($P504="","",IF(INDEX(EntryPartyType,$P504)=0,"",INDEX(EntryPartyType,$P504)))</f>
        <v/>
      </c>
      <c r="G504" s="28">
        <f>IF($P504="","",IF(INDEX(EntryTxnType,$P504)=0,"",INDEX(EntryTxnType,$P504)))</f>
        <v/>
      </c>
      <c r="H504" s="29">
        <f>IF($P504="","",IF(INDEX(EntryDep,$P504)=0,"",INDEX(EntryDep,$P504)))</f>
        <v/>
      </c>
      <c r="I504" s="29">
        <f>IF($P504="","",IF(INDEX(EntryWit,$P504)=0,"",INDEX(EntryWit,$P504)))</f>
        <v/>
      </c>
      <c r="J504" s="29">
        <f>IF($B504="","",IF($A504=1,$C$7,IF(J503="",0,J503))+IF($H504="",0,$H504)-IF($I504="",0,$I504))</f>
        <v/>
      </c>
      <c r="K504" s="29">
        <f>IF($P504="","",IF(INDEX(EntryMan,$P504)=0,"",INDEX(EntryMan,$P504)))</f>
        <v/>
      </c>
      <c r="L504" s="28">
        <f>IF($B504="","",IF($K504="","—",IF(ROUND($K504-$J504,0)=0,"√","×")))</f>
        <v/>
      </c>
      <c r="M504" s="28">
        <f>IF($B504="","",IF(COUNTIFS(EntryDates,$B504,CalcTime,$C504,CalcBank,$C$5,EntryParty,$D504,EntryDep,$H504,EntryWit,$I504)&gt;1,"تکرار",""))</f>
        <v/>
      </c>
      <c r="N504" s="28">
        <f>IF($P504="","",IF(INDEX(EntryNotes,$P504)=0,"",INDEX(EntryNotes,$P504)))</f>
        <v/>
      </c>
      <c r="O504" s="28">
        <f>IF($P504="","",IF(INDEX(EntryTxnID,$P504)=0,"",INDEX(EntryTxnID,$P504)))</f>
        <v/>
      </c>
      <c r="P504" s="28">
        <f>IFERROR(MATCH($C$5&amp;"|"&amp;RIGHT("000000"&amp;488,6),CalcRankKey,0),"")</f>
        <v/>
      </c>
    </row>
    <row r="505">
      <c r="A505" s="26">
        <f>IF($B505="","",489)</f>
        <v/>
      </c>
      <c r="B505" s="26">
        <f>IF($P505="","",IF(INDEX(CalcNormDate,$P505)=0,"",INDEX(CalcNormDate,$P505)))</f>
        <v/>
      </c>
      <c r="C505" s="26">
        <f>IF($P505="","",IF(INDEX(CalcTime,$P505)=0,"",INDEX(CalcTime,$P505)))</f>
        <v/>
      </c>
      <c r="D505" s="26">
        <f>IF($P505="","",IF(INDEX(EntryParty,$P505)=0,"",INDEX(EntryParty,$P505)))</f>
        <v/>
      </c>
      <c r="E505" s="26">
        <f>IF($P505="","",IF(INDEX(EntryPartyName,$P505)=0,"",INDEX(EntryPartyName,$P505)))</f>
        <v/>
      </c>
      <c r="F505" s="26">
        <f>IF($P505="","",IF(INDEX(EntryPartyType,$P505)=0,"",INDEX(EntryPartyType,$P505)))</f>
        <v/>
      </c>
      <c r="G505" s="26">
        <f>IF($P505="","",IF(INDEX(EntryTxnType,$P505)=0,"",INDEX(EntryTxnType,$P505)))</f>
        <v/>
      </c>
      <c r="H505" s="27">
        <f>IF($P505="","",IF(INDEX(EntryDep,$P505)=0,"",INDEX(EntryDep,$P505)))</f>
        <v/>
      </c>
      <c r="I505" s="27">
        <f>IF($P505="","",IF(INDEX(EntryWit,$P505)=0,"",INDEX(EntryWit,$P505)))</f>
        <v/>
      </c>
      <c r="J505" s="27">
        <f>IF($B505="","",IF($A505=1,$C$7,IF(J504="",0,J504))+IF($H505="",0,$H505)-IF($I505="",0,$I505))</f>
        <v/>
      </c>
      <c r="K505" s="27">
        <f>IF($P505="","",IF(INDEX(EntryMan,$P505)=0,"",INDEX(EntryMan,$P505)))</f>
        <v/>
      </c>
      <c r="L505" s="26">
        <f>IF($B505="","",IF($K505="","—",IF(ROUND($K505-$J505,0)=0,"√","×")))</f>
        <v/>
      </c>
      <c r="M505" s="26">
        <f>IF($B505="","",IF(COUNTIFS(EntryDates,$B505,CalcTime,$C505,CalcBank,$C$5,EntryParty,$D505,EntryDep,$H505,EntryWit,$I505)&gt;1,"تکرار",""))</f>
        <v/>
      </c>
      <c r="N505" s="26">
        <f>IF($P505="","",IF(INDEX(EntryNotes,$P505)=0,"",INDEX(EntryNotes,$P505)))</f>
        <v/>
      </c>
      <c r="O505" s="26">
        <f>IF($P505="","",IF(INDEX(EntryTxnID,$P505)=0,"",INDEX(EntryTxnID,$P505)))</f>
        <v/>
      </c>
      <c r="P505" s="26">
        <f>IFERROR(MATCH($C$5&amp;"|"&amp;RIGHT("000000"&amp;489,6),CalcRankKey,0),"")</f>
        <v/>
      </c>
    </row>
    <row r="506">
      <c r="A506" s="28">
        <f>IF($B506="","",490)</f>
        <v/>
      </c>
      <c r="B506" s="28">
        <f>IF($P506="","",IF(INDEX(CalcNormDate,$P506)=0,"",INDEX(CalcNormDate,$P506)))</f>
        <v/>
      </c>
      <c r="C506" s="28">
        <f>IF($P506="","",IF(INDEX(CalcTime,$P506)=0,"",INDEX(CalcTime,$P506)))</f>
        <v/>
      </c>
      <c r="D506" s="28">
        <f>IF($P506="","",IF(INDEX(EntryParty,$P506)=0,"",INDEX(EntryParty,$P506)))</f>
        <v/>
      </c>
      <c r="E506" s="28">
        <f>IF($P506="","",IF(INDEX(EntryPartyName,$P506)=0,"",INDEX(EntryPartyName,$P506)))</f>
        <v/>
      </c>
      <c r="F506" s="28">
        <f>IF($P506="","",IF(INDEX(EntryPartyType,$P506)=0,"",INDEX(EntryPartyType,$P506)))</f>
        <v/>
      </c>
      <c r="G506" s="28">
        <f>IF($P506="","",IF(INDEX(EntryTxnType,$P506)=0,"",INDEX(EntryTxnType,$P506)))</f>
        <v/>
      </c>
      <c r="H506" s="29">
        <f>IF($P506="","",IF(INDEX(EntryDep,$P506)=0,"",INDEX(EntryDep,$P506)))</f>
        <v/>
      </c>
      <c r="I506" s="29">
        <f>IF($P506="","",IF(INDEX(EntryWit,$P506)=0,"",INDEX(EntryWit,$P506)))</f>
        <v/>
      </c>
      <c r="J506" s="29">
        <f>IF($B506="","",IF($A506=1,$C$7,IF(J505="",0,J505))+IF($H506="",0,$H506)-IF($I506="",0,$I506))</f>
        <v/>
      </c>
      <c r="K506" s="29">
        <f>IF($P506="","",IF(INDEX(EntryMan,$P506)=0,"",INDEX(EntryMan,$P506)))</f>
        <v/>
      </c>
      <c r="L506" s="28">
        <f>IF($B506="","",IF($K506="","—",IF(ROUND($K506-$J506,0)=0,"√","×")))</f>
        <v/>
      </c>
      <c r="M506" s="28">
        <f>IF($B506="","",IF(COUNTIFS(EntryDates,$B506,CalcTime,$C506,CalcBank,$C$5,EntryParty,$D506,EntryDep,$H506,EntryWit,$I506)&gt;1,"تکرار",""))</f>
        <v/>
      </c>
      <c r="N506" s="28">
        <f>IF($P506="","",IF(INDEX(EntryNotes,$P506)=0,"",INDEX(EntryNotes,$P506)))</f>
        <v/>
      </c>
      <c r="O506" s="28">
        <f>IF($P506="","",IF(INDEX(EntryTxnID,$P506)=0,"",INDEX(EntryTxnID,$P506)))</f>
        <v/>
      </c>
      <c r="P506" s="28">
        <f>IFERROR(MATCH($C$5&amp;"|"&amp;RIGHT("000000"&amp;490,6),CalcRankKey,0),"")</f>
        <v/>
      </c>
    </row>
    <row r="507">
      <c r="A507" s="26">
        <f>IF($B507="","",491)</f>
        <v/>
      </c>
      <c r="B507" s="26">
        <f>IF($P507="","",IF(INDEX(CalcNormDate,$P507)=0,"",INDEX(CalcNormDate,$P507)))</f>
        <v/>
      </c>
      <c r="C507" s="26">
        <f>IF($P507="","",IF(INDEX(CalcTime,$P507)=0,"",INDEX(CalcTime,$P507)))</f>
        <v/>
      </c>
      <c r="D507" s="26">
        <f>IF($P507="","",IF(INDEX(EntryParty,$P507)=0,"",INDEX(EntryParty,$P507)))</f>
        <v/>
      </c>
      <c r="E507" s="26">
        <f>IF($P507="","",IF(INDEX(EntryPartyName,$P507)=0,"",INDEX(EntryPartyName,$P507)))</f>
        <v/>
      </c>
      <c r="F507" s="26">
        <f>IF($P507="","",IF(INDEX(EntryPartyType,$P507)=0,"",INDEX(EntryPartyType,$P507)))</f>
        <v/>
      </c>
      <c r="G507" s="26">
        <f>IF($P507="","",IF(INDEX(EntryTxnType,$P507)=0,"",INDEX(EntryTxnType,$P507)))</f>
        <v/>
      </c>
      <c r="H507" s="27">
        <f>IF($P507="","",IF(INDEX(EntryDep,$P507)=0,"",INDEX(EntryDep,$P507)))</f>
        <v/>
      </c>
      <c r="I507" s="27">
        <f>IF($P507="","",IF(INDEX(EntryWit,$P507)=0,"",INDEX(EntryWit,$P507)))</f>
        <v/>
      </c>
      <c r="J507" s="27">
        <f>IF($B507="","",IF($A507=1,$C$7,IF(J506="",0,J506))+IF($H507="",0,$H507)-IF($I507="",0,$I507))</f>
        <v/>
      </c>
      <c r="K507" s="27">
        <f>IF($P507="","",IF(INDEX(EntryMan,$P507)=0,"",INDEX(EntryMan,$P507)))</f>
        <v/>
      </c>
      <c r="L507" s="26">
        <f>IF($B507="","",IF($K507="","—",IF(ROUND($K507-$J507,0)=0,"√","×")))</f>
        <v/>
      </c>
      <c r="M507" s="26">
        <f>IF($B507="","",IF(COUNTIFS(EntryDates,$B507,CalcTime,$C507,CalcBank,$C$5,EntryParty,$D507,EntryDep,$H507,EntryWit,$I507)&gt;1,"تکرار",""))</f>
        <v/>
      </c>
      <c r="N507" s="26">
        <f>IF($P507="","",IF(INDEX(EntryNotes,$P507)=0,"",INDEX(EntryNotes,$P507)))</f>
        <v/>
      </c>
      <c r="O507" s="26">
        <f>IF($P507="","",IF(INDEX(EntryTxnID,$P507)=0,"",INDEX(EntryTxnID,$P507)))</f>
        <v/>
      </c>
      <c r="P507" s="26">
        <f>IFERROR(MATCH($C$5&amp;"|"&amp;RIGHT("000000"&amp;491,6),CalcRankKey,0),"")</f>
        <v/>
      </c>
    </row>
    <row r="508">
      <c r="A508" s="28">
        <f>IF($B508="","",492)</f>
        <v/>
      </c>
      <c r="B508" s="28">
        <f>IF($P508="","",IF(INDEX(CalcNormDate,$P508)=0,"",INDEX(CalcNormDate,$P508)))</f>
        <v/>
      </c>
      <c r="C508" s="28">
        <f>IF($P508="","",IF(INDEX(CalcTime,$P508)=0,"",INDEX(CalcTime,$P508)))</f>
        <v/>
      </c>
      <c r="D508" s="28">
        <f>IF($P508="","",IF(INDEX(EntryParty,$P508)=0,"",INDEX(EntryParty,$P508)))</f>
        <v/>
      </c>
      <c r="E508" s="28">
        <f>IF($P508="","",IF(INDEX(EntryPartyName,$P508)=0,"",INDEX(EntryPartyName,$P508)))</f>
        <v/>
      </c>
      <c r="F508" s="28">
        <f>IF($P508="","",IF(INDEX(EntryPartyType,$P508)=0,"",INDEX(EntryPartyType,$P508)))</f>
        <v/>
      </c>
      <c r="G508" s="28">
        <f>IF($P508="","",IF(INDEX(EntryTxnType,$P508)=0,"",INDEX(EntryTxnType,$P508)))</f>
        <v/>
      </c>
      <c r="H508" s="29">
        <f>IF($P508="","",IF(INDEX(EntryDep,$P508)=0,"",INDEX(EntryDep,$P508)))</f>
        <v/>
      </c>
      <c r="I508" s="29">
        <f>IF($P508="","",IF(INDEX(EntryWit,$P508)=0,"",INDEX(EntryWit,$P508)))</f>
        <v/>
      </c>
      <c r="J508" s="29">
        <f>IF($B508="","",IF($A508=1,$C$7,IF(J507="",0,J507))+IF($H508="",0,$H508)-IF($I508="",0,$I508))</f>
        <v/>
      </c>
      <c r="K508" s="29">
        <f>IF($P508="","",IF(INDEX(EntryMan,$P508)=0,"",INDEX(EntryMan,$P508)))</f>
        <v/>
      </c>
      <c r="L508" s="28">
        <f>IF($B508="","",IF($K508="","—",IF(ROUND($K508-$J508,0)=0,"√","×")))</f>
        <v/>
      </c>
      <c r="M508" s="28">
        <f>IF($B508="","",IF(COUNTIFS(EntryDates,$B508,CalcTime,$C508,CalcBank,$C$5,EntryParty,$D508,EntryDep,$H508,EntryWit,$I508)&gt;1,"تکرار",""))</f>
        <v/>
      </c>
      <c r="N508" s="28">
        <f>IF($P508="","",IF(INDEX(EntryNotes,$P508)=0,"",INDEX(EntryNotes,$P508)))</f>
        <v/>
      </c>
      <c r="O508" s="28">
        <f>IF($P508="","",IF(INDEX(EntryTxnID,$P508)=0,"",INDEX(EntryTxnID,$P508)))</f>
        <v/>
      </c>
      <c r="P508" s="28">
        <f>IFERROR(MATCH($C$5&amp;"|"&amp;RIGHT("000000"&amp;492,6),CalcRankKey,0),"")</f>
        <v/>
      </c>
    </row>
    <row r="509">
      <c r="A509" s="26">
        <f>IF($B509="","",493)</f>
        <v/>
      </c>
      <c r="B509" s="26">
        <f>IF($P509="","",IF(INDEX(CalcNormDate,$P509)=0,"",INDEX(CalcNormDate,$P509)))</f>
        <v/>
      </c>
      <c r="C509" s="26">
        <f>IF($P509="","",IF(INDEX(CalcTime,$P509)=0,"",INDEX(CalcTime,$P509)))</f>
        <v/>
      </c>
      <c r="D509" s="26">
        <f>IF($P509="","",IF(INDEX(EntryParty,$P509)=0,"",INDEX(EntryParty,$P509)))</f>
        <v/>
      </c>
      <c r="E509" s="26">
        <f>IF($P509="","",IF(INDEX(EntryPartyName,$P509)=0,"",INDEX(EntryPartyName,$P509)))</f>
        <v/>
      </c>
      <c r="F509" s="26">
        <f>IF($P509="","",IF(INDEX(EntryPartyType,$P509)=0,"",INDEX(EntryPartyType,$P509)))</f>
        <v/>
      </c>
      <c r="G509" s="26">
        <f>IF($P509="","",IF(INDEX(EntryTxnType,$P509)=0,"",INDEX(EntryTxnType,$P509)))</f>
        <v/>
      </c>
      <c r="H509" s="27">
        <f>IF($P509="","",IF(INDEX(EntryDep,$P509)=0,"",INDEX(EntryDep,$P509)))</f>
        <v/>
      </c>
      <c r="I509" s="27">
        <f>IF($P509="","",IF(INDEX(EntryWit,$P509)=0,"",INDEX(EntryWit,$P509)))</f>
        <v/>
      </c>
      <c r="J509" s="27">
        <f>IF($B509="","",IF($A509=1,$C$7,IF(J508="",0,J508))+IF($H509="",0,$H509)-IF($I509="",0,$I509))</f>
        <v/>
      </c>
      <c r="K509" s="27">
        <f>IF($P509="","",IF(INDEX(EntryMan,$P509)=0,"",INDEX(EntryMan,$P509)))</f>
        <v/>
      </c>
      <c r="L509" s="26">
        <f>IF($B509="","",IF($K509="","—",IF(ROUND($K509-$J509,0)=0,"√","×")))</f>
        <v/>
      </c>
      <c r="M509" s="26">
        <f>IF($B509="","",IF(COUNTIFS(EntryDates,$B509,CalcTime,$C509,CalcBank,$C$5,EntryParty,$D509,EntryDep,$H509,EntryWit,$I509)&gt;1,"تکرار",""))</f>
        <v/>
      </c>
      <c r="N509" s="26">
        <f>IF($P509="","",IF(INDEX(EntryNotes,$P509)=0,"",INDEX(EntryNotes,$P509)))</f>
        <v/>
      </c>
      <c r="O509" s="26">
        <f>IF($P509="","",IF(INDEX(EntryTxnID,$P509)=0,"",INDEX(EntryTxnID,$P509)))</f>
        <v/>
      </c>
      <c r="P509" s="26">
        <f>IFERROR(MATCH($C$5&amp;"|"&amp;RIGHT("000000"&amp;493,6),CalcRankKey,0),"")</f>
        <v/>
      </c>
    </row>
    <row r="510">
      <c r="A510" s="28">
        <f>IF($B510="","",494)</f>
        <v/>
      </c>
      <c r="B510" s="28">
        <f>IF($P510="","",IF(INDEX(CalcNormDate,$P510)=0,"",INDEX(CalcNormDate,$P510)))</f>
        <v/>
      </c>
      <c r="C510" s="28">
        <f>IF($P510="","",IF(INDEX(CalcTime,$P510)=0,"",INDEX(CalcTime,$P510)))</f>
        <v/>
      </c>
      <c r="D510" s="28">
        <f>IF($P510="","",IF(INDEX(EntryParty,$P510)=0,"",INDEX(EntryParty,$P510)))</f>
        <v/>
      </c>
      <c r="E510" s="28">
        <f>IF($P510="","",IF(INDEX(EntryPartyName,$P510)=0,"",INDEX(EntryPartyName,$P510)))</f>
        <v/>
      </c>
      <c r="F510" s="28">
        <f>IF($P510="","",IF(INDEX(EntryPartyType,$P510)=0,"",INDEX(EntryPartyType,$P510)))</f>
        <v/>
      </c>
      <c r="G510" s="28">
        <f>IF($P510="","",IF(INDEX(EntryTxnType,$P510)=0,"",INDEX(EntryTxnType,$P510)))</f>
        <v/>
      </c>
      <c r="H510" s="29">
        <f>IF($P510="","",IF(INDEX(EntryDep,$P510)=0,"",INDEX(EntryDep,$P510)))</f>
        <v/>
      </c>
      <c r="I510" s="29">
        <f>IF($P510="","",IF(INDEX(EntryWit,$P510)=0,"",INDEX(EntryWit,$P510)))</f>
        <v/>
      </c>
      <c r="J510" s="29">
        <f>IF($B510="","",IF($A510=1,$C$7,IF(J509="",0,J509))+IF($H510="",0,$H510)-IF($I510="",0,$I510))</f>
        <v/>
      </c>
      <c r="K510" s="29">
        <f>IF($P510="","",IF(INDEX(EntryMan,$P510)=0,"",INDEX(EntryMan,$P510)))</f>
        <v/>
      </c>
      <c r="L510" s="28">
        <f>IF($B510="","",IF($K510="","—",IF(ROUND($K510-$J510,0)=0,"√","×")))</f>
        <v/>
      </c>
      <c r="M510" s="28">
        <f>IF($B510="","",IF(COUNTIFS(EntryDates,$B510,CalcTime,$C510,CalcBank,$C$5,EntryParty,$D510,EntryDep,$H510,EntryWit,$I510)&gt;1,"تکرار",""))</f>
        <v/>
      </c>
      <c r="N510" s="28">
        <f>IF($P510="","",IF(INDEX(EntryNotes,$P510)=0,"",INDEX(EntryNotes,$P510)))</f>
        <v/>
      </c>
      <c r="O510" s="28">
        <f>IF($P510="","",IF(INDEX(EntryTxnID,$P510)=0,"",INDEX(EntryTxnID,$P510)))</f>
        <v/>
      </c>
      <c r="P510" s="28">
        <f>IFERROR(MATCH($C$5&amp;"|"&amp;RIGHT("000000"&amp;494,6),CalcRankKey,0),"")</f>
        <v/>
      </c>
    </row>
    <row r="511">
      <c r="A511" s="26">
        <f>IF($B511="","",495)</f>
        <v/>
      </c>
      <c r="B511" s="26">
        <f>IF($P511="","",IF(INDEX(CalcNormDate,$P511)=0,"",INDEX(CalcNormDate,$P511)))</f>
        <v/>
      </c>
      <c r="C511" s="26">
        <f>IF($P511="","",IF(INDEX(CalcTime,$P511)=0,"",INDEX(CalcTime,$P511)))</f>
        <v/>
      </c>
      <c r="D511" s="26">
        <f>IF($P511="","",IF(INDEX(EntryParty,$P511)=0,"",INDEX(EntryParty,$P511)))</f>
        <v/>
      </c>
      <c r="E511" s="26">
        <f>IF($P511="","",IF(INDEX(EntryPartyName,$P511)=0,"",INDEX(EntryPartyName,$P511)))</f>
        <v/>
      </c>
      <c r="F511" s="26">
        <f>IF($P511="","",IF(INDEX(EntryPartyType,$P511)=0,"",INDEX(EntryPartyType,$P511)))</f>
        <v/>
      </c>
      <c r="G511" s="26">
        <f>IF($P511="","",IF(INDEX(EntryTxnType,$P511)=0,"",INDEX(EntryTxnType,$P511)))</f>
        <v/>
      </c>
      <c r="H511" s="27">
        <f>IF($P511="","",IF(INDEX(EntryDep,$P511)=0,"",INDEX(EntryDep,$P511)))</f>
        <v/>
      </c>
      <c r="I511" s="27">
        <f>IF($P511="","",IF(INDEX(EntryWit,$P511)=0,"",INDEX(EntryWit,$P511)))</f>
        <v/>
      </c>
      <c r="J511" s="27">
        <f>IF($B511="","",IF($A511=1,$C$7,IF(J510="",0,J510))+IF($H511="",0,$H511)-IF($I511="",0,$I511))</f>
        <v/>
      </c>
      <c r="K511" s="27">
        <f>IF($P511="","",IF(INDEX(EntryMan,$P511)=0,"",INDEX(EntryMan,$P511)))</f>
        <v/>
      </c>
      <c r="L511" s="26">
        <f>IF($B511="","",IF($K511="","—",IF(ROUND($K511-$J511,0)=0,"√","×")))</f>
        <v/>
      </c>
      <c r="M511" s="26">
        <f>IF($B511="","",IF(COUNTIFS(EntryDates,$B511,CalcTime,$C511,CalcBank,$C$5,EntryParty,$D511,EntryDep,$H511,EntryWit,$I511)&gt;1,"تکرار",""))</f>
        <v/>
      </c>
      <c r="N511" s="26">
        <f>IF($P511="","",IF(INDEX(EntryNotes,$P511)=0,"",INDEX(EntryNotes,$P511)))</f>
        <v/>
      </c>
      <c r="O511" s="26">
        <f>IF($P511="","",IF(INDEX(EntryTxnID,$P511)=0,"",INDEX(EntryTxnID,$P511)))</f>
        <v/>
      </c>
      <c r="P511" s="26">
        <f>IFERROR(MATCH($C$5&amp;"|"&amp;RIGHT("000000"&amp;495,6),CalcRankKey,0),"")</f>
        <v/>
      </c>
    </row>
    <row r="512">
      <c r="A512" s="28">
        <f>IF($B512="","",496)</f>
        <v/>
      </c>
      <c r="B512" s="28">
        <f>IF($P512="","",IF(INDEX(CalcNormDate,$P512)=0,"",INDEX(CalcNormDate,$P512)))</f>
        <v/>
      </c>
      <c r="C512" s="28">
        <f>IF($P512="","",IF(INDEX(CalcTime,$P512)=0,"",INDEX(CalcTime,$P512)))</f>
        <v/>
      </c>
      <c r="D512" s="28">
        <f>IF($P512="","",IF(INDEX(EntryParty,$P512)=0,"",INDEX(EntryParty,$P512)))</f>
        <v/>
      </c>
      <c r="E512" s="28">
        <f>IF($P512="","",IF(INDEX(EntryPartyName,$P512)=0,"",INDEX(EntryPartyName,$P512)))</f>
        <v/>
      </c>
      <c r="F512" s="28">
        <f>IF($P512="","",IF(INDEX(EntryPartyType,$P512)=0,"",INDEX(EntryPartyType,$P512)))</f>
        <v/>
      </c>
      <c r="G512" s="28">
        <f>IF($P512="","",IF(INDEX(EntryTxnType,$P512)=0,"",INDEX(EntryTxnType,$P512)))</f>
        <v/>
      </c>
      <c r="H512" s="29">
        <f>IF($P512="","",IF(INDEX(EntryDep,$P512)=0,"",INDEX(EntryDep,$P512)))</f>
        <v/>
      </c>
      <c r="I512" s="29">
        <f>IF($P512="","",IF(INDEX(EntryWit,$P512)=0,"",INDEX(EntryWit,$P512)))</f>
        <v/>
      </c>
      <c r="J512" s="29">
        <f>IF($B512="","",IF($A512=1,$C$7,IF(J511="",0,J511))+IF($H512="",0,$H512)-IF($I512="",0,$I512))</f>
        <v/>
      </c>
      <c r="K512" s="29">
        <f>IF($P512="","",IF(INDEX(EntryMan,$P512)=0,"",INDEX(EntryMan,$P512)))</f>
        <v/>
      </c>
      <c r="L512" s="28">
        <f>IF($B512="","",IF($K512="","—",IF(ROUND($K512-$J512,0)=0,"√","×")))</f>
        <v/>
      </c>
      <c r="M512" s="28">
        <f>IF($B512="","",IF(COUNTIFS(EntryDates,$B512,CalcTime,$C512,CalcBank,$C$5,EntryParty,$D512,EntryDep,$H512,EntryWit,$I512)&gt;1,"تکرار",""))</f>
        <v/>
      </c>
      <c r="N512" s="28">
        <f>IF($P512="","",IF(INDEX(EntryNotes,$P512)=0,"",INDEX(EntryNotes,$P512)))</f>
        <v/>
      </c>
      <c r="O512" s="28">
        <f>IF($P512="","",IF(INDEX(EntryTxnID,$P512)=0,"",INDEX(EntryTxnID,$P512)))</f>
        <v/>
      </c>
      <c r="P512" s="28">
        <f>IFERROR(MATCH($C$5&amp;"|"&amp;RIGHT("000000"&amp;496,6),CalcRankKey,0),"")</f>
        <v/>
      </c>
    </row>
    <row r="513">
      <c r="A513" s="26">
        <f>IF($B513="","",497)</f>
        <v/>
      </c>
      <c r="B513" s="26">
        <f>IF($P513="","",IF(INDEX(CalcNormDate,$P513)=0,"",INDEX(CalcNormDate,$P513)))</f>
        <v/>
      </c>
      <c r="C513" s="26">
        <f>IF($P513="","",IF(INDEX(CalcTime,$P513)=0,"",INDEX(CalcTime,$P513)))</f>
        <v/>
      </c>
      <c r="D513" s="26">
        <f>IF($P513="","",IF(INDEX(EntryParty,$P513)=0,"",INDEX(EntryParty,$P513)))</f>
        <v/>
      </c>
      <c r="E513" s="26">
        <f>IF($P513="","",IF(INDEX(EntryPartyName,$P513)=0,"",INDEX(EntryPartyName,$P513)))</f>
        <v/>
      </c>
      <c r="F513" s="26">
        <f>IF($P513="","",IF(INDEX(EntryPartyType,$P513)=0,"",INDEX(EntryPartyType,$P513)))</f>
        <v/>
      </c>
      <c r="G513" s="26">
        <f>IF($P513="","",IF(INDEX(EntryTxnType,$P513)=0,"",INDEX(EntryTxnType,$P513)))</f>
        <v/>
      </c>
      <c r="H513" s="27">
        <f>IF($P513="","",IF(INDEX(EntryDep,$P513)=0,"",INDEX(EntryDep,$P513)))</f>
        <v/>
      </c>
      <c r="I513" s="27">
        <f>IF($P513="","",IF(INDEX(EntryWit,$P513)=0,"",INDEX(EntryWit,$P513)))</f>
        <v/>
      </c>
      <c r="J513" s="27">
        <f>IF($B513="","",IF($A513=1,$C$7,IF(J512="",0,J512))+IF($H513="",0,$H513)-IF($I513="",0,$I513))</f>
        <v/>
      </c>
      <c r="K513" s="27">
        <f>IF($P513="","",IF(INDEX(EntryMan,$P513)=0,"",INDEX(EntryMan,$P513)))</f>
        <v/>
      </c>
      <c r="L513" s="26">
        <f>IF($B513="","",IF($K513="","—",IF(ROUND($K513-$J513,0)=0,"√","×")))</f>
        <v/>
      </c>
      <c r="M513" s="26">
        <f>IF($B513="","",IF(COUNTIFS(EntryDates,$B513,CalcTime,$C513,CalcBank,$C$5,EntryParty,$D513,EntryDep,$H513,EntryWit,$I513)&gt;1,"تکرار",""))</f>
        <v/>
      </c>
      <c r="N513" s="26">
        <f>IF($P513="","",IF(INDEX(EntryNotes,$P513)=0,"",INDEX(EntryNotes,$P513)))</f>
        <v/>
      </c>
      <c r="O513" s="26">
        <f>IF($P513="","",IF(INDEX(EntryTxnID,$P513)=0,"",INDEX(EntryTxnID,$P513)))</f>
        <v/>
      </c>
      <c r="P513" s="26">
        <f>IFERROR(MATCH($C$5&amp;"|"&amp;RIGHT("000000"&amp;497,6),CalcRankKey,0),"")</f>
        <v/>
      </c>
    </row>
    <row r="514">
      <c r="A514" s="28">
        <f>IF($B514="","",498)</f>
        <v/>
      </c>
      <c r="B514" s="28">
        <f>IF($P514="","",IF(INDEX(CalcNormDate,$P514)=0,"",INDEX(CalcNormDate,$P514)))</f>
        <v/>
      </c>
      <c r="C514" s="28">
        <f>IF($P514="","",IF(INDEX(CalcTime,$P514)=0,"",INDEX(CalcTime,$P514)))</f>
        <v/>
      </c>
      <c r="D514" s="28">
        <f>IF($P514="","",IF(INDEX(EntryParty,$P514)=0,"",INDEX(EntryParty,$P514)))</f>
        <v/>
      </c>
      <c r="E514" s="28">
        <f>IF($P514="","",IF(INDEX(EntryPartyName,$P514)=0,"",INDEX(EntryPartyName,$P514)))</f>
        <v/>
      </c>
      <c r="F514" s="28">
        <f>IF($P514="","",IF(INDEX(EntryPartyType,$P514)=0,"",INDEX(EntryPartyType,$P514)))</f>
        <v/>
      </c>
      <c r="G514" s="28">
        <f>IF($P514="","",IF(INDEX(EntryTxnType,$P514)=0,"",INDEX(EntryTxnType,$P514)))</f>
        <v/>
      </c>
      <c r="H514" s="29">
        <f>IF($P514="","",IF(INDEX(EntryDep,$P514)=0,"",INDEX(EntryDep,$P514)))</f>
        <v/>
      </c>
      <c r="I514" s="29">
        <f>IF($P514="","",IF(INDEX(EntryWit,$P514)=0,"",INDEX(EntryWit,$P514)))</f>
        <v/>
      </c>
      <c r="J514" s="29">
        <f>IF($B514="","",IF($A514=1,$C$7,IF(J513="",0,J513))+IF($H514="",0,$H514)-IF($I514="",0,$I514))</f>
        <v/>
      </c>
      <c r="K514" s="29">
        <f>IF($P514="","",IF(INDEX(EntryMan,$P514)=0,"",INDEX(EntryMan,$P514)))</f>
        <v/>
      </c>
      <c r="L514" s="28">
        <f>IF($B514="","",IF($K514="","—",IF(ROUND($K514-$J514,0)=0,"√","×")))</f>
        <v/>
      </c>
      <c r="M514" s="28">
        <f>IF($B514="","",IF(COUNTIFS(EntryDates,$B514,CalcTime,$C514,CalcBank,$C$5,EntryParty,$D514,EntryDep,$H514,EntryWit,$I514)&gt;1,"تکرار",""))</f>
        <v/>
      </c>
      <c r="N514" s="28">
        <f>IF($P514="","",IF(INDEX(EntryNotes,$P514)=0,"",INDEX(EntryNotes,$P514)))</f>
        <v/>
      </c>
      <c r="O514" s="28">
        <f>IF($P514="","",IF(INDEX(EntryTxnID,$P514)=0,"",INDEX(EntryTxnID,$P514)))</f>
        <v/>
      </c>
      <c r="P514" s="28">
        <f>IFERROR(MATCH($C$5&amp;"|"&amp;RIGHT("000000"&amp;498,6),CalcRankKey,0),"")</f>
        <v/>
      </c>
    </row>
    <row r="515">
      <c r="A515" s="26">
        <f>IF($B515="","",499)</f>
        <v/>
      </c>
      <c r="B515" s="26">
        <f>IF($P515="","",IF(INDEX(CalcNormDate,$P515)=0,"",INDEX(CalcNormDate,$P515)))</f>
        <v/>
      </c>
      <c r="C515" s="26">
        <f>IF($P515="","",IF(INDEX(CalcTime,$P515)=0,"",INDEX(CalcTime,$P515)))</f>
        <v/>
      </c>
      <c r="D515" s="26">
        <f>IF($P515="","",IF(INDEX(EntryParty,$P515)=0,"",INDEX(EntryParty,$P515)))</f>
        <v/>
      </c>
      <c r="E515" s="26">
        <f>IF($P515="","",IF(INDEX(EntryPartyName,$P515)=0,"",INDEX(EntryPartyName,$P515)))</f>
        <v/>
      </c>
      <c r="F515" s="26">
        <f>IF($P515="","",IF(INDEX(EntryPartyType,$P515)=0,"",INDEX(EntryPartyType,$P515)))</f>
        <v/>
      </c>
      <c r="G515" s="26">
        <f>IF($P515="","",IF(INDEX(EntryTxnType,$P515)=0,"",INDEX(EntryTxnType,$P515)))</f>
        <v/>
      </c>
      <c r="H515" s="27">
        <f>IF($P515="","",IF(INDEX(EntryDep,$P515)=0,"",INDEX(EntryDep,$P515)))</f>
        <v/>
      </c>
      <c r="I515" s="27">
        <f>IF($P515="","",IF(INDEX(EntryWit,$P515)=0,"",INDEX(EntryWit,$P515)))</f>
        <v/>
      </c>
      <c r="J515" s="27">
        <f>IF($B515="","",IF($A515=1,$C$7,IF(J514="",0,J514))+IF($H515="",0,$H515)-IF($I515="",0,$I515))</f>
        <v/>
      </c>
      <c r="K515" s="27">
        <f>IF($P515="","",IF(INDEX(EntryMan,$P515)=0,"",INDEX(EntryMan,$P515)))</f>
        <v/>
      </c>
      <c r="L515" s="26">
        <f>IF($B515="","",IF($K515="","—",IF(ROUND($K515-$J515,0)=0,"√","×")))</f>
        <v/>
      </c>
      <c r="M515" s="26">
        <f>IF($B515="","",IF(COUNTIFS(EntryDates,$B515,CalcTime,$C515,CalcBank,$C$5,EntryParty,$D515,EntryDep,$H515,EntryWit,$I515)&gt;1,"تکرار",""))</f>
        <v/>
      </c>
      <c r="N515" s="26">
        <f>IF($P515="","",IF(INDEX(EntryNotes,$P515)=0,"",INDEX(EntryNotes,$P515)))</f>
        <v/>
      </c>
      <c r="O515" s="26">
        <f>IF($P515="","",IF(INDEX(EntryTxnID,$P515)=0,"",INDEX(EntryTxnID,$P515)))</f>
        <v/>
      </c>
      <c r="P515" s="26">
        <f>IFERROR(MATCH($C$5&amp;"|"&amp;RIGHT("000000"&amp;499,6),CalcRankKey,0),"")</f>
        <v/>
      </c>
    </row>
    <row r="516">
      <c r="A516" s="28">
        <f>IF($B516="","",500)</f>
        <v/>
      </c>
      <c r="B516" s="28">
        <f>IF($P516="","",IF(INDEX(CalcNormDate,$P516)=0,"",INDEX(CalcNormDate,$P516)))</f>
        <v/>
      </c>
      <c r="C516" s="28">
        <f>IF($P516="","",IF(INDEX(CalcTime,$P516)=0,"",INDEX(CalcTime,$P516)))</f>
        <v/>
      </c>
      <c r="D516" s="28">
        <f>IF($P516="","",IF(INDEX(EntryParty,$P516)=0,"",INDEX(EntryParty,$P516)))</f>
        <v/>
      </c>
      <c r="E516" s="28">
        <f>IF($P516="","",IF(INDEX(EntryPartyName,$P516)=0,"",INDEX(EntryPartyName,$P516)))</f>
        <v/>
      </c>
      <c r="F516" s="28">
        <f>IF($P516="","",IF(INDEX(EntryPartyType,$P516)=0,"",INDEX(EntryPartyType,$P516)))</f>
        <v/>
      </c>
      <c r="G516" s="28">
        <f>IF($P516="","",IF(INDEX(EntryTxnType,$P516)=0,"",INDEX(EntryTxnType,$P516)))</f>
        <v/>
      </c>
      <c r="H516" s="29">
        <f>IF($P516="","",IF(INDEX(EntryDep,$P516)=0,"",INDEX(EntryDep,$P516)))</f>
        <v/>
      </c>
      <c r="I516" s="29">
        <f>IF($P516="","",IF(INDEX(EntryWit,$P516)=0,"",INDEX(EntryWit,$P516)))</f>
        <v/>
      </c>
      <c r="J516" s="29">
        <f>IF($B516="","",IF($A516=1,$C$7,IF(J515="",0,J515))+IF($H516="",0,$H516)-IF($I516="",0,$I516))</f>
        <v/>
      </c>
      <c r="K516" s="29">
        <f>IF($P516="","",IF(INDEX(EntryMan,$P516)=0,"",INDEX(EntryMan,$P516)))</f>
        <v/>
      </c>
      <c r="L516" s="28">
        <f>IF($B516="","",IF($K516="","—",IF(ROUND($K516-$J516,0)=0,"√","×")))</f>
        <v/>
      </c>
      <c r="M516" s="28">
        <f>IF($B516="","",IF(COUNTIFS(EntryDates,$B516,CalcTime,$C516,CalcBank,$C$5,EntryParty,$D516,EntryDep,$H516,EntryWit,$I516)&gt;1,"تکرار",""))</f>
        <v/>
      </c>
      <c r="N516" s="28">
        <f>IF($P516="","",IF(INDEX(EntryNotes,$P516)=0,"",INDEX(EntryNotes,$P516)))</f>
        <v/>
      </c>
      <c r="O516" s="28">
        <f>IF($P516="","",IF(INDEX(EntryTxnID,$P516)=0,"",INDEX(EntryTxnID,$P516)))</f>
        <v/>
      </c>
      <c r="P516" s="28">
        <f>IFERROR(MATCH($C$5&amp;"|"&amp;RIGHT("000000"&amp;500,6),CalcRankKey,0),"")</f>
        <v/>
      </c>
    </row>
  </sheetData>
  <mergeCells count="43">
    <mergeCell ref="E12:F12"/>
    <mergeCell ref="G12:H12"/>
    <mergeCell ref="O12"/>
    <mergeCell ref="H10:I10"/>
    <mergeCell ref="I4:O4"/>
    <mergeCell ref="A6:B6"/>
    <mergeCell ref="H9:I9"/>
    <mergeCell ref="J7:O7"/>
    <mergeCell ref="O13"/>
    <mergeCell ref="A2:O2"/>
    <mergeCell ref="A7:B7"/>
    <mergeCell ref="H6:I6"/>
    <mergeCell ref="C8:E8"/>
    <mergeCell ref="E13:F13"/>
    <mergeCell ref="G13:H13"/>
    <mergeCell ref="C7:E7"/>
    <mergeCell ref="A9:E10"/>
    <mergeCell ref="A12:B12"/>
    <mergeCell ref="M13:N13"/>
    <mergeCell ref="C12:D12"/>
    <mergeCell ref="A3:H3"/>
    <mergeCell ref="I12:J12"/>
    <mergeCell ref="K12:L12"/>
    <mergeCell ref="M12:N12"/>
    <mergeCell ref="H7:I7"/>
    <mergeCell ref="A5:B5"/>
    <mergeCell ref="J8:O8"/>
    <mergeCell ref="A8:B8"/>
    <mergeCell ref="C6:E6"/>
    <mergeCell ref="A4:H4"/>
    <mergeCell ref="J5:O5"/>
    <mergeCell ref="C5:E5"/>
    <mergeCell ref="J10:O10"/>
    <mergeCell ref="I3:O3"/>
    <mergeCell ref="A1:O1"/>
    <mergeCell ref="A13:B13"/>
    <mergeCell ref="H5:I5"/>
    <mergeCell ref="J9:O9"/>
    <mergeCell ref="C13:D13"/>
    <mergeCell ref="H8:I8"/>
    <mergeCell ref="I13:J13"/>
    <mergeCell ref="K13:L13"/>
    <mergeCell ref="J6:O6"/>
  </mergeCells>
  <conditionalFormatting sqref="L17:L516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3">
      <formula>"—"</formula>
    </cfRule>
  </conditionalFormatting>
  <conditionalFormatting sqref="M17:M516">
    <cfRule type="cellIs" priority="4" operator="equal" dxfId="4">
      <formula>"تکرار"</formula>
    </cfRule>
  </conditionalFormatting>
  <conditionalFormatting sqref="J17:J516">
    <cfRule type="cellIs" priority="5" operator="lessThan" dxfId="5">
      <formula>0</formula>
    </cfRule>
  </conditionalFormatting>
  <conditionalFormatting sqref="H17:H516">
    <cfRule type="dataBar" priority="6">
      <dataBar showValue="1">
        <cfvo type="num" val="0"/>
        <cfvo type="max"/>
        <color rgb="0081C784"/>
      </dataBar>
    </cfRule>
  </conditionalFormatting>
  <conditionalFormatting sqref="I17:I516">
    <cfRule type="dataBar" priority="7">
      <dataBar showValue="1">
        <cfvo type="num" val="0"/>
        <cfvo type="max"/>
        <color rgb="00FF8A65"/>
      </dataBar>
    </cfRule>
  </conditionalFormatting>
  <conditionalFormatting sqref="A4:H4">
    <cfRule type="expression" priority="8" dxfId="6">
      <formula>LEN($A$4)&gt;0</formula>
    </cfRule>
  </conditionalFormatting>
  <conditionalFormatting sqref="I13">
    <cfRule type="expression" priority="9" dxfId="7">
      <formula>ISNUMBER(SEARCH("×",$I$13))</formula>
    </cfRule>
    <cfRule type="expression" priority="10" dxfId="8">
      <formula>ISNUMBER(SEARCH("√",$I$13))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بانکی — BANK04&amp;R&amp;"Tahoma"&amp;8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P5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.5" customWidth="1" min="3" max="3"/>
    <col width="10" customWidth="1" min="4" max="4"/>
    <col width="2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0" customWidth="1" min="13" max="13"/>
    <col width="27" customWidth="1" min="14" max="14"/>
    <col width="11" customWidth="1" min="15" max="15"/>
    <col hidden="1" width="6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15">
        <f>IFERROR("صورت حساب بانکی — "&amp;IF(VLOOKUP("BANK05",BankTbl,2,0)="","(بدون عنوان)",VLOOKUP("BANK05",BankTbl,2,0)),"صورت حساب بانکی")</f>
        <v/>
      </c>
      <c r="B3" s="15" t="n"/>
      <c r="C3" s="15" t="n"/>
      <c r="D3" s="15" t="n"/>
      <c r="E3" s="15" t="n"/>
      <c r="F3" s="15" t="n"/>
      <c r="G3" s="15" t="n"/>
      <c r="H3" s="15" t="n"/>
      <c r="I3" s="16">
        <f>"کد حساب: BANK05"</f>
        <v/>
      </c>
      <c r="J3" s="16" t="n"/>
      <c r="K3" s="16" t="n"/>
      <c r="L3" s="16" t="n"/>
      <c r="M3" s="16" t="n"/>
      <c r="N3" s="16" t="n"/>
      <c r="O3" s="16" t="n"/>
    </row>
    <row r="4" ht="14" customHeight="1">
      <c r="A4" s="17">
        <f>IF(COUNTIFS(CalcBank,"BANK05")&gt;500,"× ظرفیت 500 ردیف این برگه پر شده — آخرین ردیف را به پایین کپی کنید","")</f>
        <v/>
      </c>
      <c r="B4" s="17" t="n"/>
      <c r="C4" s="17" t="n"/>
      <c r="D4" s="17" t="n"/>
      <c r="E4" s="17" t="n"/>
      <c r="F4" s="17" t="n"/>
      <c r="G4" s="17" t="n"/>
      <c r="H4" s="17" t="n"/>
      <c r="I4" s="18" t="inlineStr">
        <is>
          <t>مشخصات رسمی زیر، دستی وارد می‌شود (زردرنگ).</t>
        </is>
      </c>
      <c r="J4" s="18" t="n"/>
      <c r="K4" s="18" t="n"/>
      <c r="L4" s="18" t="n"/>
      <c r="M4" s="18" t="n"/>
      <c r="N4" s="18" t="n"/>
      <c r="O4" s="18" t="n"/>
    </row>
    <row r="5" ht="18" customHeight="1">
      <c r="A5" s="19" t="inlineStr">
        <is>
          <t>کد حساب:</t>
        </is>
      </c>
      <c r="B5" s="19" t="n"/>
      <c r="C5" s="20" t="inlineStr">
        <is>
          <t>BANK05</t>
        </is>
      </c>
      <c r="D5" s="20" t="n"/>
      <c r="E5" s="20" t="n"/>
      <c r="H5" s="19" t="inlineStr">
        <is>
          <t>نام رسمی بانک:</t>
        </is>
      </c>
      <c r="I5" s="19" t="n"/>
      <c r="J5" s="21" t="n"/>
      <c r="K5" s="21" t="n"/>
      <c r="L5" s="21" t="n"/>
      <c r="M5" s="21" t="n"/>
      <c r="N5" s="21" t="n"/>
      <c r="O5" s="21" t="n"/>
    </row>
    <row r="6" ht="18" customHeight="1">
      <c r="A6" s="19" t="inlineStr">
        <is>
          <t>عنوان نمایشی:</t>
        </is>
      </c>
      <c r="B6" s="19" t="n"/>
      <c r="C6" s="22">
        <f>IFERROR(IF(VLOOKUP("BANK05",BankTbl,2,0)="","(بدون عنوان)",VLOOKUP("BANK05",BankTbl,2,0)),"—")</f>
        <v/>
      </c>
      <c r="D6" s="22" t="n"/>
      <c r="E6" s="22" t="n"/>
      <c r="H6" s="19" t="inlineStr">
        <is>
          <t>شعبه:</t>
        </is>
      </c>
      <c r="I6" s="19" t="n"/>
      <c r="J6" s="21" t="n"/>
      <c r="K6" s="21" t="n"/>
      <c r="L6" s="21" t="n"/>
      <c r="M6" s="21" t="n"/>
      <c r="N6" s="21" t="n"/>
      <c r="O6" s="21" t="n"/>
    </row>
    <row r="7" ht="18" customHeight="1">
      <c r="A7" s="19" t="inlineStr">
        <is>
          <t>مانده اولیه (ریال):</t>
        </is>
      </c>
      <c r="B7" s="19" t="n"/>
      <c r="C7" s="23">
        <f>IFERROR(VLOOKUP("BANK05",BankTbl,3,0),0)</f>
        <v/>
      </c>
      <c r="D7" s="23" t="n"/>
      <c r="E7" s="23" t="n"/>
      <c r="H7" s="19" t="inlineStr">
        <is>
          <t>شماره حساب:</t>
        </is>
      </c>
      <c r="I7" s="19" t="n"/>
      <c r="J7" s="24" t="n"/>
      <c r="K7" s="24" t="n"/>
      <c r="L7" s="24" t="n"/>
      <c r="M7" s="24" t="n"/>
      <c r="N7" s="24" t="n"/>
      <c r="O7" s="24" t="n"/>
    </row>
    <row r="8" ht="18" customHeight="1">
      <c r="A8" s="19" t="inlineStr">
        <is>
          <t>وضعیت فعال:</t>
        </is>
      </c>
      <c r="B8" s="19" t="n"/>
      <c r="C8" s="10">
        <f>IFERROR(IF(VLOOKUP("BANK05",BankTbl,4,0)=0,"—",VLOOKUP("BANK05",BankTbl,4,0)),"—")</f>
        <v/>
      </c>
      <c r="D8" s="10" t="n"/>
      <c r="E8" s="10" t="n"/>
      <c r="H8" s="19" t="inlineStr">
        <is>
          <t>شماره شبا (۲۴ رقم):</t>
        </is>
      </c>
      <c r="I8" s="19" t="n"/>
      <c r="J8" s="24" t="n"/>
      <c r="K8" s="24" t="n"/>
      <c r="L8" s="24" t="n"/>
      <c r="M8" s="24" t="n"/>
      <c r="N8" s="24" t="n"/>
      <c r="O8" s="24" t="n"/>
    </row>
    <row r="9" ht="18" customHeight="1">
      <c r="A9" s="25" t="inlineStr">
        <is>
          <t>این چهار سلول از فایل مادر خوانده می‌شوند؛ برای تغییر: Mazandasht_INFO.xlsx ← شیت Banks. مشخصات رسمی (زردرنگ) دستی وارد می‌شود.</t>
        </is>
      </c>
      <c r="B9" s="25" t="n"/>
      <c r="C9" s="25" t="n"/>
      <c r="D9" s="25" t="n"/>
      <c r="E9" s="25" t="n"/>
      <c r="H9" s="19" t="inlineStr">
        <is>
          <t>صاحب حساب:</t>
        </is>
      </c>
      <c r="I9" s="19" t="n"/>
      <c r="J9" s="21" t="n"/>
      <c r="K9" s="21" t="n"/>
      <c r="L9" s="21" t="n"/>
      <c r="M9" s="21" t="n"/>
      <c r="N9" s="21" t="n"/>
      <c r="O9" s="21" t="n"/>
    </row>
    <row r="10" ht="18" customHeight="1">
      <c r="A10" s="25" t="n"/>
      <c r="B10" s="25" t="n"/>
      <c r="C10" s="25" t="n"/>
      <c r="D10" s="25" t="n"/>
      <c r="E10" s="25" t="n"/>
      <c r="H10" s="19" t="inlineStr">
        <is>
          <t>تلفن شعبه:</t>
        </is>
      </c>
      <c r="I10" s="19" t="n"/>
      <c r="J10" s="21" t="n"/>
      <c r="K10" s="21" t="n"/>
      <c r="L10" s="21" t="n"/>
      <c r="M10" s="21" t="n"/>
      <c r="N10" s="21" t="n"/>
      <c r="O10" s="21" t="n"/>
    </row>
    <row r="12" ht="13" customHeight="1">
      <c r="A12" s="5" t="inlineStr">
        <is>
          <t>جمع واریز (ریال)</t>
        </is>
      </c>
      <c r="B12" s="5" t="n"/>
      <c r="C12" s="5" t="inlineStr">
        <is>
          <t>جمع برداشت (ریال)</t>
        </is>
      </c>
      <c r="D12" s="5" t="n"/>
      <c r="E12" s="5" t="inlineStr">
        <is>
          <t>مانده نهایی سیستم</t>
        </is>
      </c>
      <c r="F12" s="5" t="n"/>
      <c r="G12" s="5" t="inlineStr">
        <is>
          <t>آخرین موجودی بانک</t>
        </is>
      </c>
      <c r="H12" s="5" t="n"/>
      <c r="I12" s="5" t="inlineStr">
        <is>
          <t>وضعیت مغایرت</t>
        </is>
      </c>
      <c r="J12" s="5" t="n"/>
      <c r="K12" s="5" t="inlineStr">
        <is>
          <t>تعداد تراکنش</t>
        </is>
      </c>
      <c r="L12" s="5" t="n"/>
      <c r="M12" s="5" t="inlineStr">
        <is>
          <t>ردیف تکراری</t>
        </is>
      </c>
      <c r="N12" s="5" t="n"/>
      <c r="O12" s="5" t="inlineStr">
        <is>
          <t>آخرین تاریخ</t>
        </is>
      </c>
    </row>
    <row r="13" ht="22" customHeight="1">
      <c r="A13" s="7">
        <f>SUM($H$17:$H$516)</f>
        <v/>
      </c>
      <c r="B13" s="7" t="n"/>
      <c r="C13" s="7">
        <f>SUM($I$17:$I$516)</f>
        <v/>
      </c>
      <c r="D13" s="7" t="n"/>
      <c r="E13" s="7">
        <f>IFERROR(LOOKUP(9.99E+307,$J$17:$J$516),$C$7)</f>
        <v/>
      </c>
      <c r="F13" s="7" t="n"/>
      <c r="G13" s="7">
        <f>IFERROR(LOOKUP(9.99E+307,$K$17:$K$516),"—")</f>
        <v/>
      </c>
      <c r="H13" s="7" t="n"/>
      <c r="I13" s="7">
        <f>IF(NOT(ISNUMBER($G$13)),"— بدون کنترل",IF(ROUND($G$13-$E$13,0)=0,"√ منطبق","× مغایرت ("&amp;TEXT(ROUND($G$13-$E$13,0),"#,##0")&amp;" ریال)"))</f>
        <v/>
      </c>
      <c r="J13" s="7" t="n"/>
      <c r="K13" s="7">
        <f>COUNT($A$17:$A$516)</f>
        <v/>
      </c>
      <c r="L13" s="7" t="n"/>
      <c r="M13" s="7">
        <f>COUNTIF($M$17:$M$516,"تکرار")</f>
        <v/>
      </c>
      <c r="N13" s="7" t="n"/>
      <c r="O13" s="7">
        <f>IF(COUNT($A$17:$A$516)=0,"—",INDEX($B$17:$B$516,COUNT($A$17:$A$516)))</f>
        <v/>
      </c>
    </row>
    <row r="14" ht="6" customHeight="1"/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ساعت</t>
        </is>
      </c>
      <c r="D15" s="8" t="inlineStr">
        <is>
          <t>کد طرف</t>
        </is>
      </c>
      <c r="E15" s="8" t="inlineStr">
        <is>
          <t>طرف حساب</t>
        </is>
      </c>
      <c r="F15" s="8" t="inlineStr">
        <is>
          <t>نوع طرف حساب</t>
        </is>
      </c>
      <c r="G15" s="8" t="inlineStr">
        <is>
          <t>نوع تراکنش</t>
        </is>
      </c>
      <c r="H15" s="8" t="inlineStr">
        <is>
          <t>واریز (ریال)</t>
        </is>
      </c>
      <c r="I15" s="8" t="inlineStr">
        <is>
          <t>برداشت (ریال)</t>
        </is>
      </c>
      <c r="J15" s="8" t="inlineStr">
        <is>
          <t>مانده سیستم (ریال)</t>
        </is>
      </c>
      <c r="K15" s="8" t="inlineStr">
        <is>
          <t>موجودی بانک (ریال)</t>
        </is>
      </c>
      <c r="L15" s="8" t="inlineStr">
        <is>
          <t>وضعیت</t>
        </is>
      </c>
      <c r="M15" s="8" t="inlineStr">
        <is>
          <t>کنترل تکرار</t>
        </is>
      </c>
      <c r="N15" s="8" t="inlineStr">
        <is>
          <t>توضیحات</t>
        </is>
      </c>
      <c r="O15" s="8" t="inlineStr">
        <is>
          <t>شناسه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Time</t>
        </is>
      </c>
      <c r="D16" s="9" t="inlineStr">
        <is>
          <t>Party Code</t>
        </is>
      </c>
      <c r="E16" s="9" t="inlineStr">
        <is>
          <t>Party</t>
        </is>
      </c>
      <c r="F16" s="9" t="inlineStr">
        <is>
          <t>Party Type</t>
        </is>
      </c>
      <c r="G16" s="9" t="inlineStr">
        <is>
          <t>Txn Type</t>
        </is>
      </c>
      <c r="H16" s="9" t="inlineStr">
        <is>
          <t>Deposit</t>
        </is>
      </c>
      <c r="I16" s="9" t="inlineStr">
        <is>
          <t>Withdrawal</t>
        </is>
      </c>
      <c r="J16" s="9" t="inlineStr">
        <is>
          <t>System Balance</t>
        </is>
      </c>
      <c r="K16" s="9" t="inlineStr">
        <is>
          <t>Bank Balance</t>
        </is>
      </c>
      <c r="L16" s="9" t="inlineStr">
        <is>
          <t>Status</t>
        </is>
      </c>
      <c r="M16" s="9" t="inlineStr">
        <is>
          <t>Dup Check</t>
        </is>
      </c>
      <c r="N16" s="9" t="inlineStr">
        <is>
          <t>Notes</t>
        </is>
      </c>
      <c r="O16" s="9" t="inlineStr">
        <is>
          <t>TxnID</t>
        </is>
      </c>
    </row>
    <row r="17">
      <c r="A17" s="26">
        <f>IF($B17="","",1)</f>
        <v/>
      </c>
      <c r="B17" s="26">
        <f>IF($P17="","",IF(INDEX(CalcNormDate,$P17)=0,"",INDEX(CalcNormDate,$P17)))</f>
        <v/>
      </c>
      <c r="C17" s="26">
        <f>IF($P17="","",IF(INDEX(CalcTime,$P17)=0,"",INDEX(CalcTime,$P17)))</f>
        <v/>
      </c>
      <c r="D17" s="26">
        <f>IF($P17="","",IF(INDEX(EntryParty,$P17)=0,"",INDEX(EntryParty,$P17)))</f>
        <v/>
      </c>
      <c r="E17" s="26">
        <f>IF($P17="","",IF(INDEX(EntryPartyName,$P17)=0,"",INDEX(EntryPartyName,$P17)))</f>
        <v/>
      </c>
      <c r="F17" s="26">
        <f>IF($P17="","",IF(INDEX(EntryPartyType,$P17)=0,"",INDEX(EntryPartyType,$P17)))</f>
        <v/>
      </c>
      <c r="G17" s="26">
        <f>IF($P17="","",IF(INDEX(EntryTxnType,$P17)=0,"",INDEX(EntryTxnType,$P17)))</f>
        <v/>
      </c>
      <c r="H17" s="27">
        <f>IF($P17="","",IF(INDEX(EntryDep,$P17)=0,"",INDEX(EntryDep,$P17)))</f>
        <v/>
      </c>
      <c r="I17" s="27">
        <f>IF($P17="","",IF(INDEX(EntryWit,$P17)=0,"",INDEX(EntryWit,$P17)))</f>
        <v/>
      </c>
      <c r="J17" s="27">
        <f>IF($B17="","",IF($A17=1,$C$7,IF(J16="",0,J16))+IF($H17="",0,$H17)-IF($I17="",0,$I17))</f>
        <v/>
      </c>
      <c r="K17" s="27">
        <f>IF($P17="","",IF(INDEX(EntryMan,$P17)=0,"",INDEX(EntryMan,$P17)))</f>
        <v/>
      </c>
      <c r="L17" s="26">
        <f>IF($B17="","",IF($K17="","—",IF(ROUND($K17-$J17,0)=0,"√","×")))</f>
        <v/>
      </c>
      <c r="M17" s="26">
        <f>IF($B17="","",IF(COUNTIFS(EntryDates,$B17,CalcTime,$C17,CalcBank,$C$5,EntryParty,$D17,EntryDep,$H17,EntryWit,$I17)&gt;1,"تکرار",""))</f>
        <v/>
      </c>
      <c r="N17" s="26">
        <f>IF($P17="","",IF(INDEX(EntryNotes,$P17)=0,"",INDEX(EntryNotes,$P17)))</f>
        <v/>
      </c>
      <c r="O17" s="26">
        <f>IF($P17="","",IF(INDEX(EntryTxnID,$P17)=0,"",INDEX(EntryTxnID,$P17)))</f>
        <v/>
      </c>
      <c r="P17" s="26">
        <f>IFERROR(MATCH($C$5&amp;"|"&amp;RIGHT("000000"&amp;1,6),CalcRankKey,0),"")</f>
        <v/>
      </c>
    </row>
    <row r="18">
      <c r="A18" s="28">
        <f>IF($B18="","",2)</f>
        <v/>
      </c>
      <c r="B18" s="28">
        <f>IF($P18="","",IF(INDEX(CalcNormDate,$P18)=0,"",INDEX(CalcNormDate,$P18)))</f>
        <v/>
      </c>
      <c r="C18" s="28">
        <f>IF($P18="","",IF(INDEX(CalcTime,$P18)=0,"",INDEX(CalcTime,$P18)))</f>
        <v/>
      </c>
      <c r="D18" s="28">
        <f>IF($P18="","",IF(INDEX(EntryParty,$P18)=0,"",INDEX(EntryParty,$P18)))</f>
        <v/>
      </c>
      <c r="E18" s="28">
        <f>IF($P18="","",IF(INDEX(EntryPartyName,$P18)=0,"",INDEX(EntryPartyName,$P18)))</f>
        <v/>
      </c>
      <c r="F18" s="28">
        <f>IF($P18="","",IF(INDEX(EntryPartyType,$P18)=0,"",INDEX(EntryPartyType,$P18)))</f>
        <v/>
      </c>
      <c r="G18" s="28">
        <f>IF($P18="","",IF(INDEX(EntryTxnType,$P18)=0,"",INDEX(EntryTxnType,$P18)))</f>
        <v/>
      </c>
      <c r="H18" s="29">
        <f>IF($P18="","",IF(INDEX(EntryDep,$P18)=0,"",INDEX(EntryDep,$P18)))</f>
        <v/>
      </c>
      <c r="I18" s="29">
        <f>IF($P18="","",IF(INDEX(EntryWit,$P18)=0,"",INDEX(EntryWit,$P18)))</f>
        <v/>
      </c>
      <c r="J18" s="29">
        <f>IF($B18="","",IF($A18=1,$C$7,IF(J17="",0,J17))+IF($H18="",0,$H18)-IF($I18="",0,$I18))</f>
        <v/>
      </c>
      <c r="K18" s="29">
        <f>IF($P18="","",IF(INDEX(EntryMan,$P18)=0,"",INDEX(EntryMan,$P18)))</f>
        <v/>
      </c>
      <c r="L18" s="28">
        <f>IF($B18="","",IF($K18="","—",IF(ROUND($K18-$J18,0)=0,"√","×")))</f>
        <v/>
      </c>
      <c r="M18" s="28">
        <f>IF($B18="","",IF(COUNTIFS(EntryDates,$B18,CalcTime,$C18,CalcBank,$C$5,EntryParty,$D18,EntryDep,$H18,EntryWit,$I18)&gt;1,"تکرار",""))</f>
        <v/>
      </c>
      <c r="N18" s="28">
        <f>IF($P18="","",IF(INDEX(EntryNotes,$P18)=0,"",INDEX(EntryNotes,$P18)))</f>
        <v/>
      </c>
      <c r="O18" s="28">
        <f>IF($P18="","",IF(INDEX(EntryTxnID,$P18)=0,"",INDEX(EntryTxnID,$P18)))</f>
        <v/>
      </c>
      <c r="P18" s="28">
        <f>IFERROR(MATCH($C$5&amp;"|"&amp;RIGHT("000000"&amp;2,6),CalcRankKey,0),"")</f>
        <v/>
      </c>
    </row>
    <row r="19">
      <c r="A19" s="26">
        <f>IF($B19="","",3)</f>
        <v/>
      </c>
      <c r="B19" s="26">
        <f>IF($P19="","",IF(INDEX(CalcNormDate,$P19)=0,"",INDEX(CalcNormDate,$P19)))</f>
        <v/>
      </c>
      <c r="C19" s="26">
        <f>IF($P19="","",IF(INDEX(CalcTime,$P19)=0,"",INDEX(CalcTime,$P19)))</f>
        <v/>
      </c>
      <c r="D19" s="26">
        <f>IF($P19="","",IF(INDEX(EntryParty,$P19)=0,"",INDEX(EntryParty,$P19)))</f>
        <v/>
      </c>
      <c r="E19" s="26">
        <f>IF($P19="","",IF(INDEX(EntryPartyName,$P19)=0,"",INDEX(EntryPartyName,$P19)))</f>
        <v/>
      </c>
      <c r="F19" s="26">
        <f>IF($P19="","",IF(INDEX(EntryPartyType,$P19)=0,"",INDEX(EntryPartyType,$P19)))</f>
        <v/>
      </c>
      <c r="G19" s="26">
        <f>IF($P19="","",IF(INDEX(EntryTxnType,$P19)=0,"",INDEX(EntryTxnType,$P19)))</f>
        <v/>
      </c>
      <c r="H19" s="27">
        <f>IF($P19="","",IF(INDEX(EntryDep,$P19)=0,"",INDEX(EntryDep,$P19)))</f>
        <v/>
      </c>
      <c r="I19" s="27">
        <f>IF($P19="","",IF(INDEX(EntryWit,$P19)=0,"",INDEX(EntryWit,$P19)))</f>
        <v/>
      </c>
      <c r="J19" s="27">
        <f>IF($B19="","",IF($A19=1,$C$7,IF(J18="",0,J18))+IF($H19="",0,$H19)-IF($I19="",0,$I19))</f>
        <v/>
      </c>
      <c r="K19" s="27">
        <f>IF($P19="","",IF(INDEX(EntryMan,$P19)=0,"",INDEX(EntryMan,$P19)))</f>
        <v/>
      </c>
      <c r="L19" s="26">
        <f>IF($B19="","",IF($K19="","—",IF(ROUND($K19-$J19,0)=0,"√","×")))</f>
        <v/>
      </c>
      <c r="M19" s="26">
        <f>IF($B19="","",IF(COUNTIFS(EntryDates,$B19,CalcTime,$C19,CalcBank,$C$5,EntryParty,$D19,EntryDep,$H19,EntryWit,$I19)&gt;1,"تکرار",""))</f>
        <v/>
      </c>
      <c r="N19" s="26">
        <f>IF($P19="","",IF(INDEX(EntryNotes,$P19)=0,"",INDEX(EntryNotes,$P19)))</f>
        <v/>
      </c>
      <c r="O19" s="26">
        <f>IF($P19="","",IF(INDEX(EntryTxnID,$P19)=0,"",INDEX(EntryTxnID,$P19)))</f>
        <v/>
      </c>
      <c r="P19" s="26">
        <f>IFERROR(MATCH($C$5&amp;"|"&amp;RIGHT("000000"&amp;3,6),CalcRankKey,0),"")</f>
        <v/>
      </c>
    </row>
    <row r="20">
      <c r="A20" s="28">
        <f>IF($B20="","",4)</f>
        <v/>
      </c>
      <c r="B20" s="28">
        <f>IF($P20="","",IF(INDEX(CalcNormDate,$P20)=0,"",INDEX(CalcNormDate,$P20)))</f>
        <v/>
      </c>
      <c r="C20" s="28">
        <f>IF($P20="","",IF(INDEX(CalcTime,$P20)=0,"",INDEX(CalcTime,$P20)))</f>
        <v/>
      </c>
      <c r="D20" s="28">
        <f>IF($P20="","",IF(INDEX(EntryParty,$P20)=0,"",INDEX(EntryParty,$P20)))</f>
        <v/>
      </c>
      <c r="E20" s="28">
        <f>IF($P20="","",IF(INDEX(EntryPartyName,$P20)=0,"",INDEX(EntryPartyName,$P20)))</f>
        <v/>
      </c>
      <c r="F20" s="28">
        <f>IF($P20="","",IF(INDEX(EntryPartyType,$P20)=0,"",INDEX(EntryPartyType,$P20)))</f>
        <v/>
      </c>
      <c r="G20" s="28">
        <f>IF($P20="","",IF(INDEX(EntryTxnType,$P20)=0,"",INDEX(EntryTxnType,$P20)))</f>
        <v/>
      </c>
      <c r="H20" s="29">
        <f>IF($P20="","",IF(INDEX(EntryDep,$P20)=0,"",INDEX(EntryDep,$P20)))</f>
        <v/>
      </c>
      <c r="I20" s="29">
        <f>IF($P20="","",IF(INDEX(EntryWit,$P20)=0,"",INDEX(EntryWit,$P20)))</f>
        <v/>
      </c>
      <c r="J20" s="29">
        <f>IF($B20="","",IF($A20=1,$C$7,IF(J19="",0,J19))+IF($H20="",0,$H20)-IF($I20="",0,$I20))</f>
        <v/>
      </c>
      <c r="K20" s="29">
        <f>IF($P20="","",IF(INDEX(EntryMan,$P20)=0,"",INDEX(EntryMan,$P20)))</f>
        <v/>
      </c>
      <c r="L20" s="28">
        <f>IF($B20="","",IF($K20="","—",IF(ROUND($K20-$J20,0)=0,"√","×")))</f>
        <v/>
      </c>
      <c r="M20" s="28">
        <f>IF($B20="","",IF(COUNTIFS(EntryDates,$B20,CalcTime,$C20,CalcBank,$C$5,EntryParty,$D20,EntryDep,$H20,EntryWit,$I20)&gt;1,"تکرار",""))</f>
        <v/>
      </c>
      <c r="N20" s="28">
        <f>IF($P20="","",IF(INDEX(EntryNotes,$P20)=0,"",INDEX(EntryNotes,$P20)))</f>
        <v/>
      </c>
      <c r="O20" s="28">
        <f>IF($P20="","",IF(INDEX(EntryTxnID,$P20)=0,"",INDEX(EntryTxnID,$P20)))</f>
        <v/>
      </c>
      <c r="P20" s="28">
        <f>IFERROR(MATCH($C$5&amp;"|"&amp;RIGHT("000000"&amp;4,6),CalcRankKey,0),"")</f>
        <v/>
      </c>
    </row>
    <row r="21">
      <c r="A21" s="26">
        <f>IF($B21="","",5)</f>
        <v/>
      </c>
      <c r="B21" s="26">
        <f>IF($P21="","",IF(INDEX(CalcNormDate,$P21)=0,"",INDEX(CalcNormDate,$P21)))</f>
        <v/>
      </c>
      <c r="C21" s="26">
        <f>IF($P21="","",IF(INDEX(CalcTime,$P21)=0,"",INDEX(CalcTime,$P21)))</f>
        <v/>
      </c>
      <c r="D21" s="26">
        <f>IF($P21="","",IF(INDEX(EntryParty,$P21)=0,"",INDEX(EntryParty,$P21)))</f>
        <v/>
      </c>
      <c r="E21" s="26">
        <f>IF($P21="","",IF(INDEX(EntryPartyName,$P21)=0,"",INDEX(EntryPartyName,$P21)))</f>
        <v/>
      </c>
      <c r="F21" s="26">
        <f>IF($P21="","",IF(INDEX(EntryPartyType,$P21)=0,"",INDEX(EntryPartyType,$P21)))</f>
        <v/>
      </c>
      <c r="G21" s="26">
        <f>IF($P21="","",IF(INDEX(EntryTxnType,$P21)=0,"",INDEX(EntryTxnType,$P21)))</f>
        <v/>
      </c>
      <c r="H21" s="27">
        <f>IF($P21="","",IF(INDEX(EntryDep,$P21)=0,"",INDEX(EntryDep,$P21)))</f>
        <v/>
      </c>
      <c r="I21" s="27">
        <f>IF($P21="","",IF(INDEX(EntryWit,$P21)=0,"",INDEX(EntryWit,$P21)))</f>
        <v/>
      </c>
      <c r="J21" s="27">
        <f>IF($B21="","",IF($A21=1,$C$7,IF(J20="",0,J20))+IF($H21="",0,$H21)-IF($I21="",0,$I21))</f>
        <v/>
      </c>
      <c r="K21" s="27">
        <f>IF($P21="","",IF(INDEX(EntryMan,$P21)=0,"",INDEX(EntryMan,$P21)))</f>
        <v/>
      </c>
      <c r="L21" s="26">
        <f>IF($B21="","",IF($K21="","—",IF(ROUND($K21-$J21,0)=0,"√","×")))</f>
        <v/>
      </c>
      <c r="M21" s="26">
        <f>IF($B21="","",IF(COUNTIFS(EntryDates,$B21,CalcTime,$C21,CalcBank,$C$5,EntryParty,$D21,EntryDep,$H21,EntryWit,$I21)&gt;1,"تکرار",""))</f>
        <v/>
      </c>
      <c r="N21" s="26">
        <f>IF($P21="","",IF(INDEX(EntryNotes,$P21)=0,"",INDEX(EntryNotes,$P21)))</f>
        <v/>
      </c>
      <c r="O21" s="26">
        <f>IF($P21="","",IF(INDEX(EntryTxnID,$P21)=0,"",INDEX(EntryTxnID,$P21)))</f>
        <v/>
      </c>
      <c r="P21" s="26">
        <f>IFERROR(MATCH($C$5&amp;"|"&amp;RIGHT("000000"&amp;5,6),CalcRankKey,0),"")</f>
        <v/>
      </c>
    </row>
    <row r="22">
      <c r="A22" s="28">
        <f>IF($B22="","",6)</f>
        <v/>
      </c>
      <c r="B22" s="28">
        <f>IF($P22="","",IF(INDEX(CalcNormDate,$P22)=0,"",INDEX(CalcNormDate,$P22)))</f>
        <v/>
      </c>
      <c r="C22" s="28">
        <f>IF($P22="","",IF(INDEX(CalcTime,$P22)=0,"",INDEX(CalcTime,$P22)))</f>
        <v/>
      </c>
      <c r="D22" s="28">
        <f>IF($P22="","",IF(INDEX(EntryParty,$P22)=0,"",INDEX(EntryParty,$P22)))</f>
        <v/>
      </c>
      <c r="E22" s="28">
        <f>IF($P22="","",IF(INDEX(EntryPartyName,$P22)=0,"",INDEX(EntryPartyName,$P22)))</f>
        <v/>
      </c>
      <c r="F22" s="28">
        <f>IF($P22="","",IF(INDEX(EntryPartyType,$P22)=0,"",INDEX(EntryPartyType,$P22)))</f>
        <v/>
      </c>
      <c r="G22" s="28">
        <f>IF($P22="","",IF(INDEX(EntryTxnType,$P22)=0,"",INDEX(EntryTxnType,$P22)))</f>
        <v/>
      </c>
      <c r="H22" s="29">
        <f>IF($P22="","",IF(INDEX(EntryDep,$P22)=0,"",INDEX(EntryDep,$P22)))</f>
        <v/>
      </c>
      <c r="I22" s="29">
        <f>IF($P22="","",IF(INDEX(EntryWit,$P22)=0,"",INDEX(EntryWit,$P22)))</f>
        <v/>
      </c>
      <c r="J22" s="29">
        <f>IF($B22="","",IF($A22=1,$C$7,IF(J21="",0,J21))+IF($H22="",0,$H22)-IF($I22="",0,$I22))</f>
        <v/>
      </c>
      <c r="K22" s="29">
        <f>IF($P22="","",IF(INDEX(EntryMan,$P22)=0,"",INDEX(EntryMan,$P22)))</f>
        <v/>
      </c>
      <c r="L22" s="28">
        <f>IF($B22="","",IF($K22="","—",IF(ROUND($K22-$J22,0)=0,"√","×")))</f>
        <v/>
      </c>
      <c r="M22" s="28">
        <f>IF($B22="","",IF(COUNTIFS(EntryDates,$B22,CalcTime,$C22,CalcBank,$C$5,EntryParty,$D22,EntryDep,$H22,EntryWit,$I22)&gt;1,"تکرار",""))</f>
        <v/>
      </c>
      <c r="N22" s="28">
        <f>IF($P22="","",IF(INDEX(EntryNotes,$P22)=0,"",INDEX(EntryNotes,$P22)))</f>
        <v/>
      </c>
      <c r="O22" s="28">
        <f>IF($P22="","",IF(INDEX(EntryTxnID,$P22)=0,"",INDEX(EntryTxnID,$P22)))</f>
        <v/>
      </c>
      <c r="P22" s="28">
        <f>IFERROR(MATCH($C$5&amp;"|"&amp;RIGHT("000000"&amp;6,6),CalcRankKey,0),"")</f>
        <v/>
      </c>
    </row>
    <row r="23">
      <c r="A23" s="26">
        <f>IF($B23="","",7)</f>
        <v/>
      </c>
      <c r="B23" s="26">
        <f>IF($P23="","",IF(INDEX(CalcNormDate,$P23)=0,"",INDEX(CalcNormDate,$P23)))</f>
        <v/>
      </c>
      <c r="C23" s="26">
        <f>IF($P23="","",IF(INDEX(CalcTime,$P23)=0,"",INDEX(CalcTime,$P23)))</f>
        <v/>
      </c>
      <c r="D23" s="26">
        <f>IF($P23="","",IF(INDEX(EntryParty,$P23)=0,"",INDEX(EntryParty,$P23)))</f>
        <v/>
      </c>
      <c r="E23" s="26">
        <f>IF($P23="","",IF(INDEX(EntryPartyName,$P23)=0,"",INDEX(EntryPartyName,$P23)))</f>
        <v/>
      </c>
      <c r="F23" s="26">
        <f>IF($P23="","",IF(INDEX(EntryPartyType,$P23)=0,"",INDEX(EntryPartyType,$P23)))</f>
        <v/>
      </c>
      <c r="G23" s="26">
        <f>IF($P23="","",IF(INDEX(EntryTxnType,$P23)=0,"",INDEX(EntryTxnType,$P23)))</f>
        <v/>
      </c>
      <c r="H23" s="27">
        <f>IF($P23="","",IF(INDEX(EntryDep,$P23)=0,"",INDEX(EntryDep,$P23)))</f>
        <v/>
      </c>
      <c r="I23" s="27">
        <f>IF($P23="","",IF(INDEX(EntryWit,$P23)=0,"",INDEX(EntryWit,$P23)))</f>
        <v/>
      </c>
      <c r="J23" s="27">
        <f>IF($B23="","",IF($A23=1,$C$7,IF(J22="",0,J22))+IF($H23="",0,$H23)-IF($I23="",0,$I23))</f>
        <v/>
      </c>
      <c r="K23" s="27">
        <f>IF($P23="","",IF(INDEX(EntryMan,$P23)=0,"",INDEX(EntryMan,$P23)))</f>
        <v/>
      </c>
      <c r="L23" s="26">
        <f>IF($B23="","",IF($K23="","—",IF(ROUND($K23-$J23,0)=0,"√","×")))</f>
        <v/>
      </c>
      <c r="M23" s="26">
        <f>IF($B23="","",IF(COUNTIFS(EntryDates,$B23,CalcTime,$C23,CalcBank,$C$5,EntryParty,$D23,EntryDep,$H23,EntryWit,$I23)&gt;1,"تکرار",""))</f>
        <v/>
      </c>
      <c r="N23" s="26">
        <f>IF($P23="","",IF(INDEX(EntryNotes,$P23)=0,"",INDEX(EntryNotes,$P23)))</f>
        <v/>
      </c>
      <c r="O23" s="26">
        <f>IF($P23="","",IF(INDEX(EntryTxnID,$P23)=0,"",INDEX(EntryTxnID,$P23)))</f>
        <v/>
      </c>
      <c r="P23" s="26">
        <f>IFERROR(MATCH($C$5&amp;"|"&amp;RIGHT("000000"&amp;7,6),CalcRankKey,0),"")</f>
        <v/>
      </c>
    </row>
    <row r="24">
      <c r="A24" s="28">
        <f>IF($B24="","",8)</f>
        <v/>
      </c>
      <c r="B24" s="28">
        <f>IF($P24="","",IF(INDEX(CalcNormDate,$P24)=0,"",INDEX(CalcNormDate,$P24)))</f>
        <v/>
      </c>
      <c r="C24" s="28">
        <f>IF($P24="","",IF(INDEX(CalcTime,$P24)=0,"",INDEX(CalcTime,$P24)))</f>
        <v/>
      </c>
      <c r="D24" s="28">
        <f>IF($P24="","",IF(INDEX(EntryParty,$P24)=0,"",INDEX(EntryParty,$P24)))</f>
        <v/>
      </c>
      <c r="E24" s="28">
        <f>IF($P24="","",IF(INDEX(EntryPartyName,$P24)=0,"",INDEX(EntryPartyName,$P24)))</f>
        <v/>
      </c>
      <c r="F24" s="28">
        <f>IF($P24="","",IF(INDEX(EntryPartyType,$P24)=0,"",INDEX(EntryPartyType,$P24)))</f>
        <v/>
      </c>
      <c r="G24" s="28">
        <f>IF($P24="","",IF(INDEX(EntryTxnType,$P24)=0,"",INDEX(EntryTxnType,$P24)))</f>
        <v/>
      </c>
      <c r="H24" s="29">
        <f>IF($P24="","",IF(INDEX(EntryDep,$P24)=0,"",INDEX(EntryDep,$P24)))</f>
        <v/>
      </c>
      <c r="I24" s="29">
        <f>IF($P24="","",IF(INDEX(EntryWit,$P24)=0,"",INDEX(EntryWit,$P24)))</f>
        <v/>
      </c>
      <c r="J24" s="29">
        <f>IF($B24="","",IF($A24=1,$C$7,IF(J23="",0,J23))+IF($H24="",0,$H24)-IF($I24="",0,$I24))</f>
        <v/>
      </c>
      <c r="K24" s="29">
        <f>IF($P24="","",IF(INDEX(EntryMan,$P24)=0,"",INDEX(EntryMan,$P24)))</f>
        <v/>
      </c>
      <c r="L24" s="28">
        <f>IF($B24="","",IF($K24="","—",IF(ROUND($K24-$J24,0)=0,"√","×")))</f>
        <v/>
      </c>
      <c r="M24" s="28">
        <f>IF($B24="","",IF(COUNTIFS(EntryDates,$B24,CalcTime,$C24,CalcBank,$C$5,EntryParty,$D24,EntryDep,$H24,EntryWit,$I24)&gt;1,"تکرار",""))</f>
        <v/>
      </c>
      <c r="N24" s="28">
        <f>IF($P24="","",IF(INDEX(EntryNotes,$P24)=0,"",INDEX(EntryNotes,$P24)))</f>
        <v/>
      </c>
      <c r="O24" s="28">
        <f>IF($P24="","",IF(INDEX(EntryTxnID,$P24)=0,"",INDEX(EntryTxnID,$P24)))</f>
        <v/>
      </c>
      <c r="P24" s="28">
        <f>IFERROR(MATCH($C$5&amp;"|"&amp;RIGHT("000000"&amp;8,6),CalcRankKey,0),"")</f>
        <v/>
      </c>
    </row>
    <row r="25">
      <c r="A25" s="26">
        <f>IF($B25="","",9)</f>
        <v/>
      </c>
      <c r="B25" s="26">
        <f>IF($P25="","",IF(INDEX(CalcNormDate,$P25)=0,"",INDEX(CalcNormDate,$P25)))</f>
        <v/>
      </c>
      <c r="C25" s="26">
        <f>IF($P25="","",IF(INDEX(CalcTime,$P25)=0,"",INDEX(CalcTime,$P25)))</f>
        <v/>
      </c>
      <c r="D25" s="26">
        <f>IF($P25="","",IF(INDEX(EntryParty,$P25)=0,"",INDEX(EntryParty,$P25)))</f>
        <v/>
      </c>
      <c r="E25" s="26">
        <f>IF($P25="","",IF(INDEX(EntryPartyName,$P25)=0,"",INDEX(EntryPartyName,$P25)))</f>
        <v/>
      </c>
      <c r="F25" s="26">
        <f>IF($P25="","",IF(INDEX(EntryPartyType,$P25)=0,"",INDEX(EntryPartyType,$P25)))</f>
        <v/>
      </c>
      <c r="G25" s="26">
        <f>IF($P25="","",IF(INDEX(EntryTxnType,$P25)=0,"",INDEX(EntryTxnType,$P25)))</f>
        <v/>
      </c>
      <c r="H25" s="27">
        <f>IF($P25="","",IF(INDEX(EntryDep,$P25)=0,"",INDEX(EntryDep,$P25)))</f>
        <v/>
      </c>
      <c r="I25" s="27">
        <f>IF($P25="","",IF(INDEX(EntryWit,$P25)=0,"",INDEX(EntryWit,$P25)))</f>
        <v/>
      </c>
      <c r="J25" s="27">
        <f>IF($B25="","",IF($A25=1,$C$7,IF(J24="",0,J24))+IF($H25="",0,$H25)-IF($I25="",0,$I25))</f>
        <v/>
      </c>
      <c r="K25" s="27">
        <f>IF($P25="","",IF(INDEX(EntryMan,$P25)=0,"",INDEX(EntryMan,$P25)))</f>
        <v/>
      </c>
      <c r="L25" s="26">
        <f>IF($B25="","",IF($K25="","—",IF(ROUND($K25-$J25,0)=0,"√","×")))</f>
        <v/>
      </c>
      <c r="M25" s="26">
        <f>IF($B25="","",IF(COUNTIFS(EntryDates,$B25,CalcTime,$C25,CalcBank,$C$5,EntryParty,$D25,EntryDep,$H25,EntryWit,$I25)&gt;1,"تکرار",""))</f>
        <v/>
      </c>
      <c r="N25" s="26">
        <f>IF($P25="","",IF(INDEX(EntryNotes,$P25)=0,"",INDEX(EntryNotes,$P25)))</f>
        <v/>
      </c>
      <c r="O25" s="26">
        <f>IF($P25="","",IF(INDEX(EntryTxnID,$P25)=0,"",INDEX(EntryTxnID,$P25)))</f>
        <v/>
      </c>
      <c r="P25" s="26">
        <f>IFERROR(MATCH($C$5&amp;"|"&amp;RIGHT("000000"&amp;9,6),CalcRankKey,0),"")</f>
        <v/>
      </c>
    </row>
    <row r="26">
      <c r="A26" s="28">
        <f>IF($B26="","",10)</f>
        <v/>
      </c>
      <c r="B26" s="28">
        <f>IF($P26="","",IF(INDEX(CalcNormDate,$P26)=0,"",INDEX(CalcNormDate,$P26)))</f>
        <v/>
      </c>
      <c r="C26" s="28">
        <f>IF($P26="","",IF(INDEX(CalcTime,$P26)=0,"",INDEX(CalcTime,$P26)))</f>
        <v/>
      </c>
      <c r="D26" s="28">
        <f>IF($P26="","",IF(INDEX(EntryParty,$P26)=0,"",INDEX(EntryParty,$P26)))</f>
        <v/>
      </c>
      <c r="E26" s="28">
        <f>IF($P26="","",IF(INDEX(EntryPartyName,$P26)=0,"",INDEX(EntryPartyName,$P26)))</f>
        <v/>
      </c>
      <c r="F26" s="28">
        <f>IF($P26="","",IF(INDEX(EntryPartyType,$P26)=0,"",INDEX(EntryPartyType,$P26)))</f>
        <v/>
      </c>
      <c r="G26" s="28">
        <f>IF($P26="","",IF(INDEX(EntryTxnType,$P26)=0,"",INDEX(EntryTxnType,$P26)))</f>
        <v/>
      </c>
      <c r="H26" s="29">
        <f>IF($P26="","",IF(INDEX(EntryDep,$P26)=0,"",INDEX(EntryDep,$P26)))</f>
        <v/>
      </c>
      <c r="I26" s="29">
        <f>IF($P26="","",IF(INDEX(EntryWit,$P26)=0,"",INDEX(EntryWit,$P26)))</f>
        <v/>
      </c>
      <c r="J26" s="29">
        <f>IF($B26="","",IF($A26=1,$C$7,IF(J25="",0,J25))+IF($H26="",0,$H26)-IF($I26="",0,$I26))</f>
        <v/>
      </c>
      <c r="K26" s="29">
        <f>IF($P26="","",IF(INDEX(EntryMan,$P26)=0,"",INDEX(EntryMan,$P26)))</f>
        <v/>
      </c>
      <c r="L26" s="28">
        <f>IF($B26="","",IF($K26="","—",IF(ROUND($K26-$J26,0)=0,"√","×")))</f>
        <v/>
      </c>
      <c r="M26" s="28">
        <f>IF($B26="","",IF(COUNTIFS(EntryDates,$B26,CalcTime,$C26,CalcBank,$C$5,EntryParty,$D26,EntryDep,$H26,EntryWit,$I26)&gt;1,"تکرار",""))</f>
        <v/>
      </c>
      <c r="N26" s="28">
        <f>IF($P26="","",IF(INDEX(EntryNotes,$P26)=0,"",INDEX(EntryNotes,$P26)))</f>
        <v/>
      </c>
      <c r="O26" s="28">
        <f>IF($P26="","",IF(INDEX(EntryTxnID,$P26)=0,"",INDEX(EntryTxnID,$P26)))</f>
        <v/>
      </c>
      <c r="P26" s="28">
        <f>IFERROR(MATCH($C$5&amp;"|"&amp;RIGHT("000000"&amp;10,6),CalcRankKey,0),"")</f>
        <v/>
      </c>
    </row>
    <row r="27">
      <c r="A27" s="26">
        <f>IF($B27="","",11)</f>
        <v/>
      </c>
      <c r="B27" s="26">
        <f>IF($P27="","",IF(INDEX(CalcNormDate,$P27)=0,"",INDEX(CalcNormDate,$P27)))</f>
        <v/>
      </c>
      <c r="C27" s="26">
        <f>IF($P27="","",IF(INDEX(CalcTime,$P27)=0,"",INDEX(CalcTime,$P27)))</f>
        <v/>
      </c>
      <c r="D27" s="26">
        <f>IF($P27="","",IF(INDEX(EntryParty,$P27)=0,"",INDEX(EntryParty,$P27)))</f>
        <v/>
      </c>
      <c r="E27" s="26">
        <f>IF($P27="","",IF(INDEX(EntryPartyName,$P27)=0,"",INDEX(EntryPartyName,$P27)))</f>
        <v/>
      </c>
      <c r="F27" s="26">
        <f>IF($P27="","",IF(INDEX(EntryPartyType,$P27)=0,"",INDEX(EntryPartyType,$P27)))</f>
        <v/>
      </c>
      <c r="G27" s="26">
        <f>IF($P27="","",IF(INDEX(EntryTxnType,$P27)=0,"",INDEX(EntryTxnType,$P27)))</f>
        <v/>
      </c>
      <c r="H27" s="27">
        <f>IF($P27="","",IF(INDEX(EntryDep,$P27)=0,"",INDEX(EntryDep,$P27)))</f>
        <v/>
      </c>
      <c r="I27" s="27">
        <f>IF($P27="","",IF(INDEX(EntryWit,$P27)=0,"",INDEX(EntryWit,$P27)))</f>
        <v/>
      </c>
      <c r="J27" s="27">
        <f>IF($B27="","",IF($A27=1,$C$7,IF(J26="",0,J26))+IF($H27="",0,$H27)-IF($I27="",0,$I27))</f>
        <v/>
      </c>
      <c r="K27" s="27">
        <f>IF($P27="","",IF(INDEX(EntryMan,$P27)=0,"",INDEX(EntryMan,$P27)))</f>
        <v/>
      </c>
      <c r="L27" s="26">
        <f>IF($B27="","",IF($K27="","—",IF(ROUND($K27-$J27,0)=0,"√","×")))</f>
        <v/>
      </c>
      <c r="M27" s="26">
        <f>IF($B27="","",IF(COUNTIFS(EntryDates,$B27,CalcTime,$C27,CalcBank,$C$5,EntryParty,$D27,EntryDep,$H27,EntryWit,$I27)&gt;1,"تکرار",""))</f>
        <v/>
      </c>
      <c r="N27" s="26">
        <f>IF($P27="","",IF(INDEX(EntryNotes,$P27)=0,"",INDEX(EntryNotes,$P27)))</f>
        <v/>
      </c>
      <c r="O27" s="26">
        <f>IF($P27="","",IF(INDEX(EntryTxnID,$P27)=0,"",INDEX(EntryTxnID,$P27)))</f>
        <v/>
      </c>
      <c r="P27" s="26">
        <f>IFERROR(MATCH($C$5&amp;"|"&amp;RIGHT("000000"&amp;11,6),CalcRankKey,0),"")</f>
        <v/>
      </c>
    </row>
    <row r="28">
      <c r="A28" s="28">
        <f>IF($B28="","",12)</f>
        <v/>
      </c>
      <c r="B28" s="28">
        <f>IF($P28="","",IF(INDEX(CalcNormDate,$P28)=0,"",INDEX(CalcNormDate,$P28)))</f>
        <v/>
      </c>
      <c r="C28" s="28">
        <f>IF($P28="","",IF(INDEX(CalcTime,$P28)=0,"",INDEX(CalcTime,$P28)))</f>
        <v/>
      </c>
      <c r="D28" s="28">
        <f>IF($P28="","",IF(INDEX(EntryParty,$P28)=0,"",INDEX(EntryParty,$P28)))</f>
        <v/>
      </c>
      <c r="E28" s="28">
        <f>IF($P28="","",IF(INDEX(EntryPartyName,$P28)=0,"",INDEX(EntryPartyName,$P28)))</f>
        <v/>
      </c>
      <c r="F28" s="28">
        <f>IF($P28="","",IF(INDEX(EntryPartyType,$P28)=0,"",INDEX(EntryPartyType,$P28)))</f>
        <v/>
      </c>
      <c r="G28" s="28">
        <f>IF($P28="","",IF(INDEX(EntryTxnType,$P28)=0,"",INDEX(EntryTxnType,$P28)))</f>
        <v/>
      </c>
      <c r="H28" s="29">
        <f>IF($P28="","",IF(INDEX(EntryDep,$P28)=0,"",INDEX(EntryDep,$P28)))</f>
        <v/>
      </c>
      <c r="I28" s="29">
        <f>IF($P28="","",IF(INDEX(EntryWit,$P28)=0,"",INDEX(EntryWit,$P28)))</f>
        <v/>
      </c>
      <c r="J28" s="29">
        <f>IF($B28="","",IF($A28=1,$C$7,IF(J27="",0,J27))+IF($H28="",0,$H28)-IF($I28="",0,$I28))</f>
        <v/>
      </c>
      <c r="K28" s="29">
        <f>IF($P28="","",IF(INDEX(EntryMan,$P28)=0,"",INDEX(EntryMan,$P28)))</f>
        <v/>
      </c>
      <c r="L28" s="28">
        <f>IF($B28="","",IF($K28="","—",IF(ROUND($K28-$J28,0)=0,"√","×")))</f>
        <v/>
      </c>
      <c r="M28" s="28">
        <f>IF($B28="","",IF(COUNTIFS(EntryDates,$B28,CalcTime,$C28,CalcBank,$C$5,EntryParty,$D28,EntryDep,$H28,EntryWit,$I28)&gt;1,"تکرار",""))</f>
        <v/>
      </c>
      <c r="N28" s="28">
        <f>IF($P28="","",IF(INDEX(EntryNotes,$P28)=0,"",INDEX(EntryNotes,$P28)))</f>
        <v/>
      </c>
      <c r="O28" s="28">
        <f>IF($P28="","",IF(INDEX(EntryTxnID,$P28)=0,"",INDEX(EntryTxnID,$P28)))</f>
        <v/>
      </c>
      <c r="P28" s="28">
        <f>IFERROR(MATCH($C$5&amp;"|"&amp;RIGHT("000000"&amp;12,6),CalcRankKey,0),"")</f>
        <v/>
      </c>
    </row>
    <row r="29">
      <c r="A29" s="26">
        <f>IF($B29="","",13)</f>
        <v/>
      </c>
      <c r="B29" s="26">
        <f>IF($P29="","",IF(INDEX(CalcNormDate,$P29)=0,"",INDEX(CalcNormDate,$P29)))</f>
        <v/>
      </c>
      <c r="C29" s="26">
        <f>IF($P29="","",IF(INDEX(CalcTime,$P29)=0,"",INDEX(CalcTime,$P29)))</f>
        <v/>
      </c>
      <c r="D29" s="26">
        <f>IF($P29="","",IF(INDEX(EntryParty,$P29)=0,"",INDEX(EntryParty,$P29)))</f>
        <v/>
      </c>
      <c r="E29" s="26">
        <f>IF($P29="","",IF(INDEX(EntryPartyName,$P29)=0,"",INDEX(EntryPartyName,$P29)))</f>
        <v/>
      </c>
      <c r="F29" s="26">
        <f>IF($P29="","",IF(INDEX(EntryPartyType,$P29)=0,"",INDEX(EntryPartyType,$P29)))</f>
        <v/>
      </c>
      <c r="G29" s="26">
        <f>IF($P29="","",IF(INDEX(EntryTxnType,$P29)=0,"",INDEX(EntryTxnType,$P29)))</f>
        <v/>
      </c>
      <c r="H29" s="27">
        <f>IF($P29="","",IF(INDEX(EntryDep,$P29)=0,"",INDEX(EntryDep,$P29)))</f>
        <v/>
      </c>
      <c r="I29" s="27">
        <f>IF($P29="","",IF(INDEX(EntryWit,$P29)=0,"",INDEX(EntryWit,$P29)))</f>
        <v/>
      </c>
      <c r="J29" s="27">
        <f>IF($B29="","",IF($A29=1,$C$7,IF(J28="",0,J28))+IF($H29="",0,$H29)-IF($I29="",0,$I29))</f>
        <v/>
      </c>
      <c r="K29" s="27">
        <f>IF($P29="","",IF(INDEX(EntryMan,$P29)=0,"",INDEX(EntryMan,$P29)))</f>
        <v/>
      </c>
      <c r="L29" s="26">
        <f>IF($B29="","",IF($K29="","—",IF(ROUND($K29-$J29,0)=0,"√","×")))</f>
        <v/>
      </c>
      <c r="M29" s="26">
        <f>IF($B29="","",IF(COUNTIFS(EntryDates,$B29,CalcTime,$C29,CalcBank,$C$5,EntryParty,$D29,EntryDep,$H29,EntryWit,$I29)&gt;1,"تکرار",""))</f>
        <v/>
      </c>
      <c r="N29" s="26">
        <f>IF($P29="","",IF(INDEX(EntryNotes,$P29)=0,"",INDEX(EntryNotes,$P29)))</f>
        <v/>
      </c>
      <c r="O29" s="26">
        <f>IF($P29="","",IF(INDEX(EntryTxnID,$P29)=0,"",INDEX(EntryTxnID,$P29)))</f>
        <v/>
      </c>
      <c r="P29" s="26">
        <f>IFERROR(MATCH($C$5&amp;"|"&amp;RIGHT("000000"&amp;13,6),CalcRankKey,0),"")</f>
        <v/>
      </c>
    </row>
    <row r="30">
      <c r="A30" s="28">
        <f>IF($B30="","",14)</f>
        <v/>
      </c>
      <c r="B30" s="28">
        <f>IF($P30="","",IF(INDEX(CalcNormDate,$P30)=0,"",INDEX(CalcNormDate,$P30)))</f>
        <v/>
      </c>
      <c r="C30" s="28">
        <f>IF($P30="","",IF(INDEX(CalcTime,$P30)=0,"",INDEX(CalcTime,$P30)))</f>
        <v/>
      </c>
      <c r="D30" s="28">
        <f>IF($P30="","",IF(INDEX(EntryParty,$P30)=0,"",INDEX(EntryParty,$P30)))</f>
        <v/>
      </c>
      <c r="E30" s="28">
        <f>IF($P30="","",IF(INDEX(EntryPartyName,$P30)=0,"",INDEX(EntryPartyName,$P30)))</f>
        <v/>
      </c>
      <c r="F30" s="28">
        <f>IF($P30="","",IF(INDEX(EntryPartyType,$P30)=0,"",INDEX(EntryPartyType,$P30)))</f>
        <v/>
      </c>
      <c r="G30" s="28">
        <f>IF($P30="","",IF(INDEX(EntryTxnType,$P30)=0,"",INDEX(EntryTxnType,$P30)))</f>
        <v/>
      </c>
      <c r="H30" s="29">
        <f>IF($P30="","",IF(INDEX(EntryDep,$P30)=0,"",INDEX(EntryDep,$P30)))</f>
        <v/>
      </c>
      <c r="I30" s="29">
        <f>IF($P30="","",IF(INDEX(EntryWit,$P30)=0,"",INDEX(EntryWit,$P30)))</f>
        <v/>
      </c>
      <c r="J30" s="29">
        <f>IF($B30="","",IF($A30=1,$C$7,IF(J29="",0,J29))+IF($H30="",0,$H30)-IF($I30="",0,$I30))</f>
        <v/>
      </c>
      <c r="K30" s="29">
        <f>IF($P30="","",IF(INDEX(EntryMan,$P30)=0,"",INDEX(EntryMan,$P30)))</f>
        <v/>
      </c>
      <c r="L30" s="28">
        <f>IF($B30="","",IF($K30="","—",IF(ROUND($K30-$J30,0)=0,"√","×")))</f>
        <v/>
      </c>
      <c r="M30" s="28">
        <f>IF($B30="","",IF(COUNTIFS(EntryDates,$B30,CalcTime,$C30,CalcBank,$C$5,EntryParty,$D30,EntryDep,$H30,EntryWit,$I30)&gt;1,"تکرار",""))</f>
        <v/>
      </c>
      <c r="N30" s="28">
        <f>IF($P30="","",IF(INDEX(EntryNotes,$P30)=0,"",INDEX(EntryNotes,$P30)))</f>
        <v/>
      </c>
      <c r="O30" s="28">
        <f>IF($P30="","",IF(INDEX(EntryTxnID,$P30)=0,"",INDEX(EntryTxnID,$P30)))</f>
        <v/>
      </c>
      <c r="P30" s="28">
        <f>IFERROR(MATCH($C$5&amp;"|"&amp;RIGHT("000000"&amp;14,6),CalcRankKey,0),"")</f>
        <v/>
      </c>
    </row>
    <row r="31">
      <c r="A31" s="26">
        <f>IF($B31="","",15)</f>
        <v/>
      </c>
      <c r="B31" s="26">
        <f>IF($P31="","",IF(INDEX(CalcNormDate,$P31)=0,"",INDEX(CalcNormDate,$P31)))</f>
        <v/>
      </c>
      <c r="C31" s="26">
        <f>IF($P31="","",IF(INDEX(CalcTime,$P31)=0,"",INDEX(CalcTime,$P31)))</f>
        <v/>
      </c>
      <c r="D31" s="26">
        <f>IF($P31="","",IF(INDEX(EntryParty,$P31)=0,"",INDEX(EntryParty,$P31)))</f>
        <v/>
      </c>
      <c r="E31" s="26">
        <f>IF($P31="","",IF(INDEX(EntryPartyName,$P31)=0,"",INDEX(EntryPartyName,$P31)))</f>
        <v/>
      </c>
      <c r="F31" s="26">
        <f>IF($P31="","",IF(INDEX(EntryPartyType,$P31)=0,"",INDEX(EntryPartyType,$P31)))</f>
        <v/>
      </c>
      <c r="G31" s="26">
        <f>IF($P31="","",IF(INDEX(EntryTxnType,$P31)=0,"",INDEX(EntryTxnType,$P31)))</f>
        <v/>
      </c>
      <c r="H31" s="27">
        <f>IF($P31="","",IF(INDEX(EntryDep,$P31)=0,"",INDEX(EntryDep,$P31)))</f>
        <v/>
      </c>
      <c r="I31" s="27">
        <f>IF($P31="","",IF(INDEX(EntryWit,$P31)=0,"",INDEX(EntryWit,$P31)))</f>
        <v/>
      </c>
      <c r="J31" s="27">
        <f>IF($B31="","",IF($A31=1,$C$7,IF(J30="",0,J30))+IF($H31="",0,$H31)-IF($I31="",0,$I31))</f>
        <v/>
      </c>
      <c r="K31" s="27">
        <f>IF($P31="","",IF(INDEX(EntryMan,$P31)=0,"",INDEX(EntryMan,$P31)))</f>
        <v/>
      </c>
      <c r="L31" s="26">
        <f>IF($B31="","",IF($K31="","—",IF(ROUND($K31-$J31,0)=0,"√","×")))</f>
        <v/>
      </c>
      <c r="M31" s="26">
        <f>IF($B31="","",IF(COUNTIFS(EntryDates,$B31,CalcTime,$C31,CalcBank,$C$5,EntryParty,$D31,EntryDep,$H31,EntryWit,$I31)&gt;1,"تکرار",""))</f>
        <v/>
      </c>
      <c r="N31" s="26">
        <f>IF($P31="","",IF(INDEX(EntryNotes,$P31)=0,"",INDEX(EntryNotes,$P31)))</f>
        <v/>
      </c>
      <c r="O31" s="26">
        <f>IF($P31="","",IF(INDEX(EntryTxnID,$P31)=0,"",INDEX(EntryTxnID,$P31)))</f>
        <v/>
      </c>
      <c r="P31" s="26">
        <f>IFERROR(MATCH($C$5&amp;"|"&amp;RIGHT("000000"&amp;15,6),CalcRankKey,0),"")</f>
        <v/>
      </c>
    </row>
    <row r="32">
      <c r="A32" s="28">
        <f>IF($B32="","",16)</f>
        <v/>
      </c>
      <c r="B32" s="28">
        <f>IF($P32="","",IF(INDEX(CalcNormDate,$P32)=0,"",INDEX(CalcNormDate,$P32)))</f>
        <v/>
      </c>
      <c r="C32" s="28">
        <f>IF($P32="","",IF(INDEX(CalcTime,$P32)=0,"",INDEX(CalcTime,$P32)))</f>
        <v/>
      </c>
      <c r="D32" s="28">
        <f>IF($P32="","",IF(INDEX(EntryParty,$P32)=0,"",INDEX(EntryParty,$P32)))</f>
        <v/>
      </c>
      <c r="E32" s="28">
        <f>IF($P32="","",IF(INDEX(EntryPartyName,$P32)=0,"",INDEX(EntryPartyName,$P32)))</f>
        <v/>
      </c>
      <c r="F32" s="28">
        <f>IF($P32="","",IF(INDEX(EntryPartyType,$P32)=0,"",INDEX(EntryPartyType,$P32)))</f>
        <v/>
      </c>
      <c r="G32" s="28">
        <f>IF($P32="","",IF(INDEX(EntryTxnType,$P32)=0,"",INDEX(EntryTxnType,$P32)))</f>
        <v/>
      </c>
      <c r="H32" s="29">
        <f>IF($P32="","",IF(INDEX(EntryDep,$P32)=0,"",INDEX(EntryDep,$P32)))</f>
        <v/>
      </c>
      <c r="I32" s="29">
        <f>IF($P32="","",IF(INDEX(EntryWit,$P32)=0,"",INDEX(EntryWit,$P32)))</f>
        <v/>
      </c>
      <c r="J32" s="29">
        <f>IF($B32="","",IF($A32=1,$C$7,IF(J31="",0,J31))+IF($H32="",0,$H32)-IF($I32="",0,$I32))</f>
        <v/>
      </c>
      <c r="K32" s="29">
        <f>IF($P32="","",IF(INDEX(EntryMan,$P32)=0,"",INDEX(EntryMan,$P32)))</f>
        <v/>
      </c>
      <c r="L32" s="28">
        <f>IF($B32="","",IF($K32="","—",IF(ROUND($K32-$J32,0)=0,"√","×")))</f>
        <v/>
      </c>
      <c r="M32" s="28">
        <f>IF($B32="","",IF(COUNTIFS(EntryDates,$B32,CalcTime,$C32,CalcBank,$C$5,EntryParty,$D32,EntryDep,$H32,EntryWit,$I32)&gt;1,"تکرار",""))</f>
        <v/>
      </c>
      <c r="N32" s="28">
        <f>IF($P32="","",IF(INDEX(EntryNotes,$P32)=0,"",INDEX(EntryNotes,$P32)))</f>
        <v/>
      </c>
      <c r="O32" s="28">
        <f>IF($P32="","",IF(INDEX(EntryTxnID,$P32)=0,"",INDEX(EntryTxnID,$P32)))</f>
        <v/>
      </c>
      <c r="P32" s="28">
        <f>IFERROR(MATCH($C$5&amp;"|"&amp;RIGHT("000000"&amp;16,6),CalcRankKey,0),"")</f>
        <v/>
      </c>
    </row>
    <row r="33">
      <c r="A33" s="26">
        <f>IF($B33="","",17)</f>
        <v/>
      </c>
      <c r="B33" s="26">
        <f>IF($P33="","",IF(INDEX(CalcNormDate,$P33)=0,"",INDEX(CalcNormDate,$P33)))</f>
        <v/>
      </c>
      <c r="C33" s="26">
        <f>IF($P33="","",IF(INDEX(CalcTime,$P33)=0,"",INDEX(CalcTime,$P33)))</f>
        <v/>
      </c>
      <c r="D33" s="26">
        <f>IF($P33="","",IF(INDEX(EntryParty,$P33)=0,"",INDEX(EntryParty,$P33)))</f>
        <v/>
      </c>
      <c r="E33" s="26">
        <f>IF($P33="","",IF(INDEX(EntryPartyName,$P33)=0,"",INDEX(EntryPartyName,$P33)))</f>
        <v/>
      </c>
      <c r="F33" s="26">
        <f>IF($P33="","",IF(INDEX(EntryPartyType,$P33)=0,"",INDEX(EntryPartyType,$P33)))</f>
        <v/>
      </c>
      <c r="G33" s="26">
        <f>IF($P33="","",IF(INDEX(EntryTxnType,$P33)=0,"",INDEX(EntryTxnType,$P33)))</f>
        <v/>
      </c>
      <c r="H33" s="27">
        <f>IF($P33="","",IF(INDEX(EntryDep,$P33)=0,"",INDEX(EntryDep,$P33)))</f>
        <v/>
      </c>
      <c r="I33" s="27">
        <f>IF($P33="","",IF(INDEX(EntryWit,$P33)=0,"",INDEX(EntryWit,$P33)))</f>
        <v/>
      </c>
      <c r="J33" s="27">
        <f>IF($B33="","",IF($A33=1,$C$7,IF(J32="",0,J32))+IF($H33="",0,$H33)-IF($I33="",0,$I33))</f>
        <v/>
      </c>
      <c r="K33" s="27">
        <f>IF($P33="","",IF(INDEX(EntryMan,$P33)=0,"",INDEX(EntryMan,$P33)))</f>
        <v/>
      </c>
      <c r="L33" s="26">
        <f>IF($B33="","",IF($K33="","—",IF(ROUND($K33-$J33,0)=0,"√","×")))</f>
        <v/>
      </c>
      <c r="M33" s="26">
        <f>IF($B33="","",IF(COUNTIFS(EntryDates,$B33,CalcTime,$C33,CalcBank,$C$5,EntryParty,$D33,EntryDep,$H33,EntryWit,$I33)&gt;1,"تکرار",""))</f>
        <v/>
      </c>
      <c r="N33" s="26">
        <f>IF($P33="","",IF(INDEX(EntryNotes,$P33)=0,"",INDEX(EntryNotes,$P33)))</f>
        <v/>
      </c>
      <c r="O33" s="26">
        <f>IF($P33="","",IF(INDEX(EntryTxnID,$P33)=0,"",INDEX(EntryTxnID,$P33)))</f>
        <v/>
      </c>
      <c r="P33" s="26">
        <f>IFERROR(MATCH($C$5&amp;"|"&amp;RIGHT("000000"&amp;17,6),CalcRankKey,0),"")</f>
        <v/>
      </c>
    </row>
    <row r="34">
      <c r="A34" s="28">
        <f>IF($B34="","",18)</f>
        <v/>
      </c>
      <c r="B34" s="28">
        <f>IF($P34="","",IF(INDEX(CalcNormDate,$P34)=0,"",INDEX(CalcNormDate,$P34)))</f>
        <v/>
      </c>
      <c r="C34" s="28">
        <f>IF($P34="","",IF(INDEX(CalcTime,$P34)=0,"",INDEX(CalcTime,$P34)))</f>
        <v/>
      </c>
      <c r="D34" s="28">
        <f>IF($P34="","",IF(INDEX(EntryParty,$P34)=0,"",INDEX(EntryParty,$P34)))</f>
        <v/>
      </c>
      <c r="E34" s="28">
        <f>IF($P34="","",IF(INDEX(EntryPartyName,$P34)=0,"",INDEX(EntryPartyName,$P34)))</f>
        <v/>
      </c>
      <c r="F34" s="28">
        <f>IF($P34="","",IF(INDEX(EntryPartyType,$P34)=0,"",INDEX(EntryPartyType,$P34)))</f>
        <v/>
      </c>
      <c r="G34" s="28">
        <f>IF($P34="","",IF(INDEX(EntryTxnType,$P34)=0,"",INDEX(EntryTxnType,$P34)))</f>
        <v/>
      </c>
      <c r="H34" s="29">
        <f>IF($P34="","",IF(INDEX(EntryDep,$P34)=0,"",INDEX(EntryDep,$P34)))</f>
        <v/>
      </c>
      <c r="I34" s="29">
        <f>IF($P34="","",IF(INDEX(EntryWit,$P34)=0,"",INDEX(EntryWit,$P34)))</f>
        <v/>
      </c>
      <c r="J34" s="29">
        <f>IF($B34="","",IF($A34=1,$C$7,IF(J33="",0,J33))+IF($H34="",0,$H34)-IF($I34="",0,$I34))</f>
        <v/>
      </c>
      <c r="K34" s="29">
        <f>IF($P34="","",IF(INDEX(EntryMan,$P34)=0,"",INDEX(EntryMan,$P34)))</f>
        <v/>
      </c>
      <c r="L34" s="28">
        <f>IF($B34="","",IF($K34="","—",IF(ROUND($K34-$J34,0)=0,"√","×")))</f>
        <v/>
      </c>
      <c r="M34" s="28">
        <f>IF($B34="","",IF(COUNTIFS(EntryDates,$B34,CalcTime,$C34,CalcBank,$C$5,EntryParty,$D34,EntryDep,$H34,EntryWit,$I34)&gt;1,"تکرار",""))</f>
        <v/>
      </c>
      <c r="N34" s="28">
        <f>IF($P34="","",IF(INDEX(EntryNotes,$P34)=0,"",INDEX(EntryNotes,$P34)))</f>
        <v/>
      </c>
      <c r="O34" s="28">
        <f>IF($P34="","",IF(INDEX(EntryTxnID,$P34)=0,"",INDEX(EntryTxnID,$P34)))</f>
        <v/>
      </c>
      <c r="P34" s="28">
        <f>IFERROR(MATCH($C$5&amp;"|"&amp;RIGHT("000000"&amp;18,6),CalcRankKey,0),"")</f>
        <v/>
      </c>
    </row>
    <row r="35">
      <c r="A35" s="26">
        <f>IF($B35="","",19)</f>
        <v/>
      </c>
      <c r="B35" s="26">
        <f>IF($P35="","",IF(INDEX(CalcNormDate,$P35)=0,"",INDEX(CalcNormDate,$P35)))</f>
        <v/>
      </c>
      <c r="C35" s="26">
        <f>IF($P35="","",IF(INDEX(CalcTime,$P35)=0,"",INDEX(CalcTime,$P35)))</f>
        <v/>
      </c>
      <c r="D35" s="26">
        <f>IF($P35="","",IF(INDEX(EntryParty,$P35)=0,"",INDEX(EntryParty,$P35)))</f>
        <v/>
      </c>
      <c r="E35" s="26">
        <f>IF($P35="","",IF(INDEX(EntryPartyName,$P35)=0,"",INDEX(EntryPartyName,$P35)))</f>
        <v/>
      </c>
      <c r="F35" s="26">
        <f>IF($P35="","",IF(INDEX(EntryPartyType,$P35)=0,"",INDEX(EntryPartyType,$P35)))</f>
        <v/>
      </c>
      <c r="G35" s="26">
        <f>IF($P35="","",IF(INDEX(EntryTxnType,$P35)=0,"",INDEX(EntryTxnType,$P35)))</f>
        <v/>
      </c>
      <c r="H35" s="27">
        <f>IF($P35="","",IF(INDEX(EntryDep,$P35)=0,"",INDEX(EntryDep,$P35)))</f>
        <v/>
      </c>
      <c r="I35" s="27">
        <f>IF($P35="","",IF(INDEX(EntryWit,$P35)=0,"",INDEX(EntryWit,$P35)))</f>
        <v/>
      </c>
      <c r="J35" s="27">
        <f>IF($B35="","",IF($A35=1,$C$7,IF(J34="",0,J34))+IF($H35="",0,$H35)-IF($I35="",0,$I35))</f>
        <v/>
      </c>
      <c r="K35" s="27">
        <f>IF($P35="","",IF(INDEX(EntryMan,$P35)=0,"",INDEX(EntryMan,$P35)))</f>
        <v/>
      </c>
      <c r="L35" s="26">
        <f>IF($B35="","",IF($K35="","—",IF(ROUND($K35-$J35,0)=0,"√","×")))</f>
        <v/>
      </c>
      <c r="M35" s="26">
        <f>IF($B35="","",IF(COUNTIFS(EntryDates,$B35,CalcTime,$C35,CalcBank,$C$5,EntryParty,$D35,EntryDep,$H35,EntryWit,$I35)&gt;1,"تکرار",""))</f>
        <v/>
      </c>
      <c r="N35" s="26">
        <f>IF($P35="","",IF(INDEX(EntryNotes,$P35)=0,"",INDEX(EntryNotes,$P35)))</f>
        <v/>
      </c>
      <c r="O35" s="26">
        <f>IF($P35="","",IF(INDEX(EntryTxnID,$P35)=0,"",INDEX(EntryTxnID,$P35)))</f>
        <v/>
      </c>
      <c r="P35" s="26">
        <f>IFERROR(MATCH($C$5&amp;"|"&amp;RIGHT("000000"&amp;19,6),CalcRankKey,0),"")</f>
        <v/>
      </c>
    </row>
    <row r="36">
      <c r="A36" s="28">
        <f>IF($B36="","",20)</f>
        <v/>
      </c>
      <c r="B36" s="28">
        <f>IF($P36="","",IF(INDEX(CalcNormDate,$P36)=0,"",INDEX(CalcNormDate,$P36)))</f>
        <v/>
      </c>
      <c r="C36" s="28">
        <f>IF($P36="","",IF(INDEX(CalcTime,$P36)=0,"",INDEX(CalcTime,$P36)))</f>
        <v/>
      </c>
      <c r="D36" s="28">
        <f>IF($P36="","",IF(INDEX(EntryParty,$P36)=0,"",INDEX(EntryParty,$P36)))</f>
        <v/>
      </c>
      <c r="E36" s="28">
        <f>IF($P36="","",IF(INDEX(EntryPartyName,$P36)=0,"",INDEX(EntryPartyName,$P36)))</f>
        <v/>
      </c>
      <c r="F36" s="28">
        <f>IF($P36="","",IF(INDEX(EntryPartyType,$P36)=0,"",INDEX(EntryPartyType,$P36)))</f>
        <v/>
      </c>
      <c r="G36" s="28">
        <f>IF($P36="","",IF(INDEX(EntryTxnType,$P36)=0,"",INDEX(EntryTxnType,$P36)))</f>
        <v/>
      </c>
      <c r="H36" s="29">
        <f>IF($P36="","",IF(INDEX(EntryDep,$P36)=0,"",INDEX(EntryDep,$P36)))</f>
        <v/>
      </c>
      <c r="I36" s="29">
        <f>IF($P36="","",IF(INDEX(EntryWit,$P36)=0,"",INDEX(EntryWit,$P36)))</f>
        <v/>
      </c>
      <c r="J36" s="29">
        <f>IF($B36="","",IF($A36=1,$C$7,IF(J35="",0,J35))+IF($H36="",0,$H36)-IF($I36="",0,$I36))</f>
        <v/>
      </c>
      <c r="K36" s="29">
        <f>IF($P36="","",IF(INDEX(EntryMan,$P36)=0,"",INDEX(EntryMan,$P36)))</f>
        <v/>
      </c>
      <c r="L36" s="28">
        <f>IF($B36="","",IF($K36="","—",IF(ROUND($K36-$J36,0)=0,"√","×")))</f>
        <v/>
      </c>
      <c r="M36" s="28">
        <f>IF($B36="","",IF(COUNTIFS(EntryDates,$B36,CalcTime,$C36,CalcBank,$C$5,EntryParty,$D36,EntryDep,$H36,EntryWit,$I36)&gt;1,"تکرار",""))</f>
        <v/>
      </c>
      <c r="N36" s="28">
        <f>IF($P36="","",IF(INDEX(EntryNotes,$P36)=0,"",INDEX(EntryNotes,$P36)))</f>
        <v/>
      </c>
      <c r="O36" s="28">
        <f>IF($P36="","",IF(INDEX(EntryTxnID,$P36)=0,"",INDEX(EntryTxnID,$P36)))</f>
        <v/>
      </c>
      <c r="P36" s="28">
        <f>IFERROR(MATCH($C$5&amp;"|"&amp;RIGHT("000000"&amp;20,6),CalcRankKey,0),"")</f>
        <v/>
      </c>
    </row>
    <row r="37">
      <c r="A37" s="26">
        <f>IF($B37="","",21)</f>
        <v/>
      </c>
      <c r="B37" s="26">
        <f>IF($P37="","",IF(INDEX(CalcNormDate,$P37)=0,"",INDEX(CalcNormDate,$P37)))</f>
        <v/>
      </c>
      <c r="C37" s="26">
        <f>IF($P37="","",IF(INDEX(CalcTime,$P37)=0,"",INDEX(CalcTime,$P37)))</f>
        <v/>
      </c>
      <c r="D37" s="26">
        <f>IF($P37="","",IF(INDEX(EntryParty,$P37)=0,"",INDEX(EntryParty,$P37)))</f>
        <v/>
      </c>
      <c r="E37" s="26">
        <f>IF($P37="","",IF(INDEX(EntryPartyName,$P37)=0,"",INDEX(EntryPartyName,$P37)))</f>
        <v/>
      </c>
      <c r="F37" s="26">
        <f>IF($P37="","",IF(INDEX(EntryPartyType,$P37)=0,"",INDEX(EntryPartyType,$P37)))</f>
        <v/>
      </c>
      <c r="G37" s="26">
        <f>IF($P37="","",IF(INDEX(EntryTxnType,$P37)=0,"",INDEX(EntryTxnType,$P37)))</f>
        <v/>
      </c>
      <c r="H37" s="27">
        <f>IF($P37="","",IF(INDEX(EntryDep,$P37)=0,"",INDEX(EntryDep,$P37)))</f>
        <v/>
      </c>
      <c r="I37" s="27">
        <f>IF($P37="","",IF(INDEX(EntryWit,$P37)=0,"",INDEX(EntryWit,$P37)))</f>
        <v/>
      </c>
      <c r="J37" s="27">
        <f>IF($B37="","",IF($A37=1,$C$7,IF(J36="",0,J36))+IF($H37="",0,$H37)-IF($I37="",0,$I37))</f>
        <v/>
      </c>
      <c r="K37" s="27">
        <f>IF($P37="","",IF(INDEX(EntryMan,$P37)=0,"",INDEX(EntryMan,$P37)))</f>
        <v/>
      </c>
      <c r="L37" s="26">
        <f>IF($B37="","",IF($K37="","—",IF(ROUND($K37-$J37,0)=0,"√","×")))</f>
        <v/>
      </c>
      <c r="M37" s="26">
        <f>IF($B37="","",IF(COUNTIFS(EntryDates,$B37,CalcTime,$C37,CalcBank,$C$5,EntryParty,$D37,EntryDep,$H37,EntryWit,$I37)&gt;1,"تکرار",""))</f>
        <v/>
      </c>
      <c r="N37" s="26">
        <f>IF($P37="","",IF(INDEX(EntryNotes,$P37)=0,"",INDEX(EntryNotes,$P37)))</f>
        <v/>
      </c>
      <c r="O37" s="26">
        <f>IF($P37="","",IF(INDEX(EntryTxnID,$P37)=0,"",INDEX(EntryTxnID,$P37)))</f>
        <v/>
      </c>
      <c r="P37" s="26">
        <f>IFERROR(MATCH($C$5&amp;"|"&amp;RIGHT("000000"&amp;21,6),CalcRankKey,0),"")</f>
        <v/>
      </c>
    </row>
    <row r="38">
      <c r="A38" s="28">
        <f>IF($B38="","",22)</f>
        <v/>
      </c>
      <c r="B38" s="28">
        <f>IF($P38="","",IF(INDEX(CalcNormDate,$P38)=0,"",INDEX(CalcNormDate,$P38)))</f>
        <v/>
      </c>
      <c r="C38" s="28">
        <f>IF($P38="","",IF(INDEX(CalcTime,$P38)=0,"",INDEX(CalcTime,$P38)))</f>
        <v/>
      </c>
      <c r="D38" s="28">
        <f>IF($P38="","",IF(INDEX(EntryParty,$P38)=0,"",INDEX(EntryParty,$P38)))</f>
        <v/>
      </c>
      <c r="E38" s="28">
        <f>IF($P38="","",IF(INDEX(EntryPartyName,$P38)=0,"",INDEX(EntryPartyName,$P38)))</f>
        <v/>
      </c>
      <c r="F38" s="28">
        <f>IF($P38="","",IF(INDEX(EntryPartyType,$P38)=0,"",INDEX(EntryPartyType,$P38)))</f>
        <v/>
      </c>
      <c r="G38" s="28">
        <f>IF($P38="","",IF(INDEX(EntryTxnType,$P38)=0,"",INDEX(EntryTxnType,$P38)))</f>
        <v/>
      </c>
      <c r="H38" s="29">
        <f>IF($P38="","",IF(INDEX(EntryDep,$P38)=0,"",INDEX(EntryDep,$P38)))</f>
        <v/>
      </c>
      <c r="I38" s="29">
        <f>IF($P38="","",IF(INDEX(EntryWit,$P38)=0,"",INDEX(EntryWit,$P38)))</f>
        <v/>
      </c>
      <c r="J38" s="29">
        <f>IF($B38="","",IF($A38=1,$C$7,IF(J37="",0,J37))+IF($H38="",0,$H38)-IF($I38="",0,$I38))</f>
        <v/>
      </c>
      <c r="K38" s="29">
        <f>IF($P38="","",IF(INDEX(EntryMan,$P38)=0,"",INDEX(EntryMan,$P38)))</f>
        <v/>
      </c>
      <c r="L38" s="28">
        <f>IF($B38="","",IF($K38="","—",IF(ROUND($K38-$J38,0)=0,"√","×")))</f>
        <v/>
      </c>
      <c r="M38" s="28">
        <f>IF($B38="","",IF(COUNTIFS(EntryDates,$B38,CalcTime,$C38,CalcBank,$C$5,EntryParty,$D38,EntryDep,$H38,EntryWit,$I38)&gt;1,"تکرار",""))</f>
        <v/>
      </c>
      <c r="N38" s="28">
        <f>IF($P38="","",IF(INDEX(EntryNotes,$P38)=0,"",INDEX(EntryNotes,$P38)))</f>
        <v/>
      </c>
      <c r="O38" s="28">
        <f>IF($P38="","",IF(INDEX(EntryTxnID,$P38)=0,"",INDEX(EntryTxnID,$P38)))</f>
        <v/>
      </c>
      <c r="P38" s="28">
        <f>IFERROR(MATCH($C$5&amp;"|"&amp;RIGHT("000000"&amp;22,6),CalcRankKey,0),"")</f>
        <v/>
      </c>
    </row>
    <row r="39">
      <c r="A39" s="26">
        <f>IF($B39="","",23)</f>
        <v/>
      </c>
      <c r="B39" s="26">
        <f>IF($P39="","",IF(INDEX(CalcNormDate,$P39)=0,"",INDEX(CalcNormDate,$P39)))</f>
        <v/>
      </c>
      <c r="C39" s="26">
        <f>IF($P39="","",IF(INDEX(CalcTime,$P39)=0,"",INDEX(CalcTime,$P39)))</f>
        <v/>
      </c>
      <c r="D39" s="26">
        <f>IF($P39="","",IF(INDEX(EntryParty,$P39)=0,"",INDEX(EntryParty,$P39)))</f>
        <v/>
      </c>
      <c r="E39" s="26">
        <f>IF($P39="","",IF(INDEX(EntryPartyName,$P39)=0,"",INDEX(EntryPartyName,$P39)))</f>
        <v/>
      </c>
      <c r="F39" s="26">
        <f>IF($P39="","",IF(INDEX(EntryPartyType,$P39)=0,"",INDEX(EntryPartyType,$P39)))</f>
        <v/>
      </c>
      <c r="G39" s="26">
        <f>IF($P39="","",IF(INDEX(EntryTxnType,$P39)=0,"",INDEX(EntryTxnType,$P39)))</f>
        <v/>
      </c>
      <c r="H39" s="27">
        <f>IF($P39="","",IF(INDEX(EntryDep,$P39)=0,"",INDEX(EntryDep,$P39)))</f>
        <v/>
      </c>
      <c r="I39" s="27">
        <f>IF($P39="","",IF(INDEX(EntryWit,$P39)=0,"",INDEX(EntryWit,$P39)))</f>
        <v/>
      </c>
      <c r="J39" s="27">
        <f>IF($B39="","",IF($A39=1,$C$7,IF(J38="",0,J38))+IF($H39="",0,$H39)-IF($I39="",0,$I39))</f>
        <v/>
      </c>
      <c r="K39" s="27">
        <f>IF($P39="","",IF(INDEX(EntryMan,$P39)=0,"",INDEX(EntryMan,$P39)))</f>
        <v/>
      </c>
      <c r="L39" s="26">
        <f>IF($B39="","",IF($K39="","—",IF(ROUND($K39-$J39,0)=0,"√","×")))</f>
        <v/>
      </c>
      <c r="M39" s="26">
        <f>IF($B39="","",IF(COUNTIFS(EntryDates,$B39,CalcTime,$C39,CalcBank,$C$5,EntryParty,$D39,EntryDep,$H39,EntryWit,$I39)&gt;1,"تکرار",""))</f>
        <v/>
      </c>
      <c r="N39" s="26">
        <f>IF($P39="","",IF(INDEX(EntryNotes,$P39)=0,"",INDEX(EntryNotes,$P39)))</f>
        <v/>
      </c>
      <c r="O39" s="26">
        <f>IF($P39="","",IF(INDEX(EntryTxnID,$P39)=0,"",INDEX(EntryTxnID,$P39)))</f>
        <v/>
      </c>
      <c r="P39" s="26">
        <f>IFERROR(MATCH($C$5&amp;"|"&amp;RIGHT("000000"&amp;23,6),CalcRankKey,0),"")</f>
        <v/>
      </c>
    </row>
    <row r="40">
      <c r="A40" s="28">
        <f>IF($B40="","",24)</f>
        <v/>
      </c>
      <c r="B40" s="28">
        <f>IF($P40="","",IF(INDEX(CalcNormDate,$P40)=0,"",INDEX(CalcNormDate,$P40)))</f>
        <v/>
      </c>
      <c r="C40" s="28">
        <f>IF($P40="","",IF(INDEX(CalcTime,$P40)=0,"",INDEX(CalcTime,$P40)))</f>
        <v/>
      </c>
      <c r="D40" s="28">
        <f>IF($P40="","",IF(INDEX(EntryParty,$P40)=0,"",INDEX(EntryParty,$P40)))</f>
        <v/>
      </c>
      <c r="E40" s="28">
        <f>IF($P40="","",IF(INDEX(EntryPartyName,$P40)=0,"",INDEX(EntryPartyName,$P40)))</f>
        <v/>
      </c>
      <c r="F40" s="28">
        <f>IF($P40="","",IF(INDEX(EntryPartyType,$P40)=0,"",INDEX(EntryPartyType,$P40)))</f>
        <v/>
      </c>
      <c r="G40" s="28">
        <f>IF($P40="","",IF(INDEX(EntryTxnType,$P40)=0,"",INDEX(EntryTxnType,$P40)))</f>
        <v/>
      </c>
      <c r="H40" s="29">
        <f>IF($P40="","",IF(INDEX(EntryDep,$P40)=0,"",INDEX(EntryDep,$P40)))</f>
        <v/>
      </c>
      <c r="I40" s="29">
        <f>IF($P40="","",IF(INDEX(EntryWit,$P40)=0,"",INDEX(EntryWit,$P40)))</f>
        <v/>
      </c>
      <c r="J40" s="29">
        <f>IF($B40="","",IF($A40=1,$C$7,IF(J39="",0,J39))+IF($H40="",0,$H40)-IF($I40="",0,$I40))</f>
        <v/>
      </c>
      <c r="K40" s="29">
        <f>IF($P40="","",IF(INDEX(EntryMan,$P40)=0,"",INDEX(EntryMan,$P40)))</f>
        <v/>
      </c>
      <c r="L40" s="28">
        <f>IF($B40="","",IF($K40="","—",IF(ROUND($K40-$J40,0)=0,"√","×")))</f>
        <v/>
      </c>
      <c r="M40" s="28">
        <f>IF($B40="","",IF(COUNTIFS(EntryDates,$B40,CalcTime,$C40,CalcBank,$C$5,EntryParty,$D40,EntryDep,$H40,EntryWit,$I40)&gt;1,"تکرار",""))</f>
        <v/>
      </c>
      <c r="N40" s="28">
        <f>IF($P40="","",IF(INDEX(EntryNotes,$P40)=0,"",INDEX(EntryNotes,$P40)))</f>
        <v/>
      </c>
      <c r="O40" s="28">
        <f>IF($P40="","",IF(INDEX(EntryTxnID,$P40)=0,"",INDEX(EntryTxnID,$P40)))</f>
        <v/>
      </c>
      <c r="P40" s="28">
        <f>IFERROR(MATCH($C$5&amp;"|"&amp;RIGHT("000000"&amp;24,6),CalcRankKey,0),"")</f>
        <v/>
      </c>
    </row>
    <row r="41">
      <c r="A41" s="26">
        <f>IF($B41="","",25)</f>
        <v/>
      </c>
      <c r="B41" s="26">
        <f>IF($P41="","",IF(INDEX(CalcNormDate,$P41)=0,"",INDEX(CalcNormDate,$P41)))</f>
        <v/>
      </c>
      <c r="C41" s="26">
        <f>IF($P41="","",IF(INDEX(CalcTime,$P41)=0,"",INDEX(CalcTime,$P41)))</f>
        <v/>
      </c>
      <c r="D41" s="26">
        <f>IF($P41="","",IF(INDEX(EntryParty,$P41)=0,"",INDEX(EntryParty,$P41)))</f>
        <v/>
      </c>
      <c r="E41" s="26">
        <f>IF($P41="","",IF(INDEX(EntryPartyName,$P41)=0,"",INDEX(EntryPartyName,$P41)))</f>
        <v/>
      </c>
      <c r="F41" s="26">
        <f>IF($P41="","",IF(INDEX(EntryPartyType,$P41)=0,"",INDEX(EntryPartyType,$P41)))</f>
        <v/>
      </c>
      <c r="G41" s="26">
        <f>IF($P41="","",IF(INDEX(EntryTxnType,$P41)=0,"",INDEX(EntryTxnType,$P41)))</f>
        <v/>
      </c>
      <c r="H41" s="27">
        <f>IF($P41="","",IF(INDEX(EntryDep,$P41)=0,"",INDEX(EntryDep,$P41)))</f>
        <v/>
      </c>
      <c r="I41" s="27">
        <f>IF($P41="","",IF(INDEX(EntryWit,$P41)=0,"",INDEX(EntryWit,$P41)))</f>
        <v/>
      </c>
      <c r="J41" s="27">
        <f>IF($B41="","",IF($A41=1,$C$7,IF(J40="",0,J40))+IF($H41="",0,$H41)-IF($I41="",0,$I41))</f>
        <v/>
      </c>
      <c r="K41" s="27">
        <f>IF($P41="","",IF(INDEX(EntryMan,$P41)=0,"",INDEX(EntryMan,$P41)))</f>
        <v/>
      </c>
      <c r="L41" s="26">
        <f>IF($B41="","",IF($K41="","—",IF(ROUND($K41-$J41,0)=0,"√","×")))</f>
        <v/>
      </c>
      <c r="M41" s="26">
        <f>IF($B41="","",IF(COUNTIFS(EntryDates,$B41,CalcTime,$C41,CalcBank,$C$5,EntryParty,$D41,EntryDep,$H41,EntryWit,$I41)&gt;1,"تکرار",""))</f>
        <v/>
      </c>
      <c r="N41" s="26">
        <f>IF($P41="","",IF(INDEX(EntryNotes,$P41)=0,"",INDEX(EntryNotes,$P41)))</f>
        <v/>
      </c>
      <c r="O41" s="26">
        <f>IF($P41="","",IF(INDEX(EntryTxnID,$P41)=0,"",INDEX(EntryTxnID,$P41)))</f>
        <v/>
      </c>
      <c r="P41" s="26">
        <f>IFERROR(MATCH($C$5&amp;"|"&amp;RIGHT("000000"&amp;25,6),CalcRankKey,0),"")</f>
        <v/>
      </c>
    </row>
    <row r="42">
      <c r="A42" s="28">
        <f>IF($B42="","",26)</f>
        <v/>
      </c>
      <c r="B42" s="28">
        <f>IF($P42="","",IF(INDEX(CalcNormDate,$P42)=0,"",INDEX(CalcNormDate,$P42)))</f>
        <v/>
      </c>
      <c r="C42" s="28">
        <f>IF($P42="","",IF(INDEX(CalcTime,$P42)=0,"",INDEX(CalcTime,$P42)))</f>
        <v/>
      </c>
      <c r="D42" s="28">
        <f>IF($P42="","",IF(INDEX(EntryParty,$P42)=0,"",INDEX(EntryParty,$P42)))</f>
        <v/>
      </c>
      <c r="E42" s="28">
        <f>IF($P42="","",IF(INDEX(EntryPartyName,$P42)=0,"",INDEX(EntryPartyName,$P42)))</f>
        <v/>
      </c>
      <c r="F42" s="28">
        <f>IF($P42="","",IF(INDEX(EntryPartyType,$P42)=0,"",INDEX(EntryPartyType,$P42)))</f>
        <v/>
      </c>
      <c r="G42" s="28">
        <f>IF($P42="","",IF(INDEX(EntryTxnType,$P42)=0,"",INDEX(EntryTxnType,$P42)))</f>
        <v/>
      </c>
      <c r="H42" s="29">
        <f>IF($P42="","",IF(INDEX(EntryDep,$P42)=0,"",INDEX(EntryDep,$P42)))</f>
        <v/>
      </c>
      <c r="I42" s="29">
        <f>IF($P42="","",IF(INDEX(EntryWit,$P42)=0,"",INDEX(EntryWit,$P42)))</f>
        <v/>
      </c>
      <c r="J42" s="29">
        <f>IF($B42="","",IF($A42=1,$C$7,IF(J41="",0,J41))+IF($H42="",0,$H42)-IF($I42="",0,$I42))</f>
        <v/>
      </c>
      <c r="K42" s="29">
        <f>IF($P42="","",IF(INDEX(EntryMan,$P42)=0,"",INDEX(EntryMan,$P42)))</f>
        <v/>
      </c>
      <c r="L42" s="28">
        <f>IF($B42="","",IF($K42="","—",IF(ROUND($K42-$J42,0)=0,"√","×")))</f>
        <v/>
      </c>
      <c r="M42" s="28">
        <f>IF($B42="","",IF(COUNTIFS(EntryDates,$B42,CalcTime,$C42,CalcBank,$C$5,EntryParty,$D42,EntryDep,$H42,EntryWit,$I42)&gt;1,"تکرار",""))</f>
        <v/>
      </c>
      <c r="N42" s="28">
        <f>IF($P42="","",IF(INDEX(EntryNotes,$P42)=0,"",INDEX(EntryNotes,$P42)))</f>
        <v/>
      </c>
      <c r="O42" s="28">
        <f>IF($P42="","",IF(INDEX(EntryTxnID,$P42)=0,"",INDEX(EntryTxnID,$P42)))</f>
        <v/>
      </c>
      <c r="P42" s="28">
        <f>IFERROR(MATCH($C$5&amp;"|"&amp;RIGHT("000000"&amp;26,6),CalcRankKey,0),"")</f>
        <v/>
      </c>
    </row>
    <row r="43">
      <c r="A43" s="26">
        <f>IF($B43="","",27)</f>
        <v/>
      </c>
      <c r="B43" s="26">
        <f>IF($P43="","",IF(INDEX(CalcNormDate,$P43)=0,"",INDEX(CalcNormDate,$P43)))</f>
        <v/>
      </c>
      <c r="C43" s="26">
        <f>IF($P43="","",IF(INDEX(CalcTime,$P43)=0,"",INDEX(CalcTime,$P43)))</f>
        <v/>
      </c>
      <c r="D43" s="26">
        <f>IF($P43="","",IF(INDEX(EntryParty,$P43)=0,"",INDEX(EntryParty,$P43)))</f>
        <v/>
      </c>
      <c r="E43" s="26">
        <f>IF($P43="","",IF(INDEX(EntryPartyName,$P43)=0,"",INDEX(EntryPartyName,$P43)))</f>
        <v/>
      </c>
      <c r="F43" s="26">
        <f>IF($P43="","",IF(INDEX(EntryPartyType,$P43)=0,"",INDEX(EntryPartyType,$P43)))</f>
        <v/>
      </c>
      <c r="G43" s="26">
        <f>IF($P43="","",IF(INDEX(EntryTxnType,$P43)=0,"",INDEX(EntryTxnType,$P43)))</f>
        <v/>
      </c>
      <c r="H43" s="27">
        <f>IF($P43="","",IF(INDEX(EntryDep,$P43)=0,"",INDEX(EntryDep,$P43)))</f>
        <v/>
      </c>
      <c r="I43" s="27">
        <f>IF($P43="","",IF(INDEX(EntryWit,$P43)=0,"",INDEX(EntryWit,$P43)))</f>
        <v/>
      </c>
      <c r="J43" s="27">
        <f>IF($B43="","",IF($A43=1,$C$7,IF(J42="",0,J42))+IF($H43="",0,$H43)-IF($I43="",0,$I43))</f>
        <v/>
      </c>
      <c r="K43" s="27">
        <f>IF($P43="","",IF(INDEX(EntryMan,$P43)=0,"",INDEX(EntryMan,$P43)))</f>
        <v/>
      </c>
      <c r="L43" s="26">
        <f>IF($B43="","",IF($K43="","—",IF(ROUND($K43-$J43,0)=0,"√","×")))</f>
        <v/>
      </c>
      <c r="M43" s="26">
        <f>IF($B43="","",IF(COUNTIFS(EntryDates,$B43,CalcTime,$C43,CalcBank,$C$5,EntryParty,$D43,EntryDep,$H43,EntryWit,$I43)&gt;1,"تکرار",""))</f>
        <v/>
      </c>
      <c r="N43" s="26">
        <f>IF($P43="","",IF(INDEX(EntryNotes,$P43)=0,"",INDEX(EntryNotes,$P43)))</f>
        <v/>
      </c>
      <c r="O43" s="26">
        <f>IF($P43="","",IF(INDEX(EntryTxnID,$P43)=0,"",INDEX(EntryTxnID,$P43)))</f>
        <v/>
      </c>
      <c r="P43" s="26">
        <f>IFERROR(MATCH($C$5&amp;"|"&amp;RIGHT("000000"&amp;27,6),CalcRankKey,0),"")</f>
        <v/>
      </c>
    </row>
    <row r="44">
      <c r="A44" s="28">
        <f>IF($B44="","",28)</f>
        <v/>
      </c>
      <c r="B44" s="28">
        <f>IF($P44="","",IF(INDEX(CalcNormDate,$P44)=0,"",INDEX(CalcNormDate,$P44)))</f>
        <v/>
      </c>
      <c r="C44" s="28">
        <f>IF($P44="","",IF(INDEX(CalcTime,$P44)=0,"",INDEX(CalcTime,$P44)))</f>
        <v/>
      </c>
      <c r="D44" s="28">
        <f>IF($P44="","",IF(INDEX(EntryParty,$P44)=0,"",INDEX(EntryParty,$P44)))</f>
        <v/>
      </c>
      <c r="E44" s="28">
        <f>IF($P44="","",IF(INDEX(EntryPartyName,$P44)=0,"",INDEX(EntryPartyName,$P44)))</f>
        <v/>
      </c>
      <c r="F44" s="28">
        <f>IF($P44="","",IF(INDEX(EntryPartyType,$P44)=0,"",INDEX(EntryPartyType,$P44)))</f>
        <v/>
      </c>
      <c r="G44" s="28">
        <f>IF($P44="","",IF(INDEX(EntryTxnType,$P44)=0,"",INDEX(EntryTxnType,$P44)))</f>
        <v/>
      </c>
      <c r="H44" s="29">
        <f>IF($P44="","",IF(INDEX(EntryDep,$P44)=0,"",INDEX(EntryDep,$P44)))</f>
        <v/>
      </c>
      <c r="I44" s="29">
        <f>IF($P44="","",IF(INDEX(EntryWit,$P44)=0,"",INDEX(EntryWit,$P44)))</f>
        <v/>
      </c>
      <c r="J44" s="29">
        <f>IF($B44="","",IF($A44=1,$C$7,IF(J43="",0,J43))+IF($H44="",0,$H44)-IF($I44="",0,$I44))</f>
        <v/>
      </c>
      <c r="K44" s="29">
        <f>IF($P44="","",IF(INDEX(EntryMan,$P44)=0,"",INDEX(EntryMan,$P44)))</f>
        <v/>
      </c>
      <c r="L44" s="28">
        <f>IF($B44="","",IF($K44="","—",IF(ROUND($K44-$J44,0)=0,"√","×")))</f>
        <v/>
      </c>
      <c r="M44" s="28">
        <f>IF($B44="","",IF(COUNTIFS(EntryDates,$B44,CalcTime,$C44,CalcBank,$C$5,EntryParty,$D44,EntryDep,$H44,EntryWit,$I44)&gt;1,"تکرار",""))</f>
        <v/>
      </c>
      <c r="N44" s="28">
        <f>IF($P44="","",IF(INDEX(EntryNotes,$P44)=0,"",INDEX(EntryNotes,$P44)))</f>
        <v/>
      </c>
      <c r="O44" s="28">
        <f>IF($P44="","",IF(INDEX(EntryTxnID,$P44)=0,"",INDEX(EntryTxnID,$P44)))</f>
        <v/>
      </c>
      <c r="P44" s="28">
        <f>IFERROR(MATCH($C$5&amp;"|"&amp;RIGHT("000000"&amp;28,6),CalcRankKey,0),"")</f>
        <v/>
      </c>
    </row>
    <row r="45">
      <c r="A45" s="26">
        <f>IF($B45="","",29)</f>
        <v/>
      </c>
      <c r="B45" s="26">
        <f>IF($P45="","",IF(INDEX(CalcNormDate,$P45)=0,"",INDEX(CalcNormDate,$P45)))</f>
        <v/>
      </c>
      <c r="C45" s="26">
        <f>IF($P45="","",IF(INDEX(CalcTime,$P45)=0,"",INDEX(CalcTime,$P45)))</f>
        <v/>
      </c>
      <c r="D45" s="26">
        <f>IF($P45="","",IF(INDEX(EntryParty,$P45)=0,"",INDEX(EntryParty,$P45)))</f>
        <v/>
      </c>
      <c r="E45" s="26">
        <f>IF($P45="","",IF(INDEX(EntryPartyName,$P45)=0,"",INDEX(EntryPartyName,$P45)))</f>
        <v/>
      </c>
      <c r="F45" s="26">
        <f>IF($P45="","",IF(INDEX(EntryPartyType,$P45)=0,"",INDEX(EntryPartyType,$P45)))</f>
        <v/>
      </c>
      <c r="G45" s="26">
        <f>IF($P45="","",IF(INDEX(EntryTxnType,$P45)=0,"",INDEX(EntryTxnType,$P45)))</f>
        <v/>
      </c>
      <c r="H45" s="27">
        <f>IF($P45="","",IF(INDEX(EntryDep,$P45)=0,"",INDEX(EntryDep,$P45)))</f>
        <v/>
      </c>
      <c r="I45" s="27">
        <f>IF($P45="","",IF(INDEX(EntryWit,$P45)=0,"",INDEX(EntryWit,$P45)))</f>
        <v/>
      </c>
      <c r="J45" s="27">
        <f>IF($B45="","",IF($A45=1,$C$7,IF(J44="",0,J44))+IF($H45="",0,$H45)-IF($I45="",0,$I45))</f>
        <v/>
      </c>
      <c r="K45" s="27">
        <f>IF($P45="","",IF(INDEX(EntryMan,$P45)=0,"",INDEX(EntryMan,$P45)))</f>
        <v/>
      </c>
      <c r="L45" s="26">
        <f>IF($B45="","",IF($K45="","—",IF(ROUND($K45-$J45,0)=0,"√","×")))</f>
        <v/>
      </c>
      <c r="M45" s="26">
        <f>IF($B45="","",IF(COUNTIFS(EntryDates,$B45,CalcTime,$C45,CalcBank,$C$5,EntryParty,$D45,EntryDep,$H45,EntryWit,$I45)&gt;1,"تکرار",""))</f>
        <v/>
      </c>
      <c r="N45" s="26">
        <f>IF($P45="","",IF(INDEX(EntryNotes,$P45)=0,"",INDEX(EntryNotes,$P45)))</f>
        <v/>
      </c>
      <c r="O45" s="26">
        <f>IF($P45="","",IF(INDEX(EntryTxnID,$P45)=0,"",INDEX(EntryTxnID,$P45)))</f>
        <v/>
      </c>
      <c r="P45" s="26">
        <f>IFERROR(MATCH($C$5&amp;"|"&amp;RIGHT("000000"&amp;29,6),CalcRankKey,0),"")</f>
        <v/>
      </c>
    </row>
    <row r="46">
      <c r="A46" s="28">
        <f>IF($B46="","",30)</f>
        <v/>
      </c>
      <c r="B46" s="28">
        <f>IF($P46="","",IF(INDEX(CalcNormDate,$P46)=0,"",INDEX(CalcNormDate,$P46)))</f>
        <v/>
      </c>
      <c r="C46" s="28">
        <f>IF($P46="","",IF(INDEX(CalcTime,$P46)=0,"",INDEX(CalcTime,$P46)))</f>
        <v/>
      </c>
      <c r="D46" s="28">
        <f>IF($P46="","",IF(INDEX(EntryParty,$P46)=0,"",INDEX(EntryParty,$P46)))</f>
        <v/>
      </c>
      <c r="E46" s="28">
        <f>IF($P46="","",IF(INDEX(EntryPartyName,$P46)=0,"",INDEX(EntryPartyName,$P46)))</f>
        <v/>
      </c>
      <c r="F46" s="28">
        <f>IF($P46="","",IF(INDEX(EntryPartyType,$P46)=0,"",INDEX(EntryPartyType,$P46)))</f>
        <v/>
      </c>
      <c r="G46" s="28">
        <f>IF($P46="","",IF(INDEX(EntryTxnType,$P46)=0,"",INDEX(EntryTxnType,$P46)))</f>
        <v/>
      </c>
      <c r="H46" s="29">
        <f>IF($P46="","",IF(INDEX(EntryDep,$P46)=0,"",INDEX(EntryDep,$P46)))</f>
        <v/>
      </c>
      <c r="I46" s="29">
        <f>IF($P46="","",IF(INDEX(EntryWit,$P46)=0,"",INDEX(EntryWit,$P46)))</f>
        <v/>
      </c>
      <c r="J46" s="29">
        <f>IF($B46="","",IF($A46=1,$C$7,IF(J45="",0,J45))+IF($H46="",0,$H46)-IF($I46="",0,$I46))</f>
        <v/>
      </c>
      <c r="K46" s="29">
        <f>IF($P46="","",IF(INDEX(EntryMan,$P46)=0,"",INDEX(EntryMan,$P46)))</f>
        <v/>
      </c>
      <c r="L46" s="28">
        <f>IF($B46="","",IF($K46="","—",IF(ROUND($K46-$J46,0)=0,"√","×")))</f>
        <v/>
      </c>
      <c r="M46" s="28">
        <f>IF($B46="","",IF(COUNTIFS(EntryDates,$B46,CalcTime,$C46,CalcBank,$C$5,EntryParty,$D46,EntryDep,$H46,EntryWit,$I46)&gt;1,"تکرار",""))</f>
        <v/>
      </c>
      <c r="N46" s="28">
        <f>IF($P46="","",IF(INDEX(EntryNotes,$P46)=0,"",INDEX(EntryNotes,$P46)))</f>
        <v/>
      </c>
      <c r="O46" s="28">
        <f>IF($P46="","",IF(INDEX(EntryTxnID,$P46)=0,"",INDEX(EntryTxnID,$P46)))</f>
        <v/>
      </c>
      <c r="P46" s="28">
        <f>IFERROR(MATCH($C$5&amp;"|"&amp;RIGHT("000000"&amp;30,6),CalcRankKey,0),"")</f>
        <v/>
      </c>
    </row>
    <row r="47">
      <c r="A47" s="26">
        <f>IF($B47="","",31)</f>
        <v/>
      </c>
      <c r="B47" s="26">
        <f>IF($P47="","",IF(INDEX(CalcNormDate,$P47)=0,"",INDEX(CalcNormDate,$P47)))</f>
        <v/>
      </c>
      <c r="C47" s="26">
        <f>IF($P47="","",IF(INDEX(CalcTime,$P47)=0,"",INDEX(CalcTime,$P47)))</f>
        <v/>
      </c>
      <c r="D47" s="26">
        <f>IF($P47="","",IF(INDEX(EntryParty,$P47)=0,"",INDEX(EntryParty,$P47)))</f>
        <v/>
      </c>
      <c r="E47" s="26">
        <f>IF($P47="","",IF(INDEX(EntryPartyName,$P47)=0,"",INDEX(EntryPartyName,$P47)))</f>
        <v/>
      </c>
      <c r="F47" s="26">
        <f>IF($P47="","",IF(INDEX(EntryPartyType,$P47)=0,"",INDEX(EntryPartyType,$P47)))</f>
        <v/>
      </c>
      <c r="G47" s="26">
        <f>IF($P47="","",IF(INDEX(EntryTxnType,$P47)=0,"",INDEX(EntryTxnType,$P47)))</f>
        <v/>
      </c>
      <c r="H47" s="27">
        <f>IF($P47="","",IF(INDEX(EntryDep,$P47)=0,"",INDEX(EntryDep,$P47)))</f>
        <v/>
      </c>
      <c r="I47" s="27">
        <f>IF($P47="","",IF(INDEX(EntryWit,$P47)=0,"",INDEX(EntryWit,$P47)))</f>
        <v/>
      </c>
      <c r="J47" s="27">
        <f>IF($B47="","",IF($A47=1,$C$7,IF(J46="",0,J46))+IF($H47="",0,$H47)-IF($I47="",0,$I47))</f>
        <v/>
      </c>
      <c r="K47" s="27">
        <f>IF($P47="","",IF(INDEX(EntryMan,$P47)=0,"",INDEX(EntryMan,$P47)))</f>
        <v/>
      </c>
      <c r="L47" s="26">
        <f>IF($B47="","",IF($K47="","—",IF(ROUND($K47-$J47,0)=0,"√","×")))</f>
        <v/>
      </c>
      <c r="M47" s="26">
        <f>IF($B47="","",IF(COUNTIFS(EntryDates,$B47,CalcTime,$C47,CalcBank,$C$5,EntryParty,$D47,EntryDep,$H47,EntryWit,$I47)&gt;1,"تکرار",""))</f>
        <v/>
      </c>
      <c r="N47" s="26">
        <f>IF($P47="","",IF(INDEX(EntryNotes,$P47)=0,"",INDEX(EntryNotes,$P47)))</f>
        <v/>
      </c>
      <c r="O47" s="26">
        <f>IF($P47="","",IF(INDEX(EntryTxnID,$P47)=0,"",INDEX(EntryTxnID,$P47)))</f>
        <v/>
      </c>
      <c r="P47" s="26">
        <f>IFERROR(MATCH($C$5&amp;"|"&amp;RIGHT("000000"&amp;31,6),CalcRankKey,0),"")</f>
        <v/>
      </c>
    </row>
    <row r="48">
      <c r="A48" s="28">
        <f>IF($B48="","",32)</f>
        <v/>
      </c>
      <c r="B48" s="28">
        <f>IF($P48="","",IF(INDEX(CalcNormDate,$P48)=0,"",INDEX(CalcNormDate,$P48)))</f>
        <v/>
      </c>
      <c r="C48" s="28">
        <f>IF($P48="","",IF(INDEX(CalcTime,$P48)=0,"",INDEX(CalcTime,$P48)))</f>
        <v/>
      </c>
      <c r="D48" s="28">
        <f>IF($P48="","",IF(INDEX(EntryParty,$P48)=0,"",INDEX(EntryParty,$P48)))</f>
        <v/>
      </c>
      <c r="E48" s="28">
        <f>IF($P48="","",IF(INDEX(EntryPartyName,$P48)=0,"",INDEX(EntryPartyName,$P48)))</f>
        <v/>
      </c>
      <c r="F48" s="28">
        <f>IF($P48="","",IF(INDEX(EntryPartyType,$P48)=0,"",INDEX(EntryPartyType,$P48)))</f>
        <v/>
      </c>
      <c r="G48" s="28">
        <f>IF($P48="","",IF(INDEX(EntryTxnType,$P48)=0,"",INDEX(EntryTxnType,$P48)))</f>
        <v/>
      </c>
      <c r="H48" s="29">
        <f>IF($P48="","",IF(INDEX(EntryDep,$P48)=0,"",INDEX(EntryDep,$P48)))</f>
        <v/>
      </c>
      <c r="I48" s="29">
        <f>IF($P48="","",IF(INDEX(EntryWit,$P48)=0,"",INDEX(EntryWit,$P48)))</f>
        <v/>
      </c>
      <c r="J48" s="29">
        <f>IF($B48="","",IF($A48=1,$C$7,IF(J47="",0,J47))+IF($H48="",0,$H48)-IF($I48="",0,$I48))</f>
        <v/>
      </c>
      <c r="K48" s="29">
        <f>IF($P48="","",IF(INDEX(EntryMan,$P48)=0,"",INDEX(EntryMan,$P48)))</f>
        <v/>
      </c>
      <c r="L48" s="28">
        <f>IF($B48="","",IF($K48="","—",IF(ROUND($K48-$J48,0)=0,"√","×")))</f>
        <v/>
      </c>
      <c r="M48" s="28">
        <f>IF($B48="","",IF(COUNTIFS(EntryDates,$B48,CalcTime,$C48,CalcBank,$C$5,EntryParty,$D48,EntryDep,$H48,EntryWit,$I48)&gt;1,"تکرار",""))</f>
        <v/>
      </c>
      <c r="N48" s="28">
        <f>IF($P48="","",IF(INDEX(EntryNotes,$P48)=0,"",INDEX(EntryNotes,$P48)))</f>
        <v/>
      </c>
      <c r="O48" s="28">
        <f>IF($P48="","",IF(INDEX(EntryTxnID,$P48)=0,"",INDEX(EntryTxnID,$P48)))</f>
        <v/>
      </c>
      <c r="P48" s="28">
        <f>IFERROR(MATCH($C$5&amp;"|"&amp;RIGHT("000000"&amp;32,6),CalcRankKey,0),"")</f>
        <v/>
      </c>
    </row>
    <row r="49">
      <c r="A49" s="26">
        <f>IF($B49="","",33)</f>
        <v/>
      </c>
      <c r="B49" s="26">
        <f>IF($P49="","",IF(INDEX(CalcNormDate,$P49)=0,"",INDEX(CalcNormDate,$P49)))</f>
        <v/>
      </c>
      <c r="C49" s="26">
        <f>IF($P49="","",IF(INDEX(CalcTime,$P49)=0,"",INDEX(CalcTime,$P49)))</f>
        <v/>
      </c>
      <c r="D49" s="26">
        <f>IF($P49="","",IF(INDEX(EntryParty,$P49)=0,"",INDEX(EntryParty,$P49)))</f>
        <v/>
      </c>
      <c r="E49" s="26">
        <f>IF($P49="","",IF(INDEX(EntryPartyName,$P49)=0,"",INDEX(EntryPartyName,$P49)))</f>
        <v/>
      </c>
      <c r="F49" s="26">
        <f>IF($P49="","",IF(INDEX(EntryPartyType,$P49)=0,"",INDEX(EntryPartyType,$P49)))</f>
        <v/>
      </c>
      <c r="G49" s="26">
        <f>IF($P49="","",IF(INDEX(EntryTxnType,$P49)=0,"",INDEX(EntryTxnType,$P49)))</f>
        <v/>
      </c>
      <c r="H49" s="27">
        <f>IF($P49="","",IF(INDEX(EntryDep,$P49)=0,"",INDEX(EntryDep,$P49)))</f>
        <v/>
      </c>
      <c r="I49" s="27">
        <f>IF($P49="","",IF(INDEX(EntryWit,$P49)=0,"",INDEX(EntryWit,$P49)))</f>
        <v/>
      </c>
      <c r="J49" s="27">
        <f>IF($B49="","",IF($A49=1,$C$7,IF(J48="",0,J48))+IF($H49="",0,$H49)-IF($I49="",0,$I49))</f>
        <v/>
      </c>
      <c r="K49" s="27">
        <f>IF($P49="","",IF(INDEX(EntryMan,$P49)=0,"",INDEX(EntryMan,$P49)))</f>
        <v/>
      </c>
      <c r="L49" s="26">
        <f>IF($B49="","",IF($K49="","—",IF(ROUND($K49-$J49,0)=0,"√","×")))</f>
        <v/>
      </c>
      <c r="M49" s="26">
        <f>IF($B49="","",IF(COUNTIFS(EntryDates,$B49,CalcTime,$C49,CalcBank,$C$5,EntryParty,$D49,EntryDep,$H49,EntryWit,$I49)&gt;1,"تکرار",""))</f>
        <v/>
      </c>
      <c r="N49" s="26">
        <f>IF($P49="","",IF(INDEX(EntryNotes,$P49)=0,"",INDEX(EntryNotes,$P49)))</f>
        <v/>
      </c>
      <c r="O49" s="26">
        <f>IF($P49="","",IF(INDEX(EntryTxnID,$P49)=0,"",INDEX(EntryTxnID,$P49)))</f>
        <v/>
      </c>
      <c r="P49" s="26">
        <f>IFERROR(MATCH($C$5&amp;"|"&amp;RIGHT("000000"&amp;33,6),CalcRankKey,0),"")</f>
        <v/>
      </c>
    </row>
    <row r="50">
      <c r="A50" s="28">
        <f>IF($B50="","",34)</f>
        <v/>
      </c>
      <c r="B50" s="28">
        <f>IF($P50="","",IF(INDEX(CalcNormDate,$P50)=0,"",INDEX(CalcNormDate,$P50)))</f>
        <v/>
      </c>
      <c r="C50" s="28">
        <f>IF($P50="","",IF(INDEX(CalcTime,$P50)=0,"",INDEX(CalcTime,$P50)))</f>
        <v/>
      </c>
      <c r="D50" s="28">
        <f>IF($P50="","",IF(INDEX(EntryParty,$P50)=0,"",INDEX(EntryParty,$P50)))</f>
        <v/>
      </c>
      <c r="E50" s="28">
        <f>IF($P50="","",IF(INDEX(EntryPartyName,$P50)=0,"",INDEX(EntryPartyName,$P50)))</f>
        <v/>
      </c>
      <c r="F50" s="28">
        <f>IF($P50="","",IF(INDEX(EntryPartyType,$P50)=0,"",INDEX(EntryPartyType,$P50)))</f>
        <v/>
      </c>
      <c r="G50" s="28">
        <f>IF($P50="","",IF(INDEX(EntryTxnType,$P50)=0,"",INDEX(EntryTxnType,$P50)))</f>
        <v/>
      </c>
      <c r="H50" s="29">
        <f>IF($P50="","",IF(INDEX(EntryDep,$P50)=0,"",INDEX(EntryDep,$P50)))</f>
        <v/>
      </c>
      <c r="I50" s="29">
        <f>IF($P50="","",IF(INDEX(EntryWit,$P50)=0,"",INDEX(EntryWit,$P50)))</f>
        <v/>
      </c>
      <c r="J50" s="29">
        <f>IF($B50="","",IF($A50=1,$C$7,IF(J49="",0,J49))+IF($H50="",0,$H50)-IF($I50="",0,$I50))</f>
        <v/>
      </c>
      <c r="K50" s="29">
        <f>IF($P50="","",IF(INDEX(EntryMan,$P50)=0,"",INDEX(EntryMan,$P50)))</f>
        <v/>
      </c>
      <c r="L50" s="28">
        <f>IF($B50="","",IF($K50="","—",IF(ROUND($K50-$J50,0)=0,"√","×")))</f>
        <v/>
      </c>
      <c r="M50" s="28">
        <f>IF($B50="","",IF(COUNTIFS(EntryDates,$B50,CalcTime,$C50,CalcBank,$C$5,EntryParty,$D50,EntryDep,$H50,EntryWit,$I50)&gt;1,"تکرار",""))</f>
        <v/>
      </c>
      <c r="N50" s="28">
        <f>IF($P50="","",IF(INDEX(EntryNotes,$P50)=0,"",INDEX(EntryNotes,$P50)))</f>
        <v/>
      </c>
      <c r="O50" s="28">
        <f>IF($P50="","",IF(INDEX(EntryTxnID,$P50)=0,"",INDEX(EntryTxnID,$P50)))</f>
        <v/>
      </c>
      <c r="P50" s="28">
        <f>IFERROR(MATCH($C$5&amp;"|"&amp;RIGHT("000000"&amp;34,6),CalcRankKey,0),"")</f>
        <v/>
      </c>
    </row>
    <row r="51">
      <c r="A51" s="26">
        <f>IF($B51="","",35)</f>
        <v/>
      </c>
      <c r="B51" s="26">
        <f>IF($P51="","",IF(INDEX(CalcNormDate,$P51)=0,"",INDEX(CalcNormDate,$P51)))</f>
        <v/>
      </c>
      <c r="C51" s="26">
        <f>IF($P51="","",IF(INDEX(CalcTime,$P51)=0,"",INDEX(CalcTime,$P51)))</f>
        <v/>
      </c>
      <c r="D51" s="26">
        <f>IF($P51="","",IF(INDEX(EntryParty,$P51)=0,"",INDEX(EntryParty,$P51)))</f>
        <v/>
      </c>
      <c r="E51" s="26">
        <f>IF($P51="","",IF(INDEX(EntryPartyName,$P51)=0,"",INDEX(EntryPartyName,$P51)))</f>
        <v/>
      </c>
      <c r="F51" s="26">
        <f>IF($P51="","",IF(INDEX(EntryPartyType,$P51)=0,"",INDEX(EntryPartyType,$P51)))</f>
        <v/>
      </c>
      <c r="G51" s="26">
        <f>IF($P51="","",IF(INDEX(EntryTxnType,$P51)=0,"",INDEX(EntryTxnType,$P51)))</f>
        <v/>
      </c>
      <c r="H51" s="27">
        <f>IF($P51="","",IF(INDEX(EntryDep,$P51)=0,"",INDEX(EntryDep,$P51)))</f>
        <v/>
      </c>
      <c r="I51" s="27">
        <f>IF($P51="","",IF(INDEX(EntryWit,$P51)=0,"",INDEX(EntryWit,$P51)))</f>
        <v/>
      </c>
      <c r="J51" s="27">
        <f>IF($B51="","",IF($A51=1,$C$7,IF(J50="",0,J50))+IF($H51="",0,$H51)-IF($I51="",0,$I51))</f>
        <v/>
      </c>
      <c r="K51" s="27">
        <f>IF($P51="","",IF(INDEX(EntryMan,$P51)=0,"",INDEX(EntryMan,$P51)))</f>
        <v/>
      </c>
      <c r="L51" s="26">
        <f>IF($B51="","",IF($K51="","—",IF(ROUND($K51-$J51,0)=0,"√","×")))</f>
        <v/>
      </c>
      <c r="M51" s="26">
        <f>IF($B51="","",IF(COUNTIFS(EntryDates,$B51,CalcTime,$C51,CalcBank,$C$5,EntryParty,$D51,EntryDep,$H51,EntryWit,$I51)&gt;1,"تکرار",""))</f>
        <v/>
      </c>
      <c r="N51" s="26">
        <f>IF($P51="","",IF(INDEX(EntryNotes,$P51)=0,"",INDEX(EntryNotes,$P51)))</f>
        <v/>
      </c>
      <c r="O51" s="26">
        <f>IF($P51="","",IF(INDEX(EntryTxnID,$P51)=0,"",INDEX(EntryTxnID,$P51)))</f>
        <v/>
      </c>
      <c r="P51" s="26">
        <f>IFERROR(MATCH($C$5&amp;"|"&amp;RIGHT("000000"&amp;35,6),CalcRankKey,0),"")</f>
        <v/>
      </c>
    </row>
    <row r="52">
      <c r="A52" s="28">
        <f>IF($B52="","",36)</f>
        <v/>
      </c>
      <c r="B52" s="28">
        <f>IF($P52="","",IF(INDEX(CalcNormDate,$P52)=0,"",INDEX(CalcNormDate,$P52)))</f>
        <v/>
      </c>
      <c r="C52" s="28">
        <f>IF($P52="","",IF(INDEX(CalcTime,$P52)=0,"",INDEX(CalcTime,$P52)))</f>
        <v/>
      </c>
      <c r="D52" s="28">
        <f>IF($P52="","",IF(INDEX(EntryParty,$P52)=0,"",INDEX(EntryParty,$P52)))</f>
        <v/>
      </c>
      <c r="E52" s="28">
        <f>IF($P52="","",IF(INDEX(EntryPartyName,$P52)=0,"",INDEX(EntryPartyName,$P52)))</f>
        <v/>
      </c>
      <c r="F52" s="28">
        <f>IF($P52="","",IF(INDEX(EntryPartyType,$P52)=0,"",INDEX(EntryPartyType,$P52)))</f>
        <v/>
      </c>
      <c r="G52" s="28">
        <f>IF($P52="","",IF(INDEX(EntryTxnType,$P52)=0,"",INDEX(EntryTxnType,$P52)))</f>
        <v/>
      </c>
      <c r="H52" s="29">
        <f>IF($P52="","",IF(INDEX(EntryDep,$P52)=0,"",INDEX(EntryDep,$P52)))</f>
        <v/>
      </c>
      <c r="I52" s="29">
        <f>IF($P52="","",IF(INDEX(EntryWit,$P52)=0,"",INDEX(EntryWit,$P52)))</f>
        <v/>
      </c>
      <c r="J52" s="29">
        <f>IF($B52="","",IF($A52=1,$C$7,IF(J51="",0,J51))+IF($H52="",0,$H52)-IF($I52="",0,$I52))</f>
        <v/>
      </c>
      <c r="K52" s="29">
        <f>IF($P52="","",IF(INDEX(EntryMan,$P52)=0,"",INDEX(EntryMan,$P52)))</f>
        <v/>
      </c>
      <c r="L52" s="28">
        <f>IF($B52="","",IF($K52="","—",IF(ROUND($K52-$J52,0)=0,"√","×")))</f>
        <v/>
      </c>
      <c r="M52" s="28">
        <f>IF($B52="","",IF(COUNTIFS(EntryDates,$B52,CalcTime,$C52,CalcBank,$C$5,EntryParty,$D52,EntryDep,$H52,EntryWit,$I52)&gt;1,"تکرار",""))</f>
        <v/>
      </c>
      <c r="N52" s="28">
        <f>IF($P52="","",IF(INDEX(EntryNotes,$P52)=0,"",INDEX(EntryNotes,$P52)))</f>
        <v/>
      </c>
      <c r="O52" s="28">
        <f>IF($P52="","",IF(INDEX(EntryTxnID,$P52)=0,"",INDEX(EntryTxnID,$P52)))</f>
        <v/>
      </c>
      <c r="P52" s="28">
        <f>IFERROR(MATCH($C$5&amp;"|"&amp;RIGHT("000000"&amp;36,6),CalcRankKey,0),"")</f>
        <v/>
      </c>
    </row>
    <row r="53">
      <c r="A53" s="26">
        <f>IF($B53="","",37)</f>
        <v/>
      </c>
      <c r="B53" s="26">
        <f>IF($P53="","",IF(INDEX(CalcNormDate,$P53)=0,"",INDEX(CalcNormDate,$P53)))</f>
        <v/>
      </c>
      <c r="C53" s="26">
        <f>IF($P53="","",IF(INDEX(CalcTime,$P53)=0,"",INDEX(CalcTime,$P53)))</f>
        <v/>
      </c>
      <c r="D53" s="26">
        <f>IF($P53="","",IF(INDEX(EntryParty,$P53)=0,"",INDEX(EntryParty,$P53)))</f>
        <v/>
      </c>
      <c r="E53" s="26">
        <f>IF($P53="","",IF(INDEX(EntryPartyName,$P53)=0,"",INDEX(EntryPartyName,$P53)))</f>
        <v/>
      </c>
      <c r="F53" s="26">
        <f>IF($P53="","",IF(INDEX(EntryPartyType,$P53)=0,"",INDEX(EntryPartyType,$P53)))</f>
        <v/>
      </c>
      <c r="G53" s="26">
        <f>IF($P53="","",IF(INDEX(EntryTxnType,$P53)=0,"",INDEX(EntryTxnType,$P53)))</f>
        <v/>
      </c>
      <c r="H53" s="27">
        <f>IF($P53="","",IF(INDEX(EntryDep,$P53)=0,"",INDEX(EntryDep,$P53)))</f>
        <v/>
      </c>
      <c r="I53" s="27">
        <f>IF($P53="","",IF(INDEX(EntryWit,$P53)=0,"",INDEX(EntryWit,$P53)))</f>
        <v/>
      </c>
      <c r="J53" s="27">
        <f>IF($B53="","",IF($A53=1,$C$7,IF(J52="",0,J52))+IF($H53="",0,$H53)-IF($I53="",0,$I53))</f>
        <v/>
      </c>
      <c r="K53" s="27">
        <f>IF($P53="","",IF(INDEX(EntryMan,$P53)=0,"",INDEX(EntryMan,$P53)))</f>
        <v/>
      </c>
      <c r="L53" s="26">
        <f>IF($B53="","",IF($K53="","—",IF(ROUND($K53-$J53,0)=0,"√","×")))</f>
        <v/>
      </c>
      <c r="M53" s="26">
        <f>IF($B53="","",IF(COUNTIFS(EntryDates,$B53,CalcTime,$C53,CalcBank,$C$5,EntryParty,$D53,EntryDep,$H53,EntryWit,$I53)&gt;1,"تکرار",""))</f>
        <v/>
      </c>
      <c r="N53" s="26">
        <f>IF($P53="","",IF(INDEX(EntryNotes,$P53)=0,"",INDEX(EntryNotes,$P53)))</f>
        <v/>
      </c>
      <c r="O53" s="26">
        <f>IF($P53="","",IF(INDEX(EntryTxnID,$P53)=0,"",INDEX(EntryTxnID,$P53)))</f>
        <v/>
      </c>
      <c r="P53" s="26">
        <f>IFERROR(MATCH($C$5&amp;"|"&amp;RIGHT("000000"&amp;37,6),CalcRankKey,0),"")</f>
        <v/>
      </c>
    </row>
    <row r="54">
      <c r="A54" s="28">
        <f>IF($B54="","",38)</f>
        <v/>
      </c>
      <c r="B54" s="28">
        <f>IF($P54="","",IF(INDEX(CalcNormDate,$P54)=0,"",INDEX(CalcNormDate,$P54)))</f>
        <v/>
      </c>
      <c r="C54" s="28">
        <f>IF($P54="","",IF(INDEX(CalcTime,$P54)=0,"",INDEX(CalcTime,$P54)))</f>
        <v/>
      </c>
      <c r="D54" s="28">
        <f>IF($P54="","",IF(INDEX(EntryParty,$P54)=0,"",INDEX(EntryParty,$P54)))</f>
        <v/>
      </c>
      <c r="E54" s="28">
        <f>IF($P54="","",IF(INDEX(EntryPartyName,$P54)=0,"",INDEX(EntryPartyName,$P54)))</f>
        <v/>
      </c>
      <c r="F54" s="28">
        <f>IF($P54="","",IF(INDEX(EntryPartyType,$P54)=0,"",INDEX(EntryPartyType,$P54)))</f>
        <v/>
      </c>
      <c r="G54" s="28">
        <f>IF($P54="","",IF(INDEX(EntryTxnType,$P54)=0,"",INDEX(EntryTxnType,$P54)))</f>
        <v/>
      </c>
      <c r="H54" s="29">
        <f>IF($P54="","",IF(INDEX(EntryDep,$P54)=0,"",INDEX(EntryDep,$P54)))</f>
        <v/>
      </c>
      <c r="I54" s="29">
        <f>IF($P54="","",IF(INDEX(EntryWit,$P54)=0,"",INDEX(EntryWit,$P54)))</f>
        <v/>
      </c>
      <c r="J54" s="29">
        <f>IF($B54="","",IF($A54=1,$C$7,IF(J53="",0,J53))+IF($H54="",0,$H54)-IF($I54="",0,$I54))</f>
        <v/>
      </c>
      <c r="K54" s="29">
        <f>IF($P54="","",IF(INDEX(EntryMan,$P54)=0,"",INDEX(EntryMan,$P54)))</f>
        <v/>
      </c>
      <c r="L54" s="28">
        <f>IF($B54="","",IF($K54="","—",IF(ROUND($K54-$J54,0)=0,"√","×")))</f>
        <v/>
      </c>
      <c r="M54" s="28">
        <f>IF($B54="","",IF(COUNTIFS(EntryDates,$B54,CalcTime,$C54,CalcBank,$C$5,EntryParty,$D54,EntryDep,$H54,EntryWit,$I54)&gt;1,"تکرار",""))</f>
        <v/>
      </c>
      <c r="N54" s="28">
        <f>IF($P54="","",IF(INDEX(EntryNotes,$P54)=0,"",INDEX(EntryNotes,$P54)))</f>
        <v/>
      </c>
      <c r="O54" s="28">
        <f>IF($P54="","",IF(INDEX(EntryTxnID,$P54)=0,"",INDEX(EntryTxnID,$P54)))</f>
        <v/>
      </c>
      <c r="P54" s="28">
        <f>IFERROR(MATCH($C$5&amp;"|"&amp;RIGHT("000000"&amp;38,6),CalcRankKey,0),"")</f>
        <v/>
      </c>
    </row>
    <row r="55">
      <c r="A55" s="26">
        <f>IF($B55="","",39)</f>
        <v/>
      </c>
      <c r="B55" s="26">
        <f>IF($P55="","",IF(INDEX(CalcNormDate,$P55)=0,"",INDEX(CalcNormDate,$P55)))</f>
        <v/>
      </c>
      <c r="C55" s="26">
        <f>IF($P55="","",IF(INDEX(CalcTime,$P55)=0,"",INDEX(CalcTime,$P55)))</f>
        <v/>
      </c>
      <c r="D55" s="26">
        <f>IF($P55="","",IF(INDEX(EntryParty,$P55)=0,"",INDEX(EntryParty,$P55)))</f>
        <v/>
      </c>
      <c r="E55" s="26">
        <f>IF($P55="","",IF(INDEX(EntryPartyName,$P55)=0,"",INDEX(EntryPartyName,$P55)))</f>
        <v/>
      </c>
      <c r="F55" s="26">
        <f>IF($P55="","",IF(INDEX(EntryPartyType,$P55)=0,"",INDEX(EntryPartyType,$P55)))</f>
        <v/>
      </c>
      <c r="G55" s="26">
        <f>IF($P55="","",IF(INDEX(EntryTxnType,$P55)=0,"",INDEX(EntryTxnType,$P55)))</f>
        <v/>
      </c>
      <c r="H55" s="27">
        <f>IF($P55="","",IF(INDEX(EntryDep,$P55)=0,"",INDEX(EntryDep,$P55)))</f>
        <v/>
      </c>
      <c r="I55" s="27">
        <f>IF($P55="","",IF(INDEX(EntryWit,$P55)=0,"",INDEX(EntryWit,$P55)))</f>
        <v/>
      </c>
      <c r="J55" s="27">
        <f>IF($B55="","",IF($A55=1,$C$7,IF(J54="",0,J54))+IF($H55="",0,$H55)-IF($I55="",0,$I55))</f>
        <v/>
      </c>
      <c r="K55" s="27">
        <f>IF($P55="","",IF(INDEX(EntryMan,$P55)=0,"",INDEX(EntryMan,$P55)))</f>
        <v/>
      </c>
      <c r="L55" s="26">
        <f>IF($B55="","",IF($K55="","—",IF(ROUND($K55-$J55,0)=0,"√","×")))</f>
        <v/>
      </c>
      <c r="M55" s="26">
        <f>IF($B55="","",IF(COUNTIFS(EntryDates,$B55,CalcTime,$C55,CalcBank,$C$5,EntryParty,$D55,EntryDep,$H55,EntryWit,$I55)&gt;1,"تکرار",""))</f>
        <v/>
      </c>
      <c r="N55" s="26">
        <f>IF($P55="","",IF(INDEX(EntryNotes,$P55)=0,"",INDEX(EntryNotes,$P55)))</f>
        <v/>
      </c>
      <c r="O55" s="26">
        <f>IF($P55="","",IF(INDEX(EntryTxnID,$P55)=0,"",INDEX(EntryTxnID,$P55)))</f>
        <v/>
      </c>
      <c r="P55" s="26">
        <f>IFERROR(MATCH($C$5&amp;"|"&amp;RIGHT("000000"&amp;39,6),CalcRankKey,0),"")</f>
        <v/>
      </c>
    </row>
    <row r="56">
      <c r="A56" s="28">
        <f>IF($B56="","",40)</f>
        <v/>
      </c>
      <c r="B56" s="28">
        <f>IF($P56="","",IF(INDEX(CalcNormDate,$P56)=0,"",INDEX(CalcNormDate,$P56)))</f>
        <v/>
      </c>
      <c r="C56" s="28">
        <f>IF($P56="","",IF(INDEX(CalcTime,$P56)=0,"",INDEX(CalcTime,$P56)))</f>
        <v/>
      </c>
      <c r="D56" s="28">
        <f>IF($P56="","",IF(INDEX(EntryParty,$P56)=0,"",INDEX(EntryParty,$P56)))</f>
        <v/>
      </c>
      <c r="E56" s="28">
        <f>IF($P56="","",IF(INDEX(EntryPartyName,$P56)=0,"",INDEX(EntryPartyName,$P56)))</f>
        <v/>
      </c>
      <c r="F56" s="28">
        <f>IF($P56="","",IF(INDEX(EntryPartyType,$P56)=0,"",INDEX(EntryPartyType,$P56)))</f>
        <v/>
      </c>
      <c r="G56" s="28">
        <f>IF($P56="","",IF(INDEX(EntryTxnType,$P56)=0,"",INDEX(EntryTxnType,$P56)))</f>
        <v/>
      </c>
      <c r="H56" s="29">
        <f>IF($P56="","",IF(INDEX(EntryDep,$P56)=0,"",INDEX(EntryDep,$P56)))</f>
        <v/>
      </c>
      <c r="I56" s="29">
        <f>IF($P56="","",IF(INDEX(EntryWit,$P56)=0,"",INDEX(EntryWit,$P56)))</f>
        <v/>
      </c>
      <c r="J56" s="29">
        <f>IF($B56="","",IF($A56=1,$C$7,IF(J55="",0,J55))+IF($H56="",0,$H56)-IF($I56="",0,$I56))</f>
        <v/>
      </c>
      <c r="K56" s="29">
        <f>IF($P56="","",IF(INDEX(EntryMan,$P56)=0,"",INDEX(EntryMan,$P56)))</f>
        <v/>
      </c>
      <c r="L56" s="28">
        <f>IF($B56="","",IF($K56="","—",IF(ROUND($K56-$J56,0)=0,"√","×")))</f>
        <v/>
      </c>
      <c r="M56" s="28">
        <f>IF($B56="","",IF(COUNTIFS(EntryDates,$B56,CalcTime,$C56,CalcBank,$C$5,EntryParty,$D56,EntryDep,$H56,EntryWit,$I56)&gt;1,"تکرار",""))</f>
        <v/>
      </c>
      <c r="N56" s="28">
        <f>IF($P56="","",IF(INDEX(EntryNotes,$P56)=0,"",INDEX(EntryNotes,$P56)))</f>
        <v/>
      </c>
      <c r="O56" s="28">
        <f>IF($P56="","",IF(INDEX(EntryTxnID,$P56)=0,"",INDEX(EntryTxnID,$P56)))</f>
        <v/>
      </c>
      <c r="P56" s="28">
        <f>IFERROR(MATCH($C$5&amp;"|"&amp;RIGHT("000000"&amp;40,6),CalcRankKey,0),"")</f>
        <v/>
      </c>
    </row>
    <row r="57">
      <c r="A57" s="26">
        <f>IF($B57="","",41)</f>
        <v/>
      </c>
      <c r="B57" s="26">
        <f>IF($P57="","",IF(INDEX(CalcNormDate,$P57)=0,"",INDEX(CalcNormDate,$P57)))</f>
        <v/>
      </c>
      <c r="C57" s="26">
        <f>IF($P57="","",IF(INDEX(CalcTime,$P57)=0,"",INDEX(CalcTime,$P57)))</f>
        <v/>
      </c>
      <c r="D57" s="26">
        <f>IF($P57="","",IF(INDEX(EntryParty,$P57)=0,"",INDEX(EntryParty,$P57)))</f>
        <v/>
      </c>
      <c r="E57" s="26">
        <f>IF($P57="","",IF(INDEX(EntryPartyName,$P57)=0,"",INDEX(EntryPartyName,$P57)))</f>
        <v/>
      </c>
      <c r="F57" s="26">
        <f>IF($P57="","",IF(INDEX(EntryPartyType,$P57)=0,"",INDEX(EntryPartyType,$P57)))</f>
        <v/>
      </c>
      <c r="G57" s="26">
        <f>IF($P57="","",IF(INDEX(EntryTxnType,$P57)=0,"",INDEX(EntryTxnType,$P57)))</f>
        <v/>
      </c>
      <c r="H57" s="27">
        <f>IF($P57="","",IF(INDEX(EntryDep,$P57)=0,"",INDEX(EntryDep,$P57)))</f>
        <v/>
      </c>
      <c r="I57" s="27">
        <f>IF($P57="","",IF(INDEX(EntryWit,$P57)=0,"",INDEX(EntryWit,$P57)))</f>
        <v/>
      </c>
      <c r="J57" s="27">
        <f>IF($B57="","",IF($A57=1,$C$7,IF(J56="",0,J56))+IF($H57="",0,$H57)-IF($I57="",0,$I57))</f>
        <v/>
      </c>
      <c r="K57" s="27">
        <f>IF($P57="","",IF(INDEX(EntryMan,$P57)=0,"",INDEX(EntryMan,$P57)))</f>
        <v/>
      </c>
      <c r="L57" s="26">
        <f>IF($B57="","",IF($K57="","—",IF(ROUND($K57-$J57,0)=0,"√","×")))</f>
        <v/>
      </c>
      <c r="M57" s="26">
        <f>IF($B57="","",IF(COUNTIFS(EntryDates,$B57,CalcTime,$C57,CalcBank,$C$5,EntryParty,$D57,EntryDep,$H57,EntryWit,$I57)&gt;1,"تکرار",""))</f>
        <v/>
      </c>
      <c r="N57" s="26">
        <f>IF($P57="","",IF(INDEX(EntryNotes,$P57)=0,"",INDEX(EntryNotes,$P57)))</f>
        <v/>
      </c>
      <c r="O57" s="26">
        <f>IF($P57="","",IF(INDEX(EntryTxnID,$P57)=0,"",INDEX(EntryTxnID,$P57)))</f>
        <v/>
      </c>
      <c r="P57" s="26">
        <f>IFERROR(MATCH($C$5&amp;"|"&amp;RIGHT("000000"&amp;41,6),CalcRankKey,0),"")</f>
        <v/>
      </c>
    </row>
    <row r="58">
      <c r="A58" s="28">
        <f>IF($B58="","",42)</f>
        <v/>
      </c>
      <c r="B58" s="28">
        <f>IF($P58="","",IF(INDEX(CalcNormDate,$P58)=0,"",INDEX(CalcNormDate,$P58)))</f>
        <v/>
      </c>
      <c r="C58" s="28">
        <f>IF($P58="","",IF(INDEX(CalcTime,$P58)=0,"",INDEX(CalcTime,$P58)))</f>
        <v/>
      </c>
      <c r="D58" s="28">
        <f>IF($P58="","",IF(INDEX(EntryParty,$P58)=0,"",INDEX(EntryParty,$P58)))</f>
        <v/>
      </c>
      <c r="E58" s="28">
        <f>IF($P58="","",IF(INDEX(EntryPartyName,$P58)=0,"",INDEX(EntryPartyName,$P58)))</f>
        <v/>
      </c>
      <c r="F58" s="28">
        <f>IF($P58="","",IF(INDEX(EntryPartyType,$P58)=0,"",INDEX(EntryPartyType,$P58)))</f>
        <v/>
      </c>
      <c r="G58" s="28">
        <f>IF($P58="","",IF(INDEX(EntryTxnType,$P58)=0,"",INDEX(EntryTxnType,$P58)))</f>
        <v/>
      </c>
      <c r="H58" s="29">
        <f>IF($P58="","",IF(INDEX(EntryDep,$P58)=0,"",INDEX(EntryDep,$P58)))</f>
        <v/>
      </c>
      <c r="I58" s="29">
        <f>IF($P58="","",IF(INDEX(EntryWit,$P58)=0,"",INDEX(EntryWit,$P58)))</f>
        <v/>
      </c>
      <c r="J58" s="29">
        <f>IF($B58="","",IF($A58=1,$C$7,IF(J57="",0,J57))+IF($H58="",0,$H58)-IF($I58="",0,$I58))</f>
        <v/>
      </c>
      <c r="K58" s="29">
        <f>IF($P58="","",IF(INDEX(EntryMan,$P58)=0,"",INDEX(EntryMan,$P58)))</f>
        <v/>
      </c>
      <c r="L58" s="28">
        <f>IF($B58="","",IF($K58="","—",IF(ROUND($K58-$J58,0)=0,"√","×")))</f>
        <v/>
      </c>
      <c r="M58" s="28">
        <f>IF($B58="","",IF(COUNTIFS(EntryDates,$B58,CalcTime,$C58,CalcBank,$C$5,EntryParty,$D58,EntryDep,$H58,EntryWit,$I58)&gt;1,"تکرار",""))</f>
        <v/>
      </c>
      <c r="N58" s="28">
        <f>IF($P58="","",IF(INDEX(EntryNotes,$P58)=0,"",INDEX(EntryNotes,$P58)))</f>
        <v/>
      </c>
      <c r="O58" s="28">
        <f>IF($P58="","",IF(INDEX(EntryTxnID,$P58)=0,"",INDEX(EntryTxnID,$P58)))</f>
        <v/>
      </c>
      <c r="P58" s="28">
        <f>IFERROR(MATCH($C$5&amp;"|"&amp;RIGHT("000000"&amp;42,6),CalcRankKey,0),"")</f>
        <v/>
      </c>
    </row>
    <row r="59">
      <c r="A59" s="26">
        <f>IF($B59="","",43)</f>
        <v/>
      </c>
      <c r="B59" s="26">
        <f>IF($P59="","",IF(INDEX(CalcNormDate,$P59)=0,"",INDEX(CalcNormDate,$P59)))</f>
        <v/>
      </c>
      <c r="C59" s="26">
        <f>IF($P59="","",IF(INDEX(CalcTime,$P59)=0,"",INDEX(CalcTime,$P59)))</f>
        <v/>
      </c>
      <c r="D59" s="26">
        <f>IF($P59="","",IF(INDEX(EntryParty,$P59)=0,"",INDEX(EntryParty,$P59)))</f>
        <v/>
      </c>
      <c r="E59" s="26">
        <f>IF($P59="","",IF(INDEX(EntryPartyName,$P59)=0,"",INDEX(EntryPartyName,$P59)))</f>
        <v/>
      </c>
      <c r="F59" s="26">
        <f>IF($P59="","",IF(INDEX(EntryPartyType,$P59)=0,"",INDEX(EntryPartyType,$P59)))</f>
        <v/>
      </c>
      <c r="G59" s="26">
        <f>IF($P59="","",IF(INDEX(EntryTxnType,$P59)=0,"",INDEX(EntryTxnType,$P59)))</f>
        <v/>
      </c>
      <c r="H59" s="27">
        <f>IF($P59="","",IF(INDEX(EntryDep,$P59)=0,"",INDEX(EntryDep,$P59)))</f>
        <v/>
      </c>
      <c r="I59" s="27">
        <f>IF($P59="","",IF(INDEX(EntryWit,$P59)=0,"",INDEX(EntryWit,$P59)))</f>
        <v/>
      </c>
      <c r="J59" s="27">
        <f>IF($B59="","",IF($A59=1,$C$7,IF(J58="",0,J58))+IF($H59="",0,$H59)-IF($I59="",0,$I59))</f>
        <v/>
      </c>
      <c r="K59" s="27">
        <f>IF($P59="","",IF(INDEX(EntryMan,$P59)=0,"",INDEX(EntryMan,$P59)))</f>
        <v/>
      </c>
      <c r="L59" s="26">
        <f>IF($B59="","",IF($K59="","—",IF(ROUND($K59-$J59,0)=0,"√","×")))</f>
        <v/>
      </c>
      <c r="M59" s="26">
        <f>IF($B59="","",IF(COUNTIFS(EntryDates,$B59,CalcTime,$C59,CalcBank,$C$5,EntryParty,$D59,EntryDep,$H59,EntryWit,$I59)&gt;1,"تکرار",""))</f>
        <v/>
      </c>
      <c r="N59" s="26">
        <f>IF($P59="","",IF(INDEX(EntryNotes,$P59)=0,"",INDEX(EntryNotes,$P59)))</f>
        <v/>
      </c>
      <c r="O59" s="26">
        <f>IF($P59="","",IF(INDEX(EntryTxnID,$P59)=0,"",INDEX(EntryTxnID,$P59)))</f>
        <v/>
      </c>
      <c r="P59" s="26">
        <f>IFERROR(MATCH($C$5&amp;"|"&amp;RIGHT("000000"&amp;43,6),CalcRankKey,0),"")</f>
        <v/>
      </c>
    </row>
    <row r="60">
      <c r="A60" s="28">
        <f>IF($B60="","",44)</f>
        <v/>
      </c>
      <c r="B60" s="28">
        <f>IF($P60="","",IF(INDEX(CalcNormDate,$P60)=0,"",INDEX(CalcNormDate,$P60)))</f>
        <v/>
      </c>
      <c r="C60" s="28">
        <f>IF($P60="","",IF(INDEX(CalcTime,$P60)=0,"",INDEX(CalcTime,$P60)))</f>
        <v/>
      </c>
      <c r="D60" s="28">
        <f>IF($P60="","",IF(INDEX(EntryParty,$P60)=0,"",INDEX(EntryParty,$P60)))</f>
        <v/>
      </c>
      <c r="E60" s="28">
        <f>IF($P60="","",IF(INDEX(EntryPartyName,$P60)=0,"",INDEX(EntryPartyName,$P60)))</f>
        <v/>
      </c>
      <c r="F60" s="28">
        <f>IF($P60="","",IF(INDEX(EntryPartyType,$P60)=0,"",INDEX(EntryPartyType,$P60)))</f>
        <v/>
      </c>
      <c r="G60" s="28">
        <f>IF($P60="","",IF(INDEX(EntryTxnType,$P60)=0,"",INDEX(EntryTxnType,$P60)))</f>
        <v/>
      </c>
      <c r="H60" s="29">
        <f>IF($P60="","",IF(INDEX(EntryDep,$P60)=0,"",INDEX(EntryDep,$P60)))</f>
        <v/>
      </c>
      <c r="I60" s="29">
        <f>IF($P60="","",IF(INDEX(EntryWit,$P60)=0,"",INDEX(EntryWit,$P60)))</f>
        <v/>
      </c>
      <c r="J60" s="29">
        <f>IF($B60="","",IF($A60=1,$C$7,IF(J59="",0,J59))+IF($H60="",0,$H60)-IF($I60="",0,$I60))</f>
        <v/>
      </c>
      <c r="K60" s="29">
        <f>IF($P60="","",IF(INDEX(EntryMan,$P60)=0,"",INDEX(EntryMan,$P60)))</f>
        <v/>
      </c>
      <c r="L60" s="28">
        <f>IF($B60="","",IF($K60="","—",IF(ROUND($K60-$J60,0)=0,"√","×")))</f>
        <v/>
      </c>
      <c r="M60" s="28">
        <f>IF($B60="","",IF(COUNTIFS(EntryDates,$B60,CalcTime,$C60,CalcBank,$C$5,EntryParty,$D60,EntryDep,$H60,EntryWit,$I60)&gt;1,"تکرار",""))</f>
        <v/>
      </c>
      <c r="N60" s="28">
        <f>IF($P60="","",IF(INDEX(EntryNotes,$P60)=0,"",INDEX(EntryNotes,$P60)))</f>
        <v/>
      </c>
      <c r="O60" s="28">
        <f>IF($P60="","",IF(INDEX(EntryTxnID,$P60)=0,"",INDEX(EntryTxnID,$P60)))</f>
        <v/>
      </c>
      <c r="P60" s="28">
        <f>IFERROR(MATCH($C$5&amp;"|"&amp;RIGHT("000000"&amp;44,6),CalcRankKey,0),"")</f>
        <v/>
      </c>
    </row>
    <row r="61">
      <c r="A61" s="26">
        <f>IF($B61="","",45)</f>
        <v/>
      </c>
      <c r="B61" s="26">
        <f>IF($P61="","",IF(INDEX(CalcNormDate,$P61)=0,"",INDEX(CalcNormDate,$P61)))</f>
        <v/>
      </c>
      <c r="C61" s="26">
        <f>IF($P61="","",IF(INDEX(CalcTime,$P61)=0,"",INDEX(CalcTime,$P61)))</f>
        <v/>
      </c>
      <c r="D61" s="26">
        <f>IF($P61="","",IF(INDEX(EntryParty,$P61)=0,"",INDEX(EntryParty,$P61)))</f>
        <v/>
      </c>
      <c r="E61" s="26">
        <f>IF($P61="","",IF(INDEX(EntryPartyName,$P61)=0,"",INDEX(EntryPartyName,$P61)))</f>
        <v/>
      </c>
      <c r="F61" s="26">
        <f>IF($P61="","",IF(INDEX(EntryPartyType,$P61)=0,"",INDEX(EntryPartyType,$P61)))</f>
        <v/>
      </c>
      <c r="G61" s="26">
        <f>IF($P61="","",IF(INDEX(EntryTxnType,$P61)=0,"",INDEX(EntryTxnType,$P61)))</f>
        <v/>
      </c>
      <c r="H61" s="27">
        <f>IF($P61="","",IF(INDEX(EntryDep,$P61)=0,"",INDEX(EntryDep,$P61)))</f>
        <v/>
      </c>
      <c r="I61" s="27">
        <f>IF($P61="","",IF(INDEX(EntryWit,$P61)=0,"",INDEX(EntryWit,$P61)))</f>
        <v/>
      </c>
      <c r="J61" s="27">
        <f>IF($B61="","",IF($A61=1,$C$7,IF(J60="",0,J60))+IF($H61="",0,$H61)-IF($I61="",0,$I61))</f>
        <v/>
      </c>
      <c r="K61" s="27">
        <f>IF($P61="","",IF(INDEX(EntryMan,$P61)=0,"",INDEX(EntryMan,$P61)))</f>
        <v/>
      </c>
      <c r="L61" s="26">
        <f>IF($B61="","",IF($K61="","—",IF(ROUND($K61-$J61,0)=0,"√","×")))</f>
        <v/>
      </c>
      <c r="M61" s="26">
        <f>IF($B61="","",IF(COUNTIFS(EntryDates,$B61,CalcTime,$C61,CalcBank,$C$5,EntryParty,$D61,EntryDep,$H61,EntryWit,$I61)&gt;1,"تکرار",""))</f>
        <v/>
      </c>
      <c r="N61" s="26">
        <f>IF($P61="","",IF(INDEX(EntryNotes,$P61)=0,"",INDEX(EntryNotes,$P61)))</f>
        <v/>
      </c>
      <c r="O61" s="26">
        <f>IF($P61="","",IF(INDEX(EntryTxnID,$P61)=0,"",INDEX(EntryTxnID,$P61)))</f>
        <v/>
      </c>
      <c r="P61" s="26">
        <f>IFERROR(MATCH($C$5&amp;"|"&amp;RIGHT("000000"&amp;45,6),CalcRankKey,0),"")</f>
        <v/>
      </c>
    </row>
    <row r="62">
      <c r="A62" s="28">
        <f>IF($B62="","",46)</f>
        <v/>
      </c>
      <c r="B62" s="28">
        <f>IF($P62="","",IF(INDEX(CalcNormDate,$P62)=0,"",INDEX(CalcNormDate,$P62)))</f>
        <v/>
      </c>
      <c r="C62" s="28">
        <f>IF($P62="","",IF(INDEX(CalcTime,$P62)=0,"",INDEX(CalcTime,$P62)))</f>
        <v/>
      </c>
      <c r="D62" s="28">
        <f>IF($P62="","",IF(INDEX(EntryParty,$P62)=0,"",INDEX(EntryParty,$P62)))</f>
        <v/>
      </c>
      <c r="E62" s="28">
        <f>IF($P62="","",IF(INDEX(EntryPartyName,$P62)=0,"",INDEX(EntryPartyName,$P62)))</f>
        <v/>
      </c>
      <c r="F62" s="28">
        <f>IF($P62="","",IF(INDEX(EntryPartyType,$P62)=0,"",INDEX(EntryPartyType,$P62)))</f>
        <v/>
      </c>
      <c r="G62" s="28">
        <f>IF($P62="","",IF(INDEX(EntryTxnType,$P62)=0,"",INDEX(EntryTxnType,$P62)))</f>
        <v/>
      </c>
      <c r="H62" s="29">
        <f>IF($P62="","",IF(INDEX(EntryDep,$P62)=0,"",INDEX(EntryDep,$P62)))</f>
        <v/>
      </c>
      <c r="I62" s="29">
        <f>IF($P62="","",IF(INDEX(EntryWit,$P62)=0,"",INDEX(EntryWit,$P62)))</f>
        <v/>
      </c>
      <c r="J62" s="29">
        <f>IF($B62="","",IF($A62=1,$C$7,IF(J61="",0,J61))+IF($H62="",0,$H62)-IF($I62="",0,$I62))</f>
        <v/>
      </c>
      <c r="K62" s="29">
        <f>IF($P62="","",IF(INDEX(EntryMan,$P62)=0,"",INDEX(EntryMan,$P62)))</f>
        <v/>
      </c>
      <c r="L62" s="28">
        <f>IF($B62="","",IF($K62="","—",IF(ROUND($K62-$J62,0)=0,"√","×")))</f>
        <v/>
      </c>
      <c r="M62" s="28">
        <f>IF($B62="","",IF(COUNTIFS(EntryDates,$B62,CalcTime,$C62,CalcBank,$C$5,EntryParty,$D62,EntryDep,$H62,EntryWit,$I62)&gt;1,"تکرار",""))</f>
        <v/>
      </c>
      <c r="N62" s="28">
        <f>IF($P62="","",IF(INDEX(EntryNotes,$P62)=0,"",INDEX(EntryNotes,$P62)))</f>
        <v/>
      </c>
      <c r="O62" s="28">
        <f>IF($P62="","",IF(INDEX(EntryTxnID,$P62)=0,"",INDEX(EntryTxnID,$P62)))</f>
        <v/>
      </c>
      <c r="P62" s="28">
        <f>IFERROR(MATCH($C$5&amp;"|"&amp;RIGHT("000000"&amp;46,6),CalcRankKey,0),"")</f>
        <v/>
      </c>
    </row>
    <row r="63">
      <c r="A63" s="26">
        <f>IF($B63="","",47)</f>
        <v/>
      </c>
      <c r="B63" s="26">
        <f>IF($P63="","",IF(INDEX(CalcNormDate,$P63)=0,"",INDEX(CalcNormDate,$P63)))</f>
        <v/>
      </c>
      <c r="C63" s="26">
        <f>IF($P63="","",IF(INDEX(CalcTime,$P63)=0,"",INDEX(CalcTime,$P63)))</f>
        <v/>
      </c>
      <c r="D63" s="26">
        <f>IF($P63="","",IF(INDEX(EntryParty,$P63)=0,"",INDEX(EntryParty,$P63)))</f>
        <v/>
      </c>
      <c r="E63" s="26">
        <f>IF($P63="","",IF(INDEX(EntryPartyName,$P63)=0,"",INDEX(EntryPartyName,$P63)))</f>
        <v/>
      </c>
      <c r="F63" s="26">
        <f>IF($P63="","",IF(INDEX(EntryPartyType,$P63)=0,"",INDEX(EntryPartyType,$P63)))</f>
        <v/>
      </c>
      <c r="G63" s="26">
        <f>IF($P63="","",IF(INDEX(EntryTxnType,$P63)=0,"",INDEX(EntryTxnType,$P63)))</f>
        <v/>
      </c>
      <c r="H63" s="27">
        <f>IF($P63="","",IF(INDEX(EntryDep,$P63)=0,"",INDEX(EntryDep,$P63)))</f>
        <v/>
      </c>
      <c r="I63" s="27">
        <f>IF($P63="","",IF(INDEX(EntryWit,$P63)=0,"",INDEX(EntryWit,$P63)))</f>
        <v/>
      </c>
      <c r="J63" s="27">
        <f>IF($B63="","",IF($A63=1,$C$7,IF(J62="",0,J62))+IF($H63="",0,$H63)-IF($I63="",0,$I63))</f>
        <v/>
      </c>
      <c r="K63" s="27">
        <f>IF($P63="","",IF(INDEX(EntryMan,$P63)=0,"",INDEX(EntryMan,$P63)))</f>
        <v/>
      </c>
      <c r="L63" s="26">
        <f>IF($B63="","",IF($K63="","—",IF(ROUND($K63-$J63,0)=0,"√","×")))</f>
        <v/>
      </c>
      <c r="M63" s="26">
        <f>IF($B63="","",IF(COUNTIFS(EntryDates,$B63,CalcTime,$C63,CalcBank,$C$5,EntryParty,$D63,EntryDep,$H63,EntryWit,$I63)&gt;1,"تکرار",""))</f>
        <v/>
      </c>
      <c r="N63" s="26">
        <f>IF($P63="","",IF(INDEX(EntryNotes,$P63)=0,"",INDEX(EntryNotes,$P63)))</f>
        <v/>
      </c>
      <c r="O63" s="26">
        <f>IF($P63="","",IF(INDEX(EntryTxnID,$P63)=0,"",INDEX(EntryTxnID,$P63)))</f>
        <v/>
      </c>
      <c r="P63" s="26">
        <f>IFERROR(MATCH($C$5&amp;"|"&amp;RIGHT("000000"&amp;47,6),CalcRankKey,0),"")</f>
        <v/>
      </c>
    </row>
    <row r="64">
      <c r="A64" s="28">
        <f>IF($B64="","",48)</f>
        <v/>
      </c>
      <c r="B64" s="28">
        <f>IF($P64="","",IF(INDEX(CalcNormDate,$P64)=0,"",INDEX(CalcNormDate,$P64)))</f>
        <v/>
      </c>
      <c r="C64" s="28">
        <f>IF($P64="","",IF(INDEX(CalcTime,$P64)=0,"",INDEX(CalcTime,$P64)))</f>
        <v/>
      </c>
      <c r="D64" s="28">
        <f>IF($P64="","",IF(INDEX(EntryParty,$P64)=0,"",INDEX(EntryParty,$P64)))</f>
        <v/>
      </c>
      <c r="E64" s="28">
        <f>IF($P64="","",IF(INDEX(EntryPartyName,$P64)=0,"",INDEX(EntryPartyName,$P64)))</f>
        <v/>
      </c>
      <c r="F64" s="28">
        <f>IF($P64="","",IF(INDEX(EntryPartyType,$P64)=0,"",INDEX(EntryPartyType,$P64)))</f>
        <v/>
      </c>
      <c r="G64" s="28">
        <f>IF($P64="","",IF(INDEX(EntryTxnType,$P64)=0,"",INDEX(EntryTxnType,$P64)))</f>
        <v/>
      </c>
      <c r="H64" s="29">
        <f>IF($P64="","",IF(INDEX(EntryDep,$P64)=0,"",INDEX(EntryDep,$P64)))</f>
        <v/>
      </c>
      <c r="I64" s="29">
        <f>IF($P64="","",IF(INDEX(EntryWit,$P64)=0,"",INDEX(EntryWit,$P64)))</f>
        <v/>
      </c>
      <c r="J64" s="29">
        <f>IF($B64="","",IF($A64=1,$C$7,IF(J63="",0,J63))+IF($H64="",0,$H64)-IF($I64="",0,$I64))</f>
        <v/>
      </c>
      <c r="K64" s="29">
        <f>IF($P64="","",IF(INDEX(EntryMan,$P64)=0,"",INDEX(EntryMan,$P64)))</f>
        <v/>
      </c>
      <c r="L64" s="28">
        <f>IF($B64="","",IF($K64="","—",IF(ROUND($K64-$J64,0)=0,"√","×")))</f>
        <v/>
      </c>
      <c r="M64" s="28">
        <f>IF($B64="","",IF(COUNTIFS(EntryDates,$B64,CalcTime,$C64,CalcBank,$C$5,EntryParty,$D64,EntryDep,$H64,EntryWit,$I64)&gt;1,"تکرار",""))</f>
        <v/>
      </c>
      <c r="N64" s="28">
        <f>IF($P64="","",IF(INDEX(EntryNotes,$P64)=0,"",INDEX(EntryNotes,$P64)))</f>
        <v/>
      </c>
      <c r="O64" s="28">
        <f>IF($P64="","",IF(INDEX(EntryTxnID,$P64)=0,"",INDEX(EntryTxnID,$P64)))</f>
        <v/>
      </c>
      <c r="P64" s="28">
        <f>IFERROR(MATCH($C$5&amp;"|"&amp;RIGHT("000000"&amp;48,6),CalcRankKey,0),"")</f>
        <v/>
      </c>
    </row>
    <row r="65">
      <c r="A65" s="26">
        <f>IF($B65="","",49)</f>
        <v/>
      </c>
      <c r="B65" s="26">
        <f>IF($P65="","",IF(INDEX(CalcNormDate,$P65)=0,"",INDEX(CalcNormDate,$P65)))</f>
        <v/>
      </c>
      <c r="C65" s="26">
        <f>IF($P65="","",IF(INDEX(CalcTime,$P65)=0,"",INDEX(CalcTime,$P65)))</f>
        <v/>
      </c>
      <c r="D65" s="26">
        <f>IF($P65="","",IF(INDEX(EntryParty,$P65)=0,"",INDEX(EntryParty,$P65)))</f>
        <v/>
      </c>
      <c r="E65" s="26">
        <f>IF($P65="","",IF(INDEX(EntryPartyName,$P65)=0,"",INDEX(EntryPartyName,$P65)))</f>
        <v/>
      </c>
      <c r="F65" s="26">
        <f>IF($P65="","",IF(INDEX(EntryPartyType,$P65)=0,"",INDEX(EntryPartyType,$P65)))</f>
        <v/>
      </c>
      <c r="G65" s="26">
        <f>IF($P65="","",IF(INDEX(EntryTxnType,$P65)=0,"",INDEX(EntryTxnType,$P65)))</f>
        <v/>
      </c>
      <c r="H65" s="27">
        <f>IF($P65="","",IF(INDEX(EntryDep,$P65)=0,"",INDEX(EntryDep,$P65)))</f>
        <v/>
      </c>
      <c r="I65" s="27">
        <f>IF($P65="","",IF(INDEX(EntryWit,$P65)=0,"",INDEX(EntryWit,$P65)))</f>
        <v/>
      </c>
      <c r="J65" s="27">
        <f>IF($B65="","",IF($A65=1,$C$7,IF(J64="",0,J64))+IF($H65="",0,$H65)-IF($I65="",0,$I65))</f>
        <v/>
      </c>
      <c r="K65" s="27">
        <f>IF($P65="","",IF(INDEX(EntryMan,$P65)=0,"",INDEX(EntryMan,$P65)))</f>
        <v/>
      </c>
      <c r="L65" s="26">
        <f>IF($B65="","",IF($K65="","—",IF(ROUND($K65-$J65,0)=0,"√","×")))</f>
        <v/>
      </c>
      <c r="M65" s="26">
        <f>IF($B65="","",IF(COUNTIFS(EntryDates,$B65,CalcTime,$C65,CalcBank,$C$5,EntryParty,$D65,EntryDep,$H65,EntryWit,$I65)&gt;1,"تکرار",""))</f>
        <v/>
      </c>
      <c r="N65" s="26">
        <f>IF($P65="","",IF(INDEX(EntryNotes,$P65)=0,"",INDEX(EntryNotes,$P65)))</f>
        <v/>
      </c>
      <c r="O65" s="26">
        <f>IF($P65="","",IF(INDEX(EntryTxnID,$P65)=0,"",INDEX(EntryTxnID,$P65)))</f>
        <v/>
      </c>
      <c r="P65" s="26">
        <f>IFERROR(MATCH($C$5&amp;"|"&amp;RIGHT("000000"&amp;49,6),CalcRankKey,0),"")</f>
        <v/>
      </c>
    </row>
    <row r="66">
      <c r="A66" s="28">
        <f>IF($B66="","",50)</f>
        <v/>
      </c>
      <c r="B66" s="28">
        <f>IF($P66="","",IF(INDEX(CalcNormDate,$P66)=0,"",INDEX(CalcNormDate,$P66)))</f>
        <v/>
      </c>
      <c r="C66" s="28">
        <f>IF($P66="","",IF(INDEX(CalcTime,$P66)=0,"",INDEX(CalcTime,$P66)))</f>
        <v/>
      </c>
      <c r="D66" s="28">
        <f>IF($P66="","",IF(INDEX(EntryParty,$P66)=0,"",INDEX(EntryParty,$P66)))</f>
        <v/>
      </c>
      <c r="E66" s="28">
        <f>IF($P66="","",IF(INDEX(EntryPartyName,$P66)=0,"",INDEX(EntryPartyName,$P66)))</f>
        <v/>
      </c>
      <c r="F66" s="28">
        <f>IF($P66="","",IF(INDEX(EntryPartyType,$P66)=0,"",INDEX(EntryPartyType,$P66)))</f>
        <v/>
      </c>
      <c r="G66" s="28">
        <f>IF($P66="","",IF(INDEX(EntryTxnType,$P66)=0,"",INDEX(EntryTxnType,$P66)))</f>
        <v/>
      </c>
      <c r="H66" s="29">
        <f>IF($P66="","",IF(INDEX(EntryDep,$P66)=0,"",INDEX(EntryDep,$P66)))</f>
        <v/>
      </c>
      <c r="I66" s="29">
        <f>IF($P66="","",IF(INDEX(EntryWit,$P66)=0,"",INDEX(EntryWit,$P66)))</f>
        <v/>
      </c>
      <c r="J66" s="29">
        <f>IF($B66="","",IF($A66=1,$C$7,IF(J65="",0,J65))+IF($H66="",0,$H66)-IF($I66="",0,$I66))</f>
        <v/>
      </c>
      <c r="K66" s="29">
        <f>IF($P66="","",IF(INDEX(EntryMan,$P66)=0,"",INDEX(EntryMan,$P66)))</f>
        <v/>
      </c>
      <c r="L66" s="28">
        <f>IF($B66="","",IF($K66="","—",IF(ROUND($K66-$J66,0)=0,"√","×")))</f>
        <v/>
      </c>
      <c r="M66" s="28">
        <f>IF($B66="","",IF(COUNTIFS(EntryDates,$B66,CalcTime,$C66,CalcBank,$C$5,EntryParty,$D66,EntryDep,$H66,EntryWit,$I66)&gt;1,"تکرار",""))</f>
        <v/>
      </c>
      <c r="N66" s="28">
        <f>IF($P66="","",IF(INDEX(EntryNotes,$P66)=0,"",INDEX(EntryNotes,$P66)))</f>
        <v/>
      </c>
      <c r="O66" s="28">
        <f>IF($P66="","",IF(INDEX(EntryTxnID,$P66)=0,"",INDEX(EntryTxnID,$P66)))</f>
        <v/>
      </c>
      <c r="P66" s="28">
        <f>IFERROR(MATCH($C$5&amp;"|"&amp;RIGHT("000000"&amp;50,6),CalcRankKey,0),"")</f>
        <v/>
      </c>
    </row>
    <row r="67">
      <c r="A67" s="26">
        <f>IF($B67="","",51)</f>
        <v/>
      </c>
      <c r="B67" s="26">
        <f>IF($P67="","",IF(INDEX(CalcNormDate,$P67)=0,"",INDEX(CalcNormDate,$P67)))</f>
        <v/>
      </c>
      <c r="C67" s="26">
        <f>IF($P67="","",IF(INDEX(CalcTime,$P67)=0,"",INDEX(CalcTime,$P67)))</f>
        <v/>
      </c>
      <c r="D67" s="26">
        <f>IF($P67="","",IF(INDEX(EntryParty,$P67)=0,"",INDEX(EntryParty,$P67)))</f>
        <v/>
      </c>
      <c r="E67" s="26">
        <f>IF($P67="","",IF(INDEX(EntryPartyName,$P67)=0,"",INDEX(EntryPartyName,$P67)))</f>
        <v/>
      </c>
      <c r="F67" s="26">
        <f>IF($P67="","",IF(INDEX(EntryPartyType,$P67)=0,"",INDEX(EntryPartyType,$P67)))</f>
        <v/>
      </c>
      <c r="G67" s="26">
        <f>IF($P67="","",IF(INDEX(EntryTxnType,$P67)=0,"",INDEX(EntryTxnType,$P67)))</f>
        <v/>
      </c>
      <c r="H67" s="27">
        <f>IF($P67="","",IF(INDEX(EntryDep,$P67)=0,"",INDEX(EntryDep,$P67)))</f>
        <v/>
      </c>
      <c r="I67" s="27">
        <f>IF($P67="","",IF(INDEX(EntryWit,$P67)=0,"",INDEX(EntryWit,$P67)))</f>
        <v/>
      </c>
      <c r="J67" s="27">
        <f>IF($B67="","",IF($A67=1,$C$7,IF(J66="",0,J66))+IF($H67="",0,$H67)-IF($I67="",0,$I67))</f>
        <v/>
      </c>
      <c r="K67" s="27">
        <f>IF($P67="","",IF(INDEX(EntryMan,$P67)=0,"",INDEX(EntryMan,$P67)))</f>
        <v/>
      </c>
      <c r="L67" s="26">
        <f>IF($B67="","",IF($K67="","—",IF(ROUND($K67-$J67,0)=0,"√","×")))</f>
        <v/>
      </c>
      <c r="M67" s="26">
        <f>IF($B67="","",IF(COUNTIFS(EntryDates,$B67,CalcTime,$C67,CalcBank,$C$5,EntryParty,$D67,EntryDep,$H67,EntryWit,$I67)&gt;1,"تکرار",""))</f>
        <v/>
      </c>
      <c r="N67" s="26">
        <f>IF($P67="","",IF(INDEX(EntryNotes,$P67)=0,"",INDEX(EntryNotes,$P67)))</f>
        <v/>
      </c>
      <c r="O67" s="26">
        <f>IF($P67="","",IF(INDEX(EntryTxnID,$P67)=0,"",INDEX(EntryTxnID,$P67)))</f>
        <v/>
      </c>
      <c r="P67" s="26">
        <f>IFERROR(MATCH($C$5&amp;"|"&amp;RIGHT("000000"&amp;51,6),CalcRankKey,0),"")</f>
        <v/>
      </c>
    </row>
    <row r="68">
      <c r="A68" s="28">
        <f>IF($B68="","",52)</f>
        <v/>
      </c>
      <c r="B68" s="28">
        <f>IF($P68="","",IF(INDEX(CalcNormDate,$P68)=0,"",INDEX(CalcNormDate,$P68)))</f>
        <v/>
      </c>
      <c r="C68" s="28">
        <f>IF($P68="","",IF(INDEX(CalcTime,$P68)=0,"",INDEX(CalcTime,$P68)))</f>
        <v/>
      </c>
      <c r="D68" s="28">
        <f>IF($P68="","",IF(INDEX(EntryParty,$P68)=0,"",INDEX(EntryParty,$P68)))</f>
        <v/>
      </c>
      <c r="E68" s="28">
        <f>IF($P68="","",IF(INDEX(EntryPartyName,$P68)=0,"",INDEX(EntryPartyName,$P68)))</f>
        <v/>
      </c>
      <c r="F68" s="28">
        <f>IF($P68="","",IF(INDEX(EntryPartyType,$P68)=0,"",INDEX(EntryPartyType,$P68)))</f>
        <v/>
      </c>
      <c r="G68" s="28">
        <f>IF($P68="","",IF(INDEX(EntryTxnType,$P68)=0,"",INDEX(EntryTxnType,$P68)))</f>
        <v/>
      </c>
      <c r="H68" s="29">
        <f>IF($P68="","",IF(INDEX(EntryDep,$P68)=0,"",INDEX(EntryDep,$P68)))</f>
        <v/>
      </c>
      <c r="I68" s="29">
        <f>IF($P68="","",IF(INDEX(EntryWit,$P68)=0,"",INDEX(EntryWit,$P68)))</f>
        <v/>
      </c>
      <c r="J68" s="29">
        <f>IF($B68="","",IF($A68=1,$C$7,IF(J67="",0,J67))+IF($H68="",0,$H68)-IF($I68="",0,$I68))</f>
        <v/>
      </c>
      <c r="K68" s="29">
        <f>IF($P68="","",IF(INDEX(EntryMan,$P68)=0,"",INDEX(EntryMan,$P68)))</f>
        <v/>
      </c>
      <c r="L68" s="28">
        <f>IF($B68="","",IF($K68="","—",IF(ROUND($K68-$J68,0)=0,"√","×")))</f>
        <v/>
      </c>
      <c r="M68" s="28">
        <f>IF($B68="","",IF(COUNTIFS(EntryDates,$B68,CalcTime,$C68,CalcBank,$C$5,EntryParty,$D68,EntryDep,$H68,EntryWit,$I68)&gt;1,"تکرار",""))</f>
        <v/>
      </c>
      <c r="N68" s="28">
        <f>IF($P68="","",IF(INDEX(EntryNotes,$P68)=0,"",INDEX(EntryNotes,$P68)))</f>
        <v/>
      </c>
      <c r="O68" s="28">
        <f>IF($P68="","",IF(INDEX(EntryTxnID,$P68)=0,"",INDEX(EntryTxnID,$P68)))</f>
        <v/>
      </c>
      <c r="P68" s="28">
        <f>IFERROR(MATCH($C$5&amp;"|"&amp;RIGHT("000000"&amp;52,6),CalcRankKey,0),"")</f>
        <v/>
      </c>
    </row>
    <row r="69">
      <c r="A69" s="26">
        <f>IF($B69="","",53)</f>
        <v/>
      </c>
      <c r="B69" s="26">
        <f>IF($P69="","",IF(INDEX(CalcNormDate,$P69)=0,"",INDEX(CalcNormDate,$P69)))</f>
        <v/>
      </c>
      <c r="C69" s="26">
        <f>IF($P69="","",IF(INDEX(CalcTime,$P69)=0,"",INDEX(CalcTime,$P69)))</f>
        <v/>
      </c>
      <c r="D69" s="26">
        <f>IF($P69="","",IF(INDEX(EntryParty,$P69)=0,"",INDEX(EntryParty,$P69)))</f>
        <v/>
      </c>
      <c r="E69" s="26">
        <f>IF($P69="","",IF(INDEX(EntryPartyName,$P69)=0,"",INDEX(EntryPartyName,$P69)))</f>
        <v/>
      </c>
      <c r="F69" s="26">
        <f>IF($P69="","",IF(INDEX(EntryPartyType,$P69)=0,"",INDEX(EntryPartyType,$P69)))</f>
        <v/>
      </c>
      <c r="G69" s="26">
        <f>IF($P69="","",IF(INDEX(EntryTxnType,$P69)=0,"",INDEX(EntryTxnType,$P69)))</f>
        <v/>
      </c>
      <c r="H69" s="27">
        <f>IF($P69="","",IF(INDEX(EntryDep,$P69)=0,"",INDEX(EntryDep,$P69)))</f>
        <v/>
      </c>
      <c r="I69" s="27">
        <f>IF($P69="","",IF(INDEX(EntryWit,$P69)=0,"",INDEX(EntryWit,$P69)))</f>
        <v/>
      </c>
      <c r="J69" s="27">
        <f>IF($B69="","",IF($A69=1,$C$7,IF(J68="",0,J68))+IF($H69="",0,$H69)-IF($I69="",0,$I69))</f>
        <v/>
      </c>
      <c r="K69" s="27">
        <f>IF($P69="","",IF(INDEX(EntryMan,$P69)=0,"",INDEX(EntryMan,$P69)))</f>
        <v/>
      </c>
      <c r="L69" s="26">
        <f>IF($B69="","",IF($K69="","—",IF(ROUND($K69-$J69,0)=0,"√","×")))</f>
        <v/>
      </c>
      <c r="M69" s="26">
        <f>IF($B69="","",IF(COUNTIFS(EntryDates,$B69,CalcTime,$C69,CalcBank,$C$5,EntryParty,$D69,EntryDep,$H69,EntryWit,$I69)&gt;1,"تکرار",""))</f>
        <v/>
      </c>
      <c r="N69" s="26">
        <f>IF($P69="","",IF(INDEX(EntryNotes,$P69)=0,"",INDEX(EntryNotes,$P69)))</f>
        <v/>
      </c>
      <c r="O69" s="26">
        <f>IF($P69="","",IF(INDEX(EntryTxnID,$P69)=0,"",INDEX(EntryTxnID,$P69)))</f>
        <v/>
      </c>
      <c r="P69" s="26">
        <f>IFERROR(MATCH($C$5&amp;"|"&amp;RIGHT("000000"&amp;53,6),CalcRankKey,0),"")</f>
        <v/>
      </c>
    </row>
    <row r="70">
      <c r="A70" s="28">
        <f>IF($B70="","",54)</f>
        <v/>
      </c>
      <c r="B70" s="28">
        <f>IF($P70="","",IF(INDEX(CalcNormDate,$P70)=0,"",INDEX(CalcNormDate,$P70)))</f>
        <v/>
      </c>
      <c r="C70" s="28">
        <f>IF($P70="","",IF(INDEX(CalcTime,$P70)=0,"",INDEX(CalcTime,$P70)))</f>
        <v/>
      </c>
      <c r="D70" s="28">
        <f>IF($P70="","",IF(INDEX(EntryParty,$P70)=0,"",INDEX(EntryParty,$P70)))</f>
        <v/>
      </c>
      <c r="E70" s="28">
        <f>IF($P70="","",IF(INDEX(EntryPartyName,$P70)=0,"",INDEX(EntryPartyName,$P70)))</f>
        <v/>
      </c>
      <c r="F70" s="28">
        <f>IF($P70="","",IF(INDEX(EntryPartyType,$P70)=0,"",INDEX(EntryPartyType,$P70)))</f>
        <v/>
      </c>
      <c r="G70" s="28">
        <f>IF($P70="","",IF(INDEX(EntryTxnType,$P70)=0,"",INDEX(EntryTxnType,$P70)))</f>
        <v/>
      </c>
      <c r="H70" s="29">
        <f>IF($P70="","",IF(INDEX(EntryDep,$P70)=0,"",INDEX(EntryDep,$P70)))</f>
        <v/>
      </c>
      <c r="I70" s="29">
        <f>IF($P70="","",IF(INDEX(EntryWit,$P70)=0,"",INDEX(EntryWit,$P70)))</f>
        <v/>
      </c>
      <c r="J70" s="29">
        <f>IF($B70="","",IF($A70=1,$C$7,IF(J69="",0,J69))+IF($H70="",0,$H70)-IF($I70="",0,$I70))</f>
        <v/>
      </c>
      <c r="K70" s="29">
        <f>IF($P70="","",IF(INDEX(EntryMan,$P70)=0,"",INDEX(EntryMan,$P70)))</f>
        <v/>
      </c>
      <c r="L70" s="28">
        <f>IF($B70="","",IF($K70="","—",IF(ROUND($K70-$J70,0)=0,"√","×")))</f>
        <v/>
      </c>
      <c r="M70" s="28">
        <f>IF($B70="","",IF(COUNTIFS(EntryDates,$B70,CalcTime,$C70,CalcBank,$C$5,EntryParty,$D70,EntryDep,$H70,EntryWit,$I70)&gt;1,"تکرار",""))</f>
        <v/>
      </c>
      <c r="N70" s="28">
        <f>IF($P70="","",IF(INDEX(EntryNotes,$P70)=0,"",INDEX(EntryNotes,$P70)))</f>
        <v/>
      </c>
      <c r="O70" s="28">
        <f>IF($P70="","",IF(INDEX(EntryTxnID,$P70)=0,"",INDEX(EntryTxnID,$P70)))</f>
        <v/>
      </c>
      <c r="P70" s="28">
        <f>IFERROR(MATCH($C$5&amp;"|"&amp;RIGHT("000000"&amp;54,6),CalcRankKey,0),"")</f>
        <v/>
      </c>
    </row>
    <row r="71">
      <c r="A71" s="26">
        <f>IF($B71="","",55)</f>
        <v/>
      </c>
      <c r="B71" s="26">
        <f>IF($P71="","",IF(INDEX(CalcNormDate,$P71)=0,"",INDEX(CalcNormDate,$P71)))</f>
        <v/>
      </c>
      <c r="C71" s="26">
        <f>IF($P71="","",IF(INDEX(CalcTime,$P71)=0,"",INDEX(CalcTime,$P71)))</f>
        <v/>
      </c>
      <c r="D71" s="26">
        <f>IF($P71="","",IF(INDEX(EntryParty,$P71)=0,"",INDEX(EntryParty,$P71)))</f>
        <v/>
      </c>
      <c r="E71" s="26">
        <f>IF($P71="","",IF(INDEX(EntryPartyName,$P71)=0,"",INDEX(EntryPartyName,$P71)))</f>
        <v/>
      </c>
      <c r="F71" s="26">
        <f>IF($P71="","",IF(INDEX(EntryPartyType,$P71)=0,"",INDEX(EntryPartyType,$P71)))</f>
        <v/>
      </c>
      <c r="G71" s="26">
        <f>IF($P71="","",IF(INDEX(EntryTxnType,$P71)=0,"",INDEX(EntryTxnType,$P71)))</f>
        <v/>
      </c>
      <c r="H71" s="27">
        <f>IF($P71="","",IF(INDEX(EntryDep,$P71)=0,"",INDEX(EntryDep,$P71)))</f>
        <v/>
      </c>
      <c r="I71" s="27">
        <f>IF($P71="","",IF(INDEX(EntryWit,$P71)=0,"",INDEX(EntryWit,$P71)))</f>
        <v/>
      </c>
      <c r="J71" s="27">
        <f>IF($B71="","",IF($A71=1,$C$7,IF(J70="",0,J70))+IF($H71="",0,$H71)-IF($I71="",0,$I71))</f>
        <v/>
      </c>
      <c r="K71" s="27">
        <f>IF($P71="","",IF(INDEX(EntryMan,$P71)=0,"",INDEX(EntryMan,$P71)))</f>
        <v/>
      </c>
      <c r="L71" s="26">
        <f>IF($B71="","",IF($K71="","—",IF(ROUND($K71-$J71,0)=0,"√","×")))</f>
        <v/>
      </c>
      <c r="M71" s="26">
        <f>IF($B71="","",IF(COUNTIFS(EntryDates,$B71,CalcTime,$C71,CalcBank,$C$5,EntryParty,$D71,EntryDep,$H71,EntryWit,$I71)&gt;1,"تکرار",""))</f>
        <v/>
      </c>
      <c r="N71" s="26">
        <f>IF($P71="","",IF(INDEX(EntryNotes,$P71)=0,"",INDEX(EntryNotes,$P71)))</f>
        <v/>
      </c>
      <c r="O71" s="26">
        <f>IF($P71="","",IF(INDEX(EntryTxnID,$P71)=0,"",INDEX(EntryTxnID,$P71)))</f>
        <v/>
      </c>
      <c r="P71" s="26">
        <f>IFERROR(MATCH($C$5&amp;"|"&amp;RIGHT("000000"&amp;55,6),CalcRankKey,0),"")</f>
        <v/>
      </c>
    </row>
    <row r="72">
      <c r="A72" s="28">
        <f>IF($B72="","",56)</f>
        <v/>
      </c>
      <c r="B72" s="28">
        <f>IF($P72="","",IF(INDEX(CalcNormDate,$P72)=0,"",INDEX(CalcNormDate,$P72)))</f>
        <v/>
      </c>
      <c r="C72" s="28">
        <f>IF($P72="","",IF(INDEX(CalcTime,$P72)=0,"",INDEX(CalcTime,$P72)))</f>
        <v/>
      </c>
      <c r="D72" s="28">
        <f>IF($P72="","",IF(INDEX(EntryParty,$P72)=0,"",INDEX(EntryParty,$P72)))</f>
        <v/>
      </c>
      <c r="E72" s="28">
        <f>IF($P72="","",IF(INDEX(EntryPartyName,$P72)=0,"",INDEX(EntryPartyName,$P72)))</f>
        <v/>
      </c>
      <c r="F72" s="28">
        <f>IF($P72="","",IF(INDEX(EntryPartyType,$P72)=0,"",INDEX(EntryPartyType,$P72)))</f>
        <v/>
      </c>
      <c r="G72" s="28">
        <f>IF($P72="","",IF(INDEX(EntryTxnType,$P72)=0,"",INDEX(EntryTxnType,$P72)))</f>
        <v/>
      </c>
      <c r="H72" s="29">
        <f>IF($P72="","",IF(INDEX(EntryDep,$P72)=0,"",INDEX(EntryDep,$P72)))</f>
        <v/>
      </c>
      <c r="I72" s="29">
        <f>IF($P72="","",IF(INDEX(EntryWit,$P72)=0,"",INDEX(EntryWit,$P72)))</f>
        <v/>
      </c>
      <c r="J72" s="29">
        <f>IF($B72="","",IF($A72=1,$C$7,IF(J71="",0,J71))+IF($H72="",0,$H72)-IF($I72="",0,$I72))</f>
        <v/>
      </c>
      <c r="K72" s="29">
        <f>IF($P72="","",IF(INDEX(EntryMan,$P72)=0,"",INDEX(EntryMan,$P72)))</f>
        <v/>
      </c>
      <c r="L72" s="28">
        <f>IF($B72="","",IF($K72="","—",IF(ROUND($K72-$J72,0)=0,"√","×")))</f>
        <v/>
      </c>
      <c r="M72" s="28">
        <f>IF($B72="","",IF(COUNTIFS(EntryDates,$B72,CalcTime,$C72,CalcBank,$C$5,EntryParty,$D72,EntryDep,$H72,EntryWit,$I72)&gt;1,"تکرار",""))</f>
        <v/>
      </c>
      <c r="N72" s="28">
        <f>IF($P72="","",IF(INDEX(EntryNotes,$P72)=0,"",INDEX(EntryNotes,$P72)))</f>
        <v/>
      </c>
      <c r="O72" s="28">
        <f>IF($P72="","",IF(INDEX(EntryTxnID,$P72)=0,"",INDEX(EntryTxnID,$P72)))</f>
        <v/>
      </c>
      <c r="P72" s="28">
        <f>IFERROR(MATCH($C$5&amp;"|"&amp;RIGHT("000000"&amp;56,6),CalcRankKey,0),"")</f>
        <v/>
      </c>
    </row>
    <row r="73">
      <c r="A73" s="26">
        <f>IF($B73="","",57)</f>
        <v/>
      </c>
      <c r="B73" s="26">
        <f>IF($P73="","",IF(INDEX(CalcNormDate,$P73)=0,"",INDEX(CalcNormDate,$P73)))</f>
        <v/>
      </c>
      <c r="C73" s="26">
        <f>IF($P73="","",IF(INDEX(CalcTime,$P73)=0,"",INDEX(CalcTime,$P73)))</f>
        <v/>
      </c>
      <c r="D73" s="26">
        <f>IF($P73="","",IF(INDEX(EntryParty,$P73)=0,"",INDEX(EntryParty,$P73)))</f>
        <v/>
      </c>
      <c r="E73" s="26">
        <f>IF($P73="","",IF(INDEX(EntryPartyName,$P73)=0,"",INDEX(EntryPartyName,$P73)))</f>
        <v/>
      </c>
      <c r="F73" s="26">
        <f>IF($P73="","",IF(INDEX(EntryPartyType,$P73)=0,"",INDEX(EntryPartyType,$P73)))</f>
        <v/>
      </c>
      <c r="G73" s="26">
        <f>IF($P73="","",IF(INDEX(EntryTxnType,$P73)=0,"",INDEX(EntryTxnType,$P73)))</f>
        <v/>
      </c>
      <c r="H73" s="27">
        <f>IF($P73="","",IF(INDEX(EntryDep,$P73)=0,"",INDEX(EntryDep,$P73)))</f>
        <v/>
      </c>
      <c r="I73" s="27">
        <f>IF($P73="","",IF(INDEX(EntryWit,$P73)=0,"",INDEX(EntryWit,$P73)))</f>
        <v/>
      </c>
      <c r="J73" s="27">
        <f>IF($B73="","",IF($A73=1,$C$7,IF(J72="",0,J72))+IF($H73="",0,$H73)-IF($I73="",0,$I73))</f>
        <v/>
      </c>
      <c r="K73" s="27">
        <f>IF($P73="","",IF(INDEX(EntryMan,$P73)=0,"",INDEX(EntryMan,$P73)))</f>
        <v/>
      </c>
      <c r="L73" s="26">
        <f>IF($B73="","",IF($K73="","—",IF(ROUND($K73-$J73,0)=0,"√","×")))</f>
        <v/>
      </c>
      <c r="M73" s="26">
        <f>IF($B73="","",IF(COUNTIFS(EntryDates,$B73,CalcTime,$C73,CalcBank,$C$5,EntryParty,$D73,EntryDep,$H73,EntryWit,$I73)&gt;1,"تکرار",""))</f>
        <v/>
      </c>
      <c r="N73" s="26">
        <f>IF($P73="","",IF(INDEX(EntryNotes,$P73)=0,"",INDEX(EntryNotes,$P73)))</f>
        <v/>
      </c>
      <c r="O73" s="26">
        <f>IF($P73="","",IF(INDEX(EntryTxnID,$P73)=0,"",INDEX(EntryTxnID,$P73)))</f>
        <v/>
      </c>
      <c r="P73" s="26">
        <f>IFERROR(MATCH($C$5&amp;"|"&amp;RIGHT("000000"&amp;57,6),CalcRankKey,0),"")</f>
        <v/>
      </c>
    </row>
    <row r="74">
      <c r="A74" s="28">
        <f>IF($B74="","",58)</f>
        <v/>
      </c>
      <c r="B74" s="28">
        <f>IF($P74="","",IF(INDEX(CalcNormDate,$P74)=0,"",INDEX(CalcNormDate,$P74)))</f>
        <v/>
      </c>
      <c r="C74" s="28">
        <f>IF($P74="","",IF(INDEX(CalcTime,$P74)=0,"",INDEX(CalcTime,$P74)))</f>
        <v/>
      </c>
      <c r="D74" s="28">
        <f>IF($P74="","",IF(INDEX(EntryParty,$P74)=0,"",INDEX(EntryParty,$P74)))</f>
        <v/>
      </c>
      <c r="E74" s="28">
        <f>IF($P74="","",IF(INDEX(EntryPartyName,$P74)=0,"",INDEX(EntryPartyName,$P74)))</f>
        <v/>
      </c>
      <c r="F74" s="28">
        <f>IF($P74="","",IF(INDEX(EntryPartyType,$P74)=0,"",INDEX(EntryPartyType,$P74)))</f>
        <v/>
      </c>
      <c r="G74" s="28">
        <f>IF($P74="","",IF(INDEX(EntryTxnType,$P74)=0,"",INDEX(EntryTxnType,$P74)))</f>
        <v/>
      </c>
      <c r="H74" s="29">
        <f>IF($P74="","",IF(INDEX(EntryDep,$P74)=0,"",INDEX(EntryDep,$P74)))</f>
        <v/>
      </c>
      <c r="I74" s="29">
        <f>IF($P74="","",IF(INDEX(EntryWit,$P74)=0,"",INDEX(EntryWit,$P74)))</f>
        <v/>
      </c>
      <c r="J74" s="29">
        <f>IF($B74="","",IF($A74=1,$C$7,IF(J73="",0,J73))+IF($H74="",0,$H74)-IF($I74="",0,$I74))</f>
        <v/>
      </c>
      <c r="K74" s="29">
        <f>IF($P74="","",IF(INDEX(EntryMan,$P74)=0,"",INDEX(EntryMan,$P74)))</f>
        <v/>
      </c>
      <c r="L74" s="28">
        <f>IF($B74="","",IF($K74="","—",IF(ROUND($K74-$J74,0)=0,"√","×")))</f>
        <v/>
      </c>
      <c r="M74" s="28">
        <f>IF($B74="","",IF(COUNTIFS(EntryDates,$B74,CalcTime,$C74,CalcBank,$C$5,EntryParty,$D74,EntryDep,$H74,EntryWit,$I74)&gt;1,"تکرار",""))</f>
        <v/>
      </c>
      <c r="N74" s="28">
        <f>IF($P74="","",IF(INDEX(EntryNotes,$P74)=0,"",INDEX(EntryNotes,$P74)))</f>
        <v/>
      </c>
      <c r="O74" s="28">
        <f>IF($P74="","",IF(INDEX(EntryTxnID,$P74)=0,"",INDEX(EntryTxnID,$P74)))</f>
        <v/>
      </c>
      <c r="P74" s="28">
        <f>IFERROR(MATCH($C$5&amp;"|"&amp;RIGHT("000000"&amp;58,6),CalcRankKey,0),"")</f>
        <v/>
      </c>
    </row>
    <row r="75">
      <c r="A75" s="26">
        <f>IF($B75="","",59)</f>
        <v/>
      </c>
      <c r="B75" s="26">
        <f>IF($P75="","",IF(INDEX(CalcNormDate,$P75)=0,"",INDEX(CalcNormDate,$P75)))</f>
        <v/>
      </c>
      <c r="C75" s="26">
        <f>IF($P75="","",IF(INDEX(CalcTime,$P75)=0,"",INDEX(CalcTime,$P75)))</f>
        <v/>
      </c>
      <c r="D75" s="26">
        <f>IF($P75="","",IF(INDEX(EntryParty,$P75)=0,"",INDEX(EntryParty,$P75)))</f>
        <v/>
      </c>
      <c r="E75" s="26">
        <f>IF($P75="","",IF(INDEX(EntryPartyName,$P75)=0,"",INDEX(EntryPartyName,$P75)))</f>
        <v/>
      </c>
      <c r="F75" s="26">
        <f>IF($P75="","",IF(INDEX(EntryPartyType,$P75)=0,"",INDEX(EntryPartyType,$P75)))</f>
        <v/>
      </c>
      <c r="G75" s="26">
        <f>IF($P75="","",IF(INDEX(EntryTxnType,$P75)=0,"",INDEX(EntryTxnType,$P75)))</f>
        <v/>
      </c>
      <c r="H75" s="27">
        <f>IF($P75="","",IF(INDEX(EntryDep,$P75)=0,"",INDEX(EntryDep,$P75)))</f>
        <v/>
      </c>
      <c r="I75" s="27">
        <f>IF($P75="","",IF(INDEX(EntryWit,$P75)=0,"",INDEX(EntryWit,$P75)))</f>
        <v/>
      </c>
      <c r="J75" s="27">
        <f>IF($B75="","",IF($A75=1,$C$7,IF(J74="",0,J74))+IF($H75="",0,$H75)-IF($I75="",0,$I75))</f>
        <v/>
      </c>
      <c r="K75" s="27">
        <f>IF($P75="","",IF(INDEX(EntryMan,$P75)=0,"",INDEX(EntryMan,$P75)))</f>
        <v/>
      </c>
      <c r="L75" s="26">
        <f>IF($B75="","",IF($K75="","—",IF(ROUND($K75-$J75,0)=0,"√","×")))</f>
        <v/>
      </c>
      <c r="M75" s="26">
        <f>IF($B75="","",IF(COUNTIFS(EntryDates,$B75,CalcTime,$C75,CalcBank,$C$5,EntryParty,$D75,EntryDep,$H75,EntryWit,$I75)&gt;1,"تکرار",""))</f>
        <v/>
      </c>
      <c r="N75" s="26">
        <f>IF($P75="","",IF(INDEX(EntryNotes,$P75)=0,"",INDEX(EntryNotes,$P75)))</f>
        <v/>
      </c>
      <c r="O75" s="26">
        <f>IF($P75="","",IF(INDEX(EntryTxnID,$P75)=0,"",INDEX(EntryTxnID,$P75)))</f>
        <v/>
      </c>
      <c r="P75" s="26">
        <f>IFERROR(MATCH($C$5&amp;"|"&amp;RIGHT("000000"&amp;59,6),CalcRankKey,0),"")</f>
        <v/>
      </c>
    </row>
    <row r="76">
      <c r="A76" s="28">
        <f>IF($B76="","",60)</f>
        <v/>
      </c>
      <c r="B76" s="28">
        <f>IF($P76="","",IF(INDEX(CalcNormDate,$P76)=0,"",INDEX(CalcNormDate,$P76)))</f>
        <v/>
      </c>
      <c r="C76" s="28">
        <f>IF($P76="","",IF(INDEX(CalcTime,$P76)=0,"",INDEX(CalcTime,$P76)))</f>
        <v/>
      </c>
      <c r="D76" s="28">
        <f>IF($P76="","",IF(INDEX(EntryParty,$P76)=0,"",INDEX(EntryParty,$P76)))</f>
        <v/>
      </c>
      <c r="E76" s="28">
        <f>IF($P76="","",IF(INDEX(EntryPartyName,$P76)=0,"",INDEX(EntryPartyName,$P76)))</f>
        <v/>
      </c>
      <c r="F76" s="28">
        <f>IF($P76="","",IF(INDEX(EntryPartyType,$P76)=0,"",INDEX(EntryPartyType,$P76)))</f>
        <v/>
      </c>
      <c r="G76" s="28">
        <f>IF($P76="","",IF(INDEX(EntryTxnType,$P76)=0,"",INDEX(EntryTxnType,$P76)))</f>
        <v/>
      </c>
      <c r="H76" s="29">
        <f>IF($P76="","",IF(INDEX(EntryDep,$P76)=0,"",INDEX(EntryDep,$P76)))</f>
        <v/>
      </c>
      <c r="I76" s="29">
        <f>IF($P76="","",IF(INDEX(EntryWit,$P76)=0,"",INDEX(EntryWit,$P76)))</f>
        <v/>
      </c>
      <c r="J76" s="29">
        <f>IF($B76="","",IF($A76=1,$C$7,IF(J75="",0,J75))+IF($H76="",0,$H76)-IF($I76="",0,$I76))</f>
        <v/>
      </c>
      <c r="K76" s="29">
        <f>IF($P76="","",IF(INDEX(EntryMan,$P76)=0,"",INDEX(EntryMan,$P76)))</f>
        <v/>
      </c>
      <c r="L76" s="28">
        <f>IF($B76="","",IF($K76="","—",IF(ROUND($K76-$J76,0)=0,"√","×")))</f>
        <v/>
      </c>
      <c r="M76" s="28">
        <f>IF($B76="","",IF(COUNTIFS(EntryDates,$B76,CalcTime,$C76,CalcBank,$C$5,EntryParty,$D76,EntryDep,$H76,EntryWit,$I76)&gt;1,"تکرار",""))</f>
        <v/>
      </c>
      <c r="N76" s="28">
        <f>IF($P76="","",IF(INDEX(EntryNotes,$P76)=0,"",INDEX(EntryNotes,$P76)))</f>
        <v/>
      </c>
      <c r="O76" s="28">
        <f>IF($P76="","",IF(INDEX(EntryTxnID,$P76)=0,"",INDEX(EntryTxnID,$P76)))</f>
        <v/>
      </c>
      <c r="P76" s="28">
        <f>IFERROR(MATCH($C$5&amp;"|"&amp;RIGHT("000000"&amp;60,6),CalcRankKey,0),"")</f>
        <v/>
      </c>
    </row>
    <row r="77">
      <c r="A77" s="26">
        <f>IF($B77="","",61)</f>
        <v/>
      </c>
      <c r="B77" s="26">
        <f>IF($P77="","",IF(INDEX(CalcNormDate,$P77)=0,"",INDEX(CalcNormDate,$P77)))</f>
        <v/>
      </c>
      <c r="C77" s="26">
        <f>IF($P77="","",IF(INDEX(CalcTime,$P77)=0,"",INDEX(CalcTime,$P77)))</f>
        <v/>
      </c>
      <c r="D77" s="26">
        <f>IF($P77="","",IF(INDEX(EntryParty,$P77)=0,"",INDEX(EntryParty,$P77)))</f>
        <v/>
      </c>
      <c r="E77" s="26">
        <f>IF($P77="","",IF(INDEX(EntryPartyName,$P77)=0,"",INDEX(EntryPartyName,$P77)))</f>
        <v/>
      </c>
      <c r="F77" s="26">
        <f>IF($P77="","",IF(INDEX(EntryPartyType,$P77)=0,"",INDEX(EntryPartyType,$P77)))</f>
        <v/>
      </c>
      <c r="G77" s="26">
        <f>IF($P77="","",IF(INDEX(EntryTxnType,$P77)=0,"",INDEX(EntryTxnType,$P77)))</f>
        <v/>
      </c>
      <c r="H77" s="27">
        <f>IF($P77="","",IF(INDEX(EntryDep,$P77)=0,"",INDEX(EntryDep,$P77)))</f>
        <v/>
      </c>
      <c r="I77" s="27">
        <f>IF($P77="","",IF(INDEX(EntryWit,$P77)=0,"",INDEX(EntryWit,$P77)))</f>
        <v/>
      </c>
      <c r="J77" s="27">
        <f>IF($B77="","",IF($A77=1,$C$7,IF(J76="",0,J76))+IF($H77="",0,$H77)-IF($I77="",0,$I77))</f>
        <v/>
      </c>
      <c r="K77" s="27">
        <f>IF($P77="","",IF(INDEX(EntryMan,$P77)=0,"",INDEX(EntryMan,$P77)))</f>
        <v/>
      </c>
      <c r="L77" s="26">
        <f>IF($B77="","",IF($K77="","—",IF(ROUND($K77-$J77,0)=0,"√","×")))</f>
        <v/>
      </c>
      <c r="M77" s="26">
        <f>IF($B77="","",IF(COUNTIFS(EntryDates,$B77,CalcTime,$C77,CalcBank,$C$5,EntryParty,$D77,EntryDep,$H77,EntryWit,$I77)&gt;1,"تکرار",""))</f>
        <v/>
      </c>
      <c r="N77" s="26">
        <f>IF($P77="","",IF(INDEX(EntryNotes,$P77)=0,"",INDEX(EntryNotes,$P77)))</f>
        <v/>
      </c>
      <c r="O77" s="26">
        <f>IF($P77="","",IF(INDEX(EntryTxnID,$P77)=0,"",INDEX(EntryTxnID,$P77)))</f>
        <v/>
      </c>
      <c r="P77" s="26">
        <f>IFERROR(MATCH($C$5&amp;"|"&amp;RIGHT("000000"&amp;61,6),CalcRankKey,0),"")</f>
        <v/>
      </c>
    </row>
    <row r="78">
      <c r="A78" s="28">
        <f>IF($B78="","",62)</f>
        <v/>
      </c>
      <c r="B78" s="28">
        <f>IF($P78="","",IF(INDEX(CalcNormDate,$P78)=0,"",INDEX(CalcNormDate,$P78)))</f>
        <v/>
      </c>
      <c r="C78" s="28">
        <f>IF($P78="","",IF(INDEX(CalcTime,$P78)=0,"",INDEX(CalcTime,$P78)))</f>
        <v/>
      </c>
      <c r="D78" s="28">
        <f>IF($P78="","",IF(INDEX(EntryParty,$P78)=0,"",INDEX(EntryParty,$P78)))</f>
        <v/>
      </c>
      <c r="E78" s="28">
        <f>IF($P78="","",IF(INDEX(EntryPartyName,$P78)=0,"",INDEX(EntryPartyName,$P78)))</f>
        <v/>
      </c>
      <c r="F78" s="28">
        <f>IF($P78="","",IF(INDEX(EntryPartyType,$P78)=0,"",INDEX(EntryPartyType,$P78)))</f>
        <v/>
      </c>
      <c r="G78" s="28">
        <f>IF($P78="","",IF(INDEX(EntryTxnType,$P78)=0,"",INDEX(EntryTxnType,$P78)))</f>
        <v/>
      </c>
      <c r="H78" s="29">
        <f>IF($P78="","",IF(INDEX(EntryDep,$P78)=0,"",INDEX(EntryDep,$P78)))</f>
        <v/>
      </c>
      <c r="I78" s="29">
        <f>IF($P78="","",IF(INDEX(EntryWit,$P78)=0,"",INDEX(EntryWit,$P78)))</f>
        <v/>
      </c>
      <c r="J78" s="29">
        <f>IF($B78="","",IF($A78=1,$C$7,IF(J77="",0,J77))+IF($H78="",0,$H78)-IF($I78="",0,$I78))</f>
        <v/>
      </c>
      <c r="K78" s="29">
        <f>IF($P78="","",IF(INDEX(EntryMan,$P78)=0,"",INDEX(EntryMan,$P78)))</f>
        <v/>
      </c>
      <c r="L78" s="28">
        <f>IF($B78="","",IF($K78="","—",IF(ROUND($K78-$J78,0)=0,"√","×")))</f>
        <v/>
      </c>
      <c r="M78" s="28">
        <f>IF($B78="","",IF(COUNTIFS(EntryDates,$B78,CalcTime,$C78,CalcBank,$C$5,EntryParty,$D78,EntryDep,$H78,EntryWit,$I78)&gt;1,"تکرار",""))</f>
        <v/>
      </c>
      <c r="N78" s="28">
        <f>IF($P78="","",IF(INDEX(EntryNotes,$P78)=0,"",INDEX(EntryNotes,$P78)))</f>
        <v/>
      </c>
      <c r="O78" s="28">
        <f>IF($P78="","",IF(INDEX(EntryTxnID,$P78)=0,"",INDEX(EntryTxnID,$P78)))</f>
        <v/>
      </c>
      <c r="P78" s="28">
        <f>IFERROR(MATCH($C$5&amp;"|"&amp;RIGHT("000000"&amp;62,6),CalcRankKey,0),"")</f>
        <v/>
      </c>
    </row>
    <row r="79">
      <c r="A79" s="26">
        <f>IF($B79="","",63)</f>
        <v/>
      </c>
      <c r="B79" s="26">
        <f>IF($P79="","",IF(INDEX(CalcNormDate,$P79)=0,"",INDEX(CalcNormDate,$P79)))</f>
        <v/>
      </c>
      <c r="C79" s="26">
        <f>IF($P79="","",IF(INDEX(CalcTime,$P79)=0,"",INDEX(CalcTime,$P79)))</f>
        <v/>
      </c>
      <c r="D79" s="26">
        <f>IF($P79="","",IF(INDEX(EntryParty,$P79)=0,"",INDEX(EntryParty,$P79)))</f>
        <v/>
      </c>
      <c r="E79" s="26">
        <f>IF($P79="","",IF(INDEX(EntryPartyName,$P79)=0,"",INDEX(EntryPartyName,$P79)))</f>
        <v/>
      </c>
      <c r="F79" s="26">
        <f>IF($P79="","",IF(INDEX(EntryPartyType,$P79)=0,"",INDEX(EntryPartyType,$P79)))</f>
        <v/>
      </c>
      <c r="G79" s="26">
        <f>IF($P79="","",IF(INDEX(EntryTxnType,$P79)=0,"",INDEX(EntryTxnType,$P79)))</f>
        <v/>
      </c>
      <c r="H79" s="27">
        <f>IF($P79="","",IF(INDEX(EntryDep,$P79)=0,"",INDEX(EntryDep,$P79)))</f>
        <v/>
      </c>
      <c r="I79" s="27">
        <f>IF($P79="","",IF(INDEX(EntryWit,$P79)=0,"",INDEX(EntryWit,$P79)))</f>
        <v/>
      </c>
      <c r="J79" s="27">
        <f>IF($B79="","",IF($A79=1,$C$7,IF(J78="",0,J78))+IF($H79="",0,$H79)-IF($I79="",0,$I79))</f>
        <v/>
      </c>
      <c r="K79" s="27">
        <f>IF($P79="","",IF(INDEX(EntryMan,$P79)=0,"",INDEX(EntryMan,$P79)))</f>
        <v/>
      </c>
      <c r="L79" s="26">
        <f>IF($B79="","",IF($K79="","—",IF(ROUND($K79-$J79,0)=0,"√","×")))</f>
        <v/>
      </c>
      <c r="M79" s="26">
        <f>IF($B79="","",IF(COUNTIFS(EntryDates,$B79,CalcTime,$C79,CalcBank,$C$5,EntryParty,$D79,EntryDep,$H79,EntryWit,$I79)&gt;1,"تکرار",""))</f>
        <v/>
      </c>
      <c r="N79" s="26">
        <f>IF($P79="","",IF(INDEX(EntryNotes,$P79)=0,"",INDEX(EntryNotes,$P79)))</f>
        <v/>
      </c>
      <c r="O79" s="26">
        <f>IF($P79="","",IF(INDEX(EntryTxnID,$P79)=0,"",INDEX(EntryTxnID,$P79)))</f>
        <v/>
      </c>
      <c r="P79" s="26">
        <f>IFERROR(MATCH($C$5&amp;"|"&amp;RIGHT("000000"&amp;63,6),CalcRankKey,0),"")</f>
        <v/>
      </c>
    </row>
    <row r="80">
      <c r="A80" s="28">
        <f>IF($B80="","",64)</f>
        <v/>
      </c>
      <c r="B80" s="28">
        <f>IF($P80="","",IF(INDEX(CalcNormDate,$P80)=0,"",INDEX(CalcNormDate,$P80)))</f>
        <v/>
      </c>
      <c r="C80" s="28">
        <f>IF($P80="","",IF(INDEX(CalcTime,$P80)=0,"",INDEX(CalcTime,$P80)))</f>
        <v/>
      </c>
      <c r="D80" s="28">
        <f>IF($P80="","",IF(INDEX(EntryParty,$P80)=0,"",INDEX(EntryParty,$P80)))</f>
        <v/>
      </c>
      <c r="E80" s="28">
        <f>IF($P80="","",IF(INDEX(EntryPartyName,$P80)=0,"",INDEX(EntryPartyName,$P80)))</f>
        <v/>
      </c>
      <c r="F80" s="28">
        <f>IF($P80="","",IF(INDEX(EntryPartyType,$P80)=0,"",INDEX(EntryPartyType,$P80)))</f>
        <v/>
      </c>
      <c r="G80" s="28">
        <f>IF($P80="","",IF(INDEX(EntryTxnType,$P80)=0,"",INDEX(EntryTxnType,$P80)))</f>
        <v/>
      </c>
      <c r="H80" s="29">
        <f>IF($P80="","",IF(INDEX(EntryDep,$P80)=0,"",INDEX(EntryDep,$P80)))</f>
        <v/>
      </c>
      <c r="I80" s="29">
        <f>IF($P80="","",IF(INDEX(EntryWit,$P80)=0,"",INDEX(EntryWit,$P80)))</f>
        <v/>
      </c>
      <c r="J80" s="29">
        <f>IF($B80="","",IF($A80=1,$C$7,IF(J79="",0,J79))+IF($H80="",0,$H80)-IF($I80="",0,$I80))</f>
        <v/>
      </c>
      <c r="K80" s="29">
        <f>IF($P80="","",IF(INDEX(EntryMan,$P80)=0,"",INDEX(EntryMan,$P80)))</f>
        <v/>
      </c>
      <c r="L80" s="28">
        <f>IF($B80="","",IF($K80="","—",IF(ROUND($K80-$J80,0)=0,"√","×")))</f>
        <v/>
      </c>
      <c r="M80" s="28">
        <f>IF($B80="","",IF(COUNTIFS(EntryDates,$B80,CalcTime,$C80,CalcBank,$C$5,EntryParty,$D80,EntryDep,$H80,EntryWit,$I80)&gt;1,"تکرار",""))</f>
        <v/>
      </c>
      <c r="N80" s="28">
        <f>IF($P80="","",IF(INDEX(EntryNotes,$P80)=0,"",INDEX(EntryNotes,$P80)))</f>
        <v/>
      </c>
      <c r="O80" s="28">
        <f>IF($P80="","",IF(INDEX(EntryTxnID,$P80)=0,"",INDEX(EntryTxnID,$P80)))</f>
        <v/>
      </c>
      <c r="P80" s="28">
        <f>IFERROR(MATCH($C$5&amp;"|"&amp;RIGHT("000000"&amp;64,6),CalcRankKey,0),"")</f>
        <v/>
      </c>
    </row>
    <row r="81">
      <c r="A81" s="26">
        <f>IF($B81="","",65)</f>
        <v/>
      </c>
      <c r="B81" s="26">
        <f>IF($P81="","",IF(INDEX(CalcNormDate,$P81)=0,"",INDEX(CalcNormDate,$P81)))</f>
        <v/>
      </c>
      <c r="C81" s="26">
        <f>IF($P81="","",IF(INDEX(CalcTime,$P81)=0,"",INDEX(CalcTime,$P81)))</f>
        <v/>
      </c>
      <c r="D81" s="26">
        <f>IF($P81="","",IF(INDEX(EntryParty,$P81)=0,"",INDEX(EntryParty,$P81)))</f>
        <v/>
      </c>
      <c r="E81" s="26">
        <f>IF($P81="","",IF(INDEX(EntryPartyName,$P81)=0,"",INDEX(EntryPartyName,$P81)))</f>
        <v/>
      </c>
      <c r="F81" s="26">
        <f>IF($P81="","",IF(INDEX(EntryPartyType,$P81)=0,"",INDEX(EntryPartyType,$P81)))</f>
        <v/>
      </c>
      <c r="G81" s="26">
        <f>IF($P81="","",IF(INDEX(EntryTxnType,$P81)=0,"",INDEX(EntryTxnType,$P81)))</f>
        <v/>
      </c>
      <c r="H81" s="27">
        <f>IF($P81="","",IF(INDEX(EntryDep,$P81)=0,"",INDEX(EntryDep,$P81)))</f>
        <v/>
      </c>
      <c r="I81" s="27">
        <f>IF($P81="","",IF(INDEX(EntryWit,$P81)=0,"",INDEX(EntryWit,$P81)))</f>
        <v/>
      </c>
      <c r="J81" s="27">
        <f>IF($B81="","",IF($A81=1,$C$7,IF(J80="",0,J80))+IF($H81="",0,$H81)-IF($I81="",0,$I81))</f>
        <v/>
      </c>
      <c r="K81" s="27">
        <f>IF($P81="","",IF(INDEX(EntryMan,$P81)=0,"",INDEX(EntryMan,$P81)))</f>
        <v/>
      </c>
      <c r="L81" s="26">
        <f>IF($B81="","",IF($K81="","—",IF(ROUND($K81-$J81,0)=0,"√","×")))</f>
        <v/>
      </c>
      <c r="M81" s="26">
        <f>IF($B81="","",IF(COUNTIFS(EntryDates,$B81,CalcTime,$C81,CalcBank,$C$5,EntryParty,$D81,EntryDep,$H81,EntryWit,$I81)&gt;1,"تکرار",""))</f>
        <v/>
      </c>
      <c r="N81" s="26">
        <f>IF($P81="","",IF(INDEX(EntryNotes,$P81)=0,"",INDEX(EntryNotes,$P81)))</f>
        <v/>
      </c>
      <c r="O81" s="26">
        <f>IF($P81="","",IF(INDEX(EntryTxnID,$P81)=0,"",INDEX(EntryTxnID,$P81)))</f>
        <v/>
      </c>
      <c r="P81" s="26">
        <f>IFERROR(MATCH($C$5&amp;"|"&amp;RIGHT("000000"&amp;65,6),CalcRankKey,0),"")</f>
        <v/>
      </c>
    </row>
    <row r="82">
      <c r="A82" s="28">
        <f>IF($B82="","",66)</f>
        <v/>
      </c>
      <c r="B82" s="28">
        <f>IF($P82="","",IF(INDEX(CalcNormDate,$P82)=0,"",INDEX(CalcNormDate,$P82)))</f>
        <v/>
      </c>
      <c r="C82" s="28">
        <f>IF($P82="","",IF(INDEX(CalcTime,$P82)=0,"",INDEX(CalcTime,$P82)))</f>
        <v/>
      </c>
      <c r="D82" s="28">
        <f>IF($P82="","",IF(INDEX(EntryParty,$P82)=0,"",INDEX(EntryParty,$P82)))</f>
        <v/>
      </c>
      <c r="E82" s="28">
        <f>IF($P82="","",IF(INDEX(EntryPartyName,$P82)=0,"",INDEX(EntryPartyName,$P82)))</f>
        <v/>
      </c>
      <c r="F82" s="28">
        <f>IF($P82="","",IF(INDEX(EntryPartyType,$P82)=0,"",INDEX(EntryPartyType,$P82)))</f>
        <v/>
      </c>
      <c r="G82" s="28">
        <f>IF($P82="","",IF(INDEX(EntryTxnType,$P82)=0,"",INDEX(EntryTxnType,$P82)))</f>
        <v/>
      </c>
      <c r="H82" s="29">
        <f>IF($P82="","",IF(INDEX(EntryDep,$P82)=0,"",INDEX(EntryDep,$P82)))</f>
        <v/>
      </c>
      <c r="I82" s="29">
        <f>IF($P82="","",IF(INDEX(EntryWit,$P82)=0,"",INDEX(EntryWit,$P82)))</f>
        <v/>
      </c>
      <c r="J82" s="29">
        <f>IF($B82="","",IF($A82=1,$C$7,IF(J81="",0,J81))+IF($H82="",0,$H82)-IF($I82="",0,$I82))</f>
        <v/>
      </c>
      <c r="K82" s="29">
        <f>IF($P82="","",IF(INDEX(EntryMan,$P82)=0,"",INDEX(EntryMan,$P82)))</f>
        <v/>
      </c>
      <c r="L82" s="28">
        <f>IF($B82="","",IF($K82="","—",IF(ROUND($K82-$J82,0)=0,"√","×")))</f>
        <v/>
      </c>
      <c r="M82" s="28">
        <f>IF($B82="","",IF(COUNTIFS(EntryDates,$B82,CalcTime,$C82,CalcBank,$C$5,EntryParty,$D82,EntryDep,$H82,EntryWit,$I82)&gt;1,"تکرار",""))</f>
        <v/>
      </c>
      <c r="N82" s="28">
        <f>IF($P82="","",IF(INDEX(EntryNotes,$P82)=0,"",INDEX(EntryNotes,$P82)))</f>
        <v/>
      </c>
      <c r="O82" s="28">
        <f>IF($P82="","",IF(INDEX(EntryTxnID,$P82)=0,"",INDEX(EntryTxnID,$P82)))</f>
        <v/>
      </c>
      <c r="P82" s="28">
        <f>IFERROR(MATCH($C$5&amp;"|"&amp;RIGHT("000000"&amp;66,6),CalcRankKey,0),"")</f>
        <v/>
      </c>
    </row>
    <row r="83">
      <c r="A83" s="26">
        <f>IF($B83="","",67)</f>
        <v/>
      </c>
      <c r="B83" s="26">
        <f>IF($P83="","",IF(INDEX(CalcNormDate,$P83)=0,"",INDEX(CalcNormDate,$P83)))</f>
        <v/>
      </c>
      <c r="C83" s="26">
        <f>IF($P83="","",IF(INDEX(CalcTime,$P83)=0,"",INDEX(CalcTime,$P83)))</f>
        <v/>
      </c>
      <c r="D83" s="26">
        <f>IF($P83="","",IF(INDEX(EntryParty,$P83)=0,"",INDEX(EntryParty,$P83)))</f>
        <v/>
      </c>
      <c r="E83" s="26">
        <f>IF($P83="","",IF(INDEX(EntryPartyName,$P83)=0,"",INDEX(EntryPartyName,$P83)))</f>
        <v/>
      </c>
      <c r="F83" s="26">
        <f>IF($P83="","",IF(INDEX(EntryPartyType,$P83)=0,"",INDEX(EntryPartyType,$P83)))</f>
        <v/>
      </c>
      <c r="G83" s="26">
        <f>IF($P83="","",IF(INDEX(EntryTxnType,$P83)=0,"",INDEX(EntryTxnType,$P83)))</f>
        <v/>
      </c>
      <c r="H83" s="27">
        <f>IF($P83="","",IF(INDEX(EntryDep,$P83)=0,"",INDEX(EntryDep,$P83)))</f>
        <v/>
      </c>
      <c r="I83" s="27">
        <f>IF($P83="","",IF(INDEX(EntryWit,$P83)=0,"",INDEX(EntryWit,$P83)))</f>
        <v/>
      </c>
      <c r="J83" s="27">
        <f>IF($B83="","",IF($A83=1,$C$7,IF(J82="",0,J82))+IF($H83="",0,$H83)-IF($I83="",0,$I83))</f>
        <v/>
      </c>
      <c r="K83" s="27">
        <f>IF($P83="","",IF(INDEX(EntryMan,$P83)=0,"",INDEX(EntryMan,$P83)))</f>
        <v/>
      </c>
      <c r="L83" s="26">
        <f>IF($B83="","",IF($K83="","—",IF(ROUND($K83-$J83,0)=0,"√","×")))</f>
        <v/>
      </c>
      <c r="M83" s="26">
        <f>IF($B83="","",IF(COUNTIFS(EntryDates,$B83,CalcTime,$C83,CalcBank,$C$5,EntryParty,$D83,EntryDep,$H83,EntryWit,$I83)&gt;1,"تکرار",""))</f>
        <v/>
      </c>
      <c r="N83" s="26">
        <f>IF($P83="","",IF(INDEX(EntryNotes,$P83)=0,"",INDEX(EntryNotes,$P83)))</f>
        <v/>
      </c>
      <c r="O83" s="26">
        <f>IF($P83="","",IF(INDEX(EntryTxnID,$P83)=0,"",INDEX(EntryTxnID,$P83)))</f>
        <v/>
      </c>
      <c r="P83" s="26">
        <f>IFERROR(MATCH($C$5&amp;"|"&amp;RIGHT("000000"&amp;67,6),CalcRankKey,0),"")</f>
        <v/>
      </c>
    </row>
    <row r="84">
      <c r="A84" s="28">
        <f>IF($B84="","",68)</f>
        <v/>
      </c>
      <c r="B84" s="28">
        <f>IF($P84="","",IF(INDEX(CalcNormDate,$P84)=0,"",INDEX(CalcNormDate,$P84)))</f>
        <v/>
      </c>
      <c r="C84" s="28">
        <f>IF($P84="","",IF(INDEX(CalcTime,$P84)=0,"",INDEX(CalcTime,$P84)))</f>
        <v/>
      </c>
      <c r="D84" s="28">
        <f>IF($P84="","",IF(INDEX(EntryParty,$P84)=0,"",INDEX(EntryParty,$P84)))</f>
        <v/>
      </c>
      <c r="E84" s="28">
        <f>IF($P84="","",IF(INDEX(EntryPartyName,$P84)=0,"",INDEX(EntryPartyName,$P84)))</f>
        <v/>
      </c>
      <c r="F84" s="28">
        <f>IF($P84="","",IF(INDEX(EntryPartyType,$P84)=0,"",INDEX(EntryPartyType,$P84)))</f>
        <v/>
      </c>
      <c r="G84" s="28">
        <f>IF($P84="","",IF(INDEX(EntryTxnType,$P84)=0,"",INDEX(EntryTxnType,$P84)))</f>
        <v/>
      </c>
      <c r="H84" s="29">
        <f>IF($P84="","",IF(INDEX(EntryDep,$P84)=0,"",INDEX(EntryDep,$P84)))</f>
        <v/>
      </c>
      <c r="I84" s="29">
        <f>IF($P84="","",IF(INDEX(EntryWit,$P84)=0,"",INDEX(EntryWit,$P84)))</f>
        <v/>
      </c>
      <c r="J84" s="29">
        <f>IF($B84="","",IF($A84=1,$C$7,IF(J83="",0,J83))+IF($H84="",0,$H84)-IF($I84="",0,$I84))</f>
        <v/>
      </c>
      <c r="K84" s="29">
        <f>IF($P84="","",IF(INDEX(EntryMan,$P84)=0,"",INDEX(EntryMan,$P84)))</f>
        <v/>
      </c>
      <c r="L84" s="28">
        <f>IF($B84="","",IF($K84="","—",IF(ROUND($K84-$J84,0)=0,"√","×")))</f>
        <v/>
      </c>
      <c r="M84" s="28">
        <f>IF($B84="","",IF(COUNTIFS(EntryDates,$B84,CalcTime,$C84,CalcBank,$C$5,EntryParty,$D84,EntryDep,$H84,EntryWit,$I84)&gt;1,"تکرار",""))</f>
        <v/>
      </c>
      <c r="N84" s="28">
        <f>IF($P84="","",IF(INDEX(EntryNotes,$P84)=0,"",INDEX(EntryNotes,$P84)))</f>
        <v/>
      </c>
      <c r="O84" s="28">
        <f>IF($P84="","",IF(INDEX(EntryTxnID,$P84)=0,"",INDEX(EntryTxnID,$P84)))</f>
        <v/>
      </c>
      <c r="P84" s="28">
        <f>IFERROR(MATCH($C$5&amp;"|"&amp;RIGHT("000000"&amp;68,6),CalcRankKey,0),"")</f>
        <v/>
      </c>
    </row>
    <row r="85">
      <c r="A85" s="26">
        <f>IF($B85="","",69)</f>
        <v/>
      </c>
      <c r="B85" s="26">
        <f>IF($P85="","",IF(INDEX(CalcNormDate,$P85)=0,"",INDEX(CalcNormDate,$P85)))</f>
        <v/>
      </c>
      <c r="C85" s="26">
        <f>IF($P85="","",IF(INDEX(CalcTime,$P85)=0,"",INDEX(CalcTime,$P85)))</f>
        <v/>
      </c>
      <c r="D85" s="26">
        <f>IF($P85="","",IF(INDEX(EntryParty,$P85)=0,"",INDEX(EntryParty,$P85)))</f>
        <v/>
      </c>
      <c r="E85" s="26">
        <f>IF($P85="","",IF(INDEX(EntryPartyName,$P85)=0,"",INDEX(EntryPartyName,$P85)))</f>
        <v/>
      </c>
      <c r="F85" s="26">
        <f>IF($P85="","",IF(INDEX(EntryPartyType,$P85)=0,"",INDEX(EntryPartyType,$P85)))</f>
        <v/>
      </c>
      <c r="G85" s="26">
        <f>IF($P85="","",IF(INDEX(EntryTxnType,$P85)=0,"",INDEX(EntryTxnType,$P85)))</f>
        <v/>
      </c>
      <c r="H85" s="27">
        <f>IF($P85="","",IF(INDEX(EntryDep,$P85)=0,"",INDEX(EntryDep,$P85)))</f>
        <v/>
      </c>
      <c r="I85" s="27">
        <f>IF($P85="","",IF(INDEX(EntryWit,$P85)=0,"",INDEX(EntryWit,$P85)))</f>
        <v/>
      </c>
      <c r="J85" s="27">
        <f>IF($B85="","",IF($A85=1,$C$7,IF(J84="",0,J84))+IF($H85="",0,$H85)-IF($I85="",0,$I85))</f>
        <v/>
      </c>
      <c r="K85" s="27">
        <f>IF($P85="","",IF(INDEX(EntryMan,$P85)=0,"",INDEX(EntryMan,$P85)))</f>
        <v/>
      </c>
      <c r="L85" s="26">
        <f>IF($B85="","",IF($K85="","—",IF(ROUND($K85-$J85,0)=0,"√","×")))</f>
        <v/>
      </c>
      <c r="M85" s="26">
        <f>IF($B85="","",IF(COUNTIFS(EntryDates,$B85,CalcTime,$C85,CalcBank,$C$5,EntryParty,$D85,EntryDep,$H85,EntryWit,$I85)&gt;1,"تکرار",""))</f>
        <v/>
      </c>
      <c r="N85" s="26">
        <f>IF($P85="","",IF(INDEX(EntryNotes,$P85)=0,"",INDEX(EntryNotes,$P85)))</f>
        <v/>
      </c>
      <c r="O85" s="26">
        <f>IF($P85="","",IF(INDEX(EntryTxnID,$P85)=0,"",INDEX(EntryTxnID,$P85)))</f>
        <v/>
      </c>
      <c r="P85" s="26">
        <f>IFERROR(MATCH($C$5&amp;"|"&amp;RIGHT("000000"&amp;69,6),CalcRankKey,0),"")</f>
        <v/>
      </c>
    </row>
    <row r="86">
      <c r="A86" s="28">
        <f>IF($B86="","",70)</f>
        <v/>
      </c>
      <c r="B86" s="28">
        <f>IF($P86="","",IF(INDEX(CalcNormDate,$P86)=0,"",INDEX(CalcNormDate,$P86)))</f>
        <v/>
      </c>
      <c r="C86" s="28">
        <f>IF($P86="","",IF(INDEX(CalcTime,$P86)=0,"",INDEX(CalcTime,$P86)))</f>
        <v/>
      </c>
      <c r="D86" s="28">
        <f>IF($P86="","",IF(INDEX(EntryParty,$P86)=0,"",INDEX(EntryParty,$P86)))</f>
        <v/>
      </c>
      <c r="E86" s="28">
        <f>IF($P86="","",IF(INDEX(EntryPartyName,$P86)=0,"",INDEX(EntryPartyName,$P86)))</f>
        <v/>
      </c>
      <c r="F86" s="28">
        <f>IF($P86="","",IF(INDEX(EntryPartyType,$P86)=0,"",INDEX(EntryPartyType,$P86)))</f>
        <v/>
      </c>
      <c r="G86" s="28">
        <f>IF($P86="","",IF(INDEX(EntryTxnType,$P86)=0,"",INDEX(EntryTxnType,$P86)))</f>
        <v/>
      </c>
      <c r="H86" s="29">
        <f>IF($P86="","",IF(INDEX(EntryDep,$P86)=0,"",INDEX(EntryDep,$P86)))</f>
        <v/>
      </c>
      <c r="I86" s="29">
        <f>IF($P86="","",IF(INDEX(EntryWit,$P86)=0,"",INDEX(EntryWit,$P86)))</f>
        <v/>
      </c>
      <c r="J86" s="29">
        <f>IF($B86="","",IF($A86=1,$C$7,IF(J85="",0,J85))+IF($H86="",0,$H86)-IF($I86="",0,$I86))</f>
        <v/>
      </c>
      <c r="K86" s="29">
        <f>IF($P86="","",IF(INDEX(EntryMan,$P86)=0,"",INDEX(EntryMan,$P86)))</f>
        <v/>
      </c>
      <c r="L86" s="28">
        <f>IF($B86="","",IF($K86="","—",IF(ROUND($K86-$J86,0)=0,"√","×")))</f>
        <v/>
      </c>
      <c r="M86" s="28">
        <f>IF($B86="","",IF(COUNTIFS(EntryDates,$B86,CalcTime,$C86,CalcBank,$C$5,EntryParty,$D86,EntryDep,$H86,EntryWit,$I86)&gt;1,"تکرار",""))</f>
        <v/>
      </c>
      <c r="N86" s="28">
        <f>IF($P86="","",IF(INDEX(EntryNotes,$P86)=0,"",INDEX(EntryNotes,$P86)))</f>
        <v/>
      </c>
      <c r="O86" s="28">
        <f>IF($P86="","",IF(INDEX(EntryTxnID,$P86)=0,"",INDEX(EntryTxnID,$P86)))</f>
        <v/>
      </c>
      <c r="P86" s="28">
        <f>IFERROR(MATCH($C$5&amp;"|"&amp;RIGHT("000000"&amp;70,6),CalcRankKey,0),"")</f>
        <v/>
      </c>
    </row>
    <row r="87">
      <c r="A87" s="26">
        <f>IF($B87="","",71)</f>
        <v/>
      </c>
      <c r="B87" s="26">
        <f>IF($P87="","",IF(INDEX(CalcNormDate,$P87)=0,"",INDEX(CalcNormDate,$P87)))</f>
        <v/>
      </c>
      <c r="C87" s="26">
        <f>IF($P87="","",IF(INDEX(CalcTime,$P87)=0,"",INDEX(CalcTime,$P87)))</f>
        <v/>
      </c>
      <c r="D87" s="26">
        <f>IF($P87="","",IF(INDEX(EntryParty,$P87)=0,"",INDEX(EntryParty,$P87)))</f>
        <v/>
      </c>
      <c r="E87" s="26">
        <f>IF($P87="","",IF(INDEX(EntryPartyName,$P87)=0,"",INDEX(EntryPartyName,$P87)))</f>
        <v/>
      </c>
      <c r="F87" s="26">
        <f>IF($P87="","",IF(INDEX(EntryPartyType,$P87)=0,"",INDEX(EntryPartyType,$P87)))</f>
        <v/>
      </c>
      <c r="G87" s="26">
        <f>IF($P87="","",IF(INDEX(EntryTxnType,$P87)=0,"",INDEX(EntryTxnType,$P87)))</f>
        <v/>
      </c>
      <c r="H87" s="27">
        <f>IF($P87="","",IF(INDEX(EntryDep,$P87)=0,"",INDEX(EntryDep,$P87)))</f>
        <v/>
      </c>
      <c r="I87" s="27">
        <f>IF($P87="","",IF(INDEX(EntryWit,$P87)=0,"",INDEX(EntryWit,$P87)))</f>
        <v/>
      </c>
      <c r="J87" s="27">
        <f>IF($B87="","",IF($A87=1,$C$7,IF(J86="",0,J86))+IF($H87="",0,$H87)-IF($I87="",0,$I87))</f>
        <v/>
      </c>
      <c r="K87" s="27">
        <f>IF($P87="","",IF(INDEX(EntryMan,$P87)=0,"",INDEX(EntryMan,$P87)))</f>
        <v/>
      </c>
      <c r="L87" s="26">
        <f>IF($B87="","",IF($K87="","—",IF(ROUND($K87-$J87,0)=0,"√","×")))</f>
        <v/>
      </c>
      <c r="M87" s="26">
        <f>IF($B87="","",IF(COUNTIFS(EntryDates,$B87,CalcTime,$C87,CalcBank,$C$5,EntryParty,$D87,EntryDep,$H87,EntryWit,$I87)&gt;1,"تکرار",""))</f>
        <v/>
      </c>
      <c r="N87" s="26">
        <f>IF($P87="","",IF(INDEX(EntryNotes,$P87)=0,"",INDEX(EntryNotes,$P87)))</f>
        <v/>
      </c>
      <c r="O87" s="26">
        <f>IF($P87="","",IF(INDEX(EntryTxnID,$P87)=0,"",INDEX(EntryTxnID,$P87)))</f>
        <v/>
      </c>
      <c r="P87" s="26">
        <f>IFERROR(MATCH($C$5&amp;"|"&amp;RIGHT("000000"&amp;71,6),CalcRankKey,0),"")</f>
        <v/>
      </c>
    </row>
    <row r="88">
      <c r="A88" s="28">
        <f>IF($B88="","",72)</f>
        <v/>
      </c>
      <c r="B88" s="28">
        <f>IF($P88="","",IF(INDEX(CalcNormDate,$P88)=0,"",INDEX(CalcNormDate,$P88)))</f>
        <v/>
      </c>
      <c r="C88" s="28">
        <f>IF($P88="","",IF(INDEX(CalcTime,$P88)=0,"",INDEX(CalcTime,$P88)))</f>
        <v/>
      </c>
      <c r="D88" s="28">
        <f>IF($P88="","",IF(INDEX(EntryParty,$P88)=0,"",INDEX(EntryParty,$P88)))</f>
        <v/>
      </c>
      <c r="E88" s="28">
        <f>IF($P88="","",IF(INDEX(EntryPartyName,$P88)=0,"",INDEX(EntryPartyName,$P88)))</f>
        <v/>
      </c>
      <c r="F88" s="28">
        <f>IF($P88="","",IF(INDEX(EntryPartyType,$P88)=0,"",INDEX(EntryPartyType,$P88)))</f>
        <v/>
      </c>
      <c r="G88" s="28">
        <f>IF($P88="","",IF(INDEX(EntryTxnType,$P88)=0,"",INDEX(EntryTxnType,$P88)))</f>
        <v/>
      </c>
      <c r="H88" s="29">
        <f>IF($P88="","",IF(INDEX(EntryDep,$P88)=0,"",INDEX(EntryDep,$P88)))</f>
        <v/>
      </c>
      <c r="I88" s="29">
        <f>IF($P88="","",IF(INDEX(EntryWit,$P88)=0,"",INDEX(EntryWit,$P88)))</f>
        <v/>
      </c>
      <c r="J88" s="29">
        <f>IF($B88="","",IF($A88=1,$C$7,IF(J87="",0,J87))+IF($H88="",0,$H88)-IF($I88="",0,$I88))</f>
        <v/>
      </c>
      <c r="K88" s="29">
        <f>IF($P88="","",IF(INDEX(EntryMan,$P88)=0,"",INDEX(EntryMan,$P88)))</f>
        <v/>
      </c>
      <c r="L88" s="28">
        <f>IF($B88="","",IF($K88="","—",IF(ROUND($K88-$J88,0)=0,"√","×")))</f>
        <v/>
      </c>
      <c r="M88" s="28">
        <f>IF($B88="","",IF(COUNTIFS(EntryDates,$B88,CalcTime,$C88,CalcBank,$C$5,EntryParty,$D88,EntryDep,$H88,EntryWit,$I88)&gt;1,"تکرار",""))</f>
        <v/>
      </c>
      <c r="N88" s="28">
        <f>IF($P88="","",IF(INDEX(EntryNotes,$P88)=0,"",INDEX(EntryNotes,$P88)))</f>
        <v/>
      </c>
      <c r="O88" s="28">
        <f>IF($P88="","",IF(INDEX(EntryTxnID,$P88)=0,"",INDEX(EntryTxnID,$P88)))</f>
        <v/>
      </c>
      <c r="P88" s="28">
        <f>IFERROR(MATCH($C$5&amp;"|"&amp;RIGHT("000000"&amp;72,6),CalcRankKey,0),"")</f>
        <v/>
      </c>
    </row>
    <row r="89">
      <c r="A89" s="26">
        <f>IF($B89="","",73)</f>
        <v/>
      </c>
      <c r="B89" s="26">
        <f>IF($P89="","",IF(INDEX(CalcNormDate,$P89)=0,"",INDEX(CalcNormDate,$P89)))</f>
        <v/>
      </c>
      <c r="C89" s="26">
        <f>IF($P89="","",IF(INDEX(CalcTime,$P89)=0,"",INDEX(CalcTime,$P89)))</f>
        <v/>
      </c>
      <c r="D89" s="26">
        <f>IF($P89="","",IF(INDEX(EntryParty,$P89)=0,"",INDEX(EntryParty,$P89)))</f>
        <v/>
      </c>
      <c r="E89" s="26">
        <f>IF($P89="","",IF(INDEX(EntryPartyName,$P89)=0,"",INDEX(EntryPartyName,$P89)))</f>
        <v/>
      </c>
      <c r="F89" s="26">
        <f>IF($P89="","",IF(INDEX(EntryPartyType,$P89)=0,"",INDEX(EntryPartyType,$P89)))</f>
        <v/>
      </c>
      <c r="G89" s="26">
        <f>IF($P89="","",IF(INDEX(EntryTxnType,$P89)=0,"",INDEX(EntryTxnType,$P89)))</f>
        <v/>
      </c>
      <c r="H89" s="27">
        <f>IF($P89="","",IF(INDEX(EntryDep,$P89)=0,"",INDEX(EntryDep,$P89)))</f>
        <v/>
      </c>
      <c r="I89" s="27">
        <f>IF($P89="","",IF(INDEX(EntryWit,$P89)=0,"",INDEX(EntryWit,$P89)))</f>
        <v/>
      </c>
      <c r="J89" s="27">
        <f>IF($B89="","",IF($A89=1,$C$7,IF(J88="",0,J88))+IF($H89="",0,$H89)-IF($I89="",0,$I89))</f>
        <v/>
      </c>
      <c r="K89" s="27">
        <f>IF($P89="","",IF(INDEX(EntryMan,$P89)=0,"",INDEX(EntryMan,$P89)))</f>
        <v/>
      </c>
      <c r="L89" s="26">
        <f>IF($B89="","",IF($K89="","—",IF(ROUND($K89-$J89,0)=0,"√","×")))</f>
        <v/>
      </c>
      <c r="M89" s="26">
        <f>IF($B89="","",IF(COUNTIFS(EntryDates,$B89,CalcTime,$C89,CalcBank,$C$5,EntryParty,$D89,EntryDep,$H89,EntryWit,$I89)&gt;1,"تکرار",""))</f>
        <v/>
      </c>
      <c r="N89" s="26">
        <f>IF($P89="","",IF(INDEX(EntryNotes,$P89)=0,"",INDEX(EntryNotes,$P89)))</f>
        <v/>
      </c>
      <c r="O89" s="26">
        <f>IF($P89="","",IF(INDEX(EntryTxnID,$P89)=0,"",INDEX(EntryTxnID,$P89)))</f>
        <v/>
      </c>
      <c r="P89" s="26">
        <f>IFERROR(MATCH($C$5&amp;"|"&amp;RIGHT("000000"&amp;73,6),CalcRankKey,0),"")</f>
        <v/>
      </c>
    </row>
    <row r="90">
      <c r="A90" s="28">
        <f>IF($B90="","",74)</f>
        <v/>
      </c>
      <c r="B90" s="28">
        <f>IF($P90="","",IF(INDEX(CalcNormDate,$P90)=0,"",INDEX(CalcNormDate,$P90)))</f>
        <v/>
      </c>
      <c r="C90" s="28">
        <f>IF($P90="","",IF(INDEX(CalcTime,$P90)=0,"",INDEX(CalcTime,$P90)))</f>
        <v/>
      </c>
      <c r="D90" s="28">
        <f>IF($P90="","",IF(INDEX(EntryParty,$P90)=0,"",INDEX(EntryParty,$P90)))</f>
        <v/>
      </c>
      <c r="E90" s="28">
        <f>IF($P90="","",IF(INDEX(EntryPartyName,$P90)=0,"",INDEX(EntryPartyName,$P90)))</f>
        <v/>
      </c>
      <c r="F90" s="28">
        <f>IF($P90="","",IF(INDEX(EntryPartyType,$P90)=0,"",INDEX(EntryPartyType,$P90)))</f>
        <v/>
      </c>
      <c r="G90" s="28">
        <f>IF($P90="","",IF(INDEX(EntryTxnType,$P90)=0,"",INDEX(EntryTxnType,$P90)))</f>
        <v/>
      </c>
      <c r="H90" s="29">
        <f>IF($P90="","",IF(INDEX(EntryDep,$P90)=0,"",INDEX(EntryDep,$P90)))</f>
        <v/>
      </c>
      <c r="I90" s="29">
        <f>IF($P90="","",IF(INDEX(EntryWit,$P90)=0,"",INDEX(EntryWit,$P90)))</f>
        <v/>
      </c>
      <c r="J90" s="29">
        <f>IF($B90="","",IF($A90=1,$C$7,IF(J89="",0,J89))+IF($H90="",0,$H90)-IF($I90="",0,$I90))</f>
        <v/>
      </c>
      <c r="K90" s="29">
        <f>IF($P90="","",IF(INDEX(EntryMan,$P90)=0,"",INDEX(EntryMan,$P90)))</f>
        <v/>
      </c>
      <c r="L90" s="28">
        <f>IF($B90="","",IF($K90="","—",IF(ROUND($K90-$J90,0)=0,"√","×")))</f>
        <v/>
      </c>
      <c r="M90" s="28">
        <f>IF($B90="","",IF(COUNTIFS(EntryDates,$B90,CalcTime,$C90,CalcBank,$C$5,EntryParty,$D90,EntryDep,$H90,EntryWit,$I90)&gt;1,"تکرار",""))</f>
        <v/>
      </c>
      <c r="N90" s="28">
        <f>IF($P90="","",IF(INDEX(EntryNotes,$P90)=0,"",INDEX(EntryNotes,$P90)))</f>
        <v/>
      </c>
      <c r="O90" s="28">
        <f>IF($P90="","",IF(INDEX(EntryTxnID,$P90)=0,"",INDEX(EntryTxnID,$P90)))</f>
        <v/>
      </c>
      <c r="P90" s="28">
        <f>IFERROR(MATCH($C$5&amp;"|"&amp;RIGHT("000000"&amp;74,6),CalcRankKey,0),"")</f>
        <v/>
      </c>
    </row>
    <row r="91">
      <c r="A91" s="26">
        <f>IF($B91="","",75)</f>
        <v/>
      </c>
      <c r="B91" s="26">
        <f>IF($P91="","",IF(INDEX(CalcNormDate,$P91)=0,"",INDEX(CalcNormDate,$P91)))</f>
        <v/>
      </c>
      <c r="C91" s="26">
        <f>IF($P91="","",IF(INDEX(CalcTime,$P91)=0,"",INDEX(CalcTime,$P91)))</f>
        <v/>
      </c>
      <c r="D91" s="26">
        <f>IF($P91="","",IF(INDEX(EntryParty,$P91)=0,"",INDEX(EntryParty,$P91)))</f>
        <v/>
      </c>
      <c r="E91" s="26">
        <f>IF($P91="","",IF(INDEX(EntryPartyName,$P91)=0,"",INDEX(EntryPartyName,$P91)))</f>
        <v/>
      </c>
      <c r="F91" s="26">
        <f>IF($P91="","",IF(INDEX(EntryPartyType,$P91)=0,"",INDEX(EntryPartyType,$P91)))</f>
        <v/>
      </c>
      <c r="G91" s="26">
        <f>IF($P91="","",IF(INDEX(EntryTxnType,$P91)=0,"",INDEX(EntryTxnType,$P91)))</f>
        <v/>
      </c>
      <c r="H91" s="27">
        <f>IF($P91="","",IF(INDEX(EntryDep,$P91)=0,"",INDEX(EntryDep,$P91)))</f>
        <v/>
      </c>
      <c r="I91" s="27">
        <f>IF($P91="","",IF(INDEX(EntryWit,$P91)=0,"",INDEX(EntryWit,$P91)))</f>
        <v/>
      </c>
      <c r="J91" s="27">
        <f>IF($B91="","",IF($A91=1,$C$7,IF(J90="",0,J90))+IF($H91="",0,$H91)-IF($I91="",0,$I91))</f>
        <v/>
      </c>
      <c r="K91" s="27">
        <f>IF($P91="","",IF(INDEX(EntryMan,$P91)=0,"",INDEX(EntryMan,$P91)))</f>
        <v/>
      </c>
      <c r="L91" s="26">
        <f>IF($B91="","",IF($K91="","—",IF(ROUND($K91-$J91,0)=0,"√","×")))</f>
        <v/>
      </c>
      <c r="M91" s="26">
        <f>IF($B91="","",IF(COUNTIFS(EntryDates,$B91,CalcTime,$C91,CalcBank,$C$5,EntryParty,$D91,EntryDep,$H91,EntryWit,$I91)&gt;1,"تکرار",""))</f>
        <v/>
      </c>
      <c r="N91" s="26">
        <f>IF($P91="","",IF(INDEX(EntryNotes,$P91)=0,"",INDEX(EntryNotes,$P91)))</f>
        <v/>
      </c>
      <c r="O91" s="26">
        <f>IF($P91="","",IF(INDEX(EntryTxnID,$P91)=0,"",INDEX(EntryTxnID,$P91)))</f>
        <v/>
      </c>
      <c r="P91" s="26">
        <f>IFERROR(MATCH($C$5&amp;"|"&amp;RIGHT("000000"&amp;75,6),CalcRankKey,0),"")</f>
        <v/>
      </c>
    </row>
    <row r="92">
      <c r="A92" s="28">
        <f>IF($B92="","",76)</f>
        <v/>
      </c>
      <c r="B92" s="28">
        <f>IF($P92="","",IF(INDEX(CalcNormDate,$P92)=0,"",INDEX(CalcNormDate,$P92)))</f>
        <v/>
      </c>
      <c r="C92" s="28">
        <f>IF($P92="","",IF(INDEX(CalcTime,$P92)=0,"",INDEX(CalcTime,$P92)))</f>
        <v/>
      </c>
      <c r="D92" s="28">
        <f>IF($P92="","",IF(INDEX(EntryParty,$P92)=0,"",INDEX(EntryParty,$P92)))</f>
        <v/>
      </c>
      <c r="E92" s="28">
        <f>IF($P92="","",IF(INDEX(EntryPartyName,$P92)=0,"",INDEX(EntryPartyName,$P92)))</f>
        <v/>
      </c>
      <c r="F92" s="28">
        <f>IF($P92="","",IF(INDEX(EntryPartyType,$P92)=0,"",INDEX(EntryPartyType,$P92)))</f>
        <v/>
      </c>
      <c r="G92" s="28">
        <f>IF($P92="","",IF(INDEX(EntryTxnType,$P92)=0,"",INDEX(EntryTxnType,$P92)))</f>
        <v/>
      </c>
      <c r="H92" s="29">
        <f>IF($P92="","",IF(INDEX(EntryDep,$P92)=0,"",INDEX(EntryDep,$P92)))</f>
        <v/>
      </c>
      <c r="I92" s="29">
        <f>IF($P92="","",IF(INDEX(EntryWit,$P92)=0,"",INDEX(EntryWit,$P92)))</f>
        <v/>
      </c>
      <c r="J92" s="29">
        <f>IF($B92="","",IF($A92=1,$C$7,IF(J91="",0,J91))+IF($H92="",0,$H92)-IF($I92="",0,$I92))</f>
        <v/>
      </c>
      <c r="K92" s="29">
        <f>IF($P92="","",IF(INDEX(EntryMan,$P92)=0,"",INDEX(EntryMan,$P92)))</f>
        <v/>
      </c>
      <c r="L92" s="28">
        <f>IF($B92="","",IF($K92="","—",IF(ROUND($K92-$J92,0)=0,"√","×")))</f>
        <v/>
      </c>
      <c r="M92" s="28">
        <f>IF($B92="","",IF(COUNTIFS(EntryDates,$B92,CalcTime,$C92,CalcBank,$C$5,EntryParty,$D92,EntryDep,$H92,EntryWit,$I92)&gt;1,"تکرار",""))</f>
        <v/>
      </c>
      <c r="N92" s="28">
        <f>IF($P92="","",IF(INDEX(EntryNotes,$P92)=0,"",INDEX(EntryNotes,$P92)))</f>
        <v/>
      </c>
      <c r="O92" s="28">
        <f>IF($P92="","",IF(INDEX(EntryTxnID,$P92)=0,"",INDEX(EntryTxnID,$P92)))</f>
        <v/>
      </c>
      <c r="P92" s="28">
        <f>IFERROR(MATCH($C$5&amp;"|"&amp;RIGHT("000000"&amp;76,6),CalcRankKey,0),"")</f>
        <v/>
      </c>
    </row>
    <row r="93">
      <c r="A93" s="26">
        <f>IF($B93="","",77)</f>
        <v/>
      </c>
      <c r="B93" s="26">
        <f>IF($P93="","",IF(INDEX(CalcNormDate,$P93)=0,"",INDEX(CalcNormDate,$P93)))</f>
        <v/>
      </c>
      <c r="C93" s="26">
        <f>IF($P93="","",IF(INDEX(CalcTime,$P93)=0,"",INDEX(CalcTime,$P93)))</f>
        <v/>
      </c>
      <c r="D93" s="26">
        <f>IF($P93="","",IF(INDEX(EntryParty,$P93)=0,"",INDEX(EntryParty,$P93)))</f>
        <v/>
      </c>
      <c r="E93" s="26">
        <f>IF($P93="","",IF(INDEX(EntryPartyName,$P93)=0,"",INDEX(EntryPartyName,$P93)))</f>
        <v/>
      </c>
      <c r="F93" s="26">
        <f>IF($P93="","",IF(INDEX(EntryPartyType,$P93)=0,"",INDEX(EntryPartyType,$P93)))</f>
        <v/>
      </c>
      <c r="G93" s="26">
        <f>IF($P93="","",IF(INDEX(EntryTxnType,$P93)=0,"",INDEX(EntryTxnType,$P93)))</f>
        <v/>
      </c>
      <c r="H93" s="27">
        <f>IF($P93="","",IF(INDEX(EntryDep,$P93)=0,"",INDEX(EntryDep,$P93)))</f>
        <v/>
      </c>
      <c r="I93" s="27">
        <f>IF($P93="","",IF(INDEX(EntryWit,$P93)=0,"",INDEX(EntryWit,$P93)))</f>
        <v/>
      </c>
      <c r="J93" s="27">
        <f>IF($B93="","",IF($A93=1,$C$7,IF(J92="",0,J92))+IF($H93="",0,$H93)-IF($I93="",0,$I93))</f>
        <v/>
      </c>
      <c r="K93" s="27">
        <f>IF($P93="","",IF(INDEX(EntryMan,$P93)=0,"",INDEX(EntryMan,$P93)))</f>
        <v/>
      </c>
      <c r="L93" s="26">
        <f>IF($B93="","",IF($K93="","—",IF(ROUND($K93-$J93,0)=0,"√","×")))</f>
        <v/>
      </c>
      <c r="M93" s="26">
        <f>IF($B93="","",IF(COUNTIFS(EntryDates,$B93,CalcTime,$C93,CalcBank,$C$5,EntryParty,$D93,EntryDep,$H93,EntryWit,$I93)&gt;1,"تکرار",""))</f>
        <v/>
      </c>
      <c r="N93" s="26">
        <f>IF($P93="","",IF(INDEX(EntryNotes,$P93)=0,"",INDEX(EntryNotes,$P93)))</f>
        <v/>
      </c>
      <c r="O93" s="26">
        <f>IF($P93="","",IF(INDEX(EntryTxnID,$P93)=0,"",INDEX(EntryTxnID,$P93)))</f>
        <v/>
      </c>
      <c r="P93" s="26">
        <f>IFERROR(MATCH($C$5&amp;"|"&amp;RIGHT("000000"&amp;77,6),CalcRankKey,0),"")</f>
        <v/>
      </c>
    </row>
    <row r="94">
      <c r="A94" s="28">
        <f>IF($B94="","",78)</f>
        <v/>
      </c>
      <c r="B94" s="28">
        <f>IF($P94="","",IF(INDEX(CalcNormDate,$P94)=0,"",INDEX(CalcNormDate,$P94)))</f>
        <v/>
      </c>
      <c r="C94" s="28">
        <f>IF($P94="","",IF(INDEX(CalcTime,$P94)=0,"",INDEX(CalcTime,$P94)))</f>
        <v/>
      </c>
      <c r="D94" s="28">
        <f>IF($P94="","",IF(INDEX(EntryParty,$P94)=0,"",INDEX(EntryParty,$P94)))</f>
        <v/>
      </c>
      <c r="E94" s="28">
        <f>IF($P94="","",IF(INDEX(EntryPartyName,$P94)=0,"",INDEX(EntryPartyName,$P94)))</f>
        <v/>
      </c>
      <c r="F94" s="28">
        <f>IF($P94="","",IF(INDEX(EntryPartyType,$P94)=0,"",INDEX(EntryPartyType,$P94)))</f>
        <v/>
      </c>
      <c r="G94" s="28">
        <f>IF($P94="","",IF(INDEX(EntryTxnType,$P94)=0,"",INDEX(EntryTxnType,$P94)))</f>
        <v/>
      </c>
      <c r="H94" s="29">
        <f>IF($P94="","",IF(INDEX(EntryDep,$P94)=0,"",INDEX(EntryDep,$P94)))</f>
        <v/>
      </c>
      <c r="I94" s="29">
        <f>IF($P94="","",IF(INDEX(EntryWit,$P94)=0,"",INDEX(EntryWit,$P94)))</f>
        <v/>
      </c>
      <c r="J94" s="29">
        <f>IF($B94="","",IF($A94=1,$C$7,IF(J93="",0,J93))+IF($H94="",0,$H94)-IF($I94="",0,$I94))</f>
        <v/>
      </c>
      <c r="K94" s="29">
        <f>IF($P94="","",IF(INDEX(EntryMan,$P94)=0,"",INDEX(EntryMan,$P94)))</f>
        <v/>
      </c>
      <c r="L94" s="28">
        <f>IF($B94="","",IF($K94="","—",IF(ROUND($K94-$J94,0)=0,"√","×")))</f>
        <v/>
      </c>
      <c r="M94" s="28">
        <f>IF($B94="","",IF(COUNTIFS(EntryDates,$B94,CalcTime,$C94,CalcBank,$C$5,EntryParty,$D94,EntryDep,$H94,EntryWit,$I94)&gt;1,"تکرار",""))</f>
        <v/>
      </c>
      <c r="N94" s="28">
        <f>IF($P94="","",IF(INDEX(EntryNotes,$P94)=0,"",INDEX(EntryNotes,$P94)))</f>
        <v/>
      </c>
      <c r="O94" s="28">
        <f>IF($P94="","",IF(INDEX(EntryTxnID,$P94)=0,"",INDEX(EntryTxnID,$P94)))</f>
        <v/>
      </c>
      <c r="P94" s="28">
        <f>IFERROR(MATCH($C$5&amp;"|"&amp;RIGHT("000000"&amp;78,6),CalcRankKey,0),"")</f>
        <v/>
      </c>
    </row>
    <row r="95">
      <c r="A95" s="26">
        <f>IF($B95="","",79)</f>
        <v/>
      </c>
      <c r="B95" s="26">
        <f>IF($P95="","",IF(INDEX(CalcNormDate,$P95)=0,"",INDEX(CalcNormDate,$P95)))</f>
        <v/>
      </c>
      <c r="C95" s="26">
        <f>IF($P95="","",IF(INDEX(CalcTime,$P95)=0,"",INDEX(CalcTime,$P95)))</f>
        <v/>
      </c>
      <c r="D95" s="26">
        <f>IF($P95="","",IF(INDEX(EntryParty,$P95)=0,"",INDEX(EntryParty,$P95)))</f>
        <v/>
      </c>
      <c r="E95" s="26">
        <f>IF($P95="","",IF(INDEX(EntryPartyName,$P95)=0,"",INDEX(EntryPartyName,$P95)))</f>
        <v/>
      </c>
      <c r="F95" s="26">
        <f>IF($P95="","",IF(INDEX(EntryPartyType,$P95)=0,"",INDEX(EntryPartyType,$P95)))</f>
        <v/>
      </c>
      <c r="G95" s="26">
        <f>IF($P95="","",IF(INDEX(EntryTxnType,$P95)=0,"",INDEX(EntryTxnType,$P95)))</f>
        <v/>
      </c>
      <c r="H95" s="27">
        <f>IF($P95="","",IF(INDEX(EntryDep,$P95)=0,"",INDEX(EntryDep,$P95)))</f>
        <v/>
      </c>
      <c r="I95" s="27">
        <f>IF($P95="","",IF(INDEX(EntryWit,$P95)=0,"",INDEX(EntryWit,$P95)))</f>
        <v/>
      </c>
      <c r="J95" s="27">
        <f>IF($B95="","",IF($A95=1,$C$7,IF(J94="",0,J94))+IF($H95="",0,$H95)-IF($I95="",0,$I95))</f>
        <v/>
      </c>
      <c r="K95" s="27">
        <f>IF($P95="","",IF(INDEX(EntryMan,$P95)=0,"",INDEX(EntryMan,$P95)))</f>
        <v/>
      </c>
      <c r="L95" s="26">
        <f>IF($B95="","",IF($K95="","—",IF(ROUND($K95-$J95,0)=0,"√","×")))</f>
        <v/>
      </c>
      <c r="M95" s="26">
        <f>IF($B95="","",IF(COUNTIFS(EntryDates,$B95,CalcTime,$C95,CalcBank,$C$5,EntryParty,$D95,EntryDep,$H95,EntryWit,$I95)&gt;1,"تکرار",""))</f>
        <v/>
      </c>
      <c r="N95" s="26">
        <f>IF($P95="","",IF(INDEX(EntryNotes,$P95)=0,"",INDEX(EntryNotes,$P95)))</f>
        <v/>
      </c>
      <c r="O95" s="26">
        <f>IF($P95="","",IF(INDEX(EntryTxnID,$P95)=0,"",INDEX(EntryTxnID,$P95)))</f>
        <v/>
      </c>
      <c r="P95" s="26">
        <f>IFERROR(MATCH($C$5&amp;"|"&amp;RIGHT("000000"&amp;79,6),CalcRankKey,0),"")</f>
        <v/>
      </c>
    </row>
    <row r="96">
      <c r="A96" s="28">
        <f>IF($B96="","",80)</f>
        <v/>
      </c>
      <c r="B96" s="28">
        <f>IF($P96="","",IF(INDEX(CalcNormDate,$P96)=0,"",INDEX(CalcNormDate,$P96)))</f>
        <v/>
      </c>
      <c r="C96" s="28">
        <f>IF($P96="","",IF(INDEX(CalcTime,$P96)=0,"",INDEX(CalcTime,$P96)))</f>
        <v/>
      </c>
      <c r="D96" s="28">
        <f>IF($P96="","",IF(INDEX(EntryParty,$P96)=0,"",INDEX(EntryParty,$P96)))</f>
        <v/>
      </c>
      <c r="E96" s="28">
        <f>IF($P96="","",IF(INDEX(EntryPartyName,$P96)=0,"",INDEX(EntryPartyName,$P96)))</f>
        <v/>
      </c>
      <c r="F96" s="28">
        <f>IF($P96="","",IF(INDEX(EntryPartyType,$P96)=0,"",INDEX(EntryPartyType,$P96)))</f>
        <v/>
      </c>
      <c r="G96" s="28">
        <f>IF($P96="","",IF(INDEX(EntryTxnType,$P96)=0,"",INDEX(EntryTxnType,$P96)))</f>
        <v/>
      </c>
      <c r="H96" s="29">
        <f>IF($P96="","",IF(INDEX(EntryDep,$P96)=0,"",INDEX(EntryDep,$P96)))</f>
        <v/>
      </c>
      <c r="I96" s="29">
        <f>IF($P96="","",IF(INDEX(EntryWit,$P96)=0,"",INDEX(EntryWit,$P96)))</f>
        <v/>
      </c>
      <c r="J96" s="29">
        <f>IF($B96="","",IF($A96=1,$C$7,IF(J95="",0,J95))+IF($H96="",0,$H96)-IF($I96="",0,$I96))</f>
        <v/>
      </c>
      <c r="K96" s="29">
        <f>IF($P96="","",IF(INDEX(EntryMan,$P96)=0,"",INDEX(EntryMan,$P96)))</f>
        <v/>
      </c>
      <c r="L96" s="28">
        <f>IF($B96="","",IF($K96="","—",IF(ROUND($K96-$J96,0)=0,"√","×")))</f>
        <v/>
      </c>
      <c r="M96" s="28">
        <f>IF($B96="","",IF(COUNTIFS(EntryDates,$B96,CalcTime,$C96,CalcBank,$C$5,EntryParty,$D96,EntryDep,$H96,EntryWit,$I96)&gt;1,"تکرار",""))</f>
        <v/>
      </c>
      <c r="N96" s="28">
        <f>IF($P96="","",IF(INDEX(EntryNotes,$P96)=0,"",INDEX(EntryNotes,$P96)))</f>
        <v/>
      </c>
      <c r="O96" s="28">
        <f>IF($P96="","",IF(INDEX(EntryTxnID,$P96)=0,"",INDEX(EntryTxnID,$P96)))</f>
        <v/>
      </c>
      <c r="P96" s="28">
        <f>IFERROR(MATCH($C$5&amp;"|"&amp;RIGHT("000000"&amp;80,6),CalcRankKey,0),"")</f>
        <v/>
      </c>
    </row>
    <row r="97">
      <c r="A97" s="26">
        <f>IF($B97="","",81)</f>
        <v/>
      </c>
      <c r="B97" s="26">
        <f>IF($P97="","",IF(INDEX(CalcNormDate,$P97)=0,"",INDEX(CalcNormDate,$P97)))</f>
        <v/>
      </c>
      <c r="C97" s="26">
        <f>IF($P97="","",IF(INDEX(CalcTime,$P97)=0,"",INDEX(CalcTime,$P97)))</f>
        <v/>
      </c>
      <c r="D97" s="26">
        <f>IF($P97="","",IF(INDEX(EntryParty,$P97)=0,"",INDEX(EntryParty,$P97)))</f>
        <v/>
      </c>
      <c r="E97" s="26">
        <f>IF($P97="","",IF(INDEX(EntryPartyName,$P97)=0,"",INDEX(EntryPartyName,$P97)))</f>
        <v/>
      </c>
      <c r="F97" s="26">
        <f>IF($P97="","",IF(INDEX(EntryPartyType,$P97)=0,"",INDEX(EntryPartyType,$P97)))</f>
        <v/>
      </c>
      <c r="G97" s="26">
        <f>IF($P97="","",IF(INDEX(EntryTxnType,$P97)=0,"",INDEX(EntryTxnType,$P97)))</f>
        <v/>
      </c>
      <c r="H97" s="27">
        <f>IF($P97="","",IF(INDEX(EntryDep,$P97)=0,"",INDEX(EntryDep,$P97)))</f>
        <v/>
      </c>
      <c r="I97" s="27">
        <f>IF($P97="","",IF(INDEX(EntryWit,$P97)=0,"",INDEX(EntryWit,$P97)))</f>
        <v/>
      </c>
      <c r="J97" s="27">
        <f>IF($B97="","",IF($A97=1,$C$7,IF(J96="",0,J96))+IF($H97="",0,$H97)-IF($I97="",0,$I97))</f>
        <v/>
      </c>
      <c r="K97" s="27">
        <f>IF($P97="","",IF(INDEX(EntryMan,$P97)=0,"",INDEX(EntryMan,$P97)))</f>
        <v/>
      </c>
      <c r="L97" s="26">
        <f>IF($B97="","",IF($K97="","—",IF(ROUND($K97-$J97,0)=0,"√","×")))</f>
        <v/>
      </c>
      <c r="M97" s="26">
        <f>IF($B97="","",IF(COUNTIFS(EntryDates,$B97,CalcTime,$C97,CalcBank,$C$5,EntryParty,$D97,EntryDep,$H97,EntryWit,$I97)&gt;1,"تکرار",""))</f>
        <v/>
      </c>
      <c r="N97" s="26">
        <f>IF($P97="","",IF(INDEX(EntryNotes,$P97)=0,"",INDEX(EntryNotes,$P97)))</f>
        <v/>
      </c>
      <c r="O97" s="26">
        <f>IF($P97="","",IF(INDEX(EntryTxnID,$P97)=0,"",INDEX(EntryTxnID,$P97)))</f>
        <v/>
      </c>
      <c r="P97" s="26">
        <f>IFERROR(MATCH($C$5&amp;"|"&amp;RIGHT("000000"&amp;81,6),CalcRankKey,0),"")</f>
        <v/>
      </c>
    </row>
    <row r="98">
      <c r="A98" s="28">
        <f>IF($B98="","",82)</f>
        <v/>
      </c>
      <c r="B98" s="28">
        <f>IF($P98="","",IF(INDEX(CalcNormDate,$P98)=0,"",INDEX(CalcNormDate,$P98)))</f>
        <v/>
      </c>
      <c r="C98" s="28">
        <f>IF($P98="","",IF(INDEX(CalcTime,$P98)=0,"",INDEX(CalcTime,$P98)))</f>
        <v/>
      </c>
      <c r="D98" s="28">
        <f>IF($P98="","",IF(INDEX(EntryParty,$P98)=0,"",INDEX(EntryParty,$P98)))</f>
        <v/>
      </c>
      <c r="E98" s="28">
        <f>IF($P98="","",IF(INDEX(EntryPartyName,$P98)=0,"",INDEX(EntryPartyName,$P98)))</f>
        <v/>
      </c>
      <c r="F98" s="28">
        <f>IF($P98="","",IF(INDEX(EntryPartyType,$P98)=0,"",INDEX(EntryPartyType,$P98)))</f>
        <v/>
      </c>
      <c r="G98" s="28">
        <f>IF($P98="","",IF(INDEX(EntryTxnType,$P98)=0,"",INDEX(EntryTxnType,$P98)))</f>
        <v/>
      </c>
      <c r="H98" s="29">
        <f>IF($P98="","",IF(INDEX(EntryDep,$P98)=0,"",INDEX(EntryDep,$P98)))</f>
        <v/>
      </c>
      <c r="I98" s="29">
        <f>IF($P98="","",IF(INDEX(EntryWit,$P98)=0,"",INDEX(EntryWit,$P98)))</f>
        <v/>
      </c>
      <c r="J98" s="29">
        <f>IF($B98="","",IF($A98=1,$C$7,IF(J97="",0,J97))+IF($H98="",0,$H98)-IF($I98="",0,$I98))</f>
        <v/>
      </c>
      <c r="K98" s="29">
        <f>IF($P98="","",IF(INDEX(EntryMan,$P98)=0,"",INDEX(EntryMan,$P98)))</f>
        <v/>
      </c>
      <c r="L98" s="28">
        <f>IF($B98="","",IF($K98="","—",IF(ROUND($K98-$J98,0)=0,"√","×")))</f>
        <v/>
      </c>
      <c r="M98" s="28">
        <f>IF($B98="","",IF(COUNTIFS(EntryDates,$B98,CalcTime,$C98,CalcBank,$C$5,EntryParty,$D98,EntryDep,$H98,EntryWit,$I98)&gt;1,"تکرار",""))</f>
        <v/>
      </c>
      <c r="N98" s="28">
        <f>IF($P98="","",IF(INDEX(EntryNotes,$P98)=0,"",INDEX(EntryNotes,$P98)))</f>
        <v/>
      </c>
      <c r="O98" s="28">
        <f>IF($P98="","",IF(INDEX(EntryTxnID,$P98)=0,"",INDEX(EntryTxnID,$P98)))</f>
        <v/>
      </c>
      <c r="P98" s="28">
        <f>IFERROR(MATCH($C$5&amp;"|"&amp;RIGHT("000000"&amp;82,6),CalcRankKey,0),"")</f>
        <v/>
      </c>
    </row>
    <row r="99">
      <c r="A99" s="26">
        <f>IF($B99="","",83)</f>
        <v/>
      </c>
      <c r="B99" s="26">
        <f>IF($P99="","",IF(INDEX(CalcNormDate,$P99)=0,"",INDEX(CalcNormDate,$P99)))</f>
        <v/>
      </c>
      <c r="C99" s="26">
        <f>IF($P99="","",IF(INDEX(CalcTime,$P99)=0,"",INDEX(CalcTime,$P99)))</f>
        <v/>
      </c>
      <c r="D99" s="26">
        <f>IF($P99="","",IF(INDEX(EntryParty,$P99)=0,"",INDEX(EntryParty,$P99)))</f>
        <v/>
      </c>
      <c r="E99" s="26">
        <f>IF($P99="","",IF(INDEX(EntryPartyName,$P99)=0,"",INDEX(EntryPartyName,$P99)))</f>
        <v/>
      </c>
      <c r="F99" s="26">
        <f>IF($P99="","",IF(INDEX(EntryPartyType,$P99)=0,"",INDEX(EntryPartyType,$P99)))</f>
        <v/>
      </c>
      <c r="G99" s="26">
        <f>IF($P99="","",IF(INDEX(EntryTxnType,$P99)=0,"",INDEX(EntryTxnType,$P99)))</f>
        <v/>
      </c>
      <c r="H99" s="27">
        <f>IF($P99="","",IF(INDEX(EntryDep,$P99)=0,"",INDEX(EntryDep,$P99)))</f>
        <v/>
      </c>
      <c r="I99" s="27">
        <f>IF($P99="","",IF(INDEX(EntryWit,$P99)=0,"",INDEX(EntryWit,$P99)))</f>
        <v/>
      </c>
      <c r="J99" s="27">
        <f>IF($B99="","",IF($A99=1,$C$7,IF(J98="",0,J98))+IF($H99="",0,$H99)-IF($I99="",0,$I99))</f>
        <v/>
      </c>
      <c r="K99" s="27">
        <f>IF($P99="","",IF(INDEX(EntryMan,$P99)=0,"",INDEX(EntryMan,$P99)))</f>
        <v/>
      </c>
      <c r="L99" s="26">
        <f>IF($B99="","",IF($K99="","—",IF(ROUND($K99-$J99,0)=0,"√","×")))</f>
        <v/>
      </c>
      <c r="M99" s="26">
        <f>IF($B99="","",IF(COUNTIFS(EntryDates,$B99,CalcTime,$C99,CalcBank,$C$5,EntryParty,$D99,EntryDep,$H99,EntryWit,$I99)&gt;1,"تکرار",""))</f>
        <v/>
      </c>
      <c r="N99" s="26">
        <f>IF($P99="","",IF(INDEX(EntryNotes,$P99)=0,"",INDEX(EntryNotes,$P99)))</f>
        <v/>
      </c>
      <c r="O99" s="26">
        <f>IF($P99="","",IF(INDEX(EntryTxnID,$P99)=0,"",INDEX(EntryTxnID,$P99)))</f>
        <v/>
      </c>
      <c r="P99" s="26">
        <f>IFERROR(MATCH($C$5&amp;"|"&amp;RIGHT("000000"&amp;83,6),CalcRankKey,0),"")</f>
        <v/>
      </c>
    </row>
    <row r="100">
      <c r="A100" s="28">
        <f>IF($B100="","",84)</f>
        <v/>
      </c>
      <c r="B100" s="28">
        <f>IF($P100="","",IF(INDEX(CalcNormDate,$P100)=0,"",INDEX(CalcNormDate,$P100)))</f>
        <v/>
      </c>
      <c r="C100" s="28">
        <f>IF($P100="","",IF(INDEX(CalcTime,$P100)=0,"",INDEX(CalcTime,$P100)))</f>
        <v/>
      </c>
      <c r="D100" s="28">
        <f>IF($P100="","",IF(INDEX(EntryParty,$P100)=0,"",INDEX(EntryParty,$P100)))</f>
        <v/>
      </c>
      <c r="E100" s="28">
        <f>IF($P100="","",IF(INDEX(EntryPartyName,$P100)=0,"",INDEX(EntryPartyName,$P100)))</f>
        <v/>
      </c>
      <c r="F100" s="28">
        <f>IF($P100="","",IF(INDEX(EntryPartyType,$P100)=0,"",INDEX(EntryPartyType,$P100)))</f>
        <v/>
      </c>
      <c r="G100" s="28">
        <f>IF($P100="","",IF(INDEX(EntryTxnType,$P100)=0,"",INDEX(EntryTxnType,$P100)))</f>
        <v/>
      </c>
      <c r="H100" s="29">
        <f>IF($P100="","",IF(INDEX(EntryDep,$P100)=0,"",INDEX(EntryDep,$P100)))</f>
        <v/>
      </c>
      <c r="I100" s="29">
        <f>IF($P100="","",IF(INDEX(EntryWit,$P100)=0,"",INDEX(EntryWit,$P100)))</f>
        <v/>
      </c>
      <c r="J100" s="29">
        <f>IF($B100="","",IF($A100=1,$C$7,IF(J99="",0,J99))+IF($H100="",0,$H100)-IF($I100="",0,$I100))</f>
        <v/>
      </c>
      <c r="K100" s="29">
        <f>IF($P100="","",IF(INDEX(EntryMan,$P100)=0,"",INDEX(EntryMan,$P100)))</f>
        <v/>
      </c>
      <c r="L100" s="28">
        <f>IF($B100="","",IF($K100="","—",IF(ROUND($K100-$J100,0)=0,"√","×")))</f>
        <v/>
      </c>
      <c r="M100" s="28">
        <f>IF($B100="","",IF(COUNTIFS(EntryDates,$B100,CalcTime,$C100,CalcBank,$C$5,EntryParty,$D100,EntryDep,$H100,EntryWit,$I100)&gt;1,"تکرار",""))</f>
        <v/>
      </c>
      <c r="N100" s="28">
        <f>IF($P100="","",IF(INDEX(EntryNotes,$P100)=0,"",INDEX(EntryNotes,$P100)))</f>
        <v/>
      </c>
      <c r="O100" s="28">
        <f>IF($P100="","",IF(INDEX(EntryTxnID,$P100)=0,"",INDEX(EntryTxnID,$P100)))</f>
        <v/>
      </c>
      <c r="P100" s="28">
        <f>IFERROR(MATCH($C$5&amp;"|"&amp;RIGHT("000000"&amp;84,6),CalcRankKey,0),"")</f>
        <v/>
      </c>
    </row>
    <row r="101">
      <c r="A101" s="26">
        <f>IF($B101="","",85)</f>
        <v/>
      </c>
      <c r="B101" s="26">
        <f>IF($P101="","",IF(INDEX(CalcNormDate,$P101)=0,"",INDEX(CalcNormDate,$P101)))</f>
        <v/>
      </c>
      <c r="C101" s="26">
        <f>IF($P101="","",IF(INDEX(CalcTime,$P101)=0,"",INDEX(CalcTime,$P101)))</f>
        <v/>
      </c>
      <c r="D101" s="26">
        <f>IF($P101="","",IF(INDEX(EntryParty,$P101)=0,"",INDEX(EntryParty,$P101)))</f>
        <v/>
      </c>
      <c r="E101" s="26">
        <f>IF($P101="","",IF(INDEX(EntryPartyName,$P101)=0,"",INDEX(EntryPartyName,$P101)))</f>
        <v/>
      </c>
      <c r="F101" s="26">
        <f>IF($P101="","",IF(INDEX(EntryPartyType,$P101)=0,"",INDEX(EntryPartyType,$P101)))</f>
        <v/>
      </c>
      <c r="G101" s="26">
        <f>IF($P101="","",IF(INDEX(EntryTxnType,$P101)=0,"",INDEX(EntryTxnType,$P101)))</f>
        <v/>
      </c>
      <c r="H101" s="27">
        <f>IF($P101="","",IF(INDEX(EntryDep,$P101)=0,"",INDEX(EntryDep,$P101)))</f>
        <v/>
      </c>
      <c r="I101" s="27">
        <f>IF($P101="","",IF(INDEX(EntryWit,$P101)=0,"",INDEX(EntryWit,$P101)))</f>
        <v/>
      </c>
      <c r="J101" s="27">
        <f>IF($B101="","",IF($A101=1,$C$7,IF(J100="",0,J100))+IF($H101="",0,$H101)-IF($I101="",0,$I101))</f>
        <v/>
      </c>
      <c r="K101" s="27">
        <f>IF($P101="","",IF(INDEX(EntryMan,$P101)=0,"",INDEX(EntryMan,$P101)))</f>
        <v/>
      </c>
      <c r="L101" s="26">
        <f>IF($B101="","",IF($K101="","—",IF(ROUND($K101-$J101,0)=0,"√","×")))</f>
        <v/>
      </c>
      <c r="M101" s="26">
        <f>IF($B101="","",IF(COUNTIFS(EntryDates,$B101,CalcTime,$C101,CalcBank,$C$5,EntryParty,$D101,EntryDep,$H101,EntryWit,$I101)&gt;1,"تکرار",""))</f>
        <v/>
      </c>
      <c r="N101" s="26">
        <f>IF($P101="","",IF(INDEX(EntryNotes,$P101)=0,"",INDEX(EntryNotes,$P101)))</f>
        <v/>
      </c>
      <c r="O101" s="26">
        <f>IF($P101="","",IF(INDEX(EntryTxnID,$P101)=0,"",INDEX(EntryTxnID,$P101)))</f>
        <v/>
      </c>
      <c r="P101" s="26">
        <f>IFERROR(MATCH($C$5&amp;"|"&amp;RIGHT("000000"&amp;85,6),CalcRankKey,0),"")</f>
        <v/>
      </c>
    </row>
    <row r="102">
      <c r="A102" s="28">
        <f>IF($B102="","",86)</f>
        <v/>
      </c>
      <c r="B102" s="28">
        <f>IF($P102="","",IF(INDEX(CalcNormDate,$P102)=0,"",INDEX(CalcNormDate,$P102)))</f>
        <v/>
      </c>
      <c r="C102" s="28">
        <f>IF($P102="","",IF(INDEX(CalcTime,$P102)=0,"",INDEX(CalcTime,$P102)))</f>
        <v/>
      </c>
      <c r="D102" s="28">
        <f>IF($P102="","",IF(INDEX(EntryParty,$P102)=0,"",INDEX(EntryParty,$P102)))</f>
        <v/>
      </c>
      <c r="E102" s="28">
        <f>IF($P102="","",IF(INDEX(EntryPartyName,$P102)=0,"",INDEX(EntryPartyName,$P102)))</f>
        <v/>
      </c>
      <c r="F102" s="28">
        <f>IF($P102="","",IF(INDEX(EntryPartyType,$P102)=0,"",INDEX(EntryPartyType,$P102)))</f>
        <v/>
      </c>
      <c r="G102" s="28">
        <f>IF($P102="","",IF(INDEX(EntryTxnType,$P102)=0,"",INDEX(EntryTxnType,$P102)))</f>
        <v/>
      </c>
      <c r="H102" s="29">
        <f>IF($P102="","",IF(INDEX(EntryDep,$P102)=0,"",INDEX(EntryDep,$P102)))</f>
        <v/>
      </c>
      <c r="I102" s="29">
        <f>IF($P102="","",IF(INDEX(EntryWit,$P102)=0,"",INDEX(EntryWit,$P102)))</f>
        <v/>
      </c>
      <c r="J102" s="29">
        <f>IF($B102="","",IF($A102=1,$C$7,IF(J101="",0,J101))+IF($H102="",0,$H102)-IF($I102="",0,$I102))</f>
        <v/>
      </c>
      <c r="K102" s="29">
        <f>IF($P102="","",IF(INDEX(EntryMan,$P102)=0,"",INDEX(EntryMan,$P102)))</f>
        <v/>
      </c>
      <c r="L102" s="28">
        <f>IF($B102="","",IF($K102="","—",IF(ROUND($K102-$J102,0)=0,"√","×")))</f>
        <v/>
      </c>
      <c r="M102" s="28">
        <f>IF($B102="","",IF(COUNTIFS(EntryDates,$B102,CalcTime,$C102,CalcBank,$C$5,EntryParty,$D102,EntryDep,$H102,EntryWit,$I102)&gt;1,"تکرار",""))</f>
        <v/>
      </c>
      <c r="N102" s="28">
        <f>IF($P102="","",IF(INDEX(EntryNotes,$P102)=0,"",INDEX(EntryNotes,$P102)))</f>
        <v/>
      </c>
      <c r="O102" s="28">
        <f>IF($P102="","",IF(INDEX(EntryTxnID,$P102)=0,"",INDEX(EntryTxnID,$P102)))</f>
        <v/>
      </c>
      <c r="P102" s="28">
        <f>IFERROR(MATCH($C$5&amp;"|"&amp;RIGHT("000000"&amp;86,6),CalcRankKey,0),"")</f>
        <v/>
      </c>
    </row>
    <row r="103">
      <c r="A103" s="26">
        <f>IF($B103="","",87)</f>
        <v/>
      </c>
      <c r="B103" s="26">
        <f>IF($P103="","",IF(INDEX(CalcNormDate,$P103)=0,"",INDEX(CalcNormDate,$P103)))</f>
        <v/>
      </c>
      <c r="C103" s="26">
        <f>IF($P103="","",IF(INDEX(CalcTime,$P103)=0,"",INDEX(CalcTime,$P103)))</f>
        <v/>
      </c>
      <c r="D103" s="26">
        <f>IF($P103="","",IF(INDEX(EntryParty,$P103)=0,"",INDEX(EntryParty,$P103)))</f>
        <v/>
      </c>
      <c r="E103" s="26">
        <f>IF($P103="","",IF(INDEX(EntryPartyName,$P103)=0,"",INDEX(EntryPartyName,$P103)))</f>
        <v/>
      </c>
      <c r="F103" s="26">
        <f>IF($P103="","",IF(INDEX(EntryPartyType,$P103)=0,"",INDEX(EntryPartyType,$P103)))</f>
        <v/>
      </c>
      <c r="G103" s="26">
        <f>IF($P103="","",IF(INDEX(EntryTxnType,$P103)=0,"",INDEX(EntryTxnType,$P103)))</f>
        <v/>
      </c>
      <c r="H103" s="27">
        <f>IF($P103="","",IF(INDEX(EntryDep,$P103)=0,"",INDEX(EntryDep,$P103)))</f>
        <v/>
      </c>
      <c r="I103" s="27">
        <f>IF($P103="","",IF(INDEX(EntryWit,$P103)=0,"",INDEX(EntryWit,$P103)))</f>
        <v/>
      </c>
      <c r="J103" s="27">
        <f>IF($B103="","",IF($A103=1,$C$7,IF(J102="",0,J102))+IF($H103="",0,$H103)-IF($I103="",0,$I103))</f>
        <v/>
      </c>
      <c r="K103" s="27">
        <f>IF($P103="","",IF(INDEX(EntryMan,$P103)=0,"",INDEX(EntryMan,$P103)))</f>
        <v/>
      </c>
      <c r="L103" s="26">
        <f>IF($B103="","",IF($K103="","—",IF(ROUND($K103-$J103,0)=0,"√","×")))</f>
        <v/>
      </c>
      <c r="M103" s="26">
        <f>IF($B103="","",IF(COUNTIFS(EntryDates,$B103,CalcTime,$C103,CalcBank,$C$5,EntryParty,$D103,EntryDep,$H103,EntryWit,$I103)&gt;1,"تکرار",""))</f>
        <v/>
      </c>
      <c r="N103" s="26">
        <f>IF($P103="","",IF(INDEX(EntryNotes,$P103)=0,"",INDEX(EntryNotes,$P103)))</f>
        <v/>
      </c>
      <c r="O103" s="26">
        <f>IF($P103="","",IF(INDEX(EntryTxnID,$P103)=0,"",INDEX(EntryTxnID,$P103)))</f>
        <v/>
      </c>
      <c r="P103" s="26">
        <f>IFERROR(MATCH($C$5&amp;"|"&amp;RIGHT("000000"&amp;87,6),CalcRankKey,0),"")</f>
        <v/>
      </c>
    </row>
    <row r="104">
      <c r="A104" s="28">
        <f>IF($B104="","",88)</f>
        <v/>
      </c>
      <c r="B104" s="28">
        <f>IF($P104="","",IF(INDEX(CalcNormDate,$P104)=0,"",INDEX(CalcNormDate,$P104)))</f>
        <v/>
      </c>
      <c r="C104" s="28">
        <f>IF($P104="","",IF(INDEX(CalcTime,$P104)=0,"",INDEX(CalcTime,$P104)))</f>
        <v/>
      </c>
      <c r="D104" s="28">
        <f>IF($P104="","",IF(INDEX(EntryParty,$P104)=0,"",INDEX(EntryParty,$P104)))</f>
        <v/>
      </c>
      <c r="E104" s="28">
        <f>IF($P104="","",IF(INDEX(EntryPartyName,$P104)=0,"",INDEX(EntryPartyName,$P104)))</f>
        <v/>
      </c>
      <c r="F104" s="28">
        <f>IF($P104="","",IF(INDEX(EntryPartyType,$P104)=0,"",INDEX(EntryPartyType,$P104)))</f>
        <v/>
      </c>
      <c r="G104" s="28">
        <f>IF($P104="","",IF(INDEX(EntryTxnType,$P104)=0,"",INDEX(EntryTxnType,$P104)))</f>
        <v/>
      </c>
      <c r="H104" s="29">
        <f>IF($P104="","",IF(INDEX(EntryDep,$P104)=0,"",INDEX(EntryDep,$P104)))</f>
        <v/>
      </c>
      <c r="I104" s="29">
        <f>IF($P104="","",IF(INDEX(EntryWit,$P104)=0,"",INDEX(EntryWit,$P104)))</f>
        <v/>
      </c>
      <c r="J104" s="29">
        <f>IF($B104="","",IF($A104=1,$C$7,IF(J103="",0,J103))+IF($H104="",0,$H104)-IF($I104="",0,$I104))</f>
        <v/>
      </c>
      <c r="K104" s="29">
        <f>IF($P104="","",IF(INDEX(EntryMan,$P104)=0,"",INDEX(EntryMan,$P104)))</f>
        <v/>
      </c>
      <c r="L104" s="28">
        <f>IF($B104="","",IF($K104="","—",IF(ROUND($K104-$J104,0)=0,"√","×")))</f>
        <v/>
      </c>
      <c r="M104" s="28">
        <f>IF($B104="","",IF(COUNTIFS(EntryDates,$B104,CalcTime,$C104,CalcBank,$C$5,EntryParty,$D104,EntryDep,$H104,EntryWit,$I104)&gt;1,"تکرار",""))</f>
        <v/>
      </c>
      <c r="N104" s="28">
        <f>IF($P104="","",IF(INDEX(EntryNotes,$P104)=0,"",INDEX(EntryNotes,$P104)))</f>
        <v/>
      </c>
      <c r="O104" s="28">
        <f>IF($P104="","",IF(INDEX(EntryTxnID,$P104)=0,"",INDEX(EntryTxnID,$P104)))</f>
        <v/>
      </c>
      <c r="P104" s="28">
        <f>IFERROR(MATCH($C$5&amp;"|"&amp;RIGHT("000000"&amp;88,6),CalcRankKey,0),"")</f>
        <v/>
      </c>
    </row>
    <row r="105">
      <c r="A105" s="26">
        <f>IF($B105="","",89)</f>
        <v/>
      </c>
      <c r="B105" s="26">
        <f>IF($P105="","",IF(INDEX(CalcNormDate,$P105)=0,"",INDEX(CalcNormDate,$P105)))</f>
        <v/>
      </c>
      <c r="C105" s="26">
        <f>IF($P105="","",IF(INDEX(CalcTime,$P105)=0,"",INDEX(CalcTime,$P105)))</f>
        <v/>
      </c>
      <c r="D105" s="26">
        <f>IF($P105="","",IF(INDEX(EntryParty,$P105)=0,"",INDEX(EntryParty,$P105)))</f>
        <v/>
      </c>
      <c r="E105" s="26">
        <f>IF($P105="","",IF(INDEX(EntryPartyName,$P105)=0,"",INDEX(EntryPartyName,$P105)))</f>
        <v/>
      </c>
      <c r="F105" s="26">
        <f>IF($P105="","",IF(INDEX(EntryPartyType,$P105)=0,"",INDEX(EntryPartyType,$P105)))</f>
        <v/>
      </c>
      <c r="G105" s="26">
        <f>IF($P105="","",IF(INDEX(EntryTxnType,$P105)=0,"",INDEX(EntryTxnType,$P105)))</f>
        <v/>
      </c>
      <c r="H105" s="27">
        <f>IF($P105="","",IF(INDEX(EntryDep,$P105)=0,"",INDEX(EntryDep,$P105)))</f>
        <v/>
      </c>
      <c r="I105" s="27">
        <f>IF($P105="","",IF(INDEX(EntryWit,$P105)=0,"",INDEX(EntryWit,$P105)))</f>
        <v/>
      </c>
      <c r="J105" s="27">
        <f>IF($B105="","",IF($A105=1,$C$7,IF(J104="",0,J104))+IF($H105="",0,$H105)-IF($I105="",0,$I105))</f>
        <v/>
      </c>
      <c r="K105" s="27">
        <f>IF($P105="","",IF(INDEX(EntryMan,$P105)=0,"",INDEX(EntryMan,$P105)))</f>
        <v/>
      </c>
      <c r="L105" s="26">
        <f>IF($B105="","",IF($K105="","—",IF(ROUND($K105-$J105,0)=0,"√","×")))</f>
        <v/>
      </c>
      <c r="M105" s="26">
        <f>IF($B105="","",IF(COUNTIFS(EntryDates,$B105,CalcTime,$C105,CalcBank,$C$5,EntryParty,$D105,EntryDep,$H105,EntryWit,$I105)&gt;1,"تکرار",""))</f>
        <v/>
      </c>
      <c r="N105" s="26">
        <f>IF($P105="","",IF(INDEX(EntryNotes,$P105)=0,"",INDEX(EntryNotes,$P105)))</f>
        <v/>
      </c>
      <c r="O105" s="26">
        <f>IF($P105="","",IF(INDEX(EntryTxnID,$P105)=0,"",INDEX(EntryTxnID,$P105)))</f>
        <v/>
      </c>
      <c r="P105" s="26">
        <f>IFERROR(MATCH($C$5&amp;"|"&amp;RIGHT("000000"&amp;89,6),CalcRankKey,0),"")</f>
        <v/>
      </c>
    </row>
    <row r="106">
      <c r="A106" s="28">
        <f>IF($B106="","",90)</f>
        <v/>
      </c>
      <c r="B106" s="28">
        <f>IF($P106="","",IF(INDEX(CalcNormDate,$P106)=0,"",INDEX(CalcNormDate,$P106)))</f>
        <v/>
      </c>
      <c r="C106" s="28">
        <f>IF($P106="","",IF(INDEX(CalcTime,$P106)=0,"",INDEX(CalcTime,$P106)))</f>
        <v/>
      </c>
      <c r="D106" s="28">
        <f>IF($P106="","",IF(INDEX(EntryParty,$P106)=0,"",INDEX(EntryParty,$P106)))</f>
        <v/>
      </c>
      <c r="E106" s="28">
        <f>IF($P106="","",IF(INDEX(EntryPartyName,$P106)=0,"",INDEX(EntryPartyName,$P106)))</f>
        <v/>
      </c>
      <c r="F106" s="28">
        <f>IF($P106="","",IF(INDEX(EntryPartyType,$P106)=0,"",INDEX(EntryPartyType,$P106)))</f>
        <v/>
      </c>
      <c r="G106" s="28">
        <f>IF($P106="","",IF(INDEX(EntryTxnType,$P106)=0,"",INDEX(EntryTxnType,$P106)))</f>
        <v/>
      </c>
      <c r="H106" s="29">
        <f>IF($P106="","",IF(INDEX(EntryDep,$P106)=0,"",INDEX(EntryDep,$P106)))</f>
        <v/>
      </c>
      <c r="I106" s="29">
        <f>IF($P106="","",IF(INDEX(EntryWit,$P106)=0,"",INDEX(EntryWit,$P106)))</f>
        <v/>
      </c>
      <c r="J106" s="29">
        <f>IF($B106="","",IF($A106=1,$C$7,IF(J105="",0,J105))+IF($H106="",0,$H106)-IF($I106="",0,$I106))</f>
        <v/>
      </c>
      <c r="K106" s="29">
        <f>IF($P106="","",IF(INDEX(EntryMan,$P106)=0,"",INDEX(EntryMan,$P106)))</f>
        <v/>
      </c>
      <c r="L106" s="28">
        <f>IF($B106="","",IF($K106="","—",IF(ROUND($K106-$J106,0)=0,"√","×")))</f>
        <v/>
      </c>
      <c r="M106" s="28">
        <f>IF($B106="","",IF(COUNTIFS(EntryDates,$B106,CalcTime,$C106,CalcBank,$C$5,EntryParty,$D106,EntryDep,$H106,EntryWit,$I106)&gt;1,"تکرار",""))</f>
        <v/>
      </c>
      <c r="N106" s="28">
        <f>IF($P106="","",IF(INDEX(EntryNotes,$P106)=0,"",INDEX(EntryNotes,$P106)))</f>
        <v/>
      </c>
      <c r="O106" s="28">
        <f>IF($P106="","",IF(INDEX(EntryTxnID,$P106)=0,"",INDEX(EntryTxnID,$P106)))</f>
        <v/>
      </c>
      <c r="P106" s="28">
        <f>IFERROR(MATCH($C$5&amp;"|"&amp;RIGHT("000000"&amp;90,6),CalcRankKey,0),"")</f>
        <v/>
      </c>
    </row>
    <row r="107">
      <c r="A107" s="26">
        <f>IF($B107="","",91)</f>
        <v/>
      </c>
      <c r="B107" s="26">
        <f>IF($P107="","",IF(INDEX(CalcNormDate,$P107)=0,"",INDEX(CalcNormDate,$P107)))</f>
        <v/>
      </c>
      <c r="C107" s="26">
        <f>IF($P107="","",IF(INDEX(CalcTime,$P107)=0,"",INDEX(CalcTime,$P107)))</f>
        <v/>
      </c>
      <c r="D107" s="26">
        <f>IF($P107="","",IF(INDEX(EntryParty,$P107)=0,"",INDEX(EntryParty,$P107)))</f>
        <v/>
      </c>
      <c r="E107" s="26">
        <f>IF($P107="","",IF(INDEX(EntryPartyName,$P107)=0,"",INDEX(EntryPartyName,$P107)))</f>
        <v/>
      </c>
      <c r="F107" s="26">
        <f>IF($P107="","",IF(INDEX(EntryPartyType,$P107)=0,"",INDEX(EntryPartyType,$P107)))</f>
        <v/>
      </c>
      <c r="G107" s="26">
        <f>IF($P107="","",IF(INDEX(EntryTxnType,$P107)=0,"",INDEX(EntryTxnType,$P107)))</f>
        <v/>
      </c>
      <c r="H107" s="27">
        <f>IF($P107="","",IF(INDEX(EntryDep,$P107)=0,"",INDEX(EntryDep,$P107)))</f>
        <v/>
      </c>
      <c r="I107" s="27">
        <f>IF($P107="","",IF(INDEX(EntryWit,$P107)=0,"",INDEX(EntryWit,$P107)))</f>
        <v/>
      </c>
      <c r="J107" s="27">
        <f>IF($B107="","",IF($A107=1,$C$7,IF(J106="",0,J106))+IF($H107="",0,$H107)-IF($I107="",0,$I107))</f>
        <v/>
      </c>
      <c r="K107" s="27">
        <f>IF($P107="","",IF(INDEX(EntryMan,$P107)=0,"",INDEX(EntryMan,$P107)))</f>
        <v/>
      </c>
      <c r="L107" s="26">
        <f>IF($B107="","",IF($K107="","—",IF(ROUND($K107-$J107,0)=0,"√","×")))</f>
        <v/>
      </c>
      <c r="M107" s="26">
        <f>IF($B107="","",IF(COUNTIFS(EntryDates,$B107,CalcTime,$C107,CalcBank,$C$5,EntryParty,$D107,EntryDep,$H107,EntryWit,$I107)&gt;1,"تکرار",""))</f>
        <v/>
      </c>
      <c r="N107" s="26">
        <f>IF($P107="","",IF(INDEX(EntryNotes,$P107)=0,"",INDEX(EntryNotes,$P107)))</f>
        <v/>
      </c>
      <c r="O107" s="26">
        <f>IF($P107="","",IF(INDEX(EntryTxnID,$P107)=0,"",INDEX(EntryTxnID,$P107)))</f>
        <v/>
      </c>
      <c r="P107" s="26">
        <f>IFERROR(MATCH($C$5&amp;"|"&amp;RIGHT("000000"&amp;91,6),CalcRankKey,0),"")</f>
        <v/>
      </c>
    </row>
    <row r="108">
      <c r="A108" s="28">
        <f>IF($B108="","",92)</f>
        <v/>
      </c>
      <c r="B108" s="28">
        <f>IF($P108="","",IF(INDEX(CalcNormDate,$P108)=0,"",INDEX(CalcNormDate,$P108)))</f>
        <v/>
      </c>
      <c r="C108" s="28">
        <f>IF($P108="","",IF(INDEX(CalcTime,$P108)=0,"",INDEX(CalcTime,$P108)))</f>
        <v/>
      </c>
      <c r="D108" s="28">
        <f>IF($P108="","",IF(INDEX(EntryParty,$P108)=0,"",INDEX(EntryParty,$P108)))</f>
        <v/>
      </c>
      <c r="E108" s="28">
        <f>IF($P108="","",IF(INDEX(EntryPartyName,$P108)=0,"",INDEX(EntryPartyName,$P108)))</f>
        <v/>
      </c>
      <c r="F108" s="28">
        <f>IF($P108="","",IF(INDEX(EntryPartyType,$P108)=0,"",INDEX(EntryPartyType,$P108)))</f>
        <v/>
      </c>
      <c r="G108" s="28">
        <f>IF($P108="","",IF(INDEX(EntryTxnType,$P108)=0,"",INDEX(EntryTxnType,$P108)))</f>
        <v/>
      </c>
      <c r="H108" s="29">
        <f>IF($P108="","",IF(INDEX(EntryDep,$P108)=0,"",INDEX(EntryDep,$P108)))</f>
        <v/>
      </c>
      <c r="I108" s="29">
        <f>IF($P108="","",IF(INDEX(EntryWit,$P108)=0,"",INDEX(EntryWit,$P108)))</f>
        <v/>
      </c>
      <c r="J108" s="29">
        <f>IF($B108="","",IF($A108=1,$C$7,IF(J107="",0,J107))+IF($H108="",0,$H108)-IF($I108="",0,$I108))</f>
        <v/>
      </c>
      <c r="K108" s="29">
        <f>IF($P108="","",IF(INDEX(EntryMan,$P108)=0,"",INDEX(EntryMan,$P108)))</f>
        <v/>
      </c>
      <c r="L108" s="28">
        <f>IF($B108="","",IF($K108="","—",IF(ROUND($K108-$J108,0)=0,"√","×")))</f>
        <v/>
      </c>
      <c r="M108" s="28">
        <f>IF($B108="","",IF(COUNTIFS(EntryDates,$B108,CalcTime,$C108,CalcBank,$C$5,EntryParty,$D108,EntryDep,$H108,EntryWit,$I108)&gt;1,"تکرار",""))</f>
        <v/>
      </c>
      <c r="N108" s="28">
        <f>IF($P108="","",IF(INDEX(EntryNotes,$P108)=0,"",INDEX(EntryNotes,$P108)))</f>
        <v/>
      </c>
      <c r="O108" s="28">
        <f>IF($P108="","",IF(INDEX(EntryTxnID,$P108)=0,"",INDEX(EntryTxnID,$P108)))</f>
        <v/>
      </c>
      <c r="P108" s="28">
        <f>IFERROR(MATCH($C$5&amp;"|"&amp;RIGHT("000000"&amp;92,6),CalcRankKey,0),"")</f>
        <v/>
      </c>
    </row>
    <row r="109">
      <c r="A109" s="26">
        <f>IF($B109="","",93)</f>
        <v/>
      </c>
      <c r="B109" s="26">
        <f>IF($P109="","",IF(INDEX(CalcNormDate,$P109)=0,"",INDEX(CalcNormDate,$P109)))</f>
        <v/>
      </c>
      <c r="C109" s="26">
        <f>IF($P109="","",IF(INDEX(CalcTime,$P109)=0,"",INDEX(CalcTime,$P109)))</f>
        <v/>
      </c>
      <c r="D109" s="26">
        <f>IF($P109="","",IF(INDEX(EntryParty,$P109)=0,"",INDEX(EntryParty,$P109)))</f>
        <v/>
      </c>
      <c r="E109" s="26">
        <f>IF($P109="","",IF(INDEX(EntryPartyName,$P109)=0,"",INDEX(EntryPartyName,$P109)))</f>
        <v/>
      </c>
      <c r="F109" s="26">
        <f>IF($P109="","",IF(INDEX(EntryPartyType,$P109)=0,"",INDEX(EntryPartyType,$P109)))</f>
        <v/>
      </c>
      <c r="G109" s="26">
        <f>IF($P109="","",IF(INDEX(EntryTxnType,$P109)=0,"",INDEX(EntryTxnType,$P109)))</f>
        <v/>
      </c>
      <c r="H109" s="27">
        <f>IF($P109="","",IF(INDEX(EntryDep,$P109)=0,"",INDEX(EntryDep,$P109)))</f>
        <v/>
      </c>
      <c r="I109" s="27">
        <f>IF($P109="","",IF(INDEX(EntryWit,$P109)=0,"",INDEX(EntryWit,$P109)))</f>
        <v/>
      </c>
      <c r="J109" s="27">
        <f>IF($B109="","",IF($A109=1,$C$7,IF(J108="",0,J108))+IF($H109="",0,$H109)-IF($I109="",0,$I109))</f>
        <v/>
      </c>
      <c r="K109" s="27">
        <f>IF($P109="","",IF(INDEX(EntryMan,$P109)=0,"",INDEX(EntryMan,$P109)))</f>
        <v/>
      </c>
      <c r="L109" s="26">
        <f>IF($B109="","",IF($K109="","—",IF(ROUND($K109-$J109,0)=0,"√","×")))</f>
        <v/>
      </c>
      <c r="M109" s="26">
        <f>IF($B109="","",IF(COUNTIFS(EntryDates,$B109,CalcTime,$C109,CalcBank,$C$5,EntryParty,$D109,EntryDep,$H109,EntryWit,$I109)&gt;1,"تکرار",""))</f>
        <v/>
      </c>
      <c r="N109" s="26">
        <f>IF($P109="","",IF(INDEX(EntryNotes,$P109)=0,"",INDEX(EntryNotes,$P109)))</f>
        <v/>
      </c>
      <c r="O109" s="26">
        <f>IF($P109="","",IF(INDEX(EntryTxnID,$P109)=0,"",INDEX(EntryTxnID,$P109)))</f>
        <v/>
      </c>
      <c r="P109" s="26">
        <f>IFERROR(MATCH($C$5&amp;"|"&amp;RIGHT("000000"&amp;93,6),CalcRankKey,0),"")</f>
        <v/>
      </c>
    </row>
    <row r="110">
      <c r="A110" s="28">
        <f>IF($B110="","",94)</f>
        <v/>
      </c>
      <c r="B110" s="28">
        <f>IF($P110="","",IF(INDEX(CalcNormDate,$P110)=0,"",INDEX(CalcNormDate,$P110)))</f>
        <v/>
      </c>
      <c r="C110" s="28">
        <f>IF($P110="","",IF(INDEX(CalcTime,$P110)=0,"",INDEX(CalcTime,$P110)))</f>
        <v/>
      </c>
      <c r="D110" s="28">
        <f>IF($P110="","",IF(INDEX(EntryParty,$P110)=0,"",INDEX(EntryParty,$P110)))</f>
        <v/>
      </c>
      <c r="E110" s="28">
        <f>IF($P110="","",IF(INDEX(EntryPartyName,$P110)=0,"",INDEX(EntryPartyName,$P110)))</f>
        <v/>
      </c>
      <c r="F110" s="28">
        <f>IF($P110="","",IF(INDEX(EntryPartyType,$P110)=0,"",INDEX(EntryPartyType,$P110)))</f>
        <v/>
      </c>
      <c r="G110" s="28">
        <f>IF($P110="","",IF(INDEX(EntryTxnType,$P110)=0,"",INDEX(EntryTxnType,$P110)))</f>
        <v/>
      </c>
      <c r="H110" s="29">
        <f>IF($P110="","",IF(INDEX(EntryDep,$P110)=0,"",INDEX(EntryDep,$P110)))</f>
        <v/>
      </c>
      <c r="I110" s="29">
        <f>IF($P110="","",IF(INDEX(EntryWit,$P110)=0,"",INDEX(EntryWit,$P110)))</f>
        <v/>
      </c>
      <c r="J110" s="29">
        <f>IF($B110="","",IF($A110=1,$C$7,IF(J109="",0,J109))+IF($H110="",0,$H110)-IF($I110="",0,$I110))</f>
        <v/>
      </c>
      <c r="K110" s="29">
        <f>IF($P110="","",IF(INDEX(EntryMan,$P110)=0,"",INDEX(EntryMan,$P110)))</f>
        <v/>
      </c>
      <c r="L110" s="28">
        <f>IF($B110="","",IF($K110="","—",IF(ROUND($K110-$J110,0)=0,"√","×")))</f>
        <v/>
      </c>
      <c r="M110" s="28">
        <f>IF($B110="","",IF(COUNTIFS(EntryDates,$B110,CalcTime,$C110,CalcBank,$C$5,EntryParty,$D110,EntryDep,$H110,EntryWit,$I110)&gt;1,"تکرار",""))</f>
        <v/>
      </c>
      <c r="N110" s="28">
        <f>IF($P110="","",IF(INDEX(EntryNotes,$P110)=0,"",INDEX(EntryNotes,$P110)))</f>
        <v/>
      </c>
      <c r="O110" s="28">
        <f>IF($P110="","",IF(INDEX(EntryTxnID,$P110)=0,"",INDEX(EntryTxnID,$P110)))</f>
        <v/>
      </c>
      <c r="P110" s="28">
        <f>IFERROR(MATCH($C$5&amp;"|"&amp;RIGHT("000000"&amp;94,6),CalcRankKey,0),"")</f>
        <v/>
      </c>
    </row>
    <row r="111">
      <c r="A111" s="26">
        <f>IF($B111="","",95)</f>
        <v/>
      </c>
      <c r="B111" s="26">
        <f>IF($P111="","",IF(INDEX(CalcNormDate,$P111)=0,"",INDEX(CalcNormDate,$P111)))</f>
        <v/>
      </c>
      <c r="C111" s="26">
        <f>IF($P111="","",IF(INDEX(CalcTime,$P111)=0,"",INDEX(CalcTime,$P111)))</f>
        <v/>
      </c>
      <c r="D111" s="26">
        <f>IF($P111="","",IF(INDEX(EntryParty,$P111)=0,"",INDEX(EntryParty,$P111)))</f>
        <v/>
      </c>
      <c r="E111" s="26">
        <f>IF($P111="","",IF(INDEX(EntryPartyName,$P111)=0,"",INDEX(EntryPartyName,$P111)))</f>
        <v/>
      </c>
      <c r="F111" s="26">
        <f>IF($P111="","",IF(INDEX(EntryPartyType,$P111)=0,"",INDEX(EntryPartyType,$P111)))</f>
        <v/>
      </c>
      <c r="G111" s="26">
        <f>IF($P111="","",IF(INDEX(EntryTxnType,$P111)=0,"",INDEX(EntryTxnType,$P111)))</f>
        <v/>
      </c>
      <c r="H111" s="27">
        <f>IF($P111="","",IF(INDEX(EntryDep,$P111)=0,"",INDEX(EntryDep,$P111)))</f>
        <v/>
      </c>
      <c r="I111" s="27">
        <f>IF($P111="","",IF(INDEX(EntryWit,$P111)=0,"",INDEX(EntryWit,$P111)))</f>
        <v/>
      </c>
      <c r="J111" s="27">
        <f>IF($B111="","",IF($A111=1,$C$7,IF(J110="",0,J110))+IF($H111="",0,$H111)-IF($I111="",0,$I111))</f>
        <v/>
      </c>
      <c r="K111" s="27">
        <f>IF($P111="","",IF(INDEX(EntryMan,$P111)=0,"",INDEX(EntryMan,$P111)))</f>
        <v/>
      </c>
      <c r="L111" s="26">
        <f>IF($B111="","",IF($K111="","—",IF(ROUND($K111-$J111,0)=0,"√","×")))</f>
        <v/>
      </c>
      <c r="M111" s="26">
        <f>IF($B111="","",IF(COUNTIFS(EntryDates,$B111,CalcTime,$C111,CalcBank,$C$5,EntryParty,$D111,EntryDep,$H111,EntryWit,$I111)&gt;1,"تکرار",""))</f>
        <v/>
      </c>
      <c r="N111" s="26">
        <f>IF($P111="","",IF(INDEX(EntryNotes,$P111)=0,"",INDEX(EntryNotes,$P111)))</f>
        <v/>
      </c>
      <c r="O111" s="26">
        <f>IF($P111="","",IF(INDEX(EntryTxnID,$P111)=0,"",INDEX(EntryTxnID,$P111)))</f>
        <v/>
      </c>
      <c r="P111" s="26">
        <f>IFERROR(MATCH($C$5&amp;"|"&amp;RIGHT("000000"&amp;95,6),CalcRankKey,0),"")</f>
        <v/>
      </c>
    </row>
    <row r="112">
      <c r="A112" s="28">
        <f>IF($B112="","",96)</f>
        <v/>
      </c>
      <c r="B112" s="28">
        <f>IF($P112="","",IF(INDEX(CalcNormDate,$P112)=0,"",INDEX(CalcNormDate,$P112)))</f>
        <v/>
      </c>
      <c r="C112" s="28">
        <f>IF($P112="","",IF(INDEX(CalcTime,$P112)=0,"",INDEX(CalcTime,$P112)))</f>
        <v/>
      </c>
      <c r="D112" s="28">
        <f>IF($P112="","",IF(INDEX(EntryParty,$P112)=0,"",INDEX(EntryParty,$P112)))</f>
        <v/>
      </c>
      <c r="E112" s="28">
        <f>IF($P112="","",IF(INDEX(EntryPartyName,$P112)=0,"",INDEX(EntryPartyName,$P112)))</f>
        <v/>
      </c>
      <c r="F112" s="28">
        <f>IF($P112="","",IF(INDEX(EntryPartyType,$P112)=0,"",INDEX(EntryPartyType,$P112)))</f>
        <v/>
      </c>
      <c r="G112" s="28">
        <f>IF($P112="","",IF(INDEX(EntryTxnType,$P112)=0,"",INDEX(EntryTxnType,$P112)))</f>
        <v/>
      </c>
      <c r="H112" s="29">
        <f>IF($P112="","",IF(INDEX(EntryDep,$P112)=0,"",INDEX(EntryDep,$P112)))</f>
        <v/>
      </c>
      <c r="I112" s="29">
        <f>IF($P112="","",IF(INDEX(EntryWit,$P112)=0,"",INDEX(EntryWit,$P112)))</f>
        <v/>
      </c>
      <c r="J112" s="29">
        <f>IF($B112="","",IF($A112=1,$C$7,IF(J111="",0,J111))+IF($H112="",0,$H112)-IF($I112="",0,$I112))</f>
        <v/>
      </c>
      <c r="K112" s="29">
        <f>IF($P112="","",IF(INDEX(EntryMan,$P112)=0,"",INDEX(EntryMan,$P112)))</f>
        <v/>
      </c>
      <c r="L112" s="28">
        <f>IF($B112="","",IF($K112="","—",IF(ROUND($K112-$J112,0)=0,"√","×")))</f>
        <v/>
      </c>
      <c r="M112" s="28">
        <f>IF($B112="","",IF(COUNTIFS(EntryDates,$B112,CalcTime,$C112,CalcBank,$C$5,EntryParty,$D112,EntryDep,$H112,EntryWit,$I112)&gt;1,"تکرار",""))</f>
        <v/>
      </c>
      <c r="N112" s="28">
        <f>IF($P112="","",IF(INDEX(EntryNotes,$P112)=0,"",INDEX(EntryNotes,$P112)))</f>
        <v/>
      </c>
      <c r="O112" s="28">
        <f>IF($P112="","",IF(INDEX(EntryTxnID,$P112)=0,"",INDEX(EntryTxnID,$P112)))</f>
        <v/>
      </c>
      <c r="P112" s="28">
        <f>IFERROR(MATCH($C$5&amp;"|"&amp;RIGHT("000000"&amp;96,6),CalcRankKey,0),"")</f>
        <v/>
      </c>
    </row>
    <row r="113">
      <c r="A113" s="26">
        <f>IF($B113="","",97)</f>
        <v/>
      </c>
      <c r="B113" s="26">
        <f>IF($P113="","",IF(INDEX(CalcNormDate,$P113)=0,"",INDEX(CalcNormDate,$P113)))</f>
        <v/>
      </c>
      <c r="C113" s="26">
        <f>IF($P113="","",IF(INDEX(CalcTime,$P113)=0,"",INDEX(CalcTime,$P113)))</f>
        <v/>
      </c>
      <c r="D113" s="26">
        <f>IF($P113="","",IF(INDEX(EntryParty,$P113)=0,"",INDEX(EntryParty,$P113)))</f>
        <v/>
      </c>
      <c r="E113" s="26">
        <f>IF($P113="","",IF(INDEX(EntryPartyName,$P113)=0,"",INDEX(EntryPartyName,$P113)))</f>
        <v/>
      </c>
      <c r="F113" s="26">
        <f>IF($P113="","",IF(INDEX(EntryPartyType,$P113)=0,"",INDEX(EntryPartyType,$P113)))</f>
        <v/>
      </c>
      <c r="G113" s="26">
        <f>IF($P113="","",IF(INDEX(EntryTxnType,$P113)=0,"",INDEX(EntryTxnType,$P113)))</f>
        <v/>
      </c>
      <c r="H113" s="27">
        <f>IF($P113="","",IF(INDEX(EntryDep,$P113)=0,"",INDEX(EntryDep,$P113)))</f>
        <v/>
      </c>
      <c r="I113" s="27">
        <f>IF($P113="","",IF(INDEX(EntryWit,$P113)=0,"",INDEX(EntryWit,$P113)))</f>
        <v/>
      </c>
      <c r="J113" s="27">
        <f>IF($B113="","",IF($A113=1,$C$7,IF(J112="",0,J112))+IF($H113="",0,$H113)-IF($I113="",0,$I113))</f>
        <v/>
      </c>
      <c r="K113" s="27">
        <f>IF($P113="","",IF(INDEX(EntryMan,$P113)=0,"",INDEX(EntryMan,$P113)))</f>
        <v/>
      </c>
      <c r="L113" s="26">
        <f>IF($B113="","",IF($K113="","—",IF(ROUND($K113-$J113,0)=0,"√","×")))</f>
        <v/>
      </c>
      <c r="M113" s="26">
        <f>IF($B113="","",IF(COUNTIFS(EntryDates,$B113,CalcTime,$C113,CalcBank,$C$5,EntryParty,$D113,EntryDep,$H113,EntryWit,$I113)&gt;1,"تکرار",""))</f>
        <v/>
      </c>
      <c r="N113" s="26">
        <f>IF($P113="","",IF(INDEX(EntryNotes,$P113)=0,"",INDEX(EntryNotes,$P113)))</f>
        <v/>
      </c>
      <c r="O113" s="26">
        <f>IF($P113="","",IF(INDEX(EntryTxnID,$P113)=0,"",INDEX(EntryTxnID,$P113)))</f>
        <v/>
      </c>
      <c r="P113" s="26">
        <f>IFERROR(MATCH($C$5&amp;"|"&amp;RIGHT("000000"&amp;97,6),CalcRankKey,0),"")</f>
        <v/>
      </c>
    </row>
    <row r="114">
      <c r="A114" s="28">
        <f>IF($B114="","",98)</f>
        <v/>
      </c>
      <c r="B114" s="28">
        <f>IF($P114="","",IF(INDEX(CalcNormDate,$P114)=0,"",INDEX(CalcNormDate,$P114)))</f>
        <v/>
      </c>
      <c r="C114" s="28">
        <f>IF($P114="","",IF(INDEX(CalcTime,$P114)=0,"",INDEX(CalcTime,$P114)))</f>
        <v/>
      </c>
      <c r="D114" s="28">
        <f>IF($P114="","",IF(INDEX(EntryParty,$P114)=0,"",INDEX(EntryParty,$P114)))</f>
        <v/>
      </c>
      <c r="E114" s="28">
        <f>IF($P114="","",IF(INDEX(EntryPartyName,$P114)=0,"",INDEX(EntryPartyName,$P114)))</f>
        <v/>
      </c>
      <c r="F114" s="28">
        <f>IF($P114="","",IF(INDEX(EntryPartyType,$P114)=0,"",INDEX(EntryPartyType,$P114)))</f>
        <v/>
      </c>
      <c r="G114" s="28">
        <f>IF($P114="","",IF(INDEX(EntryTxnType,$P114)=0,"",INDEX(EntryTxnType,$P114)))</f>
        <v/>
      </c>
      <c r="H114" s="29">
        <f>IF($P114="","",IF(INDEX(EntryDep,$P114)=0,"",INDEX(EntryDep,$P114)))</f>
        <v/>
      </c>
      <c r="I114" s="29">
        <f>IF($P114="","",IF(INDEX(EntryWit,$P114)=0,"",INDEX(EntryWit,$P114)))</f>
        <v/>
      </c>
      <c r="J114" s="29">
        <f>IF($B114="","",IF($A114=1,$C$7,IF(J113="",0,J113))+IF($H114="",0,$H114)-IF($I114="",0,$I114))</f>
        <v/>
      </c>
      <c r="K114" s="29">
        <f>IF($P114="","",IF(INDEX(EntryMan,$P114)=0,"",INDEX(EntryMan,$P114)))</f>
        <v/>
      </c>
      <c r="L114" s="28">
        <f>IF($B114="","",IF($K114="","—",IF(ROUND($K114-$J114,0)=0,"√","×")))</f>
        <v/>
      </c>
      <c r="M114" s="28">
        <f>IF($B114="","",IF(COUNTIFS(EntryDates,$B114,CalcTime,$C114,CalcBank,$C$5,EntryParty,$D114,EntryDep,$H114,EntryWit,$I114)&gt;1,"تکرار",""))</f>
        <v/>
      </c>
      <c r="N114" s="28">
        <f>IF($P114="","",IF(INDEX(EntryNotes,$P114)=0,"",INDEX(EntryNotes,$P114)))</f>
        <v/>
      </c>
      <c r="O114" s="28">
        <f>IF($P114="","",IF(INDEX(EntryTxnID,$P114)=0,"",INDEX(EntryTxnID,$P114)))</f>
        <v/>
      </c>
      <c r="P114" s="28">
        <f>IFERROR(MATCH($C$5&amp;"|"&amp;RIGHT("000000"&amp;98,6),CalcRankKey,0),"")</f>
        <v/>
      </c>
    </row>
    <row r="115">
      <c r="A115" s="26">
        <f>IF($B115="","",99)</f>
        <v/>
      </c>
      <c r="B115" s="26">
        <f>IF($P115="","",IF(INDEX(CalcNormDate,$P115)=0,"",INDEX(CalcNormDate,$P115)))</f>
        <v/>
      </c>
      <c r="C115" s="26">
        <f>IF($P115="","",IF(INDEX(CalcTime,$P115)=0,"",INDEX(CalcTime,$P115)))</f>
        <v/>
      </c>
      <c r="D115" s="26">
        <f>IF($P115="","",IF(INDEX(EntryParty,$P115)=0,"",INDEX(EntryParty,$P115)))</f>
        <v/>
      </c>
      <c r="E115" s="26">
        <f>IF($P115="","",IF(INDEX(EntryPartyName,$P115)=0,"",INDEX(EntryPartyName,$P115)))</f>
        <v/>
      </c>
      <c r="F115" s="26">
        <f>IF($P115="","",IF(INDEX(EntryPartyType,$P115)=0,"",INDEX(EntryPartyType,$P115)))</f>
        <v/>
      </c>
      <c r="G115" s="26">
        <f>IF($P115="","",IF(INDEX(EntryTxnType,$P115)=0,"",INDEX(EntryTxnType,$P115)))</f>
        <v/>
      </c>
      <c r="H115" s="27">
        <f>IF($P115="","",IF(INDEX(EntryDep,$P115)=0,"",INDEX(EntryDep,$P115)))</f>
        <v/>
      </c>
      <c r="I115" s="27">
        <f>IF($P115="","",IF(INDEX(EntryWit,$P115)=0,"",INDEX(EntryWit,$P115)))</f>
        <v/>
      </c>
      <c r="J115" s="27">
        <f>IF($B115="","",IF($A115=1,$C$7,IF(J114="",0,J114))+IF($H115="",0,$H115)-IF($I115="",0,$I115))</f>
        <v/>
      </c>
      <c r="K115" s="27">
        <f>IF($P115="","",IF(INDEX(EntryMan,$P115)=0,"",INDEX(EntryMan,$P115)))</f>
        <v/>
      </c>
      <c r="L115" s="26">
        <f>IF($B115="","",IF($K115="","—",IF(ROUND($K115-$J115,0)=0,"√","×")))</f>
        <v/>
      </c>
      <c r="M115" s="26">
        <f>IF($B115="","",IF(COUNTIFS(EntryDates,$B115,CalcTime,$C115,CalcBank,$C$5,EntryParty,$D115,EntryDep,$H115,EntryWit,$I115)&gt;1,"تکرار",""))</f>
        <v/>
      </c>
      <c r="N115" s="26">
        <f>IF($P115="","",IF(INDEX(EntryNotes,$P115)=0,"",INDEX(EntryNotes,$P115)))</f>
        <v/>
      </c>
      <c r="O115" s="26">
        <f>IF($P115="","",IF(INDEX(EntryTxnID,$P115)=0,"",INDEX(EntryTxnID,$P115)))</f>
        <v/>
      </c>
      <c r="P115" s="26">
        <f>IFERROR(MATCH($C$5&amp;"|"&amp;RIGHT("000000"&amp;99,6),CalcRankKey,0),"")</f>
        <v/>
      </c>
    </row>
    <row r="116">
      <c r="A116" s="28">
        <f>IF($B116="","",100)</f>
        <v/>
      </c>
      <c r="B116" s="28">
        <f>IF($P116="","",IF(INDEX(CalcNormDate,$P116)=0,"",INDEX(CalcNormDate,$P116)))</f>
        <v/>
      </c>
      <c r="C116" s="28">
        <f>IF($P116="","",IF(INDEX(CalcTime,$P116)=0,"",INDEX(CalcTime,$P116)))</f>
        <v/>
      </c>
      <c r="D116" s="28">
        <f>IF($P116="","",IF(INDEX(EntryParty,$P116)=0,"",INDEX(EntryParty,$P116)))</f>
        <v/>
      </c>
      <c r="E116" s="28">
        <f>IF($P116="","",IF(INDEX(EntryPartyName,$P116)=0,"",INDEX(EntryPartyName,$P116)))</f>
        <v/>
      </c>
      <c r="F116" s="28">
        <f>IF($P116="","",IF(INDEX(EntryPartyType,$P116)=0,"",INDEX(EntryPartyType,$P116)))</f>
        <v/>
      </c>
      <c r="G116" s="28">
        <f>IF($P116="","",IF(INDEX(EntryTxnType,$P116)=0,"",INDEX(EntryTxnType,$P116)))</f>
        <v/>
      </c>
      <c r="H116" s="29">
        <f>IF($P116="","",IF(INDEX(EntryDep,$P116)=0,"",INDEX(EntryDep,$P116)))</f>
        <v/>
      </c>
      <c r="I116" s="29">
        <f>IF($P116="","",IF(INDEX(EntryWit,$P116)=0,"",INDEX(EntryWit,$P116)))</f>
        <v/>
      </c>
      <c r="J116" s="29">
        <f>IF($B116="","",IF($A116=1,$C$7,IF(J115="",0,J115))+IF($H116="",0,$H116)-IF($I116="",0,$I116))</f>
        <v/>
      </c>
      <c r="K116" s="29">
        <f>IF($P116="","",IF(INDEX(EntryMan,$P116)=0,"",INDEX(EntryMan,$P116)))</f>
        <v/>
      </c>
      <c r="L116" s="28">
        <f>IF($B116="","",IF($K116="","—",IF(ROUND($K116-$J116,0)=0,"√","×")))</f>
        <v/>
      </c>
      <c r="M116" s="28">
        <f>IF($B116="","",IF(COUNTIFS(EntryDates,$B116,CalcTime,$C116,CalcBank,$C$5,EntryParty,$D116,EntryDep,$H116,EntryWit,$I116)&gt;1,"تکرار",""))</f>
        <v/>
      </c>
      <c r="N116" s="28">
        <f>IF($P116="","",IF(INDEX(EntryNotes,$P116)=0,"",INDEX(EntryNotes,$P116)))</f>
        <v/>
      </c>
      <c r="O116" s="28">
        <f>IF($P116="","",IF(INDEX(EntryTxnID,$P116)=0,"",INDEX(EntryTxnID,$P116)))</f>
        <v/>
      </c>
      <c r="P116" s="28">
        <f>IFERROR(MATCH($C$5&amp;"|"&amp;RIGHT("000000"&amp;100,6),CalcRankKey,0),"")</f>
        <v/>
      </c>
    </row>
    <row r="117">
      <c r="A117" s="26">
        <f>IF($B117="","",101)</f>
        <v/>
      </c>
      <c r="B117" s="26">
        <f>IF($P117="","",IF(INDEX(CalcNormDate,$P117)=0,"",INDEX(CalcNormDate,$P117)))</f>
        <v/>
      </c>
      <c r="C117" s="26">
        <f>IF($P117="","",IF(INDEX(CalcTime,$P117)=0,"",INDEX(CalcTime,$P117)))</f>
        <v/>
      </c>
      <c r="D117" s="26">
        <f>IF($P117="","",IF(INDEX(EntryParty,$P117)=0,"",INDEX(EntryParty,$P117)))</f>
        <v/>
      </c>
      <c r="E117" s="26">
        <f>IF($P117="","",IF(INDEX(EntryPartyName,$P117)=0,"",INDEX(EntryPartyName,$P117)))</f>
        <v/>
      </c>
      <c r="F117" s="26">
        <f>IF($P117="","",IF(INDEX(EntryPartyType,$P117)=0,"",INDEX(EntryPartyType,$P117)))</f>
        <v/>
      </c>
      <c r="G117" s="26">
        <f>IF($P117="","",IF(INDEX(EntryTxnType,$P117)=0,"",INDEX(EntryTxnType,$P117)))</f>
        <v/>
      </c>
      <c r="H117" s="27">
        <f>IF($P117="","",IF(INDEX(EntryDep,$P117)=0,"",INDEX(EntryDep,$P117)))</f>
        <v/>
      </c>
      <c r="I117" s="27">
        <f>IF($P117="","",IF(INDEX(EntryWit,$P117)=0,"",INDEX(EntryWit,$P117)))</f>
        <v/>
      </c>
      <c r="J117" s="27">
        <f>IF($B117="","",IF($A117=1,$C$7,IF(J116="",0,J116))+IF($H117="",0,$H117)-IF($I117="",0,$I117))</f>
        <v/>
      </c>
      <c r="K117" s="27">
        <f>IF($P117="","",IF(INDEX(EntryMan,$P117)=0,"",INDEX(EntryMan,$P117)))</f>
        <v/>
      </c>
      <c r="L117" s="26">
        <f>IF($B117="","",IF($K117="","—",IF(ROUND($K117-$J117,0)=0,"√","×")))</f>
        <v/>
      </c>
      <c r="M117" s="26">
        <f>IF($B117="","",IF(COUNTIFS(EntryDates,$B117,CalcTime,$C117,CalcBank,$C$5,EntryParty,$D117,EntryDep,$H117,EntryWit,$I117)&gt;1,"تکرار",""))</f>
        <v/>
      </c>
      <c r="N117" s="26">
        <f>IF($P117="","",IF(INDEX(EntryNotes,$P117)=0,"",INDEX(EntryNotes,$P117)))</f>
        <v/>
      </c>
      <c r="O117" s="26">
        <f>IF($P117="","",IF(INDEX(EntryTxnID,$P117)=0,"",INDEX(EntryTxnID,$P117)))</f>
        <v/>
      </c>
      <c r="P117" s="26">
        <f>IFERROR(MATCH($C$5&amp;"|"&amp;RIGHT("000000"&amp;101,6),CalcRankKey,0),"")</f>
        <v/>
      </c>
    </row>
    <row r="118">
      <c r="A118" s="28">
        <f>IF($B118="","",102)</f>
        <v/>
      </c>
      <c r="B118" s="28">
        <f>IF($P118="","",IF(INDEX(CalcNormDate,$P118)=0,"",INDEX(CalcNormDate,$P118)))</f>
        <v/>
      </c>
      <c r="C118" s="28">
        <f>IF($P118="","",IF(INDEX(CalcTime,$P118)=0,"",INDEX(CalcTime,$P118)))</f>
        <v/>
      </c>
      <c r="D118" s="28">
        <f>IF($P118="","",IF(INDEX(EntryParty,$P118)=0,"",INDEX(EntryParty,$P118)))</f>
        <v/>
      </c>
      <c r="E118" s="28">
        <f>IF($P118="","",IF(INDEX(EntryPartyName,$P118)=0,"",INDEX(EntryPartyName,$P118)))</f>
        <v/>
      </c>
      <c r="F118" s="28">
        <f>IF($P118="","",IF(INDEX(EntryPartyType,$P118)=0,"",INDEX(EntryPartyType,$P118)))</f>
        <v/>
      </c>
      <c r="G118" s="28">
        <f>IF($P118="","",IF(INDEX(EntryTxnType,$P118)=0,"",INDEX(EntryTxnType,$P118)))</f>
        <v/>
      </c>
      <c r="H118" s="29">
        <f>IF($P118="","",IF(INDEX(EntryDep,$P118)=0,"",INDEX(EntryDep,$P118)))</f>
        <v/>
      </c>
      <c r="I118" s="29">
        <f>IF($P118="","",IF(INDEX(EntryWit,$P118)=0,"",INDEX(EntryWit,$P118)))</f>
        <v/>
      </c>
      <c r="J118" s="29">
        <f>IF($B118="","",IF($A118=1,$C$7,IF(J117="",0,J117))+IF($H118="",0,$H118)-IF($I118="",0,$I118))</f>
        <v/>
      </c>
      <c r="K118" s="29">
        <f>IF($P118="","",IF(INDEX(EntryMan,$P118)=0,"",INDEX(EntryMan,$P118)))</f>
        <v/>
      </c>
      <c r="L118" s="28">
        <f>IF($B118="","",IF($K118="","—",IF(ROUND($K118-$J118,0)=0,"√","×")))</f>
        <v/>
      </c>
      <c r="M118" s="28">
        <f>IF($B118="","",IF(COUNTIFS(EntryDates,$B118,CalcTime,$C118,CalcBank,$C$5,EntryParty,$D118,EntryDep,$H118,EntryWit,$I118)&gt;1,"تکرار",""))</f>
        <v/>
      </c>
      <c r="N118" s="28">
        <f>IF($P118="","",IF(INDEX(EntryNotes,$P118)=0,"",INDEX(EntryNotes,$P118)))</f>
        <v/>
      </c>
      <c r="O118" s="28">
        <f>IF($P118="","",IF(INDEX(EntryTxnID,$P118)=0,"",INDEX(EntryTxnID,$P118)))</f>
        <v/>
      </c>
      <c r="P118" s="28">
        <f>IFERROR(MATCH($C$5&amp;"|"&amp;RIGHT("000000"&amp;102,6),CalcRankKey,0),"")</f>
        <v/>
      </c>
    </row>
    <row r="119">
      <c r="A119" s="26">
        <f>IF($B119="","",103)</f>
        <v/>
      </c>
      <c r="B119" s="26">
        <f>IF($P119="","",IF(INDEX(CalcNormDate,$P119)=0,"",INDEX(CalcNormDate,$P119)))</f>
        <v/>
      </c>
      <c r="C119" s="26">
        <f>IF($P119="","",IF(INDEX(CalcTime,$P119)=0,"",INDEX(CalcTime,$P119)))</f>
        <v/>
      </c>
      <c r="D119" s="26">
        <f>IF($P119="","",IF(INDEX(EntryParty,$P119)=0,"",INDEX(EntryParty,$P119)))</f>
        <v/>
      </c>
      <c r="E119" s="26">
        <f>IF($P119="","",IF(INDEX(EntryPartyName,$P119)=0,"",INDEX(EntryPartyName,$P119)))</f>
        <v/>
      </c>
      <c r="F119" s="26">
        <f>IF($P119="","",IF(INDEX(EntryPartyType,$P119)=0,"",INDEX(EntryPartyType,$P119)))</f>
        <v/>
      </c>
      <c r="G119" s="26">
        <f>IF($P119="","",IF(INDEX(EntryTxnType,$P119)=0,"",INDEX(EntryTxnType,$P119)))</f>
        <v/>
      </c>
      <c r="H119" s="27">
        <f>IF($P119="","",IF(INDEX(EntryDep,$P119)=0,"",INDEX(EntryDep,$P119)))</f>
        <v/>
      </c>
      <c r="I119" s="27">
        <f>IF($P119="","",IF(INDEX(EntryWit,$P119)=0,"",INDEX(EntryWit,$P119)))</f>
        <v/>
      </c>
      <c r="J119" s="27">
        <f>IF($B119="","",IF($A119=1,$C$7,IF(J118="",0,J118))+IF($H119="",0,$H119)-IF($I119="",0,$I119))</f>
        <v/>
      </c>
      <c r="K119" s="27">
        <f>IF($P119="","",IF(INDEX(EntryMan,$P119)=0,"",INDEX(EntryMan,$P119)))</f>
        <v/>
      </c>
      <c r="L119" s="26">
        <f>IF($B119="","",IF($K119="","—",IF(ROUND($K119-$J119,0)=0,"√","×")))</f>
        <v/>
      </c>
      <c r="M119" s="26">
        <f>IF($B119="","",IF(COUNTIFS(EntryDates,$B119,CalcTime,$C119,CalcBank,$C$5,EntryParty,$D119,EntryDep,$H119,EntryWit,$I119)&gt;1,"تکرار",""))</f>
        <v/>
      </c>
      <c r="N119" s="26">
        <f>IF($P119="","",IF(INDEX(EntryNotes,$P119)=0,"",INDEX(EntryNotes,$P119)))</f>
        <v/>
      </c>
      <c r="O119" s="26">
        <f>IF($P119="","",IF(INDEX(EntryTxnID,$P119)=0,"",INDEX(EntryTxnID,$P119)))</f>
        <v/>
      </c>
      <c r="P119" s="26">
        <f>IFERROR(MATCH($C$5&amp;"|"&amp;RIGHT("000000"&amp;103,6),CalcRankKey,0),"")</f>
        <v/>
      </c>
    </row>
    <row r="120">
      <c r="A120" s="28">
        <f>IF($B120="","",104)</f>
        <v/>
      </c>
      <c r="B120" s="28">
        <f>IF($P120="","",IF(INDEX(CalcNormDate,$P120)=0,"",INDEX(CalcNormDate,$P120)))</f>
        <v/>
      </c>
      <c r="C120" s="28">
        <f>IF($P120="","",IF(INDEX(CalcTime,$P120)=0,"",INDEX(CalcTime,$P120)))</f>
        <v/>
      </c>
      <c r="D120" s="28">
        <f>IF($P120="","",IF(INDEX(EntryParty,$P120)=0,"",INDEX(EntryParty,$P120)))</f>
        <v/>
      </c>
      <c r="E120" s="28">
        <f>IF($P120="","",IF(INDEX(EntryPartyName,$P120)=0,"",INDEX(EntryPartyName,$P120)))</f>
        <v/>
      </c>
      <c r="F120" s="28">
        <f>IF($P120="","",IF(INDEX(EntryPartyType,$P120)=0,"",INDEX(EntryPartyType,$P120)))</f>
        <v/>
      </c>
      <c r="G120" s="28">
        <f>IF($P120="","",IF(INDEX(EntryTxnType,$P120)=0,"",INDEX(EntryTxnType,$P120)))</f>
        <v/>
      </c>
      <c r="H120" s="29">
        <f>IF($P120="","",IF(INDEX(EntryDep,$P120)=0,"",INDEX(EntryDep,$P120)))</f>
        <v/>
      </c>
      <c r="I120" s="29">
        <f>IF($P120="","",IF(INDEX(EntryWit,$P120)=0,"",INDEX(EntryWit,$P120)))</f>
        <v/>
      </c>
      <c r="J120" s="29">
        <f>IF($B120="","",IF($A120=1,$C$7,IF(J119="",0,J119))+IF($H120="",0,$H120)-IF($I120="",0,$I120))</f>
        <v/>
      </c>
      <c r="K120" s="29">
        <f>IF($P120="","",IF(INDEX(EntryMan,$P120)=0,"",INDEX(EntryMan,$P120)))</f>
        <v/>
      </c>
      <c r="L120" s="28">
        <f>IF($B120="","",IF($K120="","—",IF(ROUND($K120-$J120,0)=0,"√","×")))</f>
        <v/>
      </c>
      <c r="M120" s="28">
        <f>IF($B120="","",IF(COUNTIFS(EntryDates,$B120,CalcTime,$C120,CalcBank,$C$5,EntryParty,$D120,EntryDep,$H120,EntryWit,$I120)&gt;1,"تکرار",""))</f>
        <v/>
      </c>
      <c r="N120" s="28">
        <f>IF($P120="","",IF(INDEX(EntryNotes,$P120)=0,"",INDEX(EntryNotes,$P120)))</f>
        <v/>
      </c>
      <c r="O120" s="28">
        <f>IF($P120="","",IF(INDEX(EntryTxnID,$P120)=0,"",INDEX(EntryTxnID,$P120)))</f>
        <v/>
      </c>
      <c r="P120" s="28">
        <f>IFERROR(MATCH($C$5&amp;"|"&amp;RIGHT("000000"&amp;104,6),CalcRankKey,0),"")</f>
        <v/>
      </c>
    </row>
    <row r="121">
      <c r="A121" s="26">
        <f>IF($B121="","",105)</f>
        <v/>
      </c>
      <c r="B121" s="26">
        <f>IF($P121="","",IF(INDEX(CalcNormDate,$P121)=0,"",INDEX(CalcNormDate,$P121)))</f>
        <v/>
      </c>
      <c r="C121" s="26">
        <f>IF($P121="","",IF(INDEX(CalcTime,$P121)=0,"",INDEX(CalcTime,$P121)))</f>
        <v/>
      </c>
      <c r="D121" s="26">
        <f>IF($P121="","",IF(INDEX(EntryParty,$P121)=0,"",INDEX(EntryParty,$P121)))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IF($P121="","",IF(INDEX(EntryPartyType,$P121)=0,"",INDEX(EntryPartyType,$P121)))</f>
        <v/>
      </c>
      <c r="G121" s="26">
        <f>IF($P121="","",IF(INDEX(EntryTxnType,$P121)=0,"",INDEX(EntryTxnType,$P121)))</f>
        <v/>
      </c>
      <c r="H121" s="27">
        <f>IF($P121="","",IF(INDEX(EntryDep,$P121)=0,"",INDEX(EntryDep,$P121)))</f>
        <v/>
      </c>
      <c r="I121" s="27">
        <f>IF($P121="","",IF(INDEX(EntryWit,$P121)=0,"",INDEX(EntryWit,$P121)))</f>
        <v/>
      </c>
      <c r="J121" s="27">
        <f>IF($B121="","",IF($A121=1,$C$7,IF(J120="",0,J120))+IF($H121="",0,$H121)-IF($I121="",0,$I121))</f>
        <v/>
      </c>
      <c r="K121" s="27">
        <f>IF($P121="","",IF(INDEX(EntryMan,$P121)=0,"",INDEX(EntryMan,$P121)))</f>
        <v/>
      </c>
      <c r="L121" s="26">
        <f>IF($B121="","",IF($K121="","—",IF(ROUND($K121-$J121,0)=0,"√","×")))</f>
        <v/>
      </c>
      <c r="M121" s="26">
        <f>IF($B121="","",IF(COUNTIFS(EntryDates,$B121,CalcTime,$C121,CalcBank,$C$5,EntryParty,$D121,EntryDep,$H121,EntryWit,$I121)&gt;1,"تکرار",""))</f>
        <v/>
      </c>
      <c r="N121" s="26">
        <f>IF($P121="","",IF(INDEX(EntryNotes,$P121)=0,"",INDEX(EntryNotes,$P121)))</f>
        <v/>
      </c>
      <c r="O121" s="26">
        <f>IF($P121="","",IF(INDEX(EntryTxnID,$P121)=0,"",INDEX(EntryTxnID,$P121)))</f>
        <v/>
      </c>
      <c r="P121" s="26">
        <f>IFERROR(MATCH($C$5&amp;"|"&amp;RIGHT("000000"&amp;105,6),CalcRankKey,0),"")</f>
        <v/>
      </c>
    </row>
    <row r="122">
      <c r="A122" s="28">
        <f>IF($B122="","",106)</f>
        <v/>
      </c>
      <c r="B122" s="28">
        <f>IF($P122="","",IF(INDEX(CalcNormDate,$P122)=0,"",INDEX(CalcNormDate,$P122)))</f>
        <v/>
      </c>
      <c r="C122" s="28">
        <f>IF($P122="","",IF(INDEX(CalcTime,$P122)=0,"",INDEX(CalcTime,$P122)))</f>
        <v/>
      </c>
      <c r="D122" s="28">
        <f>IF($P122="","",IF(INDEX(EntryParty,$P122)=0,"",INDEX(EntryParty,$P122)))</f>
        <v/>
      </c>
      <c r="E122" s="28">
        <f>IF($P122="","",IF(INDEX(EntryPartyName,$P122)=0,"",INDEX(EntryPartyName,$P122)))</f>
        <v/>
      </c>
      <c r="F122" s="28">
        <f>IF($P122="","",IF(INDEX(EntryPartyType,$P122)=0,"",INDEX(EntryPartyType,$P122)))</f>
        <v/>
      </c>
      <c r="G122" s="28">
        <f>IF($P122="","",IF(INDEX(EntryTxnType,$P122)=0,"",INDEX(EntryTxnType,$P122)))</f>
        <v/>
      </c>
      <c r="H122" s="29">
        <f>IF($P122="","",IF(INDEX(EntryDep,$P122)=0,"",INDEX(EntryDep,$P122)))</f>
        <v/>
      </c>
      <c r="I122" s="29">
        <f>IF($P122="","",IF(INDEX(EntryWit,$P122)=0,"",INDEX(EntryWit,$P122)))</f>
        <v/>
      </c>
      <c r="J122" s="29">
        <f>IF($B122="","",IF($A122=1,$C$7,IF(J121="",0,J121))+IF($H122="",0,$H122)-IF($I122="",0,$I122))</f>
        <v/>
      </c>
      <c r="K122" s="29">
        <f>IF($P122="","",IF(INDEX(EntryMan,$P122)=0,"",INDEX(EntryMan,$P122)))</f>
        <v/>
      </c>
      <c r="L122" s="28">
        <f>IF($B122="","",IF($K122="","—",IF(ROUND($K122-$J122,0)=0,"√","×")))</f>
        <v/>
      </c>
      <c r="M122" s="28">
        <f>IF($B122="","",IF(COUNTIFS(EntryDates,$B122,CalcTime,$C122,CalcBank,$C$5,EntryParty,$D122,EntryDep,$H122,EntryWit,$I122)&gt;1,"تکرار",""))</f>
        <v/>
      </c>
      <c r="N122" s="28">
        <f>IF($P122="","",IF(INDEX(EntryNotes,$P122)=0,"",INDEX(EntryNotes,$P122)))</f>
        <v/>
      </c>
      <c r="O122" s="28">
        <f>IF($P122="","",IF(INDEX(EntryTxnID,$P122)=0,"",INDEX(EntryTxnID,$P122)))</f>
        <v/>
      </c>
      <c r="P122" s="28">
        <f>IFERROR(MATCH($C$5&amp;"|"&amp;RIGHT("000000"&amp;106,6),CalcRankKey,0),"")</f>
        <v/>
      </c>
    </row>
    <row r="123">
      <c r="A123" s="26">
        <f>IF($B123="","",107)</f>
        <v/>
      </c>
      <c r="B123" s="26">
        <f>IF($P123="","",IF(INDEX(CalcNormDate,$P123)=0,"",INDEX(CalcNormDate,$P123)))</f>
        <v/>
      </c>
      <c r="C123" s="26">
        <f>IF($P123="","",IF(INDEX(CalcTime,$P123)=0,"",INDEX(CalcTime,$P123)))</f>
        <v/>
      </c>
      <c r="D123" s="26">
        <f>IF($P123="","",IF(INDEX(EntryParty,$P123)=0,"",INDEX(EntryParty,$P123)))</f>
        <v/>
      </c>
      <c r="E123" s="26">
        <f>IF($P123="","",IF(INDEX(EntryPartyName,$P123)=0,"",INDEX(EntryPartyName,$P123)))</f>
        <v/>
      </c>
      <c r="F123" s="26">
        <f>IF($P123="","",IF(INDEX(EntryPartyType,$P123)=0,"",INDEX(EntryPartyType,$P123)))</f>
        <v/>
      </c>
      <c r="G123" s="26">
        <f>IF($P123="","",IF(INDEX(EntryTxnType,$P123)=0,"",INDEX(EntryTxnType,$P123)))</f>
        <v/>
      </c>
      <c r="H123" s="27">
        <f>IF($P123="","",IF(INDEX(EntryDep,$P123)=0,"",INDEX(EntryDep,$P123)))</f>
        <v/>
      </c>
      <c r="I123" s="27">
        <f>IF($P123="","",IF(INDEX(EntryWit,$P123)=0,"",INDEX(EntryWit,$P123)))</f>
        <v/>
      </c>
      <c r="J123" s="27">
        <f>IF($B123="","",IF($A123=1,$C$7,IF(J122="",0,J122))+IF($H123="",0,$H123)-IF($I123="",0,$I123))</f>
        <v/>
      </c>
      <c r="K123" s="27">
        <f>IF($P123="","",IF(INDEX(EntryMan,$P123)=0,"",INDEX(EntryMan,$P123)))</f>
        <v/>
      </c>
      <c r="L123" s="26">
        <f>IF($B123="","",IF($K123="","—",IF(ROUND($K123-$J123,0)=0,"√","×")))</f>
        <v/>
      </c>
      <c r="M123" s="26">
        <f>IF($B123="","",IF(COUNTIFS(EntryDates,$B123,CalcTime,$C123,CalcBank,$C$5,EntryParty,$D123,EntryDep,$H123,EntryWit,$I123)&gt;1,"تکرار",""))</f>
        <v/>
      </c>
      <c r="N123" s="26">
        <f>IF($P123="","",IF(INDEX(EntryNotes,$P123)=0,"",INDEX(EntryNotes,$P123)))</f>
        <v/>
      </c>
      <c r="O123" s="26">
        <f>IF($P123="","",IF(INDEX(EntryTxnID,$P123)=0,"",INDEX(EntryTxnID,$P123)))</f>
        <v/>
      </c>
      <c r="P123" s="26">
        <f>IFERROR(MATCH($C$5&amp;"|"&amp;RIGHT("000000"&amp;107,6),CalcRankKey,0),"")</f>
        <v/>
      </c>
    </row>
    <row r="124">
      <c r="A124" s="28">
        <f>IF($B124="","",108)</f>
        <v/>
      </c>
      <c r="B124" s="28">
        <f>IF($P124="","",IF(INDEX(CalcNormDate,$P124)=0,"",INDEX(CalcNormDate,$P124)))</f>
        <v/>
      </c>
      <c r="C124" s="28">
        <f>IF($P124="","",IF(INDEX(CalcTime,$P124)=0,"",INDEX(CalcTime,$P124)))</f>
        <v/>
      </c>
      <c r="D124" s="28">
        <f>IF($P124="","",IF(INDEX(EntryParty,$P124)=0,"",INDEX(EntryParty,$P124)))</f>
        <v/>
      </c>
      <c r="E124" s="28">
        <f>IF($P124="","",IF(INDEX(EntryPartyName,$P124)=0,"",INDEX(EntryPartyName,$P124)))</f>
        <v/>
      </c>
      <c r="F124" s="28">
        <f>IF($P124="","",IF(INDEX(EntryPartyType,$P124)=0,"",INDEX(EntryPartyType,$P124)))</f>
        <v/>
      </c>
      <c r="G124" s="28">
        <f>IF($P124="","",IF(INDEX(EntryTxnType,$P124)=0,"",INDEX(EntryTxnType,$P124)))</f>
        <v/>
      </c>
      <c r="H124" s="29">
        <f>IF($P124="","",IF(INDEX(EntryDep,$P124)=0,"",INDEX(EntryDep,$P124)))</f>
        <v/>
      </c>
      <c r="I124" s="29">
        <f>IF($P124="","",IF(INDEX(EntryWit,$P124)=0,"",INDEX(EntryWit,$P124)))</f>
        <v/>
      </c>
      <c r="J124" s="29">
        <f>IF($B124="","",IF($A124=1,$C$7,IF(J123="",0,J123))+IF($H124="",0,$H124)-IF($I124="",0,$I124))</f>
        <v/>
      </c>
      <c r="K124" s="29">
        <f>IF($P124="","",IF(INDEX(EntryMan,$P124)=0,"",INDEX(EntryMan,$P124)))</f>
        <v/>
      </c>
      <c r="L124" s="28">
        <f>IF($B124="","",IF($K124="","—",IF(ROUND($K124-$J124,0)=0,"√","×")))</f>
        <v/>
      </c>
      <c r="M124" s="28">
        <f>IF($B124="","",IF(COUNTIFS(EntryDates,$B124,CalcTime,$C124,CalcBank,$C$5,EntryParty,$D124,EntryDep,$H124,EntryWit,$I124)&gt;1,"تکرار",""))</f>
        <v/>
      </c>
      <c r="N124" s="28">
        <f>IF($P124="","",IF(INDEX(EntryNotes,$P124)=0,"",INDEX(EntryNotes,$P124)))</f>
        <v/>
      </c>
      <c r="O124" s="28">
        <f>IF($P124="","",IF(INDEX(EntryTxnID,$P124)=0,"",INDEX(EntryTxnID,$P124)))</f>
        <v/>
      </c>
      <c r="P124" s="28">
        <f>IFERROR(MATCH($C$5&amp;"|"&amp;RIGHT("000000"&amp;108,6),CalcRankKey,0),"")</f>
        <v/>
      </c>
    </row>
    <row r="125">
      <c r="A125" s="26">
        <f>IF($B125="","",109)</f>
        <v/>
      </c>
      <c r="B125" s="26">
        <f>IF($P125="","",IF(INDEX(CalcNormDate,$P125)=0,"",INDEX(CalcNormDate,$P125)))</f>
        <v/>
      </c>
      <c r="C125" s="26">
        <f>IF($P125="","",IF(INDEX(CalcTime,$P125)=0,"",INDEX(CalcTime,$P125)))</f>
        <v/>
      </c>
      <c r="D125" s="26">
        <f>IF($P125="","",IF(INDEX(EntryParty,$P125)=0,"",INDEX(EntryParty,$P125)))</f>
        <v/>
      </c>
      <c r="E125" s="26">
        <f>IF($P125="","",IF(INDEX(EntryPartyName,$P125)=0,"",INDEX(EntryPartyName,$P125)))</f>
        <v/>
      </c>
      <c r="F125" s="26">
        <f>IF($P125="","",IF(INDEX(EntryPartyType,$P125)=0,"",INDEX(EntryPartyType,$P125)))</f>
        <v/>
      </c>
      <c r="G125" s="26">
        <f>IF($P125="","",IF(INDEX(EntryTxnType,$P125)=0,"",INDEX(EntryTxnType,$P125)))</f>
        <v/>
      </c>
      <c r="H125" s="27">
        <f>IF($P125="","",IF(INDEX(EntryDep,$P125)=0,"",INDEX(EntryDep,$P125)))</f>
        <v/>
      </c>
      <c r="I125" s="27">
        <f>IF($P125="","",IF(INDEX(EntryWit,$P125)=0,"",INDEX(EntryWit,$P125)))</f>
        <v/>
      </c>
      <c r="J125" s="27">
        <f>IF($B125="","",IF($A125=1,$C$7,IF(J124="",0,J124))+IF($H125="",0,$H125)-IF($I125="",0,$I125))</f>
        <v/>
      </c>
      <c r="K125" s="27">
        <f>IF($P125="","",IF(INDEX(EntryMan,$P125)=0,"",INDEX(EntryMan,$P125)))</f>
        <v/>
      </c>
      <c r="L125" s="26">
        <f>IF($B125="","",IF($K125="","—",IF(ROUND($K125-$J125,0)=0,"√","×")))</f>
        <v/>
      </c>
      <c r="M125" s="26">
        <f>IF($B125="","",IF(COUNTIFS(EntryDates,$B125,CalcTime,$C125,CalcBank,$C$5,EntryParty,$D125,EntryDep,$H125,EntryWit,$I125)&gt;1,"تکرار",""))</f>
        <v/>
      </c>
      <c r="N125" s="26">
        <f>IF($P125="","",IF(INDEX(EntryNotes,$P125)=0,"",INDEX(EntryNotes,$P125)))</f>
        <v/>
      </c>
      <c r="O125" s="26">
        <f>IF($P125="","",IF(INDEX(EntryTxnID,$P125)=0,"",INDEX(EntryTxnID,$P125)))</f>
        <v/>
      </c>
      <c r="P125" s="26">
        <f>IFERROR(MATCH($C$5&amp;"|"&amp;RIGHT("000000"&amp;109,6),CalcRankKey,0),"")</f>
        <v/>
      </c>
    </row>
    <row r="126">
      <c r="A126" s="28">
        <f>IF($B126="","",110)</f>
        <v/>
      </c>
      <c r="B126" s="28">
        <f>IF($P126="","",IF(INDEX(CalcNormDate,$P126)=0,"",INDEX(CalcNormDate,$P126)))</f>
        <v/>
      </c>
      <c r="C126" s="28">
        <f>IF($P126="","",IF(INDEX(CalcTime,$P126)=0,"",INDEX(CalcTime,$P126)))</f>
        <v/>
      </c>
      <c r="D126" s="28">
        <f>IF($P126="","",IF(INDEX(EntryParty,$P126)=0,"",INDEX(EntryParty,$P126)))</f>
        <v/>
      </c>
      <c r="E126" s="28">
        <f>IF($P126="","",IF(INDEX(EntryPartyName,$P126)=0,"",INDEX(EntryPartyName,$P126)))</f>
        <v/>
      </c>
      <c r="F126" s="28">
        <f>IF($P126="","",IF(INDEX(EntryPartyType,$P126)=0,"",INDEX(EntryPartyType,$P126)))</f>
        <v/>
      </c>
      <c r="G126" s="28">
        <f>IF($P126="","",IF(INDEX(EntryTxnType,$P126)=0,"",INDEX(EntryTxnType,$P126)))</f>
        <v/>
      </c>
      <c r="H126" s="29">
        <f>IF($P126="","",IF(INDEX(EntryDep,$P126)=0,"",INDEX(EntryDep,$P126)))</f>
        <v/>
      </c>
      <c r="I126" s="29">
        <f>IF($P126="","",IF(INDEX(EntryWit,$P126)=0,"",INDEX(EntryWit,$P126)))</f>
        <v/>
      </c>
      <c r="J126" s="29">
        <f>IF($B126="","",IF($A126=1,$C$7,IF(J125="",0,J125))+IF($H126="",0,$H126)-IF($I126="",0,$I126))</f>
        <v/>
      </c>
      <c r="K126" s="29">
        <f>IF($P126="","",IF(INDEX(EntryMan,$P126)=0,"",INDEX(EntryMan,$P126)))</f>
        <v/>
      </c>
      <c r="L126" s="28">
        <f>IF($B126="","",IF($K126="","—",IF(ROUND($K126-$J126,0)=0,"√","×")))</f>
        <v/>
      </c>
      <c r="M126" s="28">
        <f>IF($B126="","",IF(COUNTIFS(EntryDates,$B126,CalcTime,$C126,CalcBank,$C$5,EntryParty,$D126,EntryDep,$H126,EntryWit,$I126)&gt;1,"تکرار",""))</f>
        <v/>
      </c>
      <c r="N126" s="28">
        <f>IF($P126="","",IF(INDEX(EntryNotes,$P126)=0,"",INDEX(EntryNotes,$P126)))</f>
        <v/>
      </c>
      <c r="O126" s="28">
        <f>IF($P126="","",IF(INDEX(EntryTxnID,$P126)=0,"",INDEX(EntryTxnID,$P126)))</f>
        <v/>
      </c>
      <c r="P126" s="28">
        <f>IFERROR(MATCH($C$5&amp;"|"&amp;RIGHT("000000"&amp;110,6),CalcRankKey,0),"")</f>
        <v/>
      </c>
    </row>
    <row r="127">
      <c r="A127" s="26">
        <f>IF($B127="","",111)</f>
        <v/>
      </c>
      <c r="B127" s="26">
        <f>IF($P127="","",IF(INDEX(CalcNormDate,$P127)=0,"",INDEX(CalcNormDate,$P127)))</f>
        <v/>
      </c>
      <c r="C127" s="26">
        <f>IF($P127="","",IF(INDEX(CalcTime,$P127)=0,"",INDEX(CalcTime,$P127)))</f>
        <v/>
      </c>
      <c r="D127" s="26">
        <f>IF($P127="","",IF(INDEX(EntryParty,$P127)=0,"",INDEX(EntryParty,$P127)))</f>
        <v/>
      </c>
      <c r="E127" s="26">
        <f>IF($P127="","",IF(INDEX(EntryPartyName,$P127)=0,"",INDEX(EntryPartyName,$P127)))</f>
        <v/>
      </c>
      <c r="F127" s="26">
        <f>IF($P127="","",IF(INDEX(EntryPartyType,$P127)=0,"",INDEX(EntryPartyType,$P127)))</f>
        <v/>
      </c>
      <c r="G127" s="26">
        <f>IF($P127="","",IF(INDEX(EntryTxnType,$P127)=0,"",INDEX(EntryTxnType,$P127)))</f>
        <v/>
      </c>
      <c r="H127" s="27">
        <f>IF($P127="","",IF(INDEX(EntryDep,$P127)=0,"",INDEX(EntryDep,$P127)))</f>
        <v/>
      </c>
      <c r="I127" s="27">
        <f>IF($P127="","",IF(INDEX(EntryWit,$P127)=0,"",INDEX(EntryWit,$P127)))</f>
        <v/>
      </c>
      <c r="J127" s="27">
        <f>IF($B127="","",IF($A127=1,$C$7,IF(J126="",0,J126))+IF($H127="",0,$H127)-IF($I127="",0,$I127))</f>
        <v/>
      </c>
      <c r="K127" s="27">
        <f>IF($P127="","",IF(INDEX(EntryMan,$P127)=0,"",INDEX(EntryMan,$P127)))</f>
        <v/>
      </c>
      <c r="L127" s="26">
        <f>IF($B127="","",IF($K127="","—",IF(ROUND($K127-$J127,0)=0,"√","×")))</f>
        <v/>
      </c>
      <c r="M127" s="26">
        <f>IF($B127="","",IF(COUNTIFS(EntryDates,$B127,CalcTime,$C127,CalcBank,$C$5,EntryParty,$D127,EntryDep,$H127,EntryWit,$I127)&gt;1,"تکرار",""))</f>
        <v/>
      </c>
      <c r="N127" s="26">
        <f>IF($P127="","",IF(INDEX(EntryNotes,$P127)=0,"",INDEX(EntryNotes,$P127)))</f>
        <v/>
      </c>
      <c r="O127" s="26">
        <f>IF($P127="","",IF(INDEX(EntryTxnID,$P127)=0,"",INDEX(EntryTxnID,$P127)))</f>
        <v/>
      </c>
      <c r="P127" s="26">
        <f>IFERROR(MATCH($C$5&amp;"|"&amp;RIGHT("000000"&amp;111,6),CalcRankKey,0),"")</f>
        <v/>
      </c>
    </row>
    <row r="128">
      <c r="A128" s="28">
        <f>IF($B128="","",112)</f>
        <v/>
      </c>
      <c r="B128" s="28">
        <f>IF($P128="","",IF(INDEX(CalcNormDate,$P128)=0,"",INDEX(CalcNormDate,$P128)))</f>
        <v/>
      </c>
      <c r="C128" s="28">
        <f>IF($P128="","",IF(INDEX(CalcTime,$P128)=0,"",INDEX(CalcTime,$P128)))</f>
        <v/>
      </c>
      <c r="D128" s="28">
        <f>IF($P128="","",IF(INDEX(EntryParty,$P128)=0,"",INDEX(EntryParty,$P128)))</f>
        <v/>
      </c>
      <c r="E128" s="28">
        <f>IF($P128="","",IF(INDEX(EntryPartyName,$P128)=0,"",INDEX(EntryPartyName,$P128)))</f>
        <v/>
      </c>
      <c r="F128" s="28">
        <f>IF($P128="","",IF(INDEX(EntryPartyType,$P128)=0,"",INDEX(EntryPartyType,$P128)))</f>
        <v/>
      </c>
      <c r="G128" s="28">
        <f>IF($P128="","",IF(INDEX(EntryTxnType,$P128)=0,"",INDEX(EntryTxnType,$P128)))</f>
        <v/>
      </c>
      <c r="H128" s="29">
        <f>IF($P128="","",IF(INDEX(EntryDep,$P128)=0,"",INDEX(EntryDep,$P128)))</f>
        <v/>
      </c>
      <c r="I128" s="29">
        <f>IF($P128="","",IF(INDEX(EntryWit,$P128)=0,"",INDEX(EntryWit,$P128)))</f>
        <v/>
      </c>
      <c r="J128" s="29">
        <f>IF($B128="","",IF($A128=1,$C$7,IF(J127="",0,J127))+IF($H128="",0,$H128)-IF($I128="",0,$I128))</f>
        <v/>
      </c>
      <c r="K128" s="29">
        <f>IF($P128="","",IF(INDEX(EntryMan,$P128)=0,"",INDEX(EntryMan,$P128)))</f>
        <v/>
      </c>
      <c r="L128" s="28">
        <f>IF($B128="","",IF($K128="","—",IF(ROUND($K128-$J128,0)=0,"√","×")))</f>
        <v/>
      </c>
      <c r="M128" s="28">
        <f>IF($B128="","",IF(COUNTIFS(EntryDates,$B128,CalcTime,$C128,CalcBank,$C$5,EntryParty,$D128,EntryDep,$H128,EntryWit,$I128)&gt;1,"تکرار",""))</f>
        <v/>
      </c>
      <c r="N128" s="28">
        <f>IF($P128="","",IF(INDEX(EntryNotes,$P128)=0,"",INDEX(EntryNotes,$P128)))</f>
        <v/>
      </c>
      <c r="O128" s="28">
        <f>IF($P128="","",IF(INDEX(EntryTxnID,$P128)=0,"",INDEX(EntryTxnID,$P128)))</f>
        <v/>
      </c>
      <c r="P128" s="28">
        <f>IFERROR(MATCH($C$5&amp;"|"&amp;RIGHT("000000"&amp;112,6),CalcRankKey,0),"")</f>
        <v/>
      </c>
    </row>
    <row r="129">
      <c r="A129" s="26">
        <f>IF($B129="","",113)</f>
        <v/>
      </c>
      <c r="B129" s="26">
        <f>IF($P129="","",IF(INDEX(CalcNormDate,$P129)=0,"",INDEX(CalcNormDate,$P129)))</f>
        <v/>
      </c>
      <c r="C129" s="26">
        <f>IF($P129="","",IF(INDEX(CalcTime,$P129)=0,"",INDEX(CalcTime,$P129)))</f>
        <v/>
      </c>
      <c r="D129" s="26">
        <f>IF($P129="","",IF(INDEX(EntryParty,$P129)=0,"",INDEX(EntryParty,$P129)))</f>
        <v/>
      </c>
      <c r="E129" s="26">
        <f>IF($P129="","",IF(INDEX(EntryPartyName,$P129)=0,"",INDEX(EntryPartyName,$P129)))</f>
        <v/>
      </c>
      <c r="F129" s="26">
        <f>IF($P129="","",IF(INDEX(EntryPartyType,$P129)=0,"",INDEX(EntryPartyType,$P129)))</f>
        <v/>
      </c>
      <c r="G129" s="26">
        <f>IF($P129="","",IF(INDEX(EntryTxnType,$P129)=0,"",INDEX(EntryTxnType,$P129)))</f>
        <v/>
      </c>
      <c r="H129" s="27">
        <f>IF($P129="","",IF(INDEX(EntryDep,$P129)=0,"",INDEX(EntryDep,$P129)))</f>
        <v/>
      </c>
      <c r="I129" s="27">
        <f>IF($P129="","",IF(INDEX(EntryWit,$P129)=0,"",INDEX(EntryWit,$P129)))</f>
        <v/>
      </c>
      <c r="J129" s="27">
        <f>IF($B129="","",IF($A129=1,$C$7,IF(J128="",0,J128))+IF($H129="",0,$H129)-IF($I129="",0,$I129))</f>
        <v/>
      </c>
      <c r="K129" s="27">
        <f>IF($P129="","",IF(INDEX(EntryMan,$P129)=0,"",INDEX(EntryMan,$P129)))</f>
        <v/>
      </c>
      <c r="L129" s="26">
        <f>IF($B129="","",IF($K129="","—",IF(ROUND($K129-$J129,0)=0,"√","×")))</f>
        <v/>
      </c>
      <c r="M129" s="26">
        <f>IF($B129="","",IF(COUNTIFS(EntryDates,$B129,CalcTime,$C129,CalcBank,$C$5,EntryParty,$D129,EntryDep,$H129,EntryWit,$I129)&gt;1,"تکرار",""))</f>
        <v/>
      </c>
      <c r="N129" s="26">
        <f>IF($P129="","",IF(INDEX(EntryNotes,$P129)=0,"",INDEX(EntryNotes,$P129)))</f>
        <v/>
      </c>
      <c r="O129" s="26">
        <f>IF($P129="","",IF(INDEX(EntryTxnID,$P129)=0,"",INDEX(EntryTxnID,$P129)))</f>
        <v/>
      </c>
      <c r="P129" s="26">
        <f>IFERROR(MATCH($C$5&amp;"|"&amp;RIGHT("000000"&amp;113,6),CalcRankKey,0),"")</f>
        <v/>
      </c>
    </row>
    <row r="130">
      <c r="A130" s="28">
        <f>IF($B130="","",114)</f>
        <v/>
      </c>
      <c r="B130" s="28">
        <f>IF($P130="","",IF(INDEX(CalcNormDate,$P130)=0,"",INDEX(CalcNormDate,$P130)))</f>
        <v/>
      </c>
      <c r="C130" s="28">
        <f>IF($P130="","",IF(INDEX(CalcTime,$P130)=0,"",INDEX(CalcTime,$P130)))</f>
        <v/>
      </c>
      <c r="D130" s="28">
        <f>IF($P130="","",IF(INDEX(EntryParty,$P130)=0,"",INDEX(EntryParty,$P130)))</f>
        <v/>
      </c>
      <c r="E130" s="28">
        <f>IF($P130="","",IF(INDEX(EntryPartyName,$P130)=0,"",INDEX(EntryPartyName,$P130)))</f>
        <v/>
      </c>
      <c r="F130" s="28">
        <f>IF($P130="","",IF(INDEX(EntryPartyType,$P130)=0,"",INDEX(EntryPartyType,$P130)))</f>
        <v/>
      </c>
      <c r="G130" s="28">
        <f>IF($P130="","",IF(INDEX(EntryTxnType,$P130)=0,"",INDEX(EntryTxnType,$P130)))</f>
        <v/>
      </c>
      <c r="H130" s="29">
        <f>IF($P130="","",IF(INDEX(EntryDep,$P130)=0,"",INDEX(EntryDep,$P130)))</f>
        <v/>
      </c>
      <c r="I130" s="29">
        <f>IF($P130="","",IF(INDEX(EntryWit,$P130)=0,"",INDEX(EntryWit,$P130)))</f>
        <v/>
      </c>
      <c r="J130" s="29">
        <f>IF($B130="","",IF($A130=1,$C$7,IF(J129="",0,J129))+IF($H130="",0,$H130)-IF($I130="",0,$I130))</f>
        <v/>
      </c>
      <c r="K130" s="29">
        <f>IF($P130="","",IF(INDEX(EntryMan,$P130)=0,"",INDEX(EntryMan,$P130)))</f>
        <v/>
      </c>
      <c r="L130" s="28">
        <f>IF($B130="","",IF($K130="","—",IF(ROUND($K130-$J130,0)=0,"√","×")))</f>
        <v/>
      </c>
      <c r="M130" s="28">
        <f>IF($B130="","",IF(COUNTIFS(EntryDates,$B130,CalcTime,$C130,CalcBank,$C$5,EntryParty,$D130,EntryDep,$H130,EntryWit,$I130)&gt;1,"تکرار",""))</f>
        <v/>
      </c>
      <c r="N130" s="28">
        <f>IF($P130="","",IF(INDEX(EntryNotes,$P130)=0,"",INDEX(EntryNotes,$P130)))</f>
        <v/>
      </c>
      <c r="O130" s="28">
        <f>IF($P130="","",IF(INDEX(EntryTxnID,$P130)=0,"",INDEX(EntryTxnID,$P130)))</f>
        <v/>
      </c>
      <c r="P130" s="28">
        <f>IFERROR(MATCH($C$5&amp;"|"&amp;RIGHT("000000"&amp;114,6),CalcRankKey,0),"")</f>
        <v/>
      </c>
    </row>
    <row r="131">
      <c r="A131" s="26">
        <f>IF($B131="","",115)</f>
        <v/>
      </c>
      <c r="B131" s="26">
        <f>IF($P131="","",IF(INDEX(CalcNormDate,$P131)=0,"",INDEX(CalcNormDate,$P131)))</f>
        <v/>
      </c>
      <c r="C131" s="26">
        <f>IF($P131="","",IF(INDEX(CalcTime,$P131)=0,"",INDEX(CalcTime,$P131)))</f>
        <v/>
      </c>
      <c r="D131" s="26">
        <f>IF($P131="","",IF(INDEX(EntryParty,$P131)=0,"",INDEX(EntryParty,$P131)))</f>
        <v/>
      </c>
      <c r="E131" s="26">
        <f>IF($P131="","",IF(INDEX(EntryPartyName,$P131)=0,"",INDEX(EntryPartyName,$P131)))</f>
        <v/>
      </c>
      <c r="F131" s="26">
        <f>IF($P131="","",IF(INDEX(EntryPartyType,$P131)=0,"",INDEX(EntryPartyType,$P131)))</f>
        <v/>
      </c>
      <c r="G131" s="26">
        <f>IF($P131="","",IF(INDEX(EntryTxnType,$P131)=0,"",INDEX(EntryTxnType,$P131)))</f>
        <v/>
      </c>
      <c r="H131" s="27">
        <f>IF($P131="","",IF(INDEX(EntryDep,$P131)=0,"",INDEX(EntryDep,$P131)))</f>
        <v/>
      </c>
      <c r="I131" s="27">
        <f>IF($P131="","",IF(INDEX(EntryWit,$P131)=0,"",INDEX(EntryWit,$P131)))</f>
        <v/>
      </c>
      <c r="J131" s="27">
        <f>IF($B131="","",IF($A131=1,$C$7,IF(J130="",0,J130))+IF($H131="",0,$H131)-IF($I131="",0,$I131))</f>
        <v/>
      </c>
      <c r="K131" s="27">
        <f>IF($P131="","",IF(INDEX(EntryMan,$P131)=0,"",INDEX(EntryMan,$P131)))</f>
        <v/>
      </c>
      <c r="L131" s="26">
        <f>IF($B131="","",IF($K131="","—",IF(ROUND($K131-$J131,0)=0,"√","×")))</f>
        <v/>
      </c>
      <c r="M131" s="26">
        <f>IF($B131="","",IF(COUNTIFS(EntryDates,$B131,CalcTime,$C131,CalcBank,$C$5,EntryParty,$D131,EntryDep,$H131,EntryWit,$I131)&gt;1,"تکرار",""))</f>
        <v/>
      </c>
      <c r="N131" s="26">
        <f>IF($P131="","",IF(INDEX(EntryNotes,$P131)=0,"",INDEX(EntryNotes,$P131)))</f>
        <v/>
      </c>
      <c r="O131" s="26">
        <f>IF($P131="","",IF(INDEX(EntryTxnID,$P131)=0,"",INDEX(EntryTxnID,$P131)))</f>
        <v/>
      </c>
      <c r="P131" s="26">
        <f>IFERROR(MATCH($C$5&amp;"|"&amp;RIGHT("000000"&amp;115,6),CalcRankKey,0),"")</f>
        <v/>
      </c>
    </row>
    <row r="132">
      <c r="A132" s="28">
        <f>IF($B132="","",116)</f>
        <v/>
      </c>
      <c r="B132" s="28">
        <f>IF($P132="","",IF(INDEX(CalcNormDate,$P132)=0,"",INDEX(CalcNormDate,$P132)))</f>
        <v/>
      </c>
      <c r="C132" s="28">
        <f>IF($P132="","",IF(INDEX(CalcTime,$P132)=0,"",INDEX(CalcTime,$P132)))</f>
        <v/>
      </c>
      <c r="D132" s="28">
        <f>IF($P132="","",IF(INDEX(EntryParty,$P132)=0,"",INDEX(EntryParty,$P132)))</f>
        <v/>
      </c>
      <c r="E132" s="28">
        <f>IF($P132="","",IF(INDEX(EntryPartyName,$P132)=0,"",INDEX(EntryPartyName,$P132)))</f>
        <v/>
      </c>
      <c r="F132" s="28">
        <f>IF($P132="","",IF(INDEX(EntryPartyType,$P132)=0,"",INDEX(EntryPartyType,$P132)))</f>
        <v/>
      </c>
      <c r="G132" s="28">
        <f>IF($P132="","",IF(INDEX(EntryTxnType,$P132)=0,"",INDEX(EntryTxnType,$P132)))</f>
        <v/>
      </c>
      <c r="H132" s="29">
        <f>IF($P132="","",IF(INDEX(EntryDep,$P132)=0,"",INDEX(EntryDep,$P132)))</f>
        <v/>
      </c>
      <c r="I132" s="29">
        <f>IF($P132="","",IF(INDEX(EntryWit,$P132)=0,"",INDEX(EntryWit,$P132)))</f>
        <v/>
      </c>
      <c r="J132" s="29">
        <f>IF($B132="","",IF($A132=1,$C$7,IF(J131="",0,J131))+IF($H132="",0,$H132)-IF($I132="",0,$I132))</f>
        <v/>
      </c>
      <c r="K132" s="29">
        <f>IF($P132="","",IF(INDEX(EntryMan,$P132)=0,"",INDEX(EntryMan,$P132)))</f>
        <v/>
      </c>
      <c r="L132" s="28">
        <f>IF($B132="","",IF($K132="","—",IF(ROUND($K132-$J132,0)=0,"√","×")))</f>
        <v/>
      </c>
      <c r="M132" s="28">
        <f>IF($B132="","",IF(COUNTIFS(EntryDates,$B132,CalcTime,$C132,CalcBank,$C$5,EntryParty,$D132,EntryDep,$H132,EntryWit,$I132)&gt;1,"تکرار",""))</f>
        <v/>
      </c>
      <c r="N132" s="28">
        <f>IF($P132="","",IF(INDEX(EntryNotes,$P132)=0,"",INDEX(EntryNotes,$P132)))</f>
        <v/>
      </c>
      <c r="O132" s="28">
        <f>IF($P132="","",IF(INDEX(EntryTxnID,$P132)=0,"",INDEX(EntryTxnID,$P132)))</f>
        <v/>
      </c>
      <c r="P132" s="28">
        <f>IFERROR(MATCH($C$5&amp;"|"&amp;RIGHT("000000"&amp;116,6),CalcRankKey,0),"")</f>
        <v/>
      </c>
    </row>
    <row r="133">
      <c r="A133" s="26">
        <f>IF($B133="","",117)</f>
        <v/>
      </c>
      <c r="B133" s="26">
        <f>IF($P133="","",IF(INDEX(CalcNormDate,$P133)=0,"",INDEX(CalcNormDate,$P133)))</f>
        <v/>
      </c>
      <c r="C133" s="26">
        <f>IF($P133="","",IF(INDEX(CalcTime,$P133)=0,"",INDEX(CalcTime,$P133)))</f>
        <v/>
      </c>
      <c r="D133" s="26">
        <f>IF($P133="","",IF(INDEX(EntryParty,$P133)=0,"",INDEX(EntryParty,$P133)))</f>
        <v/>
      </c>
      <c r="E133" s="26">
        <f>IF($P133="","",IF(INDEX(EntryPartyName,$P133)=0,"",INDEX(EntryPartyName,$P133)))</f>
        <v/>
      </c>
      <c r="F133" s="26">
        <f>IF($P133="","",IF(INDEX(EntryPartyType,$P133)=0,"",INDEX(EntryPartyType,$P133)))</f>
        <v/>
      </c>
      <c r="G133" s="26">
        <f>IF($P133="","",IF(INDEX(EntryTxnType,$P133)=0,"",INDEX(EntryTxnType,$P133)))</f>
        <v/>
      </c>
      <c r="H133" s="27">
        <f>IF($P133="","",IF(INDEX(EntryDep,$P133)=0,"",INDEX(EntryDep,$P133)))</f>
        <v/>
      </c>
      <c r="I133" s="27">
        <f>IF($P133="","",IF(INDEX(EntryWit,$P133)=0,"",INDEX(EntryWit,$P133)))</f>
        <v/>
      </c>
      <c r="J133" s="27">
        <f>IF($B133="","",IF($A133=1,$C$7,IF(J132="",0,J132))+IF($H133="",0,$H133)-IF($I133="",0,$I133))</f>
        <v/>
      </c>
      <c r="K133" s="27">
        <f>IF($P133="","",IF(INDEX(EntryMan,$P133)=0,"",INDEX(EntryMan,$P133)))</f>
        <v/>
      </c>
      <c r="L133" s="26">
        <f>IF($B133="","",IF($K133="","—",IF(ROUND($K133-$J133,0)=0,"√","×")))</f>
        <v/>
      </c>
      <c r="M133" s="26">
        <f>IF($B133="","",IF(COUNTIFS(EntryDates,$B133,CalcTime,$C133,CalcBank,$C$5,EntryParty,$D133,EntryDep,$H133,EntryWit,$I133)&gt;1,"تکرار",""))</f>
        <v/>
      </c>
      <c r="N133" s="26">
        <f>IF($P133="","",IF(INDEX(EntryNotes,$P133)=0,"",INDEX(EntryNotes,$P133)))</f>
        <v/>
      </c>
      <c r="O133" s="26">
        <f>IF($P133="","",IF(INDEX(EntryTxnID,$P133)=0,"",INDEX(EntryTxnID,$P133)))</f>
        <v/>
      </c>
      <c r="P133" s="26">
        <f>IFERROR(MATCH($C$5&amp;"|"&amp;RIGHT("000000"&amp;117,6),CalcRankKey,0),"")</f>
        <v/>
      </c>
    </row>
    <row r="134">
      <c r="A134" s="28">
        <f>IF($B134="","",118)</f>
        <v/>
      </c>
      <c r="B134" s="28">
        <f>IF($P134="","",IF(INDEX(CalcNormDate,$P134)=0,"",INDEX(CalcNormDate,$P134)))</f>
        <v/>
      </c>
      <c r="C134" s="28">
        <f>IF($P134="","",IF(INDEX(CalcTime,$P134)=0,"",INDEX(CalcTime,$P134)))</f>
        <v/>
      </c>
      <c r="D134" s="28">
        <f>IF($P134="","",IF(INDEX(EntryParty,$P134)=0,"",INDEX(EntryParty,$P134)))</f>
        <v/>
      </c>
      <c r="E134" s="28">
        <f>IF($P134="","",IF(INDEX(EntryPartyName,$P134)=0,"",INDEX(EntryPartyName,$P134)))</f>
        <v/>
      </c>
      <c r="F134" s="28">
        <f>IF($P134="","",IF(INDEX(EntryPartyType,$P134)=0,"",INDEX(EntryPartyType,$P134)))</f>
        <v/>
      </c>
      <c r="G134" s="28">
        <f>IF($P134="","",IF(INDEX(EntryTxnType,$P134)=0,"",INDEX(EntryTxnType,$P134)))</f>
        <v/>
      </c>
      <c r="H134" s="29">
        <f>IF($P134="","",IF(INDEX(EntryDep,$P134)=0,"",INDEX(EntryDep,$P134)))</f>
        <v/>
      </c>
      <c r="I134" s="29">
        <f>IF($P134="","",IF(INDEX(EntryWit,$P134)=0,"",INDEX(EntryWit,$P134)))</f>
        <v/>
      </c>
      <c r="J134" s="29">
        <f>IF($B134="","",IF($A134=1,$C$7,IF(J133="",0,J133))+IF($H134="",0,$H134)-IF($I134="",0,$I134))</f>
        <v/>
      </c>
      <c r="K134" s="29">
        <f>IF($P134="","",IF(INDEX(EntryMan,$P134)=0,"",INDEX(EntryMan,$P134)))</f>
        <v/>
      </c>
      <c r="L134" s="28">
        <f>IF($B134="","",IF($K134="","—",IF(ROUND($K134-$J134,0)=0,"√","×")))</f>
        <v/>
      </c>
      <c r="M134" s="28">
        <f>IF($B134="","",IF(COUNTIFS(EntryDates,$B134,CalcTime,$C134,CalcBank,$C$5,EntryParty,$D134,EntryDep,$H134,EntryWit,$I134)&gt;1,"تکرار",""))</f>
        <v/>
      </c>
      <c r="N134" s="28">
        <f>IF($P134="","",IF(INDEX(EntryNotes,$P134)=0,"",INDEX(EntryNotes,$P134)))</f>
        <v/>
      </c>
      <c r="O134" s="28">
        <f>IF($P134="","",IF(INDEX(EntryTxnID,$P134)=0,"",INDEX(EntryTxnID,$P134)))</f>
        <v/>
      </c>
      <c r="P134" s="28">
        <f>IFERROR(MATCH($C$5&amp;"|"&amp;RIGHT("000000"&amp;118,6),CalcRankKey,0),"")</f>
        <v/>
      </c>
    </row>
    <row r="135">
      <c r="A135" s="26">
        <f>IF($B135="","",119)</f>
        <v/>
      </c>
      <c r="B135" s="26">
        <f>IF($P135="","",IF(INDEX(CalcNormDate,$P135)=0,"",INDEX(CalcNormDate,$P135)))</f>
        <v/>
      </c>
      <c r="C135" s="26">
        <f>IF($P135="","",IF(INDEX(CalcTime,$P135)=0,"",INDEX(CalcTime,$P135)))</f>
        <v/>
      </c>
      <c r="D135" s="26">
        <f>IF($P135="","",IF(INDEX(EntryParty,$P135)=0,"",INDEX(EntryParty,$P135)))</f>
        <v/>
      </c>
      <c r="E135" s="26">
        <f>IF($P135="","",IF(INDEX(EntryPartyName,$P135)=0,"",INDEX(EntryPartyName,$P135)))</f>
        <v/>
      </c>
      <c r="F135" s="26">
        <f>IF($P135="","",IF(INDEX(EntryPartyType,$P135)=0,"",INDEX(EntryPartyType,$P135)))</f>
        <v/>
      </c>
      <c r="G135" s="26">
        <f>IF($P135="","",IF(INDEX(EntryTxnType,$P135)=0,"",INDEX(EntryTxnType,$P135)))</f>
        <v/>
      </c>
      <c r="H135" s="27">
        <f>IF($P135="","",IF(INDEX(EntryDep,$P135)=0,"",INDEX(EntryDep,$P135)))</f>
        <v/>
      </c>
      <c r="I135" s="27">
        <f>IF($P135="","",IF(INDEX(EntryWit,$P135)=0,"",INDEX(EntryWit,$P135)))</f>
        <v/>
      </c>
      <c r="J135" s="27">
        <f>IF($B135="","",IF($A135=1,$C$7,IF(J134="",0,J134))+IF($H135="",0,$H135)-IF($I135="",0,$I135))</f>
        <v/>
      </c>
      <c r="K135" s="27">
        <f>IF($P135="","",IF(INDEX(EntryMan,$P135)=0,"",INDEX(EntryMan,$P135)))</f>
        <v/>
      </c>
      <c r="L135" s="26">
        <f>IF($B135="","",IF($K135="","—",IF(ROUND($K135-$J135,0)=0,"√","×")))</f>
        <v/>
      </c>
      <c r="M135" s="26">
        <f>IF($B135="","",IF(COUNTIFS(EntryDates,$B135,CalcTime,$C135,CalcBank,$C$5,EntryParty,$D135,EntryDep,$H135,EntryWit,$I135)&gt;1,"تکرار",""))</f>
        <v/>
      </c>
      <c r="N135" s="26">
        <f>IF($P135="","",IF(INDEX(EntryNotes,$P135)=0,"",INDEX(EntryNotes,$P135)))</f>
        <v/>
      </c>
      <c r="O135" s="26">
        <f>IF($P135="","",IF(INDEX(EntryTxnID,$P135)=0,"",INDEX(EntryTxnID,$P135)))</f>
        <v/>
      </c>
      <c r="P135" s="26">
        <f>IFERROR(MATCH($C$5&amp;"|"&amp;RIGHT("000000"&amp;119,6),CalcRankKey,0),"")</f>
        <v/>
      </c>
    </row>
    <row r="136">
      <c r="A136" s="28">
        <f>IF($B136="","",120)</f>
        <v/>
      </c>
      <c r="B136" s="28">
        <f>IF($P136="","",IF(INDEX(CalcNormDate,$P136)=0,"",INDEX(CalcNormDate,$P136)))</f>
        <v/>
      </c>
      <c r="C136" s="28">
        <f>IF($P136="","",IF(INDEX(CalcTime,$P136)=0,"",INDEX(CalcTime,$P136)))</f>
        <v/>
      </c>
      <c r="D136" s="28">
        <f>IF($P136="","",IF(INDEX(EntryParty,$P136)=0,"",INDEX(EntryParty,$P136)))</f>
        <v/>
      </c>
      <c r="E136" s="28">
        <f>IF($P136="","",IF(INDEX(EntryPartyName,$P136)=0,"",INDEX(EntryPartyName,$P136)))</f>
        <v/>
      </c>
      <c r="F136" s="28">
        <f>IF($P136="","",IF(INDEX(EntryPartyType,$P136)=0,"",INDEX(EntryPartyType,$P136)))</f>
        <v/>
      </c>
      <c r="G136" s="28">
        <f>IF($P136="","",IF(INDEX(EntryTxnType,$P136)=0,"",INDEX(EntryTxnType,$P136)))</f>
        <v/>
      </c>
      <c r="H136" s="29">
        <f>IF($P136="","",IF(INDEX(EntryDep,$P136)=0,"",INDEX(EntryDep,$P136)))</f>
        <v/>
      </c>
      <c r="I136" s="29">
        <f>IF($P136="","",IF(INDEX(EntryWit,$P136)=0,"",INDEX(EntryWit,$P136)))</f>
        <v/>
      </c>
      <c r="J136" s="29">
        <f>IF($B136="","",IF($A136=1,$C$7,IF(J135="",0,J135))+IF($H136="",0,$H136)-IF($I136="",0,$I136))</f>
        <v/>
      </c>
      <c r="K136" s="29">
        <f>IF($P136="","",IF(INDEX(EntryMan,$P136)=0,"",INDEX(EntryMan,$P136)))</f>
        <v/>
      </c>
      <c r="L136" s="28">
        <f>IF($B136="","",IF($K136="","—",IF(ROUND($K136-$J136,0)=0,"√","×")))</f>
        <v/>
      </c>
      <c r="M136" s="28">
        <f>IF($B136="","",IF(COUNTIFS(EntryDates,$B136,CalcTime,$C136,CalcBank,$C$5,EntryParty,$D136,EntryDep,$H136,EntryWit,$I136)&gt;1,"تکرار",""))</f>
        <v/>
      </c>
      <c r="N136" s="28">
        <f>IF($P136="","",IF(INDEX(EntryNotes,$P136)=0,"",INDEX(EntryNotes,$P136)))</f>
        <v/>
      </c>
      <c r="O136" s="28">
        <f>IF($P136="","",IF(INDEX(EntryTxnID,$P136)=0,"",INDEX(EntryTxnID,$P136)))</f>
        <v/>
      </c>
      <c r="P136" s="28">
        <f>IFERROR(MATCH($C$5&amp;"|"&amp;RIGHT("000000"&amp;120,6),CalcRankKey,0),"")</f>
        <v/>
      </c>
    </row>
    <row r="137">
      <c r="A137" s="26">
        <f>IF($B137="","",121)</f>
        <v/>
      </c>
      <c r="B137" s="26">
        <f>IF($P137="","",IF(INDEX(CalcNormDate,$P137)=0,"",INDEX(CalcNormDate,$P137)))</f>
        <v/>
      </c>
      <c r="C137" s="26">
        <f>IF($P137="","",IF(INDEX(CalcTime,$P137)=0,"",INDEX(CalcTime,$P137)))</f>
        <v/>
      </c>
      <c r="D137" s="26">
        <f>IF($P137="","",IF(INDEX(EntryParty,$P137)=0,"",INDEX(EntryParty,$P137)))</f>
        <v/>
      </c>
      <c r="E137" s="26">
        <f>IF($P137="","",IF(INDEX(EntryPartyName,$P137)=0,"",INDEX(EntryPartyName,$P137)))</f>
        <v/>
      </c>
      <c r="F137" s="26">
        <f>IF($P137="","",IF(INDEX(EntryPartyType,$P137)=0,"",INDEX(EntryPartyType,$P137)))</f>
        <v/>
      </c>
      <c r="G137" s="26">
        <f>IF($P137="","",IF(INDEX(EntryTxnType,$P137)=0,"",INDEX(EntryTxnType,$P137)))</f>
        <v/>
      </c>
      <c r="H137" s="27">
        <f>IF($P137="","",IF(INDEX(EntryDep,$P137)=0,"",INDEX(EntryDep,$P137)))</f>
        <v/>
      </c>
      <c r="I137" s="27">
        <f>IF($P137="","",IF(INDEX(EntryWit,$P137)=0,"",INDEX(EntryWit,$P137)))</f>
        <v/>
      </c>
      <c r="J137" s="27">
        <f>IF($B137="","",IF($A137=1,$C$7,IF(J136="",0,J136))+IF($H137="",0,$H137)-IF($I137="",0,$I137))</f>
        <v/>
      </c>
      <c r="K137" s="27">
        <f>IF($P137="","",IF(INDEX(EntryMan,$P137)=0,"",INDEX(EntryMan,$P137)))</f>
        <v/>
      </c>
      <c r="L137" s="26">
        <f>IF($B137="","",IF($K137="","—",IF(ROUND($K137-$J137,0)=0,"√","×")))</f>
        <v/>
      </c>
      <c r="M137" s="26">
        <f>IF($B137="","",IF(COUNTIFS(EntryDates,$B137,CalcTime,$C137,CalcBank,$C$5,EntryParty,$D137,EntryDep,$H137,EntryWit,$I137)&gt;1,"تکرار",""))</f>
        <v/>
      </c>
      <c r="N137" s="26">
        <f>IF($P137="","",IF(INDEX(EntryNotes,$P137)=0,"",INDEX(EntryNotes,$P137)))</f>
        <v/>
      </c>
      <c r="O137" s="26">
        <f>IF($P137="","",IF(INDEX(EntryTxnID,$P137)=0,"",INDEX(EntryTxnID,$P137)))</f>
        <v/>
      </c>
      <c r="P137" s="26">
        <f>IFERROR(MATCH($C$5&amp;"|"&amp;RIGHT("000000"&amp;121,6),CalcRankKey,0),"")</f>
        <v/>
      </c>
    </row>
    <row r="138">
      <c r="A138" s="28">
        <f>IF($B138="","",122)</f>
        <v/>
      </c>
      <c r="B138" s="28">
        <f>IF($P138="","",IF(INDEX(CalcNormDate,$P138)=0,"",INDEX(CalcNormDate,$P138)))</f>
        <v/>
      </c>
      <c r="C138" s="28">
        <f>IF($P138="","",IF(INDEX(CalcTime,$P138)=0,"",INDEX(CalcTime,$P138)))</f>
        <v/>
      </c>
      <c r="D138" s="28">
        <f>IF($P138="","",IF(INDEX(EntryParty,$P138)=0,"",INDEX(EntryParty,$P138)))</f>
        <v/>
      </c>
      <c r="E138" s="28">
        <f>IF($P138="","",IF(INDEX(EntryPartyName,$P138)=0,"",INDEX(EntryPartyName,$P138)))</f>
        <v/>
      </c>
      <c r="F138" s="28">
        <f>IF($P138="","",IF(INDEX(EntryPartyType,$P138)=0,"",INDEX(EntryPartyType,$P138)))</f>
        <v/>
      </c>
      <c r="G138" s="28">
        <f>IF($P138="","",IF(INDEX(EntryTxnType,$P138)=0,"",INDEX(EntryTxnType,$P138)))</f>
        <v/>
      </c>
      <c r="H138" s="29">
        <f>IF($P138="","",IF(INDEX(EntryDep,$P138)=0,"",INDEX(EntryDep,$P138)))</f>
        <v/>
      </c>
      <c r="I138" s="29">
        <f>IF($P138="","",IF(INDEX(EntryWit,$P138)=0,"",INDEX(EntryWit,$P138)))</f>
        <v/>
      </c>
      <c r="J138" s="29">
        <f>IF($B138="","",IF($A138=1,$C$7,IF(J137="",0,J137))+IF($H138="",0,$H138)-IF($I138="",0,$I138))</f>
        <v/>
      </c>
      <c r="K138" s="29">
        <f>IF($P138="","",IF(INDEX(EntryMan,$P138)=0,"",INDEX(EntryMan,$P138)))</f>
        <v/>
      </c>
      <c r="L138" s="28">
        <f>IF($B138="","",IF($K138="","—",IF(ROUND($K138-$J138,0)=0,"√","×")))</f>
        <v/>
      </c>
      <c r="M138" s="28">
        <f>IF($B138="","",IF(COUNTIFS(EntryDates,$B138,CalcTime,$C138,CalcBank,$C$5,EntryParty,$D138,EntryDep,$H138,EntryWit,$I138)&gt;1,"تکرار",""))</f>
        <v/>
      </c>
      <c r="N138" s="28">
        <f>IF($P138="","",IF(INDEX(EntryNotes,$P138)=0,"",INDEX(EntryNotes,$P138)))</f>
        <v/>
      </c>
      <c r="O138" s="28">
        <f>IF($P138="","",IF(INDEX(EntryTxnID,$P138)=0,"",INDEX(EntryTxnID,$P138)))</f>
        <v/>
      </c>
      <c r="P138" s="28">
        <f>IFERROR(MATCH($C$5&amp;"|"&amp;RIGHT("000000"&amp;122,6),CalcRankKey,0),"")</f>
        <v/>
      </c>
    </row>
    <row r="139">
      <c r="A139" s="26">
        <f>IF($B139="","",123)</f>
        <v/>
      </c>
      <c r="B139" s="26">
        <f>IF($P139="","",IF(INDEX(CalcNormDate,$P139)=0,"",INDEX(CalcNormDate,$P139)))</f>
        <v/>
      </c>
      <c r="C139" s="26">
        <f>IF($P139="","",IF(INDEX(CalcTime,$P139)=0,"",INDEX(CalcTime,$P139)))</f>
        <v/>
      </c>
      <c r="D139" s="26">
        <f>IF($P139="","",IF(INDEX(EntryParty,$P139)=0,"",INDEX(EntryParty,$P139)))</f>
        <v/>
      </c>
      <c r="E139" s="26">
        <f>IF($P139="","",IF(INDEX(EntryPartyName,$P139)=0,"",INDEX(EntryPartyName,$P139)))</f>
        <v/>
      </c>
      <c r="F139" s="26">
        <f>IF($P139="","",IF(INDEX(EntryPartyType,$P139)=0,"",INDEX(EntryPartyType,$P139)))</f>
        <v/>
      </c>
      <c r="G139" s="26">
        <f>IF($P139="","",IF(INDEX(EntryTxnType,$P139)=0,"",INDEX(EntryTxnType,$P139)))</f>
        <v/>
      </c>
      <c r="H139" s="27">
        <f>IF($P139="","",IF(INDEX(EntryDep,$P139)=0,"",INDEX(EntryDep,$P139)))</f>
        <v/>
      </c>
      <c r="I139" s="27">
        <f>IF($P139="","",IF(INDEX(EntryWit,$P139)=0,"",INDEX(EntryWit,$P139)))</f>
        <v/>
      </c>
      <c r="J139" s="27">
        <f>IF($B139="","",IF($A139=1,$C$7,IF(J138="",0,J138))+IF($H139="",0,$H139)-IF($I139="",0,$I139))</f>
        <v/>
      </c>
      <c r="K139" s="27">
        <f>IF($P139="","",IF(INDEX(EntryMan,$P139)=0,"",INDEX(EntryMan,$P139)))</f>
        <v/>
      </c>
      <c r="L139" s="26">
        <f>IF($B139="","",IF($K139="","—",IF(ROUND($K139-$J139,0)=0,"√","×")))</f>
        <v/>
      </c>
      <c r="M139" s="26">
        <f>IF($B139="","",IF(COUNTIFS(EntryDates,$B139,CalcTime,$C139,CalcBank,$C$5,EntryParty,$D139,EntryDep,$H139,EntryWit,$I139)&gt;1,"تکرار",""))</f>
        <v/>
      </c>
      <c r="N139" s="26">
        <f>IF($P139="","",IF(INDEX(EntryNotes,$P139)=0,"",INDEX(EntryNotes,$P139)))</f>
        <v/>
      </c>
      <c r="O139" s="26">
        <f>IF($P139="","",IF(INDEX(EntryTxnID,$P139)=0,"",INDEX(EntryTxnID,$P139)))</f>
        <v/>
      </c>
      <c r="P139" s="26">
        <f>IFERROR(MATCH($C$5&amp;"|"&amp;RIGHT("000000"&amp;123,6),CalcRankKey,0),"")</f>
        <v/>
      </c>
    </row>
    <row r="140">
      <c r="A140" s="28">
        <f>IF($B140="","",124)</f>
        <v/>
      </c>
      <c r="B140" s="28">
        <f>IF($P140="","",IF(INDEX(CalcNormDate,$P140)=0,"",INDEX(CalcNormDate,$P140)))</f>
        <v/>
      </c>
      <c r="C140" s="28">
        <f>IF($P140="","",IF(INDEX(CalcTime,$P140)=0,"",INDEX(CalcTime,$P140)))</f>
        <v/>
      </c>
      <c r="D140" s="28">
        <f>IF($P140="","",IF(INDEX(EntryParty,$P140)=0,"",INDEX(EntryParty,$P140)))</f>
        <v/>
      </c>
      <c r="E140" s="28">
        <f>IF($P140="","",IF(INDEX(EntryPartyName,$P140)=0,"",INDEX(EntryPartyName,$P140)))</f>
        <v/>
      </c>
      <c r="F140" s="28">
        <f>IF($P140="","",IF(INDEX(EntryPartyType,$P140)=0,"",INDEX(EntryPartyType,$P140)))</f>
        <v/>
      </c>
      <c r="G140" s="28">
        <f>IF($P140="","",IF(INDEX(EntryTxnType,$P140)=0,"",INDEX(EntryTxnType,$P140)))</f>
        <v/>
      </c>
      <c r="H140" s="29">
        <f>IF($P140="","",IF(INDEX(EntryDep,$P140)=0,"",INDEX(EntryDep,$P140)))</f>
        <v/>
      </c>
      <c r="I140" s="29">
        <f>IF($P140="","",IF(INDEX(EntryWit,$P140)=0,"",INDEX(EntryWit,$P140)))</f>
        <v/>
      </c>
      <c r="J140" s="29">
        <f>IF($B140="","",IF($A140=1,$C$7,IF(J139="",0,J139))+IF($H140="",0,$H140)-IF($I140="",0,$I140))</f>
        <v/>
      </c>
      <c r="K140" s="29">
        <f>IF($P140="","",IF(INDEX(EntryMan,$P140)=0,"",INDEX(EntryMan,$P140)))</f>
        <v/>
      </c>
      <c r="L140" s="28">
        <f>IF($B140="","",IF($K140="","—",IF(ROUND($K140-$J140,0)=0,"√","×")))</f>
        <v/>
      </c>
      <c r="M140" s="28">
        <f>IF($B140="","",IF(COUNTIFS(EntryDates,$B140,CalcTime,$C140,CalcBank,$C$5,EntryParty,$D140,EntryDep,$H140,EntryWit,$I140)&gt;1,"تکرار",""))</f>
        <v/>
      </c>
      <c r="N140" s="28">
        <f>IF($P140="","",IF(INDEX(EntryNotes,$P140)=0,"",INDEX(EntryNotes,$P140)))</f>
        <v/>
      </c>
      <c r="O140" s="28">
        <f>IF($P140="","",IF(INDEX(EntryTxnID,$P140)=0,"",INDEX(EntryTxnID,$P140)))</f>
        <v/>
      </c>
      <c r="P140" s="28">
        <f>IFERROR(MATCH($C$5&amp;"|"&amp;RIGHT("000000"&amp;124,6),CalcRankKey,0),"")</f>
        <v/>
      </c>
    </row>
    <row r="141">
      <c r="A141" s="26">
        <f>IF($B141="","",125)</f>
        <v/>
      </c>
      <c r="B141" s="26">
        <f>IF($P141="","",IF(INDEX(CalcNormDate,$P141)=0,"",INDEX(CalcNormDate,$P141)))</f>
        <v/>
      </c>
      <c r="C141" s="26">
        <f>IF($P141="","",IF(INDEX(CalcTime,$P141)=0,"",INDEX(CalcTime,$P141)))</f>
        <v/>
      </c>
      <c r="D141" s="26">
        <f>IF($P141="","",IF(INDEX(EntryParty,$P141)=0,"",INDEX(EntryParty,$P141)))</f>
        <v/>
      </c>
      <c r="E141" s="26">
        <f>IF($P141="","",IF(INDEX(EntryPartyName,$P141)=0,"",INDEX(EntryPartyName,$P141)))</f>
        <v/>
      </c>
      <c r="F141" s="26">
        <f>IF($P141="","",IF(INDEX(EntryPartyType,$P141)=0,"",INDEX(EntryPartyType,$P141)))</f>
        <v/>
      </c>
      <c r="G141" s="26">
        <f>IF($P141="","",IF(INDEX(EntryTxnType,$P141)=0,"",INDEX(EntryTxnType,$P141)))</f>
        <v/>
      </c>
      <c r="H141" s="27">
        <f>IF($P141="","",IF(INDEX(EntryDep,$P141)=0,"",INDEX(EntryDep,$P141)))</f>
        <v/>
      </c>
      <c r="I141" s="27">
        <f>IF($P141="","",IF(INDEX(EntryWit,$P141)=0,"",INDEX(EntryWit,$P141)))</f>
        <v/>
      </c>
      <c r="J141" s="27">
        <f>IF($B141="","",IF($A141=1,$C$7,IF(J140="",0,J140))+IF($H141="",0,$H141)-IF($I141="",0,$I141))</f>
        <v/>
      </c>
      <c r="K141" s="27">
        <f>IF($P141="","",IF(INDEX(EntryMan,$P141)=0,"",INDEX(EntryMan,$P141)))</f>
        <v/>
      </c>
      <c r="L141" s="26">
        <f>IF($B141="","",IF($K141="","—",IF(ROUND($K141-$J141,0)=0,"√","×")))</f>
        <v/>
      </c>
      <c r="M141" s="26">
        <f>IF($B141="","",IF(COUNTIFS(EntryDates,$B141,CalcTime,$C141,CalcBank,$C$5,EntryParty,$D141,EntryDep,$H141,EntryWit,$I141)&gt;1,"تکرار",""))</f>
        <v/>
      </c>
      <c r="N141" s="26">
        <f>IF($P141="","",IF(INDEX(EntryNotes,$P141)=0,"",INDEX(EntryNotes,$P141)))</f>
        <v/>
      </c>
      <c r="O141" s="26">
        <f>IF($P141="","",IF(INDEX(EntryTxnID,$P141)=0,"",INDEX(EntryTxnID,$P141)))</f>
        <v/>
      </c>
      <c r="P141" s="26">
        <f>IFERROR(MATCH($C$5&amp;"|"&amp;RIGHT("000000"&amp;125,6),CalcRankKey,0),"")</f>
        <v/>
      </c>
    </row>
    <row r="142">
      <c r="A142" s="28">
        <f>IF($B142="","",126)</f>
        <v/>
      </c>
      <c r="B142" s="28">
        <f>IF($P142="","",IF(INDEX(CalcNormDate,$P142)=0,"",INDEX(CalcNormDate,$P142)))</f>
        <v/>
      </c>
      <c r="C142" s="28">
        <f>IF($P142="","",IF(INDEX(CalcTime,$P142)=0,"",INDEX(CalcTime,$P142)))</f>
        <v/>
      </c>
      <c r="D142" s="28">
        <f>IF($P142="","",IF(INDEX(EntryParty,$P142)=0,"",INDEX(EntryParty,$P142)))</f>
        <v/>
      </c>
      <c r="E142" s="28">
        <f>IF($P142="","",IF(INDEX(EntryPartyName,$P142)=0,"",INDEX(EntryPartyName,$P142)))</f>
        <v/>
      </c>
      <c r="F142" s="28">
        <f>IF($P142="","",IF(INDEX(EntryPartyType,$P142)=0,"",INDEX(EntryPartyType,$P142)))</f>
        <v/>
      </c>
      <c r="G142" s="28">
        <f>IF($P142="","",IF(INDEX(EntryTxnType,$P142)=0,"",INDEX(EntryTxnType,$P142)))</f>
        <v/>
      </c>
      <c r="H142" s="29">
        <f>IF($P142="","",IF(INDEX(EntryDep,$P142)=0,"",INDEX(EntryDep,$P142)))</f>
        <v/>
      </c>
      <c r="I142" s="29">
        <f>IF($P142="","",IF(INDEX(EntryWit,$P142)=0,"",INDEX(EntryWit,$P142)))</f>
        <v/>
      </c>
      <c r="J142" s="29">
        <f>IF($B142="","",IF($A142=1,$C$7,IF(J141="",0,J141))+IF($H142="",0,$H142)-IF($I142="",0,$I142))</f>
        <v/>
      </c>
      <c r="K142" s="29">
        <f>IF($P142="","",IF(INDEX(EntryMan,$P142)=0,"",INDEX(EntryMan,$P142)))</f>
        <v/>
      </c>
      <c r="L142" s="28">
        <f>IF($B142="","",IF($K142="","—",IF(ROUND($K142-$J142,0)=0,"√","×")))</f>
        <v/>
      </c>
      <c r="M142" s="28">
        <f>IF($B142="","",IF(COUNTIFS(EntryDates,$B142,CalcTime,$C142,CalcBank,$C$5,EntryParty,$D142,EntryDep,$H142,EntryWit,$I142)&gt;1,"تکرار",""))</f>
        <v/>
      </c>
      <c r="N142" s="28">
        <f>IF($P142="","",IF(INDEX(EntryNotes,$P142)=0,"",INDEX(EntryNotes,$P142)))</f>
        <v/>
      </c>
      <c r="O142" s="28">
        <f>IF($P142="","",IF(INDEX(EntryTxnID,$P142)=0,"",INDEX(EntryTxnID,$P142)))</f>
        <v/>
      </c>
      <c r="P142" s="28">
        <f>IFERROR(MATCH($C$5&amp;"|"&amp;RIGHT("000000"&amp;126,6),CalcRankKey,0),"")</f>
        <v/>
      </c>
    </row>
    <row r="143">
      <c r="A143" s="26">
        <f>IF($B143="","",127)</f>
        <v/>
      </c>
      <c r="B143" s="26">
        <f>IF($P143="","",IF(INDEX(CalcNormDate,$P143)=0,"",INDEX(CalcNormDate,$P143)))</f>
        <v/>
      </c>
      <c r="C143" s="26">
        <f>IF($P143="","",IF(INDEX(CalcTime,$P143)=0,"",INDEX(CalcTime,$P143)))</f>
        <v/>
      </c>
      <c r="D143" s="26">
        <f>IF($P143="","",IF(INDEX(EntryParty,$P143)=0,"",INDEX(EntryParty,$P143)))</f>
        <v/>
      </c>
      <c r="E143" s="26">
        <f>IF($P143="","",IF(INDEX(EntryPartyName,$P143)=0,"",INDEX(EntryPartyName,$P143)))</f>
        <v/>
      </c>
      <c r="F143" s="26">
        <f>IF($P143="","",IF(INDEX(EntryPartyType,$P143)=0,"",INDEX(EntryPartyType,$P143)))</f>
        <v/>
      </c>
      <c r="G143" s="26">
        <f>IF($P143="","",IF(INDEX(EntryTxnType,$P143)=0,"",INDEX(EntryTxnType,$P143)))</f>
        <v/>
      </c>
      <c r="H143" s="27">
        <f>IF($P143="","",IF(INDEX(EntryDep,$P143)=0,"",INDEX(EntryDep,$P143)))</f>
        <v/>
      </c>
      <c r="I143" s="27">
        <f>IF($P143="","",IF(INDEX(EntryWit,$P143)=0,"",INDEX(EntryWit,$P143)))</f>
        <v/>
      </c>
      <c r="J143" s="27">
        <f>IF($B143="","",IF($A143=1,$C$7,IF(J142="",0,J142))+IF($H143="",0,$H143)-IF($I143="",0,$I143))</f>
        <v/>
      </c>
      <c r="K143" s="27">
        <f>IF($P143="","",IF(INDEX(EntryMan,$P143)=0,"",INDEX(EntryMan,$P143)))</f>
        <v/>
      </c>
      <c r="L143" s="26">
        <f>IF($B143="","",IF($K143="","—",IF(ROUND($K143-$J143,0)=0,"√","×")))</f>
        <v/>
      </c>
      <c r="M143" s="26">
        <f>IF($B143="","",IF(COUNTIFS(EntryDates,$B143,CalcTime,$C143,CalcBank,$C$5,EntryParty,$D143,EntryDep,$H143,EntryWit,$I143)&gt;1,"تکرار",""))</f>
        <v/>
      </c>
      <c r="N143" s="26">
        <f>IF($P143="","",IF(INDEX(EntryNotes,$P143)=0,"",INDEX(EntryNotes,$P143)))</f>
        <v/>
      </c>
      <c r="O143" s="26">
        <f>IF($P143="","",IF(INDEX(EntryTxnID,$P143)=0,"",INDEX(EntryTxnID,$P143)))</f>
        <v/>
      </c>
      <c r="P143" s="26">
        <f>IFERROR(MATCH($C$5&amp;"|"&amp;RIGHT("000000"&amp;127,6),CalcRankKey,0),"")</f>
        <v/>
      </c>
    </row>
    <row r="144">
      <c r="A144" s="28">
        <f>IF($B144="","",128)</f>
        <v/>
      </c>
      <c r="B144" s="28">
        <f>IF($P144="","",IF(INDEX(CalcNormDate,$P144)=0,"",INDEX(CalcNormDate,$P144)))</f>
        <v/>
      </c>
      <c r="C144" s="28">
        <f>IF($P144="","",IF(INDEX(CalcTime,$P144)=0,"",INDEX(CalcTime,$P144)))</f>
        <v/>
      </c>
      <c r="D144" s="28">
        <f>IF($P144="","",IF(INDEX(EntryParty,$P144)=0,"",INDEX(EntryParty,$P144)))</f>
        <v/>
      </c>
      <c r="E144" s="28">
        <f>IF($P144="","",IF(INDEX(EntryPartyName,$P144)=0,"",INDEX(EntryPartyName,$P144)))</f>
        <v/>
      </c>
      <c r="F144" s="28">
        <f>IF($P144="","",IF(INDEX(EntryPartyType,$P144)=0,"",INDEX(EntryPartyType,$P144)))</f>
        <v/>
      </c>
      <c r="G144" s="28">
        <f>IF($P144="","",IF(INDEX(EntryTxnType,$P144)=0,"",INDEX(EntryTxnType,$P144)))</f>
        <v/>
      </c>
      <c r="H144" s="29">
        <f>IF($P144="","",IF(INDEX(EntryDep,$P144)=0,"",INDEX(EntryDep,$P144)))</f>
        <v/>
      </c>
      <c r="I144" s="29">
        <f>IF($P144="","",IF(INDEX(EntryWit,$P144)=0,"",INDEX(EntryWit,$P144)))</f>
        <v/>
      </c>
      <c r="J144" s="29">
        <f>IF($B144="","",IF($A144=1,$C$7,IF(J143="",0,J143))+IF($H144="",0,$H144)-IF($I144="",0,$I144))</f>
        <v/>
      </c>
      <c r="K144" s="29">
        <f>IF($P144="","",IF(INDEX(EntryMan,$P144)=0,"",INDEX(EntryMan,$P144)))</f>
        <v/>
      </c>
      <c r="L144" s="28">
        <f>IF($B144="","",IF($K144="","—",IF(ROUND($K144-$J144,0)=0,"√","×")))</f>
        <v/>
      </c>
      <c r="M144" s="28">
        <f>IF($B144="","",IF(COUNTIFS(EntryDates,$B144,CalcTime,$C144,CalcBank,$C$5,EntryParty,$D144,EntryDep,$H144,EntryWit,$I144)&gt;1,"تکرار",""))</f>
        <v/>
      </c>
      <c r="N144" s="28">
        <f>IF($P144="","",IF(INDEX(EntryNotes,$P144)=0,"",INDEX(EntryNotes,$P144)))</f>
        <v/>
      </c>
      <c r="O144" s="28">
        <f>IF($P144="","",IF(INDEX(EntryTxnID,$P144)=0,"",INDEX(EntryTxnID,$P144)))</f>
        <v/>
      </c>
      <c r="P144" s="28">
        <f>IFERROR(MATCH($C$5&amp;"|"&amp;RIGHT("000000"&amp;128,6),CalcRankKey,0),"")</f>
        <v/>
      </c>
    </row>
    <row r="145">
      <c r="A145" s="26">
        <f>IF($B145="","",129)</f>
        <v/>
      </c>
      <c r="B145" s="26">
        <f>IF($P145="","",IF(INDEX(CalcNormDate,$P145)=0,"",INDEX(CalcNormDate,$P145)))</f>
        <v/>
      </c>
      <c r="C145" s="26">
        <f>IF($P145="","",IF(INDEX(CalcTime,$P145)=0,"",INDEX(CalcTime,$P145)))</f>
        <v/>
      </c>
      <c r="D145" s="26">
        <f>IF($P145="","",IF(INDEX(EntryParty,$P145)=0,"",INDEX(EntryParty,$P145)))</f>
        <v/>
      </c>
      <c r="E145" s="26">
        <f>IF($P145="","",IF(INDEX(EntryPartyName,$P145)=0,"",INDEX(EntryPartyName,$P145)))</f>
        <v/>
      </c>
      <c r="F145" s="26">
        <f>IF($P145="","",IF(INDEX(EntryPartyType,$P145)=0,"",INDEX(EntryPartyType,$P145)))</f>
        <v/>
      </c>
      <c r="G145" s="26">
        <f>IF($P145="","",IF(INDEX(EntryTxnType,$P145)=0,"",INDEX(EntryTxnType,$P145)))</f>
        <v/>
      </c>
      <c r="H145" s="27">
        <f>IF($P145="","",IF(INDEX(EntryDep,$P145)=0,"",INDEX(EntryDep,$P145)))</f>
        <v/>
      </c>
      <c r="I145" s="27">
        <f>IF($P145="","",IF(INDEX(EntryWit,$P145)=0,"",INDEX(EntryWit,$P145)))</f>
        <v/>
      </c>
      <c r="J145" s="27">
        <f>IF($B145="","",IF($A145=1,$C$7,IF(J144="",0,J144))+IF($H145="",0,$H145)-IF($I145="",0,$I145))</f>
        <v/>
      </c>
      <c r="K145" s="27">
        <f>IF($P145="","",IF(INDEX(EntryMan,$P145)=0,"",INDEX(EntryMan,$P145)))</f>
        <v/>
      </c>
      <c r="L145" s="26">
        <f>IF($B145="","",IF($K145="","—",IF(ROUND($K145-$J145,0)=0,"√","×")))</f>
        <v/>
      </c>
      <c r="M145" s="26">
        <f>IF($B145="","",IF(COUNTIFS(EntryDates,$B145,CalcTime,$C145,CalcBank,$C$5,EntryParty,$D145,EntryDep,$H145,EntryWit,$I145)&gt;1,"تکرار",""))</f>
        <v/>
      </c>
      <c r="N145" s="26">
        <f>IF($P145="","",IF(INDEX(EntryNotes,$P145)=0,"",INDEX(EntryNotes,$P145)))</f>
        <v/>
      </c>
      <c r="O145" s="26">
        <f>IF($P145="","",IF(INDEX(EntryTxnID,$P145)=0,"",INDEX(EntryTxnID,$P145)))</f>
        <v/>
      </c>
      <c r="P145" s="26">
        <f>IFERROR(MATCH($C$5&amp;"|"&amp;RIGHT("000000"&amp;129,6),CalcRankKey,0),"")</f>
        <v/>
      </c>
    </row>
    <row r="146">
      <c r="A146" s="28">
        <f>IF($B146="","",130)</f>
        <v/>
      </c>
      <c r="B146" s="28">
        <f>IF($P146="","",IF(INDEX(CalcNormDate,$P146)=0,"",INDEX(CalcNormDate,$P146)))</f>
        <v/>
      </c>
      <c r="C146" s="28">
        <f>IF($P146="","",IF(INDEX(CalcTime,$P146)=0,"",INDEX(CalcTime,$P146)))</f>
        <v/>
      </c>
      <c r="D146" s="28">
        <f>IF($P146="","",IF(INDEX(EntryParty,$P146)=0,"",INDEX(EntryParty,$P146)))</f>
        <v/>
      </c>
      <c r="E146" s="28">
        <f>IF($P146="","",IF(INDEX(EntryPartyName,$P146)=0,"",INDEX(EntryPartyName,$P146)))</f>
        <v/>
      </c>
      <c r="F146" s="28">
        <f>IF($P146="","",IF(INDEX(EntryPartyType,$P146)=0,"",INDEX(EntryPartyType,$P146)))</f>
        <v/>
      </c>
      <c r="G146" s="28">
        <f>IF($P146="","",IF(INDEX(EntryTxnType,$P146)=0,"",INDEX(EntryTxnType,$P146)))</f>
        <v/>
      </c>
      <c r="H146" s="29">
        <f>IF($P146="","",IF(INDEX(EntryDep,$P146)=0,"",INDEX(EntryDep,$P146)))</f>
        <v/>
      </c>
      <c r="I146" s="29">
        <f>IF($P146="","",IF(INDEX(EntryWit,$P146)=0,"",INDEX(EntryWit,$P146)))</f>
        <v/>
      </c>
      <c r="J146" s="29">
        <f>IF($B146="","",IF($A146=1,$C$7,IF(J145="",0,J145))+IF($H146="",0,$H146)-IF($I146="",0,$I146))</f>
        <v/>
      </c>
      <c r="K146" s="29">
        <f>IF($P146="","",IF(INDEX(EntryMan,$P146)=0,"",INDEX(EntryMan,$P146)))</f>
        <v/>
      </c>
      <c r="L146" s="28">
        <f>IF($B146="","",IF($K146="","—",IF(ROUND($K146-$J146,0)=0,"√","×")))</f>
        <v/>
      </c>
      <c r="M146" s="28">
        <f>IF($B146="","",IF(COUNTIFS(EntryDates,$B146,CalcTime,$C146,CalcBank,$C$5,EntryParty,$D146,EntryDep,$H146,EntryWit,$I146)&gt;1,"تکرار",""))</f>
        <v/>
      </c>
      <c r="N146" s="28">
        <f>IF($P146="","",IF(INDEX(EntryNotes,$P146)=0,"",INDEX(EntryNotes,$P146)))</f>
        <v/>
      </c>
      <c r="O146" s="28">
        <f>IF($P146="","",IF(INDEX(EntryTxnID,$P146)=0,"",INDEX(EntryTxnID,$P146)))</f>
        <v/>
      </c>
      <c r="P146" s="28">
        <f>IFERROR(MATCH($C$5&amp;"|"&amp;RIGHT("000000"&amp;130,6),CalcRankKey,0),"")</f>
        <v/>
      </c>
    </row>
    <row r="147">
      <c r="A147" s="26">
        <f>IF($B147="","",131)</f>
        <v/>
      </c>
      <c r="B147" s="26">
        <f>IF($P147="","",IF(INDEX(CalcNormDate,$P147)=0,"",INDEX(CalcNormDate,$P147)))</f>
        <v/>
      </c>
      <c r="C147" s="26">
        <f>IF($P147="","",IF(INDEX(CalcTime,$P147)=0,"",INDEX(CalcTime,$P147)))</f>
        <v/>
      </c>
      <c r="D147" s="26">
        <f>IF($P147="","",IF(INDEX(EntryParty,$P147)=0,"",INDEX(EntryParty,$P147)))</f>
        <v/>
      </c>
      <c r="E147" s="26">
        <f>IF($P147="","",IF(INDEX(EntryPartyName,$P147)=0,"",INDEX(EntryPartyName,$P147)))</f>
        <v/>
      </c>
      <c r="F147" s="26">
        <f>IF($P147="","",IF(INDEX(EntryPartyType,$P147)=0,"",INDEX(EntryPartyType,$P147)))</f>
        <v/>
      </c>
      <c r="G147" s="26">
        <f>IF($P147="","",IF(INDEX(EntryTxnType,$P147)=0,"",INDEX(EntryTxnType,$P147)))</f>
        <v/>
      </c>
      <c r="H147" s="27">
        <f>IF($P147="","",IF(INDEX(EntryDep,$P147)=0,"",INDEX(EntryDep,$P147)))</f>
        <v/>
      </c>
      <c r="I147" s="27">
        <f>IF($P147="","",IF(INDEX(EntryWit,$P147)=0,"",INDEX(EntryWit,$P147)))</f>
        <v/>
      </c>
      <c r="J147" s="27">
        <f>IF($B147="","",IF($A147=1,$C$7,IF(J146="",0,J146))+IF($H147="",0,$H147)-IF($I147="",0,$I147))</f>
        <v/>
      </c>
      <c r="K147" s="27">
        <f>IF($P147="","",IF(INDEX(EntryMan,$P147)=0,"",INDEX(EntryMan,$P147)))</f>
        <v/>
      </c>
      <c r="L147" s="26">
        <f>IF($B147="","",IF($K147="","—",IF(ROUND($K147-$J147,0)=0,"√","×")))</f>
        <v/>
      </c>
      <c r="M147" s="26">
        <f>IF($B147="","",IF(COUNTIFS(EntryDates,$B147,CalcTime,$C147,CalcBank,$C$5,EntryParty,$D147,EntryDep,$H147,EntryWit,$I147)&gt;1,"تکرار",""))</f>
        <v/>
      </c>
      <c r="N147" s="26">
        <f>IF($P147="","",IF(INDEX(EntryNotes,$P147)=0,"",INDEX(EntryNotes,$P147)))</f>
        <v/>
      </c>
      <c r="O147" s="26">
        <f>IF($P147="","",IF(INDEX(EntryTxnID,$P147)=0,"",INDEX(EntryTxnID,$P147)))</f>
        <v/>
      </c>
      <c r="P147" s="26">
        <f>IFERROR(MATCH($C$5&amp;"|"&amp;RIGHT("000000"&amp;131,6),CalcRankKey,0),"")</f>
        <v/>
      </c>
    </row>
    <row r="148">
      <c r="A148" s="28">
        <f>IF($B148="","",132)</f>
        <v/>
      </c>
      <c r="B148" s="28">
        <f>IF($P148="","",IF(INDEX(CalcNormDate,$P148)=0,"",INDEX(CalcNormDate,$P148)))</f>
        <v/>
      </c>
      <c r="C148" s="28">
        <f>IF($P148="","",IF(INDEX(CalcTime,$P148)=0,"",INDEX(CalcTime,$P148)))</f>
        <v/>
      </c>
      <c r="D148" s="28">
        <f>IF($P148="","",IF(INDEX(EntryParty,$P148)=0,"",INDEX(EntryParty,$P148)))</f>
        <v/>
      </c>
      <c r="E148" s="28">
        <f>IF($P148="","",IF(INDEX(EntryPartyName,$P148)=0,"",INDEX(EntryPartyName,$P148)))</f>
        <v/>
      </c>
      <c r="F148" s="28">
        <f>IF($P148="","",IF(INDEX(EntryPartyType,$P148)=0,"",INDEX(EntryPartyType,$P148)))</f>
        <v/>
      </c>
      <c r="G148" s="28">
        <f>IF($P148="","",IF(INDEX(EntryTxnType,$P148)=0,"",INDEX(EntryTxnType,$P148)))</f>
        <v/>
      </c>
      <c r="H148" s="29">
        <f>IF($P148="","",IF(INDEX(EntryDep,$P148)=0,"",INDEX(EntryDep,$P148)))</f>
        <v/>
      </c>
      <c r="I148" s="29">
        <f>IF($P148="","",IF(INDEX(EntryWit,$P148)=0,"",INDEX(EntryWit,$P148)))</f>
        <v/>
      </c>
      <c r="J148" s="29">
        <f>IF($B148="","",IF($A148=1,$C$7,IF(J147="",0,J147))+IF($H148="",0,$H148)-IF($I148="",0,$I148))</f>
        <v/>
      </c>
      <c r="K148" s="29">
        <f>IF($P148="","",IF(INDEX(EntryMan,$P148)=0,"",INDEX(EntryMan,$P148)))</f>
        <v/>
      </c>
      <c r="L148" s="28">
        <f>IF($B148="","",IF($K148="","—",IF(ROUND($K148-$J148,0)=0,"√","×")))</f>
        <v/>
      </c>
      <c r="M148" s="28">
        <f>IF($B148="","",IF(COUNTIFS(EntryDates,$B148,CalcTime,$C148,CalcBank,$C$5,EntryParty,$D148,EntryDep,$H148,EntryWit,$I148)&gt;1,"تکرار",""))</f>
        <v/>
      </c>
      <c r="N148" s="28">
        <f>IF($P148="","",IF(INDEX(EntryNotes,$P148)=0,"",INDEX(EntryNotes,$P148)))</f>
        <v/>
      </c>
      <c r="O148" s="28">
        <f>IF($P148="","",IF(INDEX(EntryTxnID,$P148)=0,"",INDEX(EntryTxnID,$P148)))</f>
        <v/>
      </c>
      <c r="P148" s="28">
        <f>IFERROR(MATCH($C$5&amp;"|"&amp;RIGHT("000000"&amp;132,6),CalcRankKey,0),"")</f>
        <v/>
      </c>
    </row>
    <row r="149">
      <c r="A149" s="26">
        <f>IF($B149="","",133)</f>
        <v/>
      </c>
      <c r="B149" s="26">
        <f>IF($P149="","",IF(INDEX(CalcNormDate,$P149)=0,"",INDEX(CalcNormDate,$P149)))</f>
        <v/>
      </c>
      <c r="C149" s="26">
        <f>IF($P149="","",IF(INDEX(CalcTime,$P149)=0,"",INDEX(CalcTime,$P149)))</f>
        <v/>
      </c>
      <c r="D149" s="26">
        <f>IF($P149="","",IF(INDEX(EntryParty,$P149)=0,"",INDEX(EntryParty,$P149)))</f>
        <v/>
      </c>
      <c r="E149" s="26">
        <f>IF($P149="","",IF(INDEX(EntryPartyName,$P149)=0,"",INDEX(EntryPartyName,$P149)))</f>
        <v/>
      </c>
      <c r="F149" s="26">
        <f>IF($P149="","",IF(INDEX(EntryPartyType,$P149)=0,"",INDEX(EntryPartyType,$P149)))</f>
        <v/>
      </c>
      <c r="G149" s="26">
        <f>IF($P149="","",IF(INDEX(EntryTxnType,$P149)=0,"",INDEX(EntryTxnType,$P149)))</f>
        <v/>
      </c>
      <c r="H149" s="27">
        <f>IF($P149="","",IF(INDEX(EntryDep,$P149)=0,"",INDEX(EntryDep,$P149)))</f>
        <v/>
      </c>
      <c r="I149" s="27">
        <f>IF($P149="","",IF(INDEX(EntryWit,$P149)=0,"",INDEX(EntryWit,$P149)))</f>
        <v/>
      </c>
      <c r="J149" s="27">
        <f>IF($B149="","",IF($A149=1,$C$7,IF(J148="",0,J148))+IF($H149="",0,$H149)-IF($I149="",0,$I149))</f>
        <v/>
      </c>
      <c r="K149" s="27">
        <f>IF($P149="","",IF(INDEX(EntryMan,$P149)=0,"",INDEX(EntryMan,$P149)))</f>
        <v/>
      </c>
      <c r="L149" s="26">
        <f>IF($B149="","",IF($K149="","—",IF(ROUND($K149-$J149,0)=0,"√","×")))</f>
        <v/>
      </c>
      <c r="M149" s="26">
        <f>IF($B149="","",IF(COUNTIFS(EntryDates,$B149,CalcTime,$C149,CalcBank,$C$5,EntryParty,$D149,EntryDep,$H149,EntryWit,$I149)&gt;1,"تکرار",""))</f>
        <v/>
      </c>
      <c r="N149" s="26">
        <f>IF($P149="","",IF(INDEX(EntryNotes,$P149)=0,"",INDEX(EntryNotes,$P149)))</f>
        <v/>
      </c>
      <c r="O149" s="26">
        <f>IF($P149="","",IF(INDEX(EntryTxnID,$P149)=0,"",INDEX(EntryTxnID,$P149)))</f>
        <v/>
      </c>
      <c r="P149" s="26">
        <f>IFERROR(MATCH($C$5&amp;"|"&amp;RIGHT("000000"&amp;133,6),CalcRankKey,0),"")</f>
        <v/>
      </c>
    </row>
    <row r="150">
      <c r="A150" s="28">
        <f>IF($B150="","",134)</f>
        <v/>
      </c>
      <c r="B150" s="28">
        <f>IF($P150="","",IF(INDEX(CalcNormDate,$P150)=0,"",INDEX(CalcNormDate,$P150)))</f>
        <v/>
      </c>
      <c r="C150" s="28">
        <f>IF($P150="","",IF(INDEX(CalcTime,$P150)=0,"",INDEX(CalcTime,$P150)))</f>
        <v/>
      </c>
      <c r="D150" s="28">
        <f>IF($P150="","",IF(INDEX(EntryParty,$P150)=0,"",INDEX(EntryParty,$P150)))</f>
        <v/>
      </c>
      <c r="E150" s="28">
        <f>IF($P150="","",IF(INDEX(EntryPartyName,$P150)=0,"",INDEX(EntryPartyName,$P150)))</f>
        <v/>
      </c>
      <c r="F150" s="28">
        <f>IF($P150="","",IF(INDEX(EntryPartyType,$P150)=0,"",INDEX(EntryPartyType,$P150)))</f>
        <v/>
      </c>
      <c r="G150" s="28">
        <f>IF($P150="","",IF(INDEX(EntryTxnType,$P150)=0,"",INDEX(EntryTxnType,$P150)))</f>
        <v/>
      </c>
      <c r="H150" s="29">
        <f>IF($P150="","",IF(INDEX(EntryDep,$P150)=0,"",INDEX(EntryDep,$P150)))</f>
        <v/>
      </c>
      <c r="I150" s="29">
        <f>IF($P150="","",IF(INDEX(EntryWit,$P150)=0,"",INDEX(EntryWit,$P150)))</f>
        <v/>
      </c>
      <c r="J150" s="29">
        <f>IF($B150="","",IF($A150=1,$C$7,IF(J149="",0,J149))+IF($H150="",0,$H150)-IF($I150="",0,$I150))</f>
        <v/>
      </c>
      <c r="K150" s="29">
        <f>IF($P150="","",IF(INDEX(EntryMan,$P150)=0,"",INDEX(EntryMan,$P150)))</f>
        <v/>
      </c>
      <c r="L150" s="28">
        <f>IF($B150="","",IF($K150="","—",IF(ROUND($K150-$J150,0)=0,"√","×")))</f>
        <v/>
      </c>
      <c r="M150" s="28">
        <f>IF($B150="","",IF(COUNTIFS(EntryDates,$B150,CalcTime,$C150,CalcBank,$C$5,EntryParty,$D150,EntryDep,$H150,EntryWit,$I150)&gt;1,"تکرار",""))</f>
        <v/>
      </c>
      <c r="N150" s="28">
        <f>IF($P150="","",IF(INDEX(EntryNotes,$P150)=0,"",INDEX(EntryNotes,$P150)))</f>
        <v/>
      </c>
      <c r="O150" s="28">
        <f>IF($P150="","",IF(INDEX(EntryTxnID,$P150)=0,"",INDEX(EntryTxnID,$P150)))</f>
        <v/>
      </c>
      <c r="P150" s="28">
        <f>IFERROR(MATCH($C$5&amp;"|"&amp;RIGHT("000000"&amp;134,6),CalcRankKey,0),"")</f>
        <v/>
      </c>
    </row>
    <row r="151">
      <c r="A151" s="26">
        <f>IF($B151="","",135)</f>
        <v/>
      </c>
      <c r="B151" s="26">
        <f>IF($P151="","",IF(INDEX(CalcNormDate,$P151)=0,"",INDEX(CalcNormDate,$P151)))</f>
        <v/>
      </c>
      <c r="C151" s="26">
        <f>IF($P151="","",IF(INDEX(CalcTime,$P151)=0,"",INDEX(CalcTime,$P151)))</f>
        <v/>
      </c>
      <c r="D151" s="26">
        <f>IF($P151="","",IF(INDEX(EntryParty,$P151)=0,"",INDEX(EntryParty,$P151)))</f>
        <v/>
      </c>
      <c r="E151" s="26">
        <f>IF($P151="","",IF(INDEX(EntryPartyName,$P151)=0,"",INDEX(EntryPartyName,$P151)))</f>
        <v/>
      </c>
      <c r="F151" s="26">
        <f>IF($P151="","",IF(INDEX(EntryPartyType,$P151)=0,"",INDEX(EntryPartyType,$P151)))</f>
        <v/>
      </c>
      <c r="G151" s="26">
        <f>IF($P151="","",IF(INDEX(EntryTxnType,$P151)=0,"",INDEX(EntryTxnType,$P151)))</f>
        <v/>
      </c>
      <c r="H151" s="27">
        <f>IF($P151="","",IF(INDEX(EntryDep,$P151)=0,"",INDEX(EntryDep,$P151)))</f>
        <v/>
      </c>
      <c r="I151" s="27">
        <f>IF($P151="","",IF(INDEX(EntryWit,$P151)=0,"",INDEX(EntryWit,$P151)))</f>
        <v/>
      </c>
      <c r="J151" s="27">
        <f>IF($B151="","",IF($A151=1,$C$7,IF(J150="",0,J150))+IF($H151="",0,$H151)-IF($I151="",0,$I151))</f>
        <v/>
      </c>
      <c r="K151" s="27">
        <f>IF($P151="","",IF(INDEX(EntryMan,$P151)=0,"",INDEX(EntryMan,$P151)))</f>
        <v/>
      </c>
      <c r="L151" s="26">
        <f>IF($B151="","",IF($K151="","—",IF(ROUND($K151-$J151,0)=0,"√","×")))</f>
        <v/>
      </c>
      <c r="M151" s="26">
        <f>IF($B151="","",IF(COUNTIFS(EntryDates,$B151,CalcTime,$C151,CalcBank,$C$5,EntryParty,$D151,EntryDep,$H151,EntryWit,$I151)&gt;1,"تکرار",""))</f>
        <v/>
      </c>
      <c r="N151" s="26">
        <f>IF($P151="","",IF(INDEX(EntryNotes,$P151)=0,"",INDEX(EntryNotes,$P151)))</f>
        <v/>
      </c>
      <c r="O151" s="26">
        <f>IF($P151="","",IF(INDEX(EntryTxnID,$P151)=0,"",INDEX(EntryTxnID,$P151)))</f>
        <v/>
      </c>
      <c r="P151" s="26">
        <f>IFERROR(MATCH($C$5&amp;"|"&amp;RIGHT("000000"&amp;135,6),CalcRankKey,0),"")</f>
        <v/>
      </c>
    </row>
    <row r="152">
      <c r="A152" s="28">
        <f>IF($B152="","",136)</f>
        <v/>
      </c>
      <c r="B152" s="28">
        <f>IF($P152="","",IF(INDEX(CalcNormDate,$P152)=0,"",INDEX(CalcNormDate,$P152)))</f>
        <v/>
      </c>
      <c r="C152" s="28">
        <f>IF($P152="","",IF(INDEX(CalcTime,$P152)=0,"",INDEX(CalcTime,$P152)))</f>
        <v/>
      </c>
      <c r="D152" s="28">
        <f>IF($P152="","",IF(INDEX(EntryParty,$P152)=0,"",INDEX(EntryParty,$P152)))</f>
        <v/>
      </c>
      <c r="E152" s="28">
        <f>IF($P152="","",IF(INDEX(EntryPartyName,$P152)=0,"",INDEX(EntryPartyName,$P152)))</f>
        <v/>
      </c>
      <c r="F152" s="28">
        <f>IF($P152="","",IF(INDEX(EntryPartyType,$P152)=0,"",INDEX(EntryPartyType,$P152)))</f>
        <v/>
      </c>
      <c r="G152" s="28">
        <f>IF($P152="","",IF(INDEX(EntryTxnType,$P152)=0,"",INDEX(EntryTxnType,$P152)))</f>
        <v/>
      </c>
      <c r="H152" s="29">
        <f>IF($P152="","",IF(INDEX(EntryDep,$P152)=0,"",INDEX(EntryDep,$P152)))</f>
        <v/>
      </c>
      <c r="I152" s="29">
        <f>IF($P152="","",IF(INDEX(EntryWit,$P152)=0,"",INDEX(EntryWit,$P152)))</f>
        <v/>
      </c>
      <c r="J152" s="29">
        <f>IF($B152="","",IF($A152=1,$C$7,IF(J151="",0,J151))+IF($H152="",0,$H152)-IF($I152="",0,$I152))</f>
        <v/>
      </c>
      <c r="K152" s="29">
        <f>IF($P152="","",IF(INDEX(EntryMan,$P152)=0,"",INDEX(EntryMan,$P152)))</f>
        <v/>
      </c>
      <c r="L152" s="28">
        <f>IF($B152="","",IF($K152="","—",IF(ROUND($K152-$J152,0)=0,"√","×")))</f>
        <v/>
      </c>
      <c r="M152" s="28">
        <f>IF($B152="","",IF(COUNTIFS(EntryDates,$B152,CalcTime,$C152,CalcBank,$C$5,EntryParty,$D152,EntryDep,$H152,EntryWit,$I152)&gt;1,"تکرار",""))</f>
        <v/>
      </c>
      <c r="N152" s="28">
        <f>IF($P152="","",IF(INDEX(EntryNotes,$P152)=0,"",INDEX(EntryNotes,$P152)))</f>
        <v/>
      </c>
      <c r="O152" s="28">
        <f>IF($P152="","",IF(INDEX(EntryTxnID,$P152)=0,"",INDEX(EntryTxnID,$P152)))</f>
        <v/>
      </c>
      <c r="P152" s="28">
        <f>IFERROR(MATCH($C$5&amp;"|"&amp;RIGHT("000000"&amp;136,6),CalcRankKey,0),"")</f>
        <v/>
      </c>
    </row>
    <row r="153">
      <c r="A153" s="26">
        <f>IF($B153="","",137)</f>
        <v/>
      </c>
      <c r="B153" s="26">
        <f>IF($P153="","",IF(INDEX(CalcNormDate,$P153)=0,"",INDEX(CalcNormDate,$P153)))</f>
        <v/>
      </c>
      <c r="C153" s="26">
        <f>IF($P153="","",IF(INDEX(CalcTime,$P153)=0,"",INDEX(CalcTime,$P153)))</f>
        <v/>
      </c>
      <c r="D153" s="26">
        <f>IF($P153="","",IF(INDEX(EntryParty,$P153)=0,"",INDEX(EntryParty,$P153)))</f>
        <v/>
      </c>
      <c r="E153" s="26">
        <f>IF($P153="","",IF(INDEX(EntryPartyName,$P153)=0,"",INDEX(EntryPartyName,$P153)))</f>
        <v/>
      </c>
      <c r="F153" s="26">
        <f>IF($P153="","",IF(INDEX(EntryPartyType,$P153)=0,"",INDEX(EntryPartyType,$P153)))</f>
        <v/>
      </c>
      <c r="G153" s="26">
        <f>IF($P153="","",IF(INDEX(EntryTxnType,$P153)=0,"",INDEX(EntryTxnType,$P153)))</f>
        <v/>
      </c>
      <c r="H153" s="27">
        <f>IF($P153="","",IF(INDEX(EntryDep,$P153)=0,"",INDEX(EntryDep,$P153)))</f>
        <v/>
      </c>
      <c r="I153" s="27">
        <f>IF($P153="","",IF(INDEX(EntryWit,$P153)=0,"",INDEX(EntryWit,$P153)))</f>
        <v/>
      </c>
      <c r="J153" s="27">
        <f>IF($B153="","",IF($A153=1,$C$7,IF(J152="",0,J152))+IF($H153="",0,$H153)-IF($I153="",0,$I153))</f>
        <v/>
      </c>
      <c r="K153" s="27">
        <f>IF($P153="","",IF(INDEX(EntryMan,$P153)=0,"",INDEX(EntryMan,$P153)))</f>
        <v/>
      </c>
      <c r="L153" s="26">
        <f>IF($B153="","",IF($K153="","—",IF(ROUND($K153-$J153,0)=0,"√","×")))</f>
        <v/>
      </c>
      <c r="M153" s="26">
        <f>IF($B153="","",IF(COUNTIFS(EntryDates,$B153,CalcTime,$C153,CalcBank,$C$5,EntryParty,$D153,EntryDep,$H153,EntryWit,$I153)&gt;1,"تکرار",""))</f>
        <v/>
      </c>
      <c r="N153" s="26">
        <f>IF($P153="","",IF(INDEX(EntryNotes,$P153)=0,"",INDEX(EntryNotes,$P153)))</f>
        <v/>
      </c>
      <c r="O153" s="26">
        <f>IF($P153="","",IF(INDEX(EntryTxnID,$P153)=0,"",INDEX(EntryTxnID,$P153)))</f>
        <v/>
      </c>
      <c r="P153" s="26">
        <f>IFERROR(MATCH($C$5&amp;"|"&amp;RIGHT("000000"&amp;137,6),CalcRankKey,0),"")</f>
        <v/>
      </c>
    </row>
    <row r="154">
      <c r="A154" s="28">
        <f>IF($B154="","",138)</f>
        <v/>
      </c>
      <c r="B154" s="28">
        <f>IF($P154="","",IF(INDEX(CalcNormDate,$P154)=0,"",INDEX(CalcNormDate,$P154)))</f>
        <v/>
      </c>
      <c r="C154" s="28">
        <f>IF($P154="","",IF(INDEX(CalcTime,$P154)=0,"",INDEX(CalcTime,$P154)))</f>
        <v/>
      </c>
      <c r="D154" s="28">
        <f>IF($P154="","",IF(INDEX(EntryParty,$P154)=0,"",INDEX(EntryParty,$P154)))</f>
        <v/>
      </c>
      <c r="E154" s="28">
        <f>IF($P154="","",IF(INDEX(EntryPartyName,$P154)=0,"",INDEX(EntryPartyName,$P154)))</f>
        <v/>
      </c>
      <c r="F154" s="28">
        <f>IF($P154="","",IF(INDEX(EntryPartyType,$P154)=0,"",INDEX(EntryPartyType,$P154)))</f>
        <v/>
      </c>
      <c r="G154" s="28">
        <f>IF($P154="","",IF(INDEX(EntryTxnType,$P154)=0,"",INDEX(EntryTxnType,$P154)))</f>
        <v/>
      </c>
      <c r="H154" s="29">
        <f>IF($P154="","",IF(INDEX(EntryDep,$P154)=0,"",INDEX(EntryDep,$P154)))</f>
        <v/>
      </c>
      <c r="I154" s="29">
        <f>IF($P154="","",IF(INDEX(EntryWit,$P154)=0,"",INDEX(EntryWit,$P154)))</f>
        <v/>
      </c>
      <c r="J154" s="29">
        <f>IF($B154="","",IF($A154=1,$C$7,IF(J153="",0,J153))+IF($H154="",0,$H154)-IF($I154="",0,$I154))</f>
        <v/>
      </c>
      <c r="K154" s="29">
        <f>IF($P154="","",IF(INDEX(EntryMan,$P154)=0,"",INDEX(EntryMan,$P154)))</f>
        <v/>
      </c>
      <c r="L154" s="28">
        <f>IF($B154="","",IF($K154="","—",IF(ROUND($K154-$J154,0)=0,"√","×")))</f>
        <v/>
      </c>
      <c r="M154" s="28">
        <f>IF($B154="","",IF(COUNTIFS(EntryDates,$B154,CalcTime,$C154,CalcBank,$C$5,EntryParty,$D154,EntryDep,$H154,EntryWit,$I154)&gt;1,"تکرار",""))</f>
        <v/>
      </c>
      <c r="N154" s="28">
        <f>IF($P154="","",IF(INDEX(EntryNotes,$P154)=0,"",INDEX(EntryNotes,$P154)))</f>
        <v/>
      </c>
      <c r="O154" s="28">
        <f>IF($P154="","",IF(INDEX(EntryTxnID,$P154)=0,"",INDEX(EntryTxnID,$P154)))</f>
        <v/>
      </c>
      <c r="P154" s="28">
        <f>IFERROR(MATCH($C$5&amp;"|"&amp;RIGHT("000000"&amp;138,6),CalcRankKey,0),"")</f>
        <v/>
      </c>
    </row>
    <row r="155">
      <c r="A155" s="26">
        <f>IF($B155="","",139)</f>
        <v/>
      </c>
      <c r="B155" s="26">
        <f>IF($P155="","",IF(INDEX(CalcNormDate,$P155)=0,"",INDEX(CalcNormDate,$P155)))</f>
        <v/>
      </c>
      <c r="C155" s="26">
        <f>IF($P155="","",IF(INDEX(CalcTime,$P155)=0,"",INDEX(CalcTime,$P155)))</f>
        <v/>
      </c>
      <c r="D155" s="26">
        <f>IF($P155="","",IF(INDEX(EntryParty,$P155)=0,"",INDEX(EntryParty,$P155)))</f>
        <v/>
      </c>
      <c r="E155" s="26">
        <f>IF($P155="","",IF(INDEX(EntryPartyName,$P155)=0,"",INDEX(EntryPartyName,$P155)))</f>
        <v/>
      </c>
      <c r="F155" s="26">
        <f>IF($P155="","",IF(INDEX(EntryPartyType,$P155)=0,"",INDEX(EntryPartyType,$P155)))</f>
        <v/>
      </c>
      <c r="G155" s="26">
        <f>IF($P155="","",IF(INDEX(EntryTxnType,$P155)=0,"",INDEX(EntryTxnType,$P155)))</f>
        <v/>
      </c>
      <c r="H155" s="27">
        <f>IF($P155="","",IF(INDEX(EntryDep,$P155)=0,"",INDEX(EntryDep,$P155)))</f>
        <v/>
      </c>
      <c r="I155" s="27">
        <f>IF($P155="","",IF(INDEX(EntryWit,$P155)=0,"",INDEX(EntryWit,$P155)))</f>
        <v/>
      </c>
      <c r="J155" s="27">
        <f>IF($B155="","",IF($A155=1,$C$7,IF(J154="",0,J154))+IF($H155="",0,$H155)-IF($I155="",0,$I155))</f>
        <v/>
      </c>
      <c r="K155" s="27">
        <f>IF($P155="","",IF(INDEX(EntryMan,$P155)=0,"",INDEX(EntryMan,$P155)))</f>
        <v/>
      </c>
      <c r="L155" s="26">
        <f>IF($B155="","",IF($K155="","—",IF(ROUND($K155-$J155,0)=0,"√","×")))</f>
        <v/>
      </c>
      <c r="M155" s="26">
        <f>IF($B155="","",IF(COUNTIFS(EntryDates,$B155,CalcTime,$C155,CalcBank,$C$5,EntryParty,$D155,EntryDep,$H155,EntryWit,$I155)&gt;1,"تکرار",""))</f>
        <v/>
      </c>
      <c r="N155" s="26">
        <f>IF($P155="","",IF(INDEX(EntryNotes,$P155)=0,"",INDEX(EntryNotes,$P155)))</f>
        <v/>
      </c>
      <c r="O155" s="26">
        <f>IF($P155="","",IF(INDEX(EntryTxnID,$P155)=0,"",INDEX(EntryTxnID,$P155)))</f>
        <v/>
      </c>
      <c r="P155" s="26">
        <f>IFERROR(MATCH($C$5&amp;"|"&amp;RIGHT("000000"&amp;139,6),CalcRankKey,0),"")</f>
        <v/>
      </c>
    </row>
    <row r="156">
      <c r="A156" s="28">
        <f>IF($B156="","",140)</f>
        <v/>
      </c>
      <c r="B156" s="28">
        <f>IF($P156="","",IF(INDEX(CalcNormDate,$P156)=0,"",INDEX(CalcNormDate,$P156)))</f>
        <v/>
      </c>
      <c r="C156" s="28">
        <f>IF($P156="","",IF(INDEX(CalcTime,$P156)=0,"",INDEX(CalcTime,$P156)))</f>
        <v/>
      </c>
      <c r="D156" s="28">
        <f>IF($P156="","",IF(INDEX(EntryParty,$P156)=0,"",INDEX(EntryParty,$P156)))</f>
        <v/>
      </c>
      <c r="E156" s="28">
        <f>IF($P156="","",IF(INDEX(EntryPartyName,$P156)=0,"",INDEX(EntryPartyName,$P156)))</f>
        <v/>
      </c>
      <c r="F156" s="28">
        <f>IF($P156="","",IF(INDEX(EntryPartyType,$P156)=0,"",INDEX(EntryPartyType,$P156)))</f>
        <v/>
      </c>
      <c r="G156" s="28">
        <f>IF($P156="","",IF(INDEX(EntryTxnType,$P156)=0,"",INDEX(EntryTxnType,$P156)))</f>
        <v/>
      </c>
      <c r="H156" s="29">
        <f>IF($P156="","",IF(INDEX(EntryDep,$P156)=0,"",INDEX(EntryDep,$P156)))</f>
        <v/>
      </c>
      <c r="I156" s="29">
        <f>IF($P156="","",IF(INDEX(EntryWit,$P156)=0,"",INDEX(EntryWit,$P156)))</f>
        <v/>
      </c>
      <c r="J156" s="29">
        <f>IF($B156="","",IF($A156=1,$C$7,IF(J155="",0,J155))+IF($H156="",0,$H156)-IF($I156="",0,$I156))</f>
        <v/>
      </c>
      <c r="K156" s="29">
        <f>IF($P156="","",IF(INDEX(EntryMan,$P156)=0,"",INDEX(EntryMan,$P156)))</f>
        <v/>
      </c>
      <c r="L156" s="28">
        <f>IF($B156="","",IF($K156="","—",IF(ROUND($K156-$J156,0)=0,"√","×")))</f>
        <v/>
      </c>
      <c r="M156" s="28">
        <f>IF($B156="","",IF(COUNTIFS(EntryDates,$B156,CalcTime,$C156,CalcBank,$C$5,EntryParty,$D156,EntryDep,$H156,EntryWit,$I156)&gt;1,"تکرار",""))</f>
        <v/>
      </c>
      <c r="N156" s="28">
        <f>IF($P156="","",IF(INDEX(EntryNotes,$P156)=0,"",INDEX(EntryNotes,$P156)))</f>
        <v/>
      </c>
      <c r="O156" s="28">
        <f>IF($P156="","",IF(INDEX(EntryTxnID,$P156)=0,"",INDEX(EntryTxnID,$P156)))</f>
        <v/>
      </c>
      <c r="P156" s="28">
        <f>IFERROR(MATCH($C$5&amp;"|"&amp;RIGHT("000000"&amp;140,6),CalcRankKey,0),"")</f>
        <v/>
      </c>
    </row>
    <row r="157">
      <c r="A157" s="26">
        <f>IF($B157="","",141)</f>
        <v/>
      </c>
      <c r="B157" s="26">
        <f>IF($P157="","",IF(INDEX(CalcNormDate,$P157)=0,"",INDEX(CalcNormDate,$P157)))</f>
        <v/>
      </c>
      <c r="C157" s="26">
        <f>IF($P157="","",IF(INDEX(CalcTime,$P157)=0,"",INDEX(CalcTime,$P157)))</f>
        <v/>
      </c>
      <c r="D157" s="26">
        <f>IF($P157="","",IF(INDEX(EntryParty,$P157)=0,"",INDEX(EntryParty,$P157)))</f>
        <v/>
      </c>
      <c r="E157" s="26">
        <f>IF($P157="","",IF(INDEX(EntryPartyName,$P157)=0,"",INDEX(EntryPartyName,$P157)))</f>
        <v/>
      </c>
      <c r="F157" s="26">
        <f>IF($P157="","",IF(INDEX(EntryPartyType,$P157)=0,"",INDEX(EntryPartyType,$P157)))</f>
        <v/>
      </c>
      <c r="G157" s="26">
        <f>IF($P157="","",IF(INDEX(EntryTxnType,$P157)=0,"",INDEX(EntryTxnType,$P157)))</f>
        <v/>
      </c>
      <c r="H157" s="27">
        <f>IF($P157="","",IF(INDEX(EntryDep,$P157)=0,"",INDEX(EntryDep,$P157)))</f>
        <v/>
      </c>
      <c r="I157" s="27">
        <f>IF($P157="","",IF(INDEX(EntryWit,$P157)=0,"",INDEX(EntryWit,$P157)))</f>
        <v/>
      </c>
      <c r="J157" s="27">
        <f>IF($B157="","",IF($A157=1,$C$7,IF(J156="",0,J156))+IF($H157="",0,$H157)-IF($I157="",0,$I157))</f>
        <v/>
      </c>
      <c r="K157" s="27">
        <f>IF($P157="","",IF(INDEX(EntryMan,$P157)=0,"",INDEX(EntryMan,$P157)))</f>
        <v/>
      </c>
      <c r="L157" s="26">
        <f>IF($B157="","",IF($K157="","—",IF(ROUND($K157-$J157,0)=0,"√","×")))</f>
        <v/>
      </c>
      <c r="M157" s="26">
        <f>IF($B157="","",IF(COUNTIFS(EntryDates,$B157,CalcTime,$C157,CalcBank,$C$5,EntryParty,$D157,EntryDep,$H157,EntryWit,$I157)&gt;1,"تکرار",""))</f>
        <v/>
      </c>
      <c r="N157" s="26">
        <f>IF($P157="","",IF(INDEX(EntryNotes,$P157)=0,"",INDEX(EntryNotes,$P157)))</f>
        <v/>
      </c>
      <c r="O157" s="26">
        <f>IF($P157="","",IF(INDEX(EntryTxnID,$P157)=0,"",INDEX(EntryTxnID,$P157)))</f>
        <v/>
      </c>
      <c r="P157" s="26">
        <f>IFERROR(MATCH($C$5&amp;"|"&amp;RIGHT("000000"&amp;141,6),CalcRankKey,0),"")</f>
        <v/>
      </c>
    </row>
    <row r="158">
      <c r="A158" s="28">
        <f>IF($B158="","",142)</f>
        <v/>
      </c>
      <c r="B158" s="28">
        <f>IF($P158="","",IF(INDEX(CalcNormDate,$P158)=0,"",INDEX(CalcNormDate,$P158)))</f>
        <v/>
      </c>
      <c r="C158" s="28">
        <f>IF($P158="","",IF(INDEX(CalcTime,$P158)=0,"",INDEX(CalcTime,$P158)))</f>
        <v/>
      </c>
      <c r="D158" s="28">
        <f>IF($P158="","",IF(INDEX(EntryParty,$P158)=0,"",INDEX(EntryParty,$P158)))</f>
        <v/>
      </c>
      <c r="E158" s="28">
        <f>IF($P158="","",IF(INDEX(EntryPartyName,$P158)=0,"",INDEX(EntryPartyName,$P158)))</f>
        <v/>
      </c>
      <c r="F158" s="28">
        <f>IF($P158="","",IF(INDEX(EntryPartyType,$P158)=0,"",INDEX(EntryPartyType,$P158)))</f>
        <v/>
      </c>
      <c r="G158" s="28">
        <f>IF($P158="","",IF(INDEX(EntryTxnType,$P158)=0,"",INDEX(EntryTxnType,$P158)))</f>
        <v/>
      </c>
      <c r="H158" s="29">
        <f>IF($P158="","",IF(INDEX(EntryDep,$P158)=0,"",INDEX(EntryDep,$P158)))</f>
        <v/>
      </c>
      <c r="I158" s="29">
        <f>IF($P158="","",IF(INDEX(EntryWit,$P158)=0,"",INDEX(EntryWit,$P158)))</f>
        <v/>
      </c>
      <c r="J158" s="29">
        <f>IF($B158="","",IF($A158=1,$C$7,IF(J157="",0,J157))+IF($H158="",0,$H158)-IF($I158="",0,$I158))</f>
        <v/>
      </c>
      <c r="K158" s="29">
        <f>IF($P158="","",IF(INDEX(EntryMan,$P158)=0,"",INDEX(EntryMan,$P158)))</f>
        <v/>
      </c>
      <c r="L158" s="28">
        <f>IF($B158="","",IF($K158="","—",IF(ROUND($K158-$J158,0)=0,"√","×")))</f>
        <v/>
      </c>
      <c r="M158" s="28">
        <f>IF($B158="","",IF(COUNTIFS(EntryDates,$B158,CalcTime,$C158,CalcBank,$C$5,EntryParty,$D158,EntryDep,$H158,EntryWit,$I158)&gt;1,"تکرار",""))</f>
        <v/>
      </c>
      <c r="N158" s="28">
        <f>IF($P158="","",IF(INDEX(EntryNotes,$P158)=0,"",INDEX(EntryNotes,$P158)))</f>
        <v/>
      </c>
      <c r="O158" s="28">
        <f>IF($P158="","",IF(INDEX(EntryTxnID,$P158)=0,"",INDEX(EntryTxnID,$P158)))</f>
        <v/>
      </c>
      <c r="P158" s="28">
        <f>IFERROR(MATCH($C$5&amp;"|"&amp;RIGHT("000000"&amp;142,6),CalcRankKey,0),"")</f>
        <v/>
      </c>
    </row>
    <row r="159">
      <c r="A159" s="26">
        <f>IF($B159="","",143)</f>
        <v/>
      </c>
      <c r="B159" s="26">
        <f>IF($P159="","",IF(INDEX(CalcNormDate,$P159)=0,"",INDEX(CalcNormDate,$P159)))</f>
        <v/>
      </c>
      <c r="C159" s="26">
        <f>IF($P159="","",IF(INDEX(CalcTime,$P159)=0,"",INDEX(CalcTime,$P159)))</f>
        <v/>
      </c>
      <c r="D159" s="26">
        <f>IF($P159="","",IF(INDEX(EntryParty,$P159)=0,"",INDEX(EntryParty,$P159)))</f>
        <v/>
      </c>
      <c r="E159" s="26">
        <f>IF($P159="","",IF(INDEX(EntryPartyName,$P159)=0,"",INDEX(EntryPartyName,$P159)))</f>
        <v/>
      </c>
      <c r="F159" s="26">
        <f>IF($P159="","",IF(INDEX(EntryPartyType,$P159)=0,"",INDEX(EntryPartyType,$P159)))</f>
        <v/>
      </c>
      <c r="G159" s="26">
        <f>IF($P159="","",IF(INDEX(EntryTxnType,$P159)=0,"",INDEX(EntryTxnType,$P159)))</f>
        <v/>
      </c>
      <c r="H159" s="27">
        <f>IF($P159="","",IF(INDEX(EntryDep,$P159)=0,"",INDEX(EntryDep,$P159)))</f>
        <v/>
      </c>
      <c r="I159" s="27">
        <f>IF($P159="","",IF(INDEX(EntryWit,$P159)=0,"",INDEX(EntryWit,$P159)))</f>
        <v/>
      </c>
      <c r="J159" s="27">
        <f>IF($B159="","",IF($A159=1,$C$7,IF(J158="",0,J158))+IF($H159="",0,$H159)-IF($I159="",0,$I159))</f>
        <v/>
      </c>
      <c r="K159" s="27">
        <f>IF($P159="","",IF(INDEX(EntryMan,$P159)=0,"",INDEX(EntryMan,$P159)))</f>
        <v/>
      </c>
      <c r="L159" s="26">
        <f>IF($B159="","",IF($K159="","—",IF(ROUND($K159-$J159,0)=0,"√","×")))</f>
        <v/>
      </c>
      <c r="M159" s="26">
        <f>IF($B159="","",IF(COUNTIFS(EntryDates,$B159,CalcTime,$C159,CalcBank,$C$5,EntryParty,$D159,EntryDep,$H159,EntryWit,$I159)&gt;1,"تکرار",""))</f>
        <v/>
      </c>
      <c r="N159" s="26">
        <f>IF($P159="","",IF(INDEX(EntryNotes,$P159)=0,"",INDEX(EntryNotes,$P159)))</f>
        <v/>
      </c>
      <c r="O159" s="26">
        <f>IF($P159="","",IF(INDEX(EntryTxnID,$P159)=0,"",INDEX(EntryTxnID,$P159)))</f>
        <v/>
      </c>
      <c r="P159" s="26">
        <f>IFERROR(MATCH($C$5&amp;"|"&amp;RIGHT("000000"&amp;143,6),CalcRankKey,0),"")</f>
        <v/>
      </c>
    </row>
    <row r="160">
      <c r="A160" s="28">
        <f>IF($B160="","",144)</f>
        <v/>
      </c>
      <c r="B160" s="28">
        <f>IF($P160="","",IF(INDEX(CalcNormDate,$P160)=0,"",INDEX(CalcNormDate,$P160)))</f>
        <v/>
      </c>
      <c r="C160" s="28">
        <f>IF($P160="","",IF(INDEX(CalcTime,$P160)=0,"",INDEX(CalcTime,$P160)))</f>
        <v/>
      </c>
      <c r="D160" s="28">
        <f>IF($P160="","",IF(INDEX(EntryParty,$P160)=0,"",INDEX(EntryParty,$P160)))</f>
        <v/>
      </c>
      <c r="E160" s="28">
        <f>IF($P160="","",IF(INDEX(EntryPartyName,$P160)=0,"",INDEX(EntryPartyName,$P160)))</f>
        <v/>
      </c>
      <c r="F160" s="28">
        <f>IF($P160="","",IF(INDEX(EntryPartyType,$P160)=0,"",INDEX(EntryPartyType,$P160)))</f>
        <v/>
      </c>
      <c r="G160" s="28">
        <f>IF($P160="","",IF(INDEX(EntryTxnType,$P160)=0,"",INDEX(EntryTxnType,$P160)))</f>
        <v/>
      </c>
      <c r="H160" s="29">
        <f>IF($P160="","",IF(INDEX(EntryDep,$P160)=0,"",INDEX(EntryDep,$P160)))</f>
        <v/>
      </c>
      <c r="I160" s="29">
        <f>IF($P160="","",IF(INDEX(EntryWit,$P160)=0,"",INDEX(EntryWit,$P160)))</f>
        <v/>
      </c>
      <c r="J160" s="29">
        <f>IF($B160="","",IF($A160=1,$C$7,IF(J159="",0,J159))+IF($H160="",0,$H160)-IF($I160="",0,$I160))</f>
        <v/>
      </c>
      <c r="K160" s="29">
        <f>IF($P160="","",IF(INDEX(EntryMan,$P160)=0,"",INDEX(EntryMan,$P160)))</f>
        <v/>
      </c>
      <c r="L160" s="28">
        <f>IF($B160="","",IF($K160="","—",IF(ROUND($K160-$J160,0)=0,"√","×")))</f>
        <v/>
      </c>
      <c r="M160" s="28">
        <f>IF($B160="","",IF(COUNTIFS(EntryDates,$B160,CalcTime,$C160,CalcBank,$C$5,EntryParty,$D160,EntryDep,$H160,EntryWit,$I160)&gt;1,"تکرار",""))</f>
        <v/>
      </c>
      <c r="N160" s="28">
        <f>IF($P160="","",IF(INDEX(EntryNotes,$P160)=0,"",INDEX(EntryNotes,$P160)))</f>
        <v/>
      </c>
      <c r="O160" s="28">
        <f>IF($P160="","",IF(INDEX(EntryTxnID,$P160)=0,"",INDEX(EntryTxnID,$P160)))</f>
        <v/>
      </c>
      <c r="P160" s="28">
        <f>IFERROR(MATCH($C$5&amp;"|"&amp;RIGHT("000000"&amp;144,6),CalcRankKey,0),"")</f>
        <v/>
      </c>
    </row>
    <row r="161">
      <c r="A161" s="26">
        <f>IF($B161="","",145)</f>
        <v/>
      </c>
      <c r="B161" s="26">
        <f>IF($P161="","",IF(INDEX(CalcNormDate,$P161)=0,"",INDEX(CalcNormDate,$P161)))</f>
        <v/>
      </c>
      <c r="C161" s="26">
        <f>IF($P161="","",IF(INDEX(CalcTime,$P161)=0,"",INDEX(CalcTime,$P161)))</f>
        <v/>
      </c>
      <c r="D161" s="26">
        <f>IF($P161="","",IF(INDEX(EntryParty,$P161)=0,"",INDEX(EntryParty,$P161)))</f>
        <v/>
      </c>
      <c r="E161" s="26">
        <f>IF($P161="","",IF(INDEX(EntryPartyName,$P161)=0,"",INDEX(EntryPartyName,$P161)))</f>
        <v/>
      </c>
      <c r="F161" s="26">
        <f>IF($P161="","",IF(INDEX(EntryPartyType,$P161)=0,"",INDEX(EntryPartyType,$P161)))</f>
        <v/>
      </c>
      <c r="G161" s="26">
        <f>IF($P161="","",IF(INDEX(EntryTxnType,$P161)=0,"",INDEX(EntryTxnType,$P161)))</f>
        <v/>
      </c>
      <c r="H161" s="27">
        <f>IF($P161="","",IF(INDEX(EntryDep,$P161)=0,"",INDEX(EntryDep,$P161)))</f>
        <v/>
      </c>
      <c r="I161" s="27">
        <f>IF($P161="","",IF(INDEX(EntryWit,$P161)=0,"",INDEX(EntryWit,$P161)))</f>
        <v/>
      </c>
      <c r="J161" s="27">
        <f>IF($B161="","",IF($A161=1,$C$7,IF(J160="",0,J160))+IF($H161="",0,$H161)-IF($I161="",0,$I161))</f>
        <v/>
      </c>
      <c r="K161" s="27">
        <f>IF($P161="","",IF(INDEX(EntryMan,$P161)=0,"",INDEX(EntryMan,$P161)))</f>
        <v/>
      </c>
      <c r="L161" s="26">
        <f>IF($B161="","",IF($K161="","—",IF(ROUND($K161-$J161,0)=0,"√","×")))</f>
        <v/>
      </c>
      <c r="M161" s="26">
        <f>IF($B161="","",IF(COUNTIFS(EntryDates,$B161,CalcTime,$C161,CalcBank,$C$5,EntryParty,$D161,EntryDep,$H161,EntryWit,$I161)&gt;1,"تکرار",""))</f>
        <v/>
      </c>
      <c r="N161" s="26">
        <f>IF($P161="","",IF(INDEX(EntryNotes,$P161)=0,"",INDEX(EntryNotes,$P161)))</f>
        <v/>
      </c>
      <c r="O161" s="26">
        <f>IF($P161="","",IF(INDEX(EntryTxnID,$P161)=0,"",INDEX(EntryTxnID,$P161)))</f>
        <v/>
      </c>
      <c r="P161" s="26">
        <f>IFERROR(MATCH($C$5&amp;"|"&amp;RIGHT("000000"&amp;145,6),CalcRankKey,0),"")</f>
        <v/>
      </c>
    </row>
    <row r="162">
      <c r="A162" s="28">
        <f>IF($B162="","",146)</f>
        <v/>
      </c>
      <c r="B162" s="28">
        <f>IF($P162="","",IF(INDEX(CalcNormDate,$P162)=0,"",INDEX(CalcNormDate,$P162)))</f>
        <v/>
      </c>
      <c r="C162" s="28">
        <f>IF($P162="","",IF(INDEX(CalcTime,$P162)=0,"",INDEX(CalcTime,$P162)))</f>
        <v/>
      </c>
      <c r="D162" s="28">
        <f>IF($P162="","",IF(INDEX(EntryParty,$P162)=0,"",INDEX(EntryParty,$P162)))</f>
        <v/>
      </c>
      <c r="E162" s="28">
        <f>IF($P162="","",IF(INDEX(EntryPartyName,$P162)=0,"",INDEX(EntryPartyName,$P162)))</f>
        <v/>
      </c>
      <c r="F162" s="28">
        <f>IF($P162="","",IF(INDEX(EntryPartyType,$P162)=0,"",INDEX(EntryPartyType,$P162)))</f>
        <v/>
      </c>
      <c r="G162" s="28">
        <f>IF($P162="","",IF(INDEX(EntryTxnType,$P162)=0,"",INDEX(EntryTxnType,$P162)))</f>
        <v/>
      </c>
      <c r="H162" s="29">
        <f>IF($P162="","",IF(INDEX(EntryDep,$P162)=0,"",INDEX(EntryDep,$P162)))</f>
        <v/>
      </c>
      <c r="I162" s="29">
        <f>IF($P162="","",IF(INDEX(EntryWit,$P162)=0,"",INDEX(EntryWit,$P162)))</f>
        <v/>
      </c>
      <c r="J162" s="29">
        <f>IF($B162="","",IF($A162=1,$C$7,IF(J161="",0,J161))+IF($H162="",0,$H162)-IF($I162="",0,$I162))</f>
        <v/>
      </c>
      <c r="K162" s="29">
        <f>IF($P162="","",IF(INDEX(EntryMan,$P162)=0,"",INDEX(EntryMan,$P162)))</f>
        <v/>
      </c>
      <c r="L162" s="28">
        <f>IF($B162="","",IF($K162="","—",IF(ROUND($K162-$J162,0)=0,"√","×")))</f>
        <v/>
      </c>
      <c r="M162" s="28">
        <f>IF($B162="","",IF(COUNTIFS(EntryDates,$B162,CalcTime,$C162,CalcBank,$C$5,EntryParty,$D162,EntryDep,$H162,EntryWit,$I162)&gt;1,"تکرار",""))</f>
        <v/>
      </c>
      <c r="N162" s="28">
        <f>IF($P162="","",IF(INDEX(EntryNotes,$P162)=0,"",INDEX(EntryNotes,$P162)))</f>
        <v/>
      </c>
      <c r="O162" s="28">
        <f>IF($P162="","",IF(INDEX(EntryTxnID,$P162)=0,"",INDEX(EntryTxnID,$P162)))</f>
        <v/>
      </c>
      <c r="P162" s="28">
        <f>IFERROR(MATCH($C$5&amp;"|"&amp;RIGHT("000000"&amp;146,6),CalcRankKey,0),"")</f>
        <v/>
      </c>
    </row>
    <row r="163">
      <c r="A163" s="26">
        <f>IF($B163="","",147)</f>
        <v/>
      </c>
      <c r="B163" s="26">
        <f>IF($P163="","",IF(INDEX(CalcNormDate,$P163)=0,"",INDEX(CalcNormDate,$P163)))</f>
        <v/>
      </c>
      <c r="C163" s="26">
        <f>IF($P163="","",IF(INDEX(CalcTime,$P163)=0,"",INDEX(CalcTime,$P163)))</f>
        <v/>
      </c>
      <c r="D163" s="26">
        <f>IF($P163="","",IF(INDEX(EntryParty,$P163)=0,"",INDEX(EntryParty,$P163)))</f>
        <v/>
      </c>
      <c r="E163" s="26">
        <f>IF($P163="","",IF(INDEX(EntryPartyName,$P163)=0,"",INDEX(EntryPartyName,$P163)))</f>
        <v/>
      </c>
      <c r="F163" s="26">
        <f>IF($P163="","",IF(INDEX(EntryPartyType,$P163)=0,"",INDEX(EntryPartyType,$P163)))</f>
        <v/>
      </c>
      <c r="G163" s="26">
        <f>IF($P163="","",IF(INDEX(EntryTxnType,$P163)=0,"",INDEX(EntryTxnType,$P163)))</f>
        <v/>
      </c>
      <c r="H163" s="27">
        <f>IF($P163="","",IF(INDEX(EntryDep,$P163)=0,"",INDEX(EntryDep,$P163)))</f>
        <v/>
      </c>
      <c r="I163" s="27">
        <f>IF($P163="","",IF(INDEX(EntryWit,$P163)=0,"",INDEX(EntryWit,$P163)))</f>
        <v/>
      </c>
      <c r="J163" s="27">
        <f>IF($B163="","",IF($A163=1,$C$7,IF(J162="",0,J162))+IF($H163="",0,$H163)-IF($I163="",0,$I163))</f>
        <v/>
      </c>
      <c r="K163" s="27">
        <f>IF($P163="","",IF(INDEX(EntryMan,$P163)=0,"",INDEX(EntryMan,$P163)))</f>
        <v/>
      </c>
      <c r="L163" s="26">
        <f>IF($B163="","",IF($K163="","—",IF(ROUND($K163-$J163,0)=0,"√","×")))</f>
        <v/>
      </c>
      <c r="M163" s="26">
        <f>IF($B163="","",IF(COUNTIFS(EntryDates,$B163,CalcTime,$C163,CalcBank,$C$5,EntryParty,$D163,EntryDep,$H163,EntryWit,$I163)&gt;1,"تکرار",""))</f>
        <v/>
      </c>
      <c r="N163" s="26">
        <f>IF($P163="","",IF(INDEX(EntryNotes,$P163)=0,"",INDEX(EntryNotes,$P163)))</f>
        <v/>
      </c>
      <c r="O163" s="26">
        <f>IF($P163="","",IF(INDEX(EntryTxnID,$P163)=0,"",INDEX(EntryTxnID,$P163)))</f>
        <v/>
      </c>
      <c r="P163" s="26">
        <f>IFERROR(MATCH($C$5&amp;"|"&amp;RIGHT("000000"&amp;147,6),CalcRankKey,0),"")</f>
        <v/>
      </c>
    </row>
    <row r="164">
      <c r="A164" s="28">
        <f>IF($B164="","",148)</f>
        <v/>
      </c>
      <c r="B164" s="28">
        <f>IF($P164="","",IF(INDEX(CalcNormDate,$P164)=0,"",INDEX(CalcNormDate,$P164)))</f>
        <v/>
      </c>
      <c r="C164" s="28">
        <f>IF($P164="","",IF(INDEX(CalcTime,$P164)=0,"",INDEX(CalcTime,$P164)))</f>
        <v/>
      </c>
      <c r="D164" s="28">
        <f>IF($P164="","",IF(INDEX(EntryParty,$P164)=0,"",INDEX(EntryParty,$P164)))</f>
        <v/>
      </c>
      <c r="E164" s="28">
        <f>IF($P164="","",IF(INDEX(EntryPartyName,$P164)=0,"",INDEX(EntryPartyName,$P164)))</f>
        <v/>
      </c>
      <c r="F164" s="28">
        <f>IF($P164="","",IF(INDEX(EntryPartyType,$P164)=0,"",INDEX(EntryPartyType,$P164)))</f>
        <v/>
      </c>
      <c r="G164" s="28">
        <f>IF($P164="","",IF(INDEX(EntryTxnType,$P164)=0,"",INDEX(EntryTxnType,$P164)))</f>
        <v/>
      </c>
      <c r="H164" s="29">
        <f>IF($P164="","",IF(INDEX(EntryDep,$P164)=0,"",INDEX(EntryDep,$P164)))</f>
        <v/>
      </c>
      <c r="I164" s="29">
        <f>IF($P164="","",IF(INDEX(EntryWit,$P164)=0,"",INDEX(EntryWit,$P164)))</f>
        <v/>
      </c>
      <c r="J164" s="29">
        <f>IF($B164="","",IF($A164=1,$C$7,IF(J163="",0,J163))+IF($H164="",0,$H164)-IF($I164="",0,$I164))</f>
        <v/>
      </c>
      <c r="K164" s="29">
        <f>IF($P164="","",IF(INDEX(EntryMan,$P164)=0,"",INDEX(EntryMan,$P164)))</f>
        <v/>
      </c>
      <c r="L164" s="28">
        <f>IF($B164="","",IF($K164="","—",IF(ROUND($K164-$J164,0)=0,"√","×")))</f>
        <v/>
      </c>
      <c r="M164" s="28">
        <f>IF($B164="","",IF(COUNTIFS(EntryDates,$B164,CalcTime,$C164,CalcBank,$C$5,EntryParty,$D164,EntryDep,$H164,EntryWit,$I164)&gt;1,"تکرار",""))</f>
        <v/>
      </c>
      <c r="N164" s="28">
        <f>IF($P164="","",IF(INDEX(EntryNotes,$P164)=0,"",INDEX(EntryNotes,$P164)))</f>
        <v/>
      </c>
      <c r="O164" s="28">
        <f>IF($P164="","",IF(INDEX(EntryTxnID,$P164)=0,"",INDEX(EntryTxnID,$P164)))</f>
        <v/>
      </c>
      <c r="P164" s="28">
        <f>IFERROR(MATCH($C$5&amp;"|"&amp;RIGHT("000000"&amp;148,6),CalcRankKey,0),"")</f>
        <v/>
      </c>
    </row>
    <row r="165">
      <c r="A165" s="26">
        <f>IF($B165="","",149)</f>
        <v/>
      </c>
      <c r="B165" s="26">
        <f>IF($P165="","",IF(INDEX(CalcNormDate,$P165)=0,"",INDEX(CalcNormDate,$P165)))</f>
        <v/>
      </c>
      <c r="C165" s="26">
        <f>IF($P165="","",IF(INDEX(CalcTime,$P165)=0,"",INDEX(CalcTime,$P165)))</f>
        <v/>
      </c>
      <c r="D165" s="26">
        <f>IF($P165="","",IF(INDEX(EntryParty,$P165)=0,"",INDEX(EntryParty,$P165)))</f>
        <v/>
      </c>
      <c r="E165" s="26">
        <f>IF($P165="","",IF(INDEX(EntryPartyName,$P165)=0,"",INDEX(EntryPartyName,$P165)))</f>
        <v/>
      </c>
      <c r="F165" s="26">
        <f>IF($P165="","",IF(INDEX(EntryPartyType,$P165)=0,"",INDEX(EntryPartyType,$P165)))</f>
        <v/>
      </c>
      <c r="G165" s="26">
        <f>IF($P165="","",IF(INDEX(EntryTxnType,$P165)=0,"",INDEX(EntryTxnType,$P165)))</f>
        <v/>
      </c>
      <c r="H165" s="27">
        <f>IF($P165="","",IF(INDEX(EntryDep,$P165)=0,"",INDEX(EntryDep,$P165)))</f>
        <v/>
      </c>
      <c r="I165" s="27">
        <f>IF($P165="","",IF(INDEX(EntryWit,$P165)=0,"",INDEX(EntryWit,$P165)))</f>
        <v/>
      </c>
      <c r="J165" s="27">
        <f>IF($B165="","",IF($A165=1,$C$7,IF(J164="",0,J164))+IF($H165="",0,$H165)-IF($I165="",0,$I165))</f>
        <v/>
      </c>
      <c r="K165" s="27">
        <f>IF($P165="","",IF(INDEX(EntryMan,$P165)=0,"",INDEX(EntryMan,$P165)))</f>
        <v/>
      </c>
      <c r="L165" s="26">
        <f>IF($B165="","",IF($K165="","—",IF(ROUND($K165-$J165,0)=0,"√","×")))</f>
        <v/>
      </c>
      <c r="M165" s="26">
        <f>IF($B165="","",IF(COUNTIFS(EntryDates,$B165,CalcTime,$C165,CalcBank,$C$5,EntryParty,$D165,EntryDep,$H165,EntryWit,$I165)&gt;1,"تکرار",""))</f>
        <v/>
      </c>
      <c r="N165" s="26">
        <f>IF($P165="","",IF(INDEX(EntryNotes,$P165)=0,"",INDEX(EntryNotes,$P165)))</f>
        <v/>
      </c>
      <c r="O165" s="26">
        <f>IF($P165="","",IF(INDEX(EntryTxnID,$P165)=0,"",INDEX(EntryTxnID,$P165)))</f>
        <v/>
      </c>
      <c r="P165" s="26">
        <f>IFERROR(MATCH($C$5&amp;"|"&amp;RIGHT("000000"&amp;149,6),CalcRankKey,0),"")</f>
        <v/>
      </c>
    </row>
    <row r="166">
      <c r="A166" s="28">
        <f>IF($B166="","",150)</f>
        <v/>
      </c>
      <c r="B166" s="28">
        <f>IF($P166="","",IF(INDEX(CalcNormDate,$P166)=0,"",INDEX(CalcNormDate,$P166)))</f>
        <v/>
      </c>
      <c r="C166" s="28">
        <f>IF($P166="","",IF(INDEX(CalcTime,$P166)=0,"",INDEX(CalcTime,$P166)))</f>
        <v/>
      </c>
      <c r="D166" s="28">
        <f>IF($P166="","",IF(INDEX(EntryParty,$P166)=0,"",INDEX(EntryParty,$P166)))</f>
        <v/>
      </c>
      <c r="E166" s="28">
        <f>IF($P166="","",IF(INDEX(EntryPartyName,$P166)=0,"",INDEX(EntryPartyName,$P166)))</f>
        <v/>
      </c>
      <c r="F166" s="28">
        <f>IF($P166="","",IF(INDEX(EntryPartyType,$P166)=0,"",INDEX(EntryPartyType,$P166)))</f>
        <v/>
      </c>
      <c r="G166" s="28">
        <f>IF($P166="","",IF(INDEX(EntryTxnType,$P166)=0,"",INDEX(EntryTxnType,$P166)))</f>
        <v/>
      </c>
      <c r="H166" s="29">
        <f>IF($P166="","",IF(INDEX(EntryDep,$P166)=0,"",INDEX(EntryDep,$P166)))</f>
        <v/>
      </c>
      <c r="I166" s="29">
        <f>IF($P166="","",IF(INDEX(EntryWit,$P166)=0,"",INDEX(EntryWit,$P166)))</f>
        <v/>
      </c>
      <c r="J166" s="29">
        <f>IF($B166="","",IF($A166=1,$C$7,IF(J165="",0,J165))+IF($H166="",0,$H166)-IF($I166="",0,$I166))</f>
        <v/>
      </c>
      <c r="K166" s="29">
        <f>IF($P166="","",IF(INDEX(EntryMan,$P166)=0,"",INDEX(EntryMan,$P166)))</f>
        <v/>
      </c>
      <c r="L166" s="28">
        <f>IF($B166="","",IF($K166="","—",IF(ROUND($K166-$J166,0)=0,"√","×")))</f>
        <v/>
      </c>
      <c r="M166" s="28">
        <f>IF($B166="","",IF(COUNTIFS(EntryDates,$B166,CalcTime,$C166,CalcBank,$C$5,EntryParty,$D166,EntryDep,$H166,EntryWit,$I166)&gt;1,"تکرار",""))</f>
        <v/>
      </c>
      <c r="N166" s="28">
        <f>IF($P166="","",IF(INDEX(EntryNotes,$P166)=0,"",INDEX(EntryNotes,$P166)))</f>
        <v/>
      </c>
      <c r="O166" s="28">
        <f>IF($P166="","",IF(INDEX(EntryTxnID,$P166)=0,"",INDEX(EntryTxnID,$P166)))</f>
        <v/>
      </c>
      <c r="P166" s="28">
        <f>IFERROR(MATCH($C$5&amp;"|"&amp;RIGHT("000000"&amp;150,6),CalcRankKey,0),"")</f>
        <v/>
      </c>
    </row>
    <row r="167">
      <c r="A167" s="26">
        <f>IF($B167="","",151)</f>
        <v/>
      </c>
      <c r="B167" s="26">
        <f>IF($P167="","",IF(INDEX(CalcNormDate,$P167)=0,"",INDEX(CalcNormDate,$P167)))</f>
        <v/>
      </c>
      <c r="C167" s="26">
        <f>IF($P167="","",IF(INDEX(CalcTime,$P167)=0,"",INDEX(CalcTime,$P167)))</f>
        <v/>
      </c>
      <c r="D167" s="26">
        <f>IF($P167="","",IF(INDEX(EntryParty,$P167)=0,"",INDEX(EntryParty,$P167)))</f>
        <v/>
      </c>
      <c r="E167" s="26">
        <f>IF($P167="","",IF(INDEX(EntryPartyName,$P167)=0,"",INDEX(EntryPartyName,$P167)))</f>
        <v/>
      </c>
      <c r="F167" s="26">
        <f>IF($P167="","",IF(INDEX(EntryPartyType,$P167)=0,"",INDEX(EntryPartyType,$P167)))</f>
        <v/>
      </c>
      <c r="G167" s="26">
        <f>IF($P167="","",IF(INDEX(EntryTxnType,$P167)=0,"",INDEX(EntryTxnType,$P167)))</f>
        <v/>
      </c>
      <c r="H167" s="27">
        <f>IF($P167="","",IF(INDEX(EntryDep,$P167)=0,"",INDEX(EntryDep,$P167)))</f>
        <v/>
      </c>
      <c r="I167" s="27">
        <f>IF($P167="","",IF(INDEX(EntryWit,$P167)=0,"",INDEX(EntryWit,$P167)))</f>
        <v/>
      </c>
      <c r="J167" s="27">
        <f>IF($B167="","",IF($A167=1,$C$7,IF(J166="",0,J166))+IF($H167="",0,$H167)-IF($I167="",0,$I167))</f>
        <v/>
      </c>
      <c r="K167" s="27">
        <f>IF($P167="","",IF(INDEX(EntryMan,$P167)=0,"",INDEX(EntryMan,$P167)))</f>
        <v/>
      </c>
      <c r="L167" s="26">
        <f>IF($B167="","",IF($K167="","—",IF(ROUND($K167-$J167,0)=0,"√","×")))</f>
        <v/>
      </c>
      <c r="M167" s="26">
        <f>IF($B167="","",IF(COUNTIFS(EntryDates,$B167,CalcTime,$C167,CalcBank,$C$5,EntryParty,$D167,EntryDep,$H167,EntryWit,$I167)&gt;1,"تکرار",""))</f>
        <v/>
      </c>
      <c r="N167" s="26">
        <f>IF($P167="","",IF(INDEX(EntryNotes,$P167)=0,"",INDEX(EntryNotes,$P167)))</f>
        <v/>
      </c>
      <c r="O167" s="26">
        <f>IF($P167="","",IF(INDEX(EntryTxnID,$P167)=0,"",INDEX(EntryTxnID,$P167)))</f>
        <v/>
      </c>
      <c r="P167" s="26">
        <f>IFERROR(MATCH($C$5&amp;"|"&amp;RIGHT("000000"&amp;151,6),CalcRankKey,0),"")</f>
        <v/>
      </c>
    </row>
    <row r="168">
      <c r="A168" s="28">
        <f>IF($B168="","",152)</f>
        <v/>
      </c>
      <c r="B168" s="28">
        <f>IF($P168="","",IF(INDEX(CalcNormDate,$P168)=0,"",INDEX(CalcNormDate,$P168)))</f>
        <v/>
      </c>
      <c r="C168" s="28">
        <f>IF($P168="","",IF(INDEX(CalcTime,$P168)=0,"",INDEX(CalcTime,$P168)))</f>
        <v/>
      </c>
      <c r="D168" s="28">
        <f>IF($P168="","",IF(INDEX(EntryParty,$P168)=0,"",INDEX(EntryParty,$P168)))</f>
        <v/>
      </c>
      <c r="E168" s="28">
        <f>IF($P168="","",IF(INDEX(EntryPartyName,$P168)=0,"",INDEX(EntryPartyName,$P168)))</f>
        <v/>
      </c>
      <c r="F168" s="28">
        <f>IF($P168="","",IF(INDEX(EntryPartyType,$P168)=0,"",INDEX(EntryPartyType,$P168)))</f>
        <v/>
      </c>
      <c r="G168" s="28">
        <f>IF($P168="","",IF(INDEX(EntryTxnType,$P168)=0,"",INDEX(EntryTxnType,$P168)))</f>
        <v/>
      </c>
      <c r="H168" s="29">
        <f>IF($P168="","",IF(INDEX(EntryDep,$P168)=0,"",INDEX(EntryDep,$P168)))</f>
        <v/>
      </c>
      <c r="I168" s="29">
        <f>IF($P168="","",IF(INDEX(EntryWit,$P168)=0,"",INDEX(EntryWit,$P168)))</f>
        <v/>
      </c>
      <c r="J168" s="29">
        <f>IF($B168="","",IF($A168=1,$C$7,IF(J167="",0,J167))+IF($H168="",0,$H168)-IF($I168="",0,$I168))</f>
        <v/>
      </c>
      <c r="K168" s="29">
        <f>IF($P168="","",IF(INDEX(EntryMan,$P168)=0,"",INDEX(EntryMan,$P168)))</f>
        <v/>
      </c>
      <c r="L168" s="28">
        <f>IF($B168="","",IF($K168="","—",IF(ROUND($K168-$J168,0)=0,"√","×")))</f>
        <v/>
      </c>
      <c r="M168" s="28">
        <f>IF($B168="","",IF(COUNTIFS(EntryDates,$B168,CalcTime,$C168,CalcBank,$C$5,EntryParty,$D168,EntryDep,$H168,EntryWit,$I168)&gt;1,"تکرار",""))</f>
        <v/>
      </c>
      <c r="N168" s="28">
        <f>IF($P168="","",IF(INDEX(EntryNotes,$P168)=0,"",INDEX(EntryNotes,$P168)))</f>
        <v/>
      </c>
      <c r="O168" s="28">
        <f>IF($P168="","",IF(INDEX(EntryTxnID,$P168)=0,"",INDEX(EntryTxnID,$P168)))</f>
        <v/>
      </c>
      <c r="P168" s="28">
        <f>IFERROR(MATCH($C$5&amp;"|"&amp;RIGHT("000000"&amp;152,6),CalcRankKey,0),"")</f>
        <v/>
      </c>
    </row>
    <row r="169">
      <c r="A169" s="26">
        <f>IF($B169="","",153)</f>
        <v/>
      </c>
      <c r="B169" s="26">
        <f>IF($P169="","",IF(INDEX(CalcNormDate,$P169)=0,"",INDEX(CalcNormDate,$P169)))</f>
        <v/>
      </c>
      <c r="C169" s="26">
        <f>IF($P169="","",IF(INDEX(CalcTime,$P169)=0,"",INDEX(CalcTime,$P169)))</f>
        <v/>
      </c>
      <c r="D169" s="26">
        <f>IF($P169="","",IF(INDEX(EntryParty,$P169)=0,"",INDEX(EntryParty,$P169)))</f>
        <v/>
      </c>
      <c r="E169" s="26">
        <f>IF($P169="","",IF(INDEX(EntryPartyName,$P169)=0,"",INDEX(EntryPartyName,$P169)))</f>
        <v/>
      </c>
      <c r="F169" s="26">
        <f>IF($P169="","",IF(INDEX(EntryPartyType,$P169)=0,"",INDEX(EntryPartyType,$P169)))</f>
        <v/>
      </c>
      <c r="G169" s="26">
        <f>IF($P169="","",IF(INDEX(EntryTxnType,$P169)=0,"",INDEX(EntryTxnType,$P169)))</f>
        <v/>
      </c>
      <c r="H169" s="27">
        <f>IF($P169="","",IF(INDEX(EntryDep,$P169)=0,"",INDEX(EntryDep,$P169)))</f>
        <v/>
      </c>
      <c r="I169" s="27">
        <f>IF($P169="","",IF(INDEX(EntryWit,$P169)=0,"",INDEX(EntryWit,$P169)))</f>
        <v/>
      </c>
      <c r="J169" s="27">
        <f>IF($B169="","",IF($A169=1,$C$7,IF(J168="",0,J168))+IF($H169="",0,$H169)-IF($I169="",0,$I169))</f>
        <v/>
      </c>
      <c r="K169" s="27">
        <f>IF($P169="","",IF(INDEX(EntryMan,$P169)=0,"",INDEX(EntryMan,$P169)))</f>
        <v/>
      </c>
      <c r="L169" s="26">
        <f>IF($B169="","",IF($K169="","—",IF(ROUND($K169-$J169,0)=0,"√","×")))</f>
        <v/>
      </c>
      <c r="M169" s="26">
        <f>IF($B169="","",IF(COUNTIFS(EntryDates,$B169,CalcTime,$C169,CalcBank,$C$5,EntryParty,$D169,EntryDep,$H169,EntryWit,$I169)&gt;1,"تکرار",""))</f>
        <v/>
      </c>
      <c r="N169" s="26">
        <f>IF($P169="","",IF(INDEX(EntryNotes,$P169)=0,"",INDEX(EntryNotes,$P169)))</f>
        <v/>
      </c>
      <c r="O169" s="26">
        <f>IF($P169="","",IF(INDEX(EntryTxnID,$P169)=0,"",INDEX(EntryTxnID,$P169)))</f>
        <v/>
      </c>
      <c r="P169" s="26">
        <f>IFERROR(MATCH($C$5&amp;"|"&amp;RIGHT("000000"&amp;153,6),CalcRankKey,0),"")</f>
        <v/>
      </c>
    </row>
    <row r="170">
      <c r="A170" s="28">
        <f>IF($B170="","",154)</f>
        <v/>
      </c>
      <c r="B170" s="28">
        <f>IF($P170="","",IF(INDEX(CalcNormDate,$P170)=0,"",INDEX(CalcNormDate,$P170)))</f>
        <v/>
      </c>
      <c r="C170" s="28">
        <f>IF($P170="","",IF(INDEX(CalcTime,$P170)=0,"",INDEX(CalcTime,$P170)))</f>
        <v/>
      </c>
      <c r="D170" s="28">
        <f>IF($P170="","",IF(INDEX(EntryParty,$P170)=0,"",INDEX(EntryParty,$P170)))</f>
        <v/>
      </c>
      <c r="E170" s="28">
        <f>IF($P170="","",IF(INDEX(EntryPartyName,$P170)=0,"",INDEX(EntryPartyName,$P170)))</f>
        <v/>
      </c>
      <c r="F170" s="28">
        <f>IF($P170="","",IF(INDEX(EntryPartyType,$P170)=0,"",INDEX(EntryPartyType,$P170)))</f>
        <v/>
      </c>
      <c r="G170" s="28">
        <f>IF($P170="","",IF(INDEX(EntryTxnType,$P170)=0,"",INDEX(EntryTxnType,$P170)))</f>
        <v/>
      </c>
      <c r="H170" s="29">
        <f>IF($P170="","",IF(INDEX(EntryDep,$P170)=0,"",INDEX(EntryDep,$P170)))</f>
        <v/>
      </c>
      <c r="I170" s="29">
        <f>IF($P170="","",IF(INDEX(EntryWit,$P170)=0,"",INDEX(EntryWit,$P170)))</f>
        <v/>
      </c>
      <c r="J170" s="29">
        <f>IF($B170="","",IF($A170=1,$C$7,IF(J169="",0,J169))+IF($H170="",0,$H170)-IF($I170="",0,$I170))</f>
        <v/>
      </c>
      <c r="K170" s="29">
        <f>IF($P170="","",IF(INDEX(EntryMan,$P170)=0,"",INDEX(EntryMan,$P170)))</f>
        <v/>
      </c>
      <c r="L170" s="28">
        <f>IF($B170="","",IF($K170="","—",IF(ROUND($K170-$J170,0)=0,"√","×")))</f>
        <v/>
      </c>
      <c r="M170" s="28">
        <f>IF($B170="","",IF(COUNTIFS(EntryDates,$B170,CalcTime,$C170,CalcBank,$C$5,EntryParty,$D170,EntryDep,$H170,EntryWit,$I170)&gt;1,"تکرار",""))</f>
        <v/>
      </c>
      <c r="N170" s="28">
        <f>IF($P170="","",IF(INDEX(EntryNotes,$P170)=0,"",INDEX(EntryNotes,$P170)))</f>
        <v/>
      </c>
      <c r="O170" s="28">
        <f>IF($P170="","",IF(INDEX(EntryTxnID,$P170)=0,"",INDEX(EntryTxnID,$P170)))</f>
        <v/>
      </c>
      <c r="P170" s="28">
        <f>IFERROR(MATCH($C$5&amp;"|"&amp;RIGHT("000000"&amp;154,6),CalcRankKey,0),"")</f>
        <v/>
      </c>
    </row>
    <row r="171">
      <c r="A171" s="26">
        <f>IF($B171="","",155)</f>
        <v/>
      </c>
      <c r="B171" s="26">
        <f>IF($P171="","",IF(INDEX(CalcNormDate,$P171)=0,"",INDEX(CalcNormDate,$P171)))</f>
        <v/>
      </c>
      <c r="C171" s="26">
        <f>IF($P171="","",IF(INDEX(CalcTime,$P171)=0,"",INDEX(CalcTime,$P171)))</f>
        <v/>
      </c>
      <c r="D171" s="26">
        <f>IF($P171="","",IF(INDEX(EntryParty,$P171)=0,"",INDEX(EntryParty,$P171)))</f>
        <v/>
      </c>
      <c r="E171" s="26">
        <f>IF($P171="","",IF(INDEX(EntryPartyName,$P171)=0,"",INDEX(EntryPartyName,$P171)))</f>
        <v/>
      </c>
      <c r="F171" s="26">
        <f>IF($P171="","",IF(INDEX(EntryPartyType,$P171)=0,"",INDEX(EntryPartyType,$P171)))</f>
        <v/>
      </c>
      <c r="G171" s="26">
        <f>IF($P171="","",IF(INDEX(EntryTxnType,$P171)=0,"",INDEX(EntryTxnType,$P171)))</f>
        <v/>
      </c>
      <c r="H171" s="27">
        <f>IF($P171="","",IF(INDEX(EntryDep,$P171)=0,"",INDEX(EntryDep,$P171)))</f>
        <v/>
      </c>
      <c r="I171" s="27">
        <f>IF($P171="","",IF(INDEX(EntryWit,$P171)=0,"",INDEX(EntryWit,$P171)))</f>
        <v/>
      </c>
      <c r="J171" s="27">
        <f>IF($B171="","",IF($A171=1,$C$7,IF(J170="",0,J170))+IF($H171="",0,$H171)-IF($I171="",0,$I171))</f>
        <v/>
      </c>
      <c r="K171" s="27">
        <f>IF($P171="","",IF(INDEX(EntryMan,$P171)=0,"",INDEX(EntryMan,$P171)))</f>
        <v/>
      </c>
      <c r="L171" s="26">
        <f>IF($B171="","",IF($K171="","—",IF(ROUND($K171-$J171,0)=0,"√","×")))</f>
        <v/>
      </c>
      <c r="M171" s="26">
        <f>IF($B171="","",IF(COUNTIFS(EntryDates,$B171,CalcTime,$C171,CalcBank,$C$5,EntryParty,$D171,EntryDep,$H171,EntryWit,$I171)&gt;1,"تکرار",""))</f>
        <v/>
      </c>
      <c r="N171" s="26">
        <f>IF($P171="","",IF(INDEX(EntryNotes,$P171)=0,"",INDEX(EntryNotes,$P171)))</f>
        <v/>
      </c>
      <c r="O171" s="26">
        <f>IF($P171="","",IF(INDEX(EntryTxnID,$P171)=0,"",INDEX(EntryTxnID,$P171)))</f>
        <v/>
      </c>
      <c r="P171" s="26">
        <f>IFERROR(MATCH($C$5&amp;"|"&amp;RIGHT("000000"&amp;155,6),CalcRankKey,0),"")</f>
        <v/>
      </c>
    </row>
    <row r="172">
      <c r="A172" s="28">
        <f>IF($B172="","",156)</f>
        <v/>
      </c>
      <c r="B172" s="28">
        <f>IF($P172="","",IF(INDEX(CalcNormDate,$P172)=0,"",INDEX(CalcNormDate,$P172)))</f>
        <v/>
      </c>
      <c r="C172" s="28">
        <f>IF($P172="","",IF(INDEX(CalcTime,$P172)=0,"",INDEX(CalcTime,$P172)))</f>
        <v/>
      </c>
      <c r="D172" s="28">
        <f>IF($P172="","",IF(INDEX(EntryParty,$P172)=0,"",INDEX(EntryParty,$P172)))</f>
        <v/>
      </c>
      <c r="E172" s="28">
        <f>IF($P172="","",IF(INDEX(EntryPartyName,$P172)=0,"",INDEX(EntryPartyName,$P172)))</f>
        <v/>
      </c>
      <c r="F172" s="28">
        <f>IF($P172="","",IF(INDEX(EntryPartyType,$P172)=0,"",INDEX(EntryPartyType,$P172)))</f>
        <v/>
      </c>
      <c r="G172" s="28">
        <f>IF($P172="","",IF(INDEX(EntryTxnType,$P172)=0,"",INDEX(EntryTxnType,$P172)))</f>
        <v/>
      </c>
      <c r="H172" s="29">
        <f>IF($P172="","",IF(INDEX(EntryDep,$P172)=0,"",INDEX(EntryDep,$P172)))</f>
        <v/>
      </c>
      <c r="I172" s="29">
        <f>IF($P172="","",IF(INDEX(EntryWit,$P172)=0,"",INDEX(EntryWit,$P172)))</f>
        <v/>
      </c>
      <c r="J172" s="29">
        <f>IF($B172="","",IF($A172=1,$C$7,IF(J171="",0,J171))+IF($H172="",0,$H172)-IF($I172="",0,$I172))</f>
        <v/>
      </c>
      <c r="K172" s="29">
        <f>IF($P172="","",IF(INDEX(EntryMan,$P172)=0,"",INDEX(EntryMan,$P172)))</f>
        <v/>
      </c>
      <c r="L172" s="28">
        <f>IF($B172="","",IF($K172="","—",IF(ROUND($K172-$J172,0)=0,"√","×")))</f>
        <v/>
      </c>
      <c r="M172" s="28">
        <f>IF($B172="","",IF(COUNTIFS(EntryDates,$B172,CalcTime,$C172,CalcBank,$C$5,EntryParty,$D172,EntryDep,$H172,EntryWit,$I172)&gt;1,"تکرار",""))</f>
        <v/>
      </c>
      <c r="N172" s="28">
        <f>IF($P172="","",IF(INDEX(EntryNotes,$P172)=0,"",INDEX(EntryNotes,$P172)))</f>
        <v/>
      </c>
      <c r="O172" s="28">
        <f>IF($P172="","",IF(INDEX(EntryTxnID,$P172)=0,"",INDEX(EntryTxnID,$P172)))</f>
        <v/>
      </c>
      <c r="P172" s="28">
        <f>IFERROR(MATCH($C$5&amp;"|"&amp;RIGHT("000000"&amp;156,6),CalcRankKey,0),"")</f>
        <v/>
      </c>
    </row>
    <row r="173">
      <c r="A173" s="26">
        <f>IF($B173="","",157)</f>
        <v/>
      </c>
      <c r="B173" s="26">
        <f>IF($P173="","",IF(INDEX(CalcNormDate,$P173)=0,"",INDEX(CalcNormDate,$P173)))</f>
        <v/>
      </c>
      <c r="C173" s="26">
        <f>IF($P173="","",IF(INDEX(CalcTime,$P173)=0,"",INDEX(CalcTime,$P173)))</f>
        <v/>
      </c>
      <c r="D173" s="26">
        <f>IF($P173="","",IF(INDEX(EntryParty,$P173)=0,"",INDEX(EntryParty,$P173)))</f>
        <v/>
      </c>
      <c r="E173" s="26">
        <f>IF($P173="","",IF(INDEX(EntryPartyName,$P173)=0,"",INDEX(EntryPartyName,$P173)))</f>
        <v/>
      </c>
      <c r="F173" s="26">
        <f>IF($P173="","",IF(INDEX(EntryPartyType,$P173)=0,"",INDEX(EntryPartyType,$P173)))</f>
        <v/>
      </c>
      <c r="G173" s="26">
        <f>IF($P173="","",IF(INDEX(EntryTxnType,$P173)=0,"",INDEX(EntryTxnType,$P173)))</f>
        <v/>
      </c>
      <c r="H173" s="27">
        <f>IF($P173="","",IF(INDEX(EntryDep,$P173)=0,"",INDEX(EntryDep,$P173)))</f>
        <v/>
      </c>
      <c r="I173" s="27">
        <f>IF($P173="","",IF(INDEX(EntryWit,$P173)=0,"",INDEX(EntryWit,$P173)))</f>
        <v/>
      </c>
      <c r="J173" s="27">
        <f>IF($B173="","",IF($A173=1,$C$7,IF(J172="",0,J172))+IF($H173="",0,$H173)-IF($I173="",0,$I173))</f>
        <v/>
      </c>
      <c r="K173" s="27">
        <f>IF($P173="","",IF(INDEX(EntryMan,$P173)=0,"",INDEX(EntryMan,$P173)))</f>
        <v/>
      </c>
      <c r="L173" s="26">
        <f>IF($B173="","",IF($K173="","—",IF(ROUND($K173-$J173,0)=0,"√","×")))</f>
        <v/>
      </c>
      <c r="M173" s="26">
        <f>IF($B173="","",IF(COUNTIFS(EntryDates,$B173,CalcTime,$C173,CalcBank,$C$5,EntryParty,$D173,EntryDep,$H173,EntryWit,$I173)&gt;1,"تکرار",""))</f>
        <v/>
      </c>
      <c r="N173" s="26">
        <f>IF($P173="","",IF(INDEX(EntryNotes,$P173)=0,"",INDEX(EntryNotes,$P173)))</f>
        <v/>
      </c>
      <c r="O173" s="26">
        <f>IF($P173="","",IF(INDEX(EntryTxnID,$P173)=0,"",INDEX(EntryTxnID,$P173)))</f>
        <v/>
      </c>
      <c r="P173" s="26">
        <f>IFERROR(MATCH($C$5&amp;"|"&amp;RIGHT("000000"&amp;157,6),CalcRankKey,0),"")</f>
        <v/>
      </c>
    </row>
    <row r="174">
      <c r="A174" s="28">
        <f>IF($B174="","",158)</f>
        <v/>
      </c>
      <c r="B174" s="28">
        <f>IF($P174="","",IF(INDEX(CalcNormDate,$P174)=0,"",INDEX(CalcNormDate,$P174)))</f>
        <v/>
      </c>
      <c r="C174" s="28">
        <f>IF($P174="","",IF(INDEX(CalcTime,$P174)=0,"",INDEX(CalcTime,$P174)))</f>
        <v/>
      </c>
      <c r="D174" s="28">
        <f>IF($P174="","",IF(INDEX(EntryParty,$P174)=0,"",INDEX(EntryParty,$P174)))</f>
        <v/>
      </c>
      <c r="E174" s="28">
        <f>IF($P174="","",IF(INDEX(EntryPartyName,$P174)=0,"",INDEX(EntryPartyName,$P174)))</f>
        <v/>
      </c>
      <c r="F174" s="28">
        <f>IF($P174="","",IF(INDEX(EntryPartyType,$P174)=0,"",INDEX(EntryPartyType,$P174)))</f>
        <v/>
      </c>
      <c r="G174" s="28">
        <f>IF($P174="","",IF(INDEX(EntryTxnType,$P174)=0,"",INDEX(EntryTxnType,$P174)))</f>
        <v/>
      </c>
      <c r="H174" s="29">
        <f>IF($P174="","",IF(INDEX(EntryDep,$P174)=0,"",INDEX(EntryDep,$P174)))</f>
        <v/>
      </c>
      <c r="I174" s="29">
        <f>IF($P174="","",IF(INDEX(EntryWit,$P174)=0,"",INDEX(EntryWit,$P174)))</f>
        <v/>
      </c>
      <c r="J174" s="29">
        <f>IF($B174="","",IF($A174=1,$C$7,IF(J173="",0,J173))+IF($H174="",0,$H174)-IF($I174="",0,$I174))</f>
        <v/>
      </c>
      <c r="K174" s="29">
        <f>IF($P174="","",IF(INDEX(EntryMan,$P174)=0,"",INDEX(EntryMan,$P174)))</f>
        <v/>
      </c>
      <c r="L174" s="28">
        <f>IF($B174="","",IF($K174="","—",IF(ROUND($K174-$J174,0)=0,"√","×")))</f>
        <v/>
      </c>
      <c r="M174" s="28">
        <f>IF($B174="","",IF(COUNTIFS(EntryDates,$B174,CalcTime,$C174,CalcBank,$C$5,EntryParty,$D174,EntryDep,$H174,EntryWit,$I174)&gt;1,"تکرار",""))</f>
        <v/>
      </c>
      <c r="N174" s="28">
        <f>IF($P174="","",IF(INDEX(EntryNotes,$P174)=0,"",INDEX(EntryNotes,$P174)))</f>
        <v/>
      </c>
      <c r="O174" s="28">
        <f>IF($P174="","",IF(INDEX(EntryTxnID,$P174)=0,"",INDEX(EntryTxnID,$P174)))</f>
        <v/>
      </c>
      <c r="P174" s="28">
        <f>IFERROR(MATCH($C$5&amp;"|"&amp;RIGHT("000000"&amp;158,6),CalcRankKey,0),"")</f>
        <v/>
      </c>
    </row>
    <row r="175">
      <c r="A175" s="26">
        <f>IF($B175="","",159)</f>
        <v/>
      </c>
      <c r="B175" s="26">
        <f>IF($P175="","",IF(INDEX(CalcNormDate,$P175)=0,"",INDEX(CalcNormDate,$P175)))</f>
        <v/>
      </c>
      <c r="C175" s="26">
        <f>IF($P175="","",IF(INDEX(CalcTime,$P175)=0,"",INDEX(CalcTime,$P175)))</f>
        <v/>
      </c>
      <c r="D175" s="26">
        <f>IF($P175="","",IF(INDEX(EntryParty,$P175)=0,"",INDEX(EntryParty,$P175)))</f>
        <v/>
      </c>
      <c r="E175" s="26">
        <f>IF($P175="","",IF(INDEX(EntryPartyName,$P175)=0,"",INDEX(EntryPartyName,$P175)))</f>
        <v/>
      </c>
      <c r="F175" s="26">
        <f>IF($P175="","",IF(INDEX(EntryPartyType,$P175)=0,"",INDEX(EntryPartyType,$P175)))</f>
        <v/>
      </c>
      <c r="G175" s="26">
        <f>IF($P175="","",IF(INDEX(EntryTxnType,$P175)=0,"",INDEX(EntryTxnType,$P175)))</f>
        <v/>
      </c>
      <c r="H175" s="27">
        <f>IF($P175="","",IF(INDEX(EntryDep,$P175)=0,"",INDEX(EntryDep,$P175)))</f>
        <v/>
      </c>
      <c r="I175" s="27">
        <f>IF($P175="","",IF(INDEX(EntryWit,$P175)=0,"",INDEX(EntryWit,$P175)))</f>
        <v/>
      </c>
      <c r="J175" s="27">
        <f>IF($B175="","",IF($A175=1,$C$7,IF(J174="",0,J174))+IF($H175="",0,$H175)-IF($I175="",0,$I175))</f>
        <v/>
      </c>
      <c r="K175" s="27">
        <f>IF($P175="","",IF(INDEX(EntryMan,$P175)=0,"",INDEX(EntryMan,$P175)))</f>
        <v/>
      </c>
      <c r="L175" s="26">
        <f>IF($B175="","",IF($K175="","—",IF(ROUND($K175-$J175,0)=0,"√","×")))</f>
        <v/>
      </c>
      <c r="M175" s="26">
        <f>IF($B175="","",IF(COUNTIFS(EntryDates,$B175,CalcTime,$C175,CalcBank,$C$5,EntryParty,$D175,EntryDep,$H175,EntryWit,$I175)&gt;1,"تکرار",""))</f>
        <v/>
      </c>
      <c r="N175" s="26">
        <f>IF($P175="","",IF(INDEX(EntryNotes,$P175)=0,"",INDEX(EntryNotes,$P175)))</f>
        <v/>
      </c>
      <c r="O175" s="26">
        <f>IF($P175="","",IF(INDEX(EntryTxnID,$P175)=0,"",INDEX(EntryTxnID,$P175)))</f>
        <v/>
      </c>
      <c r="P175" s="26">
        <f>IFERROR(MATCH($C$5&amp;"|"&amp;RIGHT("000000"&amp;159,6),CalcRankKey,0),"")</f>
        <v/>
      </c>
    </row>
    <row r="176">
      <c r="A176" s="28">
        <f>IF($B176="","",160)</f>
        <v/>
      </c>
      <c r="B176" s="28">
        <f>IF($P176="","",IF(INDEX(CalcNormDate,$P176)=0,"",INDEX(CalcNormDate,$P176)))</f>
        <v/>
      </c>
      <c r="C176" s="28">
        <f>IF($P176="","",IF(INDEX(CalcTime,$P176)=0,"",INDEX(CalcTime,$P176)))</f>
        <v/>
      </c>
      <c r="D176" s="28">
        <f>IF($P176="","",IF(INDEX(EntryParty,$P176)=0,"",INDEX(EntryParty,$P176)))</f>
        <v/>
      </c>
      <c r="E176" s="28">
        <f>IF($P176="","",IF(INDEX(EntryPartyName,$P176)=0,"",INDEX(EntryPartyName,$P176)))</f>
        <v/>
      </c>
      <c r="F176" s="28">
        <f>IF($P176="","",IF(INDEX(EntryPartyType,$P176)=0,"",INDEX(EntryPartyType,$P176)))</f>
        <v/>
      </c>
      <c r="G176" s="28">
        <f>IF($P176="","",IF(INDEX(EntryTxnType,$P176)=0,"",INDEX(EntryTxnType,$P176)))</f>
        <v/>
      </c>
      <c r="H176" s="29">
        <f>IF($P176="","",IF(INDEX(EntryDep,$P176)=0,"",INDEX(EntryDep,$P176)))</f>
        <v/>
      </c>
      <c r="I176" s="29">
        <f>IF($P176="","",IF(INDEX(EntryWit,$P176)=0,"",INDEX(EntryWit,$P176)))</f>
        <v/>
      </c>
      <c r="J176" s="29">
        <f>IF($B176="","",IF($A176=1,$C$7,IF(J175="",0,J175))+IF($H176="",0,$H176)-IF($I176="",0,$I176))</f>
        <v/>
      </c>
      <c r="K176" s="29">
        <f>IF($P176="","",IF(INDEX(EntryMan,$P176)=0,"",INDEX(EntryMan,$P176)))</f>
        <v/>
      </c>
      <c r="L176" s="28">
        <f>IF($B176="","",IF($K176="","—",IF(ROUND($K176-$J176,0)=0,"√","×")))</f>
        <v/>
      </c>
      <c r="M176" s="28">
        <f>IF($B176="","",IF(COUNTIFS(EntryDates,$B176,CalcTime,$C176,CalcBank,$C$5,EntryParty,$D176,EntryDep,$H176,EntryWit,$I176)&gt;1,"تکرار",""))</f>
        <v/>
      </c>
      <c r="N176" s="28">
        <f>IF($P176="","",IF(INDEX(EntryNotes,$P176)=0,"",INDEX(EntryNotes,$P176)))</f>
        <v/>
      </c>
      <c r="O176" s="28">
        <f>IF($P176="","",IF(INDEX(EntryTxnID,$P176)=0,"",INDEX(EntryTxnID,$P176)))</f>
        <v/>
      </c>
      <c r="P176" s="28">
        <f>IFERROR(MATCH($C$5&amp;"|"&amp;RIGHT("000000"&amp;160,6),CalcRankKey,0),"")</f>
        <v/>
      </c>
    </row>
    <row r="177">
      <c r="A177" s="26">
        <f>IF($B177="","",161)</f>
        <v/>
      </c>
      <c r="B177" s="26">
        <f>IF($P177="","",IF(INDEX(CalcNormDate,$P177)=0,"",INDEX(CalcNormDate,$P177)))</f>
        <v/>
      </c>
      <c r="C177" s="26">
        <f>IF($P177="","",IF(INDEX(CalcTime,$P177)=0,"",INDEX(CalcTime,$P177)))</f>
        <v/>
      </c>
      <c r="D177" s="26">
        <f>IF($P177="","",IF(INDEX(EntryParty,$P177)=0,"",INDEX(EntryParty,$P177)))</f>
        <v/>
      </c>
      <c r="E177" s="26">
        <f>IF($P177="","",IF(INDEX(EntryPartyName,$P177)=0,"",INDEX(EntryPartyName,$P177)))</f>
        <v/>
      </c>
      <c r="F177" s="26">
        <f>IF($P177="","",IF(INDEX(EntryPartyType,$P177)=0,"",INDEX(EntryPartyType,$P177)))</f>
        <v/>
      </c>
      <c r="G177" s="26">
        <f>IF($P177="","",IF(INDEX(EntryTxnType,$P177)=0,"",INDEX(EntryTxnType,$P177)))</f>
        <v/>
      </c>
      <c r="H177" s="27">
        <f>IF($P177="","",IF(INDEX(EntryDep,$P177)=0,"",INDEX(EntryDep,$P177)))</f>
        <v/>
      </c>
      <c r="I177" s="27">
        <f>IF($P177="","",IF(INDEX(EntryWit,$P177)=0,"",INDEX(EntryWit,$P177)))</f>
        <v/>
      </c>
      <c r="J177" s="27">
        <f>IF($B177="","",IF($A177=1,$C$7,IF(J176="",0,J176))+IF($H177="",0,$H177)-IF($I177="",0,$I177))</f>
        <v/>
      </c>
      <c r="K177" s="27">
        <f>IF($P177="","",IF(INDEX(EntryMan,$P177)=0,"",INDEX(EntryMan,$P177)))</f>
        <v/>
      </c>
      <c r="L177" s="26">
        <f>IF($B177="","",IF($K177="","—",IF(ROUND($K177-$J177,0)=0,"√","×")))</f>
        <v/>
      </c>
      <c r="M177" s="26">
        <f>IF($B177="","",IF(COUNTIFS(EntryDates,$B177,CalcTime,$C177,CalcBank,$C$5,EntryParty,$D177,EntryDep,$H177,EntryWit,$I177)&gt;1,"تکرار",""))</f>
        <v/>
      </c>
      <c r="N177" s="26">
        <f>IF($P177="","",IF(INDEX(EntryNotes,$P177)=0,"",INDEX(EntryNotes,$P177)))</f>
        <v/>
      </c>
      <c r="O177" s="26">
        <f>IF($P177="","",IF(INDEX(EntryTxnID,$P177)=0,"",INDEX(EntryTxnID,$P177)))</f>
        <v/>
      </c>
      <c r="P177" s="26">
        <f>IFERROR(MATCH($C$5&amp;"|"&amp;RIGHT("000000"&amp;161,6),CalcRankKey,0),"")</f>
        <v/>
      </c>
    </row>
    <row r="178">
      <c r="A178" s="28">
        <f>IF($B178="","",162)</f>
        <v/>
      </c>
      <c r="B178" s="28">
        <f>IF($P178="","",IF(INDEX(CalcNormDate,$P178)=0,"",INDEX(CalcNormDate,$P178)))</f>
        <v/>
      </c>
      <c r="C178" s="28">
        <f>IF($P178="","",IF(INDEX(CalcTime,$P178)=0,"",INDEX(CalcTime,$P178)))</f>
        <v/>
      </c>
      <c r="D178" s="28">
        <f>IF($P178="","",IF(INDEX(EntryParty,$P178)=0,"",INDEX(EntryParty,$P178)))</f>
        <v/>
      </c>
      <c r="E178" s="28">
        <f>IF($P178="","",IF(INDEX(EntryPartyName,$P178)=0,"",INDEX(EntryPartyName,$P178)))</f>
        <v/>
      </c>
      <c r="F178" s="28">
        <f>IF($P178="","",IF(INDEX(EntryPartyType,$P178)=0,"",INDEX(EntryPartyType,$P178)))</f>
        <v/>
      </c>
      <c r="G178" s="28">
        <f>IF($P178="","",IF(INDEX(EntryTxnType,$P178)=0,"",INDEX(EntryTxnType,$P178)))</f>
        <v/>
      </c>
      <c r="H178" s="29">
        <f>IF($P178="","",IF(INDEX(EntryDep,$P178)=0,"",INDEX(EntryDep,$P178)))</f>
        <v/>
      </c>
      <c r="I178" s="29">
        <f>IF($P178="","",IF(INDEX(EntryWit,$P178)=0,"",INDEX(EntryWit,$P178)))</f>
        <v/>
      </c>
      <c r="J178" s="29">
        <f>IF($B178="","",IF($A178=1,$C$7,IF(J177="",0,J177))+IF($H178="",0,$H178)-IF($I178="",0,$I178))</f>
        <v/>
      </c>
      <c r="K178" s="29">
        <f>IF($P178="","",IF(INDEX(EntryMan,$P178)=0,"",INDEX(EntryMan,$P178)))</f>
        <v/>
      </c>
      <c r="L178" s="28">
        <f>IF($B178="","",IF($K178="","—",IF(ROUND($K178-$J178,0)=0,"√","×")))</f>
        <v/>
      </c>
      <c r="M178" s="28">
        <f>IF($B178="","",IF(COUNTIFS(EntryDates,$B178,CalcTime,$C178,CalcBank,$C$5,EntryParty,$D178,EntryDep,$H178,EntryWit,$I178)&gt;1,"تکرار",""))</f>
        <v/>
      </c>
      <c r="N178" s="28">
        <f>IF($P178="","",IF(INDEX(EntryNotes,$P178)=0,"",INDEX(EntryNotes,$P178)))</f>
        <v/>
      </c>
      <c r="O178" s="28">
        <f>IF($P178="","",IF(INDEX(EntryTxnID,$P178)=0,"",INDEX(EntryTxnID,$P178)))</f>
        <v/>
      </c>
      <c r="P178" s="28">
        <f>IFERROR(MATCH($C$5&amp;"|"&amp;RIGHT("000000"&amp;162,6),CalcRankKey,0),"")</f>
        <v/>
      </c>
    </row>
    <row r="179">
      <c r="A179" s="26">
        <f>IF($B179="","",163)</f>
        <v/>
      </c>
      <c r="B179" s="26">
        <f>IF($P179="","",IF(INDEX(CalcNormDate,$P179)=0,"",INDEX(CalcNormDate,$P179)))</f>
        <v/>
      </c>
      <c r="C179" s="26">
        <f>IF($P179="","",IF(INDEX(CalcTime,$P179)=0,"",INDEX(CalcTime,$P179)))</f>
        <v/>
      </c>
      <c r="D179" s="26">
        <f>IF($P179="","",IF(INDEX(EntryParty,$P179)=0,"",INDEX(EntryParty,$P179)))</f>
        <v/>
      </c>
      <c r="E179" s="26">
        <f>IF($P179="","",IF(INDEX(EntryPartyName,$P179)=0,"",INDEX(EntryPartyName,$P179)))</f>
        <v/>
      </c>
      <c r="F179" s="26">
        <f>IF($P179="","",IF(INDEX(EntryPartyType,$P179)=0,"",INDEX(EntryPartyType,$P179)))</f>
        <v/>
      </c>
      <c r="G179" s="26">
        <f>IF($P179="","",IF(INDEX(EntryTxnType,$P179)=0,"",INDEX(EntryTxnType,$P179)))</f>
        <v/>
      </c>
      <c r="H179" s="27">
        <f>IF($P179="","",IF(INDEX(EntryDep,$P179)=0,"",INDEX(EntryDep,$P179)))</f>
        <v/>
      </c>
      <c r="I179" s="27">
        <f>IF($P179="","",IF(INDEX(EntryWit,$P179)=0,"",INDEX(EntryWit,$P179)))</f>
        <v/>
      </c>
      <c r="J179" s="27">
        <f>IF($B179="","",IF($A179=1,$C$7,IF(J178="",0,J178))+IF($H179="",0,$H179)-IF($I179="",0,$I179))</f>
        <v/>
      </c>
      <c r="K179" s="27">
        <f>IF($P179="","",IF(INDEX(EntryMan,$P179)=0,"",INDEX(EntryMan,$P179)))</f>
        <v/>
      </c>
      <c r="L179" s="26">
        <f>IF($B179="","",IF($K179="","—",IF(ROUND($K179-$J179,0)=0,"√","×")))</f>
        <v/>
      </c>
      <c r="M179" s="26">
        <f>IF($B179="","",IF(COUNTIFS(EntryDates,$B179,CalcTime,$C179,CalcBank,$C$5,EntryParty,$D179,EntryDep,$H179,EntryWit,$I179)&gt;1,"تکرار",""))</f>
        <v/>
      </c>
      <c r="N179" s="26">
        <f>IF($P179="","",IF(INDEX(EntryNotes,$P179)=0,"",INDEX(EntryNotes,$P179)))</f>
        <v/>
      </c>
      <c r="O179" s="26">
        <f>IF($P179="","",IF(INDEX(EntryTxnID,$P179)=0,"",INDEX(EntryTxnID,$P179)))</f>
        <v/>
      </c>
      <c r="P179" s="26">
        <f>IFERROR(MATCH($C$5&amp;"|"&amp;RIGHT("000000"&amp;163,6),CalcRankKey,0),"")</f>
        <v/>
      </c>
    </row>
    <row r="180">
      <c r="A180" s="28">
        <f>IF($B180="","",164)</f>
        <v/>
      </c>
      <c r="B180" s="28">
        <f>IF($P180="","",IF(INDEX(CalcNormDate,$P180)=0,"",INDEX(CalcNormDate,$P180)))</f>
        <v/>
      </c>
      <c r="C180" s="28">
        <f>IF($P180="","",IF(INDEX(CalcTime,$P180)=0,"",INDEX(CalcTime,$P180)))</f>
        <v/>
      </c>
      <c r="D180" s="28">
        <f>IF($P180="","",IF(INDEX(EntryParty,$P180)=0,"",INDEX(EntryParty,$P180)))</f>
        <v/>
      </c>
      <c r="E180" s="28">
        <f>IF($P180="","",IF(INDEX(EntryPartyName,$P180)=0,"",INDEX(EntryPartyName,$P180)))</f>
        <v/>
      </c>
      <c r="F180" s="28">
        <f>IF($P180="","",IF(INDEX(EntryPartyType,$P180)=0,"",INDEX(EntryPartyType,$P180)))</f>
        <v/>
      </c>
      <c r="G180" s="28">
        <f>IF($P180="","",IF(INDEX(EntryTxnType,$P180)=0,"",INDEX(EntryTxnType,$P180)))</f>
        <v/>
      </c>
      <c r="H180" s="29">
        <f>IF($P180="","",IF(INDEX(EntryDep,$P180)=0,"",INDEX(EntryDep,$P180)))</f>
        <v/>
      </c>
      <c r="I180" s="29">
        <f>IF($P180="","",IF(INDEX(EntryWit,$P180)=0,"",INDEX(EntryWit,$P180)))</f>
        <v/>
      </c>
      <c r="J180" s="29">
        <f>IF($B180="","",IF($A180=1,$C$7,IF(J179="",0,J179))+IF($H180="",0,$H180)-IF($I180="",0,$I180))</f>
        <v/>
      </c>
      <c r="K180" s="29">
        <f>IF($P180="","",IF(INDEX(EntryMan,$P180)=0,"",INDEX(EntryMan,$P180)))</f>
        <v/>
      </c>
      <c r="L180" s="28">
        <f>IF($B180="","",IF($K180="","—",IF(ROUND($K180-$J180,0)=0,"√","×")))</f>
        <v/>
      </c>
      <c r="M180" s="28">
        <f>IF($B180="","",IF(COUNTIFS(EntryDates,$B180,CalcTime,$C180,CalcBank,$C$5,EntryParty,$D180,EntryDep,$H180,EntryWit,$I180)&gt;1,"تکرار",""))</f>
        <v/>
      </c>
      <c r="N180" s="28">
        <f>IF($P180="","",IF(INDEX(EntryNotes,$P180)=0,"",INDEX(EntryNotes,$P180)))</f>
        <v/>
      </c>
      <c r="O180" s="28">
        <f>IF($P180="","",IF(INDEX(EntryTxnID,$P180)=0,"",INDEX(EntryTxnID,$P180)))</f>
        <v/>
      </c>
      <c r="P180" s="28">
        <f>IFERROR(MATCH($C$5&amp;"|"&amp;RIGHT("000000"&amp;164,6),CalcRankKey,0),"")</f>
        <v/>
      </c>
    </row>
    <row r="181">
      <c r="A181" s="26">
        <f>IF($B181="","",165)</f>
        <v/>
      </c>
      <c r="B181" s="26">
        <f>IF($P181="","",IF(INDEX(CalcNormDate,$P181)=0,"",INDEX(CalcNormDate,$P181)))</f>
        <v/>
      </c>
      <c r="C181" s="26">
        <f>IF($P181="","",IF(INDEX(CalcTime,$P181)=0,"",INDEX(CalcTime,$P181)))</f>
        <v/>
      </c>
      <c r="D181" s="26">
        <f>IF($P181="","",IF(INDEX(EntryParty,$P181)=0,"",INDEX(EntryParty,$P181)))</f>
        <v/>
      </c>
      <c r="E181" s="26">
        <f>IF($P181="","",IF(INDEX(EntryPartyName,$P181)=0,"",INDEX(EntryPartyName,$P181)))</f>
        <v/>
      </c>
      <c r="F181" s="26">
        <f>IF($P181="","",IF(INDEX(EntryPartyType,$P181)=0,"",INDEX(EntryPartyType,$P181)))</f>
        <v/>
      </c>
      <c r="G181" s="26">
        <f>IF($P181="","",IF(INDEX(EntryTxnType,$P181)=0,"",INDEX(EntryTxnType,$P181)))</f>
        <v/>
      </c>
      <c r="H181" s="27">
        <f>IF($P181="","",IF(INDEX(EntryDep,$P181)=0,"",INDEX(EntryDep,$P181)))</f>
        <v/>
      </c>
      <c r="I181" s="27">
        <f>IF($P181="","",IF(INDEX(EntryWit,$P181)=0,"",INDEX(EntryWit,$P181)))</f>
        <v/>
      </c>
      <c r="J181" s="27">
        <f>IF($B181="","",IF($A181=1,$C$7,IF(J180="",0,J180))+IF($H181="",0,$H181)-IF($I181="",0,$I181))</f>
        <v/>
      </c>
      <c r="K181" s="27">
        <f>IF($P181="","",IF(INDEX(EntryMan,$P181)=0,"",INDEX(EntryMan,$P181)))</f>
        <v/>
      </c>
      <c r="L181" s="26">
        <f>IF($B181="","",IF($K181="","—",IF(ROUND($K181-$J181,0)=0,"√","×")))</f>
        <v/>
      </c>
      <c r="M181" s="26">
        <f>IF($B181="","",IF(COUNTIFS(EntryDates,$B181,CalcTime,$C181,CalcBank,$C$5,EntryParty,$D181,EntryDep,$H181,EntryWit,$I181)&gt;1,"تکرار",""))</f>
        <v/>
      </c>
      <c r="N181" s="26">
        <f>IF($P181="","",IF(INDEX(EntryNotes,$P181)=0,"",INDEX(EntryNotes,$P181)))</f>
        <v/>
      </c>
      <c r="O181" s="26">
        <f>IF($P181="","",IF(INDEX(EntryTxnID,$P181)=0,"",INDEX(EntryTxnID,$P181)))</f>
        <v/>
      </c>
      <c r="P181" s="26">
        <f>IFERROR(MATCH($C$5&amp;"|"&amp;RIGHT("000000"&amp;165,6),CalcRankKey,0),"")</f>
        <v/>
      </c>
    </row>
    <row r="182">
      <c r="A182" s="28">
        <f>IF($B182="","",166)</f>
        <v/>
      </c>
      <c r="B182" s="28">
        <f>IF($P182="","",IF(INDEX(CalcNormDate,$P182)=0,"",INDEX(CalcNormDate,$P182)))</f>
        <v/>
      </c>
      <c r="C182" s="28">
        <f>IF($P182="","",IF(INDEX(CalcTime,$P182)=0,"",INDEX(CalcTime,$P182)))</f>
        <v/>
      </c>
      <c r="D182" s="28">
        <f>IF($P182="","",IF(INDEX(EntryParty,$P182)=0,"",INDEX(EntryParty,$P182)))</f>
        <v/>
      </c>
      <c r="E182" s="28">
        <f>IF($P182="","",IF(INDEX(EntryPartyName,$P182)=0,"",INDEX(EntryPartyName,$P182)))</f>
        <v/>
      </c>
      <c r="F182" s="28">
        <f>IF($P182="","",IF(INDEX(EntryPartyType,$P182)=0,"",INDEX(EntryPartyType,$P182)))</f>
        <v/>
      </c>
      <c r="G182" s="28">
        <f>IF($P182="","",IF(INDEX(EntryTxnType,$P182)=0,"",INDEX(EntryTxnType,$P182)))</f>
        <v/>
      </c>
      <c r="H182" s="29">
        <f>IF($P182="","",IF(INDEX(EntryDep,$P182)=0,"",INDEX(EntryDep,$P182)))</f>
        <v/>
      </c>
      <c r="I182" s="29">
        <f>IF($P182="","",IF(INDEX(EntryWit,$P182)=0,"",INDEX(EntryWit,$P182)))</f>
        <v/>
      </c>
      <c r="J182" s="29">
        <f>IF($B182="","",IF($A182=1,$C$7,IF(J181="",0,J181))+IF($H182="",0,$H182)-IF($I182="",0,$I182))</f>
        <v/>
      </c>
      <c r="K182" s="29">
        <f>IF($P182="","",IF(INDEX(EntryMan,$P182)=0,"",INDEX(EntryMan,$P182)))</f>
        <v/>
      </c>
      <c r="L182" s="28">
        <f>IF($B182="","",IF($K182="","—",IF(ROUND($K182-$J182,0)=0,"√","×")))</f>
        <v/>
      </c>
      <c r="M182" s="28">
        <f>IF($B182="","",IF(COUNTIFS(EntryDates,$B182,CalcTime,$C182,CalcBank,$C$5,EntryParty,$D182,EntryDep,$H182,EntryWit,$I182)&gt;1,"تکرار",""))</f>
        <v/>
      </c>
      <c r="N182" s="28">
        <f>IF($P182="","",IF(INDEX(EntryNotes,$P182)=0,"",INDEX(EntryNotes,$P182)))</f>
        <v/>
      </c>
      <c r="O182" s="28">
        <f>IF($P182="","",IF(INDEX(EntryTxnID,$P182)=0,"",INDEX(EntryTxnID,$P182)))</f>
        <v/>
      </c>
      <c r="P182" s="28">
        <f>IFERROR(MATCH($C$5&amp;"|"&amp;RIGHT("000000"&amp;166,6),CalcRankKey,0),"")</f>
        <v/>
      </c>
    </row>
    <row r="183">
      <c r="A183" s="26">
        <f>IF($B183="","",167)</f>
        <v/>
      </c>
      <c r="B183" s="26">
        <f>IF($P183="","",IF(INDEX(CalcNormDate,$P183)=0,"",INDEX(CalcNormDate,$P183)))</f>
        <v/>
      </c>
      <c r="C183" s="26">
        <f>IF($P183="","",IF(INDEX(CalcTime,$P183)=0,"",INDEX(CalcTime,$P183)))</f>
        <v/>
      </c>
      <c r="D183" s="26">
        <f>IF($P183="","",IF(INDEX(EntryParty,$P183)=0,"",INDEX(EntryParty,$P183)))</f>
        <v/>
      </c>
      <c r="E183" s="26">
        <f>IF($P183="","",IF(INDEX(EntryPartyName,$P183)=0,"",INDEX(EntryPartyName,$P183)))</f>
        <v/>
      </c>
      <c r="F183" s="26">
        <f>IF($P183="","",IF(INDEX(EntryPartyType,$P183)=0,"",INDEX(EntryPartyType,$P183)))</f>
        <v/>
      </c>
      <c r="G183" s="26">
        <f>IF($P183="","",IF(INDEX(EntryTxnType,$P183)=0,"",INDEX(EntryTxnType,$P183)))</f>
        <v/>
      </c>
      <c r="H183" s="27">
        <f>IF($P183="","",IF(INDEX(EntryDep,$P183)=0,"",INDEX(EntryDep,$P183)))</f>
        <v/>
      </c>
      <c r="I183" s="27">
        <f>IF($P183="","",IF(INDEX(EntryWit,$P183)=0,"",INDEX(EntryWit,$P183)))</f>
        <v/>
      </c>
      <c r="J183" s="27">
        <f>IF($B183="","",IF($A183=1,$C$7,IF(J182="",0,J182))+IF($H183="",0,$H183)-IF($I183="",0,$I183))</f>
        <v/>
      </c>
      <c r="K183" s="27">
        <f>IF($P183="","",IF(INDEX(EntryMan,$P183)=0,"",INDEX(EntryMan,$P183)))</f>
        <v/>
      </c>
      <c r="L183" s="26">
        <f>IF($B183="","",IF($K183="","—",IF(ROUND($K183-$J183,0)=0,"√","×")))</f>
        <v/>
      </c>
      <c r="M183" s="26">
        <f>IF($B183="","",IF(COUNTIFS(EntryDates,$B183,CalcTime,$C183,CalcBank,$C$5,EntryParty,$D183,EntryDep,$H183,EntryWit,$I183)&gt;1,"تکرار",""))</f>
        <v/>
      </c>
      <c r="N183" s="26">
        <f>IF($P183="","",IF(INDEX(EntryNotes,$P183)=0,"",INDEX(EntryNotes,$P183)))</f>
        <v/>
      </c>
      <c r="O183" s="26">
        <f>IF($P183="","",IF(INDEX(EntryTxnID,$P183)=0,"",INDEX(EntryTxnID,$P183)))</f>
        <v/>
      </c>
      <c r="P183" s="26">
        <f>IFERROR(MATCH($C$5&amp;"|"&amp;RIGHT("000000"&amp;167,6),CalcRankKey,0),"")</f>
        <v/>
      </c>
    </row>
    <row r="184">
      <c r="A184" s="28">
        <f>IF($B184="","",168)</f>
        <v/>
      </c>
      <c r="B184" s="28">
        <f>IF($P184="","",IF(INDEX(CalcNormDate,$P184)=0,"",INDEX(CalcNormDate,$P184)))</f>
        <v/>
      </c>
      <c r="C184" s="28">
        <f>IF($P184="","",IF(INDEX(CalcTime,$P184)=0,"",INDEX(CalcTime,$P184)))</f>
        <v/>
      </c>
      <c r="D184" s="28">
        <f>IF($P184="","",IF(INDEX(EntryParty,$P184)=0,"",INDEX(EntryParty,$P184)))</f>
        <v/>
      </c>
      <c r="E184" s="28">
        <f>IF($P184="","",IF(INDEX(EntryPartyName,$P184)=0,"",INDEX(EntryPartyName,$P184)))</f>
        <v/>
      </c>
      <c r="F184" s="28">
        <f>IF($P184="","",IF(INDEX(EntryPartyType,$P184)=0,"",INDEX(EntryPartyType,$P184)))</f>
        <v/>
      </c>
      <c r="G184" s="28">
        <f>IF($P184="","",IF(INDEX(EntryTxnType,$P184)=0,"",INDEX(EntryTxnType,$P184)))</f>
        <v/>
      </c>
      <c r="H184" s="29">
        <f>IF($P184="","",IF(INDEX(EntryDep,$P184)=0,"",INDEX(EntryDep,$P184)))</f>
        <v/>
      </c>
      <c r="I184" s="29">
        <f>IF($P184="","",IF(INDEX(EntryWit,$P184)=0,"",INDEX(EntryWit,$P184)))</f>
        <v/>
      </c>
      <c r="J184" s="29">
        <f>IF($B184="","",IF($A184=1,$C$7,IF(J183="",0,J183))+IF($H184="",0,$H184)-IF($I184="",0,$I184))</f>
        <v/>
      </c>
      <c r="K184" s="29">
        <f>IF($P184="","",IF(INDEX(EntryMan,$P184)=0,"",INDEX(EntryMan,$P184)))</f>
        <v/>
      </c>
      <c r="L184" s="28">
        <f>IF($B184="","",IF($K184="","—",IF(ROUND($K184-$J184,0)=0,"√","×")))</f>
        <v/>
      </c>
      <c r="M184" s="28">
        <f>IF($B184="","",IF(COUNTIFS(EntryDates,$B184,CalcTime,$C184,CalcBank,$C$5,EntryParty,$D184,EntryDep,$H184,EntryWit,$I184)&gt;1,"تکرار",""))</f>
        <v/>
      </c>
      <c r="N184" s="28">
        <f>IF($P184="","",IF(INDEX(EntryNotes,$P184)=0,"",INDEX(EntryNotes,$P184)))</f>
        <v/>
      </c>
      <c r="O184" s="28">
        <f>IF($P184="","",IF(INDEX(EntryTxnID,$P184)=0,"",INDEX(EntryTxnID,$P184)))</f>
        <v/>
      </c>
      <c r="P184" s="28">
        <f>IFERROR(MATCH($C$5&amp;"|"&amp;RIGHT("000000"&amp;168,6),CalcRankKey,0),"")</f>
        <v/>
      </c>
    </row>
    <row r="185">
      <c r="A185" s="26">
        <f>IF($B185="","",169)</f>
        <v/>
      </c>
      <c r="B185" s="26">
        <f>IF($P185="","",IF(INDEX(CalcNormDate,$P185)=0,"",INDEX(CalcNormDate,$P185)))</f>
        <v/>
      </c>
      <c r="C185" s="26">
        <f>IF($P185="","",IF(INDEX(CalcTime,$P185)=0,"",INDEX(CalcTime,$P185)))</f>
        <v/>
      </c>
      <c r="D185" s="26">
        <f>IF($P185="","",IF(INDEX(EntryParty,$P185)=0,"",INDEX(EntryParty,$P185)))</f>
        <v/>
      </c>
      <c r="E185" s="26">
        <f>IF($P185="","",IF(INDEX(EntryPartyName,$P185)=0,"",INDEX(EntryPartyName,$P185)))</f>
        <v/>
      </c>
      <c r="F185" s="26">
        <f>IF($P185="","",IF(INDEX(EntryPartyType,$P185)=0,"",INDEX(EntryPartyType,$P185)))</f>
        <v/>
      </c>
      <c r="G185" s="26">
        <f>IF($P185="","",IF(INDEX(EntryTxnType,$P185)=0,"",INDEX(EntryTxnType,$P185)))</f>
        <v/>
      </c>
      <c r="H185" s="27">
        <f>IF($P185="","",IF(INDEX(EntryDep,$P185)=0,"",INDEX(EntryDep,$P185)))</f>
        <v/>
      </c>
      <c r="I185" s="27">
        <f>IF($P185="","",IF(INDEX(EntryWit,$P185)=0,"",INDEX(EntryWit,$P185)))</f>
        <v/>
      </c>
      <c r="J185" s="27">
        <f>IF($B185="","",IF($A185=1,$C$7,IF(J184="",0,J184))+IF($H185="",0,$H185)-IF($I185="",0,$I185))</f>
        <v/>
      </c>
      <c r="K185" s="27">
        <f>IF($P185="","",IF(INDEX(EntryMan,$P185)=0,"",INDEX(EntryMan,$P185)))</f>
        <v/>
      </c>
      <c r="L185" s="26">
        <f>IF($B185="","",IF($K185="","—",IF(ROUND($K185-$J185,0)=0,"√","×")))</f>
        <v/>
      </c>
      <c r="M185" s="26">
        <f>IF($B185="","",IF(COUNTIFS(EntryDates,$B185,CalcTime,$C185,CalcBank,$C$5,EntryParty,$D185,EntryDep,$H185,EntryWit,$I185)&gt;1,"تکرار",""))</f>
        <v/>
      </c>
      <c r="N185" s="26">
        <f>IF($P185="","",IF(INDEX(EntryNotes,$P185)=0,"",INDEX(EntryNotes,$P185)))</f>
        <v/>
      </c>
      <c r="O185" s="26">
        <f>IF($P185="","",IF(INDEX(EntryTxnID,$P185)=0,"",INDEX(EntryTxnID,$P185)))</f>
        <v/>
      </c>
      <c r="P185" s="26">
        <f>IFERROR(MATCH($C$5&amp;"|"&amp;RIGHT("000000"&amp;169,6),CalcRankKey,0),"")</f>
        <v/>
      </c>
    </row>
    <row r="186">
      <c r="A186" s="28">
        <f>IF($B186="","",170)</f>
        <v/>
      </c>
      <c r="B186" s="28">
        <f>IF($P186="","",IF(INDEX(CalcNormDate,$P186)=0,"",INDEX(CalcNormDate,$P186)))</f>
        <v/>
      </c>
      <c r="C186" s="28">
        <f>IF($P186="","",IF(INDEX(CalcTime,$P186)=0,"",INDEX(CalcTime,$P186)))</f>
        <v/>
      </c>
      <c r="D186" s="28">
        <f>IF($P186="","",IF(INDEX(EntryParty,$P186)=0,"",INDEX(EntryParty,$P186)))</f>
        <v/>
      </c>
      <c r="E186" s="28">
        <f>IF($P186="","",IF(INDEX(EntryPartyName,$P186)=0,"",INDEX(EntryPartyName,$P186)))</f>
        <v/>
      </c>
      <c r="F186" s="28">
        <f>IF($P186="","",IF(INDEX(EntryPartyType,$P186)=0,"",INDEX(EntryPartyType,$P186)))</f>
        <v/>
      </c>
      <c r="G186" s="28">
        <f>IF($P186="","",IF(INDEX(EntryTxnType,$P186)=0,"",INDEX(EntryTxnType,$P186)))</f>
        <v/>
      </c>
      <c r="H186" s="29">
        <f>IF($P186="","",IF(INDEX(EntryDep,$P186)=0,"",INDEX(EntryDep,$P186)))</f>
        <v/>
      </c>
      <c r="I186" s="29">
        <f>IF($P186="","",IF(INDEX(EntryWit,$P186)=0,"",INDEX(EntryWit,$P186)))</f>
        <v/>
      </c>
      <c r="J186" s="29">
        <f>IF($B186="","",IF($A186=1,$C$7,IF(J185="",0,J185))+IF($H186="",0,$H186)-IF($I186="",0,$I186))</f>
        <v/>
      </c>
      <c r="K186" s="29">
        <f>IF($P186="","",IF(INDEX(EntryMan,$P186)=0,"",INDEX(EntryMan,$P186)))</f>
        <v/>
      </c>
      <c r="L186" s="28">
        <f>IF($B186="","",IF($K186="","—",IF(ROUND($K186-$J186,0)=0,"√","×")))</f>
        <v/>
      </c>
      <c r="M186" s="28">
        <f>IF($B186="","",IF(COUNTIFS(EntryDates,$B186,CalcTime,$C186,CalcBank,$C$5,EntryParty,$D186,EntryDep,$H186,EntryWit,$I186)&gt;1,"تکرار",""))</f>
        <v/>
      </c>
      <c r="N186" s="28">
        <f>IF($P186="","",IF(INDEX(EntryNotes,$P186)=0,"",INDEX(EntryNotes,$P186)))</f>
        <v/>
      </c>
      <c r="O186" s="28">
        <f>IF($P186="","",IF(INDEX(EntryTxnID,$P186)=0,"",INDEX(EntryTxnID,$P186)))</f>
        <v/>
      </c>
      <c r="P186" s="28">
        <f>IFERROR(MATCH($C$5&amp;"|"&amp;RIGHT("000000"&amp;170,6),CalcRankKey,0),"")</f>
        <v/>
      </c>
    </row>
    <row r="187">
      <c r="A187" s="26">
        <f>IF($B187="","",171)</f>
        <v/>
      </c>
      <c r="B187" s="26">
        <f>IF($P187="","",IF(INDEX(CalcNormDate,$P187)=0,"",INDEX(CalcNormDate,$P187)))</f>
        <v/>
      </c>
      <c r="C187" s="26">
        <f>IF($P187="","",IF(INDEX(CalcTime,$P187)=0,"",INDEX(CalcTime,$P187)))</f>
        <v/>
      </c>
      <c r="D187" s="26">
        <f>IF($P187="","",IF(INDEX(EntryParty,$P187)=0,"",INDEX(EntryParty,$P187)))</f>
        <v/>
      </c>
      <c r="E187" s="26">
        <f>IF($P187="","",IF(INDEX(EntryPartyName,$P187)=0,"",INDEX(EntryPartyName,$P187)))</f>
        <v/>
      </c>
      <c r="F187" s="26">
        <f>IF($P187="","",IF(INDEX(EntryPartyType,$P187)=0,"",INDEX(EntryPartyType,$P187)))</f>
        <v/>
      </c>
      <c r="G187" s="26">
        <f>IF($P187="","",IF(INDEX(EntryTxnType,$P187)=0,"",INDEX(EntryTxnType,$P187)))</f>
        <v/>
      </c>
      <c r="H187" s="27">
        <f>IF($P187="","",IF(INDEX(EntryDep,$P187)=0,"",INDEX(EntryDep,$P187)))</f>
        <v/>
      </c>
      <c r="I187" s="27">
        <f>IF($P187="","",IF(INDEX(EntryWit,$P187)=0,"",INDEX(EntryWit,$P187)))</f>
        <v/>
      </c>
      <c r="J187" s="27">
        <f>IF($B187="","",IF($A187=1,$C$7,IF(J186="",0,J186))+IF($H187="",0,$H187)-IF($I187="",0,$I187))</f>
        <v/>
      </c>
      <c r="K187" s="27">
        <f>IF($P187="","",IF(INDEX(EntryMan,$P187)=0,"",INDEX(EntryMan,$P187)))</f>
        <v/>
      </c>
      <c r="L187" s="26">
        <f>IF($B187="","",IF($K187="","—",IF(ROUND($K187-$J187,0)=0,"√","×")))</f>
        <v/>
      </c>
      <c r="M187" s="26">
        <f>IF($B187="","",IF(COUNTIFS(EntryDates,$B187,CalcTime,$C187,CalcBank,$C$5,EntryParty,$D187,EntryDep,$H187,EntryWit,$I187)&gt;1,"تکرار",""))</f>
        <v/>
      </c>
      <c r="N187" s="26">
        <f>IF($P187="","",IF(INDEX(EntryNotes,$P187)=0,"",INDEX(EntryNotes,$P187)))</f>
        <v/>
      </c>
      <c r="O187" s="26">
        <f>IF($P187="","",IF(INDEX(EntryTxnID,$P187)=0,"",INDEX(EntryTxnID,$P187)))</f>
        <v/>
      </c>
      <c r="P187" s="26">
        <f>IFERROR(MATCH($C$5&amp;"|"&amp;RIGHT("000000"&amp;171,6),CalcRankKey,0),"")</f>
        <v/>
      </c>
    </row>
    <row r="188">
      <c r="A188" s="28">
        <f>IF($B188="","",172)</f>
        <v/>
      </c>
      <c r="B188" s="28">
        <f>IF($P188="","",IF(INDEX(CalcNormDate,$P188)=0,"",INDEX(CalcNormDate,$P188)))</f>
        <v/>
      </c>
      <c r="C188" s="28">
        <f>IF($P188="","",IF(INDEX(CalcTime,$P188)=0,"",INDEX(CalcTime,$P188)))</f>
        <v/>
      </c>
      <c r="D188" s="28">
        <f>IF($P188="","",IF(INDEX(EntryParty,$P188)=0,"",INDEX(EntryParty,$P188)))</f>
        <v/>
      </c>
      <c r="E188" s="28">
        <f>IF($P188="","",IF(INDEX(EntryPartyName,$P188)=0,"",INDEX(EntryPartyName,$P188)))</f>
        <v/>
      </c>
      <c r="F188" s="28">
        <f>IF($P188="","",IF(INDEX(EntryPartyType,$P188)=0,"",INDEX(EntryPartyType,$P188)))</f>
        <v/>
      </c>
      <c r="G188" s="28">
        <f>IF($P188="","",IF(INDEX(EntryTxnType,$P188)=0,"",INDEX(EntryTxnType,$P188)))</f>
        <v/>
      </c>
      <c r="H188" s="29">
        <f>IF($P188="","",IF(INDEX(EntryDep,$P188)=0,"",INDEX(EntryDep,$P188)))</f>
        <v/>
      </c>
      <c r="I188" s="29">
        <f>IF($P188="","",IF(INDEX(EntryWit,$P188)=0,"",INDEX(EntryWit,$P188)))</f>
        <v/>
      </c>
      <c r="J188" s="29">
        <f>IF($B188="","",IF($A188=1,$C$7,IF(J187="",0,J187))+IF($H188="",0,$H188)-IF($I188="",0,$I188))</f>
        <v/>
      </c>
      <c r="K188" s="29">
        <f>IF($P188="","",IF(INDEX(EntryMan,$P188)=0,"",INDEX(EntryMan,$P188)))</f>
        <v/>
      </c>
      <c r="L188" s="28">
        <f>IF($B188="","",IF($K188="","—",IF(ROUND($K188-$J188,0)=0,"√","×")))</f>
        <v/>
      </c>
      <c r="M188" s="28">
        <f>IF($B188="","",IF(COUNTIFS(EntryDates,$B188,CalcTime,$C188,CalcBank,$C$5,EntryParty,$D188,EntryDep,$H188,EntryWit,$I188)&gt;1,"تکرار",""))</f>
        <v/>
      </c>
      <c r="N188" s="28">
        <f>IF($P188="","",IF(INDEX(EntryNotes,$P188)=0,"",INDEX(EntryNotes,$P188)))</f>
        <v/>
      </c>
      <c r="O188" s="28">
        <f>IF($P188="","",IF(INDEX(EntryTxnID,$P188)=0,"",INDEX(EntryTxnID,$P188)))</f>
        <v/>
      </c>
      <c r="P188" s="28">
        <f>IFERROR(MATCH($C$5&amp;"|"&amp;RIGHT("000000"&amp;172,6),CalcRankKey,0),"")</f>
        <v/>
      </c>
    </row>
    <row r="189">
      <c r="A189" s="26">
        <f>IF($B189="","",173)</f>
        <v/>
      </c>
      <c r="B189" s="26">
        <f>IF($P189="","",IF(INDEX(CalcNormDate,$P189)=0,"",INDEX(CalcNormDate,$P189)))</f>
        <v/>
      </c>
      <c r="C189" s="26">
        <f>IF($P189="","",IF(INDEX(CalcTime,$P189)=0,"",INDEX(CalcTime,$P189)))</f>
        <v/>
      </c>
      <c r="D189" s="26">
        <f>IF($P189="","",IF(INDEX(EntryParty,$P189)=0,"",INDEX(EntryParty,$P189)))</f>
        <v/>
      </c>
      <c r="E189" s="26">
        <f>IF($P189="","",IF(INDEX(EntryPartyName,$P189)=0,"",INDEX(EntryPartyName,$P189)))</f>
        <v/>
      </c>
      <c r="F189" s="26">
        <f>IF($P189="","",IF(INDEX(EntryPartyType,$P189)=0,"",INDEX(EntryPartyType,$P189)))</f>
        <v/>
      </c>
      <c r="G189" s="26">
        <f>IF($P189="","",IF(INDEX(EntryTxnType,$P189)=0,"",INDEX(EntryTxnType,$P189)))</f>
        <v/>
      </c>
      <c r="H189" s="27">
        <f>IF($P189="","",IF(INDEX(EntryDep,$P189)=0,"",INDEX(EntryDep,$P189)))</f>
        <v/>
      </c>
      <c r="I189" s="27">
        <f>IF($P189="","",IF(INDEX(EntryWit,$P189)=0,"",INDEX(EntryWit,$P189)))</f>
        <v/>
      </c>
      <c r="J189" s="27">
        <f>IF($B189="","",IF($A189=1,$C$7,IF(J188="",0,J188))+IF($H189="",0,$H189)-IF($I189="",0,$I189))</f>
        <v/>
      </c>
      <c r="K189" s="27">
        <f>IF($P189="","",IF(INDEX(EntryMan,$P189)=0,"",INDEX(EntryMan,$P189)))</f>
        <v/>
      </c>
      <c r="L189" s="26">
        <f>IF($B189="","",IF($K189="","—",IF(ROUND($K189-$J189,0)=0,"√","×")))</f>
        <v/>
      </c>
      <c r="M189" s="26">
        <f>IF($B189="","",IF(COUNTIFS(EntryDates,$B189,CalcTime,$C189,CalcBank,$C$5,EntryParty,$D189,EntryDep,$H189,EntryWit,$I189)&gt;1,"تکرار",""))</f>
        <v/>
      </c>
      <c r="N189" s="26">
        <f>IF($P189="","",IF(INDEX(EntryNotes,$P189)=0,"",INDEX(EntryNotes,$P189)))</f>
        <v/>
      </c>
      <c r="O189" s="26">
        <f>IF($P189="","",IF(INDEX(EntryTxnID,$P189)=0,"",INDEX(EntryTxnID,$P189)))</f>
        <v/>
      </c>
      <c r="P189" s="26">
        <f>IFERROR(MATCH($C$5&amp;"|"&amp;RIGHT("000000"&amp;173,6),CalcRankKey,0),"")</f>
        <v/>
      </c>
    </row>
    <row r="190">
      <c r="A190" s="28">
        <f>IF($B190="","",174)</f>
        <v/>
      </c>
      <c r="B190" s="28">
        <f>IF($P190="","",IF(INDEX(CalcNormDate,$P190)=0,"",INDEX(CalcNormDate,$P190)))</f>
        <v/>
      </c>
      <c r="C190" s="28">
        <f>IF($P190="","",IF(INDEX(CalcTime,$P190)=0,"",INDEX(CalcTime,$P190)))</f>
        <v/>
      </c>
      <c r="D190" s="28">
        <f>IF($P190="","",IF(INDEX(EntryParty,$P190)=0,"",INDEX(EntryParty,$P190)))</f>
        <v/>
      </c>
      <c r="E190" s="28">
        <f>IF($P190="","",IF(INDEX(EntryPartyName,$P190)=0,"",INDEX(EntryPartyName,$P190)))</f>
        <v/>
      </c>
      <c r="F190" s="28">
        <f>IF($P190="","",IF(INDEX(EntryPartyType,$P190)=0,"",INDEX(EntryPartyType,$P190)))</f>
        <v/>
      </c>
      <c r="G190" s="28">
        <f>IF($P190="","",IF(INDEX(EntryTxnType,$P190)=0,"",INDEX(EntryTxnType,$P190)))</f>
        <v/>
      </c>
      <c r="H190" s="29">
        <f>IF($P190="","",IF(INDEX(EntryDep,$P190)=0,"",INDEX(EntryDep,$P190)))</f>
        <v/>
      </c>
      <c r="I190" s="29">
        <f>IF($P190="","",IF(INDEX(EntryWit,$P190)=0,"",INDEX(EntryWit,$P190)))</f>
        <v/>
      </c>
      <c r="J190" s="29">
        <f>IF($B190="","",IF($A190=1,$C$7,IF(J189="",0,J189))+IF($H190="",0,$H190)-IF($I190="",0,$I190))</f>
        <v/>
      </c>
      <c r="K190" s="29">
        <f>IF($P190="","",IF(INDEX(EntryMan,$P190)=0,"",INDEX(EntryMan,$P190)))</f>
        <v/>
      </c>
      <c r="L190" s="28">
        <f>IF($B190="","",IF($K190="","—",IF(ROUND($K190-$J190,0)=0,"√","×")))</f>
        <v/>
      </c>
      <c r="M190" s="28">
        <f>IF($B190="","",IF(COUNTIFS(EntryDates,$B190,CalcTime,$C190,CalcBank,$C$5,EntryParty,$D190,EntryDep,$H190,EntryWit,$I190)&gt;1,"تکرار",""))</f>
        <v/>
      </c>
      <c r="N190" s="28">
        <f>IF($P190="","",IF(INDEX(EntryNotes,$P190)=0,"",INDEX(EntryNotes,$P190)))</f>
        <v/>
      </c>
      <c r="O190" s="28">
        <f>IF($P190="","",IF(INDEX(EntryTxnID,$P190)=0,"",INDEX(EntryTxnID,$P190)))</f>
        <v/>
      </c>
      <c r="P190" s="28">
        <f>IFERROR(MATCH($C$5&amp;"|"&amp;RIGHT("000000"&amp;174,6),CalcRankKey,0),"")</f>
        <v/>
      </c>
    </row>
    <row r="191">
      <c r="A191" s="26">
        <f>IF($B191="","",175)</f>
        <v/>
      </c>
      <c r="B191" s="26">
        <f>IF($P191="","",IF(INDEX(CalcNormDate,$P191)=0,"",INDEX(CalcNormDate,$P191)))</f>
        <v/>
      </c>
      <c r="C191" s="26">
        <f>IF($P191="","",IF(INDEX(CalcTime,$P191)=0,"",INDEX(CalcTime,$P191)))</f>
        <v/>
      </c>
      <c r="D191" s="26">
        <f>IF($P191="","",IF(INDEX(EntryParty,$P191)=0,"",INDEX(EntryParty,$P191)))</f>
        <v/>
      </c>
      <c r="E191" s="26">
        <f>IF($P191="","",IF(INDEX(EntryPartyName,$P191)=0,"",INDEX(EntryPartyName,$P191)))</f>
        <v/>
      </c>
      <c r="F191" s="26">
        <f>IF($P191="","",IF(INDEX(EntryPartyType,$P191)=0,"",INDEX(EntryPartyType,$P191)))</f>
        <v/>
      </c>
      <c r="G191" s="26">
        <f>IF($P191="","",IF(INDEX(EntryTxnType,$P191)=0,"",INDEX(EntryTxnType,$P191)))</f>
        <v/>
      </c>
      <c r="H191" s="27">
        <f>IF($P191="","",IF(INDEX(EntryDep,$P191)=0,"",INDEX(EntryDep,$P191)))</f>
        <v/>
      </c>
      <c r="I191" s="27">
        <f>IF($P191="","",IF(INDEX(EntryWit,$P191)=0,"",INDEX(EntryWit,$P191)))</f>
        <v/>
      </c>
      <c r="J191" s="27">
        <f>IF($B191="","",IF($A191=1,$C$7,IF(J190="",0,J190))+IF($H191="",0,$H191)-IF($I191="",0,$I191))</f>
        <v/>
      </c>
      <c r="K191" s="27">
        <f>IF($P191="","",IF(INDEX(EntryMan,$P191)=0,"",INDEX(EntryMan,$P191)))</f>
        <v/>
      </c>
      <c r="L191" s="26">
        <f>IF($B191="","",IF($K191="","—",IF(ROUND($K191-$J191,0)=0,"√","×")))</f>
        <v/>
      </c>
      <c r="M191" s="26">
        <f>IF($B191="","",IF(COUNTIFS(EntryDates,$B191,CalcTime,$C191,CalcBank,$C$5,EntryParty,$D191,EntryDep,$H191,EntryWit,$I191)&gt;1,"تکرار",""))</f>
        <v/>
      </c>
      <c r="N191" s="26">
        <f>IF($P191="","",IF(INDEX(EntryNotes,$P191)=0,"",INDEX(EntryNotes,$P191)))</f>
        <v/>
      </c>
      <c r="O191" s="26">
        <f>IF($P191="","",IF(INDEX(EntryTxnID,$P191)=0,"",INDEX(EntryTxnID,$P191)))</f>
        <v/>
      </c>
      <c r="P191" s="26">
        <f>IFERROR(MATCH($C$5&amp;"|"&amp;RIGHT("000000"&amp;175,6),CalcRankKey,0),"")</f>
        <v/>
      </c>
    </row>
    <row r="192">
      <c r="A192" s="28">
        <f>IF($B192="","",176)</f>
        <v/>
      </c>
      <c r="B192" s="28">
        <f>IF($P192="","",IF(INDEX(CalcNormDate,$P192)=0,"",INDEX(CalcNormDate,$P192)))</f>
        <v/>
      </c>
      <c r="C192" s="28">
        <f>IF($P192="","",IF(INDEX(CalcTime,$P192)=0,"",INDEX(CalcTime,$P192)))</f>
        <v/>
      </c>
      <c r="D192" s="28">
        <f>IF($P192="","",IF(INDEX(EntryParty,$P192)=0,"",INDEX(EntryParty,$P192)))</f>
        <v/>
      </c>
      <c r="E192" s="28">
        <f>IF($P192="","",IF(INDEX(EntryPartyName,$P192)=0,"",INDEX(EntryPartyName,$P192)))</f>
        <v/>
      </c>
      <c r="F192" s="28">
        <f>IF($P192="","",IF(INDEX(EntryPartyType,$P192)=0,"",INDEX(EntryPartyType,$P192)))</f>
        <v/>
      </c>
      <c r="G192" s="28">
        <f>IF($P192="","",IF(INDEX(EntryTxnType,$P192)=0,"",INDEX(EntryTxnType,$P192)))</f>
        <v/>
      </c>
      <c r="H192" s="29">
        <f>IF($P192="","",IF(INDEX(EntryDep,$P192)=0,"",INDEX(EntryDep,$P192)))</f>
        <v/>
      </c>
      <c r="I192" s="29">
        <f>IF($P192="","",IF(INDEX(EntryWit,$P192)=0,"",INDEX(EntryWit,$P192)))</f>
        <v/>
      </c>
      <c r="J192" s="29">
        <f>IF($B192="","",IF($A192=1,$C$7,IF(J191="",0,J191))+IF($H192="",0,$H192)-IF($I192="",0,$I192))</f>
        <v/>
      </c>
      <c r="K192" s="29">
        <f>IF($P192="","",IF(INDEX(EntryMan,$P192)=0,"",INDEX(EntryMan,$P192)))</f>
        <v/>
      </c>
      <c r="L192" s="28">
        <f>IF($B192="","",IF($K192="","—",IF(ROUND($K192-$J192,0)=0,"√","×")))</f>
        <v/>
      </c>
      <c r="M192" s="28">
        <f>IF($B192="","",IF(COUNTIFS(EntryDates,$B192,CalcTime,$C192,CalcBank,$C$5,EntryParty,$D192,EntryDep,$H192,EntryWit,$I192)&gt;1,"تکرار",""))</f>
        <v/>
      </c>
      <c r="N192" s="28">
        <f>IF($P192="","",IF(INDEX(EntryNotes,$P192)=0,"",INDEX(EntryNotes,$P192)))</f>
        <v/>
      </c>
      <c r="O192" s="28">
        <f>IF($P192="","",IF(INDEX(EntryTxnID,$P192)=0,"",INDEX(EntryTxnID,$P192)))</f>
        <v/>
      </c>
      <c r="P192" s="28">
        <f>IFERROR(MATCH($C$5&amp;"|"&amp;RIGHT("000000"&amp;176,6),CalcRankKey,0),"")</f>
        <v/>
      </c>
    </row>
    <row r="193">
      <c r="A193" s="26">
        <f>IF($B193="","",177)</f>
        <v/>
      </c>
      <c r="B193" s="26">
        <f>IF($P193="","",IF(INDEX(CalcNormDate,$P193)=0,"",INDEX(CalcNormDate,$P193)))</f>
        <v/>
      </c>
      <c r="C193" s="26">
        <f>IF($P193="","",IF(INDEX(CalcTime,$P193)=0,"",INDEX(CalcTime,$P193)))</f>
        <v/>
      </c>
      <c r="D193" s="26">
        <f>IF($P193="","",IF(INDEX(EntryParty,$P193)=0,"",INDEX(EntryParty,$P193)))</f>
        <v/>
      </c>
      <c r="E193" s="26">
        <f>IF($P193="","",IF(INDEX(EntryPartyName,$P193)=0,"",INDEX(EntryPartyName,$P193)))</f>
        <v/>
      </c>
      <c r="F193" s="26">
        <f>IF($P193="","",IF(INDEX(EntryPartyType,$P193)=0,"",INDEX(EntryPartyType,$P193)))</f>
        <v/>
      </c>
      <c r="G193" s="26">
        <f>IF($P193="","",IF(INDEX(EntryTxnType,$P193)=0,"",INDEX(EntryTxnType,$P193)))</f>
        <v/>
      </c>
      <c r="H193" s="27">
        <f>IF($P193="","",IF(INDEX(EntryDep,$P193)=0,"",INDEX(EntryDep,$P193)))</f>
        <v/>
      </c>
      <c r="I193" s="27">
        <f>IF($P193="","",IF(INDEX(EntryWit,$P193)=0,"",INDEX(EntryWit,$P193)))</f>
        <v/>
      </c>
      <c r="J193" s="27">
        <f>IF($B193="","",IF($A193=1,$C$7,IF(J192="",0,J192))+IF($H193="",0,$H193)-IF($I193="",0,$I193))</f>
        <v/>
      </c>
      <c r="K193" s="27">
        <f>IF($P193="","",IF(INDEX(EntryMan,$P193)=0,"",INDEX(EntryMan,$P193)))</f>
        <v/>
      </c>
      <c r="L193" s="26">
        <f>IF($B193="","",IF($K193="","—",IF(ROUND($K193-$J193,0)=0,"√","×")))</f>
        <v/>
      </c>
      <c r="M193" s="26">
        <f>IF($B193="","",IF(COUNTIFS(EntryDates,$B193,CalcTime,$C193,CalcBank,$C$5,EntryParty,$D193,EntryDep,$H193,EntryWit,$I193)&gt;1,"تکرار",""))</f>
        <v/>
      </c>
      <c r="N193" s="26">
        <f>IF($P193="","",IF(INDEX(EntryNotes,$P193)=0,"",INDEX(EntryNotes,$P193)))</f>
        <v/>
      </c>
      <c r="O193" s="26">
        <f>IF($P193="","",IF(INDEX(EntryTxnID,$P193)=0,"",INDEX(EntryTxnID,$P193)))</f>
        <v/>
      </c>
      <c r="P193" s="26">
        <f>IFERROR(MATCH($C$5&amp;"|"&amp;RIGHT("000000"&amp;177,6),CalcRankKey,0),"")</f>
        <v/>
      </c>
    </row>
    <row r="194">
      <c r="A194" s="28">
        <f>IF($B194="","",178)</f>
        <v/>
      </c>
      <c r="B194" s="28">
        <f>IF($P194="","",IF(INDEX(CalcNormDate,$P194)=0,"",INDEX(CalcNormDate,$P194)))</f>
        <v/>
      </c>
      <c r="C194" s="28">
        <f>IF($P194="","",IF(INDEX(CalcTime,$P194)=0,"",INDEX(CalcTime,$P194)))</f>
        <v/>
      </c>
      <c r="D194" s="28">
        <f>IF($P194="","",IF(INDEX(EntryParty,$P194)=0,"",INDEX(EntryParty,$P194)))</f>
        <v/>
      </c>
      <c r="E194" s="28">
        <f>IF($P194="","",IF(INDEX(EntryPartyName,$P194)=0,"",INDEX(EntryPartyName,$P194)))</f>
        <v/>
      </c>
      <c r="F194" s="28">
        <f>IF($P194="","",IF(INDEX(EntryPartyType,$P194)=0,"",INDEX(EntryPartyType,$P194)))</f>
        <v/>
      </c>
      <c r="G194" s="28">
        <f>IF($P194="","",IF(INDEX(EntryTxnType,$P194)=0,"",INDEX(EntryTxnType,$P194)))</f>
        <v/>
      </c>
      <c r="H194" s="29">
        <f>IF($P194="","",IF(INDEX(EntryDep,$P194)=0,"",INDEX(EntryDep,$P194)))</f>
        <v/>
      </c>
      <c r="I194" s="29">
        <f>IF($P194="","",IF(INDEX(EntryWit,$P194)=0,"",INDEX(EntryWit,$P194)))</f>
        <v/>
      </c>
      <c r="J194" s="29">
        <f>IF($B194="","",IF($A194=1,$C$7,IF(J193="",0,J193))+IF($H194="",0,$H194)-IF($I194="",0,$I194))</f>
        <v/>
      </c>
      <c r="K194" s="29">
        <f>IF($P194="","",IF(INDEX(EntryMan,$P194)=0,"",INDEX(EntryMan,$P194)))</f>
        <v/>
      </c>
      <c r="L194" s="28">
        <f>IF($B194="","",IF($K194="","—",IF(ROUND($K194-$J194,0)=0,"√","×")))</f>
        <v/>
      </c>
      <c r="M194" s="28">
        <f>IF($B194="","",IF(COUNTIFS(EntryDates,$B194,CalcTime,$C194,CalcBank,$C$5,EntryParty,$D194,EntryDep,$H194,EntryWit,$I194)&gt;1,"تکرار",""))</f>
        <v/>
      </c>
      <c r="N194" s="28">
        <f>IF($P194="","",IF(INDEX(EntryNotes,$P194)=0,"",INDEX(EntryNotes,$P194)))</f>
        <v/>
      </c>
      <c r="O194" s="28">
        <f>IF($P194="","",IF(INDEX(EntryTxnID,$P194)=0,"",INDEX(EntryTxnID,$P194)))</f>
        <v/>
      </c>
      <c r="P194" s="28">
        <f>IFERROR(MATCH($C$5&amp;"|"&amp;RIGHT("000000"&amp;178,6),CalcRankKey,0),"")</f>
        <v/>
      </c>
    </row>
    <row r="195">
      <c r="A195" s="26">
        <f>IF($B195="","",179)</f>
        <v/>
      </c>
      <c r="B195" s="26">
        <f>IF($P195="","",IF(INDEX(CalcNormDate,$P195)=0,"",INDEX(CalcNormDate,$P195)))</f>
        <v/>
      </c>
      <c r="C195" s="26">
        <f>IF($P195="","",IF(INDEX(CalcTime,$P195)=0,"",INDEX(CalcTime,$P195)))</f>
        <v/>
      </c>
      <c r="D195" s="26">
        <f>IF($P195="","",IF(INDEX(EntryParty,$P195)=0,"",INDEX(EntryParty,$P195)))</f>
        <v/>
      </c>
      <c r="E195" s="26">
        <f>IF($P195="","",IF(INDEX(EntryPartyName,$P195)=0,"",INDEX(EntryPartyName,$P195)))</f>
        <v/>
      </c>
      <c r="F195" s="26">
        <f>IF($P195="","",IF(INDEX(EntryPartyType,$P195)=0,"",INDEX(EntryPartyType,$P195)))</f>
        <v/>
      </c>
      <c r="G195" s="26">
        <f>IF($P195="","",IF(INDEX(EntryTxnType,$P195)=0,"",INDEX(EntryTxnType,$P195)))</f>
        <v/>
      </c>
      <c r="H195" s="27">
        <f>IF($P195="","",IF(INDEX(EntryDep,$P195)=0,"",INDEX(EntryDep,$P195)))</f>
        <v/>
      </c>
      <c r="I195" s="27">
        <f>IF($P195="","",IF(INDEX(EntryWit,$P195)=0,"",INDEX(EntryWit,$P195)))</f>
        <v/>
      </c>
      <c r="J195" s="27">
        <f>IF($B195="","",IF($A195=1,$C$7,IF(J194="",0,J194))+IF($H195="",0,$H195)-IF($I195="",0,$I195))</f>
        <v/>
      </c>
      <c r="K195" s="27">
        <f>IF($P195="","",IF(INDEX(EntryMan,$P195)=0,"",INDEX(EntryMan,$P195)))</f>
        <v/>
      </c>
      <c r="L195" s="26">
        <f>IF($B195="","",IF($K195="","—",IF(ROUND($K195-$J195,0)=0,"√","×")))</f>
        <v/>
      </c>
      <c r="M195" s="26">
        <f>IF($B195="","",IF(COUNTIFS(EntryDates,$B195,CalcTime,$C195,CalcBank,$C$5,EntryParty,$D195,EntryDep,$H195,EntryWit,$I195)&gt;1,"تکرار",""))</f>
        <v/>
      </c>
      <c r="N195" s="26">
        <f>IF($P195="","",IF(INDEX(EntryNotes,$P195)=0,"",INDEX(EntryNotes,$P195)))</f>
        <v/>
      </c>
      <c r="O195" s="26">
        <f>IF($P195="","",IF(INDEX(EntryTxnID,$P195)=0,"",INDEX(EntryTxnID,$P195)))</f>
        <v/>
      </c>
      <c r="P195" s="26">
        <f>IFERROR(MATCH($C$5&amp;"|"&amp;RIGHT("000000"&amp;179,6),CalcRankKey,0),"")</f>
        <v/>
      </c>
    </row>
    <row r="196">
      <c r="A196" s="28">
        <f>IF($B196="","",180)</f>
        <v/>
      </c>
      <c r="B196" s="28">
        <f>IF($P196="","",IF(INDEX(CalcNormDate,$P196)=0,"",INDEX(CalcNormDate,$P196)))</f>
        <v/>
      </c>
      <c r="C196" s="28">
        <f>IF($P196="","",IF(INDEX(CalcTime,$P196)=0,"",INDEX(CalcTime,$P196)))</f>
        <v/>
      </c>
      <c r="D196" s="28">
        <f>IF($P196="","",IF(INDEX(EntryParty,$P196)=0,"",INDEX(EntryParty,$P196)))</f>
        <v/>
      </c>
      <c r="E196" s="28">
        <f>IF($P196="","",IF(INDEX(EntryPartyName,$P196)=0,"",INDEX(EntryPartyName,$P196)))</f>
        <v/>
      </c>
      <c r="F196" s="28">
        <f>IF($P196="","",IF(INDEX(EntryPartyType,$P196)=0,"",INDEX(EntryPartyType,$P196)))</f>
        <v/>
      </c>
      <c r="G196" s="28">
        <f>IF($P196="","",IF(INDEX(EntryTxnType,$P196)=0,"",INDEX(EntryTxnType,$P196)))</f>
        <v/>
      </c>
      <c r="H196" s="29">
        <f>IF($P196="","",IF(INDEX(EntryDep,$P196)=0,"",INDEX(EntryDep,$P196)))</f>
        <v/>
      </c>
      <c r="I196" s="29">
        <f>IF($P196="","",IF(INDEX(EntryWit,$P196)=0,"",INDEX(EntryWit,$P196)))</f>
        <v/>
      </c>
      <c r="J196" s="29">
        <f>IF($B196="","",IF($A196=1,$C$7,IF(J195="",0,J195))+IF($H196="",0,$H196)-IF($I196="",0,$I196))</f>
        <v/>
      </c>
      <c r="K196" s="29">
        <f>IF($P196="","",IF(INDEX(EntryMan,$P196)=0,"",INDEX(EntryMan,$P196)))</f>
        <v/>
      </c>
      <c r="L196" s="28">
        <f>IF($B196="","",IF($K196="","—",IF(ROUND($K196-$J196,0)=0,"√","×")))</f>
        <v/>
      </c>
      <c r="M196" s="28">
        <f>IF($B196="","",IF(COUNTIFS(EntryDates,$B196,CalcTime,$C196,CalcBank,$C$5,EntryParty,$D196,EntryDep,$H196,EntryWit,$I196)&gt;1,"تکرار",""))</f>
        <v/>
      </c>
      <c r="N196" s="28">
        <f>IF($P196="","",IF(INDEX(EntryNotes,$P196)=0,"",INDEX(EntryNotes,$P196)))</f>
        <v/>
      </c>
      <c r="O196" s="28">
        <f>IF($P196="","",IF(INDEX(EntryTxnID,$P196)=0,"",INDEX(EntryTxnID,$P196)))</f>
        <v/>
      </c>
      <c r="P196" s="28">
        <f>IFERROR(MATCH($C$5&amp;"|"&amp;RIGHT("000000"&amp;180,6),CalcRankKey,0),"")</f>
        <v/>
      </c>
    </row>
    <row r="197">
      <c r="A197" s="26">
        <f>IF($B197="","",181)</f>
        <v/>
      </c>
      <c r="B197" s="26">
        <f>IF($P197="","",IF(INDEX(CalcNormDate,$P197)=0,"",INDEX(CalcNormDate,$P197)))</f>
        <v/>
      </c>
      <c r="C197" s="26">
        <f>IF($P197="","",IF(INDEX(CalcTime,$P197)=0,"",INDEX(CalcTime,$P197)))</f>
        <v/>
      </c>
      <c r="D197" s="26">
        <f>IF($P197="","",IF(INDEX(EntryParty,$P197)=0,"",INDEX(EntryParty,$P197)))</f>
        <v/>
      </c>
      <c r="E197" s="26">
        <f>IF($P197="","",IF(INDEX(EntryPartyName,$P197)=0,"",INDEX(EntryPartyName,$P197)))</f>
        <v/>
      </c>
      <c r="F197" s="26">
        <f>IF($P197="","",IF(INDEX(EntryPartyType,$P197)=0,"",INDEX(EntryPartyType,$P197)))</f>
        <v/>
      </c>
      <c r="G197" s="26">
        <f>IF($P197="","",IF(INDEX(EntryTxnType,$P197)=0,"",INDEX(EntryTxnType,$P197)))</f>
        <v/>
      </c>
      <c r="H197" s="27">
        <f>IF($P197="","",IF(INDEX(EntryDep,$P197)=0,"",INDEX(EntryDep,$P197)))</f>
        <v/>
      </c>
      <c r="I197" s="27">
        <f>IF($P197="","",IF(INDEX(EntryWit,$P197)=0,"",INDEX(EntryWit,$P197)))</f>
        <v/>
      </c>
      <c r="J197" s="27">
        <f>IF($B197="","",IF($A197=1,$C$7,IF(J196="",0,J196))+IF($H197="",0,$H197)-IF($I197="",0,$I197))</f>
        <v/>
      </c>
      <c r="K197" s="27">
        <f>IF($P197="","",IF(INDEX(EntryMan,$P197)=0,"",INDEX(EntryMan,$P197)))</f>
        <v/>
      </c>
      <c r="L197" s="26">
        <f>IF($B197="","",IF($K197="","—",IF(ROUND($K197-$J197,0)=0,"√","×")))</f>
        <v/>
      </c>
      <c r="M197" s="26">
        <f>IF($B197="","",IF(COUNTIFS(EntryDates,$B197,CalcTime,$C197,CalcBank,$C$5,EntryParty,$D197,EntryDep,$H197,EntryWit,$I197)&gt;1,"تکرار",""))</f>
        <v/>
      </c>
      <c r="N197" s="26">
        <f>IF($P197="","",IF(INDEX(EntryNotes,$P197)=0,"",INDEX(EntryNotes,$P197)))</f>
        <v/>
      </c>
      <c r="O197" s="26">
        <f>IF($P197="","",IF(INDEX(EntryTxnID,$P197)=0,"",INDEX(EntryTxnID,$P197)))</f>
        <v/>
      </c>
      <c r="P197" s="26">
        <f>IFERROR(MATCH($C$5&amp;"|"&amp;RIGHT("000000"&amp;181,6),CalcRankKey,0),"")</f>
        <v/>
      </c>
    </row>
    <row r="198">
      <c r="A198" s="28">
        <f>IF($B198="","",182)</f>
        <v/>
      </c>
      <c r="B198" s="28">
        <f>IF($P198="","",IF(INDEX(CalcNormDate,$P198)=0,"",INDEX(CalcNormDate,$P198)))</f>
        <v/>
      </c>
      <c r="C198" s="28">
        <f>IF($P198="","",IF(INDEX(CalcTime,$P198)=0,"",INDEX(CalcTime,$P198)))</f>
        <v/>
      </c>
      <c r="D198" s="28">
        <f>IF($P198="","",IF(INDEX(EntryParty,$P198)=0,"",INDEX(EntryParty,$P198)))</f>
        <v/>
      </c>
      <c r="E198" s="28">
        <f>IF($P198="","",IF(INDEX(EntryPartyName,$P198)=0,"",INDEX(EntryPartyName,$P198)))</f>
        <v/>
      </c>
      <c r="F198" s="28">
        <f>IF($P198="","",IF(INDEX(EntryPartyType,$P198)=0,"",INDEX(EntryPartyType,$P198)))</f>
        <v/>
      </c>
      <c r="G198" s="28">
        <f>IF($P198="","",IF(INDEX(EntryTxnType,$P198)=0,"",INDEX(EntryTxnType,$P198)))</f>
        <v/>
      </c>
      <c r="H198" s="29">
        <f>IF($P198="","",IF(INDEX(EntryDep,$P198)=0,"",INDEX(EntryDep,$P198)))</f>
        <v/>
      </c>
      <c r="I198" s="29">
        <f>IF($P198="","",IF(INDEX(EntryWit,$P198)=0,"",INDEX(EntryWit,$P198)))</f>
        <v/>
      </c>
      <c r="J198" s="29">
        <f>IF($B198="","",IF($A198=1,$C$7,IF(J197="",0,J197))+IF($H198="",0,$H198)-IF($I198="",0,$I198))</f>
        <v/>
      </c>
      <c r="K198" s="29">
        <f>IF($P198="","",IF(INDEX(EntryMan,$P198)=0,"",INDEX(EntryMan,$P198)))</f>
        <v/>
      </c>
      <c r="L198" s="28">
        <f>IF($B198="","",IF($K198="","—",IF(ROUND($K198-$J198,0)=0,"√","×")))</f>
        <v/>
      </c>
      <c r="M198" s="28">
        <f>IF($B198="","",IF(COUNTIFS(EntryDates,$B198,CalcTime,$C198,CalcBank,$C$5,EntryParty,$D198,EntryDep,$H198,EntryWit,$I198)&gt;1,"تکرار",""))</f>
        <v/>
      </c>
      <c r="N198" s="28">
        <f>IF($P198="","",IF(INDEX(EntryNotes,$P198)=0,"",INDEX(EntryNotes,$P198)))</f>
        <v/>
      </c>
      <c r="O198" s="28">
        <f>IF($P198="","",IF(INDEX(EntryTxnID,$P198)=0,"",INDEX(EntryTxnID,$P198)))</f>
        <v/>
      </c>
      <c r="P198" s="28">
        <f>IFERROR(MATCH($C$5&amp;"|"&amp;RIGHT("000000"&amp;182,6),CalcRankKey,0),"")</f>
        <v/>
      </c>
    </row>
    <row r="199">
      <c r="A199" s="26">
        <f>IF($B199="","",183)</f>
        <v/>
      </c>
      <c r="B199" s="26">
        <f>IF($P199="","",IF(INDEX(CalcNormDate,$P199)=0,"",INDEX(CalcNormDate,$P199)))</f>
        <v/>
      </c>
      <c r="C199" s="26">
        <f>IF($P199="","",IF(INDEX(CalcTime,$P199)=0,"",INDEX(CalcTime,$P199)))</f>
        <v/>
      </c>
      <c r="D199" s="26">
        <f>IF($P199="","",IF(INDEX(EntryParty,$P199)=0,"",INDEX(EntryParty,$P199)))</f>
        <v/>
      </c>
      <c r="E199" s="26">
        <f>IF($P199="","",IF(INDEX(EntryPartyName,$P199)=0,"",INDEX(EntryPartyName,$P199)))</f>
        <v/>
      </c>
      <c r="F199" s="26">
        <f>IF($P199="","",IF(INDEX(EntryPartyType,$P199)=0,"",INDEX(EntryPartyType,$P199)))</f>
        <v/>
      </c>
      <c r="G199" s="26">
        <f>IF($P199="","",IF(INDEX(EntryTxnType,$P199)=0,"",INDEX(EntryTxnType,$P199)))</f>
        <v/>
      </c>
      <c r="H199" s="27">
        <f>IF($P199="","",IF(INDEX(EntryDep,$P199)=0,"",INDEX(EntryDep,$P199)))</f>
        <v/>
      </c>
      <c r="I199" s="27">
        <f>IF($P199="","",IF(INDEX(EntryWit,$P199)=0,"",INDEX(EntryWit,$P199)))</f>
        <v/>
      </c>
      <c r="J199" s="27">
        <f>IF($B199="","",IF($A199=1,$C$7,IF(J198="",0,J198))+IF($H199="",0,$H199)-IF($I199="",0,$I199))</f>
        <v/>
      </c>
      <c r="K199" s="27">
        <f>IF($P199="","",IF(INDEX(EntryMan,$P199)=0,"",INDEX(EntryMan,$P199)))</f>
        <v/>
      </c>
      <c r="L199" s="26">
        <f>IF($B199="","",IF($K199="","—",IF(ROUND($K199-$J199,0)=0,"√","×")))</f>
        <v/>
      </c>
      <c r="M199" s="26">
        <f>IF($B199="","",IF(COUNTIFS(EntryDates,$B199,CalcTime,$C199,CalcBank,$C$5,EntryParty,$D199,EntryDep,$H199,EntryWit,$I199)&gt;1,"تکرار",""))</f>
        <v/>
      </c>
      <c r="N199" s="26">
        <f>IF($P199="","",IF(INDEX(EntryNotes,$P199)=0,"",INDEX(EntryNotes,$P199)))</f>
        <v/>
      </c>
      <c r="O199" s="26">
        <f>IF($P199="","",IF(INDEX(EntryTxnID,$P199)=0,"",INDEX(EntryTxnID,$P199)))</f>
        <v/>
      </c>
      <c r="P199" s="26">
        <f>IFERROR(MATCH($C$5&amp;"|"&amp;RIGHT("000000"&amp;183,6),CalcRankKey,0),"")</f>
        <v/>
      </c>
    </row>
    <row r="200">
      <c r="A200" s="28">
        <f>IF($B200="","",184)</f>
        <v/>
      </c>
      <c r="B200" s="28">
        <f>IF($P200="","",IF(INDEX(CalcNormDate,$P200)=0,"",INDEX(CalcNormDate,$P200)))</f>
        <v/>
      </c>
      <c r="C200" s="28">
        <f>IF($P200="","",IF(INDEX(CalcTime,$P200)=0,"",INDEX(CalcTime,$P200)))</f>
        <v/>
      </c>
      <c r="D200" s="28">
        <f>IF($P200="","",IF(INDEX(EntryParty,$P200)=0,"",INDEX(EntryParty,$P200)))</f>
        <v/>
      </c>
      <c r="E200" s="28">
        <f>IF($P200="","",IF(INDEX(EntryPartyName,$P200)=0,"",INDEX(EntryPartyName,$P200)))</f>
        <v/>
      </c>
      <c r="F200" s="28">
        <f>IF($P200="","",IF(INDEX(EntryPartyType,$P200)=0,"",INDEX(EntryPartyType,$P200)))</f>
        <v/>
      </c>
      <c r="G200" s="28">
        <f>IF($P200="","",IF(INDEX(EntryTxnType,$P200)=0,"",INDEX(EntryTxnType,$P200)))</f>
        <v/>
      </c>
      <c r="H200" s="29">
        <f>IF($P200="","",IF(INDEX(EntryDep,$P200)=0,"",INDEX(EntryDep,$P200)))</f>
        <v/>
      </c>
      <c r="I200" s="29">
        <f>IF($P200="","",IF(INDEX(EntryWit,$P200)=0,"",INDEX(EntryWit,$P200)))</f>
        <v/>
      </c>
      <c r="J200" s="29">
        <f>IF($B200="","",IF($A200=1,$C$7,IF(J199="",0,J199))+IF($H200="",0,$H200)-IF($I200="",0,$I200))</f>
        <v/>
      </c>
      <c r="K200" s="29">
        <f>IF($P200="","",IF(INDEX(EntryMan,$P200)=0,"",INDEX(EntryMan,$P200)))</f>
        <v/>
      </c>
      <c r="L200" s="28">
        <f>IF($B200="","",IF($K200="","—",IF(ROUND($K200-$J200,0)=0,"√","×")))</f>
        <v/>
      </c>
      <c r="M200" s="28">
        <f>IF($B200="","",IF(COUNTIFS(EntryDates,$B200,CalcTime,$C200,CalcBank,$C$5,EntryParty,$D200,EntryDep,$H200,EntryWit,$I200)&gt;1,"تکرار",""))</f>
        <v/>
      </c>
      <c r="N200" s="28">
        <f>IF($P200="","",IF(INDEX(EntryNotes,$P200)=0,"",INDEX(EntryNotes,$P200)))</f>
        <v/>
      </c>
      <c r="O200" s="28">
        <f>IF($P200="","",IF(INDEX(EntryTxnID,$P200)=0,"",INDEX(EntryTxnID,$P200)))</f>
        <v/>
      </c>
      <c r="P200" s="28">
        <f>IFERROR(MATCH($C$5&amp;"|"&amp;RIGHT("000000"&amp;184,6),CalcRankKey,0),"")</f>
        <v/>
      </c>
    </row>
    <row r="201">
      <c r="A201" s="26">
        <f>IF($B201="","",185)</f>
        <v/>
      </c>
      <c r="B201" s="26">
        <f>IF($P201="","",IF(INDEX(CalcNormDate,$P201)=0,"",INDEX(CalcNormDate,$P201)))</f>
        <v/>
      </c>
      <c r="C201" s="26">
        <f>IF($P201="","",IF(INDEX(CalcTime,$P201)=0,"",INDEX(CalcTime,$P201)))</f>
        <v/>
      </c>
      <c r="D201" s="26">
        <f>IF($P201="","",IF(INDEX(EntryParty,$P201)=0,"",INDEX(EntryParty,$P201)))</f>
        <v/>
      </c>
      <c r="E201" s="26">
        <f>IF($P201="","",IF(INDEX(EntryPartyName,$P201)=0,"",INDEX(EntryPartyName,$P201)))</f>
        <v/>
      </c>
      <c r="F201" s="26">
        <f>IF($P201="","",IF(INDEX(EntryPartyType,$P201)=0,"",INDEX(EntryPartyType,$P201)))</f>
        <v/>
      </c>
      <c r="G201" s="26">
        <f>IF($P201="","",IF(INDEX(EntryTxnType,$P201)=0,"",INDEX(EntryTxnType,$P201)))</f>
        <v/>
      </c>
      <c r="H201" s="27">
        <f>IF($P201="","",IF(INDEX(EntryDep,$P201)=0,"",INDEX(EntryDep,$P201)))</f>
        <v/>
      </c>
      <c r="I201" s="27">
        <f>IF($P201="","",IF(INDEX(EntryWit,$P201)=0,"",INDEX(EntryWit,$P201)))</f>
        <v/>
      </c>
      <c r="J201" s="27">
        <f>IF($B201="","",IF($A201=1,$C$7,IF(J200="",0,J200))+IF($H201="",0,$H201)-IF($I201="",0,$I201))</f>
        <v/>
      </c>
      <c r="K201" s="27">
        <f>IF($P201="","",IF(INDEX(EntryMan,$P201)=0,"",INDEX(EntryMan,$P201)))</f>
        <v/>
      </c>
      <c r="L201" s="26">
        <f>IF($B201="","",IF($K201="","—",IF(ROUND($K201-$J201,0)=0,"√","×")))</f>
        <v/>
      </c>
      <c r="M201" s="26">
        <f>IF($B201="","",IF(COUNTIFS(EntryDates,$B201,CalcTime,$C201,CalcBank,$C$5,EntryParty,$D201,EntryDep,$H201,EntryWit,$I201)&gt;1,"تکرار",""))</f>
        <v/>
      </c>
      <c r="N201" s="26">
        <f>IF($P201="","",IF(INDEX(EntryNotes,$P201)=0,"",INDEX(EntryNotes,$P201)))</f>
        <v/>
      </c>
      <c r="O201" s="26">
        <f>IF($P201="","",IF(INDEX(EntryTxnID,$P201)=0,"",INDEX(EntryTxnID,$P201)))</f>
        <v/>
      </c>
      <c r="P201" s="26">
        <f>IFERROR(MATCH($C$5&amp;"|"&amp;RIGHT("000000"&amp;185,6),CalcRankKey,0),"")</f>
        <v/>
      </c>
    </row>
    <row r="202">
      <c r="A202" s="28">
        <f>IF($B202="","",186)</f>
        <v/>
      </c>
      <c r="B202" s="28">
        <f>IF($P202="","",IF(INDEX(CalcNormDate,$P202)=0,"",INDEX(CalcNormDate,$P202)))</f>
        <v/>
      </c>
      <c r="C202" s="28">
        <f>IF($P202="","",IF(INDEX(CalcTime,$P202)=0,"",INDEX(CalcTime,$P202)))</f>
        <v/>
      </c>
      <c r="D202" s="28">
        <f>IF($P202="","",IF(INDEX(EntryParty,$P202)=0,"",INDEX(EntryParty,$P202)))</f>
        <v/>
      </c>
      <c r="E202" s="28">
        <f>IF($P202="","",IF(INDEX(EntryPartyName,$P202)=0,"",INDEX(EntryPartyName,$P202)))</f>
        <v/>
      </c>
      <c r="F202" s="28">
        <f>IF($P202="","",IF(INDEX(EntryPartyType,$P202)=0,"",INDEX(EntryPartyType,$P202)))</f>
        <v/>
      </c>
      <c r="G202" s="28">
        <f>IF($P202="","",IF(INDEX(EntryTxnType,$P202)=0,"",INDEX(EntryTxnType,$P202)))</f>
        <v/>
      </c>
      <c r="H202" s="29">
        <f>IF($P202="","",IF(INDEX(EntryDep,$P202)=0,"",INDEX(EntryDep,$P202)))</f>
        <v/>
      </c>
      <c r="I202" s="29">
        <f>IF($P202="","",IF(INDEX(EntryWit,$P202)=0,"",INDEX(EntryWit,$P202)))</f>
        <v/>
      </c>
      <c r="J202" s="29">
        <f>IF($B202="","",IF($A202=1,$C$7,IF(J201="",0,J201))+IF($H202="",0,$H202)-IF($I202="",0,$I202))</f>
        <v/>
      </c>
      <c r="K202" s="29">
        <f>IF($P202="","",IF(INDEX(EntryMan,$P202)=0,"",INDEX(EntryMan,$P202)))</f>
        <v/>
      </c>
      <c r="L202" s="28">
        <f>IF($B202="","",IF($K202="","—",IF(ROUND($K202-$J202,0)=0,"√","×")))</f>
        <v/>
      </c>
      <c r="M202" s="28">
        <f>IF($B202="","",IF(COUNTIFS(EntryDates,$B202,CalcTime,$C202,CalcBank,$C$5,EntryParty,$D202,EntryDep,$H202,EntryWit,$I202)&gt;1,"تکرار",""))</f>
        <v/>
      </c>
      <c r="N202" s="28">
        <f>IF($P202="","",IF(INDEX(EntryNotes,$P202)=0,"",INDEX(EntryNotes,$P202)))</f>
        <v/>
      </c>
      <c r="O202" s="28">
        <f>IF($P202="","",IF(INDEX(EntryTxnID,$P202)=0,"",INDEX(EntryTxnID,$P202)))</f>
        <v/>
      </c>
      <c r="P202" s="28">
        <f>IFERROR(MATCH($C$5&amp;"|"&amp;RIGHT("000000"&amp;186,6),CalcRankKey,0),"")</f>
        <v/>
      </c>
    </row>
    <row r="203">
      <c r="A203" s="26">
        <f>IF($B203="","",187)</f>
        <v/>
      </c>
      <c r="B203" s="26">
        <f>IF($P203="","",IF(INDEX(CalcNormDate,$P203)=0,"",INDEX(CalcNormDate,$P203)))</f>
        <v/>
      </c>
      <c r="C203" s="26">
        <f>IF($P203="","",IF(INDEX(CalcTime,$P203)=0,"",INDEX(CalcTime,$P203)))</f>
        <v/>
      </c>
      <c r="D203" s="26">
        <f>IF($P203="","",IF(INDEX(EntryParty,$P203)=0,"",INDEX(EntryParty,$P203)))</f>
        <v/>
      </c>
      <c r="E203" s="26">
        <f>IF($P203="","",IF(INDEX(EntryPartyName,$P203)=0,"",INDEX(EntryPartyName,$P203)))</f>
        <v/>
      </c>
      <c r="F203" s="26">
        <f>IF($P203="","",IF(INDEX(EntryPartyType,$P203)=0,"",INDEX(EntryPartyType,$P203)))</f>
        <v/>
      </c>
      <c r="G203" s="26">
        <f>IF($P203="","",IF(INDEX(EntryTxnType,$P203)=0,"",INDEX(EntryTxnType,$P203)))</f>
        <v/>
      </c>
      <c r="H203" s="27">
        <f>IF($P203="","",IF(INDEX(EntryDep,$P203)=0,"",INDEX(EntryDep,$P203)))</f>
        <v/>
      </c>
      <c r="I203" s="27">
        <f>IF($P203="","",IF(INDEX(EntryWit,$P203)=0,"",INDEX(EntryWit,$P203)))</f>
        <v/>
      </c>
      <c r="J203" s="27">
        <f>IF($B203="","",IF($A203=1,$C$7,IF(J202="",0,J202))+IF($H203="",0,$H203)-IF($I203="",0,$I203))</f>
        <v/>
      </c>
      <c r="K203" s="27">
        <f>IF($P203="","",IF(INDEX(EntryMan,$P203)=0,"",INDEX(EntryMan,$P203)))</f>
        <v/>
      </c>
      <c r="L203" s="26">
        <f>IF($B203="","",IF($K203="","—",IF(ROUND($K203-$J203,0)=0,"√","×")))</f>
        <v/>
      </c>
      <c r="M203" s="26">
        <f>IF($B203="","",IF(COUNTIFS(EntryDates,$B203,CalcTime,$C203,CalcBank,$C$5,EntryParty,$D203,EntryDep,$H203,EntryWit,$I203)&gt;1,"تکرار",""))</f>
        <v/>
      </c>
      <c r="N203" s="26">
        <f>IF($P203="","",IF(INDEX(EntryNotes,$P203)=0,"",INDEX(EntryNotes,$P203)))</f>
        <v/>
      </c>
      <c r="O203" s="26">
        <f>IF($P203="","",IF(INDEX(EntryTxnID,$P203)=0,"",INDEX(EntryTxnID,$P203)))</f>
        <v/>
      </c>
      <c r="P203" s="26">
        <f>IFERROR(MATCH($C$5&amp;"|"&amp;RIGHT("000000"&amp;187,6),CalcRankKey,0),"")</f>
        <v/>
      </c>
    </row>
    <row r="204">
      <c r="A204" s="28">
        <f>IF($B204="","",188)</f>
        <v/>
      </c>
      <c r="B204" s="28">
        <f>IF($P204="","",IF(INDEX(CalcNormDate,$P204)=0,"",INDEX(CalcNormDate,$P204)))</f>
        <v/>
      </c>
      <c r="C204" s="28">
        <f>IF($P204="","",IF(INDEX(CalcTime,$P204)=0,"",INDEX(CalcTime,$P204)))</f>
        <v/>
      </c>
      <c r="D204" s="28">
        <f>IF($P204="","",IF(INDEX(EntryParty,$P204)=0,"",INDEX(EntryParty,$P204)))</f>
        <v/>
      </c>
      <c r="E204" s="28">
        <f>IF($P204="","",IF(INDEX(EntryPartyName,$P204)=0,"",INDEX(EntryPartyName,$P204)))</f>
        <v/>
      </c>
      <c r="F204" s="28">
        <f>IF($P204="","",IF(INDEX(EntryPartyType,$P204)=0,"",INDEX(EntryPartyType,$P204)))</f>
        <v/>
      </c>
      <c r="G204" s="28">
        <f>IF($P204="","",IF(INDEX(EntryTxnType,$P204)=0,"",INDEX(EntryTxnType,$P204)))</f>
        <v/>
      </c>
      <c r="H204" s="29">
        <f>IF($P204="","",IF(INDEX(EntryDep,$P204)=0,"",INDEX(EntryDep,$P204)))</f>
        <v/>
      </c>
      <c r="I204" s="29">
        <f>IF($P204="","",IF(INDEX(EntryWit,$P204)=0,"",INDEX(EntryWit,$P204)))</f>
        <v/>
      </c>
      <c r="J204" s="29">
        <f>IF($B204="","",IF($A204=1,$C$7,IF(J203="",0,J203))+IF($H204="",0,$H204)-IF($I204="",0,$I204))</f>
        <v/>
      </c>
      <c r="K204" s="29">
        <f>IF($P204="","",IF(INDEX(EntryMan,$P204)=0,"",INDEX(EntryMan,$P204)))</f>
        <v/>
      </c>
      <c r="L204" s="28">
        <f>IF($B204="","",IF($K204="","—",IF(ROUND($K204-$J204,0)=0,"√","×")))</f>
        <v/>
      </c>
      <c r="M204" s="28">
        <f>IF($B204="","",IF(COUNTIFS(EntryDates,$B204,CalcTime,$C204,CalcBank,$C$5,EntryParty,$D204,EntryDep,$H204,EntryWit,$I204)&gt;1,"تکرار",""))</f>
        <v/>
      </c>
      <c r="N204" s="28">
        <f>IF($P204="","",IF(INDEX(EntryNotes,$P204)=0,"",INDEX(EntryNotes,$P204)))</f>
        <v/>
      </c>
      <c r="O204" s="28">
        <f>IF($P204="","",IF(INDEX(EntryTxnID,$P204)=0,"",INDEX(EntryTxnID,$P204)))</f>
        <v/>
      </c>
      <c r="P204" s="28">
        <f>IFERROR(MATCH($C$5&amp;"|"&amp;RIGHT("000000"&amp;188,6),CalcRankKey,0),"")</f>
        <v/>
      </c>
    </row>
    <row r="205">
      <c r="A205" s="26">
        <f>IF($B205="","",189)</f>
        <v/>
      </c>
      <c r="B205" s="26">
        <f>IF($P205="","",IF(INDEX(CalcNormDate,$P205)=0,"",INDEX(CalcNormDate,$P205)))</f>
        <v/>
      </c>
      <c r="C205" s="26">
        <f>IF($P205="","",IF(INDEX(CalcTime,$P205)=0,"",INDEX(CalcTime,$P205)))</f>
        <v/>
      </c>
      <c r="D205" s="26">
        <f>IF($P205="","",IF(INDEX(EntryParty,$P205)=0,"",INDEX(EntryParty,$P205)))</f>
        <v/>
      </c>
      <c r="E205" s="26">
        <f>IF($P205="","",IF(INDEX(EntryPartyName,$P205)=0,"",INDEX(EntryPartyName,$P205)))</f>
        <v/>
      </c>
      <c r="F205" s="26">
        <f>IF($P205="","",IF(INDEX(EntryPartyType,$P205)=0,"",INDEX(EntryPartyType,$P205)))</f>
        <v/>
      </c>
      <c r="G205" s="26">
        <f>IF($P205="","",IF(INDEX(EntryTxnType,$P205)=0,"",INDEX(EntryTxnType,$P205)))</f>
        <v/>
      </c>
      <c r="H205" s="27">
        <f>IF($P205="","",IF(INDEX(EntryDep,$P205)=0,"",INDEX(EntryDep,$P205)))</f>
        <v/>
      </c>
      <c r="I205" s="27">
        <f>IF($P205="","",IF(INDEX(EntryWit,$P205)=0,"",INDEX(EntryWit,$P205)))</f>
        <v/>
      </c>
      <c r="J205" s="27">
        <f>IF($B205="","",IF($A205=1,$C$7,IF(J204="",0,J204))+IF($H205="",0,$H205)-IF($I205="",0,$I205))</f>
        <v/>
      </c>
      <c r="K205" s="27">
        <f>IF($P205="","",IF(INDEX(EntryMan,$P205)=0,"",INDEX(EntryMan,$P205)))</f>
        <v/>
      </c>
      <c r="L205" s="26">
        <f>IF($B205="","",IF($K205="","—",IF(ROUND($K205-$J205,0)=0,"√","×")))</f>
        <v/>
      </c>
      <c r="M205" s="26">
        <f>IF($B205="","",IF(COUNTIFS(EntryDates,$B205,CalcTime,$C205,CalcBank,$C$5,EntryParty,$D205,EntryDep,$H205,EntryWit,$I205)&gt;1,"تکرار",""))</f>
        <v/>
      </c>
      <c r="N205" s="26">
        <f>IF($P205="","",IF(INDEX(EntryNotes,$P205)=0,"",INDEX(EntryNotes,$P205)))</f>
        <v/>
      </c>
      <c r="O205" s="26">
        <f>IF($P205="","",IF(INDEX(EntryTxnID,$P205)=0,"",INDEX(EntryTxnID,$P205)))</f>
        <v/>
      </c>
      <c r="P205" s="26">
        <f>IFERROR(MATCH($C$5&amp;"|"&amp;RIGHT("000000"&amp;189,6),CalcRankKey,0),"")</f>
        <v/>
      </c>
    </row>
    <row r="206">
      <c r="A206" s="28">
        <f>IF($B206="","",190)</f>
        <v/>
      </c>
      <c r="B206" s="28">
        <f>IF($P206="","",IF(INDEX(CalcNormDate,$P206)=0,"",INDEX(CalcNormDate,$P206)))</f>
        <v/>
      </c>
      <c r="C206" s="28">
        <f>IF($P206="","",IF(INDEX(CalcTime,$P206)=0,"",INDEX(CalcTime,$P206)))</f>
        <v/>
      </c>
      <c r="D206" s="28">
        <f>IF($P206="","",IF(INDEX(EntryParty,$P206)=0,"",INDEX(EntryParty,$P206)))</f>
        <v/>
      </c>
      <c r="E206" s="28">
        <f>IF($P206="","",IF(INDEX(EntryPartyName,$P206)=0,"",INDEX(EntryPartyName,$P206)))</f>
        <v/>
      </c>
      <c r="F206" s="28">
        <f>IF($P206="","",IF(INDEX(EntryPartyType,$P206)=0,"",INDEX(EntryPartyType,$P206)))</f>
        <v/>
      </c>
      <c r="G206" s="28">
        <f>IF($P206="","",IF(INDEX(EntryTxnType,$P206)=0,"",INDEX(EntryTxnType,$P206)))</f>
        <v/>
      </c>
      <c r="H206" s="29">
        <f>IF($P206="","",IF(INDEX(EntryDep,$P206)=0,"",INDEX(EntryDep,$P206)))</f>
        <v/>
      </c>
      <c r="I206" s="29">
        <f>IF($P206="","",IF(INDEX(EntryWit,$P206)=0,"",INDEX(EntryWit,$P206)))</f>
        <v/>
      </c>
      <c r="J206" s="29">
        <f>IF($B206="","",IF($A206=1,$C$7,IF(J205="",0,J205))+IF($H206="",0,$H206)-IF($I206="",0,$I206))</f>
        <v/>
      </c>
      <c r="K206" s="29">
        <f>IF($P206="","",IF(INDEX(EntryMan,$P206)=0,"",INDEX(EntryMan,$P206)))</f>
        <v/>
      </c>
      <c r="L206" s="28">
        <f>IF($B206="","",IF($K206="","—",IF(ROUND($K206-$J206,0)=0,"√","×")))</f>
        <v/>
      </c>
      <c r="M206" s="28">
        <f>IF($B206="","",IF(COUNTIFS(EntryDates,$B206,CalcTime,$C206,CalcBank,$C$5,EntryParty,$D206,EntryDep,$H206,EntryWit,$I206)&gt;1,"تکرار",""))</f>
        <v/>
      </c>
      <c r="N206" s="28">
        <f>IF($P206="","",IF(INDEX(EntryNotes,$P206)=0,"",INDEX(EntryNotes,$P206)))</f>
        <v/>
      </c>
      <c r="O206" s="28">
        <f>IF($P206="","",IF(INDEX(EntryTxnID,$P206)=0,"",INDEX(EntryTxnID,$P206)))</f>
        <v/>
      </c>
      <c r="P206" s="28">
        <f>IFERROR(MATCH($C$5&amp;"|"&amp;RIGHT("000000"&amp;190,6),CalcRankKey,0),"")</f>
        <v/>
      </c>
    </row>
    <row r="207">
      <c r="A207" s="26">
        <f>IF($B207="","",191)</f>
        <v/>
      </c>
      <c r="B207" s="26">
        <f>IF($P207="","",IF(INDEX(CalcNormDate,$P207)=0,"",INDEX(CalcNormDate,$P207)))</f>
        <v/>
      </c>
      <c r="C207" s="26">
        <f>IF($P207="","",IF(INDEX(CalcTime,$P207)=0,"",INDEX(CalcTime,$P207)))</f>
        <v/>
      </c>
      <c r="D207" s="26">
        <f>IF($P207="","",IF(INDEX(EntryParty,$P207)=0,"",INDEX(EntryParty,$P207)))</f>
        <v/>
      </c>
      <c r="E207" s="26">
        <f>IF($P207="","",IF(INDEX(EntryPartyName,$P207)=0,"",INDEX(EntryPartyName,$P207)))</f>
        <v/>
      </c>
      <c r="F207" s="26">
        <f>IF($P207="","",IF(INDEX(EntryPartyType,$P207)=0,"",INDEX(EntryPartyType,$P207)))</f>
        <v/>
      </c>
      <c r="G207" s="26">
        <f>IF($P207="","",IF(INDEX(EntryTxnType,$P207)=0,"",INDEX(EntryTxnType,$P207)))</f>
        <v/>
      </c>
      <c r="H207" s="27">
        <f>IF($P207="","",IF(INDEX(EntryDep,$P207)=0,"",INDEX(EntryDep,$P207)))</f>
        <v/>
      </c>
      <c r="I207" s="27">
        <f>IF($P207="","",IF(INDEX(EntryWit,$P207)=0,"",INDEX(EntryWit,$P207)))</f>
        <v/>
      </c>
      <c r="J207" s="27">
        <f>IF($B207="","",IF($A207=1,$C$7,IF(J206="",0,J206))+IF($H207="",0,$H207)-IF($I207="",0,$I207))</f>
        <v/>
      </c>
      <c r="K207" s="27">
        <f>IF($P207="","",IF(INDEX(EntryMan,$P207)=0,"",INDEX(EntryMan,$P207)))</f>
        <v/>
      </c>
      <c r="L207" s="26">
        <f>IF($B207="","",IF($K207="","—",IF(ROUND($K207-$J207,0)=0,"√","×")))</f>
        <v/>
      </c>
      <c r="M207" s="26">
        <f>IF($B207="","",IF(COUNTIFS(EntryDates,$B207,CalcTime,$C207,CalcBank,$C$5,EntryParty,$D207,EntryDep,$H207,EntryWit,$I207)&gt;1,"تکرار",""))</f>
        <v/>
      </c>
      <c r="N207" s="26">
        <f>IF($P207="","",IF(INDEX(EntryNotes,$P207)=0,"",INDEX(EntryNotes,$P207)))</f>
        <v/>
      </c>
      <c r="O207" s="26">
        <f>IF($P207="","",IF(INDEX(EntryTxnID,$P207)=0,"",INDEX(EntryTxnID,$P207)))</f>
        <v/>
      </c>
      <c r="P207" s="26">
        <f>IFERROR(MATCH($C$5&amp;"|"&amp;RIGHT("000000"&amp;191,6),CalcRankKey,0),"")</f>
        <v/>
      </c>
    </row>
    <row r="208">
      <c r="A208" s="28">
        <f>IF($B208="","",192)</f>
        <v/>
      </c>
      <c r="B208" s="28">
        <f>IF($P208="","",IF(INDEX(CalcNormDate,$P208)=0,"",INDEX(CalcNormDate,$P208)))</f>
        <v/>
      </c>
      <c r="C208" s="28">
        <f>IF($P208="","",IF(INDEX(CalcTime,$P208)=0,"",INDEX(CalcTime,$P208)))</f>
        <v/>
      </c>
      <c r="D208" s="28">
        <f>IF($P208="","",IF(INDEX(EntryParty,$P208)=0,"",INDEX(EntryParty,$P208)))</f>
        <v/>
      </c>
      <c r="E208" s="28">
        <f>IF($P208="","",IF(INDEX(EntryPartyName,$P208)=0,"",INDEX(EntryPartyName,$P208)))</f>
        <v/>
      </c>
      <c r="F208" s="28">
        <f>IF($P208="","",IF(INDEX(EntryPartyType,$P208)=0,"",INDEX(EntryPartyType,$P208)))</f>
        <v/>
      </c>
      <c r="G208" s="28">
        <f>IF($P208="","",IF(INDEX(EntryTxnType,$P208)=0,"",INDEX(EntryTxnType,$P208)))</f>
        <v/>
      </c>
      <c r="H208" s="29">
        <f>IF($P208="","",IF(INDEX(EntryDep,$P208)=0,"",INDEX(EntryDep,$P208)))</f>
        <v/>
      </c>
      <c r="I208" s="29">
        <f>IF($P208="","",IF(INDEX(EntryWit,$P208)=0,"",INDEX(EntryWit,$P208)))</f>
        <v/>
      </c>
      <c r="J208" s="29">
        <f>IF($B208="","",IF($A208=1,$C$7,IF(J207="",0,J207))+IF($H208="",0,$H208)-IF($I208="",0,$I208))</f>
        <v/>
      </c>
      <c r="K208" s="29">
        <f>IF($P208="","",IF(INDEX(EntryMan,$P208)=0,"",INDEX(EntryMan,$P208)))</f>
        <v/>
      </c>
      <c r="L208" s="28">
        <f>IF($B208="","",IF($K208="","—",IF(ROUND($K208-$J208,0)=0,"√","×")))</f>
        <v/>
      </c>
      <c r="M208" s="28">
        <f>IF($B208="","",IF(COUNTIFS(EntryDates,$B208,CalcTime,$C208,CalcBank,$C$5,EntryParty,$D208,EntryDep,$H208,EntryWit,$I208)&gt;1,"تکرار",""))</f>
        <v/>
      </c>
      <c r="N208" s="28">
        <f>IF($P208="","",IF(INDEX(EntryNotes,$P208)=0,"",INDEX(EntryNotes,$P208)))</f>
        <v/>
      </c>
      <c r="O208" s="28">
        <f>IF($P208="","",IF(INDEX(EntryTxnID,$P208)=0,"",INDEX(EntryTxnID,$P208)))</f>
        <v/>
      </c>
      <c r="P208" s="28">
        <f>IFERROR(MATCH($C$5&amp;"|"&amp;RIGHT("000000"&amp;192,6),CalcRankKey,0),"")</f>
        <v/>
      </c>
    </row>
    <row r="209">
      <c r="A209" s="26">
        <f>IF($B209="","",193)</f>
        <v/>
      </c>
      <c r="B209" s="26">
        <f>IF($P209="","",IF(INDEX(CalcNormDate,$P209)=0,"",INDEX(CalcNormDate,$P209)))</f>
        <v/>
      </c>
      <c r="C209" s="26">
        <f>IF($P209="","",IF(INDEX(CalcTime,$P209)=0,"",INDEX(CalcTime,$P209)))</f>
        <v/>
      </c>
      <c r="D209" s="26">
        <f>IF($P209="","",IF(INDEX(EntryParty,$P209)=0,"",INDEX(EntryParty,$P209)))</f>
        <v/>
      </c>
      <c r="E209" s="26">
        <f>IF($P209="","",IF(INDEX(EntryPartyName,$P209)=0,"",INDEX(EntryPartyName,$P209)))</f>
        <v/>
      </c>
      <c r="F209" s="26">
        <f>IF($P209="","",IF(INDEX(EntryPartyType,$P209)=0,"",INDEX(EntryPartyType,$P209)))</f>
        <v/>
      </c>
      <c r="G209" s="26">
        <f>IF($P209="","",IF(INDEX(EntryTxnType,$P209)=0,"",INDEX(EntryTxnType,$P209)))</f>
        <v/>
      </c>
      <c r="H209" s="27">
        <f>IF($P209="","",IF(INDEX(EntryDep,$P209)=0,"",INDEX(EntryDep,$P209)))</f>
        <v/>
      </c>
      <c r="I209" s="27">
        <f>IF($P209="","",IF(INDEX(EntryWit,$P209)=0,"",INDEX(EntryWit,$P209)))</f>
        <v/>
      </c>
      <c r="J209" s="27">
        <f>IF($B209="","",IF($A209=1,$C$7,IF(J208="",0,J208))+IF($H209="",0,$H209)-IF($I209="",0,$I209))</f>
        <v/>
      </c>
      <c r="K209" s="27">
        <f>IF($P209="","",IF(INDEX(EntryMan,$P209)=0,"",INDEX(EntryMan,$P209)))</f>
        <v/>
      </c>
      <c r="L209" s="26">
        <f>IF($B209="","",IF($K209="","—",IF(ROUND($K209-$J209,0)=0,"√","×")))</f>
        <v/>
      </c>
      <c r="M209" s="26">
        <f>IF($B209="","",IF(COUNTIFS(EntryDates,$B209,CalcTime,$C209,CalcBank,$C$5,EntryParty,$D209,EntryDep,$H209,EntryWit,$I209)&gt;1,"تکرار",""))</f>
        <v/>
      </c>
      <c r="N209" s="26">
        <f>IF($P209="","",IF(INDEX(EntryNotes,$P209)=0,"",INDEX(EntryNotes,$P209)))</f>
        <v/>
      </c>
      <c r="O209" s="26">
        <f>IF($P209="","",IF(INDEX(EntryTxnID,$P209)=0,"",INDEX(EntryTxnID,$P209)))</f>
        <v/>
      </c>
      <c r="P209" s="26">
        <f>IFERROR(MATCH($C$5&amp;"|"&amp;RIGHT("000000"&amp;193,6),CalcRankKey,0),"")</f>
        <v/>
      </c>
    </row>
    <row r="210">
      <c r="A210" s="28">
        <f>IF($B210="","",194)</f>
        <v/>
      </c>
      <c r="B210" s="28">
        <f>IF($P210="","",IF(INDEX(CalcNormDate,$P210)=0,"",INDEX(CalcNormDate,$P210)))</f>
        <v/>
      </c>
      <c r="C210" s="28">
        <f>IF($P210="","",IF(INDEX(CalcTime,$P210)=0,"",INDEX(CalcTime,$P210)))</f>
        <v/>
      </c>
      <c r="D210" s="28">
        <f>IF($P210="","",IF(INDEX(EntryParty,$P210)=0,"",INDEX(EntryParty,$P210)))</f>
        <v/>
      </c>
      <c r="E210" s="28">
        <f>IF($P210="","",IF(INDEX(EntryPartyName,$P210)=0,"",INDEX(EntryPartyName,$P210)))</f>
        <v/>
      </c>
      <c r="F210" s="28">
        <f>IF($P210="","",IF(INDEX(EntryPartyType,$P210)=0,"",INDEX(EntryPartyType,$P210)))</f>
        <v/>
      </c>
      <c r="G210" s="28">
        <f>IF($P210="","",IF(INDEX(EntryTxnType,$P210)=0,"",INDEX(EntryTxnType,$P210)))</f>
        <v/>
      </c>
      <c r="H210" s="29">
        <f>IF($P210="","",IF(INDEX(EntryDep,$P210)=0,"",INDEX(EntryDep,$P210)))</f>
        <v/>
      </c>
      <c r="I210" s="29">
        <f>IF($P210="","",IF(INDEX(EntryWit,$P210)=0,"",INDEX(EntryWit,$P210)))</f>
        <v/>
      </c>
      <c r="J210" s="29">
        <f>IF($B210="","",IF($A210=1,$C$7,IF(J209="",0,J209))+IF($H210="",0,$H210)-IF($I210="",0,$I210))</f>
        <v/>
      </c>
      <c r="K210" s="29">
        <f>IF($P210="","",IF(INDEX(EntryMan,$P210)=0,"",INDEX(EntryMan,$P210)))</f>
        <v/>
      </c>
      <c r="L210" s="28">
        <f>IF($B210="","",IF($K210="","—",IF(ROUND($K210-$J210,0)=0,"√","×")))</f>
        <v/>
      </c>
      <c r="M210" s="28">
        <f>IF($B210="","",IF(COUNTIFS(EntryDates,$B210,CalcTime,$C210,CalcBank,$C$5,EntryParty,$D210,EntryDep,$H210,EntryWit,$I210)&gt;1,"تکرار",""))</f>
        <v/>
      </c>
      <c r="N210" s="28">
        <f>IF($P210="","",IF(INDEX(EntryNotes,$P210)=0,"",INDEX(EntryNotes,$P210)))</f>
        <v/>
      </c>
      <c r="O210" s="28">
        <f>IF($P210="","",IF(INDEX(EntryTxnID,$P210)=0,"",INDEX(EntryTxnID,$P210)))</f>
        <v/>
      </c>
      <c r="P210" s="28">
        <f>IFERROR(MATCH($C$5&amp;"|"&amp;RIGHT("000000"&amp;194,6),CalcRankKey,0),"")</f>
        <v/>
      </c>
    </row>
    <row r="211">
      <c r="A211" s="26">
        <f>IF($B211="","",195)</f>
        <v/>
      </c>
      <c r="B211" s="26">
        <f>IF($P211="","",IF(INDEX(CalcNormDate,$P211)=0,"",INDEX(CalcNormDate,$P211)))</f>
        <v/>
      </c>
      <c r="C211" s="26">
        <f>IF($P211="","",IF(INDEX(CalcTime,$P211)=0,"",INDEX(CalcTime,$P211)))</f>
        <v/>
      </c>
      <c r="D211" s="26">
        <f>IF($P211="","",IF(INDEX(EntryParty,$P211)=0,"",INDEX(EntryParty,$P211)))</f>
        <v/>
      </c>
      <c r="E211" s="26">
        <f>IF($P211="","",IF(INDEX(EntryPartyName,$P211)=0,"",INDEX(EntryPartyName,$P211)))</f>
        <v/>
      </c>
      <c r="F211" s="26">
        <f>IF($P211="","",IF(INDEX(EntryPartyType,$P211)=0,"",INDEX(EntryPartyType,$P211)))</f>
        <v/>
      </c>
      <c r="G211" s="26">
        <f>IF($P211="","",IF(INDEX(EntryTxnType,$P211)=0,"",INDEX(EntryTxnType,$P211)))</f>
        <v/>
      </c>
      <c r="H211" s="27">
        <f>IF($P211="","",IF(INDEX(EntryDep,$P211)=0,"",INDEX(EntryDep,$P211)))</f>
        <v/>
      </c>
      <c r="I211" s="27">
        <f>IF($P211="","",IF(INDEX(EntryWit,$P211)=0,"",INDEX(EntryWit,$P211)))</f>
        <v/>
      </c>
      <c r="J211" s="27">
        <f>IF($B211="","",IF($A211=1,$C$7,IF(J210="",0,J210))+IF($H211="",0,$H211)-IF($I211="",0,$I211))</f>
        <v/>
      </c>
      <c r="K211" s="27">
        <f>IF($P211="","",IF(INDEX(EntryMan,$P211)=0,"",INDEX(EntryMan,$P211)))</f>
        <v/>
      </c>
      <c r="L211" s="26">
        <f>IF($B211="","",IF($K211="","—",IF(ROUND($K211-$J211,0)=0,"√","×")))</f>
        <v/>
      </c>
      <c r="M211" s="26">
        <f>IF($B211="","",IF(COUNTIFS(EntryDates,$B211,CalcTime,$C211,CalcBank,$C$5,EntryParty,$D211,EntryDep,$H211,EntryWit,$I211)&gt;1,"تکرار",""))</f>
        <v/>
      </c>
      <c r="N211" s="26">
        <f>IF($P211="","",IF(INDEX(EntryNotes,$P211)=0,"",INDEX(EntryNotes,$P211)))</f>
        <v/>
      </c>
      <c r="O211" s="26">
        <f>IF($P211="","",IF(INDEX(EntryTxnID,$P211)=0,"",INDEX(EntryTxnID,$P211)))</f>
        <v/>
      </c>
      <c r="P211" s="26">
        <f>IFERROR(MATCH($C$5&amp;"|"&amp;RIGHT("000000"&amp;195,6),CalcRankKey,0),"")</f>
        <v/>
      </c>
    </row>
    <row r="212">
      <c r="A212" s="28">
        <f>IF($B212="","",196)</f>
        <v/>
      </c>
      <c r="B212" s="28">
        <f>IF($P212="","",IF(INDEX(CalcNormDate,$P212)=0,"",INDEX(CalcNormDate,$P212)))</f>
        <v/>
      </c>
      <c r="C212" s="28">
        <f>IF($P212="","",IF(INDEX(CalcTime,$P212)=0,"",INDEX(CalcTime,$P212)))</f>
        <v/>
      </c>
      <c r="D212" s="28">
        <f>IF($P212="","",IF(INDEX(EntryParty,$P212)=0,"",INDEX(EntryParty,$P212)))</f>
        <v/>
      </c>
      <c r="E212" s="28">
        <f>IF($P212="","",IF(INDEX(EntryPartyName,$P212)=0,"",INDEX(EntryPartyName,$P212)))</f>
        <v/>
      </c>
      <c r="F212" s="28">
        <f>IF($P212="","",IF(INDEX(EntryPartyType,$P212)=0,"",INDEX(EntryPartyType,$P212)))</f>
        <v/>
      </c>
      <c r="G212" s="28">
        <f>IF($P212="","",IF(INDEX(EntryTxnType,$P212)=0,"",INDEX(EntryTxnType,$P212)))</f>
        <v/>
      </c>
      <c r="H212" s="29">
        <f>IF($P212="","",IF(INDEX(EntryDep,$P212)=0,"",INDEX(EntryDep,$P212)))</f>
        <v/>
      </c>
      <c r="I212" s="29">
        <f>IF($P212="","",IF(INDEX(EntryWit,$P212)=0,"",INDEX(EntryWit,$P212)))</f>
        <v/>
      </c>
      <c r="J212" s="29">
        <f>IF($B212="","",IF($A212=1,$C$7,IF(J211="",0,J211))+IF($H212="",0,$H212)-IF($I212="",0,$I212))</f>
        <v/>
      </c>
      <c r="K212" s="29">
        <f>IF($P212="","",IF(INDEX(EntryMan,$P212)=0,"",INDEX(EntryMan,$P212)))</f>
        <v/>
      </c>
      <c r="L212" s="28">
        <f>IF($B212="","",IF($K212="","—",IF(ROUND($K212-$J212,0)=0,"√","×")))</f>
        <v/>
      </c>
      <c r="M212" s="28">
        <f>IF($B212="","",IF(COUNTIFS(EntryDates,$B212,CalcTime,$C212,CalcBank,$C$5,EntryParty,$D212,EntryDep,$H212,EntryWit,$I212)&gt;1,"تکرار",""))</f>
        <v/>
      </c>
      <c r="N212" s="28">
        <f>IF($P212="","",IF(INDEX(EntryNotes,$P212)=0,"",INDEX(EntryNotes,$P212)))</f>
        <v/>
      </c>
      <c r="O212" s="28">
        <f>IF($P212="","",IF(INDEX(EntryTxnID,$P212)=0,"",INDEX(EntryTxnID,$P212)))</f>
        <v/>
      </c>
      <c r="P212" s="28">
        <f>IFERROR(MATCH($C$5&amp;"|"&amp;RIGHT("000000"&amp;196,6),CalcRankKey,0),"")</f>
        <v/>
      </c>
    </row>
    <row r="213">
      <c r="A213" s="26">
        <f>IF($B213="","",197)</f>
        <v/>
      </c>
      <c r="B213" s="26">
        <f>IF($P213="","",IF(INDEX(CalcNormDate,$P213)=0,"",INDEX(CalcNormDate,$P213)))</f>
        <v/>
      </c>
      <c r="C213" s="26">
        <f>IF($P213="","",IF(INDEX(CalcTime,$P213)=0,"",INDEX(CalcTime,$P213)))</f>
        <v/>
      </c>
      <c r="D213" s="26">
        <f>IF($P213="","",IF(INDEX(EntryParty,$P213)=0,"",INDEX(EntryParty,$P213)))</f>
        <v/>
      </c>
      <c r="E213" s="26">
        <f>IF($P213="","",IF(INDEX(EntryPartyName,$P213)=0,"",INDEX(EntryPartyName,$P213)))</f>
        <v/>
      </c>
      <c r="F213" s="26">
        <f>IF($P213="","",IF(INDEX(EntryPartyType,$P213)=0,"",INDEX(EntryPartyType,$P213)))</f>
        <v/>
      </c>
      <c r="G213" s="26">
        <f>IF($P213="","",IF(INDEX(EntryTxnType,$P213)=0,"",INDEX(EntryTxnType,$P213)))</f>
        <v/>
      </c>
      <c r="H213" s="27">
        <f>IF($P213="","",IF(INDEX(EntryDep,$P213)=0,"",INDEX(EntryDep,$P213)))</f>
        <v/>
      </c>
      <c r="I213" s="27">
        <f>IF($P213="","",IF(INDEX(EntryWit,$P213)=0,"",INDEX(EntryWit,$P213)))</f>
        <v/>
      </c>
      <c r="J213" s="27">
        <f>IF($B213="","",IF($A213=1,$C$7,IF(J212="",0,J212))+IF($H213="",0,$H213)-IF($I213="",0,$I213))</f>
        <v/>
      </c>
      <c r="K213" s="27">
        <f>IF($P213="","",IF(INDEX(EntryMan,$P213)=0,"",INDEX(EntryMan,$P213)))</f>
        <v/>
      </c>
      <c r="L213" s="26">
        <f>IF($B213="","",IF($K213="","—",IF(ROUND($K213-$J213,0)=0,"√","×")))</f>
        <v/>
      </c>
      <c r="M213" s="26">
        <f>IF($B213="","",IF(COUNTIFS(EntryDates,$B213,CalcTime,$C213,CalcBank,$C$5,EntryParty,$D213,EntryDep,$H213,EntryWit,$I213)&gt;1,"تکرار",""))</f>
        <v/>
      </c>
      <c r="N213" s="26">
        <f>IF($P213="","",IF(INDEX(EntryNotes,$P213)=0,"",INDEX(EntryNotes,$P213)))</f>
        <v/>
      </c>
      <c r="O213" s="26">
        <f>IF($P213="","",IF(INDEX(EntryTxnID,$P213)=0,"",INDEX(EntryTxnID,$P213)))</f>
        <v/>
      </c>
      <c r="P213" s="26">
        <f>IFERROR(MATCH($C$5&amp;"|"&amp;RIGHT("000000"&amp;197,6),CalcRankKey,0),"")</f>
        <v/>
      </c>
    </row>
    <row r="214">
      <c r="A214" s="28">
        <f>IF($B214="","",198)</f>
        <v/>
      </c>
      <c r="B214" s="28">
        <f>IF($P214="","",IF(INDEX(CalcNormDate,$P214)=0,"",INDEX(CalcNormDate,$P214)))</f>
        <v/>
      </c>
      <c r="C214" s="28">
        <f>IF($P214="","",IF(INDEX(CalcTime,$P214)=0,"",INDEX(CalcTime,$P214)))</f>
        <v/>
      </c>
      <c r="D214" s="28">
        <f>IF($P214="","",IF(INDEX(EntryParty,$P214)=0,"",INDEX(EntryParty,$P214)))</f>
        <v/>
      </c>
      <c r="E214" s="28">
        <f>IF($P214="","",IF(INDEX(EntryPartyName,$P214)=0,"",INDEX(EntryPartyName,$P214)))</f>
        <v/>
      </c>
      <c r="F214" s="28">
        <f>IF($P214="","",IF(INDEX(EntryPartyType,$P214)=0,"",INDEX(EntryPartyType,$P214)))</f>
        <v/>
      </c>
      <c r="G214" s="28">
        <f>IF($P214="","",IF(INDEX(EntryTxnType,$P214)=0,"",INDEX(EntryTxnType,$P214)))</f>
        <v/>
      </c>
      <c r="H214" s="29">
        <f>IF($P214="","",IF(INDEX(EntryDep,$P214)=0,"",INDEX(EntryDep,$P214)))</f>
        <v/>
      </c>
      <c r="I214" s="29">
        <f>IF($P214="","",IF(INDEX(EntryWit,$P214)=0,"",INDEX(EntryWit,$P214)))</f>
        <v/>
      </c>
      <c r="J214" s="29">
        <f>IF($B214="","",IF($A214=1,$C$7,IF(J213="",0,J213))+IF($H214="",0,$H214)-IF($I214="",0,$I214))</f>
        <v/>
      </c>
      <c r="K214" s="29">
        <f>IF($P214="","",IF(INDEX(EntryMan,$P214)=0,"",INDEX(EntryMan,$P214)))</f>
        <v/>
      </c>
      <c r="L214" s="28">
        <f>IF($B214="","",IF($K214="","—",IF(ROUND($K214-$J214,0)=0,"√","×")))</f>
        <v/>
      </c>
      <c r="M214" s="28">
        <f>IF($B214="","",IF(COUNTIFS(EntryDates,$B214,CalcTime,$C214,CalcBank,$C$5,EntryParty,$D214,EntryDep,$H214,EntryWit,$I214)&gt;1,"تکرار",""))</f>
        <v/>
      </c>
      <c r="N214" s="28">
        <f>IF($P214="","",IF(INDEX(EntryNotes,$P214)=0,"",INDEX(EntryNotes,$P214)))</f>
        <v/>
      </c>
      <c r="O214" s="28">
        <f>IF($P214="","",IF(INDEX(EntryTxnID,$P214)=0,"",INDEX(EntryTxnID,$P214)))</f>
        <v/>
      </c>
      <c r="P214" s="28">
        <f>IFERROR(MATCH($C$5&amp;"|"&amp;RIGHT("000000"&amp;198,6),CalcRankKey,0),"")</f>
        <v/>
      </c>
    </row>
    <row r="215">
      <c r="A215" s="26">
        <f>IF($B215="","",199)</f>
        <v/>
      </c>
      <c r="B215" s="26">
        <f>IF($P215="","",IF(INDEX(CalcNormDate,$P215)=0,"",INDEX(CalcNormDate,$P215)))</f>
        <v/>
      </c>
      <c r="C215" s="26">
        <f>IF($P215="","",IF(INDEX(CalcTime,$P215)=0,"",INDEX(CalcTime,$P215)))</f>
        <v/>
      </c>
      <c r="D215" s="26">
        <f>IF($P215="","",IF(INDEX(EntryParty,$P215)=0,"",INDEX(EntryParty,$P215)))</f>
        <v/>
      </c>
      <c r="E215" s="26">
        <f>IF($P215="","",IF(INDEX(EntryPartyName,$P215)=0,"",INDEX(EntryPartyName,$P215)))</f>
        <v/>
      </c>
      <c r="F215" s="26">
        <f>IF($P215="","",IF(INDEX(EntryPartyType,$P215)=0,"",INDEX(EntryPartyType,$P215)))</f>
        <v/>
      </c>
      <c r="G215" s="26">
        <f>IF($P215="","",IF(INDEX(EntryTxnType,$P215)=0,"",INDEX(EntryTxnType,$P215)))</f>
        <v/>
      </c>
      <c r="H215" s="27">
        <f>IF($P215="","",IF(INDEX(EntryDep,$P215)=0,"",INDEX(EntryDep,$P215)))</f>
        <v/>
      </c>
      <c r="I215" s="27">
        <f>IF($P215="","",IF(INDEX(EntryWit,$P215)=0,"",INDEX(EntryWit,$P215)))</f>
        <v/>
      </c>
      <c r="J215" s="27">
        <f>IF($B215="","",IF($A215=1,$C$7,IF(J214="",0,J214))+IF($H215="",0,$H215)-IF($I215="",0,$I215))</f>
        <v/>
      </c>
      <c r="K215" s="27">
        <f>IF($P215="","",IF(INDEX(EntryMan,$P215)=0,"",INDEX(EntryMan,$P215)))</f>
        <v/>
      </c>
      <c r="L215" s="26">
        <f>IF($B215="","",IF($K215="","—",IF(ROUND($K215-$J215,0)=0,"√","×")))</f>
        <v/>
      </c>
      <c r="M215" s="26">
        <f>IF($B215="","",IF(COUNTIFS(EntryDates,$B215,CalcTime,$C215,CalcBank,$C$5,EntryParty,$D215,EntryDep,$H215,EntryWit,$I215)&gt;1,"تکرار",""))</f>
        <v/>
      </c>
      <c r="N215" s="26">
        <f>IF($P215="","",IF(INDEX(EntryNotes,$P215)=0,"",INDEX(EntryNotes,$P215)))</f>
        <v/>
      </c>
      <c r="O215" s="26">
        <f>IF($P215="","",IF(INDEX(EntryTxnID,$P215)=0,"",INDEX(EntryTxnID,$P215)))</f>
        <v/>
      </c>
      <c r="P215" s="26">
        <f>IFERROR(MATCH($C$5&amp;"|"&amp;RIGHT("000000"&amp;199,6),CalcRankKey,0),"")</f>
        <v/>
      </c>
    </row>
    <row r="216">
      <c r="A216" s="28">
        <f>IF($B216="","",200)</f>
        <v/>
      </c>
      <c r="B216" s="28">
        <f>IF($P216="","",IF(INDEX(CalcNormDate,$P216)=0,"",INDEX(CalcNormDate,$P216)))</f>
        <v/>
      </c>
      <c r="C216" s="28">
        <f>IF($P216="","",IF(INDEX(CalcTime,$P216)=0,"",INDEX(CalcTime,$P216)))</f>
        <v/>
      </c>
      <c r="D216" s="28">
        <f>IF($P216="","",IF(INDEX(EntryParty,$P216)=0,"",INDEX(EntryParty,$P216)))</f>
        <v/>
      </c>
      <c r="E216" s="28">
        <f>IF($P216="","",IF(INDEX(EntryPartyName,$P216)=0,"",INDEX(EntryPartyName,$P216)))</f>
        <v/>
      </c>
      <c r="F216" s="28">
        <f>IF($P216="","",IF(INDEX(EntryPartyType,$P216)=0,"",INDEX(EntryPartyType,$P216)))</f>
        <v/>
      </c>
      <c r="G216" s="28">
        <f>IF($P216="","",IF(INDEX(EntryTxnType,$P216)=0,"",INDEX(EntryTxnType,$P216)))</f>
        <v/>
      </c>
      <c r="H216" s="29">
        <f>IF($P216="","",IF(INDEX(EntryDep,$P216)=0,"",INDEX(EntryDep,$P216)))</f>
        <v/>
      </c>
      <c r="I216" s="29">
        <f>IF($P216="","",IF(INDEX(EntryWit,$P216)=0,"",INDEX(EntryWit,$P216)))</f>
        <v/>
      </c>
      <c r="J216" s="29">
        <f>IF($B216="","",IF($A216=1,$C$7,IF(J215="",0,J215))+IF($H216="",0,$H216)-IF($I216="",0,$I216))</f>
        <v/>
      </c>
      <c r="K216" s="29">
        <f>IF($P216="","",IF(INDEX(EntryMan,$P216)=0,"",INDEX(EntryMan,$P216)))</f>
        <v/>
      </c>
      <c r="L216" s="28">
        <f>IF($B216="","",IF($K216="","—",IF(ROUND($K216-$J216,0)=0,"√","×")))</f>
        <v/>
      </c>
      <c r="M216" s="28">
        <f>IF($B216="","",IF(COUNTIFS(EntryDates,$B216,CalcTime,$C216,CalcBank,$C$5,EntryParty,$D216,EntryDep,$H216,EntryWit,$I216)&gt;1,"تکرار",""))</f>
        <v/>
      </c>
      <c r="N216" s="28">
        <f>IF($P216="","",IF(INDEX(EntryNotes,$P216)=0,"",INDEX(EntryNotes,$P216)))</f>
        <v/>
      </c>
      <c r="O216" s="28">
        <f>IF($P216="","",IF(INDEX(EntryTxnID,$P216)=0,"",INDEX(EntryTxnID,$P216)))</f>
        <v/>
      </c>
      <c r="P216" s="28">
        <f>IFERROR(MATCH($C$5&amp;"|"&amp;RIGHT("000000"&amp;200,6),CalcRankKey,0),"")</f>
        <v/>
      </c>
    </row>
    <row r="217">
      <c r="A217" s="26">
        <f>IF($B217="","",201)</f>
        <v/>
      </c>
      <c r="B217" s="26">
        <f>IF($P217="","",IF(INDEX(CalcNormDate,$P217)=0,"",INDEX(CalcNormDate,$P217)))</f>
        <v/>
      </c>
      <c r="C217" s="26">
        <f>IF($P217="","",IF(INDEX(CalcTime,$P217)=0,"",INDEX(CalcTime,$P217)))</f>
        <v/>
      </c>
      <c r="D217" s="26">
        <f>IF($P217="","",IF(INDEX(EntryParty,$P217)=0,"",INDEX(EntryParty,$P217)))</f>
        <v/>
      </c>
      <c r="E217" s="26">
        <f>IF($P217="","",IF(INDEX(EntryPartyName,$P217)=0,"",INDEX(EntryPartyName,$P217)))</f>
        <v/>
      </c>
      <c r="F217" s="26">
        <f>IF($P217="","",IF(INDEX(EntryPartyType,$P217)=0,"",INDEX(EntryPartyType,$P217)))</f>
        <v/>
      </c>
      <c r="G217" s="26">
        <f>IF($P217="","",IF(INDEX(EntryTxnType,$P217)=0,"",INDEX(EntryTxnType,$P217)))</f>
        <v/>
      </c>
      <c r="H217" s="27">
        <f>IF($P217="","",IF(INDEX(EntryDep,$P217)=0,"",INDEX(EntryDep,$P217)))</f>
        <v/>
      </c>
      <c r="I217" s="27">
        <f>IF($P217="","",IF(INDEX(EntryWit,$P217)=0,"",INDEX(EntryWit,$P217)))</f>
        <v/>
      </c>
      <c r="J217" s="27">
        <f>IF($B217="","",IF($A217=1,$C$7,IF(J216="",0,J216))+IF($H217="",0,$H217)-IF($I217="",0,$I217))</f>
        <v/>
      </c>
      <c r="K217" s="27">
        <f>IF($P217="","",IF(INDEX(EntryMan,$P217)=0,"",INDEX(EntryMan,$P217)))</f>
        <v/>
      </c>
      <c r="L217" s="26">
        <f>IF($B217="","",IF($K217="","—",IF(ROUND($K217-$J217,0)=0,"√","×")))</f>
        <v/>
      </c>
      <c r="M217" s="26">
        <f>IF($B217="","",IF(COUNTIFS(EntryDates,$B217,CalcTime,$C217,CalcBank,$C$5,EntryParty,$D217,EntryDep,$H217,EntryWit,$I217)&gt;1,"تکرار",""))</f>
        <v/>
      </c>
      <c r="N217" s="26">
        <f>IF($P217="","",IF(INDEX(EntryNotes,$P217)=0,"",INDEX(EntryNotes,$P217)))</f>
        <v/>
      </c>
      <c r="O217" s="26">
        <f>IF($P217="","",IF(INDEX(EntryTxnID,$P217)=0,"",INDEX(EntryTxnID,$P217)))</f>
        <v/>
      </c>
      <c r="P217" s="26">
        <f>IFERROR(MATCH($C$5&amp;"|"&amp;RIGHT("000000"&amp;201,6),CalcRankKey,0),"")</f>
        <v/>
      </c>
    </row>
    <row r="218">
      <c r="A218" s="28">
        <f>IF($B218="","",202)</f>
        <v/>
      </c>
      <c r="B218" s="28">
        <f>IF($P218="","",IF(INDEX(CalcNormDate,$P218)=0,"",INDEX(CalcNormDate,$P218)))</f>
        <v/>
      </c>
      <c r="C218" s="28">
        <f>IF($P218="","",IF(INDEX(CalcTime,$P218)=0,"",INDEX(CalcTime,$P218)))</f>
        <v/>
      </c>
      <c r="D218" s="28">
        <f>IF($P218="","",IF(INDEX(EntryParty,$P218)=0,"",INDEX(EntryParty,$P218)))</f>
        <v/>
      </c>
      <c r="E218" s="28">
        <f>IF($P218="","",IF(INDEX(EntryPartyName,$P218)=0,"",INDEX(EntryPartyName,$P218)))</f>
        <v/>
      </c>
      <c r="F218" s="28">
        <f>IF($P218="","",IF(INDEX(EntryPartyType,$P218)=0,"",INDEX(EntryPartyType,$P218)))</f>
        <v/>
      </c>
      <c r="G218" s="28">
        <f>IF($P218="","",IF(INDEX(EntryTxnType,$P218)=0,"",INDEX(EntryTxnType,$P218)))</f>
        <v/>
      </c>
      <c r="H218" s="29">
        <f>IF($P218="","",IF(INDEX(EntryDep,$P218)=0,"",INDEX(EntryDep,$P218)))</f>
        <v/>
      </c>
      <c r="I218" s="29">
        <f>IF($P218="","",IF(INDEX(EntryWit,$P218)=0,"",INDEX(EntryWit,$P218)))</f>
        <v/>
      </c>
      <c r="J218" s="29">
        <f>IF($B218="","",IF($A218=1,$C$7,IF(J217="",0,J217))+IF($H218="",0,$H218)-IF($I218="",0,$I218))</f>
        <v/>
      </c>
      <c r="K218" s="29">
        <f>IF($P218="","",IF(INDEX(EntryMan,$P218)=0,"",INDEX(EntryMan,$P218)))</f>
        <v/>
      </c>
      <c r="L218" s="28">
        <f>IF($B218="","",IF($K218="","—",IF(ROUND($K218-$J218,0)=0,"√","×")))</f>
        <v/>
      </c>
      <c r="M218" s="28">
        <f>IF($B218="","",IF(COUNTIFS(EntryDates,$B218,CalcTime,$C218,CalcBank,$C$5,EntryParty,$D218,EntryDep,$H218,EntryWit,$I218)&gt;1,"تکرار",""))</f>
        <v/>
      </c>
      <c r="N218" s="28">
        <f>IF($P218="","",IF(INDEX(EntryNotes,$P218)=0,"",INDEX(EntryNotes,$P218)))</f>
        <v/>
      </c>
      <c r="O218" s="28">
        <f>IF($P218="","",IF(INDEX(EntryTxnID,$P218)=0,"",INDEX(EntryTxnID,$P218)))</f>
        <v/>
      </c>
      <c r="P218" s="28">
        <f>IFERROR(MATCH($C$5&amp;"|"&amp;RIGHT("000000"&amp;202,6),CalcRankKey,0),"")</f>
        <v/>
      </c>
    </row>
    <row r="219">
      <c r="A219" s="26">
        <f>IF($B219="","",203)</f>
        <v/>
      </c>
      <c r="B219" s="26">
        <f>IF($P219="","",IF(INDEX(CalcNormDate,$P219)=0,"",INDEX(CalcNormDate,$P219)))</f>
        <v/>
      </c>
      <c r="C219" s="26">
        <f>IF($P219="","",IF(INDEX(CalcTime,$P219)=0,"",INDEX(CalcTime,$P219)))</f>
        <v/>
      </c>
      <c r="D219" s="26">
        <f>IF($P219="","",IF(INDEX(EntryParty,$P219)=0,"",INDEX(EntryParty,$P219)))</f>
        <v/>
      </c>
      <c r="E219" s="26">
        <f>IF($P219="","",IF(INDEX(EntryPartyName,$P219)=0,"",INDEX(EntryPartyName,$P219)))</f>
        <v/>
      </c>
      <c r="F219" s="26">
        <f>IF($P219="","",IF(INDEX(EntryPartyType,$P219)=0,"",INDEX(EntryPartyType,$P219)))</f>
        <v/>
      </c>
      <c r="G219" s="26">
        <f>IF($P219="","",IF(INDEX(EntryTxnType,$P219)=0,"",INDEX(EntryTxnType,$P219)))</f>
        <v/>
      </c>
      <c r="H219" s="27">
        <f>IF($P219="","",IF(INDEX(EntryDep,$P219)=0,"",INDEX(EntryDep,$P219)))</f>
        <v/>
      </c>
      <c r="I219" s="27">
        <f>IF($P219="","",IF(INDEX(EntryWit,$P219)=0,"",INDEX(EntryWit,$P219)))</f>
        <v/>
      </c>
      <c r="J219" s="27">
        <f>IF($B219="","",IF($A219=1,$C$7,IF(J218="",0,J218))+IF($H219="",0,$H219)-IF($I219="",0,$I219))</f>
        <v/>
      </c>
      <c r="K219" s="27">
        <f>IF($P219="","",IF(INDEX(EntryMan,$P219)=0,"",INDEX(EntryMan,$P219)))</f>
        <v/>
      </c>
      <c r="L219" s="26">
        <f>IF($B219="","",IF($K219="","—",IF(ROUND($K219-$J219,0)=0,"√","×")))</f>
        <v/>
      </c>
      <c r="M219" s="26">
        <f>IF($B219="","",IF(COUNTIFS(EntryDates,$B219,CalcTime,$C219,CalcBank,$C$5,EntryParty,$D219,EntryDep,$H219,EntryWit,$I219)&gt;1,"تکرار",""))</f>
        <v/>
      </c>
      <c r="N219" s="26">
        <f>IF($P219="","",IF(INDEX(EntryNotes,$P219)=0,"",INDEX(EntryNotes,$P219)))</f>
        <v/>
      </c>
      <c r="O219" s="26">
        <f>IF($P219="","",IF(INDEX(EntryTxnID,$P219)=0,"",INDEX(EntryTxnID,$P219)))</f>
        <v/>
      </c>
      <c r="P219" s="26">
        <f>IFERROR(MATCH($C$5&amp;"|"&amp;RIGHT("000000"&amp;203,6),CalcRankKey,0),"")</f>
        <v/>
      </c>
    </row>
    <row r="220">
      <c r="A220" s="28">
        <f>IF($B220="","",204)</f>
        <v/>
      </c>
      <c r="B220" s="28">
        <f>IF($P220="","",IF(INDEX(CalcNormDate,$P220)=0,"",INDEX(CalcNormDate,$P220)))</f>
        <v/>
      </c>
      <c r="C220" s="28">
        <f>IF($P220="","",IF(INDEX(CalcTime,$P220)=0,"",INDEX(CalcTime,$P220)))</f>
        <v/>
      </c>
      <c r="D220" s="28">
        <f>IF($P220="","",IF(INDEX(EntryParty,$P220)=0,"",INDEX(EntryParty,$P220)))</f>
        <v/>
      </c>
      <c r="E220" s="28">
        <f>IF($P220="","",IF(INDEX(EntryPartyName,$P220)=0,"",INDEX(EntryPartyName,$P220)))</f>
        <v/>
      </c>
      <c r="F220" s="28">
        <f>IF($P220="","",IF(INDEX(EntryPartyType,$P220)=0,"",INDEX(EntryPartyType,$P220)))</f>
        <v/>
      </c>
      <c r="G220" s="28">
        <f>IF($P220="","",IF(INDEX(EntryTxnType,$P220)=0,"",INDEX(EntryTxnType,$P220)))</f>
        <v/>
      </c>
      <c r="H220" s="29">
        <f>IF($P220="","",IF(INDEX(EntryDep,$P220)=0,"",INDEX(EntryDep,$P220)))</f>
        <v/>
      </c>
      <c r="I220" s="29">
        <f>IF($P220="","",IF(INDEX(EntryWit,$P220)=0,"",INDEX(EntryWit,$P220)))</f>
        <v/>
      </c>
      <c r="J220" s="29">
        <f>IF($B220="","",IF($A220=1,$C$7,IF(J219="",0,J219))+IF($H220="",0,$H220)-IF($I220="",0,$I220))</f>
        <v/>
      </c>
      <c r="K220" s="29">
        <f>IF($P220="","",IF(INDEX(EntryMan,$P220)=0,"",INDEX(EntryMan,$P220)))</f>
        <v/>
      </c>
      <c r="L220" s="28">
        <f>IF($B220="","",IF($K220="","—",IF(ROUND($K220-$J220,0)=0,"√","×")))</f>
        <v/>
      </c>
      <c r="M220" s="28">
        <f>IF($B220="","",IF(COUNTIFS(EntryDates,$B220,CalcTime,$C220,CalcBank,$C$5,EntryParty,$D220,EntryDep,$H220,EntryWit,$I220)&gt;1,"تکرار",""))</f>
        <v/>
      </c>
      <c r="N220" s="28">
        <f>IF($P220="","",IF(INDEX(EntryNotes,$P220)=0,"",INDEX(EntryNotes,$P220)))</f>
        <v/>
      </c>
      <c r="O220" s="28">
        <f>IF($P220="","",IF(INDEX(EntryTxnID,$P220)=0,"",INDEX(EntryTxnID,$P220)))</f>
        <v/>
      </c>
      <c r="P220" s="28">
        <f>IFERROR(MATCH($C$5&amp;"|"&amp;RIGHT("000000"&amp;204,6),CalcRankKey,0),"")</f>
        <v/>
      </c>
    </row>
    <row r="221">
      <c r="A221" s="26">
        <f>IF($B221="","",205)</f>
        <v/>
      </c>
      <c r="B221" s="26">
        <f>IF($P221="","",IF(INDEX(CalcNormDate,$P221)=0,"",INDEX(CalcNormDate,$P221)))</f>
        <v/>
      </c>
      <c r="C221" s="26">
        <f>IF($P221="","",IF(INDEX(CalcTime,$P221)=0,"",INDEX(CalcTime,$P221)))</f>
        <v/>
      </c>
      <c r="D221" s="26">
        <f>IF($P221="","",IF(INDEX(EntryParty,$P221)=0,"",INDEX(EntryParty,$P221)))</f>
        <v/>
      </c>
      <c r="E221" s="26">
        <f>IF($P221="","",IF(INDEX(EntryPartyName,$P221)=0,"",INDEX(EntryPartyName,$P221)))</f>
        <v/>
      </c>
      <c r="F221" s="26">
        <f>IF($P221="","",IF(INDEX(EntryPartyType,$P221)=0,"",INDEX(EntryPartyType,$P221)))</f>
        <v/>
      </c>
      <c r="G221" s="26">
        <f>IF($P221="","",IF(INDEX(EntryTxnType,$P221)=0,"",INDEX(EntryTxnType,$P221)))</f>
        <v/>
      </c>
      <c r="H221" s="27">
        <f>IF($P221="","",IF(INDEX(EntryDep,$P221)=0,"",INDEX(EntryDep,$P221)))</f>
        <v/>
      </c>
      <c r="I221" s="27">
        <f>IF($P221="","",IF(INDEX(EntryWit,$P221)=0,"",INDEX(EntryWit,$P221)))</f>
        <v/>
      </c>
      <c r="J221" s="27">
        <f>IF($B221="","",IF($A221=1,$C$7,IF(J220="",0,J220))+IF($H221="",0,$H221)-IF($I221="",0,$I221))</f>
        <v/>
      </c>
      <c r="K221" s="27">
        <f>IF($P221="","",IF(INDEX(EntryMan,$P221)=0,"",INDEX(EntryMan,$P221)))</f>
        <v/>
      </c>
      <c r="L221" s="26">
        <f>IF($B221="","",IF($K221="","—",IF(ROUND($K221-$J221,0)=0,"√","×")))</f>
        <v/>
      </c>
      <c r="M221" s="26">
        <f>IF($B221="","",IF(COUNTIFS(EntryDates,$B221,CalcTime,$C221,CalcBank,$C$5,EntryParty,$D221,EntryDep,$H221,EntryWit,$I221)&gt;1,"تکرار",""))</f>
        <v/>
      </c>
      <c r="N221" s="26">
        <f>IF($P221="","",IF(INDEX(EntryNotes,$P221)=0,"",INDEX(EntryNotes,$P221)))</f>
        <v/>
      </c>
      <c r="O221" s="26">
        <f>IF($P221="","",IF(INDEX(EntryTxnID,$P221)=0,"",INDEX(EntryTxnID,$P221)))</f>
        <v/>
      </c>
      <c r="P221" s="26">
        <f>IFERROR(MATCH($C$5&amp;"|"&amp;RIGHT("000000"&amp;205,6),CalcRankKey,0),"")</f>
        <v/>
      </c>
    </row>
    <row r="222">
      <c r="A222" s="28">
        <f>IF($B222="","",206)</f>
        <v/>
      </c>
      <c r="B222" s="28">
        <f>IF($P222="","",IF(INDEX(CalcNormDate,$P222)=0,"",INDEX(CalcNormDate,$P222)))</f>
        <v/>
      </c>
      <c r="C222" s="28">
        <f>IF($P222="","",IF(INDEX(CalcTime,$P222)=0,"",INDEX(CalcTime,$P222)))</f>
        <v/>
      </c>
      <c r="D222" s="28">
        <f>IF($P222="","",IF(INDEX(EntryParty,$P222)=0,"",INDEX(EntryParty,$P222)))</f>
        <v/>
      </c>
      <c r="E222" s="28">
        <f>IF($P222="","",IF(INDEX(EntryPartyName,$P222)=0,"",INDEX(EntryPartyName,$P222)))</f>
        <v/>
      </c>
      <c r="F222" s="28">
        <f>IF($P222="","",IF(INDEX(EntryPartyType,$P222)=0,"",INDEX(EntryPartyType,$P222)))</f>
        <v/>
      </c>
      <c r="G222" s="28">
        <f>IF($P222="","",IF(INDEX(EntryTxnType,$P222)=0,"",INDEX(EntryTxnType,$P222)))</f>
        <v/>
      </c>
      <c r="H222" s="29">
        <f>IF($P222="","",IF(INDEX(EntryDep,$P222)=0,"",INDEX(EntryDep,$P222)))</f>
        <v/>
      </c>
      <c r="I222" s="29">
        <f>IF($P222="","",IF(INDEX(EntryWit,$P222)=0,"",INDEX(EntryWit,$P222)))</f>
        <v/>
      </c>
      <c r="J222" s="29">
        <f>IF($B222="","",IF($A222=1,$C$7,IF(J221="",0,J221))+IF($H222="",0,$H222)-IF($I222="",0,$I222))</f>
        <v/>
      </c>
      <c r="K222" s="29">
        <f>IF($P222="","",IF(INDEX(EntryMan,$P222)=0,"",INDEX(EntryMan,$P222)))</f>
        <v/>
      </c>
      <c r="L222" s="28">
        <f>IF($B222="","",IF($K222="","—",IF(ROUND($K222-$J222,0)=0,"√","×")))</f>
        <v/>
      </c>
      <c r="M222" s="28">
        <f>IF($B222="","",IF(COUNTIFS(EntryDates,$B222,CalcTime,$C222,CalcBank,$C$5,EntryParty,$D222,EntryDep,$H222,EntryWit,$I222)&gt;1,"تکرار",""))</f>
        <v/>
      </c>
      <c r="N222" s="28">
        <f>IF($P222="","",IF(INDEX(EntryNotes,$P222)=0,"",INDEX(EntryNotes,$P222)))</f>
        <v/>
      </c>
      <c r="O222" s="28">
        <f>IF($P222="","",IF(INDEX(EntryTxnID,$P222)=0,"",INDEX(EntryTxnID,$P222)))</f>
        <v/>
      </c>
      <c r="P222" s="28">
        <f>IFERROR(MATCH($C$5&amp;"|"&amp;RIGHT("000000"&amp;206,6),CalcRankKey,0),"")</f>
        <v/>
      </c>
    </row>
    <row r="223">
      <c r="A223" s="26">
        <f>IF($B223="","",207)</f>
        <v/>
      </c>
      <c r="B223" s="26">
        <f>IF($P223="","",IF(INDEX(CalcNormDate,$P223)=0,"",INDEX(CalcNormDate,$P223)))</f>
        <v/>
      </c>
      <c r="C223" s="26">
        <f>IF($P223="","",IF(INDEX(CalcTime,$P223)=0,"",INDEX(CalcTime,$P223)))</f>
        <v/>
      </c>
      <c r="D223" s="26">
        <f>IF($P223="","",IF(INDEX(EntryParty,$P223)=0,"",INDEX(EntryParty,$P223)))</f>
        <v/>
      </c>
      <c r="E223" s="26">
        <f>IF($P223="","",IF(INDEX(EntryPartyName,$P223)=0,"",INDEX(EntryPartyName,$P223)))</f>
        <v/>
      </c>
      <c r="F223" s="26">
        <f>IF($P223="","",IF(INDEX(EntryPartyType,$P223)=0,"",INDEX(EntryPartyType,$P223)))</f>
        <v/>
      </c>
      <c r="G223" s="26">
        <f>IF($P223="","",IF(INDEX(EntryTxnType,$P223)=0,"",INDEX(EntryTxnType,$P223)))</f>
        <v/>
      </c>
      <c r="H223" s="27">
        <f>IF($P223="","",IF(INDEX(EntryDep,$P223)=0,"",INDEX(EntryDep,$P223)))</f>
        <v/>
      </c>
      <c r="I223" s="27">
        <f>IF($P223="","",IF(INDEX(EntryWit,$P223)=0,"",INDEX(EntryWit,$P223)))</f>
        <v/>
      </c>
      <c r="J223" s="27">
        <f>IF($B223="","",IF($A223=1,$C$7,IF(J222="",0,J222))+IF($H223="",0,$H223)-IF($I223="",0,$I223))</f>
        <v/>
      </c>
      <c r="K223" s="27">
        <f>IF($P223="","",IF(INDEX(EntryMan,$P223)=0,"",INDEX(EntryMan,$P223)))</f>
        <v/>
      </c>
      <c r="L223" s="26">
        <f>IF($B223="","",IF($K223="","—",IF(ROUND($K223-$J223,0)=0,"√","×")))</f>
        <v/>
      </c>
      <c r="M223" s="26">
        <f>IF($B223="","",IF(COUNTIFS(EntryDates,$B223,CalcTime,$C223,CalcBank,$C$5,EntryParty,$D223,EntryDep,$H223,EntryWit,$I223)&gt;1,"تکرار",""))</f>
        <v/>
      </c>
      <c r="N223" s="26">
        <f>IF($P223="","",IF(INDEX(EntryNotes,$P223)=0,"",INDEX(EntryNotes,$P223)))</f>
        <v/>
      </c>
      <c r="O223" s="26">
        <f>IF($P223="","",IF(INDEX(EntryTxnID,$P223)=0,"",INDEX(EntryTxnID,$P223)))</f>
        <v/>
      </c>
      <c r="P223" s="26">
        <f>IFERROR(MATCH($C$5&amp;"|"&amp;RIGHT("000000"&amp;207,6),CalcRankKey,0),"")</f>
        <v/>
      </c>
    </row>
    <row r="224">
      <c r="A224" s="28">
        <f>IF($B224="","",208)</f>
        <v/>
      </c>
      <c r="B224" s="28">
        <f>IF($P224="","",IF(INDEX(CalcNormDate,$P224)=0,"",INDEX(CalcNormDate,$P224)))</f>
        <v/>
      </c>
      <c r="C224" s="28">
        <f>IF($P224="","",IF(INDEX(CalcTime,$P224)=0,"",INDEX(CalcTime,$P224)))</f>
        <v/>
      </c>
      <c r="D224" s="28">
        <f>IF($P224="","",IF(INDEX(EntryParty,$P224)=0,"",INDEX(EntryParty,$P224)))</f>
        <v/>
      </c>
      <c r="E224" s="28">
        <f>IF($P224="","",IF(INDEX(EntryPartyName,$P224)=0,"",INDEX(EntryPartyName,$P224)))</f>
        <v/>
      </c>
      <c r="F224" s="28">
        <f>IF($P224="","",IF(INDEX(EntryPartyType,$P224)=0,"",INDEX(EntryPartyType,$P224)))</f>
        <v/>
      </c>
      <c r="G224" s="28">
        <f>IF($P224="","",IF(INDEX(EntryTxnType,$P224)=0,"",INDEX(EntryTxnType,$P224)))</f>
        <v/>
      </c>
      <c r="H224" s="29">
        <f>IF($P224="","",IF(INDEX(EntryDep,$P224)=0,"",INDEX(EntryDep,$P224)))</f>
        <v/>
      </c>
      <c r="I224" s="29">
        <f>IF($P224="","",IF(INDEX(EntryWit,$P224)=0,"",INDEX(EntryWit,$P224)))</f>
        <v/>
      </c>
      <c r="J224" s="29">
        <f>IF($B224="","",IF($A224=1,$C$7,IF(J223="",0,J223))+IF($H224="",0,$H224)-IF($I224="",0,$I224))</f>
        <v/>
      </c>
      <c r="K224" s="29">
        <f>IF($P224="","",IF(INDEX(EntryMan,$P224)=0,"",INDEX(EntryMan,$P224)))</f>
        <v/>
      </c>
      <c r="L224" s="28">
        <f>IF($B224="","",IF($K224="","—",IF(ROUND($K224-$J224,0)=0,"√","×")))</f>
        <v/>
      </c>
      <c r="M224" s="28">
        <f>IF($B224="","",IF(COUNTIFS(EntryDates,$B224,CalcTime,$C224,CalcBank,$C$5,EntryParty,$D224,EntryDep,$H224,EntryWit,$I224)&gt;1,"تکرار",""))</f>
        <v/>
      </c>
      <c r="N224" s="28">
        <f>IF($P224="","",IF(INDEX(EntryNotes,$P224)=0,"",INDEX(EntryNotes,$P224)))</f>
        <v/>
      </c>
      <c r="O224" s="28">
        <f>IF($P224="","",IF(INDEX(EntryTxnID,$P224)=0,"",INDEX(EntryTxnID,$P224)))</f>
        <v/>
      </c>
      <c r="P224" s="28">
        <f>IFERROR(MATCH($C$5&amp;"|"&amp;RIGHT("000000"&amp;208,6),CalcRankKey,0),"")</f>
        <v/>
      </c>
    </row>
    <row r="225">
      <c r="A225" s="26">
        <f>IF($B225="","",209)</f>
        <v/>
      </c>
      <c r="B225" s="26">
        <f>IF($P225="","",IF(INDEX(CalcNormDate,$P225)=0,"",INDEX(CalcNormDate,$P225)))</f>
        <v/>
      </c>
      <c r="C225" s="26">
        <f>IF($P225="","",IF(INDEX(CalcTime,$P225)=0,"",INDEX(CalcTime,$P225)))</f>
        <v/>
      </c>
      <c r="D225" s="26">
        <f>IF($P225="","",IF(INDEX(EntryParty,$P225)=0,"",INDEX(EntryParty,$P225)))</f>
        <v/>
      </c>
      <c r="E225" s="26">
        <f>IF($P225="","",IF(INDEX(EntryPartyName,$P225)=0,"",INDEX(EntryPartyName,$P225)))</f>
        <v/>
      </c>
      <c r="F225" s="26">
        <f>IF($P225="","",IF(INDEX(EntryPartyType,$P225)=0,"",INDEX(EntryPartyType,$P225)))</f>
        <v/>
      </c>
      <c r="G225" s="26">
        <f>IF($P225="","",IF(INDEX(EntryTxnType,$P225)=0,"",INDEX(EntryTxnType,$P225)))</f>
        <v/>
      </c>
      <c r="H225" s="27">
        <f>IF($P225="","",IF(INDEX(EntryDep,$P225)=0,"",INDEX(EntryDep,$P225)))</f>
        <v/>
      </c>
      <c r="I225" s="27">
        <f>IF($P225="","",IF(INDEX(EntryWit,$P225)=0,"",INDEX(EntryWit,$P225)))</f>
        <v/>
      </c>
      <c r="J225" s="27">
        <f>IF($B225="","",IF($A225=1,$C$7,IF(J224="",0,J224))+IF($H225="",0,$H225)-IF($I225="",0,$I225))</f>
        <v/>
      </c>
      <c r="K225" s="27">
        <f>IF($P225="","",IF(INDEX(EntryMan,$P225)=0,"",INDEX(EntryMan,$P225)))</f>
        <v/>
      </c>
      <c r="L225" s="26">
        <f>IF($B225="","",IF($K225="","—",IF(ROUND($K225-$J225,0)=0,"√","×")))</f>
        <v/>
      </c>
      <c r="M225" s="26">
        <f>IF($B225="","",IF(COUNTIFS(EntryDates,$B225,CalcTime,$C225,CalcBank,$C$5,EntryParty,$D225,EntryDep,$H225,EntryWit,$I225)&gt;1,"تکرار",""))</f>
        <v/>
      </c>
      <c r="N225" s="26">
        <f>IF($P225="","",IF(INDEX(EntryNotes,$P225)=0,"",INDEX(EntryNotes,$P225)))</f>
        <v/>
      </c>
      <c r="O225" s="26">
        <f>IF($P225="","",IF(INDEX(EntryTxnID,$P225)=0,"",INDEX(EntryTxnID,$P225)))</f>
        <v/>
      </c>
      <c r="P225" s="26">
        <f>IFERROR(MATCH($C$5&amp;"|"&amp;RIGHT("000000"&amp;209,6),CalcRankKey,0),"")</f>
        <v/>
      </c>
    </row>
    <row r="226">
      <c r="A226" s="28">
        <f>IF($B226="","",210)</f>
        <v/>
      </c>
      <c r="B226" s="28">
        <f>IF($P226="","",IF(INDEX(CalcNormDate,$P226)=0,"",INDEX(CalcNormDate,$P226)))</f>
        <v/>
      </c>
      <c r="C226" s="28">
        <f>IF($P226="","",IF(INDEX(CalcTime,$P226)=0,"",INDEX(CalcTime,$P226)))</f>
        <v/>
      </c>
      <c r="D226" s="28">
        <f>IF($P226="","",IF(INDEX(EntryParty,$P226)=0,"",INDEX(EntryParty,$P226)))</f>
        <v/>
      </c>
      <c r="E226" s="28">
        <f>IF($P226="","",IF(INDEX(EntryPartyName,$P226)=0,"",INDEX(EntryPartyName,$P226)))</f>
        <v/>
      </c>
      <c r="F226" s="28">
        <f>IF($P226="","",IF(INDEX(EntryPartyType,$P226)=0,"",INDEX(EntryPartyType,$P226)))</f>
        <v/>
      </c>
      <c r="G226" s="28">
        <f>IF($P226="","",IF(INDEX(EntryTxnType,$P226)=0,"",INDEX(EntryTxnType,$P226)))</f>
        <v/>
      </c>
      <c r="H226" s="29">
        <f>IF($P226="","",IF(INDEX(EntryDep,$P226)=0,"",INDEX(EntryDep,$P226)))</f>
        <v/>
      </c>
      <c r="I226" s="29">
        <f>IF($P226="","",IF(INDEX(EntryWit,$P226)=0,"",INDEX(EntryWit,$P226)))</f>
        <v/>
      </c>
      <c r="J226" s="29">
        <f>IF($B226="","",IF($A226=1,$C$7,IF(J225="",0,J225))+IF($H226="",0,$H226)-IF($I226="",0,$I226))</f>
        <v/>
      </c>
      <c r="K226" s="29">
        <f>IF($P226="","",IF(INDEX(EntryMan,$P226)=0,"",INDEX(EntryMan,$P226)))</f>
        <v/>
      </c>
      <c r="L226" s="28">
        <f>IF($B226="","",IF($K226="","—",IF(ROUND($K226-$J226,0)=0,"√","×")))</f>
        <v/>
      </c>
      <c r="M226" s="28">
        <f>IF($B226="","",IF(COUNTIFS(EntryDates,$B226,CalcTime,$C226,CalcBank,$C$5,EntryParty,$D226,EntryDep,$H226,EntryWit,$I226)&gt;1,"تکرار",""))</f>
        <v/>
      </c>
      <c r="N226" s="28">
        <f>IF($P226="","",IF(INDEX(EntryNotes,$P226)=0,"",INDEX(EntryNotes,$P226)))</f>
        <v/>
      </c>
      <c r="O226" s="28">
        <f>IF($P226="","",IF(INDEX(EntryTxnID,$P226)=0,"",INDEX(EntryTxnID,$P226)))</f>
        <v/>
      </c>
      <c r="P226" s="28">
        <f>IFERROR(MATCH($C$5&amp;"|"&amp;RIGHT("000000"&amp;210,6),CalcRankKey,0),"")</f>
        <v/>
      </c>
    </row>
    <row r="227">
      <c r="A227" s="26">
        <f>IF($B227="","",211)</f>
        <v/>
      </c>
      <c r="B227" s="26">
        <f>IF($P227="","",IF(INDEX(CalcNormDate,$P227)=0,"",INDEX(CalcNormDate,$P227)))</f>
        <v/>
      </c>
      <c r="C227" s="26">
        <f>IF($P227="","",IF(INDEX(CalcTime,$P227)=0,"",INDEX(CalcTime,$P227)))</f>
        <v/>
      </c>
      <c r="D227" s="26">
        <f>IF($P227="","",IF(INDEX(EntryParty,$P227)=0,"",INDEX(EntryParty,$P227)))</f>
        <v/>
      </c>
      <c r="E227" s="26">
        <f>IF($P227="","",IF(INDEX(EntryPartyName,$P227)=0,"",INDEX(EntryPartyName,$P227)))</f>
        <v/>
      </c>
      <c r="F227" s="26">
        <f>IF($P227="","",IF(INDEX(EntryPartyType,$P227)=0,"",INDEX(EntryPartyType,$P227)))</f>
        <v/>
      </c>
      <c r="G227" s="26">
        <f>IF($P227="","",IF(INDEX(EntryTxnType,$P227)=0,"",INDEX(EntryTxnType,$P227)))</f>
        <v/>
      </c>
      <c r="H227" s="27">
        <f>IF($P227="","",IF(INDEX(EntryDep,$P227)=0,"",INDEX(EntryDep,$P227)))</f>
        <v/>
      </c>
      <c r="I227" s="27">
        <f>IF($P227="","",IF(INDEX(EntryWit,$P227)=0,"",INDEX(EntryWit,$P227)))</f>
        <v/>
      </c>
      <c r="J227" s="27">
        <f>IF($B227="","",IF($A227=1,$C$7,IF(J226="",0,J226))+IF($H227="",0,$H227)-IF($I227="",0,$I227))</f>
        <v/>
      </c>
      <c r="K227" s="27">
        <f>IF($P227="","",IF(INDEX(EntryMan,$P227)=0,"",INDEX(EntryMan,$P227)))</f>
        <v/>
      </c>
      <c r="L227" s="26">
        <f>IF($B227="","",IF($K227="","—",IF(ROUND($K227-$J227,0)=0,"√","×")))</f>
        <v/>
      </c>
      <c r="M227" s="26">
        <f>IF($B227="","",IF(COUNTIFS(EntryDates,$B227,CalcTime,$C227,CalcBank,$C$5,EntryParty,$D227,EntryDep,$H227,EntryWit,$I227)&gt;1,"تکرار",""))</f>
        <v/>
      </c>
      <c r="N227" s="26">
        <f>IF($P227="","",IF(INDEX(EntryNotes,$P227)=0,"",INDEX(EntryNotes,$P227)))</f>
        <v/>
      </c>
      <c r="O227" s="26">
        <f>IF($P227="","",IF(INDEX(EntryTxnID,$P227)=0,"",INDEX(EntryTxnID,$P227)))</f>
        <v/>
      </c>
      <c r="P227" s="26">
        <f>IFERROR(MATCH($C$5&amp;"|"&amp;RIGHT("000000"&amp;211,6),CalcRankKey,0),"")</f>
        <v/>
      </c>
    </row>
    <row r="228">
      <c r="A228" s="28">
        <f>IF($B228="","",212)</f>
        <v/>
      </c>
      <c r="B228" s="28">
        <f>IF($P228="","",IF(INDEX(CalcNormDate,$P228)=0,"",INDEX(CalcNormDate,$P228)))</f>
        <v/>
      </c>
      <c r="C228" s="28">
        <f>IF($P228="","",IF(INDEX(CalcTime,$P228)=0,"",INDEX(CalcTime,$P228)))</f>
        <v/>
      </c>
      <c r="D228" s="28">
        <f>IF($P228="","",IF(INDEX(EntryParty,$P228)=0,"",INDEX(EntryParty,$P228)))</f>
        <v/>
      </c>
      <c r="E228" s="28">
        <f>IF($P228="","",IF(INDEX(EntryPartyName,$P228)=0,"",INDEX(EntryPartyName,$P228)))</f>
        <v/>
      </c>
      <c r="F228" s="28">
        <f>IF($P228="","",IF(INDEX(EntryPartyType,$P228)=0,"",INDEX(EntryPartyType,$P228)))</f>
        <v/>
      </c>
      <c r="G228" s="28">
        <f>IF($P228="","",IF(INDEX(EntryTxnType,$P228)=0,"",INDEX(EntryTxnType,$P228)))</f>
        <v/>
      </c>
      <c r="H228" s="29">
        <f>IF($P228="","",IF(INDEX(EntryDep,$P228)=0,"",INDEX(EntryDep,$P228)))</f>
        <v/>
      </c>
      <c r="I228" s="29">
        <f>IF($P228="","",IF(INDEX(EntryWit,$P228)=0,"",INDEX(EntryWit,$P228)))</f>
        <v/>
      </c>
      <c r="J228" s="29">
        <f>IF($B228="","",IF($A228=1,$C$7,IF(J227="",0,J227))+IF($H228="",0,$H228)-IF($I228="",0,$I228))</f>
        <v/>
      </c>
      <c r="K228" s="29">
        <f>IF($P228="","",IF(INDEX(EntryMan,$P228)=0,"",INDEX(EntryMan,$P228)))</f>
        <v/>
      </c>
      <c r="L228" s="28">
        <f>IF($B228="","",IF($K228="","—",IF(ROUND($K228-$J228,0)=0,"√","×")))</f>
        <v/>
      </c>
      <c r="M228" s="28">
        <f>IF($B228="","",IF(COUNTIFS(EntryDates,$B228,CalcTime,$C228,CalcBank,$C$5,EntryParty,$D228,EntryDep,$H228,EntryWit,$I228)&gt;1,"تکرار",""))</f>
        <v/>
      </c>
      <c r="N228" s="28">
        <f>IF($P228="","",IF(INDEX(EntryNotes,$P228)=0,"",INDEX(EntryNotes,$P228)))</f>
        <v/>
      </c>
      <c r="O228" s="28">
        <f>IF($P228="","",IF(INDEX(EntryTxnID,$P228)=0,"",INDEX(EntryTxnID,$P228)))</f>
        <v/>
      </c>
      <c r="P228" s="28">
        <f>IFERROR(MATCH($C$5&amp;"|"&amp;RIGHT("000000"&amp;212,6),CalcRankKey,0),"")</f>
        <v/>
      </c>
    </row>
    <row r="229">
      <c r="A229" s="26">
        <f>IF($B229="","",213)</f>
        <v/>
      </c>
      <c r="B229" s="26">
        <f>IF($P229="","",IF(INDEX(CalcNormDate,$P229)=0,"",INDEX(CalcNormDate,$P229)))</f>
        <v/>
      </c>
      <c r="C229" s="26">
        <f>IF($P229="","",IF(INDEX(CalcTime,$P229)=0,"",INDEX(CalcTime,$P229)))</f>
        <v/>
      </c>
      <c r="D229" s="26">
        <f>IF($P229="","",IF(INDEX(EntryParty,$P229)=0,"",INDEX(EntryParty,$P229)))</f>
        <v/>
      </c>
      <c r="E229" s="26">
        <f>IF($P229="","",IF(INDEX(EntryPartyName,$P229)=0,"",INDEX(EntryPartyName,$P229)))</f>
        <v/>
      </c>
      <c r="F229" s="26">
        <f>IF($P229="","",IF(INDEX(EntryPartyType,$P229)=0,"",INDEX(EntryPartyType,$P229)))</f>
        <v/>
      </c>
      <c r="G229" s="26">
        <f>IF($P229="","",IF(INDEX(EntryTxnType,$P229)=0,"",INDEX(EntryTxnType,$P229)))</f>
        <v/>
      </c>
      <c r="H229" s="27">
        <f>IF($P229="","",IF(INDEX(EntryDep,$P229)=0,"",INDEX(EntryDep,$P229)))</f>
        <v/>
      </c>
      <c r="I229" s="27">
        <f>IF($P229="","",IF(INDEX(EntryWit,$P229)=0,"",INDEX(EntryWit,$P229)))</f>
        <v/>
      </c>
      <c r="J229" s="27">
        <f>IF($B229="","",IF($A229=1,$C$7,IF(J228="",0,J228))+IF($H229="",0,$H229)-IF($I229="",0,$I229))</f>
        <v/>
      </c>
      <c r="K229" s="27">
        <f>IF($P229="","",IF(INDEX(EntryMan,$P229)=0,"",INDEX(EntryMan,$P229)))</f>
        <v/>
      </c>
      <c r="L229" s="26">
        <f>IF($B229="","",IF($K229="","—",IF(ROUND($K229-$J229,0)=0,"√","×")))</f>
        <v/>
      </c>
      <c r="M229" s="26">
        <f>IF($B229="","",IF(COUNTIFS(EntryDates,$B229,CalcTime,$C229,CalcBank,$C$5,EntryParty,$D229,EntryDep,$H229,EntryWit,$I229)&gt;1,"تکرار",""))</f>
        <v/>
      </c>
      <c r="N229" s="26">
        <f>IF($P229="","",IF(INDEX(EntryNotes,$P229)=0,"",INDEX(EntryNotes,$P229)))</f>
        <v/>
      </c>
      <c r="O229" s="26">
        <f>IF($P229="","",IF(INDEX(EntryTxnID,$P229)=0,"",INDEX(EntryTxnID,$P229)))</f>
        <v/>
      </c>
      <c r="P229" s="26">
        <f>IFERROR(MATCH($C$5&amp;"|"&amp;RIGHT("000000"&amp;213,6),CalcRankKey,0),"")</f>
        <v/>
      </c>
    </row>
    <row r="230">
      <c r="A230" s="28">
        <f>IF($B230="","",214)</f>
        <v/>
      </c>
      <c r="B230" s="28">
        <f>IF($P230="","",IF(INDEX(CalcNormDate,$P230)=0,"",INDEX(CalcNormDate,$P230)))</f>
        <v/>
      </c>
      <c r="C230" s="28">
        <f>IF($P230="","",IF(INDEX(CalcTime,$P230)=0,"",INDEX(CalcTime,$P230)))</f>
        <v/>
      </c>
      <c r="D230" s="28">
        <f>IF($P230="","",IF(INDEX(EntryParty,$P230)=0,"",INDEX(EntryParty,$P230)))</f>
        <v/>
      </c>
      <c r="E230" s="28">
        <f>IF($P230="","",IF(INDEX(EntryPartyName,$P230)=0,"",INDEX(EntryPartyName,$P230)))</f>
        <v/>
      </c>
      <c r="F230" s="28">
        <f>IF($P230="","",IF(INDEX(EntryPartyType,$P230)=0,"",INDEX(EntryPartyType,$P230)))</f>
        <v/>
      </c>
      <c r="G230" s="28">
        <f>IF($P230="","",IF(INDEX(EntryTxnType,$P230)=0,"",INDEX(EntryTxnType,$P230)))</f>
        <v/>
      </c>
      <c r="H230" s="29">
        <f>IF($P230="","",IF(INDEX(EntryDep,$P230)=0,"",INDEX(EntryDep,$P230)))</f>
        <v/>
      </c>
      <c r="I230" s="29">
        <f>IF($P230="","",IF(INDEX(EntryWit,$P230)=0,"",INDEX(EntryWit,$P230)))</f>
        <v/>
      </c>
      <c r="J230" s="29">
        <f>IF($B230="","",IF($A230=1,$C$7,IF(J229="",0,J229))+IF($H230="",0,$H230)-IF($I230="",0,$I230))</f>
        <v/>
      </c>
      <c r="K230" s="29">
        <f>IF($P230="","",IF(INDEX(EntryMan,$P230)=0,"",INDEX(EntryMan,$P230)))</f>
        <v/>
      </c>
      <c r="L230" s="28">
        <f>IF($B230="","",IF($K230="","—",IF(ROUND($K230-$J230,0)=0,"√","×")))</f>
        <v/>
      </c>
      <c r="M230" s="28">
        <f>IF($B230="","",IF(COUNTIFS(EntryDates,$B230,CalcTime,$C230,CalcBank,$C$5,EntryParty,$D230,EntryDep,$H230,EntryWit,$I230)&gt;1,"تکرار",""))</f>
        <v/>
      </c>
      <c r="N230" s="28">
        <f>IF($P230="","",IF(INDEX(EntryNotes,$P230)=0,"",INDEX(EntryNotes,$P230)))</f>
        <v/>
      </c>
      <c r="O230" s="28">
        <f>IF($P230="","",IF(INDEX(EntryTxnID,$P230)=0,"",INDEX(EntryTxnID,$P230)))</f>
        <v/>
      </c>
      <c r="P230" s="28">
        <f>IFERROR(MATCH($C$5&amp;"|"&amp;RIGHT("000000"&amp;214,6),CalcRankKey,0),"")</f>
        <v/>
      </c>
    </row>
    <row r="231">
      <c r="A231" s="26">
        <f>IF($B231="","",215)</f>
        <v/>
      </c>
      <c r="B231" s="26">
        <f>IF($P231="","",IF(INDEX(CalcNormDate,$P231)=0,"",INDEX(CalcNormDate,$P231)))</f>
        <v/>
      </c>
      <c r="C231" s="26">
        <f>IF($P231="","",IF(INDEX(CalcTime,$P231)=0,"",INDEX(CalcTime,$P231)))</f>
        <v/>
      </c>
      <c r="D231" s="26">
        <f>IF($P231="","",IF(INDEX(EntryParty,$P231)=0,"",INDEX(EntryParty,$P231)))</f>
        <v/>
      </c>
      <c r="E231" s="26">
        <f>IF($P231="","",IF(INDEX(EntryPartyName,$P231)=0,"",INDEX(EntryPartyName,$P231)))</f>
        <v/>
      </c>
      <c r="F231" s="26">
        <f>IF($P231="","",IF(INDEX(EntryPartyType,$P231)=0,"",INDEX(EntryPartyType,$P231)))</f>
        <v/>
      </c>
      <c r="G231" s="26">
        <f>IF($P231="","",IF(INDEX(EntryTxnType,$P231)=0,"",INDEX(EntryTxnType,$P231)))</f>
        <v/>
      </c>
      <c r="H231" s="27">
        <f>IF($P231="","",IF(INDEX(EntryDep,$P231)=0,"",INDEX(EntryDep,$P231)))</f>
        <v/>
      </c>
      <c r="I231" s="27">
        <f>IF($P231="","",IF(INDEX(EntryWit,$P231)=0,"",INDEX(EntryWit,$P231)))</f>
        <v/>
      </c>
      <c r="J231" s="27">
        <f>IF($B231="","",IF($A231=1,$C$7,IF(J230="",0,J230))+IF($H231="",0,$H231)-IF($I231="",0,$I231))</f>
        <v/>
      </c>
      <c r="K231" s="27">
        <f>IF($P231="","",IF(INDEX(EntryMan,$P231)=0,"",INDEX(EntryMan,$P231)))</f>
        <v/>
      </c>
      <c r="L231" s="26">
        <f>IF($B231="","",IF($K231="","—",IF(ROUND($K231-$J231,0)=0,"√","×")))</f>
        <v/>
      </c>
      <c r="M231" s="26">
        <f>IF($B231="","",IF(COUNTIFS(EntryDates,$B231,CalcTime,$C231,CalcBank,$C$5,EntryParty,$D231,EntryDep,$H231,EntryWit,$I231)&gt;1,"تکرار",""))</f>
        <v/>
      </c>
      <c r="N231" s="26">
        <f>IF($P231="","",IF(INDEX(EntryNotes,$P231)=0,"",INDEX(EntryNotes,$P231)))</f>
        <v/>
      </c>
      <c r="O231" s="26">
        <f>IF($P231="","",IF(INDEX(EntryTxnID,$P231)=0,"",INDEX(EntryTxnID,$P231)))</f>
        <v/>
      </c>
      <c r="P231" s="26">
        <f>IFERROR(MATCH($C$5&amp;"|"&amp;RIGHT("000000"&amp;215,6),CalcRankKey,0),"")</f>
        <v/>
      </c>
    </row>
    <row r="232">
      <c r="A232" s="28">
        <f>IF($B232="","",216)</f>
        <v/>
      </c>
      <c r="B232" s="28">
        <f>IF($P232="","",IF(INDEX(CalcNormDate,$P232)=0,"",INDEX(CalcNormDate,$P232)))</f>
        <v/>
      </c>
      <c r="C232" s="28">
        <f>IF($P232="","",IF(INDEX(CalcTime,$P232)=0,"",INDEX(CalcTime,$P232)))</f>
        <v/>
      </c>
      <c r="D232" s="28">
        <f>IF($P232="","",IF(INDEX(EntryParty,$P232)=0,"",INDEX(EntryParty,$P232)))</f>
        <v/>
      </c>
      <c r="E232" s="28">
        <f>IF($P232="","",IF(INDEX(EntryPartyName,$P232)=0,"",INDEX(EntryPartyName,$P232)))</f>
        <v/>
      </c>
      <c r="F232" s="28">
        <f>IF($P232="","",IF(INDEX(EntryPartyType,$P232)=0,"",INDEX(EntryPartyType,$P232)))</f>
        <v/>
      </c>
      <c r="G232" s="28">
        <f>IF($P232="","",IF(INDEX(EntryTxnType,$P232)=0,"",INDEX(EntryTxnType,$P232)))</f>
        <v/>
      </c>
      <c r="H232" s="29">
        <f>IF($P232="","",IF(INDEX(EntryDep,$P232)=0,"",INDEX(EntryDep,$P232)))</f>
        <v/>
      </c>
      <c r="I232" s="29">
        <f>IF($P232="","",IF(INDEX(EntryWit,$P232)=0,"",INDEX(EntryWit,$P232)))</f>
        <v/>
      </c>
      <c r="J232" s="29">
        <f>IF($B232="","",IF($A232=1,$C$7,IF(J231="",0,J231))+IF($H232="",0,$H232)-IF($I232="",0,$I232))</f>
        <v/>
      </c>
      <c r="K232" s="29">
        <f>IF($P232="","",IF(INDEX(EntryMan,$P232)=0,"",INDEX(EntryMan,$P232)))</f>
        <v/>
      </c>
      <c r="L232" s="28">
        <f>IF($B232="","",IF($K232="","—",IF(ROUND($K232-$J232,0)=0,"√","×")))</f>
        <v/>
      </c>
      <c r="M232" s="28">
        <f>IF($B232="","",IF(COUNTIFS(EntryDates,$B232,CalcTime,$C232,CalcBank,$C$5,EntryParty,$D232,EntryDep,$H232,EntryWit,$I232)&gt;1,"تکرار",""))</f>
        <v/>
      </c>
      <c r="N232" s="28">
        <f>IF($P232="","",IF(INDEX(EntryNotes,$P232)=0,"",INDEX(EntryNotes,$P232)))</f>
        <v/>
      </c>
      <c r="O232" s="28">
        <f>IF($P232="","",IF(INDEX(EntryTxnID,$P232)=0,"",INDEX(EntryTxnID,$P232)))</f>
        <v/>
      </c>
      <c r="P232" s="28">
        <f>IFERROR(MATCH($C$5&amp;"|"&amp;RIGHT("000000"&amp;216,6),CalcRankKey,0),"")</f>
        <v/>
      </c>
    </row>
    <row r="233">
      <c r="A233" s="26">
        <f>IF($B233="","",217)</f>
        <v/>
      </c>
      <c r="B233" s="26">
        <f>IF($P233="","",IF(INDEX(CalcNormDate,$P233)=0,"",INDEX(CalcNormDate,$P233)))</f>
        <v/>
      </c>
      <c r="C233" s="26">
        <f>IF($P233="","",IF(INDEX(CalcTime,$P233)=0,"",INDEX(CalcTime,$P233)))</f>
        <v/>
      </c>
      <c r="D233" s="26">
        <f>IF($P233="","",IF(INDEX(EntryParty,$P233)=0,"",INDEX(EntryParty,$P233)))</f>
        <v/>
      </c>
      <c r="E233" s="26">
        <f>IF($P233="","",IF(INDEX(EntryPartyName,$P233)=0,"",INDEX(EntryPartyName,$P233)))</f>
        <v/>
      </c>
      <c r="F233" s="26">
        <f>IF($P233="","",IF(INDEX(EntryPartyType,$P233)=0,"",INDEX(EntryPartyType,$P233)))</f>
        <v/>
      </c>
      <c r="G233" s="26">
        <f>IF($P233="","",IF(INDEX(EntryTxnType,$P233)=0,"",INDEX(EntryTxnType,$P233)))</f>
        <v/>
      </c>
      <c r="H233" s="27">
        <f>IF($P233="","",IF(INDEX(EntryDep,$P233)=0,"",INDEX(EntryDep,$P233)))</f>
        <v/>
      </c>
      <c r="I233" s="27">
        <f>IF($P233="","",IF(INDEX(EntryWit,$P233)=0,"",INDEX(EntryWit,$P233)))</f>
        <v/>
      </c>
      <c r="J233" s="27">
        <f>IF($B233="","",IF($A233=1,$C$7,IF(J232="",0,J232))+IF($H233="",0,$H233)-IF($I233="",0,$I233))</f>
        <v/>
      </c>
      <c r="K233" s="27">
        <f>IF($P233="","",IF(INDEX(EntryMan,$P233)=0,"",INDEX(EntryMan,$P233)))</f>
        <v/>
      </c>
      <c r="L233" s="26">
        <f>IF($B233="","",IF($K233="","—",IF(ROUND($K233-$J233,0)=0,"√","×")))</f>
        <v/>
      </c>
      <c r="M233" s="26">
        <f>IF($B233="","",IF(COUNTIFS(EntryDates,$B233,CalcTime,$C233,CalcBank,$C$5,EntryParty,$D233,EntryDep,$H233,EntryWit,$I233)&gt;1,"تکرار",""))</f>
        <v/>
      </c>
      <c r="N233" s="26">
        <f>IF($P233="","",IF(INDEX(EntryNotes,$P233)=0,"",INDEX(EntryNotes,$P233)))</f>
        <v/>
      </c>
      <c r="O233" s="26">
        <f>IF($P233="","",IF(INDEX(EntryTxnID,$P233)=0,"",INDEX(EntryTxnID,$P233)))</f>
        <v/>
      </c>
      <c r="P233" s="26">
        <f>IFERROR(MATCH($C$5&amp;"|"&amp;RIGHT("000000"&amp;217,6),CalcRankKey,0),"")</f>
        <v/>
      </c>
    </row>
    <row r="234">
      <c r="A234" s="28">
        <f>IF($B234="","",218)</f>
        <v/>
      </c>
      <c r="B234" s="28">
        <f>IF($P234="","",IF(INDEX(CalcNormDate,$P234)=0,"",INDEX(CalcNormDate,$P234)))</f>
        <v/>
      </c>
      <c r="C234" s="28">
        <f>IF($P234="","",IF(INDEX(CalcTime,$P234)=0,"",INDEX(CalcTime,$P234)))</f>
        <v/>
      </c>
      <c r="D234" s="28">
        <f>IF($P234="","",IF(INDEX(EntryParty,$P234)=0,"",INDEX(EntryParty,$P234)))</f>
        <v/>
      </c>
      <c r="E234" s="28">
        <f>IF($P234="","",IF(INDEX(EntryPartyName,$P234)=0,"",INDEX(EntryPartyName,$P234)))</f>
        <v/>
      </c>
      <c r="F234" s="28">
        <f>IF($P234="","",IF(INDEX(EntryPartyType,$P234)=0,"",INDEX(EntryPartyType,$P234)))</f>
        <v/>
      </c>
      <c r="G234" s="28">
        <f>IF($P234="","",IF(INDEX(EntryTxnType,$P234)=0,"",INDEX(EntryTxnType,$P234)))</f>
        <v/>
      </c>
      <c r="H234" s="29">
        <f>IF($P234="","",IF(INDEX(EntryDep,$P234)=0,"",INDEX(EntryDep,$P234)))</f>
        <v/>
      </c>
      <c r="I234" s="29">
        <f>IF($P234="","",IF(INDEX(EntryWit,$P234)=0,"",INDEX(EntryWit,$P234)))</f>
        <v/>
      </c>
      <c r="J234" s="29">
        <f>IF($B234="","",IF($A234=1,$C$7,IF(J233="",0,J233))+IF($H234="",0,$H234)-IF($I234="",0,$I234))</f>
        <v/>
      </c>
      <c r="K234" s="29">
        <f>IF($P234="","",IF(INDEX(EntryMan,$P234)=0,"",INDEX(EntryMan,$P234)))</f>
        <v/>
      </c>
      <c r="L234" s="28">
        <f>IF($B234="","",IF($K234="","—",IF(ROUND($K234-$J234,0)=0,"√","×")))</f>
        <v/>
      </c>
      <c r="M234" s="28">
        <f>IF($B234="","",IF(COUNTIFS(EntryDates,$B234,CalcTime,$C234,CalcBank,$C$5,EntryParty,$D234,EntryDep,$H234,EntryWit,$I234)&gt;1,"تکرار",""))</f>
        <v/>
      </c>
      <c r="N234" s="28">
        <f>IF($P234="","",IF(INDEX(EntryNotes,$P234)=0,"",INDEX(EntryNotes,$P234)))</f>
        <v/>
      </c>
      <c r="O234" s="28">
        <f>IF($P234="","",IF(INDEX(EntryTxnID,$P234)=0,"",INDEX(EntryTxnID,$P234)))</f>
        <v/>
      </c>
      <c r="P234" s="28">
        <f>IFERROR(MATCH($C$5&amp;"|"&amp;RIGHT("000000"&amp;218,6),CalcRankKey,0),"")</f>
        <v/>
      </c>
    </row>
    <row r="235">
      <c r="A235" s="26">
        <f>IF($B235="","",219)</f>
        <v/>
      </c>
      <c r="B235" s="26">
        <f>IF($P235="","",IF(INDEX(CalcNormDate,$P235)=0,"",INDEX(CalcNormDate,$P235)))</f>
        <v/>
      </c>
      <c r="C235" s="26">
        <f>IF($P235="","",IF(INDEX(CalcTime,$P235)=0,"",INDEX(CalcTime,$P235)))</f>
        <v/>
      </c>
      <c r="D235" s="26">
        <f>IF($P235="","",IF(INDEX(EntryParty,$P235)=0,"",INDEX(EntryParty,$P235)))</f>
        <v/>
      </c>
      <c r="E235" s="26">
        <f>IF($P235="","",IF(INDEX(EntryPartyName,$P235)=0,"",INDEX(EntryPartyName,$P235)))</f>
        <v/>
      </c>
      <c r="F235" s="26">
        <f>IF($P235="","",IF(INDEX(EntryPartyType,$P235)=0,"",INDEX(EntryPartyType,$P235)))</f>
        <v/>
      </c>
      <c r="G235" s="26">
        <f>IF($P235="","",IF(INDEX(EntryTxnType,$P235)=0,"",INDEX(EntryTxnType,$P235)))</f>
        <v/>
      </c>
      <c r="H235" s="27">
        <f>IF($P235="","",IF(INDEX(EntryDep,$P235)=0,"",INDEX(EntryDep,$P235)))</f>
        <v/>
      </c>
      <c r="I235" s="27">
        <f>IF($P235="","",IF(INDEX(EntryWit,$P235)=0,"",INDEX(EntryWit,$P235)))</f>
        <v/>
      </c>
      <c r="J235" s="27">
        <f>IF($B235="","",IF($A235=1,$C$7,IF(J234="",0,J234))+IF($H235="",0,$H235)-IF($I235="",0,$I235))</f>
        <v/>
      </c>
      <c r="K235" s="27">
        <f>IF($P235="","",IF(INDEX(EntryMan,$P235)=0,"",INDEX(EntryMan,$P235)))</f>
        <v/>
      </c>
      <c r="L235" s="26">
        <f>IF($B235="","",IF($K235="","—",IF(ROUND($K235-$J235,0)=0,"√","×")))</f>
        <v/>
      </c>
      <c r="M235" s="26">
        <f>IF($B235="","",IF(COUNTIFS(EntryDates,$B235,CalcTime,$C235,CalcBank,$C$5,EntryParty,$D235,EntryDep,$H235,EntryWit,$I235)&gt;1,"تکرار",""))</f>
        <v/>
      </c>
      <c r="N235" s="26">
        <f>IF($P235="","",IF(INDEX(EntryNotes,$P235)=0,"",INDEX(EntryNotes,$P235)))</f>
        <v/>
      </c>
      <c r="O235" s="26">
        <f>IF($P235="","",IF(INDEX(EntryTxnID,$P235)=0,"",INDEX(EntryTxnID,$P235)))</f>
        <v/>
      </c>
      <c r="P235" s="26">
        <f>IFERROR(MATCH($C$5&amp;"|"&amp;RIGHT("000000"&amp;219,6),CalcRankKey,0),"")</f>
        <v/>
      </c>
    </row>
    <row r="236">
      <c r="A236" s="28">
        <f>IF($B236="","",220)</f>
        <v/>
      </c>
      <c r="B236" s="28">
        <f>IF($P236="","",IF(INDEX(CalcNormDate,$P236)=0,"",INDEX(CalcNormDate,$P236)))</f>
        <v/>
      </c>
      <c r="C236" s="28">
        <f>IF($P236="","",IF(INDEX(CalcTime,$P236)=0,"",INDEX(CalcTime,$P236)))</f>
        <v/>
      </c>
      <c r="D236" s="28">
        <f>IF($P236="","",IF(INDEX(EntryParty,$P236)=0,"",INDEX(EntryParty,$P236)))</f>
        <v/>
      </c>
      <c r="E236" s="28">
        <f>IF($P236="","",IF(INDEX(EntryPartyName,$P236)=0,"",INDEX(EntryPartyName,$P236)))</f>
        <v/>
      </c>
      <c r="F236" s="28">
        <f>IF($P236="","",IF(INDEX(EntryPartyType,$P236)=0,"",INDEX(EntryPartyType,$P236)))</f>
        <v/>
      </c>
      <c r="G236" s="28">
        <f>IF($P236="","",IF(INDEX(EntryTxnType,$P236)=0,"",INDEX(EntryTxnType,$P236)))</f>
        <v/>
      </c>
      <c r="H236" s="29">
        <f>IF($P236="","",IF(INDEX(EntryDep,$P236)=0,"",INDEX(EntryDep,$P236)))</f>
        <v/>
      </c>
      <c r="I236" s="29">
        <f>IF($P236="","",IF(INDEX(EntryWit,$P236)=0,"",INDEX(EntryWit,$P236)))</f>
        <v/>
      </c>
      <c r="J236" s="29">
        <f>IF($B236="","",IF($A236=1,$C$7,IF(J235="",0,J235))+IF($H236="",0,$H236)-IF($I236="",0,$I236))</f>
        <v/>
      </c>
      <c r="K236" s="29">
        <f>IF($P236="","",IF(INDEX(EntryMan,$P236)=0,"",INDEX(EntryMan,$P236)))</f>
        <v/>
      </c>
      <c r="L236" s="28">
        <f>IF($B236="","",IF($K236="","—",IF(ROUND($K236-$J236,0)=0,"√","×")))</f>
        <v/>
      </c>
      <c r="M236" s="28">
        <f>IF($B236="","",IF(COUNTIFS(EntryDates,$B236,CalcTime,$C236,CalcBank,$C$5,EntryParty,$D236,EntryDep,$H236,EntryWit,$I236)&gt;1,"تکرار",""))</f>
        <v/>
      </c>
      <c r="N236" s="28">
        <f>IF($P236="","",IF(INDEX(EntryNotes,$P236)=0,"",INDEX(EntryNotes,$P236)))</f>
        <v/>
      </c>
      <c r="O236" s="28">
        <f>IF($P236="","",IF(INDEX(EntryTxnID,$P236)=0,"",INDEX(EntryTxnID,$P236)))</f>
        <v/>
      </c>
      <c r="P236" s="28">
        <f>IFERROR(MATCH($C$5&amp;"|"&amp;RIGHT("000000"&amp;220,6),CalcRankKey,0),"")</f>
        <v/>
      </c>
    </row>
    <row r="237">
      <c r="A237" s="26">
        <f>IF($B237="","",221)</f>
        <v/>
      </c>
      <c r="B237" s="26">
        <f>IF($P237="","",IF(INDEX(CalcNormDate,$P237)=0,"",INDEX(CalcNormDate,$P237)))</f>
        <v/>
      </c>
      <c r="C237" s="26">
        <f>IF($P237="","",IF(INDEX(CalcTime,$P237)=0,"",INDEX(CalcTime,$P237)))</f>
        <v/>
      </c>
      <c r="D237" s="26">
        <f>IF($P237="","",IF(INDEX(EntryParty,$P237)=0,"",INDEX(EntryParty,$P237)))</f>
        <v/>
      </c>
      <c r="E237" s="26">
        <f>IF($P237="","",IF(INDEX(EntryPartyName,$P237)=0,"",INDEX(EntryPartyName,$P237)))</f>
        <v/>
      </c>
      <c r="F237" s="26">
        <f>IF($P237="","",IF(INDEX(EntryPartyType,$P237)=0,"",INDEX(EntryPartyType,$P237)))</f>
        <v/>
      </c>
      <c r="G237" s="26">
        <f>IF($P237="","",IF(INDEX(EntryTxnType,$P237)=0,"",INDEX(EntryTxnType,$P237)))</f>
        <v/>
      </c>
      <c r="H237" s="27">
        <f>IF($P237="","",IF(INDEX(EntryDep,$P237)=0,"",INDEX(EntryDep,$P237)))</f>
        <v/>
      </c>
      <c r="I237" s="27">
        <f>IF($P237="","",IF(INDEX(EntryWit,$P237)=0,"",INDEX(EntryWit,$P237)))</f>
        <v/>
      </c>
      <c r="J237" s="27">
        <f>IF($B237="","",IF($A237=1,$C$7,IF(J236="",0,J236))+IF($H237="",0,$H237)-IF($I237="",0,$I237))</f>
        <v/>
      </c>
      <c r="K237" s="27">
        <f>IF($P237="","",IF(INDEX(EntryMan,$P237)=0,"",INDEX(EntryMan,$P237)))</f>
        <v/>
      </c>
      <c r="L237" s="26">
        <f>IF($B237="","",IF($K237="","—",IF(ROUND($K237-$J237,0)=0,"√","×")))</f>
        <v/>
      </c>
      <c r="M237" s="26">
        <f>IF($B237="","",IF(COUNTIFS(EntryDates,$B237,CalcTime,$C237,CalcBank,$C$5,EntryParty,$D237,EntryDep,$H237,EntryWit,$I237)&gt;1,"تکرار",""))</f>
        <v/>
      </c>
      <c r="N237" s="26">
        <f>IF($P237="","",IF(INDEX(EntryNotes,$P237)=0,"",INDEX(EntryNotes,$P237)))</f>
        <v/>
      </c>
      <c r="O237" s="26">
        <f>IF($P237="","",IF(INDEX(EntryTxnID,$P237)=0,"",INDEX(EntryTxnID,$P237)))</f>
        <v/>
      </c>
      <c r="P237" s="26">
        <f>IFERROR(MATCH($C$5&amp;"|"&amp;RIGHT("000000"&amp;221,6),CalcRankKey,0),"")</f>
        <v/>
      </c>
    </row>
    <row r="238">
      <c r="A238" s="28">
        <f>IF($B238="","",222)</f>
        <v/>
      </c>
      <c r="B238" s="28">
        <f>IF($P238="","",IF(INDEX(CalcNormDate,$P238)=0,"",INDEX(CalcNormDate,$P238)))</f>
        <v/>
      </c>
      <c r="C238" s="28">
        <f>IF($P238="","",IF(INDEX(CalcTime,$P238)=0,"",INDEX(CalcTime,$P238)))</f>
        <v/>
      </c>
      <c r="D238" s="28">
        <f>IF($P238="","",IF(INDEX(EntryParty,$P238)=0,"",INDEX(EntryParty,$P238)))</f>
        <v/>
      </c>
      <c r="E238" s="28">
        <f>IF($P238="","",IF(INDEX(EntryPartyName,$P238)=0,"",INDEX(EntryPartyName,$P238)))</f>
        <v/>
      </c>
      <c r="F238" s="28">
        <f>IF($P238="","",IF(INDEX(EntryPartyType,$P238)=0,"",INDEX(EntryPartyType,$P238)))</f>
        <v/>
      </c>
      <c r="G238" s="28">
        <f>IF($P238="","",IF(INDEX(EntryTxnType,$P238)=0,"",INDEX(EntryTxnType,$P238)))</f>
        <v/>
      </c>
      <c r="H238" s="29">
        <f>IF($P238="","",IF(INDEX(EntryDep,$P238)=0,"",INDEX(EntryDep,$P238)))</f>
        <v/>
      </c>
      <c r="I238" s="29">
        <f>IF($P238="","",IF(INDEX(EntryWit,$P238)=0,"",INDEX(EntryWit,$P238)))</f>
        <v/>
      </c>
      <c r="J238" s="29">
        <f>IF($B238="","",IF($A238=1,$C$7,IF(J237="",0,J237))+IF($H238="",0,$H238)-IF($I238="",0,$I238))</f>
        <v/>
      </c>
      <c r="K238" s="29">
        <f>IF($P238="","",IF(INDEX(EntryMan,$P238)=0,"",INDEX(EntryMan,$P238)))</f>
        <v/>
      </c>
      <c r="L238" s="28">
        <f>IF($B238="","",IF($K238="","—",IF(ROUND($K238-$J238,0)=0,"√","×")))</f>
        <v/>
      </c>
      <c r="M238" s="28">
        <f>IF($B238="","",IF(COUNTIFS(EntryDates,$B238,CalcTime,$C238,CalcBank,$C$5,EntryParty,$D238,EntryDep,$H238,EntryWit,$I238)&gt;1,"تکرار",""))</f>
        <v/>
      </c>
      <c r="N238" s="28">
        <f>IF($P238="","",IF(INDEX(EntryNotes,$P238)=0,"",INDEX(EntryNotes,$P238)))</f>
        <v/>
      </c>
      <c r="O238" s="28">
        <f>IF($P238="","",IF(INDEX(EntryTxnID,$P238)=0,"",INDEX(EntryTxnID,$P238)))</f>
        <v/>
      </c>
      <c r="P238" s="28">
        <f>IFERROR(MATCH($C$5&amp;"|"&amp;RIGHT("000000"&amp;222,6),CalcRankKey,0),"")</f>
        <v/>
      </c>
    </row>
    <row r="239">
      <c r="A239" s="26">
        <f>IF($B239="","",223)</f>
        <v/>
      </c>
      <c r="B239" s="26">
        <f>IF($P239="","",IF(INDEX(CalcNormDate,$P239)=0,"",INDEX(CalcNormDate,$P239)))</f>
        <v/>
      </c>
      <c r="C239" s="26">
        <f>IF($P239="","",IF(INDEX(CalcTime,$P239)=0,"",INDEX(CalcTime,$P239)))</f>
        <v/>
      </c>
      <c r="D239" s="26">
        <f>IF($P239="","",IF(INDEX(EntryParty,$P239)=0,"",INDEX(EntryParty,$P239)))</f>
        <v/>
      </c>
      <c r="E239" s="26">
        <f>IF($P239="","",IF(INDEX(EntryPartyName,$P239)=0,"",INDEX(EntryPartyName,$P239)))</f>
        <v/>
      </c>
      <c r="F239" s="26">
        <f>IF($P239="","",IF(INDEX(EntryPartyType,$P239)=0,"",INDEX(EntryPartyType,$P239)))</f>
        <v/>
      </c>
      <c r="G239" s="26">
        <f>IF($P239="","",IF(INDEX(EntryTxnType,$P239)=0,"",INDEX(EntryTxnType,$P239)))</f>
        <v/>
      </c>
      <c r="H239" s="27">
        <f>IF($P239="","",IF(INDEX(EntryDep,$P239)=0,"",INDEX(EntryDep,$P239)))</f>
        <v/>
      </c>
      <c r="I239" s="27">
        <f>IF($P239="","",IF(INDEX(EntryWit,$P239)=0,"",INDEX(EntryWit,$P239)))</f>
        <v/>
      </c>
      <c r="J239" s="27">
        <f>IF($B239="","",IF($A239=1,$C$7,IF(J238="",0,J238))+IF($H239="",0,$H239)-IF($I239="",0,$I239))</f>
        <v/>
      </c>
      <c r="K239" s="27">
        <f>IF($P239="","",IF(INDEX(EntryMan,$P239)=0,"",INDEX(EntryMan,$P239)))</f>
        <v/>
      </c>
      <c r="L239" s="26">
        <f>IF($B239="","",IF($K239="","—",IF(ROUND($K239-$J239,0)=0,"√","×")))</f>
        <v/>
      </c>
      <c r="M239" s="26">
        <f>IF($B239="","",IF(COUNTIFS(EntryDates,$B239,CalcTime,$C239,CalcBank,$C$5,EntryParty,$D239,EntryDep,$H239,EntryWit,$I239)&gt;1,"تکرار",""))</f>
        <v/>
      </c>
      <c r="N239" s="26">
        <f>IF($P239="","",IF(INDEX(EntryNotes,$P239)=0,"",INDEX(EntryNotes,$P239)))</f>
        <v/>
      </c>
      <c r="O239" s="26">
        <f>IF($P239="","",IF(INDEX(EntryTxnID,$P239)=0,"",INDEX(EntryTxnID,$P239)))</f>
        <v/>
      </c>
      <c r="P239" s="26">
        <f>IFERROR(MATCH($C$5&amp;"|"&amp;RIGHT("000000"&amp;223,6),CalcRankKey,0),"")</f>
        <v/>
      </c>
    </row>
    <row r="240">
      <c r="A240" s="28">
        <f>IF($B240="","",224)</f>
        <v/>
      </c>
      <c r="B240" s="28">
        <f>IF($P240="","",IF(INDEX(CalcNormDate,$P240)=0,"",INDEX(CalcNormDate,$P240)))</f>
        <v/>
      </c>
      <c r="C240" s="28">
        <f>IF($P240="","",IF(INDEX(CalcTime,$P240)=0,"",INDEX(CalcTime,$P240)))</f>
        <v/>
      </c>
      <c r="D240" s="28">
        <f>IF($P240="","",IF(INDEX(EntryParty,$P240)=0,"",INDEX(EntryParty,$P240)))</f>
        <v/>
      </c>
      <c r="E240" s="28">
        <f>IF($P240="","",IF(INDEX(EntryPartyName,$P240)=0,"",INDEX(EntryPartyName,$P240)))</f>
        <v/>
      </c>
      <c r="F240" s="28">
        <f>IF($P240="","",IF(INDEX(EntryPartyType,$P240)=0,"",INDEX(EntryPartyType,$P240)))</f>
        <v/>
      </c>
      <c r="G240" s="28">
        <f>IF($P240="","",IF(INDEX(EntryTxnType,$P240)=0,"",INDEX(EntryTxnType,$P240)))</f>
        <v/>
      </c>
      <c r="H240" s="29">
        <f>IF($P240="","",IF(INDEX(EntryDep,$P240)=0,"",INDEX(EntryDep,$P240)))</f>
        <v/>
      </c>
      <c r="I240" s="29">
        <f>IF($P240="","",IF(INDEX(EntryWit,$P240)=0,"",INDEX(EntryWit,$P240)))</f>
        <v/>
      </c>
      <c r="J240" s="29">
        <f>IF($B240="","",IF($A240=1,$C$7,IF(J239="",0,J239))+IF($H240="",0,$H240)-IF($I240="",0,$I240))</f>
        <v/>
      </c>
      <c r="K240" s="29">
        <f>IF($P240="","",IF(INDEX(EntryMan,$P240)=0,"",INDEX(EntryMan,$P240)))</f>
        <v/>
      </c>
      <c r="L240" s="28">
        <f>IF($B240="","",IF($K240="","—",IF(ROUND($K240-$J240,0)=0,"√","×")))</f>
        <v/>
      </c>
      <c r="M240" s="28">
        <f>IF($B240="","",IF(COUNTIFS(EntryDates,$B240,CalcTime,$C240,CalcBank,$C$5,EntryParty,$D240,EntryDep,$H240,EntryWit,$I240)&gt;1,"تکرار",""))</f>
        <v/>
      </c>
      <c r="N240" s="28">
        <f>IF($P240="","",IF(INDEX(EntryNotes,$P240)=0,"",INDEX(EntryNotes,$P240)))</f>
        <v/>
      </c>
      <c r="O240" s="28">
        <f>IF($P240="","",IF(INDEX(EntryTxnID,$P240)=0,"",INDEX(EntryTxnID,$P240)))</f>
        <v/>
      </c>
      <c r="P240" s="28">
        <f>IFERROR(MATCH($C$5&amp;"|"&amp;RIGHT("000000"&amp;224,6),CalcRankKey,0),"")</f>
        <v/>
      </c>
    </row>
    <row r="241">
      <c r="A241" s="26">
        <f>IF($B241="","",225)</f>
        <v/>
      </c>
      <c r="B241" s="26">
        <f>IF($P241="","",IF(INDEX(CalcNormDate,$P241)=0,"",INDEX(CalcNormDate,$P241)))</f>
        <v/>
      </c>
      <c r="C241" s="26">
        <f>IF($P241="","",IF(INDEX(CalcTime,$P241)=0,"",INDEX(CalcTime,$P241)))</f>
        <v/>
      </c>
      <c r="D241" s="26">
        <f>IF($P241="","",IF(INDEX(EntryParty,$P241)=0,"",INDEX(EntryParty,$P241)))</f>
        <v/>
      </c>
      <c r="E241" s="26">
        <f>IF($P241="","",IF(INDEX(EntryPartyName,$P241)=0,"",INDEX(EntryPartyName,$P241)))</f>
        <v/>
      </c>
      <c r="F241" s="26">
        <f>IF($P241="","",IF(INDEX(EntryPartyType,$P241)=0,"",INDEX(EntryPartyType,$P241)))</f>
        <v/>
      </c>
      <c r="G241" s="26">
        <f>IF($P241="","",IF(INDEX(EntryTxnType,$P241)=0,"",INDEX(EntryTxnType,$P241)))</f>
        <v/>
      </c>
      <c r="H241" s="27">
        <f>IF($P241="","",IF(INDEX(EntryDep,$P241)=0,"",INDEX(EntryDep,$P241)))</f>
        <v/>
      </c>
      <c r="I241" s="27">
        <f>IF($P241="","",IF(INDEX(EntryWit,$P241)=0,"",INDEX(EntryWit,$P241)))</f>
        <v/>
      </c>
      <c r="J241" s="27">
        <f>IF($B241="","",IF($A241=1,$C$7,IF(J240="",0,J240))+IF($H241="",0,$H241)-IF($I241="",0,$I241))</f>
        <v/>
      </c>
      <c r="K241" s="27">
        <f>IF($P241="","",IF(INDEX(EntryMan,$P241)=0,"",INDEX(EntryMan,$P241)))</f>
        <v/>
      </c>
      <c r="L241" s="26">
        <f>IF($B241="","",IF($K241="","—",IF(ROUND($K241-$J241,0)=0,"√","×")))</f>
        <v/>
      </c>
      <c r="M241" s="26">
        <f>IF($B241="","",IF(COUNTIFS(EntryDates,$B241,CalcTime,$C241,CalcBank,$C$5,EntryParty,$D241,EntryDep,$H241,EntryWit,$I241)&gt;1,"تکرار",""))</f>
        <v/>
      </c>
      <c r="N241" s="26">
        <f>IF($P241="","",IF(INDEX(EntryNotes,$P241)=0,"",INDEX(EntryNotes,$P241)))</f>
        <v/>
      </c>
      <c r="O241" s="26">
        <f>IF($P241="","",IF(INDEX(EntryTxnID,$P241)=0,"",INDEX(EntryTxnID,$P241)))</f>
        <v/>
      </c>
      <c r="P241" s="26">
        <f>IFERROR(MATCH($C$5&amp;"|"&amp;RIGHT("000000"&amp;225,6),CalcRankKey,0),"")</f>
        <v/>
      </c>
    </row>
    <row r="242">
      <c r="A242" s="28">
        <f>IF($B242="","",226)</f>
        <v/>
      </c>
      <c r="B242" s="28">
        <f>IF($P242="","",IF(INDEX(CalcNormDate,$P242)=0,"",INDEX(CalcNormDate,$P242)))</f>
        <v/>
      </c>
      <c r="C242" s="28">
        <f>IF($P242="","",IF(INDEX(CalcTime,$P242)=0,"",INDEX(CalcTime,$P242)))</f>
        <v/>
      </c>
      <c r="D242" s="28">
        <f>IF($P242="","",IF(INDEX(EntryParty,$P242)=0,"",INDEX(EntryParty,$P242)))</f>
        <v/>
      </c>
      <c r="E242" s="28">
        <f>IF($P242="","",IF(INDEX(EntryPartyName,$P242)=0,"",INDEX(EntryPartyName,$P242)))</f>
        <v/>
      </c>
      <c r="F242" s="28">
        <f>IF($P242="","",IF(INDEX(EntryPartyType,$P242)=0,"",INDEX(EntryPartyType,$P242)))</f>
        <v/>
      </c>
      <c r="G242" s="28">
        <f>IF($P242="","",IF(INDEX(EntryTxnType,$P242)=0,"",INDEX(EntryTxnType,$P242)))</f>
        <v/>
      </c>
      <c r="H242" s="29">
        <f>IF($P242="","",IF(INDEX(EntryDep,$P242)=0,"",INDEX(EntryDep,$P242)))</f>
        <v/>
      </c>
      <c r="I242" s="29">
        <f>IF($P242="","",IF(INDEX(EntryWit,$P242)=0,"",INDEX(EntryWit,$P242)))</f>
        <v/>
      </c>
      <c r="J242" s="29">
        <f>IF($B242="","",IF($A242=1,$C$7,IF(J241="",0,J241))+IF($H242="",0,$H242)-IF($I242="",0,$I242))</f>
        <v/>
      </c>
      <c r="K242" s="29">
        <f>IF($P242="","",IF(INDEX(EntryMan,$P242)=0,"",INDEX(EntryMan,$P242)))</f>
        <v/>
      </c>
      <c r="L242" s="28">
        <f>IF($B242="","",IF($K242="","—",IF(ROUND($K242-$J242,0)=0,"√","×")))</f>
        <v/>
      </c>
      <c r="M242" s="28">
        <f>IF($B242="","",IF(COUNTIFS(EntryDates,$B242,CalcTime,$C242,CalcBank,$C$5,EntryParty,$D242,EntryDep,$H242,EntryWit,$I242)&gt;1,"تکرار",""))</f>
        <v/>
      </c>
      <c r="N242" s="28">
        <f>IF($P242="","",IF(INDEX(EntryNotes,$P242)=0,"",INDEX(EntryNotes,$P242)))</f>
        <v/>
      </c>
      <c r="O242" s="28">
        <f>IF($P242="","",IF(INDEX(EntryTxnID,$P242)=0,"",INDEX(EntryTxnID,$P242)))</f>
        <v/>
      </c>
      <c r="P242" s="28">
        <f>IFERROR(MATCH($C$5&amp;"|"&amp;RIGHT("000000"&amp;226,6),CalcRankKey,0),"")</f>
        <v/>
      </c>
    </row>
    <row r="243">
      <c r="A243" s="26">
        <f>IF($B243="","",227)</f>
        <v/>
      </c>
      <c r="B243" s="26">
        <f>IF($P243="","",IF(INDEX(CalcNormDate,$P243)=0,"",INDEX(CalcNormDate,$P243)))</f>
        <v/>
      </c>
      <c r="C243" s="26">
        <f>IF($P243="","",IF(INDEX(CalcTime,$P243)=0,"",INDEX(CalcTime,$P243)))</f>
        <v/>
      </c>
      <c r="D243" s="26">
        <f>IF($P243="","",IF(INDEX(EntryParty,$P243)=0,"",INDEX(EntryParty,$P243)))</f>
        <v/>
      </c>
      <c r="E243" s="26">
        <f>IF($P243="","",IF(INDEX(EntryPartyName,$P243)=0,"",INDEX(EntryPartyName,$P243)))</f>
        <v/>
      </c>
      <c r="F243" s="26">
        <f>IF($P243="","",IF(INDEX(EntryPartyType,$P243)=0,"",INDEX(EntryPartyType,$P243)))</f>
        <v/>
      </c>
      <c r="G243" s="26">
        <f>IF($P243="","",IF(INDEX(EntryTxnType,$P243)=0,"",INDEX(EntryTxnType,$P243)))</f>
        <v/>
      </c>
      <c r="H243" s="27">
        <f>IF($P243="","",IF(INDEX(EntryDep,$P243)=0,"",INDEX(EntryDep,$P243)))</f>
        <v/>
      </c>
      <c r="I243" s="27">
        <f>IF($P243="","",IF(INDEX(EntryWit,$P243)=0,"",INDEX(EntryWit,$P243)))</f>
        <v/>
      </c>
      <c r="J243" s="27">
        <f>IF($B243="","",IF($A243=1,$C$7,IF(J242="",0,J242))+IF($H243="",0,$H243)-IF($I243="",0,$I243))</f>
        <v/>
      </c>
      <c r="K243" s="27">
        <f>IF($P243="","",IF(INDEX(EntryMan,$P243)=0,"",INDEX(EntryMan,$P243)))</f>
        <v/>
      </c>
      <c r="L243" s="26">
        <f>IF($B243="","",IF($K243="","—",IF(ROUND($K243-$J243,0)=0,"√","×")))</f>
        <v/>
      </c>
      <c r="M243" s="26">
        <f>IF($B243="","",IF(COUNTIFS(EntryDates,$B243,CalcTime,$C243,CalcBank,$C$5,EntryParty,$D243,EntryDep,$H243,EntryWit,$I243)&gt;1,"تکرار",""))</f>
        <v/>
      </c>
      <c r="N243" s="26">
        <f>IF($P243="","",IF(INDEX(EntryNotes,$P243)=0,"",INDEX(EntryNotes,$P243)))</f>
        <v/>
      </c>
      <c r="O243" s="26">
        <f>IF($P243="","",IF(INDEX(EntryTxnID,$P243)=0,"",INDEX(EntryTxnID,$P243)))</f>
        <v/>
      </c>
      <c r="P243" s="26">
        <f>IFERROR(MATCH($C$5&amp;"|"&amp;RIGHT("000000"&amp;227,6),CalcRankKey,0),"")</f>
        <v/>
      </c>
    </row>
    <row r="244">
      <c r="A244" s="28">
        <f>IF($B244="","",228)</f>
        <v/>
      </c>
      <c r="B244" s="28">
        <f>IF($P244="","",IF(INDEX(CalcNormDate,$P244)=0,"",INDEX(CalcNormDate,$P244)))</f>
        <v/>
      </c>
      <c r="C244" s="28">
        <f>IF($P244="","",IF(INDEX(CalcTime,$P244)=0,"",INDEX(CalcTime,$P244)))</f>
        <v/>
      </c>
      <c r="D244" s="28">
        <f>IF($P244="","",IF(INDEX(EntryParty,$P244)=0,"",INDEX(EntryParty,$P244)))</f>
        <v/>
      </c>
      <c r="E244" s="28">
        <f>IF($P244="","",IF(INDEX(EntryPartyName,$P244)=0,"",INDEX(EntryPartyName,$P244)))</f>
        <v/>
      </c>
      <c r="F244" s="28">
        <f>IF($P244="","",IF(INDEX(EntryPartyType,$P244)=0,"",INDEX(EntryPartyType,$P244)))</f>
        <v/>
      </c>
      <c r="G244" s="28">
        <f>IF($P244="","",IF(INDEX(EntryTxnType,$P244)=0,"",INDEX(EntryTxnType,$P244)))</f>
        <v/>
      </c>
      <c r="H244" s="29">
        <f>IF($P244="","",IF(INDEX(EntryDep,$P244)=0,"",INDEX(EntryDep,$P244)))</f>
        <v/>
      </c>
      <c r="I244" s="29">
        <f>IF($P244="","",IF(INDEX(EntryWit,$P244)=0,"",INDEX(EntryWit,$P244)))</f>
        <v/>
      </c>
      <c r="J244" s="29">
        <f>IF($B244="","",IF($A244=1,$C$7,IF(J243="",0,J243))+IF($H244="",0,$H244)-IF($I244="",0,$I244))</f>
        <v/>
      </c>
      <c r="K244" s="29">
        <f>IF($P244="","",IF(INDEX(EntryMan,$P244)=0,"",INDEX(EntryMan,$P244)))</f>
        <v/>
      </c>
      <c r="L244" s="28">
        <f>IF($B244="","",IF($K244="","—",IF(ROUND($K244-$J244,0)=0,"√","×")))</f>
        <v/>
      </c>
      <c r="M244" s="28">
        <f>IF($B244="","",IF(COUNTIFS(EntryDates,$B244,CalcTime,$C244,CalcBank,$C$5,EntryParty,$D244,EntryDep,$H244,EntryWit,$I244)&gt;1,"تکرار",""))</f>
        <v/>
      </c>
      <c r="N244" s="28">
        <f>IF($P244="","",IF(INDEX(EntryNotes,$P244)=0,"",INDEX(EntryNotes,$P244)))</f>
        <v/>
      </c>
      <c r="O244" s="28">
        <f>IF($P244="","",IF(INDEX(EntryTxnID,$P244)=0,"",INDEX(EntryTxnID,$P244)))</f>
        <v/>
      </c>
      <c r="P244" s="28">
        <f>IFERROR(MATCH($C$5&amp;"|"&amp;RIGHT("000000"&amp;228,6),CalcRankKey,0),"")</f>
        <v/>
      </c>
    </row>
    <row r="245">
      <c r="A245" s="26">
        <f>IF($B245="","",229)</f>
        <v/>
      </c>
      <c r="B245" s="26">
        <f>IF($P245="","",IF(INDEX(CalcNormDate,$P245)=0,"",INDEX(CalcNormDate,$P245)))</f>
        <v/>
      </c>
      <c r="C245" s="26">
        <f>IF($P245="","",IF(INDEX(CalcTime,$P245)=0,"",INDEX(CalcTime,$P245)))</f>
        <v/>
      </c>
      <c r="D245" s="26">
        <f>IF($P245="","",IF(INDEX(EntryParty,$P245)=0,"",INDEX(EntryParty,$P245)))</f>
        <v/>
      </c>
      <c r="E245" s="26">
        <f>IF($P245="","",IF(INDEX(EntryPartyName,$P245)=0,"",INDEX(EntryPartyName,$P245)))</f>
        <v/>
      </c>
      <c r="F245" s="26">
        <f>IF($P245="","",IF(INDEX(EntryPartyType,$P245)=0,"",INDEX(EntryPartyType,$P245)))</f>
        <v/>
      </c>
      <c r="G245" s="26">
        <f>IF($P245="","",IF(INDEX(EntryTxnType,$P245)=0,"",INDEX(EntryTxnType,$P245)))</f>
        <v/>
      </c>
      <c r="H245" s="27">
        <f>IF($P245="","",IF(INDEX(EntryDep,$P245)=0,"",INDEX(EntryDep,$P245)))</f>
        <v/>
      </c>
      <c r="I245" s="27">
        <f>IF($P245="","",IF(INDEX(EntryWit,$P245)=0,"",INDEX(EntryWit,$P245)))</f>
        <v/>
      </c>
      <c r="J245" s="27">
        <f>IF($B245="","",IF($A245=1,$C$7,IF(J244="",0,J244))+IF($H245="",0,$H245)-IF($I245="",0,$I245))</f>
        <v/>
      </c>
      <c r="K245" s="27">
        <f>IF($P245="","",IF(INDEX(EntryMan,$P245)=0,"",INDEX(EntryMan,$P245)))</f>
        <v/>
      </c>
      <c r="L245" s="26">
        <f>IF($B245="","",IF($K245="","—",IF(ROUND($K245-$J245,0)=0,"√","×")))</f>
        <v/>
      </c>
      <c r="M245" s="26">
        <f>IF($B245="","",IF(COUNTIFS(EntryDates,$B245,CalcTime,$C245,CalcBank,$C$5,EntryParty,$D245,EntryDep,$H245,EntryWit,$I245)&gt;1,"تکرار",""))</f>
        <v/>
      </c>
      <c r="N245" s="26">
        <f>IF($P245="","",IF(INDEX(EntryNotes,$P245)=0,"",INDEX(EntryNotes,$P245)))</f>
        <v/>
      </c>
      <c r="O245" s="26">
        <f>IF($P245="","",IF(INDEX(EntryTxnID,$P245)=0,"",INDEX(EntryTxnID,$P245)))</f>
        <v/>
      </c>
      <c r="P245" s="26">
        <f>IFERROR(MATCH($C$5&amp;"|"&amp;RIGHT("000000"&amp;229,6),CalcRankKey,0),"")</f>
        <v/>
      </c>
    </row>
    <row r="246">
      <c r="A246" s="28">
        <f>IF($B246="","",230)</f>
        <v/>
      </c>
      <c r="B246" s="28">
        <f>IF($P246="","",IF(INDEX(CalcNormDate,$P246)=0,"",INDEX(CalcNormDate,$P246)))</f>
        <v/>
      </c>
      <c r="C246" s="28">
        <f>IF($P246="","",IF(INDEX(CalcTime,$P246)=0,"",INDEX(CalcTime,$P246)))</f>
        <v/>
      </c>
      <c r="D246" s="28">
        <f>IF($P246="","",IF(INDEX(EntryParty,$P246)=0,"",INDEX(EntryParty,$P246)))</f>
        <v/>
      </c>
      <c r="E246" s="28">
        <f>IF($P246="","",IF(INDEX(EntryPartyName,$P246)=0,"",INDEX(EntryPartyName,$P246)))</f>
        <v/>
      </c>
      <c r="F246" s="28">
        <f>IF($P246="","",IF(INDEX(EntryPartyType,$P246)=0,"",INDEX(EntryPartyType,$P246)))</f>
        <v/>
      </c>
      <c r="G246" s="28">
        <f>IF($P246="","",IF(INDEX(EntryTxnType,$P246)=0,"",INDEX(EntryTxnType,$P246)))</f>
        <v/>
      </c>
      <c r="H246" s="29">
        <f>IF($P246="","",IF(INDEX(EntryDep,$P246)=0,"",INDEX(EntryDep,$P246)))</f>
        <v/>
      </c>
      <c r="I246" s="29">
        <f>IF($P246="","",IF(INDEX(EntryWit,$P246)=0,"",INDEX(EntryWit,$P246)))</f>
        <v/>
      </c>
      <c r="J246" s="29">
        <f>IF($B246="","",IF($A246=1,$C$7,IF(J245="",0,J245))+IF($H246="",0,$H246)-IF($I246="",0,$I246))</f>
        <v/>
      </c>
      <c r="K246" s="29">
        <f>IF($P246="","",IF(INDEX(EntryMan,$P246)=0,"",INDEX(EntryMan,$P246)))</f>
        <v/>
      </c>
      <c r="L246" s="28">
        <f>IF($B246="","",IF($K246="","—",IF(ROUND($K246-$J246,0)=0,"√","×")))</f>
        <v/>
      </c>
      <c r="M246" s="28">
        <f>IF($B246="","",IF(COUNTIFS(EntryDates,$B246,CalcTime,$C246,CalcBank,$C$5,EntryParty,$D246,EntryDep,$H246,EntryWit,$I246)&gt;1,"تکرار",""))</f>
        <v/>
      </c>
      <c r="N246" s="28">
        <f>IF($P246="","",IF(INDEX(EntryNotes,$P246)=0,"",INDEX(EntryNotes,$P246)))</f>
        <v/>
      </c>
      <c r="O246" s="28">
        <f>IF($P246="","",IF(INDEX(EntryTxnID,$P246)=0,"",INDEX(EntryTxnID,$P246)))</f>
        <v/>
      </c>
      <c r="P246" s="28">
        <f>IFERROR(MATCH($C$5&amp;"|"&amp;RIGHT("000000"&amp;230,6),CalcRankKey,0),"")</f>
        <v/>
      </c>
    </row>
    <row r="247">
      <c r="A247" s="26">
        <f>IF($B247="","",231)</f>
        <v/>
      </c>
      <c r="B247" s="26">
        <f>IF($P247="","",IF(INDEX(CalcNormDate,$P247)=0,"",INDEX(CalcNormDate,$P247)))</f>
        <v/>
      </c>
      <c r="C247" s="26">
        <f>IF($P247="","",IF(INDEX(CalcTime,$P247)=0,"",INDEX(CalcTime,$P247)))</f>
        <v/>
      </c>
      <c r="D247" s="26">
        <f>IF($P247="","",IF(INDEX(EntryParty,$P247)=0,"",INDEX(EntryParty,$P247)))</f>
        <v/>
      </c>
      <c r="E247" s="26">
        <f>IF($P247="","",IF(INDEX(EntryPartyName,$P247)=0,"",INDEX(EntryPartyName,$P247)))</f>
        <v/>
      </c>
      <c r="F247" s="26">
        <f>IF($P247="","",IF(INDEX(EntryPartyType,$P247)=0,"",INDEX(EntryPartyType,$P247)))</f>
        <v/>
      </c>
      <c r="G247" s="26">
        <f>IF($P247="","",IF(INDEX(EntryTxnType,$P247)=0,"",INDEX(EntryTxnType,$P247)))</f>
        <v/>
      </c>
      <c r="H247" s="27">
        <f>IF($P247="","",IF(INDEX(EntryDep,$P247)=0,"",INDEX(EntryDep,$P247)))</f>
        <v/>
      </c>
      <c r="I247" s="27">
        <f>IF($P247="","",IF(INDEX(EntryWit,$P247)=0,"",INDEX(EntryWit,$P247)))</f>
        <v/>
      </c>
      <c r="J247" s="27">
        <f>IF($B247="","",IF($A247=1,$C$7,IF(J246="",0,J246))+IF($H247="",0,$H247)-IF($I247="",0,$I247))</f>
        <v/>
      </c>
      <c r="K247" s="27">
        <f>IF($P247="","",IF(INDEX(EntryMan,$P247)=0,"",INDEX(EntryMan,$P247)))</f>
        <v/>
      </c>
      <c r="L247" s="26">
        <f>IF($B247="","",IF($K247="","—",IF(ROUND($K247-$J247,0)=0,"√","×")))</f>
        <v/>
      </c>
      <c r="M247" s="26">
        <f>IF($B247="","",IF(COUNTIFS(EntryDates,$B247,CalcTime,$C247,CalcBank,$C$5,EntryParty,$D247,EntryDep,$H247,EntryWit,$I247)&gt;1,"تکرار",""))</f>
        <v/>
      </c>
      <c r="N247" s="26">
        <f>IF($P247="","",IF(INDEX(EntryNotes,$P247)=0,"",INDEX(EntryNotes,$P247)))</f>
        <v/>
      </c>
      <c r="O247" s="26">
        <f>IF($P247="","",IF(INDEX(EntryTxnID,$P247)=0,"",INDEX(EntryTxnID,$P247)))</f>
        <v/>
      </c>
      <c r="P247" s="26">
        <f>IFERROR(MATCH($C$5&amp;"|"&amp;RIGHT("000000"&amp;231,6),CalcRankKey,0),"")</f>
        <v/>
      </c>
    </row>
    <row r="248">
      <c r="A248" s="28">
        <f>IF($B248="","",232)</f>
        <v/>
      </c>
      <c r="B248" s="28">
        <f>IF($P248="","",IF(INDEX(CalcNormDate,$P248)=0,"",INDEX(CalcNormDate,$P248)))</f>
        <v/>
      </c>
      <c r="C248" s="28">
        <f>IF($P248="","",IF(INDEX(CalcTime,$P248)=0,"",INDEX(CalcTime,$P248)))</f>
        <v/>
      </c>
      <c r="D248" s="28">
        <f>IF($P248="","",IF(INDEX(EntryParty,$P248)=0,"",INDEX(EntryParty,$P248)))</f>
        <v/>
      </c>
      <c r="E248" s="28">
        <f>IF($P248="","",IF(INDEX(EntryPartyName,$P248)=0,"",INDEX(EntryPartyName,$P248)))</f>
        <v/>
      </c>
      <c r="F248" s="28">
        <f>IF($P248="","",IF(INDEX(EntryPartyType,$P248)=0,"",INDEX(EntryPartyType,$P248)))</f>
        <v/>
      </c>
      <c r="G248" s="28">
        <f>IF($P248="","",IF(INDEX(EntryTxnType,$P248)=0,"",INDEX(EntryTxnType,$P248)))</f>
        <v/>
      </c>
      <c r="H248" s="29">
        <f>IF($P248="","",IF(INDEX(EntryDep,$P248)=0,"",INDEX(EntryDep,$P248)))</f>
        <v/>
      </c>
      <c r="I248" s="29">
        <f>IF($P248="","",IF(INDEX(EntryWit,$P248)=0,"",INDEX(EntryWit,$P248)))</f>
        <v/>
      </c>
      <c r="J248" s="29">
        <f>IF($B248="","",IF($A248=1,$C$7,IF(J247="",0,J247))+IF($H248="",0,$H248)-IF($I248="",0,$I248))</f>
        <v/>
      </c>
      <c r="K248" s="29">
        <f>IF($P248="","",IF(INDEX(EntryMan,$P248)=0,"",INDEX(EntryMan,$P248)))</f>
        <v/>
      </c>
      <c r="L248" s="28">
        <f>IF($B248="","",IF($K248="","—",IF(ROUND($K248-$J248,0)=0,"√","×")))</f>
        <v/>
      </c>
      <c r="M248" s="28">
        <f>IF($B248="","",IF(COUNTIFS(EntryDates,$B248,CalcTime,$C248,CalcBank,$C$5,EntryParty,$D248,EntryDep,$H248,EntryWit,$I248)&gt;1,"تکرار",""))</f>
        <v/>
      </c>
      <c r="N248" s="28">
        <f>IF($P248="","",IF(INDEX(EntryNotes,$P248)=0,"",INDEX(EntryNotes,$P248)))</f>
        <v/>
      </c>
      <c r="O248" s="28">
        <f>IF($P248="","",IF(INDEX(EntryTxnID,$P248)=0,"",INDEX(EntryTxnID,$P248)))</f>
        <v/>
      </c>
      <c r="P248" s="28">
        <f>IFERROR(MATCH($C$5&amp;"|"&amp;RIGHT("000000"&amp;232,6),CalcRankKey,0),"")</f>
        <v/>
      </c>
    </row>
    <row r="249">
      <c r="A249" s="26">
        <f>IF($B249="","",233)</f>
        <v/>
      </c>
      <c r="B249" s="26">
        <f>IF($P249="","",IF(INDEX(CalcNormDate,$P249)=0,"",INDEX(CalcNormDate,$P249)))</f>
        <v/>
      </c>
      <c r="C249" s="26">
        <f>IF($P249="","",IF(INDEX(CalcTime,$P249)=0,"",INDEX(CalcTime,$P249)))</f>
        <v/>
      </c>
      <c r="D249" s="26">
        <f>IF($P249="","",IF(INDEX(EntryParty,$P249)=0,"",INDEX(EntryParty,$P249)))</f>
        <v/>
      </c>
      <c r="E249" s="26">
        <f>IF($P249="","",IF(INDEX(EntryPartyName,$P249)=0,"",INDEX(EntryPartyName,$P249)))</f>
        <v/>
      </c>
      <c r="F249" s="26">
        <f>IF($P249="","",IF(INDEX(EntryPartyType,$P249)=0,"",INDEX(EntryPartyType,$P249)))</f>
        <v/>
      </c>
      <c r="G249" s="26">
        <f>IF($P249="","",IF(INDEX(EntryTxnType,$P249)=0,"",INDEX(EntryTxnType,$P249)))</f>
        <v/>
      </c>
      <c r="H249" s="27">
        <f>IF($P249="","",IF(INDEX(EntryDep,$P249)=0,"",INDEX(EntryDep,$P249)))</f>
        <v/>
      </c>
      <c r="I249" s="27">
        <f>IF($P249="","",IF(INDEX(EntryWit,$P249)=0,"",INDEX(EntryWit,$P249)))</f>
        <v/>
      </c>
      <c r="J249" s="27">
        <f>IF($B249="","",IF($A249=1,$C$7,IF(J248="",0,J248))+IF($H249="",0,$H249)-IF($I249="",0,$I249))</f>
        <v/>
      </c>
      <c r="K249" s="27">
        <f>IF($P249="","",IF(INDEX(EntryMan,$P249)=0,"",INDEX(EntryMan,$P249)))</f>
        <v/>
      </c>
      <c r="L249" s="26">
        <f>IF($B249="","",IF($K249="","—",IF(ROUND($K249-$J249,0)=0,"√","×")))</f>
        <v/>
      </c>
      <c r="M249" s="26">
        <f>IF($B249="","",IF(COUNTIFS(EntryDates,$B249,CalcTime,$C249,CalcBank,$C$5,EntryParty,$D249,EntryDep,$H249,EntryWit,$I249)&gt;1,"تکرار",""))</f>
        <v/>
      </c>
      <c r="N249" s="26">
        <f>IF($P249="","",IF(INDEX(EntryNotes,$P249)=0,"",INDEX(EntryNotes,$P249)))</f>
        <v/>
      </c>
      <c r="O249" s="26">
        <f>IF($P249="","",IF(INDEX(EntryTxnID,$P249)=0,"",INDEX(EntryTxnID,$P249)))</f>
        <v/>
      </c>
      <c r="P249" s="26">
        <f>IFERROR(MATCH($C$5&amp;"|"&amp;RIGHT("000000"&amp;233,6),CalcRankKey,0),"")</f>
        <v/>
      </c>
    </row>
    <row r="250">
      <c r="A250" s="28">
        <f>IF($B250="","",234)</f>
        <v/>
      </c>
      <c r="B250" s="28">
        <f>IF($P250="","",IF(INDEX(CalcNormDate,$P250)=0,"",INDEX(CalcNormDate,$P250)))</f>
        <v/>
      </c>
      <c r="C250" s="28">
        <f>IF($P250="","",IF(INDEX(CalcTime,$P250)=0,"",INDEX(CalcTime,$P250)))</f>
        <v/>
      </c>
      <c r="D250" s="28">
        <f>IF($P250="","",IF(INDEX(EntryParty,$P250)=0,"",INDEX(EntryParty,$P250)))</f>
        <v/>
      </c>
      <c r="E250" s="28">
        <f>IF($P250="","",IF(INDEX(EntryPartyName,$P250)=0,"",INDEX(EntryPartyName,$P250)))</f>
        <v/>
      </c>
      <c r="F250" s="28">
        <f>IF($P250="","",IF(INDEX(EntryPartyType,$P250)=0,"",INDEX(EntryPartyType,$P250)))</f>
        <v/>
      </c>
      <c r="G250" s="28">
        <f>IF($P250="","",IF(INDEX(EntryTxnType,$P250)=0,"",INDEX(EntryTxnType,$P250)))</f>
        <v/>
      </c>
      <c r="H250" s="29">
        <f>IF($P250="","",IF(INDEX(EntryDep,$P250)=0,"",INDEX(EntryDep,$P250)))</f>
        <v/>
      </c>
      <c r="I250" s="29">
        <f>IF($P250="","",IF(INDEX(EntryWit,$P250)=0,"",INDEX(EntryWit,$P250)))</f>
        <v/>
      </c>
      <c r="J250" s="29">
        <f>IF($B250="","",IF($A250=1,$C$7,IF(J249="",0,J249))+IF($H250="",0,$H250)-IF($I250="",0,$I250))</f>
        <v/>
      </c>
      <c r="K250" s="29">
        <f>IF($P250="","",IF(INDEX(EntryMan,$P250)=0,"",INDEX(EntryMan,$P250)))</f>
        <v/>
      </c>
      <c r="L250" s="28">
        <f>IF($B250="","",IF($K250="","—",IF(ROUND($K250-$J250,0)=0,"√","×")))</f>
        <v/>
      </c>
      <c r="M250" s="28">
        <f>IF($B250="","",IF(COUNTIFS(EntryDates,$B250,CalcTime,$C250,CalcBank,$C$5,EntryParty,$D250,EntryDep,$H250,EntryWit,$I250)&gt;1,"تکرار",""))</f>
        <v/>
      </c>
      <c r="N250" s="28">
        <f>IF($P250="","",IF(INDEX(EntryNotes,$P250)=0,"",INDEX(EntryNotes,$P250)))</f>
        <v/>
      </c>
      <c r="O250" s="28">
        <f>IF($P250="","",IF(INDEX(EntryTxnID,$P250)=0,"",INDEX(EntryTxnID,$P250)))</f>
        <v/>
      </c>
      <c r="P250" s="28">
        <f>IFERROR(MATCH($C$5&amp;"|"&amp;RIGHT("000000"&amp;234,6),CalcRankKey,0),"")</f>
        <v/>
      </c>
    </row>
    <row r="251">
      <c r="A251" s="26">
        <f>IF($B251="","",235)</f>
        <v/>
      </c>
      <c r="B251" s="26">
        <f>IF($P251="","",IF(INDEX(CalcNormDate,$P251)=0,"",INDEX(CalcNormDate,$P251)))</f>
        <v/>
      </c>
      <c r="C251" s="26">
        <f>IF($P251="","",IF(INDEX(CalcTime,$P251)=0,"",INDEX(CalcTime,$P251)))</f>
        <v/>
      </c>
      <c r="D251" s="26">
        <f>IF($P251="","",IF(INDEX(EntryParty,$P251)=0,"",INDEX(EntryParty,$P251)))</f>
        <v/>
      </c>
      <c r="E251" s="26">
        <f>IF($P251="","",IF(INDEX(EntryPartyName,$P251)=0,"",INDEX(EntryPartyName,$P251)))</f>
        <v/>
      </c>
      <c r="F251" s="26">
        <f>IF($P251="","",IF(INDEX(EntryPartyType,$P251)=0,"",INDEX(EntryPartyType,$P251)))</f>
        <v/>
      </c>
      <c r="G251" s="26">
        <f>IF($P251="","",IF(INDEX(EntryTxnType,$P251)=0,"",INDEX(EntryTxnType,$P251)))</f>
        <v/>
      </c>
      <c r="H251" s="27">
        <f>IF($P251="","",IF(INDEX(EntryDep,$P251)=0,"",INDEX(EntryDep,$P251)))</f>
        <v/>
      </c>
      <c r="I251" s="27">
        <f>IF($P251="","",IF(INDEX(EntryWit,$P251)=0,"",INDEX(EntryWit,$P251)))</f>
        <v/>
      </c>
      <c r="J251" s="27">
        <f>IF($B251="","",IF($A251=1,$C$7,IF(J250="",0,J250))+IF($H251="",0,$H251)-IF($I251="",0,$I251))</f>
        <v/>
      </c>
      <c r="K251" s="27">
        <f>IF($P251="","",IF(INDEX(EntryMan,$P251)=0,"",INDEX(EntryMan,$P251)))</f>
        <v/>
      </c>
      <c r="L251" s="26">
        <f>IF($B251="","",IF($K251="","—",IF(ROUND($K251-$J251,0)=0,"√","×")))</f>
        <v/>
      </c>
      <c r="M251" s="26">
        <f>IF($B251="","",IF(COUNTIFS(EntryDates,$B251,CalcTime,$C251,CalcBank,$C$5,EntryParty,$D251,EntryDep,$H251,EntryWit,$I251)&gt;1,"تکرار",""))</f>
        <v/>
      </c>
      <c r="N251" s="26">
        <f>IF($P251="","",IF(INDEX(EntryNotes,$P251)=0,"",INDEX(EntryNotes,$P251)))</f>
        <v/>
      </c>
      <c r="O251" s="26">
        <f>IF($P251="","",IF(INDEX(EntryTxnID,$P251)=0,"",INDEX(EntryTxnID,$P251)))</f>
        <v/>
      </c>
      <c r="P251" s="26">
        <f>IFERROR(MATCH($C$5&amp;"|"&amp;RIGHT("000000"&amp;235,6),CalcRankKey,0),"")</f>
        <v/>
      </c>
    </row>
    <row r="252">
      <c r="A252" s="28">
        <f>IF($B252="","",236)</f>
        <v/>
      </c>
      <c r="B252" s="28">
        <f>IF($P252="","",IF(INDEX(CalcNormDate,$P252)=0,"",INDEX(CalcNormDate,$P252)))</f>
        <v/>
      </c>
      <c r="C252" s="28">
        <f>IF($P252="","",IF(INDEX(CalcTime,$P252)=0,"",INDEX(CalcTime,$P252)))</f>
        <v/>
      </c>
      <c r="D252" s="28">
        <f>IF($P252="","",IF(INDEX(EntryParty,$P252)=0,"",INDEX(EntryParty,$P252)))</f>
        <v/>
      </c>
      <c r="E252" s="28">
        <f>IF($P252="","",IF(INDEX(EntryPartyName,$P252)=0,"",INDEX(EntryPartyName,$P252)))</f>
        <v/>
      </c>
      <c r="F252" s="28">
        <f>IF($P252="","",IF(INDEX(EntryPartyType,$P252)=0,"",INDEX(EntryPartyType,$P252)))</f>
        <v/>
      </c>
      <c r="G252" s="28">
        <f>IF($P252="","",IF(INDEX(EntryTxnType,$P252)=0,"",INDEX(EntryTxnType,$P252)))</f>
        <v/>
      </c>
      <c r="H252" s="29">
        <f>IF($P252="","",IF(INDEX(EntryDep,$P252)=0,"",INDEX(EntryDep,$P252)))</f>
        <v/>
      </c>
      <c r="I252" s="29">
        <f>IF($P252="","",IF(INDEX(EntryWit,$P252)=0,"",INDEX(EntryWit,$P252)))</f>
        <v/>
      </c>
      <c r="J252" s="29">
        <f>IF($B252="","",IF($A252=1,$C$7,IF(J251="",0,J251))+IF($H252="",0,$H252)-IF($I252="",0,$I252))</f>
        <v/>
      </c>
      <c r="K252" s="29">
        <f>IF($P252="","",IF(INDEX(EntryMan,$P252)=0,"",INDEX(EntryMan,$P252)))</f>
        <v/>
      </c>
      <c r="L252" s="28">
        <f>IF($B252="","",IF($K252="","—",IF(ROUND($K252-$J252,0)=0,"√","×")))</f>
        <v/>
      </c>
      <c r="M252" s="28">
        <f>IF($B252="","",IF(COUNTIFS(EntryDates,$B252,CalcTime,$C252,CalcBank,$C$5,EntryParty,$D252,EntryDep,$H252,EntryWit,$I252)&gt;1,"تکرار",""))</f>
        <v/>
      </c>
      <c r="N252" s="28">
        <f>IF($P252="","",IF(INDEX(EntryNotes,$P252)=0,"",INDEX(EntryNotes,$P252)))</f>
        <v/>
      </c>
      <c r="O252" s="28">
        <f>IF($P252="","",IF(INDEX(EntryTxnID,$P252)=0,"",INDEX(EntryTxnID,$P252)))</f>
        <v/>
      </c>
      <c r="P252" s="28">
        <f>IFERROR(MATCH($C$5&amp;"|"&amp;RIGHT("000000"&amp;236,6),CalcRankKey,0),"")</f>
        <v/>
      </c>
    </row>
    <row r="253">
      <c r="A253" s="26">
        <f>IF($B253="","",237)</f>
        <v/>
      </c>
      <c r="B253" s="26">
        <f>IF($P253="","",IF(INDEX(CalcNormDate,$P253)=0,"",INDEX(CalcNormDate,$P253)))</f>
        <v/>
      </c>
      <c r="C253" s="26">
        <f>IF($P253="","",IF(INDEX(CalcTime,$P253)=0,"",INDEX(CalcTime,$P253)))</f>
        <v/>
      </c>
      <c r="D253" s="26">
        <f>IF($P253="","",IF(INDEX(EntryParty,$P253)=0,"",INDEX(EntryParty,$P253)))</f>
        <v/>
      </c>
      <c r="E253" s="26">
        <f>IF($P253="","",IF(INDEX(EntryPartyName,$P253)=0,"",INDEX(EntryPartyName,$P253)))</f>
        <v/>
      </c>
      <c r="F253" s="26">
        <f>IF($P253="","",IF(INDEX(EntryPartyType,$P253)=0,"",INDEX(EntryPartyType,$P253)))</f>
        <v/>
      </c>
      <c r="G253" s="26">
        <f>IF($P253="","",IF(INDEX(EntryTxnType,$P253)=0,"",INDEX(EntryTxnType,$P253)))</f>
        <v/>
      </c>
      <c r="H253" s="27">
        <f>IF($P253="","",IF(INDEX(EntryDep,$P253)=0,"",INDEX(EntryDep,$P253)))</f>
        <v/>
      </c>
      <c r="I253" s="27">
        <f>IF($P253="","",IF(INDEX(EntryWit,$P253)=0,"",INDEX(EntryWit,$P253)))</f>
        <v/>
      </c>
      <c r="J253" s="27">
        <f>IF($B253="","",IF($A253=1,$C$7,IF(J252="",0,J252))+IF($H253="",0,$H253)-IF($I253="",0,$I253))</f>
        <v/>
      </c>
      <c r="K253" s="27">
        <f>IF($P253="","",IF(INDEX(EntryMan,$P253)=0,"",INDEX(EntryMan,$P253)))</f>
        <v/>
      </c>
      <c r="L253" s="26">
        <f>IF($B253="","",IF($K253="","—",IF(ROUND($K253-$J253,0)=0,"√","×")))</f>
        <v/>
      </c>
      <c r="M253" s="26">
        <f>IF($B253="","",IF(COUNTIFS(EntryDates,$B253,CalcTime,$C253,CalcBank,$C$5,EntryParty,$D253,EntryDep,$H253,EntryWit,$I253)&gt;1,"تکرار",""))</f>
        <v/>
      </c>
      <c r="N253" s="26">
        <f>IF($P253="","",IF(INDEX(EntryNotes,$P253)=0,"",INDEX(EntryNotes,$P253)))</f>
        <v/>
      </c>
      <c r="O253" s="26">
        <f>IF($P253="","",IF(INDEX(EntryTxnID,$P253)=0,"",INDEX(EntryTxnID,$P253)))</f>
        <v/>
      </c>
      <c r="P253" s="26">
        <f>IFERROR(MATCH($C$5&amp;"|"&amp;RIGHT("000000"&amp;237,6),CalcRankKey,0),"")</f>
        <v/>
      </c>
    </row>
    <row r="254">
      <c r="A254" s="28">
        <f>IF($B254="","",238)</f>
        <v/>
      </c>
      <c r="B254" s="28">
        <f>IF($P254="","",IF(INDEX(CalcNormDate,$P254)=0,"",INDEX(CalcNormDate,$P254)))</f>
        <v/>
      </c>
      <c r="C254" s="28">
        <f>IF($P254="","",IF(INDEX(CalcTime,$P254)=0,"",INDEX(CalcTime,$P254)))</f>
        <v/>
      </c>
      <c r="D254" s="28">
        <f>IF($P254="","",IF(INDEX(EntryParty,$P254)=0,"",INDEX(EntryParty,$P254)))</f>
        <v/>
      </c>
      <c r="E254" s="28">
        <f>IF($P254="","",IF(INDEX(EntryPartyName,$P254)=0,"",INDEX(EntryPartyName,$P254)))</f>
        <v/>
      </c>
      <c r="F254" s="28">
        <f>IF($P254="","",IF(INDEX(EntryPartyType,$P254)=0,"",INDEX(EntryPartyType,$P254)))</f>
        <v/>
      </c>
      <c r="G254" s="28">
        <f>IF($P254="","",IF(INDEX(EntryTxnType,$P254)=0,"",INDEX(EntryTxnType,$P254)))</f>
        <v/>
      </c>
      <c r="H254" s="29">
        <f>IF($P254="","",IF(INDEX(EntryDep,$P254)=0,"",INDEX(EntryDep,$P254)))</f>
        <v/>
      </c>
      <c r="I254" s="29">
        <f>IF($P254="","",IF(INDEX(EntryWit,$P254)=0,"",INDEX(EntryWit,$P254)))</f>
        <v/>
      </c>
      <c r="J254" s="29">
        <f>IF($B254="","",IF($A254=1,$C$7,IF(J253="",0,J253))+IF($H254="",0,$H254)-IF($I254="",0,$I254))</f>
        <v/>
      </c>
      <c r="K254" s="29">
        <f>IF($P254="","",IF(INDEX(EntryMan,$P254)=0,"",INDEX(EntryMan,$P254)))</f>
        <v/>
      </c>
      <c r="L254" s="28">
        <f>IF($B254="","",IF($K254="","—",IF(ROUND($K254-$J254,0)=0,"√","×")))</f>
        <v/>
      </c>
      <c r="M254" s="28">
        <f>IF($B254="","",IF(COUNTIFS(EntryDates,$B254,CalcTime,$C254,CalcBank,$C$5,EntryParty,$D254,EntryDep,$H254,EntryWit,$I254)&gt;1,"تکرار",""))</f>
        <v/>
      </c>
      <c r="N254" s="28">
        <f>IF($P254="","",IF(INDEX(EntryNotes,$P254)=0,"",INDEX(EntryNotes,$P254)))</f>
        <v/>
      </c>
      <c r="O254" s="28">
        <f>IF($P254="","",IF(INDEX(EntryTxnID,$P254)=0,"",INDEX(EntryTxnID,$P254)))</f>
        <v/>
      </c>
      <c r="P254" s="28">
        <f>IFERROR(MATCH($C$5&amp;"|"&amp;RIGHT("000000"&amp;238,6),CalcRankKey,0),"")</f>
        <v/>
      </c>
    </row>
    <row r="255">
      <c r="A255" s="26">
        <f>IF($B255="","",239)</f>
        <v/>
      </c>
      <c r="B255" s="26">
        <f>IF($P255="","",IF(INDEX(CalcNormDate,$P255)=0,"",INDEX(CalcNormDate,$P255)))</f>
        <v/>
      </c>
      <c r="C255" s="26">
        <f>IF($P255="","",IF(INDEX(CalcTime,$P255)=0,"",INDEX(CalcTime,$P255)))</f>
        <v/>
      </c>
      <c r="D255" s="26">
        <f>IF($P255="","",IF(INDEX(EntryParty,$P255)=0,"",INDEX(EntryParty,$P255)))</f>
        <v/>
      </c>
      <c r="E255" s="26">
        <f>IF($P255="","",IF(INDEX(EntryPartyName,$P255)=0,"",INDEX(EntryPartyName,$P255)))</f>
        <v/>
      </c>
      <c r="F255" s="26">
        <f>IF($P255="","",IF(INDEX(EntryPartyType,$P255)=0,"",INDEX(EntryPartyType,$P255)))</f>
        <v/>
      </c>
      <c r="G255" s="26">
        <f>IF($P255="","",IF(INDEX(EntryTxnType,$P255)=0,"",INDEX(EntryTxnType,$P255)))</f>
        <v/>
      </c>
      <c r="H255" s="27">
        <f>IF($P255="","",IF(INDEX(EntryDep,$P255)=0,"",INDEX(EntryDep,$P255)))</f>
        <v/>
      </c>
      <c r="I255" s="27">
        <f>IF($P255="","",IF(INDEX(EntryWit,$P255)=0,"",INDEX(EntryWit,$P255)))</f>
        <v/>
      </c>
      <c r="J255" s="27">
        <f>IF($B255="","",IF($A255=1,$C$7,IF(J254="",0,J254))+IF($H255="",0,$H255)-IF($I255="",0,$I255))</f>
        <v/>
      </c>
      <c r="K255" s="27">
        <f>IF($P255="","",IF(INDEX(EntryMan,$P255)=0,"",INDEX(EntryMan,$P255)))</f>
        <v/>
      </c>
      <c r="L255" s="26">
        <f>IF($B255="","",IF($K255="","—",IF(ROUND($K255-$J255,0)=0,"√","×")))</f>
        <v/>
      </c>
      <c r="M255" s="26">
        <f>IF($B255="","",IF(COUNTIFS(EntryDates,$B255,CalcTime,$C255,CalcBank,$C$5,EntryParty,$D255,EntryDep,$H255,EntryWit,$I255)&gt;1,"تکرار",""))</f>
        <v/>
      </c>
      <c r="N255" s="26">
        <f>IF($P255="","",IF(INDEX(EntryNotes,$P255)=0,"",INDEX(EntryNotes,$P255)))</f>
        <v/>
      </c>
      <c r="O255" s="26">
        <f>IF($P255="","",IF(INDEX(EntryTxnID,$P255)=0,"",INDEX(EntryTxnID,$P255)))</f>
        <v/>
      </c>
      <c r="P255" s="26">
        <f>IFERROR(MATCH($C$5&amp;"|"&amp;RIGHT("000000"&amp;239,6),CalcRankKey,0),"")</f>
        <v/>
      </c>
    </row>
    <row r="256">
      <c r="A256" s="28">
        <f>IF($B256="","",240)</f>
        <v/>
      </c>
      <c r="B256" s="28">
        <f>IF($P256="","",IF(INDEX(CalcNormDate,$P256)=0,"",INDEX(CalcNormDate,$P256)))</f>
        <v/>
      </c>
      <c r="C256" s="28">
        <f>IF($P256="","",IF(INDEX(CalcTime,$P256)=0,"",INDEX(CalcTime,$P256)))</f>
        <v/>
      </c>
      <c r="D256" s="28">
        <f>IF($P256="","",IF(INDEX(EntryParty,$P256)=0,"",INDEX(EntryParty,$P256)))</f>
        <v/>
      </c>
      <c r="E256" s="28">
        <f>IF($P256="","",IF(INDEX(EntryPartyName,$P256)=0,"",INDEX(EntryPartyName,$P256)))</f>
        <v/>
      </c>
      <c r="F256" s="28">
        <f>IF($P256="","",IF(INDEX(EntryPartyType,$P256)=0,"",INDEX(EntryPartyType,$P256)))</f>
        <v/>
      </c>
      <c r="G256" s="28">
        <f>IF($P256="","",IF(INDEX(EntryTxnType,$P256)=0,"",INDEX(EntryTxnType,$P256)))</f>
        <v/>
      </c>
      <c r="H256" s="29">
        <f>IF($P256="","",IF(INDEX(EntryDep,$P256)=0,"",INDEX(EntryDep,$P256)))</f>
        <v/>
      </c>
      <c r="I256" s="29">
        <f>IF($P256="","",IF(INDEX(EntryWit,$P256)=0,"",INDEX(EntryWit,$P256)))</f>
        <v/>
      </c>
      <c r="J256" s="29">
        <f>IF($B256="","",IF($A256=1,$C$7,IF(J255="",0,J255))+IF($H256="",0,$H256)-IF($I256="",0,$I256))</f>
        <v/>
      </c>
      <c r="K256" s="29">
        <f>IF($P256="","",IF(INDEX(EntryMan,$P256)=0,"",INDEX(EntryMan,$P256)))</f>
        <v/>
      </c>
      <c r="L256" s="28">
        <f>IF($B256="","",IF($K256="","—",IF(ROUND($K256-$J256,0)=0,"√","×")))</f>
        <v/>
      </c>
      <c r="M256" s="28">
        <f>IF($B256="","",IF(COUNTIFS(EntryDates,$B256,CalcTime,$C256,CalcBank,$C$5,EntryParty,$D256,EntryDep,$H256,EntryWit,$I256)&gt;1,"تکرار",""))</f>
        <v/>
      </c>
      <c r="N256" s="28">
        <f>IF($P256="","",IF(INDEX(EntryNotes,$P256)=0,"",INDEX(EntryNotes,$P256)))</f>
        <v/>
      </c>
      <c r="O256" s="28">
        <f>IF($P256="","",IF(INDEX(EntryTxnID,$P256)=0,"",INDEX(EntryTxnID,$P256)))</f>
        <v/>
      </c>
      <c r="P256" s="28">
        <f>IFERROR(MATCH($C$5&amp;"|"&amp;RIGHT("000000"&amp;240,6),CalcRankKey,0),"")</f>
        <v/>
      </c>
    </row>
    <row r="257">
      <c r="A257" s="26">
        <f>IF($B257="","",241)</f>
        <v/>
      </c>
      <c r="B257" s="26">
        <f>IF($P257="","",IF(INDEX(CalcNormDate,$P257)=0,"",INDEX(CalcNormDate,$P257)))</f>
        <v/>
      </c>
      <c r="C257" s="26">
        <f>IF($P257="","",IF(INDEX(CalcTime,$P257)=0,"",INDEX(CalcTime,$P257)))</f>
        <v/>
      </c>
      <c r="D257" s="26">
        <f>IF($P257="","",IF(INDEX(EntryParty,$P257)=0,"",INDEX(EntryParty,$P257)))</f>
        <v/>
      </c>
      <c r="E257" s="26">
        <f>IF($P257="","",IF(INDEX(EntryPartyName,$P257)=0,"",INDEX(EntryPartyName,$P257)))</f>
        <v/>
      </c>
      <c r="F257" s="26">
        <f>IF($P257="","",IF(INDEX(EntryPartyType,$P257)=0,"",INDEX(EntryPartyType,$P257)))</f>
        <v/>
      </c>
      <c r="G257" s="26">
        <f>IF($P257="","",IF(INDEX(EntryTxnType,$P257)=0,"",INDEX(EntryTxnType,$P257)))</f>
        <v/>
      </c>
      <c r="H257" s="27">
        <f>IF($P257="","",IF(INDEX(EntryDep,$P257)=0,"",INDEX(EntryDep,$P257)))</f>
        <v/>
      </c>
      <c r="I257" s="27">
        <f>IF($P257="","",IF(INDEX(EntryWit,$P257)=0,"",INDEX(EntryWit,$P257)))</f>
        <v/>
      </c>
      <c r="J257" s="27">
        <f>IF($B257="","",IF($A257=1,$C$7,IF(J256="",0,J256))+IF($H257="",0,$H257)-IF($I257="",0,$I257))</f>
        <v/>
      </c>
      <c r="K257" s="27">
        <f>IF($P257="","",IF(INDEX(EntryMan,$P257)=0,"",INDEX(EntryMan,$P257)))</f>
        <v/>
      </c>
      <c r="L257" s="26">
        <f>IF($B257="","",IF($K257="","—",IF(ROUND($K257-$J257,0)=0,"√","×")))</f>
        <v/>
      </c>
      <c r="M257" s="26">
        <f>IF($B257="","",IF(COUNTIFS(EntryDates,$B257,CalcTime,$C257,CalcBank,$C$5,EntryParty,$D257,EntryDep,$H257,EntryWit,$I257)&gt;1,"تکرار",""))</f>
        <v/>
      </c>
      <c r="N257" s="26">
        <f>IF($P257="","",IF(INDEX(EntryNotes,$P257)=0,"",INDEX(EntryNotes,$P257)))</f>
        <v/>
      </c>
      <c r="O257" s="26">
        <f>IF($P257="","",IF(INDEX(EntryTxnID,$P257)=0,"",INDEX(EntryTxnID,$P257)))</f>
        <v/>
      </c>
      <c r="P257" s="26">
        <f>IFERROR(MATCH($C$5&amp;"|"&amp;RIGHT("000000"&amp;241,6),CalcRankKey,0),"")</f>
        <v/>
      </c>
    </row>
    <row r="258">
      <c r="A258" s="28">
        <f>IF($B258="","",242)</f>
        <v/>
      </c>
      <c r="B258" s="28">
        <f>IF($P258="","",IF(INDEX(CalcNormDate,$P258)=0,"",INDEX(CalcNormDate,$P258)))</f>
        <v/>
      </c>
      <c r="C258" s="28">
        <f>IF($P258="","",IF(INDEX(CalcTime,$P258)=0,"",INDEX(CalcTime,$P258)))</f>
        <v/>
      </c>
      <c r="D258" s="28">
        <f>IF($P258="","",IF(INDEX(EntryParty,$P258)=0,"",INDEX(EntryParty,$P258)))</f>
        <v/>
      </c>
      <c r="E258" s="28">
        <f>IF($P258="","",IF(INDEX(EntryPartyName,$P258)=0,"",INDEX(EntryPartyName,$P258)))</f>
        <v/>
      </c>
      <c r="F258" s="28">
        <f>IF($P258="","",IF(INDEX(EntryPartyType,$P258)=0,"",INDEX(EntryPartyType,$P258)))</f>
        <v/>
      </c>
      <c r="G258" s="28">
        <f>IF($P258="","",IF(INDEX(EntryTxnType,$P258)=0,"",INDEX(EntryTxnType,$P258)))</f>
        <v/>
      </c>
      <c r="H258" s="29">
        <f>IF($P258="","",IF(INDEX(EntryDep,$P258)=0,"",INDEX(EntryDep,$P258)))</f>
        <v/>
      </c>
      <c r="I258" s="29">
        <f>IF($P258="","",IF(INDEX(EntryWit,$P258)=0,"",INDEX(EntryWit,$P258)))</f>
        <v/>
      </c>
      <c r="J258" s="29">
        <f>IF($B258="","",IF($A258=1,$C$7,IF(J257="",0,J257))+IF($H258="",0,$H258)-IF($I258="",0,$I258))</f>
        <v/>
      </c>
      <c r="K258" s="29">
        <f>IF($P258="","",IF(INDEX(EntryMan,$P258)=0,"",INDEX(EntryMan,$P258)))</f>
        <v/>
      </c>
      <c r="L258" s="28">
        <f>IF($B258="","",IF($K258="","—",IF(ROUND($K258-$J258,0)=0,"√","×")))</f>
        <v/>
      </c>
      <c r="M258" s="28">
        <f>IF($B258="","",IF(COUNTIFS(EntryDates,$B258,CalcTime,$C258,CalcBank,$C$5,EntryParty,$D258,EntryDep,$H258,EntryWit,$I258)&gt;1,"تکرار",""))</f>
        <v/>
      </c>
      <c r="N258" s="28">
        <f>IF($P258="","",IF(INDEX(EntryNotes,$P258)=0,"",INDEX(EntryNotes,$P258)))</f>
        <v/>
      </c>
      <c r="O258" s="28">
        <f>IF($P258="","",IF(INDEX(EntryTxnID,$P258)=0,"",INDEX(EntryTxnID,$P258)))</f>
        <v/>
      </c>
      <c r="P258" s="28">
        <f>IFERROR(MATCH($C$5&amp;"|"&amp;RIGHT("000000"&amp;242,6),CalcRankKey,0),"")</f>
        <v/>
      </c>
    </row>
    <row r="259">
      <c r="A259" s="26">
        <f>IF($B259="","",243)</f>
        <v/>
      </c>
      <c r="B259" s="26">
        <f>IF($P259="","",IF(INDEX(CalcNormDate,$P259)=0,"",INDEX(CalcNormDate,$P259)))</f>
        <v/>
      </c>
      <c r="C259" s="26">
        <f>IF($P259="","",IF(INDEX(CalcTime,$P259)=0,"",INDEX(CalcTime,$P259)))</f>
        <v/>
      </c>
      <c r="D259" s="26">
        <f>IF($P259="","",IF(INDEX(EntryParty,$P259)=0,"",INDEX(EntryParty,$P259)))</f>
        <v/>
      </c>
      <c r="E259" s="26">
        <f>IF($P259="","",IF(INDEX(EntryPartyName,$P259)=0,"",INDEX(EntryPartyName,$P259)))</f>
        <v/>
      </c>
      <c r="F259" s="26">
        <f>IF($P259="","",IF(INDEX(EntryPartyType,$P259)=0,"",INDEX(EntryPartyType,$P259)))</f>
        <v/>
      </c>
      <c r="G259" s="26">
        <f>IF($P259="","",IF(INDEX(EntryTxnType,$P259)=0,"",INDEX(EntryTxnType,$P259)))</f>
        <v/>
      </c>
      <c r="H259" s="27">
        <f>IF($P259="","",IF(INDEX(EntryDep,$P259)=0,"",INDEX(EntryDep,$P259)))</f>
        <v/>
      </c>
      <c r="I259" s="27">
        <f>IF($P259="","",IF(INDEX(EntryWit,$P259)=0,"",INDEX(EntryWit,$P259)))</f>
        <v/>
      </c>
      <c r="J259" s="27">
        <f>IF($B259="","",IF($A259=1,$C$7,IF(J258="",0,J258))+IF($H259="",0,$H259)-IF($I259="",0,$I259))</f>
        <v/>
      </c>
      <c r="K259" s="27">
        <f>IF($P259="","",IF(INDEX(EntryMan,$P259)=0,"",INDEX(EntryMan,$P259)))</f>
        <v/>
      </c>
      <c r="L259" s="26">
        <f>IF($B259="","",IF($K259="","—",IF(ROUND($K259-$J259,0)=0,"√","×")))</f>
        <v/>
      </c>
      <c r="M259" s="26">
        <f>IF($B259="","",IF(COUNTIFS(EntryDates,$B259,CalcTime,$C259,CalcBank,$C$5,EntryParty,$D259,EntryDep,$H259,EntryWit,$I259)&gt;1,"تکرار",""))</f>
        <v/>
      </c>
      <c r="N259" s="26">
        <f>IF($P259="","",IF(INDEX(EntryNotes,$P259)=0,"",INDEX(EntryNotes,$P259)))</f>
        <v/>
      </c>
      <c r="O259" s="26">
        <f>IF($P259="","",IF(INDEX(EntryTxnID,$P259)=0,"",INDEX(EntryTxnID,$P259)))</f>
        <v/>
      </c>
      <c r="P259" s="26">
        <f>IFERROR(MATCH($C$5&amp;"|"&amp;RIGHT("000000"&amp;243,6),CalcRankKey,0),"")</f>
        <v/>
      </c>
    </row>
    <row r="260">
      <c r="A260" s="28">
        <f>IF($B260="","",244)</f>
        <v/>
      </c>
      <c r="B260" s="28">
        <f>IF($P260="","",IF(INDEX(CalcNormDate,$P260)=0,"",INDEX(CalcNormDate,$P260)))</f>
        <v/>
      </c>
      <c r="C260" s="28">
        <f>IF($P260="","",IF(INDEX(CalcTime,$P260)=0,"",INDEX(CalcTime,$P260)))</f>
        <v/>
      </c>
      <c r="D260" s="28">
        <f>IF($P260="","",IF(INDEX(EntryParty,$P260)=0,"",INDEX(EntryParty,$P260)))</f>
        <v/>
      </c>
      <c r="E260" s="28">
        <f>IF($P260="","",IF(INDEX(EntryPartyName,$P260)=0,"",INDEX(EntryPartyName,$P260)))</f>
        <v/>
      </c>
      <c r="F260" s="28">
        <f>IF($P260="","",IF(INDEX(EntryPartyType,$P260)=0,"",INDEX(EntryPartyType,$P260)))</f>
        <v/>
      </c>
      <c r="G260" s="28">
        <f>IF($P260="","",IF(INDEX(EntryTxnType,$P260)=0,"",INDEX(EntryTxnType,$P260)))</f>
        <v/>
      </c>
      <c r="H260" s="29">
        <f>IF($P260="","",IF(INDEX(EntryDep,$P260)=0,"",INDEX(EntryDep,$P260)))</f>
        <v/>
      </c>
      <c r="I260" s="29">
        <f>IF($P260="","",IF(INDEX(EntryWit,$P260)=0,"",INDEX(EntryWit,$P260)))</f>
        <v/>
      </c>
      <c r="J260" s="29">
        <f>IF($B260="","",IF($A260=1,$C$7,IF(J259="",0,J259))+IF($H260="",0,$H260)-IF($I260="",0,$I260))</f>
        <v/>
      </c>
      <c r="K260" s="29">
        <f>IF($P260="","",IF(INDEX(EntryMan,$P260)=0,"",INDEX(EntryMan,$P260)))</f>
        <v/>
      </c>
      <c r="L260" s="28">
        <f>IF($B260="","",IF($K260="","—",IF(ROUND($K260-$J260,0)=0,"√","×")))</f>
        <v/>
      </c>
      <c r="M260" s="28">
        <f>IF($B260="","",IF(COUNTIFS(EntryDates,$B260,CalcTime,$C260,CalcBank,$C$5,EntryParty,$D260,EntryDep,$H260,EntryWit,$I260)&gt;1,"تکرار",""))</f>
        <v/>
      </c>
      <c r="N260" s="28">
        <f>IF($P260="","",IF(INDEX(EntryNotes,$P260)=0,"",INDEX(EntryNotes,$P260)))</f>
        <v/>
      </c>
      <c r="O260" s="28">
        <f>IF($P260="","",IF(INDEX(EntryTxnID,$P260)=0,"",INDEX(EntryTxnID,$P260)))</f>
        <v/>
      </c>
      <c r="P260" s="28">
        <f>IFERROR(MATCH($C$5&amp;"|"&amp;RIGHT("000000"&amp;244,6),CalcRankKey,0),"")</f>
        <v/>
      </c>
    </row>
    <row r="261">
      <c r="A261" s="26">
        <f>IF($B261="","",245)</f>
        <v/>
      </c>
      <c r="B261" s="26">
        <f>IF($P261="","",IF(INDEX(CalcNormDate,$P261)=0,"",INDEX(CalcNormDate,$P261)))</f>
        <v/>
      </c>
      <c r="C261" s="26">
        <f>IF($P261="","",IF(INDEX(CalcTime,$P261)=0,"",INDEX(CalcTime,$P261)))</f>
        <v/>
      </c>
      <c r="D261" s="26">
        <f>IF($P261="","",IF(INDEX(EntryParty,$P261)=0,"",INDEX(EntryParty,$P261)))</f>
        <v/>
      </c>
      <c r="E261" s="26">
        <f>IF($P261="","",IF(INDEX(EntryPartyName,$P261)=0,"",INDEX(EntryPartyName,$P261)))</f>
        <v/>
      </c>
      <c r="F261" s="26">
        <f>IF($P261="","",IF(INDEX(EntryPartyType,$P261)=0,"",INDEX(EntryPartyType,$P261)))</f>
        <v/>
      </c>
      <c r="G261" s="26">
        <f>IF($P261="","",IF(INDEX(EntryTxnType,$P261)=0,"",INDEX(EntryTxnType,$P261)))</f>
        <v/>
      </c>
      <c r="H261" s="27">
        <f>IF($P261="","",IF(INDEX(EntryDep,$P261)=0,"",INDEX(EntryDep,$P261)))</f>
        <v/>
      </c>
      <c r="I261" s="27">
        <f>IF($P261="","",IF(INDEX(EntryWit,$P261)=0,"",INDEX(EntryWit,$P261)))</f>
        <v/>
      </c>
      <c r="J261" s="27">
        <f>IF($B261="","",IF($A261=1,$C$7,IF(J260="",0,J260))+IF($H261="",0,$H261)-IF($I261="",0,$I261))</f>
        <v/>
      </c>
      <c r="K261" s="27">
        <f>IF($P261="","",IF(INDEX(EntryMan,$P261)=0,"",INDEX(EntryMan,$P261)))</f>
        <v/>
      </c>
      <c r="L261" s="26">
        <f>IF($B261="","",IF($K261="","—",IF(ROUND($K261-$J261,0)=0,"√","×")))</f>
        <v/>
      </c>
      <c r="M261" s="26">
        <f>IF($B261="","",IF(COUNTIFS(EntryDates,$B261,CalcTime,$C261,CalcBank,$C$5,EntryParty,$D261,EntryDep,$H261,EntryWit,$I261)&gt;1,"تکرار",""))</f>
        <v/>
      </c>
      <c r="N261" s="26">
        <f>IF($P261="","",IF(INDEX(EntryNotes,$P261)=0,"",INDEX(EntryNotes,$P261)))</f>
        <v/>
      </c>
      <c r="O261" s="26">
        <f>IF($P261="","",IF(INDEX(EntryTxnID,$P261)=0,"",INDEX(EntryTxnID,$P261)))</f>
        <v/>
      </c>
      <c r="P261" s="26">
        <f>IFERROR(MATCH($C$5&amp;"|"&amp;RIGHT("000000"&amp;245,6),CalcRankKey,0),"")</f>
        <v/>
      </c>
    </row>
    <row r="262">
      <c r="A262" s="28">
        <f>IF($B262="","",246)</f>
        <v/>
      </c>
      <c r="B262" s="28">
        <f>IF($P262="","",IF(INDEX(CalcNormDate,$P262)=0,"",INDEX(CalcNormDate,$P262)))</f>
        <v/>
      </c>
      <c r="C262" s="28">
        <f>IF($P262="","",IF(INDEX(CalcTime,$P262)=0,"",INDEX(CalcTime,$P262)))</f>
        <v/>
      </c>
      <c r="D262" s="28">
        <f>IF($P262="","",IF(INDEX(EntryParty,$P262)=0,"",INDEX(EntryParty,$P262)))</f>
        <v/>
      </c>
      <c r="E262" s="28">
        <f>IF($P262="","",IF(INDEX(EntryPartyName,$P262)=0,"",INDEX(EntryPartyName,$P262)))</f>
        <v/>
      </c>
      <c r="F262" s="28">
        <f>IF($P262="","",IF(INDEX(EntryPartyType,$P262)=0,"",INDEX(EntryPartyType,$P262)))</f>
        <v/>
      </c>
      <c r="G262" s="28">
        <f>IF($P262="","",IF(INDEX(EntryTxnType,$P262)=0,"",INDEX(EntryTxnType,$P262)))</f>
        <v/>
      </c>
      <c r="H262" s="29">
        <f>IF($P262="","",IF(INDEX(EntryDep,$P262)=0,"",INDEX(EntryDep,$P262)))</f>
        <v/>
      </c>
      <c r="I262" s="29">
        <f>IF($P262="","",IF(INDEX(EntryWit,$P262)=0,"",INDEX(EntryWit,$P262)))</f>
        <v/>
      </c>
      <c r="J262" s="29">
        <f>IF($B262="","",IF($A262=1,$C$7,IF(J261="",0,J261))+IF($H262="",0,$H262)-IF($I262="",0,$I262))</f>
        <v/>
      </c>
      <c r="K262" s="29">
        <f>IF($P262="","",IF(INDEX(EntryMan,$P262)=0,"",INDEX(EntryMan,$P262)))</f>
        <v/>
      </c>
      <c r="L262" s="28">
        <f>IF($B262="","",IF($K262="","—",IF(ROUND($K262-$J262,0)=0,"√","×")))</f>
        <v/>
      </c>
      <c r="M262" s="28">
        <f>IF($B262="","",IF(COUNTIFS(EntryDates,$B262,CalcTime,$C262,CalcBank,$C$5,EntryParty,$D262,EntryDep,$H262,EntryWit,$I262)&gt;1,"تکرار",""))</f>
        <v/>
      </c>
      <c r="N262" s="28">
        <f>IF($P262="","",IF(INDEX(EntryNotes,$P262)=0,"",INDEX(EntryNotes,$P262)))</f>
        <v/>
      </c>
      <c r="O262" s="28">
        <f>IF($P262="","",IF(INDEX(EntryTxnID,$P262)=0,"",INDEX(EntryTxnID,$P262)))</f>
        <v/>
      </c>
      <c r="P262" s="28">
        <f>IFERROR(MATCH($C$5&amp;"|"&amp;RIGHT("000000"&amp;246,6),CalcRankKey,0),"")</f>
        <v/>
      </c>
    </row>
    <row r="263">
      <c r="A263" s="26">
        <f>IF($B263="","",247)</f>
        <v/>
      </c>
      <c r="B263" s="26">
        <f>IF($P263="","",IF(INDEX(CalcNormDate,$P263)=0,"",INDEX(CalcNormDate,$P263)))</f>
        <v/>
      </c>
      <c r="C263" s="26">
        <f>IF($P263="","",IF(INDEX(CalcTime,$P263)=0,"",INDEX(CalcTime,$P263)))</f>
        <v/>
      </c>
      <c r="D263" s="26">
        <f>IF($P263="","",IF(INDEX(EntryParty,$P263)=0,"",INDEX(EntryParty,$P263)))</f>
        <v/>
      </c>
      <c r="E263" s="26">
        <f>IF($P263="","",IF(INDEX(EntryPartyName,$P263)=0,"",INDEX(EntryPartyName,$P263)))</f>
        <v/>
      </c>
      <c r="F263" s="26">
        <f>IF($P263="","",IF(INDEX(EntryPartyType,$P263)=0,"",INDEX(EntryPartyType,$P263)))</f>
        <v/>
      </c>
      <c r="G263" s="26">
        <f>IF($P263="","",IF(INDEX(EntryTxnType,$P263)=0,"",INDEX(EntryTxnType,$P263)))</f>
        <v/>
      </c>
      <c r="H263" s="27">
        <f>IF($P263="","",IF(INDEX(EntryDep,$P263)=0,"",INDEX(EntryDep,$P263)))</f>
        <v/>
      </c>
      <c r="I263" s="27">
        <f>IF($P263="","",IF(INDEX(EntryWit,$P263)=0,"",INDEX(EntryWit,$P263)))</f>
        <v/>
      </c>
      <c r="J263" s="27">
        <f>IF($B263="","",IF($A263=1,$C$7,IF(J262="",0,J262))+IF($H263="",0,$H263)-IF($I263="",0,$I263))</f>
        <v/>
      </c>
      <c r="K263" s="27">
        <f>IF($P263="","",IF(INDEX(EntryMan,$P263)=0,"",INDEX(EntryMan,$P263)))</f>
        <v/>
      </c>
      <c r="L263" s="26">
        <f>IF($B263="","",IF($K263="","—",IF(ROUND($K263-$J263,0)=0,"√","×")))</f>
        <v/>
      </c>
      <c r="M263" s="26">
        <f>IF($B263="","",IF(COUNTIFS(EntryDates,$B263,CalcTime,$C263,CalcBank,$C$5,EntryParty,$D263,EntryDep,$H263,EntryWit,$I263)&gt;1,"تکرار",""))</f>
        <v/>
      </c>
      <c r="N263" s="26">
        <f>IF($P263="","",IF(INDEX(EntryNotes,$P263)=0,"",INDEX(EntryNotes,$P263)))</f>
        <v/>
      </c>
      <c r="O263" s="26">
        <f>IF($P263="","",IF(INDEX(EntryTxnID,$P263)=0,"",INDEX(EntryTxnID,$P263)))</f>
        <v/>
      </c>
      <c r="P263" s="26">
        <f>IFERROR(MATCH($C$5&amp;"|"&amp;RIGHT("000000"&amp;247,6),CalcRankKey,0),"")</f>
        <v/>
      </c>
    </row>
    <row r="264">
      <c r="A264" s="28">
        <f>IF($B264="","",248)</f>
        <v/>
      </c>
      <c r="B264" s="28">
        <f>IF($P264="","",IF(INDEX(CalcNormDate,$P264)=0,"",INDEX(CalcNormDate,$P264)))</f>
        <v/>
      </c>
      <c r="C264" s="28">
        <f>IF($P264="","",IF(INDEX(CalcTime,$P264)=0,"",INDEX(CalcTime,$P264)))</f>
        <v/>
      </c>
      <c r="D264" s="28">
        <f>IF($P264="","",IF(INDEX(EntryParty,$P264)=0,"",INDEX(EntryParty,$P264)))</f>
        <v/>
      </c>
      <c r="E264" s="28">
        <f>IF($P264="","",IF(INDEX(EntryPartyName,$P264)=0,"",INDEX(EntryPartyName,$P264)))</f>
        <v/>
      </c>
      <c r="F264" s="28">
        <f>IF($P264="","",IF(INDEX(EntryPartyType,$P264)=0,"",INDEX(EntryPartyType,$P264)))</f>
        <v/>
      </c>
      <c r="G264" s="28">
        <f>IF($P264="","",IF(INDEX(EntryTxnType,$P264)=0,"",INDEX(EntryTxnType,$P264)))</f>
        <v/>
      </c>
      <c r="H264" s="29">
        <f>IF($P264="","",IF(INDEX(EntryDep,$P264)=0,"",INDEX(EntryDep,$P264)))</f>
        <v/>
      </c>
      <c r="I264" s="29">
        <f>IF($P264="","",IF(INDEX(EntryWit,$P264)=0,"",INDEX(EntryWit,$P264)))</f>
        <v/>
      </c>
      <c r="J264" s="29">
        <f>IF($B264="","",IF($A264=1,$C$7,IF(J263="",0,J263))+IF($H264="",0,$H264)-IF($I264="",0,$I264))</f>
        <v/>
      </c>
      <c r="K264" s="29">
        <f>IF($P264="","",IF(INDEX(EntryMan,$P264)=0,"",INDEX(EntryMan,$P264)))</f>
        <v/>
      </c>
      <c r="L264" s="28">
        <f>IF($B264="","",IF($K264="","—",IF(ROUND($K264-$J264,0)=0,"√","×")))</f>
        <v/>
      </c>
      <c r="M264" s="28">
        <f>IF($B264="","",IF(COUNTIFS(EntryDates,$B264,CalcTime,$C264,CalcBank,$C$5,EntryParty,$D264,EntryDep,$H264,EntryWit,$I264)&gt;1,"تکرار",""))</f>
        <v/>
      </c>
      <c r="N264" s="28">
        <f>IF($P264="","",IF(INDEX(EntryNotes,$P264)=0,"",INDEX(EntryNotes,$P264)))</f>
        <v/>
      </c>
      <c r="O264" s="28">
        <f>IF($P264="","",IF(INDEX(EntryTxnID,$P264)=0,"",INDEX(EntryTxnID,$P264)))</f>
        <v/>
      </c>
      <c r="P264" s="28">
        <f>IFERROR(MATCH($C$5&amp;"|"&amp;RIGHT("000000"&amp;248,6),CalcRankKey,0),"")</f>
        <v/>
      </c>
    </row>
    <row r="265">
      <c r="A265" s="26">
        <f>IF($B265="","",249)</f>
        <v/>
      </c>
      <c r="B265" s="26">
        <f>IF($P265="","",IF(INDEX(CalcNormDate,$P265)=0,"",INDEX(CalcNormDate,$P265)))</f>
        <v/>
      </c>
      <c r="C265" s="26">
        <f>IF($P265="","",IF(INDEX(CalcTime,$P265)=0,"",INDEX(CalcTime,$P265)))</f>
        <v/>
      </c>
      <c r="D265" s="26">
        <f>IF($P265="","",IF(INDEX(EntryParty,$P265)=0,"",INDEX(EntryParty,$P265)))</f>
        <v/>
      </c>
      <c r="E265" s="26">
        <f>IF($P265="","",IF(INDEX(EntryPartyName,$P265)=0,"",INDEX(EntryPartyName,$P265)))</f>
        <v/>
      </c>
      <c r="F265" s="26">
        <f>IF($P265="","",IF(INDEX(EntryPartyType,$P265)=0,"",INDEX(EntryPartyType,$P265)))</f>
        <v/>
      </c>
      <c r="G265" s="26">
        <f>IF($P265="","",IF(INDEX(EntryTxnType,$P265)=0,"",INDEX(EntryTxnType,$P265)))</f>
        <v/>
      </c>
      <c r="H265" s="27">
        <f>IF($P265="","",IF(INDEX(EntryDep,$P265)=0,"",INDEX(EntryDep,$P265)))</f>
        <v/>
      </c>
      <c r="I265" s="27">
        <f>IF($P265="","",IF(INDEX(EntryWit,$P265)=0,"",INDEX(EntryWit,$P265)))</f>
        <v/>
      </c>
      <c r="J265" s="27">
        <f>IF($B265="","",IF($A265=1,$C$7,IF(J264="",0,J264))+IF($H265="",0,$H265)-IF($I265="",0,$I265))</f>
        <v/>
      </c>
      <c r="K265" s="27">
        <f>IF($P265="","",IF(INDEX(EntryMan,$P265)=0,"",INDEX(EntryMan,$P265)))</f>
        <v/>
      </c>
      <c r="L265" s="26">
        <f>IF($B265="","",IF($K265="","—",IF(ROUND($K265-$J265,0)=0,"√","×")))</f>
        <v/>
      </c>
      <c r="M265" s="26">
        <f>IF($B265="","",IF(COUNTIFS(EntryDates,$B265,CalcTime,$C265,CalcBank,$C$5,EntryParty,$D265,EntryDep,$H265,EntryWit,$I265)&gt;1,"تکرار",""))</f>
        <v/>
      </c>
      <c r="N265" s="26">
        <f>IF($P265="","",IF(INDEX(EntryNotes,$P265)=0,"",INDEX(EntryNotes,$P265)))</f>
        <v/>
      </c>
      <c r="O265" s="26">
        <f>IF($P265="","",IF(INDEX(EntryTxnID,$P265)=0,"",INDEX(EntryTxnID,$P265)))</f>
        <v/>
      </c>
      <c r="P265" s="26">
        <f>IFERROR(MATCH($C$5&amp;"|"&amp;RIGHT("000000"&amp;249,6),CalcRankKey,0),"")</f>
        <v/>
      </c>
    </row>
    <row r="266">
      <c r="A266" s="28">
        <f>IF($B266="","",250)</f>
        <v/>
      </c>
      <c r="B266" s="28">
        <f>IF($P266="","",IF(INDEX(CalcNormDate,$P266)=0,"",INDEX(CalcNormDate,$P266)))</f>
        <v/>
      </c>
      <c r="C266" s="28">
        <f>IF($P266="","",IF(INDEX(CalcTime,$P266)=0,"",INDEX(CalcTime,$P266)))</f>
        <v/>
      </c>
      <c r="D266" s="28">
        <f>IF($P266="","",IF(INDEX(EntryParty,$P266)=0,"",INDEX(EntryParty,$P266)))</f>
        <v/>
      </c>
      <c r="E266" s="28">
        <f>IF($P266="","",IF(INDEX(EntryPartyName,$P266)=0,"",INDEX(EntryPartyName,$P266)))</f>
        <v/>
      </c>
      <c r="F266" s="28">
        <f>IF($P266="","",IF(INDEX(EntryPartyType,$P266)=0,"",INDEX(EntryPartyType,$P266)))</f>
        <v/>
      </c>
      <c r="G266" s="28">
        <f>IF($P266="","",IF(INDEX(EntryTxnType,$P266)=0,"",INDEX(EntryTxnType,$P266)))</f>
        <v/>
      </c>
      <c r="H266" s="29">
        <f>IF($P266="","",IF(INDEX(EntryDep,$P266)=0,"",INDEX(EntryDep,$P266)))</f>
        <v/>
      </c>
      <c r="I266" s="29">
        <f>IF($P266="","",IF(INDEX(EntryWit,$P266)=0,"",INDEX(EntryWit,$P266)))</f>
        <v/>
      </c>
      <c r="J266" s="29">
        <f>IF($B266="","",IF($A266=1,$C$7,IF(J265="",0,J265))+IF($H266="",0,$H266)-IF($I266="",0,$I266))</f>
        <v/>
      </c>
      <c r="K266" s="29">
        <f>IF($P266="","",IF(INDEX(EntryMan,$P266)=0,"",INDEX(EntryMan,$P266)))</f>
        <v/>
      </c>
      <c r="L266" s="28">
        <f>IF($B266="","",IF($K266="","—",IF(ROUND($K266-$J266,0)=0,"√","×")))</f>
        <v/>
      </c>
      <c r="M266" s="28">
        <f>IF($B266="","",IF(COUNTIFS(EntryDates,$B266,CalcTime,$C266,CalcBank,$C$5,EntryParty,$D266,EntryDep,$H266,EntryWit,$I266)&gt;1,"تکرار",""))</f>
        <v/>
      </c>
      <c r="N266" s="28">
        <f>IF($P266="","",IF(INDEX(EntryNotes,$P266)=0,"",INDEX(EntryNotes,$P266)))</f>
        <v/>
      </c>
      <c r="O266" s="28">
        <f>IF($P266="","",IF(INDEX(EntryTxnID,$P266)=0,"",INDEX(EntryTxnID,$P266)))</f>
        <v/>
      </c>
      <c r="P266" s="28">
        <f>IFERROR(MATCH($C$5&amp;"|"&amp;RIGHT("000000"&amp;250,6),CalcRankKey,0),"")</f>
        <v/>
      </c>
    </row>
    <row r="267">
      <c r="A267" s="26">
        <f>IF($B267="","",251)</f>
        <v/>
      </c>
      <c r="B267" s="26">
        <f>IF($P267="","",IF(INDEX(CalcNormDate,$P267)=0,"",INDEX(CalcNormDate,$P267)))</f>
        <v/>
      </c>
      <c r="C267" s="26">
        <f>IF($P267="","",IF(INDEX(CalcTime,$P267)=0,"",INDEX(CalcTime,$P267)))</f>
        <v/>
      </c>
      <c r="D267" s="26">
        <f>IF($P267="","",IF(INDEX(EntryParty,$P267)=0,"",INDEX(EntryParty,$P267)))</f>
        <v/>
      </c>
      <c r="E267" s="26">
        <f>IF($P267="","",IF(INDEX(EntryPartyName,$P267)=0,"",INDEX(EntryPartyName,$P267)))</f>
        <v/>
      </c>
      <c r="F267" s="26">
        <f>IF($P267="","",IF(INDEX(EntryPartyType,$P267)=0,"",INDEX(EntryPartyType,$P267)))</f>
        <v/>
      </c>
      <c r="G267" s="26">
        <f>IF($P267="","",IF(INDEX(EntryTxnType,$P267)=0,"",INDEX(EntryTxnType,$P267)))</f>
        <v/>
      </c>
      <c r="H267" s="27">
        <f>IF($P267="","",IF(INDEX(EntryDep,$P267)=0,"",INDEX(EntryDep,$P267)))</f>
        <v/>
      </c>
      <c r="I267" s="27">
        <f>IF($P267="","",IF(INDEX(EntryWit,$P267)=0,"",INDEX(EntryWit,$P267)))</f>
        <v/>
      </c>
      <c r="J267" s="27">
        <f>IF($B267="","",IF($A267=1,$C$7,IF(J266="",0,J266))+IF($H267="",0,$H267)-IF($I267="",0,$I267))</f>
        <v/>
      </c>
      <c r="K267" s="27">
        <f>IF($P267="","",IF(INDEX(EntryMan,$P267)=0,"",INDEX(EntryMan,$P267)))</f>
        <v/>
      </c>
      <c r="L267" s="26">
        <f>IF($B267="","",IF($K267="","—",IF(ROUND($K267-$J267,0)=0,"√","×")))</f>
        <v/>
      </c>
      <c r="M267" s="26">
        <f>IF($B267="","",IF(COUNTIFS(EntryDates,$B267,CalcTime,$C267,CalcBank,$C$5,EntryParty,$D267,EntryDep,$H267,EntryWit,$I267)&gt;1,"تکرار",""))</f>
        <v/>
      </c>
      <c r="N267" s="26">
        <f>IF($P267="","",IF(INDEX(EntryNotes,$P267)=0,"",INDEX(EntryNotes,$P267)))</f>
        <v/>
      </c>
      <c r="O267" s="26">
        <f>IF($P267="","",IF(INDEX(EntryTxnID,$P267)=0,"",INDEX(EntryTxnID,$P267)))</f>
        <v/>
      </c>
      <c r="P267" s="26">
        <f>IFERROR(MATCH($C$5&amp;"|"&amp;RIGHT("000000"&amp;251,6),CalcRankKey,0),"")</f>
        <v/>
      </c>
    </row>
    <row r="268">
      <c r="A268" s="28">
        <f>IF($B268="","",252)</f>
        <v/>
      </c>
      <c r="B268" s="28">
        <f>IF($P268="","",IF(INDEX(CalcNormDate,$P268)=0,"",INDEX(CalcNormDate,$P268)))</f>
        <v/>
      </c>
      <c r="C268" s="28">
        <f>IF($P268="","",IF(INDEX(CalcTime,$P268)=0,"",INDEX(CalcTime,$P268)))</f>
        <v/>
      </c>
      <c r="D268" s="28">
        <f>IF($P268="","",IF(INDEX(EntryParty,$P268)=0,"",INDEX(EntryParty,$P268)))</f>
        <v/>
      </c>
      <c r="E268" s="28">
        <f>IF($P268="","",IF(INDEX(EntryPartyName,$P268)=0,"",INDEX(EntryPartyName,$P268)))</f>
        <v/>
      </c>
      <c r="F268" s="28">
        <f>IF($P268="","",IF(INDEX(EntryPartyType,$P268)=0,"",INDEX(EntryPartyType,$P268)))</f>
        <v/>
      </c>
      <c r="G268" s="28">
        <f>IF($P268="","",IF(INDEX(EntryTxnType,$P268)=0,"",INDEX(EntryTxnType,$P268)))</f>
        <v/>
      </c>
      <c r="H268" s="29">
        <f>IF($P268="","",IF(INDEX(EntryDep,$P268)=0,"",INDEX(EntryDep,$P268)))</f>
        <v/>
      </c>
      <c r="I268" s="29">
        <f>IF($P268="","",IF(INDEX(EntryWit,$P268)=0,"",INDEX(EntryWit,$P268)))</f>
        <v/>
      </c>
      <c r="J268" s="29">
        <f>IF($B268="","",IF($A268=1,$C$7,IF(J267="",0,J267))+IF($H268="",0,$H268)-IF($I268="",0,$I268))</f>
        <v/>
      </c>
      <c r="K268" s="29">
        <f>IF($P268="","",IF(INDEX(EntryMan,$P268)=0,"",INDEX(EntryMan,$P268)))</f>
        <v/>
      </c>
      <c r="L268" s="28">
        <f>IF($B268="","",IF($K268="","—",IF(ROUND($K268-$J268,0)=0,"√","×")))</f>
        <v/>
      </c>
      <c r="M268" s="28">
        <f>IF($B268="","",IF(COUNTIFS(EntryDates,$B268,CalcTime,$C268,CalcBank,$C$5,EntryParty,$D268,EntryDep,$H268,EntryWit,$I268)&gt;1,"تکرار",""))</f>
        <v/>
      </c>
      <c r="N268" s="28">
        <f>IF($P268="","",IF(INDEX(EntryNotes,$P268)=0,"",INDEX(EntryNotes,$P268)))</f>
        <v/>
      </c>
      <c r="O268" s="28">
        <f>IF($P268="","",IF(INDEX(EntryTxnID,$P268)=0,"",INDEX(EntryTxnID,$P268)))</f>
        <v/>
      </c>
      <c r="P268" s="28">
        <f>IFERROR(MATCH($C$5&amp;"|"&amp;RIGHT("000000"&amp;252,6),CalcRankKey,0),"")</f>
        <v/>
      </c>
    </row>
    <row r="269">
      <c r="A269" s="26">
        <f>IF($B269="","",253)</f>
        <v/>
      </c>
      <c r="B269" s="26">
        <f>IF($P269="","",IF(INDEX(CalcNormDate,$P269)=0,"",INDEX(CalcNormDate,$P269)))</f>
        <v/>
      </c>
      <c r="C269" s="26">
        <f>IF($P269="","",IF(INDEX(CalcTime,$P269)=0,"",INDEX(CalcTime,$P269)))</f>
        <v/>
      </c>
      <c r="D269" s="26">
        <f>IF($P269="","",IF(INDEX(EntryParty,$P269)=0,"",INDEX(EntryParty,$P269)))</f>
        <v/>
      </c>
      <c r="E269" s="26">
        <f>IF($P269="","",IF(INDEX(EntryPartyName,$P269)=0,"",INDEX(EntryPartyName,$P269)))</f>
        <v/>
      </c>
      <c r="F269" s="26">
        <f>IF($P269="","",IF(INDEX(EntryPartyType,$P269)=0,"",INDEX(EntryPartyType,$P269)))</f>
        <v/>
      </c>
      <c r="G269" s="26">
        <f>IF($P269="","",IF(INDEX(EntryTxnType,$P269)=0,"",INDEX(EntryTxnType,$P269)))</f>
        <v/>
      </c>
      <c r="H269" s="27">
        <f>IF($P269="","",IF(INDEX(EntryDep,$P269)=0,"",INDEX(EntryDep,$P269)))</f>
        <v/>
      </c>
      <c r="I269" s="27">
        <f>IF($P269="","",IF(INDEX(EntryWit,$P269)=0,"",INDEX(EntryWit,$P269)))</f>
        <v/>
      </c>
      <c r="J269" s="27">
        <f>IF($B269="","",IF($A269=1,$C$7,IF(J268="",0,J268))+IF($H269="",0,$H269)-IF($I269="",0,$I269))</f>
        <v/>
      </c>
      <c r="K269" s="27">
        <f>IF($P269="","",IF(INDEX(EntryMan,$P269)=0,"",INDEX(EntryMan,$P269)))</f>
        <v/>
      </c>
      <c r="L269" s="26">
        <f>IF($B269="","",IF($K269="","—",IF(ROUND($K269-$J269,0)=0,"√","×")))</f>
        <v/>
      </c>
      <c r="M269" s="26">
        <f>IF($B269="","",IF(COUNTIFS(EntryDates,$B269,CalcTime,$C269,CalcBank,$C$5,EntryParty,$D269,EntryDep,$H269,EntryWit,$I269)&gt;1,"تکرار",""))</f>
        <v/>
      </c>
      <c r="N269" s="26">
        <f>IF($P269="","",IF(INDEX(EntryNotes,$P269)=0,"",INDEX(EntryNotes,$P269)))</f>
        <v/>
      </c>
      <c r="O269" s="26">
        <f>IF($P269="","",IF(INDEX(EntryTxnID,$P269)=0,"",INDEX(EntryTxnID,$P269)))</f>
        <v/>
      </c>
      <c r="P269" s="26">
        <f>IFERROR(MATCH($C$5&amp;"|"&amp;RIGHT("000000"&amp;253,6),CalcRankKey,0),"")</f>
        <v/>
      </c>
    </row>
    <row r="270">
      <c r="A270" s="28">
        <f>IF($B270="","",254)</f>
        <v/>
      </c>
      <c r="B270" s="28">
        <f>IF($P270="","",IF(INDEX(CalcNormDate,$P270)=0,"",INDEX(CalcNormDate,$P270)))</f>
        <v/>
      </c>
      <c r="C270" s="28">
        <f>IF($P270="","",IF(INDEX(CalcTime,$P270)=0,"",INDEX(CalcTime,$P270)))</f>
        <v/>
      </c>
      <c r="D270" s="28">
        <f>IF($P270="","",IF(INDEX(EntryParty,$P270)=0,"",INDEX(EntryParty,$P270)))</f>
        <v/>
      </c>
      <c r="E270" s="28">
        <f>IF($P270="","",IF(INDEX(EntryPartyName,$P270)=0,"",INDEX(EntryPartyName,$P270)))</f>
        <v/>
      </c>
      <c r="F270" s="28">
        <f>IF($P270="","",IF(INDEX(EntryPartyType,$P270)=0,"",INDEX(EntryPartyType,$P270)))</f>
        <v/>
      </c>
      <c r="G270" s="28">
        <f>IF($P270="","",IF(INDEX(EntryTxnType,$P270)=0,"",INDEX(EntryTxnType,$P270)))</f>
        <v/>
      </c>
      <c r="H270" s="29">
        <f>IF($P270="","",IF(INDEX(EntryDep,$P270)=0,"",INDEX(EntryDep,$P270)))</f>
        <v/>
      </c>
      <c r="I270" s="29">
        <f>IF($P270="","",IF(INDEX(EntryWit,$P270)=0,"",INDEX(EntryWit,$P270)))</f>
        <v/>
      </c>
      <c r="J270" s="29">
        <f>IF($B270="","",IF($A270=1,$C$7,IF(J269="",0,J269))+IF($H270="",0,$H270)-IF($I270="",0,$I270))</f>
        <v/>
      </c>
      <c r="K270" s="29">
        <f>IF($P270="","",IF(INDEX(EntryMan,$P270)=0,"",INDEX(EntryMan,$P270)))</f>
        <v/>
      </c>
      <c r="L270" s="28">
        <f>IF($B270="","",IF($K270="","—",IF(ROUND($K270-$J270,0)=0,"√","×")))</f>
        <v/>
      </c>
      <c r="M270" s="28">
        <f>IF($B270="","",IF(COUNTIFS(EntryDates,$B270,CalcTime,$C270,CalcBank,$C$5,EntryParty,$D270,EntryDep,$H270,EntryWit,$I270)&gt;1,"تکرار",""))</f>
        <v/>
      </c>
      <c r="N270" s="28">
        <f>IF($P270="","",IF(INDEX(EntryNotes,$P270)=0,"",INDEX(EntryNotes,$P270)))</f>
        <v/>
      </c>
      <c r="O270" s="28">
        <f>IF($P270="","",IF(INDEX(EntryTxnID,$P270)=0,"",INDEX(EntryTxnID,$P270)))</f>
        <v/>
      </c>
      <c r="P270" s="28">
        <f>IFERROR(MATCH($C$5&amp;"|"&amp;RIGHT("000000"&amp;254,6),CalcRankKey,0),"")</f>
        <v/>
      </c>
    </row>
    <row r="271">
      <c r="A271" s="26">
        <f>IF($B271="","",255)</f>
        <v/>
      </c>
      <c r="B271" s="26">
        <f>IF($P271="","",IF(INDEX(CalcNormDate,$P271)=0,"",INDEX(CalcNormDate,$P271)))</f>
        <v/>
      </c>
      <c r="C271" s="26">
        <f>IF($P271="","",IF(INDEX(CalcTime,$P271)=0,"",INDEX(CalcTime,$P271)))</f>
        <v/>
      </c>
      <c r="D271" s="26">
        <f>IF($P271="","",IF(INDEX(EntryParty,$P271)=0,"",INDEX(EntryParty,$P271)))</f>
        <v/>
      </c>
      <c r="E271" s="26">
        <f>IF($P271="","",IF(INDEX(EntryPartyName,$P271)=0,"",INDEX(EntryPartyName,$P271)))</f>
        <v/>
      </c>
      <c r="F271" s="26">
        <f>IF($P271="","",IF(INDEX(EntryPartyType,$P271)=0,"",INDEX(EntryPartyType,$P271)))</f>
        <v/>
      </c>
      <c r="G271" s="26">
        <f>IF($P271="","",IF(INDEX(EntryTxnType,$P271)=0,"",INDEX(EntryTxnType,$P271)))</f>
        <v/>
      </c>
      <c r="H271" s="27">
        <f>IF($P271="","",IF(INDEX(EntryDep,$P271)=0,"",INDEX(EntryDep,$P271)))</f>
        <v/>
      </c>
      <c r="I271" s="27">
        <f>IF($P271="","",IF(INDEX(EntryWit,$P271)=0,"",INDEX(EntryWit,$P271)))</f>
        <v/>
      </c>
      <c r="J271" s="27">
        <f>IF($B271="","",IF($A271=1,$C$7,IF(J270="",0,J270))+IF($H271="",0,$H271)-IF($I271="",0,$I271))</f>
        <v/>
      </c>
      <c r="K271" s="27">
        <f>IF($P271="","",IF(INDEX(EntryMan,$P271)=0,"",INDEX(EntryMan,$P271)))</f>
        <v/>
      </c>
      <c r="L271" s="26">
        <f>IF($B271="","",IF($K271="","—",IF(ROUND($K271-$J271,0)=0,"√","×")))</f>
        <v/>
      </c>
      <c r="M271" s="26">
        <f>IF($B271="","",IF(COUNTIFS(EntryDates,$B271,CalcTime,$C271,CalcBank,$C$5,EntryParty,$D271,EntryDep,$H271,EntryWit,$I271)&gt;1,"تکرار",""))</f>
        <v/>
      </c>
      <c r="N271" s="26">
        <f>IF($P271="","",IF(INDEX(EntryNotes,$P271)=0,"",INDEX(EntryNotes,$P271)))</f>
        <v/>
      </c>
      <c r="O271" s="26">
        <f>IF($P271="","",IF(INDEX(EntryTxnID,$P271)=0,"",INDEX(EntryTxnID,$P271)))</f>
        <v/>
      </c>
      <c r="P271" s="26">
        <f>IFERROR(MATCH($C$5&amp;"|"&amp;RIGHT("000000"&amp;255,6),CalcRankKey,0),"")</f>
        <v/>
      </c>
    </row>
    <row r="272">
      <c r="A272" s="28">
        <f>IF($B272="","",256)</f>
        <v/>
      </c>
      <c r="B272" s="28">
        <f>IF($P272="","",IF(INDEX(CalcNormDate,$P272)=0,"",INDEX(CalcNormDate,$P272)))</f>
        <v/>
      </c>
      <c r="C272" s="28">
        <f>IF($P272="","",IF(INDEX(CalcTime,$P272)=0,"",INDEX(CalcTime,$P272)))</f>
        <v/>
      </c>
      <c r="D272" s="28">
        <f>IF($P272="","",IF(INDEX(EntryParty,$P272)=0,"",INDEX(EntryParty,$P272)))</f>
        <v/>
      </c>
      <c r="E272" s="28">
        <f>IF($P272="","",IF(INDEX(EntryPartyName,$P272)=0,"",INDEX(EntryPartyName,$P272)))</f>
        <v/>
      </c>
      <c r="F272" s="28">
        <f>IF($P272="","",IF(INDEX(EntryPartyType,$P272)=0,"",INDEX(EntryPartyType,$P272)))</f>
        <v/>
      </c>
      <c r="G272" s="28">
        <f>IF($P272="","",IF(INDEX(EntryTxnType,$P272)=0,"",INDEX(EntryTxnType,$P272)))</f>
        <v/>
      </c>
      <c r="H272" s="29">
        <f>IF($P272="","",IF(INDEX(EntryDep,$P272)=0,"",INDEX(EntryDep,$P272)))</f>
        <v/>
      </c>
      <c r="I272" s="29">
        <f>IF($P272="","",IF(INDEX(EntryWit,$P272)=0,"",INDEX(EntryWit,$P272)))</f>
        <v/>
      </c>
      <c r="J272" s="29">
        <f>IF($B272="","",IF($A272=1,$C$7,IF(J271="",0,J271))+IF($H272="",0,$H272)-IF($I272="",0,$I272))</f>
        <v/>
      </c>
      <c r="K272" s="29">
        <f>IF($P272="","",IF(INDEX(EntryMan,$P272)=0,"",INDEX(EntryMan,$P272)))</f>
        <v/>
      </c>
      <c r="L272" s="28">
        <f>IF($B272="","",IF($K272="","—",IF(ROUND($K272-$J272,0)=0,"√","×")))</f>
        <v/>
      </c>
      <c r="M272" s="28">
        <f>IF($B272="","",IF(COUNTIFS(EntryDates,$B272,CalcTime,$C272,CalcBank,$C$5,EntryParty,$D272,EntryDep,$H272,EntryWit,$I272)&gt;1,"تکرار",""))</f>
        <v/>
      </c>
      <c r="N272" s="28">
        <f>IF($P272="","",IF(INDEX(EntryNotes,$P272)=0,"",INDEX(EntryNotes,$P272)))</f>
        <v/>
      </c>
      <c r="O272" s="28">
        <f>IF($P272="","",IF(INDEX(EntryTxnID,$P272)=0,"",INDEX(EntryTxnID,$P272)))</f>
        <v/>
      </c>
      <c r="P272" s="28">
        <f>IFERROR(MATCH($C$5&amp;"|"&amp;RIGHT("000000"&amp;256,6),CalcRankKey,0),"")</f>
        <v/>
      </c>
    </row>
    <row r="273">
      <c r="A273" s="26">
        <f>IF($B273="","",257)</f>
        <v/>
      </c>
      <c r="B273" s="26">
        <f>IF($P273="","",IF(INDEX(CalcNormDate,$P273)=0,"",INDEX(CalcNormDate,$P273)))</f>
        <v/>
      </c>
      <c r="C273" s="26">
        <f>IF($P273="","",IF(INDEX(CalcTime,$P273)=0,"",INDEX(CalcTime,$P273)))</f>
        <v/>
      </c>
      <c r="D273" s="26">
        <f>IF($P273="","",IF(INDEX(EntryParty,$P273)=0,"",INDEX(EntryParty,$P273)))</f>
        <v/>
      </c>
      <c r="E273" s="26">
        <f>IF($P273="","",IF(INDEX(EntryPartyName,$P273)=0,"",INDEX(EntryPartyName,$P273)))</f>
        <v/>
      </c>
      <c r="F273" s="26">
        <f>IF($P273="","",IF(INDEX(EntryPartyType,$P273)=0,"",INDEX(EntryPartyType,$P273)))</f>
        <v/>
      </c>
      <c r="G273" s="26">
        <f>IF($P273="","",IF(INDEX(EntryTxnType,$P273)=0,"",INDEX(EntryTxnType,$P273)))</f>
        <v/>
      </c>
      <c r="H273" s="27">
        <f>IF($P273="","",IF(INDEX(EntryDep,$P273)=0,"",INDEX(EntryDep,$P273)))</f>
        <v/>
      </c>
      <c r="I273" s="27">
        <f>IF($P273="","",IF(INDEX(EntryWit,$P273)=0,"",INDEX(EntryWit,$P273)))</f>
        <v/>
      </c>
      <c r="J273" s="27">
        <f>IF($B273="","",IF($A273=1,$C$7,IF(J272="",0,J272))+IF($H273="",0,$H273)-IF($I273="",0,$I273))</f>
        <v/>
      </c>
      <c r="K273" s="27">
        <f>IF($P273="","",IF(INDEX(EntryMan,$P273)=0,"",INDEX(EntryMan,$P273)))</f>
        <v/>
      </c>
      <c r="L273" s="26">
        <f>IF($B273="","",IF($K273="","—",IF(ROUND($K273-$J273,0)=0,"√","×")))</f>
        <v/>
      </c>
      <c r="M273" s="26">
        <f>IF($B273="","",IF(COUNTIFS(EntryDates,$B273,CalcTime,$C273,CalcBank,$C$5,EntryParty,$D273,EntryDep,$H273,EntryWit,$I273)&gt;1,"تکرار",""))</f>
        <v/>
      </c>
      <c r="N273" s="26">
        <f>IF($P273="","",IF(INDEX(EntryNotes,$P273)=0,"",INDEX(EntryNotes,$P273)))</f>
        <v/>
      </c>
      <c r="O273" s="26">
        <f>IF($P273="","",IF(INDEX(EntryTxnID,$P273)=0,"",INDEX(EntryTxnID,$P273)))</f>
        <v/>
      </c>
      <c r="P273" s="26">
        <f>IFERROR(MATCH($C$5&amp;"|"&amp;RIGHT("000000"&amp;257,6),CalcRankKey,0),"")</f>
        <v/>
      </c>
    </row>
    <row r="274">
      <c r="A274" s="28">
        <f>IF($B274="","",258)</f>
        <v/>
      </c>
      <c r="B274" s="28">
        <f>IF($P274="","",IF(INDEX(CalcNormDate,$P274)=0,"",INDEX(CalcNormDate,$P274)))</f>
        <v/>
      </c>
      <c r="C274" s="28">
        <f>IF($P274="","",IF(INDEX(CalcTime,$P274)=0,"",INDEX(CalcTime,$P274)))</f>
        <v/>
      </c>
      <c r="D274" s="28">
        <f>IF($P274="","",IF(INDEX(EntryParty,$P274)=0,"",INDEX(EntryParty,$P274)))</f>
        <v/>
      </c>
      <c r="E274" s="28">
        <f>IF($P274="","",IF(INDEX(EntryPartyName,$P274)=0,"",INDEX(EntryPartyName,$P274)))</f>
        <v/>
      </c>
      <c r="F274" s="28">
        <f>IF($P274="","",IF(INDEX(EntryPartyType,$P274)=0,"",INDEX(EntryPartyType,$P274)))</f>
        <v/>
      </c>
      <c r="G274" s="28">
        <f>IF($P274="","",IF(INDEX(EntryTxnType,$P274)=0,"",INDEX(EntryTxnType,$P274)))</f>
        <v/>
      </c>
      <c r="H274" s="29">
        <f>IF($P274="","",IF(INDEX(EntryDep,$P274)=0,"",INDEX(EntryDep,$P274)))</f>
        <v/>
      </c>
      <c r="I274" s="29">
        <f>IF($P274="","",IF(INDEX(EntryWit,$P274)=0,"",INDEX(EntryWit,$P274)))</f>
        <v/>
      </c>
      <c r="J274" s="29">
        <f>IF($B274="","",IF($A274=1,$C$7,IF(J273="",0,J273))+IF($H274="",0,$H274)-IF($I274="",0,$I274))</f>
        <v/>
      </c>
      <c r="K274" s="29">
        <f>IF($P274="","",IF(INDEX(EntryMan,$P274)=0,"",INDEX(EntryMan,$P274)))</f>
        <v/>
      </c>
      <c r="L274" s="28">
        <f>IF($B274="","",IF($K274="","—",IF(ROUND($K274-$J274,0)=0,"√","×")))</f>
        <v/>
      </c>
      <c r="M274" s="28">
        <f>IF($B274="","",IF(COUNTIFS(EntryDates,$B274,CalcTime,$C274,CalcBank,$C$5,EntryParty,$D274,EntryDep,$H274,EntryWit,$I274)&gt;1,"تکرار",""))</f>
        <v/>
      </c>
      <c r="N274" s="28">
        <f>IF($P274="","",IF(INDEX(EntryNotes,$P274)=0,"",INDEX(EntryNotes,$P274)))</f>
        <v/>
      </c>
      <c r="O274" s="28">
        <f>IF($P274="","",IF(INDEX(EntryTxnID,$P274)=0,"",INDEX(EntryTxnID,$P274)))</f>
        <v/>
      </c>
      <c r="P274" s="28">
        <f>IFERROR(MATCH($C$5&amp;"|"&amp;RIGHT("000000"&amp;258,6),CalcRankKey,0),"")</f>
        <v/>
      </c>
    </row>
    <row r="275">
      <c r="A275" s="26">
        <f>IF($B275="","",259)</f>
        <v/>
      </c>
      <c r="B275" s="26">
        <f>IF($P275="","",IF(INDEX(CalcNormDate,$P275)=0,"",INDEX(CalcNormDate,$P275)))</f>
        <v/>
      </c>
      <c r="C275" s="26">
        <f>IF($P275="","",IF(INDEX(CalcTime,$P275)=0,"",INDEX(CalcTime,$P275)))</f>
        <v/>
      </c>
      <c r="D275" s="26">
        <f>IF($P275="","",IF(INDEX(EntryParty,$P275)=0,"",INDEX(EntryParty,$P275)))</f>
        <v/>
      </c>
      <c r="E275" s="26">
        <f>IF($P275="","",IF(INDEX(EntryPartyName,$P275)=0,"",INDEX(EntryPartyName,$P275)))</f>
        <v/>
      </c>
      <c r="F275" s="26">
        <f>IF($P275="","",IF(INDEX(EntryPartyType,$P275)=0,"",INDEX(EntryPartyType,$P275)))</f>
        <v/>
      </c>
      <c r="G275" s="26">
        <f>IF($P275="","",IF(INDEX(EntryTxnType,$P275)=0,"",INDEX(EntryTxnType,$P275)))</f>
        <v/>
      </c>
      <c r="H275" s="27">
        <f>IF($P275="","",IF(INDEX(EntryDep,$P275)=0,"",INDEX(EntryDep,$P275)))</f>
        <v/>
      </c>
      <c r="I275" s="27">
        <f>IF($P275="","",IF(INDEX(EntryWit,$P275)=0,"",INDEX(EntryWit,$P275)))</f>
        <v/>
      </c>
      <c r="J275" s="27">
        <f>IF($B275="","",IF($A275=1,$C$7,IF(J274="",0,J274))+IF($H275="",0,$H275)-IF($I275="",0,$I275))</f>
        <v/>
      </c>
      <c r="K275" s="27">
        <f>IF($P275="","",IF(INDEX(EntryMan,$P275)=0,"",INDEX(EntryMan,$P275)))</f>
        <v/>
      </c>
      <c r="L275" s="26">
        <f>IF($B275="","",IF($K275="","—",IF(ROUND($K275-$J275,0)=0,"√","×")))</f>
        <v/>
      </c>
      <c r="M275" s="26">
        <f>IF($B275="","",IF(COUNTIFS(EntryDates,$B275,CalcTime,$C275,CalcBank,$C$5,EntryParty,$D275,EntryDep,$H275,EntryWit,$I275)&gt;1,"تکرار",""))</f>
        <v/>
      </c>
      <c r="N275" s="26">
        <f>IF($P275="","",IF(INDEX(EntryNotes,$P275)=0,"",INDEX(EntryNotes,$P275)))</f>
        <v/>
      </c>
      <c r="O275" s="26">
        <f>IF($P275="","",IF(INDEX(EntryTxnID,$P275)=0,"",INDEX(EntryTxnID,$P275)))</f>
        <v/>
      </c>
      <c r="P275" s="26">
        <f>IFERROR(MATCH($C$5&amp;"|"&amp;RIGHT("000000"&amp;259,6),CalcRankKey,0),"")</f>
        <v/>
      </c>
    </row>
    <row r="276">
      <c r="A276" s="28">
        <f>IF($B276="","",260)</f>
        <v/>
      </c>
      <c r="B276" s="28">
        <f>IF($P276="","",IF(INDEX(CalcNormDate,$P276)=0,"",INDEX(CalcNormDate,$P276)))</f>
        <v/>
      </c>
      <c r="C276" s="28">
        <f>IF($P276="","",IF(INDEX(CalcTime,$P276)=0,"",INDEX(CalcTime,$P276)))</f>
        <v/>
      </c>
      <c r="D276" s="28">
        <f>IF($P276="","",IF(INDEX(EntryParty,$P276)=0,"",INDEX(EntryParty,$P276)))</f>
        <v/>
      </c>
      <c r="E276" s="28">
        <f>IF($P276="","",IF(INDEX(EntryPartyName,$P276)=0,"",INDEX(EntryPartyName,$P276)))</f>
        <v/>
      </c>
      <c r="F276" s="28">
        <f>IF($P276="","",IF(INDEX(EntryPartyType,$P276)=0,"",INDEX(EntryPartyType,$P276)))</f>
        <v/>
      </c>
      <c r="G276" s="28">
        <f>IF($P276="","",IF(INDEX(EntryTxnType,$P276)=0,"",INDEX(EntryTxnType,$P276)))</f>
        <v/>
      </c>
      <c r="H276" s="29">
        <f>IF($P276="","",IF(INDEX(EntryDep,$P276)=0,"",INDEX(EntryDep,$P276)))</f>
        <v/>
      </c>
      <c r="I276" s="29">
        <f>IF($P276="","",IF(INDEX(EntryWit,$P276)=0,"",INDEX(EntryWit,$P276)))</f>
        <v/>
      </c>
      <c r="J276" s="29">
        <f>IF($B276="","",IF($A276=1,$C$7,IF(J275="",0,J275))+IF($H276="",0,$H276)-IF($I276="",0,$I276))</f>
        <v/>
      </c>
      <c r="K276" s="29">
        <f>IF($P276="","",IF(INDEX(EntryMan,$P276)=0,"",INDEX(EntryMan,$P276)))</f>
        <v/>
      </c>
      <c r="L276" s="28">
        <f>IF($B276="","",IF($K276="","—",IF(ROUND($K276-$J276,0)=0,"√","×")))</f>
        <v/>
      </c>
      <c r="M276" s="28">
        <f>IF($B276="","",IF(COUNTIFS(EntryDates,$B276,CalcTime,$C276,CalcBank,$C$5,EntryParty,$D276,EntryDep,$H276,EntryWit,$I276)&gt;1,"تکرار",""))</f>
        <v/>
      </c>
      <c r="N276" s="28">
        <f>IF($P276="","",IF(INDEX(EntryNotes,$P276)=0,"",INDEX(EntryNotes,$P276)))</f>
        <v/>
      </c>
      <c r="O276" s="28">
        <f>IF($P276="","",IF(INDEX(EntryTxnID,$P276)=0,"",INDEX(EntryTxnID,$P276)))</f>
        <v/>
      </c>
      <c r="P276" s="28">
        <f>IFERROR(MATCH($C$5&amp;"|"&amp;RIGHT("000000"&amp;260,6),CalcRankKey,0),"")</f>
        <v/>
      </c>
    </row>
    <row r="277">
      <c r="A277" s="26">
        <f>IF($B277="","",261)</f>
        <v/>
      </c>
      <c r="B277" s="26">
        <f>IF($P277="","",IF(INDEX(CalcNormDate,$P277)=0,"",INDEX(CalcNormDate,$P277)))</f>
        <v/>
      </c>
      <c r="C277" s="26">
        <f>IF($P277="","",IF(INDEX(CalcTime,$P277)=0,"",INDEX(CalcTime,$P277)))</f>
        <v/>
      </c>
      <c r="D277" s="26">
        <f>IF($P277="","",IF(INDEX(EntryParty,$P277)=0,"",INDEX(EntryParty,$P277)))</f>
        <v/>
      </c>
      <c r="E277" s="26">
        <f>IF($P277="","",IF(INDEX(EntryPartyName,$P277)=0,"",INDEX(EntryPartyName,$P277)))</f>
        <v/>
      </c>
      <c r="F277" s="26">
        <f>IF($P277="","",IF(INDEX(EntryPartyType,$P277)=0,"",INDEX(EntryPartyType,$P277)))</f>
        <v/>
      </c>
      <c r="G277" s="26">
        <f>IF($P277="","",IF(INDEX(EntryTxnType,$P277)=0,"",INDEX(EntryTxnType,$P277)))</f>
        <v/>
      </c>
      <c r="H277" s="27">
        <f>IF($P277="","",IF(INDEX(EntryDep,$P277)=0,"",INDEX(EntryDep,$P277)))</f>
        <v/>
      </c>
      <c r="I277" s="27">
        <f>IF($P277="","",IF(INDEX(EntryWit,$P277)=0,"",INDEX(EntryWit,$P277)))</f>
        <v/>
      </c>
      <c r="J277" s="27">
        <f>IF($B277="","",IF($A277=1,$C$7,IF(J276="",0,J276))+IF($H277="",0,$H277)-IF($I277="",0,$I277))</f>
        <v/>
      </c>
      <c r="K277" s="27">
        <f>IF($P277="","",IF(INDEX(EntryMan,$P277)=0,"",INDEX(EntryMan,$P277)))</f>
        <v/>
      </c>
      <c r="L277" s="26">
        <f>IF($B277="","",IF($K277="","—",IF(ROUND($K277-$J277,0)=0,"√","×")))</f>
        <v/>
      </c>
      <c r="M277" s="26">
        <f>IF($B277="","",IF(COUNTIFS(EntryDates,$B277,CalcTime,$C277,CalcBank,$C$5,EntryParty,$D277,EntryDep,$H277,EntryWit,$I277)&gt;1,"تکرار",""))</f>
        <v/>
      </c>
      <c r="N277" s="26">
        <f>IF($P277="","",IF(INDEX(EntryNotes,$P277)=0,"",INDEX(EntryNotes,$P277)))</f>
        <v/>
      </c>
      <c r="O277" s="26">
        <f>IF($P277="","",IF(INDEX(EntryTxnID,$P277)=0,"",INDEX(EntryTxnID,$P277)))</f>
        <v/>
      </c>
      <c r="P277" s="26">
        <f>IFERROR(MATCH($C$5&amp;"|"&amp;RIGHT("000000"&amp;261,6),CalcRankKey,0),"")</f>
        <v/>
      </c>
    </row>
    <row r="278">
      <c r="A278" s="28">
        <f>IF($B278="","",262)</f>
        <v/>
      </c>
      <c r="B278" s="28">
        <f>IF($P278="","",IF(INDEX(CalcNormDate,$P278)=0,"",INDEX(CalcNormDate,$P278)))</f>
        <v/>
      </c>
      <c r="C278" s="28">
        <f>IF($P278="","",IF(INDEX(CalcTime,$P278)=0,"",INDEX(CalcTime,$P278)))</f>
        <v/>
      </c>
      <c r="D278" s="28">
        <f>IF($P278="","",IF(INDEX(EntryParty,$P278)=0,"",INDEX(EntryParty,$P278)))</f>
        <v/>
      </c>
      <c r="E278" s="28">
        <f>IF($P278="","",IF(INDEX(EntryPartyName,$P278)=0,"",INDEX(EntryPartyName,$P278)))</f>
        <v/>
      </c>
      <c r="F278" s="28">
        <f>IF($P278="","",IF(INDEX(EntryPartyType,$P278)=0,"",INDEX(EntryPartyType,$P278)))</f>
        <v/>
      </c>
      <c r="G278" s="28">
        <f>IF($P278="","",IF(INDEX(EntryTxnType,$P278)=0,"",INDEX(EntryTxnType,$P278)))</f>
        <v/>
      </c>
      <c r="H278" s="29">
        <f>IF($P278="","",IF(INDEX(EntryDep,$P278)=0,"",INDEX(EntryDep,$P278)))</f>
        <v/>
      </c>
      <c r="I278" s="29">
        <f>IF($P278="","",IF(INDEX(EntryWit,$P278)=0,"",INDEX(EntryWit,$P278)))</f>
        <v/>
      </c>
      <c r="J278" s="29">
        <f>IF($B278="","",IF($A278=1,$C$7,IF(J277="",0,J277))+IF($H278="",0,$H278)-IF($I278="",0,$I278))</f>
        <v/>
      </c>
      <c r="K278" s="29">
        <f>IF($P278="","",IF(INDEX(EntryMan,$P278)=0,"",INDEX(EntryMan,$P278)))</f>
        <v/>
      </c>
      <c r="L278" s="28">
        <f>IF($B278="","",IF($K278="","—",IF(ROUND($K278-$J278,0)=0,"√","×")))</f>
        <v/>
      </c>
      <c r="M278" s="28">
        <f>IF($B278="","",IF(COUNTIFS(EntryDates,$B278,CalcTime,$C278,CalcBank,$C$5,EntryParty,$D278,EntryDep,$H278,EntryWit,$I278)&gt;1,"تکرار",""))</f>
        <v/>
      </c>
      <c r="N278" s="28">
        <f>IF($P278="","",IF(INDEX(EntryNotes,$P278)=0,"",INDEX(EntryNotes,$P278)))</f>
        <v/>
      </c>
      <c r="O278" s="28">
        <f>IF($P278="","",IF(INDEX(EntryTxnID,$P278)=0,"",INDEX(EntryTxnID,$P278)))</f>
        <v/>
      </c>
      <c r="P278" s="28">
        <f>IFERROR(MATCH($C$5&amp;"|"&amp;RIGHT("000000"&amp;262,6),CalcRankKey,0),"")</f>
        <v/>
      </c>
    </row>
    <row r="279">
      <c r="A279" s="26">
        <f>IF($B279="","",263)</f>
        <v/>
      </c>
      <c r="B279" s="26">
        <f>IF($P279="","",IF(INDEX(CalcNormDate,$P279)=0,"",INDEX(CalcNormDate,$P279)))</f>
        <v/>
      </c>
      <c r="C279" s="26">
        <f>IF($P279="","",IF(INDEX(CalcTime,$P279)=0,"",INDEX(CalcTime,$P279)))</f>
        <v/>
      </c>
      <c r="D279" s="26">
        <f>IF($P279="","",IF(INDEX(EntryParty,$P279)=0,"",INDEX(EntryParty,$P279)))</f>
        <v/>
      </c>
      <c r="E279" s="26">
        <f>IF($P279="","",IF(INDEX(EntryPartyName,$P279)=0,"",INDEX(EntryPartyName,$P279)))</f>
        <v/>
      </c>
      <c r="F279" s="26">
        <f>IF($P279="","",IF(INDEX(EntryPartyType,$P279)=0,"",INDEX(EntryPartyType,$P279)))</f>
        <v/>
      </c>
      <c r="G279" s="26">
        <f>IF($P279="","",IF(INDEX(EntryTxnType,$P279)=0,"",INDEX(EntryTxnType,$P279)))</f>
        <v/>
      </c>
      <c r="H279" s="27">
        <f>IF($P279="","",IF(INDEX(EntryDep,$P279)=0,"",INDEX(EntryDep,$P279)))</f>
        <v/>
      </c>
      <c r="I279" s="27">
        <f>IF($P279="","",IF(INDEX(EntryWit,$P279)=0,"",INDEX(EntryWit,$P279)))</f>
        <v/>
      </c>
      <c r="J279" s="27">
        <f>IF($B279="","",IF($A279=1,$C$7,IF(J278="",0,J278))+IF($H279="",0,$H279)-IF($I279="",0,$I279))</f>
        <v/>
      </c>
      <c r="K279" s="27">
        <f>IF($P279="","",IF(INDEX(EntryMan,$P279)=0,"",INDEX(EntryMan,$P279)))</f>
        <v/>
      </c>
      <c r="L279" s="26">
        <f>IF($B279="","",IF($K279="","—",IF(ROUND($K279-$J279,0)=0,"√","×")))</f>
        <v/>
      </c>
      <c r="M279" s="26">
        <f>IF($B279="","",IF(COUNTIFS(EntryDates,$B279,CalcTime,$C279,CalcBank,$C$5,EntryParty,$D279,EntryDep,$H279,EntryWit,$I279)&gt;1,"تکرار",""))</f>
        <v/>
      </c>
      <c r="N279" s="26">
        <f>IF($P279="","",IF(INDEX(EntryNotes,$P279)=0,"",INDEX(EntryNotes,$P279)))</f>
        <v/>
      </c>
      <c r="O279" s="26">
        <f>IF($P279="","",IF(INDEX(EntryTxnID,$P279)=0,"",INDEX(EntryTxnID,$P279)))</f>
        <v/>
      </c>
      <c r="P279" s="26">
        <f>IFERROR(MATCH($C$5&amp;"|"&amp;RIGHT("000000"&amp;263,6),CalcRankKey,0),"")</f>
        <v/>
      </c>
    </row>
    <row r="280">
      <c r="A280" s="28">
        <f>IF($B280="","",264)</f>
        <v/>
      </c>
      <c r="B280" s="28">
        <f>IF($P280="","",IF(INDEX(CalcNormDate,$P280)=0,"",INDEX(CalcNormDate,$P280)))</f>
        <v/>
      </c>
      <c r="C280" s="28">
        <f>IF($P280="","",IF(INDEX(CalcTime,$P280)=0,"",INDEX(CalcTime,$P280)))</f>
        <v/>
      </c>
      <c r="D280" s="28">
        <f>IF($P280="","",IF(INDEX(EntryParty,$P280)=0,"",INDEX(EntryParty,$P280)))</f>
        <v/>
      </c>
      <c r="E280" s="28">
        <f>IF($P280="","",IF(INDEX(EntryPartyName,$P280)=0,"",INDEX(EntryPartyName,$P280)))</f>
        <v/>
      </c>
      <c r="F280" s="28">
        <f>IF($P280="","",IF(INDEX(EntryPartyType,$P280)=0,"",INDEX(EntryPartyType,$P280)))</f>
        <v/>
      </c>
      <c r="G280" s="28">
        <f>IF($P280="","",IF(INDEX(EntryTxnType,$P280)=0,"",INDEX(EntryTxnType,$P280)))</f>
        <v/>
      </c>
      <c r="H280" s="29">
        <f>IF($P280="","",IF(INDEX(EntryDep,$P280)=0,"",INDEX(EntryDep,$P280)))</f>
        <v/>
      </c>
      <c r="I280" s="29">
        <f>IF($P280="","",IF(INDEX(EntryWit,$P280)=0,"",INDEX(EntryWit,$P280)))</f>
        <v/>
      </c>
      <c r="J280" s="29">
        <f>IF($B280="","",IF($A280=1,$C$7,IF(J279="",0,J279))+IF($H280="",0,$H280)-IF($I280="",0,$I280))</f>
        <v/>
      </c>
      <c r="K280" s="29">
        <f>IF($P280="","",IF(INDEX(EntryMan,$P280)=0,"",INDEX(EntryMan,$P280)))</f>
        <v/>
      </c>
      <c r="L280" s="28">
        <f>IF($B280="","",IF($K280="","—",IF(ROUND($K280-$J280,0)=0,"√","×")))</f>
        <v/>
      </c>
      <c r="M280" s="28">
        <f>IF($B280="","",IF(COUNTIFS(EntryDates,$B280,CalcTime,$C280,CalcBank,$C$5,EntryParty,$D280,EntryDep,$H280,EntryWit,$I280)&gt;1,"تکرار",""))</f>
        <v/>
      </c>
      <c r="N280" s="28">
        <f>IF($P280="","",IF(INDEX(EntryNotes,$P280)=0,"",INDEX(EntryNotes,$P280)))</f>
        <v/>
      </c>
      <c r="O280" s="28">
        <f>IF($P280="","",IF(INDEX(EntryTxnID,$P280)=0,"",INDEX(EntryTxnID,$P280)))</f>
        <v/>
      </c>
      <c r="P280" s="28">
        <f>IFERROR(MATCH($C$5&amp;"|"&amp;RIGHT("000000"&amp;264,6),CalcRankKey,0),"")</f>
        <v/>
      </c>
    </row>
    <row r="281">
      <c r="A281" s="26">
        <f>IF($B281="","",265)</f>
        <v/>
      </c>
      <c r="B281" s="26">
        <f>IF($P281="","",IF(INDEX(CalcNormDate,$P281)=0,"",INDEX(CalcNormDate,$P281)))</f>
        <v/>
      </c>
      <c r="C281" s="26">
        <f>IF($P281="","",IF(INDEX(CalcTime,$P281)=0,"",INDEX(CalcTime,$P281)))</f>
        <v/>
      </c>
      <c r="D281" s="26">
        <f>IF($P281="","",IF(INDEX(EntryParty,$P281)=0,"",INDEX(EntryParty,$P281)))</f>
        <v/>
      </c>
      <c r="E281" s="26">
        <f>IF($P281="","",IF(INDEX(EntryPartyName,$P281)=0,"",INDEX(EntryPartyName,$P281)))</f>
        <v/>
      </c>
      <c r="F281" s="26">
        <f>IF($P281="","",IF(INDEX(EntryPartyType,$P281)=0,"",INDEX(EntryPartyType,$P281)))</f>
        <v/>
      </c>
      <c r="G281" s="26">
        <f>IF($P281="","",IF(INDEX(EntryTxnType,$P281)=0,"",INDEX(EntryTxnType,$P281)))</f>
        <v/>
      </c>
      <c r="H281" s="27">
        <f>IF($P281="","",IF(INDEX(EntryDep,$P281)=0,"",INDEX(EntryDep,$P281)))</f>
        <v/>
      </c>
      <c r="I281" s="27">
        <f>IF($P281="","",IF(INDEX(EntryWit,$P281)=0,"",INDEX(EntryWit,$P281)))</f>
        <v/>
      </c>
      <c r="J281" s="27">
        <f>IF($B281="","",IF($A281=1,$C$7,IF(J280="",0,J280))+IF($H281="",0,$H281)-IF($I281="",0,$I281))</f>
        <v/>
      </c>
      <c r="K281" s="27">
        <f>IF($P281="","",IF(INDEX(EntryMan,$P281)=0,"",INDEX(EntryMan,$P281)))</f>
        <v/>
      </c>
      <c r="L281" s="26">
        <f>IF($B281="","",IF($K281="","—",IF(ROUND($K281-$J281,0)=0,"√","×")))</f>
        <v/>
      </c>
      <c r="M281" s="26">
        <f>IF($B281="","",IF(COUNTIFS(EntryDates,$B281,CalcTime,$C281,CalcBank,$C$5,EntryParty,$D281,EntryDep,$H281,EntryWit,$I281)&gt;1,"تکرار",""))</f>
        <v/>
      </c>
      <c r="N281" s="26">
        <f>IF($P281="","",IF(INDEX(EntryNotes,$P281)=0,"",INDEX(EntryNotes,$P281)))</f>
        <v/>
      </c>
      <c r="O281" s="26">
        <f>IF($P281="","",IF(INDEX(EntryTxnID,$P281)=0,"",INDEX(EntryTxnID,$P281)))</f>
        <v/>
      </c>
      <c r="P281" s="26">
        <f>IFERROR(MATCH($C$5&amp;"|"&amp;RIGHT("000000"&amp;265,6),CalcRankKey,0),"")</f>
        <v/>
      </c>
    </row>
    <row r="282">
      <c r="A282" s="28">
        <f>IF($B282="","",266)</f>
        <v/>
      </c>
      <c r="B282" s="28">
        <f>IF($P282="","",IF(INDEX(CalcNormDate,$P282)=0,"",INDEX(CalcNormDate,$P282)))</f>
        <v/>
      </c>
      <c r="C282" s="28">
        <f>IF($P282="","",IF(INDEX(CalcTime,$P282)=0,"",INDEX(CalcTime,$P282)))</f>
        <v/>
      </c>
      <c r="D282" s="28">
        <f>IF($P282="","",IF(INDEX(EntryParty,$P282)=0,"",INDEX(EntryParty,$P282)))</f>
        <v/>
      </c>
      <c r="E282" s="28">
        <f>IF($P282="","",IF(INDEX(EntryPartyName,$P282)=0,"",INDEX(EntryPartyName,$P282)))</f>
        <v/>
      </c>
      <c r="F282" s="28">
        <f>IF($P282="","",IF(INDEX(EntryPartyType,$P282)=0,"",INDEX(EntryPartyType,$P282)))</f>
        <v/>
      </c>
      <c r="G282" s="28">
        <f>IF($P282="","",IF(INDEX(EntryTxnType,$P282)=0,"",INDEX(EntryTxnType,$P282)))</f>
        <v/>
      </c>
      <c r="H282" s="29">
        <f>IF($P282="","",IF(INDEX(EntryDep,$P282)=0,"",INDEX(EntryDep,$P282)))</f>
        <v/>
      </c>
      <c r="I282" s="29">
        <f>IF($P282="","",IF(INDEX(EntryWit,$P282)=0,"",INDEX(EntryWit,$P282)))</f>
        <v/>
      </c>
      <c r="J282" s="29">
        <f>IF($B282="","",IF($A282=1,$C$7,IF(J281="",0,J281))+IF($H282="",0,$H282)-IF($I282="",0,$I282))</f>
        <v/>
      </c>
      <c r="K282" s="29">
        <f>IF($P282="","",IF(INDEX(EntryMan,$P282)=0,"",INDEX(EntryMan,$P282)))</f>
        <v/>
      </c>
      <c r="L282" s="28">
        <f>IF($B282="","",IF($K282="","—",IF(ROUND($K282-$J282,0)=0,"√","×")))</f>
        <v/>
      </c>
      <c r="M282" s="28">
        <f>IF($B282="","",IF(COUNTIFS(EntryDates,$B282,CalcTime,$C282,CalcBank,$C$5,EntryParty,$D282,EntryDep,$H282,EntryWit,$I282)&gt;1,"تکرار",""))</f>
        <v/>
      </c>
      <c r="N282" s="28">
        <f>IF($P282="","",IF(INDEX(EntryNotes,$P282)=0,"",INDEX(EntryNotes,$P282)))</f>
        <v/>
      </c>
      <c r="O282" s="28">
        <f>IF($P282="","",IF(INDEX(EntryTxnID,$P282)=0,"",INDEX(EntryTxnID,$P282)))</f>
        <v/>
      </c>
      <c r="P282" s="28">
        <f>IFERROR(MATCH($C$5&amp;"|"&amp;RIGHT("000000"&amp;266,6),CalcRankKey,0),"")</f>
        <v/>
      </c>
    </row>
    <row r="283">
      <c r="A283" s="26">
        <f>IF($B283="","",267)</f>
        <v/>
      </c>
      <c r="B283" s="26">
        <f>IF($P283="","",IF(INDEX(CalcNormDate,$P283)=0,"",INDEX(CalcNormDate,$P283)))</f>
        <v/>
      </c>
      <c r="C283" s="26">
        <f>IF($P283="","",IF(INDEX(CalcTime,$P283)=0,"",INDEX(CalcTime,$P283)))</f>
        <v/>
      </c>
      <c r="D283" s="26">
        <f>IF($P283="","",IF(INDEX(EntryParty,$P283)=0,"",INDEX(EntryParty,$P283)))</f>
        <v/>
      </c>
      <c r="E283" s="26">
        <f>IF($P283="","",IF(INDEX(EntryPartyName,$P283)=0,"",INDEX(EntryPartyName,$P283)))</f>
        <v/>
      </c>
      <c r="F283" s="26">
        <f>IF($P283="","",IF(INDEX(EntryPartyType,$P283)=0,"",INDEX(EntryPartyType,$P283)))</f>
        <v/>
      </c>
      <c r="G283" s="26">
        <f>IF($P283="","",IF(INDEX(EntryTxnType,$P283)=0,"",INDEX(EntryTxnType,$P283)))</f>
        <v/>
      </c>
      <c r="H283" s="27">
        <f>IF($P283="","",IF(INDEX(EntryDep,$P283)=0,"",INDEX(EntryDep,$P283)))</f>
        <v/>
      </c>
      <c r="I283" s="27">
        <f>IF($P283="","",IF(INDEX(EntryWit,$P283)=0,"",INDEX(EntryWit,$P283)))</f>
        <v/>
      </c>
      <c r="J283" s="27">
        <f>IF($B283="","",IF($A283=1,$C$7,IF(J282="",0,J282))+IF($H283="",0,$H283)-IF($I283="",0,$I283))</f>
        <v/>
      </c>
      <c r="K283" s="27">
        <f>IF($P283="","",IF(INDEX(EntryMan,$P283)=0,"",INDEX(EntryMan,$P283)))</f>
        <v/>
      </c>
      <c r="L283" s="26">
        <f>IF($B283="","",IF($K283="","—",IF(ROUND($K283-$J283,0)=0,"√","×")))</f>
        <v/>
      </c>
      <c r="M283" s="26">
        <f>IF($B283="","",IF(COUNTIFS(EntryDates,$B283,CalcTime,$C283,CalcBank,$C$5,EntryParty,$D283,EntryDep,$H283,EntryWit,$I283)&gt;1,"تکرار",""))</f>
        <v/>
      </c>
      <c r="N283" s="26">
        <f>IF($P283="","",IF(INDEX(EntryNotes,$P283)=0,"",INDEX(EntryNotes,$P283)))</f>
        <v/>
      </c>
      <c r="O283" s="26">
        <f>IF($P283="","",IF(INDEX(EntryTxnID,$P283)=0,"",INDEX(EntryTxnID,$P283)))</f>
        <v/>
      </c>
      <c r="P283" s="26">
        <f>IFERROR(MATCH($C$5&amp;"|"&amp;RIGHT("000000"&amp;267,6),CalcRankKey,0),"")</f>
        <v/>
      </c>
    </row>
    <row r="284">
      <c r="A284" s="28">
        <f>IF($B284="","",268)</f>
        <v/>
      </c>
      <c r="B284" s="28">
        <f>IF($P284="","",IF(INDEX(CalcNormDate,$P284)=0,"",INDEX(CalcNormDate,$P284)))</f>
        <v/>
      </c>
      <c r="C284" s="28">
        <f>IF($P284="","",IF(INDEX(CalcTime,$P284)=0,"",INDEX(CalcTime,$P284)))</f>
        <v/>
      </c>
      <c r="D284" s="28">
        <f>IF($P284="","",IF(INDEX(EntryParty,$P284)=0,"",INDEX(EntryParty,$P284)))</f>
        <v/>
      </c>
      <c r="E284" s="28">
        <f>IF($P284="","",IF(INDEX(EntryPartyName,$P284)=0,"",INDEX(EntryPartyName,$P284)))</f>
        <v/>
      </c>
      <c r="F284" s="28">
        <f>IF($P284="","",IF(INDEX(EntryPartyType,$P284)=0,"",INDEX(EntryPartyType,$P284)))</f>
        <v/>
      </c>
      <c r="G284" s="28">
        <f>IF($P284="","",IF(INDEX(EntryTxnType,$P284)=0,"",INDEX(EntryTxnType,$P284)))</f>
        <v/>
      </c>
      <c r="H284" s="29">
        <f>IF($P284="","",IF(INDEX(EntryDep,$P284)=0,"",INDEX(EntryDep,$P284)))</f>
        <v/>
      </c>
      <c r="I284" s="29">
        <f>IF($P284="","",IF(INDEX(EntryWit,$P284)=0,"",INDEX(EntryWit,$P284)))</f>
        <v/>
      </c>
      <c r="J284" s="29">
        <f>IF($B284="","",IF($A284=1,$C$7,IF(J283="",0,J283))+IF($H284="",0,$H284)-IF($I284="",0,$I284))</f>
        <v/>
      </c>
      <c r="K284" s="29">
        <f>IF($P284="","",IF(INDEX(EntryMan,$P284)=0,"",INDEX(EntryMan,$P284)))</f>
        <v/>
      </c>
      <c r="L284" s="28">
        <f>IF($B284="","",IF($K284="","—",IF(ROUND($K284-$J284,0)=0,"√","×")))</f>
        <v/>
      </c>
      <c r="M284" s="28">
        <f>IF($B284="","",IF(COUNTIFS(EntryDates,$B284,CalcTime,$C284,CalcBank,$C$5,EntryParty,$D284,EntryDep,$H284,EntryWit,$I284)&gt;1,"تکرار",""))</f>
        <v/>
      </c>
      <c r="N284" s="28">
        <f>IF($P284="","",IF(INDEX(EntryNotes,$P284)=0,"",INDEX(EntryNotes,$P284)))</f>
        <v/>
      </c>
      <c r="O284" s="28">
        <f>IF($P284="","",IF(INDEX(EntryTxnID,$P284)=0,"",INDEX(EntryTxnID,$P284)))</f>
        <v/>
      </c>
      <c r="P284" s="28">
        <f>IFERROR(MATCH($C$5&amp;"|"&amp;RIGHT("000000"&amp;268,6),CalcRankKey,0),"")</f>
        <v/>
      </c>
    </row>
    <row r="285">
      <c r="A285" s="26">
        <f>IF($B285="","",269)</f>
        <v/>
      </c>
      <c r="B285" s="26">
        <f>IF($P285="","",IF(INDEX(CalcNormDate,$P285)=0,"",INDEX(CalcNormDate,$P285)))</f>
        <v/>
      </c>
      <c r="C285" s="26">
        <f>IF($P285="","",IF(INDEX(CalcTime,$P285)=0,"",INDEX(CalcTime,$P285)))</f>
        <v/>
      </c>
      <c r="D285" s="26">
        <f>IF($P285="","",IF(INDEX(EntryParty,$P285)=0,"",INDEX(EntryParty,$P285)))</f>
        <v/>
      </c>
      <c r="E285" s="26">
        <f>IF($P285="","",IF(INDEX(EntryPartyName,$P285)=0,"",INDEX(EntryPartyName,$P285)))</f>
        <v/>
      </c>
      <c r="F285" s="26">
        <f>IF($P285="","",IF(INDEX(EntryPartyType,$P285)=0,"",INDEX(EntryPartyType,$P285)))</f>
        <v/>
      </c>
      <c r="G285" s="26">
        <f>IF($P285="","",IF(INDEX(EntryTxnType,$P285)=0,"",INDEX(EntryTxnType,$P285)))</f>
        <v/>
      </c>
      <c r="H285" s="27">
        <f>IF($P285="","",IF(INDEX(EntryDep,$P285)=0,"",INDEX(EntryDep,$P285)))</f>
        <v/>
      </c>
      <c r="I285" s="27">
        <f>IF($P285="","",IF(INDEX(EntryWit,$P285)=0,"",INDEX(EntryWit,$P285)))</f>
        <v/>
      </c>
      <c r="J285" s="27">
        <f>IF($B285="","",IF($A285=1,$C$7,IF(J284="",0,J284))+IF($H285="",0,$H285)-IF($I285="",0,$I285))</f>
        <v/>
      </c>
      <c r="K285" s="27">
        <f>IF($P285="","",IF(INDEX(EntryMan,$P285)=0,"",INDEX(EntryMan,$P285)))</f>
        <v/>
      </c>
      <c r="L285" s="26">
        <f>IF($B285="","",IF($K285="","—",IF(ROUND($K285-$J285,0)=0,"√","×")))</f>
        <v/>
      </c>
      <c r="M285" s="26">
        <f>IF($B285="","",IF(COUNTIFS(EntryDates,$B285,CalcTime,$C285,CalcBank,$C$5,EntryParty,$D285,EntryDep,$H285,EntryWit,$I285)&gt;1,"تکرار",""))</f>
        <v/>
      </c>
      <c r="N285" s="26">
        <f>IF($P285="","",IF(INDEX(EntryNotes,$P285)=0,"",INDEX(EntryNotes,$P285)))</f>
        <v/>
      </c>
      <c r="O285" s="26">
        <f>IF($P285="","",IF(INDEX(EntryTxnID,$P285)=0,"",INDEX(EntryTxnID,$P285)))</f>
        <v/>
      </c>
      <c r="P285" s="26">
        <f>IFERROR(MATCH($C$5&amp;"|"&amp;RIGHT("000000"&amp;269,6),CalcRankKey,0),"")</f>
        <v/>
      </c>
    </row>
    <row r="286">
      <c r="A286" s="28">
        <f>IF($B286="","",270)</f>
        <v/>
      </c>
      <c r="B286" s="28">
        <f>IF($P286="","",IF(INDEX(CalcNormDate,$P286)=0,"",INDEX(CalcNormDate,$P286)))</f>
        <v/>
      </c>
      <c r="C286" s="28">
        <f>IF($P286="","",IF(INDEX(CalcTime,$P286)=0,"",INDEX(CalcTime,$P286)))</f>
        <v/>
      </c>
      <c r="D286" s="28">
        <f>IF($P286="","",IF(INDEX(EntryParty,$P286)=0,"",INDEX(EntryParty,$P286)))</f>
        <v/>
      </c>
      <c r="E286" s="28">
        <f>IF($P286="","",IF(INDEX(EntryPartyName,$P286)=0,"",INDEX(EntryPartyName,$P286)))</f>
        <v/>
      </c>
      <c r="F286" s="28">
        <f>IF($P286="","",IF(INDEX(EntryPartyType,$P286)=0,"",INDEX(EntryPartyType,$P286)))</f>
        <v/>
      </c>
      <c r="G286" s="28">
        <f>IF($P286="","",IF(INDEX(EntryTxnType,$P286)=0,"",INDEX(EntryTxnType,$P286)))</f>
        <v/>
      </c>
      <c r="H286" s="29">
        <f>IF($P286="","",IF(INDEX(EntryDep,$P286)=0,"",INDEX(EntryDep,$P286)))</f>
        <v/>
      </c>
      <c r="I286" s="29">
        <f>IF($P286="","",IF(INDEX(EntryWit,$P286)=0,"",INDEX(EntryWit,$P286)))</f>
        <v/>
      </c>
      <c r="J286" s="29">
        <f>IF($B286="","",IF($A286=1,$C$7,IF(J285="",0,J285))+IF($H286="",0,$H286)-IF($I286="",0,$I286))</f>
        <v/>
      </c>
      <c r="K286" s="29">
        <f>IF($P286="","",IF(INDEX(EntryMan,$P286)=0,"",INDEX(EntryMan,$P286)))</f>
        <v/>
      </c>
      <c r="L286" s="28">
        <f>IF($B286="","",IF($K286="","—",IF(ROUND($K286-$J286,0)=0,"√","×")))</f>
        <v/>
      </c>
      <c r="M286" s="28">
        <f>IF($B286="","",IF(COUNTIFS(EntryDates,$B286,CalcTime,$C286,CalcBank,$C$5,EntryParty,$D286,EntryDep,$H286,EntryWit,$I286)&gt;1,"تکرار",""))</f>
        <v/>
      </c>
      <c r="N286" s="28">
        <f>IF($P286="","",IF(INDEX(EntryNotes,$P286)=0,"",INDEX(EntryNotes,$P286)))</f>
        <v/>
      </c>
      <c r="O286" s="28">
        <f>IF($P286="","",IF(INDEX(EntryTxnID,$P286)=0,"",INDEX(EntryTxnID,$P286)))</f>
        <v/>
      </c>
      <c r="P286" s="28">
        <f>IFERROR(MATCH($C$5&amp;"|"&amp;RIGHT("000000"&amp;270,6),CalcRankKey,0),"")</f>
        <v/>
      </c>
    </row>
    <row r="287">
      <c r="A287" s="26">
        <f>IF($B287="","",271)</f>
        <v/>
      </c>
      <c r="B287" s="26">
        <f>IF($P287="","",IF(INDEX(CalcNormDate,$P287)=0,"",INDEX(CalcNormDate,$P287)))</f>
        <v/>
      </c>
      <c r="C287" s="26">
        <f>IF($P287="","",IF(INDEX(CalcTime,$P287)=0,"",INDEX(CalcTime,$P287)))</f>
        <v/>
      </c>
      <c r="D287" s="26">
        <f>IF($P287="","",IF(INDEX(EntryParty,$P287)=0,"",INDEX(EntryParty,$P287)))</f>
        <v/>
      </c>
      <c r="E287" s="26">
        <f>IF($P287="","",IF(INDEX(EntryPartyName,$P287)=0,"",INDEX(EntryPartyName,$P287)))</f>
        <v/>
      </c>
      <c r="F287" s="26">
        <f>IF($P287="","",IF(INDEX(EntryPartyType,$P287)=0,"",INDEX(EntryPartyType,$P287)))</f>
        <v/>
      </c>
      <c r="G287" s="26">
        <f>IF($P287="","",IF(INDEX(EntryTxnType,$P287)=0,"",INDEX(EntryTxnType,$P287)))</f>
        <v/>
      </c>
      <c r="H287" s="27">
        <f>IF($P287="","",IF(INDEX(EntryDep,$P287)=0,"",INDEX(EntryDep,$P287)))</f>
        <v/>
      </c>
      <c r="I287" s="27">
        <f>IF($P287="","",IF(INDEX(EntryWit,$P287)=0,"",INDEX(EntryWit,$P287)))</f>
        <v/>
      </c>
      <c r="J287" s="27">
        <f>IF($B287="","",IF($A287=1,$C$7,IF(J286="",0,J286))+IF($H287="",0,$H287)-IF($I287="",0,$I287))</f>
        <v/>
      </c>
      <c r="K287" s="27">
        <f>IF($P287="","",IF(INDEX(EntryMan,$P287)=0,"",INDEX(EntryMan,$P287)))</f>
        <v/>
      </c>
      <c r="L287" s="26">
        <f>IF($B287="","",IF($K287="","—",IF(ROUND($K287-$J287,0)=0,"√","×")))</f>
        <v/>
      </c>
      <c r="M287" s="26">
        <f>IF($B287="","",IF(COUNTIFS(EntryDates,$B287,CalcTime,$C287,CalcBank,$C$5,EntryParty,$D287,EntryDep,$H287,EntryWit,$I287)&gt;1,"تکرار",""))</f>
        <v/>
      </c>
      <c r="N287" s="26">
        <f>IF($P287="","",IF(INDEX(EntryNotes,$P287)=0,"",INDEX(EntryNotes,$P287)))</f>
        <v/>
      </c>
      <c r="O287" s="26">
        <f>IF($P287="","",IF(INDEX(EntryTxnID,$P287)=0,"",INDEX(EntryTxnID,$P287)))</f>
        <v/>
      </c>
      <c r="P287" s="26">
        <f>IFERROR(MATCH($C$5&amp;"|"&amp;RIGHT("000000"&amp;271,6),CalcRankKey,0),"")</f>
        <v/>
      </c>
    </row>
    <row r="288">
      <c r="A288" s="28">
        <f>IF($B288="","",272)</f>
        <v/>
      </c>
      <c r="B288" s="28">
        <f>IF($P288="","",IF(INDEX(CalcNormDate,$P288)=0,"",INDEX(CalcNormDate,$P288)))</f>
        <v/>
      </c>
      <c r="C288" s="28">
        <f>IF($P288="","",IF(INDEX(CalcTime,$P288)=0,"",INDEX(CalcTime,$P288)))</f>
        <v/>
      </c>
      <c r="D288" s="28">
        <f>IF($P288="","",IF(INDEX(EntryParty,$P288)=0,"",INDEX(EntryParty,$P288)))</f>
        <v/>
      </c>
      <c r="E288" s="28">
        <f>IF($P288="","",IF(INDEX(EntryPartyName,$P288)=0,"",INDEX(EntryPartyName,$P288)))</f>
        <v/>
      </c>
      <c r="F288" s="28">
        <f>IF($P288="","",IF(INDEX(EntryPartyType,$P288)=0,"",INDEX(EntryPartyType,$P288)))</f>
        <v/>
      </c>
      <c r="G288" s="28">
        <f>IF($P288="","",IF(INDEX(EntryTxnType,$P288)=0,"",INDEX(EntryTxnType,$P288)))</f>
        <v/>
      </c>
      <c r="H288" s="29">
        <f>IF($P288="","",IF(INDEX(EntryDep,$P288)=0,"",INDEX(EntryDep,$P288)))</f>
        <v/>
      </c>
      <c r="I288" s="29">
        <f>IF($P288="","",IF(INDEX(EntryWit,$P288)=0,"",INDEX(EntryWit,$P288)))</f>
        <v/>
      </c>
      <c r="J288" s="29">
        <f>IF($B288="","",IF($A288=1,$C$7,IF(J287="",0,J287))+IF($H288="",0,$H288)-IF($I288="",0,$I288))</f>
        <v/>
      </c>
      <c r="K288" s="29">
        <f>IF($P288="","",IF(INDEX(EntryMan,$P288)=0,"",INDEX(EntryMan,$P288)))</f>
        <v/>
      </c>
      <c r="L288" s="28">
        <f>IF($B288="","",IF($K288="","—",IF(ROUND($K288-$J288,0)=0,"√","×")))</f>
        <v/>
      </c>
      <c r="M288" s="28">
        <f>IF($B288="","",IF(COUNTIFS(EntryDates,$B288,CalcTime,$C288,CalcBank,$C$5,EntryParty,$D288,EntryDep,$H288,EntryWit,$I288)&gt;1,"تکرار",""))</f>
        <v/>
      </c>
      <c r="N288" s="28">
        <f>IF($P288="","",IF(INDEX(EntryNotes,$P288)=0,"",INDEX(EntryNotes,$P288)))</f>
        <v/>
      </c>
      <c r="O288" s="28">
        <f>IF($P288="","",IF(INDEX(EntryTxnID,$P288)=0,"",INDEX(EntryTxnID,$P288)))</f>
        <v/>
      </c>
      <c r="P288" s="28">
        <f>IFERROR(MATCH($C$5&amp;"|"&amp;RIGHT("000000"&amp;272,6),CalcRankKey,0),"")</f>
        <v/>
      </c>
    </row>
    <row r="289">
      <c r="A289" s="26">
        <f>IF($B289="","",273)</f>
        <v/>
      </c>
      <c r="B289" s="26">
        <f>IF($P289="","",IF(INDEX(CalcNormDate,$P289)=0,"",INDEX(CalcNormDate,$P289)))</f>
        <v/>
      </c>
      <c r="C289" s="26">
        <f>IF($P289="","",IF(INDEX(CalcTime,$P289)=0,"",INDEX(CalcTime,$P289)))</f>
        <v/>
      </c>
      <c r="D289" s="26">
        <f>IF($P289="","",IF(INDEX(EntryParty,$P289)=0,"",INDEX(EntryParty,$P289)))</f>
        <v/>
      </c>
      <c r="E289" s="26">
        <f>IF($P289="","",IF(INDEX(EntryPartyName,$P289)=0,"",INDEX(EntryPartyName,$P289)))</f>
        <v/>
      </c>
      <c r="F289" s="26">
        <f>IF($P289="","",IF(INDEX(EntryPartyType,$P289)=0,"",INDEX(EntryPartyType,$P289)))</f>
        <v/>
      </c>
      <c r="G289" s="26">
        <f>IF($P289="","",IF(INDEX(EntryTxnType,$P289)=0,"",INDEX(EntryTxnType,$P289)))</f>
        <v/>
      </c>
      <c r="H289" s="27">
        <f>IF($P289="","",IF(INDEX(EntryDep,$P289)=0,"",INDEX(EntryDep,$P289)))</f>
        <v/>
      </c>
      <c r="I289" s="27">
        <f>IF($P289="","",IF(INDEX(EntryWit,$P289)=0,"",INDEX(EntryWit,$P289)))</f>
        <v/>
      </c>
      <c r="J289" s="27">
        <f>IF($B289="","",IF($A289=1,$C$7,IF(J288="",0,J288))+IF($H289="",0,$H289)-IF($I289="",0,$I289))</f>
        <v/>
      </c>
      <c r="K289" s="27">
        <f>IF($P289="","",IF(INDEX(EntryMan,$P289)=0,"",INDEX(EntryMan,$P289)))</f>
        <v/>
      </c>
      <c r="L289" s="26">
        <f>IF($B289="","",IF($K289="","—",IF(ROUND($K289-$J289,0)=0,"√","×")))</f>
        <v/>
      </c>
      <c r="M289" s="26">
        <f>IF($B289="","",IF(COUNTIFS(EntryDates,$B289,CalcTime,$C289,CalcBank,$C$5,EntryParty,$D289,EntryDep,$H289,EntryWit,$I289)&gt;1,"تکرار",""))</f>
        <v/>
      </c>
      <c r="N289" s="26">
        <f>IF($P289="","",IF(INDEX(EntryNotes,$P289)=0,"",INDEX(EntryNotes,$P289)))</f>
        <v/>
      </c>
      <c r="O289" s="26">
        <f>IF($P289="","",IF(INDEX(EntryTxnID,$P289)=0,"",INDEX(EntryTxnID,$P289)))</f>
        <v/>
      </c>
      <c r="P289" s="26">
        <f>IFERROR(MATCH($C$5&amp;"|"&amp;RIGHT("000000"&amp;273,6),CalcRankKey,0),"")</f>
        <v/>
      </c>
    </row>
    <row r="290">
      <c r="A290" s="28">
        <f>IF($B290="","",274)</f>
        <v/>
      </c>
      <c r="B290" s="28">
        <f>IF($P290="","",IF(INDEX(CalcNormDate,$P290)=0,"",INDEX(CalcNormDate,$P290)))</f>
        <v/>
      </c>
      <c r="C290" s="28">
        <f>IF($P290="","",IF(INDEX(CalcTime,$P290)=0,"",INDEX(CalcTime,$P290)))</f>
        <v/>
      </c>
      <c r="D290" s="28">
        <f>IF($P290="","",IF(INDEX(EntryParty,$P290)=0,"",INDEX(EntryParty,$P290)))</f>
        <v/>
      </c>
      <c r="E290" s="28">
        <f>IF($P290="","",IF(INDEX(EntryPartyName,$P290)=0,"",INDEX(EntryPartyName,$P290)))</f>
        <v/>
      </c>
      <c r="F290" s="28">
        <f>IF($P290="","",IF(INDEX(EntryPartyType,$P290)=0,"",INDEX(EntryPartyType,$P290)))</f>
        <v/>
      </c>
      <c r="G290" s="28">
        <f>IF($P290="","",IF(INDEX(EntryTxnType,$P290)=0,"",INDEX(EntryTxnType,$P290)))</f>
        <v/>
      </c>
      <c r="H290" s="29">
        <f>IF($P290="","",IF(INDEX(EntryDep,$P290)=0,"",INDEX(EntryDep,$P290)))</f>
        <v/>
      </c>
      <c r="I290" s="29">
        <f>IF($P290="","",IF(INDEX(EntryWit,$P290)=0,"",INDEX(EntryWit,$P290)))</f>
        <v/>
      </c>
      <c r="J290" s="29">
        <f>IF($B290="","",IF($A290=1,$C$7,IF(J289="",0,J289))+IF($H290="",0,$H290)-IF($I290="",0,$I290))</f>
        <v/>
      </c>
      <c r="K290" s="29">
        <f>IF($P290="","",IF(INDEX(EntryMan,$P290)=0,"",INDEX(EntryMan,$P290)))</f>
        <v/>
      </c>
      <c r="L290" s="28">
        <f>IF($B290="","",IF($K290="","—",IF(ROUND($K290-$J290,0)=0,"√","×")))</f>
        <v/>
      </c>
      <c r="M290" s="28">
        <f>IF($B290="","",IF(COUNTIFS(EntryDates,$B290,CalcTime,$C290,CalcBank,$C$5,EntryParty,$D290,EntryDep,$H290,EntryWit,$I290)&gt;1,"تکرار",""))</f>
        <v/>
      </c>
      <c r="N290" s="28">
        <f>IF($P290="","",IF(INDEX(EntryNotes,$P290)=0,"",INDEX(EntryNotes,$P290)))</f>
        <v/>
      </c>
      <c r="O290" s="28">
        <f>IF($P290="","",IF(INDEX(EntryTxnID,$P290)=0,"",INDEX(EntryTxnID,$P290)))</f>
        <v/>
      </c>
      <c r="P290" s="28">
        <f>IFERROR(MATCH($C$5&amp;"|"&amp;RIGHT("000000"&amp;274,6),CalcRankKey,0),"")</f>
        <v/>
      </c>
    </row>
    <row r="291">
      <c r="A291" s="26">
        <f>IF($B291="","",275)</f>
        <v/>
      </c>
      <c r="B291" s="26">
        <f>IF($P291="","",IF(INDEX(CalcNormDate,$P291)=0,"",INDEX(CalcNormDate,$P291)))</f>
        <v/>
      </c>
      <c r="C291" s="26">
        <f>IF($P291="","",IF(INDEX(CalcTime,$P291)=0,"",INDEX(CalcTime,$P291)))</f>
        <v/>
      </c>
      <c r="D291" s="26">
        <f>IF($P291="","",IF(INDEX(EntryParty,$P291)=0,"",INDEX(EntryParty,$P291)))</f>
        <v/>
      </c>
      <c r="E291" s="26">
        <f>IF($P291="","",IF(INDEX(EntryPartyName,$P291)=0,"",INDEX(EntryPartyName,$P291)))</f>
        <v/>
      </c>
      <c r="F291" s="26">
        <f>IF($P291="","",IF(INDEX(EntryPartyType,$P291)=0,"",INDEX(EntryPartyType,$P291)))</f>
        <v/>
      </c>
      <c r="G291" s="26">
        <f>IF($P291="","",IF(INDEX(EntryTxnType,$P291)=0,"",INDEX(EntryTxnType,$P291)))</f>
        <v/>
      </c>
      <c r="H291" s="27">
        <f>IF($P291="","",IF(INDEX(EntryDep,$P291)=0,"",INDEX(EntryDep,$P291)))</f>
        <v/>
      </c>
      <c r="I291" s="27">
        <f>IF($P291="","",IF(INDEX(EntryWit,$P291)=0,"",INDEX(EntryWit,$P291)))</f>
        <v/>
      </c>
      <c r="J291" s="27">
        <f>IF($B291="","",IF($A291=1,$C$7,IF(J290="",0,J290))+IF($H291="",0,$H291)-IF($I291="",0,$I291))</f>
        <v/>
      </c>
      <c r="K291" s="27">
        <f>IF($P291="","",IF(INDEX(EntryMan,$P291)=0,"",INDEX(EntryMan,$P291)))</f>
        <v/>
      </c>
      <c r="L291" s="26">
        <f>IF($B291="","",IF($K291="","—",IF(ROUND($K291-$J291,0)=0,"√","×")))</f>
        <v/>
      </c>
      <c r="M291" s="26">
        <f>IF($B291="","",IF(COUNTIFS(EntryDates,$B291,CalcTime,$C291,CalcBank,$C$5,EntryParty,$D291,EntryDep,$H291,EntryWit,$I291)&gt;1,"تکرار",""))</f>
        <v/>
      </c>
      <c r="N291" s="26">
        <f>IF($P291="","",IF(INDEX(EntryNotes,$P291)=0,"",INDEX(EntryNotes,$P291)))</f>
        <v/>
      </c>
      <c r="O291" s="26">
        <f>IF($P291="","",IF(INDEX(EntryTxnID,$P291)=0,"",INDEX(EntryTxnID,$P291)))</f>
        <v/>
      </c>
      <c r="P291" s="26">
        <f>IFERROR(MATCH($C$5&amp;"|"&amp;RIGHT("000000"&amp;275,6),CalcRankKey,0),"")</f>
        <v/>
      </c>
    </row>
    <row r="292">
      <c r="A292" s="28">
        <f>IF($B292="","",276)</f>
        <v/>
      </c>
      <c r="B292" s="28">
        <f>IF($P292="","",IF(INDEX(CalcNormDate,$P292)=0,"",INDEX(CalcNormDate,$P292)))</f>
        <v/>
      </c>
      <c r="C292" s="28">
        <f>IF($P292="","",IF(INDEX(CalcTime,$P292)=0,"",INDEX(CalcTime,$P292)))</f>
        <v/>
      </c>
      <c r="D292" s="28">
        <f>IF($P292="","",IF(INDEX(EntryParty,$P292)=0,"",INDEX(EntryParty,$P292)))</f>
        <v/>
      </c>
      <c r="E292" s="28">
        <f>IF($P292="","",IF(INDEX(EntryPartyName,$P292)=0,"",INDEX(EntryPartyName,$P292)))</f>
        <v/>
      </c>
      <c r="F292" s="28">
        <f>IF($P292="","",IF(INDEX(EntryPartyType,$P292)=0,"",INDEX(EntryPartyType,$P292)))</f>
        <v/>
      </c>
      <c r="G292" s="28">
        <f>IF($P292="","",IF(INDEX(EntryTxnType,$P292)=0,"",INDEX(EntryTxnType,$P292)))</f>
        <v/>
      </c>
      <c r="H292" s="29">
        <f>IF($P292="","",IF(INDEX(EntryDep,$P292)=0,"",INDEX(EntryDep,$P292)))</f>
        <v/>
      </c>
      <c r="I292" s="29">
        <f>IF($P292="","",IF(INDEX(EntryWit,$P292)=0,"",INDEX(EntryWit,$P292)))</f>
        <v/>
      </c>
      <c r="J292" s="29">
        <f>IF($B292="","",IF($A292=1,$C$7,IF(J291="",0,J291))+IF($H292="",0,$H292)-IF($I292="",0,$I292))</f>
        <v/>
      </c>
      <c r="K292" s="29">
        <f>IF($P292="","",IF(INDEX(EntryMan,$P292)=0,"",INDEX(EntryMan,$P292)))</f>
        <v/>
      </c>
      <c r="L292" s="28">
        <f>IF($B292="","",IF($K292="","—",IF(ROUND($K292-$J292,0)=0,"√","×")))</f>
        <v/>
      </c>
      <c r="M292" s="28">
        <f>IF($B292="","",IF(COUNTIFS(EntryDates,$B292,CalcTime,$C292,CalcBank,$C$5,EntryParty,$D292,EntryDep,$H292,EntryWit,$I292)&gt;1,"تکرار",""))</f>
        <v/>
      </c>
      <c r="N292" s="28">
        <f>IF($P292="","",IF(INDEX(EntryNotes,$P292)=0,"",INDEX(EntryNotes,$P292)))</f>
        <v/>
      </c>
      <c r="O292" s="28">
        <f>IF($P292="","",IF(INDEX(EntryTxnID,$P292)=0,"",INDEX(EntryTxnID,$P292)))</f>
        <v/>
      </c>
      <c r="P292" s="28">
        <f>IFERROR(MATCH($C$5&amp;"|"&amp;RIGHT("000000"&amp;276,6),CalcRankKey,0),"")</f>
        <v/>
      </c>
    </row>
    <row r="293">
      <c r="A293" s="26">
        <f>IF($B293="","",277)</f>
        <v/>
      </c>
      <c r="B293" s="26">
        <f>IF($P293="","",IF(INDEX(CalcNormDate,$P293)=0,"",INDEX(CalcNormDate,$P293)))</f>
        <v/>
      </c>
      <c r="C293" s="26">
        <f>IF($P293="","",IF(INDEX(CalcTime,$P293)=0,"",INDEX(CalcTime,$P293)))</f>
        <v/>
      </c>
      <c r="D293" s="26">
        <f>IF($P293="","",IF(INDEX(EntryParty,$P293)=0,"",INDEX(EntryParty,$P293)))</f>
        <v/>
      </c>
      <c r="E293" s="26">
        <f>IF($P293="","",IF(INDEX(EntryPartyName,$P293)=0,"",INDEX(EntryPartyName,$P293)))</f>
        <v/>
      </c>
      <c r="F293" s="26">
        <f>IF($P293="","",IF(INDEX(EntryPartyType,$P293)=0,"",INDEX(EntryPartyType,$P293)))</f>
        <v/>
      </c>
      <c r="G293" s="26">
        <f>IF($P293="","",IF(INDEX(EntryTxnType,$P293)=0,"",INDEX(EntryTxnType,$P293)))</f>
        <v/>
      </c>
      <c r="H293" s="27">
        <f>IF($P293="","",IF(INDEX(EntryDep,$P293)=0,"",INDEX(EntryDep,$P293)))</f>
        <v/>
      </c>
      <c r="I293" s="27">
        <f>IF($P293="","",IF(INDEX(EntryWit,$P293)=0,"",INDEX(EntryWit,$P293)))</f>
        <v/>
      </c>
      <c r="J293" s="27">
        <f>IF($B293="","",IF($A293=1,$C$7,IF(J292="",0,J292))+IF($H293="",0,$H293)-IF($I293="",0,$I293))</f>
        <v/>
      </c>
      <c r="K293" s="27">
        <f>IF($P293="","",IF(INDEX(EntryMan,$P293)=0,"",INDEX(EntryMan,$P293)))</f>
        <v/>
      </c>
      <c r="L293" s="26">
        <f>IF($B293="","",IF($K293="","—",IF(ROUND($K293-$J293,0)=0,"√","×")))</f>
        <v/>
      </c>
      <c r="M293" s="26">
        <f>IF($B293="","",IF(COUNTIFS(EntryDates,$B293,CalcTime,$C293,CalcBank,$C$5,EntryParty,$D293,EntryDep,$H293,EntryWit,$I293)&gt;1,"تکرار",""))</f>
        <v/>
      </c>
      <c r="N293" s="26">
        <f>IF($P293="","",IF(INDEX(EntryNotes,$P293)=0,"",INDEX(EntryNotes,$P293)))</f>
        <v/>
      </c>
      <c r="O293" s="26">
        <f>IF($P293="","",IF(INDEX(EntryTxnID,$P293)=0,"",INDEX(EntryTxnID,$P293)))</f>
        <v/>
      </c>
      <c r="P293" s="26">
        <f>IFERROR(MATCH($C$5&amp;"|"&amp;RIGHT("000000"&amp;277,6),CalcRankKey,0),"")</f>
        <v/>
      </c>
    </row>
    <row r="294">
      <c r="A294" s="28">
        <f>IF($B294="","",278)</f>
        <v/>
      </c>
      <c r="B294" s="28">
        <f>IF($P294="","",IF(INDEX(CalcNormDate,$P294)=0,"",INDEX(CalcNormDate,$P294)))</f>
        <v/>
      </c>
      <c r="C294" s="28">
        <f>IF($P294="","",IF(INDEX(CalcTime,$P294)=0,"",INDEX(CalcTime,$P294)))</f>
        <v/>
      </c>
      <c r="D294" s="28">
        <f>IF($P294="","",IF(INDEX(EntryParty,$P294)=0,"",INDEX(EntryParty,$P294)))</f>
        <v/>
      </c>
      <c r="E294" s="28">
        <f>IF($P294="","",IF(INDEX(EntryPartyName,$P294)=0,"",INDEX(EntryPartyName,$P294)))</f>
        <v/>
      </c>
      <c r="F294" s="28">
        <f>IF($P294="","",IF(INDEX(EntryPartyType,$P294)=0,"",INDEX(EntryPartyType,$P294)))</f>
        <v/>
      </c>
      <c r="G294" s="28">
        <f>IF($P294="","",IF(INDEX(EntryTxnType,$P294)=0,"",INDEX(EntryTxnType,$P294)))</f>
        <v/>
      </c>
      <c r="H294" s="29">
        <f>IF($P294="","",IF(INDEX(EntryDep,$P294)=0,"",INDEX(EntryDep,$P294)))</f>
        <v/>
      </c>
      <c r="I294" s="29">
        <f>IF($P294="","",IF(INDEX(EntryWit,$P294)=0,"",INDEX(EntryWit,$P294)))</f>
        <v/>
      </c>
      <c r="J294" s="29">
        <f>IF($B294="","",IF($A294=1,$C$7,IF(J293="",0,J293))+IF($H294="",0,$H294)-IF($I294="",0,$I294))</f>
        <v/>
      </c>
      <c r="K294" s="29">
        <f>IF($P294="","",IF(INDEX(EntryMan,$P294)=0,"",INDEX(EntryMan,$P294)))</f>
        <v/>
      </c>
      <c r="L294" s="28">
        <f>IF($B294="","",IF($K294="","—",IF(ROUND($K294-$J294,0)=0,"√","×")))</f>
        <v/>
      </c>
      <c r="M294" s="28">
        <f>IF($B294="","",IF(COUNTIFS(EntryDates,$B294,CalcTime,$C294,CalcBank,$C$5,EntryParty,$D294,EntryDep,$H294,EntryWit,$I294)&gt;1,"تکرار",""))</f>
        <v/>
      </c>
      <c r="N294" s="28">
        <f>IF($P294="","",IF(INDEX(EntryNotes,$P294)=0,"",INDEX(EntryNotes,$P294)))</f>
        <v/>
      </c>
      <c r="O294" s="28">
        <f>IF($P294="","",IF(INDEX(EntryTxnID,$P294)=0,"",INDEX(EntryTxnID,$P294)))</f>
        <v/>
      </c>
      <c r="P294" s="28">
        <f>IFERROR(MATCH($C$5&amp;"|"&amp;RIGHT("000000"&amp;278,6),CalcRankKey,0),"")</f>
        <v/>
      </c>
    </row>
    <row r="295">
      <c r="A295" s="26">
        <f>IF($B295="","",279)</f>
        <v/>
      </c>
      <c r="B295" s="26">
        <f>IF($P295="","",IF(INDEX(CalcNormDate,$P295)=0,"",INDEX(CalcNormDate,$P295)))</f>
        <v/>
      </c>
      <c r="C295" s="26">
        <f>IF($P295="","",IF(INDEX(CalcTime,$P295)=0,"",INDEX(CalcTime,$P295)))</f>
        <v/>
      </c>
      <c r="D295" s="26">
        <f>IF($P295="","",IF(INDEX(EntryParty,$P295)=0,"",INDEX(EntryParty,$P295)))</f>
        <v/>
      </c>
      <c r="E295" s="26">
        <f>IF($P295="","",IF(INDEX(EntryPartyName,$P295)=0,"",INDEX(EntryPartyName,$P295)))</f>
        <v/>
      </c>
      <c r="F295" s="26">
        <f>IF($P295="","",IF(INDEX(EntryPartyType,$P295)=0,"",INDEX(EntryPartyType,$P295)))</f>
        <v/>
      </c>
      <c r="G295" s="26">
        <f>IF($P295="","",IF(INDEX(EntryTxnType,$P295)=0,"",INDEX(EntryTxnType,$P295)))</f>
        <v/>
      </c>
      <c r="H295" s="27">
        <f>IF($P295="","",IF(INDEX(EntryDep,$P295)=0,"",INDEX(EntryDep,$P295)))</f>
        <v/>
      </c>
      <c r="I295" s="27">
        <f>IF($P295="","",IF(INDEX(EntryWit,$P295)=0,"",INDEX(EntryWit,$P295)))</f>
        <v/>
      </c>
      <c r="J295" s="27">
        <f>IF($B295="","",IF($A295=1,$C$7,IF(J294="",0,J294))+IF($H295="",0,$H295)-IF($I295="",0,$I295))</f>
        <v/>
      </c>
      <c r="K295" s="27">
        <f>IF($P295="","",IF(INDEX(EntryMan,$P295)=0,"",INDEX(EntryMan,$P295)))</f>
        <v/>
      </c>
      <c r="L295" s="26">
        <f>IF($B295="","",IF($K295="","—",IF(ROUND($K295-$J295,0)=0,"√","×")))</f>
        <v/>
      </c>
      <c r="M295" s="26">
        <f>IF($B295="","",IF(COUNTIFS(EntryDates,$B295,CalcTime,$C295,CalcBank,$C$5,EntryParty,$D295,EntryDep,$H295,EntryWit,$I295)&gt;1,"تکرار",""))</f>
        <v/>
      </c>
      <c r="N295" s="26">
        <f>IF($P295="","",IF(INDEX(EntryNotes,$P295)=0,"",INDEX(EntryNotes,$P295)))</f>
        <v/>
      </c>
      <c r="O295" s="26">
        <f>IF($P295="","",IF(INDEX(EntryTxnID,$P295)=0,"",INDEX(EntryTxnID,$P295)))</f>
        <v/>
      </c>
      <c r="P295" s="26">
        <f>IFERROR(MATCH($C$5&amp;"|"&amp;RIGHT("000000"&amp;279,6),CalcRankKey,0),"")</f>
        <v/>
      </c>
    </row>
    <row r="296">
      <c r="A296" s="28">
        <f>IF($B296="","",280)</f>
        <v/>
      </c>
      <c r="B296" s="28">
        <f>IF($P296="","",IF(INDEX(CalcNormDate,$P296)=0,"",INDEX(CalcNormDate,$P296)))</f>
        <v/>
      </c>
      <c r="C296" s="28">
        <f>IF($P296="","",IF(INDEX(CalcTime,$P296)=0,"",INDEX(CalcTime,$P296)))</f>
        <v/>
      </c>
      <c r="D296" s="28">
        <f>IF($P296="","",IF(INDEX(EntryParty,$P296)=0,"",INDEX(EntryParty,$P296)))</f>
        <v/>
      </c>
      <c r="E296" s="28">
        <f>IF($P296="","",IF(INDEX(EntryPartyName,$P296)=0,"",INDEX(EntryPartyName,$P296)))</f>
        <v/>
      </c>
      <c r="F296" s="28">
        <f>IF($P296="","",IF(INDEX(EntryPartyType,$P296)=0,"",INDEX(EntryPartyType,$P296)))</f>
        <v/>
      </c>
      <c r="G296" s="28">
        <f>IF($P296="","",IF(INDEX(EntryTxnType,$P296)=0,"",INDEX(EntryTxnType,$P296)))</f>
        <v/>
      </c>
      <c r="H296" s="29">
        <f>IF($P296="","",IF(INDEX(EntryDep,$P296)=0,"",INDEX(EntryDep,$P296)))</f>
        <v/>
      </c>
      <c r="I296" s="29">
        <f>IF($P296="","",IF(INDEX(EntryWit,$P296)=0,"",INDEX(EntryWit,$P296)))</f>
        <v/>
      </c>
      <c r="J296" s="29">
        <f>IF($B296="","",IF($A296=1,$C$7,IF(J295="",0,J295))+IF($H296="",0,$H296)-IF($I296="",0,$I296))</f>
        <v/>
      </c>
      <c r="K296" s="29">
        <f>IF($P296="","",IF(INDEX(EntryMan,$P296)=0,"",INDEX(EntryMan,$P296)))</f>
        <v/>
      </c>
      <c r="L296" s="28">
        <f>IF($B296="","",IF($K296="","—",IF(ROUND($K296-$J296,0)=0,"√","×")))</f>
        <v/>
      </c>
      <c r="M296" s="28">
        <f>IF($B296="","",IF(COUNTIFS(EntryDates,$B296,CalcTime,$C296,CalcBank,$C$5,EntryParty,$D296,EntryDep,$H296,EntryWit,$I296)&gt;1,"تکرار",""))</f>
        <v/>
      </c>
      <c r="N296" s="28">
        <f>IF($P296="","",IF(INDEX(EntryNotes,$P296)=0,"",INDEX(EntryNotes,$P296)))</f>
        <v/>
      </c>
      <c r="O296" s="28">
        <f>IF($P296="","",IF(INDEX(EntryTxnID,$P296)=0,"",INDEX(EntryTxnID,$P296)))</f>
        <v/>
      </c>
      <c r="P296" s="28">
        <f>IFERROR(MATCH($C$5&amp;"|"&amp;RIGHT("000000"&amp;280,6),CalcRankKey,0),"")</f>
        <v/>
      </c>
    </row>
    <row r="297">
      <c r="A297" s="26">
        <f>IF($B297="","",281)</f>
        <v/>
      </c>
      <c r="B297" s="26">
        <f>IF($P297="","",IF(INDEX(CalcNormDate,$P297)=0,"",INDEX(CalcNormDate,$P297)))</f>
        <v/>
      </c>
      <c r="C297" s="26">
        <f>IF($P297="","",IF(INDEX(CalcTime,$P297)=0,"",INDEX(CalcTime,$P297)))</f>
        <v/>
      </c>
      <c r="D297" s="26">
        <f>IF($P297="","",IF(INDEX(EntryParty,$P297)=0,"",INDEX(EntryParty,$P297)))</f>
        <v/>
      </c>
      <c r="E297" s="26">
        <f>IF($P297="","",IF(INDEX(EntryPartyName,$P297)=0,"",INDEX(EntryPartyName,$P297)))</f>
        <v/>
      </c>
      <c r="F297" s="26">
        <f>IF($P297="","",IF(INDEX(EntryPartyType,$P297)=0,"",INDEX(EntryPartyType,$P297)))</f>
        <v/>
      </c>
      <c r="G297" s="26">
        <f>IF($P297="","",IF(INDEX(EntryTxnType,$P297)=0,"",INDEX(EntryTxnType,$P297)))</f>
        <v/>
      </c>
      <c r="H297" s="27">
        <f>IF($P297="","",IF(INDEX(EntryDep,$P297)=0,"",INDEX(EntryDep,$P297)))</f>
        <v/>
      </c>
      <c r="I297" s="27">
        <f>IF($P297="","",IF(INDEX(EntryWit,$P297)=0,"",INDEX(EntryWit,$P297)))</f>
        <v/>
      </c>
      <c r="J297" s="27">
        <f>IF($B297="","",IF($A297=1,$C$7,IF(J296="",0,J296))+IF($H297="",0,$H297)-IF($I297="",0,$I297))</f>
        <v/>
      </c>
      <c r="K297" s="27">
        <f>IF($P297="","",IF(INDEX(EntryMan,$P297)=0,"",INDEX(EntryMan,$P297)))</f>
        <v/>
      </c>
      <c r="L297" s="26">
        <f>IF($B297="","",IF($K297="","—",IF(ROUND($K297-$J297,0)=0,"√","×")))</f>
        <v/>
      </c>
      <c r="M297" s="26">
        <f>IF($B297="","",IF(COUNTIFS(EntryDates,$B297,CalcTime,$C297,CalcBank,$C$5,EntryParty,$D297,EntryDep,$H297,EntryWit,$I297)&gt;1,"تکرار",""))</f>
        <v/>
      </c>
      <c r="N297" s="26">
        <f>IF($P297="","",IF(INDEX(EntryNotes,$P297)=0,"",INDEX(EntryNotes,$P297)))</f>
        <v/>
      </c>
      <c r="O297" s="26">
        <f>IF($P297="","",IF(INDEX(EntryTxnID,$P297)=0,"",INDEX(EntryTxnID,$P297)))</f>
        <v/>
      </c>
      <c r="P297" s="26">
        <f>IFERROR(MATCH($C$5&amp;"|"&amp;RIGHT("000000"&amp;281,6),CalcRankKey,0),"")</f>
        <v/>
      </c>
    </row>
    <row r="298">
      <c r="A298" s="28">
        <f>IF($B298="","",282)</f>
        <v/>
      </c>
      <c r="B298" s="28">
        <f>IF($P298="","",IF(INDEX(CalcNormDate,$P298)=0,"",INDEX(CalcNormDate,$P298)))</f>
        <v/>
      </c>
      <c r="C298" s="28">
        <f>IF($P298="","",IF(INDEX(CalcTime,$P298)=0,"",INDEX(CalcTime,$P298)))</f>
        <v/>
      </c>
      <c r="D298" s="28">
        <f>IF($P298="","",IF(INDEX(EntryParty,$P298)=0,"",INDEX(EntryParty,$P298)))</f>
        <v/>
      </c>
      <c r="E298" s="28">
        <f>IF($P298="","",IF(INDEX(EntryPartyName,$P298)=0,"",INDEX(EntryPartyName,$P298)))</f>
        <v/>
      </c>
      <c r="F298" s="28">
        <f>IF($P298="","",IF(INDEX(EntryPartyType,$P298)=0,"",INDEX(EntryPartyType,$P298)))</f>
        <v/>
      </c>
      <c r="G298" s="28">
        <f>IF($P298="","",IF(INDEX(EntryTxnType,$P298)=0,"",INDEX(EntryTxnType,$P298)))</f>
        <v/>
      </c>
      <c r="H298" s="29">
        <f>IF($P298="","",IF(INDEX(EntryDep,$P298)=0,"",INDEX(EntryDep,$P298)))</f>
        <v/>
      </c>
      <c r="I298" s="29">
        <f>IF($P298="","",IF(INDEX(EntryWit,$P298)=0,"",INDEX(EntryWit,$P298)))</f>
        <v/>
      </c>
      <c r="J298" s="29">
        <f>IF($B298="","",IF($A298=1,$C$7,IF(J297="",0,J297))+IF($H298="",0,$H298)-IF($I298="",0,$I298))</f>
        <v/>
      </c>
      <c r="K298" s="29">
        <f>IF($P298="","",IF(INDEX(EntryMan,$P298)=0,"",INDEX(EntryMan,$P298)))</f>
        <v/>
      </c>
      <c r="L298" s="28">
        <f>IF($B298="","",IF($K298="","—",IF(ROUND($K298-$J298,0)=0,"√","×")))</f>
        <v/>
      </c>
      <c r="M298" s="28">
        <f>IF($B298="","",IF(COUNTIFS(EntryDates,$B298,CalcTime,$C298,CalcBank,$C$5,EntryParty,$D298,EntryDep,$H298,EntryWit,$I298)&gt;1,"تکرار",""))</f>
        <v/>
      </c>
      <c r="N298" s="28">
        <f>IF($P298="","",IF(INDEX(EntryNotes,$P298)=0,"",INDEX(EntryNotes,$P298)))</f>
        <v/>
      </c>
      <c r="O298" s="28">
        <f>IF($P298="","",IF(INDEX(EntryTxnID,$P298)=0,"",INDEX(EntryTxnID,$P298)))</f>
        <v/>
      </c>
      <c r="P298" s="28">
        <f>IFERROR(MATCH($C$5&amp;"|"&amp;RIGHT("000000"&amp;282,6),CalcRankKey,0),"")</f>
        <v/>
      </c>
    </row>
    <row r="299">
      <c r="A299" s="26">
        <f>IF($B299="","",283)</f>
        <v/>
      </c>
      <c r="B299" s="26">
        <f>IF($P299="","",IF(INDEX(CalcNormDate,$P299)=0,"",INDEX(CalcNormDate,$P299)))</f>
        <v/>
      </c>
      <c r="C299" s="26">
        <f>IF($P299="","",IF(INDEX(CalcTime,$P299)=0,"",INDEX(CalcTime,$P299)))</f>
        <v/>
      </c>
      <c r="D299" s="26">
        <f>IF($P299="","",IF(INDEX(EntryParty,$P299)=0,"",INDEX(EntryParty,$P299)))</f>
        <v/>
      </c>
      <c r="E299" s="26">
        <f>IF($P299="","",IF(INDEX(EntryPartyName,$P299)=0,"",INDEX(EntryPartyName,$P299)))</f>
        <v/>
      </c>
      <c r="F299" s="26">
        <f>IF($P299="","",IF(INDEX(EntryPartyType,$P299)=0,"",INDEX(EntryPartyType,$P299)))</f>
        <v/>
      </c>
      <c r="G299" s="26">
        <f>IF($P299="","",IF(INDEX(EntryTxnType,$P299)=0,"",INDEX(EntryTxnType,$P299)))</f>
        <v/>
      </c>
      <c r="H299" s="27">
        <f>IF($P299="","",IF(INDEX(EntryDep,$P299)=0,"",INDEX(EntryDep,$P299)))</f>
        <v/>
      </c>
      <c r="I299" s="27">
        <f>IF($P299="","",IF(INDEX(EntryWit,$P299)=0,"",INDEX(EntryWit,$P299)))</f>
        <v/>
      </c>
      <c r="J299" s="27">
        <f>IF($B299="","",IF($A299=1,$C$7,IF(J298="",0,J298))+IF($H299="",0,$H299)-IF($I299="",0,$I299))</f>
        <v/>
      </c>
      <c r="K299" s="27">
        <f>IF($P299="","",IF(INDEX(EntryMan,$P299)=0,"",INDEX(EntryMan,$P299)))</f>
        <v/>
      </c>
      <c r="L299" s="26">
        <f>IF($B299="","",IF($K299="","—",IF(ROUND($K299-$J299,0)=0,"√","×")))</f>
        <v/>
      </c>
      <c r="M299" s="26">
        <f>IF($B299="","",IF(COUNTIFS(EntryDates,$B299,CalcTime,$C299,CalcBank,$C$5,EntryParty,$D299,EntryDep,$H299,EntryWit,$I299)&gt;1,"تکرار",""))</f>
        <v/>
      </c>
      <c r="N299" s="26">
        <f>IF($P299="","",IF(INDEX(EntryNotes,$P299)=0,"",INDEX(EntryNotes,$P299)))</f>
        <v/>
      </c>
      <c r="O299" s="26">
        <f>IF($P299="","",IF(INDEX(EntryTxnID,$P299)=0,"",INDEX(EntryTxnID,$P299)))</f>
        <v/>
      </c>
      <c r="P299" s="26">
        <f>IFERROR(MATCH($C$5&amp;"|"&amp;RIGHT("000000"&amp;283,6),CalcRankKey,0),"")</f>
        <v/>
      </c>
    </row>
    <row r="300">
      <c r="A300" s="28">
        <f>IF($B300="","",284)</f>
        <v/>
      </c>
      <c r="B300" s="28">
        <f>IF($P300="","",IF(INDEX(CalcNormDate,$P300)=0,"",INDEX(CalcNormDate,$P300)))</f>
        <v/>
      </c>
      <c r="C300" s="28">
        <f>IF($P300="","",IF(INDEX(CalcTime,$P300)=0,"",INDEX(CalcTime,$P300)))</f>
        <v/>
      </c>
      <c r="D300" s="28">
        <f>IF($P300="","",IF(INDEX(EntryParty,$P300)=0,"",INDEX(EntryParty,$P300)))</f>
        <v/>
      </c>
      <c r="E300" s="28">
        <f>IF($P300="","",IF(INDEX(EntryPartyName,$P300)=0,"",INDEX(EntryPartyName,$P300)))</f>
        <v/>
      </c>
      <c r="F300" s="28">
        <f>IF($P300="","",IF(INDEX(EntryPartyType,$P300)=0,"",INDEX(EntryPartyType,$P300)))</f>
        <v/>
      </c>
      <c r="G300" s="28">
        <f>IF($P300="","",IF(INDEX(EntryTxnType,$P300)=0,"",INDEX(EntryTxnType,$P300)))</f>
        <v/>
      </c>
      <c r="H300" s="29">
        <f>IF($P300="","",IF(INDEX(EntryDep,$P300)=0,"",INDEX(EntryDep,$P300)))</f>
        <v/>
      </c>
      <c r="I300" s="29">
        <f>IF($P300="","",IF(INDEX(EntryWit,$P300)=0,"",INDEX(EntryWit,$P300)))</f>
        <v/>
      </c>
      <c r="J300" s="29">
        <f>IF($B300="","",IF($A300=1,$C$7,IF(J299="",0,J299))+IF($H300="",0,$H300)-IF($I300="",0,$I300))</f>
        <v/>
      </c>
      <c r="K300" s="29">
        <f>IF($P300="","",IF(INDEX(EntryMan,$P300)=0,"",INDEX(EntryMan,$P300)))</f>
        <v/>
      </c>
      <c r="L300" s="28">
        <f>IF($B300="","",IF($K300="","—",IF(ROUND($K300-$J300,0)=0,"√","×")))</f>
        <v/>
      </c>
      <c r="M300" s="28">
        <f>IF($B300="","",IF(COUNTIFS(EntryDates,$B300,CalcTime,$C300,CalcBank,$C$5,EntryParty,$D300,EntryDep,$H300,EntryWit,$I300)&gt;1,"تکرار",""))</f>
        <v/>
      </c>
      <c r="N300" s="28">
        <f>IF($P300="","",IF(INDEX(EntryNotes,$P300)=0,"",INDEX(EntryNotes,$P300)))</f>
        <v/>
      </c>
      <c r="O300" s="28">
        <f>IF($P300="","",IF(INDEX(EntryTxnID,$P300)=0,"",INDEX(EntryTxnID,$P300)))</f>
        <v/>
      </c>
      <c r="P300" s="28">
        <f>IFERROR(MATCH($C$5&amp;"|"&amp;RIGHT("000000"&amp;284,6),CalcRankKey,0),"")</f>
        <v/>
      </c>
    </row>
    <row r="301">
      <c r="A301" s="26">
        <f>IF($B301="","",285)</f>
        <v/>
      </c>
      <c r="B301" s="26">
        <f>IF($P301="","",IF(INDEX(CalcNormDate,$P301)=0,"",INDEX(CalcNormDate,$P301)))</f>
        <v/>
      </c>
      <c r="C301" s="26">
        <f>IF($P301="","",IF(INDEX(CalcTime,$P301)=0,"",INDEX(CalcTime,$P301)))</f>
        <v/>
      </c>
      <c r="D301" s="26">
        <f>IF($P301="","",IF(INDEX(EntryParty,$P301)=0,"",INDEX(EntryParty,$P301)))</f>
        <v/>
      </c>
      <c r="E301" s="26">
        <f>IF($P301="","",IF(INDEX(EntryPartyName,$P301)=0,"",INDEX(EntryPartyName,$P301)))</f>
        <v/>
      </c>
      <c r="F301" s="26">
        <f>IF($P301="","",IF(INDEX(EntryPartyType,$P301)=0,"",INDEX(EntryPartyType,$P301)))</f>
        <v/>
      </c>
      <c r="G301" s="26">
        <f>IF($P301="","",IF(INDEX(EntryTxnType,$P301)=0,"",INDEX(EntryTxnType,$P301)))</f>
        <v/>
      </c>
      <c r="H301" s="27">
        <f>IF($P301="","",IF(INDEX(EntryDep,$P301)=0,"",INDEX(EntryDep,$P301)))</f>
        <v/>
      </c>
      <c r="I301" s="27">
        <f>IF($P301="","",IF(INDEX(EntryWit,$P301)=0,"",INDEX(EntryWit,$P301)))</f>
        <v/>
      </c>
      <c r="J301" s="27">
        <f>IF($B301="","",IF($A301=1,$C$7,IF(J300="",0,J300))+IF($H301="",0,$H301)-IF($I301="",0,$I301))</f>
        <v/>
      </c>
      <c r="K301" s="27">
        <f>IF($P301="","",IF(INDEX(EntryMan,$P301)=0,"",INDEX(EntryMan,$P301)))</f>
        <v/>
      </c>
      <c r="L301" s="26">
        <f>IF($B301="","",IF($K301="","—",IF(ROUND($K301-$J301,0)=0,"√","×")))</f>
        <v/>
      </c>
      <c r="M301" s="26">
        <f>IF($B301="","",IF(COUNTIFS(EntryDates,$B301,CalcTime,$C301,CalcBank,$C$5,EntryParty,$D301,EntryDep,$H301,EntryWit,$I301)&gt;1,"تکرار",""))</f>
        <v/>
      </c>
      <c r="N301" s="26">
        <f>IF($P301="","",IF(INDEX(EntryNotes,$P301)=0,"",INDEX(EntryNotes,$P301)))</f>
        <v/>
      </c>
      <c r="O301" s="26">
        <f>IF($P301="","",IF(INDEX(EntryTxnID,$P301)=0,"",INDEX(EntryTxnID,$P301)))</f>
        <v/>
      </c>
      <c r="P301" s="26">
        <f>IFERROR(MATCH($C$5&amp;"|"&amp;RIGHT("000000"&amp;285,6),CalcRankKey,0),"")</f>
        <v/>
      </c>
    </row>
    <row r="302">
      <c r="A302" s="28">
        <f>IF($B302="","",286)</f>
        <v/>
      </c>
      <c r="B302" s="28">
        <f>IF($P302="","",IF(INDEX(CalcNormDate,$P302)=0,"",INDEX(CalcNormDate,$P302)))</f>
        <v/>
      </c>
      <c r="C302" s="28">
        <f>IF($P302="","",IF(INDEX(CalcTime,$P302)=0,"",INDEX(CalcTime,$P302)))</f>
        <v/>
      </c>
      <c r="D302" s="28">
        <f>IF($P302="","",IF(INDEX(EntryParty,$P302)=0,"",INDEX(EntryParty,$P302)))</f>
        <v/>
      </c>
      <c r="E302" s="28">
        <f>IF($P302="","",IF(INDEX(EntryPartyName,$P302)=0,"",INDEX(EntryPartyName,$P302)))</f>
        <v/>
      </c>
      <c r="F302" s="28">
        <f>IF($P302="","",IF(INDEX(EntryPartyType,$P302)=0,"",INDEX(EntryPartyType,$P302)))</f>
        <v/>
      </c>
      <c r="G302" s="28">
        <f>IF($P302="","",IF(INDEX(EntryTxnType,$P302)=0,"",INDEX(EntryTxnType,$P302)))</f>
        <v/>
      </c>
      <c r="H302" s="29">
        <f>IF($P302="","",IF(INDEX(EntryDep,$P302)=0,"",INDEX(EntryDep,$P302)))</f>
        <v/>
      </c>
      <c r="I302" s="29">
        <f>IF($P302="","",IF(INDEX(EntryWit,$P302)=0,"",INDEX(EntryWit,$P302)))</f>
        <v/>
      </c>
      <c r="J302" s="29">
        <f>IF($B302="","",IF($A302=1,$C$7,IF(J301="",0,J301))+IF($H302="",0,$H302)-IF($I302="",0,$I302))</f>
        <v/>
      </c>
      <c r="K302" s="29">
        <f>IF($P302="","",IF(INDEX(EntryMan,$P302)=0,"",INDEX(EntryMan,$P302)))</f>
        <v/>
      </c>
      <c r="L302" s="28">
        <f>IF($B302="","",IF($K302="","—",IF(ROUND($K302-$J302,0)=0,"√","×")))</f>
        <v/>
      </c>
      <c r="M302" s="28">
        <f>IF($B302="","",IF(COUNTIFS(EntryDates,$B302,CalcTime,$C302,CalcBank,$C$5,EntryParty,$D302,EntryDep,$H302,EntryWit,$I302)&gt;1,"تکرار",""))</f>
        <v/>
      </c>
      <c r="N302" s="28">
        <f>IF($P302="","",IF(INDEX(EntryNotes,$P302)=0,"",INDEX(EntryNotes,$P302)))</f>
        <v/>
      </c>
      <c r="O302" s="28">
        <f>IF($P302="","",IF(INDEX(EntryTxnID,$P302)=0,"",INDEX(EntryTxnID,$P302)))</f>
        <v/>
      </c>
      <c r="P302" s="28">
        <f>IFERROR(MATCH($C$5&amp;"|"&amp;RIGHT("000000"&amp;286,6),CalcRankKey,0),"")</f>
        <v/>
      </c>
    </row>
    <row r="303">
      <c r="A303" s="26">
        <f>IF($B303="","",287)</f>
        <v/>
      </c>
      <c r="B303" s="26">
        <f>IF($P303="","",IF(INDEX(CalcNormDate,$P303)=0,"",INDEX(CalcNormDate,$P303)))</f>
        <v/>
      </c>
      <c r="C303" s="26">
        <f>IF($P303="","",IF(INDEX(CalcTime,$P303)=0,"",INDEX(CalcTime,$P303)))</f>
        <v/>
      </c>
      <c r="D303" s="26">
        <f>IF($P303="","",IF(INDEX(EntryParty,$P303)=0,"",INDEX(EntryParty,$P303)))</f>
        <v/>
      </c>
      <c r="E303" s="26">
        <f>IF($P303="","",IF(INDEX(EntryPartyName,$P303)=0,"",INDEX(EntryPartyName,$P303)))</f>
        <v/>
      </c>
      <c r="F303" s="26">
        <f>IF($P303="","",IF(INDEX(EntryPartyType,$P303)=0,"",INDEX(EntryPartyType,$P303)))</f>
        <v/>
      </c>
      <c r="G303" s="26">
        <f>IF($P303="","",IF(INDEX(EntryTxnType,$P303)=0,"",INDEX(EntryTxnType,$P303)))</f>
        <v/>
      </c>
      <c r="H303" s="27">
        <f>IF($P303="","",IF(INDEX(EntryDep,$P303)=0,"",INDEX(EntryDep,$P303)))</f>
        <v/>
      </c>
      <c r="I303" s="27">
        <f>IF($P303="","",IF(INDEX(EntryWit,$P303)=0,"",INDEX(EntryWit,$P303)))</f>
        <v/>
      </c>
      <c r="J303" s="27">
        <f>IF($B303="","",IF($A303=1,$C$7,IF(J302="",0,J302))+IF($H303="",0,$H303)-IF($I303="",0,$I303))</f>
        <v/>
      </c>
      <c r="K303" s="27">
        <f>IF($P303="","",IF(INDEX(EntryMan,$P303)=0,"",INDEX(EntryMan,$P303)))</f>
        <v/>
      </c>
      <c r="L303" s="26">
        <f>IF($B303="","",IF($K303="","—",IF(ROUND($K303-$J303,0)=0,"√","×")))</f>
        <v/>
      </c>
      <c r="M303" s="26">
        <f>IF($B303="","",IF(COUNTIFS(EntryDates,$B303,CalcTime,$C303,CalcBank,$C$5,EntryParty,$D303,EntryDep,$H303,EntryWit,$I303)&gt;1,"تکرار",""))</f>
        <v/>
      </c>
      <c r="N303" s="26">
        <f>IF($P303="","",IF(INDEX(EntryNotes,$P303)=0,"",INDEX(EntryNotes,$P303)))</f>
        <v/>
      </c>
      <c r="O303" s="26">
        <f>IF($P303="","",IF(INDEX(EntryTxnID,$P303)=0,"",INDEX(EntryTxnID,$P303)))</f>
        <v/>
      </c>
      <c r="P303" s="26">
        <f>IFERROR(MATCH($C$5&amp;"|"&amp;RIGHT("000000"&amp;287,6),CalcRankKey,0),"")</f>
        <v/>
      </c>
    </row>
    <row r="304">
      <c r="A304" s="28">
        <f>IF($B304="","",288)</f>
        <v/>
      </c>
      <c r="B304" s="28">
        <f>IF($P304="","",IF(INDEX(CalcNormDate,$P304)=0,"",INDEX(CalcNormDate,$P304)))</f>
        <v/>
      </c>
      <c r="C304" s="28">
        <f>IF($P304="","",IF(INDEX(CalcTime,$P304)=0,"",INDEX(CalcTime,$P304)))</f>
        <v/>
      </c>
      <c r="D304" s="28">
        <f>IF($P304="","",IF(INDEX(EntryParty,$P304)=0,"",INDEX(EntryParty,$P304)))</f>
        <v/>
      </c>
      <c r="E304" s="28">
        <f>IF($P304="","",IF(INDEX(EntryPartyName,$P304)=0,"",INDEX(EntryPartyName,$P304)))</f>
        <v/>
      </c>
      <c r="F304" s="28">
        <f>IF($P304="","",IF(INDEX(EntryPartyType,$P304)=0,"",INDEX(EntryPartyType,$P304)))</f>
        <v/>
      </c>
      <c r="G304" s="28">
        <f>IF($P304="","",IF(INDEX(EntryTxnType,$P304)=0,"",INDEX(EntryTxnType,$P304)))</f>
        <v/>
      </c>
      <c r="H304" s="29">
        <f>IF($P304="","",IF(INDEX(EntryDep,$P304)=0,"",INDEX(EntryDep,$P304)))</f>
        <v/>
      </c>
      <c r="I304" s="29">
        <f>IF($P304="","",IF(INDEX(EntryWit,$P304)=0,"",INDEX(EntryWit,$P304)))</f>
        <v/>
      </c>
      <c r="J304" s="29">
        <f>IF($B304="","",IF($A304=1,$C$7,IF(J303="",0,J303))+IF($H304="",0,$H304)-IF($I304="",0,$I304))</f>
        <v/>
      </c>
      <c r="K304" s="29">
        <f>IF($P304="","",IF(INDEX(EntryMan,$P304)=0,"",INDEX(EntryMan,$P304)))</f>
        <v/>
      </c>
      <c r="L304" s="28">
        <f>IF($B304="","",IF($K304="","—",IF(ROUND($K304-$J304,0)=0,"√","×")))</f>
        <v/>
      </c>
      <c r="M304" s="28">
        <f>IF($B304="","",IF(COUNTIFS(EntryDates,$B304,CalcTime,$C304,CalcBank,$C$5,EntryParty,$D304,EntryDep,$H304,EntryWit,$I304)&gt;1,"تکرار",""))</f>
        <v/>
      </c>
      <c r="N304" s="28">
        <f>IF($P304="","",IF(INDEX(EntryNotes,$P304)=0,"",INDEX(EntryNotes,$P304)))</f>
        <v/>
      </c>
      <c r="O304" s="28">
        <f>IF($P304="","",IF(INDEX(EntryTxnID,$P304)=0,"",INDEX(EntryTxnID,$P304)))</f>
        <v/>
      </c>
      <c r="P304" s="28">
        <f>IFERROR(MATCH($C$5&amp;"|"&amp;RIGHT("000000"&amp;288,6),CalcRankKey,0),"")</f>
        <v/>
      </c>
    </row>
    <row r="305">
      <c r="A305" s="26">
        <f>IF($B305="","",289)</f>
        <v/>
      </c>
      <c r="B305" s="26">
        <f>IF($P305="","",IF(INDEX(CalcNormDate,$P305)=0,"",INDEX(CalcNormDate,$P305)))</f>
        <v/>
      </c>
      <c r="C305" s="26">
        <f>IF($P305="","",IF(INDEX(CalcTime,$P305)=0,"",INDEX(CalcTime,$P305)))</f>
        <v/>
      </c>
      <c r="D305" s="26">
        <f>IF($P305="","",IF(INDEX(EntryParty,$P305)=0,"",INDEX(EntryParty,$P305)))</f>
        <v/>
      </c>
      <c r="E305" s="26">
        <f>IF($P305="","",IF(INDEX(EntryPartyName,$P305)=0,"",INDEX(EntryPartyName,$P305)))</f>
        <v/>
      </c>
      <c r="F305" s="26">
        <f>IF($P305="","",IF(INDEX(EntryPartyType,$P305)=0,"",INDEX(EntryPartyType,$P305)))</f>
        <v/>
      </c>
      <c r="G305" s="26">
        <f>IF($P305="","",IF(INDEX(EntryTxnType,$P305)=0,"",INDEX(EntryTxnType,$P305)))</f>
        <v/>
      </c>
      <c r="H305" s="27">
        <f>IF($P305="","",IF(INDEX(EntryDep,$P305)=0,"",INDEX(EntryDep,$P305)))</f>
        <v/>
      </c>
      <c r="I305" s="27">
        <f>IF($P305="","",IF(INDEX(EntryWit,$P305)=0,"",INDEX(EntryWit,$P305)))</f>
        <v/>
      </c>
      <c r="J305" s="27">
        <f>IF($B305="","",IF($A305=1,$C$7,IF(J304="",0,J304))+IF($H305="",0,$H305)-IF($I305="",0,$I305))</f>
        <v/>
      </c>
      <c r="K305" s="27">
        <f>IF($P305="","",IF(INDEX(EntryMan,$P305)=0,"",INDEX(EntryMan,$P305)))</f>
        <v/>
      </c>
      <c r="L305" s="26">
        <f>IF($B305="","",IF($K305="","—",IF(ROUND($K305-$J305,0)=0,"√","×")))</f>
        <v/>
      </c>
      <c r="M305" s="26">
        <f>IF($B305="","",IF(COUNTIFS(EntryDates,$B305,CalcTime,$C305,CalcBank,$C$5,EntryParty,$D305,EntryDep,$H305,EntryWit,$I305)&gt;1,"تکرار",""))</f>
        <v/>
      </c>
      <c r="N305" s="26">
        <f>IF($P305="","",IF(INDEX(EntryNotes,$P305)=0,"",INDEX(EntryNotes,$P305)))</f>
        <v/>
      </c>
      <c r="O305" s="26">
        <f>IF($P305="","",IF(INDEX(EntryTxnID,$P305)=0,"",INDEX(EntryTxnID,$P305)))</f>
        <v/>
      </c>
      <c r="P305" s="26">
        <f>IFERROR(MATCH($C$5&amp;"|"&amp;RIGHT("000000"&amp;289,6),CalcRankKey,0),"")</f>
        <v/>
      </c>
    </row>
    <row r="306">
      <c r="A306" s="28">
        <f>IF($B306="","",290)</f>
        <v/>
      </c>
      <c r="B306" s="28">
        <f>IF($P306="","",IF(INDEX(CalcNormDate,$P306)=0,"",INDEX(CalcNormDate,$P306)))</f>
        <v/>
      </c>
      <c r="C306" s="28">
        <f>IF($P306="","",IF(INDEX(CalcTime,$P306)=0,"",INDEX(CalcTime,$P306)))</f>
        <v/>
      </c>
      <c r="D306" s="28">
        <f>IF($P306="","",IF(INDEX(EntryParty,$P306)=0,"",INDEX(EntryParty,$P306)))</f>
        <v/>
      </c>
      <c r="E306" s="28">
        <f>IF($P306="","",IF(INDEX(EntryPartyName,$P306)=0,"",INDEX(EntryPartyName,$P306)))</f>
        <v/>
      </c>
      <c r="F306" s="28">
        <f>IF($P306="","",IF(INDEX(EntryPartyType,$P306)=0,"",INDEX(EntryPartyType,$P306)))</f>
        <v/>
      </c>
      <c r="G306" s="28">
        <f>IF($P306="","",IF(INDEX(EntryTxnType,$P306)=0,"",INDEX(EntryTxnType,$P306)))</f>
        <v/>
      </c>
      <c r="H306" s="29">
        <f>IF($P306="","",IF(INDEX(EntryDep,$P306)=0,"",INDEX(EntryDep,$P306)))</f>
        <v/>
      </c>
      <c r="I306" s="29">
        <f>IF($P306="","",IF(INDEX(EntryWit,$P306)=0,"",INDEX(EntryWit,$P306)))</f>
        <v/>
      </c>
      <c r="J306" s="29">
        <f>IF($B306="","",IF($A306=1,$C$7,IF(J305="",0,J305))+IF($H306="",0,$H306)-IF($I306="",0,$I306))</f>
        <v/>
      </c>
      <c r="K306" s="29">
        <f>IF($P306="","",IF(INDEX(EntryMan,$P306)=0,"",INDEX(EntryMan,$P306)))</f>
        <v/>
      </c>
      <c r="L306" s="28">
        <f>IF($B306="","",IF($K306="","—",IF(ROUND($K306-$J306,0)=0,"√","×")))</f>
        <v/>
      </c>
      <c r="M306" s="28">
        <f>IF($B306="","",IF(COUNTIFS(EntryDates,$B306,CalcTime,$C306,CalcBank,$C$5,EntryParty,$D306,EntryDep,$H306,EntryWit,$I306)&gt;1,"تکرار",""))</f>
        <v/>
      </c>
      <c r="N306" s="28">
        <f>IF($P306="","",IF(INDEX(EntryNotes,$P306)=0,"",INDEX(EntryNotes,$P306)))</f>
        <v/>
      </c>
      <c r="O306" s="28">
        <f>IF($P306="","",IF(INDEX(EntryTxnID,$P306)=0,"",INDEX(EntryTxnID,$P306)))</f>
        <v/>
      </c>
      <c r="P306" s="28">
        <f>IFERROR(MATCH($C$5&amp;"|"&amp;RIGHT("000000"&amp;290,6),CalcRankKey,0),"")</f>
        <v/>
      </c>
    </row>
    <row r="307">
      <c r="A307" s="26">
        <f>IF($B307="","",291)</f>
        <v/>
      </c>
      <c r="B307" s="26">
        <f>IF($P307="","",IF(INDEX(CalcNormDate,$P307)=0,"",INDEX(CalcNormDate,$P307)))</f>
        <v/>
      </c>
      <c r="C307" s="26">
        <f>IF($P307="","",IF(INDEX(CalcTime,$P307)=0,"",INDEX(CalcTime,$P307)))</f>
        <v/>
      </c>
      <c r="D307" s="26">
        <f>IF($P307="","",IF(INDEX(EntryParty,$P307)=0,"",INDEX(EntryParty,$P307)))</f>
        <v/>
      </c>
      <c r="E307" s="26">
        <f>IF($P307="","",IF(INDEX(EntryPartyName,$P307)=0,"",INDEX(EntryPartyName,$P307)))</f>
        <v/>
      </c>
      <c r="F307" s="26">
        <f>IF($P307="","",IF(INDEX(EntryPartyType,$P307)=0,"",INDEX(EntryPartyType,$P307)))</f>
        <v/>
      </c>
      <c r="G307" s="26">
        <f>IF($P307="","",IF(INDEX(EntryTxnType,$P307)=0,"",INDEX(EntryTxnType,$P307)))</f>
        <v/>
      </c>
      <c r="H307" s="27">
        <f>IF($P307="","",IF(INDEX(EntryDep,$P307)=0,"",INDEX(EntryDep,$P307)))</f>
        <v/>
      </c>
      <c r="I307" s="27">
        <f>IF($P307="","",IF(INDEX(EntryWit,$P307)=0,"",INDEX(EntryWit,$P307)))</f>
        <v/>
      </c>
      <c r="J307" s="27">
        <f>IF($B307="","",IF($A307=1,$C$7,IF(J306="",0,J306))+IF($H307="",0,$H307)-IF($I307="",0,$I307))</f>
        <v/>
      </c>
      <c r="K307" s="27">
        <f>IF($P307="","",IF(INDEX(EntryMan,$P307)=0,"",INDEX(EntryMan,$P307)))</f>
        <v/>
      </c>
      <c r="L307" s="26">
        <f>IF($B307="","",IF($K307="","—",IF(ROUND($K307-$J307,0)=0,"√","×")))</f>
        <v/>
      </c>
      <c r="M307" s="26">
        <f>IF($B307="","",IF(COUNTIFS(EntryDates,$B307,CalcTime,$C307,CalcBank,$C$5,EntryParty,$D307,EntryDep,$H307,EntryWit,$I307)&gt;1,"تکرار",""))</f>
        <v/>
      </c>
      <c r="N307" s="26">
        <f>IF($P307="","",IF(INDEX(EntryNotes,$P307)=0,"",INDEX(EntryNotes,$P307)))</f>
        <v/>
      </c>
      <c r="O307" s="26">
        <f>IF($P307="","",IF(INDEX(EntryTxnID,$P307)=0,"",INDEX(EntryTxnID,$P307)))</f>
        <v/>
      </c>
      <c r="P307" s="26">
        <f>IFERROR(MATCH($C$5&amp;"|"&amp;RIGHT("000000"&amp;291,6),CalcRankKey,0),"")</f>
        <v/>
      </c>
    </row>
    <row r="308">
      <c r="A308" s="28">
        <f>IF($B308="","",292)</f>
        <v/>
      </c>
      <c r="B308" s="28">
        <f>IF($P308="","",IF(INDEX(CalcNormDate,$P308)=0,"",INDEX(CalcNormDate,$P308)))</f>
        <v/>
      </c>
      <c r="C308" s="28">
        <f>IF($P308="","",IF(INDEX(CalcTime,$P308)=0,"",INDEX(CalcTime,$P308)))</f>
        <v/>
      </c>
      <c r="D308" s="28">
        <f>IF($P308="","",IF(INDEX(EntryParty,$P308)=0,"",INDEX(EntryParty,$P308)))</f>
        <v/>
      </c>
      <c r="E308" s="28">
        <f>IF($P308="","",IF(INDEX(EntryPartyName,$P308)=0,"",INDEX(EntryPartyName,$P308)))</f>
        <v/>
      </c>
      <c r="F308" s="28">
        <f>IF($P308="","",IF(INDEX(EntryPartyType,$P308)=0,"",INDEX(EntryPartyType,$P308)))</f>
        <v/>
      </c>
      <c r="G308" s="28">
        <f>IF($P308="","",IF(INDEX(EntryTxnType,$P308)=0,"",INDEX(EntryTxnType,$P308)))</f>
        <v/>
      </c>
      <c r="H308" s="29">
        <f>IF($P308="","",IF(INDEX(EntryDep,$P308)=0,"",INDEX(EntryDep,$P308)))</f>
        <v/>
      </c>
      <c r="I308" s="29">
        <f>IF($P308="","",IF(INDEX(EntryWit,$P308)=0,"",INDEX(EntryWit,$P308)))</f>
        <v/>
      </c>
      <c r="J308" s="29">
        <f>IF($B308="","",IF($A308=1,$C$7,IF(J307="",0,J307))+IF($H308="",0,$H308)-IF($I308="",0,$I308))</f>
        <v/>
      </c>
      <c r="K308" s="29">
        <f>IF($P308="","",IF(INDEX(EntryMan,$P308)=0,"",INDEX(EntryMan,$P308)))</f>
        <v/>
      </c>
      <c r="L308" s="28">
        <f>IF($B308="","",IF($K308="","—",IF(ROUND($K308-$J308,0)=0,"√","×")))</f>
        <v/>
      </c>
      <c r="M308" s="28">
        <f>IF($B308="","",IF(COUNTIFS(EntryDates,$B308,CalcTime,$C308,CalcBank,$C$5,EntryParty,$D308,EntryDep,$H308,EntryWit,$I308)&gt;1,"تکرار",""))</f>
        <v/>
      </c>
      <c r="N308" s="28">
        <f>IF($P308="","",IF(INDEX(EntryNotes,$P308)=0,"",INDEX(EntryNotes,$P308)))</f>
        <v/>
      </c>
      <c r="O308" s="28">
        <f>IF($P308="","",IF(INDEX(EntryTxnID,$P308)=0,"",INDEX(EntryTxnID,$P308)))</f>
        <v/>
      </c>
      <c r="P308" s="28">
        <f>IFERROR(MATCH($C$5&amp;"|"&amp;RIGHT("000000"&amp;292,6),CalcRankKey,0),"")</f>
        <v/>
      </c>
    </row>
    <row r="309">
      <c r="A309" s="26">
        <f>IF($B309="","",293)</f>
        <v/>
      </c>
      <c r="B309" s="26">
        <f>IF($P309="","",IF(INDEX(CalcNormDate,$P309)=0,"",INDEX(CalcNormDate,$P309)))</f>
        <v/>
      </c>
      <c r="C309" s="26">
        <f>IF($P309="","",IF(INDEX(CalcTime,$P309)=0,"",INDEX(CalcTime,$P309)))</f>
        <v/>
      </c>
      <c r="D309" s="26">
        <f>IF($P309="","",IF(INDEX(EntryParty,$P309)=0,"",INDEX(EntryParty,$P309)))</f>
        <v/>
      </c>
      <c r="E309" s="26">
        <f>IF($P309="","",IF(INDEX(EntryPartyName,$P309)=0,"",INDEX(EntryPartyName,$P309)))</f>
        <v/>
      </c>
      <c r="F309" s="26">
        <f>IF($P309="","",IF(INDEX(EntryPartyType,$P309)=0,"",INDEX(EntryPartyType,$P309)))</f>
        <v/>
      </c>
      <c r="G309" s="26">
        <f>IF($P309="","",IF(INDEX(EntryTxnType,$P309)=0,"",INDEX(EntryTxnType,$P309)))</f>
        <v/>
      </c>
      <c r="H309" s="27">
        <f>IF($P309="","",IF(INDEX(EntryDep,$P309)=0,"",INDEX(EntryDep,$P309)))</f>
        <v/>
      </c>
      <c r="I309" s="27">
        <f>IF($P309="","",IF(INDEX(EntryWit,$P309)=0,"",INDEX(EntryWit,$P309)))</f>
        <v/>
      </c>
      <c r="J309" s="27">
        <f>IF($B309="","",IF($A309=1,$C$7,IF(J308="",0,J308))+IF($H309="",0,$H309)-IF($I309="",0,$I309))</f>
        <v/>
      </c>
      <c r="K309" s="27">
        <f>IF($P309="","",IF(INDEX(EntryMan,$P309)=0,"",INDEX(EntryMan,$P309)))</f>
        <v/>
      </c>
      <c r="L309" s="26">
        <f>IF($B309="","",IF($K309="","—",IF(ROUND($K309-$J309,0)=0,"√","×")))</f>
        <v/>
      </c>
      <c r="M309" s="26">
        <f>IF($B309="","",IF(COUNTIFS(EntryDates,$B309,CalcTime,$C309,CalcBank,$C$5,EntryParty,$D309,EntryDep,$H309,EntryWit,$I309)&gt;1,"تکرار",""))</f>
        <v/>
      </c>
      <c r="N309" s="26">
        <f>IF($P309="","",IF(INDEX(EntryNotes,$P309)=0,"",INDEX(EntryNotes,$P309)))</f>
        <v/>
      </c>
      <c r="O309" s="26">
        <f>IF($P309="","",IF(INDEX(EntryTxnID,$P309)=0,"",INDEX(EntryTxnID,$P309)))</f>
        <v/>
      </c>
      <c r="P309" s="26">
        <f>IFERROR(MATCH($C$5&amp;"|"&amp;RIGHT("000000"&amp;293,6),CalcRankKey,0),"")</f>
        <v/>
      </c>
    </row>
    <row r="310">
      <c r="A310" s="28">
        <f>IF($B310="","",294)</f>
        <v/>
      </c>
      <c r="B310" s="28">
        <f>IF($P310="","",IF(INDEX(CalcNormDate,$P310)=0,"",INDEX(CalcNormDate,$P310)))</f>
        <v/>
      </c>
      <c r="C310" s="28">
        <f>IF($P310="","",IF(INDEX(CalcTime,$P310)=0,"",INDEX(CalcTime,$P310)))</f>
        <v/>
      </c>
      <c r="D310" s="28">
        <f>IF($P310="","",IF(INDEX(EntryParty,$P310)=0,"",INDEX(EntryParty,$P310)))</f>
        <v/>
      </c>
      <c r="E310" s="28">
        <f>IF($P310="","",IF(INDEX(EntryPartyName,$P310)=0,"",INDEX(EntryPartyName,$P310)))</f>
        <v/>
      </c>
      <c r="F310" s="28">
        <f>IF($P310="","",IF(INDEX(EntryPartyType,$P310)=0,"",INDEX(EntryPartyType,$P310)))</f>
        <v/>
      </c>
      <c r="G310" s="28">
        <f>IF($P310="","",IF(INDEX(EntryTxnType,$P310)=0,"",INDEX(EntryTxnType,$P310)))</f>
        <v/>
      </c>
      <c r="H310" s="29">
        <f>IF($P310="","",IF(INDEX(EntryDep,$P310)=0,"",INDEX(EntryDep,$P310)))</f>
        <v/>
      </c>
      <c r="I310" s="29">
        <f>IF($P310="","",IF(INDEX(EntryWit,$P310)=0,"",INDEX(EntryWit,$P310)))</f>
        <v/>
      </c>
      <c r="J310" s="29">
        <f>IF($B310="","",IF($A310=1,$C$7,IF(J309="",0,J309))+IF($H310="",0,$H310)-IF($I310="",0,$I310))</f>
        <v/>
      </c>
      <c r="K310" s="29">
        <f>IF($P310="","",IF(INDEX(EntryMan,$P310)=0,"",INDEX(EntryMan,$P310)))</f>
        <v/>
      </c>
      <c r="L310" s="28">
        <f>IF($B310="","",IF($K310="","—",IF(ROUND($K310-$J310,0)=0,"√","×")))</f>
        <v/>
      </c>
      <c r="M310" s="28">
        <f>IF($B310="","",IF(COUNTIFS(EntryDates,$B310,CalcTime,$C310,CalcBank,$C$5,EntryParty,$D310,EntryDep,$H310,EntryWit,$I310)&gt;1,"تکرار",""))</f>
        <v/>
      </c>
      <c r="N310" s="28">
        <f>IF($P310="","",IF(INDEX(EntryNotes,$P310)=0,"",INDEX(EntryNotes,$P310)))</f>
        <v/>
      </c>
      <c r="O310" s="28">
        <f>IF($P310="","",IF(INDEX(EntryTxnID,$P310)=0,"",INDEX(EntryTxnID,$P310)))</f>
        <v/>
      </c>
      <c r="P310" s="28">
        <f>IFERROR(MATCH($C$5&amp;"|"&amp;RIGHT("000000"&amp;294,6),CalcRankKey,0),"")</f>
        <v/>
      </c>
    </row>
    <row r="311">
      <c r="A311" s="26">
        <f>IF($B311="","",295)</f>
        <v/>
      </c>
      <c r="B311" s="26">
        <f>IF($P311="","",IF(INDEX(CalcNormDate,$P311)=0,"",INDEX(CalcNormDate,$P311)))</f>
        <v/>
      </c>
      <c r="C311" s="26">
        <f>IF($P311="","",IF(INDEX(CalcTime,$P311)=0,"",INDEX(CalcTime,$P311)))</f>
        <v/>
      </c>
      <c r="D311" s="26">
        <f>IF($P311="","",IF(INDEX(EntryParty,$P311)=0,"",INDEX(EntryParty,$P311)))</f>
        <v/>
      </c>
      <c r="E311" s="26">
        <f>IF($P311="","",IF(INDEX(EntryPartyName,$P311)=0,"",INDEX(EntryPartyName,$P311)))</f>
        <v/>
      </c>
      <c r="F311" s="26">
        <f>IF($P311="","",IF(INDEX(EntryPartyType,$P311)=0,"",INDEX(EntryPartyType,$P311)))</f>
        <v/>
      </c>
      <c r="G311" s="26">
        <f>IF($P311="","",IF(INDEX(EntryTxnType,$P311)=0,"",INDEX(EntryTxnType,$P311)))</f>
        <v/>
      </c>
      <c r="H311" s="27">
        <f>IF($P311="","",IF(INDEX(EntryDep,$P311)=0,"",INDEX(EntryDep,$P311)))</f>
        <v/>
      </c>
      <c r="I311" s="27">
        <f>IF($P311="","",IF(INDEX(EntryWit,$P311)=0,"",INDEX(EntryWit,$P311)))</f>
        <v/>
      </c>
      <c r="J311" s="27">
        <f>IF($B311="","",IF($A311=1,$C$7,IF(J310="",0,J310))+IF($H311="",0,$H311)-IF($I311="",0,$I311))</f>
        <v/>
      </c>
      <c r="K311" s="27">
        <f>IF($P311="","",IF(INDEX(EntryMan,$P311)=0,"",INDEX(EntryMan,$P311)))</f>
        <v/>
      </c>
      <c r="L311" s="26">
        <f>IF($B311="","",IF($K311="","—",IF(ROUND($K311-$J311,0)=0,"√","×")))</f>
        <v/>
      </c>
      <c r="M311" s="26">
        <f>IF($B311="","",IF(COUNTIFS(EntryDates,$B311,CalcTime,$C311,CalcBank,$C$5,EntryParty,$D311,EntryDep,$H311,EntryWit,$I311)&gt;1,"تکرار",""))</f>
        <v/>
      </c>
      <c r="N311" s="26">
        <f>IF($P311="","",IF(INDEX(EntryNotes,$P311)=0,"",INDEX(EntryNotes,$P311)))</f>
        <v/>
      </c>
      <c r="O311" s="26">
        <f>IF($P311="","",IF(INDEX(EntryTxnID,$P311)=0,"",INDEX(EntryTxnID,$P311)))</f>
        <v/>
      </c>
      <c r="P311" s="26">
        <f>IFERROR(MATCH($C$5&amp;"|"&amp;RIGHT("000000"&amp;295,6),CalcRankKey,0),"")</f>
        <v/>
      </c>
    </row>
    <row r="312">
      <c r="A312" s="28">
        <f>IF($B312="","",296)</f>
        <v/>
      </c>
      <c r="B312" s="28">
        <f>IF($P312="","",IF(INDEX(CalcNormDate,$P312)=0,"",INDEX(CalcNormDate,$P312)))</f>
        <v/>
      </c>
      <c r="C312" s="28">
        <f>IF($P312="","",IF(INDEX(CalcTime,$P312)=0,"",INDEX(CalcTime,$P312)))</f>
        <v/>
      </c>
      <c r="D312" s="28">
        <f>IF($P312="","",IF(INDEX(EntryParty,$P312)=0,"",INDEX(EntryParty,$P312)))</f>
        <v/>
      </c>
      <c r="E312" s="28">
        <f>IF($P312="","",IF(INDEX(EntryPartyName,$P312)=0,"",INDEX(EntryPartyName,$P312)))</f>
        <v/>
      </c>
      <c r="F312" s="28">
        <f>IF($P312="","",IF(INDEX(EntryPartyType,$P312)=0,"",INDEX(EntryPartyType,$P312)))</f>
        <v/>
      </c>
      <c r="G312" s="28">
        <f>IF($P312="","",IF(INDEX(EntryTxnType,$P312)=0,"",INDEX(EntryTxnType,$P312)))</f>
        <v/>
      </c>
      <c r="H312" s="29">
        <f>IF($P312="","",IF(INDEX(EntryDep,$P312)=0,"",INDEX(EntryDep,$P312)))</f>
        <v/>
      </c>
      <c r="I312" s="29">
        <f>IF($P312="","",IF(INDEX(EntryWit,$P312)=0,"",INDEX(EntryWit,$P312)))</f>
        <v/>
      </c>
      <c r="J312" s="29">
        <f>IF($B312="","",IF($A312=1,$C$7,IF(J311="",0,J311))+IF($H312="",0,$H312)-IF($I312="",0,$I312))</f>
        <v/>
      </c>
      <c r="K312" s="29">
        <f>IF($P312="","",IF(INDEX(EntryMan,$P312)=0,"",INDEX(EntryMan,$P312)))</f>
        <v/>
      </c>
      <c r="L312" s="28">
        <f>IF($B312="","",IF($K312="","—",IF(ROUND($K312-$J312,0)=0,"√","×")))</f>
        <v/>
      </c>
      <c r="M312" s="28">
        <f>IF($B312="","",IF(COUNTIFS(EntryDates,$B312,CalcTime,$C312,CalcBank,$C$5,EntryParty,$D312,EntryDep,$H312,EntryWit,$I312)&gt;1,"تکرار",""))</f>
        <v/>
      </c>
      <c r="N312" s="28">
        <f>IF($P312="","",IF(INDEX(EntryNotes,$P312)=0,"",INDEX(EntryNotes,$P312)))</f>
        <v/>
      </c>
      <c r="O312" s="28">
        <f>IF($P312="","",IF(INDEX(EntryTxnID,$P312)=0,"",INDEX(EntryTxnID,$P312)))</f>
        <v/>
      </c>
      <c r="P312" s="28">
        <f>IFERROR(MATCH($C$5&amp;"|"&amp;RIGHT("000000"&amp;296,6),CalcRankKey,0),"")</f>
        <v/>
      </c>
    </row>
    <row r="313">
      <c r="A313" s="26">
        <f>IF($B313="","",297)</f>
        <v/>
      </c>
      <c r="B313" s="26">
        <f>IF($P313="","",IF(INDEX(CalcNormDate,$P313)=0,"",INDEX(CalcNormDate,$P313)))</f>
        <v/>
      </c>
      <c r="C313" s="26">
        <f>IF($P313="","",IF(INDEX(CalcTime,$P313)=0,"",INDEX(CalcTime,$P313)))</f>
        <v/>
      </c>
      <c r="D313" s="26">
        <f>IF($P313="","",IF(INDEX(EntryParty,$P313)=0,"",INDEX(EntryParty,$P313)))</f>
        <v/>
      </c>
      <c r="E313" s="26">
        <f>IF($P313="","",IF(INDEX(EntryPartyName,$P313)=0,"",INDEX(EntryPartyName,$P313)))</f>
        <v/>
      </c>
      <c r="F313" s="26">
        <f>IF($P313="","",IF(INDEX(EntryPartyType,$P313)=0,"",INDEX(EntryPartyType,$P313)))</f>
        <v/>
      </c>
      <c r="G313" s="26">
        <f>IF($P313="","",IF(INDEX(EntryTxnType,$P313)=0,"",INDEX(EntryTxnType,$P313)))</f>
        <v/>
      </c>
      <c r="H313" s="27">
        <f>IF($P313="","",IF(INDEX(EntryDep,$P313)=0,"",INDEX(EntryDep,$P313)))</f>
        <v/>
      </c>
      <c r="I313" s="27">
        <f>IF($P313="","",IF(INDEX(EntryWit,$P313)=0,"",INDEX(EntryWit,$P313)))</f>
        <v/>
      </c>
      <c r="J313" s="27">
        <f>IF($B313="","",IF($A313=1,$C$7,IF(J312="",0,J312))+IF($H313="",0,$H313)-IF($I313="",0,$I313))</f>
        <v/>
      </c>
      <c r="K313" s="27">
        <f>IF($P313="","",IF(INDEX(EntryMan,$P313)=0,"",INDEX(EntryMan,$P313)))</f>
        <v/>
      </c>
      <c r="L313" s="26">
        <f>IF($B313="","",IF($K313="","—",IF(ROUND($K313-$J313,0)=0,"√","×")))</f>
        <v/>
      </c>
      <c r="M313" s="26">
        <f>IF($B313="","",IF(COUNTIFS(EntryDates,$B313,CalcTime,$C313,CalcBank,$C$5,EntryParty,$D313,EntryDep,$H313,EntryWit,$I313)&gt;1,"تکرار",""))</f>
        <v/>
      </c>
      <c r="N313" s="26">
        <f>IF($P313="","",IF(INDEX(EntryNotes,$P313)=0,"",INDEX(EntryNotes,$P313)))</f>
        <v/>
      </c>
      <c r="O313" s="26">
        <f>IF($P313="","",IF(INDEX(EntryTxnID,$P313)=0,"",INDEX(EntryTxnID,$P313)))</f>
        <v/>
      </c>
      <c r="P313" s="26">
        <f>IFERROR(MATCH($C$5&amp;"|"&amp;RIGHT("000000"&amp;297,6),CalcRankKey,0),"")</f>
        <v/>
      </c>
    </row>
    <row r="314">
      <c r="A314" s="28">
        <f>IF($B314="","",298)</f>
        <v/>
      </c>
      <c r="B314" s="28">
        <f>IF($P314="","",IF(INDEX(CalcNormDate,$P314)=0,"",INDEX(CalcNormDate,$P314)))</f>
        <v/>
      </c>
      <c r="C314" s="28">
        <f>IF($P314="","",IF(INDEX(CalcTime,$P314)=0,"",INDEX(CalcTime,$P314)))</f>
        <v/>
      </c>
      <c r="D314" s="28">
        <f>IF($P314="","",IF(INDEX(EntryParty,$P314)=0,"",INDEX(EntryParty,$P314)))</f>
        <v/>
      </c>
      <c r="E314" s="28">
        <f>IF($P314="","",IF(INDEX(EntryPartyName,$P314)=0,"",INDEX(EntryPartyName,$P314)))</f>
        <v/>
      </c>
      <c r="F314" s="28">
        <f>IF($P314="","",IF(INDEX(EntryPartyType,$P314)=0,"",INDEX(EntryPartyType,$P314)))</f>
        <v/>
      </c>
      <c r="G314" s="28">
        <f>IF($P314="","",IF(INDEX(EntryTxnType,$P314)=0,"",INDEX(EntryTxnType,$P314)))</f>
        <v/>
      </c>
      <c r="H314" s="29">
        <f>IF($P314="","",IF(INDEX(EntryDep,$P314)=0,"",INDEX(EntryDep,$P314)))</f>
        <v/>
      </c>
      <c r="I314" s="29">
        <f>IF($P314="","",IF(INDEX(EntryWit,$P314)=0,"",INDEX(EntryWit,$P314)))</f>
        <v/>
      </c>
      <c r="J314" s="29">
        <f>IF($B314="","",IF($A314=1,$C$7,IF(J313="",0,J313))+IF($H314="",0,$H314)-IF($I314="",0,$I314))</f>
        <v/>
      </c>
      <c r="K314" s="29">
        <f>IF($P314="","",IF(INDEX(EntryMan,$P314)=0,"",INDEX(EntryMan,$P314)))</f>
        <v/>
      </c>
      <c r="L314" s="28">
        <f>IF($B314="","",IF($K314="","—",IF(ROUND($K314-$J314,0)=0,"√","×")))</f>
        <v/>
      </c>
      <c r="M314" s="28">
        <f>IF($B314="","",IF(COUNTIFS(EntryDates,$B314,CalcTime,$C314,CalcBank,$C$5,EntryParty,$D314,EntryDep,$H314,EntryWit,$I314)&gt;1,"تکرار",""))</f>
        <v/>
      </c>
      <c r="N314" s="28">
        <f>IF($P314="","",IF(INDEX(EntryNotes,$P314)=0,"",INDEX(EntryNotes,$P314)))</f>
        <v/>
      </c>
      <c r="O314" s="28">
        <f>IF($P314="","",IF(INDEX(EntryTxnID,$P314)=0,"",INDEX(EntryTxnID,$P314)))</f>
        <v/>
      </c>
      <c r="P314" s="28">
        <f>IFERROR(MATCH($C$5&amp;"|"&amp;RIGHT("000000"&amp;298,6),CalcRankKey,0),"")</f>
        <v/>
      </c>
    </row>
    <row r="315">
      <c r="A315" s="26">
        <f>IF($B315="","",299)</f>
        <v/>
      </c>
      <c r="B315" s="26">
        <f>IF($P315="","",IF(INDEX(CalcNormDate,$P315)=0,"",INDEX(CalcNormDate,$P315)))</f>
        <v/>
      </c>
      <c r="C315" s="26">
        <f>IF($P315="","",IF(INDEX(CalcTime,$P315)=0,"",INDEX(CalcTime,$P315)))</f>
        <v/>
      </c>
      <c r="D315" s="26">
        <f>IF($P315="","",IF(INDEX(EntryParty,$P315)=0,"",INDEX(EntryParty,$P315)))</f>
        <v/>
      </c>
      <c r="E315" s="26">
        <f>IF($P315="","",IF(INDEX(EntryPartyName,$P315)=0,"",INDEX(EntryPartyName,$P315)))</f>
        <v/>
      </c>
      <c r="F315" s="26">
        <f>IF($P315="","",IF(INDEX(EntryPartyType,$P315)=0,"",INDEX(EntryPartyType,$P315)))</f>
        <v/>
      </c>
      <c r="G315" s="26">
        <f>IF($P315="","",IF(INDEX(EntryTxnType,$P315)=0,"",INDEX(EntryTxnType,$P315)))</f>
        <v/>
      </c>
      <c r="H315" s="27">
        <f>IF($P315="","",IF(INDEX(EntryDep,$P315)=0,"",INDEX(EntryDep,$P315)))</f>
        <v/>
      </c>
      <c r="I315" s="27">
        <f>IF($P315="","",IF(INDEX(EntryWit,$P315)=0,"",INDEX(EntryWit,$P315)))</f>
        <v/>
      </c>
      <c r="J315" s="27">
        <f>IF($B315="","",IF($A315=1,$C$7,IF(J314="",0,J314))+IF($H315="",0,$H315)-IF($I315="",0,$I315))</f>
        <v/>
      </c>
      <c r="K315" s="27">
        <f>IF($P315="","",IF(INDEX(EntryMan,$P315)=0,"",INDEX(EntryMan,$P315)))</f>
        <v/>
      </c>
      <c r="L315" s="26">
        <f>IF($B315="","",IF($K315="","—",IF(ROUND($K315-$J315,0)=0,"√","×")))</f>
        <v/>
      </c>
      <c r="M315" s="26">
        <f>IF($B315="","",IF(COUNTIFS(EntryDates,$B315,CalcTime,$C315,CalcBank,$C$5,EntryParty,$D315,EntryDep,$H315,EntryWit,$I315)&gt;1,"تکرار",""))</f>
        <v/>
      </c>
      <c r="N315" s="26">
        <f>IF($P315="","",IF(INDEX(EntryNotes,$P315)=0,"",INDEX(EntryNotes,$P315)))</f>
        <v/>
      </c>
      <c r="O315" s="26">
        <f>IF($P315="","",IF(INDEX(EntryTxnID,$P315)=0,"",INDEX(EntryTxnID,$P315)))</f>
        <v/>
      </c>
      <c r="P315" s="26">
        <f>IFERROR(MATCH($C$5&amp;"|"&amp;RIGHT("000000"&amp;299,6),CalcRankKey,0),"")</f>
        <v/>
      </c>
    </row>
    <row r="316">
      <c r="A316" s="28">
        <f>IF($B316="","",300)</f>
        <v/>
      </c>
      <c r="B316" s="28">
        <f>IF($P316="","",IF(INDEX(CalcNormDate,$P316)=0,"",INDEX(CalcNormDate,$P316)))</f>
        <v/>
      </c>
      <c r="C316" s="28">
        <f>IF($P316="","",IF(INDEX(CalcTime,$P316)=0,"",INDEX(CalcTime,$P316)))</f>
        <v/>
      </c>
      <c r="D316" s="28">
        <f>IF($P316="","",IF(INDEX(EntryParty,$P316)=0,"",INDEX(EntryParty,$P316)))</f>
        <v/>
      </c>
      <c r="E316" s="28">
        <f>IF($P316="","",IF(INDEX(EntryPartyName,$P316)=0,"",INDEX(EntryPartyName,$P316)))</f>
        <v/>
      </c>
      <c r="F316" s="28">
        <f>IF($P316="","",IF(INDEX(EntryPartyType,$P316)=0,"",INDEX(EntryPartyType,$P316)))</f>
        <v/>
      </c>
      <c r="G316" s="28">
        <f>IF($P316="","",IF(INDEX(EntryTxnType,$P316)=0,"",INDEX(EntryTxnType,$P316)))</f>
        <v/>
      </c>
      <c r="H316" s="29">
        <f>IF($P316="","",IF(INDEX(EntryDep,$P316)=0,"",INDEX(EntryDep,$P316)))</f>
        <v/>
      </c>
      <c r="I316" s="29">
        <f>IF($P316="","",IF(INDEX(EntryWit,$P316)=0,"",INDEX(EntryWit,$P316)))</f>
        <v/>
      </c>
      <c r="J316" s="29">
        <f>IF($B316="","",IF($A316=1,$C$7,IF(J315="",0,J315))+IF($H316="",0,$H316)-IF($I316="",0,$I316))</f>
        <v/>
      </c>
      <c r="K316" s="29">
        <f>IF($P316="","",IF(INDEX(EntryMan,$P316)=0,"",INDEX(EntryMan,$P316)))</f>
        <v/>
      </c>
      <c r="L316" s="28">
        <f>IF($B316="","",IF($K316="","—",IF(ROUND($K316-$J316,0)=0,"√","×")))</f>
        <v/>
      </c>
      <c r="M316" s="28">
        <f>IF($B316="","",IF(COUNTIFS(EntryDates,$B316,CalcTime,$C316,CalcBank,$C$5,EntryParty,$D316,EntryDep,$H316,EntryWit,$I316)&gt;1,"تکرار",""))</f>
        <v/>
      </c>
      <c r="N316" s="28">
        <f>IF($P316="","",IF(INDEX(EntryNotes,$P316)=0,"",INDEX(EntryNotes,$P316)))</f>
        <v/>
      </c>
      <c r="O316" s="28">
        <f>IF($P316="","",IF(INDEX(EntryTxnID,$P316)=0,"",INDEX(EntryTxnID,$P316)))</f>
        <v/>
      </c>
      <c r="P316" s="28">
        <f>IFERROR(MATCH($C$5&amp;"|"&amp;RIGHT("000000"&amp;300,6),CalcRankKey,0),"")</f>
        <v/>
      </c>
    </row>
    <row r="317">
      <c r="A317" s="26">
        <f>IF($B317="","",301)</f>
        <v/>
      </c>
      <c r="B317" s="26">
        <f>IF($P317="","",IF(INDEX(CalcNormDate,$P317)=0,"",INDEX(CalcNormDate,$P317)))</f>
        <v/>
      </c>
      <c r="C317" s="26">
        <f>IF($P317="","",IF(INDEX(CalcTime,$P317)=0,"",INDEX(CalcTime,$P317)))</f>
        <v/>
      </c>
      <c r="D317" s="26">
        <f>IF($P317="","",IF(INDEX(EntryParty,$P317)=0,"",INDEX(EntryParty,$P317)))</f>
        <v/>
      </c>
      <c r="E317" s="26">
        <f>IF($P317="","",IF(INDEX(EntryPartyName,$P317)=0,"",INDEX(EntryPartyName,$P317)))</f>
        <v/>
      </c>
      <c r="F317" s="26">
        <f>IF($P317="","",IF(INDEX(EntryPartyType,$P317)=0,"",INDEX(EntryPartyType,$P317)))</f>
        <v/>
      </c>
      <c r="G317" s="26">
        <f>IF($P317="","",IF(INDEX(EntryTxnType,$P317)=0,"",INDEX(EntryTxnType,$P317)))</f>
        <v/>
      </c>
      <c r="H317" s="27">
        <f>IF($P317="","",IF(INDEX(EntryDep,$P317)=0,"",INDEX(EntryDep,$P317)))</f>
        <v/>
      </c>
      <c r="I317" s="27">
        <f>IF($P317="","",IF(INDEX(EntryWit,$P317)=0,"",INDEX(EntryWit,$P317)))</f>
        <v/>
      </c>
      <c r="J317" s="27">
        <f>IF($B317="","",IF($A317=1,$C$7,IF(J316="",0,J316))+IF($H317="",0,$H317)-IF($I317="",0,$I317))</f>
        <v/>
      </c>
      <c r="K317" s="27">
        <f>IF($P317="","",IF(INDEX(EntryMan,$P317)=0,"",INDEX(EntryMan,$P317)))</f>
        <v/>
      </c>
      <c r="L317" s="26">
        <f>IF($B317="","",IF($K317="","—",IF(ROUND($K317-$J317,0)=0,"√","×")))</f>
        <v/>
      </c>
      <c r="M317" s="26">
        <f>IF($B317="","",IF(COUNTIFS(EntryDates,$B317,CalcTime,$C317,CalcBank,$C$5,EntryParty,$D317,EntryDep,$H317,EntryWit,$I317)&gt;1,"تکرار",""))</f>
        <v/>
      </c>
      <c r="N317" s="26">
        <f>IF($P317="","",IF(INDEX(EntryNotes,$P317)=0,"",INDEX(EntryNotes,$P317)))</f>
        <v/>
      </c>
      <c r="O317" s="26">
        <f>IF($P317="","",IF(INDEX(EntryTxnID,$P317)=0,"",INDEX(EntryTxnID,$P317)))</f>
        <v/>
      </c>
      <c r="P317" s="26">
        <f>IFERROR(MATCH($C$5&amp;"|"&amp;RIGHT("000000"&amp;301,6),CalcRankKey,0),"")</f>
        <v/>
      </c>
    </row>
    <row r="318">
      <c r="A318" s="28">
        <f>IF($B318="","",302)</f>
        <v/>
      </c>
      <c r="B318" s="28">
        <f>IF($P318="","",IF(INDEX(CalcNormDate,$P318)=0,"",INDEX(CalcNormDate,$P318)))</f>
        <v/>
      </c>
      <c r="C318" s="28">
        <f>IF($P318="","",IF(INDEX(CalcTime,$P318)=0,"",INDEX(CalcTime,$P318)))</f>
        <v/>
      </c>
      <c r="D318" s="28">
        <f>IF($P318="","",IF(INDEX(EntryParty,$P318)=0,"",INDEX(EntryParty,$P318)))</f>
        <v/>
      </c>
      <c r="E318" s="28">
        <f>IF($P318="","",IF(INDEX(EntryPartyName,$P318)=0,"",INDEX(EntryPartyName,$P318)))</f>
        <v/>
      </c>
      <c r="F318" s="28">
        <f>IF($P318="","",IF(INDEX(EntryPartyType,$P318)=0,"",INDEX(EntryPartyType,$P318)))</f>
        <v/>
      </c>
      <c r="G318" s="28">
        <f>IF($P318="","",IF(INDEX(EntryTxnType,$P318)=0,"",INDEX(EntryTxnType,$P318)))</f>
        <v/>
      </c>
      <c r="H318" s="29">
        <f>IF($P318="","",IF(INDEX(EntryDep,$P318)=0,"",INDEX(EntryDep,$P318)))</f>
        <v/>
      </c>
      <c r="I318" s="29">
        <f>IF($P318="","",IF(INDEX(EntryWit,$P318)=0,"",INDEX(EntryWit,$P318)))</f>
        <v/>
      </c>
      <c r="J318" s="29">
        <f>IF($B318="","",IF($A318=1,$C$7,IF(J317="",0,J317))+IF($H318="",0,$H318)-IF($I318="",0,$I318))</f>
        <v/>
      </c>
      <c r="K318" s="29">
        <f>IF($P318="","",IF(INDEX(EntryMan,$P318)=0,"",INDEX(EntryMan,$P318)))</f>
        <v/>
      </c>
      <c r="L318" s="28">
        <f>IF($B318="","",IF($K318="","—",IF(ROUND($K318-$J318,0)=0,"√","×")))</f>
        <v/>
      </c>
      <c r="M318" s="28">
        <f>IF($B318="","",IF(COUNTIFS(EntryDates,$B318,CalcTime,$C318,CalcBank,$C$5,EntryParty,$D318,EntryDep,$H318,EntryWit,$I318)&gt;1,"تکرار",""))</f>
        <v/>
      </c>
      <c r="N318" s="28">
        <f>IF($P318="","",IF(INDEX(EntryNotes,$P318)=0,"",INDEX(EntryNotes,$P318)))</f>
        <v/>
      </c>
      <c r="O318" s="28">
        <f>IF($P318="","",IF(INDEX(EntryTxnID,$P318)=0,"",INDEX(EntryTxnID,$P318)))</f>
        <v/>
      </c>
      <c r="P318" s="28">
        <f>IFERROR(MATCH($C$5&amp;"|"&amp;RIGHT("000000"&amp;302,6),CalcRankKey,0),"")</f>
        <v/>
      </c>
    </row>
    <row r="319">
      <c r="A319" s="26">
        <f>IF($B319="","",303)</f>
        <v/>
      </c>
      <c r="B319" s="26">
        <f>IF($P319="","",IF(INDEX(CalcNormDate,$P319)=0,"",INDEX(CalcNormDate,$P319)))</f>
        <v/>
      </c>
      <c r="C319" s="26">
        <f>IF($P319="","",IF(INDEX(CalcTime,$P319)=0,"",INDEX(CalcTime,$P319)))</f>
        <v/>
      </c>
      <c r="D319" s="26">
        <f>IF($P319="","",IF(INDEX(EntryParty,$P319)=0,"",INDEX(EntryParty,$P319)))</f>
        <v/>
      </c>
      <c r="E319" s="26">
        <f>IF($P319="","",IF(INDEX(EntryPartyName,$P319)=0,"",INDEX(EntryPartyName,$P319)))</f>
        <v/>
      </c>
      <c r="F319" s="26">
        <f>IF($P319="","",IF(INDEX(EntryPartyType,$P319)=0,"",INDEX(EntryPartyType,$P319)))</f>
        <v/>
      </c>
      <c r="G319" s="26">
        <f>IF($P319="","",IF(INDEX(EntryTxnType,$P319)=0,"",INDEX(EntryTxnType,$P319)))</f>
        <v/>
      </c>
      <c r="H319" s="27">
        <f>IF($P319="","",IF(INDEX(EntryDep,$P319)=0,"",INDEX(EntryDep,$P319)))</f>
        <v/>
      </c>
      <c r="I319" s="27">
        <f>IF($P319="","",IF(INDEX(EntryWit,$P319)=0,"",INDEX(EntryWit,$P319)))</f>
        <v/>
      </c>
      <c r="J319" s="27">
        <f>IF($B319="","",IF($A319=1,$C$7,IF(J318="",0,J318))+IF($H319="",0,$H319)-IF($I319="",0,$I319))</f>
        <v/>
      </c>
      <c r="K319" s="27">
        <f>IF($P319="","",IF(INDEX(EntryMan,$P319)=0,"",INDEX(EntryMan,$P319)))</f>
        <v/>
      </c>
      <c r="L319" s="26">
        <f>IF($B319="","",IF($K319="","—",IF(ROUND($K319-$J319,0)=0,"√","×")))</f>
        <v/>
      </c>
      <c r="M319" s="26">
        <f>IF($B319="","",IF(COUNTIFS(EntryDates,$B319,CalcTime,$C319,CalcBank,$C$5,EntryParty,$D319,EntryDep,$H319,EntryWit,$I319)&gt;1,"تکرار",""))</f>
        <v/>
      </c>
      <c r="N319" s="26">
        <f>IF($P319="","",IF(INDEX(EntryNotes,$P319)=0,"",INDEX(EntryNotes,$P319)))</f>
        <v/>
      </c>
      <c r="O319" s="26">
        <f>IF($P319="","",IF(INDEX(EntryTxnID,$P319)=0,"",INDEX(EntryTxnID,$P319)))</f>
        <v/>
      </c>
      <c r="P319" s="26">
        <f>IFERROR(MATCH($C$5&amp;"|"&amp;RIGHT("000000"&amp;303,6),CalcRankKey,0),"")</f>
        <v/>
      </c>
    </row>
    <row r="320">
      <c r="A320" s="28">
        <f>IF($B320="","",304)</f>
        <v/>
      </c>
      <c r="B320" s="28">
        <f>IF($P320="","",IF(INDEX(CalcNormDate,$P320)=0,"",INDEX(CalcNormDate,$P320)))</f>
        <v/>
      </c>
      <c r="C320" s="28">
        <f>IF($P320="","",IF(INDEX(CalcTime,$P320)=0,"",INDEX(CalcTime,$P320)))</f>
        <v/>
      </c>
      <c r="D320" s="28">
        <f>IF($P320="","",IF(INDEX(EntryParty,$P320)=0,"",INDEX(EntryParty,$P320)))</f>
        <v/>
      </c>
      <c r="E320" s="28">
        <f>IF($P320="","",IF(INDEX(EntryPartyName,$P320)=0,"",INDEX(EntryPartyName,$P320)))</f>
        <v/>
      </c>
      <c r="F320" s="28">
        <f>IF($P320="","",IF(INDEX(EntryPartyType,$P320)=0,"",INDEX(EntryPartyType,$P320)))</f>
        <v/>
      </c>
      <c r="G320" s="28">
        <f>IF($P320="","",IF(INDEX(EntryTxnType,$P320)=0,"",INDEX(EntryTxnType,$P320)))</f>
        <v/>
      </c>
      <c r="H320" s="29">
        <f>IF($P320="","",IF(INDEX(EntryDep,$P320)=0,"",INDEX(EntryDep,$P320)))</f>
        <v/>
      </c>
      <c r="I320" s="29">
        <f>IF($P320="","",IF(INDEX(EntryWit,$P320)=0,"",INDEX(EntryWit,$P320)))</f>
        <v/>
      </c>
      <c r="J320" s="29">
        <f>IF($B320="","",IF($A320=1,$C$7,IF(J319="",0,J319))+IF($H320="",0,$H320)-IF($I320="",0,$I320))</f>
        <v/>
      </c>
      <c r="K320" s="29">
        <f>IF($P320="","",IF(INDEX(EntryMan,$P320)=0,"",INDEX(EntryMan,$P320)))</f>
        <v/>
      </c>
      <c r="L320" s="28">
        <f>IF($B320="","",IF($K320="","—",IF(ROUND($K320-$J320,0)=0,"√","×")))</f>
        <v/>
      </c>
      <c r="M320" s="28">
        <f>IF($B320="","",IF(COUNTIFS(EntryDates,$B320,CalcTime,$C320,CalcBank,$C$5,EntryParty,$D320,EntryDep,$H320,EntryWit,$I320)&gt;1,"تکرار",""))</f>
        <v/>
      </c>
      <c r="N320" s="28">
        <f>IF($P320="","",IF(INDEX(EntryNotes,$P320)=0,"",INDEX(EntryNotes,$P320)))</f>
        <v/>
      </c>
      <c r="O320" s="28">
        <f>IF($P320="","",IF(INDEX(EntryTxnID,$P320)=0,"",INDEX(EntryTxnID,$P320)))</f>
        <v/>
      </c>
      <c r="P320" s="28">
        <f>IFERROR(MATCH($C$5&amp;"|"&amp;RIGHT("000000"&amp;304,6),CalcRankKey,0),"")</f>
        <v/>
      </c>
    </row>
    <row r="321">
      <c r="A321" s="26">
        <f>IF($B321="","",305)</f>
        <v/>
      </c>
      <c r="B321" s="26">
        <f>IF($P321="","",IF(INDEX(CalcNormDate,$P321)=0,"",INDEX(CalcNormDate,$P321)))</f>
        <v/>
      </c>
      <c r="C321" s="26">
        <f>IF($P321="","",IF(INDEX(CalcTime,$P321)=0,"",INDEX(CalcTime,$P321)))</f>
        <v/>
      </c>
      <c r="D321" s="26">
        <f>IF($P321="","",IF(INDEX(EntryParty,$P321)=0,"",INDEX(EntryParty,$P321)))</f>
        <v/>
      </c>
      <c r="E321" s="26">
        <f>IF($P321="","",IF(INDEX(EntryPartyName,$P321)=0,"",INDEX(EntryPartyName,$P321)))</f>
        <v/>
      </c>
      <c r="F321" s="26">
        <f>IF($P321="","",IF(INDEX(EntryPartyType,$P321)=0,"",INDEX(EntryPartyType,$P321)))</f>
        <v/>
      </c>
      <c r="G321" s="26">
        <f>IF($P321="","",IF(INDEX(EntryTxnType,$P321)=0,"",INDEX(EntryTxnType,$P321)))</f>
        <v/>
      </c>
      <c r="H321" s="27">
        <f>IF($P321="","",IF(INDEX(EntryDep,$P321)=0,"",INDEX(EntryDep,$P321)))</f>
        <v/>
      </c>
      <c r="I321" s="27">
        <f>IF($P321="","",IF(INDEX(EntryWit,$P321)=0,"",INDEX(EntryWit,$P321)))</f>
        <v/>
      </c>
      <c r="J321" s="27">
        <f>IF($B321="","",IF($A321=1,$C$7,IF(J320="",0,J320))+IF($H321="",0,$H321)-IF($I321="",0,$I321))</f>
        <v/>
      </c>
      <c r="K321" s="27">
        <f>IF($P321="","",IF(INDEX(EntryMan,$P321)=0,"",INDEX(EntryMan,$P321)))</f>
        <v/>
      </c>
      <c r="L321" s="26">
        <f>IF($B321="","",IF($K321="","—",IF(ROUND($K321-$J321,0)=0,"√","×")))</f>
        <v/>
      </c>
      <c r="M321" s="26">
        <f>IF($B321="","",IF(COUNTIFS(EntryDates,$B321,CalcTime,$C321,CalcBank,$C$5,EntryParty,$D321,EntryDep,$H321,EntryWit,$I321)&gt;1,"تکرار",""))</f>
        <v/>
      </c>
      <c r="N321" s="26">
        <f>IF($P321="","",IF(INDEX(EntryNotes,$P321)=0,"",INDEX(EntryNotes,$P321)))</f>
        <v/>
      </c>
      <c r="O321" s="26">
        <f>IF($P321="","",IF(INDEX(EntryTxnID,$P321)=0,"",INDEX(EntryTxnID,$P321)))</f>
        <v/>
      </c>
      <c r="P321" s="26">
        <f>IFERROR(MATCH($C$5&amp;"|"&amp;RIGHT("000000"&amp;305,6),CalcRankKey,0),"")</f>
        <v/>
      </c>
    </row>
    <row r="322">
      <c r="A322" s="28">
        <f>IF($B322="","",306)</f>
        <v/>
      </c>
      <c r="B322" s="28">
        <f>IF($P322="","",IF(INDEX(CalcNormDate,$P322)=0,"",INDEX(CalcNormDate,$P322)))</f>
        <v/>
      </c>
      <c r="C322" s="28">
        <f>IF($P322="","",IF(INDEX(CalcTime,$P322)=0,"",INDEX(CalcTime,$P322)))</f>
        <v/>
      </c>
      <c r="D322" s="28">
        <f>IF($P322="","",IF(INDEX(EntryParty,$P322)=0,"",INDEX(EntryParty,$P322)))</f>
        <v/>
      </c>
      <c r="E322" s="28">
        <f>IF($P322="","",IF(INDEX(EntryPartyName,$P322)=0,"",INDEX(EntryPartyName,$P322)))</f>
        <v/>
      </c>
      <c r="F322" s="28">
        <f>IF($P322="","",IF(INDEX(EntryPartyType,$P322)=0,"",INDEX(EntryPartyType,$P322)))</f>
        <v/>
      </c>
      <c r="G322" s="28">
        <f>IF($P322="","",IF(INDEX(EntryTxnType,$P322)=0,"",INDEX(EntryTxnType,$P322)))</f>
        <v/>
      </c>
      <c r="H322" s="29">
        <f>IF($P322="","",IF(INDEX(EntryDep,$P322)=0,"",INDEX(EntryDep,$P322)))</f>
        <v/>
      </c>
      <c r="I322" s="29">
        <f>IF($P322="","",IF(INDEX(EntryWit,$P322)=0,"",INDEX(EntryWit,$P322)))</f>
        <v/>
      </c>
      <c r="J322" s="29">
        <f>IF($B322="","",IF($A322=1,$C$7,IF(J321="",0,J321))+IF($H322="",0,$H322)-IF($I322="",0,$I322))</f>
        <v/>
      </c>
      <c r="K322" s="29">
        <f>IF($P322="","",IF(INDEX(EntryMan,$P322)=0,"",INDEX(EntryMan,$P322)))</f>
        <v/>
      </c>
      <c r="L322" s="28">
        <f>IF($B322="","",IF($K322="","—",IF(ROUND($K322-$J322,0)=0,"√","×")))</f>
        <v/>
      </c>
      <c r="M322" s="28">
        <f>IF($B322="","",IF(COUNTIFS(EntryDates,$B322,CalcTime,$C322,CalcBank,$C$5,EntryParty,$D322,EntryDep,$H322,EntryWit,$I322)&gt;1,"تکرار",""))</f>
        <v/>
      </c>
      <c r="N322" s="28">
        <f>IF($P322="","",IF(INDEX(EntryNotes,$P322)=0,"",INDEX(EntryNotes,$P322)))</f>
        <v/>
      </c>
      <c r="O322" s="28">
        <f>IF($P322="","",IF(INDEX(EntryTxnID,$P322)=0,"",INDEX(EntryTxnID,$P322)))</f>
        <v/>
      </c>
      <c r="P322" s="28">
        <f>IFERROR(MATCH($C$5&amp;"|"&amp;RIGHT("000000"&amp;306,6),CalcRankKey,0),"")</f>
        <v/>
      </c>
    </row>
    <row r="323">
      <c r="A323" s="26">
        <f>IF($B323="","",307)</f>
        <v/>
      </c>
      <c r="B323" s="26">
        <f>IF($P323="","",IF(INDEX(CalcNormDate,$P323)=0,"",INDEX(CalcNormDate,$P323)))</f>
        <v/>
      </c>
      <c r="C323" s="26">
        <f>IF($P323="","",IF(INDEX(CalcTime,$P323)=0,"",INDEX(CalcTime,$P323)))</f>
        <v/>
      </c>
      <c r="D323" s="26">
        <f>IF($P323="","",IF(INDEX(EntryParty,$P323)=0,"",INDEX(EntryParty,$P323)))</f>
        <v/>
      </c>
      <c r="E323" s="26">
        <f>IF($P323="","",IF(INDEX(EntryPartyName,$P323)=0,"",INDEX(EntryPartyName,$P323)))</f>
        <v/>
      </c>
      <c r="F323" s="26">
        <f>IF($P323="","",IF(INDEX(EntryPartyType,$P323)=0,"",INDEX(EntryPartyType,$P323)))</f>
        <v/>
      </c>
      <c r="G323" s="26">
        <f>IF($P323="","",IF(INDEX(EntryTxnType,$P323)=0,"",INDEX(EntryTxnType,$P323)))</f>
        <v/>
      </c>
      <c r="H323" s="27">
        <f>IF($P323="","",IF(INDEX(EntryDep,$P323)=0,"",INDEX(EntryDep,$P323)))</f>
        <v/>
      </c>
      <c r="I323" s="27">
        <f>IF($P323="","",IF(INDEX(EntryWit,$P323)=0,"",INDEX(EntryWit,$P323)))</f>
        <v/>
      </c>
      <c r="J323" s="27">
        <f>IF($B323="","",IF($A323=1,$C$7,IF(J322="",0,J322))+IF($H323="",0,$H323)-IF($I323="",0,$I323))</f>
        <v/>
      </c>
      <c r="K323" s="27">
        <f>IF($P323="","",IF(INDEX(EntryMan,$P323)=0,"",INDEX(EntryMan,$P323)))</f>
        <v/>
      </c>
      <c r="L323" s="26">
        <f>IF($B323="","",IF($K323="","—",IF(ROUND($K323-$J323,0)=0,"√","×")))</f>
        <v/>
      </c>
      <c r="M323" s="26">
        <f>IF($B323="","",IF(COUNTIFS(EntryDates,$B323,CalcTime,$C323,CalcBank,$C$5,EntryParty,$D323,EntryDep,$H323,EntryWit,$I323)&gt;1,"تکرار",""))</f>
        <v/>
      </c>
      <c r="N323" s="26">
        <f>IF($P323="","",IF(INDEX(EntryNotes,$P323)=0,"",INDEX(EntryNotes,$P323)))</f>
        <v/>
      </c>
      <c r="O323" s="26">
        <f>IF($P323="","",IF(INDEX(EntryTxnID,$P323)=0,"",INDEX(EntryTxnID,$P323)))</f>
        <v/>
      </c>
      <c r="P323" s="26">
        <f>IFERROR(MATCH($C$5&amp;"|"&amp;RIGHT("000000"&amp;307,6),CalcRankKey,0),"")</f>
        <v/>
      </c>
    </row>
    <row r="324">
      <c r="A324" s="28">
        <f>IF($B324="","",308)</f>
        <v/>
      </c>
      <c r="B324" s="28">
        <f>IF($P324="","",IF(INDEX(CalcNormDate,$P324)=0,"",INDEX(CalcNormDate,$P324)))</f>
        <v/>
      </c>
      <c r="C324" s="28">
        <f>IF($P324="","",IF(INDEX(CalcTime,$P324)=0,"",INDEX(CalcTime,$P324)))</f>
        <v/>
      </c>
      <c r="D324" s="28">
        <f>IF($P324="","",IF(INDEX(EntryParty,$P324)=0,"",INDEX(EntryParty,$P324)))</f>
        <v/>
      </c>
      <c r="E324" s="28">
        <f>IF($P324="","",IF(INDEX(EntryPartyName,$P324)=0,"",INDEX(EntryPartyName,$P324)))</f>
        <v/>
      </c>
      <c r="F324" s="28">
        <f>IF($P324="","",IF(INDEX(EntryPartyType,$P324)=0,"",INDEX(EntryPartyType,$P324)))</f>
        <v/>
      </c>
      <c r="G324" s="28">
        <f>IF($P324="","",IF(INDEX(EntryTxnType,$P324)=0,"",INDEX(EntryTxnType,$P324)))</f>
        <v/>
      </c>
      <c r="H324" s="29">
        <f>IF($P324="","",IF(INDEX(EntryDep,$P324)=0,"",INDEX(EntryDep,$P324)))</f>
        <v/>
      </c>
      <c r="I324" s="29">
        <f>IF($P324="","",IF(INDEX(EntryWit,$P324)=0,"",INDEX(EntryWit,$P324)))</f>
        <v/>
      </c>
      <c r="J324" s="29">
        <f>IF($B324="","",IF($A324=1,$C$7,IF(J323="",0,J323))+IF($H324="",0,$H324)-IF($I324="",0,$I324))</f>
        <v/>
      </c>
      <c r="K324" s="29">
        <f>IF($P324="","",IF(INDEX(EntryMan,$P324)=0,"",INDEX(EntryMan,$P324)))</f>
        <v/>
      </c>
      <c r="L324" s="28">
        <f>IF($B324="","",IF($K324="","—",IF(ROUND($K324-$J324,0)=0,"√","×")))</f>
        <v/>
      </c>
      <c r="M324" s="28">
        <f>IF($B324="","",IF(COUNTIFS(EntryDates,$B324,CalcTime,$C324,CalcBank,$C$5,EntryParty,$D324,EntryDep,$H324,EntryWit,$I324)&gt;1,"تکرار",""))</f>
        <v/>
      </c>
      <c r="N324" s="28">
        <f>IF($P324="","",IF(INDEX(EntryNotes,$P324)=0,"",INDEX(EntryNotes,$P324)))</f>
        <v/>
      </c>
      <c r="O324" s="28">
        <f>IF($P324="","",IF(INDEX(EntryTxnID,$P324)=0,"",INDEX(EntryTxnID,$P324)))</f>
        <v/>
      </c>
      <c r="P324" s="28">
        <f>IFERROR(MATCH($C$5&amp;"|"&amp;RIGHT("000000"&amp;308,6),CalcRankKey,0),"")</f>
        <v/>
      </c>
    </row>
    <row r="325">
      <c r="A325" s="26">
        <f>IF($B325="","",309)</f>
        <v/>
      </c>
      <c r="B325" s="26">
        <f>IF($P325="","",IF(INDEX(CalcNormDate,$P325)=0,"",INDEX(CalcNormDate,$P325)))</f>
        <v/>
      </c>
      <c r="C325" s="26">
        <f>IF($P325="","",IF(INDEX(CalcTime,$P325)=0,"",INDEX(CalcTime,$P325)))</f>
        <v/>
      </c>
      <c r="D325" s="26">
        <f>IF($P325="","",IF(INDEX(EntryParty,$P325)=0,"",INDEX(EntryParty,$P325)))</f>
        <v/>
      </c>
      <c r="E325" s="26">
        <f>IF($P325="","",IF(INDEX(EntryPartyName,$P325)=0,"",INDEX(EntryPartyName,$P325)))</f>
        <v/>
      </c>
      <c r="F325" s="26">
        <f>IF($P325="","",IF(INDEX(EntryPartyType,$P325)=0,"",INDEX(EntryPartyType,$P325)))</f>
        <v/>
      </c>
      <c r="G325" s="26">
        <f>IF($P325="","",IF(INDEX(EntryTxnType,$P325)=0,"",INDEX(EntryTxnType,$P325)))</f>
        <v/>
      </c>
      <c r="H325" s="27">
        <f>IF($P325="","",IF(INDEX(EntryDep,$P325)=0,"",INDEX(EntryDep,$P325)))</f>
        <v/>
      </c>
      <c r="I325" s="27">
        <f>IF($P325="","",IF(INDEX(EntryWit,$P325)=0,"",INDEX(EntryWit,$P325)))</f>
        <v/>
      </c>
      <c r="J325" s="27">
        <f>IF($B325="","",IF($A325=1,$C$7,IF(J324="",0,J324))+IF($H325="",0,$H325)-IF($I325="",0,$I325))</f>
        <v/>
      </c>
      <c r="K325" s="27">
        <f>IF($P325="","",IF(INDEX(EntryMan,$P325)=0,"",INDEX(EntryMan,$P325)))</f>
        <v/>
      </c>
      <c r="L325" s="26">
        <f>IF($B325="","",IF($K325="","—",IF(ROUND($K325-$J325,0)=0,"√","×")))</f>
        <v/>
      </c>
      <c r="M325" s="26">
        <f>IF($B325="","",IF(COUNTIFS(EntryDates,$B325,CalcTime,$C325,CalcBank,$C$5,EntryParty,$D325,EntryDep,$H325,EntryWit,$I325)&gt;1,"تکرار",""))</f>
        <v/>
      </c>
      <c r="N325" s="26">
        <f>IF($P325="","",IF(INDEX(EntryNotes,$P325)=0,"",INDEX(EntryNotes,$P325)))</f>
        <v/>
      </c>
      <c r="O325" s="26">
        <f>IF($P325="","",IF(INDEX(EntryTxnID,$P325)=0,"",INDEX(EntryTxnID,$P325)))</f>
        <v/>
      </c>
      <c r="P325" s="26">
        <f>IFERROR(MATCH($C$5&amp;"|"&amp;RIGHT("000000"&amp;309,6),CalcRankKey,0),"")</f>
        <v/>
      </c>
    </row>
    <row r="326">
      <c r="A326" s="28">
        <f>IF($B326="","",310)</f>
        <v/>
      </c>
      <c r="B326" s="28">
        <f>IF($P326="","",IF(INDEX(CalcNormDate,$P326)=0,"",INDEX(CalcNormDate,$P326)))</f>
        <v/>
      </c>
      <c r="C326" s="28">
        <f>IF($P326="","",IF(INDEX(CalcTime,$P326)=0,"",INDEX(CalcTime,$P326)))</f>
        <v/>
      </c>
      <c r="D326" s="28">
        <f>IF($P326="","",IF(INDEX(EntryParty,$P326)=0,"",INDEX(EntryParty,$P326)))</f>
        <v/>
      </c>
      <c r="E326" s="28">
        <f>IF($P326="","",IF(INDEX(EntryPartyName,$P326)=0,"",INDEX(EntryPartyName,$P326)))</f>
        <v/>
      </c>
      <c r="F326" s="28">
        <f>IF($P326="","",IF(INDEX(EntryPartyType,$P326)=0,"",INDEX(EntryPartyType,$P326)))</f>
        <v/>
      </c>
      <c r="G326" s="28">
        <f>IF($P326="","",IF(INDEX(EntryTxnType,$P326)=0,"",INDEX(EntryTxnType,$P326)))</f>
        <v/>
      </c>
      <c r="H326" s="29">
        <f>IF($P326="","",IF(INDEX(EntryDep,$P326)=0,"",INDEX(EntryDep,$P326)))</f>
        <v/>
      </c>
      <c r="I326" s="29">
        <f>IF($P326="","",IF(INDEX(EntryWit,$P326)=0,"",INDEX(EntryWit,$P326)))</f>
        <v/>
      </c>
      <c r="J326" s="29">
        <f>IF($B326="","",IF($A326=1,$C$7,IF(J325="",0,J325))+IF($H326="",0,$H326)-IF($I326="",0,$I326))</f>
        <v/>
      </c>
      <c r="K326" s="29">
        <f>IF($P326="","",IF(INDEX(EntryMan,$P326)=0,"",INDEX(EntryMan,$P326)))</f>
        <v/>
      </c>
      <c r="L326" s="28">
        <f>IF($B326="","",IF($K326="","—",IF(ROUND($K326-$J326,0)=0,"√","×")))</f>
        <v/>
      </c>
      <c r="M326" s="28">
        <f>IF($B326="","",IF(COUNTIFS(EntryDates,$B326,CalcTime,$C326,CalcBank,$C$5,EntryParty,$D326,EntryDep,$H326,EntryWit,$I326)&gt;1,"تکرار",""))</f>
        <v/>
      </c>
      <c r="N326" s="28">
        <f>IF($P326="","",IF(INDEX(EntryNotes,$P326)=0,"",INDEX(EntryNotes,$P326)))</f>
        <v/>
      </c>
      <c r="O326" s="28">
        <f>IF($P326="","",IF(INDEX(EntryTxnID,$P326)=0,"",INDEX(EntryTxnID,$P326)))</f>
        <v/>
      </c>
      <c r="P326" s="28">
        <f>IFERROR(MATCH($C$5&amp;"|"&amp;RIGHT("000000"&amp;310,6),CalcRankKey,0),"")</f>
        <v/>
      </c>
    </row>
    <row r="327">
      <c r="A327" s="26">
        <f>IF($B327="","",311)</f>
        <v/>
      </c>
      <c r="B327" s="26">
        <f>IF($P327="","",IF(INDEX(CalcNormDate,$P327)=0,"",INDEX(CalcNormDate,$P327)))</f>
        <v/>
      </c>
      <c r="C327" s="26">
        <f>IF($P327="","",IF(INDEX(CalcTime,$P327)=0,"",INDEX(CalcTime,$P327)))</f>
        <v/>
      </c>
      <c r="D327" s="26">
        <f>IF($P327="","",IF(INDEX(EntryParty,$P327)=0,"",INDEX(EntryParty,$P327)))</f>
        <v/>
      </c>
      <c r="E327" s="26">
        <f>IF($P327="","",IF(INDEX(EntryPartyName,$P327)=0,"",INDEX(EntryPartyName,$P327)))</f>
        <v/>
      </c>
      <c r="F327" s="26">
        <f>IF($P327="","",IF(INDEX(EntryPartyType,$P327)=0,"",INDEX(EntryPartyType,$P327)))</f>
        <v/>
      </c>
      <c r="G327" s="26">
        <f>IF($P327="","",IF(INDEX(EntryTxnType,$P327)=0,"",INDEX(EntryTxnType,$P327)))</f>
        <v/>
      </c>
      <c r="H327" s="27">
        <f>IF($P327="","",IF(INDEX(EntryDep,$P327)=0,"",INDEX(EntryDep,$P327)))</f>
        <v/>
      </c>
      <c r="I327" s="27">
        <f>IF($P327="","",IF(INDEX(EntryWit,$P327)=0,"",INDEX(EntryWit,$P327)))</f>
        <v/>
      </c>
      <c r="J327" s="27">
        <f>IF($B327="","",IF($A327=1,$C$7,IF(J326="",0,J326))+IF($H327="",0,$H327)-IF($I327="",0,$I327))</f>
        <v/>
      </c>
      <c r="K327" s="27">
        <f>IF($P327="","",IF(INDEX(EntryMan,$P327)=0,"",INDEX(EntryMan,$P327)))</f>
        <v/>
      </c>
      <c r="L327" s="26">
        <f>IF($B327="","",IF($K327="","—",IF(ROUND($K327-$J327,0)=0,"√","×")))</f>
        <v/>
      </c>
      <c r="M327" s="26">
        <f>IF($B327="","",IF(COUNTIFS(EntryDates,$B327,CalcTime,$C327,CalcBank,$C$5,EntryParty,$D327,EntryDep,$H327,EntryWit,$I327)&gt;1,"تکرار",""))</f>
        <v/>
      </c>
      <c r="N327" s="26">
        <f>IF($P327="","",IF(INDEX(EntryNotes,$P327)=0,"",INDEX(EntryNotes,$P327)))</f>
        <v/>
      </c>
      <c r="O327" s="26">
        <f>IF($P327="","",IF(INDEX(EntryTxnID,$P327)=0,"",INDEX(EntryTxnID,$P327)))</f>
        <v/>
      </c>
      <c r="P327" s="26">
        <f>IFERROR(MATCH($C$5&amp;"|"&amp;RIGHT("000000"&amp;311,6),CalcRankKey,0),"")</f>
        <v/>
      </c>
    </row>
    <row r="328">
      <c r="A328" s="28">
        <f>IF($B328="","",312)</f>
        <v/>
      </c>
      <c r="B328" s="28">
        <f>IF($P328="","",IF(INDEX(CalcNormDate,$P328)=0,"",INDEX(CalcNormDate,$P328)))</f>
        <v/>
      </c>
      <c r="C328" s="28">
        <f>IF($P328="","",IF(INDEX(CalcTime,$P328)=0,"",INDEX(CalcTime,$P328)))</f>
        <v/>
      </c>
      <c r="D328" s="28">
        <f>IF($P328="","",IF(INDEX(EntryParty,$P328)=0,"",INDEX(EntryParty,$P328)))</f>
        <v/>
      </c>
      <c r="E328" s="28">
        <f>IF($P328="","",IF(INDEX(EntryPartyName,$P328)=0,"",INDEX(EntryPartyName,$P328)))</f>
        <v/>
      </c>
      <c r="F328" s="28">
        <f>IF($P328="","",IF(INDEX(EntryPartyType,$P328)=0,"",INDEX(EntryPartyType,$P328)))</f>
        <v/>
      </c>
      <c r="G328" s="28">
        <f>IF($P328="","",IF(INDEX(EntryTxnType,$P328)=0,"",INDEX(EntryTxnType,$P328)))</f>
        <v/>
      </c>
      <c r="H328" s="29">
        <f>IF($P328="","",IF(INDEX(EntryDep,$P328)=0,"",INDEX(EntryDep,$P328)))</f>
        <v/>
      </c>
      <c r="I328" s="29">
        <f>IF($P328="","",IF(INDEX(EntryWit,$P328)=0,"",INDEX(EntryWit,$P328)))</f>
        <v/>
      </c>
      <c r="J328" s="29">
        <f>IF($B328="","",IF($A328=1,$C$7,IF(J327="",0,J327))+IF($H328="",0,$H328)-IF($I328="",0,$I328))</f>
        <v/>
      </c>
      <c r="K328" s="29">
        <f>IF($P328="","",IF(INDEX(EntryMan,$P328)=0,"",INDEX(EntryMan,$P328)))</f>
        <v/>
      </c>
      <c r="L328" s="28">
        <f>IF($B328="","",IF($K328="","—",IF(ROUND($K328-$J328,0)=0,"√","×")))</f>
        <v/>
      </c>
      <c r="M328" s="28">
        <f>IF($B328="","",IF(COUNTIFS(EntryDates,$B328,CalcTime,$C328,CalcBank,$C$5,EntryParty,$D328,EntryDep,$H328,EntryWit,$I328)&gt;1,"تکرار",""))</f>
        <v/>
      </c>
      <c r="N328" s="28">
        <f>IF($P328="","",IF(INDEX(EntryNotes,$P328)=0,"",INDEX(EntryNotes,$P328)))</f>
        <v/>
      </c>
      <c r="O328" s="28">
        <f>IF($P328="","",IF(INDEX(EntryTxnID,$P328)=0,"",INDEX(EntryTxnID,$P328)))</f>
        <v/>
      </c>
      <c r="P328" s="28">
        <f>IFERROR(MATCH($C$5&amp;"|"&amp;RIGHT("000000"&amp;312,6),CalcRankKey,0),"")</f>
        <v/>
      </c>
    </row>
    <row r="329">
      <c r="A329" s="26">
        <f>IF($B329="","",313)</f>
        <v/>
      </c>
      <c r="B329" s="26">
        <f>IF($P329="","",IF(INDEX(CalcNormDate,$P329)=0,"",INDEX(CalcNormDate,$P329)))</f>
        <v/>
      </c>
      <c r="C329" s="26">
        <f>IF($P329="","",IF(INDEX(CalcTime,$P329)=0,"",INDEX(CalcTime,$P329)))</f>
        <v/>
      </c>
      <c r="D329" s="26">
        <f>IF($P329="","",IF(INDEX(EntryParty,$P329)=0,"",INDEX(EntryParty,$P329)))</f>
        <v/>
      </c>
      <c r="E329" s="26">
        <f>IF($P329="","",IF(INDEX(EntryPartyName,$P329)=0,"",INDEX(EntryPartyName,$P329)))</f>
        <v/>
      </c>
      <c r="F329" s="26">
        <f>IF($P329="","",IF(INDEX(EntryPartyType,$P329)=0,"",INDEX(EntryPartyType,$P329)))</f>
        <v/>
      </c>
      <c r="G329" s="26">
        <f>IF($P329="","",IF(INDEX(EntryTxnType,$P329)=0,"",INDEX(EntryTxnType,$P329)))</f>
        <v/>
      </c>
      <c r="H329" s="27">
        <f>IF($P329="","",IF(INDEX(EntryDep,$P329)=0,"",INDEX(EntryDep,$P329)))</f>
        <v/>
      </c>
      <c r="I329" s="27">
        <f>IF($P329="","",IF(INDEX(EntryWit,$P329)=0,"",INDEX(EntryWit,$P329)))</f>
        <v/>
      </c>
      <c r="J329" s="27">
        <f>IF($B329="","",IF($A329=1,$C$7,IF(J328="",0,J328))+IF($H329="",0,$H329)-IF($I329="",0,$I329))</f>
        <v/>
      </c>
      <c r="K329" s="27">
        <f>IF($P329="","",IF(INDEX(EntryMan,$P329)=0,"",INDEX(EntryMan,$P329)))</f>
        <v/>
      </c>
      <c r="L329" s="26">
        <f>IF($B329="","",IF($K329="","—",IF(ROUND($K329-$J329,0)=0,"√","×")))</f>
        <v/>
      </c>
      <c r="M329" s="26">
        <f>IF($B329="","",IF(COUNTIFS(EntryDates,$B329,CalcTime,$C329,CalcBank,$C$5,EntryParty,$D329,EntryDep,$H329,EntryWit,$I329)&gt;1,"تکرار",""))</f>
        <v/>
      </c>
      <c r="N329" s="26">
        <f>IF($P329="","",IF(INDEX(EntryNotes,$P329)=0,"",INDEX(EntryNotes,$P329)))</f>
        <v/>
      </c>
      <c r="O329" s="26">
        <f>IF($P329="","",IF(INDEX(EntryTxnID,$P329)=0,"",INDEX(EntryTxnID,$P329)))</f>
        <v/>
      </c>
      <c r="P329" s="26">
        <f>IFERROR(MATCH($C$5&amp;"|"&amp;RIGHT("000000"&amp;313,6),CalcRankKey,0),"")</f>
        <v/>
      </c>
    </row>
    <row r="330">
      <c r="A330" s="28">
        <f>IF($B330="","",314)</f>
        <v/>
      </c>
      <c r="B330" s="28">
        <f>IF($P330="","",IF(INDEX(CalcNormDate,$P330)=0,"",INDEX(CalcNormDate,$P330)))</f>
        <v/>
      </c>
      <c r="C330" s="28">
        <f>IF($P330="","",IF(INDEX(CalcTime,$P330)=0,"",INDEX(CalcTime,$P330)))</f>
        <v/>
      </c>
      <c r="D330" s="28">
        <f>IF($P330="","",IF(INDEX(EntryParty,$P330)=0,"",INDEX(EntryParty,$P330)))</f>
        <v/>
      </c>
      <c r="E330" s="28">
        <f>IF($P330="","",IF(INDEX(EntryPartyName,$P330)=0,"",INDEX(EntryPartyName,$P330)))</f>
        <v/>
      </c>
      <c r="F330" s="28">
        <f>IF($P330="","",IF(INDEX(EntryPartyType,$P330)=0,"",INDEX(EntryPartyType,$P330)))</f>
        <v/>
      </c>
      <c r="G330" s="28">
        <f>IF($P330="","",IF(INDEX(EntryTxnType,$P330)=0,"",INDEX(EntryTxnType,$P330)))</f>
        <v/>
      </c>
      <c r="H330" s="29">
        <f>IF($P330="","",IF(INDEX(EntryDep,$P330)=0,"",INDEX(EntryDep,$P330)))</f>
        <v/>
      </c>
      <c r="I330" s="29">
        <f>IF($P330="","",IF(INDEX(EntryWit,$P330)=0,"",INDEX(EntryWit,$P330)))</f>
        <v/>
      </c>
      <c r="J330" s="29">
        <f>IF($B330="","",IF($A330=1,$C$7,IF(J329="",0,J329))+IF($H330="",0,$H330)-IF($I330="",0,$I330))</f>
        <v/>
      </c>
      <c r="K330" s="29">
        <f>IF($P330="","",IF(INDEX(EntryMan,$P330)=0,"",INDEX(EntryMan,$P330)))</f>
        <v/>
      </c>
      <c r="L330" s="28">
        <f>IF($B330="","",IF($K330="","—",IF(ROUND($K330-$J330,0)=0,"√","×")))</f>
        <v/>
      </c>
      <c r="M330" s="28">
        <f>IF($B330="","",IF(COUNTIFS(EntryDates,$B330,CalcTime,$C330,CalcBank,$C$5,EntryParty,$D330,EntryDep,$H330,EntryWit,$I330)&gt;1,"تکرار",""))</f>
        <v/>
      </c>
      <c r="N330" s="28">
        <f>IF($P330="","",IF(INDEX(EntryNotes,$P330)=0,"",INDEX(EntryNotes,$P330)))</f>
        <v/>
      </c>
      <c r="O330" s="28">
        <f>IF($P330="","",IF(INDEX(EntryTxnID,$P330)=0,"",INDEX(EntryTxnID,$P330)))</f>
        <v/>
      </c>
      <c r="P330" s="28">
        <f>IFERROR(MATCH($C$5&amp;"|"&amp;RIGHT("000000"&amp;314,6),CalcRankKey,0),"")</f>
        <v/>
      </c>
    </row>
    <row r="331">
      <c r="A331" s="26">
        <f>IF($B331="","",315)</f>
        <v/>
      </c>
      <c r="B331" s="26">
        <f>IF($P331="","",IF(INDEX(CalcNormDate,$P331)=0,"",INDEX(CalcNormDate,$P331)))</f>
        <v/>
      </c>
      <c r="C331" s="26">
        <f>IF($P331="","",IF(INDEX(CalcTime,$P331)=0,"",INDEX(CalcTime,$P331)))</f>
        <v/>
      </c>
      <c r="D331" s="26">
        <f>IF($P331="","",IF(INDEX(EntryParty,$P331)=0,"",INDEX(EntryParty,$P331)))</f>
        <v/>
      </c>
      <c r="E331" s="26">
        <f>IF($P331="","",IF(INDEX(EntryPartyName,$P331)=0,"",INDEX(EntryPartyName,$P331)))</f>
        <v/>
      </c>
      <c r="F331" s="26">
        <f>IF($P331="","",IF(INDEX(EntryPartyType,$P331)=0,"",INDEX(EntryPartyType,$P331)))</f>
        <v/>
      </c>
      <c r="G331" s="26">
        <f>IF($P331="","",IF(INDEX(EntryTxnType,$P331)=0,"",INDEX(EntryTxnType,$P331)))</f>
        <v/>
      </c>
      <c r="H331" s="27">
        <f>IF($P331="","",IF(INDEX(EntryDep,$P331)=0,"",INDEX(EntryDep,$P331)))</f>
        <v/>
      </c>
      <c r="I331" s="27">
        <f>IF($P331="","",IF(INDEX(EntryWit,$P331)=0,"",INDEX(EntryWit,$P331)))</f>
        <v/>
      </c>
      <c r="J331" s="27">
        <f>IF($B331="","",IF($A331=1,$C$7,IF(J330="",0,J330))+IF($H331="",0,$H331)-IF($I331="",0,$I331))</f>
        <v/>
      </c>
      <c r="K331" s="27">
        <f>IF($P331="","",IF(INDEX(EntryMan,$P331)=0,"",INDEX(EntryMan,$P331)))</f>
        <v/>
      </c>
      <c r="L331" s="26">
        <f>IF($B331="","",IF($K331="","—",IF(ROUND($K331-$J331,0)=0,"√","×")))</f>
        <v/>
      </c>
      <c r="M331" s="26">
        <f>IF($B331="","",IF(COUNTIFS(EntryDates,$B331,CalcTime,$C331,CalcBank,$C$5,EntryParty,$D331,EntryDep,$H331,EntryWit,$I331)&gt;1,"تکرار",""))</f>
        <v/>
      </c>
      <c r="N331" s="26">
        <f>IF($P331="","",IF(INDEX(EntryNotes,$P331)=0,"",INDEX(EntryNotes,$P331)))</f>
        <v/>
      </c>
      <c r="O331" s="26">
        <f>IF($P331="","",IF(INDEX(EntryTxnID,$P331)=0,"",INDEX(EntryTxnID,$P331)))</f>
        <v/>
      </c>
      <c r="P331" s="26">
        <f>IFERROR(MATCH($C$5&amp;"|"&amp;RIGHT("000000"&amp;315,6),CalcRankKey,0),"")</f>
        <v/>
      </c>
    </row>
    <row r="332">
      <c r="A332" s="28">
        <f>IF($B332="","",316)</f>
        <v/>
      </c>
      <c r="B332" s="28">
        <f>IF($P332="","",IF(INDEX(CalcNormDate,$P332)=0,"",INDEX(CalcNormDate,$P332)))</f>
        <v/>
      </c>
      <c r="C332" s="28">
        <f>IF($P332="","",IF(INDEX(CalcTime,$P332)=0,"",INDEX(CalcTime,$P332)))</f>
        <v/>
      </c>
      <c r="D332" s="28">
        <f>IF($P332="","",IF(INDEX(EntryParty,$P332)=0,"",INDEX(EntryParty,$P332)))</f>
        <v/>
      </c>
      <c r="E332" s="28">
        <f>IF($P332="","",IF(INDEX(EntryPartyName,$P332)=0,"",INDEX(EntryPartyName,$P332)))</f>
        <v/>
      </c>
      <c r="F332" s="28">
        <f>IF($P332="","",IF(INDEX(EntryPartyType,$P332)=0,"",INDEX(EntryPartyType,$P332)))</f>
        <v/>
      </c>
      <c r="G332" s="28">
        <f>IF($P332="","",IF(INDEX(EntryTxnType,$P332)=0,"",INDEX(EntryTxnType,$P332)))</f>
        <v/>
      </c>
      <c r="H332" s="29">
        <f>IF($P332="","",IF(INDEX(EntryDep,$P332)=0,"",INDEX(EntryDep,$P332)))</f>
        <v/>
      </c>
      <c r="I332" s="29">
        <f>IF($P332="","",IF(INDEX(EntryWit,$P332)=0,"",INDEX(EntryWit,$P332)))</f>
        <v/>
      </c>
      <c r="J332" s="29">
        <f>IF($B332="","",IF($A332=1,$C$7,IF(J331="",0,J331))+IF($H332="",0,$H332)-IF($I332="",0,$I332))</f>
        <v/>
      </c>
      <c r="K332" s="29">
        <f>IF($P332="","",IF(INDEX(EntryMan,$P332)=0,"",INDEX(EntryMan,$P332)))</f>
        <v/>
      </c>
      <c r="L332" s="28">
        <f>IF($B332="","",IF($K332="","—",IF(ROUND($K332-$J332,0)=0,"√","×")))</f>
        <v/>
      </c>
      <c r="M332" s="28">
        <f>IF($B332="","",IF(COUNTIFS(EntryDates,$B332,CalcTime,$C332,CalcBank,$C$5,EntryParty,$D332,EntryDep,$H332,EntryWit,$I332)&gt;1,"تکرار",""))</f>
        <v/>
      </c>
      <c r="N332" s="28">
        <f>IF($P332="","",IF(INDEX(EntryNotes,$P332)=0,"",INDEX(EntryNotes,$P332)))</f>
        <v/>
      </c>
      <c r="O332" s="28">
        <f>IF($P332="","",IF(INDEX(EntryTxnID,$P332)=0,"",INDEX(EntryTxnID,$P332)))</f>
        <v/>
      </c>
      <c r="P332" s="28">
        <f>IFERROR(MATCH($C$5&amp;"|"&amp;RIGHT("000000"&amp;316,6),CalcRankKey,0),"")</f>
        <v/>
      </c>
    </row>
    <row r="333">
      <c r="A333" s="26">
        <f>IF($B333="","",317)</f>
        <v/>
      </c>
      <c r="B333" s="26">
        <f>IF($P333="","",IF(INDEX(CalcNormDate,$P333)=0,"",INDEX(CalcNormDate,$P333)))</f>
        <v/>
      </c>
      <c r="C333" s="26">
        <f>IF($P333="","",IF(INDEX(CalcTime,$P333)=0,"",INDEX(CalcTime,$P333)))</f>
        <v/>
      </c>
      <c r="D333" s="26">
        <f>IF($P333="","",IF(INDEX(EntryParty,$P333)=0,"",INDEX(EntryParty,$P333)))</f>
        <v/>
      </c>
      <c r="E333" s="26">
        <f>IF($P333="","",IF(INDEX(EntryPartyName,$P333)=0,"",INDEX(EntryPartyName,$P333)))</f>
        <v/>
      </c>
      <c r="F333" s="26">
        <f>IF($P333="","",IF(INDEX(EntryPartyType,$P333)=0,"",INDEX(EntryPartyType,$P333)))</f>
        <v/>
      </c>
      <c r="G333" s="26">
        <f>IF($P333="","",IF(INDEX(EntryTxnType,$P333)=0,"",INDEX(EntryTxnType,$P333)))</f>
        <v/>
      </c>
      <c r="H333" s="27">
        <f>IF($P333="","",IF(INDEX(EntryDep,$P333)=0,"",INDEX(EntryDep,$P333)))</f>
        <v/>
      </c>
      <c r="I333" s="27">
        <f>IF($P333="","",IF(INDEX(EntryWit,$P333)=0,"",INDEX(EntryWit,$P333)))</f>
        <v/>
      </c>
      <c r="J333" s="27">
        <f>IF($B333="","",IF($A333=1,$C$7,IF(J332="",0,J332))+IF($H333="",0,$H333)-IF($I333="",0,$I333))</f>
        <v/>
      </c>
      <c r="K333" s="27">
        <f>IF($P333="","",IF(INDEX(EntryMan,$P333)=0,"",INDEX(EntryMan,$P333)))</f>
        <v/>
      </c>
      <c r="L333" s="26">
        <f>IF($B333="","",IF($K333="","—",IF(ROUND($K333-$J333,0)=0,"√","×")))</f>
        <v/>
      </c>
      <c r="M333" s="26">
        <f>IF($B333="","",IF(COUNTIFS(EntryDates,$B333,CalcTime,$C333,CalcBank,$C$5,EntryParty,$D333,EntryDep,$H333,EntryWit,$I333)&gt;1,"تکرار",""))</f>
        <v/>
      </c>
      <c r="N333" s="26">
        <f>IF($P333="","",IF(INDEX(EntryNotes,$P333)=0,"",INDEX(EntryNotes,$P333)))</f>
        <v/>
      </c>
      <c r="O333" s="26">
        <f>IF($P333="","",IF(INDEX(EntryTxnID,$P333)=0,"",INDEX(EntryTxnID,$P333)))</f>
        <v/>
      </c>
      <c r="P333" s="26">
        <f>IFERROR(MATCH($C$5&amp;"|"&amp;RIGHT("000000"&amp;317,6),CalcRankKey,0),"")</f>
        <v/>
      </c>
    </row>
    <row r="334">
      <c r="A334" s="28">
        <f>IF($B334="","",318)</f>
        <v/>
      </c>
      <c r="B334" s="28">
        <f>IF($P334="","",IF(INDEX(CalcNormDate,$P334)=0,"",INDEX(CalcNormDate,$P334)))</f>
        <v/>
      </c>
      <c r="C334" s="28">
        <f>IF($P334="","",IF(INDEX(CalcTime,$P334)=0,"",INDEX(CalcTime,$P334)))</f>
        <v/>
      </c>
      <c r="D334" s="28">
        <f>IF($P334="","",IF(INDEX(EntryParty,$P334)=0,"",INDEX(EntryParty,$P334)))</f>
        <v/>
      </c>
      <c r="E334" s="28">
        <f>IF($P334="","",IF(INDEX(EntryPartyName,$P334)=0,"",INDEX(EntryPartyName,$P334)))</f>
        <v/>
      </c>
      <c r="F334" s="28">
        <f>IF($P334="","",IF(INDEX(EntryPartyType,$P334)=0,"",INDEX(EntryPartyType,$P334)))</f>
        <v/>
      </c>
      <c r="G334" s="28">
        <f>IF($P334="","",IF(INDEX(EntryTxnType,$P334)=0,"",INDEX(EntryTxnType,$P334)))</f>
        <v/>
      </c>
      <c r="H334" s="29">
        <f>IF($P334="","",IF(INDEX(EntryDep,$P334)=0,"",INDEX(EntryDep,$P334)))</f>
        <v/>
      </c>
      <c r="I334" s="29">
        <f>IF($P334="","",IF(INDEX(EntryWit,$P334)=0,"",INDEX(EntryWit,$P334)))</f>
        <v/>
      </c>
      <c r="J334" s="29">
        <f>IF($B334="","",IF($A334=1,$C$7,IF(J333="",0,J333))+IF($H334="",0,$H334)-IF($I334="",0,$I334))</f>
        <v/>
      </c>
      <c r="K334" s="29">
        <f>IF($P334="","",IF(INDEX(EntryMan,$P334)=0,"",INDEX(EntryMan,$P334)))</f>
        <v/>
      </c>
      <c r="L334" s="28">
        <f>IF($B334="","",IF($K334="","—",IF(ROUND($K334-$J334,0)=0,"√","×")))</f>
        <v/>
      </c>
      <c r="M334" s="28">
        <f>IF($B334="","",IF(COUNTIFS(EntryDates,$B334,CalcTime,$C334,CalcBank,$C$5,EntryParty,$D334,EntryDep,$H334,EntryWit,$I334)&gt;1,"تکرار",""))</f>
        <v/>
      </c>
      <c r="N334" s="28">
        <f>IF($P334="","",IF(INDEX(EntryNotes,$P334)=0,"",INDEX(EntryNotes,$P334)))</f>
        <v/>
      </c>
      <c r="O334" s="28">
        <f>IF($P334="","",IF(INDEX(EntryTxnID,$P334)=0,"",INDEX(EntryTxnID,$P334)))</f>
        <v/>
      </c>
      <c r="P334" s="28">
        <f>IFERROR(MATCH($C$5&amp;"|"&amp;RIGHT("000000"&amp;318,6),CalcRankKey,0),"")</f>
        <v/>
      </c>
    </row>
    <row r="335">
      <c r="A335" s="26">
        <f>IF($B335="","",319)</f>
        <v/>
      </c>
      <c r="B335" s="26">
        <f>IF($P335="","",IF(INDEX(CalcNormDate,$P335)=0,"",INDEX(CalcNormDate,$P335)))</f>
        <v/>
      </c>
      <c r="C335" s="26">
        <f>IF($P335="","",IF(INDEX(CalcTime,$P335)=0,"",INDEX(CalcTime,$P335)))</f>
        <v/>
      </c>
      <c r="D335" s="26">
        <f>IF($P335="","",IF(INDEX(EntryParty,$P335)=0,"",INDEX(EntryParty,$P335)))</f>
        <v/>
      </c>
      <c r="E335" s="26">
        <f>IF($P335="","",IF(INDEX(EntryPartyName,$P335)=0,"",INDEX(EntryPartyName,$P335)))</f>
        <v/>
      </c>
      <c r="F335" s="26">
        <f>IF($P335="","",IF(INDEX(EntryPartyType,$P335)=0,"",INDEX(EntryPartyType,$P335)))</f>
        <v/>
      </c>
      <c r="G335" s="26">
        <f>IF($P335="","",IF(INDEX(EntryTxnType,$P335)=0,"",INDEX(EntryTxnType,$P335)))</f>
        <v/>
      </c>
      <c r="H335" s="27">
        <f>IF($P335="","",IF(INDEX(EntryDep,$P335)=0,"",INDEX(EntryDep,$P335)))</f>
        <v/>
      </c>
      <c r="I335" s="27">
        <f>IF($P335="","",IF(INDEX(EntryWit,$P335)=0,"",INDEX(EntryWit,$P335)))</f>
        <v/>
      </c>
      <c r="J335" s="27">
        <f>IF($B335="","",IF($A335=1,$C$7,IF(J334="",0,J334))+IF($H335="",0,$H335)-IF($I335="",0,$I335))</f>
        <v/>
      </c>
      <c r="K335" s="27">
        <f>IF($P335="","",IF(INDEX(EntryMan,$P335)=0,"",INDEX(EntryMan,$P335)))</f>
        <v/>
      </c>
      <c r="L335" s="26">
        <f>IF($B335="","",IF($K335="","—",IF(ROUND($K335-$J335,0)=0,"√","×")))</f>
        <v/>
      </c>
      <c r="M335" s="26">
        <f>IF($B335="","",IF(COUNTIFS(EntryDates,$B335,CalcTime,$C335,CalcBank,$C$5,EntryParty,$D335,EntryDep,$H335,EntryWit,$I335)&gt;1,"تکرار",""))</f>
        <v/>
      </c>
      <c r="N335" s="26">
        <f>IF($P335="","",IF(INDEX(EntryNotes,$P335)=0,"",INDEX(EntryNotes,$P335)))</f>
        <v/>
      </c>
      <c r="O335" s="26">
        <f>IF($P335="","",IF(INDEX(EntryTxnID,$P335)=0,"",INDEX(EntryTxnID,$P335)))</f>
        <v/>
      </c>
      <c r="P335" s="26">
        <f>IFERROR(MATCH($C$5&amp;"|"&amp;RIGHT("000000"&amp;319,6),CalcRankKey,0),"")</f>
        <v/>
      </c>
    </row>
    <row r="336">
      <c r="A336" s="28">
        <f>IF($B336="","",320)</f>
        <v/>
      </c>
      <c r="B336" s="28">
        <f>IF($P336="","",IF(INDEX(CalcNormDate,$P336)=0,"",INDEX(CalcNormDate,$P336)))</f>
        <v/>
      </c>
      <c r="C336" s="28">
        <f>IF($P336="","",IF(INDEX(CalcTime,$P336)=0,"",INDEX(CalcTime,$P336)))</f>
        <v/>
      </c>
      <c r="D336" s="28">
        <f>IF($P336="","",IF(INDEX(EntryParty,$P336)=0,"",INDEX(EntryParty,$P336)))</f>
        <v/>
      </c>
      <c r="E336" s="28">
        <f>IF($P336="","",IF(INDEX(EntryPartyName,$P336)=0,"",INDEX(EntryPartyName,$P336)))</f>
        <v/>
      </c>
      <c r="F336" s="28">
        <f>IF($P336="","",IF(INDEX(EntryPartyType,$P336)=0,"",INDEX(EntryPartyType,$P336)))</f>
        <v/>
      </c>
      <c r="G336" s="28">
        <f>IF($P336="","",IF(INDEX(EntryTxnType,$P336)=0,"",INDEX(EntryTxnType,$P336)))</f>
        <v/>
      </c>
      <c r="H336" s="29">
        <f>IF($P336="","",IF(INDEX(EntryDep,$P336)=0,"",INDEX(EntryDep,$P336)))</f>
        <v/>
      </c>
      <c r="I336" s="29">
        <f>IF($P336="","",IF(INDEX(EntryWit,$P336)=0,"",INDEX(EntryWit,$P336)))</f>
        <v/>
      </c>
      <c r="J336" s="29">
        <f>IF($B336="","",IF($A336=1,$C$7,IF(J335="",0,J335))+IF($H336="",0,$H336)-IF($I336="",0,$I336))</f>
        <v/>
      </c>
      <c r="K336" s="29">
        <f>IF($P336="","",IF(INDEX(EntryMan,$P336)=0,"",INDEX(EntryMan,$P336)))</f>
        <v/>
      </c>
      <c r="L336" s="28">
        <f>IF($B336="","",IF($K336="","—",IF(ROUND($K336-$J336,0)=0,"√","×")))</f>
        <v/>
      </c>
      <c r="M336" s="28">
        <f>IF($B336="","",IF(COUNTIFS(EntryDates,$B336,CalcTime,$C336,CalcBank,$C$5,EntryParty,$D336,EntryDep,$H336,EntryWit,$I336)&gt;1,"تکرار",""))</f>
        <v/>
      </c>
      <c r="N336" s="28">
        <f>IF($P336="","",IF(INDEX(EntryNotes,$P336)=0,"",INDEX(EntryNotes,$P336)))</f>
        <v/>
      </c>
      <c r="O336" s="28">
        <f>IF($P336="","",IF(INDEX(EntryTxnID,$P336)=0,"",INDEX(EntryTxnID,$P336)))</f>
        <v/>
      </c>
      <c r="P336" s="28">
        <f>IFERROR(MATCH($C$5&amp;"|"&amp;RIGHT("000000"&amp;320,6),CalcRankKey,0),"")</f>
        <v/>
      </c>
    </row>
    <row r="337">
      <c r="A337" s="26">
        <f>IF($B337="","",321)</f>
        <v/>
      </c>
      <c r="B337" s="26">
        <f>IF($P337="","",IF(INDEX(CalcNormDate,$P337)=0,"",INDEX(CalcNormDate,$P337)))</f>
        <v/>
      </c>
      <c r="C337" s="26">
        <f>IF($P337="","",IF(INDEX(CalcTime,$P337)=0,"",INDEX(CalcTime,$P337)))</f>
        <v/>
      </c>
      <c r="D337" s="26">
        <f>IF($P337="","",IF(INDEX(EntryParty,$P337)=0,"",INDEX(EntryParty,$P337)))</f>
        <v/>
      </c>
      <c r="E337" s="26">
        <f>IF($P337="","",IF(INDEX(EntryPartyName,$P337)=0,"",INDEX(EntryPartyName,$P337)))</f>
        <v/>
      </c>
      <c r="F337" s="26">
        <f>IF($P337="","",IF(INDEX(EntryPartyType,$P337)=0,"",INDEX(EntryPartyType,$P337)))</f>
        <v/>
      </c>
      <c r="G337" s="26">
        <f>IF($P337="","",IF(INDEX(EntryTxnType,$P337)=0,"",INDEX(EntryTxnType,$P337)))</f>
        <v/>
      </c>
      <c r="H337" s="27">
        <f>IF($P337="","",IF(INDEX(EntryDep,$P337)=0,"",INDEX(EntryDep,$P337)))</f>
        <v/>
      </c>
      <c r="I337" s="27">
        <f>IF($P337="","",IF(INDEX(EntryWit,$P337)=0,"",INDEX(EntryWit,$P337)))</f>
        <v/>
      </c>
      <c r="J337" s="27">
        <f>IF($B337="","",IF($A337=1,$C$7,IF(J336="",0,J336))+IF($H337="",0,$H337)-IF($I337="",0,$I337))</f>
        <v/>
      </c>
      <c r="K337" s="27">
        <f>IF($P337="","",IF(INDEX(EntryMan,$P337)=0,"",INDEX(EntryMan,$P337)))</f>
        <v/>
      </c>
      <c r="L337" s="26">
        <f>IF($B337="","",IF($K337="","—",IF(ROUND($K337-$J337,0)=0,"√","×")))</f>
        <v/>
      </c>
      <c r="M337" s="26">
        <f>IF($B337="","",IF(COUNTIFS(EntryDates,$B337,CalcTime,$C337,CalcBank,$C$5,EntryParty,$D337,EntryDep,$H337,EntryWit,$I337)&gt;1,"تکرار",""))</f>
        <v/>
      </c>
      <c r="N337" s="26">
        <f>IF($P337="","",IF(INDEX(EntryNotes,$P337)=0,"",INDEX(EntryNotes,$P337)))</f>
        <v/>
      </c>
      <c r="O337" s="26">
        <f>IF($P337="","",IF(INDEX(EntryTxnID,$P337)=0,"",INDEX(EntryTxnID,$P337)))</f>
        <v/>
      </c>
      <c r="P337" s="26">
        <f>IFERROR(MATCH($C$5&amp;"|"&amp;RIGHT("000000"&amp;321,6),CalcRankKey,0),"")</f>
        <v/>
      </c>
    </row>
    <row r="338">
      <c r="A338" s="28">
        <f>IF($B338="","",322)</f>
        <v/>
      </c>
      <c r="B338" s="28">
        <f>IF($P338="","",IF(INDEX(CalcNormDate,$P338)=0,"",INDEX(CalcNormDate,$P338)))</f>
        <v/>
      </c>
      <c r="C338" s="28">
        <f>IF($P338="","",IF(INDEX(CalcTime,$P338)=0,"",INDEX(CalcTime,$P338)))</f>
        <v/>
      </c>
      <c r="D338" s="28">
        <f>IF($P338="","",IF(INDEX(EntryParty,$P338)=0,"",INDEX(EntryParty,$P338)))</f>
        <v/>
      </c>
      <c r="E338" s="28">
        <f>IF($P338="","",IF(INDEX(EntryPartyName,$P338)=0,"",INDEX(EntryPartyName,$P338)))</f>
        <v/>
      </c>
      <c r="F338" s="28">
        <f>IF($P338="","",IF(INDEX(EntryPartyType,$P338)=0,"",INDEX(EntryPartyType,$P338)))</f>
        <v/>
      </c>
      <c r="G338" s="28">
        <f>IF($P338="","",IF(INDEX(EntryTxnType,$P338)=0,"",INDEX(EntryTxnType,$P338)))</f>
        <v/>
      </c>
      <c r="H338" s="29">
        <f>IF($P338="","",IF(INDEX(EntryDep,$P338)=0,"",INDEX(EntryDep,$P338)))</f>
        <v/>
      </c>
      <c r="I338" s="29">
        <f>IF($P338="","",IF(INDEX(EntryWit,$P338)=0,"",INDEX(EntryWit,$P338)))</f>
        <v/>
      </c>
      <c r="J338" s="29">
        <f>IF($B338="","",IF($A338=1,$C$7,IF(J337="",0,J337))+IF($H338="",0,$H338)-IF($I338="",0,$I338))</f>
        <v/>
      </c>
      <c r="K338" s="29">
        <f>IF($P338="","",IF(INDEX(EntryMan,$P338)=0,"",INDEX(EntryMan,$P338)))</f>
        <v/>
      </c>
      <c r="L338" s="28">
        <f>IF($B338="","",IF($K338="","—",IF(ROUND($K338-$J338,0)=0,"√","×")))</f>
        <v/>
      </c>
      <c r="M338" s="28">
        <f>IF($B338="","",IF(COUNTIFS(EntryDates,$B338,CalcTime,$C338,CalcBank,$C$5,EntryParty,$D338,EntryDep,$H338,EntryWit,$I338)&gt;1,"تکرار",""))</f>
        <v/>
      </c>
      <c r="N338" s="28">
        <f>IF($P338="","",IF(INDEX(EntryNotes,$P338)=0,"",INDEX(EntryNotes,$P338)))</f>
        <v/>
      </c>
      <c r="O338" s="28">
        <f>IF($P338="","",IF(INDEX(EntryTxnID,$P338)=0,"",INDEX(EntryTxnID,$P338)))</f>
        <v/>
      </c>
      <c r="P338" s="28">
        <f>IFERROR(MATCH($C$5&amp;"|"&amp;RIGHT("000000"&amp;322,6),CalcRankKey,0),"")</f>
        <v/>
      </c>
    </row>
    <row r="339">
      <c r="A339" s="26">
        <f>IF($B339="","",323)</f>
        <v/>
      </c>
      <c r="B339" s="26">
        <f>IF($P339="","",IF(INDEX(CalcNormDate,$P339)=0,"",INDEX(CalcNormDate,$P339)))</f>
        <v/>
      </c>
      <c r="C339" s="26">
        <f>IF($P339="","",IF(INDEX(CalcTime,$P339)=0,"",INDEX(CalcTime,$P339)))</f>
        <v/>
      </c>
      <c r="D339" s="26">
        <f>IF($P339="","",IF(INDEX(EntryParty,$P339)=0,"",INDEX(EntryParty,$P339)))</f>
        <v/>
      </c>
      <c r="E339" s="26">
        <f>IF($P339="","",IF(INDEX(EntryPartyName,$P339)=0,"",INDEX(EntryPartyName,$P339)))</f>
        <v/>
      </c>
      <c r="F339" s="26">
        <f>IF($P339="","",IF(INDEX(EntryPartyType,$P339)=0,"",INDEX(EntryPartyType,$P339)))</f>
        <v/>
      </c>
      <c r="G339" s="26">
        <f>IF($P339="","",IF(INDEX(EntryTxnType,$P339)=0,"",INDEX(EntryTxnType,$P339)))</f>
        <v/>
      </c>
      <c r="H339" s="27">
        <f>IF($P339="","",IF(INDEX(EntryDep,$P339)=0,"",INDEX(EntryDep,$P339)))</f>
        <v/>
      </c>
      <c r="I339" s="27">
        <f>IF($P339="","",IF(INDEX(EntryWit,$P339)=0,"",INDEX(EntryWit,$P339)))</f>
        <v/>
      </c>
      <c r="J339" s="27">
        <f>IF($B339="","",IF($A339=1,$C$7,IF(J338="",0,J338))+IF($H339="",0,$H339)-IF($I339="",0,$I339))</f>
        <v/>
      </c>
      <c r="K339" s="27">
        <f>IF($P339="","",IF(INDEX(EntryMan,$P339)=0,"",INDEX(EntryMan,$P339)))</f>
        <v/>
      </c>
      <c r="L339" s="26">
        <f>IF($B339="","",IF($K339="","—",IF(ROUND($K339-$J339,0)=0,"√","×")))</f>
        <v/>
      </c>
      <c r="M339" s="26">
        <f>IF($B339="","",IF(COUNTIFS(EntryDates,$B339,CalcTime,$C339,CalcBank,$C$5,EntryParty,$D339,EntryDep,$H339,EntryWit,$I339)&gt;1,"تکرار",""))</f>
        <v/>
      </c>
      <c r="N339" s="26">
        <f>IF($P339="","",IF(INDEX(EntryNotes,$P339)=0,"",INDEX(EntryNotes,$P339)))</f>
        <v/>
      </c>
      <c r="O339" s="26">
        <f>IF($P339="","",IF(INDEX(EntryTxnID,$P339)=0,"",INDEX(EntryTxnID,$P339)))</f>
        <v/>
      </c>
      <c r="P339" s="26">
        <f>IFERROR(MATCH($C$5&amp;"|"&amp;RIGHT("000000"&amp;323,6),CalcRankKey,0),"")</f>
        <v/>
      </c>
    </row>
    <row r="340">
      <c r="A340" s="28">
        <f>IF($B340="","",324)</f>
        <v/>
      </c>
      <c r="B340" s="28">
        <f>IF($P340="","",IF(INDEX(CalcNormDate,$P340)=0,"",INDEX(CalcNormDate,$P340)))</f>
        <v/>
      </c>
      <c r="C340" s="28">
        <f>IF($P340="","",IF(INDEX(CalcTime,$P340)=0,"",INDEX(CalcTime,$P340)))</f>
        <v/>
      </c>
      <c r="D340" s="28">
        <f>IF($P340="","",IF(INDEX(EntryParty,$P340)=0,"",INDEX(EntryParty,$P340)))</f>
        <v/>
      </c>
      <c r="E340" s="28">
        <f>IF($P340="","",IF(INDEX(EntryPartyName,$P340)=0,"",INDEX(EntryPartyName,$P340)))</f>
        <v/>
      </c>
      <c r="F340" s="28">
        <f>IF($P340="","",IF(INDEX(EntryPartyType,$P340)=0,"",INDEX(EntryPartyType,$P340)))</f>
        <v/>
      </c>
      <c r="G340" s="28">
        <f>IF($P340="","",IF(INDEX(EntryTxnType,$P340)=0,"",INDEX(EntryTxnType,$P340)))</f>
        <v/>
      </c>
      <c r="H340" s="29">
        <f>IF($P340="","",IF(INDEX(EntryDep,$P340)=0,"",INDEX(EntryDep,$P340)))</f>
        <v/>
      </c>
      <c r="I340" s="29">
        <f>IF($P340="","",IF(INDEX(EntryWit,$P340)=0,"",INDEX(EntryWit,$P340)))</f>
        <v/>
      </c>
      <c r="J340" s="29">
        <f>IF($B340="","",IF($A340=1,$C$7,IF(J339="",0,J339))+IF($H340="",0,$H340)-IF($I340="",0,$I340))</f>
        <v/>
      </c>
      <c r="K340" s="29">
        <f>IF($P340="","",IF(INDEX(EntryMan,$P340)=0,"",INDEX(EntryMan,$P340)))</f>
        <v/>
      </c>
      <c r="L340" s="28">
        <f>IF($B340="","",IF($K340="","—",IF(ROUND($K340-$J340,0)=0,"√","×")))</f>
        <v/>
      </c>
      <c r="M340" s="28">
        <f>IF($B340="","",IF(COUNTIFS(EntryDates,$B340,CalcTime,$C340,CalcBank,$C$5,EntryParty,$D340,EntryDep,$H340,EntryWit,$I340)&gt;1,"تکرار",""))</f>
        <v/>
      </c>
      <c r="N340" s="28">
        <f>IF($P340="","",IF(INDEX(EntryNotes,$P340)=0,"",INDEX(EntryNotes,$P340)))</f>
        <v/>
      </c>
      <c r="O340" s="28">
        <f>IF($P340="","",IF(INDEX(EntryTxnID,$P340)=0,"",INDEX(EntryTxnID,$P340)))</f>
        <v/>
      </c>
      <c r="P340" s="28">
        <f>IFERROR(MATCH($C$5&amp;"|"&amp;RIGHT("000000"&amp;324,6),CalcRankKey,0),"")</f>
        <v/>
      </c>
    </row>
    <row r="341">
      <c r="A341" s="26">
        <f>IF($B341="","",325)</f>
        <v/>
      </c>
      <c r="B341" s="26">
        <f>IF($P341="","",IF(INDEX(CalcNormDate,$P341)=0,"",INDEX(CalcNormDate,$P341)))</f>
        <v/>
      </c>
      <c r="C341" s="26">
        <f>IF($P341="","",IF(INDEX(CalcTime,$P341)=0,"",INDEX(CalcTime,$P341)))</f>
        <v/>
      </c>
      <c r="D341" s="26">
        <f>IF($P341="","",IF(INDEX(EntryParty,$P341)=0,"",INDEX(EntryParty,$P341)))</f>
        <v/>
      </c>
      <c r="E341" s="26">
        <f>IF($P341="","",IF(INDEX(EntryPartyName,$P341)=0,"",INDEX(EntryPartyName,$P341)))</f>
        <v/>
      </c>
      <c r="F341" s="26">
        <f>IF($P341="","",IF(INDEX(EntryPartyType,$P341)=0,"",INDEX(EntryPartyType,$P341)))</f>
        <v/>
      </c>
      <c r="G341" s="26">
        <f>IF($P341="","",IF(INDEX(EntryTxnType,$P341)=0,"",INDEX(EntryTxnType,$P341)))</f>
        <v/>
      </c>
      <c r="H341" s="27">
        <f>IF($P341="","",IF(INDEX(EntryDep,$P341)=0,"",INDEX(EntryDep,$P341)))</f>
        <v/>
      </c>
      <c r="I341" s="27">
        <f>IF($P341="","",IF(INDEX(EntryWit,$P341)=0,"",INDEX(EntryWit,$P341)))</f>
        <v/>
      </c>
      <c r="J341" s="27">
        <f>IF($B341="","",IF($A341=1,$C$7,IF(J340="",0,J340))+IF($H341="",0,$H341)-IF($I341="",0,$I341))</f>
        <v/>
      </c>
      <c r="K341" s="27">
        <f>IF($P341="","",IF(INDEX(EntryMan,$P341)=0,"",INDEX(EntryMan,$P341)))</f>
        <v/>
      </c>
      <c r="L341" s="26">
        <f>IF($B341="","",IF($K341="","—",IF(ROUND($K341-$J341,0)=0,"√","×")))</f>
        <v/>
      </c>
      <c r="M341" s="26">
        <f>IF($B341="","",IF(COUNTIFS(EntryDates,$B341,CalcTime,$C341,CalcBank,$C$5,EntryParty,$D341,EntryDep,$H341,EntryWit,$I341)&gt;1,"تکرار",""))</f>
        <v/>
      </c>
      <c r="N341" s="26">
        <f>IF($P341="","",IF(INDEX(EntryNotes,$P341)=0,"",INDEX(EntryNotes,$P341)))</f>
        <v/>
      </c>
      <c r="O341" s="26">
        <f>IF($P341="","",IF(INDEX(EntryTxnID,$P341)=0,"",INDEX(EntryTxnID,$P341)))</f>
        <v/>
      </c>
      <c r="P341" s="26">
        <f>IFERROR(MATCH($C$5&amp;"|"&amp;RIGHT("000000"&amp;325,6),CalcRankKey,0),"")</f>
        <v/>
      </c>
    </row>
    <row r="342">
      <c r="A342" s="28">
        <f>IF($B342="","",326)</f>
        <v/>
      </c>
      <c r="B342" s="28">
        <f>IF($P342="","",IF(INDEX(CalcNormDate,$P342)=0,"",INDEX(CalcNormDate,$P342)))</f>
        <v/>
      </c>
      <c r="C342" s="28">
        <f>IF($P342="","",IF(INDEX(CalcTime,$P342)=0,"",INDEX(CalcTime,$P342)))</f>
        <v/>
      </c>
      <c r="D342" s="28">
        <f>IF($P342="","",IF(INDEX(EntryParty,$P342)=0,"",INDEX(EntryParty,$P342)))</f>
        <v/>
      </c>
      <c r="E342" s="28">
        <f>IF($P342="","",IF(INDEX(EntryPartyName,$P342)=0,"",INDEX(EntryPartyName,$P342)))</f>
        <v/>
      </c>
      <c r="F342" s="28">
        <f>IF($P342="","",IF(INDEX(EntryPartyType,$P342)=0,"",INDEX(EntryPartyType,$P342)))</f>
        <v/>
      </c>
      <c r="G342" s="28">
        <f>IF($P342="","",IF(INDEX(EntryTxnType,$P342)=0,"",INDEX(EntryTxnType,$P342)))</f>
        <v/>
      </c>
      <c r="H342" s="29">
        <f>IF($P342="","",IF(INDEX(EntryDep,$P342)=0,"",INDEX(EntryDep,$P342)))</f>
        <v/>
      </c>
      <c r="I342" s="29">
        <f>IF($P342="","",IF(INDEX(EntryWit,$P342)=0,"",INDEX(EntryWit,$P342)))</f>
        <v/>
      </c>
      <c r="J342" s="29">
        <f>IF($B342="","",IF($A342=1,$C$7,IF(J341="",0,J341))+IF($H342="",0,$H342)-IF($I342="",0,$I342))</f>
        <v/>
      </c>
      <c r="K342" s="29">
        <f>IF($P342="","",IF(INDEX(EntryMan,$P342)=0,"",INDEX(EntryMan,$P342)))</f>
        <v/>
      </c>
      <c r="L342" s="28">
        <f>IF($B342="","",IF($K342="","—",IF(ROUND($K342-$J342,0)=0,"√","×")))</f>
        <v/>
      </c>
      <c r="M342" s="28">
        <f>IF($B342="","",IF(COUNTIFS(EntryDates,$B342,CalcTime,$C342,CalcBank,$C$5,EntryParty,$D342,EntryDep,$H342,EntryWit,$I342)&gt;1,"تکرار",""))</f>
        <v/>
      </c>
      <c r="N342" s="28">
        <f>IF($P342="","",IF(INDEX(EntryNotes,$P342)=0,"",INDEX(EntryNotes,$P342)))</f>
        <v/>
      </c>
      <c r="O342" s="28">
        <f>IF($P342="","",IF(INDEX(EntryTxnID,$P342)=0,"",INDEX(EntryTxnID,$P342)))</f>
        <v/>
      </c>
      <c r="P342" s="28">
        <f>IFERROR(MATCH($C$5&amp;"|"&amp;RIGHT("000000"&amp;326,6),CalcRankKey,0),"")</f>
        <v/>
      </c>
    </row>
    <row r="343">
      <c r="A343" s="26">
        <f>IF($B343="","",327)</f>
        <v/>
      </c>
      <c r="B343" s="26">
        <f>IF($P343="","",IF(INDEX(CalcNormDate,$P343)=0,"",INDEX(CalcNormDate,$P343)))</f>
        <v/>
      </c>
      <c r="C343" s="26">
        <f>IF($P343="","",IF(INDEX(CalcTime,$P343)=0,"",INDEX(CalcTime,$P343)))</f>
        <v/>
      </c>
      <c r="D343" s="26">
        <f>IF($P343="","",IF(INDEX(EntryParty,$P343)=0,"",INDEX(EntryParty,$P343)))</f>
        <v/>
      </c>
      <c r="E343" s="26">
        <f>IF($P343="","",IF(INDEX(EntryPartyName,$P343)=0,"",INDEX(EntryPartyName,$P343)))</f>
        <v/>
      </c>
      <c r="F343" s="26">
        <f>IF($P343="","",IF(INDEX(EntryPartyType,$P343)=0,"",INDEX(EntryPartyType,$P343)))</f>
        <v/>
      </c>
      <c r="G343" s="26">
        <f>IF($P343="","",IF(INDEX(EntryTxnType,$P343)=0,"",INDEX(EntryTxnType,$P343)))</f>
        <v/>
      </c>
      <c r="H343" s="27">
        <f>IF($P343="","",IF(INDEX(EntryDep,$P343)=0,"",INDEX(EntryDep,$P343)))</f>
        <v/>
      </c>
      <c r="I343" s="27">
        <f>IF($P343="","",IF(INDEX(EntryWit,$P343)=0,"",INDEX(EntryWit,$P343)))</f>
        <v/>
      </c>
      <c r="J343" s="27">
        <f>IF($B343="","",IF($A343=1,$C$7,IF(J342="",0,J342))+IF($H343="",0,$H343)-IF($I343="",0,$I343))</f>
        <v/>
      </c>
      <c r="K343" s="27">
        <f>IF($P343="","",IF(INDEX(EntryMan,$P343)=0,"",INDEX(EntryMan,$P343)))</f>
        <v/>
      </c>
      <c r="L343" s="26">
        <f>IF($B343="","",IF($K343="","—",IF(ROUND($K343-$J343,0)=0,"√","×")))</f>
        <v/>
      </c>
      <c r="M343" s="26">
        <f>IF($B343="","",IF(COUNTIFS(EntryDates,$B343,CalcTime,$C343,CalcBank,$C$5,EntryParty,$D343,EntryDep,$H343,EntryWit,$I343)&gt;1,"تکرار",""))</f>
        <v/>
      </c>
      <c r="N343" s="26">
        <f>IF($P343="","",IF(INDEX(EntryNotes,$P343)=0,"",INDEX(EntryNotes,$P343)))</f>
        <v/>
      </c>
      <c r="O343" s="26">
        <f>IF($P343="","",IF(INDEX(EntryTxnID,$P343)=0,"",INDEX(EntryTxnID,$P343)))</f>
        <v/>
      </c>
      <c r="P343" s="26">
        <f>IFERROR(MATCH($C$5&amp;"|"&amp;RIGHT("000000"&amp;327,6),CalcRankKey,0),"")</f>
        <v/>
      </c>
    </row>
    <row r="344">
      <c r="A344" s="28">
        <f>IF($B344="","",328)</f>
        <v/>
      </c>
      <c r="B344" s="28">
        <f>IF($P344="","",IF(INDEX(CalcNormDate,$P344)=0,"",INDEX(CalcNormDate,$P344)))</f>
        <v/>
      </c>
      <c r="C344" s="28">
        <f>IF($P344="","",IF(INDEX(CalcTime,$P344)=0,"",INDEX(CalcTime,$P344)))</f>
        <v/>
      </c>
      <c r="D344" s="28">
        <f>IF($P344="","",IF(INDEX(EntryParty,$P344)=0,"",INDEX(EntryParty,$P344)))</f>
        <v/>
      </c>
      <c r="E344" s="28">
        <f>IF($P344="","",IF(INDEX(EntryPartyName,$P344)=0,"",INDEX(EntryPartyName,$P344)))</f>
        <v/>
      </c>
      <c r="F344" s="28">
        <f>IF($P344="","",IF(INDEX(EntryPartyType,$P344)=0,"",INDEX(EntryPartyType,$P344)))</f>
        <v/>
      </c>
      <c r="G344" s="28">
        <f>IF($P344="","",IF(INDEX(EntryTxnType,$P344)=0,"",INDEX(EntryTxnType,$P344)))</f>
        <v/>
      </c>
      <c r="H344" s="29">
        <f>IF($P344="","",IF(INDEX(EntryDep,$P344)=0,"",INDEX(EntryDep,$P344)))</f>
        <v/>
      </c>
      <c r="I344" s="29">
        <f>IF($P344="","",IF(INDEX(EntryWit,$P344)=0,"",INDEX(EntryWit,$P344)))</f>
        <v/>
      </c>
      <c r="J344" s="29">
        <f>IF($B344="","",IF($A344=1,$C$7,IF(J343="",0,J343))+IF($H344="",0,$H344)-IF($I344="",0,$I344))</f>
        <v/>
      </c>
      <c r="K344" s="29">
        <f>IF($P344="","",IF(INDEX(EntryMan,$P344)=0,"",INDEX(EntryMan,$P344)))</f>
        <v/>
      </c>
      <c r="L344" s="28">
        <f>IF($B344="","",IF($K344="","—",IF(ROUND($K344-$J344,0)=0,"√","×")))</f>
        <v/>
      </c>
      <c r="M344" s="28">
        <f>IF($B344="","",IF(COUNTIFS(EntryDates,$B344,CalcTime,$C344,CalcBank,$C$5,EntryParty,$D344,EntryDep,$H344,EntryWit,$I344)&gt;1,"تکرار",""))</f>
        <v/>
      </c>
      <c r="N344" s="28">
        <f>IF($P344="","",IF(INDEX(EntryNotes,$P344)=0,"",INDEX(EntryNotes,$P344)))</f>
        <v/>
      </c>
      <c r="O344" s="28">
        <f>IF($P344="","",IF(INDEX(EntryTxnID,$P344)=0,"",INDEX(EntryTxnID,$P344)))</f>
        <v/>
      </c>
      <c r="P344" s="28">
        <f>IFERROR(MATCH($C$5&amp;"|"&amp;RIGHT("000000"&amp;328,6),CalcRankKey,0),"")</f>
        <v/>
      </c>
    </row>
    <row r="345">
      <c r="A345" s="26">
        <f>IF($B345="","",329)</f>
        <v/>
      </c>
      <c r="B345" s="26">
        <f>IF($P345="","",IF(INDEX(CalcNormDate,$P345)=0,"",INDEX(CalcNormDate,$P345)))</f>
        <v/>
      </c>
      <c r="C345" s="26">
        <f>IF($P345="","",IF(INDEX(CalcTime,$P345)=0,"",INDEX(CalcTime,$P345)))</f>
        <v/>
      </c>
      <c r="D345" s="26">
        <f>IF($P345="","",IF(INDEX(EntryParty,$P345)=0,"",INDEX(EntryParty,$P345)))</f>
        <v/>
      </c>
      <c r="E345" s="26">
        <f>IF($P345="","",IF(INDEX(EntryPartyName,$P345)=0,"",INDEX(EntryPartyName,$P345)))</f>
        <v/>
      </c>
      <c r="F345" s="26">
        <f>IF($P345="","",IF(INDEX(EntryPartyType,$P345)=0,"",INDEX(EntryPartyType,$P345)))</f>
        <v/>
      </c>
      <c r="G345" s="26">
        <f>IF($P345="","",IF(INDEX(EntryTxnType,$P345)=0,"",INDEX(EntryTxnType,$P345)))</f>
        <v/>
      </c>
      <c r="H345" s="27">
        <f>IF($P345="","",IF(INDEX(EntryDep,$P345)=0,"",INDEX(EntryDep,$P345)))</f>
        <v/>
      </c>
      <c r="I345" s="27">
        <f>IF($P345="","",IF(INDEX(EntryWit,$P345)=0,"",INDEX(EntryWit,$P345)))</f>
        <v/>
      </c>
      <c r="J345" s="27">
        <f>IF($B345="","",IF($A345=1,$C$7,IF(J344="",0,J344))+IF($H345="",0,$H345)-IF($I345="",0,$I345))</f>
        <v/>
      </c>
      <c r="K345" s="27">
        <f>IF($P345="","",IF(INDEX(EntryMan,$P345)=0,"",INDEX(EntryMan,$P345)))</f>
        <v/>
      </c>
      <c r="L345" s="26">
        <f>IF($B345="","",IF($K345="","—",IF(ROUND($K345-$J345,0)=0,"√","×")))</f>
        <v/>
      </c>
      <c r="M345" s="26">
        <f>IF($B345="","",IF(COUNTIFS(EntryDates,$B345,CalcTime,$C345,CalcBank,$C$5,EntryParty,$D345,EntryDep,$H345,EntryWit,$I345)&gt;1,"تکرار",""))</f>
        <v/>
      </c>
      <c r="N345" s="26">
        <f>IF($P345="","",IF(INDEX(EntryNotes,$P345)=0,"",INDEX(EntryNotes,$P345)))</f>
        <v/>
      </c>
      <c r="O345" s="26">
        <f>IF($P345="","",IF(INDEX(EntryTxnID,$P345)=0,"",INDEX(EntryTxnID,$P345)))</f>
        <v/>
      </c>
      <c r="P345" s="26">
        <f>IFERROR(MATCH($C$5&amp;"|"&amp;RIGHT("000000"&amp;329,6),CalcRankKey,0),"")</f>
        <v/>
      </c>
    </row>
    <row r="346">
      <c r="A346" s="28">
        <f>IF($B346="","",330)</f>
        <v/>
      </c>
      <c r="B346" s="28">
        <f>IF($P346="","",IF(INDEX(CalcNormDate,$P346)=0,"",INDEX(CalcNormDate,$P346)))</f>
        <v/>
      </c>
      <c r="C346" s="28">
        <f>IF($P346="","",IF(INDEX(CalcTime,$P346)=0,"",INDEX(CalcTime,$P346)))</f>
        <v/>
      </c>
      <c r="D346" s="28">
        <f>IF($P346="","",IF(INDEX(EntryParty,$P346)=0,"",INDEX(EntryParty,$P346)))</f>
        <v/>
      </c>
      <c r="E346" s="28">
        <f>IF($P346="","",IF(INDEX(EntryPartyName,$P346)=0,"",INDEX(EntryPartyName,$P346)))</f>
        <v/>
      </c>
      <c r="F346" s="28">
        <f>IF($P346="","",IF(INDEX(EntryPartyType,$P346)=0,"",INDEX(EntryPartyType,$P346)))</f>
        <v/>
      </c>
      <c r="G346" s="28">
        <f>IF($P346="","",IF(INDEX(EntryTxnType,$P346)=0,"",INDEX(EntryTxnType,$P346)))</f>
        <v/>
      </c>
      <c r="H346" s="29">
        <f>IF($P346="","",IF(INDEX(EntryDep,$P346)=0,"",INDEX(EntryDep,$P346)))</f>
        <v/>
      </c>
      <c r="I346" s="29">
        <f>IF($P346="","",IF(INDEX(EntryWit,$P346)=0,"",INDEX(EntryWit,$P346)))</f>
        <v/>
      </c>
      <c r="J346" s="29">
        <f>IF($B346="","",IF($A346=1,$C$7,IF(J345="",0,J345))+IF($H346="",0,$H346)-IF($I346="",0,$I346))</f>
        <v/>
      </c>
      <c r="K346" s="29">
        <f>IF($P346="","",IF(INDEX(EntryMan,$P346)=0,"",INDEX(EntryMan,$P346)))</f>
        <v/>
      </c>
      <c r="L346" s="28">
        <f>IF($B346="","",IF($K346="","—",IF(ROUND($K346-$J346,0)=0,"√","×")))</f>
        <v/>
      </c>
      <c r="M346" s="28">
        <f>IF($B346="","",IF(COUNTIFS(EntryDates,$B346,CalcTime,$C346,CalcBank,$C$5,EntryParty,$D346,EntryDep,$H346,EntryWit,$I346)&gt;1,"تکرار",""))</f>
        <v/>
      </c>
      <c r="N346" s="28">
        <f>IF($P346="","",IF(INDEX(EntryNotes,$P346)=0,"",INDEX(EntryNotes,$P346)))</f>
        <v/>
      </c>
      <c r="O346" s="28">
        <f>IF($P346="","",IF(INDEX(EntryTxnID,$P346)=0,"",INDEX(EntryTxnID,$P346)))</f>
        <v/>
      </c>
      <c r="P346" s="28">
        <f>IFERROR(MATCH($C$5&amp;"|"&amp;RIGHT("000000"&amp;330,6),CalcRankKey,0),"")</f>
        <v/>
      </c>
    </row>
    <row r="347">
      <c r="A347" s="26">
        <f>IF($B347="","",331)</f>
        <v/>
      </c>
      <c r="B347" s="26">
        <f>IF($P347="","",IF(INDEX(CalcNormDate,$P347)=0,"",INDEX(CalcNormDate,$P347)))</f>
        <v/>
      </c>
      <c r="C347" s="26">
        <f>IF($P347="","",IF(INDEX(CalcTime,$P347)=0,"",INDEX(CalcTime,$P347)))</f>
        <v/>
      </c>
      <c r="D347" s="26">
        <f>IF($P347="","",IF(INDEX(EntryParty,$P347)=0,"",INDEX(EntryParty,$P347)))</f>
        <v/>
      </c>
      <c r="E347" s="26">
        <f>IF($P347="","",IF(INDEX(EntryPartyName,$P347)=0,"",INDEX(EntryPartyName,$P347)))</f>
        <v/>
      </c>
      <c r="F347" s="26">
        <f>IF($P347="","",IF(INDEX(EntryPartyType,$P347)=0,"",INDEX(EntryPartyType,$P347)))</f>
        <v/>
      </c>
      <c r="G347" s="26">
        <f>IF($P347="","",IF(INDEX(EntryTxnType,$P347)=0,"",INDEX(EntryTxnType,$P347)))</f>
        <v/>
      </c>
      <c r="H347" s="27">
        <f>IF($P347="","",IF(INDEX(EntryDep,$P347)=0,"",INDEX(EntryDep,$P347)))</f>
        <v/>
      </c>
      <c r="I347" s="27">
        <f>IF($P347="","",IF(INDEX(EntryWit,$P347)=0,"",INDEX(EntryWit,$P347)))</f>
        <v/>
      </c>
      <c r="J347" s="27">
        <f>IF($B347="","",IF($A347=1,$C$7,IF(J346="",0,J346))+IF($H347="",0,$H347)-IF($I347="",0,$I347))</f>
        <v/>
      </c>
      <c r="K347" s="27">
        <f>IF($P347="","",IF(INDEX(EntryMan,$P347)=0,"",INDEX(EntryMan,$P347)))</f>
        <v/>
      </c>
      <c r="L347" s="26">
        <f>IF($B347="","",IF($K347="","—",IF(ROUND($K347-$J347,0)=0,"√","×")))</f>
        <v/>
      </c>
      <c r="M347" s="26">
        <f>IF($B347="","",IF(COUNTIFS(EntryDates,$B347,CalcTime,$C347,CalcBank,$C$5,EntryParty,$D347,EntryDep,$H347,EntryWit,$I347)&gt;1,"تکرار",""))</f>
        <v/>
      </c>
      <c r="N347" s="26">
        <f>IF($P347="","",IF(INDEX(EntryNotes,$P347)=0,"",INDEX(EntryNotes,$P347)))</f>
        <v/>
      </c>
      <c r="O347" s="26">
        <f>IF($P347="","",IF(INDEX(EntryTxnID,$P347)=0,"",INDEX(EntryTxnID,$P347)))</f>
        <v/>
      </c>
      <c r="P347" s="26">
        <f>IFERROR(MATCH($C$5&amp;"|"&amp;RIGHT("000000"&amp;331,6),CalcRankKey,0),"")</f>
        <v/>
      </c>
    </row>
    <row r="348">
      <c r="A348" s="28">
        <f>IF($B348="","",332)</f>
        <v/>
      </c>
      <c r="B348" s="28">
        <f>IF($P348="","",IF(INDEX(CalcNormDate,$P348)=0,"",INDEX(CalcNormDate,$P348)))</f>
        <v/>
      </c>
      <c r="C348" s="28">
        <f>IF($P348="","",IF(INDEX(CalcTime,$P348)=0,"",INDEX(CalcTime,$P348)))</f>
        <v/>
      </c>
      <c r="D348" s="28">
        <f>IF($P348="","",IF(INDEX(EntryParty,$P348)=0,"",INDEX(EntryParty,$P348)))</f>
        <v/>
      </c>
      <c r="E348" s="28">
        <f>IF($P348="","",IF(INDEX(EntryPartyName,$P348)=0,"",INDEX(EntryPartyName,$P348)))</f>
        <v/>
      </c>
      <c r="F348" s="28">
        <f>IF($P348="","",IF(INDEX(EntryPartyType,$P348)=0,"",INDEX(EntryPartyType,$P348)))</f>
        <v/>
      </c>
      <c r="G348" s="28">
        <f>IF($P348="","",IF(INDEX(EntryTxnType,$P348)=0,"",INDEX(EntryTxnType,$P348)))</f>
        <v/>
      </c>
      <c r="H348" s="29">
        <f>IF($P348="","",IF(INDEX(EntryDep,$P348)=0,"",INDEX(EntryDep,$P348)))</f>
        <v/>
      </c>
      <c r="I348" s="29">
        <f>IF($P348="","",IF(INDEX(EntryWit,$P348)=0,"",INDEX(EntryWit,$P348)))</f>
        <v/>
      </c>
      <c r="J348" s="29">
        <f>IF($B348="","",IF($A348=1,$C$7,IF(J347="",0,J347))+IF($H348="",0,$H348)-IF($I348="",0,$I348))</f>
        <v/>
      </c>
      <c r="K348" s="29">
        <f>IF($P348="","",IF(INDEX(EntryMan,$P348)=0,"",INDEX(EntryMan,$P348)))</f>
        <v/>
      </c>
      <c r="L348" s="28">
        <f>IF($B348="","",IF($K348="","—",IF(ROUND($K348-$J348,0)=0,"√","×")))</f>
        <v/>
      </c>
      <c r="M348" s="28">
        <f>IF($B348="","",IF(COUNTIFS(EntryDates,$B348,CalcTime,$C348,CalcBank,$C$5,EntryParty,$D348,EntryDep,$H348,EntryWit,$I348)&gt;1,"تکرار",""))</f>
        <v/>
      </c>
      <c r="N348" s="28">
        <f>IF($P348="","",IF(INDEX(EntryNotes,$P348)=0,"",INDEX(EntryNotes,$P348)))</f>
        <v/>
      </c>
      <c r="O348" s="28">
        <f>IF($P348="","",IF(INDEX(EntryTxnID,$P348)=0,"",INDEX(EntryTxnID,$P348)))</f>
        <v/>
      </c>
      <c r="P348" s="28">
        <f>IFERROR(MATCH($C$5&amp;"|"&amp;RIGHT("000000"&amp;332,6),CalcRankKey,0),"")</f>
        <v/>
      </c>
    </row>
    <row r="349">
      <c r="A349" s="26">
        <f>IF($B349="","",333)</f>
        <v/>
      </c>
      <c r="B349" s="26">
        <f>IF($P349="","",IF(INDEX(CalcNormDate,$P349)=0,"",INDEX(CalcNormDate,$P349)))</f>
        <v/>
      </c>
      <c r="C349" s="26">
        <f>IF($P349="","",IF(INDEX(CalcTime,$P349)=0,"",INDEX(CalcTime,$P349)))</f>
        <v/>
      </c>
      <c r="D349" s="26">
        <f>IF($P349="","",IF(INDEX(EntryParty,$P349)=0,"",INDEX(EntryParty,$P349)))</f>
        <v/>
      </c>
      <c r="E349" s="26">
        <f>IF($P349="","",IF(INDEX(EntryPartyName,$P349)=0,"",INDEX(EntryPartyName,$P349)))</f>
        <v/>
      </c>
      <c r="F349" s="26">
        <f>IF($P349="","",IF(INDEX(EntryPartyType,$P349)=0,"",INDEX(EntryPartyType,$P349)))</f>
        <v/>
      </c>
      <c r="G349" s="26">
        <f>IF($P349="","",IF(INDEX(EntryTxnType,$P349)=0,"",INDEX(EntryTxnType,$P349)))</f>
        <v/>
      </c>
      <c r="H349" s="27">
        <f>IF($P349="","",IF(INDEX(EntryDep,$P349)=0,"",INDEX(EntryDep,$P349)))</f>
        <v/>
      </c>
      <c r="I349" s="27">
        <f>IF($P349="","",IF(INDEX(EntryWit,$P349)=0,"",INDEX(EntryWit,$P349)))</f>
        <v/>
      </c>
      <c r="J349" s="27">
        <f>IF($B349="","",IF($A349=1,$C$7,IF(J348="",0,J348))+IF($H349="",0,$H349)-IF($I349="",0,$I349))</f>
        <v/>
      </c>
      <c r="K349" s="27">
        <f>IF($P349="","",IF(INDEX(EntryMan,$P349)=0,"",INDEX(EntryMan,$P349)))</f>
        <v/>
      </c>
      <c r="L349" s="26">
        <f>IF($B349="","",IF($K349="","—",IF(ROUND($K349-$J349,0)=0,"√","×")))</f>
        <v/>
      </c>
      <c r="M349" s="26">
        <f>IF($B349="","",IF(COUNTIFS(EntryDates,$B349,CalcTime,$C349,CalcBank,$C$5,EntryParty,$D349,EntryDep,$H349,EntryWit,$I349)&gt;1,"تکرار",""))</f>
        <v/>
      </c>
      <c r="N349" s="26">
        <f>IF($P349="","",IF(INDEX(EntryNotes,$P349)=0,"",INDEX(EntryNotes,$P349)))</f>
        <v/>
      </c>
      <c r="O349" s="26">
        <f>IF($P349="","",IF(INDEX(EntryTxnID,$P349)=0,"",INDEX(EntryTxnID,$P349)))</f>
        <v/>
      </c>
      <c r="P349" s="26">
        <f>IFERROR(MATCH($C$5&amp;"|"&amp;RIGHT("000000"&amp;333,6),CalcRankKey,0),"")</f>
        <v/>
      </c>
    </row>
    <row r="350">
      <c r="A350" s="28">
        <f>IF($B350="","",334)</f>
        <v/>
      </c>
      <c r="B350" s="28">
        <f>IF($P350="","",IF(INDEX(CalcNormDate,$P350)=0,"",INDEX(CalcNormDate,$P350)))</f>
        <v/>
      </c>
      <c r="C350" s="28">
        <f>IF($P350="","",IF(INDEX(CalcTime,$P350)=0,"",INDEX(CalcTime,$P350)))</f>
        <v/>
      </c>
      <c r="D350" s="28">
        <f>IF($P350="","",IF(INDEX(EntryParty,$P350)=0,"",INDEX(EntryParty,$P350)))</f>
        <v/>
      </c>
      <c r="E350" s="28">
        <f>IF($P350="","",IF(INDEX(EntryPartyName,$P350)=0,"",INDEX(EntryPartyName,$P350)))</f>
        <v/>
      </c>
      <c r="F350" s="28">
        <f>IF($P350="","",IF(INDEX(EntryPartyType,$P350)=0,"",INDEX(EntryPartyType,$P350)))</f>
        <v/>
      </c>
      <c r="G350" s="28">
        <f>IF($P350="","",IF(INDEX(EntryTxnType,$P350)=0,"",INDEX(EntryTxnType,$P350)))</f>
        <v/>
      </c>
      <c r="H350" s="29">
        <f>IF($P350="","",IF(INDEX(EntryDep,$P350)=0,"",INDEX(EntryDep,$P350)))</f>
        <v/>
      </c>
      <c r="I350" s="29">
        <f>IF($P350="","",IF(INDEX(EntryWit,$P350)=0,"",INDEX(EntryWit,$P350)))</f>
        <v/>
      </c>
      <c r="J350" s="29">
        <f>IF($B350="","",IF($A350=1,$C$7,IF(J349="",0,J349))+IF($H350="",0,$H350)-IF($I350="",0,$I350))</f>
        <v/>
      </c>
      <c r="K350" s="29">
        <f>IF($P350="","",IF(INDEX(EntryMan,$P350)=0,"",INDEX(EntryMan,$P350)))</f>
        <v/>
      </c>
      <c r="L350" s="28">
        <f>IF($B350="","",IF($K350="","—",IF(ROUND($K350-$J350,0)=0,"√","×")))</f>
        <v/>
      </c>
      <c r="M350" s="28">
        <f>IF($B350="","",IF(COUNTIFS(EntryDates,$B350,CalcTime,$C350,CalcBank,$C$5,EntryParty,$D350,EntryDep,$H350,EntryWit,$I350)&gt;1,"تکرار",""))</f>
        <v/>
      </c>
      <c r="N350" s="28">
        <f>IF($P350="","",IF(INDEX(EntryNotes,$P350)=0,"",INDEX(EntryNotes,$P350)))</f>
        <v/>
      </c>
      <c r="O350" s="28">
        <f>IF($P350="","",IF(INDEX(EntryTxnID,$P350)=0,"",INDEX(EntryTxnID,$P350)))</f>
        <v/>
      </c>
      <c r="P350" s="28">
        <f>IFERROR(MATCH($C$5&amp;"|"&amp;RIGHT("000000"&amp;334,6),CalcRankKey,0),"")</f>
        <v/>
      </c>
    </row>
    <row r="351">
      <c r="A351" s="26">
        <f>IF($B351="","",335)</f>
        <v/>
      </c>
      <c r="B351" s="26">
        <f>IF($P351="","",IF(INDEX(CalcNormDate,$P351)=0,"",INDEX(CalcNormDate,$P351)))</f>
        <v/>
      </c>
      <c r="C351" s="26">
        <f>IF($P351="","",IF(INDEX(CalcTime,$P351)=0,"",INDEX(CalcTime,$P351)))</f>
        <v/>
      </c>
      <c r="D351" s="26">
        <f>IF($P351="","",IF(INDEX(EntryParty,$P351)=0,"",INDEX(EntryParty,$P351)))</f>
        <v/>
      </c>
      <c r="E351" s="26">
        <f>IF($P351="","",IF(INDEX(EntryPartyName,$P351)=0,"",INDEX(EntryPartyName,$P351)))</f>
        <v/>
      </c>
      <c r="F351" s="26">
        <f>IF($P351="","",IF(INDEX(EntryPartyType,$P351)=0,"",INDEX(EntryPartyType,$P351)))</f>
        <v/>
      </c>
      <c r="G351" s="26">
        <f>IF($P351="","",IF(INDEX(EntryTxnType,$P351)=0,"",INDEX(EntryTxnType,$P351)))</f>
        <v/>
      </c>
      <c r="H351" s="27">
        <f>IF($P351="","",IF(INDEX(EntryDep,$P351)=0,"",INDEX(EntryDep,$P351)))</f>
        <v/>
      </c>
      <c r="I351" s="27">
        <f>IF($P351="","",IF(INDEX(EntryWit,$P351)=0,"",INDEX(EntryWit,$P351)))</f>
        <v/>
      </c>
      <c r="J351" s="27">
        <f>IF($B351="","",IF($A351=1,$C$7,IF(J350="",0,J350))+IF($H351="",0,$H351)-IF($I351="",0,$I351))</f>
        <v/>
      </c>
      <c r="K351" s="27">
        <f>IF($P351="","",IF(INDEX(EntryMan,$P351)=0,"",INDEX(EntryMan,$P351)))</f>
        <v/>
      </c>
      <c r="L351" s="26">
        <f>IF($B351="","",IF($K351="","—",IF(ROUND($K351-$J351,0)=0,"√","×")))</f>
        <v/>
      </c>
      <c r="M351" s="26">
        <f>IF($B351="","",IF(COUNTIFS(EntryDates,$B351,CalcTime,$C351,CalcBank,$C$5,EntryParty,$D351,EntryDep,$H351,EntryWit,$I351)&gt;1,"تکرار",""))</f>
        <v/>
      </c>
      <c r="N351" s="26">
        <f>IF($P351="","",IF(INDEX(EntryNotes,$P351)=0,"",INDEX(EntryNotes,$P351)))</f>
        <v/>
      </c>
      <c r="O351" s="26">
        <f>IF($P351="","",IF(INDEX(EntryTxnID,$P351)=0,"",INDEX(EntryTxnID,$P351)))</f>
        <v/>
      </c>
      <c r="P351" s="26">
        <f>IFERROR(MATCH($C$5&amp;"|"&amp;RIGHT("000000"&amp;335,6),CalcRankKey,0),"")</f>
        <v/>
      </c>
    </row>
    <row r="352">
      <c r="A352" s="28">
        <f>IF($B352="","",336)</f>
        <v/>
      </c>
      <c r="B352" s="28">
        <f>IF($P352="","",IF(INDEX(CalcNormDate,$P352)=0,"",INDEX(CalcNormDate,$P352)))</f>
        <v/>
      </c>
      <c r="C352" s="28">
        <f>IF($P352="","",IF(INDEX(CalcTime,$P352)=0,"",INDEX(CalcTime,$P352)))</f>
        <v/>
      </c>
      <c r="D352" s="28">
        <f>IF($P352="","",IF(INDEX(EntryParty,$P352)=0,"",INDEX(EntryParty,$P352)))</f>
        <v/>
      </c>
      <c r="E352" s="28">
        <f>IF($P352="","",IF(INDEX(EntryPartyName,$P352)=0,"",INDEX(EntryPartyName,$P352)))</f>
        <v/>
      </c>
      <c r="F352" s="28">
        <f>IF($P352="","",IF(INDEX(EntryPartyType,$P352)=0,"",INDEX(EntryPartyType,$P352)))</f>
        <v/>
      </c>
      <c r="G352" s="28">
        <f>IF($P352="","",IF(INDEX(EntryTxnType,$P352)=0,"",INDEX(EntryTxnType,$P352)))</f>
        <v/>
      </c>
      <c r="H352" s="29">
        <f>IF($P352="","",IF(INDEX(EntryDep,$P352)=0,"",INDEX(EntryDep,$P352)))</f>
        <v/>
      </c>
      <c r="I352" s="29">
        <f>IF($P352="","",IF(INDEX(EntryWit,$P352)=0,"",INDEX(EntryWit,$P352)))</f>
        <v/>
      </c>
      <c r="J352" s="29">
        <f>IF($B352="","",IF($A352=1,$C$7,IF(J351="",0,J351))+IF($H352="",0,$H352)-IF($I352="",0,$I352))</f>
        <v/>
      </c>
      <c r="K352" s="29">
        <f>IF($P352="","",IF(INDEX(EntryMan,$P352)=0,"",INDEX(EntryMan,$P352)))</f>
        <v/>
      </c>
      <c r="L352" s="28">
        <f>IF($B352="","",IF($K352="","—",IF(ROUND($K352-$J352,0)=0,"√","×")))</f>
        <v/>
      </c>
      <c r="M352" s="28">
        <f>IF($B352="","",IF(COUNTIFS(EntryDates,$B352,CalcTime,$C352,CalcBank,$C$5,EntryParty,$D352,EntryDep,$H352,EntryWit,$I352)&gt;1,"تکرار",""))</f>
        <v/>
      </c>
      <c r="N352" s="28">
        <f>IF($P352="","",IF(INDEX(EntryNotes,$P352)=0,"",INDEX(EntryNotes,$P352)))</f>
        <v/>
      </c>
      <c r="O352" s="28">
        <f>IF($P352="","",IF(INDEX(EntryTxnID,$P352)=0,"",INDEX(EntryTxnID,$P352)))</f>
        <v/>
      </c>
      <c r="P352" s="28">
        <f>IFERROR(MATCH($C$5&amp;"|"&amp;RIGHT("000000"&amp;336,6),CalcRankKey,0),"")</f>
        <v/>
      </c>
    </row>
    <row r="353">
      <c r="A353" s="26">
        <f>IF($B353="","",337)</f>
        <v/>
      </c>
      <c r="B353" s="26">
        <f>IF($P353="","",IF(INDEX(CalcNormDate,$P353)=0,"",INDEX(CalcNormDate,$P353)))</f>
        <v/>
      </c>
      <c r="C353" s="26">
        <f>IF($P353="","",IF(INDEX(CalcTime,$P353)=0,"",INDEX(CalcTime,$P353)))</f>
        <v/>
      </c>
      <c r="D353" s="26">
        <f>IF($P353="","",IF(INDEX(EntryParty,$P353)=0,"",INDEX(EntryParty,$P353)))</f>
        <v/>
      </c>
      <c r="E353" s="26">
        <f>IF($P353="","",IF(INDEX(EntryPartyName,$P353)=0,"",INDEX(EntryPartyName,$P353)))</f>
        <v/>
      </c>
      <c r="F353" s="26">
        <f>IF($P353="","",IF(INDEX(EntryPartyType,$P353)=0,"",INDEX(EntryPartyType,$P353)))</f>
        <v/>
      </c>
      <c r="G353" s="26">
        <f>IF($P353="","",IF(INDEX(EntryTxnType,$P353)=0,"",INDEX(EntryTxnType,$P353)))</f>
        <v/>
      </c>
      <c r="H353" s="27">
        <f>IF($P353="","",IF(INDEX(EntryDep,$P353)=0,"",INDEX(EntryDep,$P353)))</f>
        <v/>
      </c>
      <c r="I353" s="27">
        <f>IF($P353="","",IF(INDEX(EntryWit,$P353)=0,"",INDEX(EntryWit,$P353)))</f>
        <v/>
      </c>
      <c r="J353" s="27">
        <f>IF($B353="","",IF($A353=1,$C$7,IF(J352="",0,J352))+IF($H353="",0,$H353)-IF($I353="",0,$I353))</f>
        <v/>
      </c>
      <c r="K353" s="27">
        <f>IF($P353="","",IF(INDEX(EntryMan,$P353)=0,"",INDEX(EntryMan,$P353)))</f>
        <v/>
      </c>
      <c r="L353" s="26">
        <f>IF($B353="","",IF($K353="","—",IF(ROUND($K353-$J353,0)=0,"√","×")))</f>
        <v/>
      </c>
      <c r="M353" s="26">
        <f>IF($B353="","",IF(COUNTIFS(EntryDates,$B353,CalcTime,$C353,CalcBank,$C$5,EntryParty,$D353,EntryDep,$H353,EntryWit,$I353)&gt;1,"تکرار",""))</f>
        <v/>
      </c>
      <c r="N353" s="26">
        <f>IF($P353="","",IF(INDEX(EntryNotes,$P353)=0,"",INDEX(EntryNotes,$P353)))</f>
        <v/>
      </c>
      <c r="O353" s="26">
        <f>IF($P353="","",IF(INDEX(EntryTxnID,$P353)=0,"",INDEX(EntryTxnID,$P353)))</f>
        <v/>
      </c>
      <c r="P353" s="26">
        <f>IFERROR(MATCH($C$5&amp;"|"&amp;RIGHT("000000"&amp;337,6),CalcRankKey,0),"")</f>
        <v/>
      </c>
    </row>
    <row r="354">
      <c r="A354" s="28">
        <f>IF($B354="","",338)</f>
        <v/>
      </c>
      <c r="B354" s="28">
        <f>IF($P354="","",IF(INDEX(CalcNormDate,$P354)=0,"",INDEX(CalcNormDate,$P354)))</f>
        <v/>
      </c>
      <c r="C354" s="28">
        <f>IF($P354="","",IF(INDEX(CalcTime,$P354)=0,"",INDEX(CalcTime,$P354)))</f>
        <v/>
      </c>
      <c r="D354" s="28">
        <f>IF($P354="","",IF(INDEX(EntryParty,$P354)=0,"",INDEX(EntryParty,$P354)))</f>
        <v/>
      </c>
      <c r="E354" s="28">
        <f>IF($P354="","",IF(INDEX(EntryPartyName,$P354)=0,"",INDEX(EntryPartyName,$P354)))</f>
        <v/>
      </c>
      <c r="F354" s="28">
        <f>IF($P354="","",IF(INDEX(EntryPartyType,$P354)=0,"",INDEX(EntryPartyType,$P354)))</f>
        <v/>
      </c>
      <c r="G354" s="28">
        <f>IF($P354="","",IF(INDEX(EntryTxnType,$P354)=0,"",INDEX(EntryTxnType,$P354)))</f>
        <v/>
      </c>
      <c r="H354" s="29">
        <f>IF($P354="","",IF(INDEX(EntryDep,$P354)=0,"",INDEX(EntryDep,$P354)))</f>
        <v/>
      </c>
      <c r="I354" s="29">
        <f>IF($P354="","",IF(INDEX(EntryWit,$P354)=0,"",INDEX(EntryWit,$P354)))</f>
        <v/>
      </c>
      <c r="J354" s="29">
        <f>IF($B354="","",IF($A354=1,$C$7,IF(J353="",0,J353))+IF($H354="",0,$H354)-IF($I354="",0,$I354))</f>
        <v/>
      </c>
      <c r="K354" s="29">
        <f>IF($P354="","",IF(INDEX(EntryMan,$P354)=0,"",INDEX(EntryMan,$P354)))</f>
        <v/>
      </c>
      <c r="L354" s="28">
        <f>IF($B354="","",IF($K354="","—",IF(ROUND($K354-$J354,0)=0,"√","×")))</f>
        <v/>
      </c>
      <c r="M354" s="28">
        <f>IF($B354="","",IF(COUNTIFS(EntryDates,$B354,CalcTime,$C354,CalcBank,$C$5,EntryParty,$D354,EntryDep,$H354,EntryWit,$I354)&gt;1,"تکرار",""))</f>
        <v/>
      </c>
      <c r="N354" s="28">
        <f>IF($P354="","",IF(INDEX(EntryNotes,$P354)=0,"",INDEX(EntryNotes,$P354)))</f>
        <v/>
      </c>
      <c r="O354" s="28">
        <f>IF($P354="","",IF(INDEX(EntryTxnID,$P354)=0,"",INDEX(EntryTxnID,$P354)))</f>
        <v/>
      </c>
      <c r="P354" s="28">
        <f>IFERROR(MATCH($C$5&amp;"|"&amp;RIGHT("000000"&amp;338,6),CalcRankKey,0),"")</f>
        <v/>
      </c>
    </row>
    <row r="355">
      <c r="A355" s="26">
        <f>IF($B355="","",339)</f>
        <v/>
      </c>
      <c r="B355" s="26">
        <f>IF($P355="","",IF(INDEX(CalcNormDate,$P355)=0,"",INDEX(CalcNormDate,$P355)))</f>
        <v/>
      </c>
      <c r="C355" s="26">
        <f>IF($P355="","",IF(INDEX(CalcTime,$P355)=0,"",INDEX(CalcTime,$P355)))</f>
        <v/>
      </c>
      <c r="D355" s="26">
        <f>IF($P355="","",IF(INDEX(EntryParty,$P355)=0,"",INDEX(EntryParty,$P355)))</f>
        <v/>
      </c>
      <c r="E355" s="26">
        <f>IF($P355="","",IF(INDEX(EntryPartyName,$P355)=0,"",INDEX(EntryPartyName,$P355)))</f>
        <v/>
      </c>
      <c r="F355" s="26">
        <f>IF($P355="","",IF(INDEX(EntryPartyType,$P355)=0,"",INDEX(EntryPartyType,$P355)))</f>
        <v/>
      </c>
      <c r="G355" s="26">
        <f>IF($P355="","",IF(INDEX(EntryTxnType,$P355)=0,"",INDEX(EntryTxnType,$P355)))</f>
        <v/>
      </c>
      <c r="H355" s="27">
        <f>IF($P355="","",IF(INDEX(EntryDep,$P355)=0,"",INDEX(EntryDep,$P355)))</f>
        <v/>
      </c>
      <c r="I355" s="27">
        <f>IF($P355="","",IF(INDEX(EntryWit,$P355)=0,"",INDEX(EntryWit,$P355)))</f>
        <v/>
      </c>
      <c r="J355" s="27">
        <f>IF($B355="","",IF($A355=1,$C$7,IF(J354="",0,J354))+IF($H355="",0,$H355)-IF($I355="",0,$I355))</f>
        <v/>
      </c>
      <c r="K355" s="27">
        <f>IF($P355="","",IF(INDEX(EntryMan,$P355)=0,"",INDEX(EntryMan,$P355)))</f>
        <v/>
      </c>
      <c r="L355" s="26">
        <f>IF($B355="","",IF($K355="","—",IF(ROUND($K355-$J355,0)=0,"√","×")))</f>
        <v/>
      </c>
      <c r="M355" s="26">
        <f>IF($B355="","",IF(COUNTIFS(EntryDates,$B355,CalcTime,$C355,CalcBank,$C$5,EntryParty,$D355,EntryDep,$H355,EntryWit,$I355)&gt;1,"تکرار",""))</f>
        <v/>
      </c>
      <c r="N355" s="26">
        <f>IF($P355="","",IF(INDEX(EntryNotes,$P355)=0,"",INDEX(EntryNotes,$P355)))</f>
        <v/>
      </c>
      <c r="O355" s="26">
        <f>IF($P355="","",IF(INDEX(EntryTxnID,$P355)=0,"",INDEX(EntryTxnID,$P355)))</f>
        <v/>
      </c>
      <c r="P355" s="26">
        <f>IFERROR(MATCH($C$5&amp;"|"&amp;RIGHT("000000"&amp;339,6),CalcRankKey,0),"")</f>
        <v/>
      </c>
    </row>
    <row r="356">
      <c r="A356" s="28">
        <f>IF($B356="","",340)</f>
        <v/>
      </c>
      <c r="B356" s="28">
        <f>IF($P356="","",IF(INDEX(CalcNormDate,$P356)=0,"",INDEX(CalcNormDate,$P356)))</f>
        <v/>
      </c>
      <c r="C356" s="28">
        <f>IF($P356="","",IF(INDEX(CalcTime,$P356)=0,"",INDEX(CalcTime,$P356)))</f>
        <v/>
      </c>
      <c r="D356" s="28">
        <f>IF($P356="","",IF(INDEX(EntryParty,$P356)=0,"",INDEX(EntryParty,$P356)))</f>
        <v/>
      </c>
      <c r="E356" s="28">
        <f>IF($P356="","",IF(INDEX(EntryPartyName,$P356)=0,"",INDEX(EntryPartyName,$P356)))</f>
        <v/>
      </c>
      <c r="F356" s="28">
        <f>IF($P356="","",IF(INDEX(EntryPartyType,$P356)=0,"",INDEX(EntryPartyType,$P356)))</f>
        <v/>
      </c>
      <c r="G356" s="28">
        <f>IF($P356="","",IF(INDEX(EntryTxnType,$P356)=0,"",INDEX(EntryTxnType,$P356)))</f>
        <v/>
      </c>
      <c r="H356" s="29">
        <f>IF($P356="","",IF(INDEX(EntryDep,$P356)=0,"",INDEX(EntryDep,$P356)))</f>
        <v/>
      </c>
      <c r="I356" s="29">
        <f>IF($P356="","",IF(INDEX(EntryWit,$P356)=0,"",INDEX(EntryWit,$P356)))</f>
        <v/>
      </c>
      <c r="J356" s="29">
        <f>IF($B356="","",IF($A356=1,$C$7,IF(J355="",0,J355))+IF($H356="",0,$H356)-IF($I356="",0,$I356))</f>
        <v/>
      </c>
      <c r="K356" s="29">
        <f>IF($P356="","",IF(INDEX(EntryMan,$P356)=0,"",INDEX(EntryMan,$P356)))</f>
        <v/>
      </c>
      <c r="L356" s="28">
        <f>IF($B356="","",IF($K356="","—",IF(ROUND($K356-$J356,0)=0,"√","×")))</f>
        <v/>
      </c>
      <c r="M356" s="28">
        <f>IF($B356="","",IF(COUNTIFS(EntryDates,$B356,CalcTime,$C356,CalcBank,$C$5,EntryParty,$D356,EntryDep,$H356,EntryWit,$I356)&gt;1,"تکرار",""))</f>
        <v/>
      </c>
      <c r="N356" s="28">
        <f>IF($P356="","",IF(INDEX(EntryNotes,$P356)=0,"",INDEX(EntryNotes,$P356)))</f>
        <v/>
      </c>
      <c r="O356" s="28">
        <f>IF($P356="","",IF(INDEX(EntryTxnID,$P356)=0,"",INDEX(EntryTxnID,$P356)))</f>
        <v/>
      </c>
      <c r="P356" s="28">
        <f>IFERROR(MATCH($C$5&amp;"|"&amp;RIGHT("000000"&amp;340,6),CalcRankKey,0),"")</f>
        <v/>
      </c>
    </row>
    <row r="357">
      <c r="A357" s="26">
        <f>IF($B357="","",341)</f>
        <v/>
      </c>
      <c r="B357" s="26">
        <f>IF($P357="","",IF(INDEX(CalcNormDate,$P357)=0,"",INDEX(CalcNormDate,$P357)))</f>
        <v/>
      </c>
      <c r="C357" s="26">
        <f>IF($P357="","",IF(INDEX(CalcTime,$P357)=0,"",INDEX(CalcTime,$P357)))</f>
        <v/>
      </c>
      <c r="D357" s="26">
        <f>IF($P357="","",IF(INDEX(EntryParty,$P357)=0,"",INDEX(EntryParty,$P357)))</f>
        <v/>
      </c>
      <c r="E357" s="26">
        <f>IF($P357="","",IF(INDEX(EntryPartyName,$P357)=0,"",INDEX(EntryPartyName,$P357)))</f>
        <v/>
      </c>
      <c r="F357" s="26">
        <f>IF($P357="","",IF(INDEX(EntryPartyType,$P357)=0,"",INDEX(EntryPartyType,$P357)))</f>
        <v/>
      </c>
      <c r="G357" s="26">
        <f>IF($P357="","",IF(INDEX(EntryTxnType,$P357)=0,"",INDEX(EntryTxnType,$P357)))</f>
        <v/>
      </c>
      <c r="H357" s="27">
        <f>IF($P357="","",IF(INDEX(EntryDep,$P357)=0,"",INDEX(EntryDep,$P357)))</f>
        <v/>
      </c>
      <c r="I357" s="27">
        <f>IF($P357="","",IF(INDEX(EntryWit,$P357)=0,"",INDEX(EntryWit,$P357)))</f>
        <v/>
      </c>
      <c r="J357" s="27">
        <f>IF($B357="","",IF($A357=1,$C$7,IF(J356="",0,J356))+IF($H357="",0,$H357)-IF($I357="",0,$I357))</f>
        <v/>
      </c>
      <c r="K357" s="27">
        <f>IF($P357="","",IF(INDEX(EntryMan,$P357)=0,"",INDEX(EntryMan,$P357)))</f>
        <v/>
      </c>
      <c r="L357" s="26">
        <f>IF($B357="","",IF($K357="","—",IF(ROUND($K357-$J357,0)=0,"√","×")))</f>
        <v/>
      </c>
      <c r="M357" s="26">
        <f>IF($B357="","",IF(COUNTIFS(EntryDates,$B357,CalcTime,$C357,CalcBank,$C$5,EntryParty,$D357,EntryDep,$H357,EntryWit,$I357)&gt;1,"تکرار",""))</f>
        <v/>
      </c>
      <c r="N357" s="26">
        <f>IF($P357="","",IF(INDEX(EntryNotes,$P357)=0,"",INDEX(EntryNotes,$P357)))</f>
        <v/>
      </c>
      <c r="O357" s="26">
        <f>IF($P357="","",IF(INDEX(EntryTxnID,$P357)=0,"",INDEX(EntryTxnID,$P357)))</f>
        <v/>
      </c>
      <c r="P357" s="26">
        <f>IFERROR(MATCH($C$5&amp;"|"&amp;RIGHT("000000"&amp;341,6),CalcRankKey,0),"")</f>
        <v/>
      </c>
    </row>
    <row r="358">
      <c r="A358" s="28">
        <f>IF($B358="","",342)</f>
        <v/>
      </c>
      <c r="B358" s="28">
        <f>IF($P358="","",IF(INDEX(CalcNormDate,$P358)=0,"",INDEX(CalcNormDate,$P358)))</f>
        <v/>
      </c>
      <c r="C358" s="28">
        <f>IF($P358="","",IF(INDEX(CalcTime,$P358)=0,"",INDEX(CalcTime,$P358)))</f>
        <v/>
      </c>
      <c r="D358" s="28">
        <f>IF($P358="","",IF(INDEX(EntryParty,$P358)=0,"",INDEX(EntryParty,$P358)))</f>
        <v/>
      </c>
      <c r="E358" s="28">
        <f>IF($P358="","",IF(INDEX(EntryPartyName,$P358)=0,"",INDEX(EntryPartyName,$P358)))</f>
        <v/>
      </c>
      <c r="F358" s="28">
        <f>IF($P358="","",IF(INDEX(EntryPartyType,$P358)=0,"",INDEX(EntryPartyType,$P358)))</f>
        <v/>
      </c>
      <c r="G358" s="28">
        <f>IF($P358="","",IF(INDEX(EntryTxnType,$P358)=0,"",INDEX(EntryTxnType,$P358)))</f>
        <v/>
      </c>
      <c r="H358" s="29">
        <f>IF($P358="","",IF(INDEX(EntryDep,$P358)=0,"",INDEX(EntryDep,$P358)))</f>
        <v/>
      </c>
      <c r="I358" s="29">
        <f>IF($P358="","",IF(INDEX(EntryWit,$P358)=0,"",INDEX(EntryWit,$P358)))</f>
        <v/>
      </c>
      <c r="J358" s="29">
        <f>IF($B358="","",IF($A358=1,$C$7,IF(J357="",0,J357))+IF($H358="",0,$H358)-IF($I358="",0,$I358))</f>
        <v/>
      </c>
      <c r="K358" s="29">
        <f>IF($P358="","",IF(INDEX(EntryMan,$P358)=0,"",INDEX(EntryMan,$P358)))</f>
        <v/>
      </c>
      <c r="L358" s="28">
        <f>IF($B358="","",IF($K358="","—",IF(ROUND($K358-$J358,0)=0,"√","×")))</f>
        <v/>
      </c>
      <c r="M358" s="28">
        <f>IF($B358="","",IF(COUNTIFS(EntryDates,$B358,CalcTime,$C358,CalcBank,$C$5,EntryParty,$D358,EntryDep,$H358,EntryWit,$I358)&gt;1,"تکرار",""))</f>
        <v/>
      </c>
      <c r="N358" s="28">
        <f>IF($P358="","",IF(INDEX(EntryNotes,$P358)=0,"",INDEX(EntryNotes,$P358)))</f>
        <v/>
      </c>
      <c r="O358" s="28">
        <f>IF($P358="","",IF(INDEX(EntryTxnID,$P358)=0,"",INDEX(EntryTxnID,$P358)))</f>
        <v/>
      </c>
      <c r="P358" s="28">
        <f>IFERROR(MATCH($C$5&amp;"|"&amp;RIGHT("000000"&amp;342,6),CalcRankKey,0),"")</f>
        <v/>
      </c>
    </row>
    <row r="359">
      <c r="A359" s="26">
        <f>IF($B359="","",343)</f>
        <v/>
      </c>
      <c r="B359" s="26">
        <f>IF($P359="","",IF(INDEX(CalcNormDate,$P359)=0,"",INDEX(CalcNormDate,$P359)))</f>
        <v/>
      </c>
      <c r="C359" s="26">
        <f>IF($P359="","",IF(INDEX(CalcTime,$P359)=0,"",INDEX(CalcTime,$P359)))</f>
        <v/>
      </c>
      <c r="D359" s="26">
        <f>IF($P359="","",IF(INDEX(EntryParty,$P359)=0,"",INDEX(EntryParty,$P359)))</f>
        <v/>
      </c>
      <c r="E359" s="26">
        <f>IF($P359="","",IF(INDEX(EntryPartyName,$P359)=0,"",INDEX(EntryPartyName,$P359)))</f>
        <v/>
      </c>
      <c r="F359" s="26">
        <f>IF($P359="","",IF(INDEX(EntryPartyType,$P359)=0,"",INDEX(EntryPartyType,$P359)))</f>
        <v/>
      </c>
      <c r="G359" s="26">
        <f>IF($P359="","",IF(INDEX(EntryTxnType,$P359)=0,"",INDEX(EntryTxnType,$P359)))</f>
        <v/>
      </c>
      <c r="H359" s="27">
        <f>IF($P359="","",IF(INDEX(EntryDep,$P359)=0,"",INDEX(EntryDep,$P359)))</f>
        <v/>
      </c>
      <c r="I359" s="27">
        <f>IF($P359="","",IF(INDEX(EntryWit,$P359)=0,"",INDEX(EntryWit,$P359)))</f>
        <v/>
      </c>
      <c r="J359" s="27">
        <f>IF($B359="","",IF($A359=1,$C$7,IF(J358="",0,J358))+IF($H359="",0,$H359)-IF($I359="",0,$I359))</f>
        <v/>
      </c>
      <c r="K359" s="27">
        <f>IF($P359="","",IF(INDEX(EntryMan,$P359)=0,"",INDEX(EntryMan,$P359)))</f>
        <v/>
      </c>
      <c r="L359" s="26">
        <f>IF($B359="","",IF($K359="","—",IF(ROUND($K359-$J359,0)=0,"√","×")))</f>
        <v/>
      </c>
      <c r="M359" s="26">
        <f>IF($B359="","",IF(COUNTIFS(EntryDates,$B359,CalcTime,$C359,CalcBank,$C$5,EntryParty,$D359,EntryDep,$H359,EntryWit,$I359)&gt;1,"تکرار",""))</f>
        <v/>
      </c>
      <c r="N359" s="26">
        <f>IF($P359="","",IF(INDEX(EntryNotes,$P359)=0,"",INDEX(EntryNotes,$P359)))</f>
        <v/>
      </c>
      <c r="O359" s="26">
        <f>IF($P359="","",IF(INDEX(EntryTxnID,$P359)=0,"",INDEX(EntryTxnID,$P359)))</f>
        <v/>
      </c>
      <c r="P359" s="26">
        <f>IFERROR(MATCH($C$5&amp;"|"&amp;RIGHT("000000"&amp;343,6),CalcRankKey,0),"")</f>
        <v/>
      </c>
    </row>
    <row r="360">
      <c r="A360" s="28">
        <f>IF($B360="","",344)</f>
        <v/>
      </c>
      <c r="B360" s="28">
        <f>IF($P360="","",IF(INDEX(CalcNormDate,$P360)=0,"",INDEX(CalcNormDate,$P360)))</f>
        <v/>
      </c>
      <c r="C360" s="28">
        <f>IF($P360="","",IF(INDEX(CalcTime,$P360)=0,"",INDEX(CalcTime,$P360)))</f>
        <v/>
      </c>
      <c r="D360" s="28">
        <f>IF($P360="","",IF(INDEX(EntryParty,$P360)=0,"",INDEX(EntryParty,$P360)))</f>
        <v/>
      </c>
      <c r="E360" s="28">
        <f>IF($P360="","",IF(INDEX(EntryPartyName,$P360)=0,"",INDEX(EntryPartyName,$P360)))</f>
        <v/>
      </c>
      <c r="F360" s="28">
        <f>IF($P360="","",IF(INDEX(EntryPartyType,$P360)=0,"",INDEX(EntryPartyType,$P360)))</f>
        <v/>
      </c>
      <c r="G360" s="28">
        <f>IF($P360="","",IF(INDEX(EntryTxnType,$P360)=0,"",INDEX(EntryTxnType,$P360)))</f>
        <v/>
      </c>
      <c r="H360" s="29">
        <f>IF($P360="","",IF(INDEX(EntryDep,$P360)=0,"",INDEX(EntryDep,$P360)))</f>
        <v/>
      </c>
      <c r="I360" s="29">
        <f>IF($P360="","",IF(INDEX(EntryWit,$P360)=0,"",INDEX(EntryWit,$P360)))</f>
        <v/>
      </c>
      <c r="J360" s="29">
        <f>IF($B360="","",IF($A360=1,$C$7,IF(J359="",0,J359))+IF($H360="",0,$H360)-IF($I360="",0,$I360))</f>
        <v/>
      </c>
      <c r="K360" s="29">
        <f>IF($P360="","",IF(INDEX(EntryMan,$P360)=0,"",INDEX(EntryMan,$P360)))</f>
        <v/>
      </c>
      <c r="L360" s="28">
        <f>IF($B360="","",IF($K360="","—",IF(ROUND($K360-$J360,0)=0,"√","×")))</f>
        <v/>
      </c>
      <c r="M360" s="28">
        <f>IF($B360="","",IF(COUNTIFS(EntryDates,$B360,CalcTime,$C360,CalcBank,$C$5,EntryParty,$D360,EntryDep,$H360,EntryWit,$I360)&gt;1,"تکرار",""))</f>
        <v/>
      </c>
      <c r="N360" s="28">
        <f>IF($P360="","",IF(INDEX(EntryNotes,$P360)=0,"",INDEX(EntryNotes,$P360)))</f>
        <v/>
      </c>
      <c r="O360" s="28">
        <f>IF($P360="","",IF(INDEX(EntryTxnID,$P360)=0,"",INDEX(EntryTxnID,$P360)))</f>
        <v/>
      </c>
      <c r="P360" s="28">
        <f>IFERROR(MATCH($C$5&amp;"|"&amp;RIGHT("000000"&amp;344,6),CalcRankKey,0),"")</f>
        <v/>
      </c>
    </row>
    <row r="361">
      <c r="A361" s="26">
        <f>IF($B361="","",345)</f>
        <v/>
      </c>
      <c r="B361" s="26">
        <f>IF($P361="","",IF(INDEX(CalcNormDate,$P361)=0,"",INDEX(CalcNormDate,$P361)))</f>
        <v/>
      </c>
      <c r="C361" s="26">
        <f>IF($P361="","",IF(INDEX(CalcTime,$P361)=0,"",INDEX(CalcTime,$P361)))</f>
        <v/>
      </c>
      <c r="D361" s="26">
        <f>IF($P361="","",IF(INDEX(EntryParty,$P361)=0,"",INDEX(EntryParty,$P361)))</f>
        <v/>
      </c>
      <c r="E361" s="26">
        <f>IF($P361="","",IF(INDEX(EntryPartyName,$P361)=0,"",INDEX(EntryPartyName,$P361)))</f>
        <v/>
      </c>
      <c r="F361" s="26">
        <f>IF($P361="","",IF(INDEX(EntryPartyType,$P361)=0,"",INDEX(EntryPartyType,$P361)))</f>
        <v/>
      </c>
      <c r="G361" s="26">
        <f>IF($P361="","",IF(INDEX(EntryTxnType,$P361)=0,"",INDEX(EntryTxnType,$P361)))</f>
        <v/>
      </c>
      <c r="H361" s="27">
        <f>IF($P361="","",IF(INDEX(EntryDep,$P361)=0,"",INDEX(EntryDep,$P361)))</f>
        <v/>
      </c>
      <c r="I361" s="27">
        <f>IF($P361="","",IF(INDEX(EntryWit,$P361)=0,"",INDEX(EntryWit,$P361)))</f>
        <v/>
      </c>
      <c r="J361" s="27">
        <f>IF($B361="","",IF($A361=1,$C$7,IF(J360="",0,J360))+IF($H361="",0,$H361)-IF($I361="",0,$I361))</f>
        <v/>
      </c>
      <c r="K361" s="27">
        <f>IF($P361="","",IF(INDEX(EntryMan,$P361)=0,"",INDEX(EntryMan,$P361)))</f>
        <v/>
      </c>
      <c r="L361" s="26">
        <f>IF($B361="","",IF($K361="","—",IF(ROUND($K361-$J361,0)=0,"√","×")))</f>
        <v/>
      </c>
      <c r="M361" s="26">
        <f>IF($B361="","",IF(COUNTIFS(EntryDates,$B361,CalcTime,$C361,CalcBank,$C$5,EntryParty,$D361,EntryDep,$H361,EntryWit,$I361)&gt;1,"تکرار",""))</f>
        <v/>
      </c>
      <c r="N361" s="26">
        <f>IF($P361="","",IF(INDEX(EntryNotes,$P361)=0,"",INDEX(EntryNotes,$P361)))</f>
        <v/>
      </c>
      <c r="O361" s="26">
        <f>IF($P361="","",IF(INDEX(EntryTxnID,$P361)=0,"",INDEX(EntryTxnID,$P361)))</f>
        <v/>
      </c>
      <c r="P361" s="26">
        <f>IFERROR(MATCH($C$5&amp;"|"&amp;RIGHT("000000"&amp;345,6),CalcRankKey,0),"")</f>
        <v/>
      </c>
    </row>
    <row r="362">
      <c r="A362" s="28">
        <f>IF($B362="","",346)</f>
        <v/>
      </c>
      <c r="B362" s="28">
        <f>IF($P362="","",IF(INDEX(CalcNormDate,$P362)=0,"",INDEX(CalcNormDate,$P362)))</f>
        <v/>
      </c>
      <c r="C362" s="28">
        <f>IF($P362="","",IF(INDEX(CalcTime,$P362)=0,"",INDEX(CalcTime,$P362)))</f>
        <v/>
      </c>
      <c r="D362" s="28">
        <f>IF($P362="","",IF(INDEX(EntryParty,$P362)=0,"",INDEX(EntryParty,$P362)))</f>
        <v/>
      </c>
      <c r="E362" s="28">
        <f>IF($P362="","",IF(INDEX(EntryPartyName,$P362)=0,"",INDEX(EntryPartyName,$P362)))</f>
        <v/>
      </c>
      <c r="F362" s="28">
        <f>IF($P362="","",IF(INDEX(EntryPartyType,$P362)=0,"",INDEX(EntryPartyType,$P362)))</f>
        <v/>
      </c>
      <c r="G362" s="28">
        <f>IF($P362="","",IF(INDEX(EntryTxnType,$P362)=0,"",INDEX(EntryTxnType,$P362)))</f>
        <v/>
      </c>
      <c r="H362" s="29">
        <f>IF($P362="","",IF(INDEX(EntryDep,$P362)=0,"",INDEX(EntryDep,$P362)))</f>
        <v/>
      </c>
      <c r="I362" s="29">
        <f>IF($P362="","",IF(INDEX(EntryWit,$P362)=0,"",INDEX(EntryWit,$P362)))</f>
        <v/>
      </c>
      <c r="J362" s="29">
        <f>IF($B362="","",IF($A362=1,$C$7,IF(J361="",0,J361))+IF($H362="",0,$H362)-IF($I362="",0,$I362))</f>
        <v/>
      </c>
      <c r="K362" s="29">
        <f>IF($P362="","",IF(INDEX(EntryMan,$P362)=0,"",INDEX(EntryMan,$P362)))</f>
        <v/>
      </c>
      <c r="L362" s="28">
        <f>IF($B362="","",IF($K362="","—",IF(ROUND($K362-$J362,0)=0,"√","×")))</f>
        <v/>
      </c>
      <c r="M362" s="28">
        <f>IF($B362="","",IF(COUNTIFS(EntryDates,$B362,CalcTime,$C362,CalcBank,$C$5,EntryParty,$D362,EntryDep,$H362,EntryWit,$I362)&gt;1,"تکرار",""))</f>
        <v/>
      </c>
      <c r="N362" s="28">
        <f>IF($P362="","",IF(INDEX(EntryNotes,$P362)=0,"",INDEX(EntryNotes,$P362)))</f>
        <v/>
      </c>
      <c r="O362" s="28">
        <f>IF($P362="","",IF(INDEX(EntryTxnID,$P362)=0,"",INDEX(EntryTxnID,$P362)))</f>
        <v/>
      </c>
      <c r="P362" s="28">
        <f>IFERROR(MATCH($C$5&amp;"|"&amp;RIGHT("000000"&amp;346,6),CalcRankKey,0),"")</f>
        <v/>
      </c>
    </row>
    <row r="363">
      <c r="A363" s="26">
        <f>IF($B363="","",347)</f>
        <v/>
      </c>
      <c r="B363" s="26">
        <f>IF($P363="","",IF(INDEX(CalcNormDate,$P363)=0,"",INDEX(CalcNormDate,$P363)))</f>
        <v/>
      </c>
      <c r="C363" s="26">
        <f>IF($P363="","",IF(INDEX(CalcTime,$P363)=0,"",INDEX(CalcTime,$P363)))</f>
        <v/>
      </c>
      <c r="D363" s="26">
        <f>IF($P363="","",IF(INDEX(EntryParty,$P363)=0,"",INDEX(EntryParty,$P363)))</f>
        <v/>
      </c>
      <c r="E363" s="26">
        <f>IF($P363="","",IF(INDEX(EntryPartyName,$P363)=0,"",INDEX(EntryPartyName,$P363)))</f>
        <v/>
      </c>
      <c r="F363" s="26">
        <f>IF($P363="","",IF(INDEX(EntryPartyType,$P363)=0,"",INDEX(EntryPartyType,$P363)))</f>
        <v/>
      </c>
      <c r="G363" s="26">
        <f>IF($P363="","",IF(INDEX(EntryTxnType,$P363)=0,"",INDEX(EntryTxnType,$P363)))</f>
        <v/>
      </c>
      <c r="H363" s="27">
        <f>IF($P363="","",IF(INDEX(EntryDep,$P363)=0,"",INDEX(EntryDep,$P363)))</f>
        <v/>
      </c>
      <c r="I363" s="27">
        <f>IF($P363="","",IF(INDEX(EntryWit,$P363)=0,"",INDEX(EntryWit,$P363)))</f>
        <v/>
      </c>
      <c r="J363" s="27">
        <f>IF($B363="","",IF($A363=1,$C$7,IF(J362="",0,J362))+IF($H363="",0,$H363)-IF($I363="",0,$I363))</f>
        <v/>
      </c>
      <c r="K363" s="27">
        <f>IF($P363="","",IF(INDEX(EntryMan,$P363)=0,"",INDEX(EntryMan,$P363)))</f>
        <v/>
      </c>
      <c r="L363" s="26">
        <f>IF($B363="","",IF($K363="","—",IF(ROUND($K363-$J363,0)=0,"√","×")))</f>
        <v/>
      </c>
      <c r="M363" s="26">
        <f>IF($B363="","",IF(COUNTIFS(EntryDates,$B363,CalcTime,$C363,CalcBank,$C$5,EntryParty,$D363,EntryDep,$H363,EntryWit,$I363)&gt;1,"تکرار",""))</f>
        <v/>
      </c>
      <c r="N363" s="26">
        <f>IF($P363="","",IF(INDEX(EntryNotes,$P363)=0,"",INDEX(EntryNotes,$P363)))</f>
        <v/>
      </c>
      <c r="O363" s="26">
        <f>IF($P363="","",IF(INDEX(EntryTxnID,$P363)=0,"",INDEX(EntryTxnID,$P363)))</f>
        <v/>
      </c>
      <c r="P363" s="26">
        <f>IFERROR(MATCH($C$5&amp;"|"&amp;RIGHT("000000"&amp;347,6),CalcRankKey,0),"")</f>
        <v/>
      </c>
    </row>
    <row r="364">
      <c r="A364" s="28">
        <f>IF($B364="","",348)</f>
        <v/>
      </c>
      <c r="B364" s="28">
        <f>IF($P364="","",IF(INDEX(CalcNormDate,$P364)=0,"",INDEX(CalcNormDate,$P364)))</f>
        <v/>
      </c>
      <c r="C364" s="28">
        <f>IF($P364="","",IF(INDEX(CalcTime,$P364)=0,"",INDEX(CalcTime,$P364)))</f>
        <v/>
      </c>
      <c r="D364" s="28">
        <f>IF($P364="","",IF(INDEX(EntryParty,$P364)=0,"",INDEX(EntryParty,$P364)))</f>
        <v/>
      </c>
      <c r="E364" s="28">
        <f>IF($P364="","",IF(INDEX(EntryPartyName,$P364)=0,"",INDEX(EntryPartyName,$P364)))</f>
        <v/>
      </c>
      <c r="F364" s="28">
        <f>IF($P364="","",IF(INDEX(EntryPartyType,$P364)=0,"",INDEX(EntryPartyType,$P364)))</f>
        <v/>
      </c>
      <c r="G364" s="28">
        <f>IF($P364="","",IF(INDEX(EntryTxnType,$P364)=0,"",INDEX(EntryTxnType,$P364)))</f>
        <v/>
      </c>
      <c r="H364" s="29">
        <f>IF($P364="","",IF(INDEX(EntryDep,$P364)=0,"",INDEX(EntryDep,$P364)))</f>
        <v/>
      </c>
      <c r="I364" s="29">
        <f>IF($P364="","",IF(INDEX(EntryWit,$P364)=0,"",INDEX(EntryWit,$P364)))</f>
        <v/>
      </c>
      <c r="J364" s="29">
        <f>IF($B364="","",IF($A364=1,$C$7,IF(J363="",0,J363))+IF($H364="",0,$H364)-IF($I364="",0,$I364))</f>
        <v/>
      </c>
      <c r="K364" s="29">
        <f>IF($P364="","",IF(INDEX(EntryMan,$P364)=0,"",INDEX(EntryMan,$P364)))</f>
        <v/>
      </c>
      <c r="L364" s="28">
        <f>IF($B364="","",IF($K364="","—",IF(ROUND($K364-$J364,0)=0,"√","×")))</f>
        <v/>
      </c>
      <c r="M364" s="28">
        <f>IF($B364="","",IF(COUNTIFS(EntryDates,$B364,CalcTime,$C364,CalcBank,$C$5,EntryParty,$D364,EntryDep,$H364,EntryWit,$I364)&gt;1,"تکرار",""))</f>
        <v/>
      </c>
      <c r="N364" s="28">
        <f>IF($P364="","",IF(INDEX(EntryNotes,$P364)=0,"",INDEX(EntryNotes,$P364)))</f>
        <v/>
      </c>
      <c r="O364" s="28">
        <f>IF($P364="","",IF(INDEX(EntryTxnID,$P364)=0,"",INDEX(EntryTxnID,$P364)))</f>
        <v/>
      </c>
      <c r="P364" s="28">
        <f>IFERROR(MATCH($C$5&amp;"|"&amp;RIGHT("000000"&amp;348,6),CalcRankKey,0),"")</f>
        <v/>
      </c>
    </row>
    <row r="365">
      <c r="A365" s="26">
        <f>IF($B365="","",349)</f>
        <v/>
      </c>
      <c r="B365" s="26">
        <f>IF($P365="","",IF(INDEX(CalcNormDate,$P365)=0,"",INDEX(CalcNormDate,$P365)))</f>
        <v/>
      </c>
      <c r="C365" s="26">
        <f>IF($P365="","",IF(INDEX(CalcTime,$P365)=0,"",INDEX(CalcTime,$P365)))</f>
        <v/>
      </c>
      <c r="D365" s="26">
        <f>IF($P365="","",IF(INDEX(EntryParty,$P365)=0,"",INDEX(EntryParty,$P365)))</f>
        <v/>
      </c>
      <c r="E365" s="26">
        <f>IF($P365="","",IF(INDEX(EntryPartyName,$P365)=0,"",INDEX(EntryPartyName,$P365)))</f>
        <v/>
      </c>
      <c r="F365" s="26">
        <f>IF($P365="","",IF(INDEX(EntryPartyType,$P365)=0,"",INDEX(EntryPartyType,$P365)))</f>
        <v/>
      </c>
      <c r="G365" s="26">
        <f>IF($P365="","",IF(INDEX(EntryTxnType,$P365)=0,"",INDEX(EntryTxnType,$P365)))</f>
        <v/>
      </c>
      <c r="H365" s="27">
        <f>IF($P365="","",IF(INDEX(EntryDep,$P365)=0,"",INDEX(EntryDep,$P365)))</f>
        <v/>
      </c>
      <c r="I365" s="27">
        <f>IF($P365="","",IF(INDEX(EntryWit,$P365)=0,"",INDEX(EntryWit,$P365)))</f>
        <v/>
      </c>
      <c r="J365" s="27">
        <f>IF($B365="","",IF($A365=1,$C$7,IF(J364="",0,J364))+IF($H365="",0,$H365)-IF($I365="",0,$I365))</f>
        <v/>
      </c>
      <c r="K365" s="27">
        <f>IF($P365="","",IF(INDEX(EntryMan,$P365)=0,"",INDEX(EntryMan,$P365)))</f>
        <v/>
      </c>
      <c r="L365" s="26">
        <f>IF($B365="","",IF($K365="","—",IF(ROUND($K365-$J365,0)=0,"√","×")))</f>
        <v/>
      </c>
      <c r="M365" s="26">
        <f>IF($B365="","",IF(COUNTIFS(EntryDates,$B365,CalcTime,$C365,CalcBank,$C$5,EntryParty,$D365,EntryDep,$H365,EntryWit,$I365)&gt;1,"تکرار",""))</f>
        <v/>
      </c>
      <c r="N365" s="26">
        <f>IF($P365="","",IF(INDEX(EntryNotes,$P365)=0,"",INDEX(EntryNotes,$P365)))</f>
        <v/>
      </c>
      <c r="O365" s="26">
        <f>IF($P365="","",IF(INDEX(EntryTxnID,$P365)=0,"",INDEX(EntryTxnID,$P365)))</f>
        <v/>
      </c>
      <c r="P365" s="26">
        <f>IFERROR(MATCH($C$5&amp;"|"&amp;RIGHT("000000"&amp;349,6),CalcRankKey,0),"")</f>
        <v/>
      </c>
    </row>
    <row r="366">
      <c r="A366" s="28">
        <f>IF($B366="","",350)</f>
        <v/>
      </c>
      <c r="B366" s="28">
        <f>IF($P366="","",IF(INDEX(CalcNormDate,$P366)=0,"",INDEX(CalcNormDate,$P366)))</f>
        <v/>
      </c>
      <c r="C366" s="28">
        <f>IF($P366="","",IF(INDEX(CalcTime,$P366)=0,"",INDEX(CalcTime,$P366)))</f>
        <v/>
      </c>
      <c r="D366" s="28">
        <f>IF($P366="","",IF(INDEX(EntryParty,$P366)=0,"",INDEX(EntryParty,$P366)))</f>
        <v/>
      </c>
      <c r="E366" s="28">
        <f>IF($P366="","",IF(INDEX(EntryPartyName,$P366)=0,"",INDEX(EntryPartyName,$P366)))</f>
        <v/>
      </c>
      <c r="F366" s="28">
        <f>IF($P366="","",IF(INDEX(EntryPartyType,$P366)=0,"",INDEX(EntryPartyType,$P366)))</f>
        <v/>
      </c>
      <c r="G366" s="28">
        <f>IF($P366="","",IF(INDEX(EntryTxnType,$P366)=0,"",INDEX(EntryTxnType,$P366)))</f>
        <v/>
      </c>
      <c r="H366" s="29">
        <f>IF($P366="","",IF(INDEX(EntryDep,$P366)=0,"",INDEX(EntryDep,$P366)))</f>
        <v/>
      </c>
      <c r="I366" s="29">
        <f>IF($P366="","",IF(INDEX(EntryWit,$P366)=0,"",INDEX(EntryWit,$P366)))</f>
        <v/>
      </c>
      <c r="J366" s="29">
        <f>IF($B366="","",IF($A366=1,$C$7,IF(J365="",0,J365))+IF($H366="",0,$H366)-IF($I366="",0,$I366))</f>
        <v/>
      </c>
      <c r="K366" s="29">
        <f>IF($P366="","",IF(INDEX(EntryMan,$P366)=0,"",INDEX(EntryMan,$P366)))</f>
        <v/>
      </c>
      <c r="L366" s="28">
        <f>IF($B366="","",IF($K366="","—",IF(ROUND($K366-$J366,0)=0,"√","×")))</f>
        <v/>
      </c>
      <c r="M366" s="28">
        <f>IF($B366="","",IF(COUNTIFS(EntryDates,$B366,CalcTime,$C366,CalcBank,$C$5,EntryParty,$D366,EntryDep,$H366,EntryWit,$I366)&gt;1,"تکرار",""))</f>
        <v/>
      </c>
      <c r="N366" s="28">
        <f>IF($P366="","",IF(INDEX(EntryNotes,$P366)=0,"",INDEX(EntryNotes,$P366)))</f>
        <v/>
      </c>
      <c r="O366" s="28">
        <f>IF($P366="","",IF(INDEX(EntryTxnID,$P366)=0,"",INDEX(EntryTxnID,$P366)))</f>
        <v/>
      </c>
      <c r="P366" s="28">
        <f>IFERROR(MATCH($C$5&amp;"|"&amp;RIGHT("000000"&amp;350,6),CalcRankKey,0),"")</f>
        <v/>
      </c>
    </row>
    <row r="367">
      <c r="A367" s="26">
        <f>IF($B367="","",351)</f>
        <v/>
      </c>
      <c r="B367" s="26">
        <f>IF($P367="","",IF(INDEX(CalcNormDate,$P367)=0,"",INDEX(CalcNormDate,$P367)))</f>
        <v/>
      </c>
      <c r="C367" s="26">
        <f>IF($P367="","",IF(INDEX(CalcTime,$P367)=0,"",INDEX(CalcTime,$P367)))</f>
        <v/>
      </c>
      <c r="D367" s="26">
        <f>IF($P367="","",IF(INDEX(EntryParty,$P367)=0,"",INDEX(EntryParty,$P367)))</f>
        <v/>
      </c>
      <c r="E367" s="26">
        <f>IF($P367="","",IF(INDEX(EntryPartyName,$P367)=0,"",INDEX(EntryPartyName,$P367)))</f>
        <v/>
      </c>
      <c r="F367" s="26">
        <f>IF($P367="","",IF(INDEX(EntryPartyType,$P367)=0,"",INDEX(EntryPartyType,$P367)))</f>
        <v/>
      </c>
      <c r="G367" s="26">
        <f>IF($P367="","",IF(INDEX(EntryTxnType,$P367)=0,"",INDEX(EntryTxnType,$P367)))</f>
        <v/>
      </c>
      <c r="H367" s="27">
        <f>IF($P367="","",IF(INDEX(EntryDep,$P367)=0,"",INDEX(EntryDep,$P367)))</f>
        <v/>
      </c>
      <c r="I367" s="27">
        <f>IF($P367="","",IF(INDEX(EntryWit,$P367)=0,"",INDEX(EntryWit,$P367)))</f>
        <v/>
      </c>
      <c r="J367" s="27">
        <f>IF($B367="","",IF($A367=1,$C$7,IF(J366="",0,J366))+IF($H367="",0,$H367)-IF($I367="",0,$I367))</f>
        <v/>
      </c>
      <c r="K367" s="27">
        <f>IF($P367="","",IF(INDEX(EntryMan,$P367)=0,"",INDEX(EntryMan,$P367)))</f>
        <v/>
      </c>
      <c r="L367" s="26">
        <f>IF($B367="","",IF($K367="","—",IF(ROUND($K367-$J367,0)=0,"√","×")))</f>
        <v/>
      </c>
      <c r="M367" s="26">
        <f>IF($B367="","",IF(COUNTIFS(EntryDates,$B367,CalcTime,$C367,CalcBank,$C$5,EntryParty,$D367,EntryDep,$H367,EntryWit,$I367)&gt;1,"تکرار",""))</f>
        <v/>
      </c>
      <c r="N367" s="26">
        <f>IF($P367="","",IF(INDEX(EntryNotes,$P367)=0,"",INDEX(EntryNotes,$P367)))</f>
        <v/>
      </c>
      <c r="O367" s="26">
        <f>IF($P367="","",IF(INDEX(EntryTxnID,$P367)=0,"",INDEX(EntryTxnID,$P367)))</f>
        <v/>
      </c>
      <c r="P367" s="26">
        <f>IFERROR(MATCH($C$5&amp;"|"&amp;RIGHT("000000"&amp;351,6),CalcRankKey,0),"")</f>
        <v/>
      </c>
    </row>
    <row r="368">
      <c r="A368" s="28">
        <f>IF($B368="","",352)</f>
        <v/>
      </c>
      <c r="B368" s="28">
        <f>IF($P368="","",IF(INDEX(CalcNormDate,$P368)=0,"",INDEX(CalcNormDate,$P368)))</f>
        <v/>
      </c>
      <c r="C368" s="28">
        <f>IF($P368="","",IF(INDEX(CalcTime,$P368)=0,"",INDEX(CalcTime,$P368)))</f>
        <v/>
      </c>
      <c r="D368" s="28">
        <f>IF($P368="","",IF(INDEX(EntryParty,$P368)=0,"",INDEX(EntryParty,$P368)))</f>
        <v/>
      </c>
      <c r="E368" s="28">
        <f>IF($P368="","",IF(INDEX(EntryPartyName,$P368)=0,"",INDEX(EntryPartyName,$P368)))</f>
        <v/>
      </c>
      <c r="F368" s="28">
        <f>IF($P368="","",IF(INDEX(EntryPartyType,$P368)=0,"",INDEX(EntryPartyType,$P368)))</f>
        <v/>
      </c>
      <c r="G368" s="28">
        <f>IF($P368="","",IF(INDEX(EntryTxnType,$P368)=0,"",INDEX(EntryTxnType,$P368)))</f>
        <v/>
      </c>
      <c r="H368" s="29">
        <f>IF($P368="","",IF(INDEX(EntryDep,$P368)=0,"",INDEX(EntryDep,$P368)))</f>
        <v/>
      </c>
      <c r="I368" s="29">
        <f>IF($P368="","",IF(INDEX(EntryWit,$P368)=0,"",INDEX(EntryWit,$P368)))</f>
        <v/>
      </c>
      <c r="J368" s="29">
        <f>IF($B368="","",IF($A368=1,$C$7,IF(J367="",0,J367))+IF($H368="",0,$H368)-IF($I368="",0,$I368))</f>
        <v/>
      </c>
      <c r="K368" s="29">
        <f>IF($P368="","",IF(INDEX(EntryMan,$P368)=0,"",INDEX(EntryMan,$P368)))</f>
        <v/>
      </c>
      <c r="L368" s="28">
        <f>IF($B368="","",IF($K368="","—",IF(ROUND($K368-$J368,0)=0,"√","×")))</f>
        <v/>
      </c>
      <c r="M368" s="28">
        <f>IF($B368="","",IF(COUNTIFS(EntryDates,$B368,CalcTime,$C368,CalcBank,$C$5,EntryParty,$D368,EntryDep,$H368,EntryWit,$I368)&gt;1,"تکرار",""))</f>
        <v/>
      </c>
      <c r="N368" s="28">
        <f>IF($P368="","",IF(INDEX(EntryNotes,$P368)=0,"",INDEX(EntryNotes,$P368)))</f>
        <v/>
      </c>
      <c r="O368" s="28">
        <f>IF($P368="","",IF(INDEX(EntryTxnID,$P368)=0,"",INDEX(EntryTxnID,$P368)))</f>
        <v/>
      </c>
      <c r="P368" s="28">
        <f>IFERROR(MATCH($C$5&amp;"|"&amp;RIGHT("000000"&amp;352,6),CalcRankKey,0),"")</f>
        <v/>
      </c>
    </row>
    <row r="369">
      <c r="A369" s="26">
        <f>IF($B369="","",353)</f>
        <v/>
      </c>
      <c r="B369" s="26">
        <f>IF($P369="","",IF(INDEX(CalcNormDate,$P369)=0,"",INDEX(CalcNormDate,$P369)))</f>
        <v/>
      </c>
      <c r="C369" s="26">
        <f>IF($P369="","",IF(INDEX(CalcTime,$P369)=0,"",INDEX(CalcTime,$P369)))</f>
        <v/>
      </c>
      <c r="D369" s="26">
        <f>IF($P369="","",IF(INDEX(EntryParty,$P369)=0,"",INDEX(EntryParty,$P369)))</f>
        <v/>
      </c>
      <c r="E369" s="26">
        <f>IF($P369="","",IF(INDEX(EntryPartyName,$P369)=0,"",INDEX(EntryPartyName,$P369)))</f>
        <v/>
      </c>
      <c r="F369" s="26">
        <f>IF($P369="","",IF(INDEX(EntryPartyType,$P369)=0,"",INDEX(EntryPartyType,$P369)))</f>
        <v/>
      </c>
      <c r="G369" s="26">
        <f>IF($P369="","",IF(INDEX(EntryTxnType,$P369)=0,"",INDEX(EntryTxnType,$P369)))</f>
        <v/>
      </c>
      <c r="H369" s="27">
        <f>IF($P369="","",IF(INDEX(EntryDep,$P369)=0,"",INDEX(EntryDep,$P369)))</f>
        <v/>
      </c>
      <c r="I369" s="27">
        <f>IF($P369="","",IF(INDEX(EntryWit,$P369)=0,"",INDEX(EntryWit,$P369)))</f>
        <v/>
      </c>
      <c r="J369" s="27">
        <f>IF($B369="","",IF($A369=1,$C$7,IF(J368="",0,J368))+IF($H369="",0,$H369)-IF($I369="",0,$I369))</f>
        <v/>
      </c>
      <c r="K369" s="27">
        <f>IF($P369="","",IF(INDEX(EntryMan,$P369)=0,"",INDEX(EntryMan,$P369)))</f>
        <v/>
      </c>
      <c r="L369" s="26">
        <f>IF($B369="","",IF($K369="","—",IF(ROUND($K369-$J369,0)=0,"√","×")))</f>
        <v/>
      </c>
      <c r="M369" s="26">
        <f>IF($B369="","",IF(COUNTIFS(EntryDates,$B369,CalcTime,$C369,CalcBank,$C$5,EntryParty,$D369,EntryDep,$H369,EntryWit,$I369)&gt;1,"تکرار",""))</f>
        <v/>
      </c>
      <c r="N369" s="26">
        <f>IF($P369="","",IF(INDEX(EntryNotes,$P369)=0,"",INDEX(EntryNotes,$P369)))</f>
        <v/>
      </c>
      <c r="O369" s="26">
        <f>IF($P369="","",IF(INDEX(EntryTxnID,$P369)=0,"",INDEX(EntryTxnID,$P369)))</f>
        <v/>
      </c>
      <c r="P369" s="26">
        <f>IFERROR(MATCH($C$5&amp;"|"&amp;RIGHT("000000"&amp;353,6),CalcRankKey,0),"")</f>
        <v/>
      </c>
    </row>
    <row r="370">
      <c r="A370" s="28">
        <f>IF($B370="","",354)</f>
        <v/>
      </c>
      <c r="B370" s="28">
        <f>IF($P370="","",IF(INDEX(CalcNormDate,$P370)=0,"",INDEX(CalcNormDate,$P370)))</f>
        <v/>
      </c>
      <c r="C370" s="28">
        <f>IF($P370="","",IF(INDEX(CalcTime,$P370)=0,"",INDEX(CalcTime,$P370)))</f>
        <v/>
      </c>
      <c r="D370" s="28">
        <f>IF($P370="","",IF(INDEX(EntryParty,$P370)=0,"",INDEX(EntryParty,$P370)))</f>
        <v/>
      </c>
      <c r="E370" s="28">
        <f>IF($P370="","",IF(INDEX(EntryPartyName,$P370)=0,"",INDEX(EntryPartyName,$P370)))</f>
        <v/>
      </c>
      <c r="F370" s="28">
        <f>IF($P370="","",IF(INDEX(EntryPartyType,$P370)=0,"",INDEX(EntryPartyType,$P370)))</f>
        <v/>
      </c>
      <c r="G370" s="28">
        <f>IF($P370="","",IF(INDEX(EntryTxnType,$P370)=0,"",INDEX(EntryTxnType,$P370)))</f>
        <v/>
      </c>
      <c r="H370" s="29">
        <f>IF($P370="","",IF(INDEX(EntryDep,$P370)=0,"",INDEX(EntryDep,$P370)))</f>
        <v/>
      </c>
      <c r="I370" s="29">
        <f>IF($P370="","",IF(INDEX(EntryWit,$P370)=0,"",INDEX(EntryWit,$P370)))</f>
        <v/>
      </c>
      <c r="J370" s="29">
        <f>IF($B370="","",IF($A370=1,$C$7,IF(J369="",0,J369))+IF($H370="",0,$H370)-IF($I370="",0,$I370))</f>
        <v/>
      </c>
      <c r="K370" s="29">
        <f>IF($P370="","",IF(INDEX(EntryMan,$P370)=0,"",INDEX(EntryMan,$P370)))</f>
        <v/>
      </c>
      <c r="L370" s="28">
        <f>IF($B370="","",IF($K370="","—",IF(ROUND($K370-$J370,0)=0,"√","×")))</f>
        <v/>
      </c>
      <c r="M370" s="28">
        <f>IF($B370="","",IF(COUNTIFS(EntryDates,$B370,CalcTime,$C370,CalcBank,$C$5,EntryParty,$D370,EntryDep,$H370,EntryWit,$I370)&gt;1,"تکرار",""))</f>
        <v/>
      </c>
      <c r="N370" s="28">
        <f>IF($P370="","",IF(INDEX(EntryNotes,$P370)=0,"",INDEX(EntryNotes,$P370)))</f>
        <v/>
      </c>
      <c r="O370" s="28">
        <f>IF($P370="","",IF(INDEX(EntryTxnID,$P370)=0,"",INDEX(EntryTxnID,$P370)))</f>
        <v/>
      </c>
      <c r="P370" s="28">
        <f>IFERROR(MATCH($C$5&amp;"|"&amp;RIGHT("000000"&amp;354,6),CalcRankKey,0),"")</f>
        <v/>
      </c>
    </row>
    <row r="371">
      <c r="A371" s="26">
        <f>IF($B371="","",355)</f>
        <v/>
      </c>
      <c r="B371" s="26">
        <f>IF($P371="","",IF(INDEX(CalcNormDate,$P371)=0,"",INDEX(CalcNormDate,$P371)))</f>
        <v/>
      </c>
      <c r="C371" s="26">
        <f>IF($P371="","",IF(INDEX(CalcTime,$P371)=0,"",INDEX(CalcTime,$P371)))</f>
        <v/>
      </c>
      <c r="D371" s="26">
        <f>IF($P371="","",IF(INDEX(EntryParty,$P371)=0,"",INDEX(EntryParty,$P371)))</f>
        <v/>
      </c>
      <c r="E371" s="26">
        <f>IF($P371="","",IF(INDEX(EntryPartyName,$P371)=0,"",INDEX(EntryPartyName,$P371)))</f>
        <v/>
      </c>
      <c r="F371" s="26">
        <f>IF($P371="","",IF(INDEX(EntryPartyType,$P371)=0,"",INDEX(EntryPartyType,$P371)))</f>
        <v/>
      </c>
      <c r="G371" s="26">
        <f>IF($P371="","",IF(INDEX(EntryTxnType,$P371)=0,"",INDEX(EntryTxnType,$P371)))</f>
        <v/>
      </c>
      <c r="H371" s="27">
        <f>IF($P371="","",IF(INDEX(EntryDep,$P371)=0,"",INDEX(EntryDep,$P371)))</f>
        <v/>
      </c>
      <c r="I371" s="27">
        <f>IF($P371="","",IF(INDEX(EntryWit,$P371)=0,"",INDEX(EntryWit,$P371)))</f>
        <v/>
      </c>
      <c r="J371" s="27">
        <f>IF($B371="","",IF($A371=1,$C$7,IF(J370="",0,J370))+IF($H371="",0,$H371)-IF($I371="",0,$I371))</f>
        <v/>
      </c>
      <c r="K371" s="27">
        <f>IF($P371="","",IF(INDEX(EntryMan,$P371)=0,"",INDEX(EntryMan,$P371)))</f>
        <v/>
      </c>
      <c r="L371" s="26">
        <f>IF($B371="","",IF($K371="","—",IF(ROUND($K371-$J371,0)=0,"√","×")))</f>
        <v/>
      </c>
      <c r="M371" s="26">
        <f>IF($B371="","",IF(COUNTIFS(EntryDates,$B371,CalcTime,$C371,CalcBank,$C$5,EntryParty,$D371,EntryDep,$H371,EntryWit,$I371)&gt;1,"تکرار",""))</f>
        <v/>
      </c>
      <c r="N371" s="26">
        <f>IF($P371="","",IF(INDEX(EntryNotes,$P371)=0,"",INDEX(EntryNotes,$P371)))</f>
        <v/>
      </c>
      <c r="O371" s="26">
        <f>IF($P371="","",IF(INDEX(EntryTxnID,$P371)=0,"",INDEX(EntryTxnID,$P371)))</f>
        <v/>
      </c>
      <c r="P371" s="26">
        <f>IFERROR(MATCH($C$5&amp;"|"&amp;RIGHT("000000"&amp;355,6),CalcRankKey,0),"")</f>
        <v/>
      </c>
    </row>
    <row r="372">
      <c r="A372" s="28">
        <f>IF($B372="","",356)</f>
        <v/>
      </c>
      <c r="B372" s="28">
        <f>IF($P372="","",IF(INDEX(CalcNormDate,$P372)=0,"",INDEX(CalcNormDate,$P372)))</f>
        <v/>
      </c>
      <c r="C372" s="28">
        <f>IF($P372="","",IF(INDEX(CalcTime,$P372)=0,"",INDEX(CalcTime,$P372)))</f>
        <v/>
      </c>
      <c r="D372" s="28">
        <f>IF($P372="","",IF(INDEX(EntryParty,$P372)=0,"",INDEX(EntryParty,$P372)))</f>
        <v/>
      </c>
      <c r="E372" s="28">
        <f>IF($P372="","",IF(INDEX(EntryPartyName,$P372)=0,"",INDEX(EntryPartyName,$P372)))</f>
        <v/>
      </c>
      <c r="F372" s="28">
        <f>IF($P372="","",IF(INDEX(EntryPartyType,$P372)=0,"",INDEX(EntryPartyType,$P372)))</f>
        <v/>
      </c>
      <c r="G372" s="28">
        <f>IF($P372="","",IF(INDEX(EntryTxnType,$P372)=0,"",INDEX(EntryTxnType,$P372)))</f>
        <v/>
      </c>
      <c r="H372" s="29">
        <f>IF($P372="","",IF(INDEX(EntryDep,$P372)=0,"",INDEX(EntryDep,$P372)))</f>
        <v/>
      </c>
      <c r="I372" s="29">
        <f>IF($P372="","",IF(INDEX(EntryWit,$P372)=0,"",INDEX(EntryWit,$P372)))</f>
        <v/>
      </c>
      <c r="J372" s="29">
        <f>IF($B372="","",IF($A372=1,$C$7,IF(J371="",0,J371))+IF($H372="",0,$H372)-IF($I372="",0,$I372))</f>
        <v/>
      </c>
      <c r="K372" s="29">
        <f>IF($P372="","",IF(INDEX(EntryMan,$P372)=0,"",INDEX(EntryMan,$P372)))</f>
        <v/>
      </c>
      <c r="L372" s="28">
        <f>IF($B372="","",IF($K372="","—",IF(ROUND($K372-$J372,0)=0,"√","×")))</f>
        <v/>
      </c>
      <c r="M372" s="28">
        <f>IF($B372="","",IF(COUNTIFS(EntryDates,$B372,CalcTime,$C372,CalcBank,$C$5,EntryParty,$D372,EntryDep,$H372,EntryWit,$I372)&gt;1,"تکرار",""))</f>
        <v/>
      </c>
      <c r="N372" s="28">
        <f>IF($P372="","",IF(INDEX(EntryNotes,$P372)=0,"",INDEX(EntryNotes,$P372)))</f>
        <v/>
      </c>
      <c r="O372" s="28">
        <f>IF($P372="","",IF(INDEX(EntryTxnID,$P372)=0,"",INDEX(EntryTxnID,$P372)))</f>
        <v/>
      </c>
      <c r="P372" s="28">
        <f>IFERROR(MATCH($C$5&amp;"|"&amp;RIGHT("000000"&amp;356,6),CalcRankKey,0),"")</f>
        <v/>
      </c>
    </row>
    <row r="373">
      <c r="A373" s="26">
        <f>IF($B373="","",357)</f>
        <v/>
      </c>
      <c r="B373" s="26">
        <f>IF($P373="","",IF(INDEX(CalcNormDate,$P373)=0,"",INDEX(CalcNormDate,$P373)))</f>
        <v/>
      </c>
      <c r="C373" s="26">
        <f>IF($P373="","",IF(INDEX(CalcTime,$P373)=0,"",INDEX(CalcTime,$P373)))</f>
        <v/>
      </c>
      <c r="D373" s="26">
        <f>IF($P373="","",IF(INDEX(EntryParty,$P373)=0,"",INDEX(EntryParty,$P373)))</f>
        <v/>
      </c>
      <c r="E373" s="26">
        <f>IF($P373="","",IF(INDEX(EntryPartyName,$P373)=0,"",INDEX(EntryPartyName,$P373)))</f>
        <v/>
      </c>
      <c r="F373" s="26">
        <f>IF($P373="","",IF(INDEX(EntryPartyType,$P373)=0,"",INDEX(EntryPartyType,$P373)))</f>
        <v/>
      </c>
      <c r="G373" s="26">
        <f>IF($P373="","",IF(INDEX(EntryTxnType,$P373)=0,"",INDEX(EntryTxnType,$P373)))</f>
        <v/>
      </c>
      <c r="H373" s="27">
        <f>IF($P373="","",IF(INDEX(EntryDep,$P373)=0,"",INDEX(EntryDep,$P373)))</f>
        <v/>
      </c>
      <c r="I373" s="27">
        <f>IF($P373="","",IF(INDEX(EntryWit,$P373)=0,"",INDEX(EntryWit,$P373)))</f>
        <v/>
      </c>
      <c r="J373" s="27">
        <f>IF($B373="","",IF($A373=1,$C$7,IF(J372="",0,J372))+IF($H373="",0,$H373)-IF($I373="",0,$I373))</f>
        <v/>
      </c>
      <c r="K373" s="27">
        <f>IF($P373="","",IF(INDEX(EntryMan,$P373)=0,"",INDEX(EntryMan,$P373)))</f>
        <v/>
      </c>
      <c r="L373" s="26">
        <f>IF($B373="","",IF($K373="","—",IF(ROUND($K373-$J373,0)=0,"√","×")))</f>
        <v/>
      </c>
      <c r="M373" s="26">
        <f>IF($B373="","",IF(COUNTIFS(EntryDates,$B373,CalcTime,$C373,CalcBank,$C$5,EntryParty,$D373,EntryDep,$H373,EntryWit,$I373)&gt;1,"تکرار",""))</f>
        <v/>
      </c>
      <c r="N373" s="26">
        <f>IF($P373="","",IF(INDEX(EntryNotes,$P373)=0,"",INDEX(EntryNotes,$P373)))</f>
        <v/>
      </c>
      <c r="O373" s="26">
        <f>IF($P373="","",IF(INDEX(EntryTxnID,$P373)=0,"",INDEX(EntryTxnID,$P373)))</f>
        <v/>
      </c>
      <c r="P373" s="26">
        <f>IFERROR(MATCH($C$5&amp;"|"&amp;RIGHT("000000"&amp;357,6),CalcRankKey,0),"")</f>
        <v/>
      </c>
    </row>
    <row r="374">
      <c r="A374" s="28">
        <f>IF($B374="","",358)</f>
        <v/>
      </c>
      <c r="B374" s="28">
        <f>IF($P374="","",IF(INDEX(CalcNormDate,$P374)=0,"",INDEX(CalcNormDate,$P374)))</f>
        <v/>
      </c>
      <c r="C374" s="28">
        <f>IF($P374="","",IF(INDEX(CalcTime,$P374)=0,"",INDEX(CalcTime,$P374)))</f>
        <v/>
      </c>
      <c r="D374" s="28">
        <f>IF($P374="","",IF(INDEX(EntryParty,$P374)=0,"",INDEX(EntryParty,$P374)))</f>
        <v/>
      </c>
      <c r="E374" s="28">
        <f>IF($P374="","",IF(INDEX(EntryPartyName,$P374)=0,"",INDEX(EntryPartyName,$P374)))</f>
        <v/>
      </c>
      <c r="F374" s="28">
        <f>IF($P374="","",IF(INDEX(EntryPartyType,$P374)=0,"",INDEX(EntryPartyType,$P374)))</f>
        <v/>
      </c>
      <c r="G374" s="28">
        <f>IF($P374="","",IF(INDEX(EntryTxnType,$P374)=0,"",INDEX(EntryTxnType,$P374)))</f>
        <v/>
      </c>
      <c r="H374" s="29">
        <f>IF($P374="","",IF(INDEX(EntryDep,$P374)=0,"",INDEX(EntryDep,$P374)))</f>
        <v/>
      </c>
      <c r="I374" s="29">
        <f>IF($P374="","",IF(INDEX(EntryWit,$P374)=0,"",INDEX(EntryWit,$P374)))</f>
        <v/>
      </c>
      <c r="J374" s="29">
        <f>IF($B374="","",IF($A374=1,$C$7,IF(J373="",0,J373))+IF($H374="",0,$H374)-IF($I374="",0,$I374))</f>
        <v/>
      </c>
      <c r="K374" s="29">
        <f>IF($P374="","",IF(INDEX(EntryMan,$P374)=0,"",INDEX(EntryMan,$P374)))</f>
        <v/>
      </c>
      <c r="L374" s="28">
        <f>IF($B374="","",IF($K374="","—",IF(ROUND($K374-$J374,0)=0,"√","×")))</f>
        <v/>
      </c>
      <c r="M374" s="28">
        <f>IF($B374="","",IF(COUNTIFS(EntryDates,$B374,CalcTime,$C374,CalcBank,$C$5,EntryParty,$D374,EntryDep,$H374,EntryWit,$I374)&gt;1,"تکرار",""))</f>
        <v/>
      </c>
      <c r="N374" s="28">
        <f>IF($P374="","",IF(INDEX(EntryNotes,$P374)=0,"",INDEX(EntryNotes,$P374)))</f>
        <v/>
      </c>
      <c r="O374" s="28">
        <f>IF($P374="","",IF(INDEX(EntryTxnID,$P374)=0,"",INDEX(EntryTxnID,$P374)))</f>
        <v/>
      </c>
      <c r="P374" s="28">
        <f>IFERROR(MATCH($C$5&amp;"|"&amp;RIGHT("000000"&amp;358,6),CalcRankKey,0),"")</f>
        <v/>
      </c>
    </row>
    <row r="375">
      <c r="A375" s="26">
        <f>IF($B375="","",359)</f>
        <v/>
      </c>
      <c r="B375" s="26">
        <f>IF($P375="","",IF(INDEX(CalcNormDate,$P375)=0,"",INDEX(CalcNormDate,$P375)))</f>
        <v/>
      </c>
      <c r="C375" s="26">
        <f>IF($P375="","",IF(INDEX(CalcTime,$P375)=0,"",INDEX(CalcTime,$P375)))</f>
        <v/>
      </c>
      <c r="D375" s="26">
        <f>IF($P375="","",IF(INDEX(EntryParty,$P375)=0,"",INDEX(EntryParty,$P375)))</f>
        <v/>
      </c>
      <c r="E375" s="26">
        <f>IF($P375="","",IF(INDEX(EntryPartyName,$P375)=0,"",INDEX(EntryPartyName,$P375)))</f>
        <v/>
      </c>
      <c r="F375" s="26">
        <f>IF($P375="","",IF(INDEX(EntryPartyType,$P375)=0,"",INDEX(EntryPartyType,$P375)))</f>
        <v/>
      </c>
      <c r="G375" s="26">
        <f>IF($P375="","",IF(INDEX(EntryTxnType,$P375)=0,"",INDEX(EntryTxnType,$P375)))</f>
        <v/>
      </c>
      <c r="H375" s="27">
        <f>IF($P375="","",IF(INDEX(EntryDep,$P375)=0,"",INDEX(EntryDep,$P375)))</f>
        <v/>
      </c>
      <c r="I375" s="27">
        <f>IF($P375="","",IF(INDEX(EntryWit,$P375)=0,"",INDEX(EntryWit,$P375)))</f>
        <v/>
      </c>
      <c r="J375" s="27">
        <f>IF($B375="","",IF($A375=1,$C$7,IF(J374="",0,J374))+IF($H375="",0,$H375)-IF($I375="",0,$I375))</f>
        <v/>
      </c>
      <c r="K375" s="27">
        <f>IF($P375="","",IF(INDEX(EntryMan,$P375)=0,"",INDEX(EntryMan,$P375)))</f>
        <v/>
      </c>
      <c r="L375" s="26">
        <f>IF($B375="","",IF($K375="","—",IF(ROUND($K375-$J375,0)=0,"√","×")))</f>
        <v/>
      </c>
      <c r="M375" s="26">
        <f>IF($B375="","",IF(COUNTIFS(EntryDates,$B375,CalcTime,$C375,CalcBank,$C$5,EntryParty,$D375,EntryDep,$H375,EntryWit,$I375)&gt;1,"تکرار",""))</f>
        <v/>
      </c>
      <c r="N375" s="26">
        <f>IF($P375="","",IF(INDEX(EntryNotes,$P375)=0,"",INDEX(EntryNotes,$P375)))</f>
        <v/>
      </c>
      <c r="O375" s="26">
        <f>IF($P375="","",IF(INDEX(EntryTxnID,$P375)=0,"",INDEX(EntryTxnID,$P375)))</f>
        <v/>
      </c>
      <c r="P375" s="26">
        <f>IFERROR(MATCH($C$5&amp;"|"&amp;RIGHT("000000"&amp;359,6),CalcRankKey,0),"")</f>
        <v/>
      </c>
    </row>
    <row r="376">
      <c r="A376" s="28">
        <f>IF($B376="","",360)</f>
        <v/>
      </c>
      <c r="B376" s="28">
        <f>IF($P376="","",IF(INDEX(CalcNormDate,$P376)=0,"",INDEX(CalcNormDate,$P376)))</f>
        <v/>
      </c>
      <c r="C376" s="28">
        <f>IF($P376="","",IF(INDEX(CalcTime,$P376)=0,"",INDEX(CalcTime,$P376)))</f>
        <v/>
      </c>
      <c r="D376" s="28">
        <f>IF($P376="","",IF(INDEX(EntryParty,$P376)=0,"",INDEX(EntryParty,$P376)))</f>
        <v/>
      </c>
      <c r="E376" s="28">
        <f>IF($P376="","",IF(INDEX(EntryPartyName,$P376)=0,"",INDEX(EntryPartyName,$P376)))</f>
        <v/>
      </c>
      <c r="F376" s="28">
        <f>IF($P376="","",IF(INDEX(EntryPartyType,$P376)=0,"",INDEX(EntryPartyType,$P376)))</f>
        <v/>
      </c>
      <c r="G376" s="28">
        <f>IF($P376="","",IF(INDEX(EntryTxnType,$P376)=0,"",INDEX(EntryTxnType,$P376)))</f>
        <v/>
      </c>
      <c r="H376" s="29">
        <f>IF($P376="","",IF(INDEX(EntryDep,$P376)=0,"",INDEX(EntryDep,$P376)))</f>
        <v/>
      </c>
      <c r="I376" s="29">
        <f>IF($P376="","",IF(INDEX(EntryWit,$P376)=0,"",INDEX(EntryWit,$P376)))</f>
        <v/>
      </c>
      <c r="J376" s="29">
        <f>IF($B376="","",IF($A376=1,$C$7,IF(J375="",0,J375))+IF($H376="",0,$H376)-IF($I376="",0,$I376))</f>
        <v/>
      </c>
      <c r="K376" s="29">
        <f>IF($P376="","",IF(INDEX(EntryMan,$P376)=0,"",INDEX(EntryMan,$P376)))</f>
        <v/>
      </c>
      <c r="L376" s="28">
        <f>IF($B376="","",IF($K376="","—",IF(ROUND($K376-$J376,0)=0,"√","×")))</f>
        <v/>
      </c>
      <c r="M376" s="28">
        <f>IF($B376="","",IF(COUNTIFS(EntryDates,$B376,CalcTime,$C376,CalcBank,$C$5,EntryParty,$D376,EntryDep,$H376,EntryWit,$I376)&gt;1,"تکرار",""))</f>
        <v/>
      </c>
      <c r="N376" s="28">
        <f>IF($P376="","",IF(INDEX(EntryNotes,$P376)=0,"",INDEX(EntryNotes,$P376)))</f>
        <v/>
      </c>
      <c r="O376" s="28">
        <f>IF($P376="","",IF(INDEX(EntryTxnID,$P376)=0,"",INDEX(EntryTxnID,$P376)))</f>
        <v/>
      </c>
      <c r="P376" s="28">
        <f>IFERROR(MATCH($C$5&amp;"|"&amp;RIGHT("000000"&amp;360,6),CalcRankKey,0),"")</f>
        <v/>
      </c>
    </row>
    <row r="377">
      <c r="A377" s="26">
        <f>IF($B377="","",361)</f>
        <v/>
      </c>
      <c r="B377" s="26">
        <f>IF($P377="","",IF(INDEX(CalcNormDate,$P377)=0,"",INDEX(CalcNormDate,$P377)))</f>
        <v/>
      </c>
      <c r="C377" s="26">
        <f>IF($P377="","",IF(INDEX(CalcTime,$P377)=0,"",INDEX(CalcTime,$P377)))</f>
        <v/>
      </c>
      <c r="D377" s="26">
        <f>IF($P377="","",IF(INDEX(EntryParty,$P377)=0,"",INDEX(EntryParty,$P377)))</f>
        <v/>
      </c>
      <c r="E377" s="26">
        <f>IF($P377="","",IF(INDEX(EntryPartyName,$P377)=0,"",INDEX(EntryPartyName,$P377)))</f>
        <v/>
      </c>
      <c r="F377" s="26">
        <f>IF($P377="","",IF(INDEX(EntryPartyType,$P377)=0,"",INDEX(EntryPartyType,$P377)))</f>
        <v/>
      </c>
      <c r="G377" s="26">
        <f>IF($P377="","",IF(INDEX(EntryTxnType,$P377)=0,"",INDEX(EntryTxnType,$P377)))</f>
        <v/>
      </c>
      <c r="H377" s="27">
        <f>IF($P377="","",IF(INDEX(EntryDep,$P377)=0,"",INDEX(EntryDep,$P377)))</f>
        <v/>
      </c>
      <c r="I377" s="27">
        <f>IF($P377="","",IF(INDEX(EntryWit,$P377)=0,"",INDEX(EntryWit,$P377)))</f>
        <v/>
      </c>
      <c r="J377" s="27">
        <f>IF($B377="","",IF($A377=1,$C$7,IF(J376="",0,J376))+IF($H377="",0,$H377)-IF($I377="",0,$I377))</f>
        <v/>
      </c>
      <c r="K377" s="27">
        <f>IF($P377="","",IF(INDEX(EntryMan,$P377)=0,"",INDEX(EntryMan,$P377)))</f>
        <v/>
      </c>
      <c r="L377" s="26">
        <f>IF($B377="","",IF($K377="","—",IF(ROUND($K377-$J377,0)=0,"√","×")))</f>
        <v/>
      </c>
      <c r="M377" s="26">
        <f>IF($B377="","",IF(COUNTIFS(EntryDates,$B377,CalcTime,$C377,CalcBank,$C$5,EntryParty,$D377,EntryDep,$H377,EntryWit,$I377)&gt;1,"تکرار",""))</f>
        <v/>
      </c>
      <c r="N377" s="26">
        <f>IF($P377="","",IF(INDEX(EntryNotes,$P377)=0,"",INDEX(EntryNotes,$P377)))</f>
        <v/>
      </c>
      <c r="O377" s="26">
        <f>IF($P377="","",IF(INDEX(EntryTxnID,$P377)=0,"",INDEX(EntryTxnID,$P377)))</f>
        <v/>
      </c>
      <c r="P377" s="26">
        <f>IFERROR(MATCH($C$5&amp;"|"&amp;RIGHT("000000"&amp;361,6),CalcRankKey,0),"")</f>
        <v/>
      </c>
    </row>
    <row r="378">
      <c r="A378" s="28">
        <f>IF($B378="","",362)</f>
        <v/>
      </c>
      <c r="B378" s="28">
        <f>IF($P378="","",IF(INDEX(CalcNormDate,$P378)=0,"",INDEX(CalcNormDate,$P378)))</f>
        <v/>
      </c>
      <c r="C378" s="28">
        <f>IF($P378="","",IF(INDEX(CalcTime,$P378)=0,"",INDEX(CalcTime,$P378)))</f>
        <v/>
      </c>
      <c r="D378" s="28">
        <f>IF($P378="","",IF(INDEX(EntryParty,$P378)=0,"",INDEX(EntryParty,$P378)))</f>
        <v/>
      </c>
      <c r="E378" s="28">
        <f>IF($P378="","",IF(INDEX(EntryPartyName,$P378)=0,"",INDEX(EntryPartyName,$P378)))</f>
        <v/>
      </c>
      <c r="F378" s="28">
        <f>IF($P378="","",IF(INDEX(EntryPartyType,$P378)=0,"",INDEX(EntryPartyType,$P378)))</f>
        <v/>
      </c>
      <c r="G378" s="28">
        <f>IF($P378="","",IF(INDEX(EntryTxnType,$P378)=0,"",INDEX(EntryTxnType,$P378)))</f>
        <v/>
      </c>
      <c r="H378" s="29">
        <f>IF($P378="","",IF(INDEX(EntryDep,$P378)=0,"",INDEX(EntryDep,$P378)))</f>
        <v/>
      </c>
      <c r="I378" s="29">
        <f>IF($P378="","",IF(INDEX(EntryWit,$P378)=0,"",INDEX(EntryWit,$P378)))</f>
        <v/>
      </c>
      <c r="J378" s="29">
        <f>IF($B378="","",IF($A378=1,$C$7,IF(J377="",0,J377))+IF($H378="",0,$H378)-IF($I378="",0,$I378))</f>
        <v/>
      </c>
      <c r="K378" s="29">
        <f>IF($P378="","",IF(INDEX(EntryMan,$P378)=0,"",INDEX(EntryMan,$P378)))</f>
        <v/>
      </c>
      <c r="L378" s="28">
        <f>IF($B378="","",IF($K378="","—",IF(ROUND($K378-$J378,0)=0,"√","×")))</f>
        <v/>
      </c>
      <c r="M378" s="28">
        <f>IF($B378="","",IF(COUNTIFS(EntryDates,$B378,CalcTime,$C378,CalcBank,$C$5,EntryParty,$D378,EntryDep,$H378,EntryWit,$I378)&gt;1,"تکرار",""))</f>
        <v/>
      </c>
      <c r="N378" s="28">
        <f>IF($P378="","",IF(INDEX(EntryNotes,$P378)=0,"",INDEX(EntryNotes,$P378)))</f>
        <v/>
      </c>
      <c r="O378" s="28">
        <f>IF($P378="","",IF(INDEX(EntryTxnID,$P378)=0,"",INDEX(EntryTxnID,$P378)))</f>
        <v/>
      </c>
      <c r="P378" s="28">
        <f>IFERROR(MATCH($C$5&amp;"|"&amp;RIGHT("000000"&amp;362,6),CalcRankKey,0),"")</f>
        <v/>
      </c>
    </row>
    <row r="379">
      <c r="A379" s="26">
        <f>IF($B379="","",363)</f>
        <v/>
      </c>
      <c r="B379" s="26">
        <f>IF($P379="","",IF(INDEX(CalcNormDate,$P379)=0,"",INDEX(CalcNormDate,$P379)))</f>
        <v/>
      </c>
      <c r="C379" s="26">
        <f>IF($P379="","",IF(INDEX(CalcTime,$P379)=0,"",INDEX(CalcTime,$P379)))</f>
        <v/>
      </c>
      <c r="D379" s="26">
        <f>IF($P379="","",IF(INDEX(EntryParty,$P379)=0,"",INDEX(EntryParty,$P379)))</f>
        <v/>
      </c>
      <c r="E379" s="26">
        <f>IF($P379="","",IF(INDEX(EntryPartyName,$P379)=0,"",INDEX(EntryPartyName,$P379)))</f>
        <v/>
      </c>
      <c r="F379" s="26">
        <f>IF($P379="","",IF(INDEX(EntryPartyType,$P379)=0,"",INDEX(EntryPartyType,$P379)))</f>
        <v/>
      </c>
      <c r="G379" s="26">
        <f>IF($P379="","",IF(INDEX(EntryTxnType,$P379)=0,"",INDEX(EntryTxnType,$P379)))</f>
        <v/>
      </c>
      <c r="H379" s="27">
        <f>IF($P379="","",IF(INDEX(EntryDep,$P379)=0,"",INDEX(EntryDep,$P379)))</f>
        <v/>
      </c>
      <c r="I379" s="27">
        <f>IF($P379="","",IF(INDEX(EntryWit,$P379)=0,"",INDEX(EntryWit,$P379)))</f>
        <v/>
      </c>
      <c r="J379" s="27">
        <f>IF($B379="","",IF($A379=1,$C$7,IF(J378="",0,J378))+IF($H379="",0,$H379)-IF($I379="",0,$I379))</f>
        <v/>
      </c>
      <c r="K379" s="27">
        <f>IF($P379="","",IF(INDEX(EntryMan,$P379)=0,"",INDEX(EntryMan,$P379)))</f>
        <v/>
      </c>
      <c r="L379" s="26">
        <f>IF($B379="","",IF($K379="","—",IF(ROUND($K379-$J379,0)=0,"√","×")))</f>
        <v/>
      </c>
      <c r="M379" s="26">
        <f>IF($B379="","",IF(COUNTIFS(EntryDates,$B379,CalcTime,$C379,CalcBank,$C$5,EntryParty,$D379,EntryDep,$H379,EntryWit,$I379)&gt;1,"تکرار",""))</f>
        <v/>
      </c>
      <c r="N379" s="26">
        <f>IF($P379="","",IF(INDEX(EntryNotes,$P379)=0,"",INDEX(EntryNotes,$P379)))</f>
        <v/>
      </c>
      <c r="O379" s="26">
        <f>IF($P379="","",IF(INDEX(EntryTxnID,$P379)=0,"",INDEX(EntryTxnID,$P379)))</f>
        <v/>
      </c>
      <c r="P379" s="26">
        <f>IFERROR(MATCH($C$5&amp;"|"&amp;RIGHT("000000"&amp;363,6),CalcRankKey,0),"")</f>
        <v/>
      </c>
    </row>
    <row r="380">
      <c r="A380" s="28">
        <f>IF($B380="","",364)</f>
        <v/>
      </c>
      <c r="B380" s="28">
        <f>IF($P380="","",IF(INDEX(CalcNormDate,$P380)=0,"",INDEX(CalcNormDate,$P380)))</f>
        <v/>
      </c>
      <c r="C380" s="28">
        <f>IF($P380="","",IF(INDEX(CalcTime,$P380)=0,"",INDEX(CalcTime,$P380)))</f>
        <v/>
      </c>
      <c r="D380" s="28">
        <f>IF($P380="","",IF(INDEX(EntryParty,$P380)=0,"",INDEX(EntryParty,$P380)))</f>
        <v/>
      </c>
      <c r="E380" s="28">
        <f>IF($P380="","",IF(INDEX(EntryPartyName,$P380)=0,"",INDEX(EntryPartyName,$P380)))</f>
        <v/>
      </c>
      <c r="F380" s="28">
        <f>IF($P380="","",IF(INDEX(EntryPartyType,$P380)=0,"",INDEX(EntryPartyType,$P380)))</f>
        <v/>
      </c>
      <c r="G380" s="28">
        <f>IF($P380="","",IF(INDEX(EntryTxnType,$P380)=0,"",INDEX(EntryTxnType,$P380)))</f>
        <v/>
      </c>
      <c r="H380" s="29">
        <f>IF($P380="","",IF(INDEX(EntryDep,$P380)=0,"",INDEX(EntryDep,$P380)))</f>
        <v/>
      </c>
      <c r="I380" s="29">
        <f>IF($P380="","",IF(INDEX(EntryWit,$P380)=0,"",INDEX(EntryWit,$P380)))</f>
        <v/>
      </c>
      <c r="J380" s="29">
        <f>IF($B380="","",IF($A380=1,$C$7,IF(J379="",0,J379))+IF($H380="",0,$H380)-IF($I380="",0,$I380))</f>
        <v/>
      </c>
      <c r="K380" s="29">
        <f>IF($P380="","",IF(INDEX(EntryMan,$P380)=0,"",INDEX(EntryMan,$P380)))</f>
        <v/>
      </c>
      <c r="L380" s="28">
        <f>IF($B380="","",IF($K380="","—",IF(ROUND($K380-$J380,0)=0,"√","×")))</f>
        <v/>
      </c>
      <c r="M380" s="28">
        <f>IF($B380="","",IF(COUNTIFS(EntryDates,$B380,CalcTime,$C380,CalcBank,$C$5,EntryParty,$D380,EntryDep,$H380,EntryWit,$I380)&gt;1,"تکرار",""))</f>
        <v/>
      </c>
      <c r="N380" s="28">
        <f>IF($P380="","",IF(INDEX(EntryNotes,$P380)=0,"",INDEX(EntryNotes,$P380)))</f>
        <v/>
      </c>
      <c r="O380" s="28">
        <f>IF($P380="","",IF(INDEX(EntryTxnID,$P380)=0,"",INDEX(EntryTxnID,$P380)))</f>
        <v/>
      </c>
      <c r="P380" s="28">
        <f>IFERROR(MATCH($C$5&amp;"|"&amp;RIGHT("000000"&amp;364,6),CalcRankKey,0),"")</f>
        <v/>
      </c>
    </row>
    <row r="381">
      <c r="A381" s="26">
        <f>IF($B381="","",365)</f>
        <v/>
      </c>
      <c r="B381" s="26">
        <f>IF($P381="","",IF(INDEX(CalcNormDate,$P381)=0,"",INDEX(CalcNormDate,$P381)))</f>
        <v/>
      </c>
      <c r="C381" s="26">
        <f>IF($P381="","",IF(INDEX(CalcTime,$P381)=0,"",INDEX(CalcTime,$P381)))</f>
        <v/>
      </c>
      <c r="D381" s="26">
        <f>IF($P381="","",IF(INDEX(EntryParty,$P381)=0,"",INDEX(EntryParty,$P381)))</f>
        <v/>
      </c>
      <c r="E381" s="26">
        <f>IF($P381="","",IF(INDEX(EntryPartyName,$P381)=0,"",INDEX(EntryPartyName,$P381)))</f>
        <v/>
      </c>
      <c r="F381" s="26">
        <f>IF($P381="","",IF(INDEX(EntryPartyType,$P381)=0,"",INDEX(EntryPartyType,$P381)))</f>
        <v/>
      </c>
      <c r="G381" s="26">
        <f>IF($P381="","",IF(INDEX(EntryTxnType,$P381)=0,"",INDEX(EntryTxnType,$P381)))</f>
        <v/>
      </c>
      <c r="H381" s="27">
        <f>IF($P381="","",IF(INDEX(EntryDep,$P381)=0,"",INDEX(EntryDep,$P381)))</f>
        <v/>
      </c>
      <c r="I381" s="27">
        <f>IF($P381="","",IF(INDEX(EntryWit,$P381)=0,"",INDEX(EntryWit,$P381)))</f>
        <v/>
      </c>
      <c r="J381" s="27">
        <f>IF($B381="","",IF($A381=1,$C$7,IF(J380="",0,J380))+IF($H381="",0,$H381)-IF($I381="",0,$I381))</f>
        <v/>
      </c>
      <c r="K381" s="27">
        <f>IF($P381="","",IF(INDEX(EntryMan,$P381)=0,"",INDEX(EntryMan,$P381)))</f>
        <v/>
      </c>
      <c r="L381" s="26">
        <f>IF($B381="","",IF($K381="","—",IF(ROUND($K381-$J381,0)=0,"√","×")))</f>
        <v/>
      </c>
      <c r="M381" s="26">
        <f>IF($B381="","",IF(COUNTIFS(EntryDates,$B381,CalcTime,$C381,CalcBank,$C$5,EntryParty,$D381,EntryDep,$H381,EntryWit,$I381)&gt;1,"تکرار",""))</f>
        <v/>
      </c>
      <c r="N381" s="26">
        <f>IF($P381="","",IF(INDEX(EntryNotes,$P381)=0,"",INDEX(EntryNotes,$P381)))</f>
        <v/>
      </c>
      <c r="O381" s="26">
        <f>IF($P381="","",IF(INDEX(EntryTxnID,$P381)=0,"",INDEX(EntryTxnID,$P381)))</f>
        <v/>
      </c>
      <c r="P381" s="26">
        <f>IFERROR(MATCH($C$5&amp;"|"&amp;RIGHT("000000"&amp;365,6),CalcRankKey,0),"")</f>
        <v/>
      </c>
    </row>
    <row r="382">
      <c r="A382" s="28">
        <f>IF($B382="","",366)</f>
        <v/>
      </c>
      <c r="B382" s="28">
        <f>IF($P382="","",IF(INDEX(CalcNormDate,$P382)=0,"",INDEX(CalcNormDate,$P382)))</f>
        <v/>
      </c>
      <c r="C382" s="28">
        <f>IF($P382="","",IF(INDEX(CalcTime,$P382)=0,"",INDEX(CalcTime,$P382)))</f>
        <v/>
      </c>
      <c r="D382" s="28">
        <f>IF($P382="","",IF(INDEX(EntryParty,$P382)=0,"",INDEX(EntryParty,$P382)))</f>
        <v/>
      </c>
      <c r="E382" s="28">
        <f>IF($P382="","",IF(INDEX(EntryPartyName,$P382)=0,"",INDEX(EntryPartyName,$P382)))</f>
        <v/>
      </c>
      <c r="F382" s="28">
        <f>IF($P382="","",IF(INDEX(EntryPartyType,$P382)=0,"",INDEX(EntryPartyType,$P382)))</f>
        <v/>
      </c>
      <c r="G382" s="28">
        <f>IF($P382="","",IF(INDEX(EntryTxnType,$P382)=0,"",INDEX(EntryTxnType,$P382)))</f>
        <v/>
      </c>
      <c r="H382" s="29">
        <f>IF($P382="","",IF(INDEX(EntryDep,$P382)=0,"",INDEX(EntryDep,$P382)))</f>
        <v/>
      </c>
      <c r="I382" s="29">
        <f>IF($P382="","",IF(INDEX(EntryWit,$P382)=0,"",INDEX(EntryWit,$P382)))</f>
        <v/>
      </c>
      <c r="J382" s="29">
        <f>IF($B382="","",IF($A382=1,$C$7,IF(J381="",0,J381))+IF($H382="",0,$H382)-IF($I382="",0,$I382))</f>
        <v/>
      </c>
      <c r="K382" s="29">
        <f>IF($P382="","",IF(INDEX(EntryMan,$P382)=0,"",INDEX(EntryMan,$P382)))</f>
        <v/>
      </c>
      <c r="L382" s="28">
        <f>IF($B382="","",IF($K382="","—",IF(ROUND($K382-$J382,0)=0,"√","×")))</f>
        <v/>
      </c>
      <c r="M382" s="28">
        <f>IF($B382="","",IF(COUNTIFS(EntryDates,$B382,CalcTime,$C382,CalcBank,$C$5,EntryParty,$D382,EntryDep,$H382,EntryWit,$I382)&gt;1,"تکرار",""))</f>
        <v/>
      </c>
      <c r="N382" s="28">
        <f>IF($P382="","",IF(INDEX(EntryNotes,$P382)=0,"",INDEX(EntryNotes,$P382)))</f>
        <v/>
      </c>
      <c r="O382" s="28">
        <f>IF($P382="","",IF(INDEX(EntryTxnID,$P382)=0,"",INDEX(EntryTxnID,$P382)))</f>
        <v/>
      </c>
      <c r="P382" s="28">
        <f>IFERROR(MATCH($C$5&amp;"|"&amp;RIGHT("000000"&amp;366,6),CalcRankKey,0),"")</f>
        <v/>
      </c>
    </row>
    <row r="383">
      <c r="A383" s="26">
        <f>IF($B383="","",367)</f>
        <v/>
      </c>
      <c r="B383" s="26">
        <f>IF($P383="","",IF(INDEX(CalcNormDate,$P383)=0,"",INDEX(CalcNormDate,$P383)))</f>
        <v/>
      </c>
      <c r="C383" s="26">
        <f>IF($P383="","",IF(INDEX(CalcTime,$P383)=0,"",INDEX(CalcTime,$P383)))</f>
        <v/>
      </c>
      <c r="D383" s="26">
        <f>IF($P383="","",IF(INDEX(EntryParty,$P383)=0,"",INDEX(EntryParty,$P383)))</f>
        <v/>
      </c>
      <c r="E383" s="26">
        <f>IF($P383="","",IF(INDEX(EntryPartyName,$P383)=0,"",INDEX(EntryPartyName,$P383)))</f>
        <v/>
      </c>
      <c r="F383" s="26">
        <f>IF($P383="","",IF(INDEX(EntryPartyType,$P383)=0,"",INDEX(EntryPartyType,$P383)))</f>
        <v/>
      </c>
      <c r="G383" s="26">
        <f>IF($P383="","",IF(INDEX(EntryTxnType,$P383)=0,"",INDEX(EntryTxnType,$P383)))</f>
        <v/>
      </c>
      <c r="H383" s="27">
        <f>IF($P383="","",IF(INDEX(EntryDep,$P383)=0,"",INDEX(EntryDep,$P383)))</f>
        <v/>
      </c>
      <c r="I383" s="27">
        <f>IF($P383="","",IF(INDEX(EntryWit,$P383)=0,"",INDEX(EntryWit,$P383)))</f>
        <v/>
      </c>
      <c r="J383" s="27">
        <f>IF($B383="","",IF($A383=1,$C$7,IF(J382="",0,J382))+IF($H383="",0,$H383)-IF($I383="",0,$I383))</f>
        <v/>
      </c>
      <c r="K383" s="27">
        <f>IF($P383="","",IF(INDEX(EntryMan,$P383)=0,"",INDEX(EntryMan,$P383)))</f>
        <v/>
      </c>
      <c r="L383" s="26">
        <f>IF($B383="","",IF($K383="","—",IF(ROUND($K383-$J383,0)=0,"√","×")))</f>
        <v/>
      </c>
      <c r="M383" s="26">
        <f>IF($B383="","",IF(COUNTIFS(EntryDates,$B383,CalcTime,$C383,CalcBank,$C$5,EntryParty,$D383,EntryDep,$H383,EntryWit,$I383)&gt;1,"تکرار",""))</f>
        <v/>
      </c>
      <c r="N383" s="26">
        <f>IF($P383="","",IF(INDEX(EntryNotes,$P383)=0,"",INDEX(EntryNotes,$P383)))</f>
        <v/>
      </c>
      <c r="O383" s="26">
        <f>IF($P383="","",IF(INDEX(EntryTxnID,$P383)=0,"",INDEX(EntryTxnID,$P383)))</f>
        <v/>
      </c>
      <c r="P383" s="26">
        <f>IFERROR(MATCH($C$5&amp;"|"&amp;RIGHT("000000"&amp;367,6),CalcRankKey,0),"")</f>
        <v/>
      </c>
    </row>
    <row r="384">
      <c r="A384" s="28">
        <f>IF($B384="","",368)</f>
        <v/>
      </c>
      <c r="B384" s="28">
        <f>IF($P384="","",IF(INDEX(CalcNormDate,$P384)=0,"",INDEX(CalcNormDate,$P384)))</f>
        <v/>
      </c>
      <c r="C384" s="28">
        <f>IF($P384="","",IF(INDEX(CalcTime,$P384)=0,"",INDEX(CalcTime,$P384)))</f>
        <v/>
      </c>
      <c r="D384" s="28">
        <f>IF($P384="","",IF(INDEX(EntryParty,$P384)=0,"",INDEX(EntryParty,$P384)))</f>
        <v/>
      </c>
      <c r="E384" s="28">
        <f>IF($P384="","",IF(INDEX(EntryPartyName,$P384)=0,"",INDEX(EntryPartyName,$P384)))</f>
        <v/>
      </c>
      <c r="F384" s="28">
        <f>IF($P384="","",IF(INDEX(EntryPartyType,$P384)=0,"",INDEX(EntryPartyType,$P384)))</f>
        <v/>
      </c>
      <c r="G384" s="28">
        <f>IF($P384="","",IF(INDEX(EntryTxnType,$P384)=0,"",INDEX(EntryTxnType,$P384)))</f>
        <v/>
      </c>
      <c r="H384" s="29">
        <f>IF($P384="","",IF(INDEX(EntryDep,$P384)=0,"",INDEX(EntryDep,$P384)))</f>
        <v/>
      </c>
      <c r="I384" s="29">
        <f>IF($P384="","",IF(INDEX(EntryWit,$P384)=0,"",INDEX(EntryWit,$P384)))</f>
        <v/>
      </c>
      <c r="J384" s="29">
        <f>IF($B384="","",IF($A384=1,$C$7,IF(J383="",0,J383))+IF($H384="",0,$H384)-IF($I384="",0,$I384))</f>
        <v/>
      </c>
      <c r="K384" s="29">
        <f>IF($P384="","",IF(INDEX(EntryMan,$P384)=0,"",INDEX(EntryMan,$P384)))</f>
        <v/>
      </c>
      <c r="L384" s="28">
        <f>IF($B384="","",IF($K384="","—",IF(ROUND($K384-$J384,0)=0,"√","×")))</f>
        <v/>
      </c>
      <c r="M384" s="28">
        <f>IF($B384="","",IF(COUNTIFS(EntryDates,$B384,CalcTime,$C384,CalcBank,$C$5,EntryParty,$D384,EntryDep,$H384,EntryWit,$I384)&gt;1,"تکرار",""))</f>
        <v/>
      </c>
      <c r="N384" s="28">
        <f>IF($P384="","",IF(INDEX(EntryNotes,$P384)=0,"",INDEX(EntryNotes,$P384)))</f>
        <v/>
      </c>
      <c r="O384" s="28">
        <f>IF($P384="","",IF(INDEX(EntryTxnID,$P384)=0,"",INDEX(EntryTxnID,$P384)))</f>
        <v/>
      </c>
      <c r="P384" s="28">
        <f>IFERROR(MATCH($C$5&amp;"|"&amp;RIGHT("000000"&amp;368,6),CalcRankKey,0),"")</f>
        <v/>
      </c>
    </row>
    <row r="385">
      <c r="A385" s="26">
        <f>IF($B385="","",369)</f>
        <v/>
      </c>
      <c r="B385" s="26">
        <f>IF($P385="","",IF(INDEX(CalcNormDate,$P385)=0,"",INDEX(CalcNormDate,$P385)))</f>
        <v/>
      </c>
      <c r="C385" s="26">
        <f>IF($P385="","",IF(INDEX(CalcTime,$P385)=0,"",INDEX(CalcTime,$P385)))</f>
        <v/>
      </c>
      <c r="D385" s="26">
        <f>IF($P385="","",IF(INDEX(EntryParty,$P385)=0,"",INDEX(EntryParty,$P385)))</f>
        <v/>
      </c>
      <c r="E385" s="26">
        <f>IF($P385="","",IF(INDEX(EntryPartyName,$P385)=0,"",INDEX(EntryPartyName,$P385)))</f>
        <v/>
      </c>
      <c r="F385" s="26">
        <f>IF($P385="","",IF(INDEX(EntryPartyType,$P385)=0,"",INDEX(EntryPartyType,$P385)))</f>
        <v/>
      </c>
      <c r="G385" s="26">
        <f>IF($P385="","",IF(INDEX(EntryTxnType,$P385)=0,"",INDEX(EntryTxnType,$P385)))</f>
        <v/>
      </c>
      <c r="H385" s="27">
        <f>IF($P385="","",IF(INDEX(EntryDep,$P385)=0,"",INDEX(EntryDep,$P385)))</f>
        <v/>
      </c>
      <c r="I385" s="27">
        <f>IF($P385="","",IF(INDEX(EntryWit,$P385)=0,"",INDEX(EntryWit,$P385)))</f>
        <v/>
      </c>
      <c r="J385" s="27">
        <f>IF($B385="","",IF($A385=1,$C$7,IF(J384="",0,J384))+IF($H385="",0,$H385)-IF($I385="",0,$I385))</f>
        <v/>
      </c>
      <c r="K385" s="27">
        <f>IF($P385="","",IF(INDEX(EntryMan,$P385)=0,"",INDEX(EntryMan,$P385)))</f>
        <v/>
      </c>
      <c r="L385" s="26">
        <f>IF($B385="","",IF($K385="","—",IF(ROUND($K385-$J385,0)=0,"√","×")))</f>
        <v/>
      </c>
      <c r="M385" s="26">
        <f>IF($B385="","",IF(COUNTIFS(EntryDates,$B385,CalcTime,$C385,CalcBank,$C$5,EntryParty,$D385,EntryDep,$H385,EntryWit,$I385)&gt;1,"تکرار",""))</f>
        <v/>
      </c>
      <c r="N385" s="26">
        <f>IF($P385="","",IF(INDEX(EntryNotes,$P385)=0,"",INDEX(EntryNotes,$P385)))</f>
        <v/>
      </c>
      <c r="O385" s="26">
        <f>IF($P385="","",IF(INDEX(EntryTxnID,$P385)=0,"",INDEX(EntryTxnID,$P385)))</f>
        <v/>
      </c>
      <c r="P385" s="26">
        <f>IFERROR(MATCH($C$5&amp;"|"&amp;RIGHT("000000"&amp;369,6),CalcRankKey,0),"")</f>
        <v/>
      </c>
    </row>
    <row r="386">
      <c r="A386" s="28">
        <f>IF($B386="","",370)</f>
        <v/>
      </c>
      <c r="B386" s="28">
        <f>IF($P386="","",IF(INDEX(CalcNormDate,$P386)=0,"",INDEX(CalcNormDate,$P386)))</f>
        <v/>
      </c>
      <c r="C386" s="28">
        <f>IF($P386="","",IF(INDEX(CalcTime,$P386)=0,"",INDEX(CalcTime,$P386)))</f>
        <v/>
      </c>
      <c r="D386" s="28">
        <f>IF($P386="","",IF(INDEX(EntryParty,$P386)=0,"",INDEX(EntryParty,$P386)))</f>
        <v/>
      </c>
      <c r="E386" s="28">
        <f>IF($P386="","",IF(INDEX(EntryPartyName,$P386)=0,"",INDEX(EntryPartyName,$P386)))</f>
        <v/>
      </c>
      <c r="F386" s="28">
        <f>IF($P386="","",IF(INDEX(EntryPartyType,$P386)=0,"",INDEX(EntryPartyType,$P386)))</f>
        <v/>
      </c>
      <c r="G386" s="28">
        <f>IF($P386="","",IF(INDEX(EntryTxnType,$P386)=0,"",INDEX(EntryTxnType,$P386)))</f>
        <v/>
      </c>
      <c r="H386" s="29">
        <f>IF($P386="","",IF(INDEX(EntryDep,$P386)=0,"",INDEX(EntryDep,$P386)))</f>
        <v/>
      </c>
      <c r="I386" s="29">
        <f>IF($P386="","",IF(INDEX(EntryWit,$P386)=0,"",INDEX(EntryWit,$P386)))</f>
        <v/>
      </c>
      <c r="J386" s="29">
        <f>IF($B386="","",IF($A386=1,$C$7,IF(J385="",0,J385))+IF($H386="",0,$H386)-IF($I386="",0,$I386))</f>
        <v/>
      </c>
      <c r="K386" s="29">
        <f>IF($P386="","",IF(INDEX(EntryMan,$P386)=0,"",INDEX(EntryMan,$P386)))</f>
        <v/>
      </c>
      <c r="L386" s="28">
        <f>IF($B386="","",IF($K386="","—",IF(ROUND($K386-$J386,0)=0,"√","×")))</f>
        <v/>
      </c>
      <c r="M386" s="28">
        <f>IF($B386="","",IF(COUNTIFS(EntryDates,$B386,CalcTime,$C386,CalcBank,$C$5,EntryParty,$D386,EntryDep,$H386,EntryWit,$I386)&gt;1,"تکرار",""))</f>
        <v/>
      </c>
      <c r="N386" s="28">
        <f>IF($P386="","",IF(INDEX(EntryNotes,$P386)=0,"",INDEX(EntryNotes,$P386)))</f>
        <v/>
      </c>
      <c r="O386" s="28">
        <f>IF($P386="","",IF(INDEX(EntryTxnID,$P386)=0,"",INDEX(EntryTxnID,$P386)))</f>
        <v/>
      </c>
      <c r="P386" s="28">
        <f>IFERROR(MATCH($C$5&amp;"|"&amp;RIGHT("000000"&amp;370,6),CalcRankKey,0),"")</f>
        <v/>
      </c>
    </row>
    <row r="387">
      <c r="A387" s="26">
        <f>IF($B387="","",371)</f>
        <v/>
      </c>
      <c r="B387" s="26">
        <f>IF($P387="","",IF(INDEX(CalcNormDate,$P387)=0,"",INDEX(CalcNormDate,$P387)))</f>
        <v/>
      </c>
      <c r="C387" s="26">
        <f>IF($P387="","",IF(INDEX(CalcTime,$P387)=0,"",INDEX(CalcTime,$P387)))</f>
        <v/>
      </c>
      <c r="D387" s="26">
        <f>IF($P387="","",IF(INDEX(EntryParty,$P387)=0,"",INDEX(EntryParty,$P387)))</f>
        <v/>
      </c>
      <c r="E387" s="26">
        <f>IF($P387="","",IF(INDEX(EntryPartyName,$P387)=0,"",INDEX(EntryPartyName,$P387)))</f>
        <v/>
      </c>
      <c r="F387" s="26">
        <f>IF($P387="","",IF(INDEX(EntryPartyType,$P387)=0,"",INDEX(EntryPartyType,$P387)))</f>
        <v/>
      </c>
      <c r="G387" s="26">
        <f>IF($P387="","",IF(INDEX(EntryTxnType,$P387)=0,"",INDEX(EntryTxnType,$P387)))</f>
        <v/>
      </c>
      <c r="H387" s="27">
        <f>IF($P387="","",IF(INDEX(EntryDep,$P387)=0,"",INDEX(EntryDep,$P387)))</f>
        <v/>
      </c>
      <c r="I387" s="27">
        <f>IF($P387="","",IF(INDEX(EntryWit,$P387)=0,"",INDEX(EntryWit,$P387)))</f>
        <v/>
      </c>
      <c r="J387" s="27">
        <f>IF($B387="","",IF($A387=1,$C$7,IF(J386="",0,J386))+IF($H387="",0,$H387)-IF($I387="",0,$I387))</f>
        <v/>
      </c>
      <c r="K387" s="27">
        <f>IF($P387="","",IF(INDEX(EntryMan,$P387)=0,"",INDEX(EntryMan,$P387)))</f>
        <v/>
      </c>
      <c r="L387" s="26">
        <f>IF($B387="","",IF($K387="","—",IF(ROUND($K387-$J387,0)=0,"√","×")))</f>
        <v/>
      </c>
      <c r="M387" s="26">
        <f>IF($B387="","",IF(COUNTIFS(EntryDates,$B387,CalcTime,$C387,CalcBank,$C$5,EntryParty,$D387,EntryDep,$H387,EntryWit,$I387)&gt;1,"تکرار",""))</f>
        <v/>
      </c>
      <c r="N387" s="26">
        <f>IF($P387="","",IF(INDEX(EntryNotes,$P387)=0,"",INDEX(EntryNotes,$P387)))</f>
        <v/>
      </c>
      <c r="O387" s="26">
        <f>IF($P387="","",IF(INDEX(EntryTxnID,$P387)=0,"",INDEX(EntryTxnID,$P387)))</f>
        <v/>
      </c>
      <c r="P387" s="26">
        <f>IFERROR(MATCH($C$5&amp;"|"&amp;RIGHT("000000"&amp;371,6),CalcRankKey,0),"")</f>
        <v/>
      </c>
    </row>
    <row r="388">
      <c r="A388" s="28">
        <f>IF($B388="","",372)</f>
        <v/>
      </c>
      <c r="B388" s="28">
        <f>IF($P388="","",IF(INDEX(CalcNormDate,$P388)=0,"",INDEX(CalcNormDate,$P388)))</f>
        <v/>
      </c>
      <c r="C388" s="28">
        <f>IF($P388="","",IF(INDEX(CalcTime,$P388)=0,"",INDEX(CalcTime,$P388)))</f>
        <v/>
      </c>
      <c r="D388" s="28">
        <f>IF($P388="","",IF(INDEX(EntryParty,$P388)=0,"",INDEX(EntryParty,$P388)))</f>
        <v/>
      </c>
      <c r="E388" s="28">
        <f>IF($P388="","",IF(INDEX(EntryPartyName,$P388)=0,"",INDEX(EntryPartyName,$P388)))</f>
        <v/>
      </c>
      <c r="F388" s="28">
        <f>IF($P388="","",IF(INDEX(EntryPartyType,$P388)=0,"",INDEX(EntryPartyType,$P388)))</f>
        <v/>
      </c>
      <c r="G388" s="28">
        <f>IF($P388="","",IF(INDEX(EntryTxnType,$P388)=0,"",INDEX(EntryTxnType,$P388)))</f>
        <v/>
      </c>
      <c r="H388" s="29">
        <f>IF($P388="","",IF(INDEX(EntryDep,$P388)=0,"",INDEX(EntryDep,$P388)))</f>
        <v/>
      </c>
      <c r="I388" s="29">
        <f>IF($P388="","",IF(INDEX(EntryWit,$P388)=0,"",INDEX(EntryWit,$P388)))</f>
        <v/>
      </c>
      <c r="J388" s="29">
        <f>IF($B388="","",IF($A388=1,$C$7,IF(J387="",0,J387))+IF($H388="",0,$H388)-IF($I388="",0,$I388))</f>
        <v/>
      </c>
      <c r="K388" s="29">
        <f>IF($P388="","",IF(INDEX(EntryMan,$P388)=0,"",INDEX(EntryMan,$P388)))</f>
        <v/>
      </c>
      <c r="L388" s="28">
        <f>IF($B388="","",IF($K388="","—",IF(ROUND($K388-$J388,0)=0,"√","×")))</f>
        <v/>
      </c>
      <c r="M388" s="28">
        <f>IF($B388="","",IF(COUNTIFS(EntryDates,$B388,CalcTime,$C388,CalcBank,$C$5,EntryParty,$D388,EntryDep,$H388,EntryWit,$I388)&gt;1,"تکرار",""))</f>
        <v/>
      </c>
      <c r="N388" s="28">
        <f>IF($P388="","",IF(INDEX(EntryNotes,$P388)=0,"",INDEX(EntryNotes,$P388)))</f>
        <v/>
      </c>
      <c r="O388" s="28">
        <f>IF($P388="","",IF(INDEX(EntryTxnID,$P388)=0,"",INDEX(EntryTxnID,$P388)))</f>
        <v/>
      </c>
      <c r="P388" s="28">
        <f>IFERROR(MATCH($C$5&amp;"|"&amp;RIGHT("000000"&amp;372,6),CalcRankKey,0),"")</f>
        <v/>
      </c>
    </row>
    <row r="389">
      <c r="A389" s="26">
        <f>IF($B389="","",373)</f>
        <v/>
      </c>
      <c r="B389" s="26">
        <f>IF($P389="","",IF(INDEX(CalcNormDate,$P389)=0,"",INDEX(CalcNormDate,$P389)))</f>
        <v/>
      </c>
      <c r="C389" s="26">
        <f>IF($P389="","",IF(INDEX(CalcTime,$P389)=0,"",INDEX(CalcTime,$P389)))</f>
        <v/>
      </c>
      <c r="D389" s="26">
        <f>IF($P389="","",IF(INDEX(EntryParty,$P389)=0,"",INDEX(EntryParty,$P389)))</f>
        <v/>
      </c>
      <c r="E389" s="26">
        <f>IF($P389="","",IF(INDEX(EntryPartyName,$P389)=0,"",INDEX(EntryPartyName,$P389)))</f>
        <v/>
      </c>
      <c r="F389" s="26">
        <f>IF($P389="","",IF(INDEX(EntryPartyType,$P389)=0,"",INDEX(EntryPartyType,$P389)))</f>
        <v/>
      </c>
      <c r="G389" s="26">
        <f>IF($P389="","",IF(INDEX(EntryTxnType,$P389)=0,"",INDEX(EntryTxnType,$P389)))</f>
        <v/>
      </c>
      <c r="H389" s="27">
        <f>IF($P389="","",IF(INDEX(EntryDep,$P389)=0,"",INDEX(EntryDep,$P389)))</f>
        <v/>
      </c>
      <c r="I389" s="27">
        <f>IF($P389="","",IF(INDEX(EntryWit,$P389)=0,"",INDEX(EntryWit,$P389)))</f>
        <v/>
      </c>
      <c r="J389" s="27">
        <f>IF($B389="","",IF($A389=1,$C$7,IF(J388="",0,J388))+IF($H389="",0,$H389)-IF($I389="",0,$I389))</f>
        <v/>
      </c>
      <c r="K389" s="27">
        <f>IF($P389="","",IF(INDEX(EntryMan,$P389)=0,"",INDEX(EntryMan,$P389)))</f>
        <v/>
      </c>
      <c r="L389" s="26">
        <f>IF($B389="","",IF($K389="","—",IF(ROUND($K389-$J389,0)=0,"√","×")))</f>
        <v/>
      </c>
      <c r="M389" s="26">
        <f>IF($B389="","",IF(COUNTIFS(EntryDates,$B389,CalcTime,$C389,CalcBank,$C$5,EntryParty,$D389,EntryDep,$H389,EntryWit,$I389)&gt;1,"تکرار",""))</f>
        <v/>
      </c>
      <c r="N389" s="26">
        <f>IF($P389="","",IF(INDEX(EntryNotes,$P389)=0,"",INDEX(EntryNotes,$P389)))</f>
        <v/>
      </c>
      <c r="O389" s="26">
        <f>IF($P389="","",IF(INDEX(EntryTxnID,$P389)=0,"",INDEX(EntryTxnID,$P389)))</f>
        <v/>
      </c>
      <c r="P389" s="26">
        <f>IFERROR(MATCH($C$5&amp;"|"&amp;RIGHT("000000"&amp;373,6),CalcRankKey,0),"")</f>
        <v/>
      </c>
    </row>
    <row r="390">
      <c r="A390" s="28">
        <f>IF($B390="","",374)</f>
        <v/>
      </c>
      <c r="B390" s="28">
        <f>IF($P390="","",IF(INDEX(CalcNormDate,$P390)=0,"",INDEX(CalcNormDate,$P390)))</f>
        <v/>
      </c>
      <c r="C390" s="28">
        <f>IF($P390="","",IF(INDEX(CalcTime,$P390)=0,"",INDEX(CalcTime,$P390)))</f>
        <v/>
      </c>
      <c r="D390" s="28">
        <f>IF($P390="","",IF(INDEX(EntryParty,$P390)=0,"",INDEX(EntryParty,$P390)))</f>
        <v/>
      </c>
      <c r="E390" s="28">
        <f>IF($P390="","",IF(INDEX(EntryPartyName,$P390)=0,"",INDEX(EntryPartyName,$P390)))</f>
        <v/>
      </c>
      <c r="F390" s="28">
        <f>IF($P390="","",IF(INDEX(EntryPartyType,$P390)=0,"",INDEX(EntryPartyType,$P390)))</f>
        <v/>
      </c>
      <c r="G390" s="28">
        <f>IF($P390="","",IF(INDEX(EntryTxnType,$P390)=0,"",INDEX(EntryTxnType,$P390)))</f>
        <v/>
      </c>
      <c r="H390" s="29">
        <f>IF($P390="","",IF(INDEX(EntryDep,$P390)=0,"",INDEX(EntryDep,$P390)))</f>
        <v/>
      </c>
      <c r="I390" s="29">
        <f>IF($P390="","",IF(INDEX(EntryWit,$P390)=0,"",INDEX(EntryWit,$P390)))</f>
        <v/>
      </c>
      <c r="J390" s="29">
        <f>IF($B390="","",IF($A390=1,$C$7,IF(J389="",0,J389))+IF($H390="",0,$H390)-IF($I390="",0,$I390))</f>
        <v/>
      </c>
      <c r="K390" s="29">
        <f>IF($P390="","",IF(INDEX(EntryMan,$P390)=0,"",INDEX(EntryMan,$P390)))</f>
        <v/>
      </c>
      <c r="L390" s="28">
        <f>IF($B390="","",IF($K390="","—",IF(ROUND($K390-$J390,0)=0,"√","×")))</f>
        <v/>
      </c>
      <c r="M390" s="28">
        <f>IF($B390="","",IF(COUNTIFS(EntryDates,$B390,CalcTime,$C390,CalcBank,$C$5,EntryParty,$D390,EntryDep,$H390,EntryWit,$I390)&gt;1,"تکرار",""))</f>
        <v/>
      </c>
      <c r="N390" s="28">
        <f>IF($P390="","",IF(INDEX(EntryNotes,$P390)=0,"",INDEX(EntryNotes,$P390)))</f>
        <v/>
      </c>
      <c r="O390" s="28">
        <f>IF($P390="","",IF(INDEX(EntryTxnID,$P390)=0,"",INDEX(EntryTxnID,$P390)))</f>
        <v/>
      </c>
      <c r="P390" s="28">
        <f>IFERROR(MATCH($C$5&amp;"|"&amp;RIGHT("000000"&amp;374,6),CalcRankKey,0),"")</f>
        <v/>
      </c>
    </row>
    <row r="391">
      <c r="A391" s="26">
        <f>IF($B391="","",375)</f>
        <v/>
      </c>
      <c r="B391" s="26">
        <f>IF($P391="","",IF(INDEX(CalcNormDate,$P391)=0,"",INDEX(CalcNormDate,$P391)))</f>
        <v/>
      </c>
      <c r="C391" s="26">
        <f>IF($P391="","",IF(INDEX(CalcTime,$P391)=0,"",INDEX(CalcTime,$P391)))</f>
        <v/>
      </c>
      <c r="D391" s="26">
        <f>IF($P391="","",IF(INDEX(EntryParty,$P391)=0,"",INDEX(EntryParty,$P391)))</f>
        <v/>
      </c>
      <c r="E391" s="26">
        <f>IF($P391="","",IF(INDEX(EntryPartyName,$P391)=0,"",INDEX(EntryPartyName,$P391)))</f>
        <v/>
      </c>
      <c r="F391" s="26">
        <f>IF($P391="","",IF(INDEX(EntryPartyType,$P391)=0,"",INDEX(EntryPartyType,$P391)))</f>
        <v/>
      </c>
      <c r="G391" s="26">
        <f>IF($P391="","",IF(INDEX(EntryTxnType,$P391)=0,"",INDEX(EntryTxnType,$P391)))</f>
        <v/>
      </c>
      <c r="H391" s="27">
        <f>IF($P391="","",IF(INDEX(EntryDep,$P391)=0,"",INDEX(EntryDep,$P391)))</f>
        <v/>
      </c>
      <c r="I391" s="27">
        <f>IF($P391="","",IF(INDEX(EntryWit,$P391)=0,"",INDEX(EntryWit,$P391)))</f>
        <v/>
      </c>
      <c r="J391" s="27">
        <f>IF($B391="","",IF($A391=1,$C$7,IF(J390="",0,J390))+IF($H391="",0,$H391)-IF($I391="",0,$I391))</f>
        <v/>
      </c>
      <c r="K391" s="27">
        <f>IF($P391="","",IF(INDEX(EntryMan,$P391)=0,"",INDEX(EntryMan,$P391)))</f>
        <v/>
      </c>
      <c r="L391" s="26">
        <f>IF($B391="","",IF($K391="","—",IF(ROUND($K391-$J391,0)=0,"√","×")))</f>
        <v/>
      </c>
      <c r="M391" s="26">
        <f>IF($B391="","",IF(COUNTIFS(EntryDates,$B391,CalcTime,$C391,CalcBank,$C$5,EntryParty,$D391,EntryDep,$H391,EntryWit,$I391)&gt;1,"تکرار",""))</f>
        <v/>
      </c>
      <c r="N391" s="26">
        <f>IF($P391="","",IF(INDEX(EntryNotes,$P391)=0,"",INDEX(EntryNotes,$P391)))</f>
        <v/>
      </c>
      <c r="O391" s="26">
        <f>IF($P391="","",IF(INDEX(EntryTxnID,$P391)=0,"",INDEX(EntryTxnID,$P391)))</f>
        <v/>
      </c>
      <c r="P391" s="26">
        <f>IFERROR(MATCH($C$5&amp;"|"&amp;RIGHT("000000"&amp;375,6),CalcRankKey,0),"")</f>
        <v/>
      </c>
    </row>
    <row r="392">
      <c r="A392" s="28">
        <f>IF($B392="","",376)</f>
        <v/>
      </c>
      <c r="B392" s="28">
        <f>IF($P392="","",IF(INDEX(CalcNormDate,$P392)=0,"",INDEX(CalcNormDate,$P392)))</f>
        <v/>
      </c>
      <c r="C392" s="28">
        <f>IF($P392="","",IF(INDEX(CalcTime,$P392)=0,"",INDEX(CalcTime,$P392)))</f>
        <v/>
      </c>
      <c r="D392" s="28">
        <f>IF($P392="","",IF(INDEX(EntryParty,$P392)=0,"",INDEX(EntryParty,$P392)))</f>
        <v/>
      </c>
      <c r="E392" s="28">
        <f>IF($P392="","",IF(INDEX(EntryPartyName,$P392)=0,"",INDEX(EntryPartyName,$P392)))</f>
        <v/>
      </c>
      <c r="F392" s="28">
        <f>IF($P392="","",IF(INDEX(EntryPartyType,$P392)=0,"",INDEX(EntryPartyType,$P392)))</f>
        <v/>
      </c>
      <c r="G392" s="28">
        <f>IF($P392="","",IF(INDEX(EntryTxnType,$P392)=0,"",INDEX(EntryTxnType,$P392)))</f>
        <v/>
      </c>
      <c r="H392" s="29">
        <f>IF($P392="","",IF(INDEX(EntryDep,$P392)=0,"",INDEX(EntryDep,$P392)))</f>
        <v/>
      </c>
      <c r="I392" s="29">
        <f>IF($P392="","",IF(INDEX(EntryWit,$P392)=0,"",INDEX(EntryWit,$P392)))</f>
        <v/>
      </c>
      <c r="J392" s="29">
        <f>IF($B392="","",IF($A392=1,$C$7,IF(J391="",0,J391))+IF($H392="",0,$H392)-IF($I392="",0,$I392))</f>
        <v/>
      </c>
      <c r="K392" s="29">
        <f>IF($P392="","",IF(INDEX(EntryMan,$P392)=0,"",INDEX(EntryMan,$P392)))</f>
        <v/>
      </c>
      <c r="L392" s="28">
        <f>IF($B392="","",IF($K392="","—",IF(ROUND($K392-$J392,0)=0,"√","×")))</f>
        <v/>
      </c>
      <c r="M392" s="28">
        <f>IF($B392="","",IF(COUNTIFS(EntryDates,$B392,CalcTime,$C392,CalcBank,$C$5,EntryParty,$D392,EntryDep,$H392,EntryWit,$I392)&gt;1,"تکرار",""))</f>
        <v/>
      </c>
      <c r="N392" s="28">
        <f>IF($P392="","",IF(INDEX(EntryNotes,$P392)=0,"",INDEX(EntryNotes,$P392)))</f>
        <v/>
      </c>
      <c r="O392" s="28">
        <f>IF($P392="","",IF(INDEX(EntryTxnID,$P392)=0,"",INDEX(EntryTxnID,$P392)))</f>
        <v/>
      </c>
      <c r="P392" s="28">
        <f>IFERROR(MATCH($C$5&amp;"|"&amp;RIGHT("000000"&amp;376,6),CalcRankKey,0),"")</f>
        <v/>
      </c>
    </row>
    <row r="393">
      <c r="A393" s="26">
        <f>IF($B393="","",377)</f>
        <v/>
      </c>
      <c r="B393" s="26">
        <f>IF($P393="","",IF(INDEX(CalcNormDate,$P393)=0,"",INDEX(CalcNormDate,$P393)))</f>
        <v/>
      </c>
      <c r="C393" s="26">
        <f>IF($P393="","",IF(INDEX(CalcTime,$P393)=0,"",INDEX(CalcTime,$P393)))</f>
        <v/>
      </c>
      <c r="D393" s="26">
        <f>IF($P393="","",IF(INDEX(EntryParty,$P393)=0,"",INDEX(EntryParty,$P393)))</f>
        <v/>
      </c>
      <c r="E393" s="26">
        <f>IF($P393="","",IF(INDEX(EntryPartyName,$P393)=0,"",INDEX(EntryPartyName,$P393)))</f>
        <v/>
      </c>
      <c r="F393" s="26">
        <f>IF($P393="","",IF(INDEX(EntryPartyType,$P393)=0,"",INDEX(EntryPartyType,$P393)))</f>
        <v/>
      </c>
      <c r="G393" s="26">
        <f>IF($P393="","",IF(INDEX(EntryTxnType,$P393)=0,"",INDEX(EntryTxnType,$P393)))</f>
        <v/>
      </c>
      <c r="H393" s="27">
        <f>IF($P393="","",IF(INDEX(EntryDep,$P393)=0,"",INDEX(EntryDep,$P393)))</f>
        <v/>
      </c>
      <c r="I393" s="27">
        <f>IF($P393="","",IF(INDEX(EntryWit,$P393)=0,"",INDEX(EntryWit,$P393)))</f>
        <v/>
      </c>
      <c r="J393" s="27">
        <f>IF($B393="","",IF($A393=1,$C$7,IF(J392="",0,J392))+IF($H393="",0,$H393)-IF($I393="",0,$I393))</f>
        <v/>
      </c>
      <c r="K393" s="27">
        <f>IF($P393="","",IF(INDEX(EntryMan,$P393)=0,"",INDEX(EntryMan,$P393)))</f>
        <v/>
      </c>
      <c r="L393" s="26">
        <f>IF($B393="","",IF($K393="","—",IF(ROUND($K393-$J393,0)=0,"√","×")))</f>
        <v/>
      </c>
      <c r="M393" s="26">
        <f>IF($B393="","",IF(COUNTIFS(EntryDates,$B393,CalcTime,$C393,CalcBank,$C$5,EntryParty,$D393,EntryDep,$H393,EntryWit,$I393)&gt;1,"تکرار",""))</f>
        <v/>
      </c>
      <c r="N393" s="26">
        <f>IF($P393="","",IF(INDEX(EntryNotes,$P393)=0,"",INDEX(EntryNotes,$P393)))</f>
        <v/>
      </c>
      <c r="O393" s="26">
        <f>IF($P393="","",IF(INDEX(EntryTxnID,$P393)=0,"",INDEX(EntryTxnID,$P393)))</f>
        <v/>
      </c>
      <c r="P393" s="26">
        <f>IFERROR(MATCH($C$5&amp;"|"&amp;RIGHT("000000"&amp;377,6),CalcRankKey,0),"")</f>
        <v/>
      </c>
    </row>
    <row r="394">
      <c r="A394" s="28">
        <f>IF($B394="","",378)</f>
        <v/>
      </c>
      <c r="B394" s="28">
        <f>IF($P394="","",IF(INDEX(CalcNormDate,$P394)=0,"",INDEX(CalcNormDate,$P394)))</f>
        <v/>
      </c>
      <c r="C394" s="28">
        <f>IF($P394="","",IF(INDEX(CalcTime,$P394)=0,"",INDEX(CalcTime,$P394)))</f>
        <v/>
      </c>
      <c r="D394" s="28">
        <f>IF($P394="","",IF(INDEX(EntryParty,$P394)=0,"",INDEX(EntryParty,$P394)))</f>
        <v/>
      </c>
      <c r="E394" s="28">
        <f>IF($P394="","",IF(INDEX(EntryPartyName,$P394)=0,"",INDEX(EntryPartyName,$P394)))</f>
        <v/>
      </c>
      <c r="F394" s="28">
        <f>IF($P394="","",IF(INDEX(EntryPartyType,$P394)=0,"",INDEX(EntryPartyType,$P394)))</f>
        <v/>
      </c>
      <c r="G394" s="28">
        <f>IF($P394="","",IF(INDEX(EntryTxnType,$P394)=0,"",INDEX(EntryTxnType,$P394)))</f>
        <v/>
      </c>
      <c r="H394" s="29">
        <f>IF($P394="","",IF(INDEX(EntryDep,$P394)=0,"",INDEX(EntryDep,$P394)))</f>
        <v/>
      </c>
      <c r="I394" s="29">
        <f>IF($P394="","",IF(INDEX(EntryWit,$P394)=0,"",INDEX(EntryWit,$P394)))</f>
        <v/>
      </c>
      <c r="J394" s="29">
        <f>IF($B394="","",IF($A394=1,$C$7,IF(J393="",0,J393))+IF($H394="",0,$H394)-IF($I394="",0,$I394))</f>
        <v/>
      </c>
      <c r="K394" s="29">
        <f>IF($P394="","",IF(INDEX(EntryMan,$P394)=0,"",INDEX(EntryMan,$P394)))</f>
        <v/>
      </c>
      <c r="L394" s="28">
        <f>IF($B394="","",IF($K394="","—",IF(ROUND($K394-$J394,0)=0,"√","×")))</f>
        <v/>
      </c>
      <c r="M394" s="28">
        <f>IF($B394="","",IF(COUNTIFS(EntryDates,$B394,CalcTime,$C394,CalcBank,$C$5,EntryParty,$D394,EntryDep,$H394,EntryWit,$I394)&gt;1,"تکرار",""))</f>
        <v/>
      </c>
      <c r="N394" s="28">
        <f>IF($P394="","",IF(INDEX(EntryNotes,$P394)=0,"",INDEX(EntryNotes,$P394)))</f>
        <v/>
      </c>
      <c r="O394" s="28">
        <f>IF($P394="","",IF(INDEX(EntryTxnID,$P394)=0,"",INDEX(EntryTxnID,$P394)))</f>
        <v/>
      </c>
      <c r="P394" s="28">
        <f>IFERROR(MATCH($C$5&amp;"|"&amp;RIGHT("000000"&amp;378,6),CalcRankKey,0),"")</f>
        <v/>
      </c>
    </row>
    <row r="395">
      <c r="A395" s="26">
        <f>IF($B395="","",379)</f>
        <v/>
      </c>
      <c r="B395" s="26">
        <f>IF($P395="","",IF(INDEX(CalcNormDate,$P395)=0,"",INDEX(CalcNormDate,$P395)))</f>
        <v/>
      </c>
      <c r="C395" s="26">
        <f>IF($P395="","",IF(INDEX(CalcTime,$P395)=0,"",INDEX(CalcTime,$P395)))</f>
        <v/>
      </c>
      <c r="D395" s="26">
        <f>IF($P395="","",IF(INDEX(EntryParty,$P395)=0,"",INDEX(EntryParty,$P395)))</f>
        <v/>
      </c>
      <c r="E395" s="26">
        <f>IF($P395="","",IF(INDEX(EntryPartyName,$P395)=0,"",INDEX(EntryPartyName,$P395)))</f>
        <v/>
      </c>
      <c r="F395" s="26">
        <f>IF($P395="","",IF(INDEX(EntryPartyType,$P395)=0,"",INDEX(EntryPartyType,$P395)))</f>
        <v/>
      </c>
      <c r="G395" s="26">
        <f>IF($P395="","",IF(INDEX(EntryTxnType,$P395)=0,"",INDEX(EntryTxnType,$P395)))</f>
        <v/>
      </c>
      <c r="H395" s="27">
        <f>IF($P395="","",IF(INDEX(EntryDep,$P395)=0,"",INDEX(EntryDep,$P395)))</f>
        <v/>
      </c>
      <c r="I395" s="27">
        <f>IF($P395="","",IF(INDEX(EntryWit,$P395)=0,"",INDEX(EntryWit,$P395)))</f>
        <v/>
      </c>
      <c r="J395" s="27">
        <f>IF($B395="","",IF($A395=1,$C$7,IF(J394="",0,J394))+IF($H395="",0,$H395)-IF($I395="",0,$I395))</f>
        <v/>
      </c>
      <c r="K395" s="27">
        <f>IF($P395="","",IF(INDEX(EntryMan,$P395)=0,"",INDEX(EntryMan,$P395)))</f>
        <v/>
      </c>
      <c r="L395" s="26">
        <f>IF($B395="","",IF($K395="","—",IF(ROUND($K395-$J395,0)=0,"√","×")))</f>
        <v/>
      </c>
      <c r="M395" s="26">
        <f>IF($B395="","",IF(COUNTIFS(EntryDates,$B395,CalcTime,$C395,CalcBank,$C$5,EntryParty,$D395,EntryDep,$H395,EntryWit,$I395)&gt;1,"تکرار",""))</f>
        <v/>
      </c>
      <c r="N395" s="26">
        <f>IF($P395="","",IF(INDEX(EntryNotes,$P395)=0,"",INDEX(EntryNotes,$P395)))</f>
        <v/>
      </c>
      <c r="O395" s="26">
        <f>IF($P395="","",IF(INDEX(EntryTxnID,$P395)=0,"",INDEX(EntryTxnID,$P395)))</f>
        <v/>
      </c>
      <c r="P395" s="26">
        <f>IFERROR(MATCH($C$5&amp;"|"&amp;RIGHT("000000"&amp;379,6),CalcRankKey,0),"")</f>
        <v/>
      </c>
    </row>
    <row r="396">
      <c r="A396" s="28">
        <f>IF($B396="","",380)</f>
        <v/>
      </c>
      <c r="B396" s="28">
        <f>IF($P396="","",IF(INDEX(CalcNormDate,$P396)=0,"",INDEX(CalcNormDate,$P396)))</f>
        <v/>
      </c>
      <c r="C396" s="28">
        <f>IF($P396="","",IF(INDEX(CalcTime,$P396)=0,"",INDEX(CalcTime,$P396)))</f>
        <v/>
      </c>
      <c r="D396" s="28">
        <f>IF($P396="","",IF(INDEX(EntryParty,$P396)=0,"",INDEX(EntryParty,$P396)))</f>
        <v/>
      </c>
      <c r="E396" s="28">
        <f>IF($P396="","",IF(INDEX(EntryPartyName,$P396)=0,"",INDEX(EntryPartyName,$P396)))</f>
        <v/>
      </c>
      <c r="F396" s="28">
        <f>IF($P396="","",IF(INDEX(EntryPartyType,$P396)=0,"",INDEX(EntryPartyType,$P396)))</f>
        <v/>
      </c>
      <c r="G396" s="28">
        <f>IF($P396="","",IF(INDEX(EntryTxnType,$P396)=0,"",INDEX(EntryTxnType,$P396)))</f>
        <v/>
      </c>
      <c r="H396" s="29">
        <f>IF($P396="","",IF(INDEX(EntryDep,$P396)=0,"",INDEX(EntryDep,$P396)))</f>
        <v/>
      </c>
      <c r="I396" s="29">
        <f>IF($P396="","",IF(INDEX(EntryWit,$P396)=0,"",INDEX(EntryWit,$P396)))</f>
        <v/>
      </c>
      <c r="J396" s="29">
        <f>IF($B396="","",IF($A396=1,$C$7,IF(J395="",0,J395))+IF($H396="",0,$H396)-IF($I396="",0,$I396))</f>
        <v/>
      </c>
      <c r="K396" s="29">
        <f>IF($P396="","",IF(INDEX(EntryMan,$P396)=0,"",INDEX(EntryMan,$P396)))</f>
        <v/>
      </c>
      <c r="L396" s="28">
        <f>IF($B396="","",IF($K396="","—",IF(ROUND($K396-$J396,0)=0,"√","×")))</f>
        <v/>
      </c>
      <c r="M396" s="28">
        <f>IF($B396="","",IF(COUNTIFS(EntryDates,$B396,CalcTime,$C396,CalcBank,$C$5,EntryParty,$D396,EntryDep,$H396,EntryWit,$I396)&gt;1,"تکرار",""))</f>
        <v/>
      </c>
      <c r="N396" s="28">
        <f>IF($P396="","",IF(INDEX(EntryNotes,$P396)=0,"",INDEX(EntryNotes,$P396)))</f>
        <v/>
      </c>
      <c r="O396" s="28">
        <f>IF($P396="","",IF(INDEX(EntryTxnID,$P396)=0,"",INDEX(EntryTxnID,$P396)))</f>
        <v/>
      </c>
      <c r="P396" s="28">
        <f>IFERROR(MATCH($C$5&amp;"|"&amp;RIGHT("000000"&amp;380,6),CalcRankKey,0),"")</f>
        <v/>
      </c>
    </row>
    <row r="397">
      <c r="A397" s="26">
        <f>IF($B397="","",381)</f>
        <v/>
      </c>
      <c r="B397" s="26">
        <f>IF($P397="","",IF(INDEX(CalcNormDate,$P397)=0,"",INDEX(CalcNormDate,$P397)))</f>
        <v/>
      </c>
      <c r="C397" s="26">
        <f>IF($P397="","",IF(INDEX(CalcTime,$P397)=0,"",INDEX(CalcTime,$P397)))</f>
        <v/>
      </c>
      <c r="D397" s="26">
        <f>IF($P397="","",IF(INDEX(EntryParty,$P397)=0,"",INDEX(EntryParty,$P397)))</f>
        <v/>
      </c>
      <c r="E397" s="26">
        <f>IF($P397="","",IF(INDEX(EntryPartyName,$P397)=0,"",INDEX(EntryPartyName,$P397)))</f>
        <v/>
      </c>
      <c r="F397" s="26">
        <f>IF($P397="","",IF(INDEX(EntryPartyType,$P397)=0,"",INDEX(EntryPartyType,$P397)))</f>
        <v/>
      </c>
      <c r="G397" s="26">
        <f>IF($P397="","",IF(INDEX(EntryTxnType,$P397)=0,"",INDEX(EntryTxnType,$P397)))</f>
        <v/>
      </c>
      <c r="H397" s="27">
        <f>IF($P397="","",IF(INDEX(EntryDep,$P397)=0,"",INDEX(EntryDep,$P397)))</f>
        <v/>
      </c>
      <c r="I397" s="27">
        <f>IF($P397="","",IF(INDEX(EntryWit,$P397)=0,"",INDEX(EntryWit,$P397)))</f>
        <v/>
      </c>
      <c r="J397" s="27">
        <f>IF($B397="","",IF($A397=1,$C$7,IF(J396="",0,J396))+IF($H397="",0,$H397)-IF($I397="",0,$I397))</f>
        <v/>
      </c>
      <c r="K397" s="27">
        <f>IF($P397="","",IF(INDEX(EntryMan,$P397)=0,"",INDEX(EntryMan,$P397)))</f>
        <v/>
      </c>
      <c r="L397" s="26">
        <f>IF($B397="","",IF($K397="","—",IF(ROUND($K397-$J397,0)=0,"√","×")))</f>
        <v/>
      </c>
      <c r="M397" s="26">
        <f>IF($B397="","",IF(COUNTIFS(EntryDates,$B397,CalcTime,$C397,CalcBank,$C$5,EntryParty,$D397,EntryDep,$H397,EntryWit,$I397)&gt;1,"تکرار",""))</f>
        <v/>
      </c>
      <c r="N397" s="26">
        <f>IF($P397="","",IF(INDEX(EntryNotes,$P397)=0,"",INDEX(EntryNotes,$P397)))</f>
        <v/>
      </c>
      <c r="O397" s="26">
        <f>IF($P397="","",IF(INDEX(EntryTxnID,$P397)=0,"",INDEX(EntryTxnID,$P397)))</f>
        <v/>
      </c>
      <c r="P397" s="26">
        <f>IFERROR(MATCH($C$5&amp;"|"&amp;RIGHT("000000"&amp;381,6),CalcRankKey,0),"")</f>
        <v/>
      </c>
    </row>
    <row r="398">
      <c r="A398" s="28">
        <f>IF($B398="","",382)</f>
        <v/>
      </c>
      <c r="B398" s="28">
        <f>IF($P398="","",IF(INDEX(CalcNormDate,$P398)=0,"",INDEX(CalcNormDate,$P398)))</f>
        <v/>
      </c>
      <c r="C398" s="28">
        <f>IF($P398="","",IF(INDEX(CalcTime,$P398)=0,"",INDEX(CalcTime,$P398)))</f>
        <v/>
      </c>
      <c r="D398" s="28">
        <f>IF($P398="","",IF(INDEX(EntryParty,$P398)=0,"",INDEX(EntryParty,$P398)))</f>
        <v/>
      </c>
      <c r="E398" s="28">
        <f>IF($P398="","",IF(INDEX(EntryPartyName,$P398)=0,"",INDEX(EntryPartyName,$P398)))</f>
        <v/>
      </c>
      <c r="F398" s="28">
        <f>IF($P398="","",IF(INDEX(EntryPartyType,$P398)=0,"",INDEX(EntryPartyType,$P398)))</f>
        <v/>
      </c>
      <c r="G398" s="28">
        <f>IF($P398="","",IF(INDEX(EntryTxnType,$P398)=0,"",INDEX(EntryTxnType,$P398)))</f>
        <v/>
      </c>
      <c r="H398" s="29">
        <f>IF($P398="","",IF(INDEX(EntryDep,$P398)=0,"",INDEX(EntryDep,$P398)))</f>
        <v/>
      </c>
      <c r="I398" s="29">
        <f>IF($P398="","",IF(INDEX(EntryWit,$P398)=0,"",INDEX(EntryWit,$P398)))</f>
        <v/>
      </c>
      <c r="J398" s="29">
        <f>IF($B398="","",IF($A398=1,$C$7,IF(J397="",0,J397))+IF($H398="",0,$H398)-IF($I398="",0,$I398))</f>
        <v/>
      </c>
      <c r="K398" s="29">
        <f>IF($P398="","",IF(INDEX(EntryMan,$P398)=0,"",INDEX(EntryMan,$P398)))</f>
        <v/>
      </c>
      <c r="L398" s="28">
        <f>IF($B398="","",IF($K398="","—",IF(ROUND($K398-$J398,0)=0,"√","×")))</f>
        <v/>
      </c>
      <c r="M398" s="28">
        <f>IF($B398="","",IF(COUNTIFS(EntryDates,$B398,CalcTime,$C398,CalcBank,$C$5,EntryParty,$D398,EntryDep,$H398,EntryWit,$I398)&gt;1,"تکرار",""))</f>
        <v/>
      </c>
      <c r="N398" s="28">
        <f>IF($P398="","",IF(INDEX(EntryNotes,$P398)=0,"",INDEX(EntryNotes,$P398)))</f>
        <v/>
      </c>
      <c r="O398" s="28">
        <f>IF($P398="","",IF(INDEX(EntryTxnID,$P398)=0,"",INDEX(EntryTxnID,$P398)))</f>
        <v/>
      </c>
      <c r="P398" s="28">
        <f>IFERROR(MATCH($C$5&amp;"|"&amp;RIGHT("000000"&amp;382,6),CalcRankKey,0),"")</f>
        <v/>
      </c>
    </row>
    <row r="399">
      <c r="A399" s="26">
        <f>IF($B399="","",383)</f>
        <v/>
      </c>
      <c r="B399" s="26">
        <f>IF($P399="","",IF(INDEX(CalcNormDate,$P399)=0,"",INDEX(CalcNormDate,$P399)))</f>
        <v/>
      </c>
      <c r="C399" s="26">
        <f>IF($P399="","",IF(INDEX(CalcTime,$P399)=0,"",INDEX(CalcTime,$P399)))</f>
        <v/>
      </c>
      <c r="D399" s="26">
        <f>IF($P399="","",IF(INDEX(EntryParty,$P399)=0,"",INDEX(EntryParty,$P399)))</f>
        <v/>
      </c>
      <c r="E399" s="26">
        <f>IF($P399="","",IF(INDEX(EntryPartyName,$P399)=0,"",INDEX(EntryPartyName,$P399)))</f>
        <v/>
      </c>
      <c r="F399" s="26">
        <f>IF($P399="","",IF(INDEX(EntryPartyType,$P399)=0,"",INDEX(EntryPartyType,$P399)))</f>
        <v/>
      </c>
      <c r="G399" s="26">
        <f>IF($P399="","",IF(INDEX(EntryTxnType,$P399)=0,"",INDEX(EntryTxnType,$P399)))</f>
        <v/>
      </c>
      <c r="H399" s="27">
        <f>IF($P399="","",IF(INDEX(EntryDep,$P399)=0,"",INDEX(EntryDep,$P399)))</f>
        <v/>
      </c>
      <c r="I399" s="27">
        <f>IF($P399="","",IF(INDEX(EntryWit,$P399)=0,"",INDEX(EntryWit,$P399)))</f>
        <v/>
      </c>
      <c r="J399" s="27">
        <f>IF($B399="","",IF($A399=1,$C$7,IF(J398="",0,J398))+IF($H399="",0,$H399)-IF($I399="",0,$I399))</f>
        <v/>
      </c>
      <c r="K399" s="27">
        <f>IF($P399="","",IF(INDEX(EntryMan,$P399)=0,"",INDEX(EntryMan,$P399)))</f>
        <v/>
      </c>
      <c r="L399" s="26">
        <f>IF($B399="","",IF($K399="","—",IF(ROUND($K399-$J399,0)=0,"√","×")))</f>
        <v/>
      </c>
      <c r="M399" s="26">
        <f>IF($B399="","",IF(COUNTIFS(EntryDates,$B399,CalcTime,$C399,CalcBank,$C$5,EntryParty,$D399,EntryDep,$H399,EntryWit,$I399)&gt;1,"تکرار",""))</f>
        <v/>
      </c>
      <c r="N399" s="26">
        <f>IF($P399="","",IF(INDEX(EntryNotes,$P399)=0,"",INDEX(EntryNotes,$P399)))</f>
        <v/>
      </c>
      <c r="O399" s="26">
        <f>IF($P399="","",IF(INDEX(EntryTxnID,$P399)=0,"",INDEX(EntryTxnID,$P399)))</f>
        <v/>
      </c>
      <c r="P399" s="26">
        <f>IFERROR(MATCH($C$5&amp;"|"&amp;RIGHT("000000"&amp;383,6),CalcRankKey,0),"")</f>
        <v/>
      </c>
    </row>
    <row r="400">
      <c r="A400" s="28">
        <f>IF($B400="","",384)</f>
        <v/>
      </c>
      <c r="B400" s="28">
        <f>IF($P400="","",IF(INDEX(CalcNormDate,$P400)=0,"",INDEX(CalcNormDate,$P400)))</f>
        <v/>
      </c>
      <c r="C400" s="28">
        <f>IF($P400="","",IF(INDEX(CalcTime,$P400)=0,"",INDEX(CalcTime,$P400)))</f>
        <v/>
      </c>
      <c r="D400" s="28">
        <f>IF($P400="","",IF(INDEX(EntryParty,$P400)=0,"",INDEX(EntryParty,$P400)))</f>
        <v/>
      </c>
      <c r="E400" s="28">
        <f>IF($P400="","",IF(INDEX(EntryPartyName,$P400)=0,"",INDEX(EntryPartyName,$P400)))</f>
        <v/>
      </c>
      <c r="F400" s="28">
        <f>IF($P400="","",IF(INDEX(EntryPartyType,$P400)=0,"",INDEX(EntryPartyType,$P400)))</f>
        <v/>
      </c>
      <c r="G400" s="28">
        <f>IF($P400="","",IF(INDEX(EntryTxnType,$P400)=0,"",INDEX(EntryTxnType,$P400)))</f>
        <v/>
      </c>
      <c r="H400" s="29">
        <f>IF($P400="","",IF(INDEX(EntryDep,$P400)=0,"",INDEX(EntryDep,$P400)))</f>
        <v/>
      </c>
      <c r="I400" s="29">
        <f>IF($P400="","",IF(INDEX(EntryWit,$P400)=0,"",INDEX(EntryWit,$P400)))</f>
        <v/>
      </c>
      <c r="J400" s="29">
        <f>IF($B400="","",IF($A400=1,$C$7,IF(J399="",0,J399))+IF($H400="",0,$H400)-IF($I400="",0,$I400))</f>
        <v/>
      </c>
      <c r="K400" s="29">
        <f>IF($P400="","",IF(INDEX(EntryMan,$P400)=0,"",INDEX(EntryMan,$P400)))</f>
        <v/>
      </c>
      <c r="L400" s="28">
        <f>IF($B400="","",IF($K400="","—",IF(ROUND($K400-$J400,0)=0,"√","×")))</f>
        <v/>
      </c>
      <c r="M400" s="28">
        <f>IF($B400="","",IF(COUNTIFS(EntryDates,$B400,CalcTime,$C400,CalcBank,$C$5,EntryParty,$D400,EntryDep,$H400,EntryWit,$I400)&gt;1,"تکرار",""))</f>
        <v/>
      </c>
      <c r="N400" s="28">
        <f>IF($P400="","",IF(INDEX(EntryNotes,$P400)=0,"",INDEX(EntryNotes,$P400)))</f>
        <v/>
      </c>
      <c r="O400" s="28">
        <f>IF($P400="","",IF(INDEX(EntryTxnID,$P400)=0,"",INDEX(EntryTxnID,$P400)))</f>
        <v/>
      </c>
      <c r="P400" s="28">
        <f>IFERROR(MATCH($C$5&amp;"|"&amp;RIGHT("000000"&amp;384,6),CalcRankKey,0),"")</f>
        <v/>
      </c>
    </row>
    <row r="401">
      <c r="A401" s="26">
        <f>IF($B401="","",385)</f>
        <v/>
      </c>
      <c r="B401" s="26">
        <f>IF($P401="","",IF(INDEX(CalcNormDate,$P401)=0,"",INDEX(CalcNormDate,$P401)))</f>
        <v/>
      </c>
      <c r="C401" s="26">
        <f>IF($P401="","",IF(INDEX(CalcTime,$P401)=0,"",INDEX(CalcTime,$P401)))</f>
        <v/>
      </c>
      <c r="D401" s="26">
        <f>IF($P401="","",IF(INDEX(EntryParty,$P401)=0,"",INDEX(EntryParty,$P401)))</f>
        <v/>
      </c>
      <c r="E401" s="26">
        <f>IF($P401="","",IF(INDEX(EntryPartyName,$P401)=0,"",INDEX(EntryPartyName,$P401)))</f>
        <v/>
      </c>
      <c r="F401" s="26">
        <f>IF($P401="","",IF(INDEX(EntryPartyType,$P401)=0,"",INDEX(EntryPartyType,$P401)))</f>
        <v/>
      </c>
      <c r="G401" s="26">
        <f>IF($P401="","",IF(INDEX(EntryTxnType,$P401)=0,"",INDEX(EntryTxnType,$P401)))</f>
        <v/>
      </c>
      <c r="H401" s="27">
        <f>IF($P401="","",IF(INDEX(EntryDep,$P401)=0,"",INDEX(EntryDep,$P401)))</f>
        <v/>
      </c>
      <c r="I401" s="27">
        <f>IF($P401="","",IF(INDEX(EntryWit,$P401)=0,"",INDEX(EntryWit,$P401)))</f>
        <v/>
      </c>
      <c r="J401" s="27">
        <f>IF($B401="","",IF($A401=1,$C$7,IF(J400="",0,J400))+IF($H401="",0,$H401)-IF($I401="",0,$I401))</f>
        <v/>
      </c>
      <c r="K401" s="27">
        <f>IF($P401="","",IF(INDEX(EntryMan,$P401)=0,"",INDEX(EntryMan,$P401)))</f>
        <v/>
      </c>
      <c r="L401" s="26">
        <f>IF($B401="","",IF($K401="","—",IF(ROUND($K401-$J401,0)=0,"√","×")))</f>
        <v/>
      </c>
      <c r="M401" s="26">
        <f>IF($B401="","",IF(COUNTIFS(EntryDates,$B401,CalcTime,$C401,CalcBank,$C$5,EntryParty,$D401,EntryDep,$H401,EntryWit,$I401)&gt;1,"تکرار",""))</f>
        <v/>
      </c>
      <c r="N401" s="26">
        <f>IF($P401="","",IF(INDEX(EntryNotes,$P401)=0,"",INDEX(EntryNotes,$P401)))</f>
        <v/>
      </c>
      <c r="O401" s="26">
        <f>IF($P401="","",IF(INDEX(EntryTxnID,$P401)=0,"",INDEX(EntryTxnID,$P401)))</f>
        <v/>
      </c>
      <c r="P401" s="26">
        <f>IFERROR(MATCH($C$5&amp;"|"&amp;RIGHT("000000"&amp;385,6),CalcRankKey,0),"")</f>
        <v/>
      </c>
    </row>
    <row r="402">
      <c r="A402" s="28">
        <f>IF($B402="","",386)</f>
        <v/>
      </c>
      <c r="B402" s="28">
        <f>IF($P402="","",IF(INDEX(CalcNormDate,$P402)=0,"",INDEX(CalcNormDate,$P402)))</f>
        <v/>
      </c>
      <c r="C402" s="28">
        <f>IF($P402="","",IF(INDEX(CalcTime,$P402)=0,"",INDEX(CalcTime,$P402)))</f>
        <v/>
      </c>
      <c r="D402" s="28">
        <f>IF($P402="","",IF(INDEX(EntryParty,$P402)=0,"",INDEX(EntryParty,$P402)))</f>
        <v/>
      </c>
      <c r="E402" s="28">
        <f>IF($P402="","",IF(INDEX(EntryPartyName,$P402)=0,"",INDEX(EntryPartyName,$P402)))</f>
        <v/>
      </c>
      <c r="F402" s="28">
        <f>IF($P402="","",IF(INDEX(EntryPartyType,$P402)=0,"",INDEX(EntryPartyType,$P402)))</f>
        <v/>
      </c>
      <c r="G402" s="28">
        <f>IF($P402="","",IF(INDEX(EntryTxnType,$P402)=0,"",INDEX(EntryTxnType,$P402)))</f>
        <v/>
      </c>
      <c r="H402" s="29">
        <f>IF($P402="","",IF(INDEX(EntryDep,$P402)=0,"",INDEX(EntryDep,$P402)))</f>
        <v/>
      </c>
      <c r="I402" s="29">
        <f>IF($P402="","",IF(INDEX(EntryWit,$P402)=0,"",INDEX(EntryWit,$P402)))</f>
        <v/>
      </c>
      <c r="J402" s="29">
        <f>IF($B402="","",IF($A402=1,$C$7,IF(J401="",0,J401))+IF($H402="",0,$H402)-IF($I402="",0,$I402))</f>
        <v/>
      </c>
      <c r="K402" s="29">
        <f>IF($P402="","",IF(INDEX(EntryMan,$P402)=0,"",INDEX(EntryMan,$P402)))</f>
        <v/>
      </c>
      <c r="L402" s="28">
        <f>IF($B402="","",IF($K402="","—",IF(ROUND($K402-$J402,0)=0,"√","×")))</f>
        <v/>
      </c>
      <c r="M402" s="28">
        <f>IF($B402="","",IF(COUNTIFS(EntryDates,$B402,CalcTime,$C402,CalcBank,$C$5,EntryParty,$D402,EntryDep,$H402,EntryWit,$I402)&gt;1,"تکرار",""))</f>
        <v/>
      </c>
      <c r="N402" s="28">
        <f>IF($P402="","",IF(INDEX(EntryNotes,$P402)=0,"",INDEX(EntryNotes,$P402)))</f>
        <v/>
      </c>
      <c r="O402" s="28">
        <f>IF($P402="","",IF(INDEX(EntryTxnID,$P402)=0,"",INDEX(EntryTxnID,$P402)))</f>
        <v/>
      </c>
      <c r="P402" s="28">
        <f>IFERROR(MATCH($C$5&amp;"|"&amp;RIGHT("000000"&amp;386,6),CalcRankKey,0),"")</f>
        <v/>
      </c>
    </row>
    <row r="403">
      <c r="A403" s="26">
        <f>IF($B403="","",387)</f>
        <v/>
      </c>
      <c r="B403" s="26">
        <f>IF($P403="","",IF(INDEX(CalcNormDate,$P403)=0,"",INDEX(CalcNormDate,$P403)))</f>
        <v/>
      </c>
      <c r="C403" s="26">
        <f>IF($P403="","",IF(INDEX(CalcTime,$P403)=0,"",INDEX(CalcTime,$P403)))</f>
        <v/>
      </c>
      <c r="D403" s="26">
        <f>IF($P403="","",IF(INDEX(EntryParty,$P403)=0,"",INDEX(EntryParty,$P403)))</f>
        <v/>
      </c>
      <c r="E403" s="26">
        <f>IF($P403="","",IF(INDEX(EntryPartyName,$P403)=0,"",INDEX(EntryPartyName,$P403)))</f>
        <v/>
      </c>
      <c r="F403" s="26">
        <f>IF($P403="","",IF(INDEX(EntryPartyType,$P403)=0,"",INDEX(EntryPartyType,$P403)))</f>
        <v/>
      </c>
      <c r="G403" s="26">
        <f>IF($P403="","",IF(INDEX(EntryTxnType,$P403)=0,"",INDEX(EntryTxnType,$P403)))</f>
        <v/>
      </c>
      <c r="H403" s="27">
        <f>IF($P403="","",IF(INDEX(EntryDep,$P403)=0,"",INDEX(EntryDep,$P403)))</f>
        <v/>
      </c>
      <c r="I403" s="27">
        <f>IF($P403="","",IF(INDEX(EntryWit,$P403)=0,"",INDEX(EntryWit,$P403)))</f>
        <v/>
      </c>
      <c r="J403" s="27">
        <f>IF($B403="","",IF($A403=1,$C$7,IF(J402="",0,J402))+IF($H403="",0,$H403)-IF($I403="",0,$I403))</f>
        <v/>
      </c>
      <c r="K403" s="27">
        <f>IF($P403="","",IF(INDEX(EntryMan,$P403)=0,"",INDEX(EntryMan,$P403)))</f>
        <v/>
      </c>
      <c r="L403" s="26">
        <f>IF($B403="","",IF($K403="","—",IF(ROUND($K403-$J403,0)=0,"√","×")))</f>
        <v/>
      </c>
      <c r="M403" s="26">
        <f>IF($B403="","",IF(COUNTIFS(EntryDates,$B403,CalcTime,$C403,CalcBank,$C$5,EntryParty,$D403,EntryDep,$H403,EntryWit,$I403)&gt;1,"تکرار",""))</f>
        <v/>
      </c>
      <c r="N403" s="26">
        <f>IF($P403="","",IF(INDEX(EntryNotes,$P403)=0,"",INDEX(EntryNotes,$P403)))</f>
        <v/>
      </c>
      <c r="O403" s="26">
        <f>IF($P403="","",IF(INDEX(EntryTxnID,$P403)=0,"",INDEX(EntryTxnID,$P403)))</f>
        <v/>
      </c>
      <c r="P403" s="26">
        <f>IFERROR(MATCH($C$5&amp;"|"&amp;RIGHT("000000"&amp;387,6),CalcRankKey,0),"")</f>
        <v/>
      </c>
    </row>
    <row r="404">
      <c r="A404" s="28">
        <f>IF($B404="","",388)</f>
        <v/>
      </c>
      <c r="B404" s="28">
        <f>IF($P404="","",IF(INDEX(CalcNormDate,$P404)=0,"",INDEX(CalcNormDate,$P404)))</f>
        <v/>
      </c>
      <c r="C404" s="28">
        <f>IF($P404="","",IF(INDEX(CalcTime,$P404)=0,"",INDEX(CalcTime,$P404)))</f>
        <v/>
      </c>
      <c r="D404" s="28">
        <f>IF($P404="","",IF(INDEX(EntryParty,$P404)=0,"",INDEX(EntryParty,$P404)))</f>
        <v/>
      </c>
      <c r="E404" s="28">
        <f>IF($P404="","",IF(INDEX(EntryPartyName,$P404)=0,"",INDEX(EntryPartyName,$P404)))</f>
        <v/>
      </c>
      <c r="F404" s="28">
        <f>IF($P404="","",IF(INDEX(EntryPartyType,$P404)=0,"",INDEX(EntryPartyType,$P404)))</f>
        <v/>
      </c>
      <c r="G404" s="28">
        <f>IF($P404="","",IF(INDEX(EntryTxnType,$P404)=0,"",INDEX(EntryTxnType,$P404)))</f>
        <v/>
      </c>
      <c r="H404" s="29">
        <f>IF($P404="","",IF(INDEX(EntryDep,$P404)=0,"",INDEX(EntryDep,$P404)))</f>
        <v/>
      </c>
      <c r="I404" s="29">
        <f>IF($P404="","",IF(INDEX(EntryWit,$P404)=0,"",INDEX(EntryWit,$P404)))</f>
        <v/>
      </c>
      <c r="J404" s="29">
        <f>IF($B404="","",IF($A404=1,$C$7,IF(J403="",0,J403))+IF($H404="",0,$H404)-IF($I404="",0,$I404))</f>
        <v/>
      </c>
      <c r="K404" s="29">
        <f>IF($P404="","",IF(INDEX(EntryMan,$P404)=0,"",INDEX(EntryMan,$P404)))</f>
        <v/>
      </c>
      <c r="L404" s="28">
        <f>IF($B404="","",IF($K404="","—",IF(ROUND($K404-$J404,0)=0,"√","×")))</f>
        <v/>
      </c>
      <c r="M404" s="28">
        <f>IF($B404="","",IF(COUNTIFS(EntryDates,$B404,CalcTime,$C404,CalcBank,$C$5,EntryParty,$D404,EntryDep,$H404,EntryWit,$I404)&gt;1,"تکرار",""))</f>
        <v/>
      </c>
      <c r="N404" s="28">
        <f>IF($P404="","",IF(INDEX(EntryNotes,$P404)=0,"",INDEX(EntryNotes,$P404)))</f>
        <v/>
      </c>
      <c r="O404" s="28">
        <f>IF($P404="","",IF(INDEX(EntryTxnID,$P404)=0,"",INDEX(EntryTxnID,$P404)))</f>
        <v/>
      </c>
      <c r="P404" s="28">
        <f>IFERROR(MATCH($C$5&amp;"|"&amp;RIGHT("000000"&amp;388,6),CalcRankKey,0),"")</f>
        <v/>
      </c>
    </row>
    <row r="405">
      <c r="A405" s="26">
        <f>IF($B405="","",389)</f>
        <v/>
      </c>
      <c r="B405" s="26">
        <f>IF($P405="","",IF(INDEX(CalcNormDate,$P405)=0,"",INDEX(CalcNormDate,$P405)))</f>
        <v/>
      </c>
      <c r="C405" s="26">
        <f>IF($P405="","",IF(INDEX(CalcTime,$P405)=0,"",INDEX(CalcTime,$P405)))</f>
        <v/>
      </c>
      <c r="D405" s="26">
        <f>IF($P405="","",IF(INDEX(EntryParty,$P405)=0,"",INDEX(EntryParty,$P405)))</f>
        <v/>
      </c>
      <c r="E405" s="26">
        <f>IF($P405="","",IF(INDEX(EntryPartyName,$P405)=0,"",INDEX(EntryPartyName,$P405)))</f>
        <v/>
      </c>
      <c r="F405" s="26">
        <f>IF($P405="","",IF(INDEX(EntryPartyType,$P405)=0,"",INDEX(EntryPartyType,$P405)))</f>
        <v/>
      </c>
      <c r="G405" s="26">
        <f>IF($P405="","",IF(INDEX(EntryTxnType,$P405)=0,"",INDEX(EntryTxnType,$P405)))</f>
        <v/>
      </c>
      <c r="H405" s="27">
        <f>IF($P405="","",IF(INDEX(EntryDep,$P405)=0,"",INDEX(EntryDep,$P405)))</f>
        <v/>
      </c>
      <c r="I405" s="27">
        <f>IF($P405="","",IF(INDEX(EntryWit,$P405)=0,"",INDEX(EntryWit,$P405)))</f>
        <v/>
      </c>
      <c r="J405" s="27">
        <f>IF($B405="","",IF($A405=1,$C$7,IF(J404="",0,J404))+IF($H405="",0,$H405)-IF($I405="",0,$I405))</f>
        <v/>
      </c>
      <c r="K405" s="27">
        <f>IF($P405="","",IF(INDEX(EntryMan,$P405)=0,"",INDEX(EntryMan,$P405)))</f>
        <v/>
      </c>
      <c r="L405" s="26">
        <f>IF($B405="","",IF($K405="","—",IF(ROUND($K405-$J405,0)=0,"√","×")))</f>
        <v/>
      </c>
      <c r="M405" s="26">
        <f>IF($B405="","",IF(COUNTIFS(EntryDates,$B405,CalcTime,$C405,CalcBank,$C$5,EntryParty,$D405,EntryDep,$H405,EntryWit,$I405)&gt;1,"تکرار",""))</f>
        <v/>
      </c>
      <c r="N405" s="26">
        <f>IF($P405="","",IF(INDEX(EntryNotes,$P405)=0,"",INDEX(EntryNotes,$P405)))</f>
        <v/>
      </c>
      <c r="O405" s="26">
        <f>IF($P405="","",IF(INDEX(EntryTxnID,$P405)=0,"",INDEX(EntryTxnID,$P405)))</f>
        <v/>
      </c>
      <c r="P405" s="26">
        <f>IFERROR(MATCH($C$5&amp;"|"&amp;RIGHT("000000"&amp;389,6),CalcRankKey,0),"")</f>
        <v/>
      </c>
    </row>
    <row r="406">
      <c r="A406" s="28">
        <f>IF($B406="","",390)</f>
        <v/>
      </c>
      <c r="B406" s="28">
        <f>IF($P406="","",IF(INDEX(CalcNormDate,$P406)=0,"",INDEX(CalcNormDate,$P406)))</f>
        <v/>
      </c>
      <c r="C406" s="28">
        <f>IF($P406="","",IF(INDEX(CalcTime,$P406)=0,"",INDEX(CalcTime,$P406)))</f>
        <v/>
      </c>
      <c r="D406" s="28">
        <f>IF($P406="","",IF(INDEX(EntryParty,$P406)=0,"",INDEX(EntryParty,$P406)))</f>
        <v/>
      </c>
      <c r="E406" s="28">
        <f>IF($P406="","",IF(INDEX(EntryPartyName,$P406)=0,"",INDEX(EntryPartyName,$P406)))</f>
        <v/>
      </c>
      <c r="F406" s="28">
        <f>IF($P406="","",IF(INDEX(EntryPartyType,$P406)=0,"",INDEX(EntryPartyType,$P406)))</f>
        <v/>
      </c>
      <c r="G406" s="28">
        <f>IF($P406="","",IF(INDEX(EntryTxnType,$P406)=0,"",INDEX(EntryTxnType,$P406)))</f>
        <v/>
      </c>
      <c r="H406" s="29">
        <f>IF($P406="","",IF(INDEX(EntryDep,$P406)=0,"",INDEX(EntryDep,$P406)))</f>
        <v/>
      </c>
      <c r="I406" s="29">
        <f>IF($P406="","",IF(INDEX(EntryWit,$P406)=0,"",INDEX(EntryWit,$P406)))</f>
        <v/>
      </c>
      <c r="J406" s="29">
        <f>IF($B406="","",IF($A406=1,$C$7,IF(J405="",0,J405))+IF($H406="",0,$H406)-IF($I406="",0,$I406))</f>
        <v/>
      </c>
      <c r="K406" s="29">
        <f>IF($P406="","",IF(INDEX(EntryMan,$P406)=0,"",INDEX(EntryMan,$P406)))</f>
        <v/>
      </c>
      <c r="L406" s="28">
        <f>IF($B406="","",IF($K406="","—",IF(ROUND($K406-$J406,0)=0,"√","×")))</f>
        <v/>
      </c>
      <c r="M406" s="28">
        <f>IF($B406="","",IF(COUNTIFS(EntryDates,$B406,CalcTime,$C406,CalcBank,$C$5,EntryParty,$D406,EntryDep,$H406,EntryWit,$I406)&gt;1,"تکرار",""))</f>
        <v/>
      </c>
      <c r="N406" s="28">
        <f>IF($P406="","",IF(INDEX(EntryNotes,$P406)=0,"",INDEX(EntryNotes,$P406)))</f>
        <v/>
      </c>
      <c r="O406" s="28">
        <f>IF($P406="","",IF(INDEX(EntryTxnID,$P406)=0,"",INDEX(EntryTxnID,$P406)))</f>
        <v/>
      </c>
      <c r="P406" s="28">
        <f>IFERROR(MATCH($C$5&amp;"|"&amp;RIGHT("000000"&amp;390,6),CalcRankKey,0),"")</f>
        <v/>
      </c>
    </row>
    <row r="407">
      <c r="A407" s="26">
        <f>IF($B407="","",391)</f>
        <v/>
      </c>
      <c r="B407" s="26">
        <f>IF($P407="","",IF(INDEX(CalcNormDate,$P407)=0,"",INDEX(CalcNormDate,$P407)))</f>
        <v/>
      </c>
      <c r="C407" s="26">
        <f>IF($P407="","",IF(INDEX(CalcTime,$P407)=0,"",INDEX(CalcTime,$P407)))</f>
        <v/>
      </c>
      <c r="D407" s="26">
        <f>IF($P407="","",IF(INDEX(EntryParty,$P407)=0,"",INDEX(EntryParty,$P407)))</f>
        <v/>
      </c>
      <c r="E407" s="26">
        <f>IF($P407="","",IF(INDEX(EntryPartyName,$P407)=0,"",INDEX(EntryPartyName,$P407)))</f>
        <v/>
      </c>
      <c r="F407" s="26">
        <f>IF($P407="","",IF(INDEX(EntryPartyType,$P407)=0,"",INDEX(EntryPartyType,$P407)))</f>
        <v/>
      </c>
      <c r="G407" s="26">
        <f>IF($P407="","",IF(INDEX(EntryTxnType,$P407)=0,"",INDEX(EntryTxnType,$P407)))</f>
        <v/>
      </c>
      <c r="H407" s="27">
        <f>IF($P407="","",IF(INDEX(EntryDep,$P407)=0,"",INDEX(EntryDep,$P407)))</f>
        <v/>
      </c>
      <c r="I407" s="27">
        <f>IF($P407="","",IF(INDEX(EntryWit,$P407)=0,"",INDEX(EntryWit,$P407)))</f>
        <v/>
      </c>
      <c r="J407" s="27">
        <f>IF($B407="","",IF($A407=1,$C$7,IF(J406="",0,J406))+IF($H407="",0,$H407)-IF($I407="",0,$I407))</f>
        <v/>
      </c>
      <c r="K407" s="27">
        <f>IF($P407="","",IF(INDEX(EntryMan,$P407)=0,"",INDEX(EntryMan,$P407)))</f>
        <v/>
      </c>
      <c r="L407" s="26">
        <f>IF($B407="","",IF($K407="","—",IF(ROUND($K407-$J407,0)=0,"√","×")))</f>
        <v/>
      </c>
      <c r="M407" s="26">
        <f>IF($B407="","",IF(COUNTIFS(EntryDates,$B407,CalcTime,$C407,CalcBank,$C$5,EntryParty,$D407,EntryDep,$H407,EntryWit,$I407)&gt;1,"تکرار",""))</f>
        <v/>
      </c>
      <c r="N407" s="26">
        <f>IF($P407="","",IF(INDEX(EntryNotes,$P407)=0,"",INDEX(EntryNotes,$P407)))</f>
        <v/>
      </c>
      <c r="O407" s="26">
        <f>IF($P407="","",IF(INDEX(EntryTxnID,$P407)=0,"",INDEX(EntryTxnID,$P407)))</f>
        <v/>
      </c>
      <c r="P407" s="26">
        <f>IFERROR(MATCH($C$5&amp;"|"&amp;RIGHT("000000"&amp;391,6),CalcRankKey,0),"")</f>
        <v/>
      </c>
    </row>
    <row r="408">
      <c r="A408" s="28">
        <f>IF($B408="","",392)</f>
        <v/>
      </c>
      <c r="B408" s="28">
        <f>IF($P408="","",IF(INDEX(CalcNormDate,$P408)=0,"",INDEX(CalcNormDate,$P408)))</f>
        <v/>
      </c>
      <c r="C408" s="28">
        <f>IF($P408="","",IF(INDEX(CalcTime,$P408)=0,"",INDEX(CalcTime,$P408)))</f>
        <v/>
      </c>
      <c r="D408" s="28">
        <f>IF($P408="","",IF(INDEX(EntryParty,$P408)=0,"",INDEX(EntryParty,$P408)))</f>
        <v/>
      </c>
      <c r="E408" s="28">
        <f>IF($P408="","",IF(INDEX(EntryPartyName,$P408)=0,"",INDEX(EntryPartyName,$P408)))</f>
        <v/>
      </c>
      <c r="F408" s="28">
        <f>IF($P408="","",IF(INDEX(EntryPartyType,$P408)=0,"",INDEX(EntryPartyType,$P408)))</f>
        <v/>
      </c>
      <c r="G408" s="28">
        <f>IF($P408="","",IF(INDEX(EntryTxnType,$P408)=0,"",INDEX(EntryTxnType,$P408)))</f>
        <v/>
      </c>
      <c r="H408" s="29">
        <f>IF($P408="","",IF(INDEX(EntryDep,$P408)=0,"",INDEX(EntryDep,$P408)))</f>
        <v/>
      </c>
      <c r="I408" s="29">
        <f>IF($P408="","",IF(INDEX(EntryWit,$P408)=0,"",INDEX(EntryWit,$P408)))</f>
        <v/>
      </c>
      <c r="J408" s="29">
        <f>IF($B408="","",IF($A408=1,$C$7,IF(J407="",0,J407))+IF($H408="",0,$H408)-IF($I408="",0,$I408))</f>
        <v/>
      </c>
      <c r="K408" s="29">
        <f>IF($P408="","",IF(INDEX(EntryMan,$P408)=0,"",INDEX(EntryMan,$P408)))</f>
        <v/>
      </c>
      <c r="L408" s="28">
        <f>IF($B408="","",IF($K408="","—",IF(ROUND($K408-$J408,0)=0,"√","×")))</f>
        <v/>
      </c>
      <c r="M408" s="28">
        <f>IF($B408="","",IF(COUNTIFS(EntryDates,$B408,CalcTime,$C408,CalcBank,$C$5,EntryParty,$D408,EntryDep,$H408,EntryWit,$I408)&gt;1,"تکرار",""))</f>
        <v/>
      </c>
      <c r="N408" s="28">
        <f>IF($P408="","",IF(INDEX(EntryNotes,$P408)=0,"",INDEX(EntryNotes,$P408)))</f>
        <v/>
      </c>
      <c r="O408" s="28">
        <f>IF($P408="","",IF(INDEX(EntryTxnID,$P408)=0,"",INDEX(EntryTxnID,$P408)))</f>
        <v/>
      </c>
      <c r="P408" s="28">
        <f>IFERROR(MATCH($C$5&amp;"|"&amp;RIGHT("000000"&amp;392,6),CalcRankKey,0),"")</f>
        <v/>
      </c>
    </row>
    <row r="409">
      <c r="A409" s="26">
        <f>IF($B409="","",393)</f>
        <v/>
      </c>
      <c r="B409" s="26">
        <f>IF($P409="","",IF(INDEX(CalcNormDate,$P409)=0,"",INDEX(CalcNormDate,$P409)))</f>
        <v/>
      </c>
      <c r="C409" s="26">
        <f>IF($P409="","",IF(INDEX(CalcTime,$P409)=0,"",INDEX(CalcTime,$P409)))</f>
        <v/>
      </c>
      <c r="D409" s="26">
        <f>IF($P409="","",IF(INDEX(EntryParty,$P409)=0,"",INDEX(EntryParty,$P409)))</f>
        <v/>
      </c>
      <c r="E409" s="26">
        <f>IF($P409="","",IF(INDEX(EntryPartyName,$P409)=0,"",INDEX(EntryPartyName,$P409)))</f>
        <v/>
      </c>
      <c r="F409" s="26">
        <f>IF($P409="","",IF(INDEX(EntryPartyType,$P409)=0,"",INDEX(EntryPartyType,$P409)))</f>
        <v/>
      </c>
      <c r="G409" s="26">
        <f>IF($P409="","",IF(INDEX(EntryTxnType,$P409)=0,"",INDEX(EntryTxnType,$P409)))</f>
        <v/>
      </c>
      <c r="H409" s="27">
        <f>IF($P409="","",IF(INDEX(EntryDep,$P409)=0,"",INDEX(EntryDep,$P409)))</f>
        <v/>
      </c>
      <c r="I409" s="27">
        <f>IF($P409="","",IF(INDEX(EntryWit,$P409)=0,"",INDEX(EntryWit,$P409)))</f>
        <v/>
      </c>
      <c r="J409" s="27">
        <f>IF($B409="","",IF($A409=1,$C$7,IF(J408="",0,J408))+IF($H409="",0,$H409)-IF($I409="",0,$I409))</f>
        <v/>
      </c>
      <c r="K409" s="27">
        <f>IF($P409="","",IF(INDEX(EntryMan,$P409)=0,"",INDEX(EntryMan,$P409)))</f>
        <v/>
      </c>
      <c r="L409" s="26">
        <f>IF($B409="","",IF($K409="","—",IF(ROUND($K409-$J409,0)=0,"√","×")))</f>
        <v/>
      </c>
      <c r="M409" s="26">
        <f>IF($B409="","",IF(COUNTIFS(EntryDates,$B409,CalcTime,$C409,CalcBank,$C$5,EntryParty,$D409,EntryDep,$H409,EntryWit,$I409)&gt;1,"تکرار",""))</f>
        <v/>
      </c>
      <c r="N409" s="26">
        <f>IF($P409="","",IF(INDEX(EntryNotes,$P409)=0,"",INDEX(EntryNotes,$P409)))</f>
        <v/>
      </c>
      <c r="O409" s="26">
        <f>IF($P409="","",IF(INDEX(EntryTxnID,$P409)=0,"",INDEX(EntryTxnID,$P409)))</f>
        <v/>
      </c>
      <c r="P409" s="26">
        <f>IFERROR(MATCH($C$5&amp;"|"&amp;RIGHT("000000"&amp;393,6),CalcRankKey,0),"")</f>
        <v/>
      </c>
    </row>
    <row r="410">
      <c r="A410" s="28">
        <f>IF($B410="","",394)</f>
        <v/>
      </c>
      <c r="B410" s="28">
        <f>IF($P410="","",IF(INDEX(CalcNormDate,$P410)=0,"",INDEX(CalcNormDate,$P410)))</f>
        <v/>
      </c>
      <c r="C410" s="28">
        <f>IF($P410="","",IF(INDEX(CalcTime,$P410)=0,"",INDEX(CalcTime,$P410)))</f>
        <v/>
      </c>
      <c r="D410" s="28">
        <f>IF($P410="","",IF(INDEX(EntryParty,$P410)=0,"",INDEX(EntryParty,$P410)))</f>
        <v/>
      </c>
      <c r="E410" s="28">
        <f>IF($P410="","",IF(INDEX(EntryPartyName,$P410)=0,"",INDEX(EntryPartyName,$P410)))</f>
        <v/>
      </c>
      <c r="F410" s="28">
        <f>IF($P410="","",IF(INDEX(EntryPartyType,$P410)=0,"",INDEX(EntryPartyType,$P410)))</f>
        <v/>
      </c>
      <c r="G410" s="28">
        <f>IF($P410="","",IF(INDEX(EntryTxnType,$P410)=0,"",INDEX(EntryTxnType,$P410)))</f>
        <v/>
      </c>
      <c r="H410" s="29">
        <f>IF($P410="","",IF(INDEX(EntryDep,$P410)=0,"",INDEX(EntryDep,$P410)))</f>
        <v/>
      </c>
      <c r="I410" s="29">
        <f>IF($P410="","",IF(INDEX(EntryWit,$P410)=0,"",INDEX(EntryWit,$P410)))</f>
        <v/>
      </c>
      <c r="J410" s="29">
        <f>IF($B410="","",IF($A410=1,$C$7,IF(J409="",0,J409))+IF($H410="",0,$H410)-IF($I410="",0,$I410))</f>
        <v/>
      </c>
      <c r="K410" s="29">
        <f>IF($P410="","",IF(INDEX(EntryMan,$P410)=0,"",INDEX(EntryMan,$P410)))</f>
        <v/>
      </c>
      <c r="L410" s="28">
        <f>IF($B410="","",IF($K410="","—",IF(ROUND($K410-$J410,0)=0,"√","×")))</f>
        <v/>
      </c>
      <c r="M410" s="28">
        <f>IF($B410="","",IF(COUNTIFS(EntryDates,$B410,CalcTime,$C410,CalcBank,$C$5,EntryParty,$D410,EntryDep,$H410,EntryWit,$I410)&gt;1,"تکرار",""))</f>
        <v/>
      </c>
      <c r="N410" s="28">
        <f>IF($P410="","",IF(INDEX(EntryNotes,$P410)=0,"",INDEX(EntryNotes,$P410)))</f>
        <v/>
      </c>
      <c r="O410" s="28">
        <f>IF($P410="","",IF(INDEX(EntryTxnID,$P410)=0,"",INDEX(EntryTxnID,$P410)))</f>
        <v/>
      </c>
      <c r="P410" s="28">
        <f>IFERROR(MATCH($C$5&amp;"|"&amp;RIGHT("000000"&amp;394,6),CalcRankKey,0),"")</f>
        <v/>
      </c>
    </row>
    <row r="411">
      <c r="A411" s="26">
        <f>IF($B411="","",395)</f>
        <v/>
      </c>
      <c r="B411" s="26">
        <f>IF($P411="","",IF(INDEX(CalcNormDate,$P411)=0,"",INDEX(CalcNormDate,$P411)))</f>
        <v/>
      </c>
      <c r="C411" s="26">
        <f>IF($P411="","",IF(INDEX(CalcTime,$P411)=0,"",INDEX(CalcTime,$P411)))</f>
        <v/>
      </c>
      <c r="D411" s="26">
        <f>IF($P411="","",IF(INDEX(EntryParty,$P411)=0,"",INDEX(EntryParty,$P411)))</f>
        <v/>
      </c>
      <c r="E411" s="26">
        <f>IF($P411="","",IF(INDEX(EntryPartyName,$P411)=0,"",INDEX(EntryPartyName,$P411)))</f>
        <v/>
      </c>
      <c r="F411" s="26">
        <f>IF($P411="","",IF(INDEX(EntryPartyType,$P411)=0,"",INDEX(EntryPartyType,$P411)))</f>
        <v/>
      </c>
      <c r="G411" s="26">
        <f>IF($P411="","",IF(INDEX(EntryTxnType,$P411)=0,"",INDEX(EntryTxnType,$P411)))</f>
        <v/>
      </c>
      <c r="H411" s="27">
        <f>IF($P411="","",IF(INDEX(EntryDep,$P411)=0,"",INDEX(EntryDep,$P411)))</f>
        <v/>
      </c>
      <c r="I411" s="27">
        <f>IF($P411="","",IF(INDEX(EntryWit,$P411)=0,"",INDEX(EntryWit,$P411)))</f>
        <v/>
      </c>
      <c r="J411" s="27">
        <f>IF($B411="","",IF($A411=1,$C$7,IF(J410="",0,J410))+IF($H411="",0,$H411)-IF($I411="",0,$I411))</f>
        <v/>
      </c>
      <c r="K411" s="27">
        <f>IF($P411="","",IF(INDEX(EntryMan,$P411)=0,"",INDEX(EntryMan,$P411)))</f>
        <v/>
      </c>
      <c r="L411" s="26">
        <f>IF($B411="","",IF($K411="","—",IF(ROUND($K411-$J411,0)=0,"√","×")))</f>
        <v/>
      </c>
      <c r="M411" s="26">
        <f>IF($B411="","",IF(COUNTIFS(EntryDates,$B411,CalcTime,$C411,CalcBank,$C$5,EntryParty,$D411,EntryDep,$H411,EntryWit,$I411)&gt;1,"تکرار",""))</f>
        <v/>
      </c>
      <c r="N411" s="26">
        <f>IF($P411="","",IF(INDEX(EntryNotes,$P411)=0,"",INDEX(EntryNotes,$P411)))</f>
        <v/>
      </c>
      <c r="O411" s="26">
        <f>IF($P411="","",IF(INDEX(EntryTxnID,$P411)=0,"",INDEX(EntryTxnID,$P411)))</f>
        <v/>
      </c>
      <c r="P411" s="26">
        <f>IFERROR(MATCH($C$5&amp;"|"&amp;RIGHT("000000"&amp;395,6),CalcRankKey,0),"")</f>
        <v/>
      </c>
    </row>
    <row r="412">
      <c r="A412" s="28">
        <f>IF($B412="","",396)</f>
        <v/>
      </c>
      <c r="B412" s="28">
        <f>IF($P412="","",IF(INDEX(CalcNormDate,$P412)=0,"",INDEX(CalcNormDate,$P412)))</f>
        <v/>
      </c>
      <c r="C412" s="28">
        <f>IF($P412="","",IF(INDEX(CalcTime,$P412)=0,"",INDEX(CalcTime,$P412)))</f>
        <v/>
      </c>
      <c r="D412" s="28">
        <f>IF($P412="","",IF(INDEX(EntryParty,$P412)=0,"",INDEX(EntryParty,$P412)))</f>
        <v/>
      </c>
      <c r="E412" s="28">
        <f>IF($P412="","",IF(INDEX(EntryPartyName,$P412)=0,"",INDEX(EntryPartyName,$P412)))</f>
        <v/>
      </c>
      <c r="F412" s="28">
        <f>IF($P412="","",IF(INDEX(EntryPartyType,$P412)=0,"",INDEX(EntryPartyType,$P412)))</f>
        <v/>
      </c>
      <c r="G412" s="28">
        <f>IF($P412="","",IF(INDEX(EntryTxnType,$P412)=0,"",INDEX(EntryTxnType,$P412)))</f>
        <v/>
      </c>
      <c r="H412" s="29">
        <f>IF($P412="","",IF(INDEX(EntryDep,$P412)=0,"",INDEX(EntryDep,$P412)))</f>
        <v/>
      </c>
      <c r="I412" s="29">
        <f>IF($P412="","",IF(INDEX(EntryWit,$P412)=0,"",INDEX(EntryWit,$P412)))</f>
        <v/>
      </c>
      <c r="J412" s="29">
        <f>IF($B412="","",IF($A412=1,$C$7,IF(J411="",0,J411))+IF($H412="",0,$H412)-IF($I412="",0,$I412))</f>
        <v/>
      </c>
      <c r="K412" s="29">
        <f>IF($P412="","",IF(INDEX(EntryMan,$P412)=0,"",INDEX(EntryMan,$P412)))</f>
        <v/>
      </c>
      <c r="L412" s="28">
        <f>IF($B412="","",IF($K412="","—",IF(ROUND($K412-$J412,0)=0,"√","×")))</f>
        <v/>
      </c>
      <c r="M412" s="28">
        <f>IF($B412="","",IF(COUNTIFS(EntryDates,$B412,CalcTime,$C412,CalcBank,$C$5,EntryParty,$D412,EntryDep,$H412,EntryWit,$I412)&gt;1,"تکرار",""))</f>
        <v/>
      </c>
      <c r="N412" s="28">
        <f>IF($P412="","",IF(INDEX(EntryNotes,$P412)=0,"",INDEX(EntryNotes,$P412)))</f>
        <v/>
      </c>
      <c r="O412" s="28">
        <f>IF($P412="","",IF(INDEX(EntryTxnID,$P412)=0,"",INDEX(EntryTxnID,$P412)))</f>
        <v/>
      </c>
      <c r="P412" s="28">
        <f>IFERROR(MATCH($C$5&amp;"|"&amp;RIGHT("000000"&amp;396,6),CalcRankKey,0),"")</f>
        <v/>
      </c>
    </row>
    <row r="413">
      <c r="A413" s="26">
        <f>IF($B413="","",397)</f>
        <v/>
      </c>
      <c r="B413" s="26">
        <f>IF($P413="","",IF(INDEX(CalcNormDate,$P413)=0,"",INDEX(CalcNormDate,$P413)))</f>
        <v/>
      </c>
      <c r="C413" s="26">
        <f>IF($P413="","",IF(INDEX(CalcTime,$P413)=0,"",INDEX(CalcTime,$P413)))</f>
        <v/>
      </c>
      <c r="D413" s="26">
        <f>IF($P413="","",IF(INDEX(EntryParty,$P413)=0,"",INDEX(EntryParty,$P413)))</f>
        <v/>
      </c>
      <c r="E413" s="26">
        <f>IF($P413="","",IF(INDEX(EntryPartyName,$P413)=0,"",INDEX(EntryPartyName,$P413)))</f>
        <v/>
      </c>
      <c r="F413" s="26">
        <f>IF($P413="","",IF(INDEX(EntryPartyType,$P413)=0,"",INDEX(EntryPartyType,$P413)))</f>
        <v/>
      </c>
      <c r="G413" s="26">
        <f>IF($P413="","",IF(INDEX(EntryTxnType,$P413)=0,"",INDEX(EntryTxnType,$P413)))</f>
        <v/>
      </c>
      <c r="H413" s="27">
        <f>IF($P413="","",IF(INDEX(EntryDep,$P413)=0,"",INDEX(EntryDep,$P413)))</f>
        <v/>
      </c>
      <c r="I413" s="27">
        <f>IF($P413="","",IF(INDEX(EntryWit,$P413)=0,"",INDEX(EntryWit,$P413)))</f>
        <v/>
      </c>
      <c r="J413" s="27">
        <f>IF($B413="","",IF($A413=1,$C$7,IF(J412="",0,J412))+IF($H413="",0,$H413)-IF($I413="",0,$I413))</f>
        <v/>
      </c>
      <c r="K413" s="27">
        <f>IF($P413="","",IF(INDEX(EntryMan,$P413)=0,"",INDEX(EntryMan,$P413)))</f>
        <v/>
      </c>
      <c r="L413" s="26">
        <f>IF($B413="","",IF($K413="","—",IF(ROUND($K413-$J413,0)=0,"√","×")))</f>
        <v/>
      </c>
      <c r="M413" s="26">
        <f>IF($B413="","",IF(COUNTIFS(EntryDates,$B413,CalcTime,$C413,CalcBank,$C$5,EntryParty,$D413,EntryDep,$H413,EntryWit,$I413)&gt;1,"تکرار",""))</f>
        <v/>
      </c>
      <c r="N413" s="26">
        <f>IF($P413="","",IF(INDEX(EntryNotes,$P413)=0,"",INDEX(EntryNotes,$P413)))</f>
        <v/>
      </c>
      <c r="O413" s="26">
        <f>IF($P413="","",IF(INDEX(EntryTxnID,$P413)=0,"",INDEX(EntryTxnID,$P413)))</f>
        <v/>
      </c>
      <c r="P413" s="26">
        <f>IFERROR(MATCH($C$5&amp;"|"&amp;RIGHT("000000"&amp;397,6),CalcRankKey,0),"")</f>
        <v/>
      </c>
    </row>
    <row r="414">
      <c r="A414" s="28">
        <f>IF($B414="","",398)</f>
        <v/>
      </c>
      <c r="B414" s="28">
        <f>IF($P414="","",IF(INDEX(CalcNormDate,$P414)=0,"",INDEX(CalcNormDate,$P414)))</f>
        <v/>
      </c>
      <c r="C414" s="28">
        <f>IF($P414="","",IF(INDEX(CalcTime,$P414)=0,"",INDEX(CalcTime,$P414)))</f>
        <v/>
      </c>
      <c r="D414" s="28">
        <f>IF($P414="","",IF(INDEX(EntryParty,$P414)=0,"",INDEX(EntryParty,$P414)))</f>
        <v/>
      </c>
      <c r="E414" s="28">
        <f>IF($P414="","",IF(INDEX(EntryPartyName,$P414)=0,"",INDEX(EntryPartyName,$P414)))</f>
        <v/>
      </c>
      <c r="F414" s="28">
        <f>IF($P414="","",IF(INDEX(EntryPartyType,$P414)=0,"",INDEX(EntryPartyType,$P414)))</f>
        <v/>
      </c>
      <c r="G414" s="28">
        <f>IF($P414="","",IF(INDEX(EntryTxnType,$P414)=0,"",INDEX(EntryTxnType,$P414)))</f>
        <v/>
      </c>
      <c r="H414" s="29">
        <f>IF($P414="","",IF(INDEX(EntryDep,$P414)=0,"",INDEX(EntryDep,$P414)))</f>
        <v/>
      </c>
      <c r="I414" s="29">
        <f>IF($P414="","",IF(INDEX(EntryWit,$P414)=0,"",INDEX(EntryWit,$P414)))</f>
        <v/>
      </c>
      <c r="J414" s="29">
        <f>IF($B414="","",IF($A414=1,$C$7,IF(J413="",0,J413))+IF($H414="",0,$H414)-IF($I414="",0,$I414))</f>
        <v/>
      </c>
      <c r="K414" s="29">
        <f>IF($P414="","",IF(INDEX(EntryMan,$P414)=0,"",INDEX(EntryMan,$P414)))</f>
        <v/>
      </c>
      <c r="L414" s="28">
        <f>IF($B414="","",IF($K414="","—",IF(ROUND($K414-$J414,0)=0,"√","×")))</f>
        <v/>
      </c>
      <c r="M414" s="28">
        <f>IF($B414="","",IF(COUNTIFS(EntryDates,$B414,CalcTime,$C414,CalcBank,$C$5,EntryParty,$D414,EntryDep,$H414,EntryWit,$I414)&gt;1,"تکرار",""))</f>
        <v/>
      </c>
      <c r="N414" s="28">
        <f>IF($P414="","",IF(INDEX(EntryNotes,$P414)=0,"",INDEX(EntryNotes,$P414)))</f>
        <v/>
      </c>
      <c r="O414" s="28">
        <f>IF($P414="","",IF(INDEX(EntryTxnID,$P414)=0,"",INDEX(EntryTxnID,$P414)))</f>
        <v/>
      </c>
      <c r="P414" s="28">
        <f>IFERROR(MATCH($C$5&amp;"|"&amp;RIGHT("000000"&amp;398,6),CalcRankKey,0),"")</f>
        <v/>
      </c>
    </row>
    <row r="415">
      <c r="A415" s="26">
        <f>IF($B415="","",399)</f>
        <v/>
      </c>
      <c r="B415" s="26">
        <f>IF($P415="","",IF(INDEX(CalcNormDate,$P415)=0,"",INDEX(CalcNormDate,$P415)))</f>
        <v/>
      </c>
      <c r="C415" s="26">
        <f>IF($P415="","",IF(INDEX(CalcTime,$P415)=0,"",INDEX(CalcTime,$P415)))</f>
        <v/>
      </c>
      <c r="D415" s="26">
        <f>IF($P415="","",IF(INDEX(EntryParty,$P415)=0,"",INDEX(EntryParty,$P415)))</f>
        <v/>
      </c>
      <c r="E415" s="26">
        <f>IF($P415="","",IF(INDEX(EntryPartyName,$P415)=0,"",INDEX(EntryPartyName,$P415)))</f>
        <v/>
      </c>
      <c r="F415" s="26">
        <f>IF($P415="","",IF(INDEX(EntryPartyType,$P415)=0,"",INDEX(EntryPartyType,$P415)))</f>
        <v/>
      </c>
      <c r="G415" s="26">
        <f>IF($P415="","",IF(INDEX(EntryTxnType,$P415)=0,"",INDEX(EntryTxnType,$P415)))</f>
        <v/>
      </c>
      <c r="H415" s="27">
        <f>IF($P415="","",IF(INDEX(EntryDep,$P415)=0,"",INDEX(EntryDep,$P415)))</f>
        <v/>
      </c>
      <c r="I415" s="27">
        <f>IF($P415="","",IF(INDEX(EntryWit,$P415)=0,"",INDEX(EntryWit,$P415)))</f>
        <v/>
      </c>
      <c r="J415" s="27">
        <f>IF($B415="","",IF($A415=1,$C$7,IF(J414="",0,J414))+IF($H415="",0,$H415)-IF($I415="",0,$I415))</f>
        <v/>
      </c>
      <c r="K415" s="27">
        <f>IF($P415="","",IF(INDEX(EntryMan,$P415)=0,"",INDEX(EntryMan,$P415)))</f>
        <v/>
      </c>
      <c r="L415" s="26">
        <f>IF($B415="","",IF($K415="","—",IF(ROUND($K415-$J415,0)=0,"√","×")))</f>
        <v/>
      </c>
      <c r="M415" s="26">
        <f>IF($B415="","",IF(COUNTIFS(EntryDates,$B415,CalcTime,$C415,CalcBank,$C$5,EntryParty,$D415,EntryDep,$H415,EntryWit,$I415)&gt;1,"تکرار",""))</f>
        <v/>
      </c>
      <c r="N415" s="26">
        <f>IF($P415="","",IF(INDEX(EntryNotes,$P415)=0,"",INDEX(EntryNotes,$P415)))</f>
        <v/>
      </c>
      <c r="O415" s="26">
        <f>IF($P415="","",IF(INDEX(EntryTxnID,$P415)=0,"",INDEX(EntryTxnID,$P415)))</f>
        <v/>
      </c>
      <c r="P415" s="26">
        <f>IFERROR(MATCH($C$5&amp;"|"&amp;RIGHT("000000"&amp;399,6),CalcRankKey,0),"")</f>
        <v/>
      </c>
    </row>
    <row r="416">
      <c r="A416" s="28">
        <f>IF($B416="","",400)</f>
        <v/>
      </c>
      <c r="B416" s="28">
        <f>IF($P416="","",IF(INDEX(CalcNormDate,$P416)=0,"",INDEX(CalcNormDate,$P416)))</f>
        <v/>
      </c>
      <c r="C416" s="28">
        <f>IF($P416="","",IF(INDEX(CalcTime,$P416)=0,"",INDEX(CalcTime,$P416)))</f>
        <v/>
      </c>
      <c r="D416" s="28">
        <f>IF($P416="","",IF(INDEX(EntryParty,$P416)=0,"",INDEX(EntryParty,$P416)))</f>
        <v/>
      </c>
      <c r="E416" s="28">
        <f>IF($P416="","",IF(INDEX(EntryPartyName,$P416)=0,"",INDEX(EntryPartyName,$P416)))</f>
        <v/>
      </c>
      <c r="F416" s="28">
        <f>IF($P416="","",IF(INDEX(EntryPartyType,$P416)=0,"",INDEX(EntryPartyType,$P416)))</f>
        <v/>
      </c>
      <c r="G416" s="28">
        <f>IF($P416="","",IF(INDEX(EntryTxnType,$P416)=0,"",INDEX(EntryTxnType,$P416)))</f>
        <v/>
      </c>
      <c r="H416" s="29">
        <f>IF($P416="","",IF(INDEX(EntryDep,$P416)=0,"",INDEX(EntryDep,$P416)))</f>
        <v/>
      </c>
      <c r="I416" s="29">
        <f>IF($P416="","",IF(INDEX(EntryWit,$P416)=0,"",INDEX(EntryWit,$P416)))</f>
        <v/>
      </c>
      <c r="J416" s="29">
        <f>IF($B416="","",IF($A416=1,$C$7,IF(J415="",0,J415))+IF($H416="",0,$H416)-IF($I416="",0,$I416))</f>
        <v/>
      </c>
      <c r="K416" s="29">
        <f>IF($P416="","",IF(INDEX(EntryMan,$P416)=0,"",INDEX(EntryMan,$P416)))</f>
        <v/>
      </c>
      <c r="L416" s="28">
        <f>IF($B416="","",IF($K416="","—",IF(ROUND($K416-$J416,0)=0,"√","×")))</f>
        <v/>
      </c>
      <c r="M416" s="28">
        <f>IF($B416="","",IF(COUNTIFS(EntryDates,$B416,CalcTime,$C416,CalcBank,$C$5,EntryParty,$D416,EntryDep,$H416,EntryWit,$I416)&gt;1,"تکرار",""))</f>
        <v/>
      </c>
      <c r="N416" s="28">
        <f>IF($P416="","",IF(INDEX(EntryNotes,$P416)=0,"",INDEX(EntryNotes,$P416)))</f>
        <v/>
      </c>
      <c r="O416" s="28">
        <f>IF($P416="","",IF(INDEX(EntryTxnID,$P416)=0,"",INDEX(EntryTxnID,$P416)))</f>
        <v/>
      </c>
      <c r="P416" s="28">
        <f>IFERROR(MATCH($C$5&amp;"|"&amp;RIGHT("000000"&amp;400,6),CalcRankKey,0),"")</f>
        <v/>
      </c>
    </row>
    <row r="417">
      <c r="A417" s="26">
        <f>IF($B417="","",401)</f>
        <v/>
      </c>
      <c r="B417" s="26">
        <f>IF($P417="","",IF(INDEX(CalcNormDate,$P417)=0,"",INDEX(CalcNormDate,$P417)))</f>
        <v/>
      </c>
      <c r="C417" s="26">
        <f>IF($P417="","",IF(INDEX(CalcTime,$P417)=0,"",INDEX(CalcTime,$P417)))</f>
        <v/>
      </c>
      <c r="D417" s="26">
        <f>IF($P417="","",IF(INDEX(EntryParty,$P417)=0,"",INDEX(EntryParty,$P417)))</f>
        <v/>
      </c>
      <c r="E417" s="26">
        <f>IF($P417="","",IF(INDEX(EntryPartyName,$P417)=0,"",INDEX(EntryPartyName,$P417)))</f>
        <v/>
      </c>
      <c r="F417" s="26">
        <f>IF($P417="","",IF(INDEX(EntryPartyType,$P417)=0,"",INDEX(EntryPartyType,$P417)))</f>
        <v/>
      </c>
      <c r="G417" s="26">
        <f>IF($P417="","",IF(INDEX(EntryTxnType,$P417)=0,"",INDEX(EntryTxnType,$P417)))</f>
        <v/>
      </c>
      <c r="H417" s="27">
        <f>IF($P417="","",IF(INDEX(EntryDep,$P417)=0,"",INDEX(EntryDep,$P417)))</f>
        <v/>
      </c>
      <c r="I417" s="27">
        <f>IF($P417="","",IF(INDEX(EntryWit,$P417)=0,"",INDEX(EntryWit,$P417)))</f>
        <v/>
      </c>
      <c r="J417" s="27">
        <f>IF($B417="","",IF($A417=1,$C$7,IF(J416="",0,J416))+IF($H417="",0,$H417)-IF($I417="",0,$I417))</f>
        <v/>
      </c>
      <c r="K417" s="27">
        <f>IF($P417="","",IF(INDEX(EntryMan,$P417)=0,"",INDEX(EntryMan,$P417)))</f>
        <v/>
      </c>
      <c r="L417" s="26">
        <f>IF($B417="","",IF($K417="","—",IF(ROUND($K417-$J417,0)=0,"√","×")))</f>
        <v/>
      </c>
      <c r="M417" s="26">
        <f>IF($B417="","",IF(COUNTIFS(EntryDates,$B417,CalcTime,$C417,CalcBank,$C$5,EntryParty,$D417,EntryDep,$H417,EntryWit,$I417)&gt;1,"تکرار",""))</f>
        <v/>
      </c>
      <c r="N417" s="26">
        <f>IF($P417="","",IF(INDEX(EntryNotes,$P417)=0,"",INDEX(EntryNotes,$P417)))</f>
        <v/>
      </c>
      <c r="O417" s="26">
        <f>IF($P417="","",IF(INDEX(EntryTxnID,$P417)=0,"",INDEX(EntryTxnID,$P417)))</f>
        <v/>
      </c>
      <c r="P417" s="26">
        <f>IFERROR(MATCH($C$5&amp;"|"&amp;RIGHT("000000"&amp;401,6),CalcRankKey,0),"")</f>
        <v/>
      </c>
    </row>
    <row r="418">
      <c r="A418" s="28">
        <f>IF($B418="","",402)</f>
        <v/>
      </c>
      <c r="B418" s="28">
        <f>IF($P418="","",IF(INDEX(CalcNormDate,$P418)=0,"",INDEX(CalcNormDate,$P418)))</f>
        <v/>
      </c>
      <c r="C418" s="28">
        <f>IF($P418="","",IF(INDEX(CalcTime,$P418)=0,"",INDEX(CalcTime,$P418)))</f>
        <v/>
      </c>
      <c r="D418" s="28">
        <f>IF($P418="","",IF(INDEX(EntryParty,$P418)=0,"",INDEX(EntryParty,$P418)))</f>
        <v/>
      </c>
      <c r="E418" s="28">
        <f>IF($P418="","",IF(INDEX(EntryPartyName,$P418)=0,"",INDEX(EntryPartyName,$P418)))</f>
        <v/>
      </c>
      <c r="F418" s="28">
        <f>IF($P418="","",IF(INDEX(EntryPartyType,$P418)=0,"",INDEX(EntryPartyType,$P418)))</f>
        <v/>
      </c>
      <c r="G418" s="28">
        <f>IF($P418="","",IF(INDEX(EntryTxnType,$P418)=0,"",INDEX(EntryTxnType,$P418)))</f>
        <v/>
      </c>
      <c r="H418" s="29">
        <f>IF($P418="","",IF(INDEX(EntryDep,$P418)=0,"",INDEX(EntryDep,$P418)))</f>
        <v/>
      </c>
      <c r="I418" s="29">
        <f>IF($P418="","",IF(INDEX(EntryWit,$P418)=0,"",INDEX(EntryWit,$P418)))</f>
        <v/>
      </c>
      <c r="J418" s="29">
        <f>IF($B418="","",IF($A418=1,$C$7,IF(J417="",0,J417))+IF($H418="",0,$H418)-IF($I418="",0,$I418))</f>
        <v/>
      </c>
      <c r="K418" s="29">
        <f>IF($P418="","",IF(INDEX(EntryMan,$P418)=0,"",INDEX(EntryMan,$P418)))</f>
        <v/>
      </c>
      <c r="L418" s="28">
        <f>IF($B418="","",IF($K418="","—",IF(ROUND($K418-$J418,0)=0,"√","×")))</f>
        <v/>
      </c>
      <c r="M418" s="28">
        <f>IF($B418="","",IF(COUNTIFS(EntryDates,$B418,CalcTime,$C418,CalcBank,$C$5,EntryParty,$D418,EntryDep,$H418,EntryWit,$I418)&gt;1,"تکرار",""))</f>
        <v/>
      </c>
      <c r="N418" s="28">
        <f>IF($P418="","",IF(INDEX(EntryNotes,$P418)=0,"",INDEX(EntryNotes,$P418)))</f>
        <v/>
      </c>
      <c r="O418" s="28">
        <f>IF($P418="","",IF(INDEX(EntryTxnID,$P418)=0,"",INDEX(EntryTxnID,$P418)))</f>
        <v/>
      </c>
      <c r="P418" s="28">
        <f>IFERROR(MATCH($C$5&amp;"|"&amp;RIGHT("000000"&amp;402,6),CalcRankKey,0),"")</f>
        <v/>
      </c>
    </row>
    <row r="419">
      <c r="A419" s="26">
        <f>IF($B419="","",403)</f>
        <v/>
      </c>
      <c r="B419" s="26">
        <f>IF($P419="","",IF(INDEX(CalcNormDate,$P419)=0,"",INDEX(CalcNormDate,$P419)))</f>
        <v/>
      </c>
      <c r="C419" s="26">
        <f>IF($P419="","",IF(INDEX(CalcTime,$P419)=0,"",INDEX(CalcTime,$P419)))</f>
        <v/>
      </c>
      <c r="D419" s="26">
        <f>IF($P419="","",IF(INDEX(EntryParty,$P419)=0,"",INDEX(EntryParty,$P419)))</f>
        <v/>
      </c>
      <c r="E419" s="26">
        <f>IF($P419="","",IF(INDEX(EntryPartyName,$P419)=0,"",INDEX(EntryPartyName,$P419)))</f>
        <v/>
      </c>
      <c r="F419" s="26">
        <f>IF($P419="","",IF(INDEX(EntryPartyType,$P419)=0,"",INDEX(EntryPartyType,$P419)))</f>
        <v/>
      </c>
      <c r="G419" s="26">
        <f>IF($P419="","",IF(INDEX(EntryTxnType,$P419)=0,"",INDEX(EntryTxnType,$P419)))</f>
        <v/>
      </c>
      <c r="H419" s="27">
        <f>IF($P419="","",IF(INDEX(EntryDep,$P419)=0,"",INDEX(EntryDep,$P419)))</f>
        <v/>
      </c>
      <c r="I419" s="27">
        <f>IF($P419="","",IF(INDEX(EntryWit,$P419)=0,"",INDEX(EntryWit,$P419)))</f>
        <v/>
      </c>
      <c r="J419" s="27">
        <f>IF($B419="","",IF($A419=1,$C$7,IF(J418="",0,J418))+IF($H419="",0,$H419)-IF($I419="",0,$I419))</f>
        <v/>
      </c>
      <c r="K419" s="27">
        <f>IF($P419="","",IF(INDEX(EntryMan,$P419)=0,"",INDEX(EntryMan,$P419)))</f>
        <v/>
      </c>
      <c r="L419" s="26">
        <f>IF($B419="","",IF($K419="","—",IF(ROUND($K419-$J419,0)=0,"√","×")))</f>
        <v/>
      </c>
      <c r="M419" s="26">
        <f>IF($B419="","",IF(COUNTIFS(EntryDates,$B419,CalcTime,$C419,CalcBank,$C$5,EntryParty,$D419,EntryDep,$H419,EntryWit,$I419)&gt;1,"تکرار",""))</f>
        <v/>
      </c>
      <c r="N419" s="26">
        <f>IF($P419="","",IF(INDEX(EntryNotes,$P419)=0,"",INDEX(EntryNotes,$P419)))</f>
        <v/>
      </c>
      <c r="O419" s="26">
        <f>IF($P419="","",IF(INDEX(EntryTxnID,$P419)=0,"",INDEX(EntryTxnID,$P419)))</f>
        <v/>
      </c>
      <c r="P419" s="26">
        <f>IFERROR(MATCH($C$5&amp;"|"&amp;RIGHT("000000"&amp;403,6),CalcRankKey,0),"")</f>
        <v/>
      </c>
    </row>
    <row r="420">
      <c r="A420" s="28">
        <f>IF($B420="","",404)</f>
        <v/>
      </c>
      <c r="B420" s="28">
        <f>IF($P420="","",IF(INDEX(CalcNormDate,$P420)=0,"",INDEX(CalcNormDate,$P420)))</f>
        <v/>
      </c>
      <c r="C420" s="28">
        <f>IF($P420="","",IF(INDEX(CalcTime,$P420)=0,"",INDEX(CalcTime,$P420)))</f>
        <v/>
      </c>
      <c r="D420" s="28">
        <f>IF($P420="","",IF(INDEX(EntryParty,$P420)=0,"",INDEX(EntryParty,$P420)))</f>
        <v/>
      </c>
      <c r="E420" s="28">
        <f>IF($P420="","",IF(INDEX(EntryPartyName,$P420)=0,"",INDEX(EntryPartyName,$P420)))</f>
        <v/>
      </c>
      <c r="F420" s="28">
        <f>IF($P420="","",IF(INDEX(EntryPartyType,$P420)=0,"",INDEX(EntryPartyType,$P420)))</f>
        <v/>
      </c>
      <c r="G420" s="28">
        <f>IF($P420="","",IF(INDEX(EntryTxnType,$P420)=0,"",INDEX(EntryTxnType,$P420)))</f>
        <v/>
      </c>
      <c r="H420" s="29">
        <f>IF($P420="","",IF(INDEX(EntryDep,$P420)=0,"",INDEX(EntryDep,$P420)))</f>
        <v/>
      </c>
      <c r="I420" s="29">
        <f>IF($P420="","",IF(INDEX(EntryWit,$P420)=0,"",INDEX(EntryWit,$P420)))</f>
        <v/>
      </c>
      <c r="J420" s="29">
        <f>IF($B420="","",IF($A420=1,$C$7,IF(J419="",0,J419))+IF($H420="",0,$H420)-IF($I420="",0,$I420))</f>
        <v/>
      </c>
      <c r="K420" s="29">
        <f>IF($P420="","",IF(INDEX(EntryMan,$P420)=0,"",INDEX(EntryMan,$P420)))</f>
        <v/>
      </c>
      <c r="L420" s="28">
        <f>IF($B420="","",IF($K420="","—",IF(ROUND($K420-$J420,0)=0,"√","×")))</f>
        <v/>
      </c>
      <c r="M420" s="28">
        <f>IF($B420="","",IF(COUNTIFS(EntryDates,$B420,CalcTime,$C420,CalcBank,$C$5,EntryParty,$D420,EntryDep,$H420,EntryWit,$I420)&gt;1,"تکرار",""))</f>
        <v/>
      </c>
      <c r="N420" s="28">
        <f>IF($P420="","",IF(INDEX(EntryNotes,$P420)=0,"",INDEX(EntryNotes,$P420)))</f>
        <v/>
      </c>
      <c r="O420" s="28">
        <f>IF($P420="","",IF(INDEX(EntryTxnID,$P420)=0,"",INDEX(EntryTxnID,$P420)))</f>
        <v/>
      </c>
      <c r="P420" s="28">
        <f>IFERROR(MATCH($C$5&amp;"|"&amp;RIGHT("000000"&amp;404,6),CalcRankKey,0),"")</f>
        <v/>
      </c>
    </row>
    <row r="421">
      <c r="A421" s="26">
        <f>IF($B421="","",405)</f>
        <v/>
      </c>
      <c r="B421" s="26">
        <f>IF($P421="","",IF(INDEX(CalcNormDate,$P421)=0,"",INDEX(CalcNormDate,$P421)))</f>
        <v/>
      </c>
      <c r="C421" s="26">
        <f>IF($P421="","",IF(INDEX(CalcTime,$P421)=0,"",INDEX(CalcTime,$P421)))</f>
        <v/>
      </c>
      <c r="D421" s="26">
        <f>IF($P421="","",IF(INDEX(EntryParty,$P421)=0,"",INDEX(EntryParty,$P421)))</f>
        <v/>
      </c>
      <c r="E421" s="26">
        <f>IF($P421="","",IF(INDEX(EntryPartyName,$P421)=0,"",INDEX(EntryPartyName,$P421)))</f>
        <v/>
      </c>
      <c r="F421" s="26">
        <f>IF($P421="","",IF(INDEX(EntryPartyType,$P421)=0,"",INDEX(EntryPartyType,$P421)))</f>
        <v/>
      </c>
      <c r="G421" s="26">
        <f>IF($P421="","",IF(INDEX(EntryTxnType,$P421)=0,"",INDEX(EntryTxnType,$P421)))</f>
        <v/>
      </c>
      <c r="H421" s="27">
        <f>IF($P421="","",IF(INDEX(EntryDep,$P421)=0,"",INDEX(EntryDep,$P421)))</f>
        <v/>
      </c>
      <c r="I421" s="27">
        <f>IF($P421="","",IF(INDEX(EntryWit,$P421)=0,"",INDEX(EntryWit,$P421)))</f>
        <v/>
      </c>
      <c r="J421" s="27">
        <f>IF($B421="","",IF($A421=1,$C$7,IF(J420="",0,J420))+IF($H421="",0,$H421)-IF($I421="",0,$I421))</f>
        <v/>
      </c>
      <c r="K421" s="27">
        <f>IF($P421="","",IF(INDEX(EntryMan,$P421)=0,"",INDEX(EntryMan,$P421)))</f>
        <v/>
      </c>
      <c r="L421" s="26">
        <f>IF($B421="","",IF($K421="","—",IF(ROUND($K421-$J421,0)=0,"√","×")))</f>
        <v/>
      </c>
      <c r="M421" s="26">
        <f>IF($B421="","",IF(COUNTIFS(EntryDates,$B421,CalcTime,$C421,CalcBank,$C$5,EntryParty,$D421,EntryDep,$H421,EntryWit,$I421)&gt;1,"تکرار",""))</f>
        <v/>
      </c>
      <c r="N421" s="26">
        <f>IF($P421="","",IF(INDEX(EntryNotes,$P421)=0,"",INDEX(EntryNotes,$P421)))</f>
        <v/>
      </c>
      <c r="O421" s="26">
        <f>IF($P421="","",IF(INDEX(EntryTxnID,$P421)=0,"",INDEX(EntryTxnID,$P421)))</f>
        <v/>
      </c>
      <c r="P421" s="26">
        <f>IFERROR(MATCH($C$5&amp;"|"&amp;RIGHT("000000"&amp;405,6),CalcRankKey,0),"")</f>
        <v/>
      </c>
    </row>
    <row r="422">
      <c r="A422" s="28">
        <f>IF($B422="","",406)</f>
        <v/>
      </c>
      <c r="B422" s="28">
        <f>IF($P422="","",IF(INDEX(CalcNormDate,$P422)=0,"",INDEX(CalcNormDate,$P422)))</f>
        <v/>
      </c>
      <c r="C422" s="28">
        <f>IF($P422="","",IF(INDEX(CalcTime,$P422)=0,"",INDEX(CalcTime,$P422)))</f>
        <v/>
      </c>
      <c r="D422" s="28">
        <f>IF($P422="","",IF(INDEX(EntryParty,$P422)=0,"",INDEX(EntryParty,$P422)))</f>
        <v/>
      </c>
      <c r="E422" s="28">
        <f>IF($P422="","",IF(INDEX(EntryPartyName,$P422)=0,"",INDEX(EntryPartyName,$P422)))</f>
        <v/>
      </c>
      <c r="F422" s="28">
        <f>IF($P422="","",IF(INDEX(EntryPartyType,$P422)=0,"",INDEX(EntryPartyType,$P422)))</f>
        <v/>
      </c>
      <c r="G422" s="28">
        <f>IF($P422="","",IF(INDEX(EntryTxnType,$P422)=0,"",INDEX(EntryTxnType,$P422)))</f>
        <v/>
      </c>
      <c r="H422" s="29">
        <f>IF($P422="","",IF(INDEX(EntryDep,$P422)=0,"",INDEX(EntryDep,$P422)))</f>
        <v/>
      </c>
      <c r="I422" s="29">
        <f>IF($P422="","",IF(INDEX(EntryWit,$P422)=0,"",INDEX(EntryWit,$P422)))</f>
        <v/>
      </c>
      <c r="J422" s="29">
        <f>IF($B422="","",IF($A422=1,$C$7,IF(J421="",0,J421))+IF($H422="",0,$H422)-IF($I422="",0,$I422))</f>
        <v/>
      </c>
      <c r="K422" s="29">
        <f>IF($P422="","",IF(INDEX(EntryMan,$P422)=0,"",INDEX(EntryMan,$P422)))</f>
        <v/>
      </c>
      <c r="L422" s="28">
        <f>IF($B422="","",IF($K422="","—",IF(ROUND($K422-$J422,0)=0,"√","×")))</f>
        <v/>
      </c>
      <c r="M422" s="28">
        <f>IF($B422="","",IF(COUNTIFS(EntryDates,$B422,CalcTime,$C422,CalcBank,$C$5,EntryParty,$D422,EntryDep,$H422,EntryWit,$I422)&gt;1,"تکرار",""))</f>
        <v/>
      </c>
      <c r="N422" s="28">
        <f>IF($P422="","",IF(INDEX(EntryNotes,$P422)=0,"",INDEX(EntryNotes,$P422)))</f>
        <v/>
      </c>
      <c r="O422" s="28">
        <f>IF($P422="","",IF(INDEX(EntryTxnID,$P422)=0,"",INDEX(EntryTxnID,$P422)))</f>
        <v/>
      </c>
      <c r="P422" s="28">
        <f>IFERROR(MATCH($C$5&amp;"|"&amp;RIGHT("000000"&amp;406,6),CalcRankKey,0),"")</f>
        <v/>
      </c>
    </row>
    <row r="423">
      <c r="A423" s="26">
        <f>IF($B423="","",407)</f>
        <v/>
      </c>
      <c r="B423" s="26">
        <f>IF($P423="","",IF(INDEX(CalcNormDate,$P423)=0,"",INDEX(CalcNormDate,$P423)))</f>
        <v/>
      </c>
      <c r="C423" s="26">
        <f>IF($P423="","",IF(INDEX(CalcTime,$P423)=0,"",INDEX(CalcTime,$P423)))</f>
        <v/>
      </c>
      <c r="D423" s="26">
        <f>IF($P423="","",IF(INDEX(EntryParty,$P423)=0,"",INDEX(EntryParty,$P423)))</f>
        <v/>
      </c>
      <c r="E423" s="26">
        <f>IF($P423="","",IF(INDEX(EntryPartyName,$P423)=0,"",INDEX(EntryPartyName,$P423)))</f>
        <v/>
      </c>
      <c r="F423" s="26">
        <f>IF($P423="","",IF(INDEX(EntryPartyType,$P423)=0,"",INDEX(EntryPartyType,$P423)))</f>
        <v/>
      </c>
      <c r="G423" s="26">
        <f>IF($P423="","",IF(INDEX(EntryTxnType,$P423)=0,"",INDEX(EntryTxnType,$P423)))</f>
        <v/>
      </c>
      <c r="H423" s="27">
        <f>IF($P423="","",IF(INDEX(EntryDep,$P423)=0,"",INDEX(EntryDep,$P423)))</f>
        <v/>
      </c>
      <c r="I423" s="27">
        <f>IF($P423="","",IF(INDEX(EntryWit,$P423)=0,"",INDEX(EntryWit,$P423)))</f>
        <v/>
      </c>
      <c r="J423" s="27">
        <f>IF($B423="","",IF($A423=1,$C$7,IF(J422="",0,J422))+IF($H423="",0,$H423)-IF($I423="",0,$I423))</f>
        <v/>
      </c>
      <c r="K423" s="27">
        <f>IF($P423="","",IF(INDEX(EntryMan,$P423)=0,"",INDEX(EntryMan,$P423)))</f>
        <v/>
      </c>
      <c r="L423" s="26">
        <f>IF($B423="","",IF($K423="","—",IF(ROUND($K423-$J423,0)=0,"√","×")))</f>
        <v/>
      </c>
      <c r="M423" s="26">
        <f>IF($B423="","",IF(COUNTIFS(EntryDates,$B423,CalcTime,$C423,CalcBank,$C$5,EntryParty,$D423,EntryDep,$H423,EntryWit,$I423)&gt;1,"تکرار",""))</f>
        <v/>
      </c>
      <c r="N423" s="26">
        <f>IF($P423="","",IF(INDEX(EntryNotes,$P423)=0,"",INDEX(EntryNotes,$P423)))</f>
        <v/>
      </c>
      <c r="O423" s="26">
        <f>IF($P423="","",IF(INDEX(EntryTxnID,$P423)=0,"",INDEX(EntryTxnID,$P423)))</f>
        <v/>
      </c>
      <c r="P423" s="26">
        <f>IFERROR(MATCH($C$5&amp;"|"&amp;RIGHT("000000"&amp;407,6),CalcRankKey,0),"")</f>
        <v/>
      </c>
    </row>
    <row r="424">
      <c r="A424" s="28">
        <f>IF($B424="","",408)</f>
        <v/>
      </c>
      <c r="B424" s="28">
        <f>IF($P424="","",IF(INDEX(CalcNormDate,$P424)=0,"",INDEX(CalcNormDate,$P424)))</f>
        <v/>
      </c>
      <c r="C424" s="28">
        <f>IF($P424="","",IF(INDEX(CalcTime,$P424)=0,"",INDEX(CalcTime,$P424)))</f>
        <v/>
      </c>
      <c r="D424" s="28">
        <f>IF($P424="","",IF(INDEX(EntryParty,$P424)=0,"",INDEX(EntryParty,$P424)))</f>
        <v/>
      </c>
      <c r="E424" s="28">
        <f>IF($P424="","",IF(INDEX(EntryPartyName,$P424)=0,"",INDEX(EntryPartyName,$P424)))</f>
        <v/>
      </c>
      <c r="F424" s="28">
        <f>IF($P424="","",IF(INDEX(EntryPartyType,$P424)=0,"",INDEX(EntryPartyType,$P424)))</f>
        <v/>
      </c>
      <c r="G424" s="28">
        <f>IF($P424="","",IF(INDEX(EntryTxnType,$P424)=0,"",INDEX(EntryTxnType,$P424)))</f>
        <v/>
      </c>
      <c r="H424" s="29">
        <f>IF($P424="","",IF(INDEX(EntryDep,$P424)=0,"",INDEX(EntryDep,$P424)))</f>
        <v/>
      </c>
      <c r="I424" s="29">
        <f>IF($P424="","",IF(INDEX(EntryWit,$P424)=0,"",INDEX(EntryWit,$P424)))</f>
        <v/>
      </c>
      <c r="J424" s="29">
        <f>IF($B424="","",IF($A424=1,$C$7,IF(J423="",0,J423))+IF($H424="",0,$H424)-IF($I424="",0,$I424))</f>
        <v/>
      </c>
      <c r="K424" s="29">
        <f>IF($P424="","",IF(INDEX(EntryMan,$P424)=0,"",INDEX(EntryMan,$P424)))</f>
        <v/>
      </c>
      <c r="L424" s="28">
        <f>IF($B424="","",IF($K424="","—",IF(ROUND($K424-$J424,0)=0,"√","×")))</f>
        <v/>
      </c>
      <c r="M424" s="28">
        <f>IF($B424="","",IF(COUNTIFS(EntryDates,$B424,CalcTime,$C424,CalcBank,$C$5,EntryParty,$D424,EntryDep,$H424,EntryWit,$I424)&gt;1,"تکرار",""))</f>
        <v/>
      </c>
      <c r="N424" s="28">
        <f>IF($P424="","",IF(INDEX(EntryNotes,$P424)=0,"",INDEX(EntryNotes,$P424)))</f>
        <v/>
      </c>
      <c r="O424" s="28">
        <f>IF($P424="","",IF(INDEX(EntryTxnID,$P424)=0,"",INDEX(EntryTxnID,$P424)))</f>
        <v/>
      </c>
      <c r="P424" s="28">
        <f>IFERROR(MATCH($C$5&amp;"|"&amp;RIGHT("000000"&amp;408,6),CalcRankKey,0),"")</f>
        <v/>
      </c>
    </row>
    <row r="425">
      <c r="A425" s="26">
        <f>IF($B425="","",409)</f>
        <v/>
      </c>
      <c r="B425" s="26">
        <f>IF($P425="","",IF(INDEX(CalcNormDate,$P425)=0,"",INDEX(CalcNormDate,$P425)))</f>
        <v/>
      </c>
      <c r="C425" s="26">
        <f>IF($P425="","",IF(INDEX(CalcTime,$P425)=0,"",INDEX(CalcTime,$P425)))</f>
        <v/>
      </c>
      <c r="D425" s="26">
        <f>IF($P425="","",IF(INDEX(EntryParty,$P425)=0,"",INDEX(EntryParty,$P425)))</f>
        <v/>
      </c>
      <c r="E425" s="26">
        <f>IF($P425="","",IF(INDEX(EntryPartyName,$P425)=0,"",INDEX(EntryPartyName,$P425)))</f>
        <v/>
      </c>
      <c r="F425" s="26">
        <f>IF($P425="","",IF(INDEX(EntryPartyType,$P425)=0,"",INDEX(EntryPartyType,$P425)))</f>
        <v/>
      </c>
      <c r="G425" s="26">
        <f>IF($P425="","",IF(INDEX(EntryTxnType,$P425)=0,"",INDEX(EntryTxnType,$P425)))</f>
        <v/>
      </c>
      <c r="H425" s="27">
        <f>IF($P425="","",IF(INDEX(EntryDep,$P425)=0,"",INDEX(EntryDep,$P425)))</f>
        <v/>
      </c>
      <c r="I425" s="27">
        <f>IF($P425="","",IF(INDEX(EntryWit,$P425)=0,"",INDEX(EntryWit,$P425)))</f>
        <v/>
      </c>
      <c r="J425" s="27">
        <f>IF($B425="","",IF($A425=1,$C$7,IF(J424="",0,J424))+IF($H425="",0,$H425)-IF($I425="",0,$I425))</f>
        <v/>
      </c>
      <c r="K425" s="27">
        <f>IF($P425="","",IF(INDEX(EntryMan,$P425)=0,"",INDEX(EntryMan,$P425)))</f>
        <v/>
      </c>
      <c r="L425" s="26">
        <f>IF($B425="","",IF($K425="","—",IF(ROUND($K425-$J425,0)=0,"√","×")))</f>
        <v/>
      </c>
      <c r="M425" s="26">
        <f>IF($B425="","",IF(COUNTIFS(EntryDates,$B425,CalcTime,$C425,CalcBank,$C$5,EntryParty,$D425,EntryDep,$H425,EntryWit,$I425)&gt;1,"تکرار",""))</f>
        <v/>
      </c>
      <c r="N425" s="26">
        <f>IF($P425="","",IF(INDEX(EntryNotes,$P425)=0,"",INDEX(EntryNotes,$P425)))</f>
        <v/>
      </c>
      <c r="O425" s="26">
        <f>IF($P425="","",IF(INDEX(EntryTxnID,$P425)=0,"",INDEX(EntryTxnID,$P425)))</f>
        <v/>
      </c>
      <c r="P425" s="26">
        <f>IFERROR(MATCH($C$5&amp;"|"&amp;RIGHT("000000"&amp;409,6),CalcRankKey,0),"")</f>
        <v/>
      </c>
    </row>
    <row r="426">
      <c r="A426" s="28">
        <f>IF($B426="","",410)</f>
        <v/>
      </c>
      <c r="B426" s="28">
        <f>IF($P426="","",IF(INDEX(CalcNormDate,$P426)=0,"",INDEX(CalcNormDate,$P426)))</f>
        <v/>
      </c>
      <c r="C426" s="28">
        <f>IF($P426="","",IF(INDEX(CalcTime,$P426)=0,"",INDEX(CalcTime,$P426)))</f>
        <v/>
      </c>
      <c r="D426" s="28">
        <f>IF($P426="","",IF(INDEX(EntryParty,$P426)=0,"",INDEX(EntryParty,$P426)))</f>
        <v/>
      </c>
      <c r="E426" s="28">
        <f>IF($P426="","",IF(INDEX(EntryPartyName,$P426)=0,"",INDEX(EntryPartyName,$P426)))</f>
        <v/>
      </c>
      <c r="F426" s="28">
        <f>IF($P426="","",IF(INDEX(EntryPartyType,$P426)=0,"",INDEX(EntryPartyType,$P426)))</f>
        <v/>
      </c>
      <c r="G426" s="28">
        <f>IF($P426="","",IF(INDEX(EntryTxnType,$P426)=0,"",INDEX(EntryTxnType,$P426)))</f>
        <v/>
      </c>
      <c r="H426" s="29">
        <f>IF($P426="","",IF(INDEX(EntryDep,$P426)=0,"",INDEX(EntryDep,$P426)))</f>
        <v/>
      </c>
      <c r="I426" s="29">
        <f>IF($P426="","",IF(INDEX(EntryWit,$P426)=0,"",INDEX(EntryWit,$P426)))</f>
        <v/>
      </c>
      <c r="J426" s="29">
        <f>IF($B426="","",IF($A426=1,$C$7,IF(J425="",0,J425))+IF($H426="",0,$H426)-IF($I426="",0,$I426))</f>
        <v/>
      </c>
      <c r="K426" s="29">
        <f>IF($P426="","",IF(INDEX(EntryMan,$P426)=0,"",INDEX(EntryMan,$P426)))</f>
        <v/>
      </c>
      <c r="L426" s="28">
        <f>IF($B426="","",IF($K426="","—",IF(ROUND($K426-$J426,0)=0,"√","×")))</f>
        <v/>
      </c>
      <c r="M426" s="28">
        <f>IF($B426="","",IF(COUNTIFS(EntryDates,$B426,CalcTime,$C426,CalcBank,$C$5,EntryParty,$D426,EntryDep,$H426,EntryWit,$I426)&gt;1,"تکرار",""))</f>
        <v/>
      </c>
      <c r="N426" s="28">
        <f>IF($P426="","",IF(INDEX(EntryNotes,$P426)=0,"",INDEX(EntryNotes,$P426)))</f>
        <v/>
      </c>
      <c r="O426" s="28">
        <f>IF($P426="","",IF(INDEX(EntryTxnID,$P426)=0,"",INDEX(EntryTxnID,$P426)))</f>
        <v/>
      </c>
      <c r="P426" s="28">
        <f>IFERROR(MATCH($C$5&amp;"|"&amp;RIGHT("000000"&amp;410,6),CalcRankKey,0),"")</f>
        <v/>
      </c>
    </row>
    <row r="427">
      <c r="A427" s="26">
        <f>IF($B427="","",411)</f>
        <v/>
      </c>
      <c r="B427" s="26">
        <f>IF($P427="","",IF(INDEX(CalcNormDate,$P427)=0,"",INDEX(CalcNormDate,$P427)))</f>
        <v/>
      </c>
      <c r="C427" s="26">
        <f>IF($P427="","",IF(INDEX(CalcTime,$P427)=0,"",INDEX(CalcTime,$P427)))</f>
        <v/>
      </c>
      <c r="D427" s="26">
        <f>IF($P427="","",IF(INDEX(EntryParty,$P427)=0,"",INDEX(EntryParty,$P427)))</f>
        <v/>
      </c>
      <c r="E427" s="26">
        <f>IF($P427="","",IF(INDEX(EntryPartyName,$P427)=0,"",INDEX(EntryPartyName,$P427)))</f>
        <v/>
      </c>
      <c r="F427" s="26">
        <f>IF($P427="","",IF(INDEX(EntryPartyType,$P427)=0,"",INDEX(EntryPartyType,$P427)))</f>
        <v/>
      </c>
      <c r="G427" s="26">
        <f>IF($P427="","",IF(INDEX(EntryTxnType,$P427)=0,"",INDEX(EntryTxnType,$P427)))</f>
        <v/>
      </c>
      <c r="H427" s="27">
        <f>IF($P427="","",IF(INDEX(EntryDep,$P427)=0,"",INDEX(EntryDep,$P427)))</f>
        <v/>
      </c>
      <c r="I427" s="27">
        <f>IF($P427="","",IF(INDEX(EntryWit,$P427)=0,"",INDEX(EntryWit,$P427)))</f>
        <v/>
      </c>
      <c r="J427" s="27">
        <f>IF($B427="","",IF($A427=1,$C$7,IF(J426="",0,J426))+IF($H427="",0,$H427)-IF($I427="",0,$I427))</f>
        <v/>
      </c>
      <c r="K427" s="27">
        <f>IF($P427="","",IF(INDEX(EntryMan,$P427)=0,"",INDEX(EntryMan,$P427)))</f>
        <v/>
      </c>
      <c r="L427" s="26">
        <f>IF($B427="","",IF($K427="","—",IF(ROUND($K427-$J427,0)=0,"√","×")))</f>
        <v/>
      </c>
      <c r="M427" s="26">
        <f>IF($B427="","",IF(COUNTIFS(EntryDates,$B427,CalcTime,$C427,CalcBank,$C$5,EntryParty,$D427,EntryDep,$H427,EntryWit,$I427)&gt;1,"تکرار",""))</f>
        <v/>
      </c>
      <c r="N427" s="26">
        <f>IF($P427="","",IF(INDEX(EntryNotes,$P427)=0,"",INDEX(EntryNotes,$P427)))</f>
        <v/>
      </c>
      <c r="O427" s="26">
        <f>IF($P427="","",IF(INDEX(EntryTxnID,$P427)=0,"",INDEX(EntryTxnID,$P427)))</f>
        <v/>
      </c>
      <c r="P427" s="26">
        <f>IFERROR(MATCH($C$5&amp;"|"&amp;RIGHT("000000"&amp;411,6),CalcRankKey,0),"")</f>
        <v/>
      </c>
    </row>
    <row r="428">
      <c r="A428" s="28">
        <f>IF($B428="","",412)</f>
        <v/>
      </c>
      <c r="B428" s="28">
        <f>IF($P428="","",IF(INDEX(CalcNormDate,$P428)=0,"",INDEX(CalcNormDate,$P428)))</f>
        <v/>
      </c>
      <c r="C428" s="28">
        <f>IF($P428="","",IF(INDEX(CalcTime,$P428)=0,"",INDEX(CalcTime,$P428)))</f>
        <v/>
      </c>
      <c r="D428" s="28">
        <f>IF($P428="","",IF(INDEX(EntryParty,$P428)=0,"",INDEX(EntryParty,$P428)))</f>
        <v/>
      </c>
      <c r="E428" s="28">
        <f>IF($P428="","",IF(INDEX(EntryPartyName,$P428)=0,"",INDEX(EntryPartyName,$P428)))</f>
        <v/>
      </c>
      <c r="F428" s="28">
        <f>IF($P428="","",IF(INDEX(EntryPartyType,$P428)=0,"",INDEX(EntryPartyType,$P428)))</f>
        <v/>
      </c>
      <c r="G428" s="28">
        <f>IF($P428="","",IF(INDEX(EntryTxnType,$P428)=0,"",INDEX(EntryTxnType,$P428)))</f>
        <v/>
      </c>
      <c r="H428" s="29">
        <f>IF($P428="","",IF(INDEX(EntryDep,$P428)=0,"",INDEX(EntryDep,$P428)))</f>
        <v/>
      </c>
      <c r="I428" s="29">
        <f>IF($P428="","",IF(INDEX(EntryWit,$P428)=0,"",INDEX(EntryWit,$P428)))</f>
        <v/>
      </c>
      <c r="J428" s="29">
        <f>IF($B428="","",IF($A428=1,$C$7,IF(J427="",0,J427))+IF($H428="",0,$H428)-IF($I428="",0,$I428))</f>
        <v/>
      </c>
      <c r="K428" s="29">
        <f>IF($P428="","",IF(INDEX(EntryMan,$P428)=0,"",INDEX(EntryMan,$P428)))</f>
        <v/>
      </c>
      <c r="L428" s="28">
        <f>IF($B428="","",IF($K428="","—",IF(ROUND($K428-$J428,0)=0,"√","×")))</f>
        <v/>
      </c>
      <c r="M428" s="28">
        <f>IF($B428="","",IF(COUNTIFS(EntryDates,$B428,CalcTime,$C428,CalcBank,$C$5,EntryParty,$D428,EntryDep,$H428,EntryWit,$I428)&gt;1,"تکرار",""))</f>
        <v/>
      </c>
      <c r="N428" s="28">
        <f>IF($P428="","",IF(INDEX(EntryNotes,$P428)=0,"",INDEX(EntryNotes,$P428)))</f>
        <v/>
      </c>
      <c r="O428" s="28">
        <f>IF($P428="","",IF(INDEX(EntryTxnID,$P428)=0,"",INDEX(EntryTxnID,$P428)))</f>
        <v/>
      </c>
      <c r="P428" s="28">
        <f>IFERROR(MATCH($C$5&amp;"|"&amp;RIGHT("000000"&amp;412,6),CalcRankKey,0),"")</f>
        <v/>
      </c>
    </row>
    <row r="429">
      <c r="A429" s="26">
        <f>IF($B429="","",413)</f>
        <v/>
      </c>
      <c r="B429" s="26">
        <f>IF($P429="","",IF(INDEX(CalcNormDate,$P429)=0,"",INDEX(CalcNormDate,$P429)))</f>
        <v/>
      </c>
      <c r="C429" s="26">
        <f>IF($P429="","",IF(INDEX(CalcTime,$P429)=0,"",INDEX(CalcTime,$P429)))</f>
        <v/>
      </c>
      <c r="D429" s="26">
        <f>IF($P429="","",IF(INDEX(EntryParty,$P429)=0,"",INDEX(EntryParty,$P429)))</f>
        <v/>
      </c>
      <c r="E429" s="26">
        <f>IF($P429="","",IF(INDEX(EntryPartyName,$P429)=0,"",INDEX(EntryPartyName,$P429)))</f>
        <v/>
      </c>
      <c r="F429" s="26">
        <f>IF($P429="","",IF(INDEX(EntryPartyType,$P429)=0,"",INDEX(EntryPartyType,$P429)))</f>
        <v/>
      </c>
      <c r="G429" s="26">
        <f>IF($P429="","",IF(INDEX(EntryTxnType,$P429)=0,"",INDEX(EntryTxnType,$P429)))</f>
        <v/>
      </c>
      <c r="H429" s="27">
        <f>IF($P429="","",IF(INDEX(EntryDep,$P429)=0,"",INDEX(EntryDep,$P429)))</f>
        <v/>
      </c>
      <c r="I429" s="27">
        <f>IF($P429="","",IF(INDEX(EntryWit,$P429)=0,"",INDEX(EntryWit,$P429)))</f>
        <v/>
      </c>
      <c r="J429" s="27">
        <f>IF($B429="","",IF($A429=1,$C$7,IF(J428="",0,J428))+IF($H429="",0,$H429)-IF($I429="",0,$I429))</f>
        <v/>
      </c>
      <c r="K429" s="27">
        <f>IF($P429="","",IF(INDEX(EntryMan,$P429)=0,"",INDEX(EntryMan,$P429)))</f>
        <v/>
      </c>
      <c r="L429" s="26">
        <f>IF($B429="","",IF($K429="","—",IF(ROUND($K429-$J429,0)=0,"√","×")))</f>
        <v/>
      </c>
      <c r="M429" s="26">
        <f>IF($B429="","",IF(COUNTIFS(EntryDates,$B429,CalcTime,$C429,CalcBank,$C$5,EntryParty,$D429,EntryDep,$H429,EntryWit,$I429)&gt;1,"تکرار",""))</f>
        <v/>
      </c>
      <c r="N429" s="26">
        <f>IF($P429="","",IF(INDEX(EntryNotes,$P429)=0,"",INDEX(EntryNotes,$P429)))</f>
        <v/>
      </c>
      <c r="O429" s="26">
        <f>IF($P429="","",IF(INDEX(EntryTxnID,$P429)=0,"",INDEX(EntryTxnID,$P429)))</f>
        <v/>
      </c>
      <c r="P429" s="26">
        <f>IFERROR(MATCH($C$5&amp;"|"&amp;RIGHT("000000"&amp;413,6),CalcRankKey,0),"")</f>
        <v/>
      </c>
    </row>
    <row r="430">
      <c r="A430" s="28">
        <f>IF($B430="","",414)</f>
        <v/>
      </c>
      <c r="B430" s="28">
        <f>IF($P430="","",IF(INDEX(CalcNormDate,$P430)=0,"",INDEX(CalcNormDate,$P430)))</f>
        <v/>
      </c>
      <c r="C430" s="28">
        <f>IF($P430="","",IF(INDEX(CalcTime,$P430)=0,"",INDEX(CalcTime,$P430)))</f>
        <v/>
      </c>
      <c r="D430" s="28">
        <f>IF($P430="","",IF(INDEX(EntryParty,$P430)=0,"",INDEX(EntryParty,$P430)))</f>
        <v/>
      </c>
      <c r="E430" s="28">
        <f>IF($P430="","",IF(INDEX(EntryPartyName,$P430)=0,"",INDEX(EntryPartyName,$P430)))</f>
        <v/>
      </c>
      <c r="F430" s="28">
        <f>IF($P430="","",IF(INDEX(EntryPartyType,$P430)=0,"",INDEX(EntryPartyType,$P430)))</f>
        <v/>
      </c>
      <c r="G430" s="28">
        <f>IF($P430="","",IF(INDEX(EntryTxnType,$P430)=0,"",INDEX(EntryTxnType,$P430)))</f>
        <v/>
      </c>
      <c r="H430" s="29">
        <f>IF($P430="","",IF(INDEX(EntryDep,$P430)=0,"",INDEX(EntryDep,$P430)))</f>
        <v/>
      </c>
      <c r="I430" s="29">
        <f>IF($P430="","",IF(INDEX(EntryWit,$P430)=0,"",INDEX(EntryWit,$P430)))</f>
        <v/>
      </c>
      <c r="J430" s="29">
        <f>IF($B430="","",IF($A430=1,$C$7,IF(J429="",0,J429))+IF($H430="",0,$H430)-IF($I430="",0,$I430))</f>
        <v/>
      </c>
      <c r="K430" s="29">
        <f>IF($P430="","",IF(INDEX(EntryMan,$P430)=0,"",INDEX(EntryMan,$P430)))</f>
        <v/>
      </c>
      <c r="L430" s="28">
        <f>IF($B430="","",IF($K430="","—",IF(ROUND($K430-$J430,0)=0,"√","×")))</f>
        <v/>
      </c>
      <c r="M430" s="28">
        <f>IF($B430="","",IF(COUNTIFS(EntryDates,$B430,CalcTime,$C430,CalcBank,$C$5,EntryParty,$D430,EntryDep,$H430,EntryWit,$I430)&gt;1,"تکرار",""))</f>
        <v/>
      </c>
      <c r="N430" s="28">
        <f>IF($P430="","",IF(INDEX(EntryNotes,$P430)=0,"",INDEX(EntryNotes,$P430)))</f>
        <v/>
      </c>
      <c r="O430" s="28">
        <f>IF($P430="","",IF(INDEX(EntryTxnID,$P430)=0,"",INDEX(EntryTxnID,$P430)))</f>
        <v/>
      </c>
      <c r="P430" s="28">
        <f>IFERROR(MATCH($C$5&amp;"|"&amp;RIGHT("000000"&amp;414,6),CalcRankKey,0),"")</f>
        <v/>
      </c>
    </row>
    <row r="431">
      <c r="A431" s="26">
        <f>IF($B431="","",415)</f>
        <v/>
      </c>
      <c r="B431" s="26">
        <f>IF($P431="","",IF(INDEX(CalcNormDate,$P431)=0,"",INDEX(CalcNormDate,$P431)))</f>
        <v/>
      </c>
      <c r="C431" s="26">
        <f>IF($P431="","",IF(INDEX(CalcTime,$P431)=0,"",INDEX(CalcTime,$P431)))</f>
        <v/>
      </c>
      <c r="D431" s="26">
        <f>IF($P431="","",IF(INDEX(EntryParty,$P431)=0,"",INDEX(EntryParty,$P431)))</f>
        <v/>
      </c>
      <c r="E431" s="26">
        <f>IF($P431="","",IF(INDEX(EntryPartyName,$P431)=0,"",INDEX(EntryPartyName,$P431)))</f>
        <v/>
      </c>
      <c r="F431" s="26">
        <f>IF($P431="","",IF(INDEX(EntryPartyType,$P431)=0,"",INDEX(EntryPartyType,$P431)))</f>
        <v/>
      </c>
      <c r="G431" s="26">
        <f>IF($P431="","",IF(INDEX(EntryTxnType,$P431)=0,"",INDEX(EntryTxnType,$P431)))</f>
        <v/>
      </c>
      <c r="H431" s="27">
        <f>IF($P431="","",IF(INDEX(EntryDep,$P431)=0,"",INDEX(EntryDep,$P431)))</f>
        <v/>
      </c>
      <c r="I431" s="27">
        <f>IF($P431="","",IF(INDEX(EntryWit,$P431)=0,"",INDEX(EntryWit,$P431)))</f>
        <v/>
      </c>
      <c r="J431" s="27">
        <f>IF($B431="","",IF($A431=1,$C$7,IF(J430="",0,J430))+IF($H431="",0,$H431)-IF($I431="",0,$I431))</f>
        <v/>
      </c>
      <c r="K431" s="27">
        <f>IF($P431="","",IF(INDEX(EntryMan,$P431)=0,"",INDEX(EntryMan,$P431)))</f>
        <v/>
      </c>
      <c r="L431" s="26">
        <f>IF($B431="","",IF($K431="","—",IF(ROUND($K431-$J431,0)=0,"√","×")))</f>
        <v/>
      </c>
      <c r="M431" s="26">
        <f>IF($B431="","",IF(COUNTIFS(EntryDates,$B431,CalcTime,$C431,CalcBank,$C$5,EntryParty,$D431,EntryDep,$H431,EntryWit,$I431)&gt;1,"تکرار",""))</f>
        <v/>
      </c>
      <c r="N431" s="26">
        <f>IF($P431="","",IF(INDEX(EntryNotes,$P431)=0,"",INDEX(EntryNotes,$P431)))</f>
        <v/>
      </c>
      <c r="O431" s="26">
        <f>IF($P431="","",IF(INDEX(EntryTxnID,$P431)=0,"",INDEX(EntryTxnID,$P431)))</f>
        <v/>
      </c>
      <c r="P431" s="26">
        <f>IFERROR(MATCH($C$5&amp;"|"&amp;RIGHT("000000"&amp;415,6),CalcRankKey,0),"")</f>
        <v/>
      </c>
    </row>
    <row r="432">
      <c r="A432" s="28">
        <f>IF($B432="","",416)</f>
        <v/>
      </c>
      <c r="B432" s="28">
        <f>IF($P432="","",IF(INDEX(CalcNormDate,$P432)=0,"",INDEX(CalcNormDate,$P432)))</f>
        <v/>
      </c>
      <c r="C432" s="28">
        <f>IF($P432="","",IF(INDEX(CalcTime,$P432)=0,"",INDEX(CalcTime,$P432)))</f>
        <v/>
      </c>
      <c r="D432" s="28">
        <f>IF($P432="","",IF(INDEX(EntryParty,$P432)=0,"",INDEX(EntryParty,$P432)))</f>
        <v/>
      </c>
      <c r="E432" s="28">
        <f>IF($P432="","",IF(INDEX(EntryPartyName,$P432)=0,"",INDEX(EntryPartyName,$P432)))</f>
        <v/>
      </c>
      <c r="F432" s="28">
        <f>IF($P432="","",IF(INDEX(EntryPartyType,$P432)=0,"",INDEX(EntryPartyType,$P432)))</f>
        <v/>
      </c>
      <c r="G432" s="28">
        <f>IF($P432="","",IF(INDEX(EntryTxnType,$P432)=0,"",INDEX(EntryTxnType,$P432)))</f>
        <v/>
      </c>
      <c r="H432" s="29">
        <f>IF($P432="","",IF(INDEX(EntryDep,$P432)=0,"",INDEX(EntryDep,$P432)))</f>
        <v/>
      </c>
      <c r="I432" s="29">
        <f>IF($P432="","",IF(INDEX(EntryWit,$P432)=0,"",INDEX(EntryWit,$P432)))</f>
        <v/>
      </c>
      <c r="J432" s="29">
        <f>IF($B432="","",IF($A432=1,$C$7,IF(J431="",0,J431))+IF($H432="",0,$H432)-IF($I432="",0,$I432))</f>
        <v/>
      </c>
      <c r="K432" s="29">
        <f>IF($P432="","",IF(INDEX(EntryMan,$P432)=0,"",INDEX(EntryMan,$P432)))</f>
        <v/>
      </c>
      <c r="L432" s="28">
        <f>IF($B432="","",IF($K432="","—",IF(ROUND($K432-$J432,0)=0,"√","×")))</f>
        <v/>
      </c>
      <c r="M432" s="28">
        <f>IF($B432="","",IF(COUNTIFS(EntryDates,$B432,CalcTime,$C432,CalcBank,$C$5,EntryParty,$D432,EntryDep,$H432,EntryWit,$I432)&gt;1,"تکرار",""))</f>
        <v/>
      </c>
      <c r="N432" s="28">
        <f>IF($P432="","",IF(INDEX(EntryNotes,$P432)=0,"",INDEX(EntryNotes,$P432)))</f>
        <v/>
      </c>
      <c r="O432" s="28">
        <f>IF($P432="","",IF(INDEX(EntryTxnID,$P432)=0,"",INDEX(EntryTxnID,$P432)))</f>
        <v/>
      </c>
      <c r="P432" s="28">
        <f>IFERROR(MATCH($C$5&amp;"|"&amp;RIGHT("000000"&amp;416,6),CalcRankKey,0),"")</f>
        <v/>
      </c>
    </row>
    <row r="433">
      <c r="A433" s="26">
        <f>IF($B433="","",417)</f>
        <v/>
      </c>
      <c r="B433" s="26">
        <f>IF($P433="","",IF(INDEX(CalcNormDate,$P433)=0,"",INDEX(CalcNormDate,$P433)))</f>
        <v/>
      </c>
      <c r="C433" s="26">
        <f>IF($P433="","",IF(INDEX(CalcTime,$P433)=0,"",INDEX(CalcTime,$P433)))</f>
        <v/>
      </c>
      <c r="D433" s="26">
        <f>IF($P433="","",IF(INDEX(EntryParty,$P433)=0,"",INDEX(EntryParty,$P433)))</f>
        <v/>
      </c>
      <c r="E433" s="26">
        <f>IF($P433="","",IF(INDEX(EntryPartyName,$P433)=0,"",INDEX(EntryPartyName,$P433)))</f>
        <v/>
      </c>
      <c r="F433" s="26">
        <f>IF($P433="","",IF(INDEX(EntryPartyType,$P433)=0,"",INDEX(EntryPartyType,$P433)))</f>
        <v/>
      </c>
      <c r="G433" s="26">
        <f>IF($P433="","",IF(INDEX(EntryTxnType,$P433)=0,"",INDEX(EntryTxnType,$P433)))</f>
        <v/>
      </c>
      <c r="H433" s="27">
        <f>IF($P433="","",IF(INDEX(EntryDep,$P433)=0,"",INDEX(EntryDep,$P433)))</f>
        <v/>
      </c>
      <c r="I433" s="27">
        <f>IF($P433="","",IF(INDEX(EntryWit,$P433)=0,"",INDEX(EntryWit,$P433)))</f>
        <v/>
      </c>
      <c r="J433" s="27">
        <f>IF($B433="","",IF($A433=1,$C$7,IF(J432="",0,J432))+IF($H433="",0,$H433)-IF($I433="",0,$I433))</f>
        <v/>
      </c>
      <c r="K433" s="27">
        <f>IF($P433="","",IF(INDEX(EntryMan,$P433)=0,"",INDEX(EntryMan,$P433)))</f>
        <v/>
      </c>
      <c r="L433" s="26">
        <f>IF($B433="","",IF($K433="","—",IF(ROUND($K433-$J433,0)=0,"√","×")))</f>
        <v/>
      </c>
      <c r="M433" s="26">
        <f>IF($B433="","",IF(COUNTIFS(EntryDates,$B433,CalcTime,$C433,CalcBank,$C$5,EntryParty,$D433,EntryDep,$H433,EntryWit,$I433)&gt;1,"تکرار",""))</f>
        <v/>
      </c>
      <c r="N433" s="26">
        <f>IF($P433="","",IF(INDEX(EntryNotes,$P433)=0,"",INDEX(EntryNotes,$P433)))</f>
        <v/>
      </c>
      <c r="O433" s="26">
        <f>IF($P433="","",IF(INDEX(EntryTxnID,$P433)=0,"",INDEX(EntryTxnID,$P433)))</f>
        <v/>
      </c>
      <c r="P433" s="26">
        <f>IFERROR(MATCH($C$5&amp;"|"&amp;RIGHT("000000"&amp;417,6),CalcRankKey,0),"")</f>
        <v/>
      </c>
    </row>
    <row r="434">
      <c r="A434" s="28">
        <f>IF($B434="","",418)</f>
        <v/>
      </c>
      <c r="B434" s="28">
        <f>IF($P434="","",IF(INDEX(CalcNormDate,$P434)=0,"",INDEX(CalcNormDate,$P434)))</f>
        <v/>
      </c>
      <c r="C434" s="28">
        <f>IF($P434="","",IF(INDEX(CalcTime,$P434)=0,"",INDEX(CalcTime,$P434)))</f>
        <v/>
      </c>
      <c r="D434" s="28">
        <f>IF($P434="","",IF(INDEX(EntryParty,$P434)=0,"",INDEX(EntryParty,$P434)))</f>
        <v/>
      </c>
      <c r="E434" s="28">
        <f>IF($P434="","",IF(INDEX(EntryPartyName,$P434)=0,"",INDEX(EntryPartyName,$P434)))</f>
        <v/>
      </c>
      <c r="F434" s="28">
        <f>IF($P434="","",IF(INDEX(EntryPartyType,$P434)=0,"",INDEX(EntryPartyType,$P434)))</f>
        <v/>
      </c>
      <c r="G434" s="28">
        <f>IF($P434="","",IF(INDEX(EntryTxnType,$P434)=0,"",INDEX(EntryTxnType,$P434)))</f>
        <v/>
      </c>
      <c r="H434" s="29">
        <f>IF($P434="","",IF(INDEX(EntryDep,$P434)=0,"",INDEX(EntryDep,$P434)))</f>
        <v/>
      </c>
      <c r="I434" s="29">
        <f>IF($P434="","",IF(INDEX(EntryWit,$P434)=0,"",INDEX(EntryWit,$P434)))</f>
        <v/>
      </c>
      <c r="J434" s="29">
        <f>IF($B434="","",IF($A434=1,$C$7,IF(J433="",0,J433))+IF($H434="",0,$H434)-IF($I434="",0,$I434))</f>
        <v/>
      </c>
      <c r="K434" s="29">
        <f>IF($P434="","",IF(INDEX(EntryMan,$P434)=0,"",INDEX(EntryMan,$P434)))</f>
        <v/>
      </c>
      <c r="L434" s="28">
        <f>IF($B434="","",IF($K434="","—",IF(ROUND($K434-$J434,0)=0,"√","×")))</f>
        <v/>
      </c>
      <c r="M434" s="28">
        <f>IF($B434="","",IF(COUNTIFS(EntryDates,$B434,CalcTime,$C434,CalcBank,$C$5,EntryParty,$D434,EntryDep,$H434,EntryWit,$I434)&gt;1,"تکرار",""))</f>
        <v/>
      </c>
      <c r="N434" s="28">
        <f>IF($P434="","",IF(INDEX(EntryNotes,$P434)=0,"",INDEX(EntryNotes,$P434)))</f>
        <v/>
      </c>
      <c r="O434" s="28">
        <f>IF($P434="","",IF(INDEX(EntryTxnID,$P434)=0,"",INDEX(EntryTxnID,$P434)))</f>
        <v/>
      </c>
      <c r="P434" s="28">
        <f>IFERROR(MATCH($C$5&amp;"|"&amp;RIGHT("000000"&amp;418,6),CalcRankKey,0),"")</f>
        <v/>
      </c>
    </row>
    <row r="435">
      <c r="A435" s="26">
        <f>IF($B435="","",419)</f>
        <v/>
      </c>
      <c r="B435" s="26">
        <f>IF($P435="","",IF(INDEX(CalcNormDate,$P435)=0,"",INDEX(CalcNormDate,$P435)))</f>
        <v/>
      </c>
      <c r="C435" s="26">
        <f>IF($P435="","",IF(INDEX(CalcTime,$P435)=0,"",INDEX(CalcTime,$P435)))</f>
        <v/>
      </c>
      <c r="D435" s="26">
        <f>IF($P435="","",IF(INDEX(EntryParty,$P435)=0,"",INDEX(EntryParty,$P435)))</f>
        <v/>
      </c>
      <c r="E435" s="26">
        <f>IF($P435="","",IF(INDEX(EntryPartyName,$P435)=0,"",INDEX(EntryPartyName,$P435)))</f>
        <v/>
      </c>
      <c r="F435" s="26">
        <f>IF($P435="","",IF(INDEX(EntryPartyType,$P435)=0,"",INDEX(EntryPartyType,$P435)))</f>
        <v/>
      </c>
      <c r="G435" s="26">
        <f>IF($P435="","",IF(INDEX(EntryTxnType,$P435)=0,"",INDEX(EntryTxnType,$P435)))</f>
        <v/>
      </c>
      <c r="H435" s="27">
        <f>IF($P435="","",IF(INDEX(EntryDep,$P435)=0,"",INDEX(EntryDep,$P435)))</f>
        <v/>
      </c>
      <c r="I435" s="27">
        <f>IF($P435="","",IF(INDEX(EntryWit,$P435)=0,"",INDEX(EntryWit,$P435)))</f>
        <v/>
      </c>
      <c r="J435" s="27">
        <f>IF($B435="","",IF($A435=1,$C$7,IF(J434="",0,J434))+IF($H435="",0,$H435)-IF($I435="",0,$I435))</f>
        <v/>
      </c>
      <c r="K435" s="27">
        <f>IF($P435="","",IF(INDEX(EntryMan,$P435)=0,"",INDEX(EntryMan,$P435)))</f>
        <v/>
      </c>
      <c r="L435" s="26">
        <f>IF($B435="","",IF($K435="","—",IF(ROUND($K435-$J435,0)=0,"√","×")))</f>
        <v/>
      </c>
      <c r="M435" s="26">
        <f>IF($B435="","",IF(COUNTIFS(EntryDates,$B435,CalcTime,$C435,CalcBank,$C$5,EntryParty,$D435,EntryDep,$H435,EntryWit,$I435)&gt;1,"تکرار",""))</f>
        <v/>
      </c>
      <c r="N435" s="26">
        <f>IF($P435="","",IF(INDEX(EntryNotes,$P435)=0,"",INDEX(EntryNotes,$P435)))</f>
        <v/>
      </c>
      <c r="O435" s="26">
        <f>IF($P435="","",IF(INDEX(EntryTxnID,$P435)=0,"",INDEX(EntryTxnID,$P435)))</f>
        <v/>
      </c>
      <c r="P435" s="26">
        <f>IFERROR(MATCH($C$5&amp;"|"&amp;RIGHT("000000"&amp;419,6),CalcRankKey,0),"")</f>
        <v/>
      </c>
    </row>
    <row r="436">
      <c r="A436" s="28">
        <f>IF($B436="","",420)</f>
        <v/>
      </c>
      <c r="B436" s="28">
        <f>IF($P436="","",IF(INDEX(CalcNormDate,$P436)=0,"",INDEX(CalcNormDate,$P436)))</f>
        <v/>
      </c>
      <c r="C436" s="28">
        <f>IF($P436="","",IF(INDEX(CalcTime,$P436)=0,"",INDEX(CalcTime,$P436)))</f>
        <v/>
      </c>
      <c r="D436" s="28">
        <f>IF($P436="","",IF(INDEX(EntryParty,$P436)=0,"",INDEX(EntryParty,$P436)))</f>
        <v/>
      </c>
      <c r="E436" s="28">
        <f>IF($P436="","",IF(INDEX(EntryPartyName,$P436)=0,"",INDEX(EntryPartyName,$P436)))</f>
        <v/>
      </c>
      <c r="F436" s="28">
        <f>IF($P436="","",IF(INDEX(EntryPartyType,$P436)=0,"",INDEX(EntryPartyType,$P436)))</f>
        <v/>
      </c>
      <c r="G436" s="28">
        <f>IF($P436="","",IF(INDEX(EntryTxnType,$P436)=0,"",INDEX(EntryTxnType,$P436)))</f>
        <v/>
      </c>
      <c r="H436" s="29">
        <f>IF($P436="","",IF(INDEX(EntryDep,$P436)=0,"",INDEX(EntryDep,$P436)))</f>
        <v/>
      </c>
      <c r="I436" s="29">
        <f>IF($P436="","",IF(INDEX(EntryWit,$P436)=0,"",INDEX(EntryWit,$P436)))</f>
        <v/>
      </c>
      <c r="J436" s="29">
        <f>IF($B436="","",IF($A436=1,$C$7,IF(J435="",0,J435))+IF($H436="",0,$H436)-IF($I436="",0,$I436))</f>
        <v/>
      </c>
      <c r="K436" s="29">
        <f>IF($P436="","",IF(INDEX(EntryMan,$P436)=0,"",INDEX(EntryMan,$P436)))</f>
        <v/>
      </c>
      <c r="L436" s="28">
        <f>IF($B436="","",IF($K436="","—",IF(ROUND($K436-$J436,0)=0,"√","×")))</f>
        <v/>
      </c>
      <c r="M436" s="28">
        <f>IF($B436="","",IF(COUNTIFS(EntryDates,$B436,CalcTime,$C436,CalcBank,$C$5,EntryParty,$D436,EntryDep,$H436,EntryWit,$I436)&gt;1,"تکرار",""))</f>
        <v/>
      </c>
      <c r="N436" s="28">
        <f>IF($P436="","",IF(INDEX(EntryNotes,$P436)=0,"",INDEX(EntryNotes,$P436)))</f>
        <v/>
      </c>
      <c r="O436" s="28">
        <f>IF($P436="","",IF(INDEX(EntryTxnID,$P436)=0,"",INDEX(EntryTxnID,$P436)))</f>
        <v/>
      </c>
      <c r="P436" s="28">
        <f>IFERROR(MATCH($C$5&amp;"|"&amp;RIGHT("000000"&amp;420,6),CalcRankKey,0),"")</f>
        <v/>
      </c>
    </row>
    <row r="437">
      <c r="A437" s="26">
        <f>IF($B437="","",421)</f>
        <v/>
      </c>
      <c r="B437" s="26">
        <f>IF($P437="","",IF(INDEX(CalcNormDate,$P437)=0,"",INDEX(CalcNormDate,$P437)))</f>
        <v/>
      </c>
      <c r="C437" s="26">
        <f>IF($P437="","",IF(INDEX(CalcTime,$P437)=0,"",INDEX(CalcTime,$P437)))</f>
        <v/>
      </c>
      <c r="D437" s="26">
        <f>IF($P437="","",IF(INDEX(EntryParty,$P437)=0,"",INDEX(EntryParty,$P437)))</f>
        <v/>
      </c>
      <c r="E437" s="26">
        <f>IF($P437="","",IF(INDEX(EntryPartyName,$P437)=0,"",INDEX(EntryPartyName,$P437)))</f>
        <v/>
      </c>
      <c r="F437" s="26">
        <f>IF($P437="","",IF(INDEX(EntryPartyType,$P437)=0,"",INDEX(EntryPartyType,$P437)))</f>
        <v/>
      </c>
      <c r="G437" s="26">
        <f>IF($P437="","",IF(INDEX(EntryTxnType,$P437)=0,"",INDEX(EntryTxnType,$P437)))</f>
        <v/>
      </c>
      <c r="H437" s="27">
        <f>IF($P437="","",IF(INDEX(EntryDep,$P437)=0,"",INDEX(EntryDep,$P437)))</f>
        <v/>
      </c>
      <c r="I437" s="27">
        <f>IF($P437="","",IF(INDEX(EntryWit,$P437)=0,"",INDEX(EntryWit,$P437)))</f>
        <v/>
      </c>
      <c r="J437" s="27">
        <f>IF($B437="","",IF($A437=1,$C$7,IF(J436="",0,J436))+IF($H437="",0,$H437)-IF($I437="",0,$I437))</f>
        <v/>
      </c>
      <c r="K437" s="27">
        <f>IF($P437="","",IF(INDEX(EntryMan,$P437)=0,"",INDEX(EntryMan,$P437)))</f>
        <v/>
      </c>
      <c r="L437" s="26">
        <f>IF($B437="","",IF($K437="","—",IF(ROUND($K437-$J437,0)=0,"√","×")))</f>
        <v/>
      </c>
      <c r="M437" s="26">
        <f>IF($B437="","",IF(COUNTIFS(EntryDates,$B437,CalcTime,$C437,CalcBank,$C$5,EntryParty,$D437,EntryDep,$H437,EntryWit,$I437)&gt;1,"تکرار",""))</f>
        <v/>
      </c>
      <c r="N437" s="26">
        <f>IF($P437="","",IF(INDEX(EntryNotes,$P437)=0,"",INDEX(EntryNotes,$P437)))</f>
        <v/>
      </c>
      <c r="O437" s="26">
        <f>IF($P437="","",IF(INDEX(EntryTxnID,$P437)=0,"",INDEX(EntryTxnID,$P437)))</f>
        <v/>
      </c>
      <c r="P437" s="26">
        <f>IFERROR(MATCH($C$5&amp;"|"&amp;RIGHT("000000"&amp;421,6),CalcRankKey,0),"")</f>
        <v/>
      </c>
    </row>
    <row r="438">
      <c r="A438" s="28">
        <f>IF($B438="","",422)</f>
        <v/>
      </c>
      <c r="B438" s="28">
        <f>IF($P438="","",IF(INDEX(CalcNormDate,$P438)=0,"",INDEX(CalcNormDate,$P438)))</f>
        <v/>
      </c>
      <c r="C438" s="28">
        <f>IF($P438="","",IF(INDEX(CalcTime,$P438)=0,"",INDEX(CalcTime,$P438)))</f>
        <v/>
      </c>
      <c r="D438" s="28">
        <f>IF($P438="","",IF(INDEX(EntryParty,$P438)=0,"",INDEX(EntryParty,$P438)))</f>
        <v/>
      </c>
      <c r="E438" s="28">
        <f>IF($P438="","",IF(INDEX(EntryPartyName,$P438)=0,"",INDEX(EntryPartyName,$P438)))</f>
        <v/>
      </c>
      <c r="F438" s="28">
        <f>IF($P438="","",IF(INDEX(EntryPartyType,$P438)=0,"",INDEX(EntryPartyType,$P438)))</f>
        <v/>
      </c>
      <c r="G438" s="28">
        <f>IF($P438="","",IF(INDEX(EntryTxnType,$P438)=0,"",INDEX(EntryTxnType,$P438)))</f>
        <v/>
      </c>
      <c r="H438" s="29">
        <f>IF($P438="","",IF(INDEX(EntryDep,$P438)=0,"",INDEX(EntryDep,$P438)))</f>
        <v/>
      </c>
      <c r="I438" s="29">
        <f>IF($P438="","",IF(INDEX(EntryWit,$P438)=0,"",INDEX(EntryWit,$P438)))</f>
        <v/>
      </c>
      <c r="J438" s="29">
        <f>IF($B438="","",IF($A438=1,$C$7,IF(J437="",0,J437))+IF($H438="",0,$H438)-IF($I438="",0,$I438))</f>
        <v/>
      </c>
      <c r="K438" s="29">
        <f>IF($P438="","",IF(INDEX(EntryMan,$P438)=0,"",INDEX(EntryMan,$P438)))</f>
        <v/>
      </c>
      <c r="L438" s="28">
        <f>IF($B438="","",IF($K438="","—",IF(ROUND($K438-$J438,0)=0,"√","×")))</f>
        <v/>
      </c>
      <c r="M438" s="28">
        <f>IF($B438="","",IF(COUNTIFS(EntryDates,$B438,CalcTime,$C438,CalcBank,$C$5,EntryParty,$D438,EntryDep,$H438,EntryWit,$I438)&gt;1,"تکرار",""))</f>
        <v/>
      </c>
      <c r="N438" s="28">
        <f>IF($P438="","",IF(INDEX(EntryNotes,$P438)=0,"",INDEX(EntryNotes,$P438)))</f>
        <v/>
      </c>
      <c r="O438" s="28">
        <f>IF($P438="","",IF(INDEX(EntryTxnID,$P438)=0,"",INDEX(EntryTxnID,$P438)))</f>
        <v/>
      </c>
      <c r="P438" s="28">
        <f>IFERROR(MATCH($C$5&amp;"|"&amp;RIGHT("000000"&amp;422,6),CalcRankKey,0),"")</f>
        <v/>
      </c>
    </row>
    <row r="439">
      <c r="A439" s="26">
        <f>IF($B439="","",423)</f>
        <v/>
      </c>
      <c r="B439" s="26">
        <f>IF($P439="","",IF(INDEX(CalcNormDate,$P439)=0,"",INDEX(CalcNormDate,$P439)))</f>
        <v/>
      </c>
      <c r="C439" s="26">
        <f>IF($P439="","",IF(INDEX(CalcTime,$P439)=0,"",INDEX(CalcTime,$P439)))</f>
        <v/>
      </c>
      <c r="D439" s="26">
        <f>IF($P439="","",IF(INDEX(EntryParty,$P439)=0,"",INDEX(EntryParty,$P439)))</f>
        <v/>
      </c>
      <c r="E439" s="26">
        <f>IF($P439="","",IF(INDEX(EntryPartyName,$P439)=0,"",INDEX(EntryPartyName,$P439)))</f>
        <v/>
      </c>
      <c r="F439" s="26">
        <f>IF($P439="","",IF(INDEX(EntryPartyType,$P439)=0,"",INDEX(EntryPartyType,$P439)))</f>
        <v/>
      </c>
      <c r="G439" s="26">
        <f>IF($P439="","",IF(INDEX(EntryTxnType,$P439)=0,"",INDEX(EntryTxnType,$P439)))</f>
        <v/>
      </c>
      <c r="H439" s="27">
        <f>IF($P439="","",IF(INDEX(EntryDep,$P439)=0,"",INDEX(EntryDep,$P439)))</f>
        <v/>
      </c>
      <c r="I439" s="27">
        <f>IF($P439="","",IF(INDEX(EntryWit,$P439)=0,"",INDEX(EntryWit,$P439)))</f>
        <v/>
      </c>
      <c r="J439" s="27">
        <f>IF($B439="","",IF($A439=1,$C$7,IF(J438="",0,J438))+IF($H439="",0,$H439)-IF($I439="",0,$I439))</f>
        <v/>
      </c>
      <c r="K439" s="27">
        <f>IF($P439="","",IF(INDEX(EntryMan,$P439)=0,"",INDEX(EntryMan,$P439)))</f>
        <v/>
      </c>
      <c r="L439" s="26">
        <f>IF($B439="","",IF($K439="","—",IF(ROUND($K439-$J439,0)=0,"√","×")))</f>
        <v/>
      </c>
      <c r="M439" s="26">
        <f>IF($B439="","",IF(COUNTIFS(EntryDates,$B439,CalcTime,$C439,CalcBank,$C$5,EntryParty,$D439,EntryDep,$H439,EntryWit,$I439)&gt;1,"تکرار",""))</f>
        <v/>
      </c>
      <c r="N439" s="26">
        <f>IF($P439="","",IF(INDEX(EntryNotes,$P439)=0,"",INDEX(EntryNotes,$P439)))</f>
        <v/>
      </c>
      <c r="O439" s="26">
        <f>IF($P439="","",IF(INDEX(EntryTxnID,$P439)=0,"",INDEX(EntryTxnID,$P439)))</f>
        <v/>
      </c>
      <c r="P439" s="26">
        <f>IFERROR(MATCH($C$5&amp;"|"&amp;RIGHT("000000"&amp;423,6),CalcRankKey,0),"")</f>
        <v/>
      </c>
    </row>
    <row r="440">
      <c r="A440" s="28">
        <f>IF($B440="","",424)</f>
        <v/>
      </c>
      <c r="B440" s="28">
        <f>IF($P440="","",IF(INDEX(CalcNormDate,$P440)=0,"",INDEX(CalcNormDate,$P440)))</f>
        <v/>
      </c>
      <c r="C440" s="28">
        <f>IF($P440="","",IF(INDEX(CalcTime,$P440)=0,"",INDEX(CalcTime,$P440)))</f>
        <v/>
      </c>
      <c r="D440" s="28">
        <f>IF($P440="","",IF(INDEX(EntryParty,$P440)=0,"",INDEX(EntryParty,$P440)))</f>
        <v/>
      </c>
      <c r="E440" s="28">
        <f>IF($P440="","",IF(INDEX(EntryPartyName,$P440)=0,"",INDEX(EntryPartyName,$P440)))</f>
        <v/>
      </c>
      <c r="F440" s="28">
        <f>IF($P440="","",IF(INDEX(EntryPartyType,$P440)=0,"",INDEX(EntryPartyType,$P440)))</f>
        <v/>
      </c>
      <c r="G440" s="28">
        <f>IF($P440="","",IF(INDEX(EntryTxnType,$P440)=0,"",INDEX(EntryTxnType,$P440)))</f>
        <v/>
      </c>
      <c r="H440" s="29">
        <f>IF($P440="","",IF(INDEX(EntryDep,$P440)=0,"",INDEX(EntryDep,$P440)))</f>
        <v/>
      </c>
      <c r="I440" s="29">
        <f>IF($P440="","",IF(INDEX(EntryWit,$P440)=0,"",INDEX(EntryWit,$P440)))</f>
        <v/>
      </c>
      <c r="J440" s="29">
        <f>IF($B440="","",IF($A440=1,$C$7,IF(J439="",0,J439))+IF($H440="",0,$H440)-IF($I440="",0,$I440))</f>
        <v/>
      </c>
      <c r="K440" s="29">
        <f>IF($P440="","",IF(INDEX(EntryMan,$P440)=0,"",INDEX(EntryMan,$P440)))</f>
        <v/>
      </c>
      <c r="L440" s="28">
        <f>IF($B440="","",IF($K440="","—",IF(ROUND($K440-$J440,0)=0,"√","×")))</f>
        <v/>
      </c>
      <c r="M440" s="28">
        <f>IF($B440="","",IF(COUNTIFS(EntryDates,$B440,CalcTime,$C440,CalcBank,$C$5,EntryParty,$D440,EntryDep,$H440,EntryWit,$I440)&gt;1,"تکرار",""))</f>
        <v/>
      </c>
      <c r="N440" s="28">
        <f>IF($P440="","",IF(INDEX(EntryNotes,$P440)=0,"",INDEX(EntryNotes,$P440)))</f>
        <v/>
      </c>
      <c r="O440" s="28">
        <f>IF($P440="","",IF(INDEX(EntryTxnID,$P440)=0,"",INDEX(EntryTxnID,$P440)))</f>
        <v/>
      </c>
      <c r="P440" s="28">
        <f>IFERROR(MATCH($C$5&amp;"|"&amp;RIGHT("000000"&amp;424,6),CalcRankKey,0),"")</f>
        <v/>
      </c>
    </row>
    <row r="441">
      <c r="A441" s="26">
        <f>IF($B441="","",425)</f>
        <v/>
      </c>
      <c r="B441" s="26">
        <f>IF($P441="","",IF(INDEX(CalcNormDate,$P441)=0,"",INDEX(CalcNormDate,$P441)))</f>
        <v/>
      </c>
      <c r="C441" s="26">
        <f>IF($P441="","",IF(INDEX(CalcTime,$P441)=0,"",INDEX(CalcTime,$P441)))</f>
        <v/>
      </c>
      <c r="D441" s="26">
        <f>IF($P441="","",IF(INDEX(EntryParty,$P441)=0,"",INDEX(EntryParty,$P441)))</f>
        <v/>
      </c>
      <c r="E441" s="26">
        <f>IF($P441="","",IF(INDEX(EntryPartyName,$P441)=0,"",INDEX(EntryPartyName,$P441)))</f>
        <v/>
      </c>
      <c r="F441" s="26">
        <f>IF($P441="","",IF(INDEX(EntryPartyType,$P441)=0,"",INDEX(EntryPartyType,$P441)))</f>
        <v/>
      </c>
      <c r="G441" s="26">
        <f>IF($P441="","",IF(INDEX(EntryTxnType,$P441)=0,"",INDEX(EntryTxnType,$P441)))</f>
        <v/>
      </c>
      <c r="H441" s="27">
        <f>IF($P441="","",IF(INDEX(EntryDep,$P441)=0,"",INDEX(EntryDep,$P441)))</f>
        <v/>
      </c>
      <c r="I441" s="27">
        <f>IF($P441="","",IF(INDEX(EntryWit,$P441)=0,"",INDEX(EntryWit,$P441)))</f>
        <v/>
      </c>
      <c r="J441" s="27">
        <f>IF($B441="","",IF($A441=1,$C$7,IF(J440="",0,J440))+IF($H441="",0,$H441)-IF($I441="",0,$I441))</f>
        <v/>
      </c>
      <c r="K441" s="27">
        <f>IF($P441="","",IF(INDEX(EntryMan,$P441)=0,"",INDEX(EntryMan,$P441)))</f>
        <v/>
      </c>
      <c r="L441" s="26">
        <f>IF($B441="","",IF($K441="","—",IF(ROUND($K441-$J441,0)=0,"√","×")))</f>
        <v/>
      </c>
      <c r="M441" s="26">
        <f>IF($B441="","",IF(COUNTIFS(EntryDates,$B441,CalcTime,$C441,CalcBank,$C$5,EntryParty,$D441,EntryDep,$H441,EntryWit,$I441)&gt;1,"تکرار",""))</f>
        <v/>
      </c>
      <c r="N441" s="26">
        <f>IF($P441="","",IF(INDEX(EntryNotes,$P441)=0,"",INDEX(EntryNotes,$P441)))</f>
        <v/>
      </c>
      <c r="O441" s="26">
        <f>IF($P441="","",IF(INDEX(EntryTxnID,$P441)=0,"",INDEX(EntryTxnID,$P441)))</f>
        <v/>
      </c>
      <c r="P441" s="26">
        <f>IFERROR(MATCH($C$5&amp;"|"&amp;RIGHT("000000"&amp;425,6),CalcRankKey,0),"")</f>
        <v/>
      </c>
    </row>
    <row r="442">
      <c r="A442" s="28">
        <f>IF($B442="","",426)</f>
        <v/>
      </c>
      <c r="B442" s="28">
        <f>IF($P442="","",IF(INDEX(CalcNormDate,$P442)=0,"",INDEX(CalcNormDate,$P442)))</f>
        <v/>
      </c>
      <c r="C442" s="28">
        <f>IF($P442="","",IF(INDEX(CalcTime,$P442)=0,"",INDEX(CalcTime,$P442)))</f>
        <v/>
      </c>
      <c r="D442" s="28">
        <f>IF($P442="","",IF(INDEX(EntryParty,$P442)=0,"",INDEX(EntryParty,$P442)))</f>
        <v/>
      </c>
      <c r="E442" s="28">
        <f>IF($P442="","",IF(INDEX(EntryPartyName,$P442)=0,"",INDEX(EntryPartyName,$P442)))</f>
        <v/>
      </c>
      <c r="F442" s="28">
        <f>IF($P442="","",IF(INDEX(EntryPartyType,$P442)=0,"",INDEX(EntryPartyType,$P442)))</f>
        <v/>
      </c>
      <c r="G442" s="28">
        <f>IF($P442="","",IF(INDEX(EntryTxnType,$P442)=0,"",INDEX(EntryTxnType,$P442)))</f>
        <v/>
      </c>
      <c r="H442" s="29">
        <f>IF($P442="","",IF(INDEX(EntryDep,$P442)=0,"",INDEX(EntryDep,$P442)))</f>
        <v/>
      </c>
      <c r="I442" s="29">
        <f>IF($P442="","",IF(INDEX(EntryWit,$P442)=0,"",INDEX(EntryWit,$P442)))</f>
        <v/>
      </c>
      <c r="J442" s="29">
        <f>IF($B442="","",IF($A442=1,$C$7,IF(J441="",0,J441))+IF($H442="",0,$H442)-IF($I442="",0,$I442))</f>
        <v/>
      </c>
      <c r="K442" s="29">
        <f>IF($P442="","",IF(INDEX(EntryMan,$P442)=0,"",INDEX(EntryMan,$P442)))</f>
        <v/>
      </c>
      <c r="L442" s="28">
        <f>IF($B442="","",IF($K442="","—",IF(ROUND($K442-$J442,0)=0,"√","×")))</f>
        <v/>
      </c>
      <c r="M442" s="28">
        <f>IF($B442="","",IF(COUNTIFS(EntryDates,$B442,CalcTime,$C442,CalcBank,$C$5,EntryParty,$D442,EntryDep,$H442,EntryWit,$I442)&gt;1,"تکرار",""))</f>
        <v/>
      </c>
      <c r="N442" s="28">
        <f>IF($P442="","",IF(INDEX(EntryNotes,$P442)=0,"",INDEX(EntryNotes,$P442)))</f>
        <v/>
      </c>
      <c r="O442" s="28">
        <f>IF($P442="","",IF(INDEX(EntryTxnID,$P442)=0,"",INDEX(EntryTxnID,$P442)))</f>
        <v/>
      </c>
      <c r="P442" s="28">
        <f>IFERROR(MATCH($C$5&amp;"|"&amp;RIGHT("000000"&amp;426,6),CalcRankKey,0),"")</f>
        <v/>
      </c>
    </row>
    <row r="443">
      <c r="A443" s="26">
        <f>IF($B443="","",427)</f>
        <v/>
      </c>
      <c r="B443" s="26">
        <f>IF($P443="","",IF(INDEX(CalcNormDate,$P443)=0,"",INDEX(CalcNormDate,$P443)))</f>
        <v/>
      </c>
      <c r="C443" s="26">
        <f>IF($P443="","",IF(INDEX(CalcTime,$P443)=0,"",INDEX(CalcTime,$P443)))</f>
        <v/>
      </c>
      <c r="D443" s="26">
        <f>IF($P443="","",IF(INDEX(EntryParty,$P443)=0,"",INDEX(EntryParty,$P443)))</f>
        <v/>
      </c>
      <c r="E443" s="26">
        <f>IF($P443="","",IF(INDEX(EntryPartyName,$P443)=0,"",INDEX(EntryPartyName,$P443)))</f>
        <v/>
      </c>
      <c r="F443" s="26">
        <f>IF($P443="","",IF(INDEX(EntryPartyType,$P443)=0,"",INDEX(EntryPartyType,$P443)))</f>
        <v/>
      </c>
      <c r="G443" s="26">
        <f>IF($P443="","",IF(INDEX(EntryTxnType,$P443)=0,"",INDEX(EntryTxnType,$P443)))</f>
        <v/>
      </c>
      <c r="H443" s="27">
        <f>IF($P443="","",IF(INDEX(EntryDep,$P443)=0,"",INDEX(EntryDep,$P443)))</f>
        <v/>
      </c>
      <c r="I443" s="27">
        <f>IF($P443="","",IF(INDEX(EntryWit,$P443)=0,"",INDEX(EntryWit,$P443)))</f>
        <v/>
      </c>
      <c r="J443" s="27">
        <f>IF($B443="","",IF($A443=1,$C$7,IF(J442="",0,J442))+IF($H443="",0,$H443)-IF($I443="",0,$I443))</f>
        <v/>
      </c>
      <c r="K443" s="27">
        <f>IF($P443="","",IF(INDEX(EntryMan,$P443)=0,"",INDEX(EntryMan,$P443)))</f>
        <v/>
      </c>
      <c r="L443" s="26">
        <f>IF($B443="","",IF($K443="","—",IF(ROUND($K443-$J443,0)=0,"√","×")))</f>
        <v/>
      </c>
      <c r="M443" s="26">
        <f>IF($B443="","",IF(COUNTIFS(EntryDates,$B443,CalcTime,$C443,CalcBank,$C$5,EntryParty,$D443,EntryDep,$H443,EntryWit,$I443)&gt;1,"تکرار",""))</f>
        <v/>
      </c>
      <c r="N443" s="26">
        <f>IF($P443="","",IF(INDEX(EntryNotes,$P443)=0,"",INDEX(EntryNotes,$P443)))</f>
        <v/>
      </c>
      <c r="O443" s="26">
        <f>IF($P443="","",IF(INDEX(EntryTxnID,$P443)=0,"",INDEX(EntryTxnID,$P443)))</f>
        <v/>
      </c>
      <c r="P443" s="26">
        <f>IFERROR(MATCH($C$5&amp;"|"&amp;RIGHT("000000"&amp;427,6),CalcRankKey,0),"")</f>
        <v/>
      </c>
    </row>
    <row r="444">
      <c r="A444" s="28">
        <f>IF($B444="","",428)</f>
        <v/>
      </c>
      <c r="B444" s="28">
        <f>IF($P444="","",IF(INDEX(CalcNormDate,$P444)=0,"",INDEX(CalcNormDate,$P444)))</f>
        <v/>
      </c>
      <c r="C444" s="28">
        <f>IF($P444="","",IF(INDEX(CalcTime,$P444)=0,"",INDEX(CalcTime,$P444)))</f>
        <v/>
      </c>
      <c r="D444" s="28">
        <f>IF($P444="","",IF(INDEX(EntryParty,$P444)=0,"",INDEX(EntryParty,$P444)))</f>
        <v/>
      </c>
      <c r="E444" s="28">
        <f>IF($P444="","",IF(INDEX(EntryPartyName,$P444)=0,"",INDEX(EntryPartyName,$P444)))</f>
        <v/>
      </c>
      <c r="F444" s="28">
        <f>IF($P444="","",IF(INDEX(EntryPartyType,$P444)=0,"",INDEX(EntryPartyType,$P444)))</f>
        <v/>
      </c>
      <c r="G444" s="28">
        <f>IF($P444="","",IF(INDEX(EntryTxnType,$P444)=0,"",INDEX(EntryTxnType,$P444)))</f>
        <v/>
      </c>
      <c r="H444" s="29">
        <f>IF($P444="","",IF(INDEX(EntryDep,$P444)=0,"",INDEX(EntryDep,$P444)))</f>
        <v/>
      </c>
      <c r="I444" s="29">
        <f>IF($P444="","",IF(INDEX(EntryWit,$P444)=0,"",INDEX(EntryWit,$P444)))</f>
        <v/>
      </c>
      <c r="J444" s="29">
        <f>IF($B444="","",IF($A444=1,$C$7,IF(J443="",0,J443))+IF($H444="",0,$H444)-IF($I444="",0,$I444))</f>
        <v/>
      </c>
      <c r="K444" s="29">
        <f>IF($P444="","",IF(INDEX(EntryMan,$P444)=0,"",INDEX(EntryMan,$P444)))</f>
        <v/>
      </c>
      <c r="L444" s="28">
        <f>IF($B444="","",IF($K444="","—",IF(ROUND($K444-$J444,0)=0,"√","×")))</f>
        <v/>
      </c>
      <c r="M444" s="28">
        <f>IF($B444="","",IF(COUNTIFS(EntryDates,$B444,CalcTime,$C444,CalcBank,$C$5,EntryParty,$D444,EntryDep,$H444,EntryWit,$I444)&gt;1,"تکرار",""))</f>
        <v/>
      </c>
      <c r="N444" s="28">
        <f>IF($P444="","",IF(INDEX(EntryNotes,$P444)=0,"",INDEX(EntryNotes,$P444)))</f>
        <v/>
      </c>
      <c r="O444" s="28">
        <f>IF($P444="","",IF(INDEX(EntryTxnID,$P444)=0,"",INDEX(EntryTxnID,$P444)))</f>
        <v/>
      </c>
      <c r="P444" s="28">
        <f>IFERROR(MATCH($C$5&amp;"|"&amp;RIGHT("000000"&amp;428,6),CalcRankKey,0),"")</f>
        <v/>
      </c>
    </row>
    <row r="445">
      <c r="A445" s="26">
        <f>IF($B445="","",429)</f>
        <v/>
      </c>
      <c r="B445" s="26">
        <f>IF($P445="","",IF(INDEX(CalcNormDate,$P445)=0,"",INDEX(CalcNormDate,$P445)))</f>
        <v/>
      </c>
      <c r="C445" s="26">
        <f>IF($P445="","",IF(INDEX(CalcTime,$P445)=0,"",INDEX(CalcTime,$P445)))</f>
        <v/>
      </c>
      <c r="D445" s="26">
        <f>IF($P445="","",IF(INDEX(EntryParty,$P445)=0,"",INDEX(EntryParty,$P445)))</f>
        <v/>
      </c>
      <c r="E445" s="26">
        <f>IF($P445="","",IF(INDEX(EntryPartyName,$P445)=0,"",INDEX(EntryPartyName,$P445)))</f>
        <v/>
      </c>
      <c r="F445" s="26">
        <f>IF($P445="","",IF(INDEX(EntryPartyType,$P445)=0,"",INDEX(EntryPartyType,$P445)))</f>
        <v/>
      </c>
      <c r="G445" s="26">
        <f>IF($P445="","",IF(INDEX(EntryTxnType,$P445)=0,"",INDEX(EntryTxnType,$P445)))</f>
        <v/>
      </c>
      <c r="H445" s="27">
        <f>IF($P445="","",IF(INDEX(EntryDep,$P445)=0,"",INDEX(EntryDep,$P445)))</f>
        <v/>
      </c>
      <c r="I445" s="27">
        <f>IF($P445="","",IF(INDEX(EntryWit,$P445)=0,"",INDEX(EntryWit,$P445)))</f>
        <v/>
      </c>
      <c r="J445" s="27">
        <f>IF($B445="","",IF($A445=1,$C$7,IF(J444="",0,J444))+IF($H445="",0,$H445)-IF($I445="",0,$I445))</f>
        <v/>
      </c>
      <c r="K445" s="27">
        <f>IF($P445="","",IF(INDEX(EntryMan,$P445)=0,"",INDEX(EntryMan,$P445)))</f>
        <v/>
      </c>
      <c r="L445" s="26">
        <f>IF($B445="","",IF($K445="","—",IF(ROUND($K445-$J445,0)=0,"√","×")))</f>
        <v/>
      </c>
      <c r="M445" s="26">
        <f>IF($B445="","",IF(COUNTIFS(EntryDates,$B445,CalcTime,$C445,CalcBank,$C$5,EntryParty,$D445,EntryDep,$H445,EntryWit,$I445)&gt;1,"تکرار",""))</f>
        <v/>
      </c>
      <c r="N445" s="26">
        <f>IF($P445="","",IF(INDEX(EntryNotes,$P445)=0,"",INDEX(EntryNotes,$P445)))</f>
        <v/>
      </c>
      <c r="O445" s="26">
        <f>IF($P445="","",IF(INDEX(EntryTxnID,$P445)=0,"",INDEX(EntryTxnID,$P445)))</f>
        <v/>
      </c>
      <c r="P445" s="26">
        <f>IFERROR(MATCH($C$5&amp;"|"&amp;RIGHT("000000"&amp;429,6),CalcRankKey,0),"")</f>
        <v/>
      </c>
    </row>
    <row r="446">
      <c r="A446" s="28">
        <f>IF($B446="","",430)</f>
        <v/>
      </c>
      <c r="B446" s="28">
        <f>IF($P446="","",IF(INDEX(CalcNormDate,$P446)=0,"",INDEX(CalcNormDate,$P446)))</f>
        <v/>
      </c>
      <c r="C446" s="28">
        <f>IF($P446="","",IF(INDEX(CalcTime,$P446)=0,"",INDEX(CalcTime,$P446)))</f>
        <v/>
      </c>
      <c r="D446" s="28">
        <f>IF($P446="","",IF(INDEX(EntryParty,$P446)=0,"",INDEX(EntryParty,$P446)))</f>
        <v/>
      </c>
      <c r="E446" s="28">
        <f>IF($P446="","",IF(INDEX(EntryPartyName,$P446)=0,"",INDEX(EntryPartyName,$P446)))</f>
        <v/>
      </c>
      <c r="F446" s="28">
        <f>IF($P446="","",IF(INDEX(EntryPartyType,$P446)=0,"",INDEX(EntryPartyType,$P446)))</f>
        <v/>
      </c>
      <c r="G446" s="28">
        <f>IF($P446="","",IF(INDEX(EntryTxnType,$P446)=0,"",INDEX(EntryTxnType,$P446)))</f>
        <v/>
      </c>
      <c r="H446" s="29">
        <f>IF($P446="","",IF(INDEX(EntryDep,$P446)=0,"",INDEX(EntryDep,$P446)))</f>
        <v/>
      </c>
      <c r="I446" s="29">
        <f>IF($P446="","",IF(INDEX(EntryWit,$P446)=0,"",INDEX(EntryWit,$P446)))</f>
        <v/>
      </c>
      <c r="J446" s="29">
        <f>IF($B446="","",IF($A446=1,$C$7,IF(J445="",0,J445))+IF($H446="",0,$H446)-IF($I446="",0,$I446))</f>
        <v/>
      </c>
      <c r="K446" s="29">
        <f>IF($P446="","",IF(INDEX(EntryMan,$P446)=0,"",INDEX(EntryMan,$P446)))</f>
        <v/>
      </c>
      <c r="L446" s="28">
        <f>IF($B446="","",IF($K446="","—",IF(ROUND($K446-$J446,0)=0,"√","×")))</f>
        <v/>
      </c>
      <c r="M446" s="28">
        <f>IF($B446="","",IF(COUNTIFS(EntryDates,$B446,CalcTime,$C446,CalcBank,$C$5,EntryParty,$D446,EntryDep,$H446,EntryWit,$I446)&gt;1,"تکرار",""))</f>
        <v/>
      </c>
      <c r="N446" s="28">
        <f>IF($P446="","",IF(INDEX(EntryNotes,$P446)=0,"",INDEX(EntryNotes,$P446)))</f>
        <v/>
      </c>
      <c r="O446" s="28">
        <f>IF($P446="","",IF(INDEX(EntryTxnID,$P446)=0,"",INDEX(EntryTxnID,$P446)))</f>
        <v/>
      </c>
      <c r="P446" s="28">
        <f>IFERROR(MATCH($C$5&amp;"|"&amp;RIGHT("000000"&amp;430,6),CalcRankKey,0),"")</f>
        <v/>
      </c>
    </row>
    <row r="447">
      <c r="A447" s="26">
        <f>IF($B447="","",431)</f>
        <v/>
      </c>
      <c r="B447" s="26">
        <f>IF($P447="","",IF(INDEX(CalcNormDate,$P447)=0,"",INDEX(CalcNormDate,$P447)))</f>
        <v/>
      </c>
      <c r="C447" s="26">
        <f>IF($P447="","",IF(INDEX(CalcTime,$P447)=0,"",INDEX(CalcTime,$P447)))</f>
        <v/>
      </c>
      <c r="D447" s="26">
        <f>IF($P447="","",IF(INDEX(EntryParty,$P447)=0,"",INDEX(EntryParty,$P447)))</f>
        <v/>
      </c>
      <c r="E447" s="26">
        <f>IF($P447="","",IF(INDEX(EntryPartyName,$P447)=0,"",INDEX(EntryPartyName,$P447)))</f>
        <v/>
      </c>
      <c r="F447" s="26">
        <f>IF($P447="","",IF(INDEX(EntryPartyType,$P447)=0,"",INDEX(EntryPartyType,$P447)))</f>
        <v/>
      </c>
      <c r="G447" s="26">
        <f>IF($P447="","",IF(INDEX(EntryTxnType,$P447)=0,"",INDEX(EntryTxnType,$P447)))</f>
        <v/>
      </c>
      <c r="H447" s="27">
        <f>IF($P447="","",IF(INDEX(EntryDep,$P447)=0,"",INDEX(EntryDep,$P447)))</f>
        <v/>
      </c>
      <c r="I447" s="27">
        <f>IF($P447="","",IF(INDEX(EntryWit,$P447)=0,"",INDEX(EntryWit,$P447)))</f>
        <v/>
      </c>
      <c r="J447" s="27">
        <f>IF($B447="","",IF($A447=1,$C$7,IF(J446="",0,J446))+IF($H447="",0,$H447)-IF($I447="",0,$I447))</f>
        <v/>
      </c>
      <c r="K447" s="27">
        <f>IF($P447="","",IF(INDEX(EntryMan,$P447)=0,"",INDEX(EntryMan,$P447)))</f>
        <v/>
      </c>
      <c r="L447" s="26">
        <f>IF($B447="","",IF($K447="","—",IF(ROUND($K447-$J447,0)=0,"√","×")))</f>
        <v/>
      </c>
      <c r="M447" s="26">
        <f>IF($B447="","",IF(COUNTIFS(EntryDates,$B447,CalcTime,$C447,CalcBank,$C$5,EntryParty,$D447,EntryDep,$H447,EntryWit,$I447)&gt;1,"تکرار",""))</f>
        <v/>
      </c>
      <c r="N447" s="26">
        <f>IF($P447="","",IF(INDEX(EntryNotes,$P447)=0,"",INDEX(EntryNotes,$P447)))</f>
        <v/>
      </c>
      <c r="O447" s="26">
        <f>IF($P447="","",IF(INDEX(EntryTxnID,$P447)=0,"",INDEX(EntryTxnID,$P447)))</f>
        <v/>
      </c>
      <c r="P447" s="26">
        <f>IFERROR(MATCH($C$5&amp;"|"&amp;RIGHT("000000"&amp;431,6),CalcRankKey,0),"")</f>
        <v/>
      </c>
    </row>
    <row r="448">
      <c r="A448" s="28">
        <f>IF($B448="","",432)</f>
        <v/>
      </c>
      <c r="B448" s="28">
        <f>IF($P448="","",IF(INDEX(CalcNormDate,$P448)=0,"",INDEX(CalcNormDate,$P448)))</f>
        <v/>
      </c>
      <c r="C448" s="28">
        <f>IF($P448="","",IF(INDEX(CalcTime,$P448)=0,"",INDEX(CalcTime,$P448)))</f>
        <v/>
      </c>
      <c r="D448" s="28">
        <f>IF($P448="","",IF(INDEX(EntryParty,$P448)=0,"",INDEX(EntryParty,$P448)))</f>
        <v/>
      </c>
      <c r="E448" s="28">
        <f>IF($P448="","",IF(INDEX(EntryPartyName,$P448)=0,"",INDEX(EntryPartyName,$P448)))</f>
        <v/>
      </c>
      <c r="F448" s="28">
        <f>IF($P448="","",IF(INDEX(EntryPartyType,$P448)=0,"",INDEX(EntryPartyType,$P448)))</f>
        <v/>
      </c>
      <c r="G448" s="28">
        <f>IF($P448="","",IF(INDEX(EntryTxnType,$P448)=0,"",INDEX(EntryTxnType,$P448)))</f>
        <v/>
      </c>
      <c r="H448" s="29">
        <f>IF($P448="","",IF(INDEX(EntryDep,$P448)=0,"",INDEX(EntryDep,$P448)))</f>
        <v/>
      </c>
      <c r="I448" s="29">
        <f>IF($P448="","",IF(INDEX(EntryWit,$P448)=0,"",INDEX(EntryWit,$P448)))</f>
        <v/>
      </c>
      <c r="J448" s="29">
        <f>IF($B448="","",IF($A448=1,$C$7,IF(J447="",0,J447))+IF($H448="",0,$H448)-IF($I448="",0,$I448))</f>
        <v/>
      </c>
      <c r="K448" s="29">
        <f>IF($P448="","",IF(INDEX(EntryMan,$P448)=0,"",INDEX(EntryMan,$P448)))</f>
        <v/>
      </c>
      <c r="L448" s="28">
        <f>IF($B448="","",IF($K448="","—",IF(ROUND($K448-$J448,0)=0,"√","×")))</f>
        <v/>
      </c>
      <c r="M448" s="28">
        <f>IF($B448="","",IF(COUNTIFS(EntryDates,$B448,CalcTime,$C448,CalcBank,$C$5,EntryParty,$D448,EntryDep,$H448,EntryWit,$I448)&gt;1,"تکرار",""))</f>
        <v/>
      </c>
      <c r="N448" s="28">
        <f>IF($P448="","",IF(INDEX(EntryNotes,$P448)=0,"",INDEX(EntryNotes,$P448)))</f>
        <v/>
      </c>
      <c r="O448" s="28">
        <f>IF($P448="","",IF(INDEX(EntryTxnID,$P448)=0,"",INDEX(EntryTxnID,$P448)))</f>
        <v/>
      </c>
      <c r="P448" s="28">
        <f>IFERROR(MATCH($C$5&amp;"|"&amp;RIGHT("000000"&amp;432,6),CalcRankKey,0),"")</f>
        <v/>
      </c>
    </row>
    <row r="449">
      <c r="A449" s="26">
        <f>IF($B449="","",433)</f>
        <v/>
      </c>
      <c r="B449" s="26">
        <f>IF($P449="","",IF(INDEX(CalcNormDate,$P449)=0,"",INDEX(CalcNormDate,$P449)))</f>
        <v/>
      </c>
      <c r="C449" s="26">
        <f>IF($P449="","",IF(INDEX(CalcTime,$P449)=0,"",INDEX(CalcTime,$P449)))</f>
        <v/>
      </c>
      <c r="D449" s="26">
        <f>IF($P449="","",IF(INDEX(EntryParty,$P449)=0,"",INDEX(EntryParty,$P449)))</f>
        <v/>
      </c>
      <c r="E449" s="26">
        <f>IF($P449="","",IF(INDEX(EntryPartyName,$P449)=0,"",INDEX(EntryPartyName,$P449)))</f>
        <v/>
      </c>
      <c r="F449" s="26">
        <f>IF($P449="","",IF(INDEX(EntryPartyType,$P449)=0,"",INDEX(EntryPartyType,$P449)))</f>
        <v/>
      </c>
      <c r="G449" s="26">
        <f>IF($P449="","",IF(INDEX(EntryTxnType,$P449)=0,"",INDEX(EntryTxnType,$P449)))</f>
        <v/>
      </c>
      <c r="H449" s="27">
        <f>IF($P449="","",IF(INDEX(EntryDep,$P449)=0,"",INDEX(EntryDep,$P449)))</f>
        <v/>
      </c>
      <c r="I449" s="27">
        <f>IF($P449="","",IF(INDEX(EntryWit,$P449)=0,"",INDEX(EntryWit,$P449)))</f>
        <v/>
      </c>
      <c r="J449" s="27">
        <f>IF($B449="","",IF($A449=1,$C$7,IF(J448="",0,J448))+IF($H449="",0,$H449)-IF($I449="",0,$I449))</f>
        <v/>
      </c>
      <c r="K449" s="27">
        <f>IF($P449="","",IF(INDEX(EntryMan,$P449)=0,"",INDEX(EntryMan,$P449)))</f>
        <v/>
      </c>
      <c r="L449" s="26">
        <f>IF($B449="","",IF($K449="","—",IF(ROUND($K449-$J449,0)=0,"√","×")))</f>
        <v/>
      </c>
      <c r="M449" s="26">
        <f>IF($B449="","",IF(COUNTIFS(EntryDates,$B449,CalcTime,$C449,CalcBank,$C$5,EntryParty,$D449,EntryDep,$H449,EntryWit,$I449)&gt;1,"تکرار",""))</f>
        <v/>
      </c>
      <c r="N449" s="26">
        <f>IF($P449="","",IF(INDEX(EntryNotes,$P449)=0,"",INDEX(EntryNotes,$P449)))</f>
        <v/>
      </c>
      <c r="O449" s="26">
        <f>IF($P449="","",IF(INDEX(EntryTxnID,$P449)=0,"",INDEX(EntryTxnID,$P449)))</f>
        <v/>
      </c>
      <c r="P449" s="26">
        <f>IFERROR(MATCH($C$5&amp;"|"&amp;RIGHT("000000"&amp;433,6),CalcRankKey,0),"")</f>
        <v/>
      </c>
    </row>
    <row r="450">
      <c r="A450" s="28">
        <f>IF($B450="","",434)</f>
        <v/>
      </c>
      <c r="B450" s="28">
        <f>IF($P450="","",IF(INDEX(CalcNormDate,$P450)=0,"",INDEX(CalcNormDate,$P450)))</f>
        <v/>
      </c>
      <c r="C450" s="28">
        <f>IF($P450="","",IF(INDEX(CalcTime,$P450)=0,"",INDEX(CalcTime,$P450)))</f>
        <v/>
      </c>
      <c r="D450" s="28">
        <f>IF($P450="","",IF(INDEX(EntryParty,$P450)=0,"",INDEX(EntryParty,$P450)))</f>
        <v/>
      </c>
      <c r="E450" s="28">
        <f>IF($P450="","",IF(INDEX(EntryPartyName,$P450)=0,"",INDEX(EntryPartyName,$P450)))</f>
        <v/>
      </c>
      <c r="F450" s="28">
        <f>IF($P450="","",IF(INDEX(EntryPartyType,$P450)=0,"",INDEX(EntryPartyType,$P450)))</f>
        <v/>
      </c>
      <c r="G450" s="28">
        <f>IF($P450="","",IF(INDEX(EntryTxnType,$P450)=0,"",INDEX(EntryTxnType,$P450)))</f>
        <v/>
      </c>
      <c r="H450" s="29">
        <f>IF($P450="","",IF(INDEX(EntryDep,$P450)=0,"",INDEX(EntryDep,$P450)))</f>
        <v/>
      </c>
      <c r="I450" s="29">
        <f>IF($P450="","",IF(INDEX(EntryWit,$P450)=0,"",INDEX(EntryWit,$P450)))</f>
        <v/>
      </c>
      <c r="J450" s="29">
        <f>IF($B450="","",IF($A450=1,$C$7,IF(J449="",0,J449))+IF($H450="",0,$H450)-IF($I450="",0,$I450))</f>
        <v/>
      </c>
      <c r="K450" s="29">
        <f>IF($P450="","",IF(INDEX(EntryMan,$P450)=0,"",INDEX(EntryMan,$P450)))</f>
        <v/>
      </c>
      <c r="L450" s="28">
        <f>IF($B450="","",IF($K450="","—",IF(ROUND($K450-$J450,0)=0,"√","×")))</f>
        <v/>
      </c>
      <c r="M450" s="28">
        <f>IF($B450="","",IF(COUNTIFS(EntryDates,$B450,CalcTime,$C450,CalcBank,$C$5,EntryParty,$D450,EntryDep,$H450,EntryWit,$I450)&gt;1,"تکرار",""))</f>
        <v/>
      </c>
      <c r="N450" s="28">
        <f>IF($P450="","",IF(INDEX(EntryNotes,$P450)=0,"",INDEX(EntryNotes,$P450)))</f>
        <v/>
      </c>
      <c r="O450" s="28">
        <f>IF($P450="","",IF(INDEX(EntryTxnID,$P450)=0,"",INDEX(EntryTxnID,$P450)))</f>
        <v/>
      </c>
      <c r="P450" s="28">
        <f>IFERROR(MATCH($C$5&amp;"|"&amp;RIGHT("000000"&amp;434,6),CalcRankKey,0),"")</f>
        <v/>
      </c>
    </row>
    <row r="451">
      <c r="A451" s="26">
        <f>IF($B451="","",435)</f>
        <v/>
      </c>
      <c r="B451" s="26">
        <f>IF($P451="","",IF(INDEX(CalcNormDate,$P451)=0,"",INDEX(CalcNormDate,$P451)))</f>
        <v/>
      </c>
      <c r="C451" s="26">
        <f>IF($P451="","",IF(INDEX(CalcTime,$P451)=0,"",INDEX(CalcTime,$P451)))</f>
        <v/>
      </c>
      <c r="D451" s="26">
        <f>IF($P451="","",IF(INDEX(EntryParty,$P451)=0,"",INDEX(EntryParty,$P451)))</f>
        <v/>
      </c>
      <c r="E451" s="26">
        <f>IF($P451="","",IF(INDEX(EntryPartyName,$P451)=0,"",INDEX(EntryPartyName,$P451)))</f>
        <v/>
      </c>
      <c r="F451" s="26">
        <f>IF($P451="","",IF(INDEX(EntryPartyType,$P451)=0,"",INDEX(EntryPartyType,$P451)))</f>
        <v/>
      </c>
      <c r="G451" s="26">
        <f>IF($P451="","",IF(INDEX(EntryTxnType,$P451)=0,"",INDEX(EntryTxnType,$P451)))</f>
        <v/>
      </c>
      <c r="H451" s="27">
        <f>IF($P451="","",IF(INDEX(EntryDep,$P451)=0,"",INDEX(EntryDep,$P451)))</f>
        <v/>
      </c>
      <c r="I451" s="27">
        <f>IF($P451="","",IF(INDEX(EntryWit,$P451)=0,"",INDEX(EntryWit,$P451)))</f>
        <v/>
      </c>
      <c r="J451" s="27">
        <f>IF($B451="","",IF($A451=1,$C$7,IF(J450="",0,J450))+IF($H451="",0,$H451)-IF($I451="",0,$I451))</f>
        <v/>
      </c>
      <c r="K451" s="27">
        <f>IF($P451="","",IF(INDEX(EntryMan,$P451)=0,"",INDEX(EntryMan,$P451)))</f>
        <v/>
      </c>
      <c r="L451" s="26">
        <f>IF($B451="","",IF($K451="","—",IF(ROUND($K451-$J451,0)=0,"√","×")))</f>
        <v/>
      </c>
      <c r="M451" s="26">
        <f>IF($B451="","",IF(COUNTIFS(EntryDates,$B451,CalcTime,$C451,CalcBank,$C$5,EntryParty,$D451,EntryDep,$H451,EntryWit,$I451)&gt;1,"تکرار",""))</f>
        <v/>
      </c>
      <c r="N451" s="26">
        <f>IF($P451="","",IF(INDEX(EntryNotes,$P451)=0,"",INDEX(EntryNotes,$P451)))</f>
        <v/>
      </c>
      <c r="O451" s="26">
        <f>IF($P451="","",IF(INDEX(EntryTxnID,$P451)=0,"",INDEX(EntryTxnID,$P451)))</f>
        <v/>
      </c>
      <c r="P451" s="26">
        <f>IFERROR(MATCH($C$5&amp;"|"&amp;RIGHT("000000"&amp;435,6),CalcRankKey,0),"")</f>
        <v/>
      </c>
    </row>
    <row r="452">
      <c r="A452" s="28">
        <f>IF($B452="","",436)</f>
        <v/>
      </c>
      <c r="B452" s="28">
        <f>IF($P452="","",IF(INDEX(CalcNormDate,$P452)=0,"",INDEX(CalcNormDate,$P452)))</f>
        <v/>
      </c>
      <c r="C452" s="28">
        <f>IF($P452="","",IF(INDEX(CalcTime,$P452)=0,"",INDEX(CalcTime,$P452)))</f>
        <v/>
      </c>
      <c r="D452" s="28">
        <f>IF($P452="","",IF(INDEX(EntryParty,$P452)=0,"",INDEX(EntryParty,$P452)))</f>
        <v/>
      </c>
      <c r="E452" s="28">
        <f>IF($P452="","",IF(INDEX(EntryPartyName,$P452)=0,"",INDEX(EntryPartyName,$P452)))</f>
        <v/>
      </c>
      <c r="F452" s="28">
        <f>IF($P452="","",IF(INDEX(EntryPartyType,$P452)=0,"",INDEX(EntryPartyType,$P452)))</f>
        <v/>
      </c>
      <c r="G452" s="28">
        <f>IF($P452="","",IF(INDEX(EntryTxnType,$P452)=0,"",INDEX(EntryTxnType,$P452)))</f>
        <v/>
      </c>
      <c r="H452" s="29">
        <f>IF($P452="","",IF(INDEX(EntryDep,$P452)=0,"",INDEX(EntryDep,$P452)))</f>
        <v/>
      </c>
      <c r="I452" s="29">
        <f>IF($P452="","",IF(INDEX(EntryWit,$P452)=0,"",INDEX(EntryWit,$P452)))</f>
        <v/>
      </c>
      <c r="J452" s="29">
        <f>IF($B452="","",IF($A452=1,$C$7,IF(J451="",0,J451))+IF($H452="",0,$H452)-IF($I452="",0,$I452))</f>
        <v/>
      </c>
      <c r="K452" s="29">
        <f>IF($P452="","",IF(INDEX(EntryMan,$P452)=0,"",INDEX(EntryMan,$P452)))</f>
        <v/>
      </c>
      <c r="L452" s="28">
        <f>IF($B452="","",IF($K452="","—",IF(ROUND($K452-$J452,0)=0,"√","×")))</f>
        <v/>
      </c>
      <c r="M452" s="28">
        <f>IF($B452="","",IF(COUNTIFS(EntryDates,$B452,CalcTime,$C452,CalcBank,$C$5,EntryParty,$D452,EntryDep,$H452,EntryWit,$I452)&gt;1,"تکرار",""))</f>
        <v/>
      </c>
      <c r="N452" s="28">
        <f>IF($P452="","",IF(INDEX(EntryNotes,$P452)=0,"",INDEX(EntryNotes,$P452)))</f>
        <v/>
      </c>
      <c r="O452" s="28">
        <f>IF($P452="","",IF(INDEX(EntryTxnID,$P452)=0,"",INDEX(EntryTxnID,$P452)))</f>
        <v/>
      </c>
      <c r="P452" s="28">
        <f>IFERROR(MATCH($C$5&amp;"|"&amp;RIGHT("000000"&amp;436,6),CalcRankKey,0),"")</f>
        <v/>
      </c>
    </row>
    <row r="453">
      <c r="A453" s="26">
        <f>IF($B453="","",437)</f>
        <v/>
      </c>
      <c r="B453" s="26">
        <f>IF($P453="","",IF(INDEX(CalcNormDate,$P453)=0,"",INDEX(CalcNormDate,$P453)))</f>
        <v/>
      </c>
      <c r="C453" s="26">
        <f>IF($P453="","",IF(INDEX(CalcTime,$P453)=0,"",INDEX(CalcTime,$P453)))</f>
        <v/>
      </c>
      <c r="D453" s="26">
        <f>IF($P453="","",IF(INDEX(EntryParty,$P453)=0,"",INDEX(EntryParty,$P453)))</f>
        <v/>
      </c>
      <c r="E453" s="26">
        <f>IF($P453="","",IF(INDEX(EntryPartyName,$P453)=0,"",INDEX(EntryPartyName,$P453)))</f>
        <v/>
      </c>
      <c r="F453" s="26">
        <f>IF($P453="","",IF(INDEX(EntryPartyType,$P453)=0,"",INDEX(EntryPartyType,$P453)))</f>
        <v/>
      </c>
      <c r="G453" s="26">
        <f>IF($P453="","",IF(INDEX(EntryTxnType,$P453)=0,"",INDEX(EntryTxnType,$P453)))</f>
        <v/>
      </c>
      <c r="H453" s="27">
        <f>IF($P453="","",IF(INDEX(EntryDep,$P453)=0,"",INDEX(EntryDep,$P453)))</f>
        <v/>
      </c>
      <c r="I453" s="27">
        <f>IF($P453="","",IF(INDEX(EntryWit,$P453)=0,"",INDEX(EntryWit,$P453)))</f>
        <v/>
      </c>
      <c r="J453" s="27">
        <f>IF($B453="","",IF($A453=1,$C$7,IF(J452="",0,J452))+IF($H453="",0,$H453)-IF($I453="",0,$I453))</f>
        <v/>
      </c>
      <c r="K453" s="27">
        <f>IF($P453="","",IF(INDEX(EntryMan,$P453)=0,"",INDEX(EntryMan,$P453)))</f>
        <v/>
      </c>
      <c r="L453" s="26">
        <f>IF($B453="","",IF($K453="","—",IF(ROUND($K453-$J453,0)=0,"√","×")))</f>
        <v/>
      </c>
      <c r="M453" s="26">
        <f>IF($B453="","",IF(COUNTIFS(EntryDates,$B453,CalcTime,$C453,CalcBank,$C$5,EntryParty,$D453,EntryDep,$H453,EntryWit,$I453)&gt;1,"تکرار",""))</f>
        <v/>
      </c>
      <c r="N453" s="26">
        <f>IF($P453="","",IF(INDEX(EntryNotes,$P453)=0,"",INDEX(EntryNotes,$P453)))</f>
        <v/>
      </c>
      <c r="O453" s="26">
        <f>IF($P453="","",IF(INDEX(EntryTxnID,$P453)=0,"",INDEX(EntryTxnID,$P453)))</f>
        <v/>
      </c>
      <c r="P453" s="26">
        <f>IFERROR(MATCH($C$5&amp;"|"&amp;RIGHT("000000"&amp;437,6),CalcRankKey,0),"")</f>
        <v/>
      </c>
    </row>
    <row r="454">
      <c r="A454" s="28">
        <f>IF($B454="","",438)</f>
        <v/>
      </c>
      <c r="B454" s="28">
        <f>IF($P454="","",IF(INDEX(CalcNormDate,$P454)=0,"",INDEX(CalcNormDate,$P454)))</f>
        <v/>
      </c>
      <c r="C454" s="28">
        <f>IF($P454="","",IF(INDEX(CalcTime,$P454)=0,"",INDEX(CalcTime,$P454)))</f>
        <v/>
      </c>
      <c r="D454" s="28">
        <f>IF($P454="","",IF(INDEX(EntryParty,$P454)=0,"",INDEX(EntryParty,$P454)))</f>
        <v/>
      </c>
      <c r="E454" s="28">
        <f>IF($P454="","",IF(INDEX(EntryPartyName,$P454)=0,"",INDEX(EntryPartyName,$P454)))</f>
        <v/>
      </c>
      <c r="F454" s="28">
        <f>IF($P454="","",IF(INDEX(EntryPartyType,$P454)=0,"",INDEX(EntryPartyType,$P454)))</f>
        <v/>
      </c>
      <c r="G454" s="28">
        <f>IF($P454="","",IF(INDEX(EntryTxnType,$P454)=0,"",INDEX(EntryTxnType,$P454)))</f>
        <v/>
      </c>
      <c r="H454" s="29">
        <f>IF($P454="","",IF(INDEX(EntryDep,$P454)=0,"",INDEX(EntryDep,$P454)))</f>
        <v/>
      </c>
      <c r="I454" s="29">
        <f>IF($P454="","",IF(INDEX(EntryWit,$P454)=0,"",INDEX(EntryWit,$P454)))</f>
        <v/>
      </c>
      <c r="J454" s="29">
        <f>IF($B454="","",IF($A454=1,$C$7,IF(J453="",0,J453))+IF($H454="",0,$H454)-IF($I454="",0,$I454))</f>
        <v/>
      </c>
      <c r="K454" s="29">
        <f>IF($P454="","",IF(INDEX(EntryMan,$P454)=0,"",INDEX(EntryMan,$P454)))</f>
        <v/>
      </c>
      <c r="L454" s="28">
        <f>IF($B454="","",IF($K454="","—",IF(ROUND($K454-$J454,0)=0,"√","×")))</f>
        <v/>
      </c>
      <c r="M454" s="28">
        <f>IF($B454="","",IF(COUNTIFS(EntryDates,$B454,CalcTime,$C454,CalcBank,$C$5,EntryParty,$D454,EntryDep,$H454,EntryWit,$I454)&gt;1,"تکرار",""))</f>
        <v/>
      </c>
      <c r="N454" s="28">
        <f>IF($P454="","",IF(INDEX(EntryNotes,$P454)=0,"",INDEX(EntryNotes,$P454)))</f>
        <v/>
      </c>
      <c r="O454" s="28">
        <f>IF($P454="","",IF(INDEX(EntryTxnID,$P454)=0,"",INDEX(EntryTxnID,$P454)))</f>
        <v/>
      </c>
      <c r="P454" s="28">
        <f>IFERROR(MATCH($C$5&amp;"|"&amp;RIGHT("000000"&amp;438,6),CalcRankKey,0),"")</f>
        <v/>
      </c>
    </row>
    <row r="455">
      <c r="A455" s="26">
        <f>IF($B455="","",439)</f>
        <v/>
      </c>
      <c r="B455" s="26">
        <f>IF($P455="","",IF(INDEX(CalcNormDate,$P455)=0,"",INDEX(CalcNormDate,$P455)))</f>
        <v/>
      </c>
      <c r="C455" s="26">
        <f>IF($P455="","",IF(INDEX(CalcTime,$P455)=0,"",INDEX(CalcTime,$P455)))</f>
        <v/>
      </c>
      <c r="D455" s="26">
        <f>IF($P455="","",IF(INDEX(EntryParty,$P455)=0,"",INDEX(EntryParty,$P455)))</f>
        <v/>
      </c>
      <c r="E455" s="26">
        <f>IF($P455="","",IF(INDEX(EntryPartyName,$P455)=0,"",INDEX(EntryPartyName,$P455)))</f>
        <v/>
      </c>
      <c r="F455" s="26">
        <f>IF($P455="","",IF(INDEX(EntryPartyType,$P455)=0,"",INDEX(EntryPartyType,$P455)))</f>
        <v/>
      </c>
      <c r="G455" s="26">
        <f>IF($P455="","",IF(INDEX(EntryTxnType,$P455)=0,"",INDEX(EntryTxnType,$P455)))</f>
        <v/>
      </c>
      <c r="H455" s="27">
        <f>IF($P455="","",IF(INDEX(EntryDep,$P455)=0,"",INDEX(EntryDep,$P455)))</f>
        <v/>
      </c>
      <c r="I455" s="27">
        <f>IF($P455="","",IF(INDEX(EntryWit,$P455)=0,"",INDEX(EntryWit,$P455)))</f>
        <v/>
      </c>
      <c r="J455" s="27">
        <f>IF($B455="","",IF($A455=1,$C$7,IF(J454="",0,J454))+IF($H455="",0,$H455)-IF($I455="",0,$I455))</f>
        <v/>
      </c>
      <c r="K455" s="27">
        <f>IF($P455="","",IF(INDEX(EntryMan,$P455)=0,"",INDEX(EntryMan,$P455)))</f>
        <v/>
      </c>
      <c r="L455" s="26">
        <f>IF($B455="","",IF($K455="","—",IF(ROUND($K455-$J455,0)=0,"√","×")))</f>
        <v/>
      </c>
      <c r="M455" s="26">
        <f>IF($B455="","",IF(COUNTIFS(EntryDates,$B455,CalcTime,$C455,CalcBank,$C$5,EntryParty,$D455,EntryDep,$H455,EntryWit,$I455)&gt;1,"تکرار",""))</f>
        <v/>
      </c>
      <c r="N455" s="26">
        <f>IF($P455="","",IF(INDEX(EntryNotes,$P455)=0,"",INDEX(EntryNotes,$P455)))</f>
        <v/>
      </c>
      <c r="O455" s="26">
        <f>IF($P455="","",IF(INDEX(EntryTxnID,$P455)=0,"",INDEX(EntryTxnID,$P455)))</f>
        <v/>
      </c>
      <c r="P455" s="26">
        <f>IFERROR(MATCH($C$5&amp;"|"&amp;RIGHT("000000"&amp;439,6),CalcRankKey,0),"")</f>
        <v/>
      </c>
    </row>
    <row r="456">
      <c r="A456" s="28">
        <f>IF($B456="","",440)</f>
        <v/>
      </c>
      <c r="B456" s="28">
        <f>IF($P456="","",IF(INDEX(CalcNormDate,$P456)=0,"",INDEX(CalcNormDate,$P456)))</f>
        <v/>
      </c>
      <c r="C456" s="28">
        <f>IF($P456="","",IF(INDEX(CalcTime,$P456)=0,"",INDEX(CalcTime,$P456)))</f>
        <v/>
      </c>
      <c r="D456" s="28">
        <f>IF($P456="","",IF(INDEX(EntryParty,$P456)=0,"",INDEX(EntryParty,$P456)))</f>
        <v/>
      </c>
      <c r="E456" s="28">
        <f>IF($P456="","",IF(INDEX(EntryPartyName,$P456)=0,"",INDEX(EntryPartyName,$P456)))</f>
        <v/>
      </c>
      <c r="F456" s="28">
        <f>IF($P456="","",IF(INDEX(EntryPartyType,$P456)=0,"",INDEX(EntryPartyType,$P456)))</f>
        <v/>
      </c>
      <c r="G456" s="28">
        <f>IF($P456="","",IF(INDEX(EntryTxnType,$P456)=0,"",INDEX(EntryTxnType,$P456)))</f>
        <v/>
      </c>
      <c r="H456" s="29">
        <f>IF($P456="","",IF(INDEX(EntryDep,$P456)=0,"",INDEX(EntryDep,$P456)))</f>
        <v/>
      </c>
      <c r="I456" s="29">
        <f>IF($P456="","",IF(INDEX(EntryWit,$P456)=0,"",INDEX(EntryWit,$P456)))</f>
        <v/>
      </c>
      <c r="J456" s="29">
        <f>IF($B456="","",IF($A456=1,$C$7,IF(J455="",0,J455))+IF($H456="",0,$H456)-IF($I456="",0,$I456))</f>
        <v/>
      </c>
      <c r="K456" s="29">
        <f>IF($P456="","",IF(INDEX(EntryMan,$P456)=0,"",INDEX(EntryMan,$P456)))</f>
        <v/>
      </c>
      <c r="L456" s="28">
        <f>IF($B456="","",IF($K456="","—",IF(ROUND($K456-$J456,0)=0,"√","×")))</f>
        <v/>
      </c>
      <c r="M456" s="28">
        <f>IF($B456="","",IF(COUNTIFS(EntryDates,$B456,CalcTime,$C456,CalcBank,$C$5,EntryParty,$D456,EntryDep,$H456,EntryWit,$I456)&gt;1,"تکرار",""))</f>
        <v/>
      </c>
      <c r="N456" s="28">
        <f>IF($P456="","",IF(INDEX(EntryNotes,$P456)=0,"",INDEX(EntryNotes,$P456)))</f>
        <v/>
      </c>
      <c r="O456" s="28">
        <f>IF($P456="","",IF(INDEX(EntryTxnID,$P456)=0,"",INDEX(EntryTxnID,$P456)))</f>
        <v/>
      </c>
      <c r="P456" s="28">
        <f>IFERROR(MATCH($C$5&amp;"|"&amp;RIGHT("000000"&amp;440,6),CalcRankKey,0),"")</f>
        <v/>
      </c>
    </row>
    <row r="457">
      <c r="A457" s="26">
        <f>IF($B457="","",441)</f>
        <v/>
      </c>
      <c r="B457" s="26">
        <f>IF($P457="","",IF(INDEX(CalcNormDate,$P457)=0,"",INDEX(CalcNormDate,$P457)))</f>
        <v/>
      </c>
      <c r="C457" s="26">
        <f>IF($P457="","",IF(INDEX(CalcTime,$P457)=0,"",INDEX(CalcTime,$P457)))</f>
        <v/>
      </c>
      <c r="D457" s="26">
        <f>IF($P457="","",IF(INDEX(EntryParty,$P457)=0,"",INDEX(EntryParty,$P457)))</f>
        <v/>
      </c>
      <c r="E457" s="26">
        <f>IF($P457="","",IF(INDEX(EntryPartyName,$P457)=0,"",INDEX(EntryPartyName,$P457)))</f>
        <v/>
      </c>
      <c r="F457" s="26">
        <f>IF($P457="","",IF(INDEX(EntryPartyType,$P457)=0,"",INDEX(EntryPartyType,$P457)))</f>
        <v/>
      </c>
      <c r="G457" s="26">
        <f>IF($P457="","",IF(INDEX(EntryTxnType,$P457)=0,"",INDEX(EntryTxnType,$P457)))</f>
        <v/>
      </c>
      <c r="H457" s="27">
        <f>IF($P457="","",IF(INDEX(EntryDep,$P457)=0,"",INDEX(EntryDep,$P457)))</f>
        <v/>
      </c>
      <c r="I457" s="27">
        <f>IF($P457="","",IF(INDEX(EntryWit,$P457)=0,"",INDEX(EntryWit,$P457)))</f>
        <v/>
      </c>
      <c r="J457" s="27">
        <f>IF($B457="","",IF($A457=1,$C$7,IF(J456="",0,J456))+IF($H457="",0,$H457)-IF($I457="",0,$I457))</f>
        <v/>
      </c>
      <c r="K457" s="27">
        <f>IF($P457="","",IF(INDEX(EntryMan,$P457)=0,"",INDEX(EntryMan,$P457)))</f>
        <v/>
      </c>
      <c r="L457" s="26">
        <f>IF($B457="","",IF($K457="","—",IF(ROUND($K457-$J457,0)=0,"√","×")))</f>
        <v/>
      </c>
      <c r="M457" s="26">
        <f>IF($B457="","",IF(COUNTIFS(EntryDates,$B457,CalcTime,$C457,CalcBank,$C$5,EntryParty,$D457,EntryDep,$H457,EntryWit,$I457)&gt;1,"تکرار",""))</f>
        <v/>
      </c>
      <c r="N457" s="26">
        <f>IF($P457="","",IF(INDEX(EntryNotes,$P457)=0,"",INDEX(EntryNotes,$P457)))</f>
        <v/>
      </c>
      <c r="O457" s="26">
        <f>IF($P457="","",IF(INDEX(EntryTxnID,$P457)=0,"",INDEX(EntryTxnID,$P457)))</f>
        <v/>
      </c>
      <c r="P457" s="26">
        <f>IFERROR(MATCH($C$5&amp;"|"&amp;RIGHT("000000"&amp;441,6),CalcRankKey,0),"")</f>
        <v/>
      </c>
    </row>
    <row r="458">
      <c r="A458" s="28">
        <f>IF($B458="","",442)</f>
        <v/>
      </c>
      <c r="B458" s="28">
        <f>IF($P458="","",IF(INDEX(CalcNormDate,$P458)=0,"",INDEX(CalcNormDate,$P458)))</f>
        <v/>
      </c>
      <c r="C458" s="28">
        <f>IF($P458="","",IF(INDEX(CalcTime,$P458)=0,"",INDEX(CalcTime,$P458)))</f>
        <v/>
      </c>
      <c r="D458" s="28">
        <f>IF($P458="","",IF(INDEX(EntryParty,$P458)=0,"",INDEX(EntryParty,$P458)))</f>
        <v/>
      </c>
      <c r="E458" s="28">
        <f>IF($P458="","",IF(INDEX(EntryPartyName,$P458)=0,"",INDEX(EntryPartyName,$P458)))</f>
        <v/>
      </c>
      <c r="F458" s="28">
        <f>IF($P458="","",IF(INDEX(EntryPartyType,$P458)=0,"",INDEX(EntryPartyType,$P458)))</f>
        <v/>
      </c>
      <c r="G458" s="28">
        <f>IF($P458="","",IF(INDEX(EntryTxnType,$P458)=0,"",INDEX(EntryTxnType,$P458)))</f>
        <v/>
      </c>
      <c r="H458" s="29">
        <f>IF($P458="","",IF(INDEX(EntryDep,$P458)=0,"",INDEX(EntryDep,$P458)))</f>
        <v/>
      </c>
      <c r="I458" s="29">
        <f>IF($P458="","",IF(INDEX(EntryWit,$P458)=0,"",INDEX(EntryWit,$P458)))</f>
        <v/>
      </c>
      <c r="J458" s="29">
        <f>IF($B458="","",IF($A458=1,$C$7,IF(J457="",0,J457))+IF($H458="",0,$H458)-IF($I458="",0,$I458))</f>
        <v/>
      </c>
      <c r="K458" s="29">
        <f>IF($P458="","",IF(INDEX(EntryMan,$P458)=0,"",INDEX(EntryMan,$P458)))</f>
        <v/>
      </c>
      <c r="L458" s="28">
        <f>IF($B458="","",IF($K458="","—",IF(ROUND($K458-$J458,0)=0,"√","×")))</f>
        <v/>
      </c>
      <c r="M458" s="28">
        <f>IF($B458="","",IF(COUNTIFS(EntryDates,$B458,CalcTime,$C458,CalcBank,$C$5,EntryParty,$D458,EntryDep,$H458,EntryWit,$I458)&gt;1,"تکرار",""))</f>
        <v/>
      </c>
      <c r="N458" s="28">
        <f>IF($P458="","",IF(INDEX(EntryNotes,$P458)=0,"",INDEX(EntryNotes,$P458)))</f>
        <v/>
      </c>
      <c r="O458" s="28">
        <f>IF($P458="","",IF(INDEX(EntryTxnID,$P458)=0,"",INDEX(EntryTxnID,$P458)))</f>
        <v/>
      </c>
      <c r="P458" s="28">
        <f>IFERROR(MATCH($C$5&amp;"|"&amp;RIGHT("000000"&amp;442,6),CalcRankKey,0),"")</f>
        <v/>
      </c>
    </row>
    <row r="459">
      <c r="A459" s="26">
        <f>IF($B459="","",443)</f>
        <v/>
      </c>
      <c r="B459" s="26">
        <f>IF($P459="","",IF(INDEX(CalcNormDate,$P459)=0,"",INDEX(CalcNormDate,$P459)))</f>
        <v/>
      </c>
      <c r="C459" s="26">
        <f>IF($P459="","",IF(INDEX(CalcTime,$P459)=0,"",INDEX(CalcTime,$P459)))</f>
        <v/>
      </c>
      <c r="D459" s="26">
        <f>IF($P459="","",IF(INDEX(EntryParty,$P459)=0,"",INDEX(EntryParty,$P459)))</f>
        <v/>
      </c>
      <c r="E459" s="26">
        <f>IF($P459="","",IF(INDEX(EntryPartyName,$P459)=0,"",INDEX(EntryPartyName,$P459)))</f>
        <v/>
      </c>
      <c r="F459" s="26">
        <f>IF($P459="","",IF(INDEX(EntryPartyType,$P459)=0,"",INDEX(EntryPartyType,$P459)))</f>
        <v/>
      </c>
      <c r="G459" s="26">
        <f>IF($P459="","",IF(INDEX(EntryTxnType,$P459)=0,"",INDEX(EntryTxnType,$P459)))</f>
        <v/>
      </c>
      <c r="H459" s="27">
        <f>IF($P459="","",IF(INDEX(EntryDep,$P459)=0,"",INDEX(EntryDep,$P459)))</f>
        <v/>
      </c>
      <c r="I459" s="27">
        <f>IF($P459="","",IF(INDEX(EntryWit,$P459)=0,"",INDEX(EntryWit,$P459)))</f>
        <v/>
      </c>
      <c r="J459" s="27">
        <f>IF($B459="","",IF($A459=1,$C$7,IF(J458="",0,J458))+IF($H459="",0,$H459)-IF($I459="",0,$I459))</f>
        <v/>
      </c>
      <c r="K459" s="27">
        <f>IF($P459="","",IF(INDEX(EntryMan,$P459)=0,"",INDEX(EntryMan,$P459)))</f>
        <v/>
      </c>
      <c r="L459" s="26">
        <f>IF($B459="","",IF($K459="","—",IF(ROUND($K459-$J459,0)=0,"√","×")))</f>
        <v/>
      </c>
      <c r="M459" s="26">
        <f>IF($B459="","",IF(COUNTIFS(EntryDates,$B459,CalcTime,$C459,CalcBank,$C$5,EntryParty,$D459,EntryDep,$H459,EntryWit,$I459)&gt;1,"تکرار",""))</f>
        <v/>
      </c>
      <c r="N459" s="26">
        <f>IF($P459="","",IF(INDEX(EntryNotes,$P459)=0,"",INDEX(EntryNotes,$P459)))</f>
        <v/>
      </c>
      <c r="O459" s="26">
        <f>IF($P459="","",IF(INDEX(EntryTxnID,$P459)=0,"",INDEX(EntryTxnID,$P459)))</f>
        <v/>
      </c>
      <c r="P459" s="26">
        <f>IFERROR(MATCH($C$5&amp;"|"&amp;RIGHT("000000"&amp;443,6),CalcRankKey,0),"")</f>
        <v/>
      </c>
    </row>
    <row r="460">
      <c r="A460" s="28">
        <f>IF($B460="","",444)</f>
        <v/>
      </c>
      <c r="B460" s="28">
        <f>IF($P460="","",IF(INDEX(CalcNormDate,$P460)=0,"",INDEX(CalcNormDate,$P460)))</f>
        <v/>
      </c>
      <c r="C460" s="28">
        <f>IF($P460="","",IF(INDEX(CalcTime,$P460)=0,"",INDEX(CalcTime,$P460)))</f>
        <v/>
      </c>
      <c r="D460" s="28">
        <f>IF($P460="","",IF(INDEX(EntryParty,$P460)=0,"",INDEX(EntryParty,$P460)))</f>
        <v/>
      </c>
      <c r="E460" s="28">
        <f>IF($P460="","",IF(INDEX(EntryPartyName,$P460)=0,"",INDEX(EntryPartyName,$P460)))</f>
        <v/>
      </c>
      <c r="F460" s="28">
        <f>IF($P460="","",IF(INDEX(EntryPartyType,$P460)=0,"",INDEX(EntryPartyType,$P460)))</f>
        <v/>
      </c>
      <c r="G460" s="28">
        <f>IF($P460="","",IF(INDEX(EntryTxnType,$P460)=0,"",INDEX(EntryTxnType,$P460)))</f>
        <v/>
      </c>
      <c r="H460" s="29">
        <f>IF($P460="","",IF(INDEX(EntryDep,$P460)=0,"",INDEX(EntryDep,$P460)))</f>
        <v/>
      </c>
      <c r="I460" s="29">
        <f>IF($P460="","",IF(INDEX(EntryWit,$P460)=0,"",INDEX(EntryWit,$P460)))</f>
        <v/>
      </c>
      <c r="J460" s="29">
        <f>IF($B460="","",IF($A460=1,$C$7,IF(J459="",0,J459))+IF($H460="",0,$H460)-IF($I460="",0,$I460))</f>
        <v/>
      </c>
      <c r="K460" s="29">
        <f>IF($P460="","",IF(INDEX(EntryMan,$P460)=0,"",INDEX(EntryMan,$P460)))</f>
        <v/>
      </c>
      <c r="L460" s="28">
        <f>IF($B460="","",IF($K460="","—",IF(ROUND($K460-$J460,0)=0,"√","×")))</f>
        <v/>
      </c>
      <c r="M460" s="28">
        <f>IF($B460="","",IF(COUNTIFS(EntryDates,$B460,CalcTime,$C460,CalcBank,$C$5,EntryParty,$D460,EntryDep,$H460,EntryWit,$I460)&gt;1,"تکرار",""))</f>
        <v/>
      </c>
      <c r="N460" s="28">
        <f>IF($P460="","",IF(INDEX(EntryNotes,$P460)=0,"",INDEX(EntryNotes,$P460)))</f>
        <v/>
      </c>
      <c r="O460" s="28">
        <f>IF($P460="","",IF(INDEX(EntryTxnID,$P460)=0,"",INDEX(EntryTxnID,$P460)))</f>
        <v/>
      </c>
      <c r="P460" s="28">
        <f>IFERROR(MATCH($C$5&amp;"|"&amp;RIGHT("000000"&amp;444,6),CalcRankKey,0),"")</f>
        <v/>
      </c>
    </row>
    <row r="461">
      <c r="A461" s="26">
        <f>IF($B461="","",445)</f>
        <v/>
      </c>
      <c r="B461" s="26">
        <f>IF($P461="","",IF(INDEX(CalcNormDate,$P461)=0,"",INDEX(CalcNormDate,$P461)))</f>
        <v/>
      </c>
      <c r="C461" s="26">
        <f>IF($P461="","",IF(INDEX(CalcTime,$P461)=0,"",INDEX(CalcTime,$P461)))</f>
        <v/>
      </c>
      <c r="D461" s="26">
        <f>IF($P461="","",IF(INDEX(EntryParty,$P461)=0,"",INDEX(EntryParty,$P461)))</f>
        <v/>
      </c>
      <c r="E461" s="26">
        <f>IF($P461="","",IF(INDEX(EntryPartyName,$P461)=0,"",INDEX(EntryPartyName,$P461)))</f>
        <v/>
      </c>
      <c r="F461" s="26">
        <f>IF($P461="","",IF(INDEX(EntryPartyType,$P461)=0,"",INDEX(EntryPartyType,$P461)))</f>
        <v/>
      </c>
      <c r="G461" s="26">
        <f>IF($P461="","",IF(INDEX(EntryTxnType,$P461)=0,"",INDEX(EntryTxnType,$P461)))</f>
        <v/>
      </c>
      <c r="H461" s="27">
        <f>IF($P461="","",IF(INDEX(EntryDep,$P461)=0,"",INDEX(EntryDep,$P461)))</f>
        <v/>
      </c>
      <c r="I461" s="27">
        <f>IF($P461="","",IF(INDEX(EntryWit,$P461)=0,"",INDEX(EntryWit,$P461)))</f>
        <v/>
      </c>
      <c r="J461" s="27">
        <f>IF($B461="","",IF($A461=1,$C$7,IF(J460="",0,J460))+IF($H461="",0,$H461)-IF($I461="",0,$I461))</f>
        <v/>
      </c>
      <c r="K461" s="27">
        <f>IF($P461="","",IF(INDEX(EntryMan,$P461)=0,"",INDEX(EntryMan,$P461)))</f>
        <v/>
      </c>
      <c r="L461" s="26">
        <f>IF($B461="","",IF($K461="","—",IF(ROUND($K461-$J461,0)=0,"√","×")))</f>
        <v/>
      </c>
      <c r="M461" s="26">
        <f>IF($B461="","",IF(COUNTIFS(EntryDates,$B461,CalcTime,$C461,CalcBank,$C$5,EntryParty,$D461,EntryDep,$H461,EntryWit,$I461)&gt;1,"تکرار",""))</f>
        <v/>
      </c>
      <c r="N461" s="26">
        <f>IF($P461="","",IF(INDEX(EntryNotes,$P461)=0,"",INDEX(EntryNotes,$P461)))</f>
        <v/>
      </c>
      <c r="O461" s="26">
        <f>IF($P461="","",IF(INDEX(EntryTxnID,$P461)=0,"",INDEX(EntryTxnID,$P461)))</f>
        <v/>
      </c>
      <c r="P461" s="26">
        <f>IFERROR(MATCH($C$5&amp;"|"&amp;RIGHT("000000"&amp;445,6),CalcRankKey,0),"")</f>
        <v/>
      </c>
    </row>
    <row r="462">
      <c r="A462" s="28">
        <f>IF($B462="","",446)</f>
        <v/>
      </c>
      <c r="B462" s="28">
        <f>IF($P462="","",IF(INDEX(CalcNormDate,$P462)=0,"",INDEX(CalcNormDate,$P462)))</f>
        <v/>
      </c>
      <c r="C462" s="28">
        <f>IF($P462="","",IF(INDEX(CalcTime,$P462)=0,"",INDEX(CalcTime,$P462)))</f>
        <v/>
      </c>
      <c r="D462" s="28">
        <f>IF($P462="","",IF(INDEX(EntryParty,$P462)=0,"",INDEX(EntryParty,$P462)))</f>
        <v/>
      </c>
      <c r="E462" s="28">
        <f>IF($P462="","",IF(INDEX(EntryPartyName,$P462)=0,"",INDEX(EntryPartyName,$P462)))</f>
        <v/>
      </c>
      <c r="F462" s="28">
        <f>IF($P462="","",IF(INDEX(EntryPartyType,$P462)=0,"",INDEX(EntryPartyType,$P462)))</f>
        <v/>
      </c>
      <c r="G462" s="28">
        <f>IF($P462="","",IF(INDEX(EntryTxnType,$P462)=0,"",INDEX(EntryTxnType,$P462)))</f>
        <v/>
      </c>
      <c r="H462" s="29">
        <f>IF($P462="","",IF(INDEX(EntryDep,$P462)=0,"",INDEX(EntryDep,$P462)))</f>
        <v/>
      </c>
      <c r="I462" s="29">
        <f>IF($P462="","",IF(INDEX(EntryWit,$P462)=0,"",INDEX(EntryWit,$P462)))</f>
        <v/>
      </c>
      <c r="J462" s="29">
        <f>IF($B462="","",IF($A462=1,$C$7,IF(J461="",0,J461))+IF($H462="",0,$H462)-IF($I462="",0,$I462))</f>
        <v/>
      </c>
      <c r="K462" s="29">
        <f>IF($P462="","",IF(INDEX(EntryMan,$P462)=0,"",INDEX(EntryMan,$P462)))</f>
        <v/>
      </c>
      <c r="L462" s="28">
        <f>IF($B462="","",IF($K462="","—",IF(ROUND($K462-$J462,0)=0,"√","×")))</f>
        <v/>
      </c>
      <c r="M462" s="28">
        <f>IF($B462="","",IF(COUNTIFS(EntryDates,$B462,CalcTime,$C462,CalcBank,$C$5,EntryParty,$D462,EntryDep,$H462,EntryWit,$I462)&gt;1,"تکرار",""))</f>
        <v/>
      </c>
      <c r="N462" s="28">
        <f>IF($P462="","",IF(INDEX(EntryNotes,$P462)=0,"",INDEX(EntryNotes,$P462)))</f>
        <v/>
      </c>
      <c r="O462" s="28">
        <f>IF($P462="","",IF(INDEX(EntryTxnID,$P462)=0,"",INDEX(EntryTxnID,$P462)))</f>
        <v/>
      </c>
      <c r="P462" s="28">
        <f>IFERROR(MATCH($C$5&amp;"|"&amp;RIGHT("000000"&amp;446,6),CalcRankKey,0),"")</f>
        <v/>
      </c>
    </row>
    <row r="463">
      <c r="A463" s="26">
        <f>IF($B463="","",447)</f>
        <v/>
      </c>
      <c r="B463" s="26">
        <f>IF($P463="","",IF(INDEX(CalcNormDate,$P463)=0,"",INDEX(CalcNormDate,$P463)))</f>
        <v/>
      </c>
      <c r="C463" s="26">
        <f>IF($P463="","",IF(INDEX(CalcTime,$P463)=0,"",INDEX(CalcTime,$P463)))</f>
        <v/>
      </c>
      <c r="D463" s="26">
        <f>IF($P463="","",IF(INDEX(EntryParty,$P463)=0,"",INDEX(EntryParty,$P463)))</f>
        <v/>
      </c>
      <c r="E463" s="26">
        <f>IF($P463="","",IF(INDEX(EntryPartyName,$P463)=0,"",INDEX(EntryPartyName,$P463)))</f>
        <v/>
      </c>
      <c r="F463" s="26">
        <f>IF($P463="","",IF(INDEX(EntryPartyType,$P463)=0,"",INDEX(EntryPartyType,$P463)))</f>
        <v/>
      </c>
      <c r="G463" s="26">
        <f>IF($P463="","",IF(INDEX(EntryTxnType,$P463)=0,"",INDEX(EntryTxnType,$P463)))</f>
        <v/>
      </c>
      <c r="H463" s="27">
        <f>IF($P463="","",IF(INDEX(EntryDep,$P463)=0,"",INDEX(EntryDep,$P463)))</f>
        <v/>
      </c>
      <c r="I463" s="27">
        <f>IF($P463="","",IF(INDEX(EntryWit,$P463)=0,"",INDEX(EntryWit,$P463)))</f>
        <v/>
      </c>
      <c r="J463" s="27">
        <f>IF($B463="","",IF($A463=1,$C$7,IF(J462="",0,J462))+IF($H463="",0,$H463)-IF($I463="",0,$I463))</f>
        <v/>
      </c>
      <c r="K463" s="27">
        <f>IF($P463="","",IF(INDEX(EntryMan,$P463)=0,"",INDEX(EntryMan,$P463)))</f>
        <v/>
      </c>
      <c r="L463" s="26">
        <f>IF($B463="","",IF($K463="","—",IF(ROUND($K463-$J463,0)=0,"√","×")))</f>
        <v/>
      </c>
      <c r="M463" s="26">
        <f>IF($B463="","",IF(COUNTIFS(EntryDates,$B463,CalcTime,$C463,CalcBank,$C$5,EntryParty,$D463,EntryDep,$H463,EntryWit,$I463)&gt;1,"تکرار",""))</f>
        <v/>
      </c>
      <c r="N463" s="26">
        <f>IF($P463="","",IF(INDEX(EntryNotes,$P463)=0,"",INDEX(EntryNotes,$P463)))</f>
        <v/>
      </c>
      <c r="O463" s="26">
        <f>IF($P463="","",IF(INDEX(EntryTxnID,$P463)=0,"",INDEX(EntryTxnID,$P463)))</f>
        <v/>
      </c>
      <c r="P463" s="26">
        <f>IFERROR(MATCH($C$5&amp;"|"&amp;RIGHT("000000"&amp;447,6),CalcRankKey,0),"")</f>
        <v/>
      </c>
    </row>
    <row r="464">
      <c r="A464" s="28">
        <f>IF($B464="","",448)</f>
        <v/>
      </c>
      <c r="B464" s="28">
        <f>IF($P464="","",IF(INDEX(CalcNormDate,$P464)=0,"",INDEX(CalcNormDate,$P464)))</f>
        <v/>
      </c>
      <c r="C464" s="28">
        <f>IF($P464="","",IF(INDEX(CalcTime,$P464)=0,"",INDEX(CalcTime,$P464)))</f>
        <v/>
      </c>
      <c r="D464" s="28">
        <f>IF($P464="","",IF(INDEX(EntryParty,$P464)=0,"",INDEX(EntryParty,$P464)))</f>
        <v/>
      </c>
      <c r="E464" s="28">
        <f>IF($P464="","",IF(INDEX(EntryPartyName,$P464)=0,"",INDEX(EntryPartyName,$P464)))</f>
        <v/>
      </c>
      <c r="F464" s="28">
        <f>IF($P464="","",IF(INDEX(EntryPartyType,$P464)=0,"",INDEX(EntryPartyType,$P464)))</f>
        <v/>
      </c>
      <c r="G464" s="28">
        <f>IF($P464="","",IF(INDEX(EntryTxnType,$P464)=0,"",INDEX(EntryTxnType,$P464)))</f>
        <v/>
      </c>
      <c r="H464" s="29">
        <f>IF($P464="","",IF(INDEX(EntryDep,$P464)=0,"",INDEX(EntryDep,$P464)))</f>
        <v/>
      </c>
      <c r="I464" s="29">
        <f>IF($P464="","",IF(INDEX(EntryWit,$P464)=0,"",INDEX(EntryWit,$P464)))</f>
        <v/>
      </c>
      <c r="J464" s="29">
        <f>IF($B464="","",IF($A464=1,$C$7,IF(J463="",0,J463))+IF($H464="",0,$H464)-IF($I464="",0,$I464))</f>
        <v/>
      </c>
      <c r="K464" s="29">
        <f>IF($P464="","",IF(INDEX(EntryMan,$P464)=0,"",INDEX(EntryMan,$P464)))</f>
        <v/>
      </c>
      <c r="L464" s="28">
        <f>IF($B464="","",IF($K464="","—",IF(ROUND($K464-$J464,0)=0,"√","×")))</f>
        <v/>
      </c>
      <c r="M464" s="28">
        <f>IF($B464="","",IF(COUNTIFS(EntryDates,$B464,CalcTime,$C464,CalcBank,$C$5,EntryParty,$D464,EntryDep,$H464,EntryWit,$I464)&gt;1,"تکرار",""))</f>
        <v/>
      </c>
      <c r="N464" s="28">
        <f>IF($P464="","",IF(INDEX(EntryNotes,$P464)=0,"",INDEX(EntryNotes,$P464)))</f>
        <v/>
      </c>
      <c r="O464" s="28">
        <f>IF($P464="","",IF(INDEX(EntryTxnID,$P464)=0,"",INDEX(EntryTxnID,$P464)))</f>
        <v/>
      </c>
      <c r="P464" s="28">
        <f>IFERROR(MATCH($C$5&amp;"|"&amp;RIGHT("000000"&amp;448,6),CalcRankKey,0),"")</f>
        <v/>
      </c>
    </row>
    <row r="465">
      <c r="A465" s="26">
        <f>IF($B465="","",449)</f>
        <v/>
      </c>
      <c r="B465" s="26">
        <f>IF($P465="","",IF(INDEX(CalcNormDate,$P465)=0,"",INDEX(CalcNormDate,$P465)))</f>
        <v/>
      </c>
      <c r="C465" s="26">
        <f>IF($P465="","",IF(INDEX(CalcTime,$P465)=0,"",INDEX(CalcTime,$P465)))</f>
        <v/>
      </c>
      <c r="D465" s="26">
        <f>IF($P465="","",IF(INDEX(EntryParty,$P465)=0,"",INDEX(EntryParty,$P465)))</f>
        <v/>
      </c>
      <c r="E465" s="26">
        <f>IF($P465="","",IF(INDEX(EntryPartyName,$P465)=0,"",INDEX(EntryPartyName,$P465)))</f>
        <v/>
      </c>
      <c r="F465" s="26">
        <f>IF($P465="","",IF(INDEX(EntryPartyType,$P465)=0,"",INDEX(EntryPartyType,$P465)))</f>
        <v/>
      </c>
      <c r="G465" s="26">
        <f>IF($P465="","",IF(INDEX(EntryTxnType,$P465)=0,"",INDEX(EntryTxnType,$P465)))</f>
        <v/>
      </c>
      <c r="H465" s="27">
        <f>IF($P465="","",IF(INDEX(EntryDep,$P465)=0,"",INDEX(EntryDep,$P465)))</f>
        <v/>
      </c>
      <c r="I465" s="27">
        <f>IF($P465="","",IF(INDEX(EntryWit,$P465)=0,"",INDEX(EntryWit,$P465)))</f>
        <v/>
      </c>
      <c r="J465" s="27">
        <f>IF($B465="","",IF($A465=1,$C$7,IF(J464="",0,J464))+IF($H465="",0,$H465)-IF($I465="",0,$I465))</f>
        <v/>
      </c>
      <c r="K465" s="27">
        <f>IF($P465="","",IF(INDEX(EntryMan,$P465)=0,"",INDEX(EntryMan,$P465)))</f>
        <v/>
      </c>
      <c r="L465" s="26">
        <f>IF($B465="","",IF($K465="","—",IF(ROUND($K465-$J465,0)=0,"√","×")))</f>
        <v/>
      </c>
      <c r="M465" s="26">
        <f>IF($B465="","",IF(COUNTIFS(EntryDates,$B465,CalcTime,$C465,CalcBank,$C$5,EntryParty,$D465,EntryDep,$H465,EntryWit,$I465)&gt;1,"تکرار",""))</f>
        <v/>
      </c>
      <c r="N465" s="26">
        <f>IF($P465="","",IF(INDEX(EntryNotes,$P465)=0,"",INDEX(EntryNotes,$P465)))</f>
        <v/>
      </c>
      <c r="O465" s="26">
        <f>IF($P465="","",IF(INDEX(EntryTxnID,$P465)=0,"",INDEX(EntryTxnID,$P465)))</f>
        <v/>
      </c>
      <c r="P465" s="26">
        <f>IFERROR(MATCH($C$5&amp;"|"&amp;RIGHT("000000"&amp;449,6),CalcRankKey,0),"")</f>
        <v/>
      </c>
    </row>
    <row r="466">
      <c r="A466" s="28">
        <f>IF($B466="","",450)</f>
        <v/>
      </c>
      <c r="B466" s="28">
        <f>IF($P466="","",IF(INDEX(CalcNormDate,$P466)=0,"",INDEX(CalcNormDate,$P466)))</f>
        <v/>
      </c>
      <c r="C466" s="28">
        <f>IF($P466="","",IF(INDEX(CalcTime,$P466)=0,"",INDEX(CalcTime,$P466)))</f>
        <v/>
      </c>
      <c r="D466" s="28">
        <f>IF($P466="","",IF(INDEX(EntryParty,$P466)=0,"",INDEX(EntryParty,$P466)))</f>
        <v/>
      </c>
      <c r="E466" s="28">
        <f>IF($P466="","",IF(INDEX(EntryPartyName,$P466)=0,"",INDEX(EntryPartyName,$P466)))</f>
        <v/>
      </c>
      <c r="F466" s="28">
        <f>IF($P466="","",IF(INDEX(EntryPartyType,$P466)=0,"",INDEX(EntryPartyType,$P466)))</f>
        <v/>
      </c>
      <c r="G466" s="28">
        <f>IF($P466="","",IF(INDEX(EntryTxnType,$P466)=0,"",INDEX(EntryTxnType,$P466)))</f>
        <v/>
      </c>
      <c r="H466" s="29">
        <f>IF($P466="","",IF(INDEX(EntryDep,$P466)=0,"",INDEX(EntryDep,$P466)))</f>
        <v/>
      </c>
      <c r="I466" s="29">
        <f>IF($P466="","",IF(INDEX(EntryWit,$P466)=0,"",INDEX(EntryWit,$P466)))</f>
        <v/>
      </c>
      <c r="J466" s="29">
        <f>IF($B466="","",IF($A466=1,$C$7,IF(J465="",0,J465))+IF($H466="",0,$H466)-IF($I466="",0,$I466))</f>
        <v/>
      </c>
      <c r="K466" s="29">
        <f>IF($P466="","",IF(INDEX(EntryMan,$P466)=0,"",INDEX(EntryMan,$P466)))</f>
        <v/>
      </c>
      <c r="L466" s="28">
        <f>IF($B466="","",IF($K466="","—",IF(ROUND($K466-$J466,0)=0,"√","×")))</f>
        <v/>
      </c>
      <c r="M466" s="28">
        <f>IF($B466="","",IF(COUNTIFS(EntryDates,$B466,CalcTime,$C466,CalcBank,$C$5,EntryParty,$D466,EntryDep,$H466,EntryWit,$I466)&gt;1,"تکرار",""))</f>
        <v/>
      </c>
      <c r="N466" s="28">
        <f>IF($P466="","",IF(INDEX(EntryNotes,$P466)=0,"",INDEX(EntryNotes,$P466)))</f>
        <v/>
      </c>
      <c r="O466" s="28">
        <f>IF($P466="","",IF(INDEX(EntryTxnID,$P466)=0,"",INDEX(EntryTxnID,$P466)))</f>
        <v/>
      </c>
      <c r="P466" s="28">
        <f>IFERROR(MATCH($C$5&amp;"|"&amp;RIGHT("000000"&amp;450,6),CalcRankKey,0),"")</f>
        <v/>
      </c>
    </row>
    <row r="467">
      <c r="A467" s="26">
        <f>IF($B467="","",451)</f>
        <v/>
      </c>
      <c r="B467" s="26">
        <f>IF($P467="","",IF(INDEX(CalcNormDate,$P467)=0,"",INDEX(CalcNormDate,$P467)))</f>
        <v/>
      </c>
      <c r="C467" s="26">
        <f>IF($P467="","",IF(INDEX(CalcTime,$P467)=0,"",INDEX(CalcTime,$P467)))</f>
        <v/>
      </c>
      <c r="D467" s="26">
        <f>IF($P467="","",IF(INDEX(EntryParty,$P467)=0,"",INDEX(EntryParty,$P467)))</f>
        <v/>
      </c>
      <c r="E467" s="26">
        <f>IF($P467="","",IF(INDEX(EntryPartyName,$P467)=0,"",INDEX(EntryPartyName,$P467)))</f>
        <v/>
      </c>
      <c r="F467" s="26">
        <f>IF($P467="","",IF(INDEX(EntryPartyType,$P467)=0,"",INDEX(EntryPartyType,$P467)))</f>
        <v/>
      </c>
      <c r="G467" s="26">
        <f>IF($P467="","",IF(INDEX(EntryTxnType,$P467)=0,"",INDEX(EntryTxnType,$P467)))</f>
        <v/>
      </c>
      <c r="H467" s="27">
        <f>IF($P467="","",IF(INDEX(EntryDep,$P467)=0,"",INDEX(EntryDep,$P467)))</f>
        <v/>
      </c>
      <c r="I467" s="27">
        <f>IF($P467="","",IF(INDEX(EntryWit,$P467)=0,"",INDEX(EntryWit,$P467)))</f>
        <v/>
      </c>
      <c r="J467" s="27">
        <f>IF($B467="","",IF($A467=1,$C$7,IF(J466="",0,J466))+IF($H467="",0,$H467)-IF($I467="",0,$I467))</f>
        <v/>
      </c>
      <c r="K467" s="27">
        <f>IF($P467="","",IF(INDEX(EntryMan,$P467)=0,"",INDEX(EntryMan,$P467)))</f>
        <v/>
      </c>
      <c r="L467" s="26">
        <f>IF($B467="","",IF($K467="","—",IF(ROUND($K467-$J467,0)=0,"√","×")))</f>
        <v/>
      </c>
      <c r="M467" s="26">
        <f>IF($B467="","",IF(COUNTIFS(EntryDates,$B467,CalcTime,$C467,CalcBank,$C$5,EntryParty,$D467,EntryDep,$H467,EntryWit,$I467)&gt;1,"تکرار",""))</f>
        <v/>
      </c>
      <c r="N467" s="26">
        <f>IF($P467="","",IF(INDEX(EntryNotes,$P467)=0,"",INDEX(EntryNotes,$P467)))</f>
        <v/>
      </c>
      <c r="O467" s="26">
        <f>IF($P467="","",IF(INDEX(EntryTxnID,$P467)=0,"",INDEX(EntryTxnID,$P467)))</f>
        <v/>
      </c>
      <c r="P467" s="26">
        <f>IFERROR(MATCH($C$5&amp;"|"&amp;RIGHT("000000"&amp;451,6),CalcRankKey,0),"")</f>
        <v/>
      </c>
    </row>
    <row r="468">
      <c r="A468" s="28">
        <f>IF($B468="","",452)</f>
        <v/>
      </c>
      <c r="B468" s="28">
        <f>IF($P468="","",IF(INDEX(CalcNormDate,$P468)=0,"",INDEX(CalcNormDate,$P468)))</f>
        <v/>
      </c>
      <c r="C468" s="28">
        <f>IF($P468="","",IF(INDEX(CalcTime,$P468)=0,"",INDEX(CalcTime,$P468)))</f>
        <v/>
      </c>
      <c r="D468" s="28">
        <f>IF($P468="","",IF(INDEX(EntryParty,$P468)=0,"",INDEX(EntryParty,$P468)))</f>
        <v/>
      </c>
      <c r="E468" s="28">
        <f>IF($P468="","",IF(INDEX(EntryPartyName,$P468)=0,"",INDEX(EntryPartyName,$P468)))</f>
        <v/>
      </c>
      <c r="F468" s="28">
        <f>IF($P468="","",IF(INDEX(EntryPartyType,$P468)=0,"",INDEX(EntryPartyType,$P468)))</f>
        <v/>
      </c>
      <c r="G468" s="28">
        <f>IF($P468="","",IF(INDEX(EntryTxnType,$P468)=0,"",INDEX(EntryTxnType,$P468)))</f>
        <v/>
      </c>
      <c r="H468" s="29">
        <f>IF($P468="","",IF(INDEX(EntryDep,$P468)=0,"",INDEX(EntryDep,$P468)))</f>
        <v/>
      </c>
      <c r="I468" s="29">
        <f>IF($P468="","",IF(INDEX(EntryWit,$P468)=0,"",INDEX(EntryWit,$P468)))</f>
        <v/>
      </c>
      <c r="J468" s="29">
        <f>IF($B468="","",IF($A468=1,$C$7,IF(J467="",0,J467))+IF($H468="",0,$H468)-IF($I468="",0,$I468))</f>
        <v/>
      </c>
      <c r="K468" s="29">
        <f>IF($P468="","",IF(INDEX(EntryMan,$P468)=0,"",INDEX(EntryMan,$P468)))</f>
        <v/>
      </c>
      <c r="L468" s="28">
        <f>IF($B468="","",IF($K468="","—",IF(ROUND($K468-$J468,0)=0,"√","×")))</f>
        <v/>
      </c>
      <c r="M468" s="28">
        <f>IF($B468="","",IF(COUNTIFS(EntryDates,$B468,CalcTime,$C468,CalcBank,$C$5,EntryParty,$D468,EntryDep,$H468,EntryWit,$I468)&gt;1,"تکرار",""))</f>
        <v/>
      </c>
      <c r="N468" s="28">
        <f>IF($P468="","",IF(INDEX(EntryNotes,$P468)=0,"",INDEX(EntryNotes,$P468)))</f>
        <v/>
      </c>
      <c r="O468" s="28">
        <f>IF($P468="","",IF(INDEX(EntryTxnID,$P468)=0,"",INDEX(EntryTxnID,$P468)))</f>
        <v/>
      </c>
      <c r="P468" s="28">
        <f>IFERROR(MATCH($C$5&amp;"|"&amp;RIGHT("000000"&amp;452,6),CalcRankKey,0),"")</f>
        <v/>
      </c>
    </row>
    <row r="469">
      <c r="A469" s="26">
        <f>IF($B469="","",453)</f>
        <v/>
      </c>
      <c r="B469" s="26">
        <f>IF($P469="","",IF(INDEX(CalcNormDate,$P469)=0,"",INDEX(CalcNormDate,$P469)))</f>
        <v/>
      </c>
      <c r="C469" s="26">
        <f>IF($P469="","",IF(INDEX(CalcTime,$P469)=0,"",INDEX(CalcTime,$P469)))</f>
        <v/>
      </c>
      <c r="D469" s="26">
        <f>IF($P469="","",IF(INDEX(EntryParty,$P469)=0,"",INDEX(EntryParty,$P469)))</f>
        <v/>
      </c>
      <c r="E469" s="26">
        <f>IF($P469="","",IF(INDEX(EntryPartyName,$P469)=0,"",INDEX(EntryPartyName,$P469)))</f>
        <v/>
      </c>
      <c r="F469" s="26">
        <f>IF($P469="","",IF(INDEX(EntryPartyType,$P469)=0,"",INDEX(EntryPartyType,$P469)))</f>
        <v/>
      </c>
      <c r="G469" s="26">
        <f>IF($P469="","",IF(INDEX(EntryTxnType,$P469)=0,"",INDEX(EntryTxnType,$P469)))</f>
        <v/>
      </c>
      <c r="H469" s="27">
        <f>IF($P469="","",IF(INDEX(EntryDep,$P469)=0,"",INDEX(EntryDep,$P469)))</f>
        <v/>
      </c>
      <c r="I469" s="27">
        <f>IF($P469="","",IF(INDEX(EntryWit,$P469)=0,"",INDEX(EntryWit,$P469)))</f>
        <v/>
      </c>
      <c r="J469" s="27">
        <f>IF($B469="","",IF($A469=1,$C$7,IF(J468="",0,J468))+IF($H469="",0,$H469)-IF($I469="",0,$I469))</f>
        <v/>
      </c>
      <c r="K469" s="27">
        <f>IF($P469="","",IF(INDEX(EntryMan,$P469)=0,"",INDEX(EntryMan,$P469)))</f>
        <v/>
      </c>
      <c r="L469" s="26">
        <f>IF($B469="","",IF($K469="","—",IF(ROUND($K469-$J469,0)=0,"√","×")))</f>
        <v/>
      </c>
      <c r="M469" s="26">
        <f>IF($B469="","",IF(COUNTIFS(EntryDates,$B469,CalcTime,$C469,CalcBank,$C$5,EntryParty,$D469,EntryDep,$H469,EntryWit,$I469)&gt;1,"تکرار",""))</f>
        <v/>
      </c>
      <c r="N469" s="26">
        <f>IF($P469="","",IF(INDEX(EntryNotes,$P469)=0,"",INDEX(EntryNotes,$P469)))</f>
        <v/>
      </c>
      <c r="O469" s="26">
        <f>IF($P469="","",IF(INDEX(EntryTxnID,$P469)=0,"",INDEX(EntryTxnID,$P469)))</f>
        <v/>
      </c>
      <c r="P469" s="26">
        <f>IFERROR(MATCH($C$5&amp;"|"&amp;RIGHT("000000"&amp;453,6),CalcRankKey,0),"")</f>
        <v/>
      </c>
    </row>
    <row r="470">
      <c r="A470" s="28">
        <f>IF($B470="","",454)</f>
        <v/>
      </c>
      <c r="B470" s="28">
        <f>IF($P470="","",IF(INDEX(CalcNormDate,$P470)=0,"",INDEX(CalcNormDate,$P470)))</f>
        <v/>
      </c>
      <c r="C470" s="28">
        <f>IF($P470="","",IF(INDEX(CalcTime,$P470)=0,"",INDEX(CalcTime,$P470)))</f>
        <v/>
      </c>
      <c r="D470" s="28">
        <f>IF($P470="","",IF(INDEX(EntryParty,$P470)=0,"",INDEX(EntryParty,$P470)))</f>
        <v/>
      </c>
      <c r="E470" s="28">
        <f>IF($P470="","",IF(INDEX(EntryPartyName,$P470)=0,"",INDEX(EntryPartyName,$P470)))</f>
        <v/>
      </c>
      <c r="F470" s="28">
        <f>IF($P470="","",IF(INDEX(EntryPartyType,$P470)=0,"",INDEX(EntryPartyType,$P470)))</f>
        <v/>
      </c>
      <c r="G470" s="28">
        <f>IF($P470="","",IF(INDEX(EntryTxnType,$P470)=0,"",INDEX(EntryTxnType,$P470)))</f>
        <v/>
      </c>
      <c r="H470" s="29">
        <f>IF($P470="","",IF(INDEX(EntryDep,$P470)=0,"",INDEX(EntryDep,$P470)))</f>
        <v/>
      </c>
      <c r="I470" s="29">
        <f>IF($P470="","",IF(INDEX(EntryWit,$P470)=0,"",INDEX(EntryWit,$P470)))</f>
        <v/>
      </c>
      <c r="J470" s="29">
        <f>IF($B470="","",IF($A470=1,$C$7,IF(J469="",0,J469))+IF($H470="",0,$H470)-IF($I470="",0,$I470))</f>
        <v/>
      </c>
      <c r="K470" s="29">
        <f>IF($P470="","",IF(INDEX(EntryMan,$P470)=0,"",INDEX(EntryMan,$P470)))</f>
        <v/>
      </c>
      <c r="L470" s="28">
        <f>IF($B470="","",IF($K470="","—",IF(ROUND($K470-$J470,0)=0,"√","×")))</f>
        <v/>
      </c>
      <c r="M470" s="28">
        <f>IF($B470="","",IF(COUNTIFS(EntryDates,$B470,CalcTime,$C470,CalcBank,$C$5,EntryParty,$D470,EntryDep,$H470,EntryWit,$I470)&gt;1,"تکرار",""))</f>
        <v/>
      </c>
      <c r="N470" s="28">
        <f>IF($P470="","",IF(INDEX(EntryNotes,$P470)=0,"",INDEX(EntryNotes,$P470)))</f>
        <v/>
      </c>
      <c r="O470" s="28">
        <f>IF($P470="","",IF(INDEX(EntryTxnID,$P470)=0,"",INDEX(EntryTxnID,$P470)))</f>
        <v/>
      </c>
      <c r="P470" s="28">
        <f>IFERROR(MATCH($C$5&amp;"|"&amp;RIGHT("000000"&amp;454,6),CalcRankKey,0),"")</f>
        <v/>
      </c>
    </row>
    <row r="471">
      <c r="A471" s="26">
        <f>IF($B471="","",455)</f>
        <v/>
      </c>
      <c r="B471" s="26">
        <f>IF($P471="","",IF(INDEX(CalcNormDate,$P471)=0,"",INDEX(CalcNormDate,$P471)))</f>
        <v/>
      </c>
      <c r="C471" s="26">
        <f>IF($P471="","",IF(INDEX(CalcTime,$P471)=0,"",INDEX(CalcTime,$P471)))</f>
        <v/>
      </c>
      <c r="D471" s="26">
        <f>IF($P471="","",IF(INDEX(EntryParty,$P471)=0,"",INDEX(EntryParty,$P471)))</f>
        <v/>
      </c>
      <c r="E471" s="26">
        <f>IF($P471="","",IF(INDEX(EntryPartyName,$P471)=0,"",INDEX(EntryPartyName,$P471)))</f>
        <v/>
      </c>
      <c r="F471" s="26">
        <f>IF($P471="","",IF(INDEX(EntryPartyType,$P471)=0,"",INDEX(EntryPartyType,$P471)))</f>
        <v/>
      </c>
      <c r="G471" s="26">
        <f>IF($P471="","",IF(INDEX(EntryTxnType,$P471)=0,"",INDEX(EntryTxnType,$P471)))</f>
        <v/>
      </c>
      <c r="H471" s="27">
        <f>IF($P471="","",IF(INDEX(EntryDep,$P471)=0,"",INDEX(EntryDep,$P471)))</f>
        <v/>
      </c>
      <c r="I471" s="27">
        <f>IF($P471="","",IF(INDEX(EntryWit,$P471)=0,"",INDEX(EntryWit,$P471)))</f>
        <v/>
      </c>
      <c r="J471" s="27">
        <f>IF($B471="","",IF($A471=1,$C$7,IF(J470="",0,J470))+IF($H471="",0,$H471)-IF($I471="",0,$I471))</f>
        <v/>
      </c>
      <c r="K471" s="27">
        <f>IF($P471="","",IF(INDEX(EntryMan,$P471)=0,"",INDEX(EntryMan,$P471)))</f>
        <v/>
      </c>
      <c r="L471" s="26">
        <f>IF($B471="","",IF($K471="","—",IF(ROUND($K471-$J471,0)=0,"√","×")))</f>
        <v/>
      </c>
      <c r="M471" s="26">
        <f>IF($B471="","",IF(COUNTIFS(EntryDates,$B471,CalcTime,$C471,CalcBank,$C$5,EntryParty,$D471,EntryDep,$H471,EntryWit,$I471)&gt;1,"تکرار",""))</f>
        <v/>
      </c>
      <c r="N471" s="26">
        <f>IF($P471="","",IF(INDEX(EntryNotes,$P471)=0,"",INDEX(EntryNotes,$P471)))</f>
        <v/>
      </c>
      <c r="O471" s="26">
        <f>IF($P471="","",IF(INDEX(EntryTxnID,$P471)=0,"",INDEX(EntryTxnID,$P471)))</f>
        <v/>
      </c>
      <c r="P471" s="26">
        <f>IFERROR(MATCH($C$5&amp;"|"&amp;RIGHT("000000"&amp;455,6),CalcRankKey,0),"")</f>
        <v/>
      </c>
    </row>
    <row r="472">
      <c r="A472" s="28">
        <f>IF($B472="","",456)</f>
        <v/>
      </c>
      <c r="B472" s="28">
        <f>IF($P472="","",IF(INDEX(CalcNormDate,$P472)=0,"",INDEX(CalcNormDate,$P472)))</f>
        <v/>
      </c>
      <c r="C472" s="28">
        <f>IF($P472="","",IF(INDEX(CalcTime,$P472)=0,"",INDEX(CalcTime,$P472)))</f>
        <v/>
      </c>
      <c r="D472" s="28">
        <f>IF($P472="","",IF(INDEX(EntryParty,$P472)=0,"",INDEX(EntryParty,$P472)))</f>
        <v/>
      </c>
      <c r="E472" s="28">
        <f>IF($P472="","",IF(INDEX(EntryPartyName,$P472)=0,"",INDEX(EntryPartyName,$P472)))</f>
        <v/>
      </c>
      <c r="F472" s="28">
        <f>IF($P472="","",IF(INDEX(EntryPartyType,$P472)=0,"",INDEX(EntryPartyType,$P472)))</f>
        <v/>
      </c>
      <c r="G472" s="28">
        <f>IF($P472="","",IF(INDEX(EntryTxnType,$P472)=0,"",INDEX(EntryTxnType,$P472)))</f>
        <v/>
      </c>
      <c r="H472" s="29">
        <f>IF($P472="","",IF(INDEX(EntryDep,$P472)=0,"",INDEX(EntryDep,$P472)))</f>
        <v/>
      </c>
      <c r="I472" s="29">
        <f>IF($P472="","",IF(INDEX(EntryWit,$P472)=0,"",INDEX(EntryWit,$P472)))</f>
        <v/>
      </c>
      <c r="J472" s="29">
        <f>IF($B472="","",IF($A472=1,$C$7,IF(J471="",0,J471))+IF($H472="",0,$H472)-IF($I472="",0,$I472))</f>
        <v/>
      </c>
      <c r="K472" s="29">
        <f>IF($P472="","",IF(INDEX(EntryMan,$P472)=0,"",INDEX(EntryMan,$P472)))</f>
        <v/>
      </c>
      <c r="L472" s="28">
        <f>IF($B472="","",IF($K472="","—",IF(ROUND($K472-$J472,0)=0,"√","×")))</f>
        <v/>
      </c>
      <c r="M472" s="28">
        <f>IF($B472="","",IF(COUNTIFS(EntryDates,$B472,CalcTime,$C472,CalcBank,$C$5,EntryParty,$D472,EntryDep,$H472,EntryWit,$I472)&gt;1,"تکرار",""))</f>
        <v/>
      </c>
      <c r="N472" s="28">
        <f>IF($P472="","",IF(INDEX(EntryNotes,$P472)=0,"",INDEX(EntryNotes,$P472)))</f>
        <v/>
      </c>
      <c r="O472" s="28">
        <f>IF($P472="","",IF(INDEX(EntryTxnID,$P472)=0,"",INDEX(EntryTxnID,$P472)))</f>
        <v/>
      </c>
      <c r="P472" s="28">
        <f>IFERROR(MATCH($C$5&amp;"|"&amp;RIGHT("000000"&amp;456,6),CalcRankKey,0),"")</f>
        <v/>
      </c>
    </row>
    <row r="473">
      <c r="A473" s="26">
        <f>IF($B473="","",457)</f>
        <v/>
      </c>
      <c r="B473" s="26">
        <f>IF($P473="","",IF(INDEX(CalcNormDate,$P473)=0,"",INDEX(CalcNormDate,$P473)))</f>
        <v/>
      </c>
      <c r="C473" s="26">
        <f>IF($P473="","",IF(INDEX(CalcTime,$P473)=0,"",INDEX(CalcTime,$P473)))</f>
        <v/>
      </c>
      <c r="D473" s="26">
        <f>IF($P473="","",IF(INDEX(EntryParty,$P473)=0,"",INDEX(EntryParty,$P473)))</f>
        <v/>
      </c>
      <c r="E473" s="26">
        <f>IF($P473="","",IF(INDEX(EntryPartyName,$P473)=0,"",INDEX(EntryPartyName,$P473)))</f>
        <v/>
      </c>
      <c r="F473" s="26">
        <f>IF($P473="","",IF(INDEX(EntryPartyType,$P473)=0,"",INDEX(EntryPartyType,$P473)))</f>
        <v/>
      </c>
      <c r="G473" s="26">
        <f>IF($P473="","",IF(INDEX(EntryTxnType,$P473)=0,"",INDEX(EntryTxnType,$P473)))</f>
        <v/>
      </c>
      <c r="H473" s="27">
        <f>IF($P473="","",IF(INDEX(EntryDep,$P473)=0,"",INDEX(EntryDep,$P473)))</f>
        <v/>
      </c>
      <c r="I473" s="27">
        <f>IF($P473="","",IF(INDEX(EntryWit,$P473)=0,"",INDEX(EntryWit,$P473)))</f>
        <v/>
      </c>
      <c r="J473" s="27">
        <f>IF($B473="","",IF($A473=1,$C$7,IF(J472="",0,J472))+IF($H473="",0,$H473)-IF($I473="",0,$I473))</f>
        <v/>
      </c>
      <c r="K473" s="27">
        <f>IF($P473="","",IF(INDEX(EntryMan,$P473)=0,"",INDEX(EntryMan,$P473)))</f>
        <v/>
      </c>
      <c r="L473" s="26">
        <f>IF($B473="","",IF($K473="","—",IF(ROUND($K473-$J473,0)=0,"√","×")))</f>
        <v/>
      </c>
      <c r="M473" s="26">
        <f>IF($B473="","",IF(COUNTIFS(EntryDates,$B473,CalcTime,$C473,CalcBank,$C$5,EntryParty,$D473,EntryDep,$H473,EntryWit,$I473)&gt;1,"تکرار",""))</f>
        <v/>
      </c>
      <c r="N473" s="26">
        <f>IF($P473="","",IF(INDEX(EntryNotes,$P473)=0,"",INDEX(EntryNotes,$P473)))</f>
        <v/>
      </c>
      <c r="O473" s="26">
        <f>IF($P473="","",IF(INDEX(EntryTxnID,$P473)=0,"",INDEX(EntryTxnID,$P473)))</f>
        <v/>
      </c>
      <c r="P473" s="26">
        <f>IFERROR(MATCH($C$5&amp;"|"&amp;RIGHT("000000"&amp;457,6),CalcRankKey,0),"")</f>
        <v/>
      </c>
    </row>
    <row r="474">
      <c r="A474" s="28">
        <f>IF($B474="","",458)</f>
        <v/>
      </c>
      <c r="B474" s="28">
        <f>IF($P474="","",IF(INDEX(CalcNormDate,$P474)=0,"",INDEX(CalcNormDate,$P474)))</f>
        <v/>
      </c>
      <c r="C474" s="28">
        <f>IF($P474="","",IF(INDEX(CalcTime,$P474)=0,"",INDEX(CalcTime,$P474)))</f>
        <v/>
      </c>
      <c r="D474" s="28">
        <f>IF($P474="","",IF(INDEX(EntryParty,$P474)=0,"",INDEX(EntryParty,$P474)))</f>
        <v/>
      </c>
      <c r="E474" s="28">
        <f>IF($P474="","",IF(INDEX(EntryPartyName,$P474)=0,"",INDEX(EntryPartyName,$P474)))</f>
        <v/>
      </c>
      <c r="F474" s="28">
        <f>IF($P474="","",IF(INDEX(EntryPartyType,$P474)=0,"",INDEX(EntryPartyType,$P474)))</f>
        <v/>
      </c>
      <c r="G474" s="28">
        <f>IF($P474="","",IF(INDEX(EntryTxnType,$P474)=0,"",INDEX(EntryTxnType,$P474)))</f>
        <v/>
      </c>
      <c r="H474" s="29">
        <f>IF($P474="","",IF(INDEX(EntryDep,$P474)=0,"",INDEX(EntryDep,$P474)))</f>
        <v/>
      </c>
      <c r="I474" s="29">
        <f>IF($P474="","",IF(INDEX(EntryWit,$P474)=0,"",INDEX(EntryWit,$P474)))</f>
        <v/>
      </c>
      <c r="J474" s="29">
        <f>IF($B474="","",IF($A474=1,$C$7,IF(J473="",0,J473))+IF($H474="",0,$H474)-IF($I474="",0,$I474))</f>
        <v/>
      </c>
      <c r="K474" s="29">
        <f>IF($P474="","",IF(INDEX(EntryMan,$P474)=0,"",INDEX(EntryMan,$P474)))</f>
        <v/>
      </c>
      <c r="L474" s="28">
        <f>IF($B474="","",IF($K474="","—",IF(ROUND($K474-$J474,0)=0,"√","×")))</f>
        <v/>
      </c>
      <c r="M474" s="28">
        <f>IF($B474="","",IF(COUNTIFS(EntryDates,$B474,CalcTime,$C474,CalcBank,$C$5,EntryParty,$D474,EntryDep,$H474,EntryWit,$I474)&gt;1,"تکرار",""))</f>
        <v/>
      </c>
      <c r="N474" s="28">
        <f>IF($P474="","",IF(INDEX(EntryNotes,$P474)=0,"",INDEX(EntryNotes,$P474)))</f>
        <v/>
      </c>
      <c r="O474" s="28">
        <f>IF($P474="","",IF(INDEX(EntryTxnID,$P474)=0,"",INDEX(EntryTxnID,$P474)))</f>
        <v/>
      </c>
      <c r="P474" s="28">
        <f>IFERROR(MATCH($C$5&amp;"|"&amp;RIGHT("000000"&amp;458,6),CalcRankKey,0),"")</f>
        <v/>
      </c>
    </row>
    <row r="475">
      <c r="A475" s="26">
        <f>IF($B475="","",459)</f>
        <v/>
      </c>
      <c r="B475" s="26">
        <f>IF($P475="","",IF(INDEX(CalcNormDate,$P475)=0,"",INDEX(CalcNormDate,$P475)))</f>
        <v/>
      </c>
      <c r="C475" s="26">
        <f>IF($P475="","",IF(INDEX(CalcTime,$P475)=0,"",INDEX(CalcTime,$P475)))</f>
        <v/>
      </c>
      <c r="D475" s="26">
        <f>IF($P475="","",IF(INDEX(EntryParty,$P475)=0,"",INDEX(EntryParty,$P475)))</f>
        <v/>
      </c>
      <c r="E475" s="26">
        <f>IF($P475="","",IF(INDEX(EntryPartyName,$P475)=0,"",INDEX(EntryPartyName,$P475)))</f>
        <v/>
      </c>
      <c r="F475" s="26">
        <f>IF($P475="","",IF(INDEX(EntryPartyType,$P475)=0,"",INDEX(EntryPartyType,$P475)))</f>
        <v/>
      </c>
      <c r="G475" s="26">
        <f>IF($P475="","",IF(INDEX(EntryTxnType,$P475)=0,"",INDEX(EntryTxnType,$P475)))</f>
        <v/>
      </c>
      <c r="H475" s="27">
        <f>IF($P475="","",IF(INDEX(EntryDep,$P475)=0,"",INDEX(EntryDep,$P475)))</f>
        <v/>
      </c>
      <c r="I475" s="27">
        <f>IF($P475="","",IF(INDEX(EntryWit,$P475)=0,"",INDEX(EntryWit,$P475)))</f>
        <v/>
      </c>
      <c r="J475" s="27">
        <f>IF($B475="","",IF($A475=1,$C$7,IF(J474="",0,J474))+IF($H475="",0,$H475)-IF($I475="",0,$I475))</f>
        <v/>
      </c>
      <c r="K475" s="27">
        <f>IF($P475="","",IF(INDEX(EntryMan,$P475)=0,"",INDEX(EntryMan,$P475)))</f>
        <v/>
      </c>
      <c r="L475" s="26">
        <f>IF($B475="","",IF($K475="","—",IF(ROUND($K475-$J475,0)=0,"√","×")))</f>
        <v/>
      </c>
      <c r="M475" s="26">
        <f>IF($B475="","",IF(COUNTIFS(EntryDates,$B475,CalcTime,$C475,CalcBank,$C$5,EntryParty,$D475,EntryDep,$H475,EntryWit,$I475)&gt;1,"تکرار",""))</f>
        <v/>
      </c>
      <c r="N475" s="26">
        <f>IF($P475="","",IF(INDEX(EntryNotes,$P475)=0,"",INDEX(EntryNotes,$P475)))</f>
        <v/>
      </c>
      <c r="O475" s="26">
        <f>IF($P475="","",IF(INDEX(EntryTxnID,$P475)=0,"",INDEX(EntryTxnID,$P475)))</f>
        <v/>
      </c>
      <c r="P475" s="26">
        <f>IFERROR(MATCH($C$5&amp;"|"&amp;RIGHT("000000"&amp;459,6),CalcRankKey,0),"")</f>
        <v/>
      </c>
    </row>
    <row r="476">
      <c r="A476" s="28">
        <f>IF($B476="","",460)</f>
        <v/>
      </c>
      <c r="B476" s="28">
        <f>IF($P476="","",IF(INDEX(CalcNormDate,$P476)=0,"",INDEX(CalcNormDate,$P476)))</f>
        <v/>
      </c>
      <c r="C476" s="28">
        <f>IF($P476="","",IF(INDEX(CalcTime,$P476)=0,"",INDEX(CalcTime,$P476)))</f>
        <v/>
      </c>
      <c r="D476" s="28">
        <f>IF($P476="","",IF(INDEX(EntryParty,$P476)=0,"",INDEX(EntryParty,$P476)))</f>
        <v/>
      </c>
      <c r="E476" s="28">
        <f>IF($P476="","",IF(INDEX(EntryPartyName,$P476)=0,"",INDEX(EntryPartyName,$P476)))</f>
        <v/>
      </c>
      <c r="F476" s="28">
        <f>IF($P476="","",IF(INDEX(EntryPartyType,$P476)=0,"",INDEX(EntryPartyType,$P476)))</f>
        <v/>
      </c>
      <c r="G476" s="28">
        <f>IF($P476="","",IF(INDEX(EntryTxnType,$P476)=0,"",INDEX(EntryTxnType,$P476)))</f>
        <v/>
      </c>
      <c r="H476" s="29">
        <f>IF($P476="","",IF(INDEX(EntryDep,$P476)=0,"",INDEX(EntryDep,$P476)))</f>
        <v/>
      </c>
      <c r="I476" s="29">
        <f>IF($P476="","",IF(INDEX(EntryWit,$P476)=0,"",INDEX(EntryWit,$P476)))</f>
        <v/>
      </c>
      <c r="J476" s="29">
        <f>IF($B476="","",IF($A476=1,$C$7,IF(J475="",0,J475))+IF($H476="",0,$H476)-IF($I476="",0,$I476))</f>
        <v/>
      </c>
      <c r="K476" s="29">
        <f>IF($P476="","",IF(INDEX(EntryMan,$P476)=0,"",INDEX(EntryMan,$P476)))</f>
        <v/>
      </c>
      <c r="L476" s="28">
        <f>IF($B476="","",IF($K476="","—",IF(ROUND($K476-$J476,0)=0,"√","×")))</f>
        <v/>
      </c>
      <c r="M476" s="28">
        <f>IF($B476="","",IF(COUNTIFS(EntryDates,$B476,CalcTime,$C476,CalcBank,$C$5,EntryParty,$D476,EntryDep,$H476,EntryWit,$I476)&gt;1,"تکرار",""))</f>
        <v/>
      </c>
      <c r="N476" s="28">
        <f>IF($P476="","",IF(INDEX(EntryNotes,$P476)=0,"",INDEX(EntryNotes,$P476)))</f>
        <v/>
      </c>
      <c r="O476" s="28">
        <f>IF($P476="","",IF(INDEX(EntryTxnID,$P476)=0,"",INDEX(EntryTxnID,$P476)))</f>
        <v/>
      </c>
      <c r="P476" s="28">
        <f>IFERROR(MATCH($C$5&amp;"|"&amp;RIGHT("000000"&amp;460,6),CalcRankKey,0),"")</f>
        <v/>
      </c>
    </row>
    <row r="477">
      <c r="A477" s="26">
        <f>IF($B477="","",461)</f>
        <v/>
      </c>
      <c r="B477" s="26">
        <f>IF($P477="","",IF(INDEX(CalcNormDate,$P477)=0,"",INDEX(CalcNormDate,$P477)))</f>
        <v/>
      </c>
      <c r="C477" s="26">
        <f>IF($P477="","",IF(INDEX(CalcTime,$P477)=0,"",INDEX(CalcTime,$P477)))</f>
        <v/>
      </c>
      <c r="D477" s="26">
        <f>IF($P477="","",IF(INDEX(EntryParty,$P477)=0,"",INDEX(EntryParty,$P477)))</f>
        <v/>
      </c>
      <c r="E477" s="26">
        <f>IF($P477="","",IF(INDEX(EntryPartyName,$P477)=0,"",INDEX(EntryPartyName,$P477)))</f>
        <v/>
      </c>
      <c r="F477" s="26">
        <f>IF($P477="","",IF(INDEX(EntryPartyType,$P477)=0,"",INDEX(EntryPartyType,$P477)))</f>
        <v/>
      </c>
      <c r="G477" s="26">
        <f>IF($P477="","",IF(INDEX(EntryTxnType,$P477)=0,"",INDEX(EntryTxnType,$P477)))</f>
        <v/>
      </c>
      <c r="H477" s="27">
        <f>IF($P477="","",IF(INDEX(EntryDep,$P477)=0,"",INDEX(EntryDep,$P477)))</f>
        <v/>
      </c>
      <c r="I477" s="27">
        <f>IF($P477="","",IF(INDEX(EntryWit,$P477)=0,"",INDEX(EntryWit,$P477)))</f>
        <v/>
      </c>
      <c r="J477" s="27">
        <f>IF($B477="","",IF($A477=1,$C$7,IF(J476="",0,J476))+IF($H477="",0,$H477)-IF($I477="",0,$I477))</f>
        <v/>
      </c>
      <c r="K477" s="27">
        <f>IF($P477="","",IF(INDEX(EntryMan,$P477)=0,"",INDEX(EntryMan,$P477)))</f>
        <v/>
      </c>
      <c r="L477" s="26">
        <f>IF($B477="","",IF($K477="","—",IF(ROUND($K477-$J477,0)=0,"√","×")))</f>
        <v/>
      </c>
      <c r="M477" s="26">
        <f>IF($B477="","",IF(COUNTIFS(EntryDates,$B477,CalcTime,$C477,CalcBank,$C$5,EntryParty,$D477,EntryDep,$H477,EntryWit,$I477)&gt;1,"تکرار",""))</f>
        <v/>
      </c>
      <c r="N477" s="26">
        <f>IF($P477="","",IF(INDEX(EntryNotes,$P477)=0,"",INDEX(EntryNotes,$P477)))</f>
        <v/>
      </c>
      <c r="O477" s="26">
        <f>IF($P477="","",IF(INDEX(EntryTxnID,$P477)=0,"",INDEX(EntryTxnID,$P477)))</f>
        <v/>
      </c>
      <c r="P477" s="26">
        <f>IFERROR(MATCH($C$5&amp;"|"&amp;RIGHT("000000"&amp;461,6),CalcRankKey,0),"")</f>
        <v/>
      </c>
    </row>
    <row r="478">
      <c r="A478" s="28">
        <f>IF($B478="","",462)</f>
        <v/>
      </c>
      <c r="B478" s="28">
        <f>IF($P478="","",IF(INDEX(CalcNormDate,$P478)=0,"",INDEX(CalcNormDate,$P478)))</f>
        <v/>
      </c>
      <c r="C478" s="28">
        <f>IF($P478="","",IF(INDEX(CalcTime,$P478)=0,"",INDEX(CalcTime,$P478)))</f>
        <v/>
      </c>
      <c r="D478" s="28">
        <f>IF($P478="","",IF(INDEX(EntryParty,$P478)=0,"",INDEX(EntryParty,$P478)))</f>
        <v/>
      </c>
      <c r="E478" s="28">
        <f>IF($P478="","",IF(INDEX(EntryPartyName,$P478)=0,"",INDEX(EntryPartyName,$P478)))</f>
        <v/>
      </c>
      <c r="F478" s="28">
        <f>IF($P478="","",IF(INDEX(EntryPartyType,$P478)=0,"",INDEX(EntryPartyType,$P478)))</f>
        <v/>
      </c>
      <c r="G478" s="28">
        <f>IF($P478="","",IF(INDEX(EntryTxnType,$P478)=0,"",INDEX(EntryTxnType,$P478)))</f>
        <v/>
      </c>
      <c r="H478" s="29">
        <f>IF($P478="","",IF(INDEX(EntryDep,$P478)=0,"",INDEX(EntryDep,$P478)))</f>
        <v/>
      </c>
      <c r="I478" s="29">
        <f>IF($P478="","",IF(INDEX(EntryWit,$P478)=0,"",INDEX(EntryWit,$P478)))</f>
        <v/>
      </c>
      <c r="J478" s="29">
        <f>IF($B478="","",IF($A478=1,$C$7,IF(J477="",0,J477))+IF($H478="",0,$H478)-IF($I478="",0,$I478))</f>
        <v/>
      </c>
      <c r="K478" s="29">
        <f>IF($P478="","",IF(INDEX(EntryMan,$P478)=0,"",INDEX(EntryMan,$P478)))</f>
        <v/>
      </c>
      <c r="L478" s="28">
        <f>IF($B478="","",IF($K478="","—",IF(ROUND($K478-$J478,0)=0,"√","×")))</f>
        <v/>
      </c>
      <c r="M478" s="28">
        <f>IF($B478="","",IF(COUNTIFS(EntryDates,$B478,CalcTime,$C478,CalcBank,$C$5,EntryParty,$D478,EntryDep,$H478,EntryWit,$I478)&gt;1,"تکرار",""))</f>
        <v/>
      </c>
      <c r="N478" s="28">
        <f>IF($P478="","",IF(INDEX(EntryNotes,$P478)=0,"",INDEX(EntryNotes,$P478)))</f>
        <v/>
      </c>
      <c r="O478" s="28">
        <f>IF($P478="","",IF(INDEX(EntryTxnID,$P478)=0,"",INDEX(EntryTxnID,$P478)))</f>
        <v/>
      </c>
      <c r="P478" s="28">
        <f>IFERROR(MATCH($C$5&amp;"|"&amp;RIGHT("000000"&amp;462,6),CalcRankKey,0),"")</f>
        <v/>
      </c>
    </row>
    <row r="479">
      <c r="A479" s="26">
        <f>IF($B479="","",463)</f>
        <v/>
      </c>
      <c r="B479" s="26">
        <f>IF($P479="","",IF(INDEX(CalcNormDate,$P479)=0,"",INDEX(CalcNormDate,$P479)))</f>
        <v/>
      </c>
      <c r="C479" s="26">
        <f>IF($P479="","",IF(INDEX(CalcTime,$P479)=0,"",INDEX(CalcTime,$P479)))</f>
        <v/>
      </c>
      <c r="D479" s="26">
        <f>IF($P479="","",IF(INDEX(EntryParty,$P479)=0,"",INDEX(EntryParty,$P479)))</f>
        <v/>
      </c>
      <c r="E479" s="26">
        <f>IF($P479="","",IF(INDEX(EntryPartyName,$P479)=0,"",INDEX(EntryPartyName,$P479)))</f>
        <v/>
      </c>
      <c r="F479" s="26">
        <f>IF($P479="","",IF(INDEX(EntryPartyType,$P479)=0,"",INDEX(EntryPartyType,$P479)))</f>
        <v/>
      </c>
      <c r="G479" s="26">
        <f>IF($P479="","",IF(INDEX(EntryTxnType,$P479)=0,"",INDEX(EntryTxnType,$P479)))</f>
        <v/>
      </c>
      <c r="H479" s="27">
        <f>IF($P479="","",IF(INDEX(EntryDep,$P479)=0,"",INDEX(EntryDep,$P479)))</f>
        <v/>
      </c>
      <c r="I479" s="27">
        <f>IF($P479="","",IF(INDEX(EntryWit,$P479)=0,"",INDEX(EntryWit,$P479)))</f>
        <v/>
      </c>
      <c r="J479" s="27">
        <f>IF($B479="","",IF($A479=1,$C$7,IF(J478="",0,J478))+IF($H479="",0,$H479)-IF($I479="",0,$I479))</f>
        <v/>
      </c>
      <c r="K479" s="27">
        <f>IF($P479="","",IF(INDEX(EntryMan,$P479)=0,"",INDEX(EntryMan,$P479)))</f>
        <v/>
      </c>
      <c r="L479" s="26">
        <f>IF($B479="","",IF($K479="","—",IF(ROUND($K479-$J479,0)=0,"√","×")))</f>
        <v/>
      </c>
      <c r="M479" s="26">
        <f>IF($B479="","",IF(COUNTIFS(EntryDates,$B479,CalcTime,$C479,CalcBank,$C$5,EntryParty,$D479,EntryDep,$H479,EntryWit,$I479)&gt;1,"تکرار",""))</f>
        <v/>
      </c>
      <c r="N479" s="26">
        <f>IF($P479="","",IF(INDEX(EntryNotes,$P479)=0,"",INDEX(EntryNotes,$P479)))</f>
        <v/>
      </c>
      <c r="O479" s="26">
        <f>IF($P479="","",IF(INDEX(EntryTxnID,$P479)=0,"",INDEX(EntryTxnID,$P479)))</f>
        <v/>
      </c>
      <c r="P479" s="26">
        <f>IFERROR(MATCH($C$5&amp;"|"&amp;RIGHT("000000"&amp;463,6),CalcRankKey,0),"")</f>
        <v/>
      </c>
    </row>
    <row r="480">
      <c r="A480" s="28">
        <f>IF($B480="","",464)</f>
        <v/>
      </c>
      <c r="B480" s="28">
        <f>IF($P480="","",IF(INDEX(CalcNormDate,$P480)=0,"",INDEX(CalcNormDate,$P480)))</f>
        <v/>
      </c>
      <c r="C480" s="28">
        <f>IF($P480="","",IF(INDEX(CalcTime,$P480)=0,"",INDEX(CalcTime,$P480)))</f>
        <v/>
      </c>
      <c r="D480" s="28">
        <f>IF($P480="","",IF(INDEX(EntryParty,$P480)=0,"",INDEX(EntryParty,$P480)))</f>
        <v/>
      </c>
      <c r="E480" s="28">
        <f>IF($P480="","",IF(INDEX(EntryPartyName,$P480)=0,"",INDEX(EntryPartyName,$P480)))</f>
        <v/>
      </c>
      <c r="F480" s="28">
        <f>IF($P480="","",IF(INDEX(EntryPartyType,$P480)=0,"",INDEX(EntryPartyType,$P480)))</f>
        <v/>
      </c>
      <c r="G480" s="28">
        <f>IF($P480="","",IF(INDEX(EntryTxnType,$P480)=0,"",INDEX(EntryTxnType,$P480)))</f>
        <v/>
      </c>
      <c r="H480" s="29">
        <f>IF($P480="","",IF(INDEX(EntryDep,$P480)=0,"",INDEX(EntryDep,$P480)))</f>
        <v/>
      </c>
      <c r="I480" s="29">
        <f>IF($P480="","",IF(INDEX(EntryWit,$P480)=0,"",INDEX(EntryWit,$P480)))</f>
        <v/>
      </c>
      <c r="J480" s="29">
        <f>IF($B480="","",IF($A480=1,$C$7,IF(J479="",0,J479))+IF($H480="",0,$H480)-IF($I480="",0,$I480))</f>
        <v/>
      </c>
      <c r="K480" s="29">
        <f>IF($P480="","",IF(INDEX(EntryMan,$P480)=0,"",INDEX(EntryMan,$P480)))</f>
        <v/>
      </c>
      <c r="L480" s="28">
        <f>IF($B480="","",IF($K480="","—",IF(ROUND($K480-$J480,0)=0,"√","×")))</f>
        <v/>
      </c>
      <c r="M480" s="28">
        <f>IF($B480="","",IF(COUNTIFS(EntryDates,$B480,CalcTime,$C480,CalcBank,$C$5,EntryParty,$D480,EntryDep,$H480,EntryWit,$I480)&gt;1,"تکرار",""))</f>
        <v/>
      </c>
      <c r="N480" s="28">
        <f>IF($P480="","",IF(INDEX(EntryNotes,$P480)=0,"",INDEX(EntryNotes,$P480)))</f>
        <v/>
      </c>
      <c r="O480" s="28">
        <f>IF($P480="","",IF(INDEX(EntryTxnID,$P480)=0,"",INDEX(EntryTxnID,$P480)))</f>
        <v/>
      </c>
      <c r="P480" s="28">
        <f>IFERROR(MATCH($C$5&amp;"|"&amp;RIGHT("000000"&amp;464,6),CalcRankKey,0),"")</f>
        <v/>
      </c>
    </row>
    <row r="481">
      <c r="A481" s="26">
        <f>IF($B481="","",465)</f>
        <v/>
      </c>
      <c r="B481" s="26">
        <f>IF($P481="","",IF(INDEX(CalcNormDate,$P481)=0,"",INDEX(CalcNormDate,$P481)))</f>
        <v/>
      </c>
      <c r="C481" s="26">
        <f>IF($P481="","",IF(INDEX(CalcTime,$P481)=0,"",INDEX(CalcTime,$P481)))</f>
        <v/>
      </c>
      <c r="D481" s="26">
        <f>IF($P481="","",IF(INDEX(EntryParty,$P481)=0,"",INDEX(EntryParty,$P481)))</f>
        <v/>
      </c>
      <c r="E481" s="26">
        <f>IF($P481="","",IF(INDEX(EntryPartyName,$P481)=0,"",INDEX(EntryPartyName,$P481)))</f>
        <v/>
      </c>
      <c r="F481" s="26">
        <f>IF($P481="","",IF(INDEX(EntryPartyType,$P481)=0,"",INDEX(EntryPartyType,$P481)))</f>
        <v/>
      </c>
      <c r="G481" s="26">
        <f>IF($P481="","",IF(INDEX(EntryTxnType,$P481)=0,"",INDEX(EntryTxnType,$P481)))</f>
        <v/>
      </c>
      <c r="H481" s="27">
        <f>IF($P481="","",IF(INDEX(EntryDep,$P481)=0,"",INDEX(EntryDep,$P481)))</f>
        <v/>
      </c>
      <c r="I481" s="27">
        <f>IF($P481="","",IF(INDEX(EntryWit,$P481)=0,"",INDEX(EntryWit,$P481)))</f>
        <v/>
      </c>
      <c r="J481" s="27">
        <f>IF($B481="","",IF($A481=1,$C$7,IF(J480="",0,J480))+IF($H481="",0,$H481)-IF($I481="",0,$I481))</f>
        <v/>
      </c>
      <c r="K481" s="27">
        <f>IF($P481="","",IF(INDEX(EntryMan,$P481)=0,"",INDEX(EntryMan,$P481)))</f>
        <v/>
      </c>
      <c r="L481" s="26">
        <f>IF($B481="","",IF($K481="","—",IF(ROUND($K481-$J481,0)=0,"√","×")))</f>
        <v/>
      </c>
      <c r="M481" s="26">
        <f>IF($B481="","",IF(COUNTIFS(EntryDates,$B481,CalcTime,$C481,CalcBank,$C$5,EntryParty,$D481,EntryDep,$H481,EntryWit,$I481)&gt;1,"تکرار",""))</f>
        <v/>
      </c>
      <c r="N481" s="26">
        <f>IF($P481="","",IF(INDEX(EntryNotes,$P481)=0,"",INDEX(EntryNotes,$P481)))</f>
        <v/>
      </c>
      <c r="O481" s="26">
        <f>IF($P481="","",IF(INDEX(EntryTxnID,$P481)=0,"",INDEX(EntryTxnID,$P481)))</f>
        <v/>
      </c>
      <c r="P481" s="26">
        <f>IFERROR(MATCH($C$5&amp;"|"&amp;RIGHT("000000"&amp;465,6),CalcRankKey,0),"")</f>
        <v/>
      </c>
    </row>
    <row r="482">
      <c r="A482" s="28">
        <f>IF($B482="","",466)</f>
        <v/>
      </c>
      <c r="B482" s="28">
        <f>IF($P482="","",IF(INDEX(CalcNormDate,$P482)=0,"",INDEX(CalcNormDate,$P482)))</f>
        <v/>
      </c>
      <c r="C482" s="28">
        <f>IF($P482="","",IF(INDEX(CalcTime,$P482)=0,"",INDEX(CalcTime,$P482)))</f>
        <v/>
      </c>
      <c r="D482" s="28">
        <f>IF($P482="","",IF(INDEX(EntryParty,$P482)=0,"",INDEX(EntryParty,$P482)))</f>
        <v/>
      </c>
      <c r="E482" s="28">
        <f>IF($P482="","",IF(INDEX(EntryPartyName,$P482)=0,"",INDEX(EntryPartyName,$P482)))</f>
        <v/>
      </c>
      <c r="F482" s="28">
        <f>IF($P482="","",IF(INDEX(EntryPartyType,$P482)=0,"",INDEX(EntryPartyType,$P482)))</f>
        <v/>
      </c>
      <c r="G482" s="28">
        <f>IF($P482="","",IF(INDEX(EntryTxnType,$P482)=0,"",INDEX(EntryTxnType,$P482)))</f>
        <v/>
      </c>
      <c r="H482" s="29">
        <f>IF($P482="","",IF(INDEX(EntryDep,$P482)=0,"",INDEX(EntryDep,$P482)))</f>
        <v/>
      </c>
      <c r="I482" s="29">
        <f>IF($P482="","",IF(INDEX(EntryWit,$P482)=0,"",INDEX(EntryWit,$P482)))</f>
        <v/>
      </c>
      <c r="J482" s="29">
        <f>IF($B482="","",IF($A482=1,$C$7,IF(J481="",0,J481))+IF($H482="",0,$H482)-IF($I482="",0,$I482))</f>
        <v/>
      </c>
      <c r="K482" s="29">
        <f>IF($P482="","",IF(INDEX(EntryMan,$P482)=0,"",INDEX(EntryMan,$P482)))</f>
        <v/>
      </c>
      <c r="L482" s="28">
        <f>IF($B482="","",IF($K482="","—",IF(ROUND($K482-$J482,0)=0,"√","×")))</f>
        <v/>
      </c>
      <c r="M482" s="28">
        <f>IF($B482="","",IF(COUNTIFS(EntryDates,$B482,CalcTime,$C482,CalcBank,$C$5,EntryParty,$D482,EntryDep,$H482,EntryWit,$I482)&gt;1,"تکرار",""))</f>
        <v/>
      </c>
      <c r="N482" s="28">
        <f>IF($P482="","",IF(INDEX(EntryNotes,$P482)=0,"",INDEX(EntryNotes,$P482)))</f>
        <v/>
      </c>
      <c r="O482" s="28">
        <f>IF($P482="","",IF(INDEX(EntryTxnID,$P482)=0,"",INDEX(EntryTxnID,$P482)))</f>
        <v/>
      </c>
      <c r="P482" s="28">
        <f>IFERROR(MATCH($C$5&amp;"|"&amp;RIGHT("000000"&amp;466,6),CalcRankKey,0),"")</f>
        <v/>
      </c>
    </row>
    <row r="483">
      <c r="A483" s="26">
        <f>IF($B483="","",467)</f>
        <v/>
      </c>
      <c r="B483" s="26">
        <f>IF($P483="","",IF(INDEX(CalcNormDate,$P483)=0,"",INDEX(CalcNormDate,$P483)))</f>
        <v/>
      </c>
      <c r="C483" s="26">
        <f>IF($P483="","",IF(INDEX(CalcTime,$P483)=0,"",INDEX(CalcTime,$P483)))</f>
        <v/>
      </c>
      <c r="D483" s="26">
        <f>IF($P483="","",IF(INDEX(EntryParty,$P483)=0,"",INDEX(EntryParty,$P483)))</f>
        <v/>
      </c>
      <c r="E483" s="26">
        <f>IF($P483="","",IF(INDEX(EntryPartyName,$P483)=0,"",INDEX(EntryPartyName,$P483)))</f>
        <v/>
      </c>
      <c r="F483" s="26">
        <f>IF($P483="","",IF(INDEX(EntryPartyType,$P483)=0,"",INDEX(EntryPartyType,$P483)))</f>
        <v/>
      </c>
      <c r="G483" s="26">
        <f>IF($P483="","",IF(INDEX(EntryTxnType,$P483)=0,"",INDEX(EntryTxnType,$P483)))</f>
        <v/>
      </c>
      <c r="H483" s="27">
        <f>IF($P483="","",IF(INDEX(EntryDep,$P483)=0,"",INDEX(EntryDep,$P483)))</f>
        <v/>
      </c>
      <c r="I483" s="27">
        <f>IF($P483="","",IF(INDEX(EntryWit,$P483)=0,"",INDEX(EntryWit,$P483)))</f>
        <v/>
      </c>
      <c r="J483" s="27">
        <f>IF($B483="","",IF($A483=1,$C$7,IF(J482="",0,J482))+IF($H483="",0,$H483)-IF($I483="",0,$I483))</f>
        <v/>
      </c>
      <c r="K483" s="27">
        <f>IF($P483="","",IF(INDEX(EntryMan,$P483)=0,"",INDEX(EntryMan,$P483)))</f>
        <v/>
      </c>
      <c r="L483" s="26">
        <f>IF($B483="","",IF($K483="","—",IF(ROUND($K483-$J483,0)=0,"√","×")))</f>
        <v/>
      </c>
      <c r="M483" s="26">
        <f>IF($B483="","",IF(COUNTIFS(EntryDates,$B483,CalcTime,$C483,CalcBank,$C$5,EntryParty,$D483,EntryDep,$H483,EntryWit,$I483)&gt;1,"تکرار",""))</f>
        <v/>
      </c>
      <c r="N483" s="26">
        <f>IF($P483="","",IF(INDEX(EntryNotes,$P483)=0,"",INDEX(EntryNotes,$P483)))</f>
        <v/>
      </c>
      <c r="O483" s="26">
        <f>IF($P483="","",IF(INDEX(EntryTxnID,$P483)=0,"",INDEX(EntryTxnID,$P483)))</f>
        <v/>
      </c>
      <c r="P483" s="26">
        <f>IFERROR(MATCH($C$5&amp;"|"&amp;RIGHT("000000"&amp;467,6),CalcRankKey,0),"")</f>
        <v/>
      </c>
    </row>
    <row r="484">
      <c r="A484" s="28">
        <f>IF($B484="","",468)</f>
        <v/>
      </c>
      <c r="B484" s="28">
        <f>IF($P484="","",IF(INDEX(CalcNormDate,$P484)=0,"",INDEX(CalcNormDate,$P484)))</f>
        <v/>
      </c>
      <c r="C484" s="28">
        <f>IF($P484="","",IF(INDEX(CalcTime,$P484)=0,"",INDEX(CalcTime,$P484)))</f>
        <v/>
      </c>
      <c r="D484" s="28">
        <f>IF($P484="","",IF(INDEX(EntryParty,$P484)=0,"",INDEX(EntryParty,$P484)))</f>
        <v/>
      </c>
      <c r="E484" s="28">
        <f>IF($P484="","",IF(INDEX(EntryPartyName,$P484)=0,"",INDEX(EntryPartyName,$P484)))</f>
        <v/>
      </c>
      <c r="F484" s="28">
        <f>IF($P484="","",IF(INDEX(EntryPartyType,$P484)=0,"",INDEX(EntryPartyType,$P484)))</f>
        <v/>
      </c>
      <c r="G484" s="28">
        <f>IF($P484="","",IF(INDEX(EntryTxnType,$P484)=0,"",INDEX(EntryTxnType,$P484)))</f>
        <v/>
      </c>
      <c r="H484" s="29">
        <f>IF($P484="","",IF(INDEX(EntryDep,$P484)=0,"",INDEX(EntryDep,$P484)))</f>
        <v/>
      </c>
      <c r="I484" s="29">
        <f>IF($P484="","",IF(INDEX(EntryWit,$P484)=0,"",INDEX(EntryWit,$P484)))</f>
        <v/>
      </c>
      <c r="J484" s="29">
        <f>IF($B484="","",IF($A484=1,$C$7,IF(J483="",0,J483))+IF($H484="",0,$H484)-IF($I484="",0,$I484))</f>
        <v/>
      </c>
      <c r="K484" s="29">
        <f>IF($P484="","",IF(INDEX(EntryMan,$P484)=0,"",INDEX(EntryMan,$P484)))</f>
        <v/>
      </c>
      <c r="L484" s="28">
        <f>IF($B484="","",IF($K484="","—",IF(ROUND($K484-$J484,0)=0,"√","×")))</f>
        <v/>
      </c>
      <c r="M484" s="28">
        <f>IF($B484="","",IF(COUNTIFS(EntryDates,$B484,CalcTime,$C484,CalcBank,$C$5,EntryParty,$D484,EntryDep,$H484,EntryWit,$I484)&gt;1,"تکرار",""))</f>
        <v/>
      </c>
      <c r="N484" s="28">
        <f>IF($P484="","",IF(INDEX(EntryNotes,$P484)=0,"",INDEX(EntryNotes,$P484)))</f>
        <v/>
      </c>
      <c r="O484" s="28">
        <f>IF($P484="","",IF(INDEX(EntryTxnID,$P484)=0,"",INDEX(EntryTxnID,$P484)))</f>
        <v/>
      </c>
      <c r="P484" s="28">
        <f>IFERROR(MATCH($C$5&amp;"|"&amp;RIGHT("000000"&amp;468,6),CalcRankKey,0),"")</f>
        <v/>
      </c>
    </row>
    <row r="485">
      <c r="A485" s="26">
        <f>IF($B485="","",469)</f>
        <v/>
      </c>
      <c r="B485" s="26">
        <f>IF($P485="","",IF(INDEX(CalcNormDate,$P485)=0,"",INDEX(CalcNormDate,$P485)))</f>
        <v/>
      </c>
      <c r="C485" s="26">
        <f>IF($P485="","",IF(INDEX(CalcTime,$P485)=0,"",INDEX(CalcTime,$P485)))</f>
        <v/>
      </c>
      <c r="D485" s="26">
        <f>IF($P485="","",IF(INDEX(EntryParty,$P485)=0,"",INDEX(EntryParty,$P485)))</f>
        <v/>
      </c>
      <c r="E485" s="26">
        <f>IF($P485="","",IF(INDEX(EntryPartyName,$P485)=0,"",INDEX(EntryPartyName,$P485)))</f>
        <v/>
      </c>
      <c r="F485" s="26">
        <f>IF($P485="","",IF(INDEX(EntryPartyType,$P485)=0,"",INDEX(EntryPartyType,$P485)))</f>
        <v/>
      </c>
      <c r="G485" s="26">
        <f>IF($P485="","",IF(INDEX(EntryTxnType,$P485)=0,"",INDEX(EntryTxnType,$P485)))</f>
        <v/>
      </c>
      <c r="H485" s="27">
        <f>IF($P485="","",IF(INDEX(EntryDep,$P485)=0,"",INDEX(EntryDep,$P485)))</f>
        <v/>
      </c>
      <c r="I485" s="27">
        <f>IF($P485="","",IF(INDEX(EntryWit,$P485)=0,"",INDEX(EntryWit,$P485)))</f>
        <v/>
      </c>
      <c r="J485" s="27">
        <f>IF($B485="","",IF($A485=1,$C$7,IF(J484="",0,J484))+IF($H485="",0,$H485)-IF($I485="",0,$I485))</f>
        <v/>
      </c>
      <c r="K485" s="27">
        <f>IF($P485="","",IF(INDEX(EntryMan,$P485)=0,"",INDEX(EntryMan,$P485)))</f>
        <v/>
      </c>
      <c r="L485" s="26">
        <f>IF($B485="","",IF($K485="","—",IF(ROUND($K485-$J485,0)=0,"√","×")))</f>
        <v/>
      </c>
      <c r="M485" s="26">
        <f>IF($B485="","",IF(COUNTIFS(EntryDates,$B485,CalcTime,$C485,CalcBank,$C$5,EntryParty,$D485,EntryDep,$H485,EntryWit,$I485)&gt;1,"تکرار",""))</f>
        <v/>
      </c>
      <c r="N485" s="26">
        <f>IF($P485="","",IF(INDEX(EntryNotes,$P485)=0,"",INDEX(EntryNotes,$P485)))</f>
        <v/>
      </c>
      <c r="O485" s="26">
        <f>IF($P485="","",IF(INDEX(EntryTxnID,$P485)=0,"",INDEX(EntryTxnID,$P485)))</f>
        <v/>
      </c>
      <c r="P485" s="26">
        <f>IFERROR(MATCH($C$5&amp;"|"&amp;RIGHT("000000"&amp;469,6),CalcRankKey,0),"")</f>
        <v/>
      </c>
    </row>
    <row r="486">
      <c r="A486" s="28">
        <f>IF($B486="","",470)</f>
        <v/>
      </c>
      <c r="B486" s="28">
        <f>IF($P486="","",IF(INDEX(CalcNormDate,$P486)=0,"",INDEX(CalcNormDate,$P486)))</f>
        <v/>
      </c>
      <c r="C486" s="28">
        <f>IF($P486="","",IF(INDEX(CalcTime,$P486)=0,"",INDEX(CalcTime,$P486)))</f>
        <v/>
      </c>
      <c r="D486" s="28">
        <f>IF($P486="","",IF(INDEX(EntryParty,$P486)=0,"",INDEX(EntryParty,$P486)))</f>
        <v/>
      </c>
      <c r="E486" s="28">
        <f>IF($P486="","",IF(INDEX(EntryPartyName,$P486)=0,"",INDEX(EntryPartyName,$P486)))</f>
        <v/>
      </c>
      <c r="F486" s="28">
        <f>IF($P486="","",IF(INDEX(EntryPartyType,$P486)=0,"",INDEX(EntryPartyType,$P486)))</f>
        <v/>
      </c>
      <c r="G486" s="28">
        <f>IF($P486="","",IF(INDEX(EntryTxnType,$P486)=0,"",INDEX(EntryTxnType,$P486)))</f>
        <v/>
      </c>
      <c r="H486" s="29">
        <f>IF($P486="","",IF(INDEX(EntryDep,$P486)=0,"",INDEX(EntryDep,$P486)))</f>
        <v/>
      </c>
      <c r="I486" s="29">
        <f>IF($P486="","",IF(INDEX(EntryWit,$P486)=0,"",INDEX(EntryWit,$P486)))</f>
        <v/>
      </c>
      <c r="J486" s="29">
        <f>IF($B486="","",IF($A486=1,$C$7,IF(J485="",0,J485))+IF($H486="",0,$H486)-IF($I486="",0,$I486))</f>
        <v/>
      </c>
      <c r="K486" s="29">
        <f>IF($P486="","",IF(INDEX(EntryMan,$P486)=0,"",INDEX(EntryMan,$P486)))</f>
        <v/>
      </c>
      <c r="L486" s="28">
        <f>IF($B486="","",IF($K486="","—",IF(ROUND($K486-$J486,0)=0,"√","×")))</f>
        <v/>
      </c>
      <c r="M486" s="28">
        <f>IF($B486="","",IF(COUNTIFS(EntryDates,$B486,CalcTime,$C486,CalcBank,$C$5,EntryParty,$D486,EntryDep,$H486,EntryWit,$I486)&gt;1,"تکرار",""))</f>
        <v/>
      </c>
      <c r="N486" s="28">
        <f>IF($P486="","",IF(INDEX(EntryNotes,$P486)=0,"",INDEX(EntryNotes,$P486)))</f>
        <v/>
      </c>
      <c r="O486" s="28">
        <f>IF($P486="","",IF(INDEX(EntryTxnID,$P486)=0,"",INDEX(EntryTxnID,$P486)))</f>
        <v/>
      </c>
      <c r="P486" s="28">
        <f>IFERROR(MATCH($C$5&amp;"|"&amp;RIGHT("000000"&amp;470,6),CalcRankKey,0),"")</f>
        <v/>
      </c>
    </row>
    <row r="487">
      <c r="A487" s="26">
        <f>IF($B487="","",471)</f>
        <v/>
      </c>
      <c r="B487" s="26">
        <f>IF($P487="","",IF(INDEX(CalcNormDate,$P487)=0,"",INDEX(CalcNormDate,$P487)))</f>
        <v/>
      </c>
      <c r="C487" s="26">
        <f>IF($P487="","",IF(INDEX(CalcTime,$P487)=0,"",INDEX(CalcTime,$P487)))</f>
        <v/>
      </c>
      <c r="D487" s="26">
        <f>IF($P487="","",IF(INDEX(EntryParty,$P487)=0,"",INDEX(EntryParty,$P487)))</f>
        <v/>
      </c>
      <c r="E487" s="26">
        <f>IF($P487="","",IF(INDEX(EntryPartyName,$P487)=0,"",INDEX(EntryPartyName,$P487)))</f>
        <v/>
      </c>
      <c r="F487" s="26">
        <f>IF($P487="","",IF(INDEX(EntryPartyType,$P487)=0,"",INDEX(EntryPartyType,$P487)))</f>
        <v/>
      </c>
      <c r="G487" s="26">
        <f>IF($P487="","",IF(INDEX(EntryTxnType,$P487)=0,"",INDEX(EntryTxnType,$P487)))</f>
        <v/>
      </c>
      <c r="H487" s="27">
        <f>IF($P487="","",IF(INDEX(EntryDep,$P487)=0,"",INDEX(EntryDep,$P487)))</f>
        <v/>
      </c>
      <c r="I487" s="27">
        <f>IF($P487="","",IF(INDEX(EntryWit,$P487)=0,"",INDEX(EntryWit,$P487)))</f>
        <v/>
      </c>
      <c r="J487" s="27">
        <f>IF($B487="","",IF($A487=1,$C$7,IF(J486="",0,J486))+IF($H487="",0,$H487)-IF($I487="",0,$I487))</f>
        <v/>
      </c>
      <c r="K487" s="27">
        <f>IF($P487="","",IF(INDEX(EntryMan,$P487)=0,"",INDEX(EntryMan,$P487)))</f>
        <v/>
      </c>
      <c r="L487" s="26">
        <f>IF($B487="","",IF($K487="","—",IF(ROUND($K487-$J487,0)=0,"√","×")))</f>
        <v/>
      </c>
      <c r="M487" s="26">
        <f>IF($B487="","",IF(COUNTIFS(EntryDates,$B487,CalcTime,$C487,CalcBank,$C$5,EntryParty,$D487,EntryDep,$H487,EntryWit,$I487)&gt;1,"تکرار",""))</f>
        <v/>
      </c>
      <c r="N487" s="26">
        <f>IF($P487="","",IF(INDEX(EntryNotes,$P487)=0,"",INDEX(EntryNotes,$P487)))</f>
        <v/>
      </c>
      <c r="O487" s="26">
        <f>IF($P487="","",IF(INDEX(EntryTxnID,$P487)=0,"",INDEX(EntryTxnID,$P487)))</f>
        <v/>
      </c>
      <c r="P487" s="26">
        <f>IFERROR(MATCH($C$5&amp;"|"&amp;RIGHT("000000"&amp;471,6),CalcRankKey,0),"")</f>
        <v/>
      </c>
    </row>
    <row r="488">
      <c r="A488" s="28">
        <f>IF($B488="","",472)</f>
        <v/>
      </c>
      <c r="B488" s="28">
        <f>IF($P488="","",IF(INDEX(CalcNormDate,$P488)=0,"",INDEX(CalcNormDate,$P488)))</f>
        <v/>
      </c>
      <c r="C488" s="28">
        <f>IF($P488="","",IF(INDEX(CalcTime,$P488)=0,"",INDEX(CalcTime,$P488)))</f>
        <v/>
      </c>
      <c r="D488" s="28">
        <f>IF($P488="","",IF(INDEX(EntryParty,$P488)=0,"",INDEX(EntryParty,$P488)))</f>
        <v/>
      </c>
      <c r="E488" s="28">
        <f>IF($P488="","",IF(INDEX(EntryPartyName,$P488)=0,"",INDEX(EntryPartyName,$P488)))</f>
        <v/>
      </c>
      <c r="F488" s="28">
        <f>IF($P488="","",IF(INDEX(EntryPartyType,$P488)=0,"",INDEX(EntryPartyType,$P488)))</f>
        <v/>
      </c>
      <c r="G488" s="28">
        <f>IF($P488="","",IF(INDEX(EntryTxnType,$P488)=0,"",INDEX(EntryTxnType,$P488)))</f>
        <v/>
      </c>
      <c r="H488" s="29">
        <f>IF($P488="","",IF(INDEX(EntryDep,$P488)=0,"",INDEX(EntryDep,$P488)))</f>
        <v/>
      </c>
      <c r="I488" s="29">
        <f>IF($P488="","",IF(INDEX(EntryWit,$P488)=0,"",INDEX(EntryWit,$P488)))</f>
        <v/>
      </c>
      <c r="J488" s="29">
        <f>IF($B488="","",IF($A488=1,$C$7,IF(J487="",0,J487))+IF($H488="",0,$H488)-IF($I488="",0,$I488))</f>
        <v/>
      </c>
      <c r="K488" s="29">
        <f>IF($P488="","",IF(INDEX(EntryMan,$P488)=0,"",INDEX(EntryMan,$P488)))</f>
        <v/>
      </c>
      <c r="L488" s="28">
        <f>IF($B488="","",IF($K488="","—",IF(ROUND($K488-$J488,0)=0,"√","×")))</f>
        <v/>
      </c>
      <c r="M488" s="28">
        <f>IF($B488="","",IF(COUNTIFS(EntryDates,$B488,CalcTime,$C488,CalcBank,$C$5,EntryParty,$D488,EntryDep,$H488,EntryWit,$I488)&gt;1,"تکرار",""))</f>
        <v/>
      </c>
      <c r="N488" s="28">
        <f>IF($P488="","",IF(INDEX(EntryNotes,$P488)=0,"",INDEX(EntryNotes,$P488)))</f>
        <v/>
      </c>
      <c r="O488" s="28">
        <f>IF($P488="","",IF(INDEX(EntryTxnID,$P488)=0,"",INDEX(EntryTxnID,$P488)))</f>
        <v/>
      </c>
      <c r="P488" s="28">
        <f>IFERROR(MATCH($C$5&amp;"|"&amp;RIGHT("000000"&amp;472,6),CalcRankKey,0),"")</f>
        <v/>
      </c>
    </row>
    <row r="489">
      <c r="A489" s="26">
        <f>IF($B489="","",473)</f>
        <v/>
      </c>
      <c r="B489" s="26">
        <f>IF($P489="","",IF(INDEX(CalcNormDate,$P489)=0,"",INDEX(CalcNormDate,$P489)))</f>
        <v/>
      </c>
      <c r="C489" s="26">
        <f>IF($P489="","",IF(INDEX(CalcTime,$P489)=0,"",INDEX(CalcTime,$P489)))</f>
        <v/>
      </c>
      <c r="D489" s="26">
        <f>IF($P489="","",IF(INDEX(EntryParty,$P489)=0,"",INDEX(EntryParty,$P489)))</f>
        <v/>
      </c>
      <c r="E489" s="26">
        <f>IF($P489="","",IF(INDEX(EntryPartyName,$P489)=0,"",INDEX(EntryPartyName,$P489)))</f>
        <v/>
      </c>
      <c r="F489" s="26">
        <f>IF($P489="","",IF(INDEX(EntryPartyType,$P489)=0,"",INDEX(EntryPartyType,$P489)))</f>
        <v/>
      </c>
      <c r="G489" s="26">
        <f>IF($P489="","",IF(INDEX(EntryTxnType,$P489)=0,"",INDEX(EntryTxnType,$P489)))</f>
        <v/>
      </c>
      <c r="H489" s="27">
        <f>IF($P489="","",IF(INDEX(EntryDep,$P489)=0,"",INDEX(EntryDep,$P489)))</f>
        <v/>
      </c>
      <c r="I489" s="27">
        <f>IF($P489="","",IF(INDEX(EntryWit,$P489)=0,"",INDEX(EntryWit,$P489)))</f>
        <v/>
      </c>
      <c r="J489" s="27">
        <f>IF($B489="","",IF($A489=1,$C$7,IF(J488="",0,J488))+IF($H489="",0,$H489)-IF($I489="",0,$I489))</f>
        <v/>
      </c>
      <c r="K489" s="27">
        <f>IF($P489="","",IF(INDEX(EntryMan,$P489)=0,"",INDEX(EntryMan,$P489)))</f>
        <v/>
      </c>
      <c r="L489" s="26">
        <f>IF($B489="","",IF($K489="","—",IF(ROUND($K489-$J489,0)=0,"√","×")))</f>
        <v/>
      </c>
      <c r="M489" s="26">
        <f>IF($B489="","",IF(COUNTIFS(EntryDates,$B489,CalcTime,$C489,CalcBank,$C$5,EntryParty,$D489,EntryDep,$H489,EntryWit,$I489)&gt;1,"تکرار",""))</f>
        <v/>
      </c>
      <c r="N489" s="26">
        <f>IF($P489="","",IF(INDEX(EntryNotes,$P489)=0,"",INDEX(EntryNotes,$P489)))</f>
        <v/>
      </c>
      <c r="O489" s="26">
        <f>IF($P489="","",IF(INDEX(EntryTxnID,$P489)=0,"",INDEX(EntryTxnID,$P489)))</f>
        <v/>
      </c>
      <c r="P489" s="26">
        <f>IFERROR(MATCH($C$5&amp;"|"&amp;RIGHT("000000"&amp;473,6),CalcRankKey,0),"")</f>
        <v/>
      </c>
    </row>
    <row r="490">
      <c r="A490" s="28">
        <f>IF($B490="","",474)</f>
        <v/>
      </c>
      <c r="B490" s="28">
        <f>IF($P490="","",IF(INDEX(CalcNormDate,$P490)=0,"",INDEX(CalcNormDate,$P490)))</f>
        <v/>
      </c>
      <c r="C490" s="28">
        <f>IF($P490="","",IF(INDEX(CalcTime,$P490)=0,"",INDEX(CalcTime,$P490)))</f>
        <v/>
      </c>
      <c r="D490" s="28">
        <f>IF($P490="","",IF(INDEX(EntryParty,$P490)=0,"",INDEX(EntryParty,$P490)))</f>
        <v/>
      </c>
      <c r="E490" s="28">
        <f>IF($P490="","",IF(INDEX(EntryPartyName,$P490)=0,"",INDEX(EntryPartyName,$P490)))</f>
        <v/>
      </c>
      <c r="F490" s="28">
        <f>IF($P490="","",IF(INDEX(EntryPartyType,$P490)=0,"",INDEX(EntryPartyType,$P490)))</f>
        <v/>
      </c>
      <c r="G490" s="28">
        <f>IF($P490="","",IF(INDEX(EntryTxnType,$P490)=0,"",INDEX(EntryTxnType,$P490)))</f>
        <v/>
      </c>
      <c r="H490" s="29">
        <f>IF($P490="","",IF(INDEX(EntryDep,$P490)=0,"",INDEX(EntryDep,$P490)))</f>
        <v/>
      </c>
      <c r="I490" s="29">
        <f>IF($P490="","",IF(INDEX(EntryWit,$P490)=0,"",INDEX(EntryWit,$P490)))</f>
        <v/>
      </c>
      <c r="J490" s="29">
        <f>IF($B490="","",IF($A490=1,$C$7,IF(J489="",0,J489))+IF($H490="",0,$H490)-IF($I490="",0,$I490))</f>
        <v/>
      </c>
      <c r="K490" s="29">
        <f>IF($P490="","",IF(INDEX(EntryMan,$P490)=0,"",INDEX(EntryMan,$P490)))</f>
        <v/>
      </c>
      <c r="L490" s="28">
        <f>IF($B490="","",IF($K490="","—",IF(ROUND($K490-$J490,0)=0,"√","×")))</f>
        <v/>
      </c>
      <c r="M490" s="28">
        <f>IF($B490="","",IF(COUNTIFS(EntryDates,$B490,CalcTime,$C490,CalcBank,$C$5,EntryParty,$D490,EntryDep,$H490,EntryWit,$I490)&gt;1,"تکرار",""))</f>
        <v/>
      </c>
      <c r="N490" s="28">
        <f>IF($P490="","",IF(INDEX(EntryNotes,$P490)=0,"",INDEX(EntryNotes,$P490)))</f>
        <v/>
      </c>
      <c r="O490" s="28">
        <f>IF($P490="","",IF(INDEX(EntryTxnID,$P490)=0,"",INDEX(EntryTxnID,$P490)))</f>
        <v/>
      </c>
      <c r="P490" s="28">
        <f>IFERROR(MATCH($C$5&amp;"|"&amp;RIGHT("000000"&amp;474,6),CalcRankKey,0),"")</f>
        <v/>
      </c>
    </row>
    <row r="491">
      <c r="A491" s="26">
        <f>IF($B491="","",475)</f>
        <v/>
      </c>
      <c r="B491" s="26">
        <f>IF($P491="","",IF(INDEX(CalcNormDate,$P491)=0,"",INDEX(CalcNormDate,$P491)))</f>
        <v/>
      </c>
      <c r="C491" s="26">
        <f>IF($P491="","",IF(INDEX(CalcTime,$P491)=0,"",INDEX(CalcTime,$P491)))</f>
        <v/>
      </c>
      <c r="D491" s="26">
        <f>IF($P491="","",IF(INDEX(EntryParty,$P491)=0,"",INDEX(EntryParty,$P491)))</f>
        <v/>
      </c>
      <c r="E491" s="26">
        <f>IF($P491="","",IF(INDEX(EntryPartyName,$P491)=0,"",INDEX(EntryPartyName,$P491)))</f>
        <v/>
      </c>
      <c r="F491" s="26">
        <f>IF($P491="","",IF(INDEX(EntryPartyType,$P491)=0,"",INDEX(EntryPartyType,$P491)))</f>
        <v/>
      </c>
      <c r="G491" s="26">
        <f>IF($P491="","",IF(INDEX(EntryTxnType,$P491)=0,"",INDEX(EntryTxnType,$P491)))</f>
        <v/>
      </c>
      <c r="H491" s="27">
        <f>IF($P491="","",IF(INDEX(EntryDep,$P491)=0,"",INDEX(EntryDep,$P491)))</f>
        <v/>
      </c>
      <c r="I491" s="27">
        <f>IF($P491="","",IF(INDEX(EntryWit,$P491)=0,"",INDEX(EntryWit,$P491)))</f>
        <v/>
      </c>
      <c r="J491" s="27">
        <f>IF($B491="","",IF($A491=1,$C$7,IF(J490="",0,J490))+IF($H491="",0,$H491)-IF($I491="",0,$I491))</f>
        <v/>
      </c>
      <c r="K491" s="27">
        <f>IF($P491="","",IF(INDEX(EntryMan,$P491)=0,"",INDEX(EntryMan,$P491)))</f>
        <v/>
      </c>
      <c r="L491" s="26">
        <f>IF($B491="","",IF($K491="","—",IF(ROUND($K491-$J491,0)=0,"√","×")))</f>
        <v/>
      </c>
      <c r="M491" s="26">
        <f>IF($B491="","",IF(COUNTIFS(EntryDates,$B491,CalcTime,$C491,CalcBank,$C$5,EntryParty,$D491,EntryDep,$H491,EntryWit,$I491)&gt;1,"تکرار",""))</f>
        <v/>
      </c>
      <c r="N491" s="26">
        <f>IF($P491="","",IF(INDEX(EntryNotes,$P491)=0,"",INDEX(EntryNotes,$P491)))</f>
        <v/>
      </c>
      <c r="O491" s="26">
        <f>IF($P491="","",IF(INDEX(EntryTxnID,$P491)=0,"",INDEX(EntryTxnID,$P491)))</f>
        <v/>
      </c>
      <c r="P491" s="26">
        <f>IFERROR(MATCH($C$5&amp;"|"&amp;RIGHT("000000"&amp;475,6),CalcRankKey,0),"")</f>
        <v/>
      </c>
    </row>
    <row r="492">
      <c r="A492" s="28">
        <f>IF($B492="","",476)</f>
        <v/>
      </c>
      <c r="B492" s="28">
        <f>IF($P492="","",IF(INDEX(CalcNormDate,$P492)=0,"",INDEX(CalcNormDate,$P492)))</f>
        <v/>
      </c>
      <c r="C492" s="28">
        <f>IF($P492="","",IF(INDEX(CalcTime,$P492)=0,"",INDEX(CalcTime,$P492)))</f>
        <v/>
      </c>
      <c r="D492" s="28">
        <f>IF($P492="","",IF(INDEX(EntryParty,$P492)=0,"",INDEX(EntryParty,$P492)))</f>
        <v/>
      </c>
      <c r="E492" s="28">
        <f>IF($P492="","",IF(INDEX(EntryPartyName,$P492)=0,"",INDEX(EntryPartyName,$P492)))</f>
        <v/>
      </c>
      <c r="F492" s="28">
        <f>IF($P492="","",IF(INDEX(EntryPartyType,$P492)=0,"",INDEX(EntryPartyType,$P492)))</f>
        <v/>
      </c>
      <c r="G492" s="28">
        <f>IF($P492="","",IF(INDEX(EntryTxnType,$P492)=0,"",INDEX(EntryTxnType,$P492)))</f>
        <v/>
      </c>
      <c r="H492" s="29">
        <f>IF($P492="","",IF(INDEX(EntryDep,$P492)=0,"",INDEX(EntryDep,$P492)))</f>
        <v/>
      </c>
      <c r="I492" s="29">
        <f>IF($P492="","",IF(INDEX(EntryWit,$P492)=0,"",INDEX(EntryWit,$P492)))</f>
        <v/>
      </c>
      <c r="J492" s="29">
        <f>IF($B492="","",IF($A492=1,$C$7,IF(J491="",0,J491))+IF($H492="",0,$H492)-IF($I492="",0,$I492))</f>
        <v/>
      </c>
      <c r="K492" s="29">
        <f>IF($P492="","",IF(INDEX(EntryMan,$P492)=0,"",INDEX(EntryMan,$P492)))</f>
        <v/>
      </c>
      <c r="L492" s="28">
        <f>IF($B492="","",IF($K492="","—",IF(ROUND($K492-$J492,0)=0,"√","×")))</f>
        <v/>
      </c>
      <c r="M492" s="28">
        <f>IF($B492="","",IF(COUNTIFS(EntryDates,$B492,CalcTime,$C492,CalcBank,$C$5,EntryParty,$D492,EntryDep,$H492,EntryWit,$I492)&gt;1,"تکرار",""))</f>
        <v/>
      </c>
      <c r="N492" s="28">
        <f>IF($P492="","",IF(INDEX(EntryNotes,$P492)=0,"",INDEX(EntryNotes,$P492)))</f>
        <v/>
      </c>
      <c r="O492" s="28">
        <f>IF($P492="","",IF(INDEX(EntryTxnID,$P492)=0,"",INDEX(EntryTxnID,$P492)))</f>
        <v/>
      </c>
      <c r="P492" s="28">
        <f>IFERROR(MATCH($C$5&amp;"|"&amp;RIGHT("000000"&amp;476,6),CalcRankKey,0),"")</f>
        <v/>
      </c>
    </row>
    <row r="493">
      <c r="A493" s="26">
        <f>IF($B493="","",477)</f>
        <v/>
      </c>
      <c r="B493" s="26">
        <f>IF($P493="","",IF(INDEX(CalcNormDate,$P493)=0,"",INDEX(CalcNormDate,$P493)))</f>
        <v/>
      </c>
      <c r="C493" s="26">
        <f>IF($P493="","",IF(INDEX(CalcTime,$P493)=0,"",INDEX(CalcTime,$P493)))</f>
        <v/>
      </c>
      <c r="D493" s="26">
        <f>IF($P493="","",IF(INDEX(EntryParty,$P493)=0,"",INDEX(EntryParty,$P493)))</f>
        <v/>
      </c>
      <c r="E493" s="26">
        <f>IF($P493="","",IF(INDEX(EntryPartyName,$P493)=0,"",INDEX(EntryPartyName,$P493)))</f>
        <v/>
      </c>
      <c r="F493" s="26">
        <f>IF($P493="","",IF(INDEX(EntryPartyType,$P493)=0,"",INDEX(EntryPartyType,$P493)))</f>
        <v/>
      </c>
      <c r="G493" s="26">
        <f>IF($P493="","",IF(INDEX(EntryTxnType,$P493)=0,"",INDEX(EntryTxnType,$P493)))</f>
        <v/>
      </c>
      <c r="H493" s="27">
        <f>IF($P493="","",IF(INDEX(EntryDep,$P493)=0,"",INDEX(EntryDep,$P493)))</f>
        <v/>
      </c>
      <c r="I493" s="27">
        <f>IF($P493="","",IF(INDEX(EntryWit,$P493)=0,"",INDEX(EntryWit,$P493)))</f>
        <v/>
      </c>
      <c r="J493" s="27">
        <f>IF($B493="","",IF($A493=1,$C$7,IF(J492="",0,J492))+IF($H493="",0,$H493)-IF($I493="",0,$I493))</f>
        <v/>
      </c>
      <c r="K493" s="27">
        <f>IF($P493="","",IF(INDEX(EntryMan,$P493)=0,"",INDEX(EntryMan,$P493)))</f>
        <v/>
      </c>
      <c r="L493" s="26">
        <f>IF($B493="","",IF($K493="","—",IF(ROUND($K493-$J493,0)=0,"√","×")))</f>
        <v/>
      </c>
      <c r="M493" s="26">
        <f>IF($B493="","",IF(COUNTIFS(EntryDates,$B493,CalcTime,$C493,CalcBank,$C$5,EntryParty,$D493,EntryDep,$H493,EntryWit,$I493)&gt;1,"تکرار",""))</f>
        <v/>
      </c>
      <c r="N493" s="26">
        <f>IF($P493="","",IF(INDEX(EntryNotes,$P493)=0,"",INDEX(EntryNotes,$P493)))</f>
        <v/>
      </c>
      <c r="O493" s="26">
        <f>IF($P493="","",IF(INDEX(EntryTxnID,$P493)=0,"",INDEX(EntryTxnID,$P493)))</f>
        <v/>
      </c>
      <c r="P493" s="26">
        <f>IFERROR(MATCH($C$5&amp;"|"&amp;RIGHT("000000"&amp;477,6),CalcRankKey,0),"")</f>
        <v/>
      </c>
    </row>
    <row r="494">
      <c r="A494" s="28">
        <f>IF($B494="","",478)</f>
        <v/>
      </c>
      <c r="B494" s="28">
        <f>IF($P494="","",IF(INDEX(CalcNormDate,$P494)=0,"",INDEX(CalcNormDate,$P494)))</f>
        <v/>
      </c>
      <c r="C494" s="28">
        <f>IF($P494="","",IF(INDEX(CalcTime,$P494)=0,"",INDEX(CalcTime,$P494)))</f>
        <v/>
      </c>
      <c r="D494" s="28">
        <f>IF($P494="","",IF(INDEX(EntryParty,$P494)=0,"",INDEX(EntryParty,$P494)))</f>
        <v/>
      </c>
      <c r="E494" s="28">
        <f>IF($P494="","",IF(INDEX(EntryPartyName,$P494)=0,"",INDEX(EntryPartyName,$P494)))</f>
        <v/>
      </c>
      <c r="F494" s="28">
        <f>IF($P494="","",IF(INDEX(EntryPartyType,$P494)=0,"",INDEX(EntryPartyType,$P494)))</f>
        <v/>
      </c>
      <c r="G494" s="28">
        <f>IF($P494="","",IF(INDEX(EntryTxnType,$P494)=0,"",INDEX(EntryTxnType,$P494)))</f>
        <v/>
      </c>
      <c r="H494" s="29">
        <f>IF($P494="","",IF(INDEX(EntryDep,$P494)=0,"",INDEX(EntryDep,$P494)))</f>
        <v/>
      </c>
      <c r="I494" s="29">
        <f>IF($P494="","",IF(INDEX(EntryWit,$P494)=0,"",INDEX(EntryWit,$P494)))</f>
        <v/>
      </c>
      <c r="J494" s="29">
        <f>IF($B494="","",IF($A494=1,$C$7,IF(J493="",0,J493))+IF($H494="",0,$H494)-IF($I494="",0,$I494))</f>
        <v/>
      </c>
      <c r="K494" s="29">
        <f>IF($P494="","",IF(INDEX(EntryMan,$P494)=0,"",INDEX(EntryMan,$P494)))</f>
        <v/>
      </c>
      <c r="L494" s="28">
        <f>IF($B494="","",IF($K494="","—",IF(ROUND($K494-$J494,0)=0,"√","×")))</f>
        <v/>
      </c>
      <c r="M494" s="28">
        <f>IF($B494="","",IF(COUNTIFS(EntryDates,$B494,CalcTime,$C494,CalcBank,$C$5,EntryParty,$D494,EntryDep,$H494,EntryWit,$I494)&gt;1,"تکرار",""))</f>
        <v/>
      </c>
      <c r="N494" s="28">
        <f>IF($P494="","",IF(INDEX(EntryNotes,$P494)=0,"",INDEX(EntryNotes,$P494)))</f>
        <v/>
      </c>
      <c r="O494" s="28">
        <f>IF($P494="","",IF(INDEX(EntryTxnID,$P494)=0,"",INDEX(EntryTxnID,$P494)))</f>
        <v/>
      </c>
      <c r="P494" s="28">
        <f>IFERROR(MATCH($C$5&amp;"|"&amp;RIGHT("000000"&amp;478,6),CalcRankKey,0),"")</f>
        <v/>
      </c>
    </row>
    <row r="495">
      <c r="A495" s="26">
        <f>IF($B495="","",479)</f>
        <v/>
      </c>
      <c r="B495" s="26">
        <f>IF($P495="","",IF(INDEX(CalcNormDate,$P495)=0,"",INDEX(CalcNormDate,$P495)))</f>
        <v/>
      </c>
      <c r="C495" s="26">
        <f>IF($P495="","",IF(INDEX(CalcTime,$P495)=0,"",INDEX(CalcTime,$P495)))</f>
        <v/>
      </c>
      <c r="D495" s="26">
        <f>IF($P495="","",IF(INDEX(EntryParty,$P495)=0,"",INDEX(EntryParty,$P495)))</f>
        <v/>
      </c>
      <c r="E495" s="26">
        <f>IF($P495="","",IF(INDEX(EntryPartyName,$P495)=0,"",INDEX(EntryPartyName,$P495)))</f>
        <v/>
      </c>
      <c r="F495" s="26">
        <f>IF($P495="","",IF(INDEX(EntryPartyType,$P495)=0,"",INDEX(EntryPartyType,$P495)))</f>
        <v/>
      </c>
      <c r="G495" s="26">
        <f>IF($P495="","",IF(INDEX(EntryTxnType,$P495)=0,"",INDEX(EntryTxnType,$P495)))</f>
        <v/>
      </c>
      <c r="H495" s="27">
        <f>IF($P495="","",IF(INDEX(EntryDep,$P495)=0,"",INDEX(EntryDep,$P495)))</f>
        <v/>
      </c>
      <c r="I495" s="27">
        <f>IF($P495="","",IF(INDEX(EntryWit,$P495)=0,"",INDEX(EntryWit,$P495)))</f>
        <v/>
      </c>
      <c r="J495" s="27">
        <f>IF($B495="","",IF($A495=1,$C$7,IF(J494="",0,J494))+IF($H495="",0,$H495)-IF($I495="",0,$I495))</f>
        <v/>
      </c>
      <c r="K495" s="27">
        <f>IF($P495="","",IF(INDEX(EntryMan,$P495)=0,"",INDEX(EntryMan,$P495)))</f>
        <v/>
      </c>
      <c r="L495" s="26">
        <f>IF($B495="","",IF($K495="","—",IF(ROUND($K495-$J495,0)=0,"√","×")))</f>
        <v/>
      </c>
      <c r="M495" s="26">
        <f>IF($B495="","",IF(COUNTIFS(EntryDates,$B495,CalcTime,$C495,CalcBank,$C$5,EntryParty,$D495,EntryDep,$H495,EntryWit,$I495)&gt;1,"تکرار",""))</f>
        <v/>
      </c>
      <c r="N495" s="26">
        <f>IF($P495="","",IF(INDEX(EntryNotes,$P495)=0,"",INDEX(EntryNotes,$P495)))</f>
        <v/>
      </c>
      <c r="O495" s="26">
        <f>IF($P495="","",IF(INDEX(EntryTxnID,$P495)=0,"",INDEX(EntryTxnID,$P495)))</f>
        <v/>
      </c>
      <c r="P495" s="26">
        <f>IFERROR(MATCH($C$5&amp;"|"&amp;RIGHT("000000"&amp;479,6),CalcRankKey,0),"")</f>
        <v/>
      </c>
    </row>
    <row r="496">
      <c r="A496" s="28">
        <f>IF($B496="","",480)</f>
        <v/>
      </c>
      <c r="B496" s="28">
        <f>IF($P496="","",IF(INDEX(CalcNormDate,$P496)=0,"",INDEX(CalcNormDate,$P496)))</f>
        <v/>
      </c>
      <c r="C496" s="28">
        <f>IF($P496="","",IF(INDEX(CalcTime,$P496)=0,"",INDEX(CalcTime,$P496)))</f>
        <v/>
      </c>
      <c r="D496" s="28">
        <f>IF($P496="","",IF(INDEX(EntryParty,$P496)=0,"",INDEX(EntryParty,$P496)))</f>
        <v/>
      </c>
      <c r="E496" s="28">
        <f>IF($P496="","",IF(INDEX(EntryPartyName,$P496)=0,"",INDEX(EntryPartyName,$P496)))</f>
        <v/>
      </c>
      <c r="F496" s="28">
        <f>IF($P496="","",IF(INDEX(EntryPartyType,$P496)=0,"",INDEX(EntryPartyType,$P496)))</f>
        <v/>
      </c>
      <c r="G496" s="28">
        <f>IF($P496="","",IF(INDEX(EntryTxnType,$P496)=0,"",INDEX(EntryTxnType,$P496)))</f>
        <v/>
      </c>
      <c r="H496" s="29">
        <f>IF($P496="","",IF(INDEX(EntryDep,$P496)=0,"",INDEX(EntryDep,$P496)))</f>
        <v/>
      </c>
      <c r="I496" s="29">
        <f>IF($P496="","",IF(INDEX(EntryWit,$P496)=0,"",INDEX(EntryWit,$P496)))</f>
        <v/>
      </c>
      <c r="J496" s="29">
        <f>IF($B496="","",IF($A496=1,$C$7,IF(J495="",0,J495))+IF($H496="",0,$H496)-IF($I496="",0,$I496))</f>
        <v/>
      </c>
      <c r="K496" s="29">
        <f>IF($P496="","",IF(INDEX(EntryMan,$P496)=0,"",INDEX(EntryMan,$P496)))</f>
        <v/>
      </c>
      <c r="L496" s="28">
        <f>IF($B496="","",IF($K496="","—",IF(ROUND($K496-$J496,0)=0,"√","×")))</f>
        <v/>
      </c>
      <c r="M496" s="28">
        <f>IF($B496="","",IF(COUNTIFS(EntryDates,$B496,CalcTime,$C496,CalcBank,$C$5,EntryParty,$D496,EntryDep,$H496,EntryWit,$I496)&gt;1,"تکرار",""))</f>
        <v/>
      </c>
      <c r="N496" s="28">
        <f>IF($P496="","",IF(INDEX(EntryNotes,$P496)=0,"",INDEX(EntryNotes,$P496)))</f>
        <v/>
      </c>
      <c r="O496" s="28">
        <f>IF($P496="","",IF(INDEX(EntryTxnID,$P496)=0,"",INDEX(EntryTxnID,$P496)))</f>
        <v/>
      </c>
      <c r="P496" s="28">
        <f>IFERROR(MATCH($C$5&amp;"|"&amp;RIGHT("000000"&amp;480,6),CalcRankKey,0),"")</f>
        <v/>
      </c>
    </row>
    <row r="497">
      <c r="A497" s="26">
        <f>IF($B497="","",481)</f>
        <v/>
      </c>
      <c r="B497" s="26">
        <f>IF($P497="","",IF(INDEX(CalcNormDate,$P497)=0,"",INDEX(CalcNormDate,$P497)))</f>
        <v/>
      </c>
      <c r="C497" s="26">
        <f>IF($P497="","",IF(INDEX(CalcTime,$P497)=0,"",INDEX(CalcTime,$P497)))</f>
        <v/>
      </c>
      <c r="D497" s="26">
        <f>IF($P497="","",IF(INDEX(EntryParty,$P497)=0,"",INDEX(EntryParty,$P497)))</f>
        <v/>
      </c>
      <c r="E497" s="26">
        <f>IF($P497="","",IF(INDEX(EntryPartyName,$P497)=0,"",INDEX(EntryPartyName,$P497)))</f>
        <v/>
      </c>
      <c r="F497" s="26">
        <f>IF($P497="","",IF(INDEX(EntryPartyType,$P497)=0,"",INDEX(EntryPartyType,$P497)))</f>
        <v/>
      </c>
      <c r="G497" s="26">
        <f>IF($P497="","",IF(INDEX(EntryTxnType,$P497)=0,"",INDEX(EntryTxnType,$P497)))</f>
        <v/>
      </c>
      <c r="H497" s="27">
        <f>IF($P497="","",IF(INDEX(EntryDep,$P497)=0,"",INDEX(EntryDep,$P497)))</f>
        <v/>
      </c>
      <c r="I497" s="27">
        <f>IF($P497="","",IF(INDEX(EntryWit,$P497)=0,"",INDEX(EntryWit,$P497)))</f>
        <v/>
      </c>
      <c r="J497" s="27">
        <f>IF($B497="","",IF($A497=1,$C$7,IF(J496="",0,J496))+IF($H497="",0,$H497)-IF($I497="",0,$I497))</f>
        <v/>
      </c>
      <c r="K497" s="27">
        <f>IF($P497="","",IF(INDEX(EntryMan,$P497)=0,"",INDEX(EntryMan,$P497)))</f>
        <v/>
      </c>
      <c r="L497" s="26">
        <f>IF($B497="","",IF($K497="","—",IF(ROUND($K497-$J497,0)=0,"√","×")))</f>
        <v/>
      </c>
      <c r="M497" s="26">
        <f>IF($B497="","",IF(COUNTIFS(EntryDates,$B497,CalcTime,$C497,CalcBank,$C$5,EntryParty,$D497,EntryDep,$H497,EntryWit,$I497)&gt;1,"تکرار",""))</f>
        <v/>
      </c>
      <c r="N497" s="26">
        <f>IF($P497="","",IF(INDEX(EntryNotes,$P497)=0,"",INDEX(EntryNotes,$P497)))</f>
        <v/>
      </c>
      <c r="O497" s="26">
        <f>IF($P497="","",IF(INDEX(EntryTxnID,$P497)=0,"",INDEX(EntryTxnID,$P497)))</f>
        <v/>
      </c>
      <c r="P497" s="26">
        <f>IFERROR(MATCH($C$5&amp;"|"&amp;RIGHT("000000"&amp;481,6),CalcRankKey,0),"")</f>
        <v/>
      </c>
    </row>
    <row r="498">
      <c r="A498" s="28">
        <f>IF($B498="","",482)</f>
        <v/>
      </c>
      <c r="B498" s="28">
        <f>IF($P498="","",IF(INDEX(CalcNormDate,$P498)=0,"",INDEX(CalcNormDate,$P498)))</f>
        <v/>
      </c>
      <c r="C498" s="28">
        <f>IF($P498="","",IF(INDEX(CalcTime,$P498)=0,"",INDEX(CalcTime,$P498)))</f>
        <v/>
      </c>
      <c r="D498" s="28">
        <f>IF($P498="","",IF(INDEX(EntryParty,$P498)=0,"",INDEX(EntryParty,$P498)))</f>
        <v/>
      </c>
      <c r="E498" s="28">
        <f>IF($P498="","",IF(INDEX(EntryPartyName,$P498)=0,"",INDEX(EntryPartyName,$P498)))</f>
        <v/>
      </c>
      <c r="F498" s="28">
        <f>IF($P498="","",IF(INDEX(EntryPartyType,$P498)=0,"",INDEX(EntryPartyType,$P498)))</f>
        <v/>
      </c>
      <c r="G498" s="28">
        <f>IF($P498="","",IF(INDEX(EntryTxnType,$P498)=0,"",INDEX(EntryTxnType,$P498)))</f>
        <v/>
      </c>
      <c r="H498" s="29">
        <f>IF($P498="","",IF(INDEX(EntryDep,$P498)=0,"",INDEX(EntryDep,$P498)))</f>
        <v/>
      </c>
      <c r="I498" s="29">
        <f>IF($P498="","",IF(INDEX(EntryWit,$P498)=0,"",INDEX(EntryWit,$P498)))</f>
        <v/>
      </c>
      <c r="J498" s="29">
        <f>IF($B498="","",IF($A498=1,$C$7,IF(J497="",0,J497))+IF($H498="",0,$H498)-IF($I498="",0,$I498))</f>
        <v/>
      </c>
      <c r="K498" s="29">
        <f>IF($P498="","",IF(INDEX(EntryMan,$P498)=0,"",INDEX(EntryMan,$P498)))</f>
        <v/>
      </c>
      <c r="L498" s="28">
        <f>IF($B498="","",IF($K498="","—",IF(ROUND($K498-$J498,0)=0,"√","×")))</f>
        <v/>
      </c>
      <c r="M498" s="28">
        <f>IF($B498="","",IF(COUNTIFS(EntryDates,$B498,CalcTime,$C498,CalcBank,$C$5,EntryParty,$D498,EntryDep,$H498,EntryWit,$I498)&gt;1,"تکرار",""))</f>
        <v/>
      </c>
      <c r="N498" s="28">
        <f>IF($P498="","",IF(INDEX(EntryNotes,$P498)=0,"",INDEX(EntryNotes,$P498)))</f>
        <v/>
      </c>
      <c r="O498" s="28">
        <f>IF($P498="","",IF(INDEX(EntryTxnID,$P498)=0,"",INDEX(EntryTxnID,$P498)))</f>
        <v/>
      </c>
      <c r="P498" s="28">
        <f>IFERROR(MATCH($C$5&amp;"|"&amp;RIGHT("000000"&amp;482,6),CalcRankKey,0),"")</f>
        <v/>
      </c>
    </row>
    <row r="499">
      <c r="A499" s="26">
        <f>IF($B499="","",483)</f>
        <v/>
      </c>
      <c r="B499" s="26">
        <f>IF($P499="","",IF(INDEX(CalcNormDate,$P499)=0,"",INDEX(CalcNormDate,$P499)))</f>
        <v/>
      </c>
      <c r="C499" s="26">
        <f>IF($P499="","",IF(INDEX(CalcTime,$P499)=0,"",INDEX(CalcTime,$P499)))</f>
        <v/>
      </c>
      <c r="D499" s="26">
        <f>IF($P499="","",IF(INDEX(EntryParty,$P499)=0,"",INDEX(EntryParty,$P499)))</f>
        <v/>
      </c>
      <c r="E499" s="26">
        <f>IF($P499="","",IF(INDEX(EntryPartyName,$P499)=0,"",INDEX(EntryPartyName,$P499)))</f>
        <v/>
      </c>
      <c r="F499" s="26">
        <f>IF($P499="","",IF(INDEX(EntryPartyType,$P499)=0,"",INDEX(EntryPartyType,$P499)))</f>
        <v/>
      </c>
      <c r="G499" s="26">
        <f>IF($P499="","",IF(INDEX(EntryTxnType,$P499)=0,"",INDEX(EntryTxnType,$P499)))</f>
        <v/>
      </c>
      <c r="H499" s="27">
        <f>IF($P499="","",IF(INDEX(EntryDep,$P499)=0,"",INDEX(EntryDep,$P499)))</f>
        <v/>
      </c>
      <c r="I499" s="27">
        <f>IF($P499="","",IF(INDEX(EntryWit,$P499)=0,"",INDEX(EntryWit,$P499)))</f>
        <v/>
      </c>
      <c r="J499" s="27">
        <f>IF($B499="","",IF($A499=1,$C$7,IF(J498="",0,J498))+IF($H499="",0,$H499)-IF($I499="",0,$I499))</f>
        <v/>
      </c>
      <c r="K499" s="27">
        <f>IF($P499="","",IF(INDEX(EntryMan,$P499)=0,"",INDEX(EntryMan,$P499)))</f>
        <v/>
      </c>
      <c r="L499" s="26">
        <f>IF($B499="","",IF($K499="","—",IF(ROUND($K499-$J499,0)=0,"√","×")))</f>
        <v/>
      </c>
      <c r="M499" s="26">
        <f>IF($B499="","",IF(COUNTIFS(EntryDates,$B499,CalcTime,$C499,CalcBank,$C$5,EntryParty,$D499,EntryDep,$H499,EntryWit,$I499)&gt;1,"تکرار",""))</f>
        <v/>
      </c>
      <c r="N499" s="26">
        <f>IF($P499="","",IF(INDEX(EntryNotes,$P499)=0,"",INDEX(EntryNotes,$P499)))</f>
        <v/>
      </c>
      <c r="O499" s="26">
        <f>IF($P499="","",IF(INDEX(EntryTxnID,$P499)=0,"",INDEX(EntryTxnID,$P499)))</f>
        <v/>
      </c>
      <c r="P499" s="26">
        <f>IFERROR(MATCH($C$5&amp;"|"&amp;RIGHT("000000"&amp;483,6),CalcRankKey,0),"")</f>
        <v/>
      </c>
    </row>
    <row r="500">
      <c r="A500" s="28">
        <f>IF($B500="","",484)</f>
        <v/>
      </c>
      <c r="B500" s="28">
        <f>IF($P500="","",IF(INDEX(CalcNormDate,$P500)=0,"",INDEX(CalcNormDate,$P500)))</f>
        <v/>
      </c>
      <c r="C500" s="28">
        <f>IF($P500="","",IF(INDEX(CalcTime,$P500)=0,"",INDEX(CalcTime,$P500)))</f>
        <v/>
      </c>
      <c r="D500" s="28">
        <f>IF($P500="","",IF(INDEX(EntryParty,$P500)=0,"",INDEX(EntryParty,$P500)))</f>
        <v/>
      </c>
      <c r="E500" s="28">
        <f>IF($P500="","",IF(INDEX(EntryPartyName,$P500)=0,"",INDEX(EntryPartyName,$P500)))</f>
        <v/>
      </c>
      <c r="F500" s="28">
        <f>IF($P500="","",IF(INDEX(EntryPartyType,$P500)=0,"",INDEX(EntryPartyType,$P500)))</f>
        <v/>
      </c>
      <c r="G500" s="28">
        <f>IF($P500="","",IF(INDEX(EntryTxnType,$P500)=0,"",INDEX(EntryTxnType,$P500)))</f>
        <v/>
      </c>
      <c r="H500" s="29">
        <f>IF($P500="","",IF(INDEX(EntryDep,$P500)=0,"",INDEX(EntryDep,$P500)))</f>
        <v/>
      </c>
      <c r="I500" s="29">
        <f>IF($P500="","",IF(INDEX(EntryWit,$P500)=0,"",INDEX(EntryWit,$P500)))</f>
        <v/>
      </c>
      <c r="J500" s="29">
        <f>IF($B500="","",IF($A500=1,$C$7,IF(J499="",0,J499))+IF($H500="",0,$H500)-IF($I500="",0,$I500))</f>
        <v/>
      </c>
      <c r="K500" s="29">
        <f>IF($P500="","",IF(INDEX(EntryMan,$P500)=0,"",INDEX(EntryMan,$P500)))</f>
        <v/>
      </c>
      <c r="L500" s="28">
        <f>IF($B500="","",IF($K500="","—",IF(ROUND($K500-$J500,0)=0,"√","×")))</f>
        <v/>
      </c>
      <c r="M500" s="28">
        <f>IF($B500="","",IF(COUNTIFS(EntryDates,$B500,CalcTime,$C500,CalcBank,$C$5,EntryParty,$D500,EntryDep,$H500,EntryWit,$I500)&gt;1,"تکرار",""))</f>
        <v/>
      </c>
      <c r="N500" s="28">
        <f>IF($P500="","",IF(INDEX(EntryNotes,$P500)=0,"",INDEX(EntryNotes,$P500)))</f>
        <v/>
      </c>
      <c r="O500" s="28">
        <f>IF($P500="","",IF(INDEX(EntryTxnID,$P500)=0,"",INDEX(EntryTxnID,$P500)))</f>
        <v/>
      </c>
      <c r="P500" s="28">
        <f>IFERROR(MATCH($C$5&amp;"|"&amp;RIGHT("000000"&amp;484,6),CalcRankKey,0),"")</f>
        <v/>
      </c>
    </row>
    <row r="501">
      <c r="A501" s="26">
        <f>IF($B501="","",485)</f>
        <v/>
      </c>
      <c r="B501" s="26">
        <f>IF($P501="","",IF(INDEX(CalcNormDate,$P501)=0,"",INDEX(CalcNormDate,$P501)))</f>
        <v/>
      </c>
      <c r="C501" s="26">
        <f>IF($P501="","",IF(INDEX(CalcTime,$P501)=0,"",INDEX(CalcTime,$P501)))</f>
        <v/>
      </c>
      <c r="D501" s="26">
        <f>IF($P501="","",IF(INDEX(EntryParty,$P501)=0,"",INDEX(EntryParty,$P501)))</f>
        <v/>
      </c>
      <c r="E501" s="26">
        <f>IF($P501="","",IF(INDEX(EntryPartyName,$P501)=0,"",INDEX(EntryPartyName,$P501)))</f>
        <v/>
      </c>
      <c r="F501" s="26">
        <f>IF($P501="","",IF(INDEX(EntryPartyType,$P501)=0,"",INDEX(EntryPartyType,$P501)))</f>
        <v/>
      </c>
      <c r="G501" s="26">
        <f>IF($P501="","",IF(INDEX(EntryTxnType,$P501)=0,"",INDEX(EntryTxnType,$P501)))</f>
        <v/>
      </c>
      <c r="H501" s="27">
        <f>IF($P501="","",IF(INDEX(EntryDep,$P501)=0,"",INDEX(EntryDep,$P501)))</f>
        <v/>
      </c>
      <c r="I501" s="27">
        <f>IF($P501="","",IF(INDEX(EntryWit,$P501)=0,"",INDEX(EntryWit,$P501)))</f>
        <v/>
      </c>
      <c r="J501" s="27">
        <f>IF($B501="","",IF($A501=1,$C$7,IF(J500="",0,J500))+IF($H501="",0,$H501)-IF($I501="",0,$I501))</f>
        <v/>
      </c>
      <c r="K501" s="27">
        <f>IF($P501="","",IF(INDEX(EntryMan,$P501)=0,"",INDEX(EntryMan,$P501)))</f>
        <v/>
      </c>
      <c r="L501" s="26">
        <f>IF($B501="","",IF($K501="","—",IF(ROUND($K501-$J501,0)=0,"√","×")))</f>
        <v/>
      </c>
      <c r="M501" s="26">
        <f>IF($B501="","",IF(COUNTIFS(EntryDates,$B501,CalcTime,$C501,CalcBank,$C$5,EntryParty,$D501,EntryDep,$H501,EntryWit,$I501)&gt;1,"تکرار",""))</f>
        <v/>
      </c>
      <c r="N501" s="26">
        <f>IF($P501="","",IF(INDEX(EntryNotes,$P501)=0,"",INDEX(EntryNotes,$P501)))</f>
        <v/>
      </c>
      <c r="O501" s="26">
        <f>IF($P501="","",IF(INDEX(EntryTxnID,$P501)=0,"",INDEX(EntryTxnID,$P501)))</f>
        <v/>
      </c>
      <c r="P501" s="26">
        <f>IFERROR(MATCH($C$5&amp;"|"&amp;RIGHT("000000"&amp;485,6),CalcRankKey,0),"")</f>
        <v/>
      </c>
    </row>
    <row r="502">
      <c r="A502" s="28">
        <f>IF($B502="","",486)</f>
        <v/>
      </c>
      <c r="B502" s="28">
        <f>IF($P502="","",IF(INDEX(CalcNormDate,$P502)=0,"",INDEX(CalcNormDate,$P502)))</f>
        <v/>
      </c>
      <c r="C502" s="28">
        <f>IF($P502="","",IF(INDEX(CalcTime,$P502)=0,"",INDEX(CalcTime,$P502)))</f>
        <v/>
      </c>
      <c r="D502" s="28">
        <f>IF($P502="","",IF(INDEX(EntryParty,$P502)=0,"",INDEX(EntryParty,$P502)))</f>
        <v/>
      </c>
      <c r="E502" s="28">
        <f>IF($P502="","",IF(INDEX(EntryPartyName,$P502)=0,"",INDEX(EntryPartyName,$P502)))</f>
        <v/>
      </c>
      <c r="F502" s="28">
        <f>IF($P502="","",IF(INDEX(EntryPartyType,$P502)=0,"",INDEX(EntryPartyType,$P502)))</f>
        <v/>
      </c>
      <c r="G502" s="28">
        <f>IF($P502="","",IF(INDEX(EntryTxnType,$P502)=0,"",INDEX(EntryTxnType,$P502)))</f>
        <v/>
      </c>
      <c r="H502" s="29">
        <f>IF($P502="","",IF(INDEX(EntryDep,$P502)=0,"",INDEX(EntryDep,$P502)))</f>
        <v/>
      </c>
      <c r="I502" s="29">
        <f>IF($P502="","",IF(INDEX(EntryWit,$P502)=0,"",INDEX(EntryWit,$P502)))</f>
        <v/>
      </c>
      <c r="J502" s="29">
        <f>IF($B502="","",IF($A502=1,$C$7,IF(J501="",0,J501))+IF($H502="",0,$H502)-IF($I502="",0,$I502))</f>
        <v/>
      </c>
      <c r="K502" s="29">
        <f>IF($P502="","",IF(INDEX(EntryMan,$P502)=0,"",INDEX(EntryMan,$P502)))</f>
        <v/>
      </c>
      <c r="L502" s="28">
        <f>IF($B502="","",IF($K502="","—",IF(ROUND($K502-$J502,0)=0,"√","×")))</f>
        <v/>
      </c>
      <c r="M502" s="28">
        <f>IF($B502="","",IF(COUNTIFS(EntryDates,$B502,CalcTime,$C502,CalcBank,$C$5,EntryParty,$D502,EntryDep,$H502,EntryWit,$I502)&gt;1,"تکرار",""))</f>
        <v/>
      </c>
      <c r="N502" s="28">
        <f>IF($P502="","",IF(INDEX(EntryNotes,$P502)=0,"",INDEX(EntryNotes,$P502)))</f>
        <v/>
      </c>
      <c r="O502" s="28">
        <f>IF($P502="","",IF(INDEX(EntryTxnID,$P502)=0,"",INDEX(EntryTxnID,$P502)))</f>
        <v/>
      </c>
      <c r="P502" s="28">
        <f>IFERROR(MATCH($C$5&amp;"|"&amp;RIGHT("000000"&amp;486,6),CalcRankKey,0),"")</f>
        <v/>
      </c>
    </row>
    <row r="503">
      <c r="A503" s="26">
        <f>IF($B503="","",487)</f>
        <v/>
      </c>
      <c r="B503" s="26">
        <f>IF($P503="","",IF(INDEX(CalcNormDate,$P503)=0,"",INDEX(CalcNormDate,$P503)))</f>
        <v/>
      </c>
      <c r="C503" s="26">
        <f>IF($P503="","",IF(INDEX(CalcTime,$P503)=0,"",INDEX(CalcTime,$P503)))</f>
        <v/>
      </c>
      <c r="D503" s="26">
        <f>IF($P503="","",IF(INDEX(EntryParty,$P503)=0,"",INDEX(EntryParty,$P503)))</f>
        <v/>
      </c>
      <c r="E503" s="26">
        <f>IF($P503="","",IF(INDEX(EntryPartyName,$P503)=0,"",INDEX(EntryPartyName,$P503)))</f>
        <v/>
      </c>
      <c r="F503" s="26">
        <f>IF($P503="","",IF(INDEX(EntryPartyType,$P503)=0,"",INDEX(EntryPartyType,$P503)))</f>
        <v/>
      </c>
      <c r="G503" s="26">
        <f>IF($P503="","",IF(INDEX(EntryTxnType,$P503)=0,"",INDEX(EntryTxnType,$P503)))</f>
        <v/>
      </c>
      <c r="H503" s="27">
        <f>IF($P503="","",IF(INDEX(EntryDep,$P503)=0,"",INDEX(EntryDep,$P503)))</f>
        <v/>
      </c>
      <c r="I503" s="27">
        <f>IF($P503="","",IF(INDEX(EntryWit,$P503)=0,"",INDEX(EntryWit,$P503)))</f>
        <v/>
      </c>
      <c r="J503" s="27">
        <f>IF($B503="","",IF($A503=1,$C$7,IF(J502="",0,J502))+IF($H503="",0,$H503)-IF($I503="",0,$I503))</f>
        <v/>
      </c>
      <c r="K503" s="27">
        <f>IF($P503="","",IF(INDEX(EntryMan,$P503)=0,"",INDEX(EntryMan,$P503)))</f>
        <v/>
      </c>
      <c r="L503" s="26">
        <f>IF($B503="","",IF($K503="","—",IF(ROUND($K503-$J503,0)=0,"√","×")))</f>
        <v/>
      </c>
      <c r="M503" s="26">
        <f>IF($B503="","",IF(COUNTIFS(EntryDates,$B503,CalcTime,$C503,CalcBank,$C$5,EntryParty,$D503,EntryDep,$H503,EntryWit,$I503)&gt;1,"تکرار",""))</f>
        <v/>
      </c>
      <c r="N503" s="26">
        <f>IF($P503="","",IF(INDEX(EntryNotes,$P503)=0,"",INDEX(EntryNotes,$P503)))</f>
        <v/>
      </c>
      <c r="O503" s="26">
        <f>IF($P503="","",IF(INDEX(EntryTxnID,$P503)=0,"",INDEX(EntryTxnID,$P503)))</f>
        <v/>
      </c>
      <c r="P503" s="26">
        <f>IFERROR(MATCH($C$5&amp;"|"&amp;RIGHT("000000"&amp;487,6),CalcRankKey,0),"")</f>
        <v/>
      </c>
    </row>
    <row r="504">
      <c r="A504" s="28">
        <f>IF($B504="","",488)</f>
        <v/>
      </c>
      <c r="B504" s="28">
        <f>IF($P504="","",IF(INDEX(CalcNormDate,$P504)=0,"",INDEX(CalcNormDate,$P504)))</f>
        <v/>
      </c>
      <c r="C504" s="28">
        <f>IF($P504="","",IF(INDEX(CalcTime,$P504)=0,"",INDEX(CalcTime,$P504)))</f>
        <v/>
      </c>
      <c r="D504" s="28">
        <f>IF($P504="","",IF(INDEX(EntryParty,$P504)=0,"",INDEX(EntryParty,$P504)))</f>
        <v/>
      </c>
      <c r="E504" s="28">
        <f>IF($P504="","",IF(INDEX(EntryPartyName,$P504)=0,"",INDEX(EntryPartyName,$P504)))</f>
        <v/>
      </c>
      <c r="F504" s="28">
        <f>IF($P504="","",IF(INDEX(EntryPartyType,$P504)=0,"",INDEX(EntryPartyType,$P504)))</f>
        <v/>
      </c>
      <c r="G504" s="28">
        <f>IF($P504="","",IF(INDEX(EntryTxnType,$P504)=0,"",INDEX(EntryTxnType,$P504)))</f>
        <v/>
      </c>
      <c r="H504" s="29">
        <f>IF($P504="","",IF(INDEX(EntryDep,$P504)=0,"",INDEX(EntryDep,$P504)))</f>
        <v/>
      </c>
      <c r="I504" s="29">
        <f>IF($P504="","",IF(INDEX(EntryWit,$P504)=0,"",INDEX(EntryWit,$P504)))</f>
        <v/>
      </c>
      <c r="J504" s="29">
        <f>IF($B504="","",IF($A504=1,$C$7,IF(J503="",0,J503))+IF($H504="",0,$H504)-IF($I504="",0,$I504))</f>
        <v/>
      </c>
      <c r="K504" s="29">
        <f>IF($P504="","",IF(INDEX(EntryMan,$P504)=0,"",INDEX(EntryMan,$P504)))</f>
        <v/>
      </c>
      <c r="L504" s="28">
        <f>IF($B504="","",IF($K504="","—",IF(ROUND($K504-$J504,0)=0,"√","×")))</f>
        <v/>
      </c>
      <c r="M504" s="28">
        <f>IF($B504="","",IF(COUNTIFS(EntryDates,$B504,CalcTime,$C504,CalcBank,$C$5,EntryParty,$D504,EntryDep,$H504,EntryWit,$I504)&gt;1,"تکرار",""))</f>
        <v/>
      </c>
      <c r="N504" s="28">
        <f>IF($P504="","",IF(INDEX(EntryNotes,$P504)=0,"",INDEX(EntryNotes,$P504)))</f>
        <v/>
      </c>
      <c r="O504" s="28">
        <f>IF($P504="","",IF(INDEX(EntryTxnID,$P504)=0,"",INDEX(EntryTxnID,$P504)))</f>
        <v/>
      </c>
      <c r="P504" s="28">
        <f>IFERROR(MATCH($C$5&amp;"|"&amp;RIGHT("000000"&amp;488,6),CalcRankKey,0),"")</f>
        <v/>
      </c>
    </row>
    <row r="505">
      <c r="A505" s="26">
        <f>IF($B505="","",489)</f>
        <v/>
      </c>
      <c r="B505" s="26">
        <f>IF($P505="","",IF(INDEX(CalcNormDate,$P505)=0,"",INDEX(CalcNormDate,$P505)))</f>
        <v/>
      </c>
      <c r="C505" s="26">
        <f>IF($P505="","",IF(INDEX(CalcTime,$P505)=0,"",INDEX(CalcTime,$P505)))</f>
        <v/>
      </c>
      <c r="D505" s="26">
        <f>IF($P505="","",IF(INDEX(EntryParty,$P505)=0,"",INDEX(EntryParty,$P505)))</f>
        <v/>
      </c>
      <c r="E505" s="26">
        <f>IF($P505="","",IF(INDEX(EntryPartyName,$P505)=0,"",INDEX(EntryPartyName,$P505)))</f>
        <v/>
      </c>
      <c r="F505" s="26">
        <f>IF($P505="","",IF(INDEX(EntryPartyType,$P505)=0,"",INDEX(EntryPartyType,$P505)))</f>
        <v/>
      </c>
      <c r="G505" s="26">
        <f>IF($P505="","",IF(INDEX(EntryTxnType,$P505)=0,"",INDEX(EntryTxnType,$P505)))</f>
        <v/>
      </c>
      <c r="H505" s="27">
        <f>IF($P505="","",IF(INDEX(EntryDep,$P505)=0,"",INDEX(EntryDep,$P505)))</f>
        <v/>
      </c>
      <c r="I505" s="27">
        <f>IF($P505="","",IF(INDEX(EntryWit,$P505)=0,"",INDEX(EntryWit,$P505)))</f>
        <v/>
      </c>
      <c r="J505" s="27">
        <f>IF($B505="","",IF($A505=1,$C$7,IF(J504="",0,J504))+IF($H505="",0,$H505)-IF($I505="",0,$I505))</f>
        <v/>
      </c>
      <c r="K505" s="27">
        <f>IF($P505="","",IF(INDEX(EntryMan,$P505)=0,"",INDEX(EntryMan,$P505)))</f>
        <v/>
      </c>
      <c r="L505" s="26">
        <f>IF($B505="","",IF($K505="","—",IF(ROUND($K505-$J505,0)=0,"√","×")))</f>
        <v/>
      </c>
      <c r="M505" s="26">
        <f>IF($B505="","",IF(COUNTIFS(EntryDates,$B505,CalcTime,$C505,CalcBank,$C$5,EntryParty,$D505,EntryDep,$H505,EntryWit,$I505)&gt;1,"تکرار",""))</f>
        <v/>
      </c>
      <c r="N505" s="26">
        <f>IF($P505="","",IF(INDEX(EntryNotes,$P505)=0,"",INDEX(EntryNotes,$P505)))</f>
        <v/>
      </c>
      <c r="O505" s="26">
        <f>IF($P505="","",IF(INDEX(EntryTxnID,$P505)=0,"",INDEX(EntryTxnID,$P505)))</f>
        <v/>
      </c>
      <c r="P505" s="26">
        <f>IFERROR(MATCH($C$5&amp;"|"&amp;RIGHT("000000"&amp;489,6),CalcRankKey,0),"")</f>
        <v/>
      </c>
    </row>
    <row r="506">
      <c r="A506" s="28">
        <f>IF($B506="","",490)</f>
        <v/>
      </c>
      <c r="B506" s="28">
        <f>IF($P506="","",IF(INDEX(CalcNormDate,$P506)=0,"",INDEX(CalcNormDate,$P506)))</f>
        <v/>
      </c>
      <c r="C506" s="28">
        <f>IF($P506="","",IF(INDEX(CalcTime,$P506)=0,"",INDEX(CalcTime,$P506)))</f>
        <v/>
      </c>
      <c r="D506" s="28">
        <f>IF($P506="","",IF(INDEX(EntryParty,$P506)=0,"",INDEX(EntryParty,$P506)))</f>
        <v/>
      </c>
      <c r="E506" s="28">
        <f>IF($P506="","",IF(INDEX(EntryPartyName,$P506)=0,"",INDEX(EntryPartyName,$P506)))</f>
        <v/>
      </c>
      <c r="F506" s="28">
        <f>IF($P506="","",IF(INDEX(EntryPartyType,$P506)=0,"",INDEX(EntryPartyType,$P506)))</f>
        <v/>
      </c>
      <c r="G506" s="28">
        <f>IF($P506="","",IF(INDEX(EntryTxnType,$P506)=0,"",INDEX(EntryTxnType,$P506)))</f>
        <v/>
      </c>
      <c r="H506" s="29">
        <f>IF($P506="","",IF(INDEX(EntryDep,$P506)=0,"",INDEX(EntryDep,$P506)))</f>
        <v/>
      </c>
      <c r="I506" s="29">
        <f>IF($P506="","",IF(INDEX(EntryWit,$P506)=0,"",INDEX(EntryWit,$P506)))</f>
        <v/>
      </c>
      <c r="J506" s="29">
        <f>IF($B506="","",IF($A506=1,$C$7,IF(J505="",0,J505))+IF($H506="",0,$H506)-IF($I506="",0,$I506))</f>
        <v/>
      </c>
      <c r="K506" s="29">
        <f>IF($P506="","",IF(INDEX(EntryMan,$P506)=0,"",INDEX(EntryMan,$P506)))</f>
        <v/>
      </c>
      <c r="L506" s="28">
        <f>IF($B506="","",IF($K506="","—",IF(ROUND($K506-$J506,0)=0,"√","×")))</f>
        <v/>
      </c>
      <c r="M506" s="28">
        <f>IF($B506="","",IF(COUNTIFS(EntryDates,$B506,CalcTime,$C506,CalcBank,$C$5,EntryParty,$D506,EntryDep,$H506,EntryWit,$I506)&gt;1,"تکرار",""))</f>
        <v/>
      </c>
      <c r="N506" s="28">
        <f>IF($P506="","",IF(INDEX(EntryNotes,$P506)=0,"",INDEX(EntryNotes,$P506)))</f>
        <v/>
      </c>
      <c r="O506" s="28">
        <f>IF($P506="","",IF(INDEX(EntryTxnID,$P506)=0,"",INDEX(EntryTxnID,$P506)))</f>
        <v/>
      </c>
      <c r="P506" s="28">
        <f>IFERROR(MATCH($C$5&amp;"|"&amp;RIGHT("000000"&amp;490,6),CalcRankKey,0),"")</f>
        <v/>
      </c>
    </row>
    <row r="507">
      <c r="A507" s="26">
        <f>IF($B507="","",491)</f>
        <v/>
      </c>
      <c r="B507" s="26">
        <f>IF($P507="","",IF(INDEX(CalcNormDate,$P507)=0,"",INDEX(CalcNormDate,$P507)))</f>
        <v/>
      </c>
      <c r="C507" s="26">
        <f>IF($P507="","",IF(INDEX(CalcTime,$P507)=0,"",INDEX(CalcTime,$P507)))</f>
        <v/>
      </c>
      <c r="D507" s="26">
        <f>IF($P507="","",IF(INDEX(EntryParty,$P507)=0,"",INDEX(EntryParty,$P507)))</f>
        <v/>
      </c>
      <c r="E507" s="26">
        <f>IF($P507="","",IF(INDEX(EntryPartyName,$P507)=0,"",INDEX(EntryPartyName,$P507)))</f>
        <v/>
      </c>
      <c r="F507" s="26">
        <f>IF($P507="","",IF(INDEX(EntryPartyType,$P507)=0,"",INDEX(EntryPartyType,$P507)))</f>
        <v/>
      </c>
      <c r="G507" s="26">
        <f>IF($P507="","",IF(INDEX(EntryTxnType,$P507)=0,"",INDEX(EntryTxnType,$P507)))</f>
        <v/>
      </c>
      <c r="H507" s="27">
        <f>IF($P507="","",IF(INDEX(EntryDep,$P507)=0,"",INDEX(EntryDep,$P507)))</f>
        <v/>
      </c>
      <c r="I507" s="27">
        <f>IF($P507="","",IF(INDEX(EntryWit,$P507)=0,"",INDEX(EntryWit,$P507)))</f>
        <v/>
      </c>
      <c r="J507" s="27">
        <f>IF($B507="","",IF($A507=1,$C$7,IF(J506="",0,J506))+IF($H507="",0,$H507)-IF($I507="",0,$I507))</f>
        <v/>
      </c>
      <c r="K507" s="27">
        <f>IF($P507="","",IF(INDEX(EntryMan,$P507)=0,"",INDEX(EntryMan,$P507)))</f>
        <v/>
      </c>
      <c r="L507" s="26">
        <f>IF($B507="","",IF($K507="","—",IF(ROUND($K507-$J507,0)=0,"√","×")))</f>
        <v/>
      </c>
      <c r="M507" s="26">
        <f>IF($B507="","",IF(COUNTIFS(EntryDates,$B507,CalcTime,$C507,CalcBank,$C$5,EntryParty,$D507,EntryDep,$H507,EntryWit,$I507)&gt;1,"تکرار",""))</f>
        <v/>
      </c>
      <c r="N507" s="26">
        <f>IF($P507="","",IF(INDEX(EntryNotes,$P507)=0,"",INDEX(EntryNotes,$P507)))</f>
        <v/>
      </c>
      <c r="O507" s="26">
        <f>IF($P507="","",IF(INDEX(EntryTxnID,$P507)=0,"",INDEX(EntryTxnID,$P507)))</f>
        <v/>
      </c>
      <c r="P507" s="26">
        <f>IFERROR(MATCH($C$5&amp;"|"&amp;RIGHT("000000"&amp;491,6),CalcRankKey,0),"")</f>
        <v/>
      </c>
    </row>
    <row r="508">
      <c r="A508" s="28">
        <f>IF($B508="","",492)</f>
        <v/>
      </c>
      <c r="B508" s="28">
        <f>IF($P508="","",IF(INDEX(CalcNormDate,$P508)=0,"",INDEX(CalcNormDate,$P508)))</f>
        <v/>
      </c>
      <c r="C508" s="28">
        <f>IF($P508="","",IF(INDEX(CalcTime,$P508)=0,"",INDEX(CalcTime,$P508)))</f>
        <v/>
      </c>
      <c r="D508" s="28">
        <f>IF($P508="","",IF(INDEX(EntryParty,$P508)=0,"",INDEX(EntryParty,$P508)))</f>
        <v/>
      </c>
      <c r="E508" s="28">
        <f>IF($P508="","",IF(INDEX(EntryPartyName,$P508)=0,"",INDEX(EntryPartyName,$P508)))</f>
        <v/>
      </c>
      <c r="F508" s="28">
        <f>IF($P508="","",IF(INDEX(EntryPartyType,$P508)=0,"",INDEX(EntryPartyType,$P508)))</f>
        <v/>
      </c>
      <c r="G508" s="28">
        <f>IF($P508="","",IF(INDEX(EntryTxnType,$P508)=0,"",INDEX(EntryTxnType,$P508)))</f>
        <v/>
      </c>
      <c r="H508" s="29">
        <f>IF($P508="","",IF(INDEX(EntryDep,$P508)=0,"",INDEX(EntryDep,$P508)))</f>
        <v/>
      </c>
      <c r="I508" s="29">
        <f>IF($P508="","",IF(INDEX(EntryWit,$P508)=0,"",INDEX(EntryWit,$P508)))</f>
        <v/>
      </c>
      <c r="J508" s="29">
        <f>IF($B508="","",IF($A508=1,$C$7,IF(J507="",0,J507))+IF($H508="",0,$H508)-IF($I508="",0,$I508))</f>
        <v/>
      </c>
      <c r="K508" s="29">
        <f>IF($P508="","",IF(INDEX(EntryMan,$P508)=0,"",INDEX(EntryMan,$P508)))</f>
        <v/>
      </c>
      <c r="L508" s="28">
        <f>IF($B508="","",IF($K508="","—",IF(ROUND($K508-$J508,0)=0,"√","×")))</f>
        <v/>
      </c>
      <c r="M508" s="28">
        <f>IF($B508="","",IF(COUNTIFS(EntryDates,$B508,CalcTime,$C508,CalcBank,$C$5,EntryParty,$D508,EntryDep,$H508,EntryWit,$I508)&gt;1,"تکرار",""))</f>
        <v/>
      </c>
      <c r="N508" s="28">
        <f>IF($P508="","",IF(INDEX(EntryNotes,$P508)=0,"",INDEX(EntryNotes,$P508)))</f>
        <v/>
      </c>
      <c r="O508" s="28">
        <f>IF($P508="","",IF(INDEX(EntryTxnID,$P508)=0,"",INDEX(EntryTxnID,$P508)))</f>
        <v/>
      </c>
      <c r="P508" s="28">
        <f>IFERROR(MATCH($C$5&amp;"|"&amp;RIGHT("000000"&amp;492,6),CalcRankKey,0),"")</f>
        <v/>
      </c>
    </row>
    <row r="509">
      <c r="A509" s="26">
        <f>IF($B509="","",493)</f>
        <v/>
      </c>
      <c r="B509" s="26">
        <f>IF($P509="","",IF(INDEX(CalcNormDate,$P509)=0,"",INDEX(CalcNormDate,$P509)))</f>
        <v/>
      </c>
      <c r="C509" s="26">
        <f>IF($P509="","",IF(INDEX(CalcTime,$P509)=0,"",INDEX(CalcTime,$P509)))</f>
        <v/>
      </c>
      <c r="D509" s="26">
        <f>IF($P509="","",IF(INDEX(EntryParty,$P509)=0,"",INDEX(EntryParty,$P509)))</f>
        <v/>
      </c>
      <c r="E509" s="26">
        <f>IF($P509="","",IF(INDEX(EntryPartyName,$P509)=0,"",INDEX(EntryPartyName,$P509)))</f>
        <v/>
      </c>
      <c r="F509" s="26">
        <f>IF($P509="","",IF(INDEX(EntryPartyType,$P509)=0,"",INDEX(EntryPartyType,$P509)))</f>
        <v/>
      </c>
      <c r="G509" s="26">
        <f>IF($P509="","",IF(INDEX(EntryTxnType,$P509)=0,"",INDEX(EntryTxnType,$P509)))</f>
        <v/>
      </c>
      <c r="H509" s="27">
        <f>IF($P509="","",IF(INDEX(EntryDep,$P509)=0,"",INDEX(EntryDep,$P509)))</f>
        <v/>
      </c>
      <c r="I509" s="27">
        <f>IF($P509="","",IF(INDEX(EntryWit,$P509)=0,"",INDEX(EntryWit,$P509)))</f>
        <v/>
      </c>
      <c r="J509" s="27">
        <f>IF($B509="","",IF($A509=1,$C$7,IF(J508="",0,J508))+IF($H509="",0,$H509)-IF($I509="",0,$I509))</f>
        <v/>
      </c>
      <c r="K509" s="27">
        <f>IF($P509="","",IF(INDEX(EntryMan,$P509)=0,"",INDEX(EntryMan,$P509)))</f>
        <v/>
      </c>
      <c r="L509" s="26">
        <f>IF($B509="","",IF($K509="","—",IF(ROUND($K509-$J509,0)=0,"√","×")))</f>
        <v/>
      </c>
      <c r="M509" s="26">
        <f>IF($B509="","",IF(COUNTIFS(EntryDates,$B509,CalcTime,$C509,CalcBank,$C$5,EntryParty,$D509,EntryDep,$H509,EntryWit,$I509)&gt;1,"تکرار",""))</f>
        <v/>
      </c>
      <c r="N509" s="26">
        <f>IF($P509="","",IF(INDEX(EntryNotes,$P509)=0,"",INDEX(EntryNotes,$P509)))</f>
        <v/>
      </c>
      <c r="O509" s="26">
        <f>IF($P509="","",IF(INDEX(EntryTxnID,$P509)=0,"",INDEX(EntryTxnID,$P509)))</f>
        <v/>
      </c>
      <c r="P509" s="26">
        <f>IFERROR(MATCH($C$5&amp;"|"&amp;RIGHT("000000"&amp;493,6),CalcRankKey,0),"")</f>
        <v/>
      </c>
    </row>
    <row r="510">
      <c r="A510" s="28">
        <f>IF($B510="","",494)</f>
        <v/>
      </c>
      <c r="B510" s="28">
        <f>IF($P510="","",IF(INDEX(CalcNormDate,$P510)=0,"",INDEX(CalcNormDate,$P510)))</f>
        <v/>
      </c>
      <c r="C510" s="28">
        <f>IF($P510="","",IF(INDEX(CalcTime,$P510)=0,"",INDEX(CalcTime,$P510)))</f>
        <v/>
      </c>
      <c r="D510" s="28">
        <f>IF($P510="","",IF(INDEX(EntryParty,$P510)=0,"",INDEX(EntryParty,$P510)))</f>
        <v/>
      </c>
      <c r="E510" s="28">
        <f>IF($P510="","",IF(INDEX(EntryPartyName,$P510)=0,"",INDEX(EntryPartyName,$P510)))</f>
        <v/>
      </c>
      <c r="F510" s="28">
        <f>IF($P510="","",IF(INDEX(EntryPartyType,$P510)=0,"",INDEX(EntryPartyType,$P510)))</f>
        <v/>
      </c>
      <c r="G510" s="28">
        <f>IF($P510="","",IF(INDEX(EntryTxnType,$P510)=0,"",INDEX(EntryTxnType,$P510)))</f>
        <v/>
      </c>
      <c r="H510" s="29">
        <f>IF($P510="","",IF(INDEX(EntryDep,$P510)=0,"",INDEX(EntryDep,$P510)))</f>
        <v/>
      </c>
      <c r="I510" s="29">
        <f>IF($P510="","",IF(INDEX(EntryWit,$P510)=0,"",INDEX(EntryWit,$P510)))</f>
        <v/>
      </c>
      <c r="J510" s="29">
        <f>IF($B510="","",IF($A510=1,$C$7,IF(J509="",0,J509))+IF($H510="",0,$H510)-IF($I510="",0,$I510))</f>
        <v/>
      </c>
      <c r="K510" s="29">
        <f>IF($P510="","",IF(INDEX(EntryMan,$P510)=0,"",INDEX(EntryMan,$P510)))</f>
        <v/>
      </c>
      <c r="L510" s="28">
        <f>IF($B510="","",IF($K510="","—",IF(ROUND($K510-$J510,0)=0,"√","×")))</f>
        <v/>
      </c>
      <c r="M510" s="28">
        <f>IF($B510="","",IF(COUNTIFS(EntryDates,$B510,CalcTime,$C510,CalcBank,$C$5,EntryParty,$D510,EntryDep,$H510,EntryWit,$I510)&gt;1,"تکرار",""))</f>
        <v/>
      </c>
      <c r="N510" s="28">
        <f>IF($P510="","",IF(INDEX(EntryNotes,$P510)=0,"",INDEX(EntryNotes,$P510)))</f>
        <v/>
      </c>
      <c r="O510" s="28">
        <f>IF($P510="","",IF(INDEX(EntryTxnID,$P510)=0,"",INDEX(EntryTxnID,$P510)))</f>
        <v/>
      </c>
      <c r="P510" s="28">
        <f>IFERROR(MATCH($C$5&amp;"|"&amp;RIGHT("000000"&amp;494,6),CalcRankKey,0),"")</f>
        <v/>
      </c>
    </row>
    <row r="511">
      <c r="A511" s="26">
        <f>IF($B511="","",495)</f>
        <v/>
      </c>
      <c r="B511" s="26">
        <f>IF($P511="","",IF(INDEX(CalcNormDate,$P511)=0,"",INDEX(CalcNormDate,$P511)))</f>
        <v/>
      </c>
      <c r="C511" s="26">
        <f>IF($P511="","",IF(INDEX(CalcTime,$P511)=0,"",INDEX(CalcTime,$P511)))</f>
        <v/>
      </c>
      <c r="D511" s="26">
        <f>IF($P511="","",IF(INDEX(EntryParty,$P511)=0,"",INDEX(EntryParty,$P511)))</f>
        <v/>
      </c>
      <c r="E511" s="26">
        <f>IF($P511="","",IF(INDEX(EntryPartyName,$P511)=0,"",INDEX(EntryPartyName,$P511)))</f>
        <v/>
      </c>
      <c r="F511" s="26">
        <f>IF($P511="","",IF(INDEX(EntryPartyType,$P511)=0,"",INDEX(EntryPartyType,$P511)))</f>
        <v/>
      </c>
      <c r="G511" s="26">
        <f>IF($P511="","",IF(INDEX(EntryTxnType,$P511)=0,"",INDEX(EntryTxnType,$P511)))</f>
        <v/>
      </c>
      <c r="H511" s="27">
        <f>IF($P511="","",IF(INDEX(EntryDep,$P511)=0,"",INDEX(EntryDep,$P511)))</f>
        <v/>
      </c>
      <c r="I511" s="27">
        <f>IF($P511="","",IF(INDEX(EntryWit,$P511)=0,"",INDEX(EntryWit,$P511)))</f>
        <v/>
      </c>
      <c r="J511" s="27">
        <f>IF($B511="","",IF($A511=1,$C$7,IF(J510="",0,J510))+IF($H511="",0,$H511)-IF($I511="",0,$I511))</f>
        <v/>
      </c>
      <c r="K511" s="27">
        <f>IF($P511="","",IF(INDEX(EntryMan,$P511)=0,"",INDEX(EntryMan,$P511)))</f>
        <v/>
      </c>
      <c r="L511" s="26">
        <f>IF($B511="","",IF($K511="","—",IF(ROUND($K511-$J511,0)=0,"√","×")))</f>
        <v/>
      </c>
      <c r="M511" s="26">
        <f>IF($B511="","",IF(COUNTIFS(EntryDates,$B511,CalcTime,$C511,CalcBank,$C$5,EntryParty,$D511,EntryDep,$H511,EntryWit,$I511)&gt;1,"تکرار",""))</f>
        <v/>
      </c>
      <c r="N511" s="26">
        <f>IF($P511="","",IF(INDEX(EntryNotes,$P511)=0,"",INDEX(EntryNotes,$P511)))</f>
        <v/>
      </c>
      <c r="O511" s="26">
        <f>IF($P511="","",IF(INDEX(EntryTxnID,$P511)=0,"",INDEX(EntryTxnID,$P511)))</f>
        <v/>
      </c>
      <c r="P511" s="26">
        <f>IFERROR(MATCH($C$5&amp;"|"&amp;RIGHT("000000"&amp;495,6),CalcRankKey,0),"")</f>
        <v/>
      </c>
    </row>
    <row r="512">
      <c r="A512" s="28">
        <f>IF($B512="","",496)</f>
        <v/>
      </c>
      <c r="B512" s="28">
        <f>IF($P512="","",IF(INDEX(CalcNormDate,$P512)=0,"",INDEX(CalcNormDate,$P512)))</f>
        <v/>
      </c>
      <c r="C512" s="28">
        <f>IF($P512="","",IF(INDEX(CalcTime,$P512)=0,"",INDEX(CalcTime,$P512)))</f>
        <v/>
      </c>
      <c r="D512" s="28">
        <f>IF($P512="","",IF(INDEX(EntryParty,$P512)=0,"",INDEX(EntryParty,$P512)))</f>
        <v/>
      </c>
      <c r="E512" s="28">
        <f>IF($P512="","",IF(INDEX(EntryPartyName,$P512)=0,"",INDEX(EntryPartyName,$P512)))</f>
        <v/>
      </c>
      <c r="F512" s="28">
        <f>IF($P512="","",IF(INDEX(EntryPartyType,$P512)=0,"",INDEX(EntryPartyType,$P512)))</f>
        <v/>
      </c>
      <c r="G512" s="28">
        <f>IF($P512="","",IF(INDEX(EntryTxnType,$P512)=0,"",INDEX(EntryTxnType,$P512)))</f>
        <v/>
      </c>
      <c r="H512" s="29">
        <f>IF($P512="","",IF(INDEX(EntryDep,$P512)=0,"",INDEX(EntryDep,$P512)))</f>
        <v/>
      </c>
      <c r="I512" s="29">
        <f>IF($P512="","",IF(INDEX(EntryWit,$P512)=0,"",INDEX(EntryWit,$P512)))</f>
        <v/>
      </c>
      <c r="J512" s="29">
        <f>IF($B512="","",IF($A512=1,$C$7,IF(J511="",0,J511))+IF($H512="",0,$H512)-IF($I512="",0,$I512))</f>
        <v/>
      </c>
      <c r="K512" s="29">
        <f>IF($P512="","",IF(INDEX(EntryMan,$P512)=0,"",INDEX(EntryMan,$P512)))</f>
        <v/>
      </c>
      <c r="L512" s="28">
        <f>IF($B512="","",IF($K512="","—",IF(ROUND($K512-$J512,0)=0,"√","×")))</f>
        <v/>
      </c>
      <c r="M512" s="28">
        <f>IF($B512="","",IF(COUNTIFS(EntryDates,$B512,CalcTime,$C512,CalcBank,$C$5,EntryParty,$D512,EntryDep,$H512,EntryWit,$I512)&gt;1,"تکرار",""))</f>
        <v/>
      </c>
      <c r="N512" s="28">
        <f>IF($P512="","",IF(INDEX(EntryNotes,$P512)=0,"",INDEX(EntryNotes,$P512)))</f>
        <v/>
      </c>
      <c r="O512" s="28">
        <f>IF($P512="","",IF(INDEX(EntryTxnID,$P512)=0,"",INDEX(EntryTxnID,$P512)))</f>
        <v/>
      </c>
      <c r="P512" s="28">
        <f>IFERROR(MATCH($C$5&amp;"|"&amp;RIGHT("000000"&amp;496,6),CalcRankKey,0),"")</f>
        <v/>
      </c>
    </row>
    <row r="513">
      <c r="A513" s="26">
        <f>IF($B513="","",497)</f>
        <v/>
      </c>
      <c r="B513" s="26">
        <f>IF($P513="","",IF(INDEX(CalcNormDate,$P513)=0,"",INDEX(CalcNormDate,$P513)))</f>
        <v/>
      </c>
      <c r="C513" s="26">
        <f>IF($P513="","",IF(INDEX(CalcTime,$P513)=0,"",INDEX(CalcTime,$P513)))</f>
        <v/>
      </c>
      <c r="D513" s="26">
        <f>IF($P513="","",IF(INDEX(EntryParty,$P513)=0,"",INDEX(EntryParty,$P513)))</f>
        <v/>
      </c>
      <c r="E513" s="26">
        <f>IF($P513="","",IF(INDEX(EntryPartyName,$P513)=0,"",INDEX(EntryPartyName,$P513)))</f>
        <v/>
      </c>
      <c r="F513" s="26">
        <f>IF($P513="","",IF(INDEX(EntryPartyType,$P513)=0,"",INDEX(EntryPartyType,$P513)))</f>
        <v/>
      </c>
      <c r="G513" s="26">
        <f>IF($P513="","",IF(INDEX(EntryTxnType,$P513)=0,"",INDEX(EntryTxnType,$P513)))</f>
        <v/>
      </c>
      <c r="H513" s="27">
        <f>IF($P513="","",IF(INDEX(EntryDep,$P513)=0,"",INDEX(EntryDep,$P513)))</f>
        <v/>
      </c>
      <c r="I513" s="27">
        <f>IF($P513="","",IF(INDEX(EntryWit,$P513)=0,"",INDEX(EntryWit,$P513)))</f>
        <v/>
      </c>
      <c r="J513" s="27">
        <f>IF($B513="","",IF($A513=1,$C$7,IF(J512="",0,J512))+IF($H513="",0,$H513)-IF($I513="",0,$I513))</f>
        <v/>
      </c>
      <c r="K513" s="27">
        <f>IF($P513="","",IF(INDEX(EntryMan,$P513)=0,"",INDEX(EntryMan,$P513)))</f>
        <v/>
      </c>
      <c r="L513" s="26">
        <f>IF($B513="","",IF($K513="","—",IF(ROUND($K513-$J513,0)=0,"√","×")))</f>
        <v/>
      </c>
      <c r="M513" s="26">
        <f>IF($B513="","",IF(COUNTIFS(EntryDates,$B513,CalcTime,$C513,CalcBank,$C$5,EntryParty,$D513,EntryDep,$H513,EntryWit,$I513)&gt;1,"تکرار",""))</f>
        <v/>
      </c>
      <c r="N513" s="26">
        <f>IF($P513="","",IF(INDEX(EntryNotes,$P513)=0,"",INDEX(EntryNotes,$P513)))</f>
        <v/>
      </c>
      <c r="O513" s="26">
        <f>IF($P513="","",IF(INDEX(EntryTxnID,$P513)=0,"",INDEX(EntryTxnID,$P513)))</f>
        <v/>
      </c>
      <c r="P513" s="26">
        <f>IFERROR(MATCH($C$5&amp;"|"&amp;RIGHT("000000"&amp;497,6),CalcRankKey,0),"")</f>
        <v/>
      </c>
    </row>
    <row r="514">
      <c r="A514" s="28">
        <f>IF($B514="","",498)</f>
        <v/>
      </c>
      <c r="B514" s="28">
        <f>IF($P514="","",IF(INDEX(CalcNormDate,$P514)=0,"",INDEX(CalcNormDate,$P514)))</f>
        <v/>
      </c>
      <c r="C514" s="28">
        <f>IF($P514="","",IF(INDEX(CalcTime,$P514)=0,"",INDEX(CalcTime,$P514)))</f>
        <v/>
      </c>
      <c r="D514" s="28">
        <f>IF($P514="","",IF(INDEX(EntryParty,$P514)=0,"",INDEX(EntryParty,$P514)))</f>
        <v/>
      </c>
      <c r="E514" s="28">
        <f>IF($P514="","",IF(INDEX(EntryPartyName,$P514)=0,"",INDEX(EntryPartyName,$P514)))</f>
        <v/>
      </c>
      <c r="F514" s="28">
        <f>IF($P514="","",IF(INDEX(EntryPartyType,$P514)=0,"",INDEX(EntryPartyType,$P514)))</f>
        <v/>
      </c>
      <c r="G514" s="28">
        <f>IF($P514="","",IF(INDEX(EntryTxnType,$P514)=0,"",INDEX(EntryTxnType,$P514)))</f>
        <v/>
      </c>
      <c r="H514" s="29">
        <f>IF($P514="","",IF(INDEX(EntryDep,$P514)=0,"",INDEX(EntryDep,$P514)))</f>
        <v/>
      </c>
      <c r="I514" s="29">
        <f>IF($P514="","",IF(INDEX(EntryWit,$P514)=0,"",INDEX(EntryWit,$P514)))</f>
        <v/>
      </c>
      <c r="J514" s="29">
        <f>IF($B514="","",IF($A514=1,$C$7,IF(J513="",0,J513))+IF($H514="",0,$H514)-IF($I514="",0,$I514))</f>
        <v/>
      </c>
      <c r="K514" s="29">
        <f>IF($P514="","",IF(INDEX(EntryMan,$P514)=0,"",INDEX(EntryMan,$P514)))</f>
        <v/>
      </c>
      <c r="L514" s="28">
        <f>IF($B514="","",IF($K514="","—",IF(ROUND($K514-$J514,0)=0,"√","×")))</f>
        <v/>
      </c>
      <c r="M514" s="28">
        <f>IF($B514="","",IF(COUNTIFS(EntryDates,$B514,CalcTime,$C514,CalcBank,$C$5,EntryParty,$D514,EntryDep,$H514,EntryWit,$I514)&gt;1,"تکرار",""))</f>
        <v/>
      </c>
      <c r="N514" s="28">
        <f>IF($P514="","",IF(INDEX(EntryNotes,$P514)=0,"",INDEX(EntryNotes,$P514)))</f>
        <v/>
      </c>
      <c r="O514" s="28">
        <f>IF($P514="","",IF(INDEX(EntryTxnID,$P514)=0,"",INDEX(EntryTxnID,$P514)))</f>
        <v/>
      </c>
      <c r="P514" s="28">
        <f>IFERROR(MATCH($C$5&amp;"|"&amp;RIGHT("000000"&amp;498,6),CalcRankKey,0),"")</f>
        <v/>
      </c>
    </row>
    <row r="515">
      <c r="A515" s="26">
        <f>IF($B515="","",499)</f>
        <v/>
      </c>
      <c r="B515" s="26">
        <f>IF($P515="","",IF(INDEX(CalcNormDate,$P515)=0,"",INDEX(CalcNormDate,$P515)))</f>
        <v/>
      </c>
      <c r="C515" s="26">
        <f>IF($P515="","",IF(INDEX(CalcTime,$P515)=0,"",INDEX(CalcTime,$P515)))</f>
        <v/>
      </c>
      <c r="D515" s="26">
        <f>IF($P515="","",IF(INDEX(EntryParty,$P515)=0,"",INDEX(EntryParty,$P515)))</f>
        <v/>
      </c>
      <c r="E515" s="26">
        <f>IF($P515="","",IF(INDEX(EntryPartyName,$P515)=0,"",INDEX(EntryPartyName,$P515)))</f>
        <v/>
      </c>
      <c r="F515" s="26">
        <f>IF($P515="","",IF(INDEX(EntryPartyType,$P515)=0,"",INDEX(EntryPartyType,$P515)))</f>
        <v/>
      </c>
      <c r="G515" s="26">
        <f>IF($P515="","",IF(INDEX(EntryTxnType,$P515)=0,"",INDEX(EntryTxnType,$P515)))</f>
        <v/>
      </c>
      <c r="H515" s="27">
        <f>IF($P515="","",IF(INDEX(EntryDep,$P515)=0,"",INDEX(EntryDep,$P515)))</f>
        <v/>
      </c>
      <c r="I515" s="27">
        <f>IF($P515="","",IF(INDEX(EntryWit,$P515)=0,"",INDEX(EntryWit,$P515)))</f>
        <v/>
      </c>
      <c r="J515" s="27">
        <f>IF($B515="","",IF($A515=1,$C$7,IF(J514="",0,J514))+IF($H515="",0,$H515)-IF($I515="",0,$I515))</f>
        <v/>
      </c>
      <c r="K515" s="27">
        <f>IF($P515="","",IF(INDEX(EntryMan,$P515)=0,"",INDEX(EntryMan,$P515)))</f>
        <v/>
      </c>
      <c r="L515" s="26">
        <f>IF($B515="","",IF($K515="","—",IF(ROUND($K515-$J515,0)=0,"√","×")))</f>
        <v/>
      </c>
      <c r="M515" s="26">
        <f>IF($B515="","",IF(COUNTIFS(EntryDates,$B515,CalcTime,$C515,CalcBank,$C$5,EntryParty,$D515,EntryDep,$H515,EntryWit,$I515)&gt;1,"تکرار",""))</f>
        <v/>
      </c>
      <c r="N515" s="26">
        <f>IF($P515="","",IF(INDEX(EntryNotes,$P515)=0,"",INDEX(EntryNotes,$P515)))</f>
        <v/>
      </c>
      <c r="O515" s="26">
        <f>IF($P515="","",IF(INDEX(EntryTxnID,$P515)=0,"",INDEX(EntryTxnID,$P515)))</f>
        <v/>
      </c>
      <c r="P515" s="26">
        <f>IFERROR(MATCH($C$5&amp;"|"&amp;RIGHT("000000"&amp;499,6),CalcRankKey,0),"")</f>
        <v/>
      </c>
    </row>
    <row r="516">
      <c r="A516" s="28">
        <f>IF($B516="","",500)</f>
        <v/>
      </c>
      <c r="B516" s="28">
        <f>IF($P516="","",IF(INDEX(CalcNormDate,$P516)=0,"",INDEX(CalcNormDate,$P516)))</f>
        <v/>
      </c>
      <c r="C516" s="28">
        <f>IF($P516="","",IF(INDEX(CalcTime,$P516)=0,"",INDEX(CalcTime,$P516)))</f>
        <v/>
      </c>
      <c r="D516" s="28">
        <f>IF($P516="","",IF(INDEX(EntryParty,$P516)=0,"",INDEX(EntryParty,$P516)))</f>
        <v/>
      </c>
      <c r="E516" s="28">
        <f>IF($P516="","",IF(INDEX(EntryPartyName,$P516)=0,"",INDEX(EntryPartyName,$P516)))</f>
        <v/>
      </c>
      <c r="F516" s="28">
        <f>IF($P516="","",IF(INDEX(EntryPartyType,$P516)=0,"",INDEX(EntryPartyType,$P516)))</f>
        <v/>
      </c>
      <c r="G516" s="28">
        <f>IF($P516="","",IF(INDEX(EntryTxnType,$P516)=0,"",INDEX(EntryTxnType,$P516)))</f>
        <v/>
      </c>
      <c r="H516" s="29">
        <f>IF($P516="","",IF(INDEX(EntryDep,$P516)=0,"",INDEX(EntryDep,$P516)))</f>
        <v/>
      </c>
      <c r="I516" s="29">
        <f>IF($P516="","",IF(INDEX(EntryWit,$P516)=0,"",INDEX(EntryWit,$P516)))</f>
        <v/>
      </c>
      <c r="J516" s="29">
        <f>IF($B516="","",IF($A516=1,$C$7,IF(J515="",0,J515))+IF($H516="",0,$H516)-IF($I516="",0,$I516))</f>
        <v/>
      </c>
      <c r="K516" s="29">
        <f>IF($P516="","",IF(INDEX(EntryMan,$P516)=0,"",INDEX(EntryMan,$P516)))</f>
        <v/>
      </c>
      <c r="L516" s="28">
        <f>IF($B516="","",IF($K516="","—",IF(ROUND($K516-$J516,0)=0,"√","×")))</f>
        <v/>
      </c>
      <c r="M516" s="28">
        <f>IF($B516="","",IF(COUNTIFS(EntryDates,$B516,CalcTime,$C516,CalcBank,$C$5,EntryParty,$D516,EntryDep,$H516,EntryWit,$I516)&gt;1,"تکرار",""))</f>
        <v/>
      </c>
      <c r="N516" s="28">
        <f>IF($P516="","",IF(INDEX(EntryNotes,$P516)=0,"",INDEX(EntryNotes,$P516)))</f>
        <v/>
      </c>
      <c r="O516" s="28">
        <f>IF($P516="","",IF(INDEX(EntryTxnID,$P516)=0,"",INDEX(EntryTxnID,$P516)))</f>
        <v/>
      </c>
      <c r="P516" s="28">
        <f>IFERROR(MATCH($C$5&amp;"|"&amp;RIGHT("000000"&amp;500,6),CalcRankKey,0),"")</f>
        <v/>
      </c>
    </row>
  </sheetData>
  <mergeCells count="43">
    <mergeCell ref="E12:F12"/>
    <mergeCell ref="G12:H12"/>
    <mergeCell ref="O12"/>
    <mergeCell ref="H10:I10"/>
    <mergeCell ref="I4:O4"/>
    <mergeCell ref="A6:B6"/>
    <mergeCell ref="H9:I9"/>
    <mergeCell ref="J7:O7"/>
    <mergeCell ref="O13"/>
    <mergeCell ref="A2:O2"/>
    <mergeCell ref="A7:B7"/>
    <mergeCell ref="H6:I6"/>
    <mergeCell ref="C8:E8"/>
    <mergeCell ref="E13:F13"/>
    <mergeCell ref="G13:H13"/>
    <mergeCell ref="C7:E7"/>
    <mergeCell ref="A9:E10"/>
    <mergeCell ref="A12:B12"/>
    <mergeCell ref="M13:N13"/>
    <mergeCell ref="C12:D12"/>
    <mergeCell ref="A3:H3"/>
    <mergeCell ref="I12:J12"/>
    <mergeCell ref="K12:L12"/>
    <mergeCell ref="M12:N12"/>
    <mergeCell ref="H7:I7"/>
    <mergeCell ref="A5:B5"/>
    <mergeCell ref="J8:O8"/>
    <mergeCell ref="A8:B8"/>
    <mergeCell ref="C6:E6"/>
    <mergeCell ref="A4:H4"/>
    <mergeCell ref="J5:O5"/>
    <mergeCell ref="C5:E5"/>
    <mergeCell ref="J10:O10"/>
    <mergeCell ref="I3:O3"/>
    <mergeCell ref="A1:O1"/>
    <mergeCell ref="A13:B13"/>
    <mergeCell ref="H5:I5"/>
    <mergeCell ref="J9:O9"/>
    <mergeCell ref="C13:D13"/>
    <mergeCell ref="H8:I8"/>
    <mergeCell ref="I13:J13"/>
    <mergeCell ref="K13:L13"/>
    <mergeCell ref="J6:O6"/>
  </mergeCells>
  <conditionalFormatting sqref="L17:L516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3">
      <formula>"—"</formula>
    </cfRule>
  </conditionalFormatting>
  <conditionalFormatting sqref="M17:M516">
    <cfRule type="cellIs" priority="4" operator="equal" dxfId="4">
      <formula>"تکرار"</formula>
    </cfRule>
  </conditionalFormatting>
  <conditionalFormatting sqref="J17:J516">
    <cfRule type="cellIs" priority="5" operator="lessThan" dxfId="5">
      <formula>0</formula>
    </cfRule>
  </conditionalFormatting>
  <conditionalFormatting sqref="H17:H516">
    <cfRule type="dataBar" priority="6">
      <dataBar showValue="1">
        <cfvo type="num" val="0"/>
        <cfvo type="max"/>
        <color rgb="0081C784"/>
      </dataBar>
    </cfRule>
  </conditionalFormatting>
  <conditionalFormatting sqref="I17:I516">
    <cfRule type="dataBar" priority="7">
      <dataBar showValue="1">
        <cfvo type="num" val="0"/>
        <cfvo type="max"/>
        <color rgb="00FF8A65"/>
      </dataBar>
    </cfRule>
  </conditionalFormatting>
  <conditionalFormatting sqref="A4:H4">
    <cfRule type="expression" priority="8" dxfId="6">
      <formula>LEN($A$4)&gt;0</formula>
    </cfRule>
  </conditionalFormatting>
  <conditionalFormatting sqref="I13">
    <cfRule type="expression" priority="9" dxfId="7">
      <formula>ISNUMBER(SEARCH("×",$I$13))</formula>
    </cfRule>
    <cfRule type="expression" priority="10" dxfId="8">
      <formula>ISNUMBER(SEARCH("√",$I$13))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بانکی — BANK05&amp;R&amp;"Tahoma"&amp;8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P5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.5" customWidth="1" min="3" max="3"/>
    <col width="10" customWidth="1" min="4" max="4"/>
    <col width="2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0" customWidth="1" min="13" max="13"/>
    <col width="27" customWidth="1" min="14" max="14"/>
    <col width="11" customWidth="1" min="15" max="15"/>
    <col hidden="1" width="6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15">
        <f>IFERROR("صورت حساب بانکی — "&amp;IF(VLOOKUP("BANK06",BankTbl,2,0)="","(بدون عنوان)",VLOOKUP("BANK06",BankTbl,2,0)),"صورت حساب بانکی")</f>
        <v/>
      </c>
      <c r="B3" s="15" t="n"/>
      <c r="C3" s="15" t="n"/>
      <c r="D3" s="15" t="n"/>
      <c r="E3" s="15" t="n"/>
      <c r="F3" s="15" t="n"/>
      <c r="G3" s="15" t="n"/>
      <c r="H3" s="15" t="n"/>
      <c r="I3" s="16">
        <f>"کد حساب: BANK06"</f>
        <v/>
      </c>
      <c r="J3" s="16" t="n"/>
      <c r="K3" s="16" t="n"/>
      <c r="L3" s="16" t="n"/>
      <c r="M3" s="16" t="n"/>
      <c r="N3" s="16" t="n"/>
      <c r="O3" s="16" t="n"/>
    </row>
    <row r="4" ht="14" customHeight="1">
      <c r="A4" s="17">
        <f>IF(COUNTIFS(CalcBank,"BANK06")&gt;500,"× ظرفیت 500 ردیف این برگه پر شده — آخرین ردیف را به پایین کپی کنید","")</f>
        <v/>
      </c>
      <c r="B4" s="17" t="n"/>
      <c r="C4" s="17" t="n"/>
      <c r="D4" s="17" t="n"/>
      <c r="E4" s="17" t="n"/>
      <c r="F4" s="17" t="n"/>
      <c r="G4" s="17" t="n"/>
      <c r="H4" s="17" t="n"/>
      <c r="I4" s="18" t="inlineStr">
        <is>
          <t>مشخصات رسمی زیر، دستی وارد می‌شود (زردرنگ).</t>
        </is>
      </c>
      <c r="J4" s="18" t="n"/>
      <c r="K4" s="18" t="n"/>
      <c r="L4" s="18" t="n"/>
      <c r="M4" s="18" t="n"/>
      <c r="N4" s="18" t="n"/>
      <c r="O4" s="18" t="n"/>
    </row>
    <row r="5" ht="18" customHeight="1">
      <c r="A5" s="19" t="inlineStr">
        <is>
          <t>کد حساب:</t>
        </is>
      </c>
      <c r="B5" s="19" t="n"/>
      <c r="C5" s="20" t="inlineStr">
        <is>
          <t>BANK06</t>
        </is>
      </c>
      <c r="D5" s="20" t="n"/>
      <c r="E5" s="20" t="n"/>
      <c r="H5" s="19" t="inlineStr">
        <is>
          <t>نام رسمی بانک:</t>
        </is>
      </c>
      <c r="I5" s="19" t="n"/>
      <c r="J5" s="21" t="n"/>
      <c r="K5" s="21" t="n"/>
      <c r="L5" s="21" t="n"/>
      <c r="M5" s="21" t="n"/>
      <c r="N5" s="21" t="n"/>
      <c r="O5" s="21" t="n"/>
    </row>
    <row r="6" ht="18" customHeight="1">
      <c r="A6" s="19" t="inlineStr">
        <is>
          <t>عنوان نمایشی:</t>
        </is>
      </c>
      <c r="B6" s="19" t="n"/>
      <c r="C6" s="22">
        <f>IFERROR(IF(VLOOKUP("BANK06",BankTbl,2,0)="","(بدون عنوان)",VLOOKUP("BANK06",BankTbl,2,0)),"—")</f>
        <v/>
      </c>
      <c r="D6" s="22" t="n"/>
      <c r="E6" s="22" t="n"/>
      <c r="H6" s="19" t="inlineStr">
        <is>
          <t>شعبه:</t>
        </is>
      </c>
      <c r="I6" s="19" t="n"/>
      <c r="J6" s="21" t="n"/>
      <c r="K6" s="21" t="n"/>
      <c r="L6" s="21" t="n"/>
      <c r="M6" s="21" t="n"/>
      <c r="N6" s="21" t="n"/>
      <c r="O6" s="21" t="n"/>
    </row>
    <row r="7" ht="18" customHeight="1">
      <c r="A7" s="19" t="inlineStr">
        <is>
          <t>مانده اولیه (ریال):</t>
        </is>
      </c>
      <c r="B7" s="19" t="n"/>
      <c r="C7" s="23">
        <f>IFERROR(VLOOKUP("BANK06",BankTbl,3,0),0)</f>
        <v/>
      </c>
      <c r="D7" s="23" t="n"/>
      <c r="E7" s="23" t="n"/>
      <c r="H7" s="19" t="inlineStr">
        <is>
          <t>شماره حساب:</t>
        </is>
      </c>
      <c r="I7" s="19" t="n"/>
      <c r="J7" s="24" t="n"/>
      <c r="K7" s="24" t="n"/>
      <c r="L7" s="24" t="n"/>
      <c r="M7" s="24" t="n"/>
      <c r="N7" s="24" t="n"/>
      <c r="O7" s="24" t="n"/>
    </row>
    <row r="8" ht="18" customHeight="1">
      <c r="A8" s="19" t="inlineStr">
        <is>
          <t>وضعیت فعال:</t>
        </is>
      </c>
      <c r="B8" s="19" t="n"/>
      <c r="C8" s="10">
        <f>IFERROR(IF(VLOOKUP("BANK06",BankTbl,4,0)=0,"—",VLOOKUP("BANK06",BankTbl,4,0)),"—")</f>
        <v/>
      </c>
      <c r="D8" s="10" t="n"/>
      <c r="E8" s="10" t="n"/>
      <c r="H8" s="19" t="inlineStr">
        <is>
          <t>شماره شبا (۲۴ رقم):</t>
        </is>
      </c>
      <c r="I8" s="19" t="n"/>
      <c r="J8" s="24" t="n"/>
      <c r="K8" s="24" t="n"/>
      <c r="L8" s="24" t="n"/>
      <c r="M8" s="24" t="n"/>
      <c r="N8" s="24" t="n"/>
      <c r="O8" s="24" t="n"/>
    </row>
    <row r="9" ht="18" customHeight="1">
      <c r="A9" s="25" t="inlineStr">
        <is>
          <t>این چهار سلول از فایل مادر خوانده می‌شوند؛ برای تغییر: Mazandasht_INFO.xlsx ← شیت Banks. مشخصات رسمی (زردرنگ) دستی وارد می‌شود.</t>
        </is>
      </c>
      <c r="B9" s="25" t="n"/>
      <c r="C9" s="25" t="n"/>
      <c r="D9" s="25" t="n"/>
      <c r="E9" s="25" t="n"/>
      <c r="H9" s="19" t="inlineStr">
        <is>
          <t>صاحب حساب:</t>
        </is>
      </c>
      <c r="I9" s="19" t="n"/>
      <c r="J9" s="21" t="n"/>
      <c r="K9" s="21" t="n"/>
      <c r="L9" s="21" t="n"/>
      <c r="M9" s="21" t="n"/>
      <c r="N9" s="21" t="n"/>
      <c r="O9" s="21" t="n"/>
    </row>
    <row r="10" ht="18" customHeight="1">
      <c r="A10" s="25" t="n"/>
      <c r="B10" s="25" t="n"/>
      <c r="C10" s="25" t="n"/>
      <c r="D10" s="25" t="n"/>
      <c r="E10" s="25" t="n"/>
      <c r="H10" s="19" t="inlineStr">
        <is>
          <t>تلفن شعبه:</t>
        </is>
      </c>
      <c r="I10" s="19" t="n"/>
      <c r="J10" s="21" t="n"/>
      <c r="K10" s="21" t="n"/>
      <c r="L10" s="21" t="n"/>
      <c r="M10" s="21" t="n"/>
      <c r="N10" s="21" t="n"/>
      <c r="O10" s="21" t="n"/>
    </row>
    <row r="12" ht="13" customHeight="1">
      <c r="A12" s="5" t="inlineStr">
        <is>
          <t>جمع واریز (ریال)</t>
        </is>
      </c>
      <c r="B12" s="5" t="n"/>
      <c r="C12" s="5" t="inlineStr">
        <is>
          <t>جمع برداشت (ریال)</t>
        </is>
      </c>
      <c r="D12" s="5" t="n"/>
      <c r="E12" s="5" t="inlineStr">
        <is>
          <t>مانده نهایی سیستم</t>
        </is>
      </c>
      <c r="F12" s="5" t="n"/>
      <c r="G12" s="5" t="inlineStr">
        <is>
          <t>آخرین موجودی بانک</t>
        </is>
      </c>
      <c r="H12" s="5" t="n"/>
      <c r="I12" s="5" t="inlineStr">
        <is>
          <t>وضعیت مغایرت</t>
        </is>
      </c>
      <c r="J12" s="5" t="n"/>
      <c r="K12" s="5" t="inlineStr">
        <is>
          <t>تعداد تراکنش</t>
        </is>
      </c>
      <c r="L12" s="5" t="n"/>
      <c r="M12" s="5" t="inlineStr">
        <is>
          <t>ردیف تکراری</t>
        </is>
      </c>
      <c r="N12" s="5" t="n"/>
      <c r="O12" s="5" t="inlineStr">
        <is>
          <t>آخرین تاریخ</t>
        </is>
      </c>
    </row>
    <row r="13" ht="22" customHeight="1">
      <c r="A13" s="7">
        <f>SUM($H$17:$H$516)</f>
        <v/>
      </c>
      <c r="B13" s="7" t="n"/>
      <c r="C13" s="7">
        <f>SUM($I$17:$I$516)</f>
        <v/>
      </c>
      <c r="D13" s="7" t="n"/>
      <c r="E13" s="7">
        <f>IFERROR(LOOKUP(9.99E+307,$J$17:$J$516),$C$7)</f>
        <v/>
      </c>
      <c r="F13" s="7" t="n"/>
      <c r="G13" s="7">
        <f>IFERROR(LOOKUP(9.99E+307,$K$17:$K$516),"—")</f>
        <v/>
      </c>
      <c r="H13" s="7" t="n"/>
      <c r="I13" s="7">
        <f>IF(NOT(ISNUMBER($G$13)),"— بدون کنترل",IF(ROUND($G$13-$E$13,0)=0,"√ منطبق","× مغایرت ("&amp;TEXT(ROUND($G$13-$E$13,0),"#,##0")&amp;" ریال)"))</f>
        <v/>
      </c>
      <c r="J13" s="7" t="n"/>
      <c r="K13" s="7">
        <f>COUNT($A$17:$A$516)</f>
        <v/>
      </c>
      <c r="L13" s="7" t="n"/>
      <c r="M13" s="7">
        <f>COUNTIF($M$17:$M$516,"تکرار")</f>
        <v/>
      </c>
      <c r="N13" s="7" t="n"/>
      <c r="O13" s="7">
        <f>IF(COUNT($A$17:$A$516)=0,"—",INDEX($B$17:$B$516,COUNT($A$17:$A$516)))</f>
        <v/>
      </c>
    </row>
    <row r="14" ht="6" customHeight="1"/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ساعت</t>
        </is>
      </c>
      <c r="D15" s="8" t="inlineStr">
        <is>
          <t>کد طرف</t>
        </is>
      </c>
      <c r="E15" s="8" t="inlineStr">
        <is>
          <t>طرف حساب</t>
        </is>
      </c>
      <c r="F15" s="8" t="inlineStr">
        <is>
          <t>نوع طرف حساب</t>
        </is>
      </c>
      <c r="G15" s="8" t="inlineStr">
        <is>
          <t>نوع تراکنش</t>
        </is>
      </c>
      <c r="H15" s="8" t="inlineStr">
        <is>
          <t>واریز (ریال)</t>
        </is>
      </c>
      <c r="I15" s="8" t="inlineStr">
        <is>
          <t>برداشت (ریال)</t>
        </is>
      </c>
      <c r="J15" s="8" t="inlineStr">
        <is>
          <t>مانده سیستم (ریال)</t>
        </is>
      </c>
      <c r="K15" s="8" t="inlineStr">
        <is>
          <t>موجودی بانک (ریال)</t>
        </is>
      </c>
      <c r="L15" s="8" t="inlineStr">
        <is>
          <t>وضعیت</t>
        </is>
      </c>
      <c r="M15" s="8" t="inlineStr">
        <is>
          <t>کنترل تکرار</t>
        </is>
      </c>
      <c r="N15" s="8" t="inlineStr">
        <is>
          <t>توضیحات</t>
        </is>
      </c>
      <c r="O15" s="8" t="inlineStr">
        <is>
          <t>شناسه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Time</t>
        </is>
      </c>
      <c r="D16" s="9" t="inlineStr">
        <is>
          <t>Party Code</t>
        </is>
      </c>
      <c r="E16" s="9" t="inlineStr">
        <is>
          <t>Party</t>
        </is>
      </c>
      <c r="F16" s="9" t="inlineStr">
        <is>
          <t>Party Type</t>
        </is>
      </c>
      <c r="G16" s="9" t="inlineStr">
        <is>
          <t>Txn Type</t>
        </is>
      </c>
      <c r="H16" s="9" t="inlineStr">
        <is>
          <t>Deposit</t>
        </is>
      </c>
      <c r="I16" s="9" t="inlineStr">
        <is>
          <t>Withdrawal</t>
        </is>
      </c>
      <c r="J16" s="9" t="inlineStr">
        <is>
          <t>System Balance</t>
        </is>
      </c>
      <c r="K16" s="9" t="inlineStr">
        <is>
          <t>Bank Balance</t>
        </is>
      </c>
      <c r="L16" s="9" t="inlineStr">
        <is>
          <t>Status</t>
        </is>
      </c>
      <c r="M16" s="9" t="inlineStr">
        <is>
          <t>Dup Check</t>
        </is>
      </c>
      <c r="N16" s="9" t="inlineStr">
        <is>
          <t>Notes</t>
        </is>
      </c>
      <c r="O16" s="9" t="inlineStr">
        <is>
          <t>TxnID</t>
        </is>
      </c>
    </row>
    <row r="17">
      <c r="A17" s="26">
        <f>IF($B17="","",1)</f>
        <v/>
      </c>
      <c r="B17" s="26">
        <f>IF($P17="","",IF(INDEX(CalcNormDate,$P17)=0,"",INDEX(CalcNormDate,$P17)))</f>
        <v/>
      </c>
      <c r="C17" s="26">
        <f>IF($P17="","",IF(INDEX(CalcTime,$P17)=0,"",INDEX(CalcTime,$P17)))</f>
        <v/>
      </c>
      <c r="D17" s="26">
        <f>IF($P17="","",IF(INDEX(EntryParty,$P17)=0,"",INDEX(EntryParty,$P17)))</f>
        <v/>
      </c>
      <c r="E17" s="26">
        <f>IF($P17="","",IF(INDEX(EntryPartyName,$P17)=0,"",INDEX(EntryPartyName,$P17)))</f>
        <v/>
      </c>
      <c r="F17" s="26">
        <f>IF($P17="","",IF(INDEX(EntryPartyType,$P17)=0,"",INDEX(EntryPartyType,$P17)))</f>
        <v/>
      </c>
      <c r="G17" s="26">
        <f>IF($P17="","",IF(INDEX(EntryTxnType,$P17)=0,"",INDEX(EntryTxnType,$P17)))</f>
        <v/>
      </c>
      <c r="H17" s="27">
        <f>IF($P17="","",IF(INDEX(EntryDep,$P17)=0,"",INDEX(EntryDep,$P17)))</f>
        <v/>
      </c>
      <c r="I17" s="27">
        <f>IF($P17="","",IF(INDEX(EntryWit,$P17)=0,"",INDEX(EntryWit,$P17)))</f>
        <v/>
      </c>
      <c r="J17" s="27">
        <f>IF($B17="","",IF($A17=1,$C$7,IF(J16="",0,J16))+IF($H17="",0,$H17)-IF($I17="",0,$I17))</f>
        <v/>
      </c>
      <c r="K17" s="27">
        <f>IF($P17="","",IF(INDEX(EntryMan,$P17)=0,"",INDEX(EntryMan,$P17)))</f>
        <v/>
      </c>
      <c r="L17" s="26">
        <f>IF($B17="","",IF($K17="","—",IF(ROUND($K17-$J17,0)=0,"√","×")))</f>
        <v/>
      </c>
      <c r="M17" s="26">
        <f>IF($B17="","",IF(COUNTIFS(EntryDates,$B17,CalcTime,$C17,CalcBank,$C$5,EntryParty,$D17,EntryDep,$H17,EntryWit,$I17)&gt;1,"تکرار",""))</f>
        <v/>
      </c>
      <c r="N17" s="26">
        <f>IF($P17="","",IF(INDEX(EntryNotes,$P17)=0,"",INDEX(EntryNotes,$P17)))</f>
        <v/>
      </c>
      <c r="O17" s="26">
        <f>IF($P17="","",IF(INDEX(EntryTxnID,$P17)=0,"",INDEX(EntryTxnID,$P17)))</f>
        <v/>
      </c>
      <c r="P17" s="26">
        <f>IFERROR(MATCH($C$5&amp;"|"&amp;RIGHT("000000"&amp;1,6),CalcRankKey,0),"")</f>
        <v/>
      </c>
    </row>
    <row r="18">
      <c r="A18" s="28">
        <f>IF($B18="","",2)</f>
        <v/>
      </c>
      <c r="B18" s="28">
        <f>IF($P18="","",IF(INDEX(CalcNormDate,$P18)=0,"",INDEX(CalcNormDate,$P18)))</f>
        <v/>
      </c>
      <c r="C18" s="28">
        <f>IF($P18="","",IF(INDEX(CalcTime,$P18)=0,"",INDEX(CalcTime,$P18)))</f>
        <v/>
      </c>
      <c r="D18" s="28">
        <f>IF($P18="","",IF(INDEX(EntryParty,$P18)=0,"",INDEX(EntryParty,$P18)))</f>
        <v/>
      </c>
      <c r="E18" s="28">
        <f>IF($P18="","",IF(INDEX(EntryPartyName,$P18)=0,"",INDEX(EntryPartyName,$P18)))</f>
        <v/>
      </c>
      <c r="F18" s="28">
        <f>IF($P18="","",IF(INDEX(EntryPartyType,$P18)=0,"",INDEX(EntryPartyType,$P18)))</f>
        <v/>
      </c>
      <c r="G18" s="28">
        <f>IF($P18="","",IF(INDEX(EntryTxnType,$P18)=0,"",INDEX(EntryTxnType,$P18)))</f>
        <v/>
      </c>
      <c r="H18" s="29">
        <f>IF($P18="","",IF(INDEX(EntryDep,$P18)=0,"",INDEX(EntryDep,$P18)))</f>
        <v/>
      </c>
      <c r="I18" s="29">
        <f>IF($P18="","",IF(INDEX(EntryWit,$P18)=0,"",INDEX(EntryWit,$P18)))</f>
        <v/>
      </c>
      <c r="J18" s="29">
        <f>IF($B18="","",IF($A18=1,$C$7,IF(J17="",0,J17))+IF($H18="",0,$H18)-IF($I18="",0,$I18))</f>
        <v/>
      </c>
      <c r="K18" s="29">
        <f>IF($P18="","",IF(INDEX(EntryMan,$P18)=0,"",INDEX(EntryMan,$P18)))</f>
        <v/>
      </c>
      <c r="L18" s="28">
        <f>IF($B18="","",IF($K18="","—",IF(ROUND($K18-$J18,0)=0,"√","×")))</f>
        <v/>
      </c>
      <c r="M18" s="28">
        <f>IF($B18="","",IF(COUNTIFS(EntryDates,$B18,CalcTime,$C18,CalcBank,$C$5,EntryParty,$D18,EntryDep,$H18,EntryWit,$I18)&gt;1,"تکرار",""))</f>
        <v/>
      </c>
      <c r="N18" s="28">
        <f>IF($P18="","",IF(INDEX(EntryNotes,$P18)=0,"",INDEX(EntryNotes,$P18)))</f>
        <v/>
      </c>
      <c r="O18" s="28">
        <f>IF($P18="","",IF(INDEX(EntryTxnID,$P18)=0,"",INDEX(EntryTxnID,$P18)))</f>
        <v/>
      </c>
      <c r="P18" s="28">
        <f>IFERROR(MATCH($C$5&amp;"|"&amp;RIGHT("000000"&amp;2,6),CalcRankKey,0),"")</f>
        <v/>
      </c>
    </row>
    <row r="19">
      <c r="A19" s="26">
        <f>IF($B19="","",3)</f>
        <v/>
      </c>
      <c r="B19" s="26">
        <f>IF($P19="","",IF(INDEX(CalcNormDate,$P19)=0,"",INDEX(CalcNormDate,$P19)))</f>
        <v/>
      </c>
      <c r="C19" s="26">
        <f>IF($P19="","",IF(INDEX(CalcTime,$P19)=0,"",INDEX(CalcTime,$P19)))</f>
        <v/>
      </c>
      <c r="D19" s="26">
        <f>IF($P19="","",IF(INDEX(EntryParty,$P19)=0,"",INDEX(EntryParty,$P19)))</f>
        <v/>
      </c>
      <c r="E19" s="26">
        <f>IF($P19="","",IF(INDEX(EntryPartyName,$P19)=0,"",INDEX(EntryPartyName,$P19)))</f>
        <v/>
      </c>
      <c r="F19" s="26">
        <f>IF($P19="","",IF(INDEX(EntryPartyType,$P19)=0,"",INDEX(EntryPartyType,$P19)))</f>
        <v/>
      </c>
      <c r="G19" s="26">
        <f>IF($P19="","",IF(INDEX(EntryTxnType,$P19)=0,"",INDEX(EntryTxnType,$P19)))</f>
        <v/>
      </c>
      <c r="H19" s="27">
        <f>IF($P19="","",IF(INDEX(EntryDep,$P19)=0,"",INDEX(EntryDep,$P19)))</f>
        <v/>
      </c>
      <c r="I19" s="27">
        <f>IF($P19="","",IF(INDEX(EntryWit,$P19)=0,"",INDEX(EntryWit,$P19)))</f>
        <v/>
      </c>
      <c r="J19" s="27">
        <f>IF($B19="","",IF($A19=1,$C$7,IF(J18="",0,J18))+IF($H19="",0,$H19)-IF($I19="",0,$I19))</f>
        <v/>
      </c>
      <c r="K19" s="27">
        <f>IF($P19="","",IF(INDEX(EntryMan,$P19)=0,"",INDEX(EntryMan,$P19)))</f>
        <v/>
      </c>
      <c r="L19" s="26">
        <f>IF($B19="","",IF($K19="","—",IF(ROUND($K19-$J19,0)=0,"√","×")))</f>
        <v/>
      </c>
      <c r="M19" s="26">
        <f>IF($B19="","",IF(COUNTIFS(EntryDates,$B19,CalcTime,$C19,CalcBank,$C$5,EntryParty,$D19,EntryDep,$H19,EntryWit,$I19)&gt;1,"تکرار",""))</f>
        <v/>
      </c>
      <c r="N19" s="26">
        <f>IF($P19="","",IF(INDEX(EntryNotes,$P19)=0,"",INDEX(EntryNotes,$P19)))</f>
        <v/>
      </c>
      <c r="O19" s="26">
        <f>IF($P19="","",IF(INDEX(EntryTxnID,$P19)=0,"",INDEX(EntryTxnID,$P19)))</f>
        <v/>
      </c>
      <c r="P19" s="26">
        <f>IFERROR(MATCH($C$5&amp;"|"&amp;RIGHT("000000"&amp;3,6),CalcRankKey,0),"")</f>
        <v/>
      </c>
    </row>
    <row r="20">
      <c r="A20" s="28">
        <f>IF($B20="","",4)</f>
        <v/>
      </c>
      <c r="B20" s="28">
        <f>IF($P20="","",IF(INDEX(CalcNormDate,$P20)=0,"",INDEX(CalcNormDate,$P20)))</f>
        <v/>
      </c>
      <c r="C20" s="28">
        <f>IF($P20="","",IF(INDEX(CalcTime,$P20)=0,"",INDEX(CalcTime,$P20)))</f>
        <v/>
      </c>
      <c r="D20" s="28">
        <f>IF($P20="","",IF(INDEX(EntryParty,$P20)=0,"",INDEX(EntryParty,$P20)))</f>
        <v/>
      </c>
      <c r="E20" s="28">
        <f>IF($P20="","",IF(INDEX(EntryPartyName,$P20)=0,"",INDEX(EntryPartyName,$P20)))</f>
        <v/>
      </c>
      <c r="F20" s="28">
        <f>IF($P20="","",IF(INDEX(EntryPartyType,$P20)=0,"",INDEX(EntryPartyType,$P20)))</f>
        <v/>
      </c>
      <c r="G20" s="28">
        <f>IF($P20="","",IF(INDEX(EntryTxnType,$P20)=0,"",INDEX(EntryTxnType,$P20)))</f>
        <v/>
      </c>
      <c r="H20" s="29">
        <f>IF($P20="","",IF(INDEX(EntryDep,$P20)=0,"",INDEX(EntryDep,$P20)))</f>
        <v/>
      </c>
      <c r="I20" s="29">
        <f>IF($P20="","",IF(INDEX(EntryWit,$P20)=0,"",INDEX(EntryWit,$P20)))</f>
        <v/>
      </c>
      <c r="J20" s="29">
        <f>IF($B20="","",IF($A20=1,$C$7,IF(J19="",0,J19))+IF($H20="",0,$H20)-IF($I20="",0,$I20))</f>
        <v/>
      </c>
      <c r="K20" s="29">
        <f>IF($P20="","",IF(INDEX(EntryMan,$P20)=0,"",INDEX(EntryMan,$P20)))</f>
        <v/>
      </c>
      <c r="L20" s="28">
        <f>IF($B20="","",IF($K20="","—",IF(ROUND($K20-$J20,0)=0,"√","×")))</f>
        <v/>
      </c>
      <c r="M20" s="28">
        <f>IF($B20="","",IF(COUNTIFS(EntryDates,$B20,CalcTime,$C20,CalcBank,$C$5,EntryParty,$D20,EntryDep,$H20,EntryWit,$I20)&gt;1,"تکرار",""))</f>
        <v/>
      </c>
      <c r="N20" s="28">
        <f>IF($P20="","",IF(INDEX(EntryNotes,$P20)=0,"",INDEX(EntryNotes,$P20)))</f>
        <v/>
      </c>
      <c r="O20" s="28">
        <f>IF($P20="","",IF(INDEX(EntryTxnID,$P20)=0,"",INDEX(EntryTxnID,$P20)))</f>
        <v/>
      </c>
      <c r="P20" s="28">
        <f>IFERROR(MATCH($C$5&amp;"|"&amp;RIGHT("000000"&amp;4,6),CalcRankKey,0),"")</f>
        <v/>
      </c>
    </row>
    <row r="21">
      <c r="A21" s="26">
        <f>IF($B21="","",5)</f>
        <v/>
      </c>
      <c r="B21" s="26">
        <f>IF($P21="","",IF(INDEX(CalcNormDate,$P21)=0,"",INDEX(CalcNormDate,$P21)))</f>
        <v/>
      </c>
      <c r="C21" s="26">
        <f>IF($P21="","",IF(INDEX(CalcTime,$P21)=0,"",INDEX(CalcTime,$P21)))</f>
        <v/>
      </c>
      <c r="D21" s="26">
        <f>IF($P21="","",IF(INDEX(EntryParty,$P21)=0,"",INDEX(EntryParty,$P21)))</f>
        <v/>
      </c>
      <c r="E21" s="26">
        <f>IF($P21="","",IF(INDEX(EntryPartyName,$P21)=0,"",INDEX(EntryPartyName,$P21)))</f>
        <v/>
      </c>
      <c r="F21" s="26">
        <f>IF($P21="","",IF(INDEX(EntryPartyType,$P21)=0,"",INDEX(EntryPartyType,$P21)))</f>
        <v/>
      </c>
      <c r="G21" s="26">
        <f>IF($P21="","",IF(INDEX(EntryTxnType,$P21)=0,"",INDEX(EntryTxnType,$P21)))</f>
        <v/>
      </c>
      <c r="H21" s="27">
        <f>IF($P21="","",IF(INDEX(EntryDep,$P21)=0,"",INDEX(EntryDep,$P21)))</f>
        <v/>
      </c>
      <c r="I21" s="27">
        <f>IF($P21="","",IF(INDEX(EntryWit,$P21)=0,"",INDEX(EntryWit,$P21)))</f>
        <v/>
      </c>
      <c r="J21" s="27">
        <f>IF($B21="","",IF($A21=1,$C$7,IF(J20="",0,J20))+IF($H21="",0,$H21)-IF($I21="",0,$I21))</f>
        <v/>
      </c>
      <c r="K21" s="27">
        <f>IF($P21="","",IF(INDEX(EntryMan,$P21)=0,"",INDEX(EntryMan,$P21)))</f>
        <v/>
      </c>
      <c r="L21" s="26">
        <f>IF($B21="","",IF($K21="","—",IF(ROUND($K21-$J21,0)=0,"√","×")))</f>
        <v/>
      </c>
      <c r="M21" s="26">
        <f>IF($B21="","",IF(COUNTIFS(EntryDates,$B21,CalcTime,$C21,CalcBank,$C$5,EntryParty,$D21,EntryDep,$H21,EntryWit,$I21)&gt;1,"تکرار",""))</f>
        <v/>
      </c>
      <c r="N21" s="26">
        <f>IF($P21="","",IF(INDEX(EntryNotes,$P21)=0,"",INDEX(EntryNotes,$P21)))</f>
        <v/>
      </c>
      <c r="O21" s="26">
        <f>IF($P21="","",IF(INDEX(EntryTxnID,$P21)=0,"",INDEX(EntryTxnID,$P21)))</f>
        <v/>
      </c>
      <c r="P21" s="26">
        <f>IFERROR(MATCH($C$5&amp;"|"&amp;RIGHT("000000"&amp;5,6),CalcRankKey,0),"")</f>
        <v/>
      </c>
    </row>
    <row r="22">
      <c r="A22" s="28">
        <f>IF($B22="","",6)</f>
        <v/>
      </c>
      <c r="B22" s="28">
        <f>IF($P22="","",IF(INDEX(CalcNormDate,$P22)=0,"",INDEX(CalcNormDate,$P22)))</f>
        <v/>
      </c>
      <c r="C22" s="28">
        <f>IF($P22="","",IF(INDEX(CalcTime,$P22)=0,"",INDEX(CalcTime,$P22)))</f>
        <v/>
      </c>
      <c r="D22" s="28">
        <f>IF($P22="","",IF(INDEX(EntryParty,$P22)=0,"",INDEX(EntryParty,$P22)))</f>
        <v/>
      </c>
      <c r="E22" s="28">
        <f>IF($P22="","",IF(INDEX(EntryPartyName,$P22)=0,"",INDEX(EntryPartyName,$P22)))</f>
        <v/>
      </c>
      <c r="F22" s="28">
        <f>IF($P22="","",IF(INDEX(EntryPartyType,$P22)=0,"",INDEX(EntryPartyType,$P22)))</f>
        <v/>
      </c>
      <c r="G22" s="28">
        <f>IF($P22="","",IF(INDEX(EntryTxnType,$P22)=0,"",INDEX(EntryTxnType,$P22)))</f>
        <v/>
      </c>
      <c r="H22" s="29">
        <f>IF($P22="","",IF(INDEX(EntryDep,$P22)=0,"",INDEX(EntryDep,$P22)))</f>
        <v/>
      </c>
      <c r="I22" s="29">
        <f>IF($P22="","",IF(INDEX(EntryWit,$P22)=0,"",INDEX(EntryWit,$P22)))</f>
        <v/>
      </c>
      <c r="J22" s="29">
        <f>IF($B22="","",IF($A22=1,$C$7,IF(J21="",0,J21))+IF($H22="",0,$H22)-IF($I22="",0,$I22))</f>
        <v/>
      </c>
      <c r="K22" s="29">
        <f>IF($P22="","",IF(INDEX(EntryMan,$P22)=0,"",INDEX(EntryMan,$P22)))</f>
        <v/>
      </c>
      <c r="L22" s="28">
        <f>IF($B22="","",IF($K22="","—",IF(ROUND($K22-$J22,0)=0,"√","×")))</f>
        <v/>
      </c>
      <c r="M22" s="28">
        <f>IF($B22="","",IF(COUNTIFS(EntryDates,$B22,CalcTime,$C22,CalcBank,$C$5,EntryParty,$D22,EntryDep,$H22,EntryWit,$I22)&gt;1,"تکرار",""))</f>
        <v/>
      </c>
      <c r="N22" s="28">
        <f>IF($P22="","",IF(INDEX(EntryNotes,$P22)=0,"",INDEX(EntryNotes,$P22)))</f>
        <v/>
      </c>
      <c r="O22" s="28">
        <f>IF($P22="","",IF(INDEX(EntryTxnID,$P22)=0,"",INDEX(EntryTxnID,$P22)))</f>
        <v/>
      </c>
      <c r="P22" s="28">
        <f>IFERROR(MATCH($C$5&amp;"|"&amp;RIGHT("000000"&amp;6,6),CalcRankKey,0),"")</f>
        <v/>
      </c>
    </row>
    <row r="23">
      <c r="A23" s="26">
        <f>IF($B23="","",7)</f>
        <v/>
      </c>
      <c r="B23" s="26">
        <f>IF($P23="","",IF(INDEX(CalcNormDate,$P23)=0,"",INDEX(CalcNormDate,$P23)))</f>
        <v/>
      </c>
      <c r="C23" s="26">
        <f>IF($P23="","",IF(INDEX(CalcTime,$P23)=0,"",INDEX(CalcTime,$P23)))</f>
        <v/>
      </c>
      <c r="D23" s="26">
        <f>IF($P23="","",IF(INDEX(EntryParty,$P23)=0,"",INDEX(EntryParty,$P23)))</f>
        <v/>
      </c>
      <c r="E23" s="26">
        <f>IF($P23="","",IF(INDEX(EntryPartyName,$P23)=0,"",INDEX(EntryPartyName,$P23)))</f>
        <v/>
      </c>
      <c r="F23" s="26">
        <f>IF($P23="","",IF(INDEX(EntryPartyType,$P23)=0,"",INDEX(EntryPartyType,$P23)))</f>
        <v/>
      </c>
      <c r="G23" s="26">
        <f>IF($P23="","",IF(INDEX(EntryTxnType,$P23)=0,"",INDEX(EntryTxnType,$P23)))</f>
        <v/>
      </c>
      <c r="H23" s="27">
        <f>IF($P23="","",IF(INDEX(EntryDep,$P23)=0,"",INDEX(EntryDep,$P23)))</f>
        <v/>
      </c>
      <c r="I23" s="27">
        <f>IF($P23="","",IF(INDEX(EntryWit,$P23)=0,"",INDEX(EntryWit,$P23)))</f>
        <v/>
      </c>
      <c r="J23" s="27">
        <f>IF($B23="","",IF($A23=1,$C$7,IF(J22="",0,J22))+IF($H23="",0,$H23)-IF($I23="",0,$I23))</f>
        <v/>
      </c>
      <c r="K23" s="27">
        <f>IF($P23="","",IF(INDEX(EntryMan,$P23)=0,"",INDEX(EntryMan,$P23)))</f>
        <v/>
      </c>
      <c r="L23" s="26">
        <f>IF($B23="","",IF($K23="","—",IF(ROUND($K23-$J23,0)=0,"√","×")))</f>
        <v/>
      </c>
      <c r="M23" s="26">
        <f>IF($B23="","",IF(COUNTIFS(EntryDates,$B23,CalcTime,$C23,CalcBank,$C$5,EntryParty,$D23,EntryDep,$H23,EntryWit,$I23)&gt;1,"تکرار",""))</f>
        <v/>
      </c>
      <c r="N23" s="26">
        <f>IF($P23="","",IF(INDEX(EntryNotes,$P23)=0,"",INDEX(EntryNotes,$P23)))</f>
        <v/>
      </c>
      <c r="O23" s="26">
        <f>IF($P23="","",IF(INDEX(EntryTxnID,$P23)=0,"",INDEX(EntryTxnID,$P23)))</f>
        <v/>
      </c>
      <c r="P23" s="26">
        <f>IFERROR(MATCH($C$5&amp;"|"&amp;RIGHT("000000"&amp;7,6),CalcRankKey,0),"")</f>
        <v/>
      </c>
    </row>
    <row r="24">
      <c r="A24" s="28">
        <f>IF($B24="","",8)</f>
        <v/>
      </c>
      <c r="B24" s="28">
        <f>IF($P24="","",IF(INDEX(CalcNormDate,$P24)=0,"",INDEX(CalcNormDate,$P24)))</f>
        <v/>
      </c>
      <c r="C24" s="28">
        <f>IF($P24="","",IF(INDEX(CalcTime,$P24)=0,"",INDEX(CalcTime,$P24)))</f>
        <v/>
      </c>
      <c r="D24" s="28">
        <f>IF($P24="","",IF(INDEX(EntryParty,$P24)=0,"",INDEX(EntryParty,$P24)))</f>
        <v/>
      </c>
      <c r="E24" s="28">
        <f>IF($P24="","",IF(INDEX(EntryPartyName,$P24)=0,"",INDEX(EntryPartyName,$P24)))</f>
        <v/>
      </c>
      <c r="F24" s="28">
        <f>IF($P24="","",IF(INDEX(EntryPartyType,$P24)=0,"",INDEX(EntryPartyType,$P24)))</f>
        <v/>
      </c>
      <c r="G24" s="28">
        <f>IF($P24="","",IF(INDEX(EntryTxnType,$P24)=0,"",INDEX(EntryTxnType,$P24)))</f>
        <v/>
      </c>
      <c r="H24" s="29">
        <f>IF($P24="","",IF(INDEX(EntryDep,$P24)=0,"",INDEX(EntryDep,$P24)))</f>
        <v/>
      </c>
      <c r="I24" s="29">
        <f>IF($P24="","",IF(INDEX(EntryWit,$P24)=0,"",INDEX(EntryWit,$P24)))</f>
        <v/>
      </c>
      <c r="J24" s="29">
        <f>IF($B24="","",IF($A24=1,$C$7,IF(J23="",0,J23))+IF($H24="",0,$H24)-IF($I24="",0,$I24))</f>
        <v/>
      </c>
      <c r="K24" s="29">
        <f>IF($P24="","",IF(INDEX(EntryMan,$P24)=0,"",INDEX(EntryMan,$P24)))</f>
        <v/>
      </c>
      <c r="L24" s="28">
        <f>IF($B24="","",IF($K24="","—",IF(ROUND($K24-$J24,0)=0,"√","×")))</f>
        <v/>
      </c>
      <c r="M24" s="28">
        <f>IF($B24="","",IF(COUNTIFS(EntryDates,$B24,CalcTime,$C24,CalcBank,$C$5,EntryParty,$D24,EntryDep,$H24,EntryWit,$I24)&gt;1,"تکرار",""))</f>
        <v/>
      </c>
      <c r="N24" s="28">
        <f>IF($P24="","",IF(INDEX(EntryNotes,$P24)=0,"",INDEX(EntryNotes,$P24)))</f>
        <v/>
      </c>
      <c r="O24" s="28">
        <f>IF($P24="","",IF(INDEX(EntryTxnID,$P24)=0,"",INDEX(EntryTxnID,$P24)))</f>
        <v/>
      </c>
      <c r="P24" s="28">
        <f>IFERROR(MATCH($C$5&amp;"|"&amp;RIGHT("000000"&amp;8,6),CalcRankKey,0),"")</f>
        <v/>
      </c>
    </row>
    <row r="25">
      <c r="A25" s="26">
        <f>IF($B25="","",9)</f>
        <v/>
      </c>
      <c r="B25" s="26">
        <f>IF($P25="","",IF(INDEX(CalcNormDate,$P25)=0,"",INDEX(CalcNormDate,$P25)))</f>
        <v/>
      </c>
      <c r="C25" s="26">
        <f>IF($P25="","",IF(INDEX(CalcTime,$P25)=0,"",INDEX(CalcTime,$P25)))</f>
        <v/>
      </c>
      <c r="D25" s="26">
        <f>IF($P25="","",IF(INDEX(EntryParty,$P25)=0,"",INDEX(EntryParty,$P25)))</f>
        <v/>
      </c>
      <c r="E25" s="26">
        <f>IF($P25="","",IF(INDEX(EntryPartyName,$P25)=0,"",INDEX(EntryPartyName,$P25)))</f>
        <v/>
      </c>
      <c r="F25" s="26">
        <f>IF($P25="","",IF(INDEX(EntryPartyType,$P25)=0,"",INDEX(EntryPartyType,$P25)))</f>
        <v/>
      </c>
      <c r="G25" s="26">
        <f>IF($P25="","",IF(INDEX(EntryTxnType,$P25)=0,"",INDEX(EntryTxnType,$P25)))</f>
        <v/>
      </c>
      <c r="H25" s="27">
        <f>IF($P25="","",IF(INDEX(EntryDep,$P25)=0,"",INDEX(EntryDep,$P25)))</f>
        <v/>
      </c>
      <c r="I25" s="27">
        <f>IF($P25="","",IF(INDEX(EntryWit,$P25)=0,"",INDEX(EntryWit,$P25)))</f>
        <v/>
      </c>
      <c r="J25" s="27">
        <f>IF($B25="","",IF($A25=1,$C$7,IF(J24="",0,J24))+IF($H25="",0,$H25)-IF($I25="",0,$I25))</f>
        <v/>
      </c>
      <c r="K25" s="27">
        <f>IF($P25="","",IF(INDEX(EntryMan,$P25)=0,"",INDEX(EntryMan,$P25)))</f>
        <v/>
      </c>
      <c r="L25" s="26">
        <f>IF($B25="","",IF($K25="","—",IF(ROUND($K25-$J25,0)=0,"√","×")))</f>
        <v/>
      </c>
      <c r="M25" s="26">
        <f>IF($B25="","",IF(COUNTIFS(EntryDates,$B25,CalcTime,$C25,CalcBank,$C$5,EntryParty,$D25,EntryDep,$H25,EntryWit,$I25)&gt;1,"تکرار",""))</f>
        <v/>
      </c>
      <c r="N25" s="26">
        <f>IF($P25="","",IF(INDEX(EntryNotes,$P25)=0,"",INDEX(EntryNotes,$P25)))</f>
        <v/>
      </c>
      <c r="O25" s="26">
        <f>IF($P25="","",IF(INDEX(EntryTxnID,$P25)=0,"",INDEX(EntryTxnID,$P25)))</f>
        <v/>
      </c>
      <c r="P25" s="26">
        <f>IFERROR(MATCH($C$5&amp;"|"&amp;RIGHT("000000"&amp;9,6),CalcRankKey,0),"")</f>
        <v/>
      </c>
    </row>
    <row r="26">
      <c r="A26" s="28">
        <f>IF($B26="","",10)</f>
        <v/>
      </c>
      <c r="B26" s="28">
        <f>IF($P26="","",IF(INDEX(CalcNormDate,$P26)=0,"",INDEX(CalcNormDate,$P26)))</f>
        <v/>
      </c>
      <c r="C26" s="28">
        <f>IF($P26="","",IF(INDEX(CalcTime,$P26)=0,"",INDEX(CalcTime,$P26)))</f>
        <v/>
      </c>
      <c r="D26" s="28">
        <f>IF($P26="","",IF(INDEX(EntryParty,$P26)=0,"",INDEX(EntryParty,$P26)))</f>
        <v/>
      </c>
      <c r="E26" s="28">
        <f>IF($P26="","",IF(INDEX(EntryPartyName,$P26)=0,"",INDEX(EntryPartyName,$P26)))</f>
        <v/>
      </c>
      <c r="F26" s="28">
        <f>IF($P26="","",IF(INDEX(EntryPartyType,$P26)=0,"",INDEX(EntryPartyType,$P26)))</f>
        <v/>
      </c>
      <c r="G26" s="28">
        <f>IF($P26="","",IF(INDEX(EntryTxnType,$P26)=0,"",INDEX(EntryTxnType,$P26)))</f>
        <v/>
      </c>
      <c r="H26" s="29">
        <f>IF($P26="","",IF(INDEX(EntryDep,$P26)=0,"",INDEX(EntryDep,$P26)))</f>
        <v/>
      </c>
      <c r="I26" s="29">
        <f>IF($P26="","",IF(INDEX(EntryWit,$P26)=0,"",INDEX(EntryWit,$P26)))</f>
        <v/>
      </c>
      <c r="J26" s="29">
        <f>IF($B26="","",IF($A26=1,$C$7,IF(J25="",0,J25))+IF($H26="",0,$H26)-IF($I26="",0,$I26))</f>
        <v/>
      </c>
      <c r="K26" s="29">
        <f>IF($P26="","",IF(INDEX(EntryMan,$P26)=0,"",INDEX(EntryMan,$P26)))</f>
        <v/>
      </c>
      <c r="L26" s="28">
        <f>IF($B26="","",IF($K26="","—",IF(ROUND($K26-$J26,0)=0,"√","×")))</f>
        <v/>
      </c>
      <c r="M26" s="28">
        <f>IF($B26="","",IF(COUNTIFS(EntryDates,$B26,CalcTime,$C26,CalcBank,$C$5,EntryParty,$D26,EntryDep,$H26,EntryWit,$I26)&gt;1,"تکرار",""))</f>
        <v/>
      </c>
      <c r="N26" s="28">
        <f>IF($P26="","",IF(INDEX(EntryNotes,$P26)=0,"",INDEX(EntryNotes,$P26)))</f>
        <v/>
      </c>
      <c r="O26" s="28">
        <f>IF($P26="","",IF(INDEX(EntryTxnID,$P26)=0,"",INDEX(EntryTxnID,$P26)))</f>
        <v/>
      </c>
      <c r="P26" s="28">
        <f>IFERROR(MATCH($C$5&amp;"|"&amp;RIGHT("000000"&amp;10,6),CalcRankKey,0),"")</f>
        <v/>
      </c>
    </row>
    <row r="27">
      <c r="A27" s="26">
        <f>IF($B27="","",11)</f>
        <v/>
      </c>
      <c r="B27" s="26">
        <f>IF($P27="","",IF(INDEX(CalcNormDate,$P27)=0,"",INDEX(CalcNormDate,$P27)))</f>
        <v/>
      </c>
      <c r="C27" s="26">
        <f>IF($P27="","",IF(INDEX(CalcTime,$P27)=0,"",INDEX(CalcTime,$P27)))</f>
        <v/>
      </c>
      <c r="D27" s="26">
        <f>IF($P27="","",IF(INDEX(EntryParty,$P27)=0,"",INDEX(EntryParty,$P27)))</f>
        <v/>
      </c>
      <c r="E27" s="26">
        <f>IF($P27="","",IF(INDEX(EntryPartyName,$P27)=0,"",INDEX(EntryPartyName,$P27)))</f>
        <v/>
      </c>
      <c r="F27" s="26">
        <f>IF($P27="","",IF(INDEX(EntryPartyType,$P27)=0,"",INDEX(EntryPartyType,$P27)))</f>
        <v/>
      </c>
      <c r="G27" s="26">
        <f>IF($P27="","",IF(INDEX(EntryTxnType,$P27)=0,"",INDEX(EntryTxnType,$P27)))</f>
        <v/>
      </c>
      <c r="H27" s="27">
        <f>IF($P27="","",IF(INDEX(EntryDep,$P27)=0,"",INDEX(EntryDep,$P27)))</f>
        <v/>
      </c>
      <c r="I27" s="27">
        <f>IF($P27="","",IF(INDEX(EntryWit,$P27)=0,"",INDEX(EntryWit,$P27)))</f>
        <v/>
      </c>
      <c r="J27" s="27">
        <f>IF($B27="","",IF($A27=1,$C$7,IF(J26="",0,J26))+IF($H27="",0,$H27)-IF($I27="",0,$I27))</f>
        <v/>
      </c>
      <c r="K27" s="27">
        <f>IF($P27="","",IF(INDEX(EntryMan,$P27)=0,"",INDEX(EntryMan,$P27)))</f>
        <v/>
      </c>
      <c r="L27" s="26">
        <f>IF($B27="","",IF($K27="","—",IF(ROUND($K27-$J27,0)=0,"√","×")))</f>
        <v/>
      </c>
      <c r="M27" s="26">
        <f>IF($B27="","",IF(COUNTIFS(EntryDates,$B27,CalcTime,$C27,CalcBank,$C$5,EntryParty,$D27,EntryDep,$H27,EntryWit,$I27)&gt;1,"تکرار",""))</f>
        <v/>
      </c>
      <c r="N27" s="26">
        <f>IF($P27="","",IF(INDEX(EntryNotes,$P27)=0,"",INDEX(EntryNotes,$P27)))</f>
        <v/>
      </c>
      <c r="O27" s="26">
        <f>IF($P27="","",IF(INDEX(EntryTxnID,$P27)=0,"",INDEX(EntryTxnID,$P27)))</f>
        <v/>
      </c>
      <c r="P27" s="26">
        <f>IFERROR(MATCH($C$5&amp;"|"&amp;RIGHT("000000"&amp;11,6),CalcRankKey,0),"")</f>
        <v/>
      </c>
    </row>
    <row r="28">
      <c r="A28" s="28">
        <f>IF($B28="","",12)</f>
        <v/>
      </c>
      <c r="B28" s="28">
        <f>IF($P28="","",IF(INDEX(CalcNormDate,$P28)=0,"",INDEX(CalcNormDate,$P28)))</f>
        <v/>
      </c>
      <c r="C28" s="28">
        <f>IF($P28="","",IF(INDEX(CalcTime,$P28)=0,"",INDEX(CalcTime,$P28)))</f>
        <v/>
      </c>
      <c r="D28" s="28">
        <f>IF($P28="","",IF(INDEX(EntryParty,$P28)=0,"",INDEX(EntryParty,$P28)))</f>
        <v/>
      </c>
      <c r="E28" s="28">
        <f>IF($P28="","",IF(INDEX(EntryPartyName,$P28)=0,"",INDEX(EntryPartyName,$P28)))</f>
        <v/>
      </c>
      <c r="F28" s="28">
        <f>IF($P28="","",IF(INDEX(EntryPartyType,$P28)=0,"",INDEX(EntryPartyType,$P28)))</f>
        <v/>
      </c>
      <c r="G28" s="28">
        <f>IF($P28="","",IF(INDEX(EntryTxnType,$P28)=0,"",INDEX(EntryTxnType,$P28)))</f>
        <v/>
      </c>
      <c r="H28" s="29">
        <f>IF($P28="","",IF(INDEX(EntryDep,$P28)=0,"",INDEX(EntryDep,$P28)))</f>
        <v/>
      </c>
      <c r="I28" s="29">
        <f>IF($P28="","",IF(INDEX(EntryWit,$P28)=0,"",INDEX(EntryWit,$P28)))</f>
        <v/>
      </c>
      <c r="J28" s="29">
        <f>IF($B28="","",IF($A28=1,$C$7,IF(J27="",0,J27))+IF($H28="",0,$H28)-IF($I28="",0,$I28))</f>
        <v/>
      </c>
      <c r="K28" s="29">
        <f>IF($P28="","",IF(INDEX(EntryMan,$P28)=0,"",INDEX(EntryMan,$P28)))</f>
        <v/>
      </c>
      <c r="L28" s="28">
        <f>IF($B28="","",IF($K28="","—",IF(ROUND($K28-$J28,0)=0,"√","×")))</f>
        <v/>
      </c>
      <c r="M28" s="28">
        <f>IF($B28="","",IF(COUNTIFS(EntryDates,$B28,CalcTime,$C28,CalcBank,$C$5,EntryParty,$D28,EntryDep,$H28,EntryWit,$I28)&gt;1,"تکرار",""))</f>
        <v/>
      </c>
      <c r="N28" s="28">
        <f>IF($P28="","",IF(INDEX(EntryNotes,$P28)=0,"",INDEX(EntryNotes,$P28)))</f>
        <v/>
      </c>
      <c r="O28" s="28">
        <f>IF($P28="","",IF(INDEX(EntryTxnID,$P28)=0,"",INDEX(EntryTxnID,$P28)))</f>
        <v/>
      </c>
      <c r="P28" s="28">
        <f>IFERROR(MATCH($C$5&amp;"|"&amp;RIGHT("000000"&amp;12,6),CalcRankKey,0),"")</f>
        <v/>
      </c>
    </row>
    <row r="29">
      <c r="A29" s="26">
        <f>IF($B29="","",13)</f>
        <v/>
      </c>
      <c r="B29" s="26">
        <f>IF($P29="","",IF(INDEX(CalcNormDate,$P29)=0,"",INDEX(CalcNormDate,$P29)))</f>
        <v/>
      </c>
      <c r="C29" s="26">
        <f>IF($P29="","",IF(INDEX(CalcTime,$P29)=0,"",INDEX(CalcTime,$P29)))</f>
        <v/>
      </c>
      <c r="D29" s="26">
        <f>IF($P29="","",IF(INDEX(EntryParty,$P29)=0,"",INDEX(EntryParty,$P29)))</f>
        <v/>
      </c>
      <c r="E29" s="26">
        <f>IF($P29="","",IF(INDEX(EntryPartyName,$P29)=0,"",INDEX(EntryPartyName,$P29)))</f>
        <v/>
      </c>
      <c r="F29" s="26">
        <f>IF($P29="","",IF(INDEX(EntryPartyType,$P29)=0,"",INDEX(EntryPartyType,$P29)))</f>
        <v/>
      </c>
      <c r="G29" s="26">
        <f>IF($P29="","",IF(INDEX(EntryTxnType,$P29)=0,"",INDEX(EntryTxnType,$P29)))</f>
        <v/>
      </c>
      <c r="H29" s="27">
        <f>IF($P29="","",IF(INDEX(EntryDep,$P29)=0,"",INDEX(EntryDep,$P29)))</f>
        <v/>
      </c>
      <c r="I29" s="27">
        <f>IF($P29="","",IF(INDEX(EntryWit,$P29)=0,"",INDEX(EntryWit,$P29)))</f>
        <v/>
      </c>
      <c r="J29" s="27">
        <f>IF($B29="","",IF($A29=1,$C$7,IF(J28="",0,J28))+IF($H29="",0,$H29)-IF($I29="",0,$I29))</f>
        <v/>
      </c>
      <c r="K29" s="27">
        <f>IF($P29="","",IF(INDEX(EntryMan,$P29)=0,"",INDEX(EntryMan,$P29)))</f>
        <v/>
      </c>
      <c r="L29" s="26">
        <f>IF($B29="","",IF($K29="","—",IF(ROUND($K29-$J29,0)=0,"√","×")))</f>
        <v/>
      </c>
      <c r="M29" s="26">
        <f>IF($B29="","",IF(COUNTIFS(EntryDates,$B29,CalcTime,$C29,CalcBank,$C$5,EntryParty,$D29,EntryDep,$H29,EntryWit,$I29)&gt;1,"تکرار",""))</f>
        <v/>
      </c>
      <c r="N29" s="26">
        <f>IF($P29="","",IF(INDEX(EntryNotes,$P29)=0,"",INDEX(EntryNotes,$P29)))</f>
        <v/>
      </c>
      <c r="O29" s="26">
        <f>IF($P29="","",IF(INDEX(EntryTxnID,$P29)=0,"",INDEX(EntryTxnID,$P29)))</f>
        <v/>
      </c>
      <c r="P29" s="26">
        <f>IFERROR(MATCH($C$5&amp;"|"&amp;RIGHT("000000"&amp;13,6),CalcRankKey,0),"")</f>
        <v/>
      </c>
    </row>
    <row r="30">
      <c r="A30" s="28">
        <f>IF($B30="","",14)</f>
        <v/>
      </c>
      <c r="B30" s="28">
        <f>IF($P30="","",IF(INDEX(CalcNormDate,$P30)=0,"",INDEX(CalcNormDate,$P30)))</f>
        <v/>
      </c>
      <c r="C30" s="28">
        <f>IF($P30="","",IF(INDEX(CalcTime,$P30)=0,"",INDEX(CalcTime,$P30)))</f>
        <v/>
      </c>
      <c r="D30" s="28">
        <f>IF($P30="","",IF(INDEX(EntryParty,$P30)=0,"",INDEX(EntryParty,$P30)))</f>
        <v/>
      </c>
      <c r="E30" s="28">
        <f>IF($P30="","",IF(INDEX(EntryPartyName,$P30)=0,"",INDEX(EntryPartyName,$P30)))</f>
        <v/>
      </c>
      <c r="F30" s="28">
        <f>IF($P30="","",IF(INDEX(EntryPartyType,$P30)=0,"",INDEX(EntryPartyType,$P30)))</f>
        <v/>
      </c>
      <c r="G30" s="28">
        <f>IF($P30="","",IF(INDEX(EntryTxnType,$P30)=0,"",INDEX(EntryTxnType,$P30)))</f>
        <v/>
      </c>
      <c r="H30" s="29">
        <f>IF($P30="","",IF(INDEX(EntryDep,$P30)=0,"",INDEX(EntryDep,$P30)))</f>
        <v/>
      </c>
      <c r="I30" s="29">
        <f>IF($P30="","",IF(INDEX(EntryWit,$P30)=0,"",INDEX(EntryWit,$P30)))</f>
        <v/>
      </c>
      <c r="J30" s="29">
        <f>IF($B30="","",IF($A30=1,$C$7,IF(J29="",0,J29))+IF($H30="",0,$H30)-IF($I30="",0,$I30))</f>
        <v/>
      </c>
      <c r="K30" s="29">
        <f>IF($P30="","",IF(INDEX(EntryMan,$P30)=0,"",INDEX(EntryMan,$P30)))</f>
        <v/>
      </c>
      <c r="L30" s="28">
        <f>IF($B30="","",IF($K30="","—",IF(ROUND($K30-$J30,0)=0,"√","×")))</f>
        <v/>
      </c>
      <c r="M30" s="28">
        <f>IF($B30="","",IF(COUNTIFS(EntryDates,$B30,CalcTime,$C30,CalcBank,$C$5,EntryParty,$D30,EntryDep,$H30,EntryWit,$I30)&gt;1,"تکرار",""))</f>
        <v/>
      </c>
      <c r="N30" s="28">
        <f>IF($P30="","",IF(INDEX(EntryNotes,$P30)=0,"",INDEX(EntryNotes,$P30)))</f>
        <v/>
      </c>
      <c r="O30" s="28">
        <f>IF($P30="","",IF(INDEX(EntryTxnID,$P30)=0,"",INDEX(EntryTxnID,$P30)))</f>
        <v/>
      </c>
      <c r="P30" s="28">
        <f>IFERROR(MATCH($C$5&amp;"|"&amp;RIGHT("000000"&amp;14,6),CalcRankKey,0),"")</f>
        <v/>
      </c>
    </row>
    <row r="31">
      <c r="A31" s="26">
        <f>IF($B31="","",15)</f>
        <v/>
      </c>
      <c r="B31" s="26">
        <f>IF($P31="","",IF(INDEX(CalcNormDate,$P31)=0,"",INDEX(CalcNormDate,$P31)))</f>
        <v/>
      </c>
      <c r="C31" s="26">
        <f>IF($P31="","",IF(INDEX(CalcTime,$P31)=0,"",INDEX(CalcTime,$P31)))</f>
        <v/>
      </c>
      <c r="D31" s="26">
        <f>IF($P31="","",IF(INDEX(EntryParty,$P31)=0,"",INDEX(EntryParty,$P31)))</f>
        <v/>
      </c>
      <c r="E31" s="26">
        <f>IF($P31="","",IF(INDEX(EntryPartyName,$P31)=0,"",INDEX(EntryPartyName,$P31)))</f>
        <v/>
      </c>
      <c r="F31" s="26">
        <f>IF($P31="","",IF(INDEX(EntryPartyType,$P31)=0,"",INDEX(EntryPartyType,$P31)))</f>
        <v/>
      </c>
      <c r="G31" s="26">
        <f>IF($P31="","",IF(INDEX(EntryTxnType,$P31)=0,"",INDEX(EntryTxnType,$P31)))</f>
        <v/>
      </c>
      <c r="H31" s="27">
        <f>IF($P31="","",IF(INDEX(EntryDep,$P31)=0,"",INDEX(EntryDep,$P31)))</f>
        <v/>
      </c>
      <c r="I31" s="27">
        <f>IF($P31="","",IF(INDEX(EntryWit,$P31)=0,"",INDEX(EntryWit,$P31)))</f>
        <v/>
      </c>
      <c r="J31" s="27">
        <f>IF($B31="","",IF($A31=1,$C$7,IF(J30="",0,J30))+IF($H31="",0,$H31)-IF($I31="",0,$I31))</f>
        <v/>
      </c>
      <c r="K31" s="27">
        <f>IF($P31="","",IF(INDEX(EntryMan,$P31)=0,"",INDEX(EntryMan,$P31)))</f>
        <v/>
      </c>
      <c r="L31" s="26">
        <f>IF($B31="","",IF($K31="","—",IF(ROUND($K31-$J31,0)=0,"√","×")))</f>
        <v/>
      </c>
      <c r="M31" s="26">
        <f>IF($B31="","",IF(COUNTIFS(EntryDates,$B31,CalcTime,$C31,CalcBank,$C$5,EntryParty,$D31,EntryDep,$H31,EntryWit,$I31)&gt;1,"تکرار",""))</f>
        <v/>
      </c>
      <c r="N31" s="26">
        <f>IF($P31="","",IF(INDEX(EntryNotes,$P31)=0,"",INDEX(EntryNotes,$P31)))</f>
        <v/>
      </c>
      <c r="O31" s="26">
        <f>IF($P31="","",IF(INDEX(EntryTxnID,$P31)=0,"",INDEX(EntryTxnID,$P31)))</f>
        <v/>
      </c>
      <c r="P31" s="26">
        <f>IFERROR(MATCH($C$5&amp;"|"&amp;RIGHT("000000"&amp;15,6),CalcRankKey,0),"")</f>
        <v/>
      </c>
    </row>
    <row r="32">
      <c r="A32" s="28">
        <f>IF($B32="","",16)</f>
        <v/>
      </c>
      <c r="B32" s="28">
        <f>IF($P32="","",IF(INDEX(CalcNormDate,$P32)=0,"",INDEX(CalcNormDate,$P32)))</f>
        <v/>
      </c>
      <c r="C32" s="28">
        <f>IF($P32="","",IF(INDEX(CalcTime,$P32)=0,"",INDEX(CalcTime,$P32)))</f>
        <v/>
      </c>
      <c r="D32" s="28">
        <f>IF($P32="","",IF(INDEX(EntryParty,$P32)=0,"",INDEX(EntryParty,$P32)))</f>
        <v/>
      </c>
      <c r="E32" s="28">
        <f>IF($P32="","",IF(INDEX(EntryPartyName,$P32)=0,"",INDEX(EntryPartyName,$P32)))</f>
        <v/>
      </c>
      <c r="F32" s="28">
        <f>IF($P32="","",IF(INDEX(EntryPartyType,$P32)=0,"",INDEX(EntryPartyType,$P32)))</f>
        <v/>
      </c>
      <c r="G32" s="28">
        <f>IF($P32="","",IF(INDEX(EntryTxnType,$P32)=0,"",INDEX(EntryTxnType,$P32)))</f>
        <v/>
      </c>
      <c r="H32" s="29">
        <f>IF($P32="","",IF(INDEX(EntryDep,$P32)=0,"",INDEX(EntryDep,$P32)))</f>
        <v/>
      </c>
      <c r="I32" s="29">
        <f>IF($P32="","",IF(INDEX(EntryWit,$P32)=0,"",INDEX(EntryWit,$P32)))</f>
        <v/>
      </c>
      <c r="J32" s="29">
        <f>IF($B32="","",IF($A32=1,$C$7,IF(J31="",0,J31))+IF($H32="",0,$H32)-IF($I32="",0,$I32))</f>
        <v/>
      </c>
      <c r="K32" s="29">
        <f>IF($P32="","",IF(INDEX(EntryMan,$P32)=0,"",INDEX(EntryMan,$P32)))</f>
        <v/>
      </c>
      <c r="L32" s="28">
        <f>IF($B32="","",IF($K32="","—",IF(ROUND($K32-$J32,0)=0,"√","×")))</f>
        <v/>
      </c>
      <c r="M32" s="28">
        <f>IF($B32="","",IF(COUNTIFS(EntryDates,$B32,CalcTime,$C32,CalcBank,$C$5,EntryParty,$D32,EntryDep,$H32,EntryWit,$I32)&gt;1,"تکرار",""))</f>
        <v/>
      </c>
      <c r="N32" s="28">
        <f>IF($P32="","",IF(INDEX(EntryNotes,$P32)=0,"",INDEX(EntryNotes,$P32)))</f>
        <v/>
      </c>
      <c r="O32" s="28">
        <f>IF($P32="","",IF(INDEX(EntryTxnID,$P32)=0,"",INDEX(EntryTxnID,$P32)))</f>
        <v/>
      </c>
      <c r="P32" s="28">
        <f>IFERROR(MATCH($C$5&amp;"|"&amp;RIGHT("000000"&amp;16,6),CalcRankKey,0),"")</f>
        <v/>
      </c>
    </row>
    <row r="33">
      <c r="A33" s="26">
        <f>IF($B33="","",17)</f>
        <v/>
      </c>
      <c r="B33" s="26">
        <f>IF($P33="","",IF(INDEX(CalcNormDate,$P33)=0,"",INDEX(CalcNormDate,$P33)))</f>
        <v/>
      </c>
      <c r="C33" s="26">
        <f>IF($P33="","",IF(INDEX(CalcTime,$P33)=0,"",INDEX(CalcTime,$P33)))</f>
        <v/>
      </c>
      <c r="D33" s="26">
        <f>IF($P33="","",IF(INDEX(EntryParty,$P33)=0,"",INDEX(EntryParty,$P33)))</f>
        <v/>
      </c>
      <c r="E33" s="26">
        <f>IF($P33="","",IF(INDEX(EntryPartyName,$P33)=0,"",INDEX(EntryPartyName,$P33)))</f>
        <v/>
      </c>
      <c r="F33" s="26">
        <f>IF($P33="","",IF(INDEX(EntryPartyType,$P33)=0,"",INDEX(EntryPartyType,$P33)))</f>
        <v/>
      </c>
      <c r="G33" s="26">
        <f>IF($P33="","",IF(INDEX(EntryTxnType,$P33)=0,"",INDEX(EntryTxnType,$P33)))</f>
        <v/>
      </c>
      <c r="H33" s="27">
        <f>IF($P33="","",IF(INDEX(EntryDep,$P33)=0,"",INDEX(EntryDep,$P33)))</f>
        <v/>
      </c>
      <c r="I33" s="27">
        <f>IF($P33="","",IF(INDEX(EntryWit,$P33)=0,"",INDEX(EntryWit,$P33)))</f>
        <v/>
      </c>
      <c r="J33" s="27">
        <f>IF($B33="","",IF($A33=1,$C$7,IF(J32="",0,J32))+IF($H33="",0,$H33)-IF($I33="",0,$I33))</f>
        <v/>
      </c>
      <c r="K33" s="27">
        <f>IF($P33="","",IF(INDEX(EntryMan,$P33)=0,"",INDEX(EntryMan,$P33)))</f>
        <v/>
      </c>
      <c r="L33" s="26">
        <f>IF($B33="","",IF($K33="","—",IF(ROUND($K33-$J33,0)=0,"√","×")))</f>
        <v/>
      </c>
      <c r="M33" s="26">
        <f>IF($B33="","",IF(COUNTIFS(EntryDates,$B33,CalcTime,$C33,CalcBank,$C$5,EntryParty,$D33,EntryDep,$H33,EntryWit,$I33)&gt;1,"تکرار",""))</f>
        <v/>
      </c>
      <c r="N33" s="26">
        <f>IF($P33="","",IF(INDEX(EntryNotes,$P33)=0,"",INDEX(EntryNotes,$P33)))</f>
        <v/>
      </c>
      <c r="O33" s="26">
        <f>IF($P33="","",IF(INDEX(EntryTxnID,$P33)=0,"",INDEX(EntryTxnID,$P33)))</f>
        <v/>
      </c>
      <c r="P33" s="26">
        <f>IFERROR(MATCH($C$5&amp;"|"&amp;RIGHT("000000"&amp;17,6),CalcRankKey,0),"")</f>
        <v/>
      </c>
    </row>
    <row r="34">
      <c r="A34" s="28">
        <f>IF($B34="","",18)</f>
        <v/>
      </c>
      <c r="B34" s="28">
        <f>IF($P34="","",IF(INDEX(CalcNormDate,$P34)=0,"",INDEX(CalcNormDate,$P34)))</f>
        <v/>
      </c>
      <c r="C34" s="28">
        <f>IF($P34="","",IF(INDEX(CalcTime,$P34)=0,"",INDEX(CalcTime,$P34)))</f>
        <v/>
      </c>
      <c r="D34" s="28">
        <f>IF($P34="","",IF(INDEX(EntryParty,$P34)=0,"",INDEX(EntryParty,$P34)))</f>
        <v/>
      </c>
      <c r="E34" s="28">
        <f>IF($P34="","",IF(INDEX(EntryPartyName,$P34)=0,"",INDEX(EntryPartyName,$P34)))</f>
        <v/>
      </c>
      <c r="F34" s="28">
        <f>IF($P34="","",IF(INDEX(EntryPartyType,$P34)=0,"",INDEX(EntryPartyType,$P34)))</f>
        <v/>
      </c>
      <c r="G34" s="28">
        <f>IF($P34="","",IF(INDEX(EntryTxnType,$P34)=0,"",INDEX(EntryTxnType,$P34)))</f>
        <v/>
      </c>
      <c r="H34" s="29">
        <f>IF($P34="","",IF(INDEX(EntryDep,$P34)=0,"",INDEX(EntryDep,$P34)))</f>
        <v/>
      </c>
      <c r="I34" s="29">
        <f>IF($P34="","",IF(INDEX(EntryWit,$P34)=0,"",INDEX(EntryWit,$P34)))</f>
        <v/>
      </c>
      <c r="J34" s="29">
        <f>IF($B34="","",IF($A34=1,$C$7,IF(J33="",0,J33))+IF($H34="",0,$H34)-IF($I34="",0,$I34))</f>
        <v/>
      </c>
      <c r="K34" s="29">
        <f>IF($P34="","",IF(INDEX(EntryMan,$P34)=0,"",INDEX(EntryMan,$P34)))</f>
        <v/>
      </c>
      <c r="L34" s="28">
        <f>IF($B34="","",IF($K34="","—",IF(ROUND($K34-$J34,0)=0,"√","×")))</f>
        <v/>
      </c>
      <c r="M34" s="28">
        <f>IF($B34="","",IF(COUNTIFS(EntryDates,$B34,CalcTime,$C34,CalcBank,$C$5,EntryParty,$D34,EntryDep,$H34,EntryWit,$I34)&gt;1,"تکرار",""))</f>
        <v/>
      </c>
      <c r="N34" s="28">
        <f>IF($P34="","",IF(INDEX(EntryNotes,$P34)=0,"",INDEX(EntryNotes,$P34)))</f>
        <v/>
      </c>
      <c r="O34" s="28">
        <f>IF($P34="","",IF(INDEX(EntryTxnID,$P34)=0,"",INDEX(EntryTxnID,$P34)))</f>
        <v/>
      </c>
      <c r="P34" s="28">
        <f>IFERROR(MATCH($C$5&amp;"|"&amp;RIGHT("000000"&amp;18,6),CalcRankKey,0),"")</f>
        <v/>
      </c>
    </row>
    <row r="35">
      <c r="A35" s="26">
        <f>IF($B35="","",19)</f>
        <v/>
      </c>
      <c r="B35" s="26">
        <f>IF($P35="","",IF(INDEX(CalcNormDate,$P35)=0,"",INDEX(CalcNormDate,$P35)))</f>
        <v/>
      </c>
      <c r="C35" s="26">
        <f>IF($P35="","",IF(INDEX(CalcTime,$P35)=0,"",INDEX(CalcTime,$P35)))</f>
        <v/>
      </c>
      <c r="D35" s="26">
        <f>IF($P35="","",IF(INDEX(EntryParty,$P35)=0,"",INDEX(EntryParty,$P35)))</f>
        <v/>
      </c>
      <c r="E35" s="26">
        <f>IF($P35="","",IF(INDEX(EntryPartyName,$P35)=0,"",INDEX(EntryPartyName,$P35)))</f>
        <v/>
      </c>
      <c r="F35" s="26">
        <f>IF($P35="","",IF(INDEX(EntryPartyType,$P35)=0,"",INDEX(EntryPartyType,$P35)))</f>
        <v/>
      </c>
      <c r="G35" s="26">
        <f>IF($P35="","",IF(INDEX(EntryTxnType,$P35)=0,"",INDEX(EntryTxnType,$P35)))</f>
        <v/>
      </c>
      <c r="H35" s="27">
        <f>IF($P35="","",IF(INDEX(EntryDep,$P35)=0,"",INDEX(EntryDep,$P35)))</f>
        <v/>
      </c>
      <c r="I35" s="27">
        <f>IF($P35="","",IF(INDEX(EntryWit,$P35)=0,"",INDEX(EntryWit,$P35)))</f>
        <v/>
      </c>
      <c r="J35" s="27">
        <f>IF($B35="","",IF($A35=1,$C$7,IF(J34="",0,J34))+IF($H35="",0,$H35)-IF($I35="",0,$I35))</f>
        <v/>
      </c>
      <c r="K35" s="27">
        <f>IF($P35="","",IF(INDEX(EntryMan,$P35)=0,"",INDEX(EntryMan,$P35)))</f>
        <v/>
      </c>
      <c r="L35" s="26">
        <f>IF($B35="","",IF($K35="","—",IF(ROUND($K35-$J35,0)=0,"√","×")))</f>
        <v/>
      </c>
      <c r="M35" s="26">
        <f>IF($B35="","",IF(COUNTIFS(EntryDates,$B35,CalcTime,$C35,CalcBank,$C$5,EntryParty,$D35,EntryDep,$H35,EntryWit,$I35)&gt;1,"تکرار",""))</f>
        <v/>
      </c>
      <c r="N35" s="26">
        <f>IF($P35="","",IF(INDEX(EntryNotes,$P35)=0,"",INDEX(EntryNotes,$P35)))</f>
        <v/>
      </c>
      <c r="O35" s="26">
        <f>IF($P35="","",IF(INDEX(EntryTxnID,$P35)=0,"",INDEX(EntryTxnID,$P35)))</f>
        <v/>
      </c>
      <c r="P35" s="26">
        <f>IFERROR(MATCH($C$5&amp;"|"&amp;RIGHT("000000"&amp;19,6),CalcRankKey,0),"")</f>
        <v/>
      </c>
    </row>
    <row r="36">
      <c r="A36" s="28">
        <f>IF($B36="","",20)</f>
        <v/>
      </c>
      <c r="B36" s="28">
        <f>IF($P36="","",IF(INDEX(CalcNormDate,$P36)=0,"",INDEX(CalcNormDate,$P36)))</f>
        <v/>
      </c>
      <c r="C36" s="28">
        <f>IF($P36="","",IF(INDEX(CalcTime,$P36)=0,"",INDEX(CalcTime,$P36)))</f>
        <v/>
      </c>
      <c r="D36" s="28">
        <f>IF($P36="","",IF(INDEX(EntryParty,$P36)=0,"",INDEX(EntryParty,$P36)))</f>
        <v/>
      </c>
      <c r="E36" s="28">
        <f>IF($P36="","",IF(INDEX(EntryPartyName,$P36)=0,"",INDEX(EntryPartyName,$P36)))</f>
        <v/>
      </c>
      <c r="F36" s="28">
        <f>IF($P36="","",IF(INDEX(EntryPartyType,$P36)=0,"",INDEX(EntryPartyType,$P36)))</f>
        <v/>
      </c>
      <c r="G36" s="28">
        <f>IF($P36="","",IF(INDEX(EntryTxnType,$P36)=0,"",INDEX(EntryTxnType,$P36)))</f>
        <v/>
      </c>
      <c r="H36" s="29">
        <f>IF($P36="","",IF(INDEX(EntryDep,$P36)=0,"",INDEX(EntryDep,$P36)))</f>
        <v/>
      </c>
      <c r="I36" s="29">
        <f>IF($P36="","",IF(INDEX(EntryWit,$P36)=0,"",INDEX(EntryWit,$P36)))</f>
        <v/>
      </c>
      <c r="J36" s="29">
        <f>IF($B36="","",IF($A36=1,$C$7,IF(J35="",0,J35))+IF($H36="",0,$H36)-IF($I36="",0,$I36))</f>
        <v/>
      </c>
      <c r="K36" s="29">
        <f>IF($P36="","",IF(INDEX(EntryMan,$P36)=0,"",INDEX(EntryMan,$P36)))</f>
        <v/>
      </c>
      <c r="L36" s="28">
        <f>IF($B36="","",IF($K36="","—",IF(ROUND($K36-$J36,0)=0,"√","×")))</f>
        <v/>
      </c>
      <c r="M36" s="28">
        <f>IF($B36="","",IF(COUNTIFS(EntryDates,$B36,CalcTime,$C36,CalcBank,$C$5,EntryParty,$D36,EntryDep,$H36,EntryWit,$I36)&gt;1,"تکرار",""))</f>
        <v/>
      </c>
      <c r="N36" s="28">
        <f>IF($P36="","",IF(INDEX(EntryNotes,$P36)=0,"",INDEX(EntryNotes,$P36)))</f>
        <v/>
      </c>
      <c r="O36" s="28">
        <f>IF($P36="","",IF(INDEX(EntryTxnID,$P36)=0,"",INDEX(EntryTxnID,$P36)))</f>
        <v/>
      </c>
      <c r="P36" s="28">
        <f>IFERROR(MATCH($C$5&amp;"|"&amp;RIGHT("000000"&amp;20,6),CalcRankKey,0),"")</f>
        <v/>
      </c>
    </row>
    <row r="37">
      <c r="A37" s="26">
        <f>IF($B37="","",21)</f>
        <v/>
      </c>
      <c r="B37" s="26">
        <f>IF($P37="","",IF(INDEX(CalcNormDate,$P37)=0,"",INDEX(CalcNormDate,$P37)))</f>
        <v/>
      </c>
      <c r="C37" s="26">
        <f>IF($P37="","",IF(INDEX(CalcTime,$P37)=0,"",INDEX(CalcTime,$P37)))</f>
        <v/>
      </c>
      <c r="D37" s="26">
        <f>IF($P37="","",IF(INDEX(EntryParty,$P37)=0,"",INDEX(EntryParty,$P37)))</f>
        <v/>
      </c>
      <c r="E37" s="26">
        <f>IF($P37="","",IF(INDEX(EntryPartyName,$P37)=0,"",INDEX(EntryPartyName,$P37)))</f>
        <v/>
      </c>
      <c r="F37" s="26">
        <f>IF($P37="","",IF(INDEX(EntryPartyType,$P37)=0,"",INDEX(EntryPartyType,$P37)))</f>
        <v/>
      </c>
      <c r="G37" s="26">
        <f>IF($P37="","",IF(INDEX(EntryTxnType,$P37)=0,"",INDEX(EntryTxnType,$P37)))</f>
        <v/>
      </c>
      <c r="H37" s="27">
        <f>IF($P37="","",IF(INDEX(EntryDep,$P37)=0,"",INDEX(EntryDep,$P37)))</f>
        <v/>
      </c>
      <c r="I37" s="27">
        <f>IF($P37="","",IF(INDEX(EntryWit,$P37)=0,"",INDEX(EntryWit,$P37)))</f>
        <v/>
      </c>
      <c r="J37" s="27">
        <f>IF($B37="","",IF($A37=1,$C$7,IF(J36="",0,J36))+IF($H37="",0,$H37)-IF($I37="",0,$I37))</f>
        <v/>
      </c>
      <c r="K37" s="27">
        <f>IF($P37="","",IF(INDEX(EntryMan,$P37)=0,"",INDEX(EntryMan,$P37)))</f>
        <v/>
      </c>
      <c r="L37" s="26">
        <f>IF($B37="","",IF($K37="","—",IF(ROUND($K37-$J37,0)=0,"√","×")))</f>
        <v/>
      </c>
      <c r="M37" s="26">
        <f>IF($B37="","",IF(COUNTIFS(EntryDates,$B37,CalcTime,$C37,CalcBank,$C$5,EntryParty,$D37,EntryDep,$H37,EntryWit,$I37)&gt;1,"تکرار",""))</f>
        <v/>
      </c>
      <c r="N37" s="26">
        <f>IF($P37="","",IF(INDEX(EntryNotes,$P37)=0,"",INDEX(EntryNotes,$P37)))</f>
        <v/>
      </c>
      <c r="O37" s="26">
        <f>IF($P37="","",IF(INDEX(EntryTxnID,$P37)=0,"",INDEX(EntryTxnID,$P37)))</f>
        <v/>
      </c>
      <c r="P37" s="26">
        <f>IFERROR(MATCH($C$5&amp;"|"&amp;RIGHT("000000"&amp;21,6),CalcRankKey,0),"")</f>
        <v/>
      </c>
    </row>
    <row r="38">
      <c r="A38" s="28">
        <f>IF($B38="","",22)</f>
        <v/>
      </c>
      <c r="B38" s="28">
        <f>IF($P38="","",IF(INDEX(CalcNormDate,$P38)=0,"",INDEX(CalcNormDate,$P38)))</f>
        <v/>
      </c>
      <c r="C38" s="28">
        <f>IF($P38="","",IF(INDEX(CalcTime,$P38)=0,"",INDEX(CalcTime,$P38)))</f>
        <v/>
      </c>
      <c r="D38" s="28">
        <f>IF($P38="","",IF(INDEX(EntryParty,$P38)=0,"",INDEX(EntryParty,$P38)))</f>
        <v/>
      </c>
      <c r="E38" s="28">
        <f>IF($P38="","",IF(INDEX(EntryPartyName,$P38)=0,"",INDEX(EntryPartyName,$P38)))</f>
        <v/>
      </c>
      <c r="F38" s="28">
        <f>IF($P38="","",IF(INDEX(EntryPartyType,$P38)=0,"",INDEX(EntryPartyType,$P38)))</f>
        <v/>
      </c>
      <c r="G38" s="28">
        <f>IF($P38="","",IF(INDEX(EntryTxnType,$P38)=0,"",INDEX(EntryTxnType,$P38)))</f>
        <v/>
      </c>
      <c r="H38" s="29">
        <f>IF($P38="","",IF(INDEX(EntryDep,$P38)=0,"",INDEX(EntryDep,$P38)))</f>
        <v/>
      </c>
      <c r="I38" s="29">
        <f>IF($P38="","",IF(INDEX(EntryWit,$P38)=0,"",INDEX(EntryWit,$P38)))</f>
        <v/>
      </c>
      <c r="J38" s="29">
        <f>IF($B38="","",IF($A38=1,$C$7,IF(J37="",0,J37))+IF($H38="",0,$H38)-IF($I38="",0,$I38))</f>
        <v/>
      </c>
      <c r="K38" s="29">
        <f>IF($P38="","",IF(INDEX(EntryMan,$P38)=0,"",INDEX(EntryMan,$P38)))</f>
        <v/>
      </c>
      <c r="L38" s="28">
        <f>IF($B38="","",IF($K38="","—",IF(ROUND($K38-$J38,0)=0,"√","×")))</f>
        <v/>
      </c>
      <c r="M38" s="28">
        <f>IF($B38="","",IF(COUNTIFS(EntryDates,$B38,CalcTime,$C38,CalcBank,$C$5,EntryParty,$D38,EntryDep,$H38,EntryWit,$I38)&gt;1,"تکرار",""))</f>
        <v/>
      </c>
      <c r="N38" s="28">
        <f>IF($P38="","",IF(INDEX(EntryNotes,$P38)=0,"",INDEX(EntryNotes,$P38)))</f>
        <v/>
      </c>
      <c r="O38" s="28">
        <f>IF($P38="","",IF(INDEX(EntryTxnID,$P38)=0,"",INDEX(EntryTxnID,$P38)))</f>
        <v/>
      </c>
      <c r="P38" s="28">
        <f>IFERROR(MATCH($C$5&amp;"|"&amp;RIGHT("000000"&amp;22,6),CalcRankKey,0),"")</f>
        <v/>
      </c>
    </row>
    <row r="39">
      <c r="A39" s="26">
        <f>IF($B39="","",23)</f>
        <v/>
      </c>
      <c r="B39" s="26">
        <f>IF($P39="","",IF(INDEX(CalcNormDate,$P39)=0,"",INDEX(CalcNormDate,$P39)))</f>
        <v/>
      </c>
      <c r="C39" s="26">
        <f>IF($P39="","",IF(INDEX(CalcTime,$P39)=0,"",INDEX(CalcTime,$P39)))</f>
        <v/>
      </c>
      <c r="D39" s="26">
        <f>IF($P39="","",IF(INDEX(EntryParty,$P39)=0,"",INDEX(EntryParty,$P39)))</f>
        <v/>
      </c>
      <c r="E39" s="26">
        <f>IF($P39="","",IF(INDEX(EntryPartyName,$P39)=0,"",INDEX(EntryPartyName,$P39)))</f>
        <v/>
      </c>
      <c r="F39" s="26">
        <f>IF($P39="","",IF(INDEX(EntryPartyType,$P39)=0,"",INDEX(EntryPartyType,$P39)))</f>
        <v/>
      </c>
      <c r="G39" s="26">
        <f>IF($P39="","",IF(INDEX(EntryTxnType,$P39)=0,"",INDEX(EntryTxnType,$P39)))</f>
        <v/>
      </c>
      <c r="H39" s="27">
        <f>IF($P39="","",IF(INDEX(EntryDep,$P39)=0,"",INDEX(EntryDep,$P39)))</f>
        <v/>
      </c>
      <c r="I39" s="27">
        <f>IF($P39="","",IF(INDEX(EntryWit,$P39)=0,"",INDEX(EntryWit,$P39)))</f>
        <v/>
      </c>
      <c r="J39" s="27">
        <f>IF($B39="","",IF($A39=1,$C$7,IF(J38="",0,J38))+IF($H39="",0,$H39)-IF($I39="",0,$I39))</f>
        <v/>
      </c>
      <c r="K39" s="27">
        <f>IF($P39="","",IF(INDEX(EntryMan,$P39)=0,"",INDEX(EntryMan,$P39)))</f>
        <v/>
      </c>
      <c r="L39" s="26">
        <f>IF($B39="","",IF($K39="","—",IF(ROUND($K39-$J39,0)=0,"√","×")))</f>
        <v/>
      </c>
      <c r="M39" s="26">
        <f>IF($B39="","",IF(COUNTIFS(EntryDates,$B39,CalcTime,$C39,CalcBank,$C$5,EntryParty,$D39,EntryDep,$H39,EntryWit,$I39)&gt;1,"تکرار",""))</f>
        <v/>
      </c>
      <c r="N39" s="26">
        <f>IF($P39="","",IF(INDEX(EntryNotes,$P39)=0,"",INDEX(EntryNotes,$P39)))</f>
        <v/>
      </c>
      <c r="O39" s="26">
        <f>IF($P39="","",IF(INDEX(EntryTxnID,$P39)=0,"",INDEX(EntryTxnID,$P39)))</f>
        <v/>
      </c>
      <c r="P39" s="26">
        <f>IFERROR(MATCH($C$5&amp;"|"&amp;RIGHT("000000"&amp;23,6),CalcRankKey,0),"")</f>
        <v/>
      </c>
    </row>
    <row r="40">
      <c r="A40" s="28">
        <f>IF($B40="","",24)</f>
        <v/>
      </c>
      <c r="B40" s="28">
        <f>IF($P40="","",IF(INDEX(CalcNormDate,$P40)=0,"",INDEX(CalcNormDate,$P40)))</f>
        <v/>
      </c>
      <c r="C40" s="28">
        <f>IF($P40="","",IF(INDEX(CalcTime,$P40)=0,"",INDEX(CalcTime,$P40)))</f>
        <v/>
      </c>
      <c r="D40" s="28">
        <f>IF($P40="","",IF(INDEX(EntryParty,$P40)=0,"",INDEX(EntryParty,$P40)))</f>
        <v/>
      </c>
      <c r="E40" s="28">
        <f>IF($P40="","",IF(INDEX(EntryPartyName,$P40)=0,"",INDEX(EntryPartyName,$P40)))</f>
        <v/>
      </c>
      <c r="F40" s="28">
        <f>IF($P40="","",IF(INDEX(EntryPartyType,$P40)=0,"",INDEX(EntryPartyType,$P40)))</f>
        <v/>
      </c>
      <c r="G40" s="28">
        <f>IF($P40="","",IF(INDEX(EntryTxnType,$P40)=0,"",INDEX(EntryTxnType,$P40)))</f>
        <v/>
      </c>
      <c r="H40" s="29">
        <f>IF($P40="","",IF(INDEX(EntryDep,$P40)=0,"",INDEX(EntryDep,$P40)))</f>
        <v/>
      </c>
      <c r="I40" s="29">
        <f>IF($P40="","",IF(INDEX(EntryWit,$P40)=0,"",INDEX(EntryWit,$P40)))</f>
        <v/>
      </c>
      <c r="J40" s="29">
        <f>IF($B40="","",IF($A40=1,$C$7,IF(J39="",0,J39))+IF($H40="",0,$H40)-IF($I40="",0,$I40))</f>
        <v/>
      </c>
      <c r="K40" s="29">
        <f>IF($P40="","",IF(INDEX(EntryMan,$P40)=0,"",INDEX(EntryMan,$P40)))</f>
        <v/>
      </c>
      <c r="L40" s="28">
        <f>IF($B40="","",IF($K40="","—",IF(ROUND($K40-$J40,0)=0,"√","×")))</f>
        <v/>
      </c>
      <c r="M40" s="28">
        <f>IF($B40="","",IF(COUNTIFS(EntryDates,$B40,CalcTime,$C40,CalcBank,$C$5,EntryParty,$D40,EntryDep,$H40,EntryWit,$I40)&gt;1,"تکرار",""))</f>
        <v/>
      </c>
      <c r="N40" s="28">
        <f>IF($P40="","",IF(INDEX(EntryNotes,$P40)=0,"",INDEX(EntryNotes,$P40)))</f>
        <v/>
      </c>
      <c r="O40" s="28">
        <f>IF($P40="","",IF(INDEX(EntryTxnID,$P40)=0,"",INDEX(EntryTxnID,$P40)))</f>
        <v/>
      </c>
      <c r="P40" s="28">
        <f>IFERROR(MATCH($C$5&amp;"|"&amp;RIGHT("000000"&amp;24,6),CalcRankKey,0),"")</f>
        <v/>
      </c>
    </row>
    <row r="41">
      <c r="A41" s="26">
        <f>IF($B41="","",25)</f>
        <v/>
      </c>
      <c r="B41" s="26">
        <f>IF($P41="","",IF(INDEX(CalcNormDate,$P41)=0,"",INDEX(CalcNormDate,$P41)))</f>
        <v/>
      </c>
      <c r="C41" s="26">
        <f>IF($P41="","",IF(INDEX(CalcTime,$P41)=0,"",INDEX(CalcTime,$P41)))</f>
        <v/>
      </c>
      <c r="D41" s="26">
        <f>IF($P41="","",IF(INDEX(EntryParty,$P41)=0,"",INDEX(EntryParty,$P41)))</f>
        <v/>
      </c>
      <c r="E41" s="26">
        <f>IF($P41="","",IF(INDEX(EntryPartyName,$P41)=0,"",INDEX(EntryPartyName,$P41)))</f>
        <v/>
      </c>
      <c r="F41" s="26">
        <f>IF($P41="","",IF(INDEX(EntryPartyType,$P41)=0,"",INDEX(EntryPartyType,$P41)))</f>
        <v/>
      </c>
      <c r="G41" s="26">
        <f>IF($P41="","",IF(INDEX(EntryTxnType,$P41)=0,"",INDEX(EntryTxnType,$P41)))</f>
        <v/>
      </c>
      <c r="H41" s="27">
        <f>IF($P41="","",IF(INDEX(EntryDep,$P41)=0,"",INDEX(EntryDep,$P41)))</f>
        <v/>
      </c>
      <c r="I41" s="27">
        <f>IF($P41="","",IF(INDEX(EntryWit,$P41)=0,"",INDEX(EntryWit,$P41)))</f>
        <v/>
      </c>
      <c r="J41" s="27">
        <f>IF($B41="","",IF($A41=1,$C$7,IF(J40="",0,J40))+IF($H41="",0,$H41)-IF($I41="",0,$I41))</f>
        <v/>
      </c>
      <c r="K41" s="27">
        <f>IF($P41="","",IF(INDEX(EntryMan,$P41)=0,"",INDEX(EntryMan,$P41)))</f>
        <v/>
      </c>
      <c r="L41" s="26">
        <f>IF($B41="","",IF($K41="","—",IF(ROUND($K41-$J41,0)=0,"√","×")))</f>
        <v/>
      </c>
      <c r="M41" s="26">
        <f>IF($B41="","",IF(COUNTIFS(EntryDates,$B41,CalcTime,$C41,CalcBank,$C$5,EntryParty,$D41,EntryDep,$H41,EntryWit,$I41)&gt;1,"تکرار",""))</f>
        <v/>
      </c>
      <c r="N41" s="26">
        <f>IF($P41="","",IF(INDEX(EntryNotes,$P41)=0,"",INDEX(EntryNotes,$P41)))</f>
        <v/>
      </c>
      <c r="O41" s="26">
        <f>IF($P41="","",IF(INDEX(EntryTxnID,$P41)=0,"",INDEX(EntryTxnID,$P41)))</f>
        <v/>
      </c>
      <c r="P41" s="26">
        <f>IFERROR(MATCH($C$5&amp;"|"&amp;RIGHT("000000"&amp;25,6),CalcRankKey,0),"")</f>
        <v/>
      </c>
    </row>
    <row r="42">
      <c r="A42" s="28">
        <f>IF($B42="","",26)</f>
        <v/>
      </c>
      <c r="B42" s="28">
        <f>IF($P42="","",IF(INDEX(CalcNormDate,$P42)=0,"",INDEX(CalcNormDate,$P42)))</f>
        <v/>
      </c>
      <c r="C42" s="28">
        <f>IF($P42="","",IF(INDEX(CalcTime,$P42)=0,"",INDEX(CalcTime,$P42)))</f>
        <v/>
      </c>
      <c r="D42" s="28">
        <f>IF($P42="","",IF(INDEX(EntryParty,$P42)=0,"",INDEX(EntryParty,$P42)))</f>
        <v/>
      </c>
      <c r="E42" s="28">
        <f>IF($P42="","",IF(INDEX(EntryPartyName,$P42)=0,"",INDEX(EntryPartyName,$P42)))</f>
        <v/>
      </c>
      <c r="F42" s="28">
        <f>IF($P42="","",IF(INDEX(EntryPartyType,$P42)=0,"",INDEX(EntryPartyType,$P42)))</f>
        <v/>
      </c>
      <c r="G42" s="28">
        <f>IF($P42="","",IF(INDEX(EntryTxnType,$P42)=0,"",INDEX(EntryTxnType,$P42)))</f>
        <v/>
      </c>
      <c r="H42" s="29">
        <f>IF($P42="","",IF(INDEX(EntryDep,$P42)=0,"",INDEX(EntryDep,$P42)))</f>
        <v/>
      </c>
      <c r="I42" s="29">
        <f>IF($P42="","",IF(INDEX(EntryWit,$P42)=0,"",INDEX(EntryWit,$P42)))</f>
        <v/>
      </c>
      <c r="J42" s="29">
        <f>IF($B42="","",IF($A42=1,$C$7,IF(J41="",0,J41))+IF($H42="",0,$H42)-IF($I42="",0,$I42))</f>
        <v/>
      </c>
      <c r="K42" s="29">
        <f>IF($P42="","",IF(INDEX(EntryMan,$P42)=0,"",INDEX(EntryMan,$P42)))</f>
        <v/>
      </c>
      <c r="L42" s="28">
        <f>IF($B42="","",IF($K42="","—",IF(ROUND($K42-$J42,0)=0,"√","×")))</f>
        <v/>
      </c>
      <c r="M42" s="28">
        <f>IF($B42="","",IF(COUNTIFS(EntryDates,$B42,CalcTime,$C42,CalcBank,$C$5,EntryParty,$D42,EntryDep,$H42,EntryWit,$I42)&gt;1,"تکرار",""))</f>
        <v/>
      </c>
      <c r="N42" s="28">
        <f>IF($P42="","",IF(INDEX(EntryNotes,$P42)=0,"",INDEX(EntryNotes,$P42)))</f>
        <v/>
      </c>
      <c r="O42" s="28">
        <f>IF($P42="","",IF(INDEX(EntryTxnID,$P42)=0,"",INDEX(EntryTxnID,$P42)))</f>
        <v/>
      </c>
      <c r="P42" s="28">
        <f>IFERROR(MATCH($C$5&amp;"|"&amp;RIGHT("000000"&amp;26,6),CalcRankKey,0),"")</f>
        <v/>
      </c>
    </row>
    <row r="43">
      <c r="A43" s="26">
        <f>IF($B43="","",27)</f>
        <v/>
      </c>
      <c r="B43" s="26">
        <f>IF($P43="","",IF(INDEX(CalcNormDate,$P43)=0,"",INDEX(CalcNormDate,$P43)))</f>
        <v/>
      </c>
      <c r="C43" s="26">
        <f>IF($P43="","",IF(INDEX(CalcTime,$P43)=0,"",INDEX(CalcTime,$P43)))</f>
        <v/>
      </c>
      <c r="D43" s="26">
        <f>IF($P43="","",IF(INDEX(EntryParty,$P43)=0,"",INDEX(EntryParty,$P43)))</f>
        <v/>
      </c>
      <c r="E43" s="26">
        <f>IF($P43="","",IF(INDEX(EntryPartyName,$P43)=0,"",INDEX(EntryPartyName,$P43)))</f>
        <v/>
      </c>
      <c r="F43" s="26">
        <f>IF($P43="","",IF(INDEX(EntryPartyType,$P43)=0,"",INDEX(EntryPartyType,$P43)))</f>
        <v/>
      </c>
      <c r="G43" s="26">
        <f>IF($P43="","",IF(INDEX(EntryTxnType,$P43)=0,"",INDEX(EntryTxnType,$P43)))</f>
        <v/>
      </c>
      <c r="H43" s="27">
        <f>IF($P43="","",IF(INDEX(EntryDep,$P43)=0,"",INDEX(EntryDep,$P43)))</f>
        <v/>
      </c>
      <c r="I43" s="27">
        <f>IF($P43="","",IF(INDEX(EntryWit,$P43)=0,"",INDEX(EntryWit,$P43)))</f>
        <v/>
      </c>
      <c r="J43" s="27">
        <f>IF($B43="","",IF($A43=1,$C$7,IF(J42="",0,J42))+IF($H43="",0,$H43)-IF($I43="",0,$I43))</f>
        <v/>
      </c>
      <c r="K43" s="27">
        <f>IF($P43="","",IF(INDEX(EntryMan,$P43)=0,"",INDEX(EntryMan,$P43)))</f>
        <v/>
      </c>
      <c r="L43" s="26">
        <f>IF($B43="","",IF($K43="","—",IF(ROUND($K43-$J43,0)=0,"√","×")))</f>
        <v/>
      </c>
      <c r="M43" s="26">
        <f>IF($B43="","",IF(COUNTIFS(EntryDates,$B43,CalcTime,$C43,CalcBank,$C$5,EntryParty,$D43,EntryDep,$H43,EntryWit,$I43)&gt;1,"تکرار",""))</f>
        <v/>
      </c>
      <c r="N43" s="26">
        <f>IF($P43="","",IF(INDEX(EntryNotes,$P43)=0,"",INDEX(EntryNotes,$P43)))</f>
        <v/>
      </c>
      <c r="O43" s="26">
        <f>IF($P43="","",IF(INDEX(EntryTxnID,$P43)=0,"",INDEX(EntryTxnID,$P43)))</f>
        <v/>
      </c>
      <c r="P43" s="26">
        <f>IFERROR(MATCH($C$5&amp;"|"&amp;RIGHT("000000"&amp;27,6),CalcRankKey,0),"")</f>
        <v/>
      </c>
    </row>
    <row r="44">
      <c r="A44" s="28">
        <f>IF($B44="","",28)</f>
        <v/>
      </c>
      <c r="B44" s="28">
        <f>IF($P44="","",IF(INDEX(CalcNormDate,$P44)=0,"",INDEX(CalcNormDate,$P44)))</f>
        <v/>
      </c>
      <c r="C44" s="28">
        <f>IF($P44="","",IF(INDEX(CalcTime,$P44)=0,"",INDEX(CalcTime,$P44)))</f>
        <v/>
      </c>
      <c r="D44" s="28">
        <f>IF($P44="","",IF(INDEX(EntryParty,$P44)=0,"",INDEX(EntryParty,$P44)))</f>
        <v/>
      </c>
      <c r="E44" s="28">
        <f>IF($P44="","",IF(INDEX(EntryPartyName,$P44)=0,"",INDEX(EntryPartyName,$P44)))</f>
        <v/>
      </c>
      <c r="F44" s="28">
        <f>IF($P44="","",IF(INDEX(EntryPartyType,$P44)=0,"",INDEX(EntryPartyType,$P44)))</f>
        <v/>
      </c>
      <c r="G44" s="28">
        <f>IF($P44="","",IF(INDEX(EntryTxnType,$P44)=0,"",INDEX(EntryTxnType,$P44)))</f>
        <v/>
      </c>
      <c r="H44" s="29">
        <f>IF($P44="","",IF(INDEX(EntryDep,$P44)=0,"",INDEX(EntryDep,$P44)))</f>
        <v/>
      </c>
      <c r="I44" s="29">
        <f>IF($P44="","",IF(INDEX(EntryWit,$P44)=0,"",INDEX(EntryWit,$P44)))</f>
        <v/>
      </c>
      <c r="J44" s="29">
        <f>IF($B44="","",IF($A44=1,$C$7,IF(J43="",0,J43))+IF($H44="",0,$H44)-IF($I44="",0,$I44))</f>
        <v/>
      </c>
      <c r="K44" s="29">
        <f>IF($P44="","",IF(INDEX(EntryMan,$P44)=0,"",INDEX(EntryMan,$P44)))</f>
        <v/>
      </c>
      <c r="L44" s="28">
        <f>IF($B44="","",IF($K44="","—",IF(ROUND($K44-$J44,0)=0,"√","×")))</f>
        <v/>
      </c>
      <c r="M44" s="28">
        <f>IF($B44="","",IF(COUNTIFS(EntryDates,$B44,CalcTime,$C44,CalcBank,$C$5,EntryParty,$D44,EntryDep,$H44,EntryWit,$I44)&gt;1,"تکرار",""))</f>
        <v/>
      </c>
      <c r="N44" s="28">
        <f>IF($P44="","",IF(INDEX(EntryNotes,$P44)=0,"",INDEX(EntryNotes,$P44)))</f>
        <v/>
      </c>
      <c r="O44" s="28">
        <f>IF($P44="","",IF(INDEX(EntryTxnID,$P44)=0,"",INDEX(EntryTxnID,$P44)))</f>
        <v/>
      </c>
      <c r="P44" s="28">
        <f>IFERROR(MATCH($C$5&amp;"|"&amp;RIGHT("000000"&amp;28,6),CalcRankKey,0),"")</f>
        <v/>
      </c>
    </row>
    <row r="45">
      <c r="A45" s="26">
        <f>IF($B45="","",29)</f>
        <v/>
      </c>
      <c r="B45" s="26">
        <f>IF($P45="","",IF(INDEX(CalcNormDate,$P45)=0,"",INDEX(CalcNormDate,$P45)))</f>
        <v/>
      </c>
      <c r="C45" s="26">
        <f>IF($P45="","",IF(INDEX(CalcTime,$P45)=0,"",INDEX(CalcTime,$P45)))</f>
        <v/>
      </c>
      <c r="D45" s="26">
        <f>IF($P45="","",IF(INDEX(EntryParty,$P45)=0,"",INDEX(EntryParty,$P45)))</f>
        <v/>
      </c>
      <c r="E45" s="26">
        <f>IF($P45="","",IF(INDEX(EntryPartyName,$P45)=0,"",INDEX(EntryPartyName,$P45)))</f>
        <v/>
      </c>
      <c r="F45" s="26">
        <f>IF($P45="","",IF(INDEX(EntryPartyType,$P45)=0,"",INDEX(EntryPartyType,$P45)))</f>
        <v/>
      </c>
      <c r="G45" s="26">
        <f>IF($P45="","",IF(INDEX(EntryTxnType,$P45)=0,"",INDEX(EntryTxnType,$P45)))</f>
        <v/>
      </c>
      <c r="H45" s="27">
        <f>IF($P45="","",IF(INDEX(EntryDep,$P45)=0,"",INDEX(EntryDep,$P45)))</f>
        <v/>
      </c>
      <c r="I45" s="27">
        <f>IF($P45="","",IF(INDEX(EntryWit,$P45)=0,"",INDEX(EntryWit,$P45)))</f>
        <v/>
      </c>
      <c r="J45" s="27">
        <f>IF($B45="","",IF($A45=1,$C$7,IF(J44="",0,J44))+IF($H45="",0,$H45)-IF($I45="",0,$I45))</f>
        <v/>
      </c>
      <c r="K45" s="27">
        <f>IF($P45="","",IF(INDEX(EntryMan,$P45)=0,"",INDEX(EntryMan,$P45)))</f>
        <v/>
      </c>
      <c r="L45" s="26">
        <f>IF($B45="","",IF($K45="","—",IF(ROUND($K45-$J45,0)=0,"√","×")))</f>
        <v/>
      </c>
      <c r="M45" s="26">
        <f>IF($B45="","",IF(COUNTIFS(EntryDates,$B45,CalcTime,$C45,CalcBank,$C$5,EntryParty,$D45,EntryDep,$H45,EntryWit,$I45)&gt;1,"تکرار",""))</f>
        <v/>
      </c>
      <c r="N45" s="26">
        <f>IF($P45="","",IF(INDEX(EntryNotes,$P45)=0,"",INDEX(EntryNotes,$P45)))</f>
        <v/>
      </c>
      <c r="O45" s="26">
        <f>IF($P45="","",IF(INDEX(EntryTxnID,$P45)=0,"",INDEX(EntryTxnID,$P45)))</f>
        <v/>
      </c>
      <c r="P45" s="26">
        <f>IFERROR(MATCH($C$5&amp;"|"&amp;RIGHT("000000"&amp;29,6),CalcRankKey,0),"")</f>
        <v/>
      </c>
    </row>
    <row r="46">
      <c r="A46" s="28">
        <f>IF($B46="","",30)</f>
        <v/>
      </c>
      <c r="B46" s="28">
        <f>IF($P46="","",IF(INDEX(CalcNormDate,$P46)=0,"",INDEX(CalcNormDate,$P46)))</f>
        <v/>
      </c>
      <c r="C46" s="28">
        <f>IF($P46="","",IF(INDEX(CalcTime,$P46)=0,"",INDEX(CalcTime,$P46)))</f>
        <v/>
      </c>
      <c r="D46" s="28">
        <f>IF($P46="","",IF(INDEX(EntryParty,$P46)=0,"",INDEX(EntryParty,$P46)))</f>
        <v/>
      </c>
      <c r="E46" s="28">
        <f>IF($P46="","",IF(INDEX(EntryPartyName,$P46)=0,"",INDEX(EntryPartyName,$P46)))</f>
        <v/>
      </c>
      <c r="F46" s="28">
        <f>IF($P46="","",IF(INDEX(EntryPartyType,$P46)=0,"",INDEX(EntryPartyType,$P46)))</f>
        <v/>
      </c>
      <c r="G46" s="28">
        <f>IF($P46="","",IF(INDEX(EntryTxnType,$P46)=0,"",INDEX(EntryTxnType,$P46)))</f>
        <v/>
      </c>
      <c r="H46" s="29">
        <f>IF($P46="","",IF(INDEX(EntryDep,$P46)=0,"",INDEX(EntryDep,$P46)))</f>
        <v/>
      </c>
      <c r="I46" s="29">
        <f>IF($P46="","",IF(INDEX(EntryWit,$P46)=0,"",INDEX(EntryWit,$P46)))</f>
        <v/>
      </c>
      <c r="J46" s="29">
        <f>IF($B46="","",IF($A46=1,$C$7,IF(J45="",0,J45))+IF($H46="",0,$H46)-IF($I46="",0,$I46))</f>
        <v/>
      </c>
      <c r="K46" s="29">
        <f>IF($P46="","",IF(INDEX(EntryMan,$P46)=0,"",INDEX(EntryMan,$P46)))</f>
        <v/>
      </c>
      <c r="L46" s="28">
        <f>IF($B46="","",IF($K46="","—",IF(ROUND($K46-$J46,0)=0,"√","×")))</f>
        <v/>
      </c>
      <c r="M46" s="28">
        <f>IF($B46="","",IF(COUNTIFS(EntryDates,$B46,CalcTime,$C46,CalcBank,$C$5,EntryParty,$D46,EntryDep,$H46,EntryWit,$I46)&gt;1,"تکرار",""))</f>
        <v/>
      </c>
      <c r="N46" s="28">
        <f>IF($P46="","",IF(INDEX(EntryNotes,$P46)=0,"",INDEX(EntryNotes,$P46)))</f>
        <v/>
      </c>
      <c r="O46" s="28">
        <f>IF($P46="","",IF(INDEX(EntryTxnID,$P46)=0,"",INDEX(EntryTxnID,$P46)))</f>
        <v/>
      </c>
      <c r="P46" s="28">
        <f>IFERROR(MATCH($C$5&amp;"|"&amp;RIGHT("000000"&amp;30,6),CalcRankKey,0),"")</f>
        <v/>
      </c>
    </row>
    <row r="47">
      <c r="A47" s="26">
        <f>IF($B47="","",31)</f>
        <v/>
      </c>
      <c r="B47" s="26">
        <f>IF($P47="","",IF(INDEX(CalcNormDate,$P47)=0,"",INDEX(CalcNormDate,$P47)))</f>
        <v/>
      </c>
      <c r="C47" s="26">
        <f>IF($P47="","",IF(INDEX(CalcTime,$P47)=0,"",INDEX(CalcTime,$P47)))</f>
        <v/>
      </c>
      <c r="D47" s="26">
        <f>IF($P47="","",IF(INDEX(EntryParty,$P47)=0,"",INDEX(EntryParty,$P47)))</f>
        <v/>
      </c>
      <c r="E47" s="26">
        <f>IF($P47="","",IF(INDEX(EntryPartyName,$P47)=0,"",INDEX(EntryPartyName,$P47)))</f>
        <v/>
      </c>
      <c r="F47" s="26">
        <f>IF($P47="","",IF(INDEX(EntryPartyType,$P47)=0,"",INDEX(EntryPartyType,$P47)))</f>
        <v/>
      </c>
      <c r="G47" s="26">
        <f>IF($P47="","",IF(INDEX(EntryTxnType,$P47)=0,"",INDEX(EntryTxnType,$P47)))</f>
        <v/>
      </c>
      <c r="H47" s="27">
        <f>IF($P47="","",IF(INDEX(EntryDep,$P47)=0,"",INDEX(EntryDep,$P47)))</f>
        <v/>
      </c>
      <c r="I47" s="27">
        <f>IF($P47="","",IF(INDEX(EntryWit,$P47)=0,"",INDEX(EntryWit,$P47)))</f>
        <v/>
      </c>
      <c r="J47" s="27">
        <f>IF($B47="","",IF($A47=1,$C$7,IF(J46="",0,J46))+IF($H47="",0,$H47)-IF($I47="",0,$I47))</f>
        <v/>
      </c>
      <c r="K47" s="27">
        <f>IF($P47="","",IF(INDEX(EntryMan,$P47)=0,"",INDEX(EntryMan,$P47)))</f>
        <v/>
      </c>
      <c r="L47" s="26">
        <f>IF($B47="","",IF($K47="","—",IF(ROUND($K47-$J47,0)=0,"√","×")))</f>
        <v/>
      </c>
      <c r="M47" s="26">
        <f>IF($B47="","",IF(COUNTIFS(EntryDates,$B47,CalcTime,$C47,CalcBank,$C$5,EntryParty,$D47,EntryDep,$H47,EntryWit,$I47)&gt;1,"تکرار",""))</f>
        <v/>
      </c>
      <c r="N47" s="26">
        <f>IF($P47="","",IF(INDEX(EntryNotes,$P47)=0,"",INDEX(EntryNotes,$P47)))</f>
        <v/>
      </c>
      <c r="O47" s="26">
        <f>IF($P47="","",IF(INDEX(EntryTxnID,$P47)=0,"",INDEX(EntryTxnID,$P47)))</f>
        <v/>
      </c>
      <c r="P47" s="26">
        <f>IFERROR(MATCH($C$5&amp;"|"&amp;RIGHT("000000"&amp;31,6),CalcRankKey,0),"")</f>
        <v/>
      </c>
    </row>
    <row r="48">
      <c r="A48" s="28">
        <f>IF($B48="","",32)</f>
        <v/>
      </c>
      <c r="B48" s="28">
        <f>IF($P48="","",IF(INDEX(CalcNormDate,$P48)=0,"",INDEX(CalcNormDate,$P48)))</f>
        <v/>
      </c>
      <c r="C48" s="28">
        <f>IF($P48="","",IF(INDEX(CalcTime,$P48)=0,"",INDEX(CalcTime,$P48)))</f>
        <v/>
      </c>
      <c r="D48" s="28">
        <f>IF($P48="","",IF(INDEX(EntryParty,$P48)=0,"",INDEX(EntryParty,$P48)))</f>
        <v/>
      </c>
      <c r="E48" s="28">
        <f>IF($P48="","",IF(INDEX(EntryPartyName,$P48)=0,"",INDEX(EntryPartyName,$P48)))</f>
        <v/>
      </c>
      <c r="F48" s="28">
        <f>IF($P48="","",IF(INDEX(EntryPartyType,$P48)=0,"",INDEX(EntryPartyType,$P48)))</f>
        <v/>
      </c>
      <c r="G48" s="28">
        <f>IF($P48="","",IF(INDEX(EntryTxnType,$P48)=0,"",INDEX(EntryTxnType,$P48)))</f>
        <v/>
      </c>
      <c r="H48" s="29">
        <f>IF($P48="","",IF(INDEX(EntryDep,$P48)=0,"",INDEX(EntryDep,$P48)))</f>
        <v/>
      </c>
      <c r="I48" s="29">
        <f>IF($P48="","",IF(INDEX(EntryWit,$P48)=0,"",INDEX(EntryWit,$P48)))</f>
        <v/>
      </c>
      <c r="J48" s="29">
        <f>IF($B48="","",IF($A48=1,$C$7,IF(J47="",0,J47))+IF($H48="",0,$H48)-IF($I48="",0,$I48))</f>
        <v/>
      </c>
      <c r="K48" s="29">
        <f>IF($P48="","",IF(INDEX(EntryMan,$P48)=0,"",INDEX(EntryMan,$P48)))</f>
        <v/>
      </c>
      <c r="L48" s="28">
        <f>IF($B48="","",IF($K48="","—",IF(ROUND($K48-$J48,0)=0,"√","×")))</f>
        <v/>
      </c>
      <c r="M48" s="28">
        <f>IF($B48="","",IF(COUNTIFS(EntryDates,$B48,CalcTime,$C48,CalcBank,$C$5,EntryParty,$D48,EntryDep,$H48,EntryWit,$I48)&gt;1,"تکرار",""))</f>
        <v/>
      </c>
      <c r="N48" s="28">
        <f>IF($P48="","",IF(INDEX(EntryNotes,$P48)=0,"",INDEX(EntryNotes,$P48)))</f>
        <v/>
      </c>
      <c r="O48" s="28">
        <f>IF($P48="","",IF(INDEX(EntryTxnID,$P48)=0,"",INDEX(EntryTxnID,$P48)))</f>
        <v/>
      </c>
      <c r="P48" s="28">
        <f>IFERROR(MATCH($C$5&amp;"|"&amp;RIGHT("000000"&amp;32,6),CalcRankKey,0),"")</f>
        <v/>
      </c>
    </row>
    <row r="49">
      <c r="A49" s="26">
        <f>IF($B49="","",33)</f>
        <v/>
      </c>
      <c r="B49" s="26">
        <f>IF($P49="","",IF(INDEX(CalcNormDate,$P49)=0,"",INDEX(CalcNormDate,$P49)))</f>
        <v/>
      </c>
      <c r="C49" s="26">
        <f>IF($P49="","",IF(INDEX(CalcTime,$P49)=0,"",INDEX(CalcTime,$P49)))</f>
        <v/>
      </c>
      <c r="D49" s="26">
        <f>IF($P49="","",IF(INDEX(EntryParty,$P49)=0,"",INDEX(EntryParty,$P49)))</f>
        <v/>
      </c>
      <c r="E49" s="26">
        <f>IF($P49="","",IF(INDEX(EntryPartyName,$P49)=0,"",INDEX(EntryPartyName,$P49)))</f>
        <v/>
      </c>
      <c r="F49" s="26">
        <f>IF($P49="","",IF(INDEX(EntryPartyType,$P49)=0,"",INDEX(EntryPartyType,$P49)))</f>
        <v/>
      </c>
      <c r="G49" s="26">
        <f>IF($P49="","",IF(INDEX(EntryTxnType,$P49)=0,"",INDEX(EntryTxnType,$P49)))</f>
        <v/>
      </c>
      <c r="H49" s="27">
        <f>IF($P49="","",IF(INDEX(EntryDep,$P49)=0,"",INDEX(EntryDep,$P49)))</f>
        <v/>
      </c>
      <c r="I49" s="27">
        <f>IF($P49="","",IF(INDEX(EntryWit,$P49)=0,"",INDEX(EntryWit,$P49)))</f>
        <v/>
      </c>
      <c r="J49" s="27">
        <f>IF($B49="","",IF($A49=1,$C$7,IF(J48="",0,J48))+IF($H49="",0,$H49)-IF($I49="",0,$I49))</f>
        <v/>
      </c>
      <c r="K49" s="27">
        <f>IF($P49="","",IF(INDEX(EntryMan,$P49)=0,"",INDEX(EntryMan,$P49)))</f>
        <v/>
      </c>
      <c r="L49" s="26">
        <f>IF($B49="","",IF($K49="","—",IF(ROUND($K49-$J49,0)=0,"√","×")))</f>
        <v/>
      </c>
      <c r="M49" s="26">
        <f>IF($B49="","",IF(COUNTIFS(EntryDates,$B49,CalcTime,$C49,CalcBank,$C$5,EntryParty,$D49,EntryDep,$H49,EntryWit,$I49)&gt;1,"تکرار",""))</f>
        <v/>
      </c>
      <c r="N49" s="26">
        <f>IF($P49="","",IF(INDEX(EntryNotes,$P49)=0,"",INDEX(EntryNotes,$P49)))</f>
        <v/>
      </c>
      <c r="O49" s="26">
        <f>IF($P49="","",IF(INDEX(EntryTxnID,$P49)=0,"",INDEX(EntryTxnID,$P49)))</f>
        <v/>
      </c>
      <c r="P49" s="26">
        <f>IFERROR(MATCH($C$5&amp;"|"&amp;RIGHT("000000"&amp;33,6),CalcRankKey,0),"")</f>
        <v/>
      </c>
    </row>
    <row r="50">
      <c r="A50" s="28">
        <f>IF($B50="","",34)</f>
        <v/>
      </c>
      <c r="B50" s="28">
        <f>IF($P50="","",IF(INDEX(CalcNormDate,$P50)=0,"",INDEX(CalcNormDate,$P50)))</f>
        <v/>
      </c>
      <c r="C50" s="28">
        <f>IF($P50="","",IF(INDEX(CalcTime,$P50)=0,"",INDEX(CalcTime,$P50)))</f>
        <v/>
      </c>
      <c r="D50" s="28">
        <f>IF($P50="","",IF(INDEX(EntryParty,$P50)=0,"",INDEX(EntryParty,$P50)))</f>
        <v/>
      </c>
      <c r="E50" s="28">
        <f>IF($P50="","",IF(INDEX(EntryPartyName,$P50)=0,"",INDEX(EntryPartyName,$P50)))</f>
        <v/>
      </c>
      <c r="F50" s="28">
        <f>IF($P50="","",IF(INDEX(EntryPartyType,$P50)=0,"",INDEX(EntryPartyType,$P50)))</f>
        <v/>
      </c>
      <c r="G50" s="28">
        <f>IF($P50="","",IF(INDEX(EntryTxnType,$P50)=0,"",INDEX(EntryTxnType,$P50)))</f>
        <v/>
      </c>
      <c r="H50" s="29">
        <f>IF($P50="","",IF(INDEX(EntryDep,$P50)=0,"",INDEX(EntryDep,$P50)))</f>
        <v/>
      </c>
      <c r="I50" s="29">
        <f>IF($P50="","",IF(INDEX(EntryWit,$P50)=0,"",INDEX(EntryWit,$P50)))</f>
        <v/>
      </c>
      <c r="J50" s="29">
        <f>IF($B50="","",IF($A50=1,$C$7,IF(J49="",0,J49))+IF($H50="",0,$H50)-IF($I50="",0,$I50))</f>
        <v/>
      </c>
      <c r="K50" s="29">
        <f>IF($P50="","",IF(INDEX(EntryMan,$P50)=0,"",INDEX(EntryMan,$P50)))</f>
        <v/>
      </c>
      <c r="L50" s="28">
        <f>IF($B50="","",IF($K50="","—",IF(ROUND($K50-$J50,0)=0,"√","×")))</f>
        <v/>
      </c>
      <c r="M50" s="28">
        <f>IF($B50="","",IF(COUNTIFS(EntryDates,$B50,CalcTime,$C50,CalcBank,$C$5,EntryParty,$D50,EntryDep,$H50,EntryWit,$I50)&gt;1,"تکرار",""))</f>
        <v/>
      </c>
      <c r="N50" s="28">
        <f>IF($P50="","",IF(INDEX(EntryNotes,$P50)=0,"",INDEX(EntryNotes,$P50)))</f>
        <v/>
      </c>
      <c r="O50" s="28">
        <f>IF($P50="","",IF(INDEX(EntryTxnID,$P50)=0,"",INDEX(EntryTxnID,$P50)))</f>
        <v/>
      </c>
      <c r="P50" s="28">
        <f>IFERROR(MATCH($C$5&amp;"|"&amp;RIGHT("000000"&amp;34,6),CalcRankKey,0),"")</f>
        <v/>
      </c>
    </row>
    <row r="51">
      <c r="A51" s="26">
        <f>IF($B51="","",35)</f>
        <v/>
      </c>
      <c r="B51" s="26">
        <f>IF($P51="","",IF(INDEX(CalcNormDate,$P51)=0,"",INDEX(CalcNormDate,$P51)))</f>
        <v/>
      </c>
      <c r="C51" s="26">
        <f>IF($P51="","",IF(INDEX(CalcTime,$P51)=0,"",INDEX(CalcTime,$P51)))</f>
        <v/>
      </c>
      <c r="D51" s="26">
        <f>IF($P51="","",IF(INDEX(EntryParty,$P51)=0,"",INDEX(EntryParty,$P51)))</f>
        <v/>
      </c>
      <c r="E51" s="26">
        <f>IF($P51="","",IF(INDEX(EntryPartyName,$P51)=0,"",INDEX(EntryPartyName,$P51)))</f>
        <v/>
      </c>
      <c r="F51" s="26">
        <f>IF($P51="","",IF(INDEX(EntryPartyType,$P51)=0,"",INDEX(EntryPartyType,$P51)))</f>
        <v/>
      </c>
      <c r="G51" s="26">
        <f>IF($P51="","",IF(INDEX(EntryTxnType,$P51)=0,"",INDEX(EntryTxnType,$P51)))</f>
        <v/>
      </c>
      <c r="H51" s="27">
        <f>IF($P51="","",IF(INDEX(EntryDep,$P51)=0,"",INDEX(EntryDep,$P51)))</f>
        <v/>
      </c>
      <c r="I51" s="27">
        <f>IF($P51="","",IF(INDEX(EntryWit,$P51)=0,"",INDEX(EntryWit,$P51)))</f>
        <v/>
      </c>
      <c r="J51" s="27">
        <f>IF($B51="","",IF($A51=1,$C$7,IF(J50="",0,J50))+IF($H51="",0,$H51)-IF($I51="",0,$I51))</f>
        <v/>
      </c>
      <c r="K51" s="27">
        <f>IF($P51="","",IF(INDEX(EntryMan,$P51)=0,"",INDEX(EntryMan,$P51)))</f>
        <v/>
      </c>
      <c r="L51" s="26">
        <f>IF($B51="","",IF($K51="","—",IF(ROUND($K51-$J51,0)=0,"√","×")))</f>
        <v/>
      </c>
      <c r="M51" s="26">
        <f>IF($B51="","",IF(COUNTIFS(EntryDates,$B51,CalcTime,$C51,CalcBank,$C$5,EntryParty,$D51,EntryDep,$H51,EntryWit,$I51)&gt;1,"تکرار",""))</f>
        <v/>
      </c>
      <c r="N51" s="26">
        <f>IF($P51="","",IF(INDEX(EntryNotes,$P51)=0,"",INDEX(EntryNotes,$P51)))</f>
        <v/>
      </c>
      <c r="O51" s="26">
        <f>IF($P51="","",IF(INDEX(EntryTxnID,$P51)=0,"",INDEX(EntryTxnID,$P51)))</f>
        <v/>
      </c>
      <c r="P51" s="26">
        <f>IFERROR(MATCH($C$5&amp;"|"&amp;RIGHT("000000"&amp;35,6),CalcRankKey,0),"")</f>
        <v/>
      </c>
    </row>
    <row r="52">
      <c r="A52" s="28">
        <f>IF($B52="","",36)</f>
        <v/>
      </c>
      <c r="B52" s="28">
        <f>IF($P52="","",IF(INDEX(CalcNormDate,$P52)=0,"",INDEX(CalcNormDate,$P52)))</f>
        <v/>
      </c>
      <c r="C52" s="28">
        <f>IF($P52="","",IF(INDEX(CalcTime,$P52)=0,"",INDEX(CalcTime,$P52)))</f>
        <v/>
      </c>
      <c r="D52" s="28">
        <f>IF($P52="","",IF(INDEX(EntryParty,$P52)=0,"",INDEX(EntryParty,$P52)))</f>
        <v/>
      </c>
      <c r="E52" s="28">
        <f>IF($P52="","",IF(INDEX(EntryPartyName,$P52)=0,"",INDEX(EntryPartyName,$P52)))</f>
        <v/>
      </c>
      <c r="F52" s="28">
        <f>IF($P52="","",IF(INDEX(EntryPartyType,$P52)=0,"",INDEX(EntryPartyType,$P52)))</f>
        <v/>
      </c>
      <c r="G52" s="28">
        <f>IF($P52="","",IF(INDEX(EntryTxnType,$P52)=0,"",INDEX(EntryTxnType,$P52)))</f>
        <v/>
      </c>
      <c r="H52" s="29">
        <f>IF($P52="","",IF(INDEX(EntryDep,$P52)=0,"",INDEX(EntryDep,$P52)))</f>
        <v/>
      </c>
      <c r="I52" s="29">
        <f>IF($P52="","",IF(INDEX(EntryWit,$P52)=0,"",INDEX(EntryWit,$P52)))</f>
        <v/>
      </c>
      <c r="J52" s="29">
        <f>IF($B52="","",IF($A52=1,$C$7,IF(J51="",0,J51))+IF($H52="",0,$H52)-IF($I52="",0,$I52))</f>
        <v/>
      </c>
      <c r="K52" s="29">
        <f>IF($P52="","",IF(INDEX(EntryMan,$P52)=0,"",INDEX(EntryMan,$P52)))</f>
        <v/>
      </c>
      <c r="L52" s="28">
        <f>IF($B52="","",IF($K52="","—",IF(ROUND($K52-$J52,0)=0,"√","×")))</f>
        <v/>
      </c>
      <c r="M52" s="28">
        <f>IF($B52="","",IF(COUNTIFS(EntryDates,$B52,CalcTime,$C52,CalcBank,$C$5,EntryParty,$D52,EntryDep,$H52,EntryWit,$I52)&gt;1,"تکرار",""))</f>
        <v/>
      </c>
      <c r="N52" s="28">
        <f>IF($P52="","",IF(INDEX(EntryNotes,$P52)=0,"",INDEX(EntryNotes,$P52)))</f>
        <v/>
      </c>
      <c r="O52" s="28">
        <f>IF($P52="","",IF(INDEX(EntryTxnID,$P52)=0,"",INDEX(EntryTxnID,$P52)))</f>
        <v/>
      </c>
      <c r="P52" s="28">
        <f>IFERROR(MATCH($C$5&amp;"|"&amp;RIGHT("000000"&amp;36,6),CalcRankKey,0),"")</f>
        <v/>
      </c>
    </row>
    <row r="53">
      <c r="A53" s="26">
        <f>IF($B53="","",37)</f>
        <v/>
      </c>
      <c r="B53" s="26">
        <f>IF($P53="","",IF(INDEX(CalcNormDate,$P53)=0,"",INDEX(CalcNormDate,$P53)))</f>
        <v/>
      </c>
      <c r="C53" s="26">
        <f>IF($P53="","",IF(INDEX(CalcTime,$P53)=0,"",INDEX(CalcTime,$P53)))</f>
        <v/>
      </c>
      <c r="D53" s="26">
        <f>IF($P53="","",IF(INDEX(EntryParty,$P53)=0,"",INDEX(EntryParty,$P53)))</f>
        <v/>
      </c>
      <c r="E53" s="26">
        <f>IF($P53="","",IF(INDEX(EntryPartyName,$P53)=0,"",INDEX(EntryPartyName,$P53)))</f>
        <v/>
      </c>
      <c r="F53" s="26">
        <f>IF($P53="","",IF(INDEX(EntryPartyType,$P53)=0,"",INDEX(EntryPartyType,$P53)))</f>
        <v/>
      </c>
      <c r="G53" s="26">
        <f>IF($P53="","",IF(INDEX(EntryTxnType,$P53)=0,"",INDEX(EntryTxnType,$P53)))</f>
        <v/>
      </c>
      <c r="H53" s="27">
        <f>IF($P53="","",IF(INDEX(EntryDep,$P53)=0,"",INDEX(EntryDep,$P53)))</f>
        <v/>
      </c>
      <c r="I53" s="27">
        <f>IF($P53="","",IF(INDEX(EntryWit,$P53)=0,"",INDEX(EntryWit,$P53)))</f>
        <v/>
      </c>
      <c r="J53" s="27">
        <f>IF($B53="","",IF($A53=1,$C$7,IF(J52="",0,J52))+IF($H53="",0,$H53)-IF($I53="",0,$I53))</f>
        <v/>
      </c>
      <c r="K53" s="27">
        <f>IF($P53="","",IF(INDEX(EntryMan,$P53)=0,"",INDEX(EntryMan,$P53)))</f>
        <v/>
      </c>
      <c r="L53" s="26">
        <f>IF($B53="","",IF($K53="","—",IF(ROUND($K53-$J53,0)=0,"√","×")))</f>
        <v/>
      </c>
      <c r="M53" s="26">
        <f>IF($B53="","",IF(COUNTIFS(EntryDates,$B53,CalcTime,$C53,CalcBank,$C$5,EntryParty,$D53,EntryDep,$H53,EntryWit,$I53)&gt;1,"تکرار",""))</f>
        <v/>
      </c>
      <c r="N53" s="26">
        <f>IF($P53="","",IF(INDEX(EntryNotes,$P53)=0,"",INDEX(EntryNotes,$P53)))</f>
        <v/>
      </c>
      <c r="O53" s="26">
        <f>IF($P53="","",IF(INDEX(EntryTxnID,$P53)=0,"",INDEX(EntryTxnID,$P53)))</f>
        <v/>
      </c>
      <c r="P53" s="26">
        <f>IFERROR(MATCH($C$5&amp;"|"&amp;RIGHT("000000"&amp;37,6),CalcRankKey,0),"")</f>
        <v/>
      </c>
    </row>
    <row r="54">
      <c r="A54" s="28">
        <f>IF($B54="","",38)</f>
        <v/>
      </c>
      <c r="B54" s="28">
        <f>IF($P54="","",IF(INDEX(CalcNormDate,$P54)=0,"",INDEX(CalcNormDate,$P54)))</f>
        <v/>
      </c>
      <c r="C54" s="28">
        <f>IF($P54="","",IF(INDEX(CalcTime,$P54)=0,"",INDEX(CalcTime,$P54)))</f>
        <v/>
      </c>
      <c r="D54" s="28">
        <f>IF($P54="","",IF(INDEX(EntryParty,$P54)=0,"",INDEX(EntryParty,$P54)))</f>
        <v/>
      </c>
      <c r="E54" s="28">
        <f>IF($P54="","",IF(INDEX(EntryPartyName,$P54)=0,"",INDEX(EntryPartyName,$P54)))</f>
        <v/>
      </c>
      <c r="F54" s="28">
        <f>IF($P54="","",IF(INDEX(EntryPartyType,$P54)=0,"",INDEX(EntryPartyType,$P54)))</f>
        <v/>
      </c>
      <c r="G54" s="28">
        <f>IF($P54="","",IF(INDEX(EntryTxnType,$P54)=0,"",INDEX(EntryTxnType,$P54)))</f>
        <v/>
      </c>
      <c r="H54" s="29">
        <f>IF($P54="","",IF(INDEX(EntryDep,$P54)=0,"",INDEX(EntryDep,$P54)))</f>
        <v/>
      </c>
      <c r="I54" s="29">
        <f>IF($P54="","",IF(INDEX(EntryWit,$P54)=0,"",INDEX(EntryWit,$P54)))</f>
        <v/>
      </c>
      <c r="J54" s="29">
        <f>IF($B54="","",IF($A54=1,$C$7,IF(J53="",0,J53))+IF($H54="",0,$H54)-IF($I54="",0,$I54))</f>
        <v/>
      </c>
      <c r="K54" s="29">
        <f>IF($P54="","",IF(INDEX(EntryMan,$P54)=0,"",INDEX(EntryMan,$P54)))</f>
        <v/>
      </c>
      <c r="L54" s="28">
        <f>IF($B54="","",IF($K54="","—",IF(ROUND($K54-$J54,0)=0,"√","×")))</f>
        <v/>
      </c>
      <c r="M54" s="28">
        <f>IF($B54="","",IF(COUNTIFS(EntryDates,$B54,CalcTime,$C54,CalcBank,$C$5,EntryParty,$D54,EntryDep,$H54,EntryWit,$I54)&gt;1,"تکرار",""))</f>
        <v/>
      </c>
      <c r="N54" s="28">
        <f>IF($P54="","",IF(INDEX(EntryNotes,$P54)=0,"",INDEX(EntryNotes,$P54)))</f>
        <v/>
      </c>
      <c r="O54" s="28">
        <f>IF($P54="","",IF(INDEX(EntryTxnID,$P54)=0,"",INDEX(EntryTxnID,$P54)))</f>
        <v/>
      </c>
      <c r="P54" s="28">
        <f>IFERROR(MATCH($C$5&amp;"|"&amp;RIGHT("000000"&amp;38,6),CalcRankKey,0),"")</f>
        <v/>
      </c>
    </row>
    <row r="55">
      <c r="A55" s="26">
        <f>IF($B55="","",39)</f>
        <v/>
      </c>
      <c r="B55" s="26">
        <f>IF($P55="","",IF(INDEX(CalcNormDate,$P55)=0,"",INDEX(CalcNormDate,$P55)))</f>
        <v/>
      </c>
      <c r="C55" s="26">
        <f>IF($P55="","",IF(INDEX(CalcTime,$P55)=0,"",INDEX(CalcTime,$P55)))</f>
        <v/>
      </c>
      <c r="D55" s="26">
        <f>IF($P55="","",IF(INDEX(EntryParty,$P55)=0,"",INDEX(EntryParty,$P55)))</f>
        <v/>
      </c>
      <c r="E55" s="26">
        <f>IF($P55="","",IF(INDEX(EntryPartyName,$P55)=0,"",INDEX(EntryPartyName,$P55)))</f>
        <v/>
      </c>
      <c r="F55" s="26">
        <f>IF($P55="","",IF(INDEX(EntryPartyType,$P55)=0,"",INDEX(EntryPartyType,$P55)))</f>
        <v/>
      </c>
      <c r="G55" s="26">
        <f>IF($P55="","",IF(INDEX(EntryTxnType,$P55)=0,"",INDEX(EntryTxnType,$P55)))</f>
        <v/>
      </c>
      <c r="H55" s="27">
        <f>IF($P55="","",IF(INDEX(EntryDep,$P55)=0,"",INDEX(EntryDep,$P55)))</f>
        <v/>
      </c>
      <c r="I55" s="27">
        <f>IF($P55="","",IF(INDEX(EntryWit,$P55)=0,"",INDEX(EntryWit,$P55)))</f>
        <v/>
      </c>
      <c r="J55" s="27">
        <f>IF($B55="","",IF($A55=1,$C$7,IF(J54="",0,J54))+IF($H55="",0,$H55)-IF($I55="",0,$I55))</f>
        <v/>
      </c>
      <c r="K55" s="27">
        <f>IF($P55="","",IF(INDEX(EntryMan,$P55)=0,"",INDEX(EntryMan,$P55)))</f>
        <v/>
      </c>
      <c r="L55" s="26">
        <f>IF($B55="","",IF($K55="","—",IF(ROUND($K55-$J55,0)=0,"√","×")))</f>
        <v/>
      </c>
      <c r="M55" s="26">
        <f>IF($B55="","",IF(COUNTIFS(EntryDates,$B55,CalcTime,$C55,CalcBank,$C$5,EntryParty,$D55,EntryDep,$H55,EntryWit,$I55)&gt;1,"تکرار",""))</f>
        <v/>
      </c>
      <c r="N55" s="26">
        <f>IF($P55="","",IF(INDEX(EntryNotes,$P55)=0,"",INDEX(EntryNotes,$P55)))</f>
        <v/>
      </c>
      <c r="O55" s="26">
        <f>IF($P55="","",IF(INDEX(EntryTxnID,$P55)=0,"",INDEX(EntryTxnID,$P55)))</f>
        <v/>
      </c>
      <c r="P55" s="26">
        <f>IFERROR(MATCH($C$5&amp;"|"&amp;RIGHT("000000"&amp;39,6),CalcRankKey,0),"")</f>
        <v/>
      </c>
    </row>
    <row r="56">
      <c r="A56" s="28">
        <f>IF($B56="","",40)</f>
        <v/>
      </c>
      <c r="B56" s="28">
        <f>IF($P56="","",IF(INDEX(CalcNormDate,$P56)=0,"",INDEX(CalcNormDate,$P56)))</f>
        <v/>
      </c>
      <c r="C56" s="28">
        <f>IF($P56="","",IF(INDEX(CalcTime,$P56)=0,"",INDEX(CalcTime,$P56)))</f>
        <v/>
      </c>
      <c r="D56" s="28">
        <f>IF($P56="","",IF(INDEX(EntryParty,$P56)=0,"",INDEX(EntryParty,$P56)))</f>
        <v/>
      </c>
      <c r="E56" s="28">
        <f>IF($P56="","",IF(INDEX(EntryPartyName,$P56)=0,"",INDEX(EntryPartyName,$P56)))</f>
        <v/>
      </c>
      <c r="F56" s="28">
        <f>IF($P56="","",IF(INDEX(EntryPartyType,$P56)=0,"",INDEX(EntryPartyType,$P56)))</f>
        <v/>
      </c>
      <c r="G56" s="28">
        <f>IF($P56="","",IF(INDEX(EntryTxnType,$P56)=0,"",INDEX(EntryTxnType,$P56)))</f>
        <v/>
      </c>
      <c r="H56" s="29">
        <f>IF($P56="","",IF(INDEX(EntryDep,$P56)=0,"",INDEX(EntryDep,$P56)))</f>
        <v/>
      </c>
      <c r="I56" s="29">
        <f>IF($P56="","",IF(INDEX(EntryWit,$P56)=0,"",INDEX(EntryWit,$P56)))</f>
        <v/>
      </c>
      <c r="J56" s="29">
        <f>IF($B56="","",IF($A56=1,$C$7,IF(J55="",0,J55))+IF($H56="",0,$H56)-IF($I56="",0,$I56))</f>
        <v/>
      </c>
      <c r="K56" s="29">
        <f>IF($P56="","",IF(INDEX(EntryMan,$P56)=0,"",INDEX(EntryMan,$P56)))</f>
        <v/>
      </c>
      <c r="L56" s="28">
        <f>IF($B56="","",IF($K56="","—",IF(ROUND($K56-$J56,0)=0,"√","×")))</f>
        <v/>
      </c>
      <c r="M56" s="28">
        <f>IF($B56="","",IF(COUNTIFS(EntryDates,$B56,CalcTime,$C56,CalcBank,$C$5,EntryParty,$D56,EntryDep,$H56,EntryWit,$I56)&gt;1,"تکرار",""))</f>
        <v/>
      </c>
      <c r="N56" s="28">
        <f>IF($P56="","",IF(INDEX(EntryNotes,$P56)=0,"",INDEX(EntryNotes,$P56)))</f>
        <v/>
      </c>
      <c r="O56" s="28">
        <f>IF($P56="","",IF(INDEX(EntryTxnID,$P56)=0,"",INDEX(EntryTxnID,$P56)))</f>
        <v/>
      </c>
      <c r="P56" s="28">
        <f>IFERROR(MATCH($C$5&amp;"|"&amp;RIGHT("000000"&amp;40,6),CalcRankKey,0),"")</f>
        <v/>
      </c>
    </row>
    <row r="57">
      <c r="A57" s="26">
        <f>IF($B57="","",41)</f>
        <v/>
      </c>
      <c r="B57" s="26">
        <f>IF($P57="","",IF(INDEX(CalcNormDate,$P57)=0,"",INDEX(CalcNormDate,$P57)))</f>
        <v/>
      </c>
      <c r="C57" s="26">
        <f>IF($P57="","",IF(INDEX(CalcTime,$P57)=0,"",INDEX(CalcTime,$P57)))</f>
        <v/>
      </c>
      <c r="D57" s="26">
        <f>IF($P57="","",IF(INDEX(EntryParty,$P57)=0,"",INDEX(EntryParty,$P57)))</f>
        <v/>
      </c>
      <c r="E57" s="26">
        <f>IF($P57="","",IF(INDEX(EntryPartyName,$P57)=0,"",INDEX(EntryPartyName,$P57)))</f>
        <v/>
      </c>
      <c r="F57" s="26">
        <f>IF($P57="","",IF(INDEX(EntryPartyType,$P57)=0,"",INDEX(EntryPartyType,$P57)))</f>
        <v/>
      </c>
      <c r="G57" s="26">
        <f>IF($P57="","",IF(INDEX(EntryTxnType,$P57)=0,"",INDEX(EntryTxnType,$P57)))</f>
        <v/>
      </c>
      <c r="H57" s="27">
        <f>IF($P57="","",IF(INDEX(EntryDep,$P57)=0,"",INDEX(EntryDep,$P57)))</f>
        <v/>
      </c>
      <c r="I57" s="27">
        <f>IF($P57="","",IF(INDEX(EntryWit,$P57)=0,"",INDEX(EntryWit,$P57)))</f>
        <v/>
      </c>
      <c r="J57" s="27">
        <f>IF($B57="","",IF($A57=1,$C$7,IF(J56="",0,J56))+IF($H57="",0,$H57)-IF($I57="",0,$I57))</f>
        <v/>
      </c>
      <c r="K57" s="27">
        <f>IF($P57="","",IF(INDEX(EntryMan,$P57)=0,"",INDEX(EntryMan,$P57)))</f>
        <v/>
      </c>
      <c r="L57" s="26">
        <f>IF($B57="","",IF($K57="","—",IF(ROUND($K57-$J57,0)=0,"√","×")))</f>
        <v/>
      </c>
      <c r="M57" s="26">
        <f>IF($B57="","",IF(COUNTIFS(EntryDates,$B57,CalcTime,$C57,CalcBank,$C$5,EntryParty,$D57,EntryDep,$H57,EntryWit,$I57)&gt;1,"تکرار",""))</f>
        <v/>
      </c>
      <c r="N57" s="26">
        <f>IF($P57="","",IF(INDEX(EntryNotes,$P57)=0,"",INDEX(EntryNotes,$P57)))</f>
        <v/>
      </c>
      <c r="O57" s="26">
        <f>IF($P57="","",IF(INDEX(EntryTxnID,$P57)=0,"",INDEX(EntryTxnID,$P57)))</f>
        <v/>
      </c>
      <c r="P57" s="26">
        <f>IFERROR(MATCH($C$5&amp;"|"&amp;RIGHT("000000"&amp;41,6),CalcRankKey,0),"")</f>
        <v/>
      </c>
    </row>
    <row r="58">
      <c r="A58" s="28">
        <f>IF($B58="","",42)</f>
        <v/>
      </c>
      <c r="B58" s="28">
        <f>IF($P58="","",IF(INDEX(CalcNormDate,$P58)=0,"",INDEX(CalcNormDate,$P58)))</f>
        <v/>
      </c>
      <c r="C58" s="28">
        <f>IF($P58="","",IF(INDEX(CalcTime,$P58)=0,"",INDEX(CalcTime,$P58)))</f>
        <v/>
      </c>
      <c r="D58" s="28">
        <f>IF($P58="","",IF(INDEX(EntryParty,$P58)=0,"",INDEX(EntryParty,$P58)))</f>
        <v/>
      </c>
      <c r="E58" s="28">
        <f>IF($P58="","",IF(INDEX(EntryPartyName,$P58)=0,"",INDEX(EntryPartyName,$P58)))</f>
        <v/>
      </c>
      <c r="F58" s="28">
        <f>IF($P58="","",IF(INDEX(EntryPartyType,$P58)=0,"",INDEX(EntryPartyType,$P58)))</f>
        <v/>
      </c>
      <c r="G58" s="28">
        <f>IF($P58="","",IF(INDEX(EntryTxnType,$P58)=0,"",INDEX(EntryTxnType,$P58)))</f>
        <v/>
      </c>
      <c r="H58" s="29">
        <f>IF($P58="","",IF(INDEX(EntryDep,$P58)=0,"",INDEX(EntryDep,$P58)))</f>
        <v/>
      </c>
      <c r="I58" s="29">
        <f>IF($P58="","",IF(INDEX(EntryWit,$P58)=0,"",INDEX(EntryWit,$P58)))</f>
        <v/>
      </c>
      <c r="J58" s="29">
        <f>IF($B58="","",IF($A58=1,$C$7,IF(J57="",0,J57))+IF($H58="",0,$H58)-IF($I58="",0,$I58))</f>
        <v/>
      </c>
      <c r="K58" s="29">
        <f>IF($P58="","",IF(INDEX(EntryMan,$P58)=0,"",INDEX(EntryMan,$P58)))</f>
        <v/>
      </c>
      <c r="L58" s="28">
        <f>IF($B58="","",IF($K58="","—",IF(ROUND($K58-$J58,0)=0,"√","×")))</f>
        <v/>
      </c>
      <c r="M58" s="28">
        <f>IF($B58="","",IF(COUNTIFS(EntryDates,$B58,CalcTime,$C58,CalcBank,$C$5,EntryParty,$D58,EntryDep,$H58,EntryWit,$I58)&gt;1,"تکرار",""))</f>
        <v/>
      </c>
      <c r="N58" s="28">
        <f>IF($P58="","",IF(INDEX(EntryNotes,$P58)=0,"",INDEX(EntryNotes,$P58)))</f>
        <v/>
      </c>
      <c r="O58" s="28">
        <f>IF($P58="","",IF(INDEX(EntryTxnID,$P58)=0,"",INDEX(EntryTxnID,$P58)))</f>
        <v/>
      </c>
      <c r="P58" s="28">
        <f>IFERROR(MATCH($C$5&amp;"|"&amp;RIGHT("000000"&amp;42,6),CalcRankKey,0),"")</f>
        <v/>
      </c>
    </row>
    <row r="59">
      <c r="A59" s="26">
        <f>IF($B59="","",43)</f>
        <v/>
      </c>
      <c r="B59" s="26">
        <f>IF($P59="","",IF(INDEX(CalcNormDate,$P59)=0,"",INDEX(CalcNormDate,$P59)))</f>
        <v/>
      </c>
      <c r="C59" s="26">
        <f>IF($P59="","",IF(INDEX(CalcTime,$P59)=0,"",INDEX(CalcTime,$P59)))</f>
        <v/>
      </c>
      <c r="D59" s="26">
        <f>IF($P59="","",IF(INDEX(EntryParty,$P59)=0,"",INDEX(EntryParty,$P59)))</f>
        <v/>
      </c>
      <c r="E59" s="26">
        <f>IF($P59="","",IF(INDEX(EntryPartyName,$P59)=0,"",INDEX(EntryPartyName,$P59)))</f>
        <v/>
      </c>
      <c r="F59" s="26">
        <f>IF($P59="","",IF(INDEX(EntryPartyType,$P59)=0,"",INDEX(EntryPartyType,$P59)))</f>
        <v/>
      </c>
      <c r="G59" s="26">
        <f>IF($P59="","",IF(INDEX(EntryTxnType,$P59)=0,"",INDEX(EntryTxnType,$P59)))</f>
        <v/>
      </c>
      <c r="H59" s="27">
        <f>IF($P59="","",IF(INDEX(EntryDep,$P59)=0,"",INDEX(EntryDep,$P59)))</f>
        <v/>
      </c>
      <c r="I59" s="27">
        <f>IF($P59="","",IF(INDEX(EntryWit,$P59)=0,"",INDEX(EntryWit,$P59)))</f>
        <v/>
      </c>
      <c r="J59" s="27">
        <f>IF($B59="","",IF($A59=1,$C$7,IF(J58="",0,J58))+IF($H59="",0,$H59)-IF($I59="",0,$I59))</f>
        <v/>
      </c>
      <c r="K59" s="27">
        <f>IF($P59="","",IF(INDEX(EntryMan,$P59)=0,"",INDEX(EntryMan,$P59)))</f>
        <v/>
      </c>
      <c r="L59" s="26">
        <f>IF($B59="","",IF($K59="","—",IF(ROUND($K59-$J59,0)=0,"√","×")))</f>
        <v/>
      </c>
      <c r="M59" s="26">
        <f>IF($B59="","",IF(COUNTIFS(EntryDates,$B59,CalcTime,$C59,CalcBank,$C$5,EntryParty,$D59,EntryDep,$H59,EntryWit,$I59)&gt;1,"تکرار",""))</f>
        <v/>
      </c>
      <c r="N59" s="26">
        <f>IF($P59="","",IF(INDEX(EntryNotes,$P59)=0,"",INDEX(EntryNotes,$P59)))</f>
        <v/>
      </c>
      <c r="O59" s="26">
        <f>IF($P59="","",IF(INDEX(EntryTxnID,$P59)=0,"",INDEX(EntryTxnID,$P59)))</f>
        <v/>
      </c>
      <c r="P59" s="26">
        <f>IFERROR(MATCH($C$5&amp;"|"&amp;RIGHT("000000"&amp;43,6),CalcRankKey,0),"")</f>
        <v/>
      </c>
    </row>
    <row r="60">
      <c r="A60" s="28">
        <f>IF($B60="","",44)</f>
        <v/>
      </c>
      <c r="B60" s="28">
        <f>IF($P60="","",IF(INDEX(CalcNormDate,$P60)=0,"",INDEX(CalcNormDate,$P60)))</f>
        <v/>
      </c>
      <c r="C60" s="28">
        <f>IF($P60="","",IF(INDEX(CalcTime,$P60)=0,"",INDEX(CalcTime,$P60)))</f>
        <v/>
      </c>
      <c r="D60" s="28">
        <f>IF($P60="","",IF(INDEX(EntryParty,$P60)=0,"",INDEX(EntryParty,$P60)))</f>
        <v/>
      </c>
      <c r="E60" s="28">
        <f>IF($P60="","",IF(INDEX(EntryPartyName,$P60)=0,"",INDEX(EntryPartyName,$P60)))</f>
        <v/>
      </c>
      <c r="F60" s="28">
        <f>IF($P60="","",IF(INDEX(EntryPartyType,$P60)=0,"",INDEX(EntryPartyType,$P60)))</f>
        <v/>
      </c>
      <c r="G60" s="28">
        <f>IF($P60="","",IF(INDEX(EntryTxnType,$P60)=0,"",INDEX(EntryTxnType,$P60)))</f>
        <v/>
      </c>
      <c r="H60" s="29">
        <f>IF($P60="","",IF(INDEX(EntryDep,$P60)=0,"",INDEX(EntryDep,$P60)))</f>
        <v/>
      </c>
      <c r="I60" s="29">
        <f>IF($P60="","",IF(INDEX(EntryWit,$P60)=0,"",INDEX(EntryWit,$P60)))</f>
        <v/>
      </c>
      <c r="J60" s="29">
        <f>IF($B60="","",IF($A60=1,$C$7,IF(J59="",0,J59))+IF($H60="",0,$H60)-IF($I60="",0,$I60))</f>
        <v/>
      </c>
      <c r="K60" s="29">
        <f>IF($P60="","",IF(INDEX(EntryMan,$P60)=0,"",INDEX(EntryMan,$P60)))</f>
        <v/>
      </c>
      <c r="L60" s="28">
        <f>IF($B60="","",IF($K60="","—",IF(ROUND($K60-$J60,0)=0,"√","×")))</f>
        <v/>
      </c>
      <c r="M60" s="28">
        <f>IF($B60="","",IF(COUNTIFS(EntryDates,$B60,CalcTime,$C60,CalcBank,$C$5,EntryParty,$D60,EntryDep,$H60,EntryWit,$I60)&gt;1,"تکرار",""))</f>
        <v/>
      </c>
      <c r="N60" s="28">
        <f>IF($P60="","",IF(INDEX(EntryNotes,$P60)=0,"",INDEX(EntryNotes,$P60)))</f>
        <v/>
      </c>
      <c r="O60" s="28">
        <f>IF($P60="","",IF(INDEX(EntryTxnID,$P60)=0,"",INDEX(EntryTxnID,$P60)))</f>
        <v/>
      </c>
      <c r="P60" s="28">
        <f>IFERROR(MATCH($C$5&amp;"|"&amp;RIGHT("000000"&amp;44,6),CalcRankKey,0),"")</f>
        <v/>
      </c>
    </row>
    <row r="61">
      <c r="A61" s="26">
        <f>IF($B61="","",45)</f>
        <v/>
      </c>
      <c r="B61" s="26">
        <f>IF($P61="","",IF(INDEX(CalcNormDate,$P61)=0,"",INDEX(CalcNormDate,$P61)))</f>
        <v/>
      </c>
      <c r="C61" s="26">
        <f>IF($P61="","",IF(INDEX(CalcTime,$P61)=0,"",INDEX(CalcTime,$P61)))</f>
        <v/>
      </c>
      <c r="D61" s="26">
        <f>IF($P61="","",IF(INDEX(EntryParty,$P61)=0,"",INDEX(EntryParty,$P61)))</f>
        <v/>
      </c>
      <c r="E61" s="26">
        <f>IF($P61="","",IF(INDEX(EntryPartyName,$P61)=0,"",INDEX(EntryPartyName,$P61)))</f>
        <v/>
      </c>
      <c r="F61" s="26">
        <f>IF($P61="","",IF(INDEX(EntryPartyType,$P61)=0,"",INDEX(EntryPartyType,$P61)))</f>
        <v/>
      </c>
      <c r="G61" s="26">
        <f>IF($P61="","",IF(INDEX(EntryTxnType,$P61)=0,"",INDEX(EntryTxnType,$P61)))</f>
        <v/>
      </c>
      <c r="H61" s="27">
        <f>IF($P61="","",IF(INDEX(EntryDep,$P61)=0,"",INDEX(EntryDep,$P61)))</f>
        <v/>
      </c>
      <c r="I61" s="27">
        <f>IF($P61="","",IF(INDEX(EntryWit,$P61)=0,"",INDEX(EntryWit,$P61)))</f>
        <v/>
      </c>
      <c r="J61" s="27">
        <f>IF($B61="","",IF($A61=1,$C$7,IF(J60="",0,J60))+IF($H61="",0,$H61)-IF($I61="",0,$I61))</f>
        <v/>
      </c>
      <c r="K61" s="27">
        <f>IF($P61="","",IF(INDEX(EntryMan,$P61)=0,"",INDEX(EntryMan,$P61)))</f>
        <v/>
      </c>
      <c r="L61" s="26">
        <f>IF($B61="","",IF($K61="","—",IF(ROUND($K61-$J61,0)=0,"√","×")))</f>
        <v/>
      </c>
      <c r="M61" s="26">
        <f>IF($B61="","",IF(COUNTIFS(EntryDates,$B61,CalcTime,$C61,CalcBank,$C$5,EntryParty,$D61,EntryDep,$H61,EntryWit,$I61)&gt;1,"تکرار",""))</f>
        <v/>
      </c>
      <c r="N61" s="26">
        <f>IF($P61="","",IF(INDEX(EntryNotes,$P61)=0,"",INDEX(EntryNotes,$P61)))</f>
        <v/>
      </c>
      <c r="O61" s="26">
        <f>IF($P61="","",IF(INDEX(EntryTxnID,$P61)=0,"",INDEX(EntryTxnID,$P61)))</f>
        <v/>
      </c>
      <c r="P61" s="26">
        <f>IFERROR(MATCH($C$5&amp;"|"&amp;RIGHT("000000"&amp;45,6),CalcRankKey,0),"")</f>
        <v/>
      </c>
    </row>
    <row r="62">
      <c r="A62" s="28">
        <f>IF($B62="","",46)</f>
        <v/>
      </c>
      <c r="B62" s="28">
        <f>IF($P62="","",IF(INDEX(CalcNormDate,$P62)=0,"",INDEX(CalcNormDate,$P62)))</f>
        <v/>
      </c>
      <c r="C62" s="28">
        <f>IF($P62="","",IF(INDEX(CalcTime,$P62)=0,"",INDEX(CalcTime,$P62)))</f>
        <v/>
      </c>
      <c r="D62" s="28">
        <f>IF($P62="","",IF(INDEX(EntryParty,$P62)=0,"",INDEX(EntryParty,$P62)))</f>
        <v/>
      </c>
      <c r="E62" s="28">
        <f>IF($P62="","",IF(INDEX(EntryPartyName,$P62)=0,"",INDEX(EntryPartyName,$P62)))</f>
        <v/>
      </c>
      <c r="F62" s="28">
        <f>IF($P62="","",IF(INDEX(EntryPartyType,$P62)=0,"",INDEX(EntryPartyType,$P62)))</f>
        <v/>
      </c>
      <c r="G62" s="28">
        <f>IF($P62="","",IF(INDEX(EntryTxnType,$P62)=0,"",INDEX(EntryTxnType,$P62)))</f>
        <v/>
      </c>
      <c r="H62" s="29">
        <f>IF($P62="","",IF(INDEX(EntryDep,$P62)=0,"",INDEX(EntryDep,$P62)))</f>
        <v/>
      </c>
      <c r="I62" s="29">
        <f>IF($P62="","",IF(INDEX(EntryWit,$P62)=0,"",INDEX(EntryWit,$P62)))</f>
        <v/>
      </c>
      <c r="J62" s="29">
        <f>IF($B62="","",IF($A62=1,$C$7,IF(J61="",0,J61))+IF($H62="",0,$H62)-IF($I62="",0,$I62))</f>
        <v/>
      </c>
      <c r="K62" s="29">
        <f>IF($P62="","",IF(INDEX(EntryMan,$P62)=0,"",INDEX(EntryMan,$P62)))</f>
        <v/>
      </c>
      <c r="L62" s="28">
        <f>IF($B62="","",IF($K62="","—",IF(ROUND($K62-$J62,0)=0,"√","×")))</f>
        <v/>
      </c>
      <c r="M62" s="28">
        <f>IF($B62="","",IF(COUNTIFS(EntryDates,$B62,CalcTime,$C62,CalcBank,$C$5,EntryParty,$D62,EntryDep,$H62,EntryWit,$I62)&gt;1,"تکرار",""))</f>
        <v/>
      </c>
      <c r="N62" s="28">
        <f>IF($P62="","",IF(INDEX(EntryNotes,$P62)=0,"",INDEX(EntryNotes,$P62)))</f>
        <v/>
      </c>
      <c r="O62" s="28">
        <f>IF($P62="","",IF(INDEX(EntryTxnID,$P62)=0,"",INDEX(EntryTxnID,$P62)))</f>
        <v/>
      </c>
      <c r="P62" s="28">
        <f>IFERROR(MATCH($C$5&amp;"|"&amp;RIGHT("000000"&amp;46,6),CalcRankKey,0),"")</f>
        <v/>
      </c>
    </row>
    <row r="63">
      <c r="A63" s="26">
        <f>IF($B63="","",47)</f>
        <v/>
      </c>
      <c r="B63" s="26">
        <f>IF($P63="","",IF(INDEX(CalcNormDate,$P63)=0,"",INDEX(CalcNormDate,$P63)))</f>
        <v/>
      </c>
      <c r="C63" s="26">
        <f>IF($P63="","",IF(INDEX(CalcTime,$P63)=0,"",INDEX(CalcTime,$P63)))</f>
        <v/>
      </c>
      <c r="D63" s="26">
        <f>IF($P63="","",IF(INDEX(EntryParty,$P63)=0,"",INDEX(EntryParty,$P63)))</f>
        <v/>
      </c>
      <c r="E63" s="26">
        <f>IF($P63="","",IF(INDEX(EntryPartyName,$P63)=0,"",INDEX(EntryPartyName,$P63)))</f>
        <v/>
      </c>
      <c r="F63" s="26">
        <f>IF($P63="","",IF(INDEX(EntryPartyType,$P63)=0,"",INDEX(EntryPartyType,$P63)))</f>
        <v/>
      </c>
      <c r="G63" s="26">
        <f>IF($P63="","",IF(INDEX(EntryTxnType,$P63)=0,"",INDEX(EntryTxnType,$P63)))</f>
        <v/>
      </c>
      <c r="H63" s="27">
        <f>IF($P63="","",IF(INDEX(EntryDep,$P63)=0,"",INDEX(EntryDep,$P63)))</f>
        <v/>
      </c>
      <c r="I63" s="27">
        <f>IF($P63="","",IF(INDEX(EntryWit,$P63)=0,"",INDEX(EntryWit,$P63)))</f>
        <v/>
      </c>
      <c r="J63" s="27">
        <f>IF($B63="","",IF($A63=1,$C$7,IF(J62="",0,J62))+IF($H63="",0,$H63)-IF($I63="",0,$I63))</f>
        <v/>
      </c>
      <c r="K63" s="27">
        <f>IF($P63="","",IF(INDEX(EntryMan,$P63)=0,"",INDEX(EntryMan,$P63)))</f>
        <v/>
      </c>
      <c r="L63" s="26">
        <f>IF($B63="","",IF($K63="","—",IF(ROUND($K63-$J63,0)=0,"√","×")))</f>
        <v/>
      </c>
      <c r="M63" s="26">
        <f>IF($B63="","",IF(COUNTIFS(EntryDates,$B63,CalcTime,$C63,CalcBank,$C$5,EntryParty,$D63,EntryDep,$H63,EntryWit,$I63)&gt;1,"تکرار",""))</f>
        <v/>
      </c>
      <c r="N63" s="26">
        <f>IF($P63="","",IF(INDEX(EntryNotes,$P63)=0,"",INDEX(EntryNotes,$P63)))</f>
        <v/>
      </c>
      <c r="O63" s="26">
        <f>IF($P63="","",IF(INDEX(EntryTxnID,$P63)=0,"",INDEX(EntryTxnID,$P63)))</f>
        <v/>
      </c>
      <c r="P63" s="26">
        <f>IFERROR(MATCH($C$5&amp;"|"&amp;RIGHT("000000"&amp;47,6),CalcRankKey,0),"")</f>
        <v/>
      </c>
    </row>
    <row r="64">
      <c r="A64" s="28">
        <f>IF($B64="","",48)</f>
        <v/>
      </c>
      <c r="B64" s="28">
        <f>IF($P64="","",IF(INDEX(CalcNormDate,$P64)=0,"",INDEX(CalcNormDate,$P64)))</f>
        <v/>
      </c>
      <c r="C64" s="28">
        <f>IF($P64="","",IF(INDEX(CalcTime,$P64)=0,"",INDEX(CalcTime,$P64)))</f>
        <v/>
      </c>
      <c r="D64" s="28">
        <f>IF($P64="","",IF(INDEX(EntryParty,$P64)=0,"",INDEX(EntryParty,$P64)))</f>
        <v/>
      </c>
      <c r="E64" s="28">
        <f>IF($P64="","",IF(INDEX(EntryPartyName,$P64)=0,"",INDEX(EntryPartyName,$P64)))</f>
        <v/>
      </c>
      <c r="F64" s="28">
        <f>IF($P64="","",IF(INDEX(EntryPartyType,$P64)=0,"",INDEX(EntryPartyType,$P64)))</f>
        <v/>
      </c>
      <c r="G64" s="28">
        <f>IF($P64="","",IF(INDEX(EntryTxnType,$P64)=0,"",INDEX(EntryTxnType,$P64)))</f>
        <v/>
      </c>
      <c r="H64" s="29">
        <f>IF($P64="","",IF(INDEX(EntryDep,$P64)=0,"",INDEX(EntryDep,$P64)))</f>
        <v/>
      </c>
      <c r="I64" s="29">
        <f>IF($P64="","",IF(INDEX(EntryWit,$P64)=0,"",INDEX(EntryWit,$P64)))</f>
        <v/>
      </c>
      <c r="J64" s="29">
        <f>IF($B64="","",IF($A64=1,$C$7,IF(J63="",0,J63))+IF($H64="",0,$H64)-IF($I64="",0,$I64))</f>
        <v/>
      </c>
      <c r="K64" s="29">
        <f>IF($P64="","",IF(INDEX(EntryMan,$P64)=0,"",INDEX(EntryMan,$P64)))</f>
        <v/>
      </c>
      <c r="L64" s="28">
        <f>IF($B64="","",IF($K64="","—",IF(ROUND($K64-$J64,0)=0,"√","×")))</f>
        <v/>
      </c>
      <c r="M64" s="28">
        <f>IF($B64="","",IF(COUNTIFS(EntryDates,$B64,CalcTime,$C64,CalcBank,$C$5,EntryParty,$D64,EntryDep,$H64,EntryWit,$I64)&gt;1,"تکرار",""))</f>
        <v/>
      </c>
      <c r="N64" s="28">
        <f>IF($P64="","",IF(INDEX(EntryNotes,$P64)=0,"",INDEX(EntryNotes,$P64)))</f>
        <v/>
      </c>
      <c r="O64" s="28">
        <f>IF($P64="","",IF(INDEX(EntryTxnID,$P64)=0,"",INDEX(EntryTxnID,$P64)))</f>
        <v/>
      </c>
      <c r="P64" s="28">
        <f>IFERROR(MATCH($C$5&amp;"|"&amp;RIGHT("000000"&amp;48,6),CalcRankKey,0),"")</f>
        <v/>
      </c>
    </row>
    <row r="65">
      <c r="A65" s="26">
        <f>IF($B65="","",49)</f>
        <v/>
      </c>
      <c r="B65" s="26">
        <f>IF($P65="","",IF(INDEX(CalcNormDate,$P65)=0,"",INDEX(CalcNormDate,$P65)))</f>
        <v/>
      </c>
      <c r="C65" s="26">
        <f>IF($P65="","",IF(INDEX(CalcTime,$P65)=0,"",INDEX(CalcTime,$P65)))</f>
        <v/>
      </c>
      <c r="D65" s="26">
        <f>IF($P65="","",IF(INDEX(EntryParty,$P65)=0,"",INDEX(EntryParty,$P65)))</f>
        <v/>
      </c>
      <c r="E65" s="26">
        <f>IF($P65="","",IF(INDEX(EntryPartyName,$P65)=0,"",INDEX(EntryPartyName,$P65)))</f>
        <v/>
      </c>
      <c r="F65" s="26">
        <f>IF($P65="","",IF(INDEX(EntryPartyType,$P65)=0,"",INDEX(EntryPartyType,$P65)))</f>
        <v/>
      </c>
      <c r="G65" s="26">
        <f>IF($P65="","",IF(INDEX(EntryTxnType,$P65)=0,"",INDEX(EntryTxnType,$P65)))</f>
        <v/>
      </c>
      <c r="H65" s="27">
        <f>IF($P65="","",IF(INDEX(EntryDep,$P65)=0,"",INDEX(EntryDep,$P65)))</f>
        <v/>
      </c>
      <c r="I65" s="27">
        <f>IF($P65="","",IF(INDEX(EntryWit,$P65)=0,"",INDEX(EntryWit,$P65)))</f>
        <v/>
      </c>
      <c r="J65" s="27">
        <f>IF($B65="","",IF($A65=1,$C$7,IF(J64="",0,J64))+IF($H65="",0,$H65)-IF($I65="",0,$I65))</f>
        <v/>
      </c>
      <c r="K65" s="27">
        <f>IF($P65="","",IF(INDEX(EntryMan,$P65)=0,"",INDEX(EntryMan,$P65)))</f>
        <v/>
      </c>
      <c r="L65" s="26">
        <f>IF($B65="","",IF($K65="","—",IF(ROUND($K65-$J65,0)=0,"√","×")))</f>
        <v/>
      </c>
      <c r="M65" s="26">
        <f>IF($B65="","",IF(COUNTIFS(EntryDates,$B65,CalcTime,$C65,CalcBank,$C$5,EntryParty,$D65,EntryDep,$H65,EntryWit,$I65)&gt;1,"تکرار",""))</f>
        <v/>
      </c>
      <c r="N65" s="26">
        <f>IF($P65="","",IF(INDEX(EntryNotes,$P65)=0,"",INDEX(EntryNotes,$P65)))</f>
        <v/>
      </c>
      <c r="O65" s="26">
        <f>IF($P65="","",IF(INDEX(EntryTxnID,$P65)=0,"",INDEX(EntryTxnID,$P65)))</f>
        <v/>
      </c>
      <c r="P65" s="26">
        <f>IFERROR(MATCH($C$5&amp;"|"&amp;RIGHT("000000"&amp;49,6),CalcRankKey,0),"")</f>
        <v/>
      </c>
    </row>
    <row r="66">
      <c r="A66" s="28">
        <f>IF($B66="","",50)</f>
        <v/>
      </c>
      <c r="B66" s="28">
        <f>IF($P66="","",IF(INDEX(CalcNormDate,$P66)=0,"",INDEX(CalcNormDate,$P66)))</f>
        <v/>
      </c>
      <c r="C66" s="28">
        <f>IF($P66="","",IF(INDEX(CalcTime,$P66)=0,"",INDEX(CalcTime,$P66)))</f>
        <v/>
      </c>
      <c r="D66" s="28">
        <f>IF($P66="","",IF(INDEX(EntryParty,$P66)=0,"",INDEX(EntryParty,$P66)))</f>
        <v/>
      </c>
      <c r="E66" s="28">
        <f>IF($P66="","",IF(INDEX(EntryPartyName,$P66)=0,"",INDEX(EntryPartyName,$P66)))</f>
        <v/>
      </c>
      <c r="F66" s="28">
        <f>IF($P66="","",IF(INDEX(EntryPartyType,$P66)=0,"",INDEX(EntryPartyType,$P66)))</f>
        <v/>
      </c>
      <c r="G66" s="28">
        <f>IF($P66="","",IF(INDEX(EntryTxnType,$P66)=0,"",INDEX(EntryTxnType,$P66)))</f>
        <v/>
      </c>
      <c r="H66" s="29">
        <f>IF($P66="","",IF(INDEX(EntryDep,$P66)=0,"",INDEX(EntryDep,$P66)))</f>
        <v/>
      </c>
      <c r="I66" s="29">
        <f>IF($P66="","",IF(INDEX(EntryWit,$P66)=0,"",INDEX(EntryWit,$P66)))</f>
        <v/>
      </c>
      <c r="J66" s="29">
        <f>IF($B66="","",IF($A66=1,$C$7,IF(J65="",0,J65))+IF($H66="",0,$H66)-IF($I66="",0,$I66))</f>
        <v/>
      </c>
      <c r="K66" s="29">
        <f>IF($P66="","",IF(INDEX(EntryMan,$P66)=0,"",INDEX(EntryMan,$P66)))</f>
        <v/>
      </c>
      <c r="L66" s="28">
        <f>IF($B66="","",IF($K66="","—",IF(ROUND($K66-$J66,0)=0,"√","×")))</f>
        <v/>
      </c>
      <c r="M66" s="28">
        <f>IF($B66="","",IF(COUNTIFS(EntryDates,$B66,CalcTime,$C66,CalcBank,$C$5,EntryParty,$D66,EntryDep,$H66,EntryWit,$I66)&gt;1,"تکرار",""))</f>
        <v/>
      </c>
      <c r="N66" s="28">
        <f>IF($P66="","",IF(INDEX(EntryNotes,$P66)=0,"",INDEX(EntryNotes,$P66)))</f>
        <v/>
      </c>
      <c r="O66" s="28">
        <f>IF($P66="","",IF(INDEX(EntryTxnID,$P66)=0,"",INDEX(EntryTxnID,$P66)))</f>
        <v/>
      </c>
      <c r="P66" s="28">
        <f>IFERROR(MATCH($C$5&amp;"|"&amp;RIGHT("000000"&amp;50,6),CalcRankKey,0),"")</f>
        <v/>
      </c>
    </row>
    <row r="67">
      <c r="A67" s="26">
        <f>IF($B67="","",51)</f>
        <v/>
      </c>
      <c r="B67" s="26">
        <f>IF($P67="","",IF(INDEX(CalcNormDate,$P67)=0,"",INDEX(CalcNormDate,$P67)))</f>
        <v/>
      </c>
      <c r="C67" s="26">
        <f>IF($P67="","",IF(INDEX(CalcTime,$P67)=0,"",INDEX(CalcTime,$P67)))</f>
        <v/>
      </c>
      <c r="D67" s="26">
        <f>IF($P67="","",IF(INDEX(EntryParty,$P67)=0,"",INDEX(EntryParty,$P67)))</f>
        <v/>
      </c>
      <c r="E67" s="26">
        <f>IF($P67="","",IF(INDEX(EntryPartyName,$P67)=0,"",INDEX(EntryPartyName,$P67)))</f>
        <v/>
      </c>
      <c r="F67" s="26">
        <f>IF($P67="","",IF(INDEX(EntryPartyType,$P67)=0,"",INDEX(EntryPartyType,$P67)))</f>
        <v/>
      </c>
      <c r="G67" s="26">
        <f>IF($P67="","",IF(INDEX(EntryTxnType,$P67)=0,"",INDEX(EntryTxnType,$P67)))</f>
        <v/>
      </c>
      <c r="H67" s="27">
        <f>IF($P67="","",IF(INDEX(EntryDep,$P67)=0,"",INDEX(EntryDep,$P67)))</f>
        <v/>
      </c>
      <c r="I67" s="27">
        <f>IF($P67="","",IF(INDEX(EntryWit,$P67)=0,"",INDEX(EntryWit,$P67)))</f>
        <v/>
      </c>
      <c r="J67" s="27">
        <f>IF($B67="","",IF($A67=1,$C$7,IF(J66="",0,J66))+IF($H67="",0,$H67)-IF($I67="",0,$I67))</f>
        <v/>
      </c>
      <c r="K67" s="27">
        <f>IF($P67="","",IF(INDEX(EntryMan,$P67)=0,"",INDEX(EntryMan,$P67)))</f>
        <v/>
      </c>
      <c r="L67" s="26">
        <f>IF($B67="","",IF($K67="","—",IF(ROUND($K67-$J67,0)=0,"√","×")))</f>
        <v/>
      </c>
      <c r="M67" s="26">
        <f>IF($B67="","",IF(COUNTIFS(EntryDates,$B67,CalcTime,$C67,CalcBank,$C$5,EntryParty,$D67,EntryDep,$H67,EntryWit,$I67)&gt;1,"تکرار",""))</f>
        <v/>
      </c>
      <c r="N67" s="26">
        <f>IF($P67="","",IF(INDEX(EntryNotes,$P67)=0,"",INDEX(EntryNotes,$P67)))</f>
        <v/>
      </c>
      <c r="O67" s="26">
        <f>IF($P67="","",IF(INDEX(EntryTxnID,$P67)=0,"",INDEX(EntryTxnID,$P67)))</f>
        <v/>
      </c>
      <c r="P67" s="26">
        <f>IFERROR(MATCH($C$5&amp;"|"&amp;RIGHT("000000"&amp;51,6),CalcRankKey,0),"")</f>
        <v/>
      </c>
    </row>
    <row r="68">
      <c r="A68" s="28">
        <f>IF($B68="","",52)</f>
        <v/>
      </c>
      <c r="B68" s="28">
        <f>IF($P68="","",IF(INDEX(CalcNormDate,$P68)=0,"",INDEX(CalcNormDate,$P68)))</f>
        <v/>
      </c>
      <c r="C68" s="28">
        <f>IF($P68="","",IF(INDEX(CalcTime,$P68)=0,"",INDEX(CalcTime,$P68)))</f>
        <v/>
      </c>
      <c r="D68" s="28">
        <f>IF($P68="","",IF(INDEX(EntryParty,$P68)=0,"",INDEX(EntryParty,$P68)))</f>
        <v/>
      </c>
      <c r="E68" s="28">
        <f>IF($P68="","",IF(INDEX(EntryPartyName,$P68)=0,"",INDEX(EntryPartyName,$P68)))</f>
        <v/>
      </c>
      <c r="F68" s="28">
        <f>IF($P68="","",IF(INDEX(EntryPartyType,$P68)=0,"",INDEX(EntryPartyType,$P68)))</f>
        <v/>
      </c>
      <c r="G68" s="28">
        <f>IF($P68="","",IF(INDEX(EntryTxnType,$P68)=0,"",INDEX(EntryTxnType,$P68)))</f>
        <v/>
      </c>
      <c r="H68" s="29">
        <f>IF($P68="","",IF(INDEX(EntryDep,$P68)=0,"",INDEX(EntryDep,$P68)))</f>
        <v/>
      </c>
      <c r="I68" s="29">
        <f>IF($P68="","",IF(INDEX(EntryWit,$P68)=0,"",INDEX(EntryWit,$P68)))</f>
        <v/>
      </c>
      <c r="J68" s="29">
        <f>IF($B68="","",IF($A68=1,$C$7,IF(J67="",0,J67))+IF($H68="",0,$H68)-IF($I68="",0,$I68))</f>
        <v/>
      </c>
      <c r="K68" s="29">
        <f>IF($P68="","",IF(INDEX(EntryMan,$P68)=0,"",INDEX(EntryMan,$P68)))</f>
        <v/>
      </c>
      <c r="L68" s="28">
        <f>IF($B68="","",IF($K68="","—",IF(ROUND($K68-$J68,0)=0,"√","×")))</f>
        <v/>
      </c>
      <c r="M68" s="28">
        <f>IF($B68="","",IF(COUNTIFS(EntryDates,$B68,CalcTime,$C68,CalcBank,$C$5,EntryParty,$D68,EntryDep,$H68,EntryWit,$I68)&gt;1,"تکرار",""))</f>
        <v/>
      </c>
      <c r="N68" s="28">
        <f>IF($P68="","",IF(INDEX(EntryNotes,$P68)=0,"",INDEX(EntryNotes,$P68)))</f>
        <v/>
      </c>
      <c r="O68" s="28">
        <f>IF($P68="","",IF(INDEX(EntryTxnID,$P68)=0,"",INDEX(EntryTxnID,$P68)))</f>
        <v/>
      </c>
      <c r="P68" s="28">
        <f>IFERROR(MATCH($C$5&amp;"|"&amp;RIGHT("000000"&amp;52,6),CalcRankKey,0),"")</f>
        <v/>
      </c>
    </row>
    <row r="69">
      <c r="A69" s="26">
        <f>IF($B69="","",53)</f>
        <v/>
      </c>
      <c r="B69" s="26">
        <f>IF($P69="","",IF(INDEX(CalcNormDate,$P69)=0,"",INDEX(CalcNormDate,$P69)))</f>
        <v/>
      </c>
      <c r="C69" s="26">
        <f>IF($P69="","",IF(INDEX(CalcTime,$P69)=0,"",INDEX(CalcTime,$P69)))</f>
        <v/>
      </c>
      <c r="D69" s="26">
        <f>IF($P69="","",IF(INDEX(EntryParty,$P69)=0,"",INDEX(EntryParty,$P69)))</f>
        <v/>
      </c>
      <c r="E69" s="26">
        <f>IF($P69="","",IF(INDEX(EntryPartyName,$P69)=0,"",INDEX(EntryPartyName,$P69)))</f>
        <v/>
      </c>
      <c r="F69" s="26">
        <f>IF($P69="","",IF(INDEX(EntryPartyType,$P69)=0,"",INDEX(EntryPartyType,$P69)))</f>
        <v/>
      </c>
      <c r="G69" s="26">
        <f>IF($P69="","",IF(INDEX(EntryTxnType,$P69)=0,"",INDEX(EntryTxnType,$P69)))</f>
        <v/>
      </c>
      <c r="H69" s="27">
        <f>IF($P69="","",IF(INDEX(EntryDep,$P69)=0,"",INDEX(EntryDep,$P69)))</f>
        <v/>
      </c>
      <c r="I69" s="27">
        <f>IF($P69="","",IF(INDEX(EntryWit,$P69)=0,"",INDEX(EntryWit,$P69)))</f>
        <v/>
      </c>
      <c r="J69" s="27">
        <f>IF($B69="","",IF($A69=1,$C$7,IF(J68="",0,J68))+IF($H69="",0,$H69)-IF($I69="",0,$I69))</f>
        <v/>
      </c>
      <c r="K69" s="27">
        <f>IF($P69="","",IF(INDEX(EntryMan,$P69)=0,"",INDEX(EntryMan,$P69)))</f>
        <v/>
      </c>
      <c r="L69" s="26">
        <f>IF($B69="","",IF($K69="","—",IF(ROUND($K69-$J69,0)=0,"√","×")))</f>
        <v/>
      </c>
      <c r="M69" s="26">
        <f>IF($B69="","",IF(COUNTIFS(EntryDates,$B69,CalcTime,$C69,CalcBank,$C$5,EntryParty,$D69,EntryDep,$H69,EntryWit,$I69)&gt;1,"تکرار",""))</f>
        <v/>
      </c>
      <c r="N69" s="26">
        <f>IF($P69="","",IF(INDEX(EntryNotes,$P69)=0,"",INDEX(EntryNotes,$P69)))</f>
        <v/>
      </c>
      <c r="O69" s="26">
        <f>IF($P69="","",IF(INDEX(EntryTxnID,$P69)=0,"",INDEX(EntryTxnID,$P69)))</f>
        <v/>
      </c>
      <c r="P69" s="26">
        <f>IFERROR(MATCH($C$5&amp;"|"&amp;RIGHT("000000"&amp;53,6),CalcRankKey,0),"")</f>
        <v/>
      </c>
    </row>
    <row r="70">
      <c r="A70" s="28">
        <f>IF($B70="","",54)</f>
        <v/>
      </c>
      <c r="B70" s="28">
        <f>IF($P70="","",IF(INDEX(CalcNormDate,$P70)=0,"",INDEX(CalcNormDate,$P70)))</f>
        <v/>
      </c>
      <c r="C70" s="28">
        <f>IF($P70="","",IF(INDEX(CalcTime,$P70)=0,"",INDEX(CalcTime,$P70)))</f>
        <v/>
      </c>
      <c r="D70" s="28">
        <f>IF($P70="","",IF(INDEX(EntryParty,$P70)=0,"",INDEX(EntryParty,$P70)))</f>
        <v/>
      </c>
      <c r="E70" s="28">
        <f>IF($P70="","",IF(INDEX(EntryPartyName,$P70)=0,"",INDEX(EntryPartyName,$P70)))</f>
        <v/>
      </c>
      <c r="F70" s="28">
        <f>IF($P70="","",IF(INDEX(EntryPartyType,$P70)=0,"",INDEX(EntryPartyType,$P70)))</f>
        <v/>
      </c>
      <c r="G70" s="28">
        <f>IF($P70="","",IF(INDEX(EntryTxnType,$P70)=0,"",INDEX(EntryTxnType,$P70)))</f>
        <v/>
      </c>
      <c r="H70" s="29">
        <f>IF($P70="","",IF(INDEX(EntryDep,$P70)=0,"",INDEX(EntryDep,$P70)))</f>
        <v/>
      </c>
      <c r="I70" s="29">
        <f>IF($P70="","",IF(INDEX(EntryWit,$P70)=0,"",INDEX(EntryWit,$P70)))</f>
        <v/>
      </c>
      <c r="J70" s="29">
        <f>IF($B70="","",IF($A70=1,$C$7,IF(J69="",0,J69))+IF($H70="",0,$H70)-IF($I70="",0,$I70))</f>
        <v/>
      </c>
      <c r="K70" s="29">
        <f>IF($P70="","",IF(INDEX(EntryMan,$P70)=0,"",INDEX(EntryMan,$P70)))</f>
        <v/>
      </c>
      <c r="L70" s="28">
        <f>IF($B70="","",IF($K70="","—",IF(ROUND($K70-$J70,0)=0,"√","×")))</f>
        <v/>
      </c>
      <c r="M70" s="28">
        <f>IF($B70="","",IF(COUNTIFS(EntryDates,$B70,CalcTime,$C70,CalcBank,$C$5,EntryParty,$D70,EntryDep,$H70,EntryWit,$I70)&gt;1,"تکرار",""))</f>
        <v/>
      </c>
      <c r="N70" s="28">
        <f>IF($P70="","",IF(INDEX(EntryNotes,$P70)=0,"",INDEX(EntryNotes,$P70)))</f>
        <v/>
      </c>
      <c r="O70" s="28">
        <f>IF($P70="","",IF(INDEX(EntryTxnID,$P70)=0,"",INDEX(EntryTxnID,$P70)))</f>
        <v/>
      </c>
      <c r="P70" s="28">
        <f>IFERROR(MATCH($C$5&amp;"|"&amp;RIGHT("000000"&amp;54,6),CalcRankKey,0),"")</f>
        <v/>
      </c>
    </row>
    <row r="71">
      <c r="A71" s="26">
        <f>IF($B71="","",55)</f>
        <v/>
      </c>
      <c r="B71" s="26">
        <f>IF($P71="","",IF(INDEX(CalcNormDate,$P71)=0,"",INDEX(CalcNormDate,$P71)))</f>
        <v/>
      </c>
      <c r="C71" s="26">
        <f>IF($P71="","",IF(INDEX(CalcTime,$P71)=0,"",INDEX(CalcTime,$P71)))</f>
        <v/>
      </c>
      <c r="D71" s="26">
        <f>IF($P71="","",IF(INDEX(EntryParty,$P71)=0,"",INDEX(EntryParty,$P71)))</f>
        <v/>
      </c>
      <c r="E71" s="26">
        <f>IF($P71="","",IF(INDEX(EntryPartyName,$P71)=0,"",INDEX(EntryPartyName,$P71)))</f>
        <v/>
      </c>
      <c r="F71" s="26">
        <f>IF($P71="","",IF(INDEX(EntryPartyType,$P71)=0,"",INDEX(EntryPartyType,$P71)))</f>
        <v/>
      </c>
      <c r="G71" s="26">
        <f>IF($P71="","",IF(INDEX(EntryTxnType,$P71)=0,"",INDEX(EntryTxnType,$P71)))</f>
        <v/>
      </c>
      <c r="H71" s="27">
        <f>IF($P71="","",IF(INDEX(EntryDep,$P71)=0,"",INDEX(EntryDep,$P71)))</f>
        <v/>
      </c>
      <c r="I71" s="27">
        <f>IF($P71="","",IF(INDEX(EntryWit,$P71)=0,"",INDEX(EntryWit,$P71)))</f>
        <v/>
      </c>
      <c r="J71" s="27">
        <f>IF($B71="","",IF($A71=1,$C$7,IF(J70="",0,J70))+IF($H71="",0,$H71)-IF($I71="",0,$I71))</f>
        <v/>
      </c>
      <c r="K71" s="27">
        <f>IF($P71="","",IF(INDEX(EntryMan,$P71)=0,"",INDEX(EntryMan,$P71)))</f>
        <v/>
      </c>
      <c r="L71" s="26">
        <f>IF($B71="","",IF($K71="","—",IF(ROUND($K71-$J71,0)=0,"√","×")))</f>
        <v/>
      </c>
      <c r="M71" s="26">
        <f>IF($B71="","",IF(COUNTIFS(EntryDates,$B71,CalcTime,$C71,CalcBank,$C$5,EntryParty,$D71,EntryDep,$H71,EntryWit,$I71)&gt;1,"تکرار",""))</f>
        <v/>
      </c>
      <c r="N71" s="26">
        <f>IF($P71="","",IF(INDEX(EntryNotes,$P71)=0,"",INDEX(EntryNotes,$P71)))</f>
        <v/>
      </c>
      <c r="O71" s="26">
        <f>IF($P71="","",IF(INDEX(EntryTxnID,$P71)=0,"",INDEX(EntryTxnID,$P71)))</f>
        <v/>
      </c>
      <c r="P71" s="26">
        <f>IFERROR(MATCH($C$5&amp;"|"&amp;RIGHT("000000"&amp;55,6),CalcRankKey,0),"")</f>
        <v/>
      </c>
    </row>
    <row r="72">
      <c r="A72" s="28">
        <f>IF($B72="","",56)</f>
        <v/>
      </c>
      <c r="B72" s="28">
        <f>IF($P72="","",IF(INDEX(CalcNormDate,$P72)=0,"",INDEX(CalcNormDate,$P72)))</f>
        <v/>
      </c>
      <c r="C72" s="28">
        <f>IF($P72="","",IF(INDEX(CalcTime,$P72)=0,"",INDEX(CalcTime,$P72)))</f>
        <v/>
      </c>
      <c r="D72" s="28">
        <f>IF($P72="","",IF(INDEX(EntryParty,$P72)=0,"",INDEX(EntryParty,$P72)))</f>
        <v/>
      </c>
      <c r="E72" s="28">
        <f>IF($P72="","",IF(INDEX(EntryPartyName,$P72)=0,"",INDEX(EntryPartyName,$P72)))</f>
        <v/>
      </c>
      <c r="F72" s="28">
        <f>IF($P72="","",IF(INDEX(EntryPartyType,$P72)=0,"",INDEX(EntryPartyType,$P72)))</f>
        <v/>
      </c>
      <c r="G72" s="28">
        <f>IF($P72="","",IF(INDEX(EntryTxnType,$P72)=0,"",INDEX(EntryTxnType,$P72)))</f>
        <v/>
      </c>
      <c r="H72" s="29">
        <f>IF($P72="","",IF(INDEX(EntryDep,$P72)=0,"",INDEX(EntryDep,$P72)))</f>
        <v/>
      </c>
      <c r="I72" s="29">
        <f>IF($P72="","",IF(INDEX(EntryWit,$P72)=0,"",INDEX(EntryWit,$P72)))</f>
        <v/>
      </c>
      <c r="J72" s="29">
        <f>IF($B72="","",IF($A72=1,$C$7,IF(J71="",0,J71))+IF($H72="",0,$H72)-IF($I72="",0,$I72))</f>
        <v/>
      </c>
      <c r="K72" s="29">
        <f>IF($P72="","",IF(INDEX(EntryMan,$P72)=0,"",INDEX(EntryMan,$P72)))</f>
        <v/>
      </c>
      <c r="L72" s="28">
        <f>IF($B72="","",IF($K72="","—",IF(ROUND($K72-$J72,0)=0,"√","×")))</f>
        <v/>
      </c>
      <c r="M72" s="28">
        <f>IF($B72="","",IF(COUNTIFS(EntryDates,$B72,CalcTime,$C72,CalcBank,$C$5,EntryParty,$D72,EntryDep,$H72,EntryWit,$I72)&gt;1,"تکرار",""))</f>
        <v/>
      </c>
      <c r="N72" s="28">
        <f>IF($P72="","",IF(INDEX(EntryNotes,$P72)=0,"",INDEX(EntryNotes,$P72)))</f>
        <v/>
      </c>
      <c r="O72" s="28">
        <f>IF($P72="","",IF(INDEX(EntryTxnID,$P72)=0,"",INDEX(EntryTxnID,$P72)))</f>
        <v/>
      </c>
      <c r="P72" s="28">
        <f>IFERROR(MATCH($C$5&amp;"|"&amp;RIGHT("000000"&amp;56,6),CalcRankKey,0),"")</f>
        <v/>
      </c>
    </row>
    <row r="73">
      <c r="A73" s="26">
        <f>IF($B73="","",57)</f>
        <v/>
      </c>
      <c r="B73" s="26">
        <f>IF($P73="","",IF(INDEX(CalcNormDate,$P73)=0,"",INDEX(CalcNormDate,$P73)))</f>
        <v/>
      </c>
      <c r="C73" s="26">
        <f>IF($P73="","",IF(INDEX(CalcTime,$P73)=0,"",INDEX(CalcTime,$P73)))</f>
        <v/>
      </c>
      <c r="D73" s="26">
        <f>IF($P73="","",IF(INDEX(EntryParty,$P73)=0,"",INDEX(EntryParty,$P73)))</f>
        <v/>
      </c>
      <c r="E73" s="26">
        <f>IF($P73="","",IF(INDEX(EntryPartyName,$P73)=0,"",INDEX(EntryPartyName,$P73)))</f>
        <v/>
      </c>
      <c r="F73" s="26">
        <f>IF($P73="","",IF(INDEX(EntryPartyType,$P73)=0,"",INDEX(EntryPartyType,$P73)))</f>
        <v/>
      </c>
      <c r="G73" s="26">
        <f>IF($P73="","",IF(INDEX(EntryTxnType,$P73)=0,"",INDEX(EntryTxnType,$P73)))</f>
        <v/>
      </c>
      <c r="H73" s="27">
        <f>IF($P73="","",IF(INDEX(EntryDep,$P73)=0,"",INDEX(EntryDep,$P73)))</f>
        <v/>
      </c>
      <c r="I73" s="27">
        <f>IF($P73="","",IF(INDEX(EntryWit,$P73)=0,"",INDEX(EntryWit,$P73)))</f>
        <v/>
      </c>
      <c r="J73" s="27">
        <f>IF($B73="","",IF($A73=1,$C$7,IF(J72="",0,J72))+IF($H73="",0,$H73)-IF($I73="",0,$I73))</f>
        <v/>
      </c>
      <c r="K73" s="27">
        <f>IF($P73="","",IF(INDEX(EntryMan,$P73)=0,"",INDEX(EntryMan,$P73)))</f>
        <v/>
      </c>
      <c r="L73" s="26">
        <f>IF($B73="","",IF($K73="","—",IF(ROUND($K73-$J73,0)=0,"√","×")))</f>
        <v/>
      </c>
      <c r="M73" s="26">
        <f>IF($B73="","",IF(COUNTIFS(EntryDates,$B73,CalcTime,$C73,CalcBank,$C$5,EntryParty,$D73,EntryDep,$H73,EntryWit,$I73)&gt;1,"تکرار",""))</f>
        <v/>
      </c>
      <c r="N73" s="26">
        <f>IF($P73="","",IF(INDEX(EntryNotes,$P73)=0,"",INDEX(EntryNotes,$P73)))</f>
        <v/>
      </c>
      <c r="O73" s="26">
        <f>IF($P73="","",IF(INDEX(EntryTxnID,$P73)=0,"",INDEX(EntryTxnID,$P73)))</f>
        <v/>
      </c>
      <c r="P73" s="26">
        <f>IFERROR(MATCH($C$5&amp;"|"&amp;RIGHT("000000"&amp;57,6),CalcRankKey,0),"")</f>
        <v/>
      </c>
    </row>
    <row r="74">
      <c r="A74" s="28">
        <f>IF($B74="","",58)</f>
        <v/>
      </c>
      <c r="B74" s="28">
        <f>IF($P74="","",IF(INDEX(CalcNormDate,$P74)=0,"",INDEX(CalcNormDate,$P74)))</f>
        <v/>
      </c>
      <c r="C74" s="28">
        <f>IF($P74="","",IF(INDEX(CalcTime,$P74)=0,"",INDEX(CalcTime,$P74)))</f>
        <v/>
      </c>
      <c r="D74" s="28">
        <f>IF($P74="","",IF(INDEX(EntryParty,$P74)=0,"",INDEX(EntryParty,$P74)))</f>
        <v/>
      </c>
      <c r="E74" s="28">
        <f>IF($P74="","",IF(INDEX(EntryPartyName,$P74)=0,"",INDEX(EntryPartyName,$P74)))</f>
        <v/>
      </c>
      <c r="F74" s="28">
        <f>IF($P74="","",IF(INDEX(EntryPartyType,$P74)=0,"",INDEX(EntryPartyType,$P74)))</f>
        <v/>
      </c>
      <c r="G74" s="28">
        <f>IF($P74="","",IF(INDEX(EntryTxnType,$P74)=0,"",INDEX(EntryTxnType,$P74)))</f>
        <v/>
      </c>
      <c r="H74" s="29">
        <f>IF($P74="","",IF(INDEX(EntryDep,$P74)=0,"",INDEX(EntryDep,$P74)))</f>
        <v/>
      </c>
      <c r="I74" s="29">
        <f>IF($P74="","",IF(INDEX(EntryWit,$P74)=0,"",INDEX(EntryWit,$P74)))</f>
        <v/>
      </c>
      <c r="J74" s="29">
        <f>IF($B74="","",IF($A74=1,$C$7,IF(J73="",0,J73))+IF($H74="",0,$H74)-IF($I74="",0,$I74))</f>
        <v/>
      </c>
      <c r="K74" s="29">
        <f>IF($P74="","",IF(INDEX(EntryMan,$P74)=0,"",INDEX(EntryMan,$P74)))</f>
        <v/>
      </c>
      <c r="L74" s="28">
        <f>IF($B74="","",IF($K74="","—",IF(ROUND($K74-$J74,0)=0,"√","×")))</f>
        <v/>
      </c>
      <c r="M74" s="28">
        <f>IF($B74="","",IF(COUNTIFS(EntryDates,$B74,CalcTime,$C74,CalcBank,$C$5,EntryParty,$D74,EntryDep,$H74,EntryWit,$I74)&gt;1,"تکرار",""))</f>
        <v/>
      </c>
      <c r="N74" s="28">
        <f>IF($P74="","",IF(INDEX(EntryNotes,$P74)=0,"",INDEX(EntryNotes,$P74)))</f>
        <v/>
      </c>
      <c r="O74" s="28">
        <f>IF($P74="","",IF(INDEX(EntryTxnID,$P74)=0,"",INDEX(EntryTxnID,$P74)))</f>
        <v/>
      </c>
      <c r="P74" s="28">
        <f>IFERROR(MATCH($C$5&amp;"|"&amp;RIGHT("000000"&amp;58,6),CalcRankKey,0),"")</f>
        <v/>
      </c>
    </row>
    <row r="75">
      <c r="A75" s="26">
        <f>IF($B75="","",59)</f>
        <v/>
      </c>
      <c r="B75" s="26">
        <f>IF($P75="","",IF(INDEX(CalcNormDate,$P75)=0,"",INDEX(CalcNormDate,$P75)))</f>
        <v/>
      </c>
      <c r="C75" s="26">
        <f>IF($P75="","",IF(INDEX(CalcTime,$P75)=0,"",INDEX(CalcTime,$P75)))</f>
        <v/>
      </c>
      <c r="D75" s="26">
        <f>IF($P75="","",IF(INDEX(EntryParty,$P75)=0,"",INDEX(EntryParty,$P75)))</f>
        <v/>
      </c>
      <c r="E75" s="26">
        <f>IF($P75="","",IF(INDEX(EntryPartyName,$P75)=0,"",INDEX(EntryPartyName,$P75)))</f>
        <v/>
      </c>
      <c r="F75" s="26">
        <f>IF($P75="","",IF(INDEX(EntryPartyType,$P75)=0,"",INDEX(EntryPartyType,$P75)))</f>
        <v/>
      </c>
      <c r="G75" s="26">
        <f>IF($P75="","",IF(INDEX(EntryTxnType,$P75)=0,"",INDEX(EntryTxnType,$P75)))</f>
        <v/>
      </c>
      <c r="H75" s="27">
        <f>IF($P75="","",IF(INDEX(EntryDep,$P75)=0,"",INDEX(EntryDep,$P75)))</f>
        <v/>
      </c>
      <c r="I75" s="27">
        <f>IF($P75="","",IF(INDEX(EntryWit,$P75)=0,"",INDEX(EntryWit,$P75)))</f>
        <v/>
      </c>
      <c r="J75" s="27">
        <f>IF($B75="","",IF($A75=1,$C$7,IF(J74="",0,J74))+IF($H75="",0,$H75)-IF($I75="",0,$I75))</f>
        <v/>
      </c>
      <c r="K75" s="27">
        <f>IF($P75="","",IF(INDEX(EntryMan,$P75)=0,"",INDEX(EntryMan,$P75)))</f>
        <v/>
      </c>
      <c r="L75" s="26">
        <f>IF($B75="","",IF($K75="","—",IF(ROUND($K75-$J75,0)=0,"√","×")))</f>
        <v/>
      </c>
      <c r="M75" s="26">
        <f>IF($B75="","",IF(COUNTIFS(EntryDates,$B75,CalcTime,$C75,CalcBank,$C$5,EntryParty,$D75,EntryDep,$H75,EntryWit,$I75)&gt;1,"تکرار",""))</f>
        <v/>
      </c>
      <c r="N75" s="26">
        <f>IF($P75="","",IF(INDEX(EntryNotes,$P75)=0,"",INDEX(EntryNotes,$P75)))</f>
        <v/>
      </c>
      <c r="O75" s="26">
        <f>IF($P75="","",IF(INDEX(EntryTxnID,$P75)=0,"",INDEX(EntryTxnID,$P75)))</f>
        <v/>
      </c>
      <c r="P75" s="26">
        <f>IFERROR(MATCH($C$5&amp;"|"&amp;RIGHT("000000"&amp;59,6),CalcRankKey,0),"")</f>
        <v/>
      </c>
    </row>
    <row r="76">
      <c r="A76" s="28">
        <f>IF($B76="","",60)</f>
        <v/>
      </c>
      <c r="B76" s="28">
        <f>IF($P76="","",IF(INDEX(CalcNormDate,$P76)=0,"",INDEX(CalcNormDate,$P76)))</f>
        <v/>
      </c>
      <c r="C76" s="28">
        <f>IF($P76="","",IF(INDEX(CalcTime,$P76)=0,"",INDEX(CalcTime,$P76)))</f>
        <v/>
      </c>
      <c r="D76" s="28">
        <f>IF($P76="","",IF(INDEX(EntryParty,$P76)=0,"",INDEX(EntryParty,$P76)))</f>
        <v/>
      </c>
      <c r="E76" s="28">
        <f>IF($P76="","",IF(INDEX(EntryPartyName,$P76)=0,"",INDEX(EntryPartyName,$P76)))</f>
        <v/>
      </c>
      <c r="F76" s="28">
        <f>IF($P76="","",IF(INDEX(EntryPartyType,$P76)=0,"",INDEX(EntryPartyType,$P76)))</f>
        <v/>
      </c>
      <c r="G76" s="28">
        <f>IF($P76="","",IF(INDEX(EntryTxnType,$P76)=0,"",INDEX(EntryTxnType,$P76)))</f>
        <v/>
      </c>
      <c r="H76" s="29">
        <f>IF($P76="","",IF(INDEX(EntryDep,$P76)=0,"",INDEX(EntryDep,$P76)))</f>
        <v/>
      </c>
      <c r="I76" s="29">
        <f>IF($P76="","",IF(INDEX(EntryWit,$P76)=0,"",INDEX(EntryWit,$P76)))</f>
        <v/>
      </c>
      <c r="J76" s="29">
        <f>IF($B76="","",IF($A76=1,$C$7,IF(J75="",0,J75))+IF($H76="",0,$H76)-IF($I76="",0,$I76))</f>
        <v/>
      </c>
      <c r="K76" s="29">
        <f>IF($P76="","",IF(INDEX(EntryMan,$P76)=0,"",INDEX(EntryMan,$P76)))</f>
        <v/>
      </c>
      <c r="L76" s="28">
        <f>IF($B76="","",IF($K76="","—",IF(ROUND($K76-$J76,0)=0,"√","×")))</f>
        <v/>
      </c>
      <c r="M76" s="28">
        <f>IF($B76="","",IF(COUNTIFS(EntryDates,$B76,CalcTime,$C76,CalcBank,$C$5,EntryParty,$D76,EntryDep,$H76,EntryWit,$I76)&gt;1,"تکرار",""))</f>
        <v/>
      </c>
      <c r="N76" s="28">
        <f>IF($P76="","",IF(INDEX(EntryNotes,$P76)=0,"",INDEX(EntryNotes,$P76)))</f>
        <v/>
      </c>
      <c r="O76" s="28">
        <f>IF($P76="","",IF(INDEX(EntryTxnID,$P76)=0,"",INDEX(EntryTxnID,$P76)))</f>
        <v/>
      </c>
      <c r="P76" s="28">
        <f>IFERROR(MATCH($C$5&amp;"|"&amp;RIGHT("000000"&amp;60,6),CalcRankKey,0),"")</f>
        <v/>
      </c>
    </row>
    <row r="77">
      <c r="A77" s="26">
        <f>IF($B77="","",61)</f>
        <v/>
      </c>
      <c r="B77" s="26">
        <f>IF($P77="","",IF(INDEX(CalcNormDate,$P77)=0,"",INDEX(CalcNormDate,$P77)))</f>
        <v/>
      </c>
      <c r="C77" s="26">
        <f>IF($P77="","",IF(INDEX(CalcTime,$P77)=0,"",INDEX(CalcTime,$P77)))</f>
        <v/>
      </c>
      <c r="D77" s="26">
        <f>IF($P77="","",IF(INDEX(EntryParty,$P77)=0,"",INDEX(EntryParty,$P77)))</f>
        <v/>
      </c>
      <c r="E77" s="26">
        <f>IF($P77="","",IF(INDEX(EntryPartyName,$P77)=0,"",INDEX(EntryPartyName,$P77)))</f>
        <v/>
      </c>
      <c r="F77" s="26">
        <f>IF($P77="","",IF(INDEX(EntryPartyType,$P77)=0,"",INDEX(EntryPartyType,$P77)))</f>
        <v/>
      </c>
      <c r="G77" s="26">
        <f>IF($P77="","",IF(INDEX(EntryTxnType,$P77)=0,"",INDEX(EntryTxnType,$P77)))</f>
        <v/>
      </c>
      <c r="H77" s="27">
        <f>IF($P77="","",IF(INDEX(EntryDep,$P77)=0,"",INDEX(EntryDep,$P77)))</f>
        <v/>
      </c>
      <c r="I77" s="27">
        <f>IF($P77="","",IF(INDEX(EntryWit,$P77)=0,"",INDEX(EntryWit,$P77)))</f>
        <v/>
      </c>
      <c r="J77" s="27">
        <f>IF($B77="","",IF($A77=1,$C$7,IF(J76="",0,J76))+IF($H77="",0,$H77)-IF($I77="",0,$I77))</f>
        <v/>
      </c>
      <c r="K77" s="27">
        <f>IF($P77="","",IF(INDEX(EntryMan,$P77)=0,"",INDEX(EntryMan,$P77)))</f>
        <v/>
      </c>
      <c r="L77" s="26">
        <f>IF($B77="","",IF($K77="","—",IF(ROUND($K77-$J77,0)=0,"√","×")))</f>
        <v/>
      </c>
      <c r="M77" s="26">
        <f>IF($B77="","",IF(COUNTIFS(EntryDates,$B77,CalcTime,$C77,CalcBank,$C$5,EntryParty,$D77,EntryDep,$H77,EntryWit,$I77)&gt;1,"تکرار",""))</f>
        <v/>
      </c>
      <c r="N77" s="26">
        <f>IF($P77="","",IF(INDEX(EntryNotes,$P77)=0,"",INDEX(EntryNotes,$P77)))</f>
        <v/>
      </c>
      <c r="O77" s="26">
        <f>IF($P77="","",IF(INDEX(EntryTxnID,$P77)=0,"",INDEX(EntryTxnID,$P77)))</f>
        <v/>
      </c>
      <c r="P77" s="26">
        <f>IFERROR(MATCH($C$5&amp;"|"&amp;RIGHT("000000"&amp;61,6),CalcRankKey,0),"")</f>
        <v/>
      </c>
    </row>
    <row r="78">
      <c r="A78" s="28">
        <f>IF($B78="","",62)</f>
        <v/>
      </c>
      <c r="B78" s="28">
        <f>IF($P78="","",IF(INDEX(CalcNormDate,$P78)=0,"",INDEX(CalcNormDate,$P78)))</f>
        <v/>
      </c>
      <c r="C78" s="28">
        <f>IF($P78="","",IF(INDEX(CalcTime,$P78)=0,"",INDEX(CalcTime,$P78)))</f>
        <v/>
      </c>
      <c r="D78" s="28">
        <f>IF($P78="","",IF(INDEX(EntryParty,$P78)=0,"",INDEX(EntryParty,$P78)))</f>
        <v/>
      </c>
      <c r="E78" s="28">
        <f>IF($P78="","",IF(INDEX(EntryPartyName,$P78)=0,"",INDEX(EntryPartyName,$P78)))</f>
        <v/>
      </c>
      <c r="F78" s="28">
        <f>IF($P78="","",IF(INDEX(EntryPartyType,$P78)=0,"",INDEX(EntryPartyType,$P78)))</f>
        <v/>
      </c>
      <c r="G78" s="28">
        <f>IF($P78="","",IF(INDEX(EntryTxnType,$P78)=0,"",INDEX(EntryTxnType,$P78)))</f>
        <v/>
      </c>
      <c r="H78" s="29">
        <f>IF($P78="","",IF(INDEX(EntryDep,$P78)=0,"",INDEX(EntryDep,$P78)))</f>
        <v/>
      </c>
      <c r="I78" s="29">
        <f>IF($P78="","",IF(INDEX(EntryWit,$P78)=0,"",INDEX(EntryWit,$P78)))</f>
        <v/>
      </c>
      <c r="J78" s="29">
        <f>IF($B78="","",IF($A78=1,$C$7,IF(J77="",0,J77))+IF($H78="",0,$H78)-IF($I78="",0,$I78))</f>
        <v/>
      </c>
      <c r="K78" s="29">
        <f>IF($P78="","",IF(INDEX(EntryMan,$P78)=0,"",INDEX(EntryMan,$P78)))</f>
        <v/>
      </c>
      <c r="L78" s="28">
        <f>IF($B78="","",IF($K78="","—",IF(ROUND($K78-$J78,0)=0,"√","×")))</f>
        <v/>
      </c>
      <c r="M78" s="28">
        <f>IF($B78="","",IF(COUNTIFS(EntryDates,$B78,CalcTime,$C78,CalcBank,$C$5,EntryParty,$D78,EntryDep,$H78,EntryWit,$I78)&gt;1,"تکرار",""))</f>
        <v/>
      </c>
      <c r="N78" s="28">
        <f>IF($P78="","",IF(INDEX(EntryNotes,$P78)=0,"",INDEX(EntryNotes,$P78)))</f>
        <v/>
      </c>
      <c r="O78" s="28">
        <f>IF($P78="","",IF(INDEX(EntryTxnID,$P78)=0,"",INDEX(EntryTxnID,$P78)))</f>
        <v/>
      </c>
      <c r="P78" s="28">
        <f>IFERROR(MATCH($C$5&amp;"|"&amp;RIGHT("000000"&amp;62,6),CalcRankKey,0),"")</f>
        <v/>
      </c>
    </row>
    <row r="79">
      <c r="A79" s="26">
        <f>IF($B79="","",63)</f>
        <v/>
      </c>
      <c r="B79" s="26">
        <f>IF($P79="","",IF(INDEX(CalcNormDate,$P79)=0,"",INDEX(CalcNormDate,$P79)))</f>
        <v/>
      </c>
      <c r="C79" s="26">
        <f>IF($P79="","",IF(INDEX(CalcTime,$P79)=0,"",INDEX(CalcTime,$P79)))</f>
        <v/>
      </c>
      <c r="D79" s="26">
        <f>IF($P79="","",IF(INDEX(EntryParty,$P79)=0,"",INDEX(EntryParty,$P79)))</f>
        <v/>
      </c>
      <c r="E79" s="26">
        <f>IF($P79="","",IF(INDEX(EntryPartyName,$P79)=0,"",INDEX(EntryPartyName,$P79)))</f>
        <v/>
      </c>
      <c r="F79" s="26">
        <f>IF($P79="","",IF(INDEX(EntryPartyType,$P79)=0,"",INDEX(EntryPartyType,$P79)))</f>
        <v/>
      </c>
      <c r="G79" s="26">
        <f>IF($P79="","",IF(INDEX(EntryTxnType,$P79)=0,"",INDEX(EntryTxnType,$P79)))</f>
        <v/>
      </c>
      <c r="H79" s="27">
        <f>IF($P79="","",IF(INDEX(EntryDep,$P79)=0,"",INDEX(EntryDep,$P79)))</f>
        <v/>
      </c>
      <c r="I79" s="27">
        <f>IF($P79="","",IF(INDEX(EntryWit,$P79)=0,"",INDEX(EntryWit,$P79)))</f>
        <v/>
      </c>
      <c r="J79" s="27">
        <f>IF($B79="","",IF($A79=1,$C$7,IF(J78="",0,J78))+IF($H79="",0,$H79)-IF($I79="",0,$I79))</f>
        <v/>
      </c>
      <c r="K79" s="27">
        <f>IF($P79="","",IF(INDEX(EntryMan,$P79)=0,"",INDEX(EntryMan,$P79)))</f>
        <v/>
      </c>
      <c r="L79" s="26">
        <f>IF($B79="","",IF($K79="","—",IF(ROUND($K79-$J79,0)=0,"√","×")))</f>
        <v/>
      </c>
      <c r="M79" s="26">
        <f>IF($B79="","",IF(COUNTIFS(EntryDates,$B79,CalcTime,$C79,CalcBank,$C$5,EntryParty,$D79,EntryDep,$H79,EntryWit,$I79)&gt;1,"تکرار",""))</f>
        <v/>
      </c>
      <c r="N79" s="26">
        <f>IF($P79="","",IF(INDEX(EntryNotes,$P79)=0,"",INDEX(EntryNotes,$P79)))</f>
        <v/>
      </c>
      <c r="O79" s="26">
        <f>IF($P79="","",IF(INDEX(EntryTxnID,$P79)=0,"",INDEX(EntryTxnID,$P79)))</f>
        <v/>
      </c>
      <c r="P79" s="26">
        <f>IFERROR(MATCH($C$5&amp;"|"&amp;RIGHT("000000"&amp;63,6),CalcRankKey,0),"")</f>
        <v/>
      </c>
    </row>
    <row r="80">
      <c r="A80" s="28">
        <f>IF($B80="","",64)</f>
        <v/>
      </c>
      <c r="B80" s="28">
        <f>IF($P80="","",IF(INDEX(CalcNormDate,$P80)=0,"",INDEX(CalcNormDate,$P80)))</f>
        <v/>
      </c>
      <c r="C80" s="28">
        <f>IF($P80="","",IF(INDEX(CalcTime,$P80)=0,"",INDEX(CalcTime,$P80)))</f>
        <v/>
      </c>
      <c r="D80" s="28">
        <f>IF($P80="","",IF(INDEX(EntryParty,$P80)=0,"",INDEX(EntryParty,$P80)))</f>
        <v/>
      </c>
      <c r="E80" s="28">
        <f>IF($P80="","",IF(INDEX(EntryPartyName,$P80)=0,"",INDEX(EntryPartyName,$P80)))</f>
        <v/>
      </c>
      <c r="F80" s="28">
        <f>IF($P80="","",IF(INDEX(EntryPartyType,$P80)=0,"",INDEX(EntryPartyType,$P80)))</f>
        <v/>
      </c>
      <c r="G80" s="28">
        <f>IF($P80="","",IF(INDEX(EntryTxnType,$P80)=0,"",INDEX(EntryTxnType,$P80)))</f>
        <v/>
      </c>
      <c r="H80" s="29">
        <f>IF($P80="","",IF(INDEX(EntryDep,$P80)=0,"",INDEX(EntryDep,$P80)))</f>
        <v/>
      </c>
      <c r="I80" s="29">
        <f>IF($P80="","",IF(INDEX(EntryWit,$P80)=0,"",INDEX(EntryWit,$P80)))</f>
        <v/>
      </c>
      <c r="J80" s="29">
        <f>IF($B80="","",IF($A80=1,$C$7,IF(J79="",0,J79))+IF($H80="",0,$H80)-IF($I80="",0,$I80))</f>
        <v/>
      </c>
      <c r="K80" s="29">
        <f>IF($P80="","",IF(INDEX(EntryMan,$P80)=0,"",INDEX(EntryMan,$P80)))</f>
        <v/>
      </c>
      <c r="L80" s="28">
        <f>IF($B80="","",IF($K80="","—",IF(ROUND($K80-$J80,0)=0,"√","×")))</f>
        <v/>
      </c>
      <c r="M80" s="28">
        <f>IF($B80="","",IF(COUNTIFS(EntryDates,$B80,CalcTime,$C80,CalcBank,$C$5,EntryParty,$D80,EntryDep,$H80,EntryWit,$I80)&gt;1,"تکرار",""))</f>
        <v/>
      </c>
      <c r="N80" s="28">
        <f>IF($P80="","",IF(INDEX(EntryNotes,$P80)=0,"",INDEX(EntryNotes,$P80)))</f>
        <v/>
      </c>
      <c r="O80" s="28">
        <f>IF($P80="","",IF(INDEX(EntryTxnID,$P80)=0,"",INDEX(EntryTxnID,$P80)))</f>
        <v/>
      </c>
      <c r="P80" s="28">
        <f>IFERROR(MATCH($C$5&amp;"|"&amp;RIGHT("000000"&amp;64,6),CalcRankKey,0),"")</f>
        <v/>
      </c>
    </row>
    <row r="81">
      <c r="A81" s="26">
        <f>IF($B81="","",65)</f>
        <v/>
      </c>
      <c r="B81" s="26">
        <f>IF($P81="","",IF(INDEX(CalcNormDate,$P81)=0,"",INDEX(CalcNormDate,$P81)))</f>
        <v/>
      </c>
      <c r="C81" s="26">
        <f>IF($P81="","",IF(INDEX(CalcTime,$P81)=0,"",INDEX(CalcTime,$P81)))</f>
        <v/>
      </c>
      <c r="D81" s="26">
        <f>IF($P81="","",IF(INDEX(EntryParty,$P81)=0,"",INDEX(EntryParty,$P81)))</f>
        <v/>
      </c>
      <c r="E81" s="26">
        <f>IF($P81="","",IF(INDEX(EntryPartyName,$P81)=0,"",INDEX(EntryPartyName,$P81)))</f>
        <v/>
      </c>
      <c r="F81" s="26">
        <f>IF($P81="","",IF(INDEX(EntryPartyType,$P81)=0,"",INDEX(EntryPartyType,$P81)))</f>
        <v/>
      </c>
      <c r="G81" s="26">
        <f>IF($P81="","",IF(INDEX(EntryTxnType,$P81)=0,"",INDEX(EntryTxnType,$P81)))</f>
        <v/>
      </c>
      <c r="H81" s="27">
        <f>IF($P81="","",IF(INDEX(EntryDep,$P81)=0,"",INDEX(EntryDep,$P81)))</f>
        <v/>
      </c>
      <c r="I81" s="27">
        <f>IF($P81="","",IF(INDEX(EntryWit,$P81)=0,"",INDEX(EntryWit,$P81)))</f>
        <v/>
      </c>
      <c r="J81" s="27">
        <f>IF($B81="","",IF($A81=1,$C$7,IF(J80="",0,J80))+IF($H81="",0,$H81)-IF($I81="",0,$I81))</f>
        <v/>
      </c>
      <c r="K81" s="27">
        <f>IF($P81="","",IF(INDEX(EntryMan,$P81)=0,"",INDEX(EntryMan,$P81)))</f>
        <v/>
      </c>
      <c r="L81" s="26">
        <f>IF($B81="","",IF($K81="","—",IF(ROUND($K81-$J81,0)=0,"√","×")))</f>
        <v/>
      </c>
      <c r="M81" s="26">
        <f>IF($B81="","",IF(COUNTIFS(EntryDates,$B81,CalcTime,$C81,CalcBank,$C$5,EntryParty,$D81,EntryDep,$H81,EntryWit,$I81)&gt;1,"تکرار",""))</f>
        <v/>
      </c>
      <c r="N81" s="26">
        <f>IF($P81="","",IF(INDEX(EntryNotes,$P81)=0,"",INDEX(EntryNotes,$P81)))</f>
        <v/>
      </c>
      <c r="O81" s="26">
        <f>IF($P81="","",IF(INDEX(EntryTxnID,$P81)=0,"",INDEX(EntryTxnID,$P81)))</f>
        <v/>
      </c>
      <c r="P81" s="26">
        <f>IFERROR(MATCH($C$5&amp;"|"&amp;RIGHT("000000"&amp;65,6),CalcRankKey,0),"")</f>
        <v/>
      </c>
    </row>
    <row r="82">
      <c r="A82" s="28">
        <f>IF($B82="","",66)</f>
        <v/>
      </c>
      <c r="B82" s="28">
        <f>IF($P82="","",IF(INDEX(CalcNormDate,$P82)=0,"",INDEX(CalcNormDate,$P82)))</f>
        <v/>
      </c>
      <c r="C82" s="28">
        <f>IF($P82="","",IF(INDEX(CalcTime,$P82)=0,"",INDEX(CalcTime,$P82)))</f>
        <v/>
      </c>
      <c r="D82" s="28">
        <f>IF($P82="","",IF(INDEX(EntryParty,$P82)=0,"",INDEX(EntryParty,$P82)))</f>
        <v/>
      </c>
      <c r="E82" s="28">
        <f>IF($P82="","",IF(INDEX(EntryPartyName,$P82)=0,"",INDEX(EntryPartyName,$P82)))</f>
        <v/>
      </c>
      <c r="F82" s="28">
        <f>IF($P82="","",IF(INDEX(EntryPartyType,$P82)=0,"",INDEX(EntryPartyType,$P82)))</f>
        <v/>
      </c>
      <c r="G82" s="28">
        <f>IF($P82="","",IF(INDEX(EntryTxnType,$P82)=0,"",INDEX(EntryTxnType,$P82)))</f>
        <v/>
      </c>
      <c r="H82" s="29">
        <f>IF($P82="","",IF(INDEX(EntryDep,$P82)=0,"",INDEX(EntryDep,$P82)))</f>
        <v/>
      </c>
      <c r="I82" s="29">
        <f>IF($P82="","",IF(INDEX(EntryWit,$P82)=0,"",INDEX(EntryWit,$P82)))</f>
        <v/>
      </c>
      <c r="J82" s="29">
        <f>IF($B82="","",IF($A82=1,$C$7,IF(J81="",0,J81))+IF($H82="",0,$H82)-IF($I82="",0,$I82))</f>
        <v/>
      </c>
      <c r="K82" s="29">
        <f>IF($P82="","",IF(INDEX(EntryMan,$P82)=0,"",INDEX(EntryMan,$P82)))</f>
        <v/>
      </c>
      <c r="L82" s="28">
        <f>IF($B82="","",IF($K82="","—",IF(ROUND($K82-$J82,0)=0,"√","×")))</f>
        <v/>
      </c>
      <c r="M82" s="28">
        <f>IF($B82="","",IF(COUNTIFS(EntryDates,$B82,CalcTime,$C82,CalcBank,$C$5,EntryParty,$D82,EntryDep,$H82,EntryWit,$I82)&gt;1,"تکرار",""))</f>
        <v/>
      </c>
      <c r="N82" s="28">
        <f>IF($P82="","",IF(INDEX(EntryNotes,$P82)=0,"",INDEX(EntryNotes,$P82)))</f>
        <v/>
      </c>
      <c r="O82" s="28">
        <f>IF($P82="","",IF(INDEX(EntryTxnID,$P82)=0,"",INDEX(EntryTxnID,$P82)))</f>
        <v/>
      </c>
      <c r="P82" s="28">
        <f>IFERROR(MATCH($C$5&amp;"|"&amp;RIGHT("000000"&amp;66,6),CalcRankKey,0),"")</f>
        <v/>
      </c>
    </row>
    <row r="83">
      <c r="A83" s="26">
        <f>IF($B83="","",67)</f>
        <v/>
      </c>
      <c r="B83" s="26">
        <f>IF($P83="","",IF(INDEX(CalcNormDate,$P83)=0,"",INDEX(CalcNormDate,$P83)))</f>
        <v/>
      </c>
      <c r="C83" s="26">
        <f>IF($P83="","",IF(INDEX(CalcTime,$P83)=0,"",INDEX(CalcTime,$P83)))</f>
        <v/>
      </c>
      <c r="D83" s="26">
        <f>IF($P83="","",IF(INDEX(EntryParty,$P83)=0,"",INDEX(EntryParty,$P83)))</f>
        <v/>
      </c>
      <c r="E83" s="26">
        <f>IF($P83="","",IF(INDEX(EntryPartyName,$P83)=0,"",INDEX(EntryPartyName,$P83)))</f>
        <v/>
      </c>
      <c r="F83" s="26">
        <f>IF($P83="","",IF(INDEX(EntryPartyType,$P83)=0,"",INDEX(EntryPartyType,$P83)))</f>
        <v/>
      </c>
      <c r="G83" s="26">
        <f>IF($P83="","",IF(INDEX(EntryTxnType,$P83)=0,"",INDEX(EntryTxnType,$P83)))</f>
        <v/>
      </c>
      <c r="H83" s="27">
        <f>IF($P83="","",IF(INDEX(EntryDep,$P83)=0,"",INDEX(EntryDep,$P83)))</f>
        <v/>
      </c>
      <c r="I83" s="27">
        <f>IF($P83="","",IF(INDEX(EntryWit,$P83)=0,"",INDEX(EntryWit,$P83)))</f>
        <v/>
      </c>
      <c r="J83" s="27">
        <f>IF($B83="","",IF($A83=1,$C$7,IF(J82="",0,J82))+IF($H83="",0,$H83)-IF($I83="",0,$I83))</f>
        <v/>
      </c>
      <c r="K83" s="27">
        <f>IF($P83="","",IF(INDEX(EntryMan,$P83)=0,"",INDEX(EntryMan,$P83)))</f>
        <v/>
      </c>
      <c r="L83" s="26">
        <f>IF($B83="","",IF($K83="","—",IF(ROUND($K83-$J83,0)=0,"√","×")))</f>
        <v/>
      </c>
      <c r="M83" s="26">
        <f>IF($B83="","",IF(COUNTIFS(EntryDates,$B83,CalcTime,$C83,CalcBank,$C$5,EntryParty,$D83,EntryDep,$H83,EntryWit,$I83)&gt;1,"تکرار",""))</f>
        <v/>
      </c>
      <c r="N83" s="26">
        <f>IF($P83="","",IF(INDEX(EntryNotes,$P83)=0,"",INDEX(EntryNotes,$P83)))</f>
        <v/>
      </c>
      <c r="O83" s="26">
        <f>IF($P83="","",IF(INDEX(EntryTxnID,$P83)=0,"",INDEX(EntryTxnID,$P83)))</f>
        <v/>
      </c>
      <c r="P83" s="26">
        <f>IFERROR(MATCH($C$5&amp;"|"&amp;RIGHT("000000"&amp;67,6),CalcRankKey,0),"")</f>
        <v/>
      </c>
    </row>
    <row r="84">
      <c r="A84" s="28">
        <f>IF($B84="","",68)</f>
        <v/>
      </c>
      <c r="B84" s="28">
        <f>IF($P84="","",IF(INDEX(CalcNormDate,$P84)=0,"",INDEX(CalcNormDate,$P84)))</f>
        <v/>
      </c>
      <c r="C84" s="28">
        <f>IF($P84="","",IF(INDEX(CalcTime,$P84)=0,"",INDEX(CalcTime,$P84)))</f>
        <v/>
      </c>
      <c r="D84" s="28">
        <f>IF($P84="","",IF(INDEX(EntryParty,$P84)=0,"",INDEX(EntryParty,$P84)))</f>
        <v/>
      </c>
      <c r="E84" s="28">
        <f>IF($P84="","",IF(INDEX(EntryPartyName,$P84)=0,"",INDEX(EntryPartyName,$P84)))</f>
        <v/>
      </c>
      <c r="F84" s="28">
        <f>IF($P84="","",IF(INDEX(EntryPartyType,$P84)=0,"",INDEX(EntryPartyType,$P84)))</f>
        <v/>
      </c>
      <c r="G84" s="28">
        <f>IF($P84="","",IF(INDEX(EntryTxnType,$P84)=0,"",INDEX(EntryTxnType,$P84)))</f>
        <v/>
      </c>
      <c r="H84" s="29">
        <f>IF($P84="","",IF(INDEX(EntryDep,$P84)=0,"",INDEX(EntryDep,$P84)))</f>
        <v/>
      </c>
      <c r="I84" s="29">
        <f>IF($P84="","",IF(INDEX(EntryWit,$P84)=0,"",INDEX(EntryWit,$P84)))</f>
        <v/>
      </c>
      <c r="J84" s="29">
        <f>IF($B84="","",IF($A84=1,$C$7,IF(J83="",0,J83))+IF($H84="",0,$H84)-IF($I84="",0,$I84))</f>
        <v/>
      </c>
      <c r="K84" s="29">
        <f>IF($P84="","",IF(INDEX(EntryMan,$P84)=0,"",INDEX(EntryMan,$P84)))</f>
        <v/>
      </c>
      <c r="L84" s="28">
        <f>IF($B84="","",IF($K84="","—",IF(ROUND($K84-$J84,0)=0,"√","×")))</f>
        <v/>
      </c>
      <c r="M84" s="28">
        <f>IF($B84="","",IF(COUNTIFS(EntryDates,$B84,CalcTime,$C84,CalcBank,$C$5,EntryParty,$D84,EntryDep,$H84,EntryWit,$I84)&gt;1,"تکرار",""))</f>
        <v/>
      </c>
      <c r="N84" s="28">
        <f>IF($P84="","",IF(INDEX(EntryNotes,$P84)=0,"",INDEX(EntryNotes,$P84)))</f>
        <v/>
      </c>
      <c r="O84" s="28">
        <f>IF($P84="","",IF(INDEX(EntryTxnID,$P84)=0,"",INDEX(EntryTxnID,$P84)))</f>
        <v/>
      </c>
      <c r="P84" s="28">
        <f>IFERROR(MATCH($C$5&amp;"|"&amp;RIGHT("000000"&amp;68,6),CalcRankKey,0),"")</f>
        <v/>
      </c>
    </row>
    <row r="85">
      <c r="A85" s="26">
        <f>IF($B85="","",69)</f>
        <v/>
      </c>
      <c r="B85" s="26">
        <f>IF($P85="","",IF(INDEX(CalcNormDate,$P85)=0,"",INDEX(CalcNormDate,$P85)))</f>
        <v/>
      </c>
      <c r="C85" s="26">
        <f>IF($P85="","",IF(INDEX(CalcTime,$P85)=0,"",INDEX(CalcTime,$P85)))</f>
        <v/>
      </c>
      <c r="D85" s="26">
        <f>IF($P85="","",IF(INDEX(EntryParty,$P85)=0,"",INDEX(EntryParty,$P85)))</f>
        <v/>
      </c>
      <c r="E85" s="26">
        <f>IF($P85="","",IF(INDEX(EntryPartyName,$P85)=0,"",INDEX(EntryPartyName,$P85)))</f>
        <v/>
      </c>
      <c r="F85" s="26">
        <f>IF($P85="","",IF(INDEX(EntryPartyType,$P85)=0,"",INDEX(EntryPartyType,$P85)))</f>
        <v/>
      </c>
      <c r="G85" s="26">
        <f>IF($P85="","",IF(INDEX(EntryTxnType,$P85)=0,"",INDEX(EntryTxnType,$P85)))</f>
        <v/>
      </c>
      <c r="H85" s="27">
        <f>IF($P85="","",IF(INDEX(EntryDep,$P85)=0,"",INDEX(EntryDep,$P85)))</f>
        <v/>
      </c>
      <c r="I85" s="27">
        <f>IF($P85="","",IF(INDEX(EntryWit,$P85)=0,"",INDEX(EntryWit,$P85)))</f>
        <v/>
      </c>
      <c r="J85" s="27">
        <f>IF($B85="","",IF($A85=1,$C$7,IF(J84="",0,J84))+IF($H85="",0,$H85)-IF($I85="",0,$I85))</f>
        <v/>
      </c>
      <c r="K85" s="27">
        <f>IF($P85="","",IF(INDEX(EntryMan,$P85)=0,"",INDEX(EntryMan,$P85)))</f>
        <v/>
      </c>
      <c r="L85" s="26">
        <f>IF($B85="","",IF($K85="","—",IF(ROUND($K85-$J85,0)=0,"√","×")))</f>
        <v/>
      </c>
      <c r="M85" s="26">
        <f>IF($B85="","",IF(COUNTIFS(EntryDates,$B85,CalcTime,$C85,CalcBank,$C$5,EntryParty,$D85,EntryDep,$H85,EntryWit,$I85)&gt;1,"تکرار",""))</f>
        <v/>
      </c>
      <c r="N85" s="26">
        <f>IF($P85="","",IF(INDEX(EntryNotes,$P85)=0,"",INDEX(EntryNotes,$P85)))</f>
        <v/>
      </c>
      <c r="O85" s="26">
        <f>IF($P85="","",IF(INDEX(EntryTxnID,$P85)=0,"",INDEX(EntryTxnID,$P85)))</f>
        <v/>
      </c>
      <c r="P85" s="26">
        <f>IFERROR(MATCH($C$5&amp;"|"&amp;RIGHT("000000"&amp;69,6),CalcRankKey,0),"")</f>
        <v/>
      </c>
    </row>
    <row r="86">
      <c r="A86" s="28">
        <f>IF($B86="","",70)</f>
        <v/>
      </c>
      <c r="B86" s="28">
        <f>IF($P86="","",IF(INDEX(CalcNormDate,$P86)=0,"",INDEX(CalcNormDate,$P86)))</f>
        <v/>
      </c>
      <c r="C86" s="28">
        <f>IF($P86="","",IF(INDEX(CalcTime,$P86)=0,"",INDEX(CalcTime,$P86)))</f>
        <v/>
      </c>
      <c r="D86" s="28">
        <f>IF($P86="","",IF(INDEX(EntryParty,$P86)=0,"",INDEX(EntryParty,$P86)))</f>
        <v/>
      </c>
      <c r="E86" s="28">
        <f>IF($P86="","",IF(INDEX(EntryPartyName,$P86)=0,"",INDEX(EntryPartyName,$P86)))</f>
        <v/>
      </c>
      <c r="F86" s="28">
        <f>IF($P86="","",IF(INDEX(EntryPartyType,$P86)=0,"",INDEX(EntryPartyType,$P86)))</f>
        <v/>
      </c>
      <c r="G86" s="28">
        <f>IF($P86="","",IF(INDEX(EntryTxnType,$P86)=0,"",INDEX(EntryTxnType,$P86)))</f>
        <v/>
      </c>
      <c r="H86" s="29">
        <f>IF($P86="","",IF(INDEX(EntryDep,$P86)=0,"",INDEX(EntryDep,$P86)))</f>
        <v/>
      </c>
      <c r="I86" s="29">
        <f>IF($P86="","",IF(INDEX(EntryWit,$P86)=0,"",INDEX(EntryWit,$P86)))</f>
        <v/>
      </c>
      <c r="J86" s="29">
        <f>IF($B86="","",IF($A86=1,$C$7,IF(J85="",0,J85))+IF($H86="",0,$H86)-IF($I86="",0,$I86))</f>
        <v/>
      </c>
      <c r="K86" s="29">
        <f>IF($P86="","",IF(INDEX(EntryMan,$P86)=0,"",INDEX(EntryMan,$P86)))</f>
        <v/>
      </c>
      <c r="L86" s="28">
        <f>IF($B86="","",IF($K86="","—",IF(ROUND($K86-$J86,0)=0,"√","×")))</f>
        <v/>
      </c>
      <c r="M86" s="28">
        <f>IF($B86="","",IF(COUNTIFS(EntryDates,$B86,CalcTime,$C86,CalcBank,$C$5,EntryParty,$D86,EntryDep,$H86,EntryWit,$I86)&gt;1,"تکرار",""))</f>
        <v/>
      </c>
      <c r="N86" s="28">
        <f>IF($P86="","",IF(INDEX(EntryNotes,$P86)=0,"",INDEX(EntryNotes,$P86)))</f>
        <v/>
      </c>
      <c r="O86" s="28">
        <f>IF($P86="","",IF(INDEX(EntryTxnID,$P86)=0,"",INDEX(EntryTxnID,$P86)))</f>
        <v/>
      </c>
      <c r="P86" s="28">
        <f>IFERROR(MATCH($C$5&amp;"|"&amp;RIGHT("000000"&amp;70,6),CalcRankKey,0),"")</f>
        <v/>
      </c>
    </row>
    <row r="87">
      <c r="A87" s="26">
        <f>IF($B87="","",71)</f>
        <v/>
      </c>
      <c r="B87" s="26">
        <f>IF($P87="","",IF(INDEX(CalcNormDate,$P87)=0,"",INDEX(CalcNormDate,$P87)))</f>
        <v/>
      </c>
      <c r="C87" s="26">
        <f>IF($P87="","",IF(INDEX(CalcTime,$P87)=0,"",INDEX(CalcTime,$P87)))</f>
        <v/>
      </c>
      <c r="D87" s="26">
        <f>IF($P87="","",IF(INDEX(EntryParty,$P87)=0,"",INDEX(EntryParty,$P87)))</f>
        <v/>
      </c>
      <c r="E87" s="26">
        <f>IF($P87="","",IF(INDEX(EntryPartyName,$P87)=0,"",INDEX(EntryPartyName,$P87)))</f>
        <v/>
      </c>
      <c r="F87" s="26">
        <f>IF($P87="","",IF(INDEX(EntryPartyType,$P87)=0,"",INDEX(EntryPartyType,$P87)))</f>
        <v/>
      </c>
      <c r="G87" s="26">
        <f>IF($P87="","",IF(INDEX(EntryTxnType,$P87)=0,"",INDEX(EntryTxnType,$P87)))</f>
        <v/>
      </c>
      <c r="H87" s="27">
        <f>IF($P87="","",IF(INDEX(EntryDep,$P87)=0,"",INDEX(EntryDep,$P87)))</f>
        <v/>
      </c>
      <c r="I87" s="27">
        <f>IF($P87="","",IF(INDEX(EntryWit,$P87)=0,"",INDEX(EntryWit,$P87)))</f>
        <v/>
      </c>
      <c r="J87" s="27">
        <f>IF($B87="","",IF($A87=1,$C$7,IF(J86="",0,J86))+IF($H87="",0,$H87)-IF($I87="",0,$I87))</f>
        <v/>
      </c>
      <c r="K87" s="27">
        <f>IF($P87="","",IF(INDEX(EntryMan,$P87)=0,"",INDEX(EntryMan,$P87)))</f>
        <v/>
      </c>
      <c r="L87" s="26">
        <f>IF($B87="","",IF($K87="","—",IF(ROUND($K87-$J87,0)=0,"√","×")))</f>
        <v/>
      </c>
      <c r="M87" s="26">
        <f>IF($B87="","",IF(COUNTIFS(EntryDates,$B87,CalcTime,$C87,CalcBank,$C$5,EntryParty,$D87,EntryDep,$H87,EntryWit,$I87)&gt;1,"تکرار",""))</f>
        <v/>
      </c>
      <c r="N87" s="26">
        <f>IF($P87="","",IF(INDEX(EntryNotes,$P87)=0,"",INDEX(EntryNotes,$P87)))</f>
        <v/>
      </c>
      <c r="O87" s="26">
        <f>IF($P87="","",IF(INDEX(EntryTxnID,$P87)=0,"",INDEX(EntryTxnID,$P87)))</f>
        <v/>
      </c>
      <c r="P87" s="26">
        <f>IFERROR(MATCH($C$5&amp;"|"&amp;RIGHT("000000"&amp;71,6),CalcRankKey,0),"")</f>
        <v/>
      </c>
    </row>
    <row r="88">
      <c r="A88" s="28">
        <f>IF($B88="","",72)</f>
        <v/>
      </c>
      <c r="B88" s="28">
        <f>IF($P88="","",IF(INDEX(CalcNormDate,$P88)=0,"",INDEX(CalcNormDate,$P88)))</f>
        <v/>
      </c>
      <c r="C88" s="28">
        <f>IF($P88="","",IF(INDEX(CalcTime,$P88)=0,"",INDEX(CalcTime,$P88)))</f>
        <v/>
      </c>
      <c r="D88" s="28">
        <f>IF($P88="","",IF(INDEX(EntryParty,$P88)=0,"",INDEX(EntryParty,$P88)))</f>
        <v/>
      </c>
      <c r="E88" s="28">
        <f>IF($P88="","",IF(INDEX(EntryPartyName,$P88)=0,"",INDEX(EntryPartyName,$P88)))</f>
        <v/>
      </c>
      <c r="F88" s="28">
        <f>IF($P88="","",IF(INDEX(EntryPartyType,$P88)=0,"",INDEX(EntryPartyType,$P88)))</f>
        <v/>
      </c>
      <c r="G88" s="28">
        <f>IF($P88="","",IF(INDEX(EntryTxnType,$P88)=0,"",INDEX(EntryTxnType,$P88)))</f>
        <v/>
      </c>
      <c r="H88" s="29">
        <f>IF($P88="","",IF(INDEX(EntryDep,$P88)=0,"",INDEX(EntryDep,$P88)))</f>
        <v/>
      </c>
      <c r="I88" s="29">
        <f>IF($P88="","",IF(INDEX(EntryWit,$P88)=0,"",INDEX(EntryWit,$P88)))</f>
        <v/>
      </c>
      <c r="J88" s="29">
        <f>IF($B88="","",IF($A88=1,$C$7,IF(J87="",0,J87))+IF($H88="",0,$H88)-IF($I88="",0,$I88))</f>
        <v/>
      </c>
      <c r="K88" s="29">
        <f>IF($P88="","",IF(INDEX(EntryMan,$P88)=0,"",INDEX(EntryMan,$P88)))</f>
        <v/>
      </c>
      <c r="L88" s="28">
        <f>IF($B88="","",IF($K88="","—",IF(ROUND($K88-$J88,0)=0,"√","×")))</f>
        <v/>
      </c>
      <c r="M88" s="28">
        <f>IF($B88="","",IF(COUNTIFS(EntryDates,$B88,CalcTime,$C88,CalcBank,$C$5,EntryParty,$D88,EntryDep,$H88,EntryWit,$I88)&gt;1,"تکرار",""))</f>
        <v/>
      </c>
      <c r="N88" s="28">
        <f>IF($P88="","",IF(INDEX(EntryNotes,$P88)=0,"",INDEX(EntryNotes,$P88)))</f>
        <v/>
      </c>
      <c r="O88" s="28">
        <f>IF($P88="","",IF(INDEX(EntryTxnID,$P88)=0,"",INDEX(EntryTxnID,$P88)))</f>
        <v/>
      </c>
      <c r="P88" s="28">
        <f>IFERROR(MATCH($C$5&amp;"|"&amp;RIGHT("000000"&amp;72,6),CalcRankKey,0),"")</f>
        <v/>
      </c>
    </row>
    <row r="89">
      <c r="A89" s="26">
        <f>IF($B89="","",73)</f>
        <v/>
      </c>
      <c r="B89" s="26">
        <f>IF($P89="","",IF(INDEX(CalcNormDate,$P89)=0,"",INDEX(CalcNormDate,$P89)))</f>
        <v/>
      </c>
      <c r="C89" s="26">
        <f>IF($P89="","",IF(INDEX(CalcTime,$P89)=0,"",INDEX(CalcTime,$P89)))</f>
        <v/>
      </c>
      <c r="D89" s="26">
        <f>IF($P89="","",IF(INDEX(EntryParty,$P89)=0,"",INDEX(EntryParty,$P89)))</f>
        <v/>
      </c>
      <c r="E89" s="26">
        <f>IF($P89="","",IF(INDEX(EntryPartyName,$P89)=0,"",INDEX(EntryPartyName,$P89)))</f>
        <v/>
      </c>
      <c r="F89" s="26">
        <f>IF($P89="","",IF(INDEX(EntryPartyType,$P89)=0,"",INDEX(EntryPartyType,$P89)))</f>
        <v/>
      </c>
      <c r="G89" s="26">
        <f>IF($P89="","",IF(INDEX(EntryTxnType,$P89)=0,"",INDEX(EntryTxnType,$P89)))</f>
        <v/>
      </c>
      <c r="H89" s="27">
        <f>IF($P89="","",IF(INDEX(EntryDep,$P89)=0,"",INDEX(EntryDep,$P89)))</f>
        <v/>
      </c>
      <c r="I89" s="27">
        <f>IF($P89="","",IF(INDEX(EntryWit,$P89)=0,"",INDEX(EntryWit,$P89)))</f>
        <v/>
      </c>
      <c r="J89" s="27">
        <f>IF($B89="","",IF($A89=1,$C$7,IF(J88="",0,J88))+IF($H89="",0,$H89)-IF($I89="",0,$I89))</f>
        <v/>
      </c>
      <c r="K89" s="27">
        <f>IF($P89="","",IF(INDEX(EntryMan,$P89)=0,"",INDEX(EntryMan,$P89)))</f>
        <v/>
      </c>
      <c r="L89" s="26">
        <f>IF($B89="","",IF($K89="","—",IF(ROUND($K89-$J89,0)=0,"√","×")))</f>
        <v/>
      </c>
      <c r="M89" s="26">
        <f>IF($B89="","",IF(COUNTIFS(EntryDates,$B89,CalcTime,$C89,CalcBank,$C$5,EntryParty,$D89,EntryDep,$H89,EntryWit,$I89)&gt;1,"تکرار",""))</f>
        <v/>
      </c>
      <c r="N89" s="26">
        <f>IF($P89="","",IF(INDEX(EntryNotes,$P89)=0,"",INDEX(EntryNotes,$P89)))</f>
        <v/>
      </c>
      <c r="O89" s="26">
        <f>IF($P89="","",IF(INDEX(EntryTxnID,$P89)=0,"",INDEX(EntryTxnID,$P89)))</f>
        <v/>
      </c>
      <c r="P89" s="26">
        <f>IFERROR(MATCH($C$5&amp;"|"&amp;RIGHT("000000"&amp;73,6),CalcRankKey,0),"")</f>
        <v/>
      </c>
    </row>
    <row r="90">
      <c r="A90" s="28">
        <f>IF($B90="","",74)</f>
        <v/>
      </c>
      <c r="B90" s="28">
        <f>IF($P90="","",IF(INDEX(CalcNormDate,$P90)=0,"",INDEX(CalcNormDate,$P90)))</f>
        <v/>
      </c>
      <c r="C90" s="28">
        <f>IF($P90="","",IF(INDEX(CalcTime,$P90)=0,"",INDEX(CalcTime,$P90)))</f>
        <v/>
      </c>
      <c r="D90" s="28">
        <f>IF($P90="","",IF(INDEX(EntryParty,$P90)=0,"",INDEX(EntryParty,$P90)))</f>
        <v/>
      </c>
      <c r="E90" s="28">
        <f>IF($P90="","",IF(INDEX(EntryPartyName,$P90)=0,"",INDEX(EntryPartyName,$P90)))</f>
        <v/>
      </c>
      <c r="F90" s="28">
        <f>IF($P90="","",IF(INDEX(EntryPartyType,$P90)=0,"",INDEX(EntryPartyType,$P90)))</f>
        <v/>
      </c>
      <c r="G90" s="28">
        <f>IF($P90="","",IF(INDEX(EntryTxnType,$P90)=0,"",INDEX(EntryTxnType,$P90)))</f>
        <v/>
      </c>
      <c r="H90" s="29">
        <f>IF($P90="","",IF(INDEX(EntryDep,$P90)=0,"",INDEX(EntryDep,$P90)))</f>
        <v/>
      </c>
      <c r="I90" s="29">
        <f>IF($P90="","",IF(INDEX(EntryWit,$P90)=0,"",INDEX(EntryWit,$P90)))</f>
        <v/>
      </c>
      <c r="J90" s="29">
        <f>IF($B90="","",IF($A90=1,$C$7,IF(J89="",0,J89))+IF($H90="",0,$H90)-IF($I90="",0,$I90))</f>
        <v/>
      </c>
      <c r="K90" s="29">
        <f>IF($P90="","",IF(INDEX(EntryMan,$P90)=0,"",INDEX(EntryMan,$P90)))</f>
        <v/>
      </c>
      <c r="L90" s="28">
        <f>IF($B90="","",IF($K90="","—",IF(ROUND($K90-$J90,0)=0,"√","×")))</f>
        <v/>
      </c>
      <c r="M90" s="28">
        <f>IF($B90="","",IF(COUNTIFS(EntryDates,$B90,CalcTime,$C90,CalcBank,$C$5,EntryParty,$D90,EntryDep,$H90,EntryWit,$I90)&gt;1,"تکرار",""))</f>
        <v/>
      </c>
      <c r="N90" s="28">
        <f>IF($P90="","",IF(INDEX(EntryNotes,$P90)=0,"",INDEX(EntryNotes,$P90)))</f>
        <v/>
      </c>
      <c r="O90" s="28">
        <f>IF($P90="","",IF(INDEX(EntryTxnID,$P90)=0,"",INDEX(EntryTxnID,$P90)))</f>
        <v/>
      </c>
      <c r="P90" s="28">
        <f>IFERROR(MATCH($C$5&amp;"|"&amp;RIGHT("000000"&amp;74,6),CalcRankKey,0),"")</f>
        <v/>
      </c>
    </row>
    <row r="91">
      <c r="A91" s="26">
        <f>IF($B91="","",75)</f>
        <v/>
      </c>
      <c r="B91" s="26">
        <f>IF($P91="","",IF(INDEX(CalcNormDate,$P91)=0,"",INDEX(CalcNormDate,$P91)))</f>
        <v/>
      </c>
      <c r="C91" s="26">
        <f>IF($P91="","",IF(INDEX(CalcTime,$P91)=0,"",INDEX(CalcTime,$P91)))</f>
        <v/>
      </c>
      <c r="D91" s="26">
        <f>IF($P91="","",IF(INDEX(EntryParty,$P91)=0,"",INDEX(EntryParty,$P91)))</f>
        <v/>
      </c>
      <c r="E91" s="26">
        <f>IF($P91="","",IF(INDEX(EntryPartyName,$P91)=0,"",INDEX(EntryPartyName,$P91)))</f>
        <v/>
      </c>
      <c r="F91" s="26">
        <f>IF($P91="","",IF(INDEX(EntryPartyType,$P91)=0,"",INDEX(EntryPartyType,$P91)))</f>
        <v/>
      </c>
      <c r="G91" s="26">
        <f>IF($P91="","",IF(INDEX(EntryTxnType,$P91)=0,"",INDEX(EntryTxnType,$P91)))</f>
        <v/>
      </c>
      <c r="H91" s="27">
        <f>IF($P91="","",IF(INDEX(EntryDep,$P91)=0,"",INDEX(EntryDep,$P91)))</f>
        <v/>
      </c>
      <c r="I91" s="27">
        <f>IF($P91="","",IF(INDEX(EntryWit,$P91)=0,"",INDEX(EntryWit,$P91)))</f>
        <v/>
      </c>
      <c r="J91" s="27">
        <f>IF($B91="","",IF($A91=1,$C$7,IF(J90="",0,J90))+IF($H91="",0,$H91)-IF($I91="",0,$I91))</f>
        <v/>
      </c>
      <c r="K91" s="27">
        <f>IF($P91="","",IF(INDEX(EntryMan,$P91)=0,"",INDEX(EntryMan,$P91)))</f>
        <v/>
      </c>
      <c r="L91" s="26">
        <f>IF($B91="","",IF($K91="","—",IF(ROUND($K91-$J91,0)=0,"√","×")))</f>
        <v/>
      </c>
      <c r="M91" s="26">
        <f>IF($B91="","",IF(COUNTIFS(EntryDates,$B91,CalcTime,$C91,CalcBank,$C$5,EntryParty,$D91,EntryDep,$H91,EntryWit,$I91)&gt;1,"تکرار",""))</f>
        <v/>
      </c>
      <c r="N91" s="26">
        <f>IF($P91="","",IF(INDEX(EntryNotes,$P91)=0,"",INDEX(EntryNotes,$P91)))</f>
        <v/>
      </c>
      <c r="O91" s="26">
        <f>IF($P91="","",IF(INDEX(EntryTxnID,$P91)=0,"",INDEX(EntryTxnID,$P91)))</f>
        <v/>
      </c>
      <c r="P91" s="26">
        <f>IFERROR(MATCH($C$5&amp;"|"&amp;RIGHT("000000"&amp;75,6),CalcRankKey,0),"")</f>
        <v/>
      </c>
    </row>
    <row r="92">
      <c r="A92" s="28">
        <f>IF($B92="","",76)</f>
        <v/>
      </c>
      <c r="B92" s="28">
        <f>IF($P92="","",IF(INDEX(CalcNormDate,$P92)=0,"",INDEX(CalcNormDate,$P92)))</f>
        <v/>
      </c>
      <c r="C92" s="28">
        <f>IF($P92="","",IF(INDEX(CalcTime,$P92)=0,"",INDEX(CalcTime,$P92)))</f>
        <v/>
      </c>
      <c r="D92" s="28">
        <f>IF($P92="","",IF(INDEX(EntryParty,$P92)=0,"",INDEX(EntryParty,$P92)))</f>
        <v/>
      </c>
      <c r="E92" s="28">
        <f>IF($P92="","",IF(INDEX(EntryPartyName,$P92)=0,"",INDEX(EntryPartyName,$P92)))</f>
        <v/>
      </c>
      <c r="F92" s="28">
        <f>IF($P92="","",IF(INDEX(EntryPartyType,$P92)=0,"",INDEX(EntryPartyType,$P92)))</f>
        <v/>
      </c>
      <c r="G92" s="28">
        <f>IF($P92="","",IF(INDEX(EntryTxnType,$P92)=0,"",INDEX(EntryTxnType,$P92)))</f>
        <v/>
      </c>
      <c r="H92" s="29">
        <f>IF($P92="","",IF(INDEX(EntryDep,$P92)=0,"",INDEX(EntryDep,$P92)))</f>
        <v/>
      </c>
      <c r="I92" s="29">
        <f>IF($P92="","",IF(INDEX(EntryWit,$P92)=0,"",INDEX(EntryWit,$P92)))</f>
        <v/>
      </c>
      <c r="J92" s="29">
        <f>IF($B92="","",IF($A92=1,$C$7,IF(J91="",0,J91))+IF($H92="",0,$H92)-IF($I92="",0,$I92))</f>
        <v/>
      </c>
      <c r="K92" s="29">
        <f>IF($P92="","",IF(INDEX(EntryMan,$P92)=0,"",INDEX(EntryMan,$P92)))</f>
        <v/>
      </c>
      <c r="L92" s="28">
        <f>IF($B92="","",IF($K92="","—",IF(ROUND($K92-$J92,0)=0,"√","×")))</f>
        <v/>
      </c>
      <c r="M92" s="28">
        <f>IF($B92="","",IF(COUNTIFS(EntryDates,$B92,CalcTime,$C92,CalcBank,$C$5,EntryParty,$D92,EntryDep,$H92,EntryWit,$I92)&gt;1,"تکرار",""))</f>
        <v/>
      </c>
      <c r="N92" s="28">
        <f>IF($P92="","",IF(INDEX(EntryNotes,$P92)=0,"",INDEX(EntryNotes,$P92)))</f>
        <v/>
      </c>
      <c r="O92" s="28">
        <f>IF($P92="","",IF(INDEX(EntryTxnID,$P92)=0,"",INDEX(EntryTxnID,$P92)))</f>
        <v/>
      </c>
      <c r="P92" s="28">
        <f>IFERROR(MATCH($C$5&amp;"|"&amp;RIGHT("000000"&amp;76,6),CalcRankKey,0),"")</f>
        <v/>
      </c>
    </row>
    <row r="93">
      <c r="A93" s="26">
        <f>IF($B93="","",77)</f>
        <v/>
      </c>
      <c r="B93" s="26">
        <f>IF($P93="","",IF(INDEX(CalcNormDate,$P93)=0,"",INDEX(CalcNormDate,$P93)))</f>
        <v/>
      </c>
      <c r="C93" s="26">
        <f>IF($P93="","",IF(INDEX(CalcTime,$P93)=0,"",INDEX(CalcTime,$P93)))</f>
        <v/>
      </c>
      <c r="D93" s="26">
        <f>IF($P93="","",IF(INDEX(EntryParty,$P93)=0,"",INDEX(EntryParty,$P93)))</f>
        <v/>
      </c>
      <c r="E93" s="26">
        <f>IF($P93="","",IF(INDEX(EntryPartyName,$P93)=0,"",INDEX(EntryPartyName,$P93)))</f>
        <v/>
      </c>
      <c r="F93" s="26">
        <f>IF($P93="","",IF(INDEX(EntryPartyType,$P93)=0,"",INDEX(EntryPartyType,$P93)))</f>
        <v/>
      </c>
      <c r="G93" s="26">
        <f>IF($P93="","",IF(INDEX(EntryTxnType,$P93)=0,"",INDEX(EntryTxnType,$P93)))</f>
        <v/>
      </c>
      <c r="H93" s="27">
        <f>IF($P93="","",IF(INDEX(EntryDep,$P93)=0,"",INDEX(EntryDep,$P93)))</f>
        <v/>
      </c>
      <c r="I93" s="27">
        <f>IF($P93="","",IF(INDEX(EntryWit,$P93)=0,"",INDEX(EntryWit,$P93)))</f>
        <v/>
      </c>
      <c r="J93" s="27">
        <f>IF($B93="","",IF($A93=1,$C$7,IF(J92="",0,J92))+IF($H93="",0,$H93)-IF($I93="",0,$I93))</f>
        <v/>
      </c>
      <c r="K93" s="27">
        <f>IF($P93="","",IF(INDEX(EntryMan,$P93)=0,"",INDEX(EntryMan,$P93)))</f>
        <v/>
      </c>
      <c r="L93" s="26">
        <f>IF($B93="","",IF($K93="","—",IF(ROUND($K93-$J93,0)=0,"√","×")))</f>
        <v/>
      </c>
      <c r="M93" s="26">
        <f>IF($B93="","",IF(COUNTIFS(EntryDates,$B93,CalcTime,$C93,CalcBank,$C$5,EntryParty,$D93,EntryDep,$H93,EntryWit,$I93)&gt;1,"تکرار",""))</f>
        <v/>
      </c>
      <c r="N93" s="26">
        <f>IF($P93="","",IF(INDEX(EntryNotes,$P93)=0,"",INDEX(EntryNotes,$P93)))</f>
        <v/>
      </c>
      <c r="O93" s="26">
        <f>IF($P93="","",IF(INDEX(EntryTxnID,$P93)=0,"",INDEX(EntryTxnID,$P93)))</f>
        <v/>
      </c>
      <c r="P93" s="26">
        <f>IFERROR(MATCH($C$5&amp;"|"&amp;RIGHT("000000"&amp;77,6),CalcRankKey,0),"")</f>
        <v/>
      </c>
    </row>
    <row r="94">
      <c r="A94" s="28">
        <f>IF($B94="","",78)</f>
        <v/>
      </c>
      <c r="B94" s="28">
        <f>IF($P94="","",IF(INDEX(CalcNormDate,$P94)=0,"",INDEX(CalcNormDate,$P94)))</f>
        <v/>
      </c>
      <c r="C94" s="28">
        <f>IF($P94="","",IF(INDEX(CalcTime,$P94)=0,"",INDEX(CalcTime,$P94)))</f>
        <v/>
      </c>
      <c r="D94" s="28">
        <f>IF($P94="","",IF(INDEX(EntryParty,$P94)=0,"",INDEX(EntryParty,$P94)))</f>
        <v/>
      </c>
      <c r="E94" s="28">
        <f>IF($P94="","",IF(INDEX(EntryPartyName,$P94)=0,"",INDEX(EntryPartyName,$P94)))</f>
        <v/>
      </c>
      <c r="F94" s="28">
        <f>IF($P94="","",IF(INDEX(EntryPartyType,$P94)=0,"",INDEX(EntryPartyType,$P94)))</f>
        <v/>
      </c>
      <c r="G94" s="28">
        <f>IF($P94="","",IF(INDEX(EntryTxnType,$P94)=0,"",INDEX(EntryTxnType,$P94)))</f>
        <v/>
      </c>
      <c r="H94" s="29">
        <f>IF($P94="","",IF(INDEX(EntryDep,$P94)=0,"",INDEX(EntryDep,$P94)))</f>
        <v/>
      </c>
      <c r="I94" s="29">
        <f>IF($P94="","",IF(INDEX(EntryWit,$P94)=0,"",INDEX(EntryWit,$P94)))</f>
        <v/>
      </c>
      <c r="J94" s="29">
        <f>IF($B94="","",IF($A94=1,$C$7,IF(J93="",0,J93))+IF($H94="",0,$H94)-IF($I94="",0,$I94))</f>
        <v/>
      </c>
      <c r="K94" s="29">
        <f>IF($P94="","",IF(INDEX(EntryMan,$P94)=0,"",INDEX(EntryMan,$P94)))</f>
        <v/>
      </c>
      <c r="L94" s="28">
        <f>IF($B94="","",IF($K94="","—",IF(ROUND($K94-$J94,0)=0,"√","×")))</f>
        <v/>
      </c>
      <c r="M94" s="28">
        <f>IF($B94="","",IF(COUNTIFS(EntryDates,$B94,CalcTime,$C94,CalcBank,$C$5,EntryParty,$D94,EntryDep,$H94,EntryWit,$I94)&gt;1,"تکرار",""))</f>
        <v/>
      </c>
      <c r="N94" s="28">
        <f>IF($P94="","",IF(INDEX(EntryNotes,$P94)=0,"",INDEX(EntryNotes,$P94)))</f>
        <v/>
      </c>
      <c r="O94" s="28">
        <f>IF($P94="","",IF(INDEX(EntryTxnID,$P94)=0,"",INDEX(EntryTxnID,$P94)))</f>
        <v/>
      </c>
      <c r="P94" s="28">
        <f>IFERROR(MATCH($C$5&amp;"|"&amp;RIGHT("000000"&amp;78,6),CalcRankKey,0),"")</f>
        <v/>
      </c>
    </row>
    <row r="95">
      <c r="A95" s="26">
        <f>IF($B95="","",79)</f>
        <v/>
      </c>
      <c r="B95" s="26">
        <f>IF($P95="","",IF(INDEX(CalcNormDate,$P95)=0,"",INDEX(CalcNormDate,$P95)))</f>
        <v/>
      </c>
      <c r="C95" s="26">
        <f>IF($P95="","",IF(INDEX(CalcTime,$P95)=0,"",INDEX(CalcTime,$P95)))</f>
        <v/>
      </c>
      <c r="D95" s="26">
        <f>IF($P95="","",IF(INDEX(EntryParty,$P95)=0,"",INDEX(EntryParty,$P95)))</f>
        <v/>
      </c>
      <c r="E95" s="26">
        <f>IF($P95="","",IF(INDEX(EntryPartyName,$P95)=0,"",INDEX(EntryPartyName,$P95)))</f>
        <v/>
      </c>
      <c r="F95" s="26">
        <f>IF($P95="","",IF(INDEX(EntryPartyType,$P95)=0,"",INDEX(EntryPartyType,$P95)))</f>
        <v/>
      </c>
      <c r="G95" s="26">
        <f>IF($P95="","",IF(INDEX(EntryTxnType,$P95)=0,"",INDEX(EntryTxnType,$P95)))</f>
        <v/>
      </c>
      <c r="H95" s="27">
        <f>IF($P95="","",IF(INDEX(EntryDep,$P95)=0,"",INDEX(EntryDep,$P95)))</f>
        <v/>
      </c>
      <c r="I95" s="27">
        <f>IF($P95="","",IF(INDEX(EntryWit,$P95)=0,"",INDEX(EntryWit,$P95)))</f>
        <v/>
      </c>
      <c r="J95" s="27">
        <f>IF($B95="","",IF($A95=1,$C$7,IF(J94="",0,J94))+IF($H95="",0,$H95)-IF($I95="",0,$I95))</f>
        <v/>
      </c>
      <c r="K95" s="27">
        <f>IF($P95="","",IF(INDEX(EntryMan,$P95)=0,"",INDEX(EntryMan,$P95)))</f>
        <v/>
      </c>
      <c r="L95" s="26">
        <f>IF($B95="","",IF($K95="","—",IF(ROUND($K95-$J95,0)=0,"√","×")))</f>
        <v/>
      </c>
      <c r="M95" s="26">
        <f>IF($B95="","",IF(COUNTIFS(EntryDates,$B95,CalcTime,$C95,CalcBank,$C$5,EntryParty,$D95,EntryDep,$H95,EntryWit,$I95)&gt;1,"تکرار",""))</f>
        <v/>
      </c>
      <c r="N95" s="26">
        <f>IF($P95="","",IF(INDEX(EntryNotes,$P95)=0,"",INDEX(EntryNotes,$P95)))</f>
        <v/>
      </c>
      <c r="O95" s="26">
        <f>IF($P95="","",IF(INDEX(EntryTxnID,$P95)=0,"",INDEX(EntryTxnID,$P95)))</f>
        <v/>
      </c>
      <c r="P95" s="26">
        <f>IFERROR(MATCH($C$5&amp;"|"&amp;RIGHT("000000"&amp;79,6),CalcRankKey,0),"")</f>
        <v/>
      </c>
    </row>
    <row r="96">
      <c r="A96" s="28">
        <f>IF($B96="","",80)</f>
        <v/>
      </c>
      <c r="B96" s="28">
        <f>IF($P96="","",IF(INDEX(CalcNormDate,$P96)=0,"",INDEX(CalcNormDate,$P96)))</f>
        <v/>
      </c>
      <c r="C96" s="28">
        <f>IF($P96="","",IF(INDEX(CalcTime,$P96)=0,"",INDEX(CalcTime,$P96)))</f>
        <v/>
      </c>
      <c r="D96" s="28">
        <f>IF($P96="","",IF(INDEX(EntryParty,$P96)=0,"",INDEX(EntryParty,$P96)))</f>
        <v/>
      </c>
      <c r="E96" s="28">
        <f>IF($P96="","",IF(INDEX(EntryPartyName,$P96)=0,"",INDEX(EntryPartyName,$P96)))</f>
        <v/>
      </c>
      <c r="F96" s="28">
        <f>IF($P96="","",IF(INDEX(EntryPartyType,$P96)=0,"",INDEX(EntryPartyType,$P96)))</f>
        <v/>
      </c>
      <c r="G96" s="28">
        <f>IF($P96="","",IF(INDEX(EntryTxnType,$P96)=0,"",INDEX(EntryTxnType,$P96)))</f>
        <v/>
      </c>
      <c r="H96" s="29">
        <f>IF($P96="","",IF(INDEX(EntryDep,$P96)=0,"",INDEX(EntryDep,$P96)))</f>
        <v/>
      </c>
      <c r="I96" s="29">
        <f>IF($P96="","",IF(INDEX(EntryWit,$P96)=0,"",INDEX(EntryWit,$P96)))</f>
        <v/>
      </c>
      <c r="J96" s="29">
        <f>IF($B96="","",IF($A96=1,$C$7,IF(J95="",0,J95))+IF($H96="",0,$H96)-IF($I96="",0,$I96))</f>
        <v/>
      </c>
      <c r="K96" s="29">
        <f>IF($P96="","",IF(INDEX(EntryMan,$P96)=0,"",INDEX(EntryMan,$P96)))</f>
        <v/>
      </c>
      <c r="L96" s="28">
        <f>IF($B96="","",IF($K96="","—",IF(ROUND($K96-$J96,0)=0,"√","×")))</f>
        <v/>
      </c>
      <c r="M96" s="28">
        <f>IF($B96="","",IF(COUNTIFS(EntryDates,$B96,CalcTime,$C96,CalcBank,$C$5,EntryParty,$D96,EntryDep,$H96,EntryWit,$I96)&gt;1,"تکرار",""))</f>
        <v/>
      </c>
      <c r="N96" s="28">
        <f>IF($P96="","",IF(INDEX(EntryNotes,$P96)=0,"",INDEX(EntryNotes,$P96)))</f>
        <v/>
      </c>
      <c r="O96" s="28">
        <f>IF($P96="","",IF(INDEX(EntryTxnID,$P96)=0,"",INDEX(EntryTxnID,$P96)))</f>
        <v/>
      </c>
      <c r="P96" s="28">
        <f>IFERROR(MATCH($C$5&amp;"|"&amp;RIGHT("000000"&amp;80,6),CalcRankKey,0),"")</f>
        <v/>
      </c>
    </row>
    <row r="97">
      <c r="A97" s="26">
        <f>IF($B97="","",81)</f>
        <v/>
      </c>
      <c r="B97" s="26">
        <f>IF($P97="","",IF(INDEX(CalcNormDate,$P97)=0,"",INDEX(CalcNormDate,$P97)))</f>
        <v/>
      </c>
      <c r="C97" s="26">
        <f>IF($P97="","",IF(INDEX(CalcTime,$P97)=0,"",INDEX(CalcTime,$P97)))</f>
        <v/>
      </c>
      <c r="D97" s="26">
        <f>IF($P97="","",IF(INDEX(EntryParty,$P97)=0,"",INDEX(EntryParty,$P97)))</f>
        <v/>
      </c>
      <c r="E97" s="26">
        <f>IF($P97="","",IF(INDEX(EntryPartyName,$P97)=0,"",INDEX(EntryPartyName,$P97)))</f>
        <v/>
      </c>
      <c r="F97" s="26">
        <f>IF($P97="","",IF(INDEX(EntryPartyType,$P97)=0,"",INDEX(EntryPartyType,$P97)))</f>
        <v/>
      </c>
      <c r="G97" s="26">
        <f>IF($P97="","",IF(INDEX(EntryTxnType,$P97)=0,"",INDEX(EntryTxnType,$P97)))</f>
        <v/>
      </c>
      <c r="H97" s="27">
        <f>IF($P97="","",IF(INDEX(EntryDep,$P97)=0,"",INDEX(EntryDep,$P97)))</f>
        <v/>
      </c>
      <c r="I97" s="27">
        <f>IF($P97="","",IF(INDEX(EntryWit,$P97)=0,"",INDEX(EntryWit,$P97)))</f>
        <v/>
      </c>
      <c r="J97" s="27">
        <f>IF($B97="","",IF($A97=1,$C$7,IF(J96="",0,J96))+IF($H97="",0,$H97)-IF($I97="",0,$I97))</f>
        <v/>
      </c>
      <c r="K97" s="27">
        <f>IF($P97="","",IF(INDEX(EntryMan,$P97)=0,"",INDEX(EntryMan,$P97)))</f>
        <v/>
      </c>
      <c r="L97" s="26">
        <f>IF($B97="","",IF($K97="","—",IF(ROUND($K97-$J97,0)=0,"√","×")))</f>
        <v/>
      </c>
      <c r="M97" s="26">
        <f>IF($B97="","",IF(COUNTIFS(EntryDates,$B97,CalcTime,$C97,CalcBank,$C$5,EntryParty,$D97,EntryDep,$H97,EntryWit,$I97)&gt;1,"تکرار",""))</f>
        <v/>
      </c>
      <c r="N97" s="26">
        <f>IF($P97="","",IF(INDEX(EntryNotes,$P97)=0,"",INDEX(EntryNotes,$P97)))</f>
        <v/>
      </c>
      <c r="O97" s="26">
        <f>IF($P97="","",IF(INDEX(EntryTxnID,$P97)=0,"",INDEX(EntryTxnID,$P97)))</f>
        <v/>
      </c>
      <c r="P97" s="26">
        <f>IFERROR(MATCH($C$5&amp;"|"&amp;RIGHT("000000"&amp;81,6),CalcRankKey,0),"")</f>
        <v/>
      </c>
    </row>
    <row r="98">
      <c r="A98" s="28">
        <f>IF($B98="","",82)</f>
        <v/>
      </c>
      <c r="B98" s="28">
        <f>IF($P98="","",IF(INDEX(CalcNormDate,$P98)=0,"",INDEX(CalcNormDate,$P98)))</f>
        <v/>
      </c>
      <c r="C98" s="28">
        <f>IF($P98="","",IF(INDEX(CalcTime,$P98)=0,"",INDEX(CalcTime,$P98)))</f>
        <v/>
      </c>
      <c r="D98" s="28">
        <f>IF($P98="","",IF(INDEX(EntryParty,$P98)=0,"",INDEX(EntryParty,$P98)))</f>
        <v/>
      </c>
      <c r="E98" s="28">
        <f>IF($P98="","",IF(INDEX(EntryPartyName,$P98)=0,"",INDEX(EntryPartyName,$P98)))</f>
        <v/>
      </c>
      <c r="F98" s="28">
        <f>IF($P98="","",IF(INDEX(EntryPartyType,$P98)=0,"",INDEX(EntryPartyType,$P98)))</f>
        <v/>
      </c>
      <c r="G98" s="28">
        <f>IF($P98="","",IF(INDEX(EntryTxnType,$P98)=0,"",INDEX(EntryTxnType,$P98)))</f>
        <v/>
      </c>
      <c r="H98" s="29">
        <f>IF($P98="","",IF(INDEX(EntryDep,$P98)=0,"",INDEX(EntryDep,$P98)))</f>
        <v/>
      </c>
      <c r="I98" s="29">
        <f>IF($P98="","",IF(INDEX(EntryWit,$P98)=0,"",INDEX(EntryWit,$P98)))</f>
        <v/>
      </c>
      <c r="J98" s="29">
        <f>IF($B98="","",IF($A98=1,$C$7,IF(J97="",0,J97))+IF($H98="",0,$H98)-IF($I98="",0,$I98))</f>
        <v/>
      </c>
      <c r="K98" s="29">
        <f>IF($P98="","",IF(INDEX(EntryMan,$P98)=0,"",INDEX(EntryMan,$P98)))</f>
        <v/>
      </c>
      <c r="L98" s="28">
        <f>IF($B98="","",IF($K98="","—",IF(ROUND($K98-$J98,0)=0,"√","×")))</f>
        <v/>
      </c>
      <c r="M98" s="28">
        <f>IF($B98="","",IF(COUNTIFS(EntryDates,$B98,CalcTime,$C98,CalcBank,$C$5,EntryParty,$D98,EntryDep,$H98,EntryWit,$I98)&gt;1,"تکرار",""))</f>
        <v/>
      </c>
      <c r="N98" s="28">
        <f>IF($P98="","",IF(INDEX(EntryNotes,$P98)=0,"",INDEX(EntryNotes,$P98)))</f>
        <v/>
      </c>
      <c r="O98" s="28">
        <f>IF($P98="","",IF(INDEX(EntryTxnID,$P98)=0,"",INDEX(EntryTxnID,$P98)))</f>
        <v/>
      </c>
      <c r="P98" s="28">
        <f>IFERROR(MATCH($C$5&amp;"|"&amp;RIGHT("000000"&amp;82,6),CalcRankKey,0),"")</f>
        <v/>
      </c>
    </row>
    <row r="99">
      <c r="A99" s="26">
        <f>IF($B99="","",83)</f>
        <v/>
      </c>
      <c r="B99" s="26">
        <f>IF($P99="","",IF(INDEX(CalcNormDate,$P99)=0,"",INDEX(CalcNormDate,$P99)))</f>
        <v/>
      </c>
      <c r="C99" s="26">
        <f>IF($P99="","",IF(INDEX(CalcTime,$P99)=0,"",INDEX(CalcTime,$P99)))</f>
        <v/>
      </c>
      <c r="D99" s="26">
        <f>IF($P99="","",IF(INDEX(EntryParty,$P99)=0,"",INDEX(EntryParty,$P99)))</f>
        <v/>
      </c>
      <c r="E99" s="26">
        <f>IF($P99="","",IF(INDEX(EntryPartyName,$P99)=0,"",INDEX(EntryPartyName,$P99)))</f>
        <v/>
      </c>
      <c r="F99" s="26">
        <f>IF($P99="","",IF(INDEX(EntryPartyType,$P99)=0,"",INDEX(EntryPartyType,$P99)))</f>
        <v/>
      </c>
      <c r="G99" s="26">
        <f>IF($P99="","",IF(INDEX(EntryTxnType,$P99)=0,"",INDEX(EntryTxnType,$P99)))</f>
        <v/>
      </c>
      <c r="H99" s="27">
        <f>IF($P99="","",IF(INDEX(EntryDep,$P99)=0,"",INDEX(EntryDep,$P99)))</f>
        <v/>
      </c>
      <c r="I99" s="27">
        <f>IF($P99="","",IF(INDEX(EntryWit,$P99)=0,"",INDEX(EntryWit,$P99)))</f>
        <v/>
      </c>
      <c r="J99" s="27">
        <f>IF($B99="","",IF($A99=1,$C$7,IF(J98="",0,J98))+IF($H99="",0,$H99)-IF($I99="",0,$I99))</f>
        <v/>
      </c>
      <c r="K99" s="27">
        <f>IF($P99="","",IF(INDEX(EntryMan,$P99)=0,"",INDEX(EntryMan,$P99)))</f>
        <v/>
      </c>
      <c r="L99" s="26">
        <f>IF($B99="","",IF($K99="","—",IF(ROUND($K99-$J99,0)=0,"√","×")))</f>
        <v/>
      </c>
      <c r="M99" s="26">
        <f>IF($B99="","",IF(COUNTIFS(EntryDates,$B99,CalcTime,$C99,CalcBank,$C$5,EntryParty,$D99,EntryDep,$H99,EntryWit,$I99)&gt;1,"تکرار",""))</f>
        <v/>
      </c>
      <c r="N99" s="26">
        <f>IF($P99="","",IF(INDEX(EntryNotes,$P99)=0,"",INDEX(EntryNotes,$P99)))</f>
        <v/>
      </c>
      <c r="O99" s="26">
        <f>IF($P99="","",IF(INDEX(EntryTxnID,$P99)=0,"",INDEX(EntryTxnID,$P99)))</f>
        <v/>
      </c>
      <c r="P99" s="26">
        <f>IFERROR(MATCH($C$5&amp;"|"&amp;RIGHT("000000"&amp;83,6),CalcRankKey,0),"")</f>
        <v/>
      </c>
    </row>
    <row r="100">
      <c r="A100" s="28">
        <f>IF($B100="","",84)</f>
        <v/>
      </c>
      <c r="B100" s="28">
        <f>IF($P100="","",IF(INDEX(CalcNormDate,$P100)=0,"",INDEX(CalcNormDate,$P100)))</f>
        <v/>
      </c>
      <c r="C100" s="28">
        <f>IF($P100="","",IF(INDEX(CalcTime,$P100)=0,"",INDEX(CalcTime,$P100)))</f>
        <v/>
      </c>
      <c r="D100" s="28">
        <f>IF($P100="","",IF(INDEX(EntryParty,$P100)=0,"",INDEX(EntryParty,$P100)))</f>
        <v/>
      </c>
      <c r="E100" s="28">
        <f>IF($P100="","",IF(INDEX(EntryPartyName,$P100)=0,"",INDEX(EntryPartyName,$P100)))</f>
        <v/>
      </c>
      <c r="F100" s="28">
        <f>IF($P100="","",IF(INDEX(EntryPartyType,$P100)=0,"",INDEX(EntryPartyType,$P100)))</f>
        <v/>
      </c>
      <c r="G100" s="28">
        <f>IF($P100="","",IF(INDEX(EntryTxnType,$P100)=0,"",INDEX(EntryTxnType,$P100)))</f>
        <v/>
      </c>
      <c r="H100" s="29">
        <f>IF($P100="","",IF(INDEX(EntryDep,$P100)=0,"",INDEX(EntryDep,$P100)))</f>
        <v/>
      </c>
      <c r="I100" s="29">
        <f>IF($P100="","",IF(INDEX(EntryWit,$P100)=0,"",INDEX(EntryWit,$P100)))</f>
        <v/>
      </c>
      <c r="J100" s="29">
        <f>IF($B100="","",IF($A100=1,$C$7,IF(J99="",0,J99))+IF($H100="",0,$H100)-IF($I100="",0,$I100))</f>
        <v/>
      </c>
      <c r="K100" s="29">
        <f>IF($P100="","",IF(INDEX(EntryMan,$P100)=0,"",INDEX(EntryMan,$P100)))</f>
        <v/>
      </c>
      <c r="L100" s="28">
        <f>IF($B100="","",IF($K100="","—",IF(ROUND($K100-$J100,0)=0,"√","×")))</f>
        <v/>
      </c>
      <c r="M100" s="28">
        <f>IF($B100="","",IF(COUNTIFS(EntryDates,$B100,CalcTime,$C100,CalcBank,$C$5,EntryParty,$D100,EntryDep,$H100,EntryWit,$I100)&gt;1,"تکرار",""))</f>
        <v/>
      </c>
      <c r="N100" s="28">
        <f>IF($P100="","",IF(INDEX(EntryNotes,$P100)=0,"",INDEX(EntryNotes,$P100)))</f>
        <v/>
      </c>
      <c r="O100" s="28">
        <f>IF($P100="","",IF(INDEX(EntryTxnID,$P100)=0,"",INDEX(EntryTxnID,$P100)))</f>
        <v/>
      </c>
      <c r="P100" s="28">
        <f>IFERROR(MATCH($C$5&amp;"|"&amp;RIGHT("000000"&amp;84,6),CalcRankKey,0),"")</f>
        <v/>
      </c>
    </row>
    <row r="101">
      <c r="A101" s="26">
        <f>IF($B101="","",85)</f>
        <v/>
      </c>
      <c r="B101" s="26">
        <f>IF($P101="","",IF(INDEX(CalcNormDate,$P101)=0,"",INDEX(CalcNormDate,$P101)))</f>
        <v/>
      </c>
      <c r="C101" s="26">
        <f>IF($P101="","",IF(INDEX(CalcTime,$P101)=0,"",INDEX(CalcTime,$P101)))</f>
        <v/>
      </c>
      <c r="D101" s="26">
        <f>IF($P101="","",IF(INDEX(EntryParty,$P101)=0,"",INDEX(EntryParty,$P101)))</f>
        <v/>
      </c>
      <c r="E101" s="26">
        <f>IF($P101="","",IF(INDEX(EntryPartyName,$P101)=0,"",INDEX(EntryPartyName,$P101)))</f>
        <v/>
      </c>
      <c r="F101" s="26">
        <f>IF($P101="","",IF(INDEX(EntryPartyType,$P101)=0,"",INDEX(EntryPartyType,$P101)))</f>
        <v/>
      </c>
      <c r="G101" s="26">
        <f>IF($P101="","",IF(INDEX(EntryTxnType,$P101)=0,"",INDEX(EntryTxnType,$P101)))</f>
        <v/>
      </c>
      <c r="H101" s="27">
        <f>IF($P101="","",IF(INDEX(EntryDep,$P101)=0,"",INDEX(EntryDep,$P101)))</f>
        <v/>
      </c>
      <c r="I101" s="27">
        <f>IF($P101="","",IF(INDEX(EntryWit,$P101)=0,"",INDEX(EntryWit,$P101)))</f>
        <v/>
      </c>
      <c r="J101" s="27">
        <f>IF($B101="","",IF($A101=1,$C$7,IF(J100="",0,J100))+IF($H101="",0,$H101)-IF($I101="",0,$I101))</f>
        <v/>
      </c>
      <c r="K101" s="27">
        <f>IF($P101="","",IF(INDEX(EntryMan,$P101)=0,"",INDEX(EntryMan,$P101)))</f>
        <v/>
      </c>
      <c r="L101" s="26">
        <f>IF($B101="","",IF($K101="","—",IF(ROUND($K101-$J101,0)=0,"√","×")))</f>
        <v/>
      </c>
      <c r="M101" s="26">
        <f>IF($B101="","",IF(COUNTIFS(EntryDates,$B101,CalcTime,$C101,CalcBank,$C$5,EntryParty,$D101,EntryDep,$H101,EntryWit,$I101)&gt;1,"تکرار",""))</f>
        <v/>
      </c>
      <c r="N101" s="26">
        <f>IF($P101="","",IF(INDEX(EntryNotes,$P101)=0,"",INDEX(EntryNotes,$P101)))</f>
        <v/>
      </c>
      <c r="O101" s="26">
        <f>IF($P101="","",IF(INDEX(EntryTxnID,$P101)=0,"",INDEX(EntryTxnID,$P101)))</f>
        <v/>
      </c>
      <c r="P101" s="26">
        <f>IFERROR(MATCH($C$5&amp;"|"&amp;RIGHT("000000"&amp;85,6),CalcRankKey,0),"")</f>
        <v/>
      </c>
    </row>
    <row r="102">
      <c r="A102" s="28">
        <f>IF($B102="","",86)</f>
        <v/>
      </c>
      <c r="B102" s="28">
        <f>IF($P102="","",IF(INDEX(CalcNormDate,$P102)=0,"",INDEX(CalcNormDate,$P102)))</f>
        <v/>
      </c>
      <c r="C102" s="28">
        <f>IF($P102="","",IF(INDEX(CalcTime,$P102)=0,"",INDEX(CalcTime,$P102)))</f>
        <v/>
      </c>
      <c r="D102" s="28">
        <f>IF($P102="","",IF(INDEX(EntryParty,$P102)=0,"",INDEX(EntryParty,$P102)))</f>
        <v/>
      </c>
      <c r="E102" s="28">
        <f>IF($P102="","",IF(INDEX(EntryPartyName,$P102)=0,"",INDEX(EntryPartyName,$P102)))</f>
        <v/>
      </c>
      <c r="F102" s="28">
        <f>IF($P102="","",IF(INDEX(EntryPartyType,$P102)=0,"",INDEX(EntryPartyType,$P102)))</f>
        <v/>
      </c>
      <c r="G102" s="28">
        <f>IF($P102="","",IF(INDEX(EntryTxnType,$P102)=0,"",INDEX(EntryTxnType,$P102)))</f>
        <v/>
      </c>
      <c r="H102" s="29">
        <f>IF($P102="","",IF(INDEX(EntryDep,$P102)=0,"",INDEX(EntryDep,$P102)))</f>
        <v/>
      </c>
      <c r="I102" s="29">
        <f>IF($P102="","",IF(INDEX(EntryWit,$P102)=0,"",INDEX(EntryWit,$P102)))</f>
        <v/>
      </c>
      <c r="J102" s="29">
        <f>IF($B102="","",IF($A102=1,$C$7,IF(J101="",0,J101))+IF($H102="",0,$H102)-IF($I102="",0,$I102))</f>
        <v/>
      </c>
      <c r="K102" s="29">
        <f>IF($P102="","",IF(INDEX(EntryMan,$P102)=0,"",INDEX(EntryMan,$P102)))</f>
        <v/>
      </c>
      <c r="L102" s="28">
        <f>IF($B102="","",IF($K102="","—",IF(ROUND($K102-$J102,0)=0,"√","×")))</f>
        <v/>
      </c>
      <c r="M102" s="28">
        <f>IF($B102="","",IF(COUNTIFS(EntryDates,$B102,CalcTime,$C102,CalcBank,$C$5,EntryParty,$D102,EntryDep,$H102,EntryWit,$I102)&gt;1,"تکرار",""))</f>
        <v/>
      </c>
      <c r="N102" s="28">
        <f>IF($P102="","",IF(INDEX(EntryNotes,$P102)=0,"",INDEX(EntryNotes,$P102)))</f>
        <v/>
      </c>
      <c r="O102" s="28">
        <f>IF($P102="","",IF(INDEX(EntryTxnID,$P102)=0,"",INDEX(EntryTxnID,$P102)))</f>
        <v/>
      </c>
      <c r="P102" s="28">
        <f>IFERROR(MATCH($C$5&amp;"|"&amp;RIGHT("000000"&amp;86,6),CalcRankKey,0),"")</f>
        <v/>
      </c>
    </row>
    <row r="103">
      <c r="A103" s="26">
        <f>IF($B103="","",87)</f>
        <v/>
      </c>
      <c r="B103" s="26">
        <f>IF($P103="","",IF(INDEX(CalcNormDate,$P103)=0,"",INDEX(CalcNormDate,$P103)))</f>
        <v/>
      </c>
      <c r="C103" s="26">
        <f>IF($P103="","",IF(INDEX(CalcTime,$P103)=0,"",INDEX(CalcTime,$P103)))</f>
        <v/>
      </c>
      <c r="D103" s="26">
        <f>IF($P103="","",IF(INDEX(EntryParty,$P103)=0,"",INDEX(EntryParty,$P103)))</f>
        <v/>
      </c>
      <c r="E103" s="26">
        <f>IF($P103="","",IF(INDEX(EntryPartyName,$P103)=0,"",INDEX(EntryPartyName,$P103)))</f>
        <v/>
      </c>
      <c r="F103" s="26">
        <f>IF($P103="","",IF(INDEX(EntryPartyType,$P103)=0,"",INDEX(EntryPartyType,$P103)))</f>
        <v/>
      </c>
      <c r="G103" s="26">
        <f>IF($P103="","",IF(INDEX(EntryTxnType,$P103)=0,"",INDEX(EntryTxnType,$P103)))</f>
        <v/>
      </c>
      <c r="H103" s="27">
        <f>IF($P103="","",IF(INDEX(EntryDep,$P103)=0,"",INDEX(EntryDep,$P103)))</f>
        <v/>
      </c>
      <c r="I103" s="27">
        <f>IF($P103="","",IF(INDEX(EntryWit,$P103)=0,"",INDEX(EntryWit,$P103)))</f>
        <v/>
      </c>
      <c r="J103" s="27">
        <f>IF($B103="","",IF($A103=1,$C$7,IF(J102="",0,J102))+IF($H103="",0,$H103)-IF($I103="",0,$I103))</f>
        <v/>
      </c>
      <c r="K103" s="27">
        <f>IF($P103="","",IF(INDEX(EntryMan,$P103)=0,"",INDEX(EntryMan,$P103)))</f>
        <v/>
      </c>
      <c r="L103" s="26">
        <f>IF($B103="","",IF($K103="","—",IF(ROUND($K103-$J103,0)=0,"√","×")))</f>
        <v/>
      </c>
      <c r="M103" s="26">
        <f>IF($B103="","",IF(COUNTIFS(EntryDates,$B103,CalcTime,$C103,CalcBank,$C$5,EntryParty,$D103,EntryDep,$H103,EntryWit,$I103)&gt;1,"تکرار",""))</f>
        <v/>
      </c>
      <c r="N103" s="26">
        <f>IF($P103="","",IF(INDEX(EntryNotes,$P103)=0,"",INDEX(EntryNotes,$P103)))</f>
        <v/>
      </c>
      <c r="O103" s="26">
        <f>IF($P103="","",IF(INDEX(EntryTxnID,$P103)=0,"",INDEX(EntryTxnID,$P103)))</f>
        <v/>
      </c>
      <c r="P103" s="26">
        <f>IFERROR(MATCH($C$5&amp;"|"&amp;RIGHT("000000"&amp;87,6),CalcRankKey,0),"")</f>
        <v/>
      </c>
    </row>
    <row r="104">
      <c r="A104" s="28">
        <f>IF($B104="","",88)</f>
        <v/>
      </c>
      <c r="B104" s="28">
        <f>IF($P104="","",IF(INDEX(CalcNormDate,$P104)=0,"",INDEX(CalcNormDate,$P104)))</f>
        <v/>
      </c>
      <c r="C104" s="28">
        <f>IF($P104="","",IF(INDEX(CalcTime,$P104)=0,"",INDEX(CalcTime,$P104)))</f>
        <v/>
      </c>
      <c r="D104" s="28">
        <f>IF($P104="","",IF(INDEX(EntryParty,$P104)=0,"",INDEX(EntryParty,$P104)))</f>
        <v/>
      </c>
      <c r="E104" s="28">
        <f>IF($P104="","",IF(INDEX(EntryPartyName,$P104)=0,"",INDEX(EntryPartyName,$P104)))</f>
        <v/>
      </c>
      <c r="F104" s="28">
        <f>IF($P104="","",IF(INDEX(EntryPartyType,$P104)=0,"",INDEX(EntryPartyType,$P104)))</f>
        <v/>
      </c>
      <c r="G104" s="28">
        <f>IF($P104="","",IF(INDEX(EntryTxnType,$P104)=0,"",INDEX(EntryTxnType,$P104)))</f>
        <v/>
      </c>
      <c r="H104" s="29">
        <f>IF($P104="","",IF(INDEX(EntryDep,$P104)=0,"",INDEX(EntryDep,$P104)))</f>
        <v/>
      </c>
      <c r="I104" s="29">
        <f>IF($P104="","",IF(INDEX(EntryWit,$P104)=0,"",INDEX(EntryWit,$P104)))</f>
        <v/>
      </c>
      <c r="J104" s="29">
        <f>IF($B104="","",IF($A104=1,$C$7,IF(J103="",0,J103))+IF($H104="",0,$H104)-IF($I104="",0,$I104))</f>
        <v/>
      </c>
      <c r="K104" s="29">
        <f>IF($P104="","",IF(INDEX(EntryMan,$P104)=0,"",INDEX(EntryMan,$P104)))</f>
        <v/>
      </c>
      <c r="L104" s="28">
        <f>IF($B104="","",IF($K104="","—",IF(ROUND($K104-$J104,0)=0,"√","×")))</f>
        <v/>
      </c>
      <c r="M104" s="28">
        <f>IF($B104="","",IF(COUNTIFS(EntryDates,$B104,CalcTime,$C104,CalcBank,$C$5,EntryParty,$D104,EntryDep,$H104,EntryWit,$I104)&gt;1,"تکرار",""))</f>
        <v/>
      </c>
      <c r="N104" s="28">
        <f>IF($P104="","",IF(INDEX(EntryNotes,$P104)=0,"",INDEX(EntryNotes,$P104)))</f>
        <v/>
      </c>
      <c r="O104" s="28">
        <f>IF($P104="","",IF(INDEX(EntryTxnID,$P104)=0,"",INDEX(EntryTxnID,$P104)))</f>
        <v/>
      </c>
      <c r="P104" s="28">
        <f>IFERROR(MATCH($C$5&amp;"|"&amp;RIGHT("000000"&amp;88,6),CalcRankKey,0),"")</f>
        <v/>
      </c>
    </row>
    <row r="105">
      <c r="A105" s="26">
        <f>IF($B105="","",89)</f>
        <v/>
      </c>
      <c r="B105" s="26">
        <f>IF($P105="","",IF(INDEX(CalcNormDate,$P105)=0,"",INDEX(CalcNormDate,$P105)))</f>
        <v/>
      </c>
      <c r="C105" s="26">
        <f>IF($P105="","",IF(INDEX(CalcTime,$P105)=0,"",INDEX(CalcTime,$P105)))</f>
        <v/>
      </c>
      <c r="D105" s="26">
        <f>IF($P105="","",IF(INDEX(EntryParty,$P105)=0,"",INDEX(EntryParty,$P105)))</f>
        <v/>
      </c>
      <c r="E105" s="26">
        <f>IF($P105="","",IF(INDEX(EntryPartyName,$P105)=0,"",INDEX(EntryPartyName,$P105)))</f>
        <v/>
      </c>
      <c r="F105" s="26">
        <f>IF($P105="","",IF(INDEX(EntryPartyType,$P105)=0,"",INDEX(EntryPartyType,$P105)))</f>
        <v/>
      </c>
      <c r="G105" s="26">
        <f>IF($P105="","",IF(INDEX(EntryTxnType,$P105)=0,"",INDEX(EntryTxnType,$P105)))</f>
        <v/>
      </c>
      <c r="H105" s="27">
        <f>IF($P105="","",IF(INDEX(EntryDep,$P105)=0,"",INDEX(EntryDep,$P105)))</f>
        <v/>
      </c>
      <c r="I105" s="27">
        <f>IF($P105="","",IF(INDEX(EntryWit,$P105)=0,"",INDEX(EntryWit,$P105)))</f>
        <v/>
      </c>
      <c r="J105" s="27">
        <f>IF($B105="","",IF($A105=1,$C$7,IF(J104="",0,J104))+IF($H105="",0,$H105)-IF($I105="",0,$I105))</f>
        <v/>
      </c>
      <c r="K105" s="27">
        <f>IF($P105="","",IF(INDEX(EntryMan,$P105)=0,"",INDEX(EntryMan,$P105)))</f>
        <v/>
      </c>
      <c r="L105" s="26">
        <f>IF($B105="","",IF($K105="","—",IF(ROUND($K105-$J105,0)=0,"√","×")))</f>
        <v/>
      </c>
      <c r="M105" s="26">
        <f>IF($B105="","",IF(COUNTIFS(EntryDates,$B105,CalcTime,$C105,CalcBank,$C$5,EntryParty,$D105,EntryDep,$H105,EntryWit,$I105)&gt;1,"تکرار",""))</f>
        <v/>
      </c>
      <c r="N105" s="26">
        <f>IF($P105="","",IF(INDEX(EntryNotes,$P105)=0,"",INDEX(EntryNotes,$P105)))</f>
        <v/>
      </c>
      <c r="O105" s="26">
        <f>IF($P105="","",IF(INDEX(EntryTxnID,$P105)=0,"",INDEX(EntryTxnID,$P105)))</f>
        <v/>
      </c>
      <c r="P105" s="26">
        <f>IFERROR(MATCH($C$5&amp;"|"&amp;RIGHT("000000"&amp;89,6),CalcRankKey,0),"")</f>
        <v/>
      </c>
    </row>
    <row r="106">
      <c r="A106" s="28">
        <f>IF($B106="","",90)</f>
        <v/>
      </c>
      <c r="B106" s="28">
        <f>IF($P106="","",IF(INDEX(CalcNormDate,$P106)=0,"",INDEX(CalcNormDate,$P106)))</f>
        <v/>
      </c>
      <c r="C106" s="28">
        <f>IF($P106="","",IF(INDEX(CalcTime,$P106)=0,"",INDEX(CalcTime,$P106)))</f>
        <v/>
      </c>
      <c r="D106" s="28">
        <f>IF($P106="","",IF(INDEX(EntryParty,$P106)=0,"",INDEX(EntryParty,$P106)))</f>
        <v/>
      </c>
      <c r="E106" s="28">
        <f>IF($P106="","",IF(INDEX(EntryPartyName,$P106)=0,"",INDEX(EntryPartyName,$P106)))</f>
        <v/>
      </c>
      <c r="F106" s="28">
        <f>IF($P106="","",IF(INDEX(EntryPartyType,$P106)=0,"",INDEX(EntryPartyType,$P106)))</f>
        <v/>
      </c>
      <c r="G106" s="28">
        <f>IF($P106="","",IF(INDEX(EntryTxnType,$P106)=0,"",INDEX(EntryTxnType,$P106)))</f>
        <v/>
      </c>
      <c r="H106" s="29">
        <f>IF($P106="","",IF(INDEX(EntryDep,$P106)=0,"",INDEX(EntryDep,$P106)))</f>
        <v/>
      </c>
      <c r="I106" s="29">
        <f>IF($P106="","",IF(INDEX(EntryWit,$P106)=0,"",INDEX(EntryWit,$P106)))</f>
        <v/>
      </c>
      <c r="J106" s="29">
        <f>IF($B106="","",IF($A106=1,$C$7,IF(J105="",0,J105))+IF($H106="",0,$H106)-IF($I106="",0,$I106))</f>
        <v/>
      </c>
      <c r="K106" s="29">
        <f>IF($P106="","",IF(INDEX(EntryMan,$P106)=0,"",INDEX(EntryMan,$P106)))</f>
        <v/>
      </c>
      <c r="L106" s="28">
        <f>IF($B106="","",IF($K106="","—",IF(ROUND($K106-$J106,0)=0,"√","×")))</f>
        <v/>
      </c>
      <c r="M106" s="28">
        <f>IF($B106="","",IF(COUNTIFS(EntryDates,$B106,CalcTime,$C106,CalcBank,$C$5,EntryParty,$D106,EntryDep,$H106,EntryWit,$I106)&gt;1,"تکرار",""))</f>
        <v/>
      </c>
      <c r="N106" s="28">
        <f>IF($P106="","",IF(INDEX(EntryNotes,$P106)=0,"",INDEX(EntryNotes,$P106)))</f>
        <v/>
      </c>
      <c r="O106" s="28">
        <f>IF($P106="","",IF(INDEX(EntryTxnID,$P106)=0,"",INDEX(EntryTxnID,$P106)))</f>
        <v/>
      </c>
      <c r="P106" s="28">
        <f>IFERROR(MATCH($C$5&amp;"|"&amp;RIGHT("000000"&amp;90,6),CalcRankKey,0),"")</f>
        <v/>
      </c>
    </row>
    <row r="107">
      <c r="A107" s="26">
        <f>IF($B107="","",91)</f>
        <v/>
      </c>
      <c r="B107" s="26">
        <f>IF($P107="","",IF(INDEX(CalcNormDate,$P107)=0,"",INDEX(CalcNormDate,$P107)))</f>
        <v/>
      </c>
      <c r="C107" s="26">
        <f>IF($P107="","",IF(INDEX(CalcTime,$P107)=0,"",INDEX(CalcTime,$P107)))</f>
        <v/>
      </c>
      <c r="D107" s="26">
        <f>IF($P107="","",IF(INDEX(EntryParty,$P107)=0,"",INDEX(EntryParty,$P107)))</f>
        <v/>
      </c>
      <c r="E107" s="26">
        <f>IF($P107="","",IF(INDEX(EntryPartyName,$P107)=0,"",INDEX(EntryPartyName,$P107)))</f>
        <v/>
      </c>
      <c r="F107" s="26">
        <f>IF($P107="","",IF(INDEX(EntryPartyType,$P107)=0,"",INDEX(EntryPartyType,$P107)))</f>
        <v/>
      </c>
      <c r="G107" s="26">
        <f>IF($P107="","",IF(INDEX(EntryTxnType,$P107)=0,"",INDEX(EntryTxnType,$P107)))</f>
        <v/>
      </c>
      <c r="H107" s="27">
        <f>IF($P107="","",IF(INDEX(EntryDep,$P107)=0,"",INDEX(EntryDep,$P107)))</f>
        <v/>
      </c>
      <c r="I107" s="27">
        <f>IF($P107="","",IF(INDEX(EntryWit,$P107)=0,"",INDEX(EntryWit,$P107)))</f>
        <v/>
      </c>
      <c r="J107" s="27">
        <f>IF($B107="","",IF($A107=1,$C$7,IF(J106="",0,J106))+IF($H107="",0,$H107)-IF($I107="",0,$I107))</f>
        <v/>
      </c>
      <c r="K107" s="27">
        <f>IF($P107="","",IF(INDEX(EntryMan,$P107)=0,"",INDEX(EntryMan,$P107)))</f>
        <v/>
      </c>
      <c r="L107" s="26">
        <f>IF($B107="","",IF($K107="","—",IF(ROUND($K107-$J107,0)=0,"√","×")))</f>
        <v/>
      </c>
      <c r="M107" s="26">
        <f>IF($B107="","",IF(COUNTIFS(EntryDates,$B107,CalcTime,$C107,CalcBank,$C$5,EntryParty,$D107,EntryDep,$H107,EntryWit,$I107)&gt;1,"تکرار",""))</f>
        <v/>
      </c>
      <c r="N107" s="26">
        <f>IF($P107="","",IF(INDEX(EntryNotes,$P107)=0,"",INDEX(EntryNotes,$P107)))</f>
        <v/>
      </c>
      <c r="O107" s="26">
        <f>IF($P107="","",IF(INDEX(EntryTxnID,$P107)=0,"",INDEX(EntryTxnID,$P107)))</f>
        <v/>
      </c>
      <c r="P107" s="26">
        <f>IFERROR(MATCH($C$5&amp;"|"&amp;RIGHT("000000"&amp;91,6),CalcRankKey,0),"")</f>
        <v/>
      </c>
    </row>
    <row r="108">
      <c r="A108" s="28">
        <f>IF($B108="","",92)</f>
        <v/>
      </c>
      <c r="B108" s="28">
        <f>IF($P108="","",IF(INDEX(CalcNormDate,$P108)=0,"",INDEX(CalcNormDate,$P108)))</f>
        <v/>
      </c>
      <c r="C108" s="28">
        <f>IF($P108="","",IF(INDEX(CalcTime,$P108)=0,"",INDEX(CalcTime,$P108)))</f>
        <v/>
      </c>
      <c r="D108" s="28">
        <f>IF($P108="","",IF(INDEX(EntryParty,$P108)=0,"",INDEX(EntryParty,$P108)))</f>
        <v/>
      </c>
      <c r="E108" s="28">
        <f>IF($P108="","",IF(INDEX(EntryPartyName,$P108)=0,"",INDEX(EntryPartyName,$P108)))</f>
        <v/>
      </c>
      <c r="F108" s="28">
        <f>IF($P108="","",IF(INDEX(EntryPartyType,$P108)=0,"",INDEX(EntryPartyType,$P108)))</f>
        <v/>
      </c>
      <c r="G108" s="28">
        <f>IF($P108="","",IF(INDEX(EntryTxnType,$P108)=0,"",INDEX(EntryTxnType,$P108)))</f>
        <v/>
      </c>
      <c r="H108" s="29">
        <f>IF($P108="","",IF(INDEX(EntryDep,$P108)=0,"",INDEX(EntryDep,$P108)))</f>
        <v/>
      </c>
      <c r="I108" s="29">
        <f>IF($P108="","",IF(INDEX(EntryWit,$P108)=0,"",INDEX(EntryWit,$P108)))</f>
        <v/>
      </c>
      <c r="J108" s="29">
        <f>IF($B108="","",IF($A108=1,$C$7,IF(J107="",0,J107))+IF($H108="",0,$H108)-IF($I108="",0,$I108))</f>
        <v/>
      </c>
      <c r="K108" s="29">
        <f>IF($P108="","",IF(INDEX(EntryMan,$P108)=0,"",INDEX(EntryMan,$P108)))</f>
        <v/>
      </c>
      <c r="L108" s="28">
        <f>IF($B108="","",IF($K108="","—",IF(ROUND($K108-$J108,0)=0,"√","×")))</f>
        <v/>
      </c>
      <c r="M108" s="28">
        <f>IF($B108="","",IF(COUNTIFS(EntryDates,$B108,CalcTime,$C108,CalcBank,$C$5,EntryParty,$D108,EntryDep,$H108,EntryWit,$I108)&gt;1,"تکرار",""))</f>
        <v/>
      </c>
      <c r="N108" s="28">
        <f>IF($P108="","",IF(INDEX(EntryNotes,$P108)=0,"",INDEX(EntryNotes,$P108)))</f>
        <v/>
      </c>
      <c r="O108" s="28">
        <f>IF($P108="","",IF(INDEX(EntryTxnID,$P108)=0,"",INDEX(EntryTxnID,$P108)))</f>
        <v/>
      </c>
      <c r="P108" s="28">
        <f>IFERROR(MATCH($C$5&amp;"|"&amp;RIGHT("000000"&amp;92,6),CalcRankKey,0),"")</f>
        <v/>
      </c>
    </row>
    <row r="109">
      <c r="A109" s="26">
        <f>IF($B109="","",93)</f>
        <v/>
      </c>
      <c r="B109" s="26">
        <f>IF($P109="","",IF(INDEX(CalcNormDate,$P109)=0,"",INDEX(CalcNormDate,$P109)))</f>
        <v/>
      </c>
      <c r="C109" s="26">
        <f>IF($P109="","",IF(INDEX(CalcTime,$P109)=0,"",INDEX(CalcTime,$P109)))</f>
        <v/>
      </c>
      <c r="D109" s="26">
        <f>IF($P109="","",IF(INDEX(EntryParty,$P109)=0,"",INDEX(EntryParty,$P109)))</f>
        <v/>
      </c>
      <c r="E109" s="26">
        <f>IF($P109="","",IF(INDEX(EntryPartyName,$P109)=0,"",INDEX(EntryPartyName,$P109)))</f>
        <v/>
      </c>
      <c r="F109" s="26">
        <f>IF($P109="","",IF(INDEX(EntryPartyType,$P109)=0,"",INDEX(EntryPartyType,$P109)))</f>
        <v/>
      </c>
      <c r="G109" s="26">
        <f>IF($P109="","",IF(INDEX(EntryTxnType,$P109)=0,"",INDEX(EntryTxnType,$P109)))</f>
        <v/>
      </c>
      <c r="H109" s="27">
        <f>IF($P109="","",IF(INDEX(EntryDep,$P109)=0,"",INDEX(EntryDep,$P109)))</f>
        <v/>
      </c>
      <c r="I109" s="27">
        <f>IF($P109="","",IF(INDEX(EntryWit,$P109)=0,"",INDEX(EntryWit,$P109)))</f>
        <v/>
      </c>
      <c r="J109" s="27">
        <f>IF($B109="","",IF($A109=1,$C$7,IF(J108="",0,J108))+IF($H109="",0,$H109)-IF($I109="",0,$I109))</f>
        <v/>
      </c>
      <c r="K109" s="27">
        <f>IF($P109="","",IF(INDEX(EntryMan,$P109)=0,"",INDEX(EntryMan,$P109)))</f>
        <v/>
      </c>
      <c r="L109" s="26">
        <f>IF($B109="","",IF($K109="","—",IF(ROUND($K109-$J109,0)=0,"√","×")))</f>
        <v/>
      </c>
      <c r="M109" s="26">
        <f>IF($B109="","",IF(COUNTIFS(EntryDates,$B109,CalcTime,$C109,CalcBank,$C$5,EntryParty,$D109,EntryDep,$H109,EntryWit,$I109)&gt;1,"تکرار",""))</f>
        <v/>
      </c>
      <c r="N109" s="26">
        <f>IF($P109="","",IF(INDEX(EntryNotes,$P109)=0,"",INDEX(EntryNotes,$P109)))</f>
        <v/>
      </c>
      <c r="O109" s="26">
        <f>IF($P109="","",IF(INDEX(EntryTxnID,$P109)=0,"",INDEX(EntryTxnID,$P109)))</f>
        <v/>
      </c>
      <c r="P109" s="26">
        <f>IFERROR(MATCH($C$5&amp;"|"&amp;RIGHT("000000"&amp;93,6),CalcRankKey,0),"")</f>
        <v/>
      </c>
    </row>
    <row r="110">
      <c r="A110" s="28">
        <f>IF($B110="","",94)</f>
        <v/>
      </c>
      <c r="B110" s="28">
        <f>IF($P110="","",IF(INDEX(CalcNormDate,$P110)=0,"",INDEX(CalcNormDate,$P110)))</f>
        <v/>
      </c>
      <c r="C110" s="28">
        <f>IF($P110="","",IF(INDEX(CalcTime,$P110)=0,"",INDEX(CalcTime,$P110)))</f>
        <v/>
      </c>
      <c r="D110" s="28">
        <f>IF($P110="","",IF(INDEX(EntryParty,$P110)=0,"",INDEX(EntryParty,$P110)))</f>
        <v/>
      </c>
      <c r="E110" s="28">
        <f>IF($P110="","",IF(INDEX(EntryPartyName,$P110)=0,"",INDEX(EntryPartyName,$P110)))</f>
        <v/>
      </c>
      <c r="F110" s="28">
        <f>IF($P110="","",IF(INDEX(EntryPartyType,$P110)=0,"",INDEX(EntryPartyType,$P110)))</f>
        <v/>
      </c>
      <c r="G110" s="28">
        <f>IF($P110="","",IF(INDEX(EntryTxnType,$P110)=0,"",INDEX(EntryTxnType,$P110)))</f>
        <v/>
      </c>
      <c r="H110" s="29">
        <f>IF($P110="","",IF(INDEX(EntryDep,$P110)=0,"",INDEX(EntryDep,$P110)))</f>
        <v/>
      </c>
      <c r="I110" s="29">
        <f>IF($P110="","",IF(INDEX(EntryWit,$P110)=0,"",INDEX(EntryWit,$P110)))</f>
        <v/>
      </c>
      <c r="J110" s="29">
        <f>IF($B110="","",IF($A110=1,$C$7,IF(J109="",0,J109))+IF($H110="",0,$H110)-IF($I110="",0,$I110))</f>
        <v/>
      </c>
      <c r="K110" s="29">
        <f>IF($P110="","",IF(INDEX(EntryMan,$P110)=0,"",INDEX(EntryMan,$P110)))</f>
        <v/>
      </c>
      <c r="L110" s="28">
        <f>IF($B110="","",IF($K110="","—",IF(ROUND($K110-$J110,0)=0,"√","×")))</f>
        <v/>
      </c>
      <c r="M110" s="28">
        <f>IF($B110="","",IF(COUNTIFS(EntryDates,$B110,CalcTime,$C110,CalcBank,$C$5,EntryParty,$D110,EntryDep,$H110,EntryWit,$I110)&gt;1,"تکرار",""))</f>
        <v/>
      </c>
      <c r="N110" s="28">
        <f>IF($P110="","",IF(INDEX(EntryNotes,$P110)=0,"",INDEX(EntryNotes,$P110)))</f>
        <v/>
      </c>
      <c r="O110" s="28">
        <f>IF($P110="","",IF(INDEX(EntryTxnID,$P110)=0,"",INDEX(EntryTxnID,$P110)))</f>
        <v/>
      </c>
      <c r="P110" s="28">
        <f>IFERROR(MATCH($C$5&amp;"|"&amp;RIGHT("000000"&amp;94,6),CalcRankKey,0),"")</f>
        <v/>
      </c>
    </row>
    <row r="111">
      <c r="A111" s="26">
        <f>IF($B111="","",95)</f>
        <v/>
      </c>
      <c r="B111" s="26">
        <f>IF($P111="","",IF(INDEX(CalcNormDate,$P111)=0,"",INDEX(CalcNormDate,$P111)))</f>
        <v/>
      </c>
      <c r="C111" s="26">
        <f>IF($P111="","",IF(INDEX(CalcTime,$P111)=0,"",INDEX(CalcTime,$P111)))</f>
        <v/>
      </c>
      <c r="D111" s="26">
        <f>IF($P111="","",IF(INDEX(EntryParty,$P111)=0,"",INDEX(EntryParty,$P111)))</f>
        <v/>
      </c>
      <c r="E111" s="26">
        <f>IF($P111="","",IF(INDEX(EntryPartyName,$P111)=0,"",INDEX(EntryPartyName,$P111)))</f>
        <v/>
      </c>
      <c r="F111" s="26">
        <f>IF($P111="","",IF(INDEX(EntryPartyType,$P111)=0,"",INDEX(EntryPartyType,$P111)))</f>
        <v/>
      </c>
      <c r="G111" s="26">
        <f>IF($P111="","",IF(INDEX(EntryTxnType,$P111)=0,"",INDEX(EntryTxnType,$P111)))</f>
        <v/>
      </c>
      <c r="H111" s="27">
        <f>IF($P111="","",IF(INDEX(EntryDep,$P111)=0,"",INDEX(EntryDep,$P111)))</f>
        <v/>
      </c>
      <c r="I111" s="27">
        <f>IF($P111="","",IF(INDEX(EntryWit,$P111)=0,"",INDEX(EntryWit,$P111)))</f>
        <v/>
      </c>
      <c r="J111" s="27">
        <f>IF($B111="","",IF($A111=1,$C$7,IF(J110="",0,J110))+IF($H111="",0,$H111)-IF($I111="",0,$I111))</f>
        <v/>
      </c>
      <c r="K111" s="27">
        <f>IF($P111="","",IF(INDEX(EntryMan,$P111)=0,"",INDEX(EntryMan,$P111)))</f>
        <v/>
      </c>
      <c r="L111" s="26">
        <f>IF($B111="","",IF($K111="","—",IF(ROUND($K111-$J111,0)=0,"√","×")))</f>
        <v/>
      </c>
      <c r="M111" s="26">
        <f>IF($B111="","",IF(COUNTIFS(EntryDates,$B111,CalcTime,$C111,CalcBank,$C$5,EntryParty,$D111,EntryDep,$H111,EntryWit,$I111)&gt;1,"تکرار",""))</f>
        <v/>
      </c>
      <c r="N111" s="26">
        <f>IF($P111="","",IF(INDEX(EntryNotes,$P111)=0,"",INDEX(EntryNotes,$P111)))</f>
        <v/>
      </c>
      <c r="O111" s="26">
        <f>IF($P111="","",IF(INDEX(EntryTxnID,$P111)=0,"",INDEX(EntryTxnID,$P111)))</f>
        <v/>
      </c>
      <c r="P111" s="26">
        <f>IFERROR(MATCH($C$5&amp;"|"&amp;RIGHT("000000"&amp;95,6),CalcRankKey,0),"")</f>
        <v/>
      </c>
    </row>
    <row r="112">
      <c r="A112" s="28">
        <f>IF($B112="","",96)</f>
        <v/>
      </c>
      <c r="B112" s="28">
        <f>IF($P112="","",IF(INDEX(CalcNormDate,$P112)=0,"",INDEX(CalcNormDate,$P112)))</f>
        <v/>
      </c>
      <c r="C112" s="28">
        <f>IF($P112="","",IF(INDEX(CalcTime,$P112)=0,"",INDEX(CalcTime,$P112)))</f>
        <v/>
      </c>
      <c r="D112" s="28">
        <f>IF($P112="","",IF(INDEX(EntryParty,$P112)=0,"",INDEX(EntryParty,$P112)))</f>
        <v/>
      </c>
      <c r="E112" s="28">
        <f>IF($P112="","",IF(INDEX(EntryPartyName,$P112)=0,"",INDEX(EntryPartyName,$P112)))</f>
        <v/>
      </c>
      <c r="F112" s="28">
        <f>IF($P112="","",IF(INDEX(EntryPartyType,$P112)=0,"",INDEX(EntryPartyType,$P112)))</f>
        <v/>
      </c>
      <c r="G112" s="28">
        <f>IF($P112="","",IF(INDEX(EntryTxnType,$P112)=0,"",INDEX(EntryTxnType,$P112)))</f>
        <v/>
      </c>
      <c r="H112" s="29">
        <f>IF($P112="","",IF(INDEX(EntryDep,$P112)=0,"",INDEX(EntryDep,$P112)))</f>
        <v/>
      </c>
      <c r="I112" s="29">
        <f>IF($P112="","",IF(INDEX(EntryWit,$P112)=0,"",INDEX(EntryWit,$P112)))</f>
        <v/>
      </c>
      <c r="J112" s="29">
        <f>IF($B112="","",IF($A112=1,$C$7,IF(J111="",0,J111))+IF($H112="",0,$H112)-IF($I112="",0,$I112))</f>
        <v/>
      </c>
      <c r="K112" s="29">
        <f>IF($P112="","",IF(INDEX(EntryMan,$P112)=0,"",INDEX(EntryMan,$P112)))</f>
        <v/>
      </c>
      <c r="L112" s="28">
        <f>IF($B112="","",IF($K112="","—",IF(ROUND($K112-$J112,0)=0,"√","×")))</f>
        <v/>
      </c>
      <c r="M112" s="28">
        <f>IF($B112="","",IF(COUNTIFS(EntryDates,$B112,CalcTime,$C112,CalcBank,$C$5,EntryParty,$D112,EntryDep,$H112,EntryWit,$I112)&gt;1,"تکرار",""))</f>
        <v/>
      </c>
      <c r="N112" s="28">
        <f>IF($P112="","",IF(INDEX(EntryNotes,$P112)=0,"",INDEX(EntryNotes,$P112)))</f>
        <v/>
      </c>
      <c r="O112" s="28">
        <f>IF($P112="","",IF(INDEX(EntryTxnID,$P112)=0,"",INDEX(EntryTxnID,$P112)))</f>
        <v/>
      </c>
      <c r="P112" s="28">
        <f>IFERROR(MATCH($C$5&amp;"|"&amp;RIGHT("000000"&amp;96,6),CalcRankKey,0),"")</f>
        <v/>
      </c>
    </row>
    <row r="113">
      <c r="A113" s="26">
        <f>IF($B113="","",97)</f>
        <v/>
      </c>
      <c r="B113" s="26">
        <f>IF($P113="","",IF(INDEX(CalcNormDate,$P113)=0,"",INDEX(CalcNormDate,$P113)))</f>
        <v/>
      </c>
      <c r="C113" s="26">
        <f>IF($P113="","",IF(INDEX(CalcTime,$P113)=0,"",INDEX(CalcTime,$P113)))</f>
        <v/>
      </c>
      <c r="D113" s="26">
        <f>IF($P113="","",IF(INDEX(EntryParty,$P113)=0,"",INDEX(EntryParty,$P113)))</f>
        <v/>
      </c>
      <c r="E113" s="26">
        <f>IF($P113="","",IF(INDEX(EntryPartyName,$P113)=0,"",INDEX(EntryPartyName,$P113)))</f>
        <v/>
      </c>
      <c r="F113" s="26">
        <f>IF($P113="","",IF(INDEX(EntryPartyType,$P113)=0,"",INDEX(EntryPartyType,$P113)))</f>
        <v/>
      </c>
      <c r="G113" s="26">
        <f>IF($P113="","",IF(INDEX(EntryTxnType,$P113)=0,"",INDEX(EntryTxnType,$P113)))</f>
        <v/>
      </c>
      <c r="H113" s="27">
        <f>IF($P113="","",IF(INDEX(EntryDep,$P113)=0,"",INDEX(EntryDep,$P113)))</f>
        <v/>
      </c>
      <c r="I113" s="27">
        <f>IF($P113="","",IF(INDEX(EntryWit,$P113)=0,"",INDEX(EntryWit,$P113)))</f>
        <v/>
      </c>
      <c r="J113" s="27">
        <f>IF($B113="","",IF($A113=1,$C$7,IF(J112="",0,J112))+IF($H113="",0,$H113)-IF($I113="",0,$I113))</f>
        <v/>
      </c>
      <c r="K113" s="27">
        <f>IF($P113="","",IF(INDEX(EntryMan,$P113)=0,"",INDEX(EntryMan,$P113)))</f>
        <v/>
      </c>
      <c r="L113" s="26">
        <f>IF($B113="","",IF($K113="","—",IF(ROUND($K113-$J113,0)=0,"√","×")))</f>
        <v/>
      </c>
      <c r="M113" s="26">
        <f>IF($B113="","",IF(COUNTIFS(EntryDates,$B113,CalcTime,$C113,CalcBank,$C$5,EntryParty,$D113,EntryDep,$H113,EntryWit,$I113)&gt;1,"تکرار",""))</f>
        <v/>
      </c>
      <c r="N113" s="26">
        <f>IF($P113="","",IF(INDEX(EntryNotes,$P113)=0,"",INDEX(EntryNotes,$P113)))</f>
        <v/>
      </c>
      <c r="O113" s="26">
        <f>IF($P113="","",IF(INDEX(EntryTxnID,$P113)=0,"",INDEX(EntryTxnID,$P113)))</f>
        <v/>
      </c>
      <c r="P113" s="26">
        <f>IFERROR(MATCH($C$5&amp;"|"&amp;RIGHT("000000"&amp;97,6),CalcRankKey,0),"")</f>
        <v/>
      </c>
    </row>
    <row r="114">
      <c r="A114" s="28">
        <f>IF($B114="","",98)</f>
        <v/>
      </c>
      <c r="B114" s="28">
        <f>IF($P114="","",IF(INDEX(CalcNormDate,$P114)=0,"",INDEX(CalcNormDate,$P114)))</f>
        <v/>
      </c>
      <c r="C114" s="28">
        <f>IF($P114="","",IF(INDEX(CalcTime,$P114)=0,"",INDEX(CalcTime,$P114)))</f>
        <v/>
      </c>
      <c r="D114" s="28">
        <f>IF($P114="","",IF(INDEX(EntryParty,$P114)=0,"",INDEX(EntryParty,$P114)))</f>
        <v/>
      </c>
      <c r="E114" s="28">
        <f>IF($P114="","",IF(INDEX(EntryPartyName,$P114)=0,"",INDEX(EntryPartyName,$P114)))</f>
        <v/>
      </c>
      <c r="F114" s="28">
        <f>IF($P114="","",IF(INDEX(EntryPartyType,$P114)=0,"",INDEX(EntryPartyType,$P114)))</f>
        <v/>
      </c>
      <c r="G114" s="28">
        <f>IF($P114="","",IF(INDEX(EntryTxnType,$P114)=0,"",INDEX(EntryTxnType,$P114)))</f>
        <v/>
      </c>
      <c r="H114" s="29">
        <f>IF($P114="","",IF(INDEX(EntryDep,$P114)=0,"",INDEX(EntryDep,$P114)))</f>
        <v/>
      </c>
      <c r="I114" s="29">
        <f>IF($P114="","",IF(INDEX(EntryWit,$P114)=0,"",INDEX(EntryWit,$P114)))</f>
        <v/>
      </c>
      <c r="J114" s="29">
        <f>IF($B114="","",IF($A114=1,$C$7,IF(J113="",0,J113))+IF($H114="",0,$H114)-IF($I114="",0,$I114))</f>
        <v/>
      </c>
      <c r="K114" s="29">
        <f>IF($P114="","",IF(INDEX(EntryMan,$P114)=0,"",INDEX(EntryMan,$P114)))</f>
        <v/>
      </c>
      <c r="L114" s="28">
        <f>IF($B114="","",IF($K114="","—",IF(ROUND($K114-$J114,0)=0,"√","×")))</f>
        <v/>
      </c>
      <c r="M114" s="28">
        <f>IF($B114="","",IF(COUNTIFS(EntryDates,$B114,CalcTime,$C114,CalcBank,$C$5,EntryParty,$D114,EntryDep,$H114,EntryWit,$I114)&gt;1,"تکرار",""))</f>
        <v/>
      </c>
      <c r="N114" s="28">
        <f>IF($P114="","",IF(INDEX(EntryNotes,$P114)=0,"",INDEX(EntryNotes,$P114)))</f>
        <v/>
      </c>
      <c r="O114" s="28">
        <f>IF($P114="","",IF(INDEX(EntryTxnID,$P114)=0,"",INDEX(EntryTxnID,$P114)))</f>
        <v/>
      </c>
      <c r="P114" s="28">
        <f>IFERROR(MATCH($C$5&amp;"|"&amp;RIGHT("000000"&amp;98,6),CalcRankKey,0),"")</f>
        <v/>
      </c>
    </row>
    <row r="115">
      <c r="A115" s="26">
        <f>IF($B115="","",99)</f>
        <v/>
      </c>
      <c r="B115" s="26">
        <f>IF($P115="","",IF(INDEX(CalcNormDate,$P115)=0,"",INDEX(CalcNormDate,$P115)))</f>
        <v/>
      </c>
      <c r="C115" s="26">
        <f>IF($P115="","",IF(INDEX(CalcTime,$P115)=0,"",INDEX(CalcTime,$P115)))</f>
        <v/>
      </c>
      <c r="D115" s="26">
        <f>IF($P115="","",IF(INDEX(EntryParty,$P115)=0,"",INDEX(EntryParty,$P115)))</f>
        <v/>
      </c>
      <c r="E115" s="26">
        <f>IF($P115="","",IF(INDEX(EntryPartyName,$P115)=0,"",INDEX(EntryPartyName,$P115)))</f>
        <v/>
      </c>
      <c r="F115" s="26">
        <f>IF($P115="","",IF(INDEX(EntryPartyType,$P115)=0,"",INDEX(EntryPartyType,$P115)))</f>
        <v/>
      </c>
      <c r="G115" s="26">
        <f>IF($P115="","",IF(INDEX(EntryTxnType,$P115)=0,"",INDEX(EntryTxnType,$P115)))</f>
        <v/>
      </c>
      <c r="H115" s="27">
        <f>IF($P115="","",IF(INDEX(EntryDep,$P115)=0,"",INDEX(EntryDep,$P115)))</f>
        <v/>
      </c>
      <c r="I115" s="27">
        <f>IF($P115="","",IF(INDEX(EntryWit,$P115)=0,"",INDEX(EntryWit,$P115)))</f>
        <v/>
      </c>
      <c r="J115" s="27">
        <f>IF($B115="","",IF($A115=1,$C$7,IF(J114="",0,J114))+IF($H115="",0,$H115)-IF($I115="",0,$I115))</f>
        <v/>
      </c>
      <c r="K115" s="27">
        <f>IF($P115="","",IF(INDEX(EntryMan,$P115)=0,"",INDEX(EntryMan,$P115)))</f>
        <v/>
      </c>
      <c r="L115" s="26">
        <f>IF($B115="","",IF($K115="","—",IF(ROUND($K115-$J115,0)=0,"√","×")))</f>
        <v/>
      </c>
      <c r="M115" s="26">
        <f>IF($B115="","",IF(COUNTIFS(EntryDates,$B115,CalcTime,$C115,CalcBank,$C$5,EntryParty,$D115,EntryDep,$H115,EntryWit,$I115)&gt;1,"تکرار",""))</f>
        <v/>
      </c>
      <c r="N115" s="26">
        <f>IF($P115="","",IF(INDEX(EntryNotes,$P115)=0,"",INDEX(EntryNotes,$P115)))</f>
        <v/>
      </c>
      <c r="O115" s="26">
        <f>IF($P115="","",IF(INDEX(EntryTxnID,$P115)=0,"",INDEX(EntryTxnID,$P115)))</f>
        <v/>
      </c>
      <c r="P115" s="26">
        <f>IFERROR(MATCH($C$5&amp;"|"&amp;RIGHT("000000"&amp;99,6),CalcRankKey,0),"")</f>
        <v/>
      </c>
    </row>
    <row r="116">
      <c r="A116" s="28">
        <f>IF($B116="","",100)</f>
        <v/>
      </c>
      <c r="B116" s="28">
        <f>IF($P116="","",IF(INDEX(CalcNormDate,$P116)=0,"",INDEX(CalcNormDate,$P116)))</f>
        <v/>
      </c>
      <c r="C116" s="28">
        <f>IF($P116="","",IF(INDEX(CalcTime,$P116)=0,"",INDEX(CalcTime,$P116)))</f>
        <v/>
      </c>
      <c r="D116" s="28">
        <f>IF($P116="","",IF(INDEX(EntryParty,$P116)=0,"",INDEX(EntryParty,$P116)))</f>
        <v/>
      </c>
      <c r="E116" s="28">
        <f>IF($P116="","",IF(INDEX(EntryPartyName,$P116)=0,"",INDEX(EntryPartyName,$P116)))</f>
        <v/>
      </c>
      <c r="F116" s="28">
        <f>IF($P116="","",IF(INDEX(EntryPartyType,$P116)=0,"",INDEX(EntryPartyType,$P116)))</f>
        <v/>
      </c>
      <c r="G116" s="28">
        <f>IF($P116="","",IF(INDEX(EntryTxnType,$P116)=0,"",INDEX(EntryTxnType,$P116)))</f>
        <v/>
      </c>
      <c r="H116" s="29">
        <f>IF($P116="","",IF(INDEX(EntryDep,$P116)=0,"",INDEX(EntryDep,$P116)))</f>
        <v/>
      </c>
      <c r="I116" s="29">
        <f>IF($P116="","",IF(INDEX(EntryWit,$P116)=0,"",INDEX(EntryWit,$P116)))</f>
        <v/>
      </c>
      <c r="J116" s="29">
        <f>IF($B116="","",IF($A116=1,$C$7,IF(J115="",0,J115))+IF($H116="",0,$H116)-IF($I116="",0,$I116))</f>
        <v/>
      </c>
      <c r="K116" s="29">
        <f>IF($P116="","",IF(INDEX(EntryMan,$P116)=0,"",INDEX(EntryMan,$P116)))</f>
        <v/>
      </c>
      <c r="L116" s="28">
        <f>IF($B116="","",IF($K116="","—",IF(ROUND($K116-$J116,0)=0,"√","×")))</f>
        <v/>
      </c>
      <c r="M116" s="28">
        <f>IF($B116="","",IF(COUNTIFS(EntryDates,$B116,CalcTime,$C116,CalcBank,$C$5,EntryParty,$D116,EntryDep,$H116,EntryWit,$I116)&gt;1,"تکرار",""))</f>
        <v/>
      </c>
      <c r="N116" s="28">
        <f>IF($P116="","",IF(INDEX(EntryNotes,$P116)=0,"",INDEX(EntryNotes,$P116)))</f>
        <v/>
      </c>
      <c r="O116" s="28">
        <f>IF($P116="","",IF(INDEX(EntryTxnID,$P116)=0,"",INDEX(EntryTxnID,$P116)))</f>
        <v/>
      </c>
      <c r="P116" s="28">
        <f>IFERROR(MATCH($C$5&amp;"|"&amp;RIGHT("000000"&amp;100,6),CalcRankKey,0),"")</f>
        <v/>
      </c>
    </row>
    <row r="117">
      <c r="A117" s="26">
        <f>IF($B117="","",101)</f>
        <v/>
      </c>
      <c r="B117" s="26">
        <f>IF($P117="","",IF(INDEX(CalcNormDate,$P117)=0,"",INDEX(CalcNormDate,$P117)))</f>
        <v/>
      </c>
      <c r="C117" s="26">
        <f>IF($P117="","",IF(INDEX(CalcTime,$P117)=0,"",INDEX(CalcTime,$P117)))</f>
        <v/>
      </c>
      <c r="D117" s="26">
        <f>IF($P117="","",IF(INDEX(EntryParty,$P117)=0,"",INDEX(EntryParty,$P117)))</f>
        <v/>
      </c>
      <c r="E117" s="26">
        <f>IF($P117="","",IF(INDEX(EntryPartyName,$P117)=0,"",INDEX(EntryPartyName,$P117)))</f>
        <v/>
      </c>
      <c r="F117" s="26">
        <f>IF($P117="","",IF(INDEX(EntryPartyType,$P117)=0,"",INDEX(EntryPartyType,$P117)))</f>
        <v/>
      </c>
      <c r="G117" s="26">
        <f>IF($P117="","",IF(INDEX(EntryTxnType,$P117)=0,"",INDEX(EntryTxnType,$P117)))</f>
        <v/>
      </c>
      <c r="H117" s="27">
        <f>IF($P117="","",IF(INDEX(EntryDep,$P117)=0,"",INDEX(EntryDep,$P117)))</f>
        <v/>
      </c>
      <c r="I117" s="27">
        <f>IF($P117="","",IF(INDEX(EntryWit,$P117)=0,"",INDEX(EntryWit,$P117)))</f>
        <v/>
      </c>
      <c r="J117" s="27">
        <f>IF($B117="","",IF($A117=1,$C$7,IF(J116="",0,J116))+IF($H117="",0,$H117)-IF($I117="",0,$I117))</f>
        <v/>
      </c>
      <c r="K117" s="27">
        <f>IF($P117="","",IF(INDEX(EntryMan,$P117)=0,"",INDEX(EntryMan,$P117)))</f>
        <v/>
      </c>
      <c r="L117" s="26">
        <f>IF($B117="","",IF($K117="","—",IF(ROUND($K117-$J117,0)=0,"√","×")))</f>
        <v/>
      </c>
      <c r="M117" s="26">
        <f>IF($B117="","",IF(COUNTIFS(EntryDates,$B117,CalcTime,$C117,CalcBank,$C$5,EntryParty,$D117,EntryDep,$H117,EntryWit,$I117)&gt;1,"تکرار",""))</f>
        <v/>
      </c>
      <c r="N117" s="26">
        <f>IF($P117="","",IF(INDEX(EntryNotes,$P117)=0,"",INDEX(EntryNotes,$P117)))</f>
        <v/>
      </c>
      <c r="O117" s="26">
        <f>IF($P117="","",IF(INDEX(EntryTxnID,$P117)=0,"",INDEX(EntryTxnID,$P117)))</f>
        <v/>
      </c>
      <c r="P117" s="26">
        <f>IFERROR(MATCH($C$5&amp;"|"&amp;RIGHT("000000"&amp;101,6),CalcRankKey,0),"")</f>
        <v/>
      </c>
    </row>
    <row r="118">
      <c r="A118" s="28">
        <f>IF($B118="","",102)</f>
        <v/>
      </c>
      <c r="B118" s="28">
        <f>IF($P118="","",IF(INDEX(CalcNormDate,$P118)=0,"",INDEX(CalcNormDate,$P118)))</f>
        <v/>
      </c>
      <c r="C118" s="28">
        <f>IF($P118="","",IF(INDEX(CalcTime,$P118)=0,"",INDEX(CalcTime,$P118)))</f>
        <v/>
      </c>
      <c r="D118" s="28">
        <f>IF($P118="","",IF(INDEX(EntryParty,$P118)=0,"",INDEX(EntryParty,$P118)))</f>
        <v/>
      </c>
      <c r="E118" s="28">
        <f>IF($P118="","",IF(INDEX(EntryPartyName,$P118)=0,"",INDEX(EntryPartyName,$P118)))</f>
        <v/>
      </c>
      <c r="F118" s="28">
        <f>IF($P118="","",IF(INDEX(EntryPartyType,$P118)=0,"",INDEX(EntryPartyType,$P118)))</f>
        <v/>
      </c>
      <c r="G118" s="28">
        <f>IF($P118="","",IF(INDEX(EntryTxnType,$P118)=0,"",INDEX(EntryTxnType,$P118)))</f>
        <v/>
      </c>
      <c r="H118" s="29">
        <f>IF($P118="","",IF(INDEX(EntryDep,$P118)=0,"",INDEX(EntryDep,$P118)))</f>
        <v/>
      </c>
      <c r="I118" s="29">
        <f>IF($P118="","",IF(INDEX(EntryWit,$P118)=0,"",INDEX(EntryWit,$P118)))</f>
        <v/>
      </c>
      <c r="J118" s="29">
        <f>IF($B118="","",IF($A118=1,$C$7,IF(J117="",0,J117))+IF($H118="",0,$H118)-IF($I118="",0,$I118))</f>
        <v/>
      </c>
      <c r="K118" s="29">
        <f>IF($P118="","",IF(INDEX(EntryMan,$P118)=0,"",INDEX(EntryMan,$P118)))</f>
        <v/>
      </c>
      <c r="L118" s="28">
        <f>IF($B118="","",IF($K118="","—",IF(ROUND($K118-$J118,0)=0,"√","×")))</f>
        <v/>
      </c>
      <c r="M118" s="28">
        <f>IF($B118="","",IF(COUNTIFS(EntryDates,$B118,CalcTime,$C118,CalcBank,$C$5,EntryParty,$D118,EntryDep,$H118,EntryWit,$I118)&gt;1,"تکرار",""))</f>
        <v/>
      </c>
      <c r="N118" s="28">
        <f>IF($P118="","",IF(INDEX(EntryNotes,$P118)=0,"",INDEX(EntryNotes,$P118)))</f>
        <v/>
      </c>
      <c r="O118" s="28">
        <f>IF($P118="","",IF(INDEX(EntryTxnID,$P118)=0,"",INDEX(EntryTxnID,$P118)))</f>
        <v/>
      </c>
      <c r="P118" s="28">
        <f>IFERROR(MATCH($C$5&amp;"|"&amp;RIGHT("000000"&amp;102,6),CalcRankKey,0),"")</f>
        <v/>
      </c>
    </row>
    <row r="119">
      <c r="A119" s="26">
        <f>IF($B119="","",103)</f>
        <v/>
      </c>
      <c r="B119" s="26">
        <f>IF($P119="","",IF(INDEX(CalcNormDate,$P119)=0,"",INDEX(CalcNormDate,$P119)))</f>
        <v/>
      </c>
      <c r="C119" s="26">
        <f>IF($P119="","",IF(INDEX(CalcTime,$P119)=0,"",INDEX(CalcTime,$P119)))</f>
        <v/>
      </c>
      <c r="D119" s="26">
        <f>IF($P119="","",IF(INDEX(EntryParty,$P119)=0,"",INDEX(EntryParty,$P119)))</f>
        <v/>
      </c>
      <c r="E119" s="26">
        <f>IF($P119="","",IF(INDEX(EntryPartyName,$P119)=0,"",INDEX(EntryPartyName,$P119)))</f>
        <v/>
      </c>
      <c r="F119" s="26">
        <f>IF($P119="","",IF(INDEX(EntryPartyType,$P119)=0,"",INDEX(EntryPartyType,$P119)))</f>
        <v/>
      </c>
      <c r="G119" s="26">
        <f>IF($P119="","",IF(INDEX(EntryTxnType,$P119)=0,"",INDEX(EntryTxnType,$P119)))</f>
        <v/>
      </c>
      <c r="H119" s="27">
        <f>IF($P119="","",IF(INDEX(EntryDep,$P119)=0,"",INDEX(EntryDep,$P119)))</f>
        <v/>
      </c>
      <c r="I119" s="27">
        <f>IF($P119="","",IF(INDEX(EntryWit,$P119)=0,"",INDEX(EntryWit,$P119)))</f>
        <v/>
      </c>
      <c r="J119" s="27">
        <f>IF($B119="","",IF($A119=1,$C$7,IF(J118="",0,J118))+IF($H119="",0,$H119)-IF($I119="",0,$I119))</f>
        <v/>
      </c>
      <c r="K119" s="27">
        <f>IF($P119="","",IF(INDEX(EntryMan,$P119)=0,"",INDEX(EntryMan,$P119)))</f>
        <v/>
      </c>
      <c r="L119" s="26">
        <f>IF($B119="","",IF($K119="","—",IF(ROUND($K119-$J119,0)=0,"√","×")))</f>
        <v/>
      </c>
      <c r="M119" s="26">
        <f>IF($B119="","",IF(COUNTIFS(EntryDates,$B119,CalcTime,$C119,CalcBank,$C$5,EntryParty,$D119,EntryDep,$H119,EntryWit,$I119)&gt;1,"تکرار",""))</f>
        <v/>
      </c>
      <c r="N119" s="26">
        <f>IF($P119="","",IF(INDEX(EntryNotes,$P119)=0,"",INDEX(EntryNotes,$P119)))</f>
        <v/>
      </c>
      <c r="O119" s="26">
        <f>IF($P119="","",IF(INDEX(EntryTxnID,$P119)=0,"",INDEX(EntryTxnID,$P119)))</f>
        <v/>
      </c>
      <c r="P119" s="26">
        <f>IFERROR(MATCH($C$5&amp;"|"&amp;RIGHT("000000"&amp;103,6),CalcRankKey,0),"")</f>
        <v/>
      </c>
    </row>
    <row r="120">
      <c r="A120" s="28">
        <f>IF($B120="","",104)</f>
        <v/>
      </c>
      <c r="B120" s="28">
        <f>IF($P120="","",IF(INDEX(CalcNormDate,$P120)=0,"",INDEX(CalcNormDate,$P120)))</f>
        <v/>
      </c>
      <c r="C120" s="28">
        <f>IF($P120="","",IF(INDEX(CalcTime,$P120)=0,"",INDEX(CalcTime,$P120)))</f>
        <v/>
      </c>
      <c r="D120" s="28">
        <f>IF($P120="","",IF(INDEX(EntryParty,$P120)=0,"",INDEX(EntryParty,$P120)))</f>
        <v/>
      </c>
      <c r="E120" s="28">
        <f>IF($P120="","",IF(INDEX(EntryPartyName,$P120)=0,"",INDEX(EntryPartyName,$P120)))</f>
        <v/>
      </c>
      <c r="F120" s="28">
        <f>IF($P120="","",IF(INDEX(EntryPartyType,$P120)=0,"",INDEX(EntryPartyType,$P120)))</f>
        <v/>
      </c>
      <c r="G120" s="28">
        <f>IF($P120="","",IF(INDEX(EntryTxnType,$P120)=0,"",INDEX(EntryTxnType,$P120)))</f>
        <v/>
      </c>
      <c r="H120" s="29">
        <f>IF($P120="","",IF(INDEX(EntryDep,$P120)=0,"",INDEX(EntryDep,$P120)))</f>
        <v/>
      </c>
      <c r="I120" s="29">
        <f>IF($P120="","",IF(INDEX(EntryWit,$P120)=0,"",INDEX(EntryWit,$P120)))</f>
        <v/>
      </c>
      <c r="J120" s="29">
        <f>IF($B120="","",IF($A120=1,$C$7,IF(J119="",0,J119))+IF($H120="",0,$H120)-IF($I120="",0,$I120))</f>
        <v/>
      </c>
      <c r="K120" s="29">
        <f>IF($P120="","",IF(INDEX(EntryMan,$P120)=0,"",INDEX(EntryMan,$P120)))</f>
        <v/>
      </c>
      <c r="L120" s="28">
        <f>IF($B120="","",IF($K120="","—",IF(ROUND($K120-$J120,0)=0,"√","×")))</f>
        <v/>
      </c>
      <c r="M120" s="28">
        <f>IF($B120="","",IF(COUNTIFS(EntryDates,$B120,CalcTime,$C120,CalcBank,$C$5,EntryParty,$D120,EntryDep,$H120,EntryWit,$I120)&gt;1,"تکرار",""))</f>
        <v/>
      </c>
      <c r="N120" s="28">
        <f>IF($P120="","",IF(INDEX(EntryNotes,$P120)=0,"",INDEX(EntryNotes,$P120)))</f>
        <v/>
      </c>
      <c r="O120" s="28">
        <f>IF($P120="","",IF(INDEX(EntryTxnID,$P120)=0,"",INDEX(EntryTxnID,$P120)))</f>
        <v/>
      </c>
      <c r="P120" s="28">
        <f>IFERROR(MATCH($C$5&amp;"|"&amp;RIGHT("000000"&amp;104,6),CalcRankKey,0),"")</f>
        <v/>
      </c>
    </row>
    <row r="121">
      <c r="A121" s="26">
        <f>IF($B121="","",105)</f>
        <v/>
      </c>
      <c r="B121" s="26">
        <f>IF($P121="","",IF(INDEX(CalcNormDate,$P121)=0,"",INDEX(CalcNormDate,$P121)))</f>
        <v/>
      </c>
      <c r="C121" s="26">
        <f>IF($P121="","",IF(INDEX(CalcTime,$P121)=0,"",INDEX(CalcTime,$P121)))</f>
        <v/>
      </c>
      <c r="D121" s="26">
        <f>IF($P121="","",IF(INDEX(EntryParty,$P121)=0,"",INDEX(EntryParty,$P121)))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IF($P121="","",IF(INDEX(EntryPartyType,$P121)=0,"",INDEX(EntryPartyType,$P121)))</f>
        <v/>
      </c>
      <c r="G121" s="26">
        <f>IF($P121="","",IF(INDEX(EntryTxnType,$P121)=0,"",INDEX(EntryTxnType,$P121)))</f>
        <v/>
      </c>
      <c r="H121" s="27">
        <f>IF($P121="","",IF(INDEX(EntryDep,$P121)=0,"",INDEX(EntryDep,$P121)))</f>
        <v/>
      </c>
      <c r="I121" s="27">
        <f>IF($P121="","",IF(INDEX(EntryWit,$P121)=0,"",INDEX(EntryWit,$P121)))</f>
        <v/>
      </c>
      <c r="J121" s="27">
        <f>IF($B121="","",IF($A121=1,$C$7,IF(J120="",0,J120))+IF($H121="",0,$H121)-IF($I121="",0,$I121))</f>
        <v/>
      </c>
      <c r="K121" s="27">
        <f>IF($P121="","",IF(INDEX(EntryMan,$P121)=0,"",INDEX(EntryMan,$P121)))</f>
        <v/>
      </c>
      <c r="L121" s="26">
        <f>IF($B121="","",IF($K121="","—",IF(ROUND($K121-$J121,0)=0,"√","×")))</f>
        <v/>
      </c>
      <c r="M121" s="26">
        <f>IF($B121="","",IF(COUNTIFS(EntryDates,$B121,CalcTime,$C121,CalcBank,$C$5,EntryParty,$D121,EntryDep,$H121,EntryWit,$I121)&gt;1,"تکرار",""))</f>
        <v/>
      </c>
      <c r="N121" s="26">
        <f>IF($P121="","",IF(INDEX(EntryNotes,$P121)=0,"",INDEX(EntryNotes,$P121)))</f>
        <v/>
      </c>
      <c r="O121" s="26">
        <f>IF($P121="","",IF(INDEX(EntryTxnID,$P121)=0,"",INDEX(EntryTxnID,$P121)))</f>
        <v/>
      </c>
      <c r="P121" s="26">
        <f>IFERROR(MATCH($C$5&amp;"|"&amp;RIGHT("000000"&amp;105,6),CalcRankKey,0),"")</f>
        <v/>
      </c>
    </row>
    <row r="122">
      <c r="A122" s="28">
        <f>IF($B122="","",106)</f>
        <v/>
      </c>
      <c r="B122" s="28">
        <f>IF($P122="","",IF(INDEX(CalcNormDate,$P122)=0,"",INDEX(CalcNormDate,$P122)))</f>
        <v/>
      </c>
      <c r="C122" s="28">
        <f>IF($P122="","",IF(INDEX(CalcTime,$P122)=0,"",INDEX(CalcTime,$P122)))</f>
        <v/>
      </c>
      <c r="D122" s="28">
        <f>IF($P122="","",IF(INDEX(EntryParty,$P122)=0,"",INDEX(EntryParty,$P122)))</f>
        <v/>
      </c>
      <c r="E122" s="28">
        <f>IF($P122="","",IF(INDEX(EntryPartyName,$P122)=0,"",INDEX(EntryPartyName,$P122)))</f>
        <v/>
      </c>
      <c r="F122" s="28">
        <f>IF($P122="","",IF(INDEX(EntryPartyType,$P122)=0,"",INDEX(EntryPartyType,$P122)))</f>
        <v/>
      </c>
      <c r="G122" s="28">
        <f>IF($P122="","",IF(INDEX(EntryTxnType,$P122)=0,"",INDEX(EntryTxnType,$P122)))</f>
        <v/>
      </c>
      <c r="H122" s="29">
        <f>IF($P122="","",IF(INDEX(EntryDep,$P122)=0,"",INDEX(EntryDep,$P122)))</f>
        <v/>
      </c>
      <c r="I122" s="29">
        <f>IF($P122="","",IF(INDEX(EntryWit,$P122)=0,"",INDEX(EntryWit,$P122)))</f>
        <v/>
      </c>
      <c r="J122" s="29">
        <f>IF($B122="","",IF($A122=1,$C$7,IF(J121="",0,J121))+IF($H122="",0,$H122)-IF($I122="",0,$I122))</f>
        <v/>
      </c>
      <c r="K122" s="29">
        <f>IF($P122="","",IF(INDEX(EntryMan,$P122)=0,"",INDEX(EntryMan,$P122)))</f>
        <v/>
      </c>
      <c r="L122" s="28">
        <f>IF($B122="","",IF($K122="","—",IF(ROUND($K122-$J122,0)=0,"√","×")))</f>
        <v/>
      </c>
      <c r="M122" s="28">
        <f>IF($B122="","",IF(COUNTIFS(EntryDates,$B122,CalcTime,$C122,CalcBank,$C$5,EntryParty,$D122,EntryDep,$H122,EntryWit,$I122)&gt;1,"تکرار",""))</f>
        <v/>
      </c>
      <c r="N122" s="28">
        <f>IF($P122="","",IF(INDEX(EntryNotes,$P122)=0,"",INDEX(EntryNotes,$P122)))</f>
        <v/>
      </c>
      <c r="O122" s="28">
        <f>IF($P122="","",IF(INDEX(EntryTxnID,$P122)=0,"",INDEX(EntryTxnID,$P122)))</f>
        <v/>
      </c>
      <c r="P122" s="28">
        <f>IFERROR(MATCH($C$5&amp;"|"&amp;RIGHT("000000"&amp;106,6),CalcRankKey,0),"")</f>
        <v/>
      </c>
    </row>
    <row r="123">
      <c r="A123" s="26">
        <f>IF($B123="","",107)</f>
        <v/>
      </c>
      <c r="B123" s="26">
        <f>IF($P123="","",IF(INDEX(CalcNormDate,$P123)=0,"",INDEX(CalcNormDate,$P123)))</f>
        <v/>
      </c>
      <c r="C123" s="26">
        <f>IF($P123="","",IF(INDEX(CalcTime,$P123)=0,"",INDEX(CalcTime,$P123)))</f>
        <v/>
      </c>
      <c r="D123" s="26">
        <f>IF($P123="","",IF(INDEX(EntryParty,$P123)=0,"",INDEX(EntryParty,$P123)))</f>
        <v/>
      </c>
      <c r="E123" s="26">
        <f>IF($P123="","",IF(INDEX(EntryPartyName,$P123)=0,"",INDEX(EntryPartyName,$P123)))</f>
        <v/>
      </c>
      <c r="F123" s="26">
        <f>IF($P123="","",IF(INDEX(EntryPartyType,$P123)=0,"",INDEX(EntryPartyType,$P123)))</f>
        <v/>
      </c>
      <c r="G123" s="26">
        <f>IF($P123="","",IF(INDEX(EntryTxnType,$P123)=0,"",INDEX(EntryTxnType,$P123)))</f>
        <v/>
      </c>
      <c r="H123" s="27">
        <f>IF($P123="","",IF(INDEX(EntryDep,$P123)=0,"",INDEX(EntryDep,$P123)))</f>
        <v/>
      </c>
      <c r="I123" s="27">
        <f>IF($P123="","",IF(INDEX(EntryWit,$P123)=0,"",INDEX(EntryWit,$P123)))</f>
        <v/>
      </c>
      <c r="J123" s="27">
        <f>IF($B123="","",IF($A123=1,$C$7,IF(J122="",0,J122))+IF($H123="",0,$H123)-IF($I123="",0,$I123))</f>
        <v/>
      </c>
      <c r="K123" s="27">
        <f>IF($P123="","",IF(INDEX(EntryMan,$P123)=0,"",INDEX(EntryMan,$P123)))</f>
        <v/>
      </c>
      <c r="L123" s="26">
        <f>IF($B123="","",IF($K123="","—",IF(ROUND($K123-$J123,0)=0,"√","×")))</f>
        <v/>
      </c>
      <c r="M123" s="26">
        <f>IF($B123="","",IF(COUNTIFS(EntryDates,$B123,CalcTime,$C123,CalcBank,$C$5,EntryParty,$D123,EntryDep,$H123,EntryWit,$I123)&gt;1,"تکرار",""))</f>
        <v/>
      </c>
      <c r="N123" s="26">
        <f>IF($P123="","",IF(INDEX(EntryNotes,$P123)=0,"",INDEX(EntryNotes,$P123)))</f>
        <v/>
      </c>
      <c r="O123" s="26">
        <f>IF($P123="","",IF(INDEX(EntryTxnID,$P123)=0,"",INDEX(EntryTxnID,$P123)))</f>
        <v/>
      </c>
      <c r="P123" s="26">
        <f>IFERROR(MATCH($C$5&amp;"|"&amp;RIGHT("000000"&amp;107,6),CalcRankKey,0),"")</f>
        <v/>
      </c>
    </row>
    <row r="124">
      <c r="A124" s="28">
        <f>IF($B124="","",108)</f>
        <v/>
      </c>
      <c r="B124" s="28">
        <f>IF($P124="","",IF(INDEX(CalcNormDate,$P124)=0,"",INDEX(CalcNormDate,$P124)))</f>
        <v/>
      </c>
      <c r="C124" s="28">
        <f>IF($P124="","",IF(INDEX(CalcTime,$P124)=0,"",INDEX(CalcTime,$P124)))</f>
        <v/>
      </c>
      <c r="D124" s="28">
        <f>IF($P124="","",IF(INDEX(EntryParty,$P124)=0,"",INDEX(EntryParty,$P124)))</f>
        <v/>
      </c>
      <c r="E124" s="28">
        <f>IF($P124="","",IF(INDEX(EntryPartyName,$P124)=0,"",INDEX(EntryPartyName,$P124)))</f>
        <v/>
      </c>
      <c r="F124" s="28">
        <f>IF($P124="","",IF(INDEX(EntryPartyType,$P124)=0,"",INDEX(EntryPartyType,$P124)))</f>
        <v/>
      </c>
      <c r="G124" s="28">
        <f>IF($P124="","",IF(INDEX(EntryTxnType,$P124)=0,"",INDEX(EntryTxnType,$P124)))</f>
        <v/>
      </c>
      <c r="H124" s="29">
        <f>IF($P124="","",IF(INDEX(EntryDep,$P124)=0,"",INDEX(EntryDep,$P124)))</f>
        <v/>
      </c>
      <c r="I124" s="29">
        <f>IF($P124="","",IF(INDEX(EntryWit,$P124)=0,"",INDEX(EntryWit,$P124)))</f>
        <v/>
      </c>
      <c r="J124" s="29">
        <f>IF($B124="","",IF($A124=1,$C$7,IF(J123="",0,J123))+IF($H124="",0,$H124)-IF($I124="",0,$I124))</f>
        <v/>
      </c>
      <c r="K124" s="29">
        <f>IF($P124="","",IF(INDEX(EntryMan,$P124)=0,"",INDEX(EntryMan,$P124)))</f>
        <v/>
      </c>
      <c r="L124" s="28">
        <f>IF($B124="","",IF($K124="","—",IF(ROUND($K124-$J124,0)=0,"√","×")))</f>
        <v/>
      </c>
      <c r="M124" s="28">
        <f>IF($B124="","",IF(COUNTIFS(EntryDates,$B124,CalcTime,$C124,CalcBank,$C$5,EntryParty,$D124,EntryDep,$H124,EntryWit,$I124)&gt;1,"تکرار",""))</f>
        <v/>
      </c>
      <c r="N124" s="28">
        <f>IF($P124="","",IF(INDEX(EntryNotes,$P124)=0,"",INDEX(EntryNotes,$P124)))</f>
        <v/>
      </c>
      <c r="O124" s="28">
        <f>IF($P124="","",IF(INDEX(EntryTxnID,$P124)=0,"",INDEX(EntryTxnID,$P124)))</f>
        <v/>
      </c>
      <c r="P124" s="28">
        <f>IFERROR(MATCH($C$5&amp;"|"&amp;RIGHT("000000"&amp;108,6),CalcRankKey,0),"")</f>
        <v/>
      </c>
    </row>
    <row r="125">
      <c r="A125" s="26">
        <f>IF($B125="","",109)</f>
        <v/>
      </c>
      <c r="B125" s="26">
        <f>IF($P125="","",IF(INDEX(CalcNormDate,$P125)=0,"",INDEX(CalcNormDate,$P125)))</f>
        <v/>
      </c>
      <c r="C125" s="26">
        <f>IF($P125="","",IF(INDEX(CalcTime,$P125)=0,"",INDEX(CalcTime,$P125)))</f>
        <v/>
      </c>
      <c r="D125" s="26">
        <f>IF($P125="","",IF(INDEX(EntryParty,$P125)=0,"",INDEX(EntryParty,$P125)))</f>
        <v/>
      </c>
      <c r="E125" s="26">
        <f>IF($P125="","",IF(INDEX(EntryPartyName,$P125)=0,"",INDEX(EntryPartyName,$P125)))</f>
        <v/>
      </c>
      <c r="F125" s="26">
        <f>IF($P125="","",IF(INDEX(EntryPartyType,$P125)=0,"",INDEX(EntryPartyType,$P125)))</f>
        <v/>
      </c>
      <c r="G125" s="26">
        <f>IF($P125="","",IF(INDEX(EntryTxnType,$P125)=0,"",INDEX(EntryTxnType,$P125)))</f>
        <v/>
      </c>
      <c r="H125" s="27">
        <f>IF($P125="","",IF(INDEX(EntryDep,$P125)=0,"",INDEX(EntryDep,$P125)))</f>
        <v/>
      </c>
      <c r="I125" s="27">
        <f>IF($P125="","",IF(INDEX(EntryWit,$P125)=0,"",INDEX(EntryWit,$P125)))</f>
        <v/>
      </c>
      <c r="J125" s="27">
        <f>IF($B125="","",IF($A125=1,$C$7,IF(J124="",0,J124))+IF($H125="",0,$H125)-IF($I125="",0,$I125))</f>
        <v/>
      </c>
      <c r="K125" s="27">
        <f>IF($P125="","",IF(INDEX(EntryMan,$P125)=0,"",INDEX(EntryMan,$P125)))</f>
        <v/>
      </c>
      <c r="L125" s="26">
        <f>IF($B125="","",IF($K125="","—",IF(ROUND($K125-$J125,0)=0,"√","×")))</f>
        <v/>
      </c>
      <c r="M125" s="26">
        <f>IF($B125="","",IF(COUNTIFS(EntryDates,$B125,CalcTime,$C125,CalcBank,$C$5,EntryParty,$D125,EntryDep,$H125,EntryWit,$I125)&gt;1,"تکرار",""))</f>
        <v/>
      </c>
      <c r="N125" s="26">
        <f>IF($P125="","",IF(INDEX(EntryNotes,$P125)=0,"",INDEX(EntryNotes,$P125)))</f>
        <v/>
      </c>
      <c r="O125" s="26">
        <f>IF($P125="","",IF(INDEX(EntryTxnID,$P125)=0,"",INDEX(EntryTxnID,$P125)))</f>
        <v/>
      </c>
      <c r="P125" s="26">
        <f>IFERROR(MATCH($C$5&amp;"|"&amp;RIGHT("000000"&amp;109,6),CalcRankKey,0),"")</f>
        <v/>
      </c>
    </row>
    <row r="126">
      <c r="A126" s="28">
        <f>IF($B126="","",110)</f>
        <v/>
      </c>
      <c r="B126" s="28">
        <f>IF($P126="","",IF(INDEX(CalcNormDate,$P126)=0,"",INDEX(CalcNormDate,$P126)))</f>
        <v/>
      </c>
      <c r="C126" s="28">
        <f>IF($P126="","",IF(INDEX(CalcTime,$P126)=0,"",INDEX(CalcTime,$P126)))</f>
        <v/>
      </c>
      <c r="D126" s="28">
        <f>IF($P126="","",IF(INDEX(EntryParty,$P126)=0,"",INDEX(EntryParty,$P126)))</f>
        <v/>
      </c>
      <c r="E126" s="28">
        <f>IF($P126="","",IF(INDEX(EntryPartyName,$P126)=0,"",INDEX(EntryPartyName,$P126)))</f>
        <v/>
      </c>
      <c r="F126" s="28">
        <f>IF($P126="","",IF(INDEX(EntryPartyType,$P126)=0,"",INDEX(EntryPartyType,$P126)))</f>
        <v/>
      </c>
      <c r="G126" s="28">
        <f>IF($P126="","",IF(INDEX(EntryTxnType,$P126)=0,"",INDEX(EntryTxnType,$P126)))</f>
        <v/>
      </c>
      <c r="H126" s="29">
        <f>IF($P126="","",IF(INDEX(EntryDep,$P126)=0,"",INDEX(EntryDep,$P126)))</f>
        <v/>
      </c>
      <c r="I126" s="29">
        <f>IF($P126="","",IF(INDEX(EntryWit,$P126)=0,"",INDEX(EntryWit,$P126)))</f>
        <v/>
      </c>
      <c r="J126" s="29">
        <f>IF($B126="","",IF($A126=1,$C$7,IF(J125="",0,J125))+IF($H126="",0,$H126)-IF($I126="",0,$I126))</f>
        <v/>
      </c>
      <c r="K126" s="29">
        <f>IF($P126="","",IF(INDEX(EntryMan,$P126)=0,"",INDEX(EntryMan,$P126)))</f>
        <v/>
      </c>
      <c r="L126" s="28">
        <f>IF($B126="","",IF($K126="","—",IF(ROUND($K126-$J126,0)=0,"√","×")))</f>
        <v/>
      </c>
      <c r="M126" s="28">
        <f>IF($B126="","",IF(COUNTIFS(EntryDates,$B126,CalcTime,$C126,CalcBank,$C$5,EntryParty,$D126,EntryDep,$H126,EntryWit,$I126)&gt;1,"تکرار",""))</f>
        <v/>
      </c>
      <c r="N126" s="28">
        <f>IF($P126="","",IF(INDEX(EntryNotes,$P126)=0,"",INDEX(EntryNotes,$P126)))</f>
        <v/>
      </c>
      <c r="O126" s="28">
        <f>IF($P126="","",IF(INDEX(EntryTxnID,$P126)=0,"",INDEX(EntryTxnID,$P126)))</f>
        <v/>
      </c>
      <c r="P126" s="28">
        <f>IFERROR(MATCH($C$5&amp;"|"&amp;RIGHT("000000"&amp;110,6),CalcRankKey,0),"")</f>
        <v/>
      </c>
    </row>
    <row r="127">
      <c r="A127" s="26">
        <f>IF($B127="","",111)</f>
        <v/>
      </c>
      <c r="B127" s="26">
        <f>IF($P127="","",IF(INDEX(CalcNormDate,$P127)=0,"",INDEX(CalcNormDate,$P127)))</f>
        <v/>
      </c>
      <c r="C127" s="26">
        <f>IF($P127="","",IF(INDEX(CalcTime,$P127)=0,"",INDEX(CalcTime,$P127)))</f>
        <v/>
      </c>
      <c r="D127" s="26">
        <f>IF($P127="","",IF(INDEX(EntryParty,$P127)=0,"",INDEX(EntryParty,$P127)))</f>
        <v/>
      </c>
      <c r="E127" s="26">
        <f>IF($P127="","",IF(INDEX(EntryPartyName,$P127)=0,"",INDEX(EntryPartyName,$P127)))</f>
        <v/>
      </c>
      <c r="F127" s="26">
        <f>IF($P127="","",IF(INDEX(EntryPartyType,$P127)=0,"",INDEX(EntryPartyType,$P127)))</f>
        <v/>
      </c>
      <c r="G127" s="26">
        <f>IF($P127="","",IF(INDEX(EntryTxnType,$P127)=0,"",INDEX(EntryTxnType,$P127)))</f>
        <v/>
      </c>
      <c r="H127" s="27">
        <f>IF($P127="","",IF(INDEX(EntryDep,$P127)=0,"",INDEX(EntryDep,$P127)))</f>
        <v/>
      </c>
      <c r="I127" s="27">
        <f>IF($P127="","",IF(INDEX(EntryWit,$P127)=0,"",INDEX(EntryWit,$P127)))</f>
        <v/>
      </c>
      <c r="J127" s="27">
        <f>IF($B127="","",IF($A127=1,$C$7,IF(J126="",0,J126))+IF($H127="",0,$H127)-IF($I127="",0,$I127))</f>
        <v/>
      </c>
      <c r="K127" s="27">
        <f>IF($P127="","",IF(INDEX(EntryMan,$P127)=0,"",INDEX(EntryMan,$P127)))</f>
        <v/>
      </c>
      <c r="L127" s="26">
        <f>IF($B127="","",IF($K127="","—",IF(ROUND($K127-$J127,0)=0,"√","×")))</f>
        <v/>
      </c>
      <c r="M127" s="26">
        <f>IF($B127="","",IF(COUNTIFS(EntryDates,$B127,CalcTime,$C127,CalcBank,$C$5,EntryParty,$D127,EntryDep,$H127,EntryWit,$I127)&gt;1,"تکرار",""))</f>
        <v/>
      </c>
      <c r="N127" s="26">
        <f>IF($P127="","",IF(INDEX(EntryNotes,$P127)=0,"",INDEX(EntryNotes,$P127)))</f>
        <v/>
      </c>
      <c r="O127" s="26">
        <f>IF($P127="","",IF(INDEX(EntryTxnID,$P127)=0,"",INDEX(EntryTxnID,$P127)))</f>
        <v/>
      </c>
      <c r="P127" s="26">
        <f>IFERROR(MATCH($C$5&amp;"|"&amp;RIGHT("000000"&amp;111,6),CalcRankKey,0),"")</f>
        <v/>
      </c>
    </row>
    <row r="128">
      <c r="A128" s="28">
        <f>IF($B128="","",112)</f>
        <v/>
      </c>
      <c r="B128" s="28">
        <f>IF($P128="","",IF(INDEX(CalcNormDate,$P128)=0,"",INDEX(CalcNormDate,$P128)))</f>
        <v/>
      </c>
      <c r="C128" s="28">
        <f>IF($P128="","",IF(INDEX(CalcTime,$P128)=0,"",INDEX(CalcTime,$P128)))</f>
        <v/>
      </c>
      <c r="D128" s="28">
        <f>IF($P128="","",IF(INDEX(EntryParty,$P128)=0,"",INDEX(EntryParty,$P128)))</f>
        <v/>
      </c>
      <c r="E128" s="28">
        <f>IF($P128="","",IF(INDEX(EntryPartyName,$P128)=0,"",INDEX(EntryPartyName,$P128)))</f>
        <v/>
      </c>
      <c r="F128" s="28">
        <f>IF($P128="","",IF(INDEX(EntryPartyType,$P128)=0,"",INDEX(EntryPartyType,$P128)))</f>
        <v/>
      </c>
      <c r="G128" s="28">
        <f>IF($P128="","",IF(INDEX(EntryTxnType,$P128)=0,"",INDEX(EntryTxnType,$P128)))</f>
        <v/>
      </c>
      <c r="H128" s="29">
        <f>IF($P128="","",IF(INDEX(EntryDep,$P128)=0,"",INDEX(EntryDep,$P128)))</f>
        <v/>
      </c>
      <c r="I128" s="29">
        <f>IF($P128="","",IF(INDEX(EntryWit,$P128)=0,"",INDEX(EntryWit,$P128)))</f>
        <v/>
      </c>
      <c r="J128" s="29">
        <f>IF($B128="","",IF($A128=1,$C$7,IF(J127="",0,J127))+IF($H128="",0,$H128)-IF($I128="",0,$I128))</f>
        <v/>
      </c>
      <c r="K128" s="29">
        <f>IF($P128="","",IF(INDEX(EntryMan,$P128)=0,"",INDEX(EntryMan,$P128)))</f>
        <v/>
      </c>
      <c r="L128" s="28">
        <f>IF($B128="","",IF($K128="","—",IF(ROUND($K128-$J128,0)=0,"√","×")))</f>
        <v/>
      </c>
      <c r="M128" s="28">
        <f>IF($B128="","",IF(COUNTIFS(EntryDates,$B128,CalcTime,$C128,CalcBank,$C$5,EntryParty,$D128,EntryDep,$H128,EntryWit,$I128)&gt;1,"تکرار",""))</f>
        <v/>
      </c>
      <c r="N128" s="28">
        <f>IF($P128="","",IF(INDEX(EntryNotes,$P128)=0,"",INDEX(EntryNotes,$P128)))</f>
        <v/>
      </c>
      <c r="O128" s="28">
        <f>IF($P128="","",IF(INDEX(EntryTxnID,$P128)=0,"",INDEX(EntryTxnID,$P128)))</f>
        <v/>
      </c>
      <c r="P128" s="28">
        <f>IFERROR(MATCH($C$5&amp;"|"&amp;RIGHT("000000"&amp;112,6),CalcRankKey,0),"")</f>
        <v/>
      </c>
    </row>
    <row r="129">
      <c r="A129" s="26">
        <f>IF($B129="","",113)</f>
        <v/>
      </c>
      <c r="B129" s="26">
        <f>IF($P129="","",IF(INDEX(CalcNormDate,$P129)=0,"",INDEX(CalcNormDate,$P129)))</f>
        <v/>
      </c>
      <c r="C129" s="26">
        <f>IF($P129="","",IF(INDEX(CalcTime,$P129)=0,"",INDEX(CalcTime,$P129)))</f>
        <v/>
      </c>
      <c r="D129" s="26">
        <f>IF($P129="","",IF(INDEX(EntryParty,$P129)=0,"",INDEX(EntryParty,$P129)))</f>
        <v/>
      </c>
      <c r="E129" s="26">
        <f>IF($P129="","",IF(INDEX(EntryPartyName,$P129)=0,"",INDEX(EntryPartyName,$P129)))</f>
        <v/>
      </c>
      <c r="F129" s="26">
        <f>IF($P129="","",IF(INDEX(EntryPartyType,$P129)=0,"",INDEX(EntryPartyType,$P129)))</f>
        <v/>
      </c>
      <c r="G129" s="26">
        <f>IF($P129="","",IF(INDEX(EntryTxnType,$P129)=0,"",INDEX(EntryTxnType,$P129)))</f>
        <v/>
      </c>
      <c r="H129" s="27">
        <f>IF($P129="","",IF(INDEX(EntryDep,$P129)=0,"",INDEX(EntryDep,$P129)))</f>
        <v/>
      </c>
      <c r="I129" s="27">
        <f>IF($P129="","",IF(INDEX(EntryWit,$P129)=0,"",INDEX(EntryWit,$P129)))</f>
        <v/>
      </c>
      <c r="J129" s="27">
        <f>IF($B129="","",IF($A129=1,$C$7,IF(J128="",0,J128))+IF($H129="",0,$H129)-IF($I129="",0,$I129))</f>
        <v/>
      </c>
      <c r="K129" s="27">
        <f>IF($P129="","",IF(INDEX(EntryMan,$P129)=0,"",INDEX(EntryMan,$P129)))</f>
        <v/>
      </c>
      <c r="L129" s="26">
        <f>IF($B129="","",IF($K129="","—",IF(ROUND($K129-$J129,0)=0,"√","×")))</f>
        <v/>
      </c>
      <c r="M129" s="26">
        <f>IF($B129="","",IF(COUNTIFS(EntryDates,$B129,CalcTime,$C129,CalcBank,$C$5,EntryParty,$D129,EntryDep,$H129,EntryWit,$I129)&gt;1,"تکرار",""))</f>
        <v/>
      </c>
      <c r="N129" s="26">
        <f>IF($P129="","",IF(INDEX(EntryNotes,$P129)=0,"",INDEX(EntryNotes,$P129)))</f>
        <v/>
      </c>
      <c r="O129" s="26">
        <f>IF($P129="","",IF(INDEX(EntryTxnID,$P129)=0,"",INDEX(EntryTxnID,$P129)))</f>
        <v/>
      </c>
      <c r="P129" s="26">
        <f>IFERROR(MATCH($C$5&amp;"|"&amp;RIGHT("000000"&amp;113,6),CalcRankKey,0),"")</f>
        <v/>
      </c>
    </row>
    <row r="130">
      <c r="A130" s="28">
        <f>IF($B130="","",114)</f>
        <v/>
      </c>
      <c r="B130" s="28">
        <f>IF($P130="","",IF(INDEX(CalcNormDate,$P130)=0,"",INDEX(CalcNormDate,$P130)))</f>
        <v/>
      </c>
      <c r="C130" s="28">
        <f>IF($P130="","",IF(INDEX(CalcTime,$P130)=0,"",INDEX(CalcTime,$P130)))</f>
        <v/>
      </c>
      <c r="D130" s="28">
        <f>IF($P130="","",IF(INDEX(EntryParty,$P130)=0,"",INDEX(EntryParty,$P130)))</f>
        <v/>
      </c>
      <c r="E130" s="28">
        <f>IF($P130="","",IF(INDEX(EntryPartyName,$P130)=0,"",INDEX(EntryPartyName,$P130)))</f>
        <v/>
      </c>
      <c r="F130" s="28">
        <f>IF($P130="","",IF(INDEX(EntryPartyType,$P130)=0,"",INDEX(EntryPartyType,$P130)))</f>
        <v/>
      </c>
      <c r="G130" s="28">
        <f>IF($P130="","",IF(INDEX(EntryTxnType,$P130)=0,"",INDEX(EntryTxnType,$P130)))</f>
        <v/>
      </c>
      <c r="H130" s="29">
        <f>IF($P130="","",IF(INDEX(EntryDep,$P130)=0,"",INDEX(EntryDep,$P130)))</f>
        <v/>
      </c>
      <c r="I130" s="29">
        <f>IF($P130="","",IF(INDEX(EntryWit,$P130)=0,"",INDEX(EntryWit,$P130)))</f>
        <v/>
      </c>
      <c r="J130" s="29">
        <f>IF($B130="","",IF($A130=1,$C$7,IF(J129="",0,J129))+IF($H130="",0,$H130)-IF($I130="",0,$I130))</f>
        <v/>
      </c>
      <c r="K130" s="29">
        <f>IF($P130="","",IF(INDEX(EntryMan,$P130)=0,"",INDEX(EntryMan,$P130)))</f>
        <v/>
      </c>
      <c r="L130" s="28">
        <f>IF($B130="","",IF($K130="","—",IF(ROUND($K130-$J130,0)=0,"√","×")))</f>
        <v/>
      </c>
      <c r="M130" s="28">
        <f>IF($B130="","",IF(COUNTIFS(EntryDates,$B130,CalcTime,$C130,CalcBank,$C$5,EntryParty,$D130,EntryDep,$H130,EntryWit,$I130)&gt;1,"تکرار",""))</f>
        <v/>
      </c>
      <c r="N130" s="28">
        <f>IF($P130="","",IF(INDEX(EntryNotes,$P130)=0,"",INDEX(EntryNotes,$P130)))</f>
        <v/>
      </c>
      <c r="O130" s="28">
        <f>IF($P130="","",IF(INDEX(EntryTxnID,$P130)=0,"",INDEX(EntryTxnID,$P130)))</f>
        <v/>
      </c>
      <c r="P130" s="28">
        <f>IFERROR(MATCH($C$5&amp;"|"&amp;RIGHT("000000"&amp;114,6),CalcRankKey,0),"")</f>
        <v/>
      </c>
    </row>
    <row r="131">
      <c r="A131" s="26">
        <f>IF($B131="","",115)</f>
        <v/>
      </c>
      <c r="B131" s="26">
        <f>IF($P131="","",IF(INDEX(CalcNormDate,$P131)=0,"",INDEX(CalcNormDate,$P131)))</f>
        <v/>
      </c>
      <c r="C131" s="26">
        <f>IF($P131="","",IF(INDEX(CalcTime,$P131)=0,"",INDEX(CalcTime,$P131)))</f>
        <v/>
      </c>
      <c r="D131" s="26">
        <f>IF($P131="","",IF(INDEX(EntryParty,$P131)=0,"",INDEX(EntryParty,$P131)))</f>
        <v/>
      </c>
      <c r="E131" s="26">
        <f>IF($P131="","",IF(INDEX(EntryPartyName,$P131)=0,"",INDEX(EntryPartyName,$P131)))</f>
        <v/>
      </c>
      <c r="F131" s="26">
        <f>IF($P131="","",IF(INDEX(EntryPartyType,$P131)=0,"",INDEX(EntryPartyType,$P131)))</f>
        <v/>
      </c>
      <c r="G131" s="26">
        <f>IF($P131="","",IF(INDEX(EntryTxnType,$P131)=0,"",INDEX(EntryTxnType,$P131)))</f>
        <v/>
      </c>
      <c r="H131" s="27">
        <f>IF($P131="","",IF(INDEX(EntryDep,$P131)=0,"",INDEX(EntryDep,$P131)))</f>
        <v/>
      </c>
      <c r="I131" s="27">
        <f>IF($P131="","",IF(INDEX(EntryWit,$P131)=0,"",INDEX(EntryWit,$P131)))</f>
        <v/>
      </c>
      <c r="J131" s="27">
        <f>IF($B131="","",IF($A131=1,$C$7,IF(J130="",0,J130))+IF($H131="",0,$H131)-IF($I131="",0,$I131))</f>
        <v/>
      </c>
      <c r="K131" s="27">
        <f>IF($P131="","",IF(INDEX(EntryMan,$P131)=0,"",INDEX(EntryMan,$P131)))</f>
        <v/>
      </c>
      <c r="L131" s="26">
        <f>IF($B131="","",IF($K131="","—",IF(ROUND($K131-$J131,0)=0,"√","×")))</f>
        <v/>
      </c>
      <c r="M131" s="26">
        <f>IF($B131="","",IF(COUNTIFS(EntryDates,$B131,CalcTime,$C131,CalcBank,$C$5,EntryParty,$D131,EntryDep,$H131,EntryWit,$I131)&gt;1,"تکرار",""))</f>
        <v/>
      </c>
      <c r="N131" s="26">
        <f>IF($P131="","",IF(INDEX(EntryNotes,$P131)=0,"",INDEX(EntryNotes,$P131)))</f>
        <v/>
      </c>
      <c r="O131" s="26">
        <f>IF($P131="","",IF(INDEX(EntryTxnID,$P131)=0,"",INDEX(EntryTxnID,$P131)))</f>
        <v/>
      </c>
      <c r="P131" s="26">
        <f>IFERROR(MATCH($C$5&amp;"|"&amp;RIGHT("000000"&amp;115,6),CalcRankKey,0),"")</f>
        <v/>
      </c>
    </row>
    <row r="132">
      <c r="A132" s="28">
        <f>IF($B132="","",116)</f>
        <v/>
      </c>
      <c r="B132" s="28">
        <f>IF($P132="","",IF(INDEX(CalcNormDate,$P132)=0,"",INDEX(CalcNormDate,$P132)))</f>
        <v/>
      </c>
      <c r="C132" s="28">
        <f>IF($P132="","",IF(INDEX(CalcTime,$P132)=0,"",INDEX(CalcTime,$P132)))</f>
        <v/>
      </c>
      <c r="D132" s="28">
        <f>IF($P132="","",IF(INDEX(EntryParty,$P132)=0,"",INDEX(EntryParty,$P132)))</f>
        <v/>
      </c>
      <c r="E132" s="28">
        <f>IF($P132="","",IF(INDEX(EntryPartyName,$P132)=0,"",INDEX(EntryPartyName,$P132)))</f>
        <v/>
      </c>
      <c r="F132" s="28">
        <f>IF($P132="","",IF(INDEX(EntryPartyType,$P132)=0,"",INDEX(EntryPartyType,$P132)))</f>
        <v/>
      </c>
      <c r="G132" s="28">
        <f>IF($P132="","",IF(INDEX(EntryTxnType,$P132)=0,"",INDEX(EntryTxnType,$P132)))</f>
        <v/>
      </c>
      <c r="H132" s="29">
        <f>IF($P132="","",IF(INDEX(EntryDep,$P132)=0,"",INDEX(EntryDep,$P132)))</f>
        <v/>
      </c>
      <c r="I132" s="29">
        <f>IF($P132="","",IF(INDEX(EntryWit,$P132)=0,"",INDEX(EntryWit,$P132)))</f>
        <v/>
      </c>
      <c r="J132" s="29">
        <f>IF($B132="","",IF($A132=1,$C$7,IF(J131="",0,J131))+IF($H132="",0,$H132)-IF($I132="",0,$I132))</f>
        <v/>
      </c>
      <c r="K132" s="29">
        <f>IF($P132="","",IF(INDEX(EntryMan,$P132)=0,"",INDEX(EntryMan,$P132)))</f>
        <v/>
      </c>
      <c r="L132" s="28">
        <f>IF($B132="","",IF($K132="","—",IF(ROUND($K132-$J132,0)=0,"√","×")))</f>
        <v/>
      </c>
      <c r="M132" s="28">
        <f>IF($B132="","",IF(COUNTIFS(EntryDates,$B132,CalcTime,$C132,CalcBank,$C$5,EntryParty,$D132,EntryDep,$H132,EntryWit,$I132)&gt;1,"تکرار",""))</f>
        <v/>
      </c>
      <c r="N132" s="28">
        <f>IF($P132="","",IF(INDEX(EntryNotes,$P132)=0,"",INDEX(EntryNotes,$P132)))</f>
        <v/>
      </c>
      <c r="O132" s="28">
        <f>IF($P132="","",IF(INDEX(EntryTxnID,$P132)=0,"",INDEX(EntryTxnID,$P132)))</f>
        <v/>
      </c>
      <c r="P132" s="28">
        <f>IFERROR(MATCH($C$5&amp;"|"&amp;RIGHT("000000"&amp;116,6),CalcRankKey,0),"")</f>
        <v/>
      </c>
    </row>
    <row r="133">
      <c r="A133" s="26">
        <f>IF($B133="","",117)</f>
        <v/>
      </c>
      <c r="B133" s="26">
        <f>IF($P133="","",IF(INDEX(CalcNormDate,$P133)=0,"",INDEX(CalcNormDate,$P133)))</f>
        <v/>
      </c>
      <c r="C133" s="26">
        <f>IF($P133="","",IF(INDEX(CalcTime,$P133)=0,"",INDEX(CalcTime,$P133)))</f>
        <v/>
      </c>
      <c r="D133" s="26">
        <f>IF($P133="","",IF(INDEX(EntryParty,$P133)=0,"",INDEX(EntryParty,$P133)))</f>
        <v/>
      </c>
      <c r="E133" s="26">
        <f>IF($P133="","",IF(INDEX(EntryPartyName,$P133)=0,"",INDEX(EntryPartyName,$P133)))</f>
        <v/>
      </c>
      <c r="F133" s="26">
        <f>IF($P133="","",IF(INDEX(EntryPartyType,$P133)=0,"",INDEX(EntryPartyType,$P133)))</f>
        <v/>
      </c>
      <c r="G133" s="26">
        <f>IF($P133="","",IF(INDEX(EntryTxnType,$P133)=0,"",INDEX(EntryTxnType,$P133)))</f>
        <v/>
      </c>
      <c r="H133" s="27">
        <f>IF($P133="","",IF(INDEX(EntryDep,$P133)=0,"",INDEX(EntryDep,$P133)))</f>
        <v/>
      </c>
      <c r="I133" s="27">
        <f>IF($P133="","",IF(INDEX(EntryWit,$P133)=0,"",INDEX(EntryWit,$P133)))</f>
        <v/>
      </c>
      <c r="J133" s="27">
        <f>IF($B133="","",IF($A133=1,$C$7,IF(J132="",0,J132))+IF($H133="",0,$H133)-IF($I133="",0,$I133))</f>
        <v/>
      </c>
      <c r="K133" s="27">
        <f>IF($P133="","",IF(INDEX(EntryMan,$P133)=0,"",INDEX(EntryMan,$P133)))</f>
        <v/>
      </c>
      <c r="L133" s="26">
        <f>IF($B133="","",IF($K133="","—",IF(ROUND($K133-$J133,0)=0,"√","×")))</f>
        <v/>
      </c>
      <c r="M133" s="26">
        <f>IF($B133="","",IF(COUNTIFS(EntryDates,$B133,CalcTime,$C133,CalcBank,$C$5,EntryParty,$D133,EntryDep,$H133,EntryWit,$I133)&gt;1,"تکرار",""))</f>
        <v/>
      </c>
      <c r="N133" s="26">
        <f>IF($P133="","",IF(INDEX(EntryNotes,$P133)=0,"",INDEX(EntryNotes,$P133)))</f>
        <v/>
      </c>
      <c r="O133" s="26">
        <f>IF($P133="","",IF(INDEX(EntryTxnID,$P133)=0,"",INDEX(EntryTxnID,$P133)))</f>
        <v/>
      </c>
      <c r="P133" s="26">
        <f>IFERROR(MATCH($C$5&amp;"|"&amp;RIGHT("000000"&amp;117,6),CalcRankKey,0),"")</f>
        <v/>
      </c>
    </row>
    <row r="134">
      <c r="A134" s="28">
        <f>IF($B134="","",118)</f>
        <v/>
      </c>
      <c r="B134" s="28">
        <f>IF($P134="","",IF(INDEX(CalcNormDate,$P134)=0,"",INDEX(CalcNormDate,$P134)))</f>
        <v/>
      </c>
      <c r="C134" s="28">
        <f>IF($P134="","",IF(INDEX(CalcTime,$P134)=0,"",INDEX(CalcTime,$P134)))</f>
        <v/>
      </c>
      <c r="D134" s="28">
        <f>IF($P134="","",IF(INDEX(EntryParty,$P134)=0,"",INDEX(EntryParty,$P134)))</f>
        <v/>
      </c>
      <c r="E134" s="28">
        <f>IF($P134="","",IF(INDEX(EntryPartyName,$P134)=0,"",INDEX(EntryPartyName,$P134)))</f>
        <v/>
      </c>
      <c r="F134" s="28">
        <f>IF($P134="","",IF(INDEX(EntryPartyType,$P134)=0,"",INDEX(EntryPartyType,$P134)))</f>
        <v/>
      </c>
      <c r="G134" s="28">
        <f>IF($P134="","",IF(INDEX(EntryTxnType,$P134)=0,"",INDEX(EntryTxnType,$P134)))</f>
        <v/>
      </c>
      <c r="H134" s="29">
        <f>IF($P134="","",IF(INDEX(EntryDep,$P134)=0,"",INDEX(EntryDep,$P134)))</f>
        <v/>
      </c>
      <c r="I134" s="29">
        <f>IF($P134="","",IF(INDEX(EntryWit,$P134)=0,"",INDEX(EntryWit,$P134)))</f>
        <v/>
      </c>
      <c r="J134" s="29">
        <f>IF($B134="","",IF($A134=1,$C$7,IF(J133="",0,J133))+IF($H134="",0,$H134)-IF($I134="",0,$I134))</f>
        <v/>
      </c>
      <c r="K134" s="29">
        <f>IF($P134="","",IF(INDEX(EntryMan,$P134)=0,"",INDEX(EntryMan,$P134)))</f>
        <v/>
      </c>
      <c r="L134" s="28">
        <f>IF($B134="","",IF($K134="","—",IF(ROUND($K134-$J134,0)=0,"√","×")))</f>
        <v/>
      </c>
      <c r="M134" s="28">
        <f>IF($B134="","",IF(COUNTIFS(EntryDates,$B134,CalcTime,$C134,CalcBank,$C$5,EntryParty,$D134,EntryDep,$H134,EntryWit,$I134)&gt;1,"تکرار",""))</f>
        <v/>
      </c>
      <c r="N134" s="28">
        <f>IF($P134="","",IF(INDEX(EntryNotes,$P134)=0,"",INDEX(EntryNotes,$P134)))</f>
        <v/>
      </c>
      <c r="O134" s="28">
        <f>IF($P134="","",IF(INDEX(EntryTxnID,$P134)=0,"",INDEX(EntryTxnID,$P134)))</f>
        <v/>
      </c>
      <c r="P134" s="28">
        <f>IFERROR(MATCH($C$5&amp;"|"&amp;RIGHT("000000"&amp;118,6),CalcRankKey,0),"")</f>
        <v/>
      </c>
    </row>
    <row r="135">
      <c r="A135" s="26">
        <f>IF($B135="","",119)</f>
        <v/>
      </c>
      <c r="B135" s="26">
        <f>IF($P135="","",IF(INDEX(CalcNormDate,$P135)=0,"",INDEX(CalcNormDate,$P135)))</f>
        <v/>
      </c>
      <c r="C135" s="26">
        <f>IF($P135="","",IF(INDEX(CalcTime,$P135)=0,"",INDEX(CalcTime,$P135)))</f>
        <v/>
      </c>
      <c r="D135" s="26">
        <f>IF($P135="","",IF(INDEX(EntryParty,$P135)=0,"",INDEX(EntryParty,$P135)))</f>
        <v/>
      </c>
      <c r="E135" s="26">
        <f>IF($P135="","",IF(INDEX(EntryPartyName,$P135)=0,"",INDEX(EntryPartyName,$P135)))</f>
        <v/>
      </c>
      <c r="F135" s="26">
        <f>IF($P135="","",IF(INDEX(EntryPartyType,$P135)=0,"",INDEX(EntryPartyType,$P135)))</f>
        <v/>
      </c>
      <c r="G135" s="26">
        <f>IF($P135="","",IF(INDEX(EntryTxnType,$P135)=0,"",INDEX(EntryTxnType,$P135)))</f>
        <v/>
      </c>
      <c r="H135" s="27">
        <f>IF($P135="","",IF(INDEX(EntryDep,$P135)=0,"",INDEX(EntryDep,$P135)))</f>
        <v/>
      </c>
      <c r="I135" s="27">
        <f>IF($P135="","",IF(INDEX(EntryWit,$P135)=0,"",INDEX(EntryWit,$P135)))</f>
        <v/>
      </c>
      <c r="J135" s="27">
        <f>IF($B135="","",IF($A135=1,$C$7,IF(J134="",0,J134))+IF($H135="",0,$H135)-IF($I135="",0,$I135))</f>
        <v/>
      </c>
      <c r="K135" s="27">
        <f>IF($P135="","",IF(INDEX(EntryMan,$P135)=0,"",INDEX(EntryMan,$P135)))</f>
        <v/>
      </c>
      <c r="L135" s="26">
        <f>IF($B135="","",IF($K135="","—",IF(ROUND($K135-$J135,0)=0,"√","×")))</f>
        <v/>
      </c>
      <c r="M135" s="26">
        <f>IF($B135="","",IF(COUNTIFS(EntryDates,$B135,CalcTime,$C135,CalcBank,$C$5,EntryParty,$D135,EntryDep,$H135,EntryWit,$I135)&gt;1,"تکرار",""))</f>
        <v/>
      </c>
      <c r="N135" s="26">
        <f>IF($P135="","",IF(INDEX(EntryNotes,$P135)=0,"",INDEX(EntryNotes,$P135)))</f>
        <v/>
      </c>
      <c r="O135" s="26">
        <f>IF($P135="","",IF(INDEX(EntryTxnID,$P135)=0,"",INDEX(EntryTxnID,$P135)))</f>
        <v/>
      </c>
      <c r="P135" s="26">
        <f>IFERROR(MATCH($C$5&amp;"|"&amp;RIGHT("000000"&amp;119,6),CalcRankKey,0),"")</f>
        <v/>
      </c>
    </row>
    <row r="136">
      <c r="A136" s="28">
        <f>IF($B136="","",120)</f>
        <v/>
      </c>
      <c r="B136" s="28">
        <f>IF($P136="","",IF(INDEX(CalcNormDate,$P136)=0,"",INDEX(CalcNormDate,$P136)))</f>
        <v/>
      </c>
      <c r="C136" s="28">
        <f>IF($P136="","",IF(INDEX(CalcTime,$P136)=0,"",INDEX(CalcTime,$P136)))</f>
        <v/>
      </c>
      <c r="D136" s="28">
        <f>IF($P136="","",IF(INDEX(EntryParty,$P136)=0,"",INDEX(EntryParty,$P136)))</f>
        <v/>
      </c>
      <c r="E136" s="28">
        <f>IF($P136="","",IF(INDEX(EntryPartyName,$P136)=0,"",INDEX(EntryPartyName,$P136)))</f>
        <v/>
      </c>
      <c r="F136" s="28">
        <f>IF($P136="","",IF(INDEX(EntryPartyType,$P136)=0,"",INDEX(EntryPartyType,$P136)))</f>
        <v/>
      </c>
      <c r="G136" s="28">
        <f>IF($P136="","",IF(INDEX(EntryTxnType,$P136)=0,"",INDEX(EntryTxnType,$P136)))</f>
        <v/>
      </c>
      <c r="H136" s="29">
        <f>IF($P136="","",IF(INDEX(EntryDep,$P136)=0,"",INDEX(EntryDep,$P136)))</f>
        <v/>
      </c>
      <c r="I136" s="29">
        <f>IF($P136="","",IF(INDEX(EntryWit,$P136)=0,"",INDEX(EntryWit,$P136)))</f>
        <v/>
      </c>
      <c r="J136" s="29">
        <f>IF($B136="","",IF($A136=1,$C$7,IF(J135="",0,J135))+IF($H136="",0,$H136)-IF($I136="",0,$I136))</f>
        <v/>
      </c>
      <c r="K136" s="29">
        <f>IF($P136="","",IF(INDEX(EntryMan,$P136)=0,"",INDEX(EntryMan,$P136)))</f>
        <v/>
      </c>
      <c r="L136" s="28">
        <f>IF($B136="","",IF($K136="","—",IF(ROUND($K136-$J136,0)=0,"√","×")))</f>
        <v/>
      </c>
      <c r="M136" s="28">
        <f>IF($B136="","",IF(COUNTIFS(EntryDates,$B136,CalcTime,$C136,CalcBank,$C$5,EntryParty,$D136,EntryDep,$H136,EntryWit,$I136)&gt;1,"تکرار",""))</f>
        <v/>
      </c>
      <c r="N136" s="28">
        <f>IF($P136="","",IF(INDEX(EntryNotes,$P136)=0,"",INDEX(EntryNotes,$P136)))</f>
        <v/>
      </c>
      <c r="O136" s="28">
        <f>IF($P136="","",IF(INDEX(EntryTxnID,$P136)=0,"",INDEX(EntryTxnID,$P136)))</f>
        <v/>
      </c>
      <c r="P136" s="28">
        <f>IFERROR(MATCH($C$5&amp;"|"&amp;RIGHT("000000"&amp;120,6),CalcRankKey,0),"")</f>
        <v/>
      </c>
    </row>
    <row r="137">
      <c r="A137" s="26">
        <f>IF($B137="","",121)</f>
        <v/>
      </c>
      <c r="B137" s="26">
        <f>IF($P137="","",IF(INDEX(CalcNormDate,$P137)=0,"",INDEX(CalcNormDate,$P137)))</f>
        <v/>
      </c>
      <c r="C137" s="26">
        <f>IF($P137="","",IF(INDEX(CalcTime,$P137)=0,"",INDEX(CalcTime,$P137)))</f>
        <v/>
      </c>
      <c r="D137" s="26">
        <f>IF($P137="","",IF(INDEX(EntryParty,$P137)=0,"",INDEX(EntryParty,$P137)))</f>
        <v/>
      </c>
      <c r="E137" s="26">
        <f>IF($P137="","",IF(INDEX(EntryPartyName,$P137)=0,"",INDEX(EntryPartyName,$P137)))</f>
        <v/>
      </c>
      <c r="F137" s="26">
        <f>IF($P137="","",IF(INDEX(EntryPartyType,$P137)=0,"",INDEX(EntryPartyType,$P137)))</f>
        <v/>
      </c>
      <c r="G137" s="26">
        <f>IF($P137="","",IF(INDEX(EntryTxnType,$P137)=0,"",INDEX(EntryTxnType,$P137)))</f>
        <v/>
      </c>
      <c r="H137" s="27">
        <f>IF($P137="","",IF(INDEX(EntryDep,$P137)=0,"",INDEX(EntryDep,$P137)))</f>
        <v/>
      </c>
      <c r="I137" s="27">
        <f>IF($P137="","",IF(INDEX(EntryWit,$P137)=0,"",INDEX(EntryWit,$P137)))</f>
        <v/>
      </c>
      <c r="J137" s="27">
        <f>IF($B137="","",IF($A137=1,$C$7,IF(J136="",0,J136))+IF($H137="",0,$H137)-IF($I137="",0,$I137))</f>
        <v/>
      </c>
      <c r="K137" s="27">
        <f>IF($P137="","",IF(INDEX(EntryMan,$P137)=0,"",INDEX(EntryMan,$P137)))</f>
        <v/>
      </c>
      <c r="L137" s="26">
        <f>IF($B137="","",IF($K137="","—",IF(ROUND($K137-$J137,0)=0,"√","×")))</f>
        <v/>
      </c>
      <c r="M137" s="26">
        <f>IF($B137="","",IF(COUNTIFS(EntryDates,$B137,CalcTime,$C137,CalcBank,$C$5,EntryParty,$D137,EntryDep,$H137,EntryWit,$I137)&gt;1,"تکرار",""))</f>
        <v/>
      </c>
      <c r="N137" s="26">
        <f>IF($P137="","",IF(INDEX(EntryNotes,$P137)=0,"",INDEX(EntryNotes,$P137)))</f>
        <v/>
      </c>
      <c r="O137" s="26">
        <f>IF($P137="","",IF(INDEX(EntryTxnID,$P137)=0,"",INDEX(EntryTxnID,$P137)))</f>
        <v/>
      </c>
      <c r="P137" s="26">
        <f>IFERROR(MATCH($C$5&amp;"|"&amp;RIGHT("000000"&amp;121,6),CalcRankKey,0),"")</f>
        <v/>
      </c>
    </row>
    <row r="138">
      <c r="A138" s="28">
        <f>IF($B138="","",122)</f>
        <v/>
      </c>
      <c r="B138" s="28">
        <f>IF($P138="","",IF(INDEX(CalcNormDate,$P138)=0,"",INDEX(CalcNormDate,$P138)))</f>
        <v/>
      </c>
      <c r="C138" s="28">
        <f>IF($P138="","",IF(INDEX(CalcTime,$P138)=0,"",INDEX(CalcTime,$P138)))</f>
        <v/>
      </c>
      <c r="D138" s="28">
        <f>IF($P138="","",IF(INDEX(EntryParty,$P138)=0,"",INDEX(EntryParty,$P138)))</f>
        <v/>
      </c>
      <c r="E138" s="28">
        <f>IF($P138="","",IF(INDEX(EntryPartyName,$P138)=0,"",INDEX(EntryPartyName,$P138)))</f>
        <v/>
      </c>
      <c r="F138" s="28">
        <f>IF($P138="","",IF(INDEX(EntryPartyType,$P138)=0,"",INDEX(EntryPartyType,$P138)))</f>
        <v/>
      </c>
      <c r="G138" s="28">
        <f>IF($P138="","",IF(INDEX(EntryTxnType,$P138)=0,"",INDEX(EntryTxnType,$P138)))</f>
        <v/>
      </c>
      <c r="H138" s="29">
        <f>IF($P138="","",IF(INDEX(EntryDep,$P138)=0,"",INDEX(EntryDep,$P138)))</f>
        <v/>
      </c>
      <c r="I138" s="29">
        <f>IF($P138="","",IF(INDEX(EntryWit,$P138)=0,"",INDEX(EntryWit,$P138)))</f>
        <v/>
      </c>
      <c r="J138" s="29">
        <f>IF($B138="","",IF($A138=1,$C$7,IF(J137="",0,J137))+IF($H138="",0,$H138)-IF($I138="",0,$I138))</f>
        <v/>
      </c>
      <c r="K138" s="29">
        <f>IF($P138="","",IF(INDEX(EntryMan,$P138)=0,"",INDEX(EntryMan,$P138)))</f>
        <v/>
      </c>
      <c r="L138" s="28">
        <f>IF($B138="","",IF($K138="","—",IF(ROUND($K138-$J138,0)=0,"√","×")))</f>
        <v/>
      </c>
      <c r="M138" s="28">
        <f>IF($B138="","",IF(COUNTIFS(EntryDates,$B138,CalcTime,$C138,CalcBank,$C$5,EntryParty,$D138,EntryDep,$H138,EntryWit,$I138)&gt;1,"تکرار",""))</f>
        <v/>
      </c>
      <c r="N138" s="28">
        <f>IF($P138="","",IF(INDEX(EntryNotes,$P138)=0,"",INDEX(EntryNotes,$P138)))</f>
        <v/>
      </c>
      <c r="O138" s="28">
        <f>IF($P138="","",IF(INDEX(EntryTxnID,$P138)=0,"",INDEX(EntryTxnID,$P138)))</f>
        <v/>
      </c>
      <c r="P138" s="28">
        <f>IFERROR(MATCH($C$5&amp;"|"&amp;RIGHT("000000"&amp;122,6),CalcRankKey,0),"")</f>
        <v/>
      </c>
    </row>
    <row r="139">
      <c r="A139" s="26">
        <f>IF($B139="","",123)</f>
        <v/>
      </c>
      <c r="B139" s="26">
        <f>IF($P139="","",IF(INDEX(CalcNormDate,$P139)=0,"",INDEX(CalcNormDate,$P139)))</f>
        <v/>
      </c>
      <c r="C139" s="26">
        <f>IF($P139="","",IF(INDEX(CalcTime,$P139)=0,"",INDEX(CalcTime,$P139)))</f>
        <v/>
      </c>
      <c r="D139" s="26">
        <f>IF($P139="","",IF(INDEX(EntryParty,$P139)=0,"",INDEX(EntryParty,$P139)))</f>
        <v/>
      </c>
      <c r="E139" s="26">
        <f>IF($P139="","",IF(INDEX(EntryPartyName,$P139)=0,"",INDEX(EntryPartyName,$P139)))</f>
        <v/>
      </c>
      <c r="F139" s="26">
        <f>IF($P139="","",IF(INDEX(EntryPartyType,$P139)=0,"",INDEX(EntryPartyType,$P139)))</f>
        <v/>
      </c>
      <c r="G139" s="26">
        <f>IF($P139="","",IF(INDEX(EntryTxnType,$P139)=0,"",INDEX(EntryTxnType,$P139)))</f>
        <v/>
      </c>
      <c r="H139" s="27">
        <f>IF($P139="","",IF(INDEX(EntryDep,$P139)=0,"",INDEX(EntryDep,$P139)))</f>
        <v/>
      </c>
      <c r="I139" s="27">
        <f>IF($P139="","",IF(INDEX(EntryWit,$P139)=0,"",INDEX(EntryWit,$P139)))</f>
        <v/>
      </c>
      <c r="J139" s="27">
        <f>IF($B139="","",IF($A139=1,$C$7,IF(J138="",0,J138))+IF($H139="",0,$H139)-IF($I139="",0,$I139))</f>
        <v/>
      </c>
      <c r="K139" s="27">
        <f>IF($P139="","",IF(INDEX(EntryMan,$P139)=0,"",INDEX(EntryMan,$P139)))</f>
        <v/>
      </c>
      <c r="L139" s="26">
        <f>IF($B139="","",IF($K139="","—",IF(ROUND($K139-$J139,0)=0,"√","×")))</f>
        <v/>
      </c>
      <c r="M139" s="26">
        <f>IF($B139="","",IF(COUNTIFS(EntryDates,$B139,CalcTime,$C139,CalcBank,$C$5,EntryParty,$D139,EntryDep,$H139,EntryWit,$I139)&gt;1,"تکرار",""))</f>
        <v/>
      </c>
      <c r="N139" s="26">
        <f>IF($P139="","",IF(INDEX(EntryNotes,$P139)=0,"",INDEX(EntryNotes,$P139)))</f>
        <v/>
      </c>
      <c r="O139" s="26">
        <f>IF($P139="","",IF(INDEX(EntryTxnID,$P139)=0,"",INDEX(EntryTxnID,$P139)))</f>
        <v/>
      </c>
      <c r="P139" s="26">
        <f>IFERROR(MATCH($C$5&amp;"|"&amp;RIGHT("000000"&amp;123,6),CalcRankKey,0),"")</f>
        <v/>
      </c>
    </row>
    <row r="140">
      <c r="A140" s="28">
        <f>IF($B140="","",124)</f>
        <v/>
      </c>
      <c r="B140" s="28">
        <f>IF($P140="","",IF(INDEX(CalcNormDate,$P140)=0,"",INDEX(CalcNormDate,$P140)))</f>
        <v/>
      </c>
      <c r="C140" s="28">
        <f>IF($P140="","",IF(INDEX(CalcTime,$P140)=0,"",INDEX(CalcTime,$P140)))</f>
        <v/>
      </c>
      <c r="D140" s="28">
        <f>IF($P140="","",IF(INDEX(EntryParty,$P140)=0,"",INDEX(EntryParty,$P140)))</f>
        <v/>
      </c>
      <c r="E140" s="28">
        <f>IF($P140="","",IF(INDEX(EntryPartyName,$P140)=0,"",INDEX(EntryPartyName,$P140)))</f>
        <v/>
      </c>
      <c r="F140" s="28">
        <f>IF($P140="","",IF(INDEX(EntryPartyType,$P140)=0,"",INDEX(EntryPartyType,$P140)))</f>
        <v/>
      </c>
      <c r="G140" s="28">
        <f>IF($P140="","",IF(INDEX(EntryTxnType,$P140)=0,"",INDEX(EntryTxnType,$P140)))</f>
        <v/>
      </c>
      <c r="H140" s="29">
        <f>IF($P140="","",IF(INDEX(EntryDep,$P140)=0,"",INDEX(EntryDep,$P140)))</f>
        <v/>
      </c>
      <c r="I140" s="29">
        <f>IF($P140="","",IF(INDEX(EntryWit,$P140)=0,"",INDEX(EntryWit,$P140)))</f>
        <v/>
      </c>
      <c r="J140" s="29">
        <f>IF($B140="","",IF($A140=1,$C$7,IF(J139="",0,J139))+IF($H140="",0,$H140)-IF($I140="",0,$I140))</f>
        <v/>
      </c>
      <c r="K140" s="29">
        <f>IF($P140="","",IF(INDEX(EntryMan,$P140)=0,"",INDEX(EntryMan,$P140)))</f>
        <v/>
      </c>
      <c r="L140" s="28">
        <f>IF($B140="","",IF($K140="","—",IF(ROUND($K140-$J140,0)=0,"√","×")))</f>
        <v/>
      </c>
      <c r="M140" s="28">
        <f>IF($B140="","",IF(COUNTIFS(EntryDates,$B140,CalcTime,$C140,CalcBank,$C$5,EntryParty,$D140,EntryDep,$H140,EntryWit,$I140)&gt;1,"تکرار",""))</f>
        <v/>
      </c>
      <c r="N140" s="28">
        <f>IF($P140="","",IF(INDEX(EntryNotes,$P140)=0,"",INDEX(EntryNotes,$P140)))</f>
        <v/>
      </c>
      <c r="O140" s="28">
        <f>IF($P140="","",IF(INDEX(EntryTxnID,$P140)=0,"",INDEX(EntryTxnID,$P140)))</f>
        <v/>
      </c>
      <c r="P140" s="28">
        <f>IFERROR(MATCH($C$5&amp;"|"&amp;RIGHT("000000"&amp;124,6),CalcRankKey,0),"")</f>
        <v/>
      </c>
    </row>
    <row r="141">
      <c r="A141" s="26">
        <f>IF($B141="","",125)</f>
        <v/>
      </c>
      <c r="B141" s="26">
        <f>IF($P141="","",IF(INDEX(CalcNormDate,$P141)=0,"",INDEX(CalcNormDate,$P141)))</f>
        <v/>
      </c>
      <c r="C141" s="26">
        <f>IF($P141="","",IF(INDEX(CalcTime,$P141)=0,"",INDEX(CalcTime,$P141)))</f>
        <v/>
      </c>
      <c r="D141" s="26">
        <f>IF($P141="","",IF(INDEX(EntryParty,$P141)=0,"",INDEX(EntryParty,$P141)))</f>
        <v/>
      </c>
      <c r="E141" s="26">
        <f>IF($P141="","",IF(INDEX(EntryPartyName,$P141)=0,"",INDEX(EntryPartyName,$P141)))</f>
        <v/>
      </c>
      <c r="F141" s="26">
        <f>IF($P141="","",IF(INDEX(EntryPartyType,$P141)=0,"",INDEX(EntryPartyType,$P141)))</f>
        <v/>
      </c>
      <c r="G141" s="26">
        <f>IF($P141="","",IF(INDEX(EntryTxnType,$P141)=0,"",INDEX(EntryTxnType,$P141)))</f>
        <v/>
      </c>
      <c r="H141" s="27">
        <f>IF($P141="","",IF(INDEX(EntryDep,$P141)=0,"",INDEX(EntryDep,$P141)))</f>
        <v/>
      </c>
      <c r="I141" s="27">
        <f>IF($P141="","",IF(INDEX(EntryWit,$P141)=0,"",INDEX(EntryWit,$P141)))</f>
        <v/>
      </c>
      <c r="J141" s="27">
        <f>IF($B141="","",IF($A141=1,$C$7,IF(J140="",0,J140))+IF($H141="",0,$H141)-IF($I141="",0,$I141))</f>
        <v/>
      </c>
      <c r="K141" s="27">
        <f>IF($P141="","",IF(INDEX(EntryMan,$P141)=0,"",INDEX(EntryMan,$P141)))</f>
        <v/>
      </c>
      <c r="L141" s="26">
        <f>IF($B141="","",IF($K141="","—",IF(ROUND($K141-$J141,0)=0,"√","×")))</f>
        <v/>
      </c>
      <c r="M141" s="26">
        <f>IF($B141="","",IF(COUNTIFS(EntryDates,$B141,CalcTime,$C141,CalcBank,$C$5,EntryParty,$D141,EntryDep,$H141,EntryWit,$I141)&gt;1,"تکرار",""))</f>
        <v/>
      </c>
      <c r="N141" s="26">
        <f>IF($P141="","",IF(INDEX(EntryNotes,$P141)=0,"",INDEX(EntryNotes,$P141)))</f>
        <v/>
      </c>
      <c r="O141" s="26">
        <f>IF($P141="","",IF(INDEX(EntryTxnID,$P141)=0,"",INDEX(EntryTxnID,$P141)))</f>
        <v/>
      </c>
      <c r="P141" s="26">
        <f>IFERROR(MATCH($C$5&amp;"|"&amp;RIGHT("000000"&amp;125,6),CalcRankKey,0),"")</f>
        <v/>
      </c>
    </row>
    <row r="142">
      <c r="A142" s="28">
        <f>IF($B142="","",126)</f>
        <v/>
      </c>
      <c r="B142" s="28">
        <f>IF($P142="","",IF(INDEX(CalcNormDate,$P142)=0,"",INDEX(CalcNormDate,$P142)))</f>
        <v/>
      </c>
      <c r="C142" s="28">
        <f>IF($P142="","",IF(INDEX(CalcTime,$P142)=0,"",INDEX(CalcTime,$P142)))</f>
        <v/>
      </c>
      <c r="D142" s="28">
        <f>IF($P142="","",IF(INDEX(EntryParty,$P142)=0,"",INDEX(EntryParty,$P142)))</f>
        <v/>
      </c>
      <c r="E142" s="28">
        <f>IF($P142="","",IF(INDEX(EntryPartyName,$P142)=0,"",INDEX(EntryPartyName,$P142)))</f>
        <v/>
      </c>
      <c r="F142" s="28">
        <f>IF($P142="","",IF(INDEX(EntryPartyType,$P142)=0,"",INDEX(EntryPartyType,$P142)))</f>
        <v/>
      </c>
      <c r="G142" s="28">
        <f>IF($P142="","",IF(INDEX(EntryTxnType,$P142)=0,"",INDEX(EntryTxnType,$P142)))</f>
        <v/>
      </c>
      <c r="H142" s="29">
        <f>IF($P142="","",IF(INDEX(EntryDep,$P142)=0,"",INDEX(EntryDep,$P142)))</f>
        <v/>
      </c>
      <c r="I142" s="29">
        <f>IF($P142="","",IF(INDEX(EntryWit,$P142)=0,"",INDEX(EntryWit,$P142)))</f>
        <v/>
      </c>
      <c r="J142" s="29">
        <f>IF($B142="","",IF($A142=1,$C$7,IF(J141="",0,J141))+IF($H142="",0,$H142)-IF($I142="",0,$I142))</f>
        <v/>
      </c>
      <c r="K142" s="29">
        <f>IF($P142="","",IF(INDEX(EntryMan,$P142)=0,"",INDEX(EntryMan,$P142)))</f>
        <v/>
      </c>
      <c r="L142" s="28">
        <f>IF($B142="","",IF($K142="","—",IF(ROUND($K142-$J142,0)=0,"√","×")))</f>
        <v/>
      </c>
      <c r="M142" s="28">
        <f>IF($B142="","",IF(COUNTIFS(EntryDates,$B142,CalcTime,$C142,CalcBank,$C$5,EntryParty,$D142,EntryDep,$H142,EntryWit,$I142)&gt;1,"تکرار",""))</f>
        <v/>
      </c>
      <c r="N142" s="28">
        <f>IF($P142="","",IF(INDEX(EntryNotes,$P142)=0,"",INDEX(EntryNotes,$P142)))</f>
        <v/>
      </c>
      <c r="O142" s="28">
        <f>IF($P142="","",IF(INDEX(EntryTxnID,$P142)=0,"",INDEX(EntryTxnID,$P142)))</f>
        <v/>
      </c>
      <c r="P142" s="28">
        <f>IFERROR(MATCH($C$5&amp;"|"&amp;RIGHT("000000"&amp;126,6),CalcRankKey,0),"")</f>
        <v/>
      </c>
    </row>
    <row r="143">
      <c r="A143" s="26">
        <f>IF($B143="","",127)</f>
        <v/>
      </c>
      <c r="B143" s="26">
        <f>IF($P143="","",IF(INDEX(CalcNormDate,$P143)=0,"",INDEX(CalcNormDate,$P143)))</f>
        <v/>
      </c>
      <c r="C143" s="26">
        <f>IF($P143="","",IF(INDEX(CalcTime,$P143)=0,"",INDEX(CalcTime,$P143)))</f>
        <v/>
      </c>
      <c r="D143" s="26">
        <f>IF($P143="","",IF(INDEX(EntryParty,$P143)=0,"",INDEX(EntryParty,$P143)))</f>
        <v/>
      </c>
      <c r="E143" s="26">
        <f>IF($P143="","",IF(INDEX(EntryPartyName,$P143)=0,"",INDEX(EntryPartyName,$P143)))</f>
        <v/>
      </c>
      <c r="F143" s="26">
        <f>IF($P143="","",IF(INDEX(EntryPartyType,$P143)=0,"",INDEX(EntryPartyType,$P143)))</f>
        <v/>
      </c>
      <c r="G143" s="26">
        <f>IF($P143="","",IF(INDEX(EntryTxnType,$P143)=0,"",INDEX(EntryTxnType,$P143)))</f>
        <v/>
      </c>
      <c r="H143" s="27">
        <f>IF($P143="","",IF(INDEX(EntryDep,$P143)=0,"",INDEX(EntryDep,$P143)))</f>
        <v/>
      </c>
      <c r="I143" s="27">
        <f>IF($P143="","",IF(INDEX(EntryWit,$P143)=0,"",INDEX(EntryWit,$P143)))</f>
        <v/>
      </c>
      <c r="J143" s="27">
        <f>IF($B143="","",IF($A143=1,$C$7,IF(J142="",0,J142))+IF($H143="",0,$H143)-IF($I143="",0,$I143))</f>
        <v/>
      </c>
      <c r="K143" s="27">
        <f>IF($P143="","",IF(INDEX(EntryMan,$P143)=0,"",INDEX(EntryMan,$P143)))</f>
        <v/>
      </c>
      <c r="L143" s="26">
        <f>IF($B143="","",IF($K143="","—",IF(ROUND($K143-$J143,0)=0,"√","×")))</f>
        <v/>
      </c>
      <c r="M143" s="26">
        <f>IF($B143="","",IF(COUNTIFS(EntryDates,$B143,CalcTime,$C143,CalcBank,$C$5,EntryParty,$D143,EntryDep,$H143,EntryWit,$I143)&gt;1,"تکرار",""))</f>
        <v/>
      </c>
      <c r="N143" s="26">
        <f>IF($P143="","",IF(INDEX(EntryNotes,$P143)=0,"",INDEX(EntryNotes,$P143)))</f>
        <v/>
      </c>
      <c r="O143" s="26">
        <f>IF($P143="","",IF(INDEX(EntryTxnID,$P143)=0,"",INDEX(EntryTxnID,$P143)))</f>
        <v/>
      </c>
      <c r="P143" s="26">
        <f>IFERROR(MATCH($C$5&amp;"|"&amp;RIGHT("000000"&amp;127,6),CalcRankKey,0),"")</f>
        <v/>
      </c>
    </row>
    <row r="144">
      <c r="A144" s="28">
        <f>IF($B144="","",128)</f>
        <v/>
      </c>
      <c r="B144" s="28">
        <f>IF($P144="","",IF(INDEX(CalcNormDate,$P144)=0,"",INDEX(CalcNormDate,$P144)))</f>
        <v/>
      </c>
      <c r="C144" s="28">
        <f>IF($P144="","",IF(INDEX(CalcTime,$P144)=0,"",INDEX(CalcTime,$P144)))</f>
        <v/>
      </c>
      <c r="D144" s="28">
        <f>IF($P144="","",IF(INDEX(EntryParty,$P144)=0,"",INDEX(EntryParty,$P144)))</f>
        <v/>
      </c>
      <c r="E144" s="28">
        <f>IF($P144="","",IF(INDEX(EntryPartyName,$P144)=0,"",INDEX(EntryPartyName,$P144)))</f>
        <v/>
      </c>
      <c r="F144" s="28">
        <f>IF($P144="","",IF(INDEX(EntryPartyType,$P144)=0,"",INDEX(EntryPartyType,$P144)))</f>
        <v/>
      </c>
      <c r="G144" s="28">
        <f>IF($P144="","",IF(INDEX(EntryTxnType,$P144)=0,"",INDEX(EntryTxnType,$P144)))</f>
        <v/>
      </c>
      <c r="H144" s="29">
        <f>IF($P144="","",IF(INDEX(EntryDep,$P144)=0,"",INDEX(EntryDep,$P144)))</f>
        <v/>
      </c>
      <c r="I144" s="29">
        <f>IF($P144="","",IF(INDEX(EntryWit,$P144)=0,"",INDEX(EntryWit,$P144)))</f>
        <v/>
      </c>
      <c r="J144" s="29">
        <f>IF($B144="","",IF($A144=1,$C$7,IF(J143="",0,J143))+IF($H144="",0,$H144)-IF($I144="",0,$I144))</f>
        <v/>
      </c>
      <c r="K144" s="29">
        <f>IF($P144="","",IF(INDEX(EntryMan,$P144)=0,"",INDEX(EntryMan,$P144)))</f>
        <v/>
      </c>
      <c r="L144" s="28">
        <f>IF($B144="","",IF($K144="","—",IF(ROUND($K144-$J144,0)=0,"√","×")))</f>
        <v/>
      </c>
      <c r="M144" s="28">
        <f>IF($B144="","",IF(COUNTIFS(EntryDates,$B144,CalcTime,$C144,CalcBank,$C$5,EntryParty,$D144,EntryDep,$H144,EntryWit,$I144)&gt;1,"تکرار",""))</f>
        <v/>
      </c>
      <c r="N144" s="28">
        <f>IF($P144="","",IF(INDEX(EntryNotes,$P144)=0,"",INDEX(EntryNotes,$P144)))</f>
        <v/>
      </c>
      <c r="O144" s="28">
        <f>IF($P144="","",IF(INDEX(EntryTxnID,$P144)=0,"",INDEX(EntryTxnID,$P144)))</f>
        <v/>
      </c>
      <c r="P144" s="28">
        <f>IFERROR(MATCH($C$5&amp;"|"&amp;RIGHT("000000"&amp;128,6),CalcRankKey,0),"")</f>
        <v/>
      </c>
    </row>
    <row r="145">
      <c r="A145" s="26">
        <f>IF($B145="","",129)</f>
        <v/>
      </c>
      <c r="B145" s="26">
        <f>IF($P145="","",IF(INDEX(CalcNormDate,$P145)=0,"",INDEX(CalcNormDate,$P145)))</f>
        <v/>
      </c>
      <c r="C145" s="26">
        <f>IF($P145="","",IF(INDEX(CalcTime,$P145)=0,"",INDEX(CalcTime,$P145)))</f>
        <v/>
      </c>
      <c r="D145" s="26">
        <f>IF($P145="","",IF(INDEX(EntryParty,$P145)=0,"",INDEX(EntryParty,$P145)))</f>
        <v/>
      </c>
      <c r="E145" s="26">
        <f>IF($P145="","",IF(INDEX(EntryPartyName,$P145)=0,"",INDEX(EntryPartyName,$P145)))</f>
        <v/>
      </c>
      <c r="F145" s="26">
        <f>IF($P145="","",IF(INDEX(EntryPartyType,$P145)=0,"",INDEX(EntryPartyType,$P145)))</f>
        <v/>
      </c>
      <c r="G145" s="26">
        <f>IF($P145="","",IF(INDEX(EntryTxnType,$P145)=0,"",INDEX(EntryTxnType,$P145)))</f>
        <v/>
      </c>
      <c r="H145" s="27">
        <f>IF($P145="","",IF(INDEX(EntryDep,$P145)=0,"",INDEX(EntryDep,$P145)))</f>
        <v/>
      </c>
      <c r="I145" s="27">
        <f>IF($P145="","",IF(INDEX(EntryWit,$P145)=0,"",INDEX(EntryWit,$P145)))</f>
        <v/>
      </c>
      <c r="J145" s="27">
        <f>IF($B145="","",IF($A145=1,$C$7,IF(J144="",0,J144))+IF($H145="",0,$H145)-IF($I145="",0,$I145))</f>
        <v/>
      </c>
      <c r="K145" s="27">
        <f>IF($P145="","",IF(INDEX(EntryMan,$P145)=0,"",INDEX(EntryMan,$P145)))</f>
        <v/>
      </c>
      <c r="L145" s="26">
        <f>IF($B145="","",IF($K145="","—",IF(ROUND($K145-$J145,0)=0,"√","×")))</f>
        <v/>
      </c>
      <c r="M145" s="26">
        <f>IF($B145="","",IF(COUNTIFS(EntryDates,$B145,CalcTime,$C145,CalcBank,$C$5,EntryParty,$D145,EntryDep,$H145,EntryWit,$I145)&gt;1,"تکرار",""))</f>
        <v/>
      </c>
      <c r="N145" s="26">
        <f>IF($P145="","",IF(INDEX(EntryNotes,$P145)=0,"",INDEX(EntryNotes,$P145)))</f>
        <v/>
      </c>
      <c r="O145" s="26">
        <f>IF($P145="","",IF(INDEX(EntryTxnID,$P145)=0,"",INDEX(EntryTxnID,$P145)))</f>
        <v/>
      </c>
      <c r="P145" s="26">
        <f>IFERROR(MATCH($C$5&amp;"|"&amp;RIGHT("000000"&amp;129,6),CalcRankKey,0),"")</f>
        <v/>
      </c>
    </row>
    <row r="146">
      <c r="A146" s="28">
        <f>IF($B146="","",130)</f>
        <v/>
      </c>
      <c r="B146" s="28">
        <f>IF($P146="","",IF(INDEX(CalcNormDate,$P146)=0,"",INDEX(CalcNormDate,$P146)))</f>
        <v/>
      </c>
      <c r="C146" s="28">
        <f>IF($P146="","",IF(INDEX(CalcTime,$P146)=0,"",INDEX(CalcTime,$P146)))</f>
        <v/>
      </c>
      <c r="D146" s="28">
        <f>IF($P146="","",IF(INDEX(EntryParty,$P146)=0,"",INDEX(EntryParty,$P146)))</f>
        <v/>
      </c>
      <c r="E146" s="28">
        <f>IF($P146="","",IF(INDEX(EntryPartyName,$P146)=0,"",INDEX(EntryPartyName,$P146)))</f>
        <v/>
      </c>
      <c r="F146" s="28">
        <f>IF($P146="","",IF(INDEX(EntryPartyType,$P146)=0,"",INDEX(EntryPartyType,$P146)))</f>
        <v/>
      </c>
      <c r="G146" s="28">
        <f>IF($P146="","",IF(INDEX(EntryTxnType,$P146)=0,"",INDEX(EntryTxnType,$P146)))</f>
        <v/>
      </c>
      <c r="H146" s="29">
        <f>IF($P146="","",IF(INDEX(EntryDep,$P146)=0,"",INDEX(EntryDep,$P146)))</f>
        <v/>
      </c>
      <c r="I146" s="29">
        <f>IF($P146="","",IF(INDEX(EntryWit,$P146)=0,"",INDEX(EntryWit,$P146)))</f>
        <v/>
      </c>
      <c r="J146" s="29">
        <f>IF($B146="","",IF($A146=1,$C$7,IF(J145="",0,J145))+IF($H146="",0,$H146)-IF($I146="",0,$I146))</f>
        <v/>
      </c>
      <c r="K146" s="29">
        <f>IF($P146="","",IF(INDEX(EntryMan,$P146)=0,"",INDEX(EntryMan,$P146)))</f>
        <v/>
      </c>
      <c r="L146" s="28">
        <f>IF($B146="","",IF($K146="","—",IF(ROUND($K146-$J146,0)=0,"√","×")))</f>
        <v/>
      </c>
      <c r="M146" s="28">
        <f>IF($B146="","",IF(COUNTIFS(EntryDates,$B146,CalcTime,$C146,CalcBank,$C$5,EntryParty,$D146,EntryDep,$H146,EntryWit,$I146)&gt;1,"تکرار",""))</f>
        <v/>
      </c>
      <c r="N146" s="28">
        <f>IF($P146="","",IF(INDEX(EntryNotes,$P146)=0,"",INDEX(EntryNotes,$P146)))</f>
        <v/>
      </c>
      <c r="O146" s="28">
        <f>IF($P146="","",IF(INDEX(EntryTxnID,$P146)=0,"",INDEX(EntryTxnID,$P146)))</f>
        <v/>
      </c>
      <c r="P146" s="28">
        <f>IFERROR(MATCH($C$5&amp;"|"&amp;RIGHT("000000"&amp;130,6),CalcRankKey,0),"")</f>
        <v/>
      </c>
    </row>
    <row r="147">
      <c r="A147" s="26">
        <f>IF($B147="","",131)</f>
        <v/>
      </c>
      <c r="B147" s="26">
        <f>IF($P147="","",IF(INDEX(CalcNormDate,$P147)=0,"",INDEX(CalcNormDate,$P147)))</f>
        <v/>
      </c>
      <c r="C147" s="26">
        <f>IF($P147="","",IF(INDEX(CalcTime,$P147)=0,"",INDEX(CalcTime,$P147)))</f>
        <v/>
      </c>
      <c r="D147" s="26">
        <f>IF($P147="","",IF(INDEX(EntryParty,$P147)=0,"",INDEX(EntryParty,$P147)))</f>
        <v/>
      </c>
      <c r="E147" s="26">
        <f>IF($P147="","",IF(INDEX(EntryPartyName,$P147)=0,"",INDEX(EntryPartyName,$P147)))</f>
        <v/>
      </c>
      <c r="F147" s="26">
        <f>IF($P147="","",IF(INDEX(EntryPartyType,$P147)=0,"",INDEX(EntryPartyType,$P147)))</f>
        <v/>
      </c>
      <c r="G147" s="26">
        <f>IF($P147="","",IF(INDEX(EntryTxnType,$P147)=0,"",INDEX(EntryTxnType,$P147)))</f>
        <v/>
      </c>
      <c r="H147" s="27">
        <f>IF($P147="","",IF(INDEX(EntryDep,$P147)=0,"",INDEX(EntryDep,$P147)))</f>
        <v/>
      </c>
      <c r="I147" s="27">
        <f>IF($P147="","",IF(INDEX(EntryWit,$P147)=0,"",INDEX(EntryWit,$P147)))</f>
        <v/>
      </c>
      <c r="J147" s="27">
        <f>IF($B147="","",IF($A147=1,$C$7,IF(J146="",0,J146))+IF($H147="",0,$H147)-IF($I147="",0,$I147))</f>
        <v/>
      </c>
      <c r="K147" s="27">
        <f>IF($P147="","",IF(INDEX(EntryMan,$P147)=0,"",INDEX(EntryMan,$P147)))</f>
        <v/>
      </c>
      <c r="L147" s="26">
        <f>IF($B147="","",IF($K147="","—",IF(ROUND($K147-$J147,0)=0,"√","×")))</f>
        <v/>
      </c>
      <c r="M147" s="26">
        <f>IF($B147="","",IF(COUNTIFS(EntryDates,$B147,CalcTime,$C147,CalcBank,$C$5,EntryParty,$D147,EntryDep,$H147,EntryWit,$I147)&gt;1,"تکرار",""))</f>
        <v/>
      </c>
      <c r="N147" s="26">
        <f>IF($P147="","",IF(INDEX(EntryNotes,$P147)=0,"",INDEX(EntryNotes,$P147)))</f>
        <v/>
      </c>
      <c r="O147" s="26">
        <f>IF($P147="","",IF(INDEX(EntryTxnID,$P147)=0,"",INDEX(EntryTxnID,$P147)))</f>
        <v/>
      </c>
      <c r="P147" s="26">
        <f>IFERROR(MATCH($C$5&amp;"|"&amp;RIGHT("000000"&amp;131,6),CalcRankKey,0),"")</f>
        <v/>
      </c>
    </row>
    <row r="148">
      <c r="A148" s="28">
        <f>IF($B148="","",132)</f>
        <v/>
      </c>
      <c r="B148" s="28">
        <f>IF($P148="","",IF(INDEX(CalcNormDate,$P148)=0,"",INDEX(CalcNormDate,$P148)))</f>
        <v/>
      </c>
      <c r="C148" s="28">
        <f>IF($P148="","",IF(INDEX(CalcTime,$P148)=0,"",INDEX(CalcTime,$P148)))</f>
        <v/>
      </c>
      <c r="D148" s="28">
        <f>IF($P148="","",IF(INDEX(EntryParty,$P148)=0,"",INDEX(EntryParty,$P148)))</f>
        <v/>
      </c>
      <c r="E148" s="28">
        <f>IF($P148="","",IF(INDEX(EntryPartyName,$P148)=0,"",INDEX(EntryPartyName,$P148)))</f>
        <v/>
      </c>
      <c r="F148" s="28">
        <f>IF($P148="","",IF(INDEX(EntryPartyType,$P148)=0,"",INDEX(EntryPartyType,$P148)))</f>
        <v/>
      </c>
      <c r="G148" s="28">
        <f>IF($P148="","",IF(INDEX(EntryTxnType,$P148)=0,"",INDEX(EntryTxnType,$P148)))</f>
        <v/>
      </c>
      <c r="H148" s="29">
        <f>IF($P148="","",IF(INDEX(EntryDep,$P148)=0,"",INDEX(EntryDep,$P148)))</f>
        <v/>
      </c>
      <c r="I148" s="29">
        <f>IF($P148="","",IF(INDEX(EntryWit,$P148)=0,"",INDEX(EntryWit,$P148)))</f>
        <v/>
      </c>
      <c r="J148" s="29">
        <f>IF($B148="","",IF($A148=1,$C$7,IF(J147="",0,J147))+IF($H148="",0,$H148)-IF($I148="",0,$I148))</f>
        <v/>
      </c>
      <c r="K148" s="29">
        <f>IF($P148="","",IF(INDEX(EntryMan,$P148)=0,"",INDEX(EntryMan,$P148)))</f>
        <v/>
      </c>
      <c r="L148" s="28">
        <f>IF($B148="","",IF($K148="","—",IF(ROUND($K148-$J148,0)=0,"√","×")))</f>
        <v/>
      </c>
      <c r="M148" s="28">
        <f>IF($B148="","",IF(COUNTIFS(EntryDates,$B148,CalcTime,$C148,CalcBank,$C$5,EntryParty,$D148,EntryDep,$H148,EntryWit,$I148)&gt;1,"تکرار",""))</f>
        <v/>
      </c>
      <c r="N148" s="28">
        <f>IF($P148="","",IF(INDEX(EntryNotes,$P148)=0,"",INDEX(EntryNotes,$P148)))</f>
        <v/>
      </c>
      <c r="O148" s="28">
        <f>IF($P148="","",IF(INDEX(EntryTxnID,$P148)=0,"",INDEX(EntryTxnID,$P148)))</f>
        <v/>
      </c>
      <c r="P148" s="28">
        <f>IFERROR(MATCH($C$5&amp;"|"&amp;RIGHT("000000"&amp;132,6),CalcRankKey,0),"")</f>
        <v/>
      </c>
    </row>
    <row r="149">
      <c r="A149" s="26">
        <f>IF($B149="","",133)</f>
        <v/>
      </c>
      <c r="B149" s="26">
        <f>IF($P149="","",IF(INDEX(CalcNormDate,$P149)=0,"",INDEX(CalcNormDate,$P149)))</f>
        <v/>
      </c>
      <c r="C149" s="26">
        <f>IF($P149="","",IF(INDEX(CalcTime,$P149)=0,"",INDEX(CalcTime,$P149)))</f>
        <v/>
      </c>
      <c r="D149" s="26">
        <f>IF($P149="","",IF(INDEX(EntryParty,$P149)=0,"",INDEX(EntryParty,$P149)))</f>
        <v/>
      </c>
      <c r="E149" s="26">
        <f>IF($P149="","",IF(INDEX(EntryPartyName,$P149)=0,"",INDEX(EntryPartyName,$P149)))</f>
        <v/>
      </c>
      <c r="F149" s="26">
        <f>IF($P149="","",IF(INDEX(EntryPartyType,$P149)=0,"",INDEX(EntryPartyType,$P149)))</f>
        <v/>
      </c>
      <c r="G149" s="26">
        <f>IF($P149="","",IF(INDEX(EntryTxnType,$P149)=0,"",INDEX(EntryTxnType,$P149)))</f>
        <v/>
      </c>
      <c r="H149" s="27">
        <f>IF($P149="","",IF(INDEX(EntryDep,$P149)=0,"",INDEX(EntryDep,$P149)))</f>
        <v/>
      </c>
      <c r="I149" s="27">
        <f>IF($P149="","",IF(INDEX(EntryWit,$P149)=0,"",INDEX(EntryWit,$P149)))</f>
        <v/>
      </c>
      <c r="J149" s="27">
        <f>IF($B149="","",IF($A149=1,$C$7,IF(J148="",0,J148))+IF($H149="",0,$H149)-IF($I149="",0,$I149))</f>
        <v/>
      </c>
      <c r="K149" s="27">
        <f>IF($P149="","",IF(INDEX(EntryMan,$P149)=0,"",INDEX(EntryMan,$P149)))</f>
        <v/>
      </c>
      <c r="L149" s="26">
        <f>IF($B149="","",IF($K149="","—",IF(ROUND($K149-$J149,0)=0,"√","×")))</f>
        <v/>
      </c>
      <c r="M149" s="26">
        <f>IF($B149="","",IF(COUNTIFS(EntryDates,$B149,CalcTime,$C149,CalcBank,$C$5,EntryParty,$D149,EntryDep,$H149,EntryWit,$I149)&gt;1,"تکرار",""))</f>
        <v/>
      </c>
      <c r="N149" s="26">
        <f>IF($P149="","",IF(INDEX(EntryNotes,$P149)=0,"",INDEX(EntryNotes,$P149)))</f>
        <v/>
      </c>
      <c r="O149" s="26">
        <f>IF($P149="","",IF(INDEX(EntryTxnID,$P149)=0,"",INDEX(EntryTxnID,$P149)))</f>
        <v/>
      </c>
      <c r="P149" s="26">
        <f>IFERROR(MATCH($C$5&amp;"|"&amp;RIGHT("000000"&amp;133,6),CalcRankKey,0),"")</f>
        <v/>
      </c>
    </row>
    <row r="150">
      <c r="A150" s="28">
        <f>IF($B150="","",134)</f>
        <v/>
      </c>
      <c r="B150" s="28">
        <f>IF($P150="","",IF(INDEX(CalcNormDate,$P150)=0,"",INDEX(CalcNormDate,$P150)))</f>
        <v/>
      </c>
      <c r="C150" s="28">
        <f>IF($P150="","",IF(INDEX(CalcTime,$P150)=0,"",INDEX(CalcTime,$P150)))</f>
        <v/>
      </c>
      <c r="D150" s="28">
        <f>IF($P150="","",IF(INDEX(EntryParty,$P150)=0,"",INDEX(EntryParty,$P150)))</f>
        <v/>
      </c>
      <c r="E150" s="28">
        <f>IF($P150="","",IF(INDEX(EntryPartyName,$P150)=0,"",INDEX(EntryPartyName,$P150)))</f>
        <v/>
      </c>
      <c r="F150" s="28">
        <f>IF($P150="","",IF(INDEX(EntryPartyType,$P150)=0,"",INDEX(EntryPartyType,$P150)))</f>
        <v/>
      </c>
      <c r="G150" s="28">
        <f>IF($P150="","",IF(INDEX(EntryTxnType,$P150)=0,"",INDEX(EntryTxnType,$P150)))</f>
        <v/>
      </c>
      <c r="H150" s="29">
        <f>IF($P150="","",IF(INDEX(EntryDep,$P150)=0,"",INDEX(EntryDep,$P150)))</f>
        <v/>
      </c>
      <c r="I150" s="29">
        <f>IF($P150="","",IF(INDEX(EntryWit,$P150)=0,"",INDEX(EntryWit,$P150)))</f>
        <v/>
      </c>
      <c r="J150" s="29">
        <f>IF($B150="","",IF($A150=1,$C$7,IF(J149="",0,J149))+IF($H150="",0,$H150)-IF($I150="",0,$I150))</f>
        <v/>
      </c>
      <c r="K150" s="29">
        <f>IF($P150="","",IF(INDEX(EntryMan,$P150)=0,"",INDEX(EntryMan,$P150)))</f>
        <v/>
      </c>
      <c r="L150" s="28">
        <f>IF($B150="","",IF($K150="","—",IF(ROUND($K150-$J150,0)=0,"√","×")))</f>
        <v/>
      </c>
      <c r="M150" s="28">
        <f>IF($B150="","",IF(COUNTIFS(EntryDates,$B150,CalcTime,$C150,CalcBank,$C$5,EntryParty,$D150,EntryDep,$H150,EntryWit,$I150)&gt;1,"تکرار",""))</f>
        <v/>
      </c>
      <c r="N150" s="28">
        <f>IF($P150="","",IF(INDEX(EntryNotes,$P150)=0,"",INDEX(EntryNotes,$P150)))</f>
        <v/>
      </c>
      <c r="O150" s="28">
        <f>IF($P150="","",IF(INDEX(EntryTxnID,$P150)=0,"",INDEX(EntryTxnID,$P150)))</f>
        <v/>
      </c>
      <c r="P150" s="28">
        <f>IFERROR(MATCH($C$5&amp;"|"&amp;RIGHT("000000"&amp;134,6),CalcRankKey,0),"")</f>
        <v/>
      </c>
    </row>
    <row r="151">
      <c r="A151" s="26">
        <f>IF($B151="","",135)</f>
        <v/>
      </c>
      <c r="B151" s="26">
        <f>IF($P151="","",IF(INDEX(CalcNormDate,$P151)=0,"",INDEX(CalcNormDate,$P151)))</f>
        <v/>
      </c>
      <c r="C151" s="26">
        <f>IF($P151="","",IF(INDEX(CalcTime,$P151)=0,"",INDEX(CalcTime,$P151)))</f>
        <v/>
      </c>
      <c r="D151" s="26">
        <f>IF($P151="","",IF(INDEX(EntryParty,$P151)=0,"",INDEX(EntryParty,$P151)))</f>
        <v/>
      </c>
      <c r="E151" s="26">
        <f>IF($P151="","",IF(INDEX(EntryPartyName,$P151)=0,"",INDEX(EntryPartyName,$P151)))</f>
        <v/>
      </c>
      <c r="F151" s="26">
        <f>IF($P151="","",IF(INDEX(EntryPartyType,$P151)=0,"",INDEX(EntryPartyType,$P151)))</f>
        <v/>
      </c>
      <c r="G151" s="26">
        <f>IF($P151="","",IF(INDEX(EntryTxnType,$P151)=0,"",INDEX(EntryTxnType,$P151)))</f>
        <v/>
      </c>
      <c r="H151" s="27">
        <f>IF($P151="","",IF(INDEX(EntryDep,$P151)=0,"",INDEX(EntryDep,$P151)))</f>
        <v/>
      </c>
      <c r="I151" s="27">
        <f>IF($P151="","",IF(INDEX(EntryWit,$P151)=0,"",INDEX(EntryWit,$P151)))</f>
        <v/>
      </c>
      <c r="J151" s="27">
        <f>IF($B151="","",IF($A151=1,$C$7,IF(J150="",0,J150))+IF($H151="",0,$H151)-IF($I151="",0,$I151))</f>
        <v/>
      </c>
      <c r="K151" s="27">
        <f>IF($P151="","",IF(INDEX(EntryMan,$P151)=0,"",INDEX(EntryMan,$P151)))</f>
        <v/>
      </c>
      <c r="L151" s="26">
        <f>IF($B151="","",IF($K151="","—",IF(ROUND($K151-$J151,0)=0,"√","×")))</f>
        <v/>
      </c>
      <c r="M151" s="26">
        <f>IF($B151="","",IF(COUNTIFS(EntryDates,$B151,CalcTime,$C151,CalcBank,$C$5,EntryParty,$D151,EntryDep,$H151,EntryWit,$I151)&gt;1,"تکرار",""))</f>
        <v/>
      </c>
      <c r="N151" s="26">
        <f>IF($P151="","",IF(INDEX(EntryNotes,$P151)=0,"",INDEX(EntryNotes,$P151)))</f>
        <v/>
      </c>
      <c r="O151" s="26">
        <f>IF($P151="","",IF(INDEX(EntryTxnID,$P151)=0,"",INDEX(EntryTxnID,$P151)))</f>
        <v/>
      </c>
      <c r="P151" s="26">
        <f>IFERROR(MATCH($C$5&amp;"|"&amp;RIGHT("000000"&amp;135,6),CalcRankKey,0),"")</f>
        <v/>
      </c>
    </row>
    <row r="152">
      <c r="A152" s="28">
        <f>IF($B152="","",136)</f>
        <v/>
      </c>
      <c r="B152" s="28">
        <f>IF($P152="","",IF(INDEX(CalcNormDate,$P152)=0,"",INDEX(CalcNormDate,$P152)))</f>
        <v/>
      </c>
      <c r="C152" s="28">
        <f>IF($P152="","",IF(INDEX(CalcTime,$P152)=0,"",INDEX(CalcTime,$P152)))</f>
        <v/>
      </c>
      <c r="D152" s="28">
        <f>IF($P152="","",IF(INDEX(EntryParty,$P152)=0,"",INDEX(EntryParty,$P152)))</f>
        <v/>
      </c>
      <c r="E152" s="28">
        <f>IF($P152="","",IF(INDEX(EntryPartyName,$P152)=0,"",INDEX(EntryPartyName,$P152)))</f>
        <v/>
      </c>
      <c r="F152" s="28">
        <f>IF($P152="","",IF(INDEX(EntryPartyType,$P152)=0,"",INDEX(EntryPartyType,$P152)))</f>
        <v/>
      </c>
      <c r="G152" s="28">
        <f>IF($P152="","",IF(INDEX(EntryTxnType,$P152)=0,"",INDEX(EntryTxnType,$P152)))</f>
        <v/>
      </c>
      <c r="H152" s="29">
        <f>IF($P152="","",IF(INDEX(EntryDep,$P152)=0,"",INDEX(EntryDep,$P152)))</f>
        <v/>
      </c>
      <c r="I152" s="29">
        <f>IF($P152="","",IF(INDEX(EntryWit,$P152)=0,"",INDEX(EntryWit,$P152)))</f>
        <v/>
      </c>
      <c r="J152" s="29">
        <f>IF($B152="","",IF($A152=1,$C$7,IF(J151="",0,J151))+IF($H152="",0,$H152)-IF($I152="",0,$I152))</f>
        <v/>
      </c>
      <c r="K152" s="29">
        <f>IF($P152="","",IF(INDEX(EntryMan,$P152)=0,"",INDEX(EntryMan,$P152)))</f>
        <v/>
      </c>
      <c r="L152" s="28">
        <f>IF($B152="","",IF($K152="","—",IF(ROUND($K152-$J152,0)=0,"√","×")))</f>
        <v/>
      </c>
      <c r="M152" s="28">
        <f>IF($B152="","",IF(COUNTIFS(EntryDates,$B152,CalcTime,$C152,CalcBank,$C$5,EntryParty,$D152,EntryDep,$H152,EntryWit,$I152)&gt;1,"تکرار",""))</f>
        <v/>
      </c>
      <c r="N152" s="28">
        <f>IF($P152="","",IF(INDEX(EntryNotes,$P152)=0,"",INDEX(EntryNotes,$P152)))</f>
        <v/>
      </c>
      <c r="O152" s="28">
        <f>IF($P152="","",IF(INDEX(EntryTxnID,$P152)=0,"",INDEX(EntryTxnID,$P152)))</f>
        <v/>
      </c>
      <c r="P152" s="28">
        <f>IFERROR(MATCH($C$5&amp;"|"&amp;RIGHT("000000"&amp;136,6),CalcRankKey,0),"")</f>
        <v/>
      </c>
    </row>
    <row r="153">
      <c r="A153" s="26">
        <f>IF($B153="","",137)</f>
        <v/>
      </c>
      <c r="B153" s="26">
        <f>IF($P153="","",IF(INDEX(CalcNormDate,$P153)=0,"",INDEX(CalcNormDate,$P153)))</f>
        <v/>
      </c>
      <c r="C153" s="26">
        <f>IF($P153="","",IF(INDEX(CalcTime,$P153)=0,"",INDEX(CalcTime,$P153)))</f>
        <v/>
      </c>
      <c r="D153" s="26">
        <f>IF($P153="","",IF(INDEX(EntryParty,$P153)=0,"",INDEX(EntryParty,$P153)))</f>
        <v/>
      </c>
      <c r="E153" s="26">
        <f>IF($P153="","",IF(INDEX(EntryPartyName,$P153)=0,"",INDEX(EntryPartyName,$P153)))</f>
        <v/>
      </c>
      <c r="F153" s="26">
        <f>IF($P153="","",IF(INDEX(EntryPartyType,$P153)=0,"",INDEX(EntryPartyType,$P153)))</f>
        <v/>
      </c>
      <c r="G153" s="26">
        <f>IF($P153="","",IF(INDEX(EntryTxnType,$P153)=0,"",INDEX(EntryTxnType,$P153)))</f>
        <v/>
      </c>
      <c r="H153" s="27">
        <f>IF($P153="","",IF(INDEX(EntryDep,$P153)=0,"",INDEX(EntryDep,$P153)))</f>
        <v/>
      </c>
      <c r="I153" s="27">
        <f>IF($P153="","",IF(INDEX(EntryWit,$P153)=0,"",INDEX(EntryWit,$P153)))</f>
        <v/>
      </c>
      <c r="J153" s="27">
        <f>IF($B153="","",IF($A153=1,$C$7,IF(J152="",0,J152))+IF($H153="",0,$H153)-IF($I153="",0,$I153))</f>
        <v/>
      </c>
      <c r="K153" s="27">
        <f>IF($P153="","",IF(INDEX(EntryMan,$P153)=0,"",INDEX(EntryMan,$P153)))</f>
        <v/>
      </c>
      <c r="L153" s="26">
        <f>IF($B153="","",IF($K153="","—",IF(ROUND($K153-$J153,0)=0,"√","×")))</f>
        <v/>
      </c>
      <c r="M153" s="26">
        <f>IF($B153="","",IF(COUNTIFS(EntryDates,$B153,CalcTime,$C153,CalcBank,$C$5,EntryParty,$D153,EntryDep,$H153,EntryWit,$I153)&gt;1,"تکرار",""))</f>
        <v/>
      </c>
      <c r="N153" s="26">
        <f>IF($P153="","",IF(INDEX(EntryNotes,$P153)=0,"",INDEX(EntryNotes,$P153)))</f>
        <v/>
      </c>
      <c r="O153" s="26">
        <f>IF($P153="","",IF(INDEX(EntryTxnID,$P153)=0,"",INDEX(EntryTxnID,$P153)))</f>
        <v/>
      </c>
      <c r="P153" s="26">
        <f>IFERROR(MATCH($C$5&amp;"|"&amp;RIGHT("000000"&amp;137,6),CalcRankKey,0),"")</f>
        <v/>
      </c>
    </row>
    <row r="154">
      <c r="A154" s="28">
        <f>IF($B154="","",138)</f>
        <v/>
      </c>
      <c r="B154" s="28">
        <f>IF($P154="","",IF(INDEX(CalcNormDate,$P154)=0,"",INDEX(CalcNormDate,$P154)))</f>
        <v/>
      </c>
      <c r="C154" s="28">
        <f>IF($P154="","",IF(INDEX(CalcTime,$P154)=0,"",INDEX(CalcTime,$P154)))</f>
        <v/>
      </c>
      <c r="D154" s="28">
        <f>IF($P154="","",IF(INDEX(EntryParty,$P154)=0,"",INDEX(EntryParty,$P154)))</f>
        <v/>
      </c>
      <c r="E154" s="28">
        <f>IF($P154="","",IF(INDEX(EntryPartyName,$P154)=0,"",INDEX(EntryPartyName,$P154)))</f>
        <v/>
      </c>
      <c r="F154" s="28">
        <f>IF($P154="","",IF(INDEX(EntryPartyType,$P154)=0,"",INDEX(EntryPartyType,$P154)))</f>
        <v/>
      </c>
      <c r="G154" s="28">
        <f>IF($P154="","",IF(INDEX(EntryTxnType,$P154)=0,"",INDEX(EntryTxnType,$P154)))</f>
        <v/>
      </c>
      <c r="H154" s="29">
        <f>IF($P154="","",IF(INDEX(EntryDep,$P154)=0,"",INDEX(EntryDep,$P154)))</f>
        <v/>
      </c>
      <c r="I154" s="29">
        <f>IF($P154="","",IF(INDEX(EntryWit,$P154)=0,"",INDEX(EntryWit,$P154)))</f>
        <v/>
      </c>
      <c r="J154" s="29">
        <f>IF($B154="","",IF($A154=1,$C$7,IF(J153="",0,J153))+IF($H154="",0,$H154)-IF($I154="",0,$I154))</f>
        <v/>
      </c>
      <c r="K154" s="29">
        <f>IF($P154="","",IF(INDEX(EntryMan,$P154)=0,"",INDEX(EntryMan,$P154)))</f>
        <v/>
      </c>
      <c r="L154" s="28">
        <f>IF($B154="","",IF($K154="","—",IF(ROUND($K154-$J154,0)=0,"√","×")))</f>
        <v/>
      </c>
      <c r="M154" s="28">
        <f>IF($B154="","",IF(COUNTIFS(EntryDates,$B154,CalcTime,$C154,CalcBank,$C$5,EntryParty,$D154,EntryDep,$H154,EntryWit,$I154)&gt;1,"تکرار",""))</f>
        <v/>
      </c>
      <c r="N154" s="28">
        <f>IF($P154="","",IF(INDEX(EntryNotes,$P154)=0,"",INDEX(EntryNotes,$P154)))</f>
        <v/>
      </c>
      <c r="O154" s="28">
        <f>IF($P154="","",IF(INDEX(EntryTxnID,$P154)=0,"",INDEX(EntryTxnID,$P154)))</f>
        <v/>
      </c>
      <c r="P154" s="28">
        <f>IFERROR(MATCH($C$5&amp;"|"&amp;RIGHT("000000"&amp;138,6),CalcRankKey,0),"")</f>
        <v/>
      </c>
    </row>
    <row r="155">
      <c r="A155" s="26">
        <f>IF($B155="","",139)</f>
        <v/>
      </c>
      <c r="B155" s="26">
        <f>IF($P155="","",IF(INDEX(CalcNormDate,$P155)=0,"",INDEX(CalcNormDate,$P155)))</f>
        <v/>
      </c>
      <c r="C155" s="26">
        <f>IF($P155="","",IF(INDEX(CalcTime,$P155)=0,"",INDEX(CalcTime,$P155)))</f>
        <v/>
      </c>
      <c r="D155" s="26">
        <f>IF($P155="","",IF(INDEX(EntryParty,$P155)=0,"",INDEX(EntryParty,$P155)))</f>
        <v/>
      </c>
      <c r="E155" s="26">
        <f>IF($P155="","",IF(INDEX(EntryPartyName,$P155)=0,"",INDEX(EntryPartyName,$P155)))</f>
        <v/>
      </c>
      <c r="F155" s="26">
        <f>IF($P155="","",IF(INDEX(EntryPartyType,$P155)=0,"",INDEX(EntryPartyType,$P155)))</f>
        <v/>
      </c>
      <c r="G155" s="26">
        <f>IF($P155="","",IF(INDEX(EntryTxnType,$P155)=0,"",INDEX(EntryTxnType,$P155)))</f>
        <v/>
      </c>
      <c r="H155" s="27">
        <f>IF($P155="","",IF(INDEX(EntryDep,$P155)=0,"",INDEX(EntryDep,$P155)))</f>
        <v/>
      </c>
      <c r="I155" s="27">
        <f>IF($P155="","",IF(INDEX(EntryWit,$P155)=0,"",INDEX(EntryWit,$P155)))</f>
        <v/>
      </c>
      <c r="J155" s="27">
        <f>IF($B155="","",IF($A155=1,$C$7,IF(J154="",0,J154))+IF($H155="",0,$H155)-IF($I155="",0,$I155))</f>
        <v/>
      </c>
      <c r="K155" s="27">
        <f>IF($P155="","",IF(INDEX(EntryMan,$P155)=0,"",INDEX(EntryMan,$P155)))</f>
        <v/>
      </c>
      <c r="L155" s="26">
        <f>IF($B155="","",IF($K155="","—",IF(ROUND($K155-$J155,0)=0,"√","×")))</f>
        <v/>
      </c>
      <c r="M155" s="26">
        <f>IF($B155="","",IF(COUNTIFS(EntryDates,$B155,CalcTime,$C155,CalcBank,$C$5,EntryParty,$D155,EntryDep,$H155,EntryWit,$I155)&gt;1,"تکرار",""))</f>
        <v/>
      </c>
      <c r="N155" s="26">
        <f>IF($P155="","",IF(INDEX(EntryNotes,$P155)=0,"",INDEX(EntryNotes,$P155)))</f>
        <v/>
      </c>
      <c r="O155" s="26">
        <f>IF($P155="","",IF(INDEX(EntryTxnID,$P155)=0,"",INDEX(EntryTxnID,$P155)))</f>
        <v/>
      </c>
      <c r="P155" s="26">
        <f>IFERROR(MATCH($C$5&amp;"|"&amp;RIGHT("000000"&amp;139,6),CalcRankKey,0),"")</f>
        <v/>
      </c>
    </row>
    <row r="156">
      <c r="A156" s="28">
        <f>IF($B156="","",140)</f>
        <v/>
      </c>
      <c r="B156" s="28">
        <f>IF($P156="","",IF(INDEX(CalcNormDate,$P156)=0,"",INDEX(CalcNormDate,$P156)))</f>
        <v/>
      </c>
      <c r="C156" s="28">
        <f>IF($P156="","",IF(INDEX(CalcTime,$P156)=0,"",INDEX(CalcTime,$P156)))</f>
        <v/>
      </c>
      <c r="D156" s="28">
        <f>IF($P156="","",IF(INDEX(EntryParty,$P156)=0,"",INDEX(EntryParty,$P156)))</f>
        <v/>
      </c>
      <c r="E156" s="28">
        <f>IF($P156="","",IF(INDEX(EntryPartyName,$P156)=0,"",INDEX(EntryPartyName,$P156)))</f>
        <v/>
      </c>
      <c r="F156" s="28">
        <f>IF($P156="","",IF(INDEX(EntryPartyType,$P156)=0,"",INDEX(EntryPartyType,$P156)))</f>
        <v/>
      </c>
      <c r="G156" s="28">
        <f>IF($P156="","",IF(INDEX(EntryTxnType,$P156)=0,"",INDEX(EntryTxnType,$P156)))</f>
        <v/>
      </c>
      <c r="H156" s="29">
        <f>IF($P156="","",IF(INDEX(EntryDep,$P156)=0,"",INDEX(EntryDep,$P156)))</f>
        <v/>
      </c>
      <c r="I156" s="29">
        <f>IF($P156="","",IF(INDEX(EntryWit,$P156)=0,"",INDEX(EntryWit,$P156)))</f>
        <v/>
      </c>
      <c r="J156" s="29">
        <f>IF($B156="","",IF($A156=1,$C$7,IF(J155="",0,J155))+IF($H156="",0,$H156)-IF($I156="",0,$I156))</f>
        <v/>
      </c>
      <c r="K156" s="29">
        <f>IF($P156="","",IF(INDEX(EntryMan,$P156)=0,"",INDEX(EntryMan,$P156)))</f>
        <v/>
      </c>
      <c r="L156" s="28">
        <f>IF($B156="","",IF($K156="","—",IF(ROUND($K156-$J156,0)=0,"√","×")))</f>
        <v/>
      </c>
      <c r="M156" s="28">
        <f>IF($B156="","",IF(COUNTIFS(EntryDates,$B156,CalcTime,$C156,CalcBank,$C$5,EntryParty,$D156,EntryDep,$H156,EntryWit,$I156)&gt;1,"تکرار",""))</f>
        <v/>
      </c>
      <c r="N156" s="28">
        <f>IF($P156="","",IF(INDEX(EntryNotes,$P156)=0,"",INDEX(EntryNotes,$P156)))</f>
        <v/>
      </c>
      <c r="O156" s="28">
        <f>IF($P156="","",IF(INDEX(EntryTxnID,$P156)=0,"",INDEX(EntryTxnID,$P156)))</f>
        <v/>
      </c>
      <c r="P156" s="28">
        <f>IFERROR(MATCH($C$5&amp;"|"&amp;RIGHT("000000"&amp;140,6),CalcRankKey,0),"")</f>
        <v/>
      </c>
    </row>
    <row r="157">
      <c r="A157" s="26">
        <f>IF($B157="","",141)</f>
        <v/>
      </c>
      <c r="B157" s="26">
        <f>IF($P157="","",IF(INDEX(CalcNormDate,$P157)=0,"",INDEX(CalcNormDate,$P157)))</f>
        <v/>
      </c>
      <c r="C157" s="26">
        <f>IF($P157="","",IF(INDEX(CalcTime,$P157)=0,"",INDEX(CalcTime,$P157)))</f>
        <v/>
      </c>
      <c r="D157" s="26">
        <f>IF($P157="","",IF(INDEX(EntryParty,$P157)=0,"",INDEX(EntryParty,$P157)))</f>
        <v/>
      </c>
      <c r="E157" s="26">
        <f>IF($P157="","",IF(INDEX(EntryPartyName,$P157)=0,"",INDEX(EntryPartyName,$P157)))</f>
        <v/>
      </c>
      <c r="F157" s="26">
        <f>IF($P157="","",IF(INDEX(EntryPartyType,$P157)=0,"",INDEX(EntryPartyType,$P157)))</f>
        <v/>
      </c>
      <c r="G157" s="26">
        <f>IF($P157="","",IF(INDEX(EntryTxnType,$P157)=0,"",INDEX(EntryTxnType,$P157)))</f>
        <v/>
      </c>
      <c r="H157" s="27">
        <f>IF($P157="","",IF(INDEX(EntryDep,$P157)=0,"",INDEX(EntryDep,$P157)))</f>
        <v/>
      </c>
      <c r="I157" s="27">
        <f>IF($P157="","",IF(INDEX(EntryWit,$P157)=0,"",INDEX(EntryWit,$P157)))</f>
        <v/>
      </c>
      <c r="J157" s="27">
        <f>IF($B157="","",IF($A157=1,$C$7,IF(J156="",0,J156))+IF($H157="",0,$H157)-IF($I157="",0,$I157))</f>
        <v/>
      </c>
      <c r="K157" s="27">
        <f>IF($P157="","",IF(INDEX(EntryMan,$P157)=0,"",INDEX(EntryMan,$P157)))</f>
        <v/>
      </c>
      <c r="L157" s="26">
        <f>IF($B157="","",IF($K157="","—",IF(ROUND($K157-$J157,0)=0,"√","×")))</f>
        <v/>
      </c>
      <c r="M157" s="26">
        <f>IF($B157="","",IF(COUNTIFS(EntryDates,$B157,CalcTime,$C157,CalcBank,$C$5,EntryParty,$D157,EntryDep,$H157,EntryWit,$I157)&gt;1,"تکرار",""))</f>
        <v/>
      </c>
      <c r="N157" s="26">
        <f>IF($P157="","",IF(INDEX(EntryNotes,$P157)=0,"",INDEX(EntryNotes,$P157)))</f>
        <v/>
      </c>
      <c r="O157" s="26">
        <f>IF($P157="","",IF(INDEX(EntryTxnID,$P157)=0,"",INDEX(EntryTxnID,$P157)))</f>
        <v/>
      </c>
      <c r="P157" s="26">
        <f>IFERROR(MATCH($C$5&amp;"|"&amp;RIGHT("000000"&amp;141,6),CalcRankKey,0),"")</f>
        <v/>
      </c>
    </row>
    <row r="158">
      <c r="A158" s="28">
        <f>IF($B158="","",142)</f>
        <v/>
      </c>
      <c r="B158" s="28">
        <f>IF($P158="","",IF(INDEX(CalcNormDate,$P158)=0,"",INDEX(CalcNormDate,$P158)))</f>
        <v/>
      </c>
      <c r="C158" s="28">
        <f>IF($P158="","",IF(INDEX(CalcTime,$P158)=0,"",INDEX(CalcTime,$P158)))</f>
        <v/>
      </c>
      <c r="D158" s="28">
        <f>IF($P158="","",IF(INDEX(EntryParty,$P158)=0,"",INDEX(EntryParty,$P158)))</f>
        <v/>
      </c>
      <c r="E158" s="28">
        <f>IF($P158="","",IF(INDEX(EntryPartyName,$P158)=0,"",INDEX(EntryPartyName,$P158)))</f>
        <v/>
      </c>
      <c r="F158" s="28">
        <f>IF($P158="","",IF(INDEX(EntryPartyType,$P158)=0,"",INDEX(EntryPartyType,$P158)))</f>
        <v/>
      </c>
      <c r="G158" s="28">
        <f>IF($P158="","",IF(INDEX(EntryTxnType,$P158)=0,"",INDEX(EntryTxnType,$P158)))</f>
        <v/>
      </c>
      <c r="H158" s="29">
        <f>IF($P158="","",IF(INDEX(EntryDep,$P158)=0,"",INDEX(EntryDep,$P158)))</f>
        <v/>
      </c>
      <c r="I158" s="29">
        <f>IF($P158="","",IF(INDEX(EntryWit,$P158)=0,"",INDEX(EntryWit,$P158)))</f>
        <v/>
      </c>
      <c r="J158" s="29">
        <f>IF($B158="","",IF($A158=1,$C$7,IF(J157="",0,J157))+IF($H158="",0,$H158)-IF($I158="",0,$I158))</f>
        <v/>
      </c>
      <c r="K158" s="29">
        <f>IF($P158="","",IF(INDEX(EntryMan,$P158)=0,"",INDEX(EntryMan,$P158)))</f>
        <v/>
      </c>
      <c r="L158" s="28">
        <f>IF($B158="","",IF($K158="","—",IF(ROUND($K158-$J158,0)=0,"√","×")))</f>
        <v/>
      </c>
      <c r="M158" s="28">
        <f>IF($B158="","",IF(COUNTIFS(EntryDates,$B158,CalcTime,$C158,CalcBank,$C$5,EntryParty,$D158,EntryDep,$H158,EntryWit,$I158)&gt;1,"تکرار",""))</f>
        <v/>
      </c>
      <c r="N158" s="28">
        <f>IF($P158="","",IF(INDEX(EntryNotes,$P158)=0,"",INDEX(EntryNotes,$P158)))</f>
        <v/>
      </c>
      <c r="O158" s="28">
        <f>IF($P158="","",IF(INDEX(EntryTxnID,$P158)=0,"",INDEX(EntryTxnID,$P158)))</f>
        <v/>
      </c>
      <c r="P158" s="28">
        <f>IFERROR(MATCH($C$5&amp;"|"&amp;RIGHT("000000"&amp;142,6),CalcRankKey,0),"")</f>
        <v/>
      </c>
    </row>
    <row r="159">
      <c r="A159" s="26">
        <f>IF($B159="","",143)</f>
        <v/>
      </c>
      <c r="B159" s="26">
        <f>IF($P159="","",IF(INDEX(CalcNormDate,$P159)=0,"",INDEX(CalcNormDate,$P159)))</f>
        <v/>
      </c>
      <c r="C159" s="26">
        <f>IF($P159="","",IF(INDEX(CalcTime,$P159)=0,"",INDEX(CalcTime,$P159)))</f>
        <v/>
      </c>
      <c r="D159" s="26">
        <f>IF($P159="","",IF(INDEX(EntryParty,$P159)=0,"",INDEX(EntryParty,$P159)))</f>
        <v/>
      </c>
      <c r="E159" s="26">
        <f>IF($P159="","",IF(INDEX(EntryPartyName,$P159)=0,"",INDEX(EntryPartyName,$P159)))</f>
        <v/>
      </c>
      <c r="F159" s="26">
        <f>IF($P159="","",IF(INDEX(EntryPartyType,$P159)=0,"",INDEX(EntryPartyType,$P159)))</f>
        <v/>
      </c>
      <c r="G159" s="26">
        <f>IF($P159="","",IF(INDEX(EntryTxnType,$P159)=0,"",INDEX(EntryTxnType,$P159)))</f>
        <v/>
      </c>
      <c r="H159" s="27">
        <f>IF($P159="","",IF(INDEX(EntryDep,$P159)=0,"",INDEX(EntryDep,$P159)))</f>
        <v/>
      </c>
      <c r="I159" s="27">
        <f>IF($P159="","",IF(INDEX(EntryWit,$P159)=0,"",INDEX(EntryWit,$P159)))</f>
        <v/>
      </c>
      <c r="J159" s="27">
        <f>IF($B159="","",IF($A159=1,$C$7,IF(J158="",0,J158))+IF($H159="",0,$H159)-IF($I159="",0,$I159))</f>
        <v/>
      </c>
      <c r="K159" s="27">
        <f>IF($P159="","",IF(INDEX(EntryMan,$P159)=0,"",INDEX(EntryMan,$P159)))</f>
        <v/>
      </c>
      <c r="L159" s="26">
        <f>IF($B159="","",IF($K159="","—",IF(ROUND($K159-$J159,0)=0,"√","×")))</f>
        <v/>
      </c>
      <c r="M159" s="26">
        <f>IF($B159="","",IF(COUNTIFS(EntryDates,$B159,CalcTime,$C159,CalcBank,$C$5,EntryParty,$D159,EntryDep,$H159,EntryWit,$I159)&gt;1,"تکرار",""))</f>
        <v/>
      </c>
      <c r="N159" s="26">
        <f>IF($P159="","",IF(INDEX(EntryNotes,$P159)=0,"",INDEX(EntryNotes,$P159)))</f>
        <v/>
      </c>
      <c r="O159" s="26">
        <f>IF($P159="","",IF(INDEX(EntryTxnID,$P159)=0,"",INDEX(EntryTxnID,$P159)))</f>
        <v/>
      </c>
      <c r="P159" s="26">
        <f>IFERROR(MATCH($C$5&amp;"|"&amp;RIGHT("000000"&amp;143,6),CalcRankKey,0),"")</f>
        <v/>
      </c>
    </row>
    <row r="160">
      <c r="A160" s="28">
        <f>IF($B160="","",144)</f>
        <v/>
      </c>
      <c r="B160" s="28">
        <f>IF($P160="","",IF(INDEX(CalcNormDate,$P160)=0,"",INDEX(CalcNormDate,$P160)))</f>
        <v/>
      </c>
      <c r="C160" s="28">
        <f>IF($P160="","",IF(INDEX(CalcTime,$P160)=0,"",INDEX(CalcTime,$P160)))</f>
        <v/>
      </c>
      <c r="D160" s="28">
        <f>IF($P160="","",IF(INDEX(EntryParty,$P160)=0,"",INDEX(EntryParty,$P160)))</f>
        <v/>
      </c>
      <c r="E160" s="28">
        <f>IF($P160="","",IF(INDEX(EntryPartyName,$P160)=0,"",INDEX(EntryPartyName,$P160)))</f>
        <v/>
      </c>
      <c r="F160" s="28">
        <f>IF($P160="","",IF(INDEX(EntryPartyType,$P160)=0,"",INDEX(EntryPartyType,$P160)))</f>
        <v/>
      </c>
      <c r="G160" s="28">
        <f>IF($P160="","",IF(INDEX(EntryTxnType,$P160)=0,"",INDEX(EntryTxnType,$P160)))</f>
        <v/>
      </c>
      <c r="H160" s="29">
        <f>IF($P160="","",IF(INDEX(EntryDep,$P160)=0,"",INDEX(EntryDep,$P160)))</f>
        <v/>
      </c>
      <c r="I160" s="29">
        <f>IF($P160="","",IF(INDEX(EntryWit,$P160)=0,"",INDEX(EntryWit,$P160)))</f>
        <v/>
      </c>
      <c r="J160" s="29">
        <f>IF($B160="","",IF($A160=1,$C$7,IF(J159="",0,J159))+IF($H160="",0,$H160)-IF($I160="",0,$I160))</f>
        <v/>
      </c>
      <c r="K160" s="29">
        <f>IF($P160="","",IF(INDEX(EntryMan,$P160)=0,"",INDEX(EntryMan,$P160)))</f>
        <v/>
      </c>
      <c r="L160" s="28">
        <f>IF($B160="","",IF($K160="","—",IF(ROUND($K160-$J160,0)=0,"√","×")))</f>
        <v/>
      </c>
      <c r="M160" s="28">
        <f>IF($B160="","",IF(COUNTIFS(EntryDates,$B160,CalcTime,$C160,CalcBank,$C$5,EntryParty,$D160,EntryDep,$H160,EntryWit,$I160)&gt;1,"تکرار",""))</f>
        <v/>
      </c>
      <c r="N160" s="28">
        <f>IF($P160="","",IF(INDEX(EntryNotes,$P160)=0,"",INDEX(EntryNotes,$P160)))</f>
        <v/>
      </c>
      <c r="O160" s="28">
        <f>IF($P160="","",IF(INDEX(EntryTxnID,$P160)=0,"",INDEX(EntryTxnID,$P160)))</f>
        <v/>
      </c>
      <c r="P160" s="28">
        <f>IFERROR(MATCH($C$5&amp;"|"&amp;RIGHT("000000"&amp;144,6),CalcRankKey,0),"")</f>
        <v/>
      </c>
    </row>
    <row r="161">
      <c r="A161" s="26">
        <f>IF($B161="","",145)</f>
        <v/>
      </c>
      <c r="B161" s="26">
        <f>IF($P161="","",IF(INDEX(CalcNormDate,$P161)=0,"",INDEX(CalcNormDate,$P161)))</f>
        <v/>
      </c>
      <c r="C161" s="26">
        <f>IF($P161="","",IF(INDEX(CalcTime,$P161)=0,"",INDEX(CalcTime,$P161)))</f>
        <v/>
      </c>
      <c r="D161" s="26">
        <f>IF($P161="","",IF(INDEX(EntryParty,$P161)=0,"",INDEX(EntryParty,$P161)))</f>
        <v/>
      </c>
      <c r="E161" s="26">
        <f>IF($P161="","",IF(INDEX(EntryPartyName,$P161)=0,"",INDEX(EntryPartyName,$P161)))</f>
        <v/>
      </c>
      <c r="F161" s="26">
        <f>IF($P161="","",IF(INDEX(EntryPartyType,$P161)=0,"",INDEX(EntryPartyType,$P161)))</f>
        <v/>
      </c>
      <c r="G161" s="26">
        <f>IF($P161="","",IF(INDEX(EntryTxnType,$P161)=0,"",INDEX(EntryTxnType,$P161)))</f>
        <v/>
      </c>
      <c r="H161" s="27">
        <f>IF($P161="","",IF(INDEX(EntryDep,$P161)=0,"",INDEX(EntryDep,$P161)))</f>
        <v/>
      </c>
      <c r="I161" s="27">
        <f>IF($P161="","",IF(INDEX(EntryWit,$P161)=0,"",INDEX(EntryWit,$P161)))</f>
        <v/>
      </c>
      <c r="J161" s="27">
        <f>IF($B161="","",IF($A161=1,$C$7,IF(J160="",0,J160))+IF($H161="",0,$H161)-IF($I161="",0,$I161))</f>
        <v/>
      </c>
      <c r="K161" s="27">
        <f>IF($P161="","",IF(INDEX(EntryMan,$P161)=0,"",INDEX(EntryMan,$P161)))</f>
        <v/>
      </c>
      <c r="L161" s="26">
        <f>IF($B161="","",IF($K161="","—",IF(ROUND($K161-$J161,0)=0,"√","×")))</f>
        <v/>
      </c>
      <c r="M161" s="26">
        <f>IF($B161="","",IF(COUNTIFS(EntryDates,$B161,CalcTime,$C161,CalcBank,$C$5,EntryParty,$D161,EntryDep,$H161,EntryWit,$I161)&gt;1,"تکرار",""))</f>
        <v/>
      </c>
      <c r="N161" s="26">
        <f>IF($P161="","",IF(INDEX(EntryNotes,$P161)=0,"",INDEX(EntryNotes,$P161)))</f>
        <v/>
      </c>
      <c r="O161" s="26">
        <f>IF($P161="","",IF(INDEX(EntryTxnID,$P161)=0,"",INDEX(EntryTxnID,$P161)))</f>
        <v/>
      </c>
      <c r="P161" s="26">
        <f>IFERROR(MATCH($C$5&amp;"|"&amp;RIGHT("000000"&amp;145,6),CalcRankKey,0),"")</f>
        <v/>
      </c>
    </row>
    <row r="162">
      <c r="A162" s="28">
        <f>IF($B162="","",146)</f>
        <v/>
      </c>
      <c r="B162" s="28">
        <f>IF($P162="","",IF(INDEX(CalcNormDate,$P162)=0,"",INDEX(CalcNormDate,$P162)))</f>
        <v/>
      </c>
      <c r="C162" s="28">
        <f>IF($P162="","",IF(INDEX(CalcTime,$P162)=0,"",INDEX(CalcTime,$P162)))</f>
        <v/>
      </c>
      <c r="D162" s="28">
        <f>IF($P162="","",IF(INDEX(EntryParty,$P162)=0,"",INDEX(EntryParty,$P162)))</f>
        <v/>
      </c>
      <c r="E162" s="28">
        <f>IF($P162="","",IF(INDEX(EntryPartyName,$P162)=0,"",INDEX(EntryPartyName,$P162)))</f>
        <v/>
      </c>
      <c r="F162" s="28">
        <f>IF($P162="","",IF(INDEX(EntryPartyType,$P162)=0,"",INDEX(EntryPartyType,$P162)))</f>
        <v/>
      </c>
      <c r="G162" s="28">
        <f>IF($P162="","",IF(INDEX(EntryTxnType,$P162)=0,"",INDEX(EntryTxnType,$P162)))</f>
        <v/>
      </c>
      <c r="H162" s="29">
        <f>IF($P162="","",IF(INDEX(EntryDep,$P162)=0,"",INDEX(EntryDep,$P162)))</f>
        <v/>
      </c>
      <c r="I162" s="29">
        <f>IF($P162="","",IF(INDEX(EntryWit,$P162)=0,"",INDEX(EntryWit,$P162)))</f>
        <v/>
      </c>
      <c r="J162" s="29">
        <f>IF($B162="","",IF($A162=1,$C$7,IF(J161="",0,J161))+IF($H162="",0,$H162)-IF($I162="",0,$I162))</f>
        <v/>
      </c>
      <c r="K162" s="29">
        <f>IF($P162="","",IF(INDEX(EntryMan,$P162)=0,"",INDEX(EntryMan,$P162)))</f>
        <v/>
      </c>
      <c r="L162" s="28">
        <f>IF($B162="","",IF($K162="","—",IF(ROUND($K162-$J162,0)=0,"√","×")))</f>
        <v/>
      </c>
      <c r="M162" s="28">
        <f>IF($B162="","",IF(COUNTIFS(EntryDates,$B162,CalcTime,$C162,CalcBank,$C$5,EntryParty,$D162,EntryDep,$H162,EntryWit,$I162)&gt;1,"تکرار",""))</f>
        <v/>
      </c>
      <c r="N162" s="28">
        <f>IF($P162="","",IF(INDEX(EntryNotes,$P162)=0,"",INDEX(EntryNotes,$P162)))</f>
        <v/>
      </c>
      <c r="O162" s="28">
        <f>IF($P162="","",IF(INDEX(EntryTxnID,$P162)=0,"",INDEX(EntryTxnID,$P162)))</f>
        <v/>
      </c>
      <c r="P162" s="28">
        <f>IFERROR(MATCH($C$5&amp;"|"&amp;RIGHT("000000"&amp;146,6),CalcRankKey,0),"")</f>
        <v/>
      </c>
    </row>
    <row r="163">
      <c r="A163" s="26">
        <f>IF($B163="","",147)</f>
        <v/>
      </c>
      <c r="B163" s="26">
        <f>IF($P163="","",IF(INDEX(CalcNormDate,$P163)=0,"",INDEX(CalcNormDate,$P163)))</f>
        <v/>
      </c>
      <c r="C163" s="26">
        <f>IF($P163="","",IF(INDEX(CalcTime,$P163)=0,"",INDEX(CalcTime,$P163)))</f>
        <v/>
      </c>
      <c r="D163" s="26">
        <f>IF($P163="","",IF(INDEX(EntryParty,$P163)=0,"",INDEX(EntryParty,$P163)))</f>
        <v/>
      </c>
      <c r="E163" s="26">
        <f>IF($P163="","",IF(INDEX(EntryPartyName,$P163)=0,"",INDEX(EntryPartyName,$P163)))</f>
        <v/>
      </c>
      <c r="F163" s="26">
        <f>IF($P163="","",IF(INDEX(EntryPartyType,$P163)=0,"",INDEX(EntryPartyType,$P163)))</f>
        <v/>
      </c>
      <c r="G163" s="26">
        <f>IF($P163="","",IF(INDEX(EntryTxnType,$P163)=0,"",INDEX(EntryTxnType,$P163)))</f>
        <v/>
      </c>
      <c r="H163" s="27">
        <f>IF($P163="","",IF(INDEX(EntryDep,$P163)=0,"",INDEX(EntryDep,$P163)))</f>
        <v/>
      </c>
      <c r="I163" s="27">
        <f>IF($P163="","",IF(INDEX(EntryWit,$P163)=0,"",INDEX(EntryWit,$P163)))</f>
        <v/>
      </c>
      <c r="J163" s="27">
        <f>IF($B163="","",IF($A163=1,$C$7,IF(J162="",0,J162))+IF($H163="",0,$H163)-IF($I163="",0,$I163))</f>
        <v/>
      </c>
      <c r="K163" s="27">
        <f>IF($P163="","",IF(INDEX(EntryMan,$P163)=0,"",INDEX(EntryMan,$P163)))</f>
        <v/>
      </c>
      <c r="L163" s="26">
        <f>IF($B163="","",IF($K163="","—",IF(ROUND($K163-$J163,0)=0,"√","×")))</f>
        <v/>
      </c>
      <c r="M163" s="26">
        <f>IF($B163="","",IF(COUNTIFS(EntryDates,$B163,CalcTime,$C163,CalcBank,$C$5,EntryParty,$D163,EntryDep,$H163,EntryWit,$I163)&gt;1,"تکرار",""))</f>
        <v/>
      </c>
      <c r="N163" s="26">
        <f>IF($P163="","",IF(INDEX(EntryNotes,$P163)=0,"",INDEX(EntryNotes,$P163)))</f>
        <v/>
      </c>
      <c r="O163" s="26">
        <f>IF($P163="","",IF(INDEX(EntryTxnID,$P163)=0,"",INDEX(EntryTxnID,$P163)))</f>
        <v/>
      </c>
      <c r="P163" s="26">
        <f>IFERROR(MATCH($C$5&amp;"|"&amp;RIGHT("000000"&amp;147,6),CalcRankKey,0),"")</f>
        <v/>
      </c>
    </row>
    <row r="164">
      <c r="A164" s="28">
        <f>IF($B164="","",148)</f>
        <v/>
      </c>
      <c r="B164" s="28">
        <f>IF($P164="","",IF(INDEX(CalcNormDate,$P164)=0,"",INDEX(CalcNormDate,$P164)))</f>
        <v/>
      </c>
      <c r="C164" s="28">
        <f>IF($P164="","",IF(INDEX(CalcTime,$P164)=0,"",INDEX(CalcTime,$P164)))</f>
        <v/>
      </c>
      <c r="D164" s="28">
        <f>IF($P164="","",IF(INDEX(EntryParty,$P164)=0,"",INDEX(EntryParty,$P164)))</f>
        <v/>
      </c>
      <c r="E164" s="28">
        <f>IF($P164="","",IF(INDEX(EntryPartyName,$P164)=0,"",INDEX(EntryPartyName,$P164)))</f>
        <v/>
      </c>
      <c r="F164" s="28">
        <f>IF($P164="","",IF(INDEX(EntryPartyType,$P164)=0,"",INDEX(EntryPartyType,$P164)))</f>
        <v/>
      </c>
      <c r="G164" s="28">
        <f>IF($P164="","",IF(INDEX(EntryTxnType,$P164)=0,"",INDEX(EntryTxnType,$P164)))</f>
        <v/>
      </c>
      <c r="H164" s="29">
        <f>IF($P164="","",IF(INDEX(EntryDep,$P164)=0,"",INDEX(EntryDep,$P164)))</f>
        <v/>
      </c>
      <c r="I164" s="29">
        <f>IF($P164="","",IF(INDEX(EntryWit,$P164)=0,"",INDEX(EntryWit,$P164)))</f>
        <v/>
      </c>
      <c r="J164" s="29">
        <f>IF($B164="","",IF($A164=1,$C$7,IF(J163="",0,J163))+IF($H164="",0,$H164)-IF($I164="",0,$I164))</f>
        <v/>
      </c>
      <c r="K164" s="29">
        <f>IF($P164="","",IF(INDEX(EntryMan,$P164)=0,"",INDEX(EntryMan,$P164)))</f>
        <v/>
      </c>
      <c r="L164" s="28">
        <f>IF($B164="","",IF($K164="","—",IF(ROUND($K164-$J164,0)=0,"√","×")))</f>
        <v/>
      </c>
      <c r="M164" s="28">
        <f>IF($B164="","",IF(COUNTIFS(EntryDates,$B164,CalcTime,$C164,CalcBank,$C$5,EntryParty,$D164,EntryDep,$H164,EntryWit,$I164)&gt;1,"تکرار",""))</f>
        <v/>
      </c>
      <c r="N164" s="28">
        <f>IF($P164="","",IF(INDEX(EntryNotes,$P164)=0,"",INDEX(EntryNotes,$P164)))</f>
        <v/>
      </c>
      <c r="O164" s="28">
        <f>IF($P164="","",IF(INDEX(EntryTxnID,$P164)=0,"",INDEX(EntryTxnID,$P164)))</f>
        <v/>
      </c>
      <c r="P164" s="28">
        <f>IFERROR(MATCH($C$5&amp;"|"&amp;RIGHT("000000"&amp;148,6),CalcRankKey,0),"")</f>
        <v/>
      </c>
    </row>
    <row r="165">
      <c r="A165" s="26">
        <f>IF($B165="","",149)</f>
        <v/>
      </c>
      <c r="B165" s="26">
        <f>IF($P165="","",IF(INDEX(CalcNormDate,$P165)=0,"",INDEX(CalcNormDate,$P165)))</f>
        <v/>
      </c>
      <c r="C165" s="26">
        <f>IF($P165="","",IF(INDEX(CalcTime,$P165)=0,"",INDEX(CalcTime,$P165)))</f>
        <v/>
      </c>
      <c r="D165" s="26">
        <f>IF($P165="","",IF(INDEX(EntryParty,$P165)=0,"",INDEX(EntryParty,$P165)))</f>
        <v/>
      </c>
      <c r="E165" s="26">
        <f>IF($P165="","",IF(INDEX(EntryPartyName,$P165)=0,"",INDEX(EntryPartyName,$P165)))</f>
        <v/>
      </c>
      <c r="F165" s="26">
        <f>IF($P165="","",IF(INDEX(EntryPartyType,$P165)=0,"",INDEX(EntryPartyType,$P165)))</f>
        <v/>
      </c>
      <c r="G165" s="26">
        <f>IF($P165="","",IF(INDEX(EntryTxnType,$P165)=0,"",INDEX(EntryTxnType,$P165)))</f>
        <v/>
      </c>
      <c r="H165" s="27">
        <f>IF($P165="","",IF(INDEX(EntryDep,$P165)=0,"",INDEX(EntryDep,$P165)))</f>
        <v/>
      </c>
      <c r="I165" s="27">
        <f>IF($P165="","",IF(INDEX(EntryWit,$P165)=0,"",INDEX(EntryWit,$P165)))</f>
        <v/>
      </c>
      <c r="J165" s="27">
        <f>IF($B165="","",IF($A165=1,$C$7,IF(J164="",0,J164))+IF($H165="",0,$H165)-IF($I165="",0,$I165))</f>
        <v/>
      </c>
      <c r="K165" s="27">
        <f>IF($P165="","",IF(INDEX(EntryMan,$P165)=0,"",INDEX(EntryMan,$P165)))</f>
        <v/>
      </c>
      <c r="L165" s="26">
        <f>IF($B165="","",IF($K165="","—",IF(ROUND($K165-$J165,0)=0,"√","×")))</f>
        <v/>
      </c>
      <c r="M165" s="26">
        <f>IF($B165="","",IF(COUNTIFS(EntryDates,$B165,CalcTime,$C165,CalcBank,$C$5,EntryParty,$D165,EntryDep,$H165,EntryWit,$I165)&gt;1,"تکرار",""))</f>
        <v/>
      </c>
      <c r="N165" s="26">
        <f>IF($P165="","",IF(INDEX(EntryNotes,$P165)=0,"",INDEX(EntryNotes,$P165)))</f>
        <v/>
      </c>
      <c r="O165" s="26">
        <f>IF($P165="","",IF(INDEX(EntryTxnID,$P165)=0,"",INDEX(EntryTxnID,$P165)))</f>
        <v/>
      </c>
      <c r="P165" s="26">
        <f>IFERROR(MATCH($C$5&amp;"|"&amp;RIGHT("000000"&amp;149,6),CalcRankKey,0),"")</f>
        <v/>
      </c>
    </row>
    <row r="166">
      <c r="A166" s="28">
        <f>IF($B166="","",150)</f>
        <v/>
      </c>
      <c r="B166" s="28">
        <f>IF($P166="","",IF(INDEX(CalcNormDate,$P166)=0,"",INDEX(CalcNormDate,$P166)))</f>
        <v/>
      </c>
      <c r="C166" s="28">
        <f>IF($P166="","",IF(INDEX(CalcTime,$P166)=0,"",INDEX(CalcTime,$P166)))</f>
        <v/>
      </c>
      <c r="D166" s="28">
        <f>IF($P166="","",IF(INDEX(EntryParty,$P166)=0,"",INDEX(EntryParty,$P166)))</f>
        <v/>
      </c>
      <c r="E166" s="28">
        <f>IF($P166="","",IF(INDEX(EntryPartyName,$P166)=0,"",INDEX(EntryPartyName,$P166)))</f>
        <v/>
      </c>
      <c r="F166" s="28">
        <f>IF($P166="","",IF(INDEX(EntryPartyType,$P166)=0,"",INDEX(EntryPartyType,$P166)))</f>
        <v/>
      </c>
      <c r="G166" s="28">
        <f>IF($P166="","",IF(INDEX(EntryTxnType,$P166)=0,"",INDEX(EntryTxnType,$P166)))</f>
        <v/>
      </c>
      <c r="H166" s="29">
        <f>IF($P166="","",IF(INDEX(EntryDep,$P166)=0,"",INDEX(EntryDep,$P166)))</f>
        <v/>
      </c>
      <c r="I166" s="29">
        <f>IF($P166="","",IF(INDEX(EntryWit,$P166)=0,"",INDEX(EntryWit,$P166)))</f>
        <v/>
      </c>
      <c r="J166" s="29">
        <f>IF($B166="","",IF($A166=1,$C$7,IF(J165="",0,J165))+IF($H166="",0,$H166)-IF($I166="",0,$I166))</f>
        <v/>
      </c>
      <c r="K166" s="29">
        <f>IF($P166="","",IF(INDEX(EntryMan,$P166)=0,"",INDEX(EntryMan,$P166)))</f>
        <v/>
      </c>
      <c r="L166" s="28">
        <f>IF($B166="","",IF($K166="","—",IF(ROUND($K166-$J166,0)=0,"√","×")))</f>
        <v/>
      </c>
      <c r="M166" s="28">
        <f>IF($B166="","",IF(COUNTIFS(EntryDates,$B166,CalcTime,$C166,CalcBank,$C$5,EntryParty,$D166,EntryDep,$H166,EntryWit,$I166)&gt;1,"تکرار",""))</f>
        <v/>
      </c>
      <c r="N166" s="28">
        <f>IF($P166="","",IF(INDEX(EntryNotes,$P166)=0,"",INDEX(EntryNotes,$P166)))</f>
        <v/>
      </c>
      <c r="O166" s="28">
        <f>IF($P166="","",IF(INDEX(EntryTxnID,$P166)=0,"",INDEX(EntryTxnID,$P166)))</f>
        <v/>
      </c>
      <c r="P166" s="28">
        <f>IFERROR(MATCH($C$5&amp;"|"&amp;RIGHT("000000"&amp;150,6),CalcRankKey,0),"")</f>
        <v/>
      </c>
    </row>
    <row r="167">
      <c r="A167" s="26">
        <f>IF($B167="","",151)</f>
        <v/>
      </c>
      <c r="B167" s="26">
        <f>IF($P167="","",IF(INDEX(CalcNormDate,$P167)=0,"",INDEX(CalcNormDate,$P167)))</f>
        <v/>
      </c>
      <c r="C167" s="26">
        <f>IF($P167="","",IF(INDEX(CalcTime,$P167)=0,"",INDEX(CalcTime,$P167)))</f>
        <v/>
      </c>
      <c r="D167" s="26">
        <f>IF($P167="","",IF(INDEX(EntryParty,$P167)=0,"",INDEX(EntryParty,$P167)))</f>
        <v/>
      </c>
      <c r="E167" s="26">
        <f>IF($P167="","",IF(INDEX(EntryPartyName,$P167)=0,"",INDEX(EntryPartyName,$P167)))</f>
        <v/>
      </c>
      <c r="F167" s="26">
        <f>IF($P167="","",IF(INDEX(EntryPartyType,$P167)=0,"",INDEX(EntryPartyType,$P167)))</f>
        <v/>
      </c>
      <c r="G167" s="26">
        <f>IF($P167="","",IF(INDEX(EntryTxnType,$P167)=0,"",INDEX(EntryTxnType,$P167)))</f>
        <v/>
      </c>
      <c r="H167" s="27">
        <f>IF($P167="","",IF(INDEX(EntryDep,$P167)=0,"",INDEX(EntryDep,$P167)))</f>
        <v/>
      </c>
      <c r="I167" s="27">
        <f>IF($P167="","",IF(INDEX(EntryWit,$P167)=0,"",INDEX(EntryWit,$P167)))</f>
        <v/>
      </c>
      <c r="J167" s="27">
        <f>IF($B167="","",IF($A167=1,$C$7,IF(J166="",0,J166))+IF($H167="",0,$H167)-IF($I167="",0,$I167))</f>
        <v/>
      </c>
      <c r="K167" s="27">
        <f>IF($P167="","",IF(INDEX(EntryMan,$P167)=0,"",INDEX(EntryMan,$P167)))</f>
        <v/>
      </c>
      <c r="L167" s="26">
        <f>IF($B167="","",IF($K167="","—",IF(ROUND($K167-$J167,0)=0,"√","×")))</f>
        <v/>
      </c>
      <c r="M167" s="26">
        <f>IF($B167="","",IF(COUNTIFS(EntryDates,$B167,CalcTime,$C167,CalcBank,$C$5,EntryParty,$D167,EntryDep,$H167,EntryWit,$I167)&gt;1,"تکرار",""))</f>
        <v/>
      </c>
      <c r="N167" s="26">
        <f>IF($P167="","",IF(INDEX(EntryNotes,$P167)=0,"",INDEX(EntryNotes,$P167)))</f>
        <v/>
      </c>
      <c r="O167" s="26">
        <f>IF($P167="","",IF(INDEX(EntryTxnID,$P167)=0,"",INDEX(EntryTxnID,$P167)))</f>
        <v/>
      </c>
      <c r="P167" s="26">
        <f>IFERROR(MATCH($C$5&amp;"|"&amp;RIGHT("000000"&amp;151,6),CalcRankKey,0),"")</f>
        <v/>
      </c>
    </row>
    <row r="168">
      <c r="A168" s="28">
        <f>IF($B168="","",152)</f>
        <v/>
      </c>
      <c r="B168" s="28">
        <f>IF($P168="","",IF(INDEX(CalcNormDate,$P168)=0,"",INDEX(CalcNormDate,$P168)))</f>
        <v/>
      </c>
      <c r="C168" s="28">
        <f>IF($P168="","",IF(INDEX(CalcTime,$P168)=0,"",INDEX(CalcTime,$P168)))</f>
        <v/>
      </c>
      <c r="D168" s="28">
        <f>IF($P168="","",IF(INDEX(EntryParty,$P168)=0,"",INDEX(EntryParty,$P168)))</f>
        <v/>
      </c>
      <c r="E168" s="28">
        <f>IF($P168="","",IF(INDEX(EntryPartyName,$P168)=0,"",INDEX(EntryPartyName,$P168)))</f>
        <v/>
      </c>
      <c r="F168" s="28">
        <f>IF($P168="","",IF(INDEX(EntryPartyType,$P168)=0,"",INDEX(EntryPartyType,$P168)))</f>
        <v/>
      </c>
      <c r="G168" s="28">
        <f>IF($P168="","",IF(INDEX(EntryTxnType,$P168)=0,"",INDEX(EntryTxnType,$P168)))</f>
        <v/>
      </c>
      <c r="H168" s="29">
        <f>IF($P168="","",IF(INDEX(EntryDep,$P168)=0,"",INDEX(EntryDep,$P168)))</f>
        <v/>
      </c>
      <c r="I168" s="29">
        <f>IF($P168="","",IF(INDEX(EntryWit,$P168)=0,"",INDEX(EntryWit,$P168)))</f>
        <v/>
      </c>
      <c r="J168" s="29">
        <f>IF($B168="","",IF($A168=1,$C$7,IF(J167="",0,J167))+IF($H168="",0,$H168)-IF($I168="",0,$I168))</f>
        <v/>
      </c>
      <c r="K168" s="29">
        <f>IF($P168="","",IF(INDEX(EntryMan,$P168)=0,"",INDEX(EntryMan,$P168)))</f>
        <v/>
      </c>
      <c r="L168" s="28">
        <f>IF($B168="","",IF($K168="","—",IF(ROUND($K168-$J168,0)=0,"√","×")))</f>
        <v/>
      </c>
      <c r="M168" s="28">
        <f>IF($B168="","",IF(COUNTIFS(EntryDates,$B168,CalcTime,$C168,CalcBank,$C$5,EntryParty,$D168,EntryDep,$H168,EntryWit,$I168)&gt;1,"تکرار",""))</f>
        <v/>
      </c>
      <c r="N168" s="28">
        <f>IF($P168="","",IF(INDEX(EntryNotes,$P168)=0,"",INDEX(EntryNotes,$P168)))</f>
        <v/>
      </c>
      <c r="O168" s="28">
        <f>IF($P168="","",IF(INDEX(EntryTxnID,$P168)=0,"",INDEX(EntryTxnID,$P168)))</f>
        <v/>
      </c>
      <c r="P168" s="28">
        <f>IFERROR(MATCH($C$5&amp;"|"&amp;RIGHT("000000"&amp;152,6),CalcRankKey,0),"")</f>
        <v/>
      </c>
    </row>
    <row r="169">
      <c r="A169" s="26">
        <f>IF($B169="","",153)</f>
        <v/>
      </c>
      <c r="B169" s="26">
        <f>IF($P169="","",IF(INDEX(CalcNormDate,$P169)=0,"",INDEX(CalcNormDate,$P169)))</f>
        <v/>
      </c>
      <c r="C169" s="26">
        <f>IF($P169="","",IF(INDEX(CalcTime,$P169)=0,"",INDEX(CalcTime,$P169)))</f>
        <v/>
      </c>
      <c r="D169" s="26">
        <f>IF($P169="","",IF(INDEX(EntryParty,$P169)=0,"",INDEX(EntryParty,$P169)))</f>
        <v/>
      </c>
      <c r="E169" s="26">
        <f>IF($P169="","",IF(INDEX(EntryPartyName,$P169)=0,"",INDEX(EntryPartyName,$P169)))</f>
        <v/>
      </c>
      <c r="F169" s="26">
        <f>IF($P169="","",IF(INDEX(EntryPartyType,$P169)=0,"",INDEX(EntryPartyType,$P169)))</f>
        <v/>
      </c>
      <c r="G169" s="26">
        <f>IF($P169="","",IF(INDEX(EntryTxnType,$P169)=0,"",INDEX(EntryTxnType,$P169)))</f>
        <v/>
      </c>
      <c r="H169" s="27">
        <f>IF($P169="","",IF(INDEX(EntryDep,$P169)=0,"",INDEX(EntryDep,$P169)))</f>
        <v/>
      </c>
      <c r="I169" s="27">
        <f>IF($P169="","",IF(INDEX(EntryWit,$P169)=0,"",INDEX(EntryWit,$P169)))</f>
        <v/>
      </c>
      <c r="J169" s="27">
        <f>IF($B169="","",IF($A169=1,$C$7,IF(J168="",0,J168))+IF($H169="",0,$H169)-IF($I169="",0,$I169))</f>
        <v/>
      </c>
      <c r="K169" s="27">
        <f>IF($P169="","",IF(INDEX(EntryMan,$P169)=0,"",INDEX(EntryMan,$P169)))</f>
        <v/>
      </c>
      <c r="L169" s="26">
        <f>IF($B169="","",IF($K169="","—",IF(ROUND($K169-$J169,0)=0,"√","×")))</f>
        <v/>
      </c>
      <c r="M169" s="26">
        <f>IF($B169="","",IF(COUNTIFS(EntryDates,$B169,CalcTime,$C169,CalcBank,$C$5,EntryParty,$D169,EntryDep,$H169,EntryWit,$I169)&gt;1,"تکرار",""))</f>
        <v/>
      </c>
      <c r="N169" s="26">
        <f>IF($P169="","",IF(INDEX(EntryNotes,$P169)=0,"",INDEX(EntryNotes,$P169)))</f>
        <v/>
      </c>
      <c r="O169" s="26">
        <f>IF($P169="","",IF(INDEX(EntryTxnID,$P169)=0,"",INDEX(EntryTxnID,$P169)))</f>
        <v/>
      </c>
      <c r="P169" s="26">
        <f>IFERROR(MATCH($C$5&amp;"|"&amp;RIGHT("000000"&amp;153,6),CalcRankKey,0),"")</f>
        <v/>
      </c>
    </row>
    <row r="170">
      <c r="A170" s="28">
        <f>IF($B170="","",154)</f>
        <v/>
      </c>
      <c r="B170" s="28">
        <f>IF($P170="","",IF(INDEX(CalcNormDate,$P170)=0,"",INDEX(CalcNormDate,$P170)))</f>
        <v/>
      </c>
      <c r="C170" s="28">
        <f>IF($P170="","",IF(INDEX(CalcTime,$P170)=0,"",INDEX(CalcTime,$P170)))</f>
        <v/>
      </c>
      <c r="D170" s="28">
        <f>IF($P170="","",IF(INDEX(EntryParty,$P170)=0,"",INDEX(EntryParty,$P170)))</f>
        <v/>
      </c>
      <c r="E170" s="28">
        <f>IF($P170="","",IF(INDEX(EntryPartyName,$P170)=0,"",INDEX(EntryPartyName,$P170)))</f>
        <v/>
      </c>
      <c r="F170" s="28">
        <f>IF($P170="","",IF(INDEX(EntryPartyType,$P170)=0,"",INDEX(EntryPartyType,$P170)))</f>
        <v/>
      </c>
      <c r="G170" s="28">
        <f>IF($P170="","",IF(INDEX(EntryTxnType,$P170)=0,"",INDEX(EntryTxnType,$P170)))</f>
        <v/>
      </c>
      <c r="H170" s="29">
        <f>IF($P170="","",IF(INDEX(EntryDep,$P170)=0,"",INDEX(EntryDep,$P170)))</f>
        <v/>
      </c>
      <c r="I170" s="29">
        <f>IF($P170="","",IF(INDEX(EntryWit,$P170)=0,"",INDEX(EntryWit,$P170)))</f>
        <v/>
      </c>
      <c r="J170" s="29">
        <f>IF($B170="","",IF($A170=1,$C$7,IF(J169="",0,J169))+IF($H170="",0,$H170)-IF($I170="",0,$I170))</f>
        <v/>
      </c>
      <c r="K170" s="29">
        <f>IF($P170="","",IF(INDEX(EntryMan,$P170)=0,"",INDEX(EntryMan,$P170)))</f>
        <v/>
      </c>
      <c r="L170" s="28">
        <f>IF($B170="","",IF($K170="","—",IF(ROUND($K170-$J170,0)=0,"√","×")))</f>
        <v/>
      </c>
      <c r="M170" s="28">
        <f>IF($B170="","",IF(COUNTIFS(EntryDates,$B170,CalcTime,$C170,CalcBank,$C$5,EntryParty,$D170,EntryDep,$H170,EntryWit,$I170)&gt;1,"تکرار",""))</f>
        <v/>
      </c>
      <c r="N170" s="28">
        <f>IF($P170="","",IF(INDEX(EntryNotes,$P170)=0,"",INDEX(EntryNotes,$P170)))</f>
        <v/>
      </c>
      <c r="O170" s="28">
        <f>IF($P170="","",IF(INDEX(EntryTxnID,$P170)=0,"",INDEX(EntryTxnID,$P170)))</f>
        <v/>
      </c>
      <c r="P170" s="28">
        <f>IFERROR(MATCH($C$5&amp;"|"&amp;RIGHT("000000"&amp;154,6),CalcRankKey,0),"")</f>
        <v/>
      </c>
    </row>
    <row r="171">
      <c r="A171" s="26">
        <f>IF($B171="","",155)</f>
        <v/>
      </c>
      <c r="B171" s="26">
        <f>IF($P171="","",IF(INDEX(CalcNormDate,$P171)=0,"",INDEX(CalcNormDate,$P171)))</f>
        <v/>
      </c>
      <c r="C171" s="26">
        <f>IF($P171="","",IF(INDEX(CalcTime,$P171)=0,"",INDEX(CalcTime,$P171)))</f>
        <v/>
      </c>
      <c r="D171" s="26">
        <f>IF($P171="","",IF(INDEX(EntryParty,$P171)=0,"",INDEX(EntryParty,$P171)))</f>
        <v/>
      </c>
      <c r="E171" s="26">
        <f>IF($P171="","",IF(INDEX(EntryPartyName,$P171)=0,"",INDEX(EntryPartyName,$P171)))</f>
        <v/>
      </c>
      <c r="F171" s="26">
        <f>IF($P171="","",IF(INDEX(EntryPartyType,$P171)=0,"",INDEX(EntryPartyType,$P171)))</f>
        <v/>
      </c>
      <c r="G171" s="26">
        <f>IF($P171="","",IF(INDEX(EntryTxnType,$P171)=0,"",INDEX(EntryTxnType,$P171)))</f>
        <v/>
      </c>
      <c r="H171" s="27">
        <f>IF($P171="","",IF(INDEX(EntryDep,$P171)=0,"",INDEX(EntryDep,$P171)))</f>
        <v/>
      </c>
      <c r="I171" s="27">
        <f>IF($P171="","",IF(INDEX(EntryWit,$P171)=0,"",INDEX(EntryWit,$P171)))</f>
        <v/>
      </c>
      <c r="J171" s="27">
        <f>IF($B171="","",IF($A171=1,$C$7,IF(J170="",0,J170))+IF($H171="",0,$H171)-IF($I171="",0,$I171))</f>
        <v/>
      </c>
      <c r="K171" s="27">
        <f>IF($P171="","",IF(INDEX(EntryMan,$P171)=0,"",INDEX(EntryMan,$P171)))</f>
        <v/>
      </c>
      <c r="L171" s="26">
        <f>IF($B171="","",IF($K171="","—",IF(ROUND($K171-$J171,0)=0,"√","×")))</f>
        <v/>
      </c>
      <c r="M171" s="26">
        <f>IF($B171="","",IF(COUNTIFS(EntryDates,$B171,CalcTime,$C171,CalcBank,$C$5,EntryParty,$D171,EntryDep,$H171,EntryWit,$I171)&gt;1,"تکرار",""))</f>
        <v/>
      </c>
      <c r="N171" s="26">
        <f>IF($P171="","",IF(INDEX(EntryNotes,$P171)=0,"",INDEX(EntryNotes,$P171)))</f>
        <v/>
      </c>
      <c r="O171" s="26">
        <f>IF($P171="","",IF(INDEX(EntryTxnID,$P171)=0,"",INDEX(EntryTxnID,$P171)))</f>
        <v/>
      </c>
      <c r="P171" s="26">
        <f>IFERROR(MATCH($C$5&amp;"|"&amp;RIGHT("000000"&amp;155,6),CalcRankKey,0),"")</f>
        <v/>
      </c>
    </row>
    <row r="172">
      <c r="A172" s="28">
        <f>IF($B172="","",156)</f>
        <v/>
      </c>
      <c r="B172" s="28">
        <f>IF($P172="","",IF(INDEX(CalcNormDate,$P172)=0,"",INDEX(CalcNormDate,$P172)))</f>
        <v/>
      </c>
      <c r="C172" s="28">
        <f>IF($P172="","",IF(INDEX(CalcTime,$P172)=0,"",INDEX(CalcTime,$P172)))</f>
        <v/>
      </c>
      <c r="D172" s="28">
        <f>IF($P172="","",IF(INDEX(EntryParty,$P172)=0,"",INDEX(EntryParty,$P172)))</f>
        <v/>
      </c>
      <c r="E172" s="28">
        <f>IF($P172="","",IF(INDEX(EntryPartyName,$P172)=0,"",INDEX(EntryPartyName,$P172)))</f>
        <v/>
      </c>
      <c r="F172" s="28">
        <f>IF($P172="","",IF(INDEX(EntryPartyType,$P172)=0,"",INDEX(EntryPartyType,$P172)))</f>
        <v/>
      </c>
      <c r="G172" s="28">
        <f>IF($P172="","",IF(INDEX(EntryTxnType,$P172)=0,"",INDEX(EntryTxnType,$P172)))</f>
        <v/>
      </c>
      <c r="H172" s="29">
        <f>IF($P172="","",IF(INDEX(EntryDep,$P172)=0,"",INDEX(EntryDep,$P172)))</f>
        <v/>
      </c>
      <c r="I172" s="29">
        <f>IF($P172="","",IF(INDEX(EntryWit,$P172)=0,"",INDEX(EntryWit,$P172)))</f>
        <v/>
      </c>
      <c r="J172" s="29">
        <f>IF($B172="","",IF($A172=1,$C$7,IF(J171="",0,J171))+IF($H172="",0,$H172)-IF($I172="",0,$I172))</f>
        <v/>
      </c>
      <c r="K172" s="29">
        <f>IF($P172="","",IF(INDEX(EntryMan,$P172)=0,"",INDEX(EntryMan,$P172)))</f>
        <v/>
      </c>
      <c r="L172" s="28">
        <f>IF($B172="","",IF($K172="","—",IF(ROUND($K172-$J172,0)=0,"√","×")))</f>
        <v/>
      </c>
      <c r="M172" s="28">
        <f>IF($B172="","",IF(COUNTIFS(EntryDates,$B172,CalcTime,$C172,CalcBank,$C$5,EntryParty,$D172,EntryDep,$H172,EntryWit,$I172)&gt;1,"تکرار",""))</f>
        <v/>
      </c>
      <c r="N172" s="28">
        <f>IF($P172="","",IF(INDEX(EntryNotes,$P172)=0,"",INDEX(EntryNotes,$P172)))</f>
        <v/>
      </c>
      <c r="O172" s="28">
        <f>IF($P172="","",IF(INDEX(EntryTxnID,$P172)=0,"",INDEX(EntryTxnID,$P172)))</f>
        <v/>
      </c>
      <c r="P172" s="28">
        <f>IFERROR(MATCH($C$5&amp;"|"&amp;RIGHT("000000"&amp;156,6),CalcRankKey,0),"")</f>
        <v/>
      </c>
    </row>
    <row r="173">
      <c r="A173" s="26">
        <f>IF($B173="","",157)</f>
        <v/>
      </c>
      <c r="B173" s="26">
        <f>IF($P173="","",IF(INDEX(CalcNormDate,$P173)=0,"",INDEX(CalcNormDate,$P173)))</f>
        <v/>
      </c>
      <c r="C173" s="26">
        <f>IF($P173="","",IF(INDEX(CalcTime,$P173)=0,"",INDEX(CalcTime,$P173)))</f>
        <v/>
      </c>
      <c r="D173" s="26">
        <f>IF($P173="","",IF(INDEX(EntryParty,$P173)=0,"",INDEX(EntryParty,$P173)))</f>
        <v/>
      </c>
      <c r="E173" s="26">
        <f>IF($P173="","",IF(INDEX(EntryPartyName,$P173)=0,"",INDEX(EntryPartyName,$P173)))</f>
        <v/>
      </c>
      <c r="F173" s="26">
        <f>IF($P173="","",IF(INDEX(EntryPartyType,$P173)=0,"",INDEX(EntryPartyType,$P173)))</f>
        <v/>
      </c>
      <c r="G173" s="26">
        <f>IF($P173="","",IF(INDEX(EntryTxnType,$P173)=0,"",INDEX(EntryTxnType,$P173)))</f>
        <v/>
      </c>
      <c r="H173" s="27">
        <f>IF($P173="","",IF(INDEX(EntryDep,$P173)=0,"",INDEX(EntryDep,$P173)))</f>
        <v/>
      </c>
      <c r="I173" s="27">
        <f>IF($P173="","",IF(INDEX(EntryWit,$P173)=0,"",INDEX(EntryWit,$P173)))</f>
        <v/>
      </c>
      <c r="J173" s="27">
        <f>IF($B173="","",IF($A173=1,$C$7,IF(J172="",0,J172))+IF($H173="",0,$H173)-IF($I173="",0,$I173))</f>
        <v/>
      </c>
      <c r="K173" s="27">
        <f>IF($P173="","",IF(INDEX(EntryMan,$P173)=0,"",INDEX(EntryMan,$P173)))</f>
        <v/>
      </c>
      <c r="L173" s="26">
        <f>IF($B173="","",IF($K173="","—",IF(ROUND($K173-$J173,0)=0,"√","×")))</f>
        <v/>
      </c>
      <c r="M173" s="26">
        <f>IF($B173="","",IF(COUNTIFS(EntryDates,$B173,CalcTime,$C173,CalcBank,$C$5,EntryParty,$D173,EntryDep,$H173,EntryWit,$I173)&gt;1,"تکرار",""))</f>
        <v/>
      </c>
      <c r="N173" s="26">
        <f>IF($P173="","",IF(INDEX(EntryNotes,$P173)=0,"",INDEX(EntryNotes,$P173)))</f>
        <v/>
      </c>
      <c r="O173" s="26">
        <f>IF($P173="","",IF(INDEX(EntryTxnID,$P173)=0,"",INDEX(EntryTxnID,$P173)))</f>
        <v/>
      </c>
      <c r="P173" s="26">
        <f>IFERROR(MATCH($C$5&amp;"|"&amp;RIGHT("000000"&amp;157,6),CalcRankKey,0),"")</f>
        <v/>
      </c>
    </row>
    <row r="174">
      <c r="A174" s="28">
        <f>IF($B174="","",158)</f>
        <v/>
      </c>
      <c r="B174" s="28">
        <f>IF($P174="","",IF(INDEX(CalcNormDate,$P174)=0,"",INDEX(CalcNormDate,$P174)))</f>
        <v/>
      </c>
      <c r="C174" s="28">
        <f>IF($P174="","",IF(INDEX(CalcTime,$P174)=0,"",INDEX(CalcTime,$P174)))</f>
        <v/>
      </c>
      <c r="D174" s="28">
        <f>IF($P174="","",IF(INDEX(EntryParty,$P174)=0,"",INDEX(EntryParty,$P174)))</f>
        <v/>
      </c>
      <c r="E174" s="28">
        <f>IF($P174="","",IF(INDEX(EntryPartyName,$P174)=0,"",INDEX(EntryPartyName,$P174)))</f>
        <v/>
      </c>
      <c r="F174" s="28">
        <f>IF($P174="","",IF(INDEX(EntryPartyType,$P174)=0,"",INDEX(EntryPartyType,$P174)))</f>
        <v/>
      </c>
      <c r="G174" s="28">
        <f>IF($P174="","",IF(INDEX(EntryTxnType,$P174)=0,"",INDEX(EntryTxnType,$P174)))</f>
        <v/>
      </c>
      <c r="H174" s="29">
        <f>IF($P174="","",IF(INDEX(EntryDep,$P174)=0,"",INDEX(EntryDep,$P174)))</f>
        <v/>
      </c>
      <c r="I174" s="29">
        <f>IF($P174="","",IF(INDEX(EntryWit,$P174)=0,"",INDEX(EntryWit,$P174)))</f>
        <v/>
      </c>
      <c r="J174" s="29">
        <f>IF($B174="","",IF($A174=1,$C$7,IF(J173="",0,J173))+IF($H174="",0,$H174)-IF($I174="",0,$I174))</f>
        <v/>
      </c>
      <c r="K174" s="29">
        <f>IF($P174="","",IF(INDEX(EntryMan,$P174)=0,"",INDEX(EntryMan,$P174)))</f>
        <v/>
      </c>
      <c r="L174" s="28">
        <f>IF($B174="","",IF($K174="","—",IF(ROUND($K174-$J174,0)=0,"√","×")))</f>
        <v/>
      </c>
      <c r="M174" s="28">
        <f>IF($B174="","",IF(COUNTIFS(EntryDates,$B174,CalcTime,$C174,CalcBank,$C$5,EntryParty,$D174,EntryDep,$H174,EntryWit,$I174)&gt;1,"تکرار",""))</f>
        <v/>
      </c>
      <c r="N174" s="28">
        <f>IF($P174="","",IF(INDEX(EntryNotes,$P174)=0,"",INDEX(EntryNotes,$P174)))</f>
        <v/>
      </c>
      <c r="O174" s="28">
        <f>IF($P174="","",IF(INDEX(EntryTxnID,$P174)=0,"",INDEX(EntryTxnID,$P174)))</f>
        <v/>
      </c>
      <c r="P174" s="28">
        <f>IFERROR(MATCH($C$5&amp;"|"&amp;RIGHT("000000"&amp;158,6),CalcRankKey,0),"")</f>
        <v/>
      </c>
    </row>
    <row r="175">
      <c r="A175" s="26">
        <f>IF($B175="","",159)</f>
        <v/>
      </c>
      <c r="B175" s="26">
        <f>IF($P175="","",IF(INDEX(CalcNormDate,$P175)=0,"",INDEX(CalcNormDate,$P175)))</f>
        <v/>
      </c>
      <c r="C175" s="26">
        <f>IF($P175="","",IF(INDEX(CalcTime,$P175)=0,"",INDEX(CalcTime,$P175)))</f>
        <v/>
      </c>
      <c r="D175" s="26">
        <f>IF($P175="","",IF(INDEX(EntryParty,$P175)=0,"",INDEX(EntryParty,$P175)))</f>
        <v/>
      </c>
      <c r="E175" s="26">
        <f>IF($P175="","",IF(INDEX(EntryPartyName,$P175)=0,"",INDEX(EntryPartyName,$P175)))</f>
        <v/>
      </c>
      <c r="F175" s="26">
        <f>IF($P175="","",IF(INDEX(EntryPartyType,$P175)=0,"",INDEX(EntryPartyType,$P175)))</f>
        <v/>
      </c>
      <c r="G175" s="26">
        <f>IF($P175="","",IF(INDEX(EntryTxnType,$P175)=0,"",INDEX(EntryTxnType,$P175)))</f>
        <v/>
      </c>
      <c r="H175" s="27">
        <f>IF($P175="","",IF(INDEX(EntryDep,$P175)=0,"",INDEX(EntryDep,$P175)))</f>
        <v/>
      </c>
      <c r="I175" s="27">
        <f>IF($P175="","",IF(INDEX(EntryWit,$P175)=0,"",INDEX(EntryWit,$P175)))</f>
        <v/>
      </c>
      <c r="J175" s="27">
        <f>IF($B175="","",IF($A175=1,$C$7,IF(J174="",0,J174))+IF($H175="",0,$H175)-IF($I175="",0,$I175))</f>
        <v/>
      </c>
      <c r="K175" s="27">
        <f>IF($P175="","",IF(INDEX(EntryMan,$P175)=0,"",INDEX(EntryMan,$P175)))</f>
        <v/>
      </c>
      <c r="L175" s="26">
        <f>IF($B175="","",IF($K175="","—",IF(ROUND($K175-$J175,0)=0,"√","×")))</f>
        <v/>
      </c>
      <c r="M175" s="26">
        <f>IF($B175="","",IF(COUNTIFS(EntryDates,$B175,CalcTime,$C175,CalcBank,$C$5,EntryParty,$D175,EntryDep,$H175,EntryWit,$I175)&gt;1,"تکرار",""))</f>
        <v/>
      </c>
      <c r="N175" s="26">
        <f>IF($P175="","",IF(INDEX(EntryNotes,$P175)=0,"",INDEX(EntryNotes,$P175)))</f>
        <v/>
      </c>
      <c r="O175" s="26">
        <f>IF($P175="","",IF(INDEX(EntryTxnID,$P175)=0,"",INDEX(EntryTxnID,$P175)))</f>
        <v/>
      </c>
      <c r="P175" s="26">
        <f>IFERROR(MATCH($C$5&amp;"|"&amp;RIGHT("000000"&amp;159,6),CalcRankKey,0),"")</f>
        <v/>
      </c>
    </row>
    <row r="176">
      <c r="A176" s="28">
        <f>IF($B176="","",160)</f>
        <v/>
      </c>
      <c r="B176" s="28">
        <f>IF($P176="","",IF(INDEX(CalcNormDate,$P176)=0,"",INDEX(CalcNormDate,$P176)))</f>
        <v/>
      </c>
      <c r="C176" s="28">
        <f>IF($P176="","",IF(INDEX(CalcTime,$P176)=0,"",INDEX(CalcTime,$P176)))</f>
        <v/>
      </c>
      <c r="D176" s="28">
        <f>IF($P176="","",IF(INDEX(EntryParty,$P176)=0,"",INDEX(EntryParty,$P176)))</f>
        <v/>
      </c>
      <c r="E176" s="28">
        <f>IF($P176="","",IF(INDEX(EntryPartyName,$P176)=0,"",INDEX(EntryPartyName,$P176)))</f>
        <v/>
      </c>
      <c r="F176" s="28">
        <f>IF($P176="","",IF(INDEX(EntryPartyType,$P176)=0,"",INDEX(EntryPartyType,$P176)))</f>
        <v/>
      </c>
      <c r="G176" s="28">
        <f>IF($P176="","",IF(INDEX(EntryTxnType,$P176)=0,"",INDEX(EntryTxnType,$P176)))</f>
        <v/>
      </c>
      <c r="H176" s="29">
        <f>IF($P176="","",IF(INDEX(EntryDep,$P176)=0,"",INDEX(EntryDep,$P176)))</f>
        <v/>
      </c>
      <c r="I176" s="29">
        <f>IF($P176="","",IF(INDEX(EntryWit,$P176)=0,"",INDEX(EntryWit,$P176)))</f>
        <v/>
      </c>
      <c r="J176" s="29">
        <f>IF($B176="","",IF($A176=1,$C$7,IF(J175="",0,J175))+IF($H176="",0,$H176)-IF($I176="",0,$I176))</f>
        <v/>
      </c>
      <c r="K176" s="29">
        <f>IF($P176="","",IF(INDEX(EntryMan,$P176)=0,"",INDEX(EntryMan,$P176)))</f>
        <v/>
      </c>
      <c r="L176" s="28">
        <f>IF($B176="","",IF($K176="","—",IF(ROUND($K176-$J176,0)=0,"√","×")))</f>
        <v/>
      </c>
      <c r="M176" s="28">
        <f>IF($B176="","",IF(COUNTIFS(EntryDates,$B176,CalcTime,$C176,CalcBank,$C$5,EntryParty,$D176,EntryDep,$H176,EntryWit,$I176)&gt;1,"تکرار",""))</f>
        <v/>
      </c>
      <c r="N176" s="28">
        <f>IF($P176="","",IF(INDEX(EntryNotes,$P176)=0,"",INDEX(EntryNotes,$P176)))</f>
        <v/>
      </c>
      <c r="O176" s="28">
        <f>IF($P176="","",IF(INDEX(EntryTxnID,$P176)=0,"",INDEX(EntryTxnID,$P176)))</f>
        <v/>
      </c>
      <c r="P176" s="28">
        <f>IFERROR(MATCH($C$5&amp;"|"&amp;RIGHT("000000"&amp;160,6),CalcRankKey,0),"")</f>
        <v/>
      </c>
    </row>
    <row r="177">
      <c r="A177" s="26">
        <f>IF($B177="","",161)</f>
        <v/>
      </c>
      <c r="B177" s="26">
        <f>IF($P177="","",IF(INDEX(CalcNormDate,$P177)=0,"",INDEX(CalcNormDate,$P177)))</f>
        <v/>
      </c>
      <c r="C177" s="26">
        <f>IF($P177="","",IF(INDEX(CalcTime,$P177)=0,"",INDEX(CalcTime,$P177)))</f>
        <v/>
      </c>
      <c r="D177" s="26">
        <f>IF($P177="","",IF(INDEX(EntryParty,$P177)=0,"",INDEX(EntryParty,$P177)))</f>
        <v/>
      </c>
      <c r="E177" s="26">
        <f>IF($P177="","",IF(INDEX(EntryPartyName,$P177)=0,"",INDEX(EntryPartyName,$P177)))</f>
        <v/>
      </c>
      <c r="F177" s="26">
        <f>IF($P177="","",IF(INDEX(EntryPartyType,$P177)=0,"",INDEX(EntryPartyType,$P177)))</f>
        <v/>
      </c>
      <c r="G177" s="26">
        <f>IF($P177="","",IF(INDEX(EntryTxnType,$P177)=0,"",INDEX(EntryTxnType,$P177)))</f>
        <v/>
      </c>
      <c r="H177" s="27">
        <f>IF($P177="","",IF(INDEX(EntryDep,$P177)=0,"",INDEX(EntryDep,$P177)))</f>
        <v/>
      </c>
      <c r="I177" s="27">
        <f>IF($P177="","",IF(INDEX(EntryWit,$P177)=0,"",INDEX(EntryWit,$P177)))</f>
        <v/>
      </c>
      <c r="J177" s="27">
        <f>IF($B177="","",IF($A177=1,$C$7,IF(J176="",0,J176))+IF($H177="",0,$H177)-IF($I177="",0,$I177))</f>
        <v/>
      </c>
      <c r="K177" s="27">
        <f>IF($P177="","",IF(INDEX(EntryMan,$P177)=0,"",INDEX(EntryMan,$P177)))</f>
        <v/>
      </c>
      <c r="L177" s="26">
        <f>IF($B177="","",IF($K177="","—",IF(ROUND($K177-$J177,0)=0,"√","×")))</f>
        <v/>
      </c>
      <c r="M177" s="26">
        <f>IF($B177="","",IF(COUNTIFS(EntryDates,$B177,CalcTime,$C177,CalcBank,$C$5,EntryParty,$D177,EntryDep,$H177,EntryWit,$I177)&gt;1,"تکرار",""))</f>
        <v/>
      </c>
      <c r="N177" s="26">
        <f>IF($P177="","",IF(INDEX(EntryNotes,$P177)=0,"",INDEX(EntryNotes,$P177)))</f>
        <v/>
      </c>
      <c r="O177" s="26">
        <f>IF($P177="","",IF(INDEX(EntryTxnID,$P177)=0,"",INDEX(EntryTxnID,$P177)))</f>
        <v/>
      </c>
      <c r="P177" s="26">
        <f>IFERROR(MATCH($C$5&amp;"|"&amp;RIGHT("000000"&amp;161,6),CalcRankKey,0),"")</f>
        <v/>
      </c>
    </row>
    <row r="178">
      <c r="A178" s="28">
        <f>IF($B178="","",162)</f>
        <v/>
      </c>
      <c r="B178" s="28">
        <f>IF($P178="","",IF(INDEX(CalcNormDate,$P178)=0,"",INDEX(CalcNormDate,$P178)))</f>
        <v/>
      </c>
      <c r="C178" s="28">
        <f>IF($P178="","",IF(INDEX(CalcTime,$P178)=0,"",INDEX(CalcTime,$P178)))</f>
        <v/>
      </c>
      <c r="D178" s="28">
        <f>IF($P178="","",IF(INDEX(EntryParty,$P178)=0,"",INDEX(EntryParty,$P178)))</f>
        <v/>
      </c>
      <c r="E178" s="28">
        <f>IF($P178="","",IF(INDEX(EntryPartyName,$P178)=0,"",INDEX(EntryPartyName,$P178)))</f>
        <v/>
      </c>
      <c r="F178" s="28">
        <f>IF($P178="","",IF(INDEX(EntryPartyType,$P178)=0,"",INDEX(EntryPartyType,$P178)))</f>
        <v/>
      </c>
      <c r="G178" s="28">
        <f>IF($P178="","",IF(INDEX(EntryTxnType,$P178)=0,"",INDEX(EntryTxnType,$P178)))</f>
        <v/>
      </c>
      <c r="H178" s="29">
        <f>IF($P178="","",IF(INDEX(EntryDep,$P178)=0,"",INDEX(EntryDep,$P178)))</f>
        <v/>
      </c>
      <c r="I178" s="29">
        <f>IF($P178="","",IF(INDEX(EntryWit,$P178)=0,"",INDEX(EntryWit,$P178)))</f>
        <v/>
      </c>
      <c r="J178" s="29">
        <f>IF($B178="","",IF($A178=1,$C$7,IF(J177="",0,J177))+IF($H178="",0,$H178)-IF($I178="",0,$I178))</f>
        <v/>
      </c>
      <c r="K178" s="29">
        <f>IF($P178="","",IF(INDEX(EntryMan,$P178)=0,"",INDEX(EntryMan,$P178)))</f>
        <v/>
      </c>
      <c r="L178" s="28">
        <f>IF($B178="","",IF($K178="","—",IF(ROUND($K178-$J178,0)=0,"√","×")))</f>
        <v/>
      </c>
      <c r="M178" s="28">
        <f>IF($B178="","",IF(COUNTIFS(EntryDates,$B178,CalcTime,$C178,CalcBank,$C$5,EntryParty,$D178,EntryDep,$H178,EntryWit,$I178)&gt;1,"تکرار",""))</f>
        <v/>
      </c>
      <c r="N178" s="28">
        <f>IF($P178="","",IF(INDEX(EntryNotes,$P178)=0,"",INDEX(EntryNotes,$P178)))</f>
        <v/>
      </c>
      <c r="O178" s="28">
        <f>IF($P178="","",IF(INDEX(EntryTxnID,$P178)=0,"",INDEX(EntryTxnID,$P178)))</f>
        <v/>
      </c>
      <c r="P178" s="28">
        <f>IFERROR(MATCH($C$5&amp;"|"&amp;RIGHT("000000"&amp;162,6),CalcRankKey,0),"")</f>
        <v/>
      </c>
    </row>
    <row r="179">
      <c r="A179" s="26">
        <f>IF($B179="","",163)</f>
        <v/>
      </c>
      <c r="B179" s="26">
        <f>IF($P179="","",IF(INDEX(CalcNormDate,$P179)=0,"",INDEX(CalcNormDate,$P179)))</f>
        <v/>
      </c>
      <c r="C179" s="26">
        <f>IF($P179="","",IF(INDEX(CalcTime,$P179)=0,"",INDEX(CalcTime,$P179)))</f>
        <v/>
      </c>
      <c r="D179" s="26">
        <f>IF($P179="","",IF(INDEX(EntryParty,$P179)=0,"",INDEX(EntryParty,$P179)))</f>
        <v/>
      </c>
      <c r="E179" s="26">
        <f>IF($P179="","",IF(INDEX(EntryPartyName,$P179)=0,"",INDEX(EntryPartyName,$P179)))</f>
        <v/>
      </c>
      <c r="F179" s="26">
        <f>IF($P179="","",IF(INDEX(EntryPartyType,$P179)=0,"",INDEX(EntryPartyType,$P179)))</f>
        <v/>
      </c>
      <c r="G179" s="26">
        <f>IF($P179="","",IF(INDEX(EntryTxnType,$P179)=0,"",INDEX(EntryTxnType,$P179)))</f>
        <v/>
      </c>
      <c r="H179" s="27">
        <f>IF($P179="","",IF(INDEX(EntryDep,$P179)=0,"",INDEX(EntryDep,$P179)))</f>
        <v/>
      </c>
      <c r="I179" s="27">
        <f>IF($P179="","",IF(INDEX(EntryWit,$P179)=0,"",INDEX(EntryWit,$P179)))</f>
        <v/>
      </c>
      <c r="J179" s="27">
        <f>IF($B179="","",IF($A179=1,$C$7,IF(J178="",0,J178))+IF($H179="",0,$H179)-IF($I179="",0,$I179))</f>
        <v/>
      </c>
      <c r="K179" s="27">
        <f>IF($P179="","",IF(INDEX(EntryMan,$P179)=0,"",INDEX(EntryMan,$P179)))</f>
        <v/>
      </c>
      <c r="L179" s="26">
        <f>IF($B179="","",IF($K179="","—",IF(ROUND($K179-$J179,0)=0,"√","×")))</f>
        <v/>
      </c>
      <c r="M179" s="26">
        <f>IF($B179="","",IF(COUNTIFS(EntryDates,$B179,CalcTime,$C179,CalcBank,$C$5,EntryParty,$D179,EntryDep,$H179,EntryWit,$I179)&gt;1,"تکرار",""))</f>
        <v/>
      </c>
      <c r="N179" s="26">
        <f>IF($P179="","",IF(INDEX(EntryNotes,$P179)=0,"",INDEX(EntryNotes,$P179)))</f>
        <v/>
      </c>
      <c r="O179" s="26">
        <f>IF($P179="","",IF(INDEX(EntryTxnID,$P179)=0,"",INDEX(EntryTxnID,$P179)))</f>
        <v/>
      </c>
      <c r="P179" s="26">
        <f>IFERROR(MATCH($C$5&amp;"|"&amp;RIGHT("000000"&amp;163,6),CalcRankKey,0),"")</f>
        <v/>
      </c>
    </row>
    <row r="180">
      <c r="A180" s="28">
        <f>IF($B180="","",164)</f>
        <v/>
      </c>
      <c r="B180" s="28">
        <f>IF($P180="","",IF(INDEX(CalcNormDate,$P180)=0,"",INDEX(CalcNormDate,$P180)))</f>
        <v/>
      </c>
      <c r="C180" s="28">
        <f>IF($P180="","",IF(INDEX(CalcTime,$P180)=0,"",INDEX(CalcTime,$P180)))</f>
        <v/>
      </c>
      <c r="D180" s="28">
        <f>IF($P180="","",IF(INDEX(EntryParty,$P180)=0,"",INDEX(EntryParty,$P180)))</f>
        <v/>
      </c>
      <c r="E180" s="28">
        <f>IF($P180="","",IF(INDEX(EntryPartyName,$P180)=0,"",INDEX(EntryPartyName,$P180)))</f>
        <v/>
      </c>
      <c r="F180" s="28">
        <f>IF($P180="","",IF(INDEX(EntryPartyType,$P180)=0,"",INDEX(EntryPartyType,$P180)))</f>
        <v/>
      </c>
      <c r="G180" s="28">
        <f>IF($P180="","",IF(INDEX(EntryTxnType,$P180)=0,"",INDEX(EntryTxnType,$P180)))</f>
        <v/>
      </c>
      <c r="H180" s="29">
        <f>IF($P180="","",IF(INDEX(EntryDep,$P180)=0,"",INDEX(EntryDep,$P180)))</f>
        <v/>
      </c>
      <c r="I180" s="29">
        <f>IF($P180="","",IF(INDEX(EntryWit,$P180)=0,"",INDEX(EntryWit,$P180)))</f>
        <v/>
      </c>
      <c r="J180" s="29">
        <f>IF($B180="","",IF($A180=1,$C$7,IF(J179="",0,J179))+IF($H180="",0,$H180)-IF($I180="",0,$I180))</f>
        <v/>
      </c>
      <c r="K180" s="29">
        <f>IF($P180="","",IF(INDEX(EntryMan,$P180)=0,"",INDEX(EntryMan,$P180)))</f>
        <v/>
      </c>
      <c r="L180" s="28">
        <f>IF($B180="","",IF($K180="","—",IF(ROUND($K180-$J180,0)=0,"√","×")))</f>
        <v/>
      </c>
      <c r="M180" s="28">
        <f>IF($B180="","",IF(COUNTIFS(EntryDates,$B180,CalcTime,$C180,CalcBank,$C$5,EntryParty,$D180,EntryDep,$H180,EntryWit,$I180)&gt;1,"تکرار",""))</f>
        <v/>
      </c>
      <c r="N180" s="28">
        <f>IF($P180="","",IF(INDEX(EntryNotes,$P180)=0,"",INDEX(EntryNotes,$P180)))</f>
        <v/>
      </c>
      <c r="O180" s="28">
        <f>IF($P180="","",IF(INDEX(EntryTxnID,$P180)=0,"",INDEX(EntryTxnID,$P180)))</f>
        <v/>
      </c>
      <c r="P180" s="28">
        <f>IFERROR(MATCH($C$5&amp;"|"&amp;RIGHT("000000"&amp;164,6),CalcRankKey,0),"")</f>
        <v/>
      </c>
    </row>
    <row r="181">
      <c r="A181" s="26">
        <f>IF($B181="","",165)</f>
        <v/>
      </c>
      <c r="B181" s="26">
        <f>IF($P181="","",IF(INDEX(CalcNormDate,$P181)=0,"",INDEX(CalcNormDate,$P181)))</f>
        <v/>
      </c>
      <c r="C181" s="26">
        <f>IF($P181="","",IF(INDEX(CalcTime,$P181)=0,"",INDEX(CalcTime,$P181)))</f>
        <v/>
      </c>
      <c r="D181" s="26">
        <f>IF($P181="","",IF(INDEX(EntryParty,$P181)=0,"",INDEX(EntryParty,$P181)))</f>
        <v/>
      </c>
      <c r="E181" s="26">
        <f>IF($P181="","",IF(INDEX(EntryPartyName,$P181)=0,"",INDEX(EntryPartyName,$P181)))</f>
        <v/>
      </c>
      <c r="F181" s="26">
        <f>IF($P181="","",IF(INDEX(EntryPartyType,$P181)=0,"",INDEX(EntryPartyType,$P181)))</f>
        <v/>
      </c>
      <c r="G181" s="26">
        <f>IF($P181="","",IF(INDEX(EntryTxnType,$P181)=0,"",INDEX(EntryTxnType,$P181)))</f>
        <v/>
      </c>
      <c r="H181" s="27">
        <f>IF($P181="","",IF(INDEX(EntryDep,$P181)=0,"",INDEX(EntryDep,$P181)))</f>
        <v/>
      </c>
      <c r="I181" s="27">
        <f>IF($P181="","",IF(INDEX(EntryWit,$P181)=0,"",INDEX(EntryWit,$P181)))</f>
        <v/>
      </c>
      <c r="J181" s="27">
        <f>IF($B181="","",IF($A181=1,$C$7,IF(J180="",0,J180))+IF($H181="",0,$H181)-IF($I181="",0,$I181))</f>
        <v/>
      </c>
      <c r="K181" s="27">
        <f>IF($P181="","",IF(INDEX(EntryMan,$P181)=0,"",INDEX(EntryMan,$P181)))</f>
        <v/>
      </c>
      <c r="L181" s="26">
        <f>IF($B181="","",IF($K181="","—",IF(ROUND($K181-$J181,0)=0,"√","×")))</f>
        <v/>
      </c>
      <c r="M181" s="26">
        <f>IF($B181="","",IF(COUNTIFS(EntryDates,$B181,CalcTime,$C181,CalcBank,$C$5,EntryParty,$D181,EntryDep,$H181,EntryWit,$I181)&gt;1,"تکرار",""))</f>
        <v/>
      </c>
      <c r="N181" s="26">
        <f>IF($P181="","",IF(INDEX(EntryNotes,$P181)=0,"",INDEX(EntryNotes,$P181)))</f>
        <v/>
      </c>
      <c r="O181" s="26">
        <f>IF($P181="","",IF(INDEX(EntryTxnID,$P181)=0,"",INDEX(EntryTxnID,$P181)))</f>
        <v/>
      </c>
      <c r="P181" s="26">
        <f>IFERROR(MATCH($C$5&amp;"|"&amp;RIGHT("000000"&amp;165,6),CalcRankKey,0),"")</f>
        <v/>
      </c>
    </row>
    <row r="182">
      <c r="A182" s="28">
        <f>IF($B182="","",166)</f>
        <v/>
      </c>
      <c r="B182" s="28">
        <f>IF($P182="","",IF(INDEX(CalcNormDate,$P182)=0,"",INDEX(CalcNormDate,$P182)))</f>
        <v/>
      </c>
      <c r="C182" s="28">
        <f>IF($P182="","",IF(INDEX(CalcTime,$P182)=0,"",INDEX(CalcTime,$P182)))</f>
        <v/>
      </c>
      <c r="D182" s="28">
        <f>IF($P182="","",IF(INDEX(EntryParty,$P182)=0,"",INDEX(EntryParty,$P182)))</f>
        <v/>
      </c>
      <c r="E182" s="28">
        <f>IF($P182="","",IF(INDEX(EntryPartyName,$P182)=0,"",INDEX(EntryPartyName,$P182)))</f>
        <v/>
      </c>
      <c r="F182" s="28">
        <f>IF($P182="","",IF(INDEX(EntryPartyType,$P182)=0,"",INDEX(EntryPartyType,$P182)))</f>
        <v/>
      </c>
      <c r="G182" s="28">
        <f>IF($P182="","",IF(INDEX(EntryTxnType,$P182)=0,"",INDEX(EntryTxnType,$P182)))</f>
        <v/>
      </c>
      <c r="H182" s="29">
        <f>IF($P182="","",IF(INDEX(EntryDep,$P182)=0,"",INDEX(EntryDep,$P182)))</f>
        <v/>
      </c>
      <c r="I182" s="29">
        <f>IF($P182="","",IF(INDEX(EntryWit,$P182)=0,"",INDEX(EntryWit,$P182)))</f>
        <v/>
      </c>
      <c r="J182" s="29">
        <f>IF($B182="","",IF($A182=1,$C$7,IF(J181="",0,J181))+IF($H182="",0,$H182)-IF($I182="",0,$I182))</f>
        <v/>
      </c>
      <c r="K182" s="29">
        <f>IF($P182="","",IF(INDEX(EntryMan,$P182)=0,"",INDEX(EntryMan,$P182)))</f>
        <v/>
      </c>
      <c r="L182" s="28">
        <f>IF($B182="","",IF($K182="","—",IF(ROUND($K182-$J182,0)=0,"√","×")))</f>
        <v/>
      </c>
      <c r="M182" s="28">
        <f>IF($B182="","",IF(COUNTIFS(EntryDates,$B182,CalcTime,$C182,CalcBank,$C$5,EntryParty,$D182,EntryDep,$H182,EntryWit,$I182)&gt;1,"تکرار",""))</f>
        <v/>
      </c>
      <c r="N182" s="28">
        <f>IF($P182="","",IF(INDEX(EntryNotes,$P182)=0,"",INDEX(EntryNotes,$P182)))</f>
        <v/>
      </c>
      <c r="O182" s="28">
        <f>IF($P182="","",IF(INDEX(EntryTxnID,$P182)=0,"",INDEX(EntryTxnID,$P182)))</f>
        <v/>
      </c>
      <c r="P182" s="28">
        <f>IFERROR(MATCH($C$5&amp;"|"&amp;RIGHT("000000"&amp;166,6),CalcRankKey,0),"")</f>
        <v/>
      </c>
    </row>
    <row r="183">
      <c r="A183" s="26">
        <f>IF($B183="","",167)</f>
        <v/>
      </c>
      <c r="B183" s="26">
        <f>IF($P183="","",IF(INDEX(CalcNormDate,$P183)=0,"",INDEX(CalcNormDate,$P183)))</f>
        <v/>
      </c>
      <c r="C183" s="26">
        <f>IF($P183="","",IF(INDEX(CalcTime,$P183)=0,"",INDEX(CalcTime,$P183)))</f>
        <v/>
      </c>
      <c r="D183" s="26">
        <f>IF($P183="","",IF(INDEX(EntryParty,$P183)=0,"",INDEX(EntryParty,$P183)))</f>
        <v/>
      </c>
      <c r="E183" s="26">
        <f>IF($P183="","",IF(INDEX(EntryPartyName,$P183)=0,"",INDEX(EntryPartyName,$P183)))</f>
        <v/>
      </c>
      <c r="F183" s="26">
        <f>IF($P183="","",IF(INDEX(EntryPartyType,$P183)=0,"",INDEX(EntryPartyType,$P183)))</f>
        <v/>
      </c>
      <c r="G183" s="26">
        <f>IF($P183="","",IF(INDEX(EntryTxnType,$P183)=0,"",INDEX(EntryTxnType,$P183)))</f>
        <v/>
      </c>
      <c r="H183" s="27">
        <f>IF($P183="","",IF(INDEX(EntryDep,$P183)=0,"",INDEX(EntryDep,$P183)))</f>
        <v/>
      </c>
      <c r="I183" s="27">
        <f>IF($P183="","",IF(INDEX(EntryWit,$P183)=0,"",INDEX(EntryWit,$P183)))</f>
        <v/>
      </c>
      <c r="J183" s="27">
        <f>IF($B183="","",IF($A183=1,$C$7,IF(J182="",0,J182))+IF($H183="",0,$H183)-IF($I183="",0,$I183))</f>
        <v/>
      </c>
      <c r="K183" s="27">
        <f>IF($P183="","",IF(INDEX(EntryMan,$P183)=0,"",INDEX(EntryMan,$P183)))</f>
        <v/>
      </c>
      <c r="L183" s="26">
        <f>IF($B183="","",IF($K183="","—",IF(ROUND($K183-$J183,0)=0,"√","×")))</f>
        <v/>
      </c>
      <c r="M183" s="26">
        <f>IF($B183="","",IF(COUNTIFS(EntryDates,$B183,CalcTime,$C183,CalcBank,$C$5,EntryParty,$D183,EntryDep,$H183,EntryWit,$I183)&gt;1,"تکرار",""))</f>
        <v/>
      </c>
      <c r="N183" s="26">
        <f>IF($P183="","",IF(INDEX(EntryNotes,$P183)=0,"",INDEX(EntryNotes,$P183)))</f>
        <v/>
      </c>
      <c r="O183" s="26">
        <f>IF($P183="","",IF(INDEX(EntryTxnID,$P183)=0,"",INDEX(EntryTxnID,$P183)))</f>
        <v/>
      </c>
      <c r="P183" s="26">
        <f>IFERROR(MATCH($C$5&amp;"|"&amp;RIGHT("000000"&amp;167,6),CalcRankKey,0),"")</f>
        <v/>
      </c>
    </row>
    <row r="184">
      <c r="A184" s="28">
        <f>IF($B184="","",168)</f>
        <v/>
      </c>
      <c r="B184" s="28">
        <f>IF($P184="","",IF(INDEX(CalcNormDate,$P184)=0,"",INDEX(CalcNormDate,$P184)))</f>
        <v/>
      </c>
      <c r="C184" s="28">
        <f>IF($P184="","",IF(INDEX(CalcTime,$P184)=0,"",INDEX(CalcTime,$P184)))</f>
        <v/>
      </c>
      <c r="D184" s="28">
        <f>IF($P184="","",IF(INDEX(EntryParty,$P184)=0,"",INDEX(EntryParty,$P184)))</f>
        <v/>
      </c>
      <c r="E184" s="28">
        <f>IF($P184="","",IF(INDEX(EntryPartyName,$P184)=0,"",INDEX(EntryPartyName,$P184)))</f>
        <v/>
      </c>
      <c r="F184" s="28">
        <f>IF($P184="","",IF(INDEX(EntryPartyType,$P184)=0,"",INDEX(EntryPartyType,$P184)))</f>
        <v/>
      </c>
      <c r="G184" s="28">
        <f>IF($P184="","",IF(INDEX(EntryTxnType,$P184)=0,"",INDEX(EntryTxnType,$P184)))</f>
        <v/>
      </c>
      <c r="H184" s="29">
        <f>IF($P184="","",IF(INDEX(EntryDep,$P184)=0,"",INDEX(EntryDep,$P184)))</f>
        <v/>
      </c>
      <c r="I184" s="29">
        <f>IF($P184="","",IF(INDEX(EntryWit,$P184)=0,"",INDEX(EntryWit,$P184)))</f>
        <v/>
      </c>
      <c r="J184" s="29">
        <f>IF($B184="","",IF($A184=1,$C$7,IF(J183="",0,J183))+IF($H184="",0,$H184)-IF($I184="",0,$I184))</f>
        <v/>
      </c>
      <c r="K184" s="29">
        <f>IF($P184="","",IF(INDEX(EntryMan,$P184)=0,"",INDEX(EntryMan,$P184)))</f>
        <v/>
      </c>
      <c r="L184" s="28">
        <f>IF($B184="","",IF($K184="","—",IF(ROUND($K184-$J184,0)=0,"√","×")))</f>
        <v/>
      </c>
      <c r="M184" s="28">
        <f>IF($B184="","",IF(COUNTIFS(EntryDates,$B184,CalcTime,$C184,CalcBank,$C$5,EntryParty,$D184,EntryDep,$H184,EntryWit,$I184)&gt;1,"تکرار",""))</f>
        <v/>
      </c>
      <c r="N184" s="28">
        <f>IF($P184="","",IF(INDEX(EntryNotes,$P184)=0,"",INDEX(EntryNotes,$P184)))</f>
        <v/>
      </c>
      <c r="O184" s="28">
        <f>IF($P184="","",IF(INDEX(EntryTxnID,$P184)=0,"",INDEX(EntryTxnID,$P184)))</f>
        <v/>
      </c>
      <c r="P184" s="28">
        <f>IFERROR(MATCH($C$5&amp;"|"&amp;RIGHT("000000"&amp;168,6),CalcRankKey,0),"")</f>
        <v/>
      </c>
    </row>
    <row r="185">
      <c r="A185" s="26">
        <f>IF($B185="","",169)</f>
        <v/>
      </c>
      <c r="B185" s="26">
        <f>IF($P185="","",IF(INDEX(CalcNormDate,$P185)=0,"",INDEX(CalcNormDate,$P185)))</f>
        <v/>
      </c>
      <c r="C185" s="26">
        <f>IF($P185="","",IF(INDEX(CalcTime,$P185)=0,"",INDEX(CalcTime,$P185)))</f>
        <v/>
      </c>
      <c r="D185" s="26">
        <f>IF($P185="","",IF(INDEX(EntryParty,$P185)=0,"",INDEX(EntryParty,$P185)))</f>
        <v/>
      </c>
      <c r="E185" s="26">
        <f>IF($P185="","",IF(INDEX(EntryPartyName,$P185)=0,"",INDEX(EntryPartyName,$P185)))</f>
        <v/>
      </c>
      <c r="F185" s="26">
        <f>IF($P185="","",IF(INDEX(EntryPartyType,$P185)=0,"",INDEX(EntryPartyType,$P185)))</f>
        <v/>
      </c>
      <c r="G185" s="26">
        <f>IF($P185="","",IF(INDEX(EntryTxnType,$P185)=0,"",INDEX(EntryTxnType,$P185)))</f>
        <v/>
      </c>
      <c r="H185" s="27">
        <f>IF($P185="","",IF(INDEX(EntryDep,$P185)=0,"",INDEX(EntryDep,$P185)))</f>
        <v/>
      </c>
      <c r="I185" s="27">
        <f>IF($P185="","",IF(INDEX(EntryWit,$P185)=0,"",INDEX(EntryWit,$P185)))</f>
        <v/>
      </c>
      <c r="J185" s="27">
        <f>IF($B185="","",IF($A185=1,$C$7,IF(J184="",0,J184))+IF($H185="",0,$H185)-IF($I185="",0,$I185))</f>
        <v/>
      </c>
      <c r="K185" s="27">
        <f>IF($P185="","",IF(INDEX(EntryMan,$P185)=0,"",INDEX(EntryMan,$P185)))</f>
        <v/>
      </c>
      <c r="L185" s="26">
        <f>IF($B185="","",IF($K185="","—",IF(ROUND($K185-$J185,0)=0,"√","×")))</f>
        <v/>
      </c>
      <c r="M185" s="26">
        <f>IF($B185="","",IF(COUNTIFS(EntryDates,$B185,CalcTime,$C185,CalcBank,$C$5,EntryParty,$D185,EntryDep,$H185,EntryWit,$I185)&gt;1,"تکرار",""))</f>
        <v/>
      </c>
      <c r="N185" s="26">
        <f>IF($P185="","",IF(INDEX(EntryNotes,$P185)=0,"",INDEX(EntryNotes,$P185)))</f>
        <v/>
      </c>
      <c r="O185" s="26">
        <f>IF($P185="","",IF(INDEX(EntryTxnID,$P185)=0,"",INDEX(EntryTxnID,$P185)))</f>
        <v/>
      </c>
      <c r="P185" s="26">
        <f>IFERROR(MATCH($C$5&amp;"|"&amp;RIGHT("000000"&amp;169,6),CalcRankKey,0),"")</f>
        <v/>
      </c>
    </row>
    <row r="186">
      <c r="A186" s="28">
        <f>IF($B186="","",170)</f>
        <v/>
      </c>
      <c r="B186" s="28">
        <f>IF($P186="","",IF(INDEX(CalcNormDate,$P186)=0,"",INDEX(CalcNormDate,$P186)))</f>
        <v/>
      </c>
      <c r="C186" s="28">
        <f>IF($P186="","",IF(INDEX(CalcTime,$P186)=0,"",INDEX(CalcTime,$P186)))</f>
        <v/>
      </c>
      <c r="D186" s="28">
        <f>IF($P186="","",IF(INDEX(EntryParty,$P186)=0,"",INDEX(EntryParty,$P186)))</f>
        <v/>
      </c>
      <c r="E186" s="28">
        <f>IF($P186="","",IF(INDEX(EntryPartyName,$P186)=0,"",INDEX(EntryPartyName,$P186)))</f>
        <v/>
      </c>
      <c r="F186" s="28">
        <f>IF($P186="","",IF(INDEX(EntryPartyType,$P186)=0,"",INDEX(EntryPartyType,$P186)))</f>
        <v/>
      </c>
      <c r="G186" s="28">
        <f>IF($P186="","",IF(INDEX(EntryTxnType,$P186)=0,"",INDEX(EntryTxnType,$P186)))</f>
        <v/>
      </c>
      <c r="H186" s="29">
        <f>IF($P186="","",IF(INDEX(EntryDep,$P186)=0,"",INDEX(EntryDep,$P186)))</f>
        <v/>
      </c>
      <c r="I186" s="29">
        <f>IF($P186="","",IF(INDEX(EntryWit,$P186)=0,"",INDEX(EntryWit,$P186)))</f>
        <v/>
      </c>
      <c r="J186" s="29">
        <f>IF($B186="","",IF($A186=1,$C$7,IF(J185="",0,J185))+IF($H186="",0,$H186)-IF($I186="",0,$I186))</f>
        <v/>
      </c>
      <c r="K186" s="29">
        <f>IF($P186="","",IF(INDEX(EntryMan,$P186)=0,"",INDEX(EntryMan,$P186)))</f>
        <v/>
      </c>
      <c r="L186" s="28">
        <f>IF($B186="","",IF($K186="","—",IF(ROUND($K186-$J186,0)=0,"√","×")))</f>
        <v/>
      </c>
      <c r="M186" s="28">
        <f>IF($B186="","",IF(COUNTIFS(EntryDates,$B186,CalcTime,$C186,CalcBank,$C$5,EntryParty,$D186,EntryDep,$H186,EntryWit,$I186)&gt;1,"تکرار",""))</f>
        <v/>
      </c>
      <c r="N186" s="28">
        <f>IF($P186="","",IF(INDEX(EntryNotes,$P186)=0,"",INDEX(EntryNotes,$P186)))</f>
        <v/>
      </c>
      <c r="O186" s="28">
        <f>IF($P186="","",IF(INDEX(EntryTxnID,$P186)=0,"",INDEX(EntryTxnID,$P186)))</f>
        <v/>
      </c>
      <c r="P186" s="28">
        <f>IFERROR(MATCH($C$5&amp;"|"&amp;RIGHT("000000"&amp;170,6),CalcRankKey,0),"")</f>
        <v/>
      </c>
    </row>
    <row r="187">
      <c r="A187" s="26">
        <f>IF($B187="","",171)</f>
        <v/>
      </c>
      <c r="B187" s="26">
        <f>IF($P187="","",IF(INDEX(CalcNormDate,$P187)=0,"",INDEX(CalcNormDate,$P187)))</f>
        <v/>
      </c>
      <c r="C187" s="26">
        <f>IF($P187="","",IF(INDEX(CalcTime,$P187)=0,"",INDEX(CalcTime,$P187)))</f>
        <v/>
      </c>
      <c r="D187" s="26">
        <f>IF($P187="","",IF(INDEX(EntryParty,$P187)=0,"",INDEX(EntryParty,$P187)))</f>
        <v/>
      </c>
      <c r="E187" s="26">
        <f>IF($P187="","",IF(INDEX(EntryPartyName,$P187)=0,"",INDEX(EntryPartyName,$P187)))</f>
        <v/>
      </c>
      <c r="F187" s="26">
        <f>IF($P187="","",IF(INDEX(EntryPartyType,$P187)=0,"",INDEX(EntryPartyType,$P187)))</f>
        <v/>
      </c>
      <c r="G187" s="26">
        <f>IF($P187="","",IF(INDEX(EntryTxnType,$P187)=0,"",INDEX(EntryTxnType,$P187)))</f>
        <v/>
      </c>
      <c r="H187" s="27">
        <f>IF($P187="","",IF(INDEX(EntryDep,$P187)=0,"",INDEX(EntryDep,$P187)))</f>
        <v/>
      </c>
      <c r="I187" s="27">
        <f>IF($P187="","",IF(INDEX(EntryWit,$P187)=0,"",INDEX(EntryWit,$P187)))</f>
        <v/>
      </c>
      <c r="J187" s="27">
        <f>IF($B187="","",IF($A187=1,$C$7,IF(J186="",0,J186))+IF($H187="",0,$H187)-IF($I187="",0,$I187))</f>
        <v/>
      </c>
      <c r="K187" s="27">
        <f>IF($P187="","",IF(INDEX(EntryMan,$P187)=0,"",INDEX(EntryMan,$P187)))</f>
        <v/>
      </c>
      <c r="L187" s="26">
        <f>IF($B187="","",IF($K187="","—",IF(ROUND($K187-$J187,0)=0,"√","×")))</f>
        <v/>
      </c>
      <c r="M187" s="26">
        <f>IF($B187="","",IF(COUNTIFS(EntryDates,$B187,CalcTime,$C187,CalcBank,$C$5,EntryParty,$D187,EntryDep,$H187,EntryWit,$I187)&gt;1,"تکرار",""))</f>
        <v/>
      </c>
      <c r="N187" s="26">
        <f>IF($P187="","",IF(INDEX(EntryNotes,$P187)=0,"",INDEX(EntryNotes,$P187)))</f>
        <v/>
      </c>
      <c r="O187" s="26">
        <f>IF($P187="","",IF(INDEX(EntryTxnID,$P187)=0,"",INDEX(EntryTxnID,$P187)))</f>
        <v/>
      </c>
      <c r="P187" s="26">
        <f>IFERROR(MATCH($C$5&amp;"|"&amp;RIGHT("000000"&amp;171,6),CalcRankKey,0),"")</f>
        <v/>
      </c>
    </row>
    <row r="188">
      <c r="A188" s="28">
        <f>IF($B188="","",172)</f>
        <v/>
      </c>
      <c r="B188" s="28">
        <f>IF($P188="","",IF(INDEX(CalcNormDate,$P188)=0,"",INDEX(CalcNormDate,$P188)))</f>
        <v/>
      </c>
      <c r="C188" s="28">
        <f>IF($P188="","",IF(INDEX(CalcTime,$P188)=0,"",INDEX(CalcTime,$P188)))</f>
        <v/>
      </c>
      <c r="D188" s="28">
        <f>IF($P188="","",IF(INDEX(EntryParty,$P188)=0,"",INDEX(EntryParty,$P188)))</f>
        <v/>
      </c>
      <c r="E188" s="28">
        <f>IF($P188="","",IF(INDEX(EntryPartyName,$P188)=0,"",INDEX(EntryPartyName,$P188)))</f>
        <v/>
      </c>
      <c r="F188" s="28">
        <f>IF($P188="","",IF(INDEX(EntryPartyType,$P188)=0,"",INDEX(EntryPartyType,$P188)))</f>
        <v/>
      </c>
      <c r="G188" s="28">
        <f>IF($P188="","",IF(INDEX(EntryTxnType,$P188)=0,"",INDEX(EntryTxnType,$P188)))</f>
        <v/>
      </c>
      <c r="H188" s="29">
        <f>IF($P188="","",IF(INDEX(EntryDep,$P188)=0,"",INDEX(EntryDep,$P188)))</f>
        <v/>
      </c>
      <c r="I188" s="29">
        <f>IF($P188="","",IF(INDEX(EntryWit,$P188)=0,"",INDEX(EntryWit,$P188)))</f>
        <v/>
      </c>
      <c r="J188" s="29">
        <f>IF($B188="","",IF($A188=1,$C$7,IF(J187="",0,J187))+IF($H188="",0,$H188)-IF($I188="",0,$I188))</f>
        <v/>
      </c>
      <c r="K188" s="29">
        <f>IF($P188="","",IF(INDEX(EntryMan,$P188)=0,"",INDEX(EntryMan,$P188)))</f>
        <v/>
      </c>
      <c r="L188" s="28">
        <f>IF($B188="","",IF($K188="","—",IF(ROUND($K188-$J188,0)=0,"√","×")))</f>
        <v/>
      </c>
      <c r="M188" s="28">
        <f>IF($B188="","",IF(COUNTIFS(EntryDates,$B188,CalcTime,$C188,CalcBank,$C$5,EntryParty,$D188,EntryDep,$H188,EntryWit,$I188)&gt;1,"تکرار",""))</f>
        <v/>
      </c>
      <c r="N188" s="28">
        <f>IF($P188="","",IF(INDEX(EntryNotes,$P188)=0,"",INDEX(EntryNotes,$P188)))</f>
        <v/>
      </c>
      <c r="O188" s="28">
        <f>IF($P188="","",IF(INDEX(EntryTxnID,$P188)=0,"",INDEX(EntryTxnID,$P188)))</f>
        <v/>
      </c>
      <c r="P188" s="28">
        <f>IFERROR(MATCH($C$5&amp;"|"&amp;RIGHT("000000"&amp;172,6),CalcRankKey,0),"")</f>
        <v/>
      </c>
    </row>
    <row r="189">
      <c r="A189" s="26">
        <f>IF($B189="","",173)</f>
        <v/>
      </c>
      <c r="B189" s="26">
        <f>IF($P189="","",IF(INDEX(CalcNormDate,$P189)=0,"",INDEX(CalcNormDate,$P189)))</f>
        <v/>
      </c>
      <c r="C189" s="26">
        <f>IF($P189="","",IF(INDEX(CalcTime,$P189)=0,"",INDEX(CalcTime,$P189)))</f>
        <v/>
      </c>
      <c r="D189" s="26">
        <f>IF($P189="","",IF(INDEX(EntryParty,$P189)=0,"",INDEX(EntryParty,$P189)))</f>
        <v/>
      </c>
      <c r="E189" s="26">
        <f>IF($P189="","",IF(INDEX(EntryPartyName,$P189)=0,"",INDEX(EntryPartyName,$P189)))</f>
        <v/>
      </c>
      <c r="F189" s="26">
        <f>IF($P189="","",IF(INDEX(EntryPartyType,$P189)=0,"",INDEX(EntryPartyType,$P189)))</f>
        <v/>
      </c>
      <c r="G189" s="26">
        <f>IF($P189="","",IF(INDEX(EntryTxnType,$P189)=0,"",INDEX(EntryTxnType,$P189)))</f>
        <v/>
      </c>
      <c r="H189" s="27">
        <f>IF($P189="","",IF(INDEX(EntryDep,$P189)=0,"",INDEX(EntryDep,$P189)))</f>
        <v/>
      </c>
      <c r="I189" s="27">
        <f>IF($P189="","",IF(INDEX(EntryWit,$P189)=0,"",INDEX(EntryWit,$P189)))</f>
        <v/>
      </c>
      <c r="J189" s="27">
        <f>IF($B189="","",IF($A189=1,$C$7,IF(J188="",0,J188))+IF($H189="",0,$H189)-IF($I189="",0,$I189))</f>
        <v/>
      </c>
      <c r="K189" s="27">
        <f>IF($P189="","",IF(INDEX(EntryMan,$P189)=0,"",INDEX(EntryMan,$P189)))</f>
        <v/>
      </c>
      <c r="L189" s="26">
        <f>IF($B189="","",IF($K189="","—",IF(ROUND($K189-$J189,0)=0,"√","×")))</f>
        <v/>
      </c>
      <c r="M189" s="26">
        <f>IF($B189="","",IF(COUNTIFS(EntryDates,$B189,CalcTime,$C189,CalcBank,$C$5,EntryParty,$D189,EntryDep,$H189,EntryWit,$I189)&gt;1,"تکرار",""))</f>
        <v/>
      </c>
      <c r="N189" s="26">
        <f>IF($P189="","",IF(INDEX(EntryNotes,$P189)=0,"",INDEX(EntryNotes,$P189)))</f>
        <v/>
      </c>
      <c r="O189" s="26">
        <f>IF($P189="","",IF(INDEX(EntryTxnID,$P189)=0,"",INDEX(EntryTxnID,$P189)))</f>
        <v/>
      </c>
      <c r="P189" s="26">
        <f>IFERROR(MATCH($C$5&amp;"|"&amp;RIGHT("000000"&amp;173,6),CalcRankKey,0),"")</f>
        <v/>
      </c>
    </row>
    <row r="190">
      <c r="A190" s="28">
        <f>IF($B190="","",174)</f>
        <v/>
      </c>
      <c r="B190" s="28">
        <f>IF($P190="","",IF(INDEX(CalcNormDate,$P190)=0,"",INDEX(CalcNormDate,$P190)))</f>
        <v/>
      </c>
      <c r="C190" s="28">
        <f>IF($P190="","",IF(INDEX(CalcTime,$P190)=0,"",INDEX(CalcTime,$P190)))</f>
        <v/>
      </c>
      <c r="D190" s="28">
        <f>IF($P190="","",IF(INDEX(EntryParty,$P190)=0,"",INDEX(EntryParty,$P190)))</f>
        <v/>
      </c>
      <c r="E190" s="28">
        <f>IF($P190="","",IF(INDEX(EntryPartyName,$P190)=0,"",INDEX(EntryPartyName,$P190)))</f>
        <v/>
      </c>
      <c r="F190" s="28">
        <f>IF($P190="","",IF(INDEX(EntryPartyType,$P190)=0,"",INDEX(EntryPartyType,$P190)))</f>
        <v/>
      </c>
      <c r="G190" s="28">
        <f>IF($P190="","",IF(INDEX(EntryTxnType,$P190)=0,"",INDEX(EntryTxnType,$P190)))</f>
        <v/>
      </c>
      <c r="H190" s="29">
        <f>IF($P190="","",IF(INDEX(EntryDep,$P190)=0,"",INDEX(EntryDep,$P190)))</f>
        <v/>
      </c>
      <c r="I190" s="29">
        <f>IF($P190="","",IF(INDEX(EntryWit,$P190)=0,"",INDEX(EntryWit,$P190)))</f>
        <v/>
      </c>
      <c r="J190" s="29">
        <f>IF($B190="","",IF($A190=1,$C$7,IF(J189="",0,J189))+IF($H190="",0,$H190)-IF($I190="",0,$I190))</f>
        <v/>
      </c>
      <c r="K190" s="29">
        <f>IF($P190="","",IF(INDEX(EntryMan,$P190)=0,"",INDEX(EntryMan,$P190)))</f>
        <v/>
      </c>
      <c r="L190" s="28">
        <f>IF($B190="","",IF($K190="","—",IF(ROUND($K190-$J190,0)=0,"√","×")))</f>
        <v/>
      </c>
      <c r="M190" s="28">
        <f>IF($B190="","",IF(COUNTIFS(EntryDates,$B190,CalcTime,$C190,CalcBank,$C$5,EntryParty,$D190,EntryDep,$H190,EntryWit,$I190)&gt;1,"تکرار",""))</f>
        <v/>
      </c>
      <c r="N190" s="28">
        <f>IF($P190="","",IF(INDEX(EntryNotes,$P190)=0,"",INDEX(EntryNotes,$P190)))</f>
        <v/>
      </c>
      <c r="O190" s="28">
        <f>IF($P190="","",IF(INDEX(EntryTxnID,$P190)=0,"",INDEX(EntryTxnID,$P190)))</f>
        <v/>
      </c>
      <c r="P190" s="28">
        <f>IFERROR(MATCH($C$5&amp;"|"&amp;RIGHT("000000"&amp;174,6),CalcRankKey,0),"")</f>
        <v/>
      </c>
    </row>
    <row r="191">
      <c r="A191" s="26">
        <f>IF($B191="","",175)</f>
        <v/>
      </c>
      <c r="B191" s="26">
        <f>IF($P191="","",IF(INDEX(CalcNormDate,$P191)=0,"",INDEX(CalcNormDate,$P191)))</f>
        <v/>
      </c>
      <c r="C191" s="26">
        <f>IF($P191="","",IF(INDEX(CalcTime,$P191)=0,"",INDEX(CalcTime,$P191)))</f>
        <v/>
      </c>
      <c r="D191" s="26">
        <f>IF($P191="","",IF(INDEX(EntryParty,$P191)=0,"",INDEX(EntryParty,$P191)))</f>
        <v/>
      </c>
      <c r="E191" s="26">
        <f>IF($P191="","",IF(INDEX(EntryPartyName,$P191)=0,"",INDEX(EntryPartyName,$P191)))</f>
        <v/>
      </c>
      <c r="F191" s="26">
        <f>IF($P191="","",IF(INDEX(EntryPartyType,$P191)=0,"",INDEX(EntryPartyType,$P191)))</f>
        <v/>
      </c>
      <c r="G191" s="26">
        <f>IF($P191="","",IF(INDEX(EntryTxnType,$P191)=0,"",INDEX(EntryTxnType,$P191)))</f>
        <v/>
      </c>
      <c r="H191" s="27">
        <f>IF($P191="","",IF(INDEX(EntryDep,$P191)=0,"",INDEX(EntryDep,$P191)))</f>
        <v/>
      </c>
      <c r="I191" s="27">
        <f>IF($P191="","",IF(INDEX(EntryWit,$P191)=0,"",INDEX(EntryWit,$P191)))</f>
        <v/>
      </c>
      <c r="J191" s="27">
        <f>IF($B191="","",IF($A191=1,$C$7,IF(J190="",0,J190))+IF($H191="",0,$H191)-IF($I191="",0,$I191))</f>
        <v/>
      </c>
      <c r="K191" s="27">
        <f>IF($P191="","",IF(INDEX(EntryMan,$P191)=0,"",INDEX(EntryMan,$P191)))</f>
        <v/>
      </c>
      <c r="L191" s="26">
        <f>IF($B191="","",IF($K191="","—",IF(ROUND($K191-$J191,0)=0,"√","×")))</f>
        <v/>
      </c>
      <c r="M191" s="26">
        <f>IF($B191="","",IF(COUNTIFS(EntryDates,$B191,CalcTime,$C191,CalcBank,$C$5,EntryParty,$D191,EntryDep,$H191,EntryWit,$I191)&gt;1,"تکرار",""))</f>
        <v/>
      </c>
      <c r="N191" s="26">
        <f>IF($P191="","",IF(INDEX(EntryNotes,$P191)=0,"",INDEX(EntryNotes,$P191)))</f>
        <v/>
      </c>
      <c r="O191" s="26">
        <f>IF($P191="","",IF(INDEX(EntryTxnID,$P191)=0,"",INDEX(EntryTxnID,$P191)))</f>
        <v/>
      </c>
      <c r="P191" s="26">
        <f>IFERROR(MATCH($C$5&amp;"|"&amp;RIGHT("000000"&amp;175,6),CalcRankKey,0),"")</f>
        <v/>
      </c>
    </row>
    <row r="192">
      <c r="A192" s="28">
        <f>IF($B192="","",176)</f>
        <v/>
      </c>
      <c r="B192" s="28">
        <f>IF($P192="","",IF(INDEX(CalcNormDate,$P192)=0,"",INDEX(CalcNormDate,$P192)))</f>
        <v/>
      </c>
      <c r="C192" s="28">
        <f>IF($P192="","",IF(INDEX(CalcTime,$P192)=0,"",INDEX(CalcTime,$P192)))</f>
        <v/>
      </c>
      <c r="D192" s="28">
        <f>IF($P192="","",IF(INDEX(EntryParty,$P192)=0,"",INDEX(EntryParty,$P192)))</f>
        <v/>
      </c>
      <c r="E192" s="28">
        <f>IF($P192="","",IF(INDEX(EntryPartyName,$P192)=0,"",INDEX(EntryPartyName,$P192)))</f>
        <v/>
      </c>
      <c r="F192" s="28">
        <f>IF($P192="","",IF(INDEX(EntryPartyType,$P192)=0,"",INDEX(EntryPartyType,$P192)))</f>
        <v/>
      </c>
      <c r="G192" s="28">
        <f>IF($P192="","",IF(INDEX(EntryTxnType,$P192)=0,"",INDEX(EntryTxnType,$P192)))</f>
        <v/>
      </c>
      <c r="H192" s="29">
        <f>IF($P192="","",IF(INDEX(EntryDep,$P192)=0,"",INDEX(EntryDep,$P192)))</f>
        <v/>
      </c>
      <c r="I192" s="29">
        <f>IF($P192="","",IF(INDEX(EntryWit,$P192)=0,"",INDEX(EntryWit,$P192)))</f>
        <v/>
      </c>
      <c r="J192" s="29">
        <f>IF($B192="","",IF($A192=1,$C$7,IF(J191="",0,J191))+IF($H192="",0,$H192)-IF($I192="",0,$I192))</f>
        <v/>
      </c>
      <c r="K192" s="29">
        <f>IF($P192="","",IF(INDEX(EntryMan,$P192)=0,"",INDEX(EntryMan,$P192)))</f>
        <v/>
      </c>
      <c r="L192" s="28">
        <f>IF($B192="","",IF($K192="","—",IF(ROUND($K192-$J192,0)=0,"√","×")))</f>
        <v/>
      </c>
      <c r="M192" s="28">
        <f>IF($B192="","",IF(COUNTIFS(EntryDates,$B192,CalcTime,$C192,CalcBank,$C$5,EntryParty,$D192,EntryDep,$H192,EntryWit,$I192)&gt;1,"تکرار",""))</f>
        <v/>
      </c>
      <c r="N192" s="28">
        <f>IF($P192="","",IF(INDEX(EntryNotes,$P192)=0,"",INDEX(EntryNotes,$P192)))</f>
        <v/>
      </c>
      <c r="O192" s="28">
        <f>IF($P192="","",IF(INDEX(EntryTxnID,$P192)=0,"",INDEX(EntryTxnID,$P192)))</f>
        <v/>
      </c>
      <c r="P192" s="28">
        <f>IFERROR(MATCH($C$5&amp;"|"&amp;RIGHT("000000"&amp;176,6),CalcRankKey,0),"")</f>
        <v/>
      </c>
    </row>
    <row r="193">
      <c r="A193" s="26">
        <f>IF($B193="","",177)</f>
        <v/>
      </c>
      <c r="B193" s="26">
        <f>IF($P193="","",IF(INDEX(CalcNormDate,$P193)=0,"",INDEX(CalcNormDate,$P193)))</f>
        <v/>
      </c>
      <c r="C193" s="26">
        <f>IF($P193="","",IF(INDEX(CalcTime,$P193)=0,"",INDEX(CalcTime,$P193)))</f>
        <v/>
      </c>
      <c r="D193" s="26">
        <f>IF($P193="","",IF(INDEX(EntryParty,$P193)=0,"",INDEX(EntryParty,$P193)))</f>
        <v/>
      </c>
      <c r="E193" s="26">
        <f>IF($P193="","",IF(INDEX(EntryPartyName,$P193)=0,"",INDEX(EntryPartyName,$P193)))</f>
        <v/>
      </c>
      <c r="F193" s="26">
        <f>IF($P193="","",IF(INDEX(EntryPartyType,$P193)=0,"",INDEX(EntryPartyType,$P193)))</f>
        <v/>
      </c>
      <c r="G193" s="26">
        <f>IF($P193="","",IF(INDEX(EntryTxnType,$P193)=0,"",INDEX(EntryTxnType,$P193)))</f>
        <v/>
      </c>
      <c r="H193" s="27">
        <f>IF($P193="","",IF(INDEX(EntryDep,$P193)=0,"",INDEX(EntryDep,$P193)))</f>
        <v/>
      </c>
      <c r="I193" s="27">
        <f>IF($P193="","",IF(INDEX(EntryWit,$P193)=0,"",INDEX(EntryWit,$P193)))</f>
        <v/>
      </c>
      <c r="J193" s="27">
        <f>IF($B193="","",IF($A193=1,$C$7,IF(J192="",0,J192))+IF($H193="",0,$H193)-IF($I193="",0,$I193))</f>
        <v/>
      </c>
      <c r="K193" s="27">
        <f>IF($P193="","",IF(INDEX(EntryMan,$P193)=0,"",INDEX(EntryMan,$P193)))</f>
        <v/>
      </c>
      <c r="L193" s="26">
        <f>IF($B193="","",IF($K193="","—",IF(ROUND($K193-$J193,0)=0,"√","×")))</f>
        <v/>
      </c>
      <c r="M193" s="26">
        <f>IF($B193="","",IF(COUNTIFS(EntryDates,$B193,CalcTime,$C193,CalcBank,$C$5,EntryParty,$D193,EntryDep,$H193,EntryWit,$I193)&gt;1,"تکرار",""))</f>
        <v/>
      </c>
      <c r="N193" s="26">
        <f>IF($P193="","",IF(INDEX(EntryNotes,$P193)=0,"",INDEX(EntryNotes,$P193)))</f>
        <v/>
      </c>
      <c r="O193" s="26">
        <f>IF($P193="","",IF(INDEX(EntryTxnID,$P193)=0,"",INDEX(EntryTxnID,$P193)))</f>
        <v/>
      </c>
      <c r="P193" s="26">
        <f>IFERROR(MATCH($C$5&amp;"|"&amp;RIGHT("000000"&amp;177,6),CalcRankKey,0),"")</f>
        <v/>
      </c>
    </row>
    <row r="194">
      <c r="A194" s="28">
        <f>IF($B194="","",178)</f>
        <v/>
      </c>
      <c r="B194" s="28">
        <f>IF($P194="","",IF(INDEX(CalcNormDate,$P194)=0,"",INDEX(CalcNormDate,$P194)))</f>
        <v/>
      </c>
      <c r="C194" s="28">
        <f>IF($P194="","",IF(INDEX(CalcTime,$P194)=0,"",INDEX(CalcTime,$P194)))</f>
        <v/>
      </c>
      <c r="D194" s="28">
        <f>IF($P194="","",IF(INDEX(EntryParty,$P194)=0,"",INDEX(EntryParty,$P194)))</f>
        <v/>
      </c>
      <c r="E194" s="28">
        <f>IF($P194="","",IF(INDEX(EntryPartyName,$P194)=0,"",INDEX(EntryPartyName,$P194)))</f>
        <v/>
      </c>
      <c r="F194" s="28">
        <f>IF($P194="","",IF(INDEX(EntryPartyType,$P194)=0,"",INDEX(EntryPartyType,$P194)))</f>
        <v/>
      </c>
      <c r="G194" s="28">
        <f>IF($P194="","",IF(INDEX(EntryTxnType,$P194)=0,"",INDEX(EntryTxnType,$P194)))</f>
        <v/>
      </c>
      <c r="H194" s="29">
        <f>IF($P194="","",IF(INDEX(EntryDep,$P194)=0,"",INDEX(EntryDep,$P194)))</f>
        <v/>
      </c>
      <c r="I194" s="29">
        <f>IF($P194="","",IF(INDEX(EntryWit,$P194)=0,"",INDEX(EntryWit,$P194)))</f>
        <v/>
      </c>
      <c r="J194" s="29">
        <f>IF($B194="","",IF($A194=1,$C$7,IF(J193="",0,J193))+IF($H194="",0,$H194)-IF($I194="",0,$I194))</f>
        <v/>
      </c>
      <c r="K194" s="29">
        <f>IF($P194="","",IF(INDEX(EntryMan,$P194)=0,"",INDEX(EntryMan,$P194)))</f>
        <v/>
      </c>
      <c r="L194" s="28">
        <f>IF($B194="","",IF($K194="","—",IF(ROUND($K194-$J194,0)=0,"√","×")))</f>
        <v/>
      </c>
      <c r="M194" s="28">
        <f>IF($B194="","",IF(COUNTIFS(EntryDates,$B194,CalcTime,$C194,CalcBank,$C$5,EntryParty,$D194,EntryDep,$H194,EntryWit,$I194)&gt;1,"تکرار",""))</f>
        <v/>
      </c>
      <c r="N194" s="28">
        <f>IF($P194="","",IF(INDEX(EntryNotes,$P194)=0,"",INDEX(EntryNotes,$P194)))</f>
        <v/>
      </c>
      <c r="O194" s="28">
        <f>IF($P194="","",IF(INDEX(EntryTxnID,$P194)=0,"",INDEX(EntryTxnID,$P194)))</f>
        <v/>
      </c>
      <c r="P194" s="28">
        <f>IFERROR(MATCH($C$5&amp;"|"&amp;RIGHT("000000"&amp;178,6),CalcRankKey,0),"")</f>
        <v/>
      </c>
    </row>
    <row r="195">
      <c r="A195" s="26">
        <f>IF($B195="","",179)</f>
        <v/>
      </c>
      <c r="B195" s="26">
        <f>IF($P195="","",IF(INDEX(CalcNormDate,$P195)=0,"",INDEX(CalcNormDate,$P195)))</f>
        <v/>
      </c>
      <c r="C195" s="26">
        <f>IF($P195="","",IF(INDEX(CalcTime,$P195)=0,"",INDEX(CalcTime,$P195)))</f>
        <v/>
      </c>
      <c r="D195" s="26">
        <f>IF($P195="","",IF(INDEX(EntryParty,$P195)=0,"",INDEX(EntryParty,$P195)))</f>
        <v/>
      </c>
      <c r="E195" s="26">
        <f>IF($P195="","",IF(INDEX(EntryPartyName,$P195)=0,"",INDEX(EntryPartyName,$P195)))</f>
        <v/>
      </c>
      <c r="F195" s="26">
        <f>IF($P195="","",IF(INDEX(EntryPartyType,$P195)=0,"",INDEX(EntryPartyType,$P195)))</f>
        <v/>
      </c>
      <c r="G195" s="26">
        <f>IF($P195="","",IF(INDEX(EntryTxnType,$P195)=0,"",INDEX(EntryTxnType,$P195)))</f>
        <v/>
      </c>
      <c r="H195" s="27">
        <f>IF($P195="","",IF(INDEX(EntryDep,$P195)=0,"",INDEX(EntryDep,$P195)))</f>
        <v/>
      </c>
      <c r="I195" s="27">
        <f>IF($P195="","",IF(INDEX(EntryWit,$P195)=0,"",INDEX(EntryWit,$P195)))</f>
        <v/>
      </c>
      <c r="J195" s="27">
        <f>IF($B195="","",IF($A195=1,$C$7,IF(J194="",0,J194))+IF($H195="",0,$H195)-IF($I195="",0,$I195))</f>
        <v/>
      </c>
      <c r="K195" s="27">
        <f>IF($P195="","",IF(INDEX(EntryMan,$P195)=0,"",INDEX(EntryMan,$P195)))</f>
        <v/>
      </c>
      <c r="L195" s="26">
        <f>IF($B195="","",IF($K195="","—",IF(ROUND($K195-$J195,0)=0,"√","×")))</f>
        <v/>
      </c>
      <c r="M195" s="26">
        <f>IF($B195="","",IF(COUNTIFS(EntryDates,$B195,CalcTime,$C195,CalcBank,$C$5,EntryParty,$D195,EntryDep,$H195,EntryWit,$I195)&gt;1,"تکرار",""))</f>
        <v/>
      </c>
      <c r="N195" s="26">
        <f>IF($P195="","",IF(INDEX(EntryNotes,$P195)=0,"",INDEX(EntryNotes,$P195)))</f>
        <v/>
      </c>
      <c r="O195" s="26">
        <f>IF($P195="","",IF(INDEX(EntryTxnID,$P195)=0,"",INDEX(EntryTxnID,$P195)))</f>
        <v/>
      </c>
      <c r="P195" s="26">
        <f>IFERROR(MATCH($C$5&amp;"|"&amp;RIGHT("000000"&amp;179,6),CalcRankKey,0),"")</f>
        <v/>
      </c>
    </row>
    <row r="196">
      <c r="A196" s="28">
        <f>IF($B196="","",180)</f>
        <v/>
      </c>
      <c r="B196" s="28">
        <f>IF($P196="","",IF(INDEX(CalcNormDate,$P196)=0,"",INDEX(CalcNormDate,$P196)))</f>
        <v/>
      </c>
      <c r="C196" s="28">
        <f>IF($P196="","",IF(INDEX(CalcTime,$P196)=0,"",INDEX(CalcTime,$P196)))</f>
        <v/>
      </c>
      <c r="D196" s="28">
        <f>IF($P196="","",IF(INDEX(EntryParty,$P196)=0,"",INDEX(EntryParty,$P196)))</f>
        <v/>
      </c>
      <c r="E196" s="28">
        <f>IF($P196="","",IF(INDEX(EntryPartyName,$P196)=0,"",INDEX(EntryPartyName,$P196)))</f>
        <v/>
      </c>
      <c r="F196" s="28">
        <f>IF($P196="","",IF(INDEX(EntryPartyType,$P196)=0,"",INDEX(EntryPartyType,$P196)))</f>
        <v/>
      </c>
      <c r="G196" s="28">
        <f>IF($P196="","",IF(INDEX(EntryTxnType,$P196)=0,"",INDEX(EntryTxnType,$P196)))</f>
        <v/>
      </c>
      <c r="H196" s="29">
        <f>IF($P196="","",IF(INDEX(EntryDep,$P196)=0,"",INDEX(EntryDep,$P196)))</f>
        <v/>
      </c>
      <c r="I196" s="29">
        <f>IF($P196="","",IF(INDEX(EntryWit,$P196)=0,"",INDEX(EntryWit,$P196)))</f>
        <v/>
      </c>
      <c r="J196" s="29">
        <f>IF($B196="","",IF($A196=1,$C$7,IF(J195="",0,J195))+IF($H196="",0,$H196)-IF($I196="",0,$I196))</f>
        <v/>
      </c>
      <c r="K196" s="29">
        <f>IF($P196="","",IF(INDEX(EntryMan,$P196)=0,"",INDEX(EntryMan,$P196)))</f>
        <v/>
      </c>
      <c r="L196" s="28">
        <f>IF($B196="","",IF($K196="","—",IF(ROUND($K196-$J196,0)=0,"√","×")))</f>
        <v/>
      </c>
      <c r="M196" s="28">
        <f>IF($B196="","",IF(COUNTIFS(EntryDates,$B196,CalcTime,$C196,CalcBank,$C$5,EntryParty,$D196,EntryDep,$H196,EntryWit,$I196)&gt;1,"تکرار",""))</f>
        <v/>
      </c>
      <c r="N196" s="28">
        <f>IF($P196="","",IF(INDEX(EntryNotes,$P196)=0,"",INDEX(EntryNotes,$P196)))</f>
        <v/>
      </c>
      <c r="O196" s="28">
        <f>IF($P196="","",IF(INDEX(EntryTxnID,$P196)=0,"",INDEX(EntryTxnID,$P196)))</f>
        <v/>
      </c>
      <c r="P196" s="28">
        <f>IFERROR(MATCH($C$5&amp;"|"&amp;RIGHT("000000"&amp;180,6),CalcRankKey,0),"")</f>
        <v/>
      </c>
    </row>
    <row r="197">
      <c r="A197" s="26">
        <f>IF($B197="","",181)</f>
        <v/>
      </c>
      <c r="B197" s="26">
        <f>IF($P197="","",IF(INDEX(CalcNormDate,$P197)=0,"",INDEX(CalcNormDate,$P197)))</f>
        <v/>
      </c>
      <c r="C197" s="26">
        <f>IF($P197="","",IF(INDEX(CalcTime,$P197)=0,"",INDEX(CalcTime,$P197)))</f>
        <v/>
      </c>
      <c r="D197" s="26">
        <f>IF($P197="","",IF(INDEX(EntryParty,$P197)=0,"",INDEX(EntryParty,$P197)))</f>
        <v/>
      </c>
      <c r="E197" s="26">
        <f>IF($P197="","",IF(INDEX(EntryPartyName,$P197)=0,"",INDEX(EntryPartyName,$P197)))</f>
        <v/>
      </c>
      <c r="F197" s="26">
        <f>IF($P197="","",IF(INDEX(EntryPartyType,$P197)=0,"",INDEX(EntryPartyType,$P197)))</f>
        <v/>
      </c>
      <c r="G197" s="26">
        <f>IF($P197="","",IF(INDEX(EntryTxnType,$P197)=0,"",INDEX(EntryTxnType,$P197)))</f>
        <v/>
      </c>
      <c r="H197" s="27">
        <f>IF($P197="","",IF(INDEX(EntryDep,$P197)=0,"",INDEX(EntryDep,$P197)))</f>
        <v/>
      </c>
      <c r="I197" s="27">
        <f>IF($P197="","",IF(INDEX(EntryWit,$P197)=0,"",INDEX(EntryWit,$P197)))</f>
        <v/>
      </c>
      <c r="J197" s="27">
        <f>IF($B197="","",IF($A197=1,$C$7,IF(J196="",0,J196))+IF($H197="",0,$H197)-IF($I197="",0,$I197))</f>
        <v/>
      </c>
      <c r="K197" s="27">
        <f>IF($P197="","",IF(INDEX(EntryMan,$P197)=0,"",INDEX(EntryMan,$P197)))</f>
        <v/>
      </c>
      <c r="L197" s="26">
        <f>IF($B197="","",IF($K197="","—",IF(ROUND($K197-$J197,0)=0,"√","×")))</f>
        <v/>
      </c>
      <c r="M197" s="26">
        <f>IF($B197="","",IF(COUNTIFS(EntryDates,$B197,CalcTime,$C197,CalcBank,$C$5,EntryParty,$D197,EntryDep,$H197,EntryWit,$I197)&gt;1,"تکرار",""))</f>
        <v/>
      </c>
      <c r="N197" s="26">
        <f>IF($P197="","",IF(INDEX(EntryNotes,$P197)=0,"",INDEX(EntryNotes,$P197)))</f>
        <v/>
      </c>
      <c r="O197" s="26">
        <f>IF($P197="","",IF(INDEX(EntryTxnID,$P197)=0,"",INDEX(EntryTxnID,$P197)))</f>
        <v/>
      </c>
      <c r="P197" s="26">
        <f>IFERROR(MATCH($C$5&amp;"|"&amp;RIGHT("000000"&amp;181,6),CalcRankKey,0),"")</f>
        <v/>
      </c>
    </row>
    <row r="198">
      <c r="A198" s="28">
        <f>IF($B198="","",182)</f>
        <v/>
      </c>
      <c r="B198" s="28">
        <f>IF($P198="","",IF(INDEX(CalcNormDate,$P198)=0,"",INDEX(CalcNormDate,$P198)))</f>
        <v/>
      </c>
      <c r="C198" s="28">
        <f>IF($P198="","",IF(INDEX(CalcTime,$P198)=0,"",INDEX(CalcTime,$P198)))</f>
        <v/>
      </c>
      <c r="D198" s="28">
        <f>IF($P198="","",IF(INDEX(EntryParty,$P198)=0,"",INDEX(EntryParty,$P198)))</f>
        <v/>
      </c>
      <c r="E198" s="28">
        <f>IF($P198="","",IF(INDEX(EntryPartyName,$P198)=0,"",INDEX(EntryPartyName,$P198)))</f>
        <v/>
      </c>
      <c r="F198" s="28">
        <f>IF($P198="","",IF(INDEX(EntryPartyType,$P198)=0,"",INDEX(EntryPartyType,$P198)))</f>
        <v/>
      </c>
      <c r="G198" s="28">
        <f>IF($P198="","",IF(INDEX(EntryTxnType,$P198)=0,"",INDEX(EntryTxnType,$P198)))</f>
        <v/>
      </c>
      <c r="H198" s="29">
        <f>IF($P198="","",IF(INDEX(EntryDep,$P198)=0,"",INDEX(EntryDep,$P198)))</f>
        <v/>
      </c>
      <c r="I198" s="29">
        <f>IF($P198="","",IF(INDEX(EntryWit,$P198)=0,"",INDEX(EntryWit,$P198)))</f>
        <v/>
      </c>
      <c r="J198" s="29">
        <f>IF($B198="","",IF($A198=1,$C$7,IF(J197="",0,J197))+IF($H198="",0,$H198)-IF($I198="",0,$I198))</f>
        <v/>
      </c>
      <c r="K198" s="29">
        <f>IF($P198="","",IF(INDEX(EntryMan,$P198)=0,"",INDEX(EntryMan,$P198)))</f>
        <v/>
      </c>
      <c r="L198" s="28">
        <f>IF($B198="","",IF($K198="","—",IF(ROUND($K198-$J198,0)=0,"√","×")))</f>
        <v/>
      </c>
      <c r="M198" s="28">
        <f>IF($B198="","",IF(COUNTIFS(EntryDates,$B198,CalcTime,$C198,CalcBank,$C$5,EntryParty,$D198,EntryDep,$H198,EntryWit,$I198)&gt;1,"تکرار",""))</f>
        <v/>
      </c>
      <c r="N198" s="28">
        <f>IF($P198="","",IF(INDEX(EntryNotes,$P198)=0,"",INDEX(EntryNotes,$P198)))</f>
        <v/>
      </c>
      <c r="O198" s="28">
        <f>IF($P198="","",IF(INDEX(EntryTxnID,$P198)=0,"",INDEX(EntryTxnID,$P198)))</f>
        <v/>
      </c>
      <c r="P198" s="28">
        <f>IFERROR(MATCH($C$5&amp;"|"&amp;RIGHT("000000"&amp;182,6),CalcRankKey,0),"")</f>
        <v/>
      </c>
    </row>
    <row r="199">
      <c r="A199" s="26">
        <f>IF($B199="","",183)</f>
        <v/>
      </c>
      <c r="B199" s="26">
        <f>IF($P199="","",IF(INDEX(CalcNormDate,$P199)=0,"",INDEX(CalcNormDate,$P199)))</f>
        <v/>
      </c>
      <c r="C199" s="26">
        <f>IF($P199="","",IF(INDEX(CalcTime,$P199)=0,"",INDEX(CalcTime,$P199)))</f>
        <v/>
      </c>
      <c r="D199" s="26">
        <f>IF($P199="","",IF(INDEX(EntryParty,$P199)=0,"",INDEX(EntryParty,$P199)))</f>
        <v/>
      </c>
      <c r="E199" s="26">
        <f>IF($P199="","",IF(INDEX(EntryPartyName,$P199)=0,"",INDEX(EntryPartyName,$P199)))</f>
        <v/>
      </c>
      <c r="F199" s="26">
        <f>IF($P199="","",IF(INDEX(EntryPartyType,$P199)=0,"",INDEX(EntryPartyType,$P199)))</f>
        <v/>
      </c>
      <c r="G199" s="26">
        <f>IF($P199="","",IF(INDEX(EntryTxnType,$P199)=0,"",INDEX(EntryTxnType,$P199)))</f>
        <v/>
      </c>
      <c r="H199" s="27">
        <f>IF($P199="","",IF(INDEX(EntryDep,$P199)=0,"",INDEX(EntryDep,$P199)))</f>
        <v/>
      </c>
      <c r="I199" s="27">
        <f>IF($P199="","",IF(INDEX(EntryWit,$P199)=0,"",INDEX(EntryWit,$P199)))</f>
        <v/>
      </c>
      <c r="J199" s="27">
        <f>IF($B199="","",IF($A199=1,$C$7,IF(J198="",0,J198))+IF($H199="",0,$H199)-IF($I199="",0,$I199))</f>
        <v/>
      </c>
      <c r="K199" s="27">
        <f>IF($P199="","",IF(INDEX(EntryMan,$P199)=0,"",INDEX(EntryMan,$P199)))</f>
        <v/>
      </c>
      <c r="L199" s="26">
        <f>IF($B199="","",IF($K199="","—",IF(ROUND($K199-$J199,0)=0,"√","×")))</f>
        <v/>
      </c>
      <c r="M199" s="26">
        <f>IF($B199="","",IF(COUNTIFS(EntryDates,$B199,CalcTime,$C199,CalcBank,$C$5,EntryParty,$D199,EntryDep,$H199,EntryWit,$I199)&gt;1,"تکرار",""))</f>
        <v/>
      </c>
      <c r="N199" s="26">
        <f>IF($P199="","",IF(INDEX(EntryNotes,$P199)=0,"",INDEX(EntryNotes,$P199)))</f>
        <v/>
      </c>
      <c r="O199" s="26">
        <f>IF($P199="","",IF(INDEX(EntryTxnID,$P199)=0,"",INDEX(EntryTxnID,$P199)))</f>
        <v/>
      </c>
      <c r="P199" s="26">
        <f>IFERROR(MATCH($C$5&amp;"|"&amp;RIGHT("000000"&amp;183,6),CalcRankKey,0),"")</f>
        <v/>
      </c>
    </row>
    <row r="200">
      <c r="A200" s="28">
        <f>IF($B200="","",184)</f>
        <v/>
      </c>
      <c r="B200" s="28">
        <f>IF($P200="","",IF(INDEX(CalcNormDate,$P200)=0,"",INDEX(CalcNormDate,$P200)))</f>
        <v/>
      </c>
      <c r="C200" s="28">
        <f>IF($P200="","",IF(INDEX(CalcTime,$P200)=0,"",INDEX(CalcTime,$P200)))</f>
        <v/>
      </c>
      <c r="D200" s="28">
        <f>IF($P200="","",IF(INDEX(EntryParty,$P200)=0,"",INDEX(EntryParty,$P200)))</f>
        <v/>
      </c>
      <c r="E200" s="28">
        <f>IF($P200="","",IF(INDEX(EntryPartyName,$P200)=0,"",INDEX(EntryPartyName,$P200)))</f>
        <v/>
      </c>
      <c r="F200" s="28">
        <f>IF($P200="","",IF(INDEX(EntryPartyType,$P200)=0,"",INDEX(EntryPartyType,$P200)))</f>
        <v/>
      </c>
      <c r="G200" s="28">
        <f>IF($P200="","",IF(INDEX(EntryTxnType,$P200)=0,"",INDEX(EntryTxnType,$P200)))</f>
        <v/>
      </c>
      <c r="H200" s="29">
        <f>IF($P200="","",IF(INDEX(EntryDep,$P200)=0,"",INDEX(EntryDep,$P200)))</f>
        <v/>
      </c>
      <c r="I200" s="29">
        <f>IF($P200="","",IF(INDEX(EntryWit,$P200)=0,"",INDEX(EntryWit,$P200)))</f>
        <v/>
      </c>
      <c r="J200" s="29">
        <f>IF($B200="","",IF($A200=1,$C$7,IF(J199="",0,J199))+IF($H200="",0,$H200)-IF($I200="",0,$I200))</f>
        <v/>
      </c>
      <c r="K200" s="29">
        <f>IF($P200="","",IF(INDEX(EntryMan,$P200)=0,"",INDEX(EntryMan,$P200)))</f>
        <v/>
      </c>
      <c r="L200" s="28">
        <f>IF($B200="","",IF($K200="","—",IF(ROUND($K200-$J200,0)=0,"√","×")))</f>
        <v/>
      </c>
      <c r="M200" s="28">
        <f>IF($B200="","",IF(COUNTIFS(EntryDates,$B200,CalcTime,$C200,CalcBank,$C$5,EntryParty,$D200,EntryDep,$H200,EntryWit,$I200)&gt;1,"تکرار",""))</f>
        <v/>
      </c>
      <c r="N200" s="28">
        <f>IF($P200="","",IF(INDEX(EntryNotes,$P200)=0,"",INDEX(EntryNotes,$P200)))</f>
        <v/>
      </c>
      <c r="O200" s="28">
        <f>IF($P200="","",IF(INDEX(EntryTxnID,$P200)=0,"",INDEX(EntryTxnID,$P200)))</f>
        <v/>
      </c>
      <c r="P200" s="28">
        <f>IFERROR(MATCH($C$5&amp;"|"&amp;RIGHT("000000"&amp;184,6),CalcRankKey,0),"")</f>
        <v/>
      </c>
    </row>
    <row r="201">
      <c r="A201" s="26">
        <f>IF($B201="","",185)</f>
        <v/>
      </c>
      <c r="B201" s="26">
        <f>IF($P201="","",IF(INDEX(CalcNormDate,$P201)=0,"",INDEX(CalcNormDate,$P201)))</f>
        <v/>
      </c>
      <c r="C201" s="26">
        <f>IF($P201="","",IF(INDEX(CalcTime,$P201)=0,"",INDEX(CalcTime,$P201)))</f>
        <v/>
      </c>
      <c r="D201" s="26">
        <f>IF($P201="","",IF(INDEX(EntryParty,$P201)=0,"",INDEX(EntryParty,$P201)))</f>
        <v/>
      </c>
      <c r="E201" s="26">
        <f>IF($P201="","",IF(INDEX(EntryPartyName,$P201)=0,"",INDEX(EntryPartyName,$P201)))</f>
        <v/>
      </c>
      <c r="F201" s="26">
        <f>IF($P201="","",IF(INDEX(EntryPartyType,$P201)=0,"",INDEX(EntryPartyType,$P201)))</f>
        <v/>
      </c>
      <c r="G201" s="26">
        <f>IF($P201="","",IF(INDEX(EntryTxnType,$P201)=0,"",INDEX(EntryTxnType,$P201)))</f>
        <v/>
      </c>
      <c r="H201" s="27">
        <f>IF($P201="","",IF(INDEX(EntryDep,$P201)=0,"",INDEX(EntryDep,$P201)))</f>
        <v/>
      </c>
      <c r="I201" s="27">
        <f>IF($P201="","",IF(INDEX(EntryWit,$P201)=0,"",INDEX(EntryWit,$P201)))</f>
        <v/>
      </c>
      <c r="J201" s="27">
        <f>IF($B201="","",IF($A201=1,$C$7,IF(J200="",0,J200))+IF($H201="",0,$H201)-IF($I201="",0,$I201))</f>
        <v/>
      </c>
      <c r="K201" s="27">
        <f>IF($P201="","",IF(INDEX(EntryMan,$P201)=0,"",INDEX(EntryMan,$P201)))</f>
        <v/>
      </c>
      <c r="L201" s="26">
        <f>IF($B201="","",IF($K201="","—",IF(ROUND($K201-$J201,0)=0,"√","×")))</f>
        <v/>
      </c>
      <c r="M201" s="26">
        <f>IF($B201="","",IF(COUNTIFS(EntryDates,$B201,CalcTime,$C201,CalcBank,$C$5,EntryParty,$D201,EntryDep,$H201,EntryWit,$I201)&gt;1,"تکرار",""))</f>
        <v/>
      </c>
      <c r="N201" s="26">
        <f>IF($P201="","",IF(INDEX(EntryNotes,$P201)=0,"",INDEX(EntryNotes,$P201)))</f>
        <v/>
      </c>
      <c r="O201" s="26">
        <f>IF($P201="","",IF(INDEX(EntryTxnID,$P201)=0,"",INDEX(EntryTxnID,$P201)))</f>
        <v/>
      </c>
      <c r="P201" s="26">
        <f>IFERROR(MATCH($C$5&amp;"|"&amp;RIGHT("000000"&amp;185,6),CalcRankKey,0),"")</f>
        <v/>
      </c>
    </row>
    <row r="202">
      <c r="A202" s="28">
        <f>IF($B202="","",186)</f>
        <v/>
      </c>
      <c r="B202" s="28">
        <f>IF($P202="","",IF(INDEX(CalcNormDate,$P202)=0,"",INDEX(CalcNormDate,$P202)))</f>
        <v/>
      </c>
      <c r="C202" s="28">
        <f>IF($P202="","",IF(INDEX(CalcTime,$P202)=0,"",INDEX(CalcTime,$P202)))</f>
        <v/>
      </c>
      <c r="D202" s="28">
        <f>IF($P202="","",IF(INDEX(EntryParty,$P202)=0,"",INDEX(EntryParty,$P202)))</f>
        <v/>
      </c>
      <c r="E202" s="28">
        <f>IF($P202="","",IF(INDEX(EntryPartyName,$P202)=0,"",INDEX(EntryPartyName,$P202)))</f>
        <v/>
      </c>
      <c r="F202" s="28">
        <f>IF($P202="","",IF(INDEX(EntryPartyType,$P202)=0,"",INDEX(EntryPartyType,$P202)))</f>
        <v/>
      </c>
      <c r="G202" s="28">
        <f>IF($P202="","",IF(INDEX(EntryTxnType,$P202)=0,"",INDEX(EntryTxnType,$P202)))</f>
        <v/>
      </c>
      <c r="H202" s="29">
        <f>IF($P202="","",IF(INDEX(EntryDep,$P202)=0,"",INDEX(EntryDep,$P202)))</f>
        <v/>
      </c>
      <c r="I202" s="29">
        <f>IF($P202="","",IF(INDEX(EntryWit,$P202)=0,"",INDEX(EntryWit,$P202)))</f>
        <v/>
      </c>
      <c r="J202" s="29">
        <f>IF($B202="","",IF($A202=1,$C$7,IF(J201="",0,J201))+IF($H202="",0,$H202)-IF($I202="",0,$I202))</f>
        <v/>
      </c>
      <c r="K202" s="29">
        <f>IF($P202="","",IF(INDEX(EntryMan,$P202)=0,"",INDEX(EntryMan,$P202)))</f>
        <v/>
      </c>
      <c r="L202" s="28">
        <f>IF($B202="","",IF($K202="","—",IF(ROUND($K202-$J202,0)=0,"√","×")))</f>
        <v/>
      </c>
      <c r="M202" s="28">
        <f>IF($B202="","",IF(COUNTIFS(EntryDates,$B202,CalcTime,$C202,CalcBank,$C$5,EntryParty,$D202,EntryDep,$H202,EntryWit,$I202)&gt;1,"تکرار",""))</f>
        <v/>
      </c>
      <c r="N202" s="28">
        <f>IF($P202="","",IF(INDEX(EntryNotes,$P202)=0,"",INDEX(EntryNotes,$P202)))</f>
        <v/>
      </c>
      <c r="O202" s="28">
        <f>IF($P202="","",IF(INDEX(EntryTxnID,$P202)=0,"",INDEX(EntryTxnID,$P202)))</f>
        <v/>
      </c>
      <c r="P202" s="28">
        <f>IFERROR(MATCH($C$5&amp;"|"&amp;RIGHT("000000"&amp;186,6),CalcRankKey,0),"")</f>
        <v/>
      </c>
    </row>
    <row r="203">
      <c r="A203" s="26">
        <f>IF($B203="","",187)</f>
        <v/>
      </c>
      <c r="B203" s="26">
        <f>IF($P203="","",IF(INDEX(CalcNormDate,$P203)=0,"",INDEX(CalcNormDate,$P203)))</f>
        <v/>
      </c>
      <c r="C203" s="26">
        <f>IF($P203="","",IF(INDEX(CalcTime,$P203)=0,"",INDEX(CalcTime,$P203)))</f>
        <v/>
      </c>
      <c r="D203" s="26">
        <f>IF($P203="","",IF(INDEX(EntryParty,$P203)=0,"",INDEX(EntryParty,$P203)))</f>
        <v/>
      </c>
      <c r="E203" s="26">
        <f>IF($P203="","",IF(INDEX(EntryPartyName,$P203)=0,"",INDEX(EntryPartyName,$P203)))</f>
        <v/>
      </c>
      <c r="F203" s="26">
        <f>IF($P203="","",IF(INDEX(EntryPartyType,$P203)=0,"",INDEX(EntryPartyType,$P203)))</f>
        <v/>
      </c>
      <c r="G203" s="26">
        <f>IF($P203="","",IF(INDEX(EntryTxnType,$P203)=0,"",INDEX(EntryTxnType,$P203)))</f>
        <v/>
      </c>
      <c r="H203" s="27">
        <f>IF($P203="","",IF(INDEX(EntryDep,$P203)=0,"",INDEX(EntryDep,$P203)))</f>
        <v/>
      </c>
      <c r="I203" s="27">
        <f>IF($P203="","",IF(INDEX(EntryWit,$P203)=0,"",INDEX(EntryWit,$P203)))</f>
        <v/>
      </c>
      <c r="J203" s="27">
        <f>IF($B203="","",IF($A203=1,$C$7,IF(J202="",0,J202))+IF($H203="",0,$H203)-IF($I203="",0,$I203))</f>
        <v/>
      </c>
      <c r="K203" s="27">
        <f>IF($P203="","",IF(INDEX(EntryMan,$P203)=0,"",INDEX(EntryMan,$P203)))</f>
        <v/>
      </c>
      <c r="L203" s="26">
        <f>IF($B203="","",IF($K203="","—",IF(ROUND($K203-$J203,0)=0,"√","×")))</f>
        <v/>
      </c>
      <c r="M203" s="26">
        <f>IF($B203="","",IF(COUNTIFS(EntryDates,$B203,CalcTime,$C203,CalcBank,$C$5,EntryParty,$D203,EntryDep,$H203,EntryWit,$I203)&gt;1,"تکرار",""))</f>
        <v/>
      </c>
      <c r="N203" s="26">
        <f>IF($P203="","",IF(INDEX(EntryNotes,$P203)=0,"",INDEX(EntryNotes,$P203)))</f>
        <v/>
      </c>
      <c r="O203" s="26">
        <f>IF($P203="","",IF(INDEX(EntryTxnID,$P203)=0,"",INDEX(EntryTxnID,$P203)))</f>
        <v/>
      </c>
      <c r="P203" s="26">
        <f>IFERROR(MATCH($C$5&amp;"|"&amp;RIGHT("000000"&amp;187,6),CalcRankKey,0),"")</f>
        <v/>
      </c>
    </row>
    <row r="204">
      <c r="A204" s="28">
        <f>IF($B204="","",188)</f>
        <v/>
      </c>
      <c r="B204" s="28">
        <f>IF($P204="","",IF(INDEX(CalcNormDate,$P204)=0,"",INDEX(CalcNormDate,$P204)))</f>
        <v/>
      </c>
      <c r="C204" s="28">
        <f>IF($P204="","",IF(INDEX(CalcTime,$P204)=0,"",INDEX(CalcTime,$P204)))</f>
        <v/>
      </c>
      <c r="D204" s="28">
        <f>IF($P204="","",IF(INDEX(EntryParty,$P204)=0,"",INDEX(EntryParty,$P204)))</f>
        <v/>
      </c>
      <c r="E204" s="28">
        <f>IF($P204="","",IF(INDEX(EntryPartyName,$P204)=0,"",INDEX(EntryPartyName,$P204)))</f>
        <v/>
      </c>
      <c r="F204" s="28">
        <f>IF($P204="","",IF(INDEX(EntryPartyType,$P204)=0,"",INDEX(EntryPartyType,$P204)))</f>
        <v/>
      </c>
      <c r="G204" s="28">
        <f>IF($P204="","",IF(INDEX(EntryTxnType,$P204)=0,"",INDEX(EntryTxnType,$P204)))</f>
        <v/>
      </c>
      <c r="H204" s="29">
        <f>IF($P204="","",IF(INDEX(EntryDep,$P204)=0,"",INDEX(EntryDep,$P204)))</f>
        <v/>
      </c>
      <c r="I204" s="29">
        <f>IF($P204="","",IF(INDEX(EntryWit,$P204)=0,"",INDEX(EntryWit,$P204)))</f>
        <v/>
      </c>
      <c r="J204" s="29">
        <f>IF($B204="","",IF($A204=1,$C$7,IF(J203="",0,J203))+IF($H204="",0,$H204)-IF($I204="",0,$I204))</f>
        <v/>
      </c>
      <c r="K204" s="29">
        <f>IF($P204="","",IF(INDEX(EntryMan,$P204)=0,"",INDEX(EntryMan,$P204)))</f>
        <v/>
      </c>
      <c r="L204" s="28">
        <f>IF($B204="","",IF($K204="","—",IF(ROUND($K204-$J204,0)=0,"√","×")))</f>
        <v/>
      </c>
      <c r="M204" s="28">
        <f>IF($B204="","",IF(COUNTIFS(EntryDates,$B204,CalcTime,$C204,CalcBank,$C$5,EntryParty,$D204,EntryDep,$H204,EntryWit,$I204)&gt;1,"تکرار",""))</f>
        <v/>
      </c>
      <c r="N204" s="28">
        <f>IF($P204="","",IF(INDEX(EntryNotes,$P204)=0,"",INDEX(EntryNotes,$P204)))</f>
        <v/>
      </c>
      <c r="O204" s="28">
        <f>IF($P204="","",IF(INDEX(EntryTxnID,$P204)=0,"",INDEX(EntryTxnID,$P204)))</f>
        <v/>
      </c>
      <c r="P204" s="28">
        <f>IFERROR(MATCH($C$5&amp;"|"&amp;RIGHT("000000"&amp;188,6),CalcRankKey,0),"")</f>
        <v/>
      </c>
    </row>
    <row r="205">
      <c r="A205" s="26">
        <f>IF($B205="","",189)</f>
        <v/>
      </c>
      <c r="B205" s="26">
        <f>IF($P205="","",IF(INDEX(CalcNormDate,$P205)=0,"",INDEX(CalcNormDate,$P205)))</f>
        <v/>
      </c>
      <c r="C205" s="26">
        <f>IF($P205="","",IF(INDEX(CalcTime,$P205)=0,"",INDEX(CalcTime,$P205)))</f>
        <v/>
      </c>
      <c r="D205" s="26">
        <f>IF($P205="","",IF(INDEX(EntryParty,$P205)=0,"",INDEX(EntryParty,$P205)))</f>
        <v/>
      </c>
      <c r="E205" s="26">
        <f>IF($P205="","",IF(INDEX(EntryPartyName,$P205)=0,"",INDEX(EntryPartyName,$P205)))</f>
        <v/>
      </c>
      <c r="F205" s="26">
        <f>IF($P205="","",IF(INDEX(EntryPartyType,$P205)=0,"",INDEX(EntryPartyType,$P205)))</f>
        <v/>
      </c>
      <c r="G205" s="26">
        <f>IF($P205="","",IF(INDEX(EntryTxnType,$P205)=0,"",INDEX(EntryTxnType,$P205)))</f>
        <v/>
      </c>
      <c r="H205" s="27">
        <f>IF($P205="","",IF(INDEX(EntryDep,$P205)=0,"",INDEX(EntryDep,$P205)))</f>
        <v/>
      </c>
      <c r="I205" s="27">
        <f>IF($P205="","",IF(INDEX(EntryWit,$P205)=0,"",INDEX(EntryWit,$P205)))</f>
        <v/>
      </c>
      <c r="J205" s="27">
        <f>IF($B205="","",IF($A205=1,$C$7,IF(J204="",0,J204))+IF($H205="",0,$H205)-IF($I205="",0,$I205))</f>
        <v/>
      </c>
      <c r="K205" s="27">
        <f>IF($P205="","",IF(INDEX(EntryMan,$P205)=0,"",INDEX(EntryMan,$P205)))</f>
        <v/>
      </c>
      <c r="L205" s="26">
        <f>IF($B205="","",IF($K205="","—",IF(ROUND($K205-$J205,0)=0,"√","×")))</f>
        <v/>
      </c>
      <c r="M205" s="26">
        <f>IF($B205="","",IF(COUNTIFS(EntryDates,$B205,CalcTime,$C205,CalcBank,$C$5,EntryParty,$D205,EntryDep,$H205,EntryWit,$I205)&gt;1,"تکرار",""))</f>
        <v/>
      </c>
      <c r="N205" s="26">
        <f>IF($P205="","",IF(INDEX(EntryNotes,$P205)=0,"",INDEX(EntryNotes,$P205)))</f>
        <v/>
      </c>
      <c r="O205" s="26">
        <f>IF($P205="","",IF(INDEX(EntryTxnID,$P205)=0,"",INDEX(EntryTxnID,$P205)))</f>
        <v/>
      </c>
      <c r="P205" s="26">
        <f>IFERROR(MATCH($C$5&amp;"|"&amp;RIGHT("000000"&amp;189,6),CalcRankKey,0),"")</f>
        <v/>
      </c>
    </row>
    <row r="206">
      <c r="A206" s="28">
        <f>IF($B206="","",190)</f>
        <v/>
      </c>
      <c r="B206" s="28">
        <f>IF($P206="","",IF(INDEX(CalcNormDate,$P206)=0,"",INDEX(CalcNormDate,$P206)))</f>
        <v/>
      </c>
      <c r="C206" s="28">
        <f>IF($P206="","",IF(INDEX(CalcTime,$P206)=0,"",INDEX(CalcTime,$P206)))</f>
        <v/>
      </c>
      <c r="D206" s="28">
        <f>IF($P206="","",IF(INDEX(EntryParty,$P206)=0,"",INDEX(EntryParty,$P206)))</f>
        <v/>
      </c>
      <c r="E206" s="28">
        <f>IF($P206="","",IF(INDEX(EntryPartyName,$P206)=0,"",INDEX(EntryPartyName,$P206)))</f>
        <v/>
      </c>
      <c r="F206" s="28">
        <f>IF($P206="","",IF(INDEX(EntryPartyType,$P206)=0,"",INDEX(EntryPartyType,$P206)))</f>
        <v/>
      </c>
      <c r="G206" s="28">
        <f>IF($P206="","",IF(INDEX(EntryTxnType,$P206)=0,"",INDEX(EntryTxnType,$P206)))</f>
        <v/>
      </c>
      <c r="H206" s="29">
        <f>IF($P206="","",IF(INDEX(EntryDep,$P206)=0,"",INDEX(EntryDep,$P206)))</f>
        <v/>
      </c>
      <c r="I206" s="29">
        <f>IF($P206="","",IF(INDEX(EntryWit,$P206)=0,"",INDEX(EntryWit,$P206)))</f>
        <v/>
      </c>
      <c r="J206" s="29">
        <f>IF($B206="","",IF($A206=1,$C$7,IF(J205="",0,J205))+IF($H206="",0,$H206)-IF($I206="",0,$I206))</f>
        <v/>
      </c>
      <c r="K206" s="29">
        <f>IF($P206="","",IF(INDEX(EntryMan,$P206)=0,"",INDEX(EntryMan,$P206)))</f>
        <v/>
      </c>
      <c r="L206" s="28">
        <f>IF($B206="","",IF($K206="","—",IF(ROUND($K206-$J206,0)=0,"√","×")))</f>
        <v/>
      </c>
      <c r="M206" s="28">
        <f>IF($B206="","",IF(COUNTIFS(EntryDates,$B206,CalcTime,$C206,CalcBank,$C$5,EntryParty,$D206,EntryDep,$H206,EntryWit,$I206)&gt;1,"تکرار",""))</f>
        <v/>
      </c>
      <c r="N206" s="28">
        <f>IF($P206="","",IF(INDEX(EntryNotes,$P206)=0,"",INDEX(EntryNotes,$P206)))</f>
        <v/>
      </c>
      <c r="O206" s="28">
        <f>IF($P206="","",IF(INDEX(EntryTxnID,$P206)=0,"",INDEX(EntryTxnID,$P206)))</f>
        <v/>
      </c>
      <c r="P206" s="28">
        <f>IFERROR(MATCH($C$5&amp;"|"&amp;RIGHT("000000"&amp;190,6),CalcRankKey,0),"")</f>
        <v/>
      </c>
    </row>
    <row r="207">
      <c r="A207" s="26">
        <f>IF($B207="","",191)</f>
        <v/>
      </c>
      <c r="B207" s="26">
        <f>IF($P207="","",IF(INDEX(CalcNormDate,$P207)=0,"",INDEX(CalcNormDate,$P207)))</f>
        <v/>
      </c>
      <c r="C207" s="26">
        <f>IF($P207="","",IF(INDEX(CalcTime,$P207)=0,"",INDEX(CalcTime,$P207)))</f>
        <v/>
      </c>
      <c r="D207" s="26">
        <f>IF($P207="","",IF(INDEX(EntryParty,$P207)=0,"",INDEX(EntryParty,$P207)))</f>
        <v/>
      </c>
      <c r="E207" s="26">
        <f>IF($P207="","",IF(INDEX(EntryPartyName,$P207)=0,"",INDEX(EntryPartyName,$P207)))</f>
        <v/>
      </c>
      <c r="F207" s="26">
        <f>IF($P207="","",IF(INDEX(EntryPartyType,$P207)=0,"",INDEX(EntryPartyType,$P207)))</f>
        <v/>
      </c>
      <c r="G207" s="26">
        <f>IF($P207="","",IF(INDEX(EntryTxnType,$P207)=0,"",INDEX(EntryTxnType,$P207)))</f>
        <v/>
      </c>
      <c r="H207" s="27">
        <f>IF($P207="","",IF(INDEX(EntryDep,$P207)=0,"",INDEX(EntryDep,$P207)))</f>
        <v/>
      </c>
      <c r="I207" s="27">
        <f>IF($P207="","",IF(INDEX(EntryWit,$P207)=0,"",INDEX(EntryWit,$P207)))</f>
        <v/>
      </c>
      <c r="J207" s="27">
        <f>IF($B207="","",IF($A207=1,$C$7,IF(J206="",0,J206))+IF($H207="",0,$H207)-IF($I207="",0,$I207))</f>
        <v/>
      </c>
      <c r="K207" s="27">
        <f>IF($P207="","",IF(INDEX(EntryMan,$P207)=0,"",INDEX(EntryMan,$P207)))</f>
        <v/>
      </c>
      <c r="L207" s="26">
        <f>IF($B207="","",IF($K207="","—",IF(ROUND($K207-$J207,0)=0,"√","×")))</f>
        <v/>
      </c>
      <c r="M207" s="26">
        <f>IF($B207="","",IF(COUNTIFS(EntryDates,$B207,CalcTime,$C207,CalcBank,$C$5,EntryParty,$D207,EntryDep,$H207,EntryWit,$I207)&gt;1,"تکرار",""))</f>
        <v/>
      </c>
      <c r="N207" s="26">
        <f>IF($P207="","",IF(INDEX(EntryNotes,$P207)=0,"",INDEX(EntryNotes,$P207)))</f>
        <v/>
      </c>
      <c r="O207" s="26">
        <f>IF($P207="","",IF(INDEX(EntryTxnID,$P207)=0,"",INDEX(EntryTxnID,$P207)))</f>
        <v/>
      </c>
      <c r="P207" s="26">
        <f>IFERROR(MATCH($C$5&amp;"|"&amp;RIGHT("000000"&amp;191,6),CalcRankKey,0),"")</f>
        <v/>
      </c>
    </row>
    <row r="208">
      <c r="A208" s="28">
        <f>IF($B208="","",192)</f>
        <v/>
      </c>
      <c r="B208" s="28">
        <f>IF($P208="","",IF(INDEX(CalcNormDate,$P208)=0,"",INDEX(CalcNormDate,$P208)))</f>
        <v/>
      </c>
      <c r="C208" s="28">
        <f>IF($P208="","",IF(INDEX(CalcTime,$P208)=0,"",INDEX(CalcTime,$P208)))</f>
        <v/>
      </c>
      <c r="D208" s="28">
        <f>IF($P208="","",IF(INDEX(EntryParty,$P208)=0,"",INDEX(EntryParty,$P208)))</f>
        <v/>
      </c>
      <c r="E208" s="28">
        <f>IF($P208="","",IF(INDEX(EntryPartyName,$P208)=0,"",INDEX(EntryPartyName,$P208)))</f>
        <v/>
      </c>
      <c r="F208" s="28">
        <f>IF($P208="","",IF(INDEX(EntryPartyType,$P208)=0,"",INDEX(EntryPartyType,$P208)))</f>
        <v/>
      </c>
      <c r="G208" s="28">
        <f>IF($P208="","",IF(INDEX(EntryTxnType,$P208)=0,"",INDEX(EntryTxnType,$P208)))</f>
        <v/>
      </c>
      <c r="H208" s="29">
        <f>IF($P208="","",IF(INDEX(EntryDep,$P208)=0,"",INDEX(EntryDep,$P208)))</f>
        <v/>
      </c>
      <c r="I208" s="29">
        <f>IF($P208="","",IF(INDEX(EntryWit,$P208)=0,"",INDEX(EntryWit,$P208)))</f>
        <v/>
      </c>
      <c r="J208" s="29">
        <f>IF($B208="","",IF($A208=1,$C$7,IF(J207="",0,J207))+IF($H208="",0,$H208)-IF($I208="",0,$I208))</f>
        <v/>
      </c>
      <c r="K208" s="29">
        <f>IF($P208="","",IF(INDEX(EntryMan,$P208)=0,"",INDEX(EntryMan,$P208)))</f>
        <v/>
      </c>
      <c r="L208" s="28">
        <f>IF($B208="","",IF($K208="","—",IF(ROUND($K208-$J208,0)=0,"√","×")))</f>
        <v/>
      </c>
      <c r="M208" s="28">
        <f>IF($B208="","",IF(COUNTIFS(EntryDates,$B208,CalcTime,$C208,CalcBank,$C$5,EntryParty,$D208,EntryDep,$H208,EntryWit,$I208)&gt;1,"تکرار",""))</f>
        <v/>
      </c>
      <c r="N208" s="28">
        <f>IF($P208="","",IF(INDEX(EntryNotes,$P208)=0,"",INDEX(EntryNotes,$P208)))</f>
        <v/>
      </c>
      <c r="O208" s="28">
        <f>IF($P208="","",IF(INDEX(EntryTxnID,$P208)=0,"",INDEX(EntryTxnID,$P208)))</f>
        <v/>
      </c>
      <c r="P208" s="28">
        <f>IFERROR(MATCH($C$5&amp;"|"&amp;RIGHT("000000"&amp;192,6),CalcRankKey,0),"")</f>
        <v/>
      </c>
    </row>
    <row r="209">
      <c r="A209" s="26">
        <f>IF($B209="","",193)</f>
        <v/>
      </c>
      <c r="B209" s="26">
        <f>IF($P209="","",IF(INDEX(CalcNormDate,$P209)=0,"",INDEX(CalcNormDate,$P209)))</f>
        <v/>
      </c>
      <c r="C209" s="26">
        <f>IF($P209="","",IF(INDEX(CalcTime,$P209)=0,"",INDEX(CalcTime,$P209)))</f>
        <v/>
      </c>
      <c r="D209" s="26">
        <f>IF($P209="","",IF(INDEX(EntryParty,$P209)=0,"",INDEX(EntryParty,$P209)))</f>
        <v/>
      </c>
      <c r="E209" s="26">
        <f>IF($P209="","",IF(INDEX(EntryPartyName,$P209)=0,"",INDEX(EntryPartyName,$P209)))</f>
        <v/>
      </c>
      <c r="F209" s="26">
        <f>IF($P209="","",IF(INDEX(EntryPartyType,$P209)=0,"",INDEX(EntryPartyType,$P209)))</f>
        <v/>
      </c>
      <c r="G209" s="26">
        <f>IF($P209="","",IF(INDEX(EntryTxnType,$P209)=0,"",INDEX(EntryTxnType,$P209)))</f>
        <v/>
      </c>
      <c r="H209" s="27">
        <f>IF($P209="","",IF(INDEX(EntryDep,$P209)=0,"",INDEX(EntryDep,$P209)))</f>
        <v/>
      </c>
      <c r="I209" s="27">
        <f>IF($P209="","",IF(INDEX(EntryWit,$P209)=0,"",INDEX(EntryWit,$P209)))</f>
        <v/>
      </c>
      <c r="J209" s="27">
        <f>IF($B209="","",IF($A209=1,$C$7,IF(J208="",0,J208))+IF($H209="",0,$H209)-IF($I209="",0,$I209))</f>
        <v/>
      </c>
      <c r="K209" s="27">
        <f>IF($P209="","",IF(INDEX(EntryMan,$P209)=0,"",INDEX(EntryMan,$P209)))</f>
        <v/>
      </c>
      <c r="L209" s="26">
        <f>IF($B209="","",IF($K209="","—",IF(ROUND($K209-$J209,0)=0,"√","×")))</f>
        <v/>
      </c>
      <c r="M209" s="26">
        <f>IF($B209="","",IF(COUNTIFS(EntryDates,$B209,CalcTime,$C209,CalcBank,$C$5,EntryParty,$D209,EntryDep,$H209,EntryWit,$I209)&gt;1,"تکرار",""))</f>
        <v/>
      </c>
      <c r="N209" s="26">
        <f>IF($P209="","",IF(INDEX(EntryNotes,$P209)=0,"",INDEX(EntryNotes,$P209)))</f>
        <v/>
      </c>
      <c r="O209" s="26">
        <f>IF($P209="","",IF(INDEX(EntryTxnID,$P209)=0,"",INDEX(EntryTxnID,$P209)))</f>
        <v/>
      </c>
      <c r="P209" s="26">
        <f>IFERROR(MATCH($C$5&amp;"|"&amp;RIGHT("000000"&amp;193,6),CalcRankKey,0),"")</f>
        <v/>
      </c>
    </row>
    <row r="210">
      <c r="A210" s="28">
        <f>IF($B210="","",194)</f>
        <v/>
      </c>
      <c r="B210" s="28">
        <f>IF($P210="","",IF(INDEX(CalcNormDate,$P210)=0,"",INDEX(CalcNormDate,$P210)))</f>
        <v/>
      </c>
      <c r="C210" s="28">
        <f>IF($P210="","",IF(INDEX(CalcTime,$P210)=0,"",INDEX(CalcTime,$P210)))</f>
        <v/>
      </c>
      <c r="D210" s="28">
        <f>IF($P210="","",IF(INDEX(EntryParty,$P210)=0,"",INDEX(EntryParty,$P210)))</f>
        <v/>
      </c>
      <c r="E210" s="28">
        <f>IF($P210="","",IF(INDEX(EntryPartyName,$P210)=0,"",INDEX(EntryPartyName,$P210)))</f>
        <v/>
      </c>
      <c r="F210" s="28">
        <f>IF($P210="","",IF(INDEX(EntryPartyType,$P210)=0,"",INDEX(EntryPartyType,$P210)))</f>
        <v/>
      </c>
      <c r="G210" s="28">
        <f>IF($P210="","",IF(INDEX(EntryTxnType,$P210)=0,"",INDEX(EntryTxnType,$P210)))</f>
        <v/>
      </c>
      <c r="H210" s="29">
        <f>IF($P210="","",IF(INDEX(EntryDep,$P210)=0,"",INDEX(EntryDep,$P210)))</f>
        <v/>
      </c>
      <c r="I210" s="29">
        <f>IF($P210="","",IF(INDEX(EntryWit,$P210)=0,"",INDEX(EntryWit,$P210)))</f>
        <v/>
      </c>
      <c r="J210" s="29">
        <f>IF($B210="","",IF($A210=1,$C$7,IF(J209="",0,J209))+IF($H210="",0,$H210)-IF($I210="",0,$I210))</f>
        <v/>
      </c>
      <c r="K210" s="29">
        <f>IF($P210="","",IF(INDEX(EntryMan,$P210)=0,"",INDEX(EntryMan,$P210)))</f>
        <v/>
      </c>
      <c r="L210" s="28">
        <f>IF($B210="","",IF($K210="","—",IF(ROUND($K210-$J210,0)=0,"√","×")))</f>
        <v/>
      </c>
      <c r="M210" s="28">
        <f>IF($B210="","",IF(COUNTIFS(EntryDates,$B210,CalcTime,$C210,CalcBank,$C$5,EntryParty,$D210,EntryDep,$H210,EntryWit,$I210)&gt;1,"تکرار",""))</f>
        <v/>
      </c>
      <c r="N210" s="28">
        <f>IF($P210="","",IF(INDEX(EntryNotes,$P210)=0,"",INDEX(EntryNotes,$P210)))</f>
        <v/>
      </c>
      <c r="O210" s="28">
        <f>IF($P210="","",IF(INDEX(EntryTxnID,$P210)=0,"",INDEX(EntryTxnID,$P210)))</f>
        <v/>
      </c>
      <c r="P210" s="28">
        <f>IFERROR(MATCH($C$5&amp;"|"&amp;RIGHT("000000"&amp;194,6),CalcRankKey,0),"")</f>
        <v/>
      </c>
    </row>
    <row r="211">
      <c r="A211" s="26">
        <f>IF($B211="","",195)</f>
        <v/>
      </c>
      <c r="B211" s="26">
        <f>IF($P211="","",IF(INDEX(CalcNormDate,$P211)=0,"",INDEX(CalcNormDate,$P211)))</f>
        <v/>
      </c>
      <c r="C211" s="26">
        <f>IF($P211="","",IF(INDEX(CalcTime,$P211)=0,"",INDEX(CalcTime,$P211)))</f>
        <v/>
      </c>
      <c r="D211" s="26">
        <f>IF($P211="","",IF(INDEX(EntryParty,$P211)=0,"",INDEX(EntryParty,$P211)))</f>
        <v/>
      </c>
      <c r="E211" s="26">
        <f>IF($P211="","",IF(INDEX(EntryPartyName,$P211)=0,"",INDEX(EntryPartyName,$P211)))</f>
        <v/>
      </c>
      <c r="F211" s="26">
        <f>IF($P211="","",IF(INDEX(EntryPartyType,$P211)=0,"",INDEX(EntryPartyType,$P211)))</f>
        <v/>
      </c>
      <c r="G211" s="26">
        <f>IF($P211="","",IF(INDEX(EntryTxnType,$P211)=0,"",INDEX(EntryTxnType,$P211)))</f>
        <v/>
      </c>
      <c r="H211" s="27">
        <f>IF($P211="","",IF(INDEX(EntryDep,$P211)=0,"",INDEX(EntryDep,$P211)))</f>
        <v/>
      </c>
      <c r="I211" s="27">
        <f>IF($P211="","",IF(INDEX(EntryWit,$P211)=0,"",INDEX(EntryWit,$P211)))</f>
        <v/>
      </c>
      <c r="J211" s="27">
        <f>IF($B211="","",IF($A211=1,$C$7,IF(J210="",0,J210))+IF($H211="",0,$H211)-IF($I211="",0,$I211))</f>
        <v/>
      </c>
      <c r="K211" s="27">
        <f>IF($P211="","",IF(INDEX(EntryMan,$P211)=0,"",INDEX(EntryMan,$P211)))</f>
        <v/>
      </c>
      <c r="L211" s="26">
        <f>IF($B211="","",IF($K211="","—",IF(ROUND($K211-$J211,0)=0,"√","×")))</f>
        <v/>
      </c>
      <c r="M211" s="26">
        <f>IF($B211="","",IF(COUNTIFS(EntryDates,$B211,CalcTime,$C211,CalcBank,$C$5,EntryParty,$D211,EntryDep,$H211,EntryWit,$I211)&gt;1,"تکرار",""))</f>
        <v/>
      </c>
      <c r="N211" s="26">
        <f>IF($P211="","",IF(INDEX(EntryNotes,$P211)=0,"",INDEX(EntryNotes,$P211)))</f>
        <v/>
      </c>
      <c r="O211" s="26">
        <f>IF($P211="","",IF(INDEX(EntryTxnID,$P211)=0,"",INDEX(EntryTxnID,$P211)))</f>
        <v/>
      </c>
      <c r="P211" s="26">
        <f>IFERROR(MATCH($C$5&amp;"|"&amp;RIGHT("000000"&amp;195,6),CalcRankKey,0),"")</f>
        <v/>
      </c>
    </row>
    <row r="212">
      <c r="A212" s="28">
        <f>IF($B212="","",196)</f>
        <v/>
      </c>
      <c r="B212" s="28">
        <f>IF($P212="","",IF(INDEX(CalcNormDate,$P212)=0,"",INDEX(CalcNormDate,$P212)))</f>
        <v/>
      </c>
      <c r="C212" s="28">
        <f>IF($P212="","",IF(INDEX(CalcTime,$P212)=0,"",INDEX(CalcTime,$P212)))</f>
        <v/>
      </c>
      <c r="D212" s="28">
        <f>IF($P212="","",IF(INDEX(EntryParty,$P212)=0,"",INDEX(EntryParty,$P212)))</f>
        <v/>
      </c>
      <c r="E212" s="28">
        <f>IF($P212="","",IF(INDEX(EntryPartyName,$P212)=0,"",INDEX(EntryPartyName,$P212)))</f>
        <v/>
      </c>
      <c r="F212" s="28">
        <f>IF($P212="","",IF(INDEX(EntryPartyType,$P212)=0,"",INDEX(EntryPartyType,$P212)))</f>
        <v/>
      </c>
      <c r="G212" s="28">
        <f>IF($P212="","",IF(INDEX(EntryTxnType,$P212)=0,"",INDEX(EntryTxnType,$P212)))</f>
        <v/>
      </c>
      <c r="H212" s="29">
        <f>IF($P212="","",IF(INDEX(EntryDep,$P212)=0,"",INDEX(EntryDep,$P212)))</f>
        <v/>
      </c>
      <c r="I212" s="29">
        <f>IF($P212="","",IF(INDEX(EntryWit,$P212)=0,"",INDEX(EntryWit,$P212)))</f>
        <v/>
      </c>
      <c r="J212" s="29">
        <f>IF($B212="","",IF($A212=1,$C$7,IF(J211="",0,J211))+IF($H212="",0,$H212)-IF($I212="",0,$I212))</f>
        <v/>
      </c>
      <c r="K212" s="29">
        <f>IF($P212="","",IF(INDEX(EntryMan,$P212)=0,"",INDEX(EntryMan,$P212)))</f>
        <v/>
      </c>
      <c r="L212" s="28">
        <f>IF($B212="","",IF($K212="","—",IF(ROUND($K212-$J212,0)=0,"√","×")))</f>
        <v/>
      </c>
      <c r="M212" s="28">
        <f>IF($B212="","",IF(COUNTIFS(EntryDates,$B212,CalcTime,$C212,CalcBank,$C$5,EntryParty,$D212,EntryDep,$H212,EntryWit,$I212)&gt;1,"تکرار",""))</f>
        <v/>
      </c>
      <c r="N212" s="28">
        <f>IF($P212="","",IF(INDEX(EntryNotes,$P212)=0,"",INDEX(EntryNotes,$P212)))</f>
        <v/>
      </c>
      <c r="O212" s="28">
        <f>IF($P212="","",IF(INDEX(EntryTxnID,$P212)=0,"",INDEX(EntryTxnID,$P212)))</f>
        <v/>
      </c>
      <c r="P212" s="28">
        <f>IFERROR(MATCH($C$5&amp;"|"&amp;RIGHT("000000"&amp;196,6),CalcRankKey,0),"")</f>
        <v/>
      </c>
    </row>
    <row r="213">
      <c r="A213" s="26">
        <f>IF($B213="","",197)</f>
        <v/>
      </c>
      <c r="B213" s="26">
        <f>IF($P213="","",IF(INDEX(CalcNormDate,$P213)=0,"",INDEX(CalcNormDate,$P213)))</f>
        <v/>
      </c>
      <c r="C213" s="26">
        <f>IF($P213="","",IF(INDEX(CalcTime,$P213)=0,"",INDEX(CalcTime,$P213)))</f>
        <v/>
      </c>
      <c r="D213" s="26">
        <f>IF($P213="","",IF(INDEX(EntryParty,$P213)=0,"",INDEX(EntryParty,$P213)))</f>
        <v/>
      </c>
      <c r="E213" s="26">
        <f>IF($P213="","",IF(INDEX(EntryPartyName,$P213)=0,"",INDEX(EntryPartyName,$P213)))</f>
        <v/>
      </c>
      <c r="F213" s="26">
        <f>IF($P213="","",IF(INDEX(EntryPartyType,$P213)=0,"",INDEX(EntryPartyType,$P213)))</f>
        <v/>
      </c>
      <c r="G213" s="26">
        <f>IF($P213="","",IF(INDEX(EntryTxnType,$P213)=0,"",INDEX(EntryTxnType,$P213)))</f>
        <v/>
      </c>
      <c r="H213" s="27">
        <f>IF($P213="","",IF(INDEX(EntryDep,$P213)=0,"",INDEX(EntryDep,$P213)))</f>
        <v/>
      </c>
      <c r="I213" s="27">
        <f>IF($P213="","",IF(INDEX(EntryWit,$P213)=0,"",INDEX(EntryWit,$P213)))</f>
        <v/>
      </c>
      <c r="J213" s="27">
        <f>IF($B213="","",IF($A213=1,$C$7,IF(J212="",0,J212))+IF($H213="",0,$H213)-IF($I213="",0,$I213))</f>
        <v/>
      </c>
      <c r="K213" s="27">
        <f>IF($P213="","",IF(INDEX(EntryMan,$P213)=0,"",INDEX(EntryMan,$P213)))</f>
        <v/>
      </c>
      <c r="L213" s="26">
        <f>IF($B213="","",IF($K213="","—",IF(ROUND($K213-$J213,0)=0,"√","×")))</f>
        <v/>
      </c>
      <c r="M213" s="26">
        <f>IF($B213="","",IF(COUNTIFS(EntryDates,$B213,CalcTime,$C213,CalcBank,$C$5,EntryParty,$D213,EntryDep,$H213,EntryWit,$I213)&gt;1,"تکرار",""))</f>
        <v/>
      </c>
      <c r="N213" s="26">
        <f>IF($P213="","",IF(INDEX(EntryNotes,$P213)=0,"",INDEX(EntryNotes,$P213)))</f>
        <v/>
      </c>
      <c r="O213" s="26">
        <f>IF($P213="","",IF(INDEX(EntryTxnID,$P213)=0,"",INDEX(EntryTxnID,$P213)))</f>
        <v/>
      </c>
      <c r="P213" s="26">
        <f>IFERROR(MATCH($C$5&amp;"|"&amp;RIGHT("000000"&amp;197,6),CalcRankKey,0),"")</f>
        <v/>
      </c>
    </row>
    <row r="214">
      <c r="A214" s="28">
        <f>IF($B214="","",198)</f>
        <v/>
      </c>
      <c r="B214" s="28">
        <f>IF($P214="","",IF(INDEX(CalcNormDate,$P214)=0,"",INDEX(CalcNormDate,$P214)))</f>
        <v/>
      </c>
      <c r="C214" s="28">
        <f>IF($P214="","",IF(INDEX(CalcTime,$P214)=0,"",INDEX(CalcTime,$P214)))</f>
        <v/>
      </c>
      <c r="D214" s="28">
        <f>IF($P214="","",IF(INDEX(EntryParty,$P214)=0,"",INDEX(EntryParty,$P214)))</f>
        <v/>
      </c>
      <c r="E214" s="28">
        <f>IF($P214="","",IF(INDEX(EntryPartyName,$P214)=0,"",INDEX(EntryPartyName,$P214)))</f>
        <v/>
      </c>
      <c r="F214" s="28">
        <f>IF($P214="","",IF(INDEX(EntryPartyType,$P214)=0,"",INDEX(EntryPartyType,$P214)))</f>
        <v/>
      </c>
      <c r="G214" s="28">
        <f>IF($P214="","",IF(INDEX(EntryTxnType,$P214)=0,"",INDEX(EntryTxnType,$P214)))</f>
        <v/>
      </c>
      <c r="H214" s="29">
        <f>IF($P214="","",IF(INDEX(EntryDep,$P214)=0,"",INDEX(EntryDep,$P214)))</f>
        <v/>
      </c>
      <c r="I214" s="29">
        <f>IF($P214="","",IF(INDEX(EntryWit,$P214)=0,"",INDEX(EntryWit,$P214)))</f>
        <v/>
      </c>
      <c r="J214" s="29">
        <f>IF($B214="","",IF($A214=1,$C$7,IF(J213="",0,J213))+IF($H214="",0,$H214)-IF($I214="",0,$I214))</f>
        <v/>
      </c>
      <c r="K214" s="29">
        <f>IF($P214="","",IF(INDEX(EntryMan,$P214)=0,"",INDEX(EntryMan,$P214)))</f>
        <v/>
      </c>
      <c r="L214" s="28">
        <f>IF($B214="","",IF($K214="","—",IF(ROUND($K214-$J214,0)=0,"√","×")))</f>
        <v/>
      </c>
      <c r="M214" s="28">
        <f>IF($B214="","",IF(COUNTIFS(EntryDates,$B214,CalcTime,$C214,CalcBank,$C$5,EntryParty,$D214,EntryDep,$H214,EntryWit,$I214)&gt;1,"تکرار",""))</f>
        <v/>
      </c>
      <c r="N214" s="28">
        <f>IF($P214="","",IF(INDEX(EntryNotes,$P214)=0,"",INDEX(EntryNotes,$P214)))</f>
        <v/>
      </c>
      <c r="O214" s="28">
        <f>IF($P214="","",IF(INDEX(EntryTxnID,$P214)=0,"",INDEX(EntryTxnID,$P214)))</f>
        <v/>
      </c>
      <c r="P214" s="28">
        <f>IFERROR(MATCH($C$5&amp;"|"&amp;RIGHT("000000"&amp;198,6),CalcRankKey,0),"")</f>
        <v/>
      </c>
    </row>
    <row r="215">
      <c r="A215" s="26">
        <f>IF($B215="","",199)</f>
        <v/>
      </c>
      <c r="B215" s="26">
        <f>IF($P215="","",IF(INDEX(CalcNormDate,$P215)=0,"",INDEX(CalcNormDate,$P215)))</f>
        <v/>
      </c>
      <c r="C215" s="26">
        <f>IF($P215="","",IF(INDEX(CalcTime,$P215)=0,"",INDEX(CalcTime,$P215)))</f>
        <v/>
      </c>
      <c r="D215" s="26">
        <f>IF($P215="","",IF(INDEX(EntryParty,$P215)=0,"",INDEX(EntryParty,$P215)))</f>
        <v/>
      </c>
      <c r="E215" s="26">
        <f>IF($P215="","",IF(INDEX(EntryPartyName,$P215)=0,"",INDEX(EntryPartyName,$P215)))</f>
        <v/>
      </c>
      <c r="F215" s="26">
        <f>IF($P215="","",IF(INDEX(EntryPartyType,$P215)=0,"",INDEX(EntryPartyType,$P215)))</f>
        <v/>
      </c>
      <c r="G215" s="26">
        <f>IF($P215="","",IF(INDEX(EntryTxnType,$P215)=0,"",INDEX(EntryTxnType,$P215)))</f>
        <v/>
      </c>
      <c r="H215" s="27">
        <f>IF($P215="","",IF(INDEX(EntryDep,$P215)=0,"",INDEX(EntryDep,$P215)))</f>
        <v/>
      </c>
      <c r="I215" s="27">
        <f>IF($P215="","",IF(INDEX(EntryWit,$P215)=0,"",INDEX(EntryWit,$P215)))</f>
        <v/>
      </c>
      <c r="J215" s="27">
        <f>IF($B215="","",IF($A215=1,$C$7,IF(J214="",0,J214))+IF($H215="",0,$H215)-IF($I215="",0,$I215))</f>
        <v/>
      </c>
      <c r="K215" s="27">
        <f>IF($P215="","",IF(INDEX(EntryMan,$P215)=0,"",INDEX(EntryMan,$P215)))</f>
        <v/>
      </c>
      <c r="L215" s="26">
        <f>IF($B215="","",IF($K215="","—",IF(ROUND($K215-$J215,0)=0,"√","×")))</f>
        <v/>
      </c>
      <c r="M215" s="26">
        <f>IF($B215="","",IF(COUNTIFS(EntryDates,$B215,CalcTime,$C215,CalcBank,$C$5,EntryParty,$D215,EntryDep,$H215,EntryWit,$I215)&gt;1,"تکرار",""))</f>
        <v/>
      </c>
      <c r="N215" s="26">
        <f>IF($P215="","",IF(INDEX(EntryNotes,$P215)=0,"",INDEX(EntryNotes,$P215)))</f>
        <v/>
      </c>
      <c r="O215" s="26">
        <f>IF($P215="","",IF(INDEX(EntryTxnID,$P215)=0,"",INDEX(EntryTxnID,$P215)))</f>
        <v/>
      </c>
      <c r="P215" s="26">
        <f>IFERROR(MATCH($C$5&amp;"|"&amp;RIGHT("000000"&amp;199,6),CalcRankKey,0),"")</f>
        <v/>
      </c>
    </row>
    <row r="216">
      <c r="A216" s="28">
        <f>IF($B216="","",200)</f>
        <v/>
      </c>
      <c r="B216" s="28">
        <f>IF($P216="","",IF(INDEX(CalcNormDate,$P216)=0,"",INDEX(CalcNormDate,$P216)))</f>
        <v/>
      </c>
      <c r="C216" s="28">
        <f>IF($P216="","",IF(INDEX(CalcTime,$P216)=0,"",INDEX(CalcTime,$P216)))</f>
        <v/>
      </c>
      <c r="D216" s="28">
        <f>IF($P216="","",IF(INDEX(EntryParty,$P216)=0,"",INDEX(EntryParty,$P216)))</f>
        <v/>
      </c>
      <c r="E216" s="28">
        <f>IF($P216="","",IF(INDEX(EntryPartyName,$P216)=0,"",INDEX(EntryPartyName,$P216)))</f>
        <v/>
      </c>
      <c r="F216" s="28">
        <f>IF($P216="","",IF(INDEX(EntryPartyType,$P216)=0,"",INDEX(EntryPartyType,$P216)))</f>
        <v/>
      </c>
      <c r="G216" s="28">
        <f>IF($P216="","",IF(INDEX(EntryTxnType,$P216)=0,"",INDEX(EntryTxnType,$P216)))</f>
        <v/>
      </c>
      <c r="H216" s="29">
        <f>IF($P216="","",IF(INDEX(EntryDep,$P216)=0,"",INDEX(EntryDep,$P216)))</f>
        <v/>
      </c>
      <c r="I216" s="29">
        <f>IF($P216="","",IF(INDEX(EntryWit,$P216)=0,"",INDEX(EntryWit,$P216)))</f>
        <v/>
      </c>
      <c r="J216" s="29">
        <f>IF($B216="","",IF($A216=1,$C$7,IF(J215="",0,J215))+IF($H216="",0,$H216)-IF($I216="",0,$I216))</f>
        <v/>
      </c>
      <c r="K216" s="29">
        <f>IF($P216="","",IF(INDEX(EntryMan,$P216)=0,"",INDEX(EntryMan,$P216)))</f>
        <v/>
      </c>
      <c r="L216" s="28">
        <f>IF($B216="","",IF($K216="","—",IF(ROUND($K216-$J216,0)=0,"√","×")))</f>
        <v/>
      </c>
      <c r="M216" s="28">
        <f>IF($B216="","",IF(COUNTIFS(EntryDates,$B216,CalcTime,$C216,CalcBank,$C$5,EntryParty,$D216,EntryDep,$H216,EntryWit,$I216)&gt;1,"تکرار",""))</f>
        <v/>
      </c>
      <c r="N216" s="28">
        <f>IF($P216="","",IF(INDEX(EntryNotes,$P216)=0,"",INDEX(EntryNotes,$P216)))</f>
        <v/>
      </c>
      <c r="O216" s="28">
        <f>IF($P216="","",IF(INDEX(EntryTxnID,$P216)=0,"",INDEX(EntryTxnID,$P216)))</f>
        <v/>
      </c>
      <c r="P216" s="28">
        <f>IFERROR(MATCH($C$5&amp;"|"&amp;RIGHT("000000"&amp;200,6),CalcRankKey,0),"")</f>
        <v/>
      </c>
    </row>
    <row r="217">
      <c r="A217" s="26">
        <f>IF($B217="","",201)</f>
        <v/>
      </c>
      <c r="B217" s="26">
        <f>IF($P217="","",IF(INDEX(CalcNormDate,$P217)=0,"",INDEX(CalcNormDate,$P217)))</f>
        <v/>
      </c>
      <c r="C217" s="26">
        <f>IF($P217="","",IF(INDEX(CalcTime,$P217)=0,"",INDEX(CalcTime,$P217)))</f>
        <v/>
      </c>
      <c r="D217" s="26">
        <f>IF($P217="","",IF(INDEX(EntryParty,$P217)=0,"",INDEX(EntryParty,$P217)))</f>
        <v/>
      </c>
      <c r="E217" s="26">
        <f>IF($P217="","",IF(INDEX(EntryPartyName,$P217)=0,"",INDEX(EntryPartyName,$P217)))</f>
        <v/>
      </c>
      <c r="F217" s="26">
        <f>IF($P217="","",IF(INDEX(EntryPartyType,$P217)=0,"",INDEX(EntryPartyType,$P217)))</f>
        <v/>
      </c>
      <c r="G217" s="26">
        <f>IF($P217="","",IF(INDEX(EntryTxnType,$P217)=0,"",INDEX(EntryTxnType,$P217)))</f>
        <v/>
      </c>
      <c r="H217" s="27">
        <f>IF($P217="","",IF(INDEX(EntryDep,$P217)=0,"",INDEX(EntryDep,$P217)))</f>
        <v/>
      </c>
      <c r="I217" s="27">
        <f>IF($P217="","",IF(INDEX(EntryWit,$P217)=0,"",INDEX(EntryWit,$P217)))</f>
        <v/>
      </c>
      <c r="J217" s="27">
        <f>IF($B217="","",IF($A217=1,$C$7,IF(J216="",0,J216))+IF($H217="",0,$H217)-IF($I217="",0,$I217))</f>
        <v/>
      </c>
      <c r="K217" s="27">
        <f>IF($P217="","",IF(INDEX(EntryMan,$P217)=0,"",INDEX(EntryMan,$P217)))</f>
        <v/>
      </c>
      <c r="L217" s="26">
        <f>IF($B217="","",IF($K217="","—",IF(ROUND($K217-$J217,0)=0,"√","×")))</f>
        <v/>
      </c>
      <c r="M217" s="26">
        <f>IF($B217="","",IF(COUNTIFS(EntryDates,$B217,CalcTime,$C217,CalcBank,$C$5,EntryParty,$D217,EntryDep,$H217,EntryWit,$I217)&gt;1,"تکرار",""))</f>
        <v/>
      </c>
      <c r="N217" s="26">
        <f>IF($P217="","",IF(INDEX(EntryNotes,$P217)=0,"",INDEX(EntryNotes,$P217)))</f>
        <v/>
      </c>
      <c r="O217" s="26">
        <f>IF($P217="","",IF(INDEX(EntryTxnID,$P217)=0,"",INDEX(EntryTxnID,$P217)))</f>
        <v/>
      </c>
      <c r="P217" s="26">
        <f>IFERROR(MATCH($C$5&amp;"|"&amp;RIGHT("000000"&amp;201,6),CalcRankKey,0),"")</f>
        <v/>
      </c>
    </row>
    <row r="218">
      <c r="A218" s="28">
        <f>IF($B218="","",202)</f>
        <v/>
      </c>
      <c r="B218" s="28">
        <f>IF($P218="","",IF(INDEX(CalcNormDate,$P218)=0,"",INDEX(CalcNormDate,$P218)))</f>
        <v/>
      </c>
      <c r="C218" s="28">
        <f>IF($P218="","",IF(INDEX(CalcTime,$P218)=0,"",INDEX(CalcTime,$P218)))</f>
        <v/>
      </c>
      <c r="D218" s="28">
        <f>IF($P218="","",IF(INDEX(EntryParty,$P218)=0,"",INDEX(EntryParty,$P218)))</f>
        <v/>
      </c>
      <c r="E218" s="28">
        <f>IF($P218="","",IF(INDEX(EntryPartyName,$P218)=0,"",INDEX(EntryPartyName,$P218)))</f>
        <v/>
      </c>
      <c r="F218" s="28">
        <f>IF($P218="","",IF(INDEX(EntryPartyType,$P218)=0,"",INDEX(EntryPartyType,$P218)))</f>
        <v/>
      </c>
      <c r="G218" s="28">
        <f>IF($P218="","",IF(INDEX(EntryTxnType,$P218)=0,"",INDEX(EntryTxnType,$P218)))</f>
        <v/>
      </c>
      <c r="H218" s="29">
        <f>IF($P218="","",IF(INDEX(EntryDep,$P218)=0,"",INDEX(EntryDep,$P218)))</f>
        <v/>
      </c>
      <c r="I218" s="29">
        <f>IF($P218="","",IF(INDEX(EntryWit,$P218)=0,"",INDEX(EntryWit,$P218)))</f>
        <v/>
      </c>
      <c r="J218" s="29">
        <f>IF($B218="","",IF($A218=1,$C$7,IF(J217="",0,J217))+IF($H218="",0,$H218)-IF($I218="",0,$I218))</f>
        <v/>
      </c>
      <c r="K218" s="29">
        <f>IF($P218="","",IF(INDEX(EntryMan,$P218)=0,"",INDEX(EntryMan,$P218)))</f>
        <v/>
      </c>
      <c r="L218" s="28">
        <f>IF($B218="","",IF($K218="","—",IF(ROUND($K218-$J218,0)=0,"√","×")))</f>
        <v/>
      </c>
      <c r="M218" s="28">
        <f>IF($B218="","",IF(COUNTIFS(EntryDates,$B218,CalcTime,$C218,CalcBank,$C$5,EntryParty,$D218,EntryDep,$H218,EntryWit,$I218)&gt;1,"تکرار",""))</f>
        <v/>
      </c>
      <c r="N218" s="28">
        <f>IF($P218="","",IF(INDEX(EntryNotes,$P218)=0,"",INDEX(EntryNotes,$P218)))</f>
        <v/>
      </c>
      <c r="O218" s="28">
        <f>IF($P218="","",IF(INDEX(EntryTxnID,$P218)=0,"",INDEX(EntryTxnID,$P218)))</f>
        <v/>
      </c>
      <c r="P218" s="28">
        <f>IFERROR(MATCH($C$5&amp;"|"&amp;RIGHT("000000"&amp;202,6),CalcRankKey,0),"")</f>
        <v/>
      </c>
    </row>
    <row r="219">
      <c r="A219" s="26">
        <f>IF($B219="","",203)</f>
        <v/>
      </c>
      <c r="B219" s="26">
        <f>IF($P219="","",IF(INDEX(CalcNormDate,$P219)=0,"",INDEX(CalcNormDate,$P219)))</f>
        <v/>
      </c>
      <c r="C219" s="26">
        <f>IF($P219="","",IF(INDEX(CalcTime,$P219)=0,"",INDEX(CalcTime,$P219)))</f>
        <v/>
      </c>
      <c r="D219" s="26">
        <f>IF($P219="","",IF(INDEX(EntryParty,$P219)=0,"",INDEX(EntryParty,$P219)))</f>
        <v/>
      </c>
      <c r="E219" s="26">
        <f>IF($P219="","",IF(INDEX(EntryPartyName,$P219)=0,"",INDEX(EntryPartyName,$P219)))</f>
        <v/>
      </c>
      <c r="F219" s="26">
        <f>IF($P219="","",IF(INDEX(EntryPartyType,$P219)=0,"",INDEX(EntryPartyType,$P219)))</f>
        <v/>
      </c>
      <c r="G219" s="26">
        <f>IF($P219="","",IF(INDEX(EntryTxnType,$P219)=0,"",INDEX(EntryTxnType,$P219)))</f>
        <v/>
      </c>
      <c r="H219" s="27">
        <f>IF($P219="","",IF(INDEX(EntryDep,$P219)=0,"",INDEX(EntryDep,$P219)))</f>
        <v/>
      </c>
      <c r="I219" s="27">
        <f>IF($P219="","",IF(INDEX(EntryWit,$P219)=0,"",INDEX(EntryWit,$P219)))</f>
        <v/>
      </c>
      <c r="J219" s="27">
        <f>IF($B219="","",IF($A219=1,$C$7,IF(J218="",0,J218))+IF($H219="",0,$H219)-IF($I219="",0,$I219))</f>
        <v/>
      </c>
      <c r="K219" s="27">
        <f>IF($P219="","",IF(INDEX(EntryMan,$P219)=0,"",INDEX(EntryMan,$P219)))</f>
        <v/>
      </c>
      <c r="L219" s="26">
        <f>IF($B219="","",IF($K219="","—",IF(ROUND($K219-$J219,0)=0,"√","×")))</f>
        <v/>
      </c>
      <c r="M219" s="26">
        <f>IF($B219="","",IF(COUNTIFS(EntryDates,$B219,CalcTime,$C219,CalcBank,$C$5,EntryParty,$D219,EntryDep,$H219,EntryWit,$I219)&gt;1,"تکرار",""))</f>
        <v/>
      </c>
      <c r="N219" s="26">
        <f>IF($P219="","",IF(INDEX(EntryNotes,$P219)=0,"",INDEX(EntryNotes,$P219)))</f>
        <v/>
      </c>
      <c r="O219" s="26">
        <f>IF($P219="","",IF(INDEX(EntryTxnID,$P219)=0,"",INDEX(EntryTxnID,$P219)))</f>
        <v/>
      </c>
      <c r="P219" s="26">
        <f>IFERROR(MATCH($C$5&amp;"|"&amp;RIGHT("000000"&amp;203,6),CalcRankKey,0),"")</f>
        <v/>
      </c>
    </row>
    <row r="220">
      <c r="A220" s="28">
        <f>IF($B220="","",204)</f>
        <v/>
      </c>
      <c r="B220" s="28">
        <f>IF($P220="","",IF(INDEX(CalcNormDate,$P220)=0,"",INDEX(CalcNormDate,$P220)))</f>
        <v/>
      </c>
      <c r="C220" s="28">
        <f>IF($P220="","",IF(INDEX(CalcTime,$P220)=0,"",INDEX(CalcTime,$P220)))</f>
        <v/>
      </c>
      <c r="D220" s="28">
        <f>IF($P220="","",IF(INDEX(EntryParty,$P220)=0,"",INDEX(EntryParty,$P220)))</f>
        <v/>
      </c>
      <c r="E220" s="28">
        <f>IF($P220="","",IF(INDEX(EntryPartyName,$P220)=0,"",INDEX(EntryPartyName,$P220)))</f>
        <v/>
      </c>
      <c r="F220" s="28">
        <f>IF($P220="","",IF(INDEX(EntryPartyType,$P220)=0,"",INDEX(EntryPartyType,$P220)))</f>
        <v/>
      </c>
      <c r="G220" s="28">
        <f>IF($P220="","",IF(INDEX(EntryTxnType,$P220)=0,"",INDEX(EntryTxnType,$P220)))</f>
        <v/>
      </c>
      <c r="H220" s="29">
        <f>IF($P220="","",IF(INDEX(EntryDep,$P220)=0,"",INDEX(EntryDep,$P220)))</f>
        <v/>
      </c>
      <c r="I220" s="29">
        <f>IF($P220="","",IF(INDEX(EntryWit,$P220)=0,"",INDEX(EntryWit,$P220)))</f>
        <v/>
      </c>
      <c r="J220" s="29">
        <f>IF($B220="","",IF($A220=1,$C$7,IF(J219="",0,J219))+IF($H220="",0,$H220)-IF($I220="",0,$I220))</f>
        <v/>
      </c>
      <c r="K220" s="29">
        <f>IF($P220="","",IF(INDEX(EntryMan,$P220)=0,"",INDEX(EntryMan,$P220)))</f>
        <v/>
      </c>
      <c r="L220" s="28">
        <f>IF($B220="","",IF($K220="","—",IF(ROUND($K220-$J220,0)=0,"√","×")))</f>
        <v/>
      </c>
      <c r="M220" s="28">
        <f>IF($B220="","",IF(COUNTIFS(EntryDates,$B220,CalcTime,$C220,CalcBank,$C$5,EntryParty,$D220,EntryDep,$H220,EntryWit,$I220)&gt;1,"تکرار",""))</f>
        <v/>
      </c>
      <c r="N220" s="28">
        <f>IF($P220="","",IF(INDEX(EntryNotes,$P220)=0,"",INDEX(EntryNotes,$P220)))</f>
        <v/>
      </c>
      <c r="O220" s="28">
        <f>IF($P220="","",IF(INDEX(EntryTxnID,$P220)=0,"",INDEX(EntryTxnID,$P220)))</f>
        <v/>
      </c>
      <c r="P220" s="28">
        <f>IFERROR(MATCH($C$5&amp;"|"&amp;RIGHT("000000"&amp;204,6),CalcRankKey,0),"")</f>
        <v/>
      </c>
    </row>
    <row r="221">
      <c r="A221" s="26">
        <f>IF($B221="","",205)</f>
        <v/>
      </c>
      <c r="B221" s="26">
        <f>IF($P221="","",IF(INDEX(CalcNormDate,$P221)=0,"",INDEX(CalcNormDate,$P221)))</f>
        <v/>
      </c>
      <c r="C221" s="26">
        <f>IF($P221="","",IF(INDEX(CalcTime,$P221)=0,"",INDEX(CalcTime,$P221)))</f>
        <v/>
      </c>
      <c r="D221" s="26">
        <f>IF($P221="","",IF(INDEX(EntryParty,$P221)=0,"",INDEX(EntryParty,$P221)))</f>
        <v/>
      </c>
      <c r="E221" s="26">
        <f>IF($P221="","",IF(INDEX(EntryPartyName,$P221)=0,"",INDEX(EntryPartyName,$P221)))</f>
        <v/>
      </c>
      <c r="F221" s="26">
        <f>IF($P221="","",IF(INDEX(EntryPartyType,$P221)=0,"",INDEX(EntryPartyType,$P221)))</f>
        <v/>
      </c>
      <c r="G221" s="26">
        <f>IF($P221="","",IF(INDEX(EntryTxnType,$P221)=0,"",INDEX(EntryTxnType,$P221)))</f>
        <v/>
      </c>
      <c r="H221" s="27">
        <f>IF($P221="","",IF(INDEX(EntryDep,$P221)=0,"",INDEX(EntryDep,$P221)))</f>
        <v/>
      </c>
      <c r="I221" s="27">
        <f>IF($P221="","",IF(INDEX(EntryWit,$P221)=0,"",INDEX(EntryWit,$P221)))</f>
        <v/>
      </c>
      <c r="J221" s="27">
        <f>IF($B221="","",IF($A221=1,$C$7,IF(J220="",0,J220))+IF($H221="",0,$H221)-IF($I221="",0,$I221))</f>
        <v/>
      </c>
      <c r="K221" s="27">
        <f>IF($P221="","",IF(INDEX(EntryMan,$P221)=0,"",INDEX(EntryMan,$P221)))</f>
        <v/>
      </c>
      <c r="L221" s="26">
        <f>IF($B221="","",IF($K221="","—",IF(ROUND($K221-$J221,0)=0,"√","×")))</f>
        <v/>
      </c>
      <c r="M221" s="26">
        <f>IF($B221="","",IF(COUNTIFS(EntryDates,$B221,CalcTime,$C221,CalcBank,$C$5,EntryParty,$D221,EntryDep,$H221,EntryWit,$I221)&gt;1,"تکرار",""))</f>
        <v/>
      </c>
      <c r="N221" s="26">
        <f>IF($P221="","",IF(INDEX(EntryNotes,$P221)=0,"",INDEX(EntryNotes,$P221)))</f>
        <v/>
      </c>
      <c r="O221" s="26">
        <f>IF($P221="","",IF(INDEX(EntryTxnID,$P221)=0,"",INDEX(EntryTxnID,$P221)))</f>
        <v/>
      </c>
      <c r="P221" s="26">
        <f>IFERROR(MATCH($C$5&amp;"|"&amp;RIGHT("000000"&amp;205,6),CalcRankKey,0),"")</f>
        <v/>
      </c>
    </row>
    <row r="222">
      <c r="A222" s="28">
        <f>IF($B222="","",206)</f>
        <v/>
      </c>
      <c r="B222" s="28">
        <f>IF($P222="","",IF(INDEX(CalcNormDate,$P222)=0,"",INDEX(CalcNormDate,$P222)))</f>
        <v/>
      </c>
      <c r="C222" s="28">
        <f>IF($P222="","",IF(INDEX(CalcTime,$P222)=0,"",INDEX(CalcTime,$P222)))</f>
        <v/>
      </c>
      <c r="D222" s="28">
        <f>IF($P222="","",IF(INDEX(EntryParty,$P222)=0,"",INDEX(EntryParty,$P222)))</f>
        <v/>
      </c>
      <c r="E222" s="28">
        <f>IF($P222="","",IF(INDEX(EntryPartyName,$P222)=0,"",INDEX(EntryPartyName,$P222)))</f>
        <v/>
      </c>
      <c r="F222" s="28">
        <f>IF($P222="","",IF(INDEX(EntryPartyType,$P222)=0,"",INDEX(EntryPartyType,$P222)))</f>
        <v/>
      </c>
      <c r="G222" s="28">
        <f>IF($P222="","",IF(INDEX(EntryTxnType,$P222)=0,"",INDEX(EntryTxnType,$P222)))</f>
        <v/>
      </c>
      <c r="H222" s="29">
        <f>IF($P222="","",IF(INDEX(EntryDep,$P222)=0,"",INDEX(EntryDep,$P222)))</f>
        <v/>
      </c>
      <c r="I222" s="29">
        <f>IF($P222="","",IF(INDEX(EntryWit,$P222)=0,"",INDEX(EntryWit,$P222)))</f>
        <v/>
      </c>
      <c r="J222" s="29">
        <f>IF($B222="","",IF($A222=1,$C$7,IF(J221="",0,J221))+IF($H222="",0,$H222)-IF($I222="",0,$I222))</f>
        <v/>
      </c>
      <c r="K222" s="29">
        <f>IF($P222="","",IF(INDEX(EntryMan,$P222)=0,"",INDEX(EntryMan,$P222)))</f>
        <v/>
      </c>
      <c r="L222" s="28">
        <f>IF($B222="","",IF($K222="","—",IF(ROUND($K222-$J222,0)=0,"√","×")))</f>
        <v/>
      </c>
      <c r="M222" s="28">
        <f>IF($B222="","",IF(COUNTIFS(EntryDates,$B222,CalcTime,$C222,CalcBank,$C$5,EntryParty,$D222,EntryDep,$H222,EntryWit,$I222)&gt;1,"تکرار",""))</f>
        <v/>
      </c>
      <c r="N222" s="28">
        <f>IF($P222="","",IF(INDEX(EntryNotes,$P222)=0,"",INDEX(EntryNotes,$P222)))</f>
        <v/>
      </c>
      <c r="O222" s="28">
        <f>IF($P222="","",IF(INDEX(EntryTxnID,$P222)=0,"",INDEX(EntryTxnID,$P222)))</f>
        <v/>
      </c>
      <c r="P222" s="28">
        <f>IFERROR(MATCH($C$5&amp;"|"&amp;RIGHT("000000"&amp;206,6),CalcRankKey,0),"")</f>
        <v/>
      </c>
    </row>
    <row r="223">
      <c r="A223" s="26">
        <f>IF($B223="","",207)</f>
        <v/>
      </c>
      <c r="B223" s="26">
        <f>IF($P223="","",IF(INDEX(CalcNormDate,$P223)=0,"",INDEX(CalcNormDate,$P223)))</f>
        <v/>
      </c>
      <c r="C223" s="26">
        <f>IF($P223="","",IF(INDEX(CalcTime,$P223)=0,"",INDEX(CalcTime,$P223)))</f>
        <v/>
      </c>
      <c r="D223" s="26">
        <f>IF($P223="","",IF(INDEX(EntryParty,$P223)=0,"",INDEX(EntryParty,$P223)))</f>
        <v/>
      </c>
      <c r="E223" s="26">
        <f>IF($P223="","",IF(INDEX(EntryPartyName,$P223)=0,"",INDEX(EntryPartyName,$P223)))</f>
        <v/>
      </c>
      <c r="F223" s="26">
        <f>IF($P223="","",IF(INDEX(EntryPartyType,$P223)=0,"",INDEX(EntryPartyType,$P223)))</f>
        <v/>
      </c>
      <c r="G223" s="26">
        <f>IF($P223="","",IF(INDEX(EntryTxnType,$P223)=0,"",INDEX(EntryTxnType,$P223)))</f>
        <v/>
      </c>
      <c r="H223" s="27">
        <f>IF($P223="","",IF(INDEX(EntryDep,$P223)=0,"",INDEX(EntryDep,$P223)))</f>
        <v/>
      </c>
      <c r="I223" s="27">
        <f>IF($P223="","",IF(INDEX(EntryWit,$P223)=0,"",INDEX(EntryWit,$P223)))</f>
        <v/>
      </c>
      <c r="J223" s="27">
        <f>IF($B223="","",IF($A223=1,$C$7,IF(J222="",0,J222))+IF($H223="",0,$H223)-IF($I223="",0,$I223))</f>
        <v/>
      </c>
      <c r="K223" s="27">
        <f>IF($P223="","",IF(INDEX(EntryMan,$P223)=0,"",INDEX(EntryMan,$P223)))</f>
        <v/>
      </c>
      <c r="L223" s="26">
        <f>IF($B223="","",IF($K223="","—",IF(ROUND($K223-$J223,0)=0,"√","×")))</f>
        <v/>
      </c>
      <c r="M223" s="26">
        <f>IF($B223="","",IF(COUNTIFS(EntryDates,$B223,CalcTime,$C223,CalcBank,$C$5,EntryParty,$D223,EntryDep,$H223,EntryWit,$I223)&gt;1,"تکرار",""))</f>
        <v/>
      </c>
      <c r="N223" s="26">
        <f>IF($P223="","",IF(INDEX(EntryNotes,$P223)=0,"",INDEX(EntryNotes,$P223)))</f>
        <v/>
      </c>
      <c r="O223" s="26">
        <f>IF($P223="","",IF(INDEX(EntryTxnID,$P223)=0,"",INDEX(EntryTxnID,$P223)))</f>
        <v/>
      </c>
      <c r="P223" s="26">
        <f>IFERROR(MATCH($C$5&amp;"|"&amp;RIGHT("000000"&amp;207,6),CalcRankKey,0),"")</f>
        <v/>
      </c>
    </row>
    <row r="224">
      <c r="A224" s="28">
        <f>IF($B224="","",208)</f>
        <v/>
      </c>
      <c r="B224" s="28">
        <f>IF($P224="","",IF(INDEX(CalcNormDate,$P224)=0,"",INDEX(CalcNormDate,$P224)))</f>
        <v/>
      </c>
      <c r="C224" s="28">
        <f>IF($P224="","",IF(INDEX(CalcTime,$P224)=0,"",INDEX(CalcTime,$P224)))</f>
        <v/>
      </c>
      <c r="D224" s="28">
        <f>IF($P224="","",IF(INDEX(EntryParty,$P224)=0,"",INDEX(EntryParty,$P224)))</f>
        <v/>
      </c>
      <c r="E224" s="28">
        <f>IF($P224="","",IF(INDEX(EntryPartyName,$P224)=0,"",INDEX(EntryPartyName,$P224)))</f>
        <v/>
      </c>
      <c r="F224" s="28">
        <f>IF($P224="","",IF(INDEX(EntryPartyType,$P224)=0,"",INDEX(EntryPartyType,$P224)))</f>
        <v/>
      </c>
      <c r="G224" s="28">
        <f>IF($P224="","",IF(INDEX(EntryTxnType,$P224)=0,"",INDEX(EntryTxnType,$P224)))</f>
        <v/>
      </c>
      <c r="H224" s="29">
        <f>IF($P224="","",IF(INDEX(EntryDep,$P224)=0,"",INDEX(EntryDep,$P224)))</f>
        <v/>
      </c>
      <c r="I224" s="29">
        <f>IF($P224="","",IF(INDEX(EntryWit,$P224)=0,"",INDEX(EntryWit,$P224)))</f>
        <v/>
      </c>
      <c r="J224" s="29">
        <f>IF($B224="","",IF($A224=1,$C$7,IF(J223="",0,J223))+IF($H224="",0,$H224)-IF($I224="",0,$I224))</f>
        <v/>
      </c>
      <c r="K224" s="29">
        <f>IF($P224="","",IF(INDEX(EntryMan,$P224)=0,"",INDEX(EntryMan,$P224)))</f>
        <v/>
      </c>
      <c r="L224" s="28">
        <f>IF($B224="","",IF($K224="","—",IF(ROUND($K224-$J224,0)=0,"√","×")))</f>
        <v/>
      </c>
      <c r="M224" s="28">
        <f>IF($B224="","",IF(COUNTIFS(EntryDates,$B224,CalcTime,$C224,CalcBank,$C$5,EntryParty,$D224,EntryDep,$H224,EntryWit,$I224)&gt;1,"تکرار",""))</f>
        <v/>
      </c>
      <c r="N224" s="28">
        <f>IF($P224="","",IF(INDEX(EntryNotes,$P224)=0,"",INDEX(EntryNotes,$P224)))</f>
        <v/>
      </c>
      <c r="O224" s="28">
        <f>IF($P224="","",IF(INDEX(EntryTxnID,$P224)=0,"",INDEX(EntryTxnID,$P224)))</f>
        <v/>
      </c>
      <c r="P224" s="28">
        <f>IFERROR(MATCH($C$5&amp;"|"&amp;RIGHT("000000"&amp;208,6),CalcRankKey,0),"")</f>
        <v/>
      </c>
    </row>
    <row r="225">
      <c r="A225" s="26">
        <f>IF($B225="","",209)</f>
        <v/>
      </c>
      <c r="B225" s="26">
        <f>IF($P225="","",IF(INDEX(CalcNormDate,$P225)=0,"",INDEX(CalcNormDate,$P225)))</f>
        <v/>
      </c>
      <c r="C225" s="26">
        <f>IF($P225="","",IF(INDEX(CalcTime,$P225)=0,"",INDEX(CalcTime,$P225)))</f>
        <v/>
      </c>
      <c r="D225" s="26">
        <f>IF($P225="","",IF(INDEX(EntryParty,$P225)=0,"",INDEX(EntryParty,$P225)))</f>
        <v/>
      </c>
      <c r="E225" s="26">
        <f>IF($P225="","",IF(INDEX(EntryPartyName,$P225)=0,"",INDEX(EntryPartyName,$P225)))</f>
        <v/>
      </c>
      <c r="F225" s="26">
        <f>IF($P225="","",IF(INDEX(EntryPartyType,$P225)=0,"",INDEX(EntryPartyType,$P225)))</f>
        <v/>
      </c>
      <c r="G225" s="26">
        <f>IF($P225="","",IF(INDEX(EntryTxnType,$P225)=0,"",INDEX(EntryTxnType,$P225)))</f>
        <v/>
      </c>
      <c r="H225" s="27">
        <f>IF($P225="","",IF(INDEX(EntryDep,$P225)=0,"",INDEX(EntryDep,$P225)))</f>
        <v/>
      </c>
      <c r="I225" s="27">
        <f>IF($P225="","",IF(INDEX(EntryWit,$P225)=0,"",INDEX(EntryWit,$P225)))</f>
        <v/>
      </c>
      <c r="J225" s="27">
        <f>IF($B225="","",IF($A225=1,$C$7,IF(J224="",0,J224))+IF($H225="",0,$H225)-IF($I225="",0,$I225))</f>
        <v/>
      </c>
      <c r="K225" s="27">
        <f>IF($P225="","",IF(INDEX(EntryMan,$P225)=0,"",INDEX(EntryMan,$P225)))</f>
        <v/>
      </c>
      <c r="L225" s="26">
        <f>IF($B225="","",IF($K225="","—",IF(ROUND($K225-$J225,0)=0,"√","×")))</f>
        <v/>
      </c>
      <c r="M225" s="26">
        <f>IF($B225="","",IF(COUNTIFS(EntryDates,$B225,CalcTime,$C225,CalcBank,$C$5,EntryParty,$D225,EntryDep,$H225,EntryWit,$I225)&gt;1,"تکرار",""))</f>
        <v/>
      </c>
      <c r="N225" s="26">
        <f>IF($P225="","",IF(INDEX(EntryNotes,$P225)=0,"",INDEX(EntryNotes,$P225)))</f>
        <v/>
      </c>
      <c r="O225" s="26">
        <f>IF($P225="","",IF(INDEX(EntryTxnID,$P225)=0,"",INDEX(EntryTxnID,$P225)))</f>
        <v/>
      </c>
      <c r="P225" s="26">
        <f>IFERROR(MATCH($C$5&amp;"|"&amp;RIGHT("000000"&amp;209,6),CalcRankKey,0),"")</f>
        <v/>
      </c>
    </row>
    <row r="226">
      <c r="A226" s="28">
        <f>IF($B226="","",210)</f>
        <v/>
      </c>
      <c r="B226" s="28">
        <f>IF($P226="","",IF(INDEX(CalcNormDate,$P226)=0,"",INDEX(CalcNormDate,$P226)))</f>
        <v/>
      </c>
      <c r="C226" s="28">
        <f>IF($P226="","",IF(INDEX(CalcTime,$P226)=0,"",INDEX(CalcTime,$P226)))</f>
        <v/>
      </c>
      <c r="D226" s="28">
        <f>IF($P226="","",IF(INDEX(EntryParty,$P226)=0,"",INDEX(EntryParty,$P226)))</f>
        <v/>
      </c>
      <c r="E226" s="28">
        <f>IF($P226="","",IF(INDEX(EntryPartyName,$P226)=0,"",INDEX(EntryPartyName,$P226)))</f>
        <v/>
      </c>
      <c r="F226" s="28">
        <f>IF($P226="","",IF(INDEX(EntryPartyType,$P226)=0,"",INDEX(EntryPartyType,$P226)))</f>
        <v/>
      </c>
      <c r="G226" s="28">
        <f>IF($P226="","",IF(INDEX(EntryTxnType,$P226)=0,"",INDEX(EntryTxnType,$P226)))</f>
        <v/>
      </c>
      <c r="H226" s="29">
        <f>IF($P226="","",IF(INDEX(EntryDep,$P226)=0,"",INDEX(EntryDep,$P226)))</f>
        <v/>
      </c>
      <c r="I226" s="29">
        <f>IF($P226="","",IF(INDEX(EntryWit,$P226)=0,"",INDEX(EntryWit,$P226)))</f>
        <v/>
      </c>
      <c r="J226" s="29">
        <f>IF($B226="","",IF($A226=1,$C$7,IF(J225="",0,J225))+IF($H226="",0,$H226)-IF($I226="",0,$I226))</f>
        <v/>
      </c>
      <c r="K226" s="29">
        <f>IF($P226="","",IF(INDEX(EntryMan,$P226)=0,"",INDEX(EntryMan,$P226)))</f>
        <v/>
      </c>
      <c r="L226" s="28">
        <f>IF($B226="","",IF($K226="","—",IF(ROUND($K226-$J226,0)=0,"√","×")))</f>
        <v/>
      </c>
      <c r="M226" s="28">
        <f>IF($B226="","",IF(COUNTIFS(EntryDates,$B226,CalcTime,$C226,CalcBank,$C$5,EntryParty,$D226,EntryDep,$H226,EntryWit,$I226)&gt;1,"تکرار",""))</f>
        <v/>
      </c>
      <c r="N226" s="28">
        <f>IF($P226="","",IF(INDEX(EntryNotes,$P226)=0,"",INDEX(EntryNotes,$P226)))</f>
        <v/>
      </c>
      <c r="O226" s="28">
        <f>IF($P226="","",IF(INDEX(EntryTxnID,$P226)=0,"",INDEX(EntryTxnID,$P226)))</f>
        <v/>
      </c>
      <c r="P226" s="28">
        <f>IFERROR(MATCH($C$5&amp;"|"&amp;RIGHT("000000"&amp;210,6),CalcRankKey,0),"")</f>
        <v/>
      </c>
    </row>
    <row r="227">
      <c r="A227" s="26">
        <f>IF($B227="","",211)</f>
        <v/>
      </c>
      <c r="B227" s="26">
        <f>IF($P227="","",IF(INDEX(CalcNormDate,$P227)=0,"",INDEX(CalcNormDate,$P227)))</f>
        <v/>
      </c>
      <c r="C227" s="26">
        <f>IF($P227="","",IF(INDEX(CalcTime,$P227)=0,"",INDEX(CalcTime,$P227)))</f>
        <v/>
      </c>
      <c r="D227" s="26">
        <f>IF($P227="","",IF(INDEX(EntryParty,$P227)=0,"",INDEX(EntryParty,$P227)))</f>
        <v/>
      </c>
      <c r="E227" s="26">
        <f>IF($P227="","",IF(INDEX(EntryPartyName,$P227)=0,"",INDEX(EntryPartyName,$P227)))</f>
        <v/>
      </c>
      <c r="F227" s="26">
        <f>IF($P227="","",IF(INDEX(EntryPartyType,$P227)=0,"",INDEX(EntryPartyType,$P227)))</f>
        <v/>
      </c>
      <c r="G227" s="26">
        <f>IF($P227="","",IF(INDEX(EntryTxnType,$P227)=0,"",INDEX(EntryTxnType,$P227)))</f>
        <v/>
      </c>
      <c r="H227" s="27">
        <f>IF($P227="","",IF(INDEX(EntryDep,$P227)=0,"",INDEX(EntryDep,$P227)))</f>
        <v/>
      </c>
      <c r="I227" s="27">
        <f>IF($P227="","",IF(INDEX(EntryWit,$P227)=0,"",INDEX(EntryWit,$P227)))</f>
        <v/>
      </c>
      <c r="J227" s="27">
        <f>IF($B227="","",IF($A227=1,$C$7,IF(J226="",0,J226))+IF($H227="",0,$H227)-IF($I227="",0,$I227))</f>
        <v/>
      </c>
      <c r="K227" s="27">
        <f>IF($P227="","",IF(INDEX(EntryMan,$P227)=0,"",INDEX(EntryMan,$P227)))</f>
        <v/>
      </c>
      <c r="L227" s="26">
        <f>IF($B227="","",IF($K227="","—",IF(ROUND($K227-$J227,0)=0,"√","×")))</f>
        <v/>
      </c>
      <c r="M227" s="26">
        <f>IF($B227="","",IF(COUNTIFS(EntryDates,$B227,CalcTime,$C227,CalcBank,$C$5,EntryParty,$D227,EntryDep,$H227,EntryWit,$I227)&gt;1,"تکرار",""))</f>
        <v/>
      </c>
      <c r="N227" s="26">
        <f>IF($P227="","",IF(INDEX(EntryNotes,$P227)=0,"",INDEX(EntryNotes,$P227)))</f>
        <v/>
      </c>
      <c r="O227" s="26">
        <f>IF($P227="","",IF(INDEX(EntryTxnID,$P227)=0,"",INDEX(EntryTxnID,$P227)))</f>
        <v/>
      </c>
      <c r="P227" s="26">
        <f>IFERROR(MATCH($C$5&amp;"|"&amp;RIGHT("000000"&amp;211,6),CalcRankKey,0),"")</f>
        <v/>
      </c>
    </row>
    <row r="228">
      <c r="A228" s="28">
        <f>IF($B228="","",212)</f>
        <v/>
      </c>
      <c r="B228" s="28">
        <f>IF($P228="","",IF(INDEX(CalcNormDate,$P228)=0,"",INDEX(CalcNormDate,$P228)))</f>
        <v/>
      </c>
      <c r="C228" s="28">
        <f>IF($P228="","",IF(INDEX(CalcTime,$P228)=0,"",INDEX(CalcTime,$P228)))</f>
        <v/>
      </c>
      <c r="D228" s="28">
        <f>IF($P228="","",IF(INDEX(EntryParty,$P228)=0,"",INDEX(EntryParty,$P228)))</f>
        <v/>
      </c>
      <c r="E228" s="28">
        <f>IF($P228="","",IF(INDEX(EntryPartyName,$P228)=0,"",INDEX(EntryPartyName,$P228)))</f>
        <v/>
      </c>
      <c r="F228" s="28">
        <f>IF($P228="","",IF(INDEX(EntryPartyType,$P228)=0,"",INDEX(EntryPartyType,$P228)))</f>
        <v/>
      </c>
      <c r="G228" s="28">
        <f>IF($P228="","",IF(INDEX(EntryTxnType,$P228)=0,"",INDEX(EntryTxnType,$P228)))</f>
        <v/>
      </c>
      <c r="H228" s="29">
        <f>IF($P228="","",IF(INDEX(EntryDep,$P228)=0,"",INDEX(EntryDep,$P228)))</f>
        <v/>
      </c>
      <c r="I228" s="29">
        <f>IF($P228="","",IF(INDEX(EntryWit,$P228)=0,"",INDEX(EntryWit,$P228)))</f>
        <v/>
      </c>
      <c r="J228" s="29">
        <f>IF($B228="","",IF($A228=1,$C$7,IF(J227="",0,J227))+IF($H228="",0,$H228)-IF($I228="",0,$I228))</f>
        <v/>
      </c>
      <c r="K228" s="29">
        <f>IF($P228="","",IF(INDEX(EntryMan,$P228)=0,"",INDEX(EntryMan,$P228)))</f>
        <v/>
      </c>
      <c r="L228" s="28">
        <f>IF($B228="","",IF($K228="","—",IF(ROUND($K228-$J228,0)=0,"√","×")))</f>
        <v/>
      </c>
      <c r="M228" s="28">
        <f>IF($B228="","",IF(COUNTIFS(EntryDates,$B228,CalcTime,$C228,CalcBank,$C$5,EntryParty,$D228,EntryDep,$H228,EntryWit,$I228)&gt;1,"تکرار",""))</f>
        <v/>
      </c>
      <c r="N228" s="28">
        <f>IF($P228="","",IF(INDEX(EntryNotes,$P228)=0,"",INDEX(EntryNotes,$P228)))</f>
        <v/>
      </c>
      <c r="O228" s="28">
        <f>IF($P228="","",IF(INDEX(EntryTxnID,$P228)=0,"",INDEX(EntryTxnID,$P228)))</f>
        <v/>
      </c>
      <c r="P228" s="28">
        <f>IFERROR(MATCH($C$5&amp;"|"&amp;RIGHT("000000"&amp;212,6),CalcRankKey,0),"")</f>
        <v/>
      </c>
    </row>
    <row r="229">
      <c r="A229" s="26">
        <f>IF($B229="","",213)</f>
        <v/>
      </c>
      <c r="B229" s="26">
        <f>IF($P229="","",IF(INDEX(CalcNormDate,$P229)=0,"",INDEX(CalcNormDate,$P229)))</f>
        <v/>
      </c>
      <c r="C229" s="26">
        <f>IF($P229="","",IF(INDEX(CalcTime,$P229)=0,"",INDEX(CalcTime,$P229)))</f>
        <v/>
      </c>
      <c r="D229" s="26">
        <f>IF($P229="","",IF(INDEX(EntryParty,$P229)=0,"",INDEX(EntryParty,$P229)))</f>
        <v/>
      </c>
      <c r="E229" s="26">
        <f>IF($P229="","",IF(INDEX(EntryPartyName,$P229)=0,"",INDEX(EntryPartyName,$P229)))</f>
        <v/>
      </c>
      <c r="F229" s="26">
        <f>IF($P229="","",IF(INDEX(EntryPartyType,$P229)=0,"",INDEX(EntryPartyType,$P229)))</f>
        <v/>
      </c>
      <c r="G229" s="26">
        <f>IF($P229="","",IF(INDEX(EntryTxnType,$P229)=0,"",INDEX(EntryTxnType,$P229)))</f>
        <v/>
      </c>
      <c r="H229" s="27">
        <f>IF($P229="","",IF(INDEX(EntryDep,$P229)=0,"",INDEX(EntryDep,$P229)))</f>
        <v/>
      </c>
      <c r="I229" s="27">
        <f>IF($P229="","",IF(INDEX(EntryWit,$P229)=0,"",INDEX(EntryWit,$P229)))</f>
        <v/>
      </c>
      <c r="J229" s="27">
        <f>IF($B229="","",IF($A229=1,$C$7,IF(J228="",0,J228))+IF($H229="",0,$H229)-IF($I229="",0,$I229))</f>
        <v/>
      </c>
      <c r="K229" s="27">
        <f>IF($P229="","",IF(INDEX(EntryMan,$P229)=0,"",INDEX(EntryMan,$P229)))</f>
        <v/>
      </c>
      <c r="L229" s="26">
        <f>IF($B229="","",IF($K229="","—",IF(ROUND($K229-$J229,0)=0,"√","×")))</f>
        <v/>
      </c>
      <c r="M229" s="26">
        <f>IF($B229="","",IF(COUNTIFS(EntryDates,$B229,CalcTime,$C229,CalcBank,$C$5,EntryParty,$D229,EntryDep,$H229,EntryWit,$I229)&gt;1,"تکرار",""))</f>
        <v/>
      </c>
      <c r="N229" s="26">
        <f>IF($P229="","",IF(INDEX(EntryNotes,$P229)=0,"",INDEX(EntryNotes,$P229)))</f>
        <v/>
      </c>
      <c r="O229" s="26">
        <f>IF($P229="","",IF(INDEX(EntryTxnID,$P229)=0,"",INDEX(EntryTxnID,$P229)))</f>
        <v/>
      </c>
      <c r="P229" s="26">
        <f>IFERROR(MATCH($C$5&amp;"|"&amp;RIGHT("000000"&amp;213,6),CalcRankKey,0),"")</f>
        <v/>
      </c>
    </row>
    <row r="230">
      <c r="A230" s="28">
        <f>IF($B230="","",214)</f>
        <v/>
      </c>
      <c r="B230" s="28">
        <f>IF($P230="","",IF(INDEX(CalcNormDate,$P230)=0,"",INDEX(CalcNormDate,$P230)))</f>
        <v/>
      </c>
      <c r="C230" s="28">
        <f>IF($P230="","",IF(INDEX(CalcTime,$P230)=0,"",INDEX(CalcTime,$P230)))</f>
        <v/>
      </c>
      <c r="D230" s="28">
        <f>IF($P230="","",IF(INDEX(EntryParty,$P230)=0,"",INDEX(EntryParty,$P230)))</f>
        <v/>
      </c>
      <c r="E230" s="28">
        <f>IF($P230="","",IF(INDEX(EntryPartyName,$P230)=0,"",INDEX(EntryPartyName,$P230)))</f>
        <v/>
      </c>
      <c r="F230" s="28">
        <f>IF($P230="","",IF(INDEX(EntryPartyType,$P230)=0,"",INDEX(EntryPartyType,$P230)))</f>
        <v/>
      </c>
      <c r="G230" s="28">
        <f>IF($P230="","",IF(INDEX(EntryTxnType,$P230)=0,"",INDEX(EntryTxnType,$P230)))</f>
        <v/>
      </c>
      <c r="H230" s="29">
        <f>IF($P230="","",IF(INDEX(EntryDep,$P230)=0,"",INDEX(EntryDep,$P230)))</f>
        <v/>
      </c>
      <c r="I230" s="29">
        <f>IF($P230="","",IF(INDEX(EntryWit,$P230)=0,"",INDEX(EntryWit,$P230)))</f>
        <v/>
      </c>
      <c r="J230" s="29">
        <f>IF($B230="","",IF($A230=1,$C$7,IF(J229="",0,J229))+IF($H230="",0,$H230)-IF($I230="",0,$I230))</f>
        <v/>
      </c>
      <c r="K230" s="29">
        <f>IF($P230="","",IF(INDEX(EntryMan,$P230)=0,"",INDEX(EntryMan,$P230)))</f>
        <v/>
      </c>
      <c r="L230" s="28">
        <f>IF($B230="","",IF($K230="","—",IF(ROUND($K230-$J230,0)=0,"√","×")))</f>
        <v/>
      </c>
      <c r="M230" s="28">
        <f>IF($B230="","",IF(COUNTIFS(EntryDates,$B230,CalcTime,$C230,CalcBank,$C$5,EntryParty,$D230,EntryDep,$H230,EntryWit,$I230)&gt;1,"تکرار",""))</f>
        <v/>
      </c>
      <c r="N230" s="28">
        <f>IF($P230="","",IF(INDEX(EntryNotes,$P230)=0,"",INDEX(EntryNotes,$P230)))</f>
        <v/>
      </c>
      <c r="O230" s="28">
        <f>IF($P230="","",IF(INDEX(EntryTxnID,$P230)=0,"",INDEX(EntryTxnID,$P230)))</f>
        <v/>
      </c>
      <c r="P230" s="28">
        <f>IFERROR(MATCH($C$5&amp;"|"&amp;RIGHT("000000"&amp;214,6),CalcRankKey,0),"")</f>
        <v/>
      </c>
    </row>
    <row r="231">
      <c r="A231" s="26">
        <f>IF($B231="","",215)</f>
        <v/>
      </c>
      <c r="B231" s="26">
        <f>IF($P231="","",IF(INDEX(CalcNormDate,$P231)=0,"",INDEX(CalcNormDate,$P231)))</f>
        <v/>
      </c>
      <c r="C231" s="26">
        <f>IF($P231="","",IF(INDEX(CalcTime,$P231)=0,"",INDEX(CalcTime,$P231)))</f>
        <v/>
      </c>
      <c r="D231" s="26">
        <f>IF($P231="","",IF(INDEX(EntryParty,$P231)=0,"",INDEX(EntryParty,$P231)))</f>
        <v/>
      </c>
      <c r="E231" s="26">
        <f>IF($P231="","",IF(INDEX(EntryPartyName,$P231)=0,"",INDEX(EntryPartyName,$P231)))</f>
        <v/>
      </c>
      <c r="F231" s="26">
        <f>IF($P231="","",IF(INDEX(EntryPartyType,$P231)=0,"",INDEX(EntryPartyType,$P231)))</f>
        <v/>
      </c>
      <c r="G231" s="26">
        <f>IF($P231="","",IF(INDEX(EntryTxnType,$P231)=0,"",INDEX(EntryTxnType,$P231)))</f>
        <v/>
      </c>
      <c r="H231" s="27">
        <f>IF($P231="","",IF(INDEX(EntryDep,$P231)=0,"",INDEX(EntryDep,$P231)))</f>
        <v/>
      </c>
      <c r="I231" s="27">
        <f>IF($P231="","",IF(INDEX(EntryWit,$P231)=0,"",INDEX(EntryWit,$P231)))</f>
        <v/>
      </c>
      <c r="J231" s="27">
        <f>IF($B231="","",IF($A231=1,$C$7,IF(J230="",0,J230))+IF($H231="",0,$H231)-IF($I231="",0,$I231))</f>
        <v/>
      </c>
      <c r="K231" s="27">
        <f>IF($P231="","",IF(INDEX(EntryMan,$P231)=0,"",INDEX(EntryMan,$P231)))</f>
        <v/>
      </c>
      <c r="L231" s="26">
        <f>IF($B231="","",IF($K231="","—",IF(ROUND($K231-$J231,0)=0,"√","×")))</f>
        <v/>
      </c>
      <c r="M231" s="26">
        <f>IF($B231="","",IF(COUNTIFS(EntryDates,$B231,CalcTime,$C231,CalcBank,$C$5,EntryParty,$D231,EntryDep,$H231,EntryWit,$I231)&gt;1,"تکرار",""))</f>
        <v/>
      </c>
      <c r="N231" s="26">
        <f>IF($P231="","",IF(INDEX(EntryNotes,$P231)=0,"",INDEX(EntryNotes,$P231)))</f>
        <v/>
      </c>
      <c r="O231" s="26">
        <f>IF($P231="","",IF(INDEX(EntryTxnID,$P231)=0,"",INDEX(EntryTxnID,$P231)))</f>
        <v/>
      </c>
      <c r="P231" s="26">
        <f>IFERROR(MATCH($C$5&amp;"|"&amp;RIGHT("000000"&amp;215,6),CalcRankKey,0),"")</f>
        <v/>
      </c>
    </row>
    <row r="232">
      <c r="A232" s="28">
        <f>IF($B232="","",216)</f>
        <v/>
      </c>
      <c r="B232" s="28">
        <f>IF($P232="","",IF(INDEX(CalcNormDate,$P232)=0,"",INDEX(CalcNormDate,$P232)))</f>
        <v/>
      </c>
      <c r="C232" s="28">
        <f>IF($P232="","",IF(INDEX(CalcTime,$P232)=0,"",INDEX(CalcTime,$P232)))</f>
        <v/>
      </c>
      <c r="D232" s="28">
        <f>IF($P232="","",IF(INDEX(EntryParty,$P232)=0,"",INDEX(EntryParty,$P232)))</f>
        <v/>
      </c>
      <c r="E232" s="28">
        <f>IF($P232="","",IF(INDEX(EntryPartyName,$P232)=0,"",INDEX(EntryPartyName,$P232)))</f>
        <v/>
      </c>
      <c r="F232" s="28">
        <f>IF($P232="","",IF(INDEX(EntryPartyType,$P232)=0,"",INDEX(EntryPartyType,$P232)))</f>
        <v/>
      </c>
      <c r="G232" s="28">
        <f>IF($P232="","",IF(INDEX(EntryTxnType,$P232)=0,"",INDEX(EntryTxnType,$P232)))</f>
        <v/>
      </c>
      <c r="H232" s="29">
        <f>IF($P232="","",IF(INDEX(EntryDep,$P232)=0,"",INDEX(EntryDep,$P232)))</f>
        <v/>
      </c>
      <c r="I232" s="29">
        <f>IF($P232="","",IF(INDEX(EntryWit,$P232)=0,"",INDEX(EntryWit,$P232)))</f>
        <v/>
      </c>
      <c r="J232" s="29">
        <f>IF($B232="","",IF($A232=1,$C$7,IF(J231="",0,J231))+IF($H232="",0,$H232)-IF($I232="",0,$I232))</f>
        <v/>
      </c>
      <c r="K232" s="29">
        <f>IF($P232="","",IF(INDEX(EntryMan,$P232)=0,"",INDEX(EntryMan,$P232)))</f>
        <v/>
      </c>
      <c r="L232" s="28">
        <f>IF($B232="","",IF($K232="","—",IF(ROUND($K232-$J232,0)=0,"√","×")))</f>
        <v/>
      </c>
      <c r="M232" s="28">
        <f>IF($B232="","",IF(COUNTIFS(EntryDates,$B232,CalcTime,$C232,CalcBank,$C$5,EntryParty,$D232,EntryDep,$H232,EntryWit,$I232)&gt;1,"تکرار",""))</f>
        <v/>
      </c>
      <c r="N232" s="28">
        <f>IF($P232="","",IF(INDEX(EntryNotes,$P232)=0,"",INDEX(EntryNotes,$P232)))</f>
        <v/>
      </c>
      <c r="O232" s="28">
        <f>IF($P232="","",IF(INDEX(EntryTxnID,$P232)=0,"",INDEX(EntryTxnID,$P232)))</f>
        <v/>
      </c>
      <c r="P232" s="28">
        <f>IFERROR(MATCH($C$5&amp;"|"&amp;RIGHT("000000"&amp;216,6),CalcRankKey,0),"")</f>
        <v/>
      </c>
    </row>
    <row r="233">
      <c r="A233" s="26">
        <f>IF($B233="","",217)</f>
        <v/>
      </c>
      <c r="B233" s="26">
        <f>IF($P233="","",IF(INDEX(CalcNormDate,$P233)=0,"",INDEX(CalcNormDate,$P233)))</f>
        <v/>
      </c>
      <c r="C233" s="26">
        <f>IF($P233="","",IF(INDEX(CalcTime,$P233)=0,"",INDEX(CalcTime,$P233)))</f>
        <v/>
      </c>
      <c r="D233" s="26">
        <f>IF($P233="","",IF(INDEX(EntryParty,$P233)=0,"",INDEX(EntryParty,$P233)))</f>
        <v/>
      </c>
      <c r="E233" s="26">
        <f>IF($P233="","",IF(INDEX(EntryPartyName,$P233)=0,"",INDEX(EntryPartyName,$P233)))</f>
        <v/>
      </c>
      <c r="F233" s="26">
        <f>IF($P233="","",IF(INDEX(EntryPartyType,$P233)=0,"",INDEX(EntryPartyType,$P233)))</f>
        <v/>
      </c>
      <c r="G233" s="26">
        <f>IF($P233="","",IF(INDEX(EntryTxnType,$P233)=0,"",INDEX(EntryTxnType,$P233)))</f>
        <v/>
      </c>
      <c r="H233" s="27">
        <f>IF($P233="","",IF(INDEX(EntryDep,$P233)=0,"",INDEX(EntryDep,$P233)))</f>
        <v/>
      </c>
      <c r="I233" s="27">
        <f>IF($P233="","",IF(INDEX(EntryWit,$P233)=0,"",INDEX(EntryWit,$P233)))</f>
        <v/>
      </c>
      <c r="J233" s="27">
        <f>IF($B233="","",IF($A233=1,$C$7,IF(J232="",0,J232))+IF($H233="",0,$H233)-IF($I233="",0,$I233))</f>
        <v/>
      </c>
      <c r="K233" s="27">
        <f>IF($P233="","",IF(INDEX(EntryMan,$P233)=0,"",INDEX(EntryMan,$P233)))</f>
        <v/>
      </c>
      <c r="L233" s="26">
        <f>IF($B233="","",IF($K233="","—",IF(ROUND($K233-$J233,0)=0,"√","×")))</f>
        <v/>
      </c>
      <c r="M233" s="26">
        <f>IF($B233="","",IF(COUNTIFS(EntryDates,$B233,CalcTime,$C233,CalcBank,$C$5,EntryParty,$D233,EntryDep,$H233,EntryWit,$I233)&gt;1,"تکرار",""))</f>
        <v/>
      </c>
      <c r="N233" s="26">
        <f>IF($P233="","",IF(INDEX(EntryNotes,$P233)=0,"",INDEX(EntryNotes,$P233)))</f>
        <v/>
      </c>
      <c r="O233" s="26">
        <f>IF($P233="","",IF(INDEX(EntryTxnID,$P233)=0,"",INDEX(EntryTxnID,$P233)))</f>
        <v/>
      </c>
      <c r="P233" s="26">
        <f>IFERROR(MATCH($C$5&amp;"|"&amp;RIGHT("000000"&amp;217,6),CalcRankKey,0),"")</f>
        <v/>
      </c>
    </row>
    <row r="234">
      <c r="A234" s="28">
        <f>IF($B234="","",218)</f>
        <v/>
      </c>
      <c r="B234" s="28">
        <f>IF($P234="","",IF(INDEX(CalcNormDate,$P234)=0,"",INDEX(CalcNormDate,$P234)))</f>
        <v/>
      </c>
      <c r="C234" s="28">
        <f>IF($P234="","",IF(INDEX(CalcTime,$P234)=0,"",INDEX(CalcTime,$P234)))</f>
        <v/>
      </c>
      <c r="D234" s="28">
        <f>IF($P234="","",IF(INDEX(EntryParty,$P234)=0,"",INDEX(EntryParty,$P234)))</f>
        <v/>
      </c>
      <c r="E234" s="28">
        <f>IF($P234="","",IF(INDEX(EntryPartyName,$P234)=0,"",INDEX(EntryPartyName,$P234)))</f>
        <v/>
      </c>
      <c r="F234" s="28">
        <f>IF($P234="","",IF(INDEX(EntryPartyType,$P234)=0,"",INDEX(EntryPartyType,$P234)))</f>
        <v/>
      </c>
      <c r="G234" s="28">
        <f>IF($P234="","",IF(INDEX(EntryTxnType,$P234)=0,"",INDEX(EntryTxnType,$P234)))</f>
        <v/>
      </c>
      <c r="H234" s="29">
        <f>IF($P234="","",IF(INDEX(EntryDep,$P234)=0,"",INDEX(EntryDep,$P234)))</f>
        <v/>
      </c>
      <c r="I234" s="29">
        <f>IF($P234="","",IF(INDEX(EntryWit,$P234)=0,"",INDEX(EntryWit,$P234)))</f>
        <v/>
      </c>
      <c r="J234" s="29">
        <f>IF($B234="","",IF($A234=1,$C$7,IF(J233="",0,J233))+IF($H234="",0,$H234)-IF($I234="",0,$I234))</f>
        <v/>
      </c>
      <c r="K234" s="29">
        <f>IF($P234="","",IF(INDEX(EntryMan,$P234)=0,"",INDEX(EntryMan,$P234)))</f>
        <v/>
      </c>
      <c r="L234" s="28">
        <f>IF($B234="","",IF($K234="","—",IF(ROUND($K234-$J234,0)=0,"√","×")))</f>
        <v/>
      </c>
      <c r="M234" s="28">
        <f>IF($B234="","",IF(COUNTIFS(EntryDates,$B234,CalcTime,$C234,CalcBank,$C$5,EntryParty,$D234,EntryDep,$H234,EntryWit,$I234)&gt;1,"تکرار",""))</f>
        <v/>
      </c>
      <c r="N234" s="28">
        <f>IF($P234="","",IF(INDEX(EntryNotes,$P234)=0,"",INDEX(EntryNotes,$P234)))</f>
        <v/>
      </c>
      <c r="O234" s="28">
        <f>IF($P234="","",IF(INDEX(EntryTxnID,$P234)=0,"",INDEX(EntryTxnID,$P234)))</f>
        <v/>
      </c>
      <c r="P234" s="28">
        <f>IFERROR(MATCH($C$5&amp;"|"&amp;RIGHT("000000"&amp;218,6),CalcRankKey,0),"")</f>
        <v/>
      </c>
    </row>
    <row r="235">
      <c r="A235" s="26">
        <f>IF($B235="","",219)</f>
        <v/>
      </c>
      <c r="B235" s="26">
        <f>IF($P235="","",IF(INDEX(CalcNormDate,$P235)=0,"",INDEX(CalcNormDate,$P235)))</f>
        <v/>
      </c>
      <c r="C235" s="26">
        <f>IF($P235="","",IF(INDEX(CalcTime,$P235)=0,"",INDEX(CalcTime,$P235)))</f>
        <v/>
      </c>
      <c r="D235" s="26">
        <f>IF($P235="","",IF(INDEX(EntryParty,$P235)=0,"",INDEX(EntryParty,$P235)))</f>
        <v/>
      </c>
      <c r="E235" s="26">
        <f>IF($P235="","",IF(INDEX(EntryPartyName,$P235)=0,"",INDEX(EntryPartyName,$P235)))</f>
        <v/>
      </c>
      <c r="F235" s="26">
        <f>IF($P235="","",IF(INDEX(EntryPartyType,$P235)=0,"",INDEX(EntryPartyType,$P235)))</f>
        <v/>
      </c>
      <c r="G235" s="26">
        <f>IF($P235="","",IF(INDEX(EntryTxnType,$P235)=0,"",INDEX(EntryTxnType,$P235)))</f>
        <v/>
      </c>
      <c r="H235" s="27">
        <f>IF($P235="","",IF(INDEX(EntryDep,$P235)=0,"",INDEX(EntryDep,$P235)))</f>
        <v/>
      </c>
      <c r="I235" s="27">
        <f>IF($P235="","",IF(INDEX(EntryWit,$P235)=0,"",INDEX(EntryWit,$P235)))</f>
        <v/>
      </c>
      <c r="J235" s="27">
        <f>IF($B235="","",IF($A235=1,$C$7,IF(J234="",0,J234))+IF($H235="",0,$H235)-IF($I235="",0,$I235))</f>
        <v/>
      </c>
      <c r="K235" s="27">
        <f>IF($P235="","",IF(INDEX(EntryMan,$P235)=0,"",INDEX(EntryMan,$P235)))</f>
        <v/>
      </c>
      <c r="L235" s="26">
        <f>IF($B235="","",IF($K235="","—",IF(ROUND($K235-$J235,0)=0,"√","×")))</f>
        <v/>
      </c>
      <c r="M235" s="26">
        <f>IF($B235="","",IF(COUNTIFS(EntryDates,$B235,CalcTime,$C235,CalcBank,$C$5,EntryParty,$D235,EntryDep,$H235,EntryWit,$I235)&gt;1,"تکرار",""))</f>
        <v/>
      </c>
      <c r="N235" s="26">
        <f>IF($P235="","",IF(INDEX(EntryNotes,$P235)=0,"",INDEX(EntryNotes,$P235)))</f>
        <v/>
      </c>
      <c r="O235" s="26">
        <f>IF($P235="","",IF(INDEX(EntryTxnID,$P235)=0,"",INDEX(EntryTxnID,$P235)))</f>
        <v/>
      </c>
      <c r="P235" s="26">
        <f>IFERROR(MATCH($C$5&amp;"|"&amp;RIGHT("000000"&amp;219,6),CalcRankKey,0),"")</f>
        <v/>
      </c>
    </row>
    <row r="236">
      <c r="A236" s="28">
        <f>IF($B236="","",220)</f>
        <v/>
      </c>
      <c r="B236" s="28">
        <f>IF($P236="","",IF(INDEX(CalcNormDate,$P236)=0,"",INDEX(CalcNormDate,$P236)))</f>
        <v/>
      </c>
      <c r="C236" s="28">
        <f>IF($P236="","",IF(INDEX(CalcTime,$P236)=0,"",INDEX(CalcTime,$P236)))</f>
        <v/>
      </c>
      <c r="D236" s="28">
        <f>IF($P236="","",IF(INDEX(EntryParty,$P236)=0,"",INDEX(EntryParty,$P236)))</f>
        <v/>
      </c>
      <c r="E236" s="28">
        <f>IF($P236="","",IF(INDEX(EntryPartyName,$P236)=0,"",INDEX(EntryPartyName,$P236)))</f>
        <v/>
      </c>
      <c r="F236" s="28">
        <f>IF($P236="","",IF(INDEX(EntryPartyType,$P236)=0,"",INDEX(EntryPartyType,$P236)))</f>
        <v/>
      </c>
      <c r="G236" s="28">
        <f>IF($P236="","",IF(INDEX(EntryTxnType,$P236)=0,"",INDEX(EntryTxnType,$P236)))</f>
        <v/>
      </c>
      <c r="H236" s="29">
        <f>IF($P236="","",IF(INDEX(EntryDep,$P236)=0,"",INDEX(EntryDep,$P236)))</f>
        <v/>
      </c>
      <c r="I236" s="29">
        <f>IF($P236="","",IF(INDEX(EntryWit,$P236)=0,"",INDEX(EntryWit,$P236)))</f>
        <v/>
      </c>
      <c r="J236" s="29">
        <f>IF($B236="","",IF($A236=1,$C$7,IF(J235="",0,J235))+IF($H236="",0,$H236)-IF($I236="",0,$I236))</f>
        <v/>
      </c>
      <c r="K236" s="29">
        <f>IF($P236="","",IF(INDEX(EntryMan,$P236)=0,"",INDEX(EntryMan,$P236)))</f>
        <v/>
      </c>
      <c r="L236" s="28">
        <f>IF($B236="","",IF($K236="","—",IF(ROUND($K236-$J236,0)=0,"√","×")))</f>
        <v/>
      </c>
      <c r="M236" s="28">
        <f>IF($B236="","",IF(COUNTIFS(EntryDates,$B236,CalcTime,$C236,CalcBank,$C$5,EntryParty,$D236,EntryDep,$H236,EntryWit,$I236)&gt;1,"تکرار",""))</f>
        <v/>
      </c>
      <c r="N236" s="28">
        <f>IF($P236="","",IF(INDEX(EntryNotes,$P236)=0,"",INDEX(EntryNotes,$P236)))</f>
        <v/>
      </c>
      <c r="O236" s="28">
        <f>IF($P236="","",IF(INDEX(EntryTxnID,$P236)=0,"",INDEX(EntryTxnID,$P236)))</f>
        <v/>
      </c>
      <c r="P236" s="28">
        <f>IFERROR(MATCH($C$5&amp;"|"&amp;RIGHT("000000"&amp;220,6),CalcRankKey,0),"")</f>
        <v/>
      </c>
    </row>
    <row r="237">
      <c r="A237" s="26">
        <f>IF($B237="","",221)</f>
        <v/>
      </c>
      <c r="B237" s="26">
        <f>IF($P237="","",IF(INDEX(CalcNormDate,$P237)=0,"",INDEX(CalcNormDate,$P237)))</f>
        <v/>
      </c>
      <c r="C237" s="26">
        <f>IF($P237="","",IF(INDEX(CalcTime,$P237)=0,"",INDEX(CalcTime,$P237)))</f>
        <v/>
      </c>
      <c r="D237" s="26">
        <f>IF($P237="","",IF(INDEX(EntryParty,$P237)=0,"",INDEX(EntryParty,$P237)))</f>
        <v/>
      </c>
      <c r="E237" s="26">
        <f>IF($P237="","",IF(INDEX(EntryPartyName,$P237)=0,"",INDEX(EntryPartyName,$P237)))</f>
        <v/>
      </c>
      <c r="F237" s="26">
        <f>IF($P237="","",IF(INDEX(EntryPartyType,$P237)=0,"",INDEX(EntryPartyType,$P237)))</f>
        <v/>
      </c>
      <c r="G237" s="26">
        <f>IF($P237="","",IF(INDEX(EntryTxnType,$P237)=0,"",INDEX(EntryTxnType,$P237)))</f>
        <v/>
      </c>
      <c r="H237" s="27">
        <f>IF($P237="","",IF(INDEX(EntryDep,$P237)=0,"",INDEX(EntryDep,$P237)))</f>
        <v/>
      </c>
      <c r="I237" s="27">
        <f>IF($P237="","",IF(INDEX(EntryWit,$P237)=0,"",INDEX(EntryWit,$P237)))</f>
        <v/>
      </c>
      <c r="J237" s="27">
        <f>IF($B237="","",IF($A237=1,$C$7,IF(J236="",0,J236))+IF($H237="",0,$H237)-IF($I237="",0,$I237))</f>
        <v/>
      </c>
      <c r="K237" s="27">
        <f>IF($P237="","",IF(INDEX(EntryMan,$P237)=0,"",INDEX(EntryMan,$P237)))</f>
        <v/>
      </c>
      <c r="L237" s="26">
        <f>IF($B237="","",IF($K237="","—",IF(ROUND($K237-$J237,0)=0,"√","×")))</f>
        <v/>
      </c>
      <c r="M237" s="26">
        <f>IF($B237="","",IF(COUNTIFS(EntryDates,$B237,CalcTime,$C237,CalcBank,$C$5,EntryParty,$D237,EntryDep,$H237,EntryWit,$I237)&gt;1,"تکرار",""))</f>
        <v/>
      </c>
      <c r="N237" s="26">
        <f>IF($P237="","",IF(INDEX(EntryNotes,$P237)=0,"",INDEX(EntryNotes,$P237)))</f>
        <v/>
      </c>
      <c r="O237" s="26">
        <f>IF($P237="","",IF(INDEX(EntryTxnID,$P237)=0,"",INDEX(EntryTxnID,$P237)))</f>
        <v/>
      </c>
      <c r="P237" s="26">
        <f>IFERROR(MATCH($C$5&amp;"|"&amp;RIGHT("000000"&amp;221,6),CalcRankKey,0),"")</f>
        <v/>
      </c>
    </row>
    <row r="238">
      <c r="A238" s="28">
        <f>IF($B238="","",222)</f>
        <v/>
      </c>
      <c r="B238" s="28">
        <f>IF($P238="","",IF(INDEX(CalcNormDate,$P238)=0,"",INDEX(CalcNormDate,$P238)))</f>
        <v/>
      </c>
      <c r="C238" s="28">
        <f>IF($P238="","",IF(INDEX(CalcTime,$P238)=0,"",INDEX(CalcTime,$P238)))</f>
        <v/>
      </c>
      <c r="D238" s="28">
        <f>IF($P238="","",IF(INDEX(EntryParty,$P238)=0,"",INDEX(EntryParty,$P238)))</f>
        <v/>
      </c>
      <c r="E238" s="28">
        <f>IF($P238="","",IF(INDEX(EntryPartyName,$P238)=0,"",INDEX(EntryPartyName,$P238)))</f>
        <v/>
      </c>
      <c r="F238" s="28">
        <f>IF($P238="","",IF(INDEX(EntryPartyType,$P238)=0,"",INDEX(EntryPartyType,$P238)))</f>
        <v/>
      </c>
      <c r="G238" s="28">
        <f>IF($P238="","",IF(INDEX(EntryTxnType,$P238)=0,"",INDEX(EntryTxnType,$P238)))</f>
        <v/>
      </c>
      <c r="H238" s="29">
        <f>IF($P238="","",IF(INDEX(EntryDep,$P238)=0,"",INDEX(EntryDep,$P238)))</f>
        <v/>
      </c>
      <c r="I238" s="29">
        <f>IF($P238="","",IF(INDEX(EntryWit,$P238)=0,"",INDEX(EntryWit,$P238)))</f>
        <v/>
      </c>
      <c r="J238" s="29">
        <f>IF($B238="","",IF($A238=1,$C$7,IF(J237="",0,J237))+IF($H238="",0,$H238)-IF($I238="",0,$I238))</f>
        <v/>
      </c>
      <c r="K238" s="29">
        <f>IF($P238="","",IF(INDEX(EntryMan,$P238)=0,"",INDEX(EntryMan,$P238)))</f>
        <v/>
      </c>
      <c r="L238" s="28">
        <f>IF($B238="","",IF($K238="","—",IF(ROUND($K238-$J238,0)=0,"√","×")))</f>
        <v/>
      </c>
      <c r="M238" s="28">
        <f>IF($B238="","",IF(COUNTIFS(EntryDates,$B238,CalcTime,$C238,CalcBank,$C$5,EntryParty,$D238,EntryDep,$H238,EntryWit,$I238)&gt;1,"تکرار",""))</f>
        <v/>
      </c>
      <c r="N238" s="28">
        <f>IF($P238="","",IF(INDEX(EntryNotes,$P238)=0,"",INDEX(EntryNotes,$P238)))</f>
        <v/>
      </c>
      <c r="O238" s="28">
        <f>IF($P238="","",IF(INDEX(EntryTxnID,$P238)=0,"",INDEX(EntryTxnID,$P238)))</f>
        <v/>
      </c>
      <c r="P238" s="28">
        <f>IFERROR(MATCH($C$5&amp;"|"&amp;RIGHT("000000"&amp;222,6),CalcRankKey,0),"")</f>
        <v/>
      </c>
    </row>
    <row r="239">
      <c r="A239" s="26">
        <f>IF($B239="","",223)</f>
        <v/>
      </c>
      <c r="B239" s="26">
        <f>IF($P239="","",IF(INDEX(CalcNormDate,$P239)=0,"",INDEX(CalcNormDate,$P239)))</f>
        <v/>
      </c>
      <c r="C239" s="26">
        <f>IF($P239="","",IF(INDEX(CalcTime,$P239)=0,"",INDEX(CalcTime,$P239)))</f>
        <v/>
      </c>
      <c r="D239" s="26">
        <f>IF($P239="","",IF(INDEX(EntryParty,$P239)=0,"",INDEX(EntryParty,$P239)))</f>
        <v/>
      </c>
      <c r="E239" s="26">
        <f>IF($P239="","",IF(INDEX(EntryPartyName,$P239)=0,"",INDEX(EntryPartyName,$P239)))</f>
        <v/>
      </c>
      <c r="F239" s="26">
        <f>IF($P239="","",IF(INDEX(EntryPartyType,$P239)=0,"",INDEX(EntryPartyType,$P239)))</f>
        <v/>
      </c>
      <c r="G239" s="26">
        <f>IF($P239="","",IF(INDEX(EntryTxnType,$P239)=0,"",INDEX(EntryTxnType,$P239)))</f>
        <v/>
      </c>
      <c r="H239" s="27">
        <f>IF($P239="","",IF(INDEX(EntryDep,$P239)=0,"",INDEX(EntryDep,$P239)))</f>
        <v/>
      </c>
      <c r="I239" s="27">
        <f>IF($P239="","",IF(INDEX(EntryWit,$P239)=0,"",INDEX(EntryWit,$P239)))</f>
        <v/>
      </c>
      <c r="J239" s="27">
        <f>IF($B239="","",IF($A239=1,$C$7,IF(J238="",0,J238))+IF($H239="",0,$H239)-IF($I239="",0,$I239))</f>
        <v/>
      </c>
      <c r="K239" s="27">
        <f>IF($P239="","",IF(INDEX(EntryMan,$P239)=0,"",INDEX(EntryMan,$P239)))</f>
        <v/>
      </c>
      <c r="L239" s="26">
        <f>IF($B239="","",IF($K239="","—",IF(ROUND($K239-$J239,0)=0,"√","×")))</f>
        <v/>
      </c>
      <c r="M239" s="26">
        <f>IF($B239="","",IF(COUNTIFS(EntryDates,$B239,CalcTime,$C239,CalcBank,$C$5,EntryParty,$D239,EntryDep,$H239,EntryWit,$I239)&gt;1,"تکرار",""))</f>
        <v/>
      </c>
      <c r="N239" s="26">
        <f>IF($P239="","",IF(INDEX(EntryNotes,$P239)=0,"",INDEX(EntryNotes,$P239)))</f>
        <v/>
      </c>
      <c r="O239" s="26">
        <f>IF($P239="","",IF(INDEX(EntryTxnID,$P239)=0,"",INDEX(EntryTxnID,$P239)))</f>
        <v/>
      </c>
      <c r="P239" s="26">
        <f>IFERROR(MATCH($C$5&amp;"|"&amp;RIGHT("000000"&amp;223,6),CalcRankKey,0),"")</f>
        <v/>
      </c>
    </row>
    <row r="240">
      <c r="A240" s="28">
        <f>IF($B240="","",224)</f>
        <v/>
      </c>
      <c r="B240" s="28">
        <f>IF($P240="","",IF(INDEX(CalcNormDate,$P240)=0,"",INDEX(CalcNormDate,$P240)))</f>
        <v/>
      </c>
      <c r="C240" s="28">
        <f>IF($P240="","",IF(INDEX(CalcTime,$P240)=0,"",INDEX(CalcTime,$P240)))</f>
        <v/>
      </c>
      <c r="D240" s="28">
        <f>IF($P240="","",IF(INDEX(EntryParty,$P240)=0,"",INDEX(EntryParty,$P240)))</f>
        <v/>
      </c>
      <c r="E240" s="28">
        <f>IF($P240="","",IF(INDEX(EntryPartyName,$P240)=0,"",INDEX(EntryPartyName,$P240)))</f>
        <v/>
      </c>
      <c r="F240" s="28">
        <f>IF($P240="","",IF(INDEX(EntryPartyType,$P240)=0,"",INDEX(EntryPartyType,$P240)))</f>
        <v/>
      </c>
      <c r="G240" s="28">
        <f>IF($P240="","",IF(INDEX(EntryTxnType,$P240)=0,"",INDEX(EntryTxnType,$P240)))</f>
        <v/>
      </c>
      <c r="H240" s="29">
        <f>IF($P240="","",IF(INDEX(EntryDep,$P240)=0,"",INDEX(EntryDep,$P240)))</f>
        <v/>
      </c>
      <c r="I240" s="29">
        <f>IF($P240="","",IF(INDEX(EntryWit,$P240)=0,"",INDEX(EntryWit,$P240)))</f>
        <v/>
      </c>
      <c r="J240" s="29">
        <f>IF($B240="","",IF($A240=1,$C$7,IF(J239="",0,J239))+IF($H240="",0,$H240)-IF($I240="",0,$I240))</f>
        <v/>
      </c>
      <c r="K240" s="29">
        <f>IF($P240="","",IF(INDEX(EntryMan,$P240)=0,"",INDEX(EntryMan,$P240)))</f>
        <v/>
      </c>
      <c r="L240" s="28">
        <f>IF($B240="","",IF($K240="","—",IF(ROUND($K240-$J240,0)=0,"√","×")))</f>
        <v/>
      </c>
      <c r="M240" s="28">
        <f>IF($B240="","",IF(COUNTIFS(EntryDates,$B240,CalcTime,$C240,CalcBank,$C$5,EntryParty,$D240,EntryDep,$H240,EntryWit,$I240)&gt;1,"تکرار",""))</f>
        <v/>
      </c>
      <c r="N240" s="28">
        <f>IF($P240="","",IF(INDEX(EntryNotes,$P240)=0,"",INDEX(EntryNotes,$P240)))</f>
        <v/>
      </c>
      <c r="O240" s="28">
        <f>IF($P240="","",IF(INDEX(EntryTxnID,$P240)=0,"",INDEX(EntryTxnID,$P240)))</f>
        <v/>
      </c>
      <c r="P240" s="28">
        <f>IFERROR(MATCH($C$5&amp;"|"&amp;RIGHT("000000"&amp;224,6),CalcRankKey,0),"")</f>
        <v/>
      </c>
    </row>
    <row r="241">
      <c r="A241" s="26">
        <f>IF($B241="","",225)</f>
        <v/>
      </c>
      <c r="B241" s="26">
        <f>IF($P241="","",IF(INDEX(CalcNormDate,$P241)=0,"",INDEX(CalcNormDate,$P241)))</f>
        <v/>
      </c>
      <c r="C241" s="26">
        <f>IF($P241="","",IF(INDEX(CalcTime,$P241)=0,"",INDEX(CalcTime,$P241)))</f>
        <v/>
      </c>
      <c r="D241" s="26">
        <f>IF($P241="","",IF(INDEX(EntryParty,$P241)=0,"",INDEX(EntryParty,$P241)))</f>
        <v/>
      </c>
      <c r="E241" s="26">
        <f>IF($P241="","",IF(INDEX(EntryPartyName,$P241)=0,"",INDEX(EntryPartyName,$P241)))</f>
        <v/>
      </c>
      <c r="F241" s="26">
        <f>IF($P241="","",IF(INDEX(EntryPartyType,$P241)=0,"",INDEX(EntryPartyType,$P241)))</f>
        <v/>
      </c>
      <c r="G241" s="26">
        <f>IF($P241="","",IF(INDEX(EntryTxnType,$P241)=0,"",INDEX(EntryTxnType,$P241)))</f>
        <v/>
      </c>
      <c r="H241" s="27">
        <f>IF($P241="","",IF(INDEX(EntryDep,$P241)=0,"",INDEX(EntryDep,$P241)))</f>
        <v/>
      </c>
      <c r="I241" s="27">
        <f>IF($P241="","",IF(INDEX(EntryWit,$P241)=0,"",INDEX(EntryWit,$P241)))</f>
        <v/>
      </c>
      <c r="J241" s="27">
        <f>IF($B241="","",IF($A241=1,$C$7,IF(J240="",0,J240))+IF($H241="",0,$H241)-IF($I241="",0,$I241))</f>
        <v/>
      </c>
      <c r="K241" s="27">
        <f>IF($P241="","",IF(INDEX(EntryMan,$P241)=0,"",INDEX(EntryMan,$P241)))</f>
        <v/>
      </c>
      <c r="L241" s="26">
        <f>IF($B241="","",IF($K241="","—",IF(ROUND($K241-$J241,0)=0,"√","×")))</f>
        <v/>
      </c>
      <c r="M241" s="26">
        <f>IF($B241="","",IF(COUNTIFS(EntryDates,$B241,CalcTime,$C241,CalcBank,$C$5,EntryParty,$D241,EntryDep,$H241,EntryWit,$I241)&gt;1,"تکرار",""))</f>
        <v/>
      </c>
      <c r="N241" s="26">
        <f>IF($P241="","",IF(INDEX(EntryNotes,$P241)=0,"",INDEX(EntryNotes,$P241)))</f>
        <v/>
      </c>
      <c r="O241" s="26">
        <f>IF($P241="","",IF(INDEX(EntryTxnID,$P241)=0,"",INDEX(EntryTxnID,$P241)))</f>
        <v/>
      </c>
      <c r="P241" s="26">
        <f>IFERROR(MATCH($C$5&amp;"|"&amp;RIGHT("000000"&amp;225,6),CalcRankKey,0),"")</f>
        <v/>
      </c>
    </row>
    <row r="242">
      <c r="A242" s="28">
        <f>IF($B242="","",226)</f>
        <v/>
      </c>
      <c r="B242" s="28">
        <f>IF($P242="","",IF(INDEX(CalcNormDate,$P242)=0,"",INDEX(CalcNormDate,$P242)))</f>
        <v/>
      </c>
      <c r="C242" s="28">
        <f>IF($P242="","",IF(INDEX(CalcTime,$P242)=0,"",INDEX(CalcTime,$P242)))</f>
        <v/>
      </c>
      <c r="D242" s="28">
        <f>IF($P242="","",IF(INDEX(EntryParty,$P242)=0,"",INDEX(EntryParty,$P242)))</f>
        <v/>
      </c>
      <c r="E242" s="28">
        <f>IF($P242="","",IF(INDEX(EntryPartyName,$P242)=0,"",INDEX(EntryPartyName,$P242)))</f>
        <v/>
      </c>
      <c r="F242" s="28">
        <f>IF($P242="","",IF(INDEX(EntryPartyType,$P242)=0,"",INDEX(EntryPartyType,$P242)))</f>
        <v/>
      </c>
      <c r="G242" s="28">
        <f>IF($P242="","",IF(INDEX(EntryTxnType,$P242)=0,"",INDEX(EntryTxnType,$P242)))</f>
        <v/>
      </c>
      <c r="H242" s="29">
        <f>IF($P242="","",IF(INDEX(EntryDep,$P242)=0,"",INDEX(EntryDep,$P242)))</f>
        <v/>
      </c>
      <c r="I242" s="29">
        <f>IF($P242="","",IF(INDEX(EntryWit,$P242)=0,"",INDEX(EntryWit,$P242)))</f>
        <v/>
      </c>
      <c r="J242" s="29">
        <f>IF($B242="","",IF($A242=1,$C$7,IF(J241="",0,J241))+IF($H242="",0,$H242)-IF($I242="",0,$I242))</f>
        <v/>
      </c>
      <c r="K242" s="29">
        <f>IF($P242="","",IF(INDEX(EntryMan,$P242)=0,"",INDEX(EntryMan,$P242)))</f>
        <v/>
      </c>
      <c r="L242" s="28">
        <f>IF($B242="","",IF($K242="","—",IF(ROUND($K242-$J242,0)=0,"√","×")))</f>
        <v/>
      </c>
      <c r="M242" s="28">
        <f>IF($B242="","",IF(COUNTIFS(EntryDates,$B242,CalcTime,$C242,CalcBank,$C$5,EntryParty,$D242,EntryDep,$H242,EntryWit,$I242)&gt;1,"تکرار",""))</f>
        <v/>
      </c>
      <c r="N242" s="28">
        <f>IF($P242="","",IF(INDEX(EntryNotes,$P242)=0,"",INDEX(EntryNotes,$P242)))</f>
        <v/>
      </c>
      <c r="O242" s="28">
        <f>IF($P242="","",IF(INDEX(EntryTxnID,$P242)=0,"",INDEX(EntryTxnID,$P242)))</f>
        <v/>
      </c>
      <c r="P242" s="28">
        <f>IFERROR(MATCH($C$5&amp;"|"&amp;RIGHT("000000"&amp;226,6),CalcRankKey,0),"")</f>
        <v/>
      </c>
    </row>
    <row r="243">
      <c r="A243" s="26">
        <f>IF($B243="","",227)</f>
        <v/>
      </c>
      <c r="B243" s="26">
        <f>IF($P243="","",IF(INDEX(CalcNormDate,$P243)=0,"",INDEX(CalcNormDate,$P243)))</f>
        <v/>
      </c>
      <c r="C243" s="26">
        <f>IF($P243="","",IF(INDEX(CalcTime,$P243)=0,"",INDEX(CalcTime,$P243)))</f>
        <v/>
      </c>
      <c r="D243" s="26">
        <f>IF($P243="","",IF(INDEX(EntryParty,$P243)=0,"",INDEX(EntryParty,$P243)))</f>
        <v/>
      </c>
      <c r="E243" s="26">
        <f>IF($P243="","",IF(INDEX(EntryPartyName,$P243)=0,"",INDEX(EntryPartyName,$P243)))</f>
        <v/>
      </c>
      <c r="F243" s="26">
        <f>IF($P243="","",IF(INDEX(EntryPartyType,$P243)=0,"",INDEX(EntryPartyType,$P243)))</f>
        <v/>
      </c>
      <c r="G243" s="26">
        <f>IF($P243="","",IF(INDEX(EntryTxnType,$P243)=0,"",INDEX(EntryTxnType,$P243)))</f>
        <v/>
      </c>
      <c r="H243" s="27">
        <f>IF($P243="","",IF(INDEX(EntryDep,$P243)=0,"",INDEX(EntryDep,$P243)))</f>
        <v/>
      </c>
      <c r="I243" s="27">
        <f>IF($P243="","",IF(INDEX(EntryWit,$P243)=0,"",INDEX(EntryWit,$P243)))</f>
        <v/>
      </c>
      <c r="J243" s="27">
        <f>IF($B243="","",IF($A243=1,$C$7,IF(J242="",0,J242))+IF($H243="",0,$H243)-IF($I243="",0,$I243))</f>
        <v/>
      </c>
      <c r="K243" s="27">
        <f>IF($P243="","",IF(INDEX(EntryMan,$P243)=0,"",INDEX(EntryMan,$P243)))</f>
        <v/>
      </c>
      <c r="L243" s="26">
        <f>IF($B243="","",IF($K243="","—",IF(ROUND($K243-$J243,0)=0,"√","×")))</f>
        <v/>
      </c>
      <c r="M243" s="26">
        <f>IF($B243="","",IF(COUNTIFS(EntryDates,$B243,CalcTime,$C243,CalcBank,$C$5,EntryParty,$D243,EntryDep,$H243,EntryWit,$I243)&gt;1,"تکرار",""))</f>
        <v/>
      </c>
      <c r="N243" s="26">
        <f>IF($P243="","",IF(INDEX(EntryNotes,$P243)=0,"",INDEX(EntryNotes,$P243)))</f>
        <v/>
      </c>
      <c r="O243" s="26">
        <f>IF($P243="","",IF(INDEX(EntryTxnID,$P243)=0,"",INDEX(EntryTxnID,$P243)))</f>
        <v/>
      </c>
      <c r="P243" s="26">
        <f>IFERROR(MATCH($C$5&amp;"|"&amp;RIGHT("000000"&amp;227,6),CalcRankKey,0),"")</f>
        <v/>
      </c>
    </row>
    <row r="244">
      <c r="A244" s="28">
        <f>IF($B244="","",228)</f>
        <v/>
      </c>
      <c r="B244" s="28">
        <f>IF($P244="","",IF(INDEX(CalcNormDate,$P244)=0,"",INDEX(CalcNormDate,$P244)))</f>
        <v/>
      </c>
      <c r="C244" s="28">
        <f>IF($P244="","",IF(INDEX(CalcTime,$P244)=0,"",INDEX(CalcTime,$P244)))</f>
        <v/>
      </c>
      <c r="D244" s="28">
        <f>IF($P244="","",IF(INDEX(EntryParty,$P244)=0,"",INDEX(EntryParty,$P244)))</f>
        <v/>
      </c>
      <c r="E244" s="28">
        <f>IF($P244="","",IF(INDEX(EntryPartyName,$P244)=0,"",INDEX(EntryPartyName,$P244)))</f>
        <v/>
      </c>
      <c r="F244" s="28">
        <f>IF($P244="","",IF(INDEX(EntryPartyType,$P244)=0,"",INDEX(EntryPartyType,$P244)))</f>
        <v/>
      </c>
      <c r="G244" s="28">
        <f>IF($P244="","",IF(INDEX(EntryTxnType,$P244)=0,"",INDEX(EntryTxnType,$P244)))</f>
        <v/>
      </c>
      <c r="H244" s="29">
        <f>IF($P244="","",IF(INDEX(EntryDep,$P244)=0,"",INDEX(EntryDep,$P244)))</f>
        <v/>
      </c>
      <c r="I244" s="29">
        <f>IF($P244="","",IF(INDEX(EntryWit,$P244)=0,"",INDEX(EntryWit,$P244)))</f>
        <v/>
      </c>
      <c r="J244" s="29">
        <f>IF($B244="","",IF($A244=1,$C$7,IF(J243="",0,J243))+IF($H244="",0,$H244)-IF($I244="",0,$I244))</f>
        <v/>
      </c>
      <c r="K244" s="29">
        <f>IF($P244="","",IF(INDEX(EntryMan,$P244)=0,"",INDEX(EntryMan,$P244)))</f>
        <v/>
      </c>
      <c r="L244" s="28">
        <f>IF($B244="","",IF($K244="","—",IF(ROUND($K244-$J244,0)=0,"√","×")))</f>
        <v/>
      </c>
      <c r="M244" s="28">
        <f>IF($B244="","",IF(COUNTIFS(EntryDates,$B244,CalcTime,$C244,CalcBank,$C$5,EntryParty,$D244,EntryDep,$H244,EntryWit,$I244)&gt;1,"تکرار",""))</f>
        <v/>
      </c>
      <c r="N244" s="28">
        <f>IF($P244="","",IF(INDEX(EntryNotes,$P244)=0,"",INDEX(EntryNotes,$P244)))</f>
        <v/>
      </c>
      <c r="O244" s="28">
        <f>IF($P244="","",IF(INDEX(EntryTxnID,$P244)=0,"",INDEX(EntryTxnID,$P244)))</f>
        <v/>
      </c>
      <c r="P244" s="28">
        <f>IFERROR(MATCH($C$5&amp;"|"&amp;RIGHT("000000"&amp;228,6),CalcRankKey,0),"")</f>
        <v/>
      </c>
    </row>
    <row r="245">
      <c r="A245" s="26">
        <f>IF($B245="","",229)</f>
        <v/>
      </c>
      <c r="B245" s="26">
        <f>IF($P245="","",IF(INDEX(CalcNormDate,$P245)=0,"",INDEX(CalcNormDate,$P245)))</f>
        <v/>
      </c>
      <c r="C245" s="26">
        <f>IF($P245="","",IF(INDEX(CalcTime,$P245)=0,"",INDEX(CalcTime,$P245)))</f>
        <v/>
      </c>
      <c r="D245" s="26">
        <f>IF($P245="","",IF(INDEX(EntryParty,$P245)=0,"",INDEX(EntryParty,$P245)))</f>
        <v/>
      </c>
      <c r="E245" s="26">
        <f>IF($P245="","",IF(INDEX(EntryPartyName,$P245)=0,"",INDEX(EntryPartyName,$P245)))</f>
        <v/>
      </c>
      <c r="F245" s="26">
        <f>IF($P245="","",IF(INDEX(EntryPartyType,$P245)=0,"",INDEX(EntryPartyType,$P245)))</f>
        <v/>
      </c>
      <c r="G245" s="26">
        <f>IF($P245="","",IF(INDEX(EntryTxnType,$P245)=0,"",INDEX(EntryTxnType,$P245)))</f>
        <v/>
      </c>
      <c r="H245" s="27">
        <f>IF($P245="","",IF(INDEX(EntryDep,$P245)=0,"",INDEX(EntryDep,$P245)))</f>
        <v/>
      </c>
      <c r="I245" s="27">
        <f>IF($P245="","",IF(INDEX(EntryWit,$P245)=0,"",INDEX(EntryWit,$P245)))</f>
        <v/>
      </c>
      <c r="J245" s="27">
        <f>IF($B245="","",IF($A245=1,$C$7,IF(J244="",0,J244))+IF($H245="",0,$H245)-IF($I245="",0,$I245))</f>
        <v/>
      </c>
      <c r="K245" s="27">
        <f>IF($P245="","",IF(INDEX(EntryMan,$P245)=0,"",INDEX(EntryMan,$P245)))</f>
        <v/>
      </c>
      <c r="L245" s="26">
        <f>IF($B245="","",IF($K245="","—",IF(ROUND($K245-$J245,0)=0,"√","×")))</f>
        <v/>
      </c>
      <c r="M245" s="26">
        <f>IF($B245="","",IF(COUNTIFS(EntryDates,$B245,CalcTime,$C245,CalcBank,$C$5,EntryParty,$D245,EntryDep,$H245,EntryWit,$I245)&gt;1,"تکرار",""))</f>
        <v/>
      </c>
      <c r="N245" s="26">
        <f>IF($P245="","",IF(INDEX(EntryNotes,$P245)=0,"",INDEX(EntryNotes,$P245)))</f>
        <v/>
      </c>
      <c r="O245" s="26">
        <f>IF($P245="","",IF(INDEX(EntryTxnID,$P245)=0,"",INDEX(EntryTxnID,$P245)))</f>
        <v/>
      </c>
      <c r="P245" s="26">
        <f>IFERROR(MATCH($C$5&amp;"|"&amp;RIGHT("000000"&amp;229,6),CalcRankKey,0),"")</f>
        <v/>
      </c>
    </row>
    <row r="246">
      <c r="A246" s="28">
        <f>IF($B246="","",230)</f>
        <v/>
      </c>
      <c r="B246" s="28">
        <f>IF($P246="","",IF(INDEX(CalcNormDate,$P246)=0,"",INDEX(CalcNormDate,$P246)))</f>
        <v/>
      </c>
      <c r="C246" s="28">
        <f>IF($P246="","",IF(INDEX(CalcTime,$P246)=0,"",INDEX(CalcTime,$P246)))</f>
        <v/>
      </c>
      <c r="D246" s="28">
        <f>IF($P246="","",IF(INDEX(EntryParty,$P246)=0,"",INDEX(EntryParty,$P246)))</f>
        <v/>
      </c>
      <c r="E246" s="28">
        <f>IF($P246="","",IF(INDEX(EntryPartyName,$P246)=0,"",INDEX(EntryPartyName,$P246)))</f>
        <v/>
      </c>
      <c r="F246" s="28">
        <f>IF($P246="","",IF(INDEX(EntryPartyType,$P246)=0,"",INDEX(EntryPartyType,$P246)))</f>
        <v/>
      </c>
      <c r="G246" s="28">
        <f>IF($P246="","",IF(INDEX(EntryTxnType,$P246)=0,"",INDEX(EntryTxnType,$P246)))</f>
        <v/>
      </c>
      <c r="H246" s="29">
        <f>IF($P246="","",IF(INDEX(EntryDep,$P246)=0,"",INDEX(EntryDep,$P246)))</f>
        <v/>
      </c>
      <c r="I246" s="29">
        <f>IF($P246="","",IF(INDEX(EntryWit,$P246)=0,"",INDEX(EntryWit,$P246)))</f>
        <v/>
      </c>
      <c r="J246" s="29">
        <f>IF($B246="","",IF($A246=1,$C$7,IF(J245="",0,J245))+IF($H246="",0,$H246)-IF($I246="",0,$I246))</f>
        <v/>
      </c>
      <c r="K246" s="29">
        <f>IF($P246="","",IF(INDEX(EntryMan,$P246)=0,"",INDEX(EntryMan,$P246)))</f>
        <v/>
      </c>
      <c r="L246" s="28">
        <f>IF($B246="","",IF($K246="","—",IF(ROUND($K246-$J246,0)=0,"√","×")))</f>
        <v/>
      </c>
      <c r="M246" s="28">
        <f>IF($B246="","",IF(COUNTIFS(EntryDates,$B246,CalcTime,$C246,CalcBank,$C$5,EntryParty,$D246,EntryDep,$H246,EntryWit,$I246)&gt;1,"تکرار",""))</f>
        <v/>
      </c>
      <c r="N246" s="28">
        <f>IF($P246="","",IF(INDEX(EntryNotes,$P246)=0,"",INDEX(EntryNotes,$P246)))</f>
        <v/>
      </c>
      <c r="O246" s="28">
        <f>IF($P246="","",IF(INDEX(EntryTxnID,$P246)=0,"",INDEX(EntryTxnID,$P246)))</f>
        <v/>
      </c>
      <c r="P246" s="28">
        <f>IFERROR(MATCH($C$5&amp;"|"&amp;RIGHT("000000"&amp;230,6),CalcRankKey,0),"")</f>
        <v/>
      </c>
    </row>
    <row r="247">
      <c r="A247" s="26">
        <f>IF($B247="","",231)</f>
        <v/>
      </c>
      <c r="B247" s="26">
        <f>IF($P247="","",IF(INDEX(CalcNormDate,$P247)=0,"",INDEX(CalcNormDate,$P247)))</f>
        <v/>
      </c>
      <c r="C247" s="26">
        <f>IF($P247="","",IF(INDEX(CalcTime,$P247)=0,"",INDEX(CalcTime,$P247)))</f>
        <v/>
      </c>
      <c r="D247" s="26">
        <f>IF($P247="","",IF(INDEX(EntryParty,$P247)=0,"",INDEX(EntryParty,$P247)))</f>
        <v/>
      </c>
      <c r="E247" s="26">
        <f>IF($P247="","",IF(INDEX(EntryPartyName,$P247)=0,"",INDEX(EntryPartyName,$P247)))</f>
        <v/>
      </c>
      <c r="F247" s="26">
        <f>IF($P247="","",IF(INDEX(EntryPartyType,$P247)=0,"",INDEX(EntryPartyType,$P247)))</f>
        <v/>
      </c>
      <c r="G247" s="26">
        <f>IF($P247="","",IF(INDEX(EntryTxnType,$P247)=0,"",INDEX(EntryTxnType,$P247)))</f>
        <v/>
      </c>
      <c r="H247" s="27">
        <f>IF($P247="","",IF(INDEX(EntryDep,$P247)=0,"",INDEX(EntryDep,$P247)))</f>
        <v/>
      </c>
      <c r="I247" s="27">
        <f>IF($P247="","",IF(INDEX(EntryWit,$P247)=0,"",INDEX(EntryWit,$P247)))</f>
        <v/>
      </c>
      <c r="J247" s="27">
        <f>IF($B247="","",IF($A247=1,$C$7,IF(J246="",0,J246))+IF($H247="",0,$H247)-IF($I247="",0,$I247))</f>
        <v/>
      </c>
      <c r="K247" s="27">
        <f>IF($P247="","",IF(INDEX(EntryMan,$P247)=0,"",INDEX(EntryMan,$P247)))</f>
        <v/>
      </c>
      <c r="L247" s="26">
        <f>IF($B247="","",IF($K247="","—",IF(ROUND($K247-$J247,0)=0,"√","×")))</f>
        <v/>
      </c>
      <c r="M247" s="26">
        <f>IF($B247="","",IF(COUNTIFS(EntryDates,$B247,CalcTime,$C247,CalcBank,$C$5,EntryParty,$D247,EntryDep,$H247,EntryWit,$I247)&gt;1,"تکرار",""))</f>
        <v/>
      </c>
      <c r="N247" s="26">
        <f>IF($P247="","",IF(INDEX(EntryNotes,$P247)=0,"",INDEX(EntryNotes,$P247)))</f>
        <v/>
      </c>
      <c r="O247" s="26">
        <f>IF($P247="","",IF(INDEX(EntryTxnID,$P247)=0,"",INDEX(EntryTxnID,$P247)))</f>
        <v/>
      </c>
      <c r="P247" s="26">
        <f>IFERROR(MATCH($C$5&amp;"|"&amp;RIGHT("000000"&amp;231,6),CalcRankKey,0),"")</f>
        <v/>
      </c>
    </row>
    <row r="248">
      <c r="A248" s="28">
        <f>IF($B248="","",232)</f>
        <v/>
      </c>
      <c r="B248" s="28">
        <f>IF($P248="","",IF(INDEX(CalcNormDate,$P248)=0,"",INDEX(CalcNormDate,$P248)))</f>
        <v/>
      </c>
      <c r="C248" s="28">
        <f>IF($P248="","",IF(INDEX(CalcTime,$P248)=0,"",INDEX(CalcTime,$P248)))</f>
        <v/>
      </c>
      <c r="D248" s="28">
        <f>IF($P248="","",IF(INDEX(EntryParty,$P248)=0,"",INDEX(EntryParty,$P248)))</f>
        <v/>
      </c>
      <c r="E248" s="28">
        <f>IF($P248="","",IF(INDEX(EntryPartyName,$P248)=0,"",INDEX(EntryPartyName,$P248)))</f>
        <v/>
      </c>
      <c r="F248" s="28">
        <f>IF($P248="","",IF(INDEX(EntryPartyType,$P248)=0,"",INDEX(EntryPartyType,$P248)))</f>
        <v/>
      </c>
      <c r="G248" s="28">
        <f>IF($P248="","",IF(INDEX(EntryTxnType,$P248)=0,"",INDEX(EntryTxnType,$P248)))</f>
        <v/>
      </c>
      <c r="H248" s="29">
        <f>IF($P248="","",IF(INDEX(EntryDep,$P248)=0,"",INDEX(EntryDep,$P248)))</f>
        <v/>
      </c>
      <c r="I248" s="29">
        <f>IF($P248="","",IF(INDEX(EntryWit,$P248)=0,"",INDEX(EntryWit,$P248)))</f>
        <v/>
      </c>
      <c r="J248" s="29">
        <f>IF($B248="","",IF($A248=1,$C$7,IF(J247="",0,J247))+IF($H248="",0,$H248)-IF($I248="",0,$I248))</f>
        <v/>
      </c>
      <c r="K248" s="29">
        <f>IF($P248="","",IF(INDEX(EntryMan,$P248)=0,"",INDEX(EntryMan,$P248)))</f>
        <v/>
      </c>
      <c r="L248" s="28">
        <f>IF($B248="","",IF($K248="","—",IF(ROUND($K248-$J248,0)=0,"√","×")))</f>
        <v/>
      </c>
      <c r="M248" s="28">
        <f>IF($B248="","",IF(COUNTIFS(EntryDates,$B248,CalcTime,$C248,CalcBank,$C$5,EntryParty,$D248,EntryDep,$H248,EntryWit,$I248)&gt;1,"تکرار",""))</f>
        <v/>
      </c>
      <c r="N248" s="28">
        <f>IF($P248="","",IF(INDEX(EntryNotes,$P248)=0,"",INDEX(EntryNotes,$P248)))</f>
        <v/>
      </c>
      <c r="O248" s="28">
        <f>IF($P248="","",IF(INDEX(EntryTxnID,$P248)=0,"",INDEX(EntryTxnID,$P248)))</f>
        <v/>
      </c>
      <c r="P248" s="28">
        <f>IFERROR(MATCH($C$5&amp;"|"&amp;RIGHT("000000"&amp;232,6),CalcRankKey,0),"")</f>
        <v/>
      </c>
    </row>
    <row r="249">
      <c r="A249" s="26">
        <f>IF($B249="","",233)</f>
        <v/>
      </c>
      <c r="B249" s="26">
        <f>IF($P249="","",IF(INDEX(CalcNormDate,$P249)=0,"",INDEX(CalcNormDate,$P249)))</f>
        <v/>
      </c>
      <c r="C249" s="26">
        <f>IF($P249="","",IF(INDEX(CalcTime,$P249)=0,"",INDEX(CalcTime,$P249)))</f>
        <v/>
      </c>
      <c r="D249" s="26">
        <f>IF($P249="","",IF(INDEX(EntryParty,$P249)=0,"",INDEX(EntryParty,$P249)))</f>
        <v/>
      </c>
      <c r="E249" s="26">
        <f>IF($P249="","",IF(INDEX(EntryPartyName,$P249)=0,"",INDEX(EntryPartyName,$P249)))</f>
        <v/>
      </c>
      <c r="F249" s="26">
        <f>IF($P249="","",IF(INDEX(EntryPartyType,$P249)=0,"",INDEX(EntryPartyType,$P249)))</f>
        <v/>
      </c>
      <c r="G249" s="26">
        <f>IF($P249="","",IF(INDEX(EntryTxnType,$P249)=0,"",INDEX(EntryTxnType,$P249)))</f>
        <v/>
      </c>
      <c r="H249" s="27">
        <f>IF($P249="","",IF(INDEX(EntryDep,$P249)=0,"",INDEX(EntryDep,$P249)))</f>
        <v/>
      </c>
      <c r="I249" s="27">
        <f>IF($P249="","",IF(INDEX(EntryWit,$P249)=0,"",INDEX(EntryWit,$P249)))</f>
        <v/>
      </c>
      <c r="J249" s="27">
        <f>IF($B249="","",IF($A249=1,$C$7,IF(J248="",0,J248))+IF($H249="",0,$H249)-IF($I249="",0,$I249))</f>
        <v/>
      </c>
      <c r="K249" s="27">
        <f>IF($P249="","",IF(INDEX(EntryMan,$P249)=0,"",INDEX(EntryMan,$P249)))</f>
        <v/>
      </c>
      <c r="L249" s="26">
        <f>IF($B249="","",IF($K249="","—",IF(ROUND($K249-$J249,0)=0,"√","×")))</f>
        <v/>
      </c>
      <c r="M249" s="26">
        <f>IF($B249="","",IF(COUNTIFS(EntryDates,$B249,CalcTime,$C249,CalcBank,$C$5,EntryParty,$D249,EntryDep,$H249,EntryWit,$I249)&gt;1,"تکرار",""))</f>
        <v/>
      </c>
      <c r="N249" s="26">
        <f>IF($P249="","",IF(INDEX(EntryNotes,$P249)=0,"",INDEX(EntryNotes,$P249)))</f>
        <v/>
      </c>
      <c r="O249" s="26">
        <f>IF($P249="","",IF(INDEX(EntryTxnID,$P249)=0,"",INDEX(EntryTxnID,$P249)))</f>
        <v/>
      </c>
      <c r="P249" s="26">
        <f>IFERROR(MATCH($C$5&amp;"|"&amp;RIGHT("000000"&amp;233,6),CalcRankKey,0),"")</f>
        <v/>
      </c>
    </row>
    <row r="250">
      <c r="A250" s="28">
        <f>IF($B250="","",234)</f>
        <v/>
      </c>
      <c r="B250" s="28">
        <f>IF($P250="","",IF(INDEX(CalcNormDate,$P250)=0,"",INDEX(CalcNormDate,$P250)))</f>
        <v/>
      </c>
      <c r="C250" s="28">
        <f>IF($P250="","",IF(INDEX(CalcTime,$P250)=0,"",INDEX(CalcTime,$P250)))</f>
        <v/>
      </c>
      <c r="D250" s="28">
        <f>IF($P250="","",IF(INDEX(EntryParty,$P250)=0,"",INDEX(EntryParty,$P250)))</f>
        <v/>
      </c>
      <c r="E250" s="28">
        <f>IF($P250="","",IF(INDEX(EntryPartyName,$P250)=0,"",INDEX(EntryPartyName,$P250)))</f>
        <v/>
      </c>
      <c r="F250" s="28">
        <f>IF($P250="","",IF(INDEX(EntryPartyType,$P250)=0,"",INDEX(EntryPartyType,$P250)))</f>
        <v/>
      </c>
      <c r="G250" s="28">
        <f>IF($P250="","",IF(INDEX(EntryTxnType,$P250)=0,"",INDEX(EntryTxnType,$P250)))</f>
        <v/>
      </c>
      <c r="H250" s="29">
        <f>IF($P250="","",IF(INDEX(EntryDep,$P250)=0,"",INDEX(EntryDep,$P250)))</f>
        <v/>
      </c>
      <c r="I250" s="29">
        <f>IF($P250="","",IF(INDEX(EntryWit,$P250)=0,"",INDEX(EntryWit,$P250)))</f>
        <v/>
      </c>
      <c r="J250" s="29">
        <f>IF($B250="","",IF($A250=1,$C$7,IF(J249="",0,J249))+IF($H250="",0,$H250)-IF($I250="",0,$I250))</f>
        <v/>
      </c>
      <c r="K250" s="29">
        <f>IF($P250="","",IF(INDEX(EntryMan,$P250)=0,"",INDEX(EntryMan,$P250)))</f>
        <v/>
      </c>
      <c r="L250" s="28">
        <f>IF($B250="","",IF($K250="","—",IF(ROUND($K250-$J250,0)=0,"√","×")))</f>
        <v/>
      </c>
      <c r="M250" s="28">
        <f>IF($B250="","",IF(COUNTIFS(EntryDates,$B250,CalcTime,$C250,CalcBank,$C$5,EntryParty,$D250,EntryDep,$H250,EntryWit,$I250)&gt;1,"تکرار",""))</f>
        <v/>
      </c>
      <c r="N250" s="28">
        <f>IF($P250="","",IF(INDEX(EntryNotes,$P250)=0,"",INDEX(EntryNotes,$P250)))</f>
        <v/>
      </c>
      <c r="O250" s="28">
        <f>IF($P250="","",IF(INDEX(EntryTxnID,$P250)=0,"",INDEX(EntryTxnID,$P250)))</f>
        <v/>
      </c>
      <c r="P250" s="28">
        <f>IFERROR(MATCH($C$5&amp;"|"&amp;RIGHT("000000"&amp;234,6),CalcRankKey,0),"")</f>
        <v/>
      </c>
    </row>
    <row r="251">
      <c r="A251" s="26">
        <f>IF($B251="","",235)</f>
        <v/>
      </c>
      <c r="B251" s="26">
        <f>IF($P251="","",IF(INDEX(CalcNormDate,$P251)=0,"",INDEX(CalcNormDate,$P251)))</f>
        <v/>
      </c>
      <c r="C251" s="26">
        <f>IF($P251="","",IF(INDEX(CalcTime,$P251)=0,"",INDEX(CalcTime,$P251)))</f>
        <v/>
      </c>
      <c r="D251" s="26">
        <f>IF($P251="","",IF(INDEX(EntryParty,$P251)=0,"",INDEX(EntryParty,$P251)))</f>
        <v/>
      </c>
      <c r="E251" s="26">
        <f>IF($P251="","",IF(INDEX(EntryPartyName,$P251)=0,"",INDEX(EntryPartyName,$P251)))</f>
        <v/>
      </c>
      <c r="F251" s="26">
        <f>IF($P251="","",IF(INDEX(EntryPartyType,$P251)=0,"",INDEX(EntryPartyType,$P251)))</f>
        <v/>
      </c>
      <c r="G251" s="26">
        <f>IF($P251="","",IF(INDEX(EntryTxnType,$P251)=0,"",INDEX(EntryTxnType,$P251)))</f>
        <v/>
      </c>
      <c r="H251" s="27">
        <f>IF($P251="","",IF(INDEX(EntryDep,$P251)=0,"",INDEX(EntryDep,$P251)))</f>
        <v/>
      </c>
      <c r="I251" s="27">
        <f>IF($P251="","",IF(INDEX(EntryWit,$P251)=0,"",INDEX(EntryWit,$P251)))</f>
        <v/>
      </c>
      <c r="J251" s="27">
        <f>IF($B251="","",IF($A251=1,$C$7,IF(J250="",0,J250))+IF($H251="",0,$H251)-IF($I251="",0,$I251))</f>
        <v/>
      </c>
      <c r="K251" s="27">
        <f>IF($P251="","",IF(INDEX(EntryMan,$P251)=0,"",INDEX(EntryMan,$P251)))</f>
        <v/>
      </c>
      <c r="L251" s="26">
        <f>IF($B251="","",IF($K251="","—",IF(ROUND($K251-$J251,0)=0,"√","×")))</f>
        <v/>
      </c>
      <c r="M251" s="26">
        <f>IF($B251="","",IF(COUNTIFS(EntryDates,$B251,CalcTime,$C251,CalcBank,$C$5,EntryParty,$D251,EntryDep,$H251,EntryWit,$I251)&gt;1,"تکرار",""))</f>
        <v/>
      </c>
      <c r="N251" s="26">
        <f>IF($P251="","",IF(INDEX(EntryNotes,$P251)=0,"",INDEX(EntryNotes,$P251)))</f>
        <v/>
      </c>
      <c r="O251" s="26">
        <f>IF($P251="","",IF(INDEX(EntryTxnID,$P251)=0,"",INDEX(EntryTxnID,$P251)))</f>
        <v/>
      </c>
      <c r="P251" s="26">
        <f>IFERROR(MATCH($C$5&amp;"|"&amp;RIGHT("000000"&amp;235,6),CalcRankKey,0),"")</f>
        <v/>
      </c>
    </row>
    <row r="252">
      <c r="A252" s="28">
        <f>IF($B252="","",236)</f>
        <v/>
      </c>
      <c r="B252" s="28">
        <f>IF($P252="","",IF(INDEX(CalcNormDate,$P252)=0,"",INDEX(CalcNormDate,$P252)))</f>
        <v/>
      </c>
      <c r="C252" s="28">
        <f>IF($P252="","",IF(INDEX(CalcTime,$P252)=0,"",INDEX(CalcTime,$P252)))</f>
        <v/>
      </c>
      <c r="D252" s="28">
        <f>IF($P252="","",IF(INDEX(EntryParty,$P252)=0,"",INDEX(EntryParty,$P252)))</f>
        <v/>
      </c>
      <c r="E252" s="28">
        <f>IF($P252="","",IF(INDEX(EntryPartyName,$P252)=0,"",INDEX(EntryPartyName,$P252)))</f>
        <v/>
      </c>
      <c r="F252" s="28">
        <f>IF($P252="","",IF(INDEX(EntryPartyType,$P252)=0,"",INDEX(EntryPartyType,$P252)))</f>
        <v/>
      </c>
      <c r="G252" s="28">
        <f>IF($P252="","",IF(INDEX(EntryTxnType,$P252)=0,"",INDEX(EntryTxnType,$P252)))</f>
        <v/>
      </c>
      <c r="H252" s="29">
        <f>IF($P252="","",IF(INDEX(EntryDep,$P252)=0,"",INDEX(EntryDep,$P252)))</f>
        <v/>
      </c>
      <c r="I252" s="29">
        <f>IF($P252="","",IF(INDEX(EntryWit,$P252)=0,"",INDEX(EntryWit,$P252)))</f>
        <v/>
      </c>
      <c r="J252" s="29">
        <f>IF($B252="","",IF($A252=1,$C$7,IF(J251="",0,J251))+IF($H252="",0,$H252)-IF($I252="",0,$I252))</f>
        <v/>
      </c>
      <c r="K252" s="29">
        <f>IF($P252="","",IF(INDEX(EntryMan,$P252)=0,"",INDEX(EntryMan,$P252)))</f>
        <v/>
      </c>
      <c r="L252" s="28">
        <f>IF($B252="","",IF($K252="","—",IF(ROUND($K252-$J252,0)=0,"√","×")))</f>
        <v/>
      </c>
      <c r="M252" s="28">
        <f>IF($B252="","",IF(COUNTIFS(EntryDates,$B252,CalcTime,$C252,CalcBank,$C$5,EntryParty,$D252,EntryDep,$H252,EntryWit,$I252)&gt;1,"تکرار",""))</f>
        <v/>
      </c>
      <c r="N252" s="28">
        <f>IF($P252="","",IF(INDEX(EntryNotes,$P252)=0,"",INDEX(EntryNotes,$P252)))</f>
        <v/>
      </c>
      <c r="O252" s="28">
        <f>IF($P252="","",IF(INDEX(EntryTxnID,$P252)=0,"",INDEX(EntryTxnID,$P252)))</f>
        <v/>
      </c>
      <c r="P252" s="28">
        <f>IFERROR(MATCH($C$5&amp;"|"&amp;RIGHT("000000"&amp;236,6),CalcRankKey,0),"")</f>
        <v/>
      </c>
    </row>
    <row r="253">
      <c r="A253" s="26">
        <f>IF($B253="","",237)</f>
        <v/>
      </c>
      <c r="B253" s="26">
        <f>IF($P253="","",IF(INDEX(CalcNormDate,$P253)=0,"",INDEX(CalcNormDate,$P253)))</f>
        <v/>
      </c>
      <c r="C253" s="26">
        <f>IF($P253="","",IF(INDEX(CalcTime,$P253)=0,"",INDEX(CalcTime,$P253)))</f>
        <v/>
      </c>
      <c r="D253" s="26">
        <f>IF($P253="","",IF(INDEX(EntryParty,$P253)=0,"",INDEX(EntryParty,$P253)))</f>
        <v/>
      </c>
      <c r="E253" s="26">
        <f>IF($P253="","",IF(INDEX(EntryPartyName,$P253)=0,"",INDEX(EntryPartyName,$P253)))</f>
        <v/>
      </c>
      <c r="F253" s="26">
        <f>IF($P253="","",IF(INDEX(EntryPartyType,$P253)=0,"",INDEX(EntryPartyType,$P253)))</f>
        <v/>
      </c>
      <c r="G253" s="26">
        <f>IF($P253="","",IF(INDEX(EntryTxnType,$P253)=0,"",INDEX(EntryTxnType,$P253)))</f>
        <v/>
      </c>
      <c r="H253" s="27">
        <f>IF($P253="","",IF(INDEX(EntryDep,$P253)=0,"",INDEX(EntryDep,$P253)))</f>
        <v/>
      </c>
      <c r="I253" s="27">
        <f>IF($P253="","",IF(INDEX(EntryWit,$P253)=0,"",INDEX(EntryWit,$P253)))</f>
        <v/>
      </c>
      <c r="J253" s="27">
        <f>IF($B253="","",IF($A253=1,$C$7,IF(J252="",0,J252))+IF($H253="",0,$H253)-IF($I253="",0,$I253))</f>
        <v/>
      </c>
      <c r="K253" s="27">
        <f>IF($P253="","",IF(INDEX(EntryMan,$P253)=0,"",INDEX(EntryMan,$P253)))</f>
        <v/>
      </c>
      <c r="L253" s="26">
        <f>IF($B253="","",IF($K253="","—",IF(ROUND($K253-$J253,0)=0,"√","×")))</f>
        <v/>
      </c>
      <c r="M253" s="26">
        <f>IF($B253="","",IF(COUNTIFS(EntryDates,$B253,CalcTime,$C253,CalcBank,$C$5,EntryParty,$D253,EntryDep,$H253,EntryWit,$I253)&gt;1,"تکرار",""))</f>
        <v/>
      </c>
      <c r="N253" s="26">
        <f>IF($P253="","",IF(INDEX(EntryNotes,$P253)=0,"",INDEX(EntryNotes,$P253)))</f>
        <v/>
      </c>
      <c r="O253" s="26">
        <f>IF($P253="","",IF(INDEX(EntryTxnID,$P253)=0,"",INDEX(EntryTxnID,$P253)))</f>
        <v/>
      </c>
      <c r="P253" s="26">
        <f>IFERROR(MATCH($C$5&amp;"|"&amp;RIGHT("000000"&amp;237,6),CalcRankKey,0),"")</f>
        <v/>
      </c>
    </row>
    <row r="254">
      <c r="A254" s="28">
        <f>IF($B254="","",238)</f>
        <v/>
      </c>
      <c r="B254" s="28">
        <f>IF($P254="","",IF(INDEX(CalcNormDate,$P254)=0,"",INDEX(CalcNormDate,$P254)))</f>
        <v/>
      </c>
      <c r="C254" s="28">
        <f>IF($P254="","",IF(INDEX(CalcTime,$P254)=0,"",INDEX(CalcTime,$P254)))</f>
        <v/>
      </c>
      <c r="D254" s="28">
        <f>IF($P254="","",IF(INDEX(EntryParty,$P254)=0,"",INDEX(EntryParty,$P254)))</f>
        <v/>
      </c>
      <c r="E254" s="28">
        <f>IF($P254="","",IF(INDEX(EntryPartyName,$P254)=0,"",INDEX(EntryPartyName,$P254)))</f>
        <v/>
      </c>
      <c r="F254" s="28">
        <f>IF($P254="","",IF(INDEX(EntryPartyType,$P254)=0,"",INDEX(EntryPartyType,$P254)))</f>
        <v/>
      </c>
      <c r="G254" s="28">
        <f>IF($P254="","",IF(INDEX(EntryTxnType,$P254)=0,"",INDEX(EntryTxnType,$P254)))</f>
        <v/>
      </c>
      <c r="H254" s="29">
        <f>IF($P254="","",IF(INDEX(EntryDep,$P254)=0,"",INDEX(EntryDep,$P254)))</f>
        <v/>
      </c>
      <c r="I254" s="29">
        <f>IF($P254="","",IF(INDEX(EntryWit,$P254)=0,"",INDEX(EntryWit,$P254)))</f>
        <v/>
      </c>
      <c r="J254" s="29">
        <f>IF($B254="","",IF($A254=1,$C$7,IF(J253="",0,J253))+IF($H254="",0,$H254)-IF($I254="",0,$I254))</f>
        <v/>
      </c>
      <c r="K254" s="29">
        <f>IF($P254="","",IF(INDEX(EntryMan,$P254)=0,"",INDEX(EntryMan,$P254)))</f>
        <v/>
      </c>
      <c r="L254" s="28">
        <f>IF($B254="","",IF($K254="","—",IF(ROUND($K254-$J254,0)=0,"√","×")))</f>
        <v/>
      </c>
      <c r="M254" s="28">
        <f>IF($B254="","",IF(COUNTIFS(EntryDates,$B254,CalcTime,$C254,CalcBank,$C$5,EntryParty,$D254,EntryDep,$H254,EntryWit,$I254)&gt;1,"تکرار",""))</f>
        <v/>
      </c>
      <c r="N254" s="28">
        <f>IF($P254="","",IF(INDEX(EntryNotes,$P254)=0,"",INDEX(EntryNotes,$P254)))</f>
        <v/>
      </c>
      <c r="O254" s="28">
        <f>IF($P254="","",IF(INDEX(EntryTxnID,$P254)=0,"",INDEX(EntryTxnID,$P254)))</f>
        <v/>
      </c>
      <c r="P254" s="28">
        <f>IFERROR(MATCH($C$5&amp;"|"&amp;RIGHT("000000"&amp;238,6),CalcRankKey,0),"")</f>
        <v/>
      </c>
    </row>
    <row r="255">
      <c r="A255" s="26">
        <f>IF($B255="","",239)</f>
        <v/>
      </c>
      <c r="B255" s="26">
        <f>IF($P255="","",IF(INDEX(CalcNormDate,$P255)=0,"",INDEX(CalcNormDate,$P255)))</f>
        <v/>
      </c>
      <c r="C255" s="26">
        <f>IF($P255="","",IF(INDEX(CalcTime,$P255)=0,"",INDEX(CalcTime,$P255)))</f>
        <v/>
      </c>
      <c r="D255" s="26">
        <f>IF($P255="","",IF(INDEX(EntryParty,$P255)=0,"",INDEX(EntryParty,$P255)))</f>
        <v/>
      </c>
      <c r="E255" s="26">
        <f>IF($P255="","",IF(INDEX(EntryPartyName,$P255)=0,"",INDEX(EntryPartyName,$P255)))</f>
        <v/>
      </c>
      <c r="F255" s="26">
        <f>IF($P255="","",IF(INDEX(EntryPartyType,$P255)=0,"",INDEX(EntryPartyType,$P255)))</f>
        <v/>
      </c>
      <c r="G255" s="26">
        <f>IF($P255="","",IF(INDEX(EntryTxnType,$P255)=0,"",INDEX(EntryTxnType,$P255)))</f>
        <v/>
      </c>
      <c r="H255" s="27">
        <f>IF($P255="","",IF(INDEX(EntryDep,$P255)=0,"",INDEX(EntryDep,$P255)))</f>
        <v/>
      </c>
      <c r="I255" s="27">
        <f>IF($P255="","",IF(INDEX(EntryWit,$P255)=0,"",INDEX(EntryWit,$P255)))</f>
        <v/>
      </c>
      <c r="J255" s="27">
        <f>IF($B255="","",IF($A255=1,$C$7,IF(J254="",0,J254))+IF($H255="",0,$H255)-IF($I255="",0,$I255))</f>
        <v/>
      </c>
      <c r="K255" s="27">
        <f>IF($P255="","",IF(INDEX(EntryMan,$P255)=0,"",INDEX(EntryMan,$P255)))</f>
        <v/>
      </c>
      <c r="L255" s="26">
        <f>IF($B255="","",IF($K255="","—",IF(ROUND($K255-$J255,0)=0,"√","×")))</f>
        <v/>
      </c>
      <c r="M255" s="26">
        <f>IF($B255="","",IF(COUNTIFS(EntryDates,$B255,CalcTime,$C255,CalcBank,$C$5,EntryParty,$D255,EntryDep,$H255,EntryWit,$I255)&gt;1,"تکرار",""))</f>
        <v/>
      </c>
      <c r="N255" s="26">
        <f>IF($P255="","",IF(INDEX(EntryNotes,$P255)=0,"",INDEX(EntryNotes,$P255)))</f>
        <v/>
      </c>
      <c r="O255" s="26">
        <f>IF($P255="","",IF(INDEX(EntryTxnID,$P255)=0,"",INDEX(EntryTxnID,$P255)))</f>
        <v/>
      </c>
      <c r="P255" s="26">
        <f>IFERROR(MATCH($C$5&amp;"|"&amp;RIGHT("000000"&amp;239,6),CalcRankKey,0),"")</f>
        <v/>
      </c>
    </row>
    <row r="256">
      <c r="A256" s="28">
        <f>IF($B256="","",240)</f>
        <v/>
      </c>
      <c r="B256" s="28">
        <f>IF($P256="","",IF(INDEX(CalcNormDate,$P256)=0,"",INDEX(CalcNormDate,$P256)))</f>
        <v/>
      </c>
      <c r="C256" s="28">
        <f>IF($P256="","",IF(INDEX(CalcTime,$P256)=0,"",INDEX(CalcTime,$P256)))</f>
        <v/>
      </c>
      <c r="D256" s="28">
        <f>IF($P256="","",IF(INDEX(EntryParty,$P256)=0,"",INDEX(EntryParty,$P256)))</f>
        <v/>
      </c>
      <c r="E256" s="28">
        <f>IF($P256="","",IF(INDEX(EntryPartyName,$P256)=0,"",INDEX(EntryPartyName,$P256)))</f>
        <v/>
      </c>
      <c r="F256" s="28">
        <f>IF($P256="","",IF(INDEX(EntryPartyType,$P256)=0,"",INDEX(EntryPartyType,$P256)))</f>
        <v/>
      </c>
      <c r="G256" s="28">
        <f>IF($P256="","",IF(INDEX(EntryTxnType,$P256)=0,"",INDEX(EntryTxnType,$P256)))</f>
        <v/>
      </c>
      <c r="H256" s="29">
        <f>IF($P256="","",IF(INDEX(EntryDep,$P256)=0,"",INDEX(EntryDep,$P256)))</f>
        <v/>
      </c>
      <c r="I256" s="29">
        <f>IF($P256="","",IF(INDEX(EntryWit,$P256)=0,"",INDEX(EntryWit,$P256)))</f>
        <v/>
      </c>
      <c r="J256" s="29">
        <f>IF($B256="","",IF($A256=1,$C$7,IF(J255="",0,J255))+IF($H256="",0,$H256)-IF($I256="",0,$I256))</f>
        <v/>
      </c>
      <c r="K256" s="29">
        <f>IF($P256="","",IF(INDEX(EntryMan,$P256)=0,"",INDEX(EntryMan,$P256)))</f>
        <v/>
      </c>
      <c r="L256" s="28">
        <f>IF($B256="","",IF($K256="","—",IF(ROUND($K256-$J256,0)=0,"√","×")))</f>
        <v/>
      </c>
      <c r="M256" s="28">
        <f>IF($B256="","",IF(COUNTIFS(EntryDates,$B256,CalcTime,$C256,CalcBank,$C$5,EntryParty,$D256,EntryDep,$H256,EntryWit,$I256)&gt;1,"تکرار",""))</f>
        <v/>
      </c>
      <c r="N256" s="28">
        <f>IF($P256="","",IF(INDEX(EntryNotes,$P256)=0,"",INDEX(EntryNotes,$P256)))</f>
        <v/>
      </c>
      <c r="O256" s="28">
        <f>IF($P256="","",IF(INDEX(EntryTxnID,$P256)=0,"",INDEX(EntryTxnID,$P256)))</f>
        <v/>
      </c>
      <c r="P256" s="28">
        <f>IFERROR(MATCH($C$5&amp;"|"&amp;RIGHT("000000"&amp;240,6),CalcRankKey,0),"")</f>
        <v/>
      </c>
    </row>
    <row r="257">
      <c r="A257" s="26">
        <f>IF($B257="","",241)</f>
        <v/>
      </c>
      <c r="B257" s="26">
        <f>IF($P257="","",IF(INDEX(CalcNormDate,$P257)=0,"",INDEX(CalcNormDate,$P257)))</f>
        <v/>
      </c>
      <c r="C257" s="26">
        <f>IF($P257="","",IF(INDEX(CalcTime,$P257)=0,"",INDEX(CalcTime,$P257)))</f>
        <v/>
      </c>
      <c r="D257" s="26">
        <f>IF($P257="","",IF(INDEX(EntryParty,$P257)=0,"",INDEX(EntryParty,$P257)))</f>
        <v/>
      </c>
      <c r="E257" s="26">
        <f>IF($P257="","",IF(INDEX(EntryPartyName,$P257)=0,"",INDEX(EntryPartyName,$P257)))</f>
        <v/>
      </c>
      <c r="F257" s="26">
        <f>IF($P257="","",IF(INDEX(EntryPartyType,$P257)=0,"",INDEX(EntryPartyType,$P257)))</f>
        <v/>
      </c>
      <c r="G257" s="26">
        <f>IF($P257="","",IF(INDEX(EntryTxnType,$P257)=0,"",INDEX(EntryTxnType,$P257)))</f>
        <v/>
      </c>
      <c r="H257" s="27">
        <f>IF($P257="","",IF(INDEX(EntryDep,$P257)=0,"",INDEX(EntryDep,$P257)))</f>
        <v/>
      </c>
      <c r="I257" s="27">
        <f>IF($P257="","",IF(INDEX(EntryWit,$P257)=0,"",INDEX(EntryWit,$P257)))</f>
        <v/>
      </c>
      <c r="J257" s="27">
        <f>IF($B257="","",IF($A257=1,$C$7,IF(J256="",0,J256))+IF($H257="",0,$H257)-IF($I257="",0,$I257))</f>
        <v/>
      </c>
      <c r="K257" s="27">
        <f>IF($P257="","",IF(INDEX(EntryMan,$P257)=0,"",INDEX(EntryMan,$P257)))</f>
        <v/>
      </c>
      <c r="L257" s="26">
        <f>IF($B257="","",IF($K257="","—",IF(ROUND($K257-$J257,0)=0,"√","×")))</f>
        <v/>
      </c>
      <c r="M257" s="26">
        <f>IF($B257="","",IF(COUNTIFS(EntryDates,$B257,CalcTime,$C257,CalcBank,$C$5,EntryParty,$D257,EntryDep,$H257,EntryWit,$I257)&gt;1,"تکرار",""))</f>
        <v/>
      </c>
      <c r="N257" s="26">
        <f>IF($P257="","",IF(INDEX(EntryNotes,$P257)=0,"",INDEX(EntryNotes,$P257)))</f>
        <v/>
      </c>
      <c r="O257" s="26">
        <f>IF($P257="","",IF(INDEX(EntryTxnID,$P257)=0,"",INDEX(EntryTxnID,$P257)))</f>
        <v/>
      </c>
      <c r="P257" s="26">
        <f>IFERROR(MATCH($C$5&amp;"|"&amp;RIGHT("000000"&amp;241,6),CalcRankKey,0),"")</f>
        <v/>
      </c>
    </row>
    <row r="258">
      <c r="A258" s="28">
        <f>IF($B258="","",242)</f>
        <v/>
      </c>
      <c r="B258" s="28">
        <f>IF($P258="","",IF(INDEX(CalcNormDate,$P258)=0,"",INDEX(CalcNormDate,$P258)))</f>
        <v/>
      </c>
      <c r="C258" s="28">
        <f>IF($P258="","",IF(INDEX(CalcTime,$P258)=0,"",INDEX(CalcTime,$P258)))</f>
        <v/>
      </c>
      <c r="D258" s="28">
        <f>IF($P258="","",IF(INDEX(EntryParty,$P258)=0,"",INDEX(EntryParty,$P258)))</f>
        <v/>
      </c>
      <c r="E258" s="28">
        <f>IF($P258="","",IF(INDEX(EntryPartyName,$P258)=0,"",INDEX(EntryPartyName,$P258)))</f>
        <v/>
      </c>
      <c r="F258" s="28">
        <f>IF($P258="","",IF(INDEX(EntryPartyType,$P258)=0,"",INDEX(EntryPartyType,$P258)))</f>
        <v/>
      </c>
      <c r="G258" s="28">
        <f>IF($P258="","",IF(INDEX(EntryTxnType,$P258)=0,"",INDEX(EntryTxnType,$P258)))</f>
        <v/>
      </c>
      <c r="H258" s="29">
        <f>IF($P258="","",IF(INDEX(EntryDep,$P258)=0,"",INDEX(EntryDep,$P258)))</f>
        <v/>
      </c>
      <c r="I258" s="29">
        <f>IF($P258="","",IF(INDEX(EntryWit,$P258)=0,"",INDEX(EntryWit,$P258)))</f>
        <v/>
      </c>
      <c r="J258" s="29">
        <f>IF($B258="","",IF($A258=1,$C$7,IF(J257="",0,J257))+IF($H258="",0,$H258)-IF($I258="",0,$I258))</f>
        <v/>
      </c>
      <c r="K258" s="29">
        <f>IF($P258="","",IF(INDEX(EntryMan,$P258)=0,"",INDEX(EntryMan,$P258)))</f>
        <v/>
      </c>
      <c r="L258" s="28">
        <f>IF($B258="","",IF($K258="","—",IF(ROUND($K258-$J258,0)=0,"√","×")))</f>
        <v/>
      </c>
      <c r="M258" s="28">
        <f>IF($B258="","",IF(COUNTIFS(EntryDates,$B258,CalcTime,$C258,CalcBank,$C$5,EntryParty,$D258,EntryDep,$H258,EntryWit,$I258)&gt;1,"تکرار",""))</f>
        <v/>
      </c>
      <c r="N258" s="28">
        <f>IF($P258="","",IF(INDEX(EntryNotes,$P258)=0,"",INDEX(EntryNotes,$P258)))</f>
        <v/>
      </c>
      <c r="O258" s="28">
        <f>IF($P258="","",IF(INDEX(EntryTxnID,$P258)=0,"",INDEX(EntryTxnID,$P258)))</f>
        <v/>
      </c>
      <c r="P258" s="28">
        <f>IFERROR(MATCH($C$5&amp;"|"&amp;RIGHT("000000"&amp;242,6),CalcRankKey,0),"")</f>
        <v/>
      </c>
    </row>
    <row r="259">
      <c r="A259" s="26">
        <f>IF($B259="","",243)</f>
        <v/>
      </c>
      <c r="B259" s="26">
        <f>IF($P259="","",IF(INDEX(CalcNormDate,$P259)=0,"",INDEX(CalcNormDate,$P259)))</f>
        <v/>
      </c>
      <c r="C259" s="26">
        <f>IF($P259="","",IF(INDEX(CalcTime,$P259)=0,"",INDEX(CalcTime,$P259)))</f>
        <v/>
      </c>
      <c r="D259" s="26">
        <f>IF($P259="","",IF(INDEX(EntryParty,$P259)=0,"",INDEX(EntryParty,$P259)))</f>
        <v/>
      </c>
      <c r="E259" s="26">
        <f>IF($P259="","",IF(INDEX(EntryPartyName,$P259)=0,"",INDEX(EntryPartyName,$P259)))</f>
        <v/>
      </c>
      <c r="F259" s="26">
        <f>IF($P259="","",IF(INDEX(EntryPartyType,$P259)=0,"",INDEX(EntryPartyType,$P259)))</f>
        <v/>
      </c>
      <c r="G259" s="26">
        <f>IF($P259="","",IF(INDEX(EntryTxnType,$P259)=0,"",INDEX(EntryTxnType,$P259)))</f>
        <v/>
      </c>
      <c r="H259" s="27">
        <f>IF($P259="","",IF(INDEX(EntryDep,$P259)=0,"",INDEX(EntryDep,$P259)))</f>
        <v/>
      </c>
      <c r="I259" s="27">
        <f>IF($P259="","",IF(INDEX(EntryWit,$P259)=0,"",INDEX(EntryWit,$P259)))</f>
        <v/>
      </c>
      <c r="J259" s="27">
        <f>IF($B259="","",IF($A259=1,$C$7,IF(J258="",0,J258))+IF($H259="",0,$H259)-IF($I259="",0,$I259))</f>
        <v/>
      </c>
      <c r="K259" s="27">
        <f>IF($P259="","",IF(INDEX(EntryMan,$P259)=0,"",INDEX(EntryMan,$P259)))</f>
        <v/>
      </c>
      <c r="L259" s="26">
        <f>IF($B259="","",IF($K259="","—",IF(ROUND($K259-$J259,0)=0,"√","×")))</f>
        <v/>
      </c>
      <c r="M259" s="26">
        <f>IF($B259="","",IF(COUNTIFS(EntryDates,$B259,CalcTime,$C259,CalcBank,$C$5,EntryParty,$D259,EntryDep,$H259,EntryWit,$I259)&gt;1,"تکرار",""))</f>
        <v/>
      </c>
      <c r="N259" s="26">
        <f>IF($P259="","",IF(INDEX(EntryNotes,$P259)=0,"",INDEX(EntryNotes,$P259)))</f>
        <v/>
      </c>
      <c r="O259" s="26">
        <f>IF($P259="","",IF(INDEX(EntryTxnID,$P259)=0,"",INDEX(EntryTxnID,$P259)))</f>
        <v/>
      </c>
      <c r="P259" s="26">
        <f>IFERROR(MATCH($C$5&amp;"|"&amp;RIGHT("000000"&amp;243,6),CalcRankKey,0),"")</f>
        <v/>
      </c>
    </row>
    <row r="260">
      <c r="A260" s="28">
        <f>IF($B260="","",244)</f>
        <v/>
      </c>
      <c r="B260" s="28">
        <f>IF($P260="","",IF(INDEX(CalcNormDate,$P260)=0,"",INDEX(CalcNormDate,$P260)))</f>
        <v/>
      </c>
      <c r="C260" s="28">
        <f>IF($P260="","",IF(INDEX(CalcTime,$P260)=0,"",INDEX(CalcTime,$P260)))</f>
        <v/>
      </c>
      <c r="D260" s="28">
        <f>IF($P260="","",IF(INDEX(EntryParty,$P260)=0,"",INDEX(EntryParty,$P260)))</f>
        <v/>
      </c>
      <c r="E260" s="28">
        <f>IF($P260="","",IF(INDEX(EntryPartyName,$P260)=0,"",INDEX(EntryPartyName,$P260)))</f>
        <v/>
      </c>
      <c r="F260" s="28">
        <f>IF($P260="","",IF(INDEX(EntryPartyType,$P260)=0,"",INDEX(EntryPartyType,$P260)))</f>
        <v/>
      </c>
      <c r="G260" s="28">
        <f>IF($P260="","",IF(INDEX(EntryTxnType,$P260)=0,"",INDEX(EntryTxnType,$P260)))</f>
        <v/>
      </c>
      <c r="H260" s="29">
        <f>IF($P260="","",IF(INDEX(EntryDep,$P260)=0,"",INDEX(EntryDep,$P260)))</f>
        <v/>
      </c>
      <c r="I260" s="29">
        <f>IF($P260="","",IF(INDEX(EntryWit,$P260)=0,"",INDEX(EntryWit,$P260)))</f>
        <v/>
      </c>
      <c r="J260" s="29">
        <f>IF($B260="","",IF($A260=1,$C$7,IF(J259="",0,J259))+IF($H260="",0,$H260)-IF($I260="",0,$I260))</f>
        <v/>
      </c>
      <c r="K260" s="29">
        <f>IF($P260="","",IF(INDEX(EntryMan,$P260)=0,"",INDEX(EntryMan,$P260)))</f>
        <v/>
      </c>
      <c r="L260" s="28">
        <f>IF($B260="","",IF($K260="","—",IF(ROUND($K260-$J260,0)=0,"√","×")))</f>
        <v/>
      </c>
      <c r="M260" s="28">
        <f>IF($B260="","",IF(COUNTIFS(EntryDates,$B260,CalcTime,$C260,CalcBank,$C$5,EntryParty,$D260,EntryDep,$H260,EntryWit,$I260)&gt;1,"تکرار",""))</f>
        <v/>
      </c>
      <c r="N260" s="28">
        <f>IF($P260="","",IF(INDEX(EntryNotes,$P260)=0,"",INDEX(EntryNotes,$P260)))</f>
        <v/>
      </c>
      <c r="O260" s="28">
        <f>IF($P260="","",IF(INDEX(EntryTxnID,$P260)=0,"",INDEX(EntryTxnID,$P260)))</f>
        <v/>
      </c>
      <c r="P260" s="28">
        <f>IFERROR(MATCH($C$5&amp;"|"&amp;RIGHT("000000"&amp;244,6),CalcRankKey,0),"")</f>
        <v/>
      </c>
    </row>
    <row r="261">
      <c r="A261" s="26">
        <f>IF($B261="","",245)</f>
        <v/>
      </c>
      <c r="B261" s="26">
        <f>IF($P261="","",IF(INDEX(CalcNormDate,$P261)=0,"",INDEX(CalcNormDate,$P261)))</f>
        <v/>
      </c>
      <c r="C261" s="26">
        <f>IF($P261="","",IF(INDEX(CalcTime,$P261)=0,"",INDEX(CalcTime,$P261)))</f>
        <v/>
      </c>
      <c r="D261" s="26">
        <f>IF($P261="","",IF(INDEX(EntryParty,$P261)=0,"",INDEX(EntryParty,$P261)))</f>
        <v/>
      </c>
      <c r="E261" s="26">
        <f>IF($P261="","",IF(INDEX(EntryPartyName,$P261)=0,"",INDEX(EntryPartyName,$P261)))</f>
        <v/>
      </c>
      <c r="F261" s="26">
        <f>IF($P261="","",IF(INDEX(EntryPartyType,$P261)=0,"",INDEX(EntryPartyType,$P261)))</f>
        <v/>
      </c>
      <c r="G261" s="26">
        <f>IF($P261="","",IF(INDEX(EntryTxnType,$P261)=0,"",INDEX(EntryTxnType,$P261)))</f>
        <v/>
      </c>
      <c r="H261" s="27">
        <f>IF($P261="","",IF(INDEX(EntryDep,$P261)=0,"",INDEX(EntryDep,$P261)))</f>
        <v/>
      </c>
      <c r="I261" s="27">
        <f>IF($P261="","",IF(INDEX(EntryWit,$P261)=0,"",INDEX(EntryWit,$P261)))</f>
        <v/>
      </c>
      <c r="J261" s="27">
        <f>IF($B261="","",IF($A261=1,$C$7,IF(J260="",0,J260))+IF($H261="",0,$H261)-IF($I261="",0,$I261))</f>
        <v/>
      </c>
      <c r="K261" s="27">
        <f>IF($P261="","",IF(INDEX(EntryMan,$P261)=0,"",INDEX(EntryMan,$P261)))</f>
        <v/>
      </c>
      <c r="L261" s="26">
        <f>IF($B261="","",IF($K261="","—",IF(ROUND($K261-$J261,0)=0,"√","×")))</f>
        <v/>
      </c>
      <c r="M261" s="26">
        <f>IF($B261="","",IF(COUNTIFS(EntryDates,$B261,CalcTime,$C261,CalcBank,$C$5,EntryParty,$D261,EntryDep,$H261,EntryWit,$I261)&gt;1,"تکرار",""))</f>
        <v/>
      </c>
      <c r="N261" s="26">
        <f>IF($P261="","",IF(INDEX(EntryNotes,$P261)=0,"",INDEX(EntryNotes,$P261)))</f>
        <v/>
      </c>
      <c r="O261" s="26">
        <f>IF($P261="","",IF(INDEX(EntryTxnID,$P261)=0,"",INDEX(EntryTxnID,$P261)))</f>
        <v/>
      </c>
      <c r="P261" s="26">
        <f>IFERROR(MATCH($C$5&amp;"|"&amp;RIGHT("000000"&amp;245,6),CalcRankKey,0),"")</f>
        <v/>
      </c>
    </row>
    <row r="262">
      <c r="A262" s="28">
        <f>IF($B262="","",246)</f>
        <v/>
      </c>
      <c r="B262" s="28">
        <f>IF($P262="","",IF(INDEX(CalcNormDate,$P262)=0,"",INDEX(CalcNormDate,$P262)))</f>
        <v/>
      </c>
      <c r="C262" s="28">
        <f>IF($P262="","",IF(INDEX(CalcTime,$P262)=0,"",INDEX(CalcTime,$P262)))</f>
        <v/>
      </c>
      <c r="D262" s="28">
        <f>IF($P262="","",IF(INDEX(EntryParty,$P262)=0,"",INDEX(EntryParty,$P262)))</f>
        <v/>
      </c>
      <c r="E262" s="28">
        <f>IF($P262="","",IF(INDEX(EntryPartyName,$P262)=0,"",INDEX(EntryPartyName,$P262)))</f>
        <v/>
      </c>
      <c r="F262" s="28">
        <f>IF($P262="","",IF(INDEX(EntryPartyType,$P262)=0,"",INDEX(EntryPartyType,$P262)))</f>
        <v/>
      </c>
      <c r="G262" s="28">
        <f>IF($P262="","",IF(INDEX(EntryTxnType,$P262)=0,"",INDEX(EntryTxnType,$P262)))</f>
        <v/>
      </c>
      <c r="H262" s="29">
        <f>IF($P262="","",IF(INDEX(EntryDep,$P262)=0,"",INDEX(EntryDep,$P262)))</f>
        <v/>
      </c>
      <c r="I262" s="29">
        <f>IF($P262="","",IF(INDEX(EntryWit,$P262)=0,"",INDEX(EntryWit,$P262)))</f>
        <v/>
      </c>
      <c r="J262" s="29">
        <f>IF($B262="","",IF($A262=1,$C$7,IF(J261="",0,J261))+IF($H262="",0,$H262)-IF($I262="",0,$I262))</f>
        <v/>
      </c>
      <c r="K262" s="29">
        <f>IF($P262="","",IF(INDEX(EntryMan,$P262)=0,"",INDEX(EntryMan,$P262)))</f>
        <v/>
      </c>
      <c r="L262" s="28">
        <f>IF($B262="","",IF($K262="","—",IF(ROUND($K262-$J262,0)=0,"√","×")))</f>
        <v/>
      </c>
      <c r="M262" s="28">
        <f>IF($B262="","",IF(COUNTIFS(EntryDates,$B262,CalcTime,$C262,CalcBank,$C$5,EntryParty,$D262,EntryDep,$H262,EntryWit,$I262)&gt;1,"تکرار",""))</f>
        <v/>
      </c>
      <c r="N262" s="28">
        <f>IF($P262="","",IF(INDEX(EntryNotes,$P262)=0,"",INDEX(EntryNotes,$P262)))</f>
        <v/>
      </c>
      <c r="O262" s="28">
        <f>IF($P262="","",IF(INDEX(EntryTxnID,$P262)=0,"",INDEX(EntryTxnID,$P262)))</f>
        <v/>
      </c>
      <c r="P262" s="28">
        <f>IFERROR(MATCH($C$5&amp;"|"&amp;RIGHT("000000"&amp;246,6),CalcRankKey,0),"")</f>
        <v/>
      </c>
    </row>
    <row r="263">
      <c r="A263" s="26">
        <f>IF($B263="","",247)</f>
        <v/>
      </c>
      <c r="B263" s="26">
        <f>IF($P263="","",IF(INDEX(CalcNormDate,$P263)=0,"",INDEX(CalcNormDate,$P263)))</f>
        <v/>
      </c>
      <c r="C263" s="26">
        <f>IF($P263="","",IF(INDEX(CalcTime,$P263)=0,"",INDEX(CalcTime,$P263)))</f>
        <v/>
      </c>
      <c r="D263" s="26">
        <f>IF($P263="","",IF(INDEX(EntryParty,$P263)=0,"",INDEX(EntryParty,$P263)))</f>
        <v/>
      </c>
      <c r="E263" s="26">
        <f>IF($P263="","",IF(INDEX(EntryPartyName,$P263)=0,"",INDEX(EntryPartyName,$P263)))</f>
        <v/>
      </c>
      <c r="F263" s="26">
        <f>IF($P263="","",IF(INDEX(EntryPartyType,$P263)=0,"",INDEX(EntryPartyType,$P263)))</f>
        <v/>
      </c>
      <c r="G263" s="26">
        <f>IF($P263="","",IF(INDEX(EntryTxnType,$P263)=0,"",INDEX(EntryTxnType,$P263)))</f>
        <v/>
      </c>
      <c r="H263" s="27">
        <f>IF($P263="","",IF(INDEX(EntryDep,$P263)=0,"",INDEX(EntryDep,$P263)))</f>
        <v/>
      </c>
      <c r="I263" s="27">
        <f>IF($P263="","",IF(INDEX(EntryWit,$P263)=0,"",INDEX(EntryWit,$P263)))</f>
        <v/>
      </c>
      <c r="J263" s="27">
        <f>IF($B263="","",IF($A263=1,$C$7,IF(J262="",0,J262))+IF($H263="",0,$H263)-IF($I263="",0,$I263))</f>
        <v/>
      </c>
      <c r="K263" s="27">
        <f>IF($P263="","",IF(INDEX(EntryMan,$P263)=0,"",INDEX(EntryMan,$P263)))</f>
        <v/>
      </c>
      <c r="L263" s="26">
        <f>IF($B263="","",IF($K263="","—",IF(ROUND($K263-$J263,0)=0,"√","×")))</f>
        <v/>
      </c>
      <c r="M263" s="26">
        <f>IF($B263="","",IF(COUNTIFS(EntryDates,$B263,CalcTime,$C263,CalcBank,$C$5,EntryParty,$D263,EntryDep,$H263,EntryWit,$I263)&gt;1,"تکرار",""))</f>
        <v/>
      </c>
      <c r="N263" s="26">
        <f>IF($P263="","",IF(INDEX(EntryNotes,$P263)=0,"",INDEX(EntryNotes,$P263)))</f>
        <v/>
      </c>
      <c r="O263" s="26">
        <f>IF($P263="","",IF(INDEX(EntryTxnID,$P263)=0,"",INDEX(EntryTxnID,$P263)))</f>
        <v/>
      </c>
      <c r="P263" s="26">
        <f>IFERROR(MATCH($C$5&amp;"|"&amp;RIGHT("000000"&amp;247,6),CalcRankKey,0),"")</f>
        <v/>
      </c>
    </row>
    <row r="264">
      <c r="A264" s="28">
        <f>IF($B264="","",248)</f>
        <v/>
      </c>
      <c r="B264" s="28">
        <f>IF($P264="","",IF(INDEX(CalcNormDate,$P264)=0,"",INDEX(CalcNormDate,$P264)))</f>
        <v/>
      </c>
      <c r="C264" s="28">
        <f>IF($P264="","",IF(INDEX(CalcTime,$P264)=0,"",INDEX(CalcTime,$P264)))</f>
        <v/>
      </c>
      <c r="D264" s="28">
        <f>IF($P264="","",IF(INDEX(EntryParty,$P264)=0,"",INDEX(EntryParty,$P264)))</f>
        <v/>
      </c>
      <c r="E264" s="28">
        <f>IF($P264="","",IF(INDEX(EntryPartyName,$P264)=0,"",INDEX(EntryPartyName,$P264)))</f>
        <v/>
      </c>
      <c r="F264" s="28">
        <f>IF($P264="","",IF(INDEX(EntryPartyType,$P264)=0,"",INDEX(EntryPartyType,$P264)))</f>
        <v/>
      </c>
      <c r="G264" s="28">
        <f>IF($P264="","",IF(INDEX(EntryTxnType,$P264)=0,"",INDEX(EntryTxnType,$P264)))</f>
        <v/>
      </c>
      <c r="H264" s="29">
        <f>IF($P264="","",IF(INDEX(EntryDep,$P264)=0,"",INDEX(EntryDep,$P264)))</f>
        <v/>
      </c>
      <c r="I264" s="29">
        <f>IF($P264="","",IF(INDEX(EntryWit,$P264)=0,"",INDEX(EntryWit,$P264)))</f>
        <v/>
      </c>
      <c r="J264" s="29">
        <f>IF($B264="","",IF($A264=1,$C$7,IF(J263="",0,J263))+IF($H264="",0,$H264)-IF($I264="",0,$I264))</f>
        <v/>
      </c>
      <c r="K264" s="29">
        <f>IF($P264="","",IF(INDEX(EntryMan,$P264)=0,"",INDEX(EntryMan,$P264)))</f>
        <v/>
      </c>
      <c r="L264" s="28">
        <f>IF($B264="","",IF($K264="","—",IF(ROUND($K264-$J264,0)=0,"√","×")))</f>
        <v/>
      </c>
      <c r="M264" s="28">
        <f>IF($B264="","",IF(COUNTIFS(EntryDates,$B264,CalcTime,$C264,CalcBank,$C$5,EntryParty,$D264,EntryDep,$H264,EntryWit,$I264)&gt;1,"تکرار",""))</f>
        <v/>
      </c>
      <c r="N264" s="28">
        <f>IF($P264="","",IF(INDEX(EntryNotes,$P264)=0,"",INDEX(EntryNotes,$P264)))</f>
        <v/>
      </c>
      <c r="O264" s="28">
        <f>IF($P264="","",IF(INDEX(EntryTxnID,$P264)=0,"",INDEX(EntryTxnID,$P264)))</f>
        <v/>
      </c>
      <c r="P264" s="28">
        <f>IFERROR(MATCH($C$5&amp;"|"&amp;RIGHT("000000"&amp;248,6),CalcRankKey,0),"")</f>
        <v/>
      </c>
    </row>
    <row r="265">
      <c r="A265" s="26">
        <f>IF($B265="","",249)</f>
        <v/>
      </c>
      <c r="B265" s="26">
        <f>IF($P265="","",IF(INDEX(CalcNormDate,$P265)=0,"",INDEX(CalcNormDate,$P265)))</f>
        <v/>
      </c>
      <c r="C265" s="26">
        <f>IF($P265="","",IF(INDEX(CalcTime,$P265)=0,"",INDEX(CalcTime,$P265)))</f>
        <v/>
      </c>
      <c r="D265" s="26">
        <f>IF($P265="","",IF(INDEX(EntryParty,$P265)=0,"",INDEX(EntryParty,$P265)))</f>
        <v/>
      </c>
      <c r="E265" s="26">
        <f>IF($P265="","",IF(INDEX(EntryPartyName,$P265)=0,"",INDEX(EntryPartyName,$P265)))</f>
        <v/>
      </c>
      <c r="F265" s="26">
        <f>IF($P265="","",IF(INDEX(EntryPartyType,$P265)=0,"",INDEX(EntryPartyType,$P265)))</f>
        <v/>
      </c>
      <c r="G265" s="26">
        <f>IF($P265="","",IF(INDEX(EntryTxnType,$P265)=0,"",INDEX(EntryTxnType,$P265)))</f>
        <v/>
      </c>
      <c r="H265" s="27">
        <f>IF($P265="","",IF(INDEX(EntryDep,$P265)=0,"",INDEX(EntryDep,$P265)))</f>
        <v/>
      </c>
      <c r="I265" s="27">
        <f>IF($P265="","",IF(INDEX(EntryWit,$P265)=0,"",INDEX(EntryWit,$P265)))</f>
        <v/>
      </c>
      <c r="J265" s="27">
        <f>IF($B265="","",IF($A265=1,$C$7,IF(J264="",0,J264))+IF($H265="",0,$H265)-IF($I265="",0,$I265))</f>
        <v/>
      </c>
      <c r="K265" s="27">
        <f>IF($P265="","",IF(INDEX(EntryMan,$P265)=0,"",INDEX(EntryMan,$P265)))</f>
        <v/>
      </c>
      <c r="L265" s="26">
        <f>IF($B265="","",IF($K265="","—",IF(ROUND($K265-$J265,0)=0,"√","×")))</f>
        <v/>
      </c>
      <c r="M265" s="26">
        <f>IF($B265="","",IF(COUNTIFS(EntryDates,$B265,CalcTime,$C265,CalcBank,$C$5,EntryParty,$D265,EntryDep,$H265,EntryWit,$I265)&gt;1,"تکرار",""))</f>
        <v/>
      </c>
      <c r="N265" s="26">
        <f>IF($P265="","",IF(INDEX(EntryNotes,$P265)=0,"",INDEX(EntryNotes,$P265)))</f>
        <v/>
      </c>
      <c r="O265" s="26">
        <f>IF($P265="","",IF(INDEX(EntryTxnID,$P265)=0,"",INDEX(EntryTxnID,$P265)))</f>
        <v/>
      </c>
      <c r="P265" s="26">
        <f>IFERROR(MATCH($C$5&amp;"|"&amp;RIGHT("000000"&amp;249,6),CalcRankKey,0),"")</f>
        <v/>
      </c>
    </row>
    <row r="266">
      <c r="A266" s="28">
        <f>IF($B266="","",250)</f>
        <v/>
      </c>
      <c r="B266" s="28">
        <f>IF($P266="","",IF(INDEX(CalcNormDate,$P266)=0,"",INDEX(CalcNormDate,$P266)))</f>
        <v/>
      </c>
      <c r="C266" s="28">
        <f>IF($P266="","",IF(INDEX(CalcTime,$P266)=0,"",INDEX(CalcTime,$P266)))</f>
        <v/>
      </c>
      <c r="D266" s="28">
        <f>IF($P266="","",IF(INDEX(EntryParty,$P266)=0,"",INDEX(EntryParty,$P266)))</f>
        <v/>
      </c>
      <c r="E266" s="28">
        <f>IF($P266="","",IF(INDEX(EntryPartyName,$P266)=0,"",INDEX(EntryPartyName,$P266)))</f>
        <v/>
      </c>
      <c r="F266" s="28">
        <f>IF($P266="","",IF(INDEX(EntryPartyType,$P266)=0,"",INDEX(EntryPartyType,$P266)))</f>
        <v/>
      </c>
      <c r="G266" s="28">
        <f>IF($P266="","",IF(INDEX(EntryTxnType,$P266)=0,"",INDEX(EntryTxnType,$P266)))</f>
        <v/>
      </c>
      <c r="H266" s="29">
        <f>IF($P266="","",IF(INDEX(EntryDep,$P266)=0,"",INDEX(EntryDep,$P266)))</f>
        <v/>
      </c>
      <c r="I266" s="29">
        <f>IF($P266="","",IF(INDEX(EntryWit,$P266)=0,"",INDEX(EntryWit,$P266)))</f>
        <v/>
      </c>
      <c r="J266" s="29">
        <f>IF($B266="","",IF($A266=1,$C$7,IF(J265="",0,J265))+IF($H266="",0,$H266)-IF($I266="",0,$I266))</f>
        <v/>
      </c>
      <c r="K266" s="29">
        <f>IF($P266="","",IF(INDEX(EntryMan,$P266)=0,"",INDEX(EntryMan,$P266)))</f>
        <v/>
      </c>
      <c r="L266" s="28">
        <f>IF($B266="","",IF($K266="","—",IF(ROUND($K266-$J266,0)=0,"√","×")))</f>
        <v/>
      </c>
      <c r="M266" s="28">
        <f>IF($B266="","",IF(COUNTIFS(EntryDates,$B266,CalcTime,$C266,CalcBank,$C$5,EntryParty,$D266,EntryDep,$H266,EntryWit,$I266)&gt;1,"تکرار",""))</f>
        <v/>
      </c>
      <c r="N266" s="28">
        <f>IF($P266="","",IF(INDEX(EntryNotes,$P266)=0,"",INDEX(EntryNotes,$P266)))</f>
        <v/>
      </c>
      <c r="O266" s="28">
        <f>IF($P266="","",IF(INDEX(EntryTxnID,$P266)=0,"",INDEX(EntryTxnID,$P266)))</f>
        <v/>
      </c>
      <c r="P266" s="28">
        <f>IFERROR(MATCH($C$5&amp;"|"&amp;RIGHT("000000"&amp;250,6),CalcRankKey,0),"")</f>
        <v/>
      </c>
    </row>
    <row r="267">
      <c r="A267" s="26">
        <f>IF($B267="","",251)</f>
        <v/>
      </c>
      <c r="B267" s="26">
        <f>IF($P267="","",IF(INDEX(CalcNormDate,$P267)=0,"",INDEX(CalcNormDate,$P267)))</f>
        <v/>
      </c>
      <c r="C267" s="26">
        <f>IF($P267="","",IF(INDEX(CalcTime,$P267)=0,"",INDEX(CalcTime,$P267)))</f>
        <v/>
      </c>
      <c r="D267" s="26">
        <f>IF($P267="","",IF(INDEX(EntryParty,$P267)=0,"",INDEX(EntryParty,$P267)))</f>
        <v/>
      </c>
      <c r="E267" s="26">
        <f>IF($P267="","",IF(INDEX(EntryPartyName,$P267)=0,"",INDEX(EntryPartyName,$P267)))</f>
        <v/>
      </c>
      <c r="F267" s="26">
        <f>IF($P267="","",IF(INDEX(EntryPartyType,$P267)=0,"",INDEX(EntryPartyType,$P267)))</f>
        <v/>
      </c>
      <c r="G267" s="26">
        <f>IF($P267="","",IF(INDEX(EntryTxnType,$P267)=0,"",INDEX(EntryTxnType,$P267)))</f>
        <v/>
      </c>
      <c r="H267" s="27">
        <f>IF($P267="","",IF(INDEX(EntryDep,$P267)=0,"",INDEX(EntryDep,$P267)))</f>
        <v/>
      </c>
      <c r="I267" s="27">
        <f>IF($P267="","",IF(INDEX(EntryWit,$P267)=0,"",INDEX(EntryWit,$P267)))</f>
        <v/>
      </c>
      <c r="J267" s="27">
        <f>IF($B267="","",IF($A267=1,$C$7,IF(J266="",0,J266))+IF($H267="",0,$H267)-IF($I267="",0,$I267))</f>
        <v/>
      </c>
      <c r="K267" s="27">
        <f>IF($P267="","",IF(INDEX(EntryMan,$P267)=0,"",INDEX(EntryMan,$P267)))</f>
        <v/>
      </c>
      <c r="L267" s="26">
        <f>IF($B267="","",IF($K267="","—",IF(ROUND($K267-$J267,0)=0,"√","×")))</f>
        <v/>
      </c>
      <c r="M267" s="26">
        <f>IF($B267="","",IF(COUNTIFS(EntryDates,$B267,CalcTime,$C267,CalcBank,$C$5,EntryParty,$D267,EntryDep,$H267,EntryWit,$I267)&gt;1,"تکرار",""))</f>
        <v/>
      </c>
      <c r="N267" s="26">
        <f>IF($P267="","",IF(INDEX(EntryNotes,$P267)=0,"",INDEX(EntryNotes,$P267)))</f>
        <v/>
      </c>
      <c r="O267" s="26">
        <f>IF($P267="","",IF(INDEX(EntryTxnID,$P267)=0,"",INDEX(EntryTxnID,$P267)))</f>
        <v/>
      </c>
      <c r="P267" s="26">
        <f>IFERROR(MATCH($C$5&amp;"|"&amp;RIGHT("000000"&amp;251,6),CalcRankKey,0),"")</f>
        <v/>
      </c>
    </row>
    <row r="268">
      <c r="A268" s="28">
        <f>IF($B268="","",252)</f>
        <v/>
      </c>
      <c r="B268" s="28">
        <f>IF($P268="","",IF(INDEX(CalcNormDate,$P268)=0,"",INDEX(CalcNormDate,$P268)))</f>
        <v/>
      </c>
      <c r="C268" s="28">
        <f>IF($P268="","",IF(INDEX(CalcTime,$P268)=0,"",INDEX(CalcTime,$P268)))</f>
        <v/>
      </c>
      <c r="D268" s="28">
        <f>IF($P268="","",IF(INDEX(EntryParty,$P268)=0,"",INDEX(EntryParty,$P268)))</f>
        <v/>
      </c>
      <c r="E268" s="28">
        <f>IF($P268="","",IF(INDEX(EntryPartyName,$P268)=0,"",INDEX(EntryPartyName,$P268)))</f>
        <v/>
      </c>
      <c r="F268" s="28">
        <f>IF($P268="","",IF(INDEX(EntryPartyType,$P268)=0,"",INDEX(EntryPartyType,$P268)))</f>
        <v/>
      </c>
      <c r="G268" s="28">
        <f>IF($P268="","",IF(INDEX(EntryTxnType,$P268)=0,"",INDEX(EntryTxnType,$P268)))</f>
        <v/>
      </c>
      <c r="H268" s="29">
        <f>IF($P268="","",IF(INDEX(EntryDep,$P268)=0,"",INDEX(EntryDep,$P268)))</f>
        <v/>
      </c>
      <c r="I268" s="29">
        <f>IF($P268="","",IF(INDEX(EntryWit,$P268)=0,"",INDEX(EntryWit,$P268)))</f>
        <v/>
      </c>
      <c r="J268" s="29">
        <f>IF($B268="","",IF($A268=1,$C$7,IF(J267="",0,J267))+IF($H268="",0,$H268)-IF($I268="",0,$I268))</f>
        <v/>
      </c>
      <c r="K268" s="29">
        <f>IF($P268="","",IF(INDEX(EntryMan,$P268)=0,"",INDEX(EntryMan,$P268)))</f>
        <v/>
      </c>
      <c r="L268" s="28">
        <f>IF($B268="","",IF($K268="","—",IF(ROUND($K268-$J268,0)=0,"√","×")))</f>
        <v/>
      </c>
      <c r="M268" s="28">
        <f>IF($B268="","",IF(COUNTIFS(EntryDates,$B268,CalcTime,$C268,CalcBank,$C$5,EntryParty,$D268,EntryDep,$H268,EntryWit,$I268)&gt;1,"تکرار",""))</f>
        <v/>
      </c>
      <c r="N268" s="28">
        <f>IF($P268="","",IF(INDEX(EntryNotes,$P268)=0,"",INDEX(EntryNotes,$P268)))</f>
        <v/>
      </c>
      <c r="O268" s="28">
        <f>IF($P268="","",IF(INDEX(EntryTxnID,$P268)=0,"",INDEX(EntryTxnID,$P268)))</f>
        <v/>
      </c>
      <c r="P268" s="28">
        <f>IFERROR(MATCH($C$5&amp;"|"&amp;RIGHT("000000"&amp;252,6),CalcRankKey,0),"")</f>
        <v/>
      </c>
    </row>
    <row r="269">
      <c r="A269" s="26">
        <f>IF($B269="","",253)</f>
        <v/>
      </c>
      <c r="B269" s="26">
        <f>IF($P269="","",IF(INDEX(CalcNormDate,$P269)=0,"",INDEX(CalcNormDate,$P269)))</f>
        <v/>
      </c>
      <c r="C269" s="26">
        <f>IF($P269="","",IF(INDEX(CalcTime,$P269)=0,"",INDEX(CalcTime,$P269)))</f>
        <v/>
      </c>
      <c r="D269" s="26">
        <f>IF($P269="","",IF(INDEX(EntryParty,$P269)=0,"",INDEX(EntryParty,$P269)))</f>
        <v/>
      </c>
      <c r="E269" s="26">
        <f>IF($P269="","",IF(INDEX(EntryPartyName,$P269)=0,"",INDEX(EntryPartyName,$P269)))</f>
        <v/>
      </c>
      <c r="F269" s="26">
        <f>IF($P269="","",IF(INDEX(EntryPartyType,$P269)=0,"",INDEX(EntryPartyType,$P269)))</f>
        <v/>
      </c>
      <c r="G269" s="26">
        <f>IF($P269="","",IF(INDEX(EntryTxnType,$P269)=0,"",INDEX(EntryTxnType,$P269)))</f>
        <v/>
      </c>
      <c r="H269" s="27">
        <f>IF($P269="","",IF(INDEX(EntryDep,$P269)=0,"",INDEX(EntryDep,$P269)))</f>
        <v/>
      </c>
      <c r="I269" s="27">
        <f>IF($P269="","",IF(INDEX(EntryWit,$P269)=0,"",INDEX(EntryWit,$P269)))</f>
        <v/>
      </c>
      <c r="J269" s="27">
        <f>IF($B269="","",IF($A269=1,$C$7,IF(J268="",0,J268))+IF($H269="",0,$H269)-IF($I269="",0,$I269))</f>
        <v/>
      </c>
      <c r="K269" s="27">
        <f>IF($P269="","",IF(INDEX(EntryMan,$P269)=0,"",INDEX(EntryMan,$P269)))</f>
        <v/>
      </c>
      <c r="L269" s="26">
        <f>IF($B269="","",IF($K269="","—",IF(ROUND($K269-$J269,0)=0,"√","×")))</f>
        <v/>
      </c>
      <c r="M269" s="26">
        <f>IF($B269="","",IF(COUNTIFS(EntryDates,$B269,CalcTime,$C269,CalcBank,$C$5,EntryParty,$D269,EntryDep,$H269,EntryWit,$I269)&gt;1,"تکرار",""))</f>
        <v/>
      </c>
      <c r="N269" s="26">
        <f>IF($P269="","",IF(INDEX(EntryNotes,$P269)=0,"",INDEX(EntryNotes,$P269)))</f>
        <v/>
      </c>
      <c r="O269" s="26">
        <f>IF($P269="","",IF(INDEX(EntryTxnID,$P269)=0,"",INDEX(EntryTxnID,$P269)))</f>
        <v/>
      </c>
      <c r="P269" s="26">
        <f>IFERROR(MATCH($C$5&amp;"|"&amp;RIGHT("000000"&amp;253,6),CalcRankKey,0),"")</f>
        <v/>
      </c>
    </row>
    <row r="270">
      <c r="A270" s="28">
        <f>IF($B270="","",254)</f>
        <v/>
      </c>
      <c r="B270" s="28">
        <f>IF($P270="","",IF(INDEX(CalcNormDate,$P270)=0,"",INDEX(CalcNormDate,$P270)))</f>
        <v/>
      </c>
      <c r="C270" s="28">
        <f>IF($P270="","",IF(INDEX(CalcTime,$P270)=0,"",INDEX(CalcTime,$P270)))</f>
        <v/>
      </c>
      <c r="D270" s="28">
        <f>IF($P270="","",IF(INDEX(EntryParty,$P270)=0,"",INDEX(EntryParty,$P270)))</f>
        <v/>
      </c>
      <c r="E270" s="28">
        <f>IF($P270="","",IF(INDEX(EntryPartyName,$P270)=0,"",INDEX(EntryPartyName,$P270)))</f>
        <v/>
      </c>
      <c r="F270" s="28">
        <f>IF($P270="","",IF(INDEX(EntryPartyType,$P270)=0,"",INDEX(EntryPartyType,$P270)))</f>
        <v/>
      </c>
      <c r="G270" s="28">
        <f>IF($P270="","",IF(INDEX(EntryTxnType,$P270)=0,"",INDEX(EntryTxnType,$P270)))</f>
        <v/>
      </c>
      <c r="H270" s="29">
        <f>IF($P270="","",IF(INDEX(EntryDep,$P270)=0,"",INDEX(EntryDep,$P270)))</f>
        <v/>
      </c>
      <c r="I270" s="29">
        <f>IF($P270="","",IF(INDEX(EntryWit,$P270)=0,"",INDEX(EntryWit,$P270)))</f>
        <v/>
      </c>
      <c r="J270" s="29">
        <f>IF($B270="","",IF($A270=1,$C$7,IF(J269="",0,J269))+IF($H270="",0,$H270)-IF($I270="",0,$I270))</f>
        <v/>
      </c>
      <c r="K270" s="29">
        <f>IF($P270="","",IF(INDEX(EntryMan,$P270)=0,"",INDEX(EntryMan,$P270)))</f>
        <v/>
      </c>
      <c r="L270" s="28">
        <f>IF($B270="","",IF($K270="","—",IF(ROUND($K270-$J270,0)=0,"√","×")))</f>
        <v/>
      </c>
      <c r="M270" s="28">
        <f>IF($B270="","",IF(COUNTIFS(EntryDates,$B270,CalcTime,$C270,CalcBank,$C$5,EntryParty,$D270,EntryDep,$H270,EntryWit,$I270)&gt;1,"تکرار",""))</f>
        <v/>
      </c>
      <c r="N270" s="28">
        <f>IF($P270="","",IF(INDEX(EntryNotes,$P270)=0,"",INDEX(EntryNotes,$P270)))</f>
        <v/>
      </c>
      <c r="O270" s="28">
        <f>IF($P270="","",IF(INDEX(EntryTxnID,$P270)=0,"",INDEX(EntryTxnID,$P270)))</f>
        <v/>
      </c>
      <c r="P270" s="28">
        <f>IFERROR(MATCH($C$5&amp;"|"&amp;RIGHT("000000"&amp;254,6),CalcRankKey,0),"")</f>
        <v/>
      </c>
    </row>
    <row r="271">
      <c r="A271" s="26">
        <f>IF($B271="","",255)</f>
        <v/>
      </c>
      <c r="B271" s="26">
        <f>IF($P271="","",IF(INDEX(CalcNormDate,$P271)=0,"",INDEX(CalcNormDate,$P271)))</f>
        <v/>
      </c>
      <c r="C271" s="26">
        <f>IF($P271="","",IF(INDEX(CalcTime,$P271)=0,"",INDEX(CalcTime,$P271)))</f>
        <v/>
      </c>
      <c r="D271" s="26">
        <f>IF($P271="","",IF(INDEX(EntryParty,$P271)=0,"",INDEX(EntryParty,$P271)))</f>
        <v/>
      </c>
      <c r="E271" s="26">
        <f>IF($P271="","",IF(INDEX(EntryPartyName,$P271)=0,"",INDEX(EntryPartyName,$P271)))</f>
        <v/>
      </c>
      <c r="F271" s="26">
        <f>IF($P271="","",IF(INDEX(EntryPartyType,$P271)=0,"",INDEX(EntryPartyType,$P271)))</f>
        <v/>
      </c>
      <c r="G271" s="26">
        <f>IF($P271="","",IF(INDEX(EntryTxnType,$P271)=0,"",INDEX(EntryTxnType,$P271)))</f>
        <v/>
      </c>
      <c r="H271" s="27">
        <f>IF($P271="","",IF(INDEX(EntryDep,$P271)=0,"",INDEX(EntryDep,$P271)))</f>
        <v/>
      </c>
      <c r="I271" s="27">
        <f>IF($P271="","",IF(INDEX(EntryWit,$P271)=0,"",INDEX(EntryWit,$P271)))</f>
        <v/>
      </c>
      <c r="J271" s="27">
        <f>IF($B271="","",IF($A271=1,$C$7,IF(J270="",0,J270))+IF($H271="",0,$H271)-IF($I271="",0,$I271))</f>
        <v/>
      </c>
      <c r="K271" s="27">
        <f>IF($P271="","",IF(INDEX(EntryMan,$P271)=0,"",INDEX(EntryMan,$P271)))</f>
        <v/>
      </c>
      <c r="L271" s="26">
        <f>IF($B271="","",IF($K271="","—",IF(ROUND($K271-$J271,0)=0,"√","×")))</f>
        <v/>
      </c>
      <c r="M271" s="26">
        <f>IF($B271="","",IF(COUNTIFS(EntryDates,$B271,CalcTime,$C271,CalcBank,$C$5,EntryParty,$D271,EntryDep,$H271,EntryWit,$I271)&gt;1,"تکرار",""))</f>
        <v/>
      </c>
      <c r="N271" s="26">
        <f>IF($P271="","",IF(INDEX(EntryNotes,$P271)=0,"",INDEX(EntryNotes,$P271)))</f>
        <v/>
      </c>
      <c r="O271" s="26">
        <f>IF($P271="","",IF(INDEX(EntryTxnID,$P271)=0,"",INDEX(EntryTxnID,$P271)))</f>
        <v/>
      </c>
      <c r="P271" s="26">
        <f>IFERROR(MATCH($C$5&amp;"|"&amp;RIGHT("000000"&amp;255,6),CalcRankKey,0),"")</f>
        <v/>
      </c>
    </row>
    <row r="272">
      <c r="A272" s="28">
        <f>IF($B272="","",256)</f>
        <v/>
      </c>
      <c r="B272" s="28">
        <f>IF($P272="","",IF(INDEX(CalcNormDate,$P272)=0,"",INDEX(CalcNormDate,$P272)))</f>
        <v/>
      </c>
      <c r="C272" s="28">
        <f>IF($P272="","",IF(INDEX(CalcTime,$P272)=0,"",INDEX(CalcTime,$P272)))</f>
        <v/>
      </c>
      <c r="D272" s="28">
        <f>IF($P272="","",IF(INDEX(EntryParty,$P272)=0,"",INDEX(EntryParty,$P272)))</f>
        <v/>
      </c>
      <c r="E272" s="28">
        <f>IF($P272="","",IF(INDEX(EntryPartyName,$P272)=0,"",INDEX(EntryPartyName,$P272)))</f>
        <v/>
      </c>
      <c r="F272" s="28">
        <f>IF($P272="","",IF(INDEX(EntryPartyType,$P272)=0,"",INDEX(EntryPartyType,$P272)))</f>
        <v/>
      </c>
      <c r="G272" s="28">
        <f>IF($P272="","",IF(INDEX(EntryTxnType,$P272)=0,"",INDEX(EntryTxnType,$P272)))</f>
        <v/>
      </c>
      <c r="H272" s="29">
        <f>IF($P272="","",IF(INDEX(EntryDep,$P272)=0,"",INDEX(EntryDep,$P272)))</f>
        <v/>
      </c>
      <c r="I272" s="29">
        <f>IF($P272="","",IF(INDEX(EntryWit,$P272)=0,"",INDEX(EntryWit,$P272)))</f>
        <v/>
      </c>
      <c r="J272" s="29">
        <f>IF($B272="","",IF($A272=1,$C$7,IF(J271="",0,J271))+IF($H272="",0,$H272)-IF($I272="",0,$I272))</f>
        <v/>
      </c>
      <c r="K272" s="29">
        <f>IF($P272="","",IF(INDEX(EntryMan,$P272)=0,"",INDEX(EntryMan,$P272)))</f>
        <v/>
      </c>
      <c r="L272" s="28">
        <f>IF($B272="","",IF($K272="","—",IF(ROUND($K272-$J272,0)=0,"√","×")))</f>
        <v/>
      </c>
      <c r="M272" s="28">
        <f>IF($B272="","",IF(COUNTIFS(EntryDates,$B272,CalcTime,$C272,CalcBank,$C$5,EntryParty,$D272,EntryDep,$H272,EntryWit,$I272)&gt;1,"تکرار",""))</f>
        <v/>
      </c>
      <c r="N272" s="28">
        <f>IF($P272="","",IF(INDEX(EntryNotes,$P272)=0,"",INDEX(EntryNotes,$P272)))</f>
        <v/>
      </c>
      <c r="O272" s="28">
        <f>IF($P272="","",IF(INDEX(EntryTxnID,$P272)=0,"",INDEX(EntryTxnID,$P272)))</f>
        <v/>
      </c>
      <c r="P272" s="28">
        <f>IFERROR(MATCH($C$5&amp;"|"&amp;RIGHT("000000"&amp;256,6),CalcRankKey,0),"")</f>
        <v/>
      </c>
    </row>
    <row r="273">
      <c r="A273" s="26">
        <f>IF($B273="","",257)</f>
        <v/>
      </c>
      <c r="B273" s="26">
        <f>IF($P273="","",IF(INDEX(CalcNormDate,$P273)=0,"",INDEX(CalcNormDate,$P273)))</f>
        <v/>
      </c>
      <c r="C273" s="26">
        <f>IF($P273="","",IF(INDEX(CalcTime,$P273)=0,"",INDEX(CalcTime,$P273)))</f>
        <v/>
      </c>
      <c r="D273" s="26">
        <f>IF($P273="","",IF(INDEX(EntryParty,$P273)=0,"",INDEX(EntryParty,$P273)))</f>
        <v/>
      </c>
      <c r="E273" s="26">
        <f>IF($P273="","",IF(INDEX(EntryPartyName,$P273)=0,"",INDEX(EntryPartyName,$P273)))</f>
        <v/>
      </c>
      <c r="F273" s="26">
        <f>IF($P273="","",IF(INDEX(EntryPartyType,$P273)=0,"",INDEX(EntryPartyType,$P273)))</f>
        <v/>
      </c>
      <c r="G273" s="26">
        <f>IF($P273="","",IF(INDEX(EntryTxnType,$P273)=0,"",INDEX(EntryTxnType,$P273)))</f>
        <v/>
      </c>
      <c r="H273" s="27">
        <f>IF($P273="","",IF(INDEX(EntryDep,$P273)=0,"",INDEX(EntryDep,$P273)))</f>
        <v/>
      </c>
      <c r="I273" s="27">
        <f>IF($P273="","",IF(INDEX(EntryWit,$P273)=0,"",INDEX(EntryWit,$P273)))</f>
        <v/>
      </c>
      <c r="J273" s="27">
        <f>IF($B273="","",IF($A273=1,$C$7,IF(J272="",0,J272))+IF($H273="",0,$H273)-IF($I273="",0,$I273))</f>
        <v/>
      </c>
      <c r="K273" s="27">
        <f>IF($P273="","",IF(INDEX(EntryMan,$P273)=0,"",INDEX(EntryMan,$P273)))</f>
        <v/>
      </c>
      <c r="L273" s="26">
        <f>IF($B273="","",IF($K273="","—",IF(ROUND($K273-$J273,0)=0,"√","×")))</f>
        <v/>
      </c>
      <c r="M273" s="26">
        <f>IF($B273="","",IF(COUNTIFS(EntryDates,$B273,CalcTime,$C273,CalcBank,$C$5,EntryParty,$D273,EntryDep,$H273,EntryWit,$I273)&gt;1,"تکرار",""))</f>
        <v/>
      </c>
      <c r="N273" s="26">
        <f>IF($P273="","",IF(INDEX(EntryNotes,$P273)=0,"",INDEX(EntryNotes,$P273)))</f>
        <v/>
      </c>
      <c r="O273" s="26">
        <f>IF($P273="","",IF(INDEX(EntryTxnID,$P273)=0,"",INDEX(EntryTxnID,$P273)))</f>
        <v/>
      </c>
      <c r="P273" s="26">
        <f>IFERROR(MATCH($C$5&amp;"|"&amp;RIGHT("000000"&amp;257,6),CalcRankKey,0),"")</f>
        <v/>
      </c>
    </row>
    <row r="274">
      <c r="A274" s="28">
        <f>IF($B274="","",258)</f>
        <v/>
      </c>
      <c r="B274" s="28">
        <f>IF($P274="","",IF(INDEX(CalcNormDate,$P274)=0,"",INDEX(CalcNormDate,$P274)))</f>
        <v/>
      </c>
      <c r="C274" s="28">
        <f>IF($P274="","",IF(INDEX(CalcTime,$P274)=0,"",INDEX(CalcTime,$P274)))</f>
        <v/>
      </c>
      <c r="D274" s="28">
        <f>IF($P274="","",IF(INDEX(EntryParty,$P274)=0,"",INDEX(EntryParty,$P274)))</f>
        <v/>
      </c>
      <c r="E274" s="28">
        <f>IF($P274="","",IF(INDEX(EntryPartyName,$P274)=0,"",INDEX(EntryPartyName,$P274)))</f>
        <v/>
      </c>
      <c r="F274" s="28">
        <f>IF($P274="","",IF(INDEX(EntryPartyType,$P274)=0,"",INDEX(EntryPartyType,$P274)))</f>
        <v/>
      </c>
      <c r="G274" s="28">
        <f>IF($P274="","",IF(INDEX(EntryTxnType,$P274)=0,"",INDEX(EntryTxnType,$P274)))</f>
        <v/>
      </c>
      <c r="H274" s="29">
        <f>IF($P274="","",IF(INDEX(EntryDep,$P274)=0,"",INDEX(EntryDep,$P274)))</f>
        <v/>
      </c>
      <c r="I274" s="29">
        <f>IF($P274="","",IF(INDEX(EntryWit,$P274)=0,"",INDEX(EntryWit,$P274)))</f>
        <v/>
      </c>
      <c r="J274" s="29">
        <f>IF($B274="","",IF($A274=1,$C$7,IF(J273="",0,J273))+IF($H274="",0,$H274)-IF($I274="",0,$I274))</f>
        <v/>
      </c>
      <c r="K274" s="29">
        <f>IF($P274="","",IF(INDEX(EntryMan,$P274)=0,"",INDEX(EntryMan,$P274)))</f>
        <v/>
      </c>
      <c r="L274" s="28">
        <f>IF($B274="","",IF($K274="","—",IF(ROUND($K274-$J274,0)=0,"√","×")))</f>
        <v/>
      </c>
      <c r="M274" s="28">
        <f>IF($B274="","",IF(COUNTIFS(EntryDates,$B274,CalcTime,$C274,CalcBank,$C$5,EntryParty,$D274,EntryDep,$H274,EntryWit,$I274)&gt;1,"تکرار",""))</f>
        <v/>
      </c>
      <c r="N274" s="28">
        <f>IF($P274="","",IF(INDEX(EntryNotes,$P274)=0,"",INDEX(EntryNotes,$P274)))</f>
        <v/>
      </c>
      <c r="O274" s="28">
        <f>IF($P274="","",IF(INDEX(EntryTxnID,$P274)=0,"",INDEX(EntryTxnID,$P274)))</f>
        <v/>
      </c>
      <c r="P274" s="28">
        <f>IFERROR(MATCH($C$5&amp;"|"&amp;RIGHT("000000"&amp;258,6),CalcRankKey,0),"")</f>
        <v/>
      </c>
    </row>
    <row r="275">
      <c r="A275" s="26">
        <f>IF($B275="","",259)</f>
        <v/>
      </c>
      <c r="B275" s="26">
        <f>IF($P275="","",IF(INDEX(CalcNormDate,$P275)=0,"",INDEX(CalcNormDate,$P275)))</f>
        <v/>
      </c>
      <c r="C275" s="26">
        <f>IF($P275="","",IF(INDEX(CalcTime,$P275)=0,"",INDEX(CalcTime,$P275)))</f>
        <v/>
      </c>
      <c r="D275" s="26">
        <f>IF($P275="","",IF(INDEX(EntryParty,$P275)=0,"",INDEX(EntryParty,$P275)))</f>
        <v/>
      </c>
      <c r="E275" s="26">
        <f>IF($P275="","",IF(INDEX(EntryPartyName,$P275)=0,"",INDEX(EntryPartyName,$P275)))</f>
        <v/>
      </c>
      <c r="F275" s="26">
        <f>IF($P275="","",IF(INDEX(EntryPartyType,$P275)=0,"",INDEX(EntryPartyType,$P275)))</f>
        <v/>
      </c>
      <c r="G275" s="26">
        <f>IF($P275="","",IF(INDEX(EntryTxnType,$P275)=0,"",INDEX(EntryTxnType,$P275)))</f>
        <v/>
      </c>
      <c r="H275" s="27">
        <f>IF($P275="","",IF(INDEX(EntryDep,$P275)=0,"",INDEX(EntryDep,$P275)))</f>
        <v/>
      </c>
      <c r="I275" s="27">
        <f>IF($P275="","",IF(INDEX(EntryWit,$P275)=0,"",INDEX(EntryWit,$P275)))</f>
        <v/>
      </c>
      <c r="J275" s="27">
        <f>IF($B275="","",IF($A275=1,$C$7,IF(J274="",0,J274))+IF($H275="",0,$H275)-IF($I275="",0,$I275))</f>
        <v/>
      </c>
      <c r="K275" s="27">
        <f>IF($P275="","",IF(INDEX(EntryMan,$P275)=0,"",INDEX(EntryMan,$P275)))</f>
        <v/>
      </c>
      <c r="L275" s="26">
        <f>IF($B275="","",IF($K275="","—",IF(ROUND($K275-$J275,0)=0,"√","×")))</f>
        <v/>
      </c>
      <c r="M275" s="26">
        <f>IF($B275="","",IF(COUNTIFS(EntryDates,$B275,CalcTime,$C275,CalcBank,$C$5,EntryParty,$D275,EntryDep,$H275,EntryWit,$I275)&gt;1,"تکرار",""))</f>
        <v/>
      </c>
      <c r="N275" s="26">
        <f>IF($P275="","",IF(INDEX(EntryNotes,$P275)=0,"",INDEX(EntryNotes,$P275)))</f>
        <v/>
      </c>
      <c r="O275" s="26">
        <f>IF($P275="","",IF(INDEX(EntryTxnID,$P275)=0,"",INDEX(EntryTxnID,$P275)))</f>
        <v/>
      </c>
      <c r="P275" s="26">
        <f>IFERROR(MATCH($C$5&amp;"|"&amp;RIGHT("000000"&amp;259,6),CalcRankKey,0),"")</f>
        <v/>
      </c>
    </row>
    <row r="276">
      <c r="A276" s="28">
        <f>IF($B276="","",260)</f>
        <v/>
      </c>
      <c r="B276" s="28">
        <f>IF($P276="","",IF(INDEX(CalcNormDate,$P276)=0,"",INDEX(CalcNormDate,$P276)))</f>
        <v/>
      </c>
      <c r="C276" s="28">
        <f>IF($P276="","",IF(INDEX(CalcTime,$P276)=0,"",INDEX(CalcTime,$P276)))</f>
        <v/>
      </c>
      <c r="D276" s="28">
        <f>IF($P276="","",IF(INDEX(EntryParty,$P276)=0,"",INDEX(EntryParty,$P276)))</f>
        <v/>
      </c>
      <c r="E276" s="28">
        <f>IF($P276="","",IF(INDEX(EntryPartyName,$P276)=0,"",INDEX(EntryPartyName,$P276)))</f>
        <v/>
      </c>
      <c r="F276" s="28">
        <f>IF($P276="","",IF(INDEX(EntryPartyType,$P276)=0,"",INDEX(EntryPartyType,$P276)))</f>
        <v/>
      </c>
      <c r="G276" s="28">
        <f>IF($P276="","",IF(INDEX(EntryTxnType,$P276)=0,"",INDEX(EntryTxnType,$P276)))</f>
        <v/>
      </c>
      <c r="H276" s="29">
        <f>IF($P276="","",IF(INDEX(EntryDep,$P276)=0,"",INDEX(EntryDep,$P276)))</f>
        <v/>
      </c>
      <c r="I276" s="29">
        <f>IF($P276="","",IF(INDEX(EntryWit,$P276)=0,"",INDEX(EntryWit,$P276)))</f>
        <v/>
      </c>
      <c r="J276" s="29">
        <f>IF($B276="","",IF($A276=1,$C$7,IF(J275="",0,J275))+IF($H276="",0,$H276)-IF($I276="",0,$I276))</f>
        <v/>
      </c>
      <c r="K276" s="29">
        <f>IF($P276="","",IF(INDEX(EntryMan,$P276)=0,"",INDEX(EntryMan,$P276)))</f>
        <v/>
      </c>
      <c r="L276" s="28">
        <f>IF($B276="","",IF($K276="","—",IF(ROUND($K276-$J276,0)=0,"√","×")))</f>
        <v/>
      </c>
      <c r="M276" s="28">
        <f>IF($B276="","",IF(COUNTIFS(EntryDates,$B276,CalcTime,$C276,CalcBank,$C$5,EntryParty,$D276,EntryDep,$H276,EntryWit,$I276)&gt;1,"تکرار",""))</f>
        <v/>
      </c>
      <c r="N276" s="28">
        <f>IF($P276="","",IF(INDEX(EntryNotes,$P276)=0,"",INDEX(EntryNotes,$P276)))</f>
        <v/>
      </c>
      <c r="O276" s="28">
        <f>IF($P276="","",IF(INDEX(EntryTxnID,$P276)=0,"",INDEX(EntryTxnID,$P276)))</f>
        <v/>
      </c>
      <c r="P276" s="28">
        <f>IFERROR(MATCH($C$5&amp;"|"&amp;RIGHT("000000"&amp;260,6),CalcRankKey,0),"")</f>
        <v/>
      </c>
    </row>
    <row r="277">
      <c r="A277" s="26">
        <f>IF($B277="","",261)</f>
        <v/>
      </c>
      <c r="B277" s="26">
        <f>IF($P277="","",IF(INDEX(CalcNormDate,$P277)=0,"",INDEX(CalcNormDate,$P277)))</f>
        <v/>
      </c>
      <c r="C277" s="26">
        <f>IF($P277="","",IF(INDEX(CalcTime,$P277)=0,"",INDEX(CalcTime,$P277)))</f>
        <v/>
      </c>
      <c r="D277" s="26">
        <f>IF($P277="","",IF(INDEX(EntryParty,$P277)=0,"",INDEX(EntryParty,$P277)))</f>
        <v/>
      </c>
      <c r="E277" s="26">
        <f>IF($P277="","",IF(INDEX(EntryPartyName,$P277)=0,"",INDEX(EntryPartyName,$P277)))</f>
        <v/>
      </c>
      <c r="F277" s="26">
        <f>IF($P277="","",IF(INDEX(EntryPartyType,$P277)=0,"",INDEX(EntryPartyType,$P277)))</f>
        <v/>
      </c>
      <c r="G277" s="26">
        <f>IF($P277="","",IF(INDEX(EntryTxnType,$P277)=0,"",INDEX(EntryTxnType,$P277)))</f>
        <v/>
      </c>
      <c r="H277" s="27">
        <f>IF($P277="","",IF(INDEX(EntryDep,$P277)=0,"",INDEX(EntryDep,$P277)))</f>
        <v/>
      </c>
      <c r="I277" s="27">
        <f>IF($P277="","",IF(INDEX(EntryWit,$P277)=0,"",INDEX(EntryWit,$P277)))</f>
        <v/>
      </c>
      <c r="J277" s="27">
        <f>IF($B277="","",IF($A277=1,$C$7,IF(J276="",0,J276))+IF($H277="",0,$H277)-IF($I277="",0,$I277))</f>
        <v/>
      </c>
      <c r="K277" s="27">
        <f>IF($P277="","",IF(INDEX(EntryMan,$P277)=0,"",INDEX(EntryMan,$P277)))</f>
        <v/>
      </c>
      <c r="L277" s="26">
        <f>IF($B277="","",IF($K277="","—",IF(ROUND($K277-$J277,0)=0,"√","×")))</f>
        <v/>
      </c>
      <c r="M277" s="26">
        <f>IF($B277="","",IF(COUNTIFS(EntryDates,$B277,CalcTime,$C277,CalcBank,$C$5,EntryParty,$D277,EntryDep,$H277,EntryWit,$I277)&gt;1,"تکرار",""))</f>
        <v/>
      </c>
      <c r="N277" s="26">
        <f>IF($P277="","",IF(INDEX(EntryNotes,$P277)=0,"",INDEX(EntryNotes,$P277)))</f>
        <v/>
      </c>
      <c r="O277" s="26">
        <f>IF($P277="","",IF(INDEX(EntryTxnID,$P277)=0,"",INDEX(EntryTxnID,$P277)))</f>
        <v/>
      </c>
      <c r="P277" s="26">
        <f>IFERROR(MATCH($C$5&amp;"|"&amp;RIGHT("000000"&amp;261,6),CalcRankKey,0),"")</f>
        <v/>
      </c>
    </row>
    <row r="278">
      <c r="A278" s="28">
        <f>IF($B278="","",262)</f>
        <v/>
      </c>
      <c r="B278" s="28">
        <f>IF($P278="","",IF(INDEX(CalcNormDate,$P278)=0,"",INDEX(CalcNormDate,$P278)))</f>
        <v/>
      </c>
      <c r="C278" s="28">
        <f>IF($P278="","",IF(INDEX(CalcTime,$P278)=0,"",INDEX(CalcTime,$P278)))</f>
        <v/>
      </c>
      <c r="D278" s="28">
        <f>IF($P278="","",IF(INDEX(EntryParty,$P278)=0,"",INDEX(EntryParty,$P278)))</f>
        <v/>
      </c>
      <c r="E278" s="28">
        <f>IF($P278="","",IF(INDEX(EntryPartyName,$P278)=0,"",INDEX(EntryPartyName,$P278)))</f>
        <v/>
      </c>
      <c r="F278" s="28">
        <f>IF($P278="","",IF(INDEX(EntryPartyType,$P278)=0,"",INDEX(EntryPartyType,$P278)))</f>
        <v/>
      </c>
      <c r="G278" s="28">
        <f>IF($P278="","",IF(INDEX(EntryTxnType,$P278)=0,"",INDEX(EntryTxnType,$P278)))</f>
        <v/>
      </c>
      <c r="H278" s="29">
        <f>IF($P278="","",IF(INDEX(EntryDep,$P278)=0,"",INDEX(EntryDep,$P278)))</f>
        <v/>
      </c>
      <c r="I278" s="29">
        <f>IF($P278="","",IF(INDEX(EntryWit,$P278)=0,"",INDEX(EntryWit,$P278)))</f>
        <v/>
      </c>
      <c r="J278" s="29">
        <f>IF($B278="","",IF($A278=1,$C$7,IF(J277="",0,J277))+IF($H278="",0,$H278)-IF($I278="",0,$I278))</f>
        <v/>
      </c>
      <c r="K278" s="29">
        <f>IF($P278="","",IF(INDEX(EntryMan,$P278)=0,"",INDEX(EntryMan,$P278)))</f>
        <v/>
      </c>
      <c r="L278" s="28">
        <f>IF($B278="","",IF($K278="","—",IF(ROUND($K278-$J278,0)=0,"√","×")))</f>
        <v/>
      </c>
      <c r="M278" s="28">
        <f>IF($B278="","",IF(COUNTIFS(EntryDates,$B278,CalcTime,$C278,CalcBank,$C$5,EntryParty,$D278,EntryDep,$H278,EntryWit,$I278)&gt;1,"تکرار",""))</f>
        <v/>
      </c>
      <c r="N278" s="28">
        <f>IF($P278="","",IF(INDEX(EntryNotes,$P278)=0,"",INDEX(EntryNotes,$P278)))</f>
        <v/>
      </c>
      <c r="O278" s="28">
        <f>IF($P278="","",IF(INDEX(EntryTxnID,$P278)=0,"",INDEX(EntryTxnID,$P278)))</f>
        <v/>
      </c>
      <c r="P278" s="28">
        <f>IFERROR(MATCH($C$5&amp;"|"&amp;RIGHT("000000"&amp;262,6),CalcRankKey,0),"")</f>
        <v/>
      </c>
    </row>
    <row r="279">
      <c r="A279" s="26">
        <f>IF($B279="","",263)</f>
        <v/>
      </c>
      <c r="B279" s="26">
        <f>IF($P279="","",IF(INDEX(CalcNormDate,$P279)=0,"",INDEX(CalcNormDate,$P279)))</f>
        <v/>
      </c>
      <c r="C279" s="26">
        <f>IF($P279="","",IF(INDEX(CalcTime,$P279)=0,"",INDEX(CalcTime,$P279)))</f>
        <v/>
      </c>
      <c r="D279" s="26">
        <f>IF($P279="","",IF(INDEX(EntryParty,$P279)=0,"",INDEX(EntryParty,$P279)))</f>
        <v/>
      </c>
      <c r="E279" s="26">
        <f>IF($P279="","",IF(INDEX(EntryPartyName,$P279)=0,"",INDEX(EntryPartyName,$P279)))</f>
        <v/>
      </c>
      <c r="F279" s="26">
        <f>IF($P279="","",IF(INDEX(EntryPartyType,$P279)=0,"",INDEX(EntryPartyType,$P279)))</f>
        <v/>
      </c>
      <c r="G279" s="26">
        <f>IF($P279="","",IF(INDEX(EntryTxnType,$P279)=0,"",INDEX(EntryTxnType,$P279)))</f>
        <v/>
      </c>
      <c r="H279" s="27">
        <f>IF($P279="","",IF(INDEX(EntryDep,$P279)=0,"",INDEX(EntryDep,$P279)))</f>
        <v/>
      </c>
      <c r="I279" s="27">
        <f>IF($P279="","",IF(INDEX(EntryWit,$P279)=0,"",INDEX(EntryWit,$P279)))</f>
        <v/>
      </c>
      <c r="J279" s="27">
        <f>IF($B279="","",IF($A279=1,$C$7,IF(J278="",0,J278))+IF($H279="",0,$H279)-IF($I279="",0,$I279))</f>
        <v/>
      </c>
      <c r="K279" s="27">
        <f>IF($P279="","",IF(INDEX(EntryMan,$P279)=0,"",INDEX(EntryMan,$P279)))</f>
        <v/>
      </c>
      <c r="L279" s="26">
        <f>IF($B279="","",IF($K279="","—",IF(ROUND($K279-$J279,0)=0,"√","×")))</f>
        <v/>
      </c>
      <c r="M279" s="26">
        <f>IF($B279="","",IF(COUNTIFS(EntryDates,$B279,CalcTime,$C279,CalcBank,$C$5,EntryParty,$D279,EntryDep,$H279,EntryWit,$I279)&gt;1,"تکرار",""))</f>
        <v/>
      </c>
      <c r="N279" s="26">
        <f>IF($P279="","",IF(INDEX(EntryNotes,$P279)=0,"",INDEX(EntryNotes,$P279)))</f>
        <v/>
      </c>
      <c r="O279" s="26">
        <f>IF($P279="","",IF(INDEX(EntryTxnID,$P279)=0,"",INDEX(EntryTxnID,$P279)))</f>
        <v/>
      </c>
      <c r="P279" s="26">
        <f>IFERROR(MATCH($C$5&amp;"|"&amp;RIGHT("000000"&amp;263,6),CalcRankKey,0),"")</f>
        <v/>
      </c>
    </row>
    <row r="280">
      <c r="A280" s="28">
        <f>IF($B280="","",264)</f>
        <v/>
      </c>
      <c r="B280" s="28">
        <f>IF($P280="","",IF(INDEX(CalcNormDate,$P280)=0,"",INDEX(CalcNormDate,$P280)))</f>
        <v/>
      </c>
      <c r="C280" s="28">
        <f>IF($P280="","",IF(INDEX(CalcTime,$P280)=0,"",INDEX(CalcTime,$P280)))</f>
        <v/>
      </c>
      <c r="D280" s="28">
        <f>IF($P280="","",IF(INDEX(EntryParty,$P280)=0,"",INDEX(EntryParty,$P280)))</f>
        <v/>
      </c>
      <c r="E280" s="28">
        <f>IF($P280="","",IF(INDEX(EntryPartyName,$P280)=0,"",INDEX(EntryPartyName,$P280)))</f>
        <v/>
      </c>
      <c r="F280" s="28">
        <f>IF($P280="","",IF(INDEX(EntryPartyType,$P280)=0,"",INDEX(EntryPartyType,$P280)))</f>
        <v/>
      </c>
      <c r="G280" s="28">
        <f>IF($P280="","",IF(INDEX(EntryTxnType,$P280)=0,"",INDEX(EntryTxnType,$P280)))</f>
        <v/>
      </c>
      <c r="H280" s="29">
        <f>IF($P280="","",IF(INDEX(EntryDep,$P280)=0,"",INDEX(EntryDep,$P280)))</f>
        <v/>
      </c>
      <c r="I280" s="29">
        <f>IF($P280="","",IF(INDEX(EntryWit,$P280)=0,"",INDEX(EntryWit,$P280)))</f>
        <v/>
      </c>
      <c r="J280" s="29">
        <f>IF($B280="","",IF($A280=1,$C$7,IF(J279="",0,J279))+IF($H280="",0,$H280)-IF($I280="",0,$I280))</f>
        <v/>
      </c>
      <c r="K280" s="29">
        <f>IF($P280="","",IF(INDEX(EntryMan,$P280)=0,"",INDEX(EntryMan,$P280)))</f>
        <v/>
      </c>
      <c r="L280" s="28">
        <f>IF($B280="","",IF($K280="","—",IF(ROUND($K280-$J280,0)=0,"√","×")))</f>
        <v/>
      </c>
      <c r="M280" s="28">
        <f>IF($B280="","",IF(COUNTIFS(EntryDates,$B280,CalcTime,$C280,CalcBank,$C$5,EntryParty,$D280,EntryDep,$H280,EntryWit,$I280)&gt;1,"تکرار",""))</f>
        <v/>
      </c>
      <c r="N280" s="28">
        <f>IF($P280="","",IF(INDEX(EntryNotes,$P280)=0,"",INDEX(EntryNotes,$P280)))</f>
        <v/>
      </c>
      <c r="O280" s="28">
        <f>IF($P280="","",IF(INDEX(EntryTxnID,$P280)=0,"",INDEX(EntryTxnID,$P280)))</f>
        <v/>
      </c>
      <c r="P280" s="28">
        <f>IFERROR(MATCH($C$5&amp;"|"&amp;RIGHT("000000"&amp;264,6),CalcRankKey,0),"")</f>
        <v/>
      </c>
    </row>
    <row r="281">
      <c r="A281" s="26">
        <f>IF($B281="","",265)</f>
        <v/>
      </c>
      <c r="B281" s="26">
        <f>IF($P281="","",IF(INDEX(CalcNormDate,$P281)=0,"",INDEX(CalcNormDate,$P281)))</f>
        <v/>
      </c>
      <c r="C281" s="26">
        <f>IF($P281="","",IF(INDEX(CalcTime,$P281)=0,"",INDEX(CalcTime,$P281)))</f>
        <v/>
      </c>
      <c r="D281" s="26">
        <f>IF($P281="","",IF(INDEX(EntryParty,$P281)=0,"",INDEX(EntryParty,$P281)))</f>
        <v/>
      </c>
      <c r="E281" s="26">
        <f>IF($P281="","",IF(INDEX(EntryPartyName,$P281)=0,"",INDEX(EntryPartyName,$P281)))</f>
        <v/>
      </c>
      <c r="F281" s="26">
        <f>IF($P281="","",IF(INDEX(EntryPartyType,$P281)=0,"",INDEX(EntryPartyType,$P281)))</f>
        <v/>
      </c>
      <c r="G281" s="26">
        <f>IF($P281="","",IF(INDEX(EntryTxnType,$P281)=0,"",INDEX(EntryTxnType,$P281)))</f>
        <v/>
      </c>
      <c r="H281" s="27">
        <f>IF($P281="","",IF(INDEX(EntryDep,$P281)=0,"",INDEX(EntryDep,$P281)))</f>
        <v/>
      </c>
      <c r="I281" s="27">
        <f>IF($P281="","",IF(INDEX(EntryWit,$P281)=0,"",INDEX(EntryWit,$P281)))</f>
        <v/>
      </c>
      <c r="J281" s="27">
        <f>IF($B281="","",IF($A281=1,$C$7,IF(J280="",0,J280))+IF($H281="",0,$H281)-IF($I281="",0,$I281))</f>
        <v/>
      </c>
      <c r="K281" s="27">
        <f>IF($P281="","",IF(INDEX(EntryMan,$P281)=0,"",INDEX(EntryMan,$P281)))</f>
        <v/>
      </c>
      <c r="L281" s="26">
        <f>IF($B281="","",IF($K281="","—",IF(ROUND($K281-$J281,0)=0,"√","×")))</f>
        <v/>
      </c>
      <c r="M281" s="26">
        <f>IF($B281="","",IF(COUNTIFS(EntryDates,$B281,CalcTime,$C281,CalcBank,$C$5,EntryParty,$D281,EntryDep,$H281,EntryWit,$I281)&gt;1,"تکرار",""))</f>
        <v/>
      </c>
      <c r="N281" s="26">
        <f>IF($P281="","",IF(INDEX(EntryNotes,$P281)=0,"",INDEX(EntryNotes,$P281)))</f>
        <v/>
      </c>
      <c r="O281" s="26">
        <f>IF($P281="","",IF(INDEX(EntryTxnID,$P281)=0,"",INDEX(EntryTxnID,$P281)))</f>
        <v/>
      </c>
      <c r="P281" s="26">
        <f>IFERROR(MATCH($C$5&amp;"|"&amp;RIGHT("000000"&amp;265,6),CalcRankKey,0),"")</f>
        <v/>
      </c>
    </row>
    <row r="282">
      <c r="A282" s="28">
        <f>IF($B282="","",266)</f>
        <v/>
      </c>
      <c r="B282" s="28">
        <f>IF($P282="","",IF(INDEX(CalcNormDate,$P282)=0,"",INDEX(CalcNormDate,$P282)))</f>
        <v/>
      </c>
      <c r="C282" s="28">
        <f>IF($P282="","",IF(INDEX(CalcTime,$P282)=0,"",INDEX(CalcTime,$P282)))</f>
        <v/>
      </c>
      <c r="D282" s="28">
        <f>IF($P282="","",IF(INDEX(EntryParty,$P282)=0,"",INDEX(EntryParty,$P282)))</f>
        <v/>
      </c>
      <c r="E282" s="28">
        <f>IF($P282="","",IF(INDEX(EntryPartyName,$P282)=0,"",INDEX(EntryPartyName,$P282)))</f>
        <v/>
      </c>
      <c r="F282" s="28">
        <f>IF($P282="","",IF(INDEX(EntryPartyType,$P282)=0,"",INDEX(EntryPartyType,$P282)))</f>
        <v/>
      </c>
      <c r="G282" s="28">
        <f>IF($P282="","",IF(INDEX(EntryTxnType,$P282)=0,"",INDEX(EntryTxnType,$P282)))</f>
        <v/>
      </c>
      <c r="H282" s="29">
        <f>IF($P282="","",IF(INDEX(EntryDep,$P282)=0,"",INDEX(EntryDep,$P282)))</f>
        <v/>
      </c>
      <c r="I282" s="29">
        <f>IF($P282="","",IF(INDEX(EntryWit,$P282)=0,"",INDEX(EntryWit,$P282)))</f>
        <v/>
      </c>
      <c r="J282" s="29">
        <f>IF($B282="","",IF($A282=1,$C$7,IF(J281="",0,J281))+IF($H282="",0,$H282)-IF($I282="",0,$I282))</f>
        <v/>
      </c>
      <c r="K282" s="29">
        <f>IF($P282="","",IF(INDEX(EntryMan,$P282)=0,"",INDEX(EntryMan,$P282)))</f>
        <v/>
      </c>
      <c r="L282" s="28">
        <f>IF($B282="","",IF($K282="","—",IF(ROUND($K282-$J282,0)=0,"√","×")))</f>
        <v/>
      </c>
      <c r="M282" s="28">
        <f>IF($B282="","",IF(COUNTIFS(EntryDates,$B282,CalcTime,$C282,CalcBank,$C$5,EntryParty,$D282,EntryDep,$H282,EntryWit,$I282)&gt;1,"تکرار",""))</f>
        <v/>
      </c>
      <c r="N282" s="28">
        <f>IF($P282="","",IF(INDEX(EntryNotes,$P282)=0,"",INDEX(EntryNotes,$P282)))</f>
        <v/>
      </c>
      <c r="O282" s="28">
        <f>IF($P282="","",IF(INDEX(EntryTxnID,$P282)=0,"",INDEX(EntryTxnID,$P282)))</f>
        <v/>
      </c>
      <c r="P282" s="28">
        <f>IFERROR(MATCH($C$5&amp;"|"&amp;RIGHT("000000"&amp;266,6),CalcRankKey,0),"")</f>
        <v/>
      </c>
    </row>
    <row r="283">
      <c r="A283" s="26">
        <f>IF($B283="","",267)</f>
        <v/>
      </c>
      <c r="B283" s="26">
        <f>IF($P283="","",IF(INDEX(CalcNormDate,$P283)=0,"",INDEX(CalcNormDate,$P283)))</f>
        <v/>
      </c>
      <c r="C283" s="26">
        <f>IF($P283="","",IF(INDEX(CalcTime,$P283)=0,"",INDEX(CalcTime,$P283)))</f>
        <v/>
      </c>
      <c r="D283" s="26">
        <f>IF($P283="","",IF(INDEX(EntryParty,$P283)=0,"",INDEX(EntryParty,$P283)))</f>
        <v/>
      </c>
      <c r="E283" s="26">
        <f>IF($P283="","",IF(INDEX(EntryPartyName,$P283)=0,"",INDEX(EntryPartyName,$P283)))</f>
        <v/>
      </c>
      <c r="F283" s="26">
        <f>IF($P283="","",IF(INDEX(EntryPartyType,$P283)=0,"",INDEX(EntryPartyType,$P283)))</f>
        <v/>
      </c>
      <c r="G283" s="26">
        <f>IF($P283="","",IF(INDEX(EntryTxnType,$P283)=0,"",INDEX(EntryTxnType,$P283)))</f>
        <v/>
      </c>
      <c r="H283" s="27">
        <f>IF($P283="","",IF(INDEX(EntryDep,$P283)=0,"",INDEX(EntryDep,$P283)))</f>
        <v/>
      </c>
      <c r="I283" s="27">
        <f>IF($P283="","",IF(INDEX(EntryWit,$P283)=0,"",INDEX(EntryWit,$P283)))</f>
        <v/>
      </c>
      <c r="J283" s="27">
        <f>IF($B283="","",IF($A283=1,$C$7,IF(J282="",0,J282))+IF($H283="",0,$H283)-IF($I283="",0,$I283))</f>
        <v/>
      </c>
      <c r="K283" s="27">
        <f>IF($P283="","",IF(INDEX(EntryMan,$P283)=0,"",INDEX(EntryMan,$P283)))</f>
        <v/>
      </c>
      <c r="L283" s="26">
        <f>IF($B283="","",IF($K283="","—",IF(ROUND($K283-$J283,0)=0,"√","×")))</f>
        <v/>
      </c>
      <c r="M283" s="26">
        <f>IF($B283="","",IF(COUNTIFS(EntryDates,$B283,CalcTime,$C283,CalcBank,$C$5,EntryParty,$D283,EntryDep,$H283,EntryWit,$I283)&gt;1,"تکرار",""))</f>
        <v/>
      </c>
      <c r="N283" s="26">
        <f>IF($P283="","",IF(INDEX(EntryNotes,$P283)=0,"",INDEX(EntryNotes,$P283)))</f>
        <v/>
      </c>
      <c r="O283" s="26">
        <f>IF($P283="","",IF(INDEX(EntryTxnID,$P283)=0,"",INDEX(EntryTxnID,$P283)))</f>
        <v/>
      </c>
      <c r="P283" s="26">
        <f>IFERROR(MATCH($C$5&amp;"|"&amp;RIGHT("000000"&amp;267,6),CalcRankKey,0),"")</f>
        <v/>
      </c>
    </row>
    <row r="284">
      <c r="A284" s="28">
        <f>IF($B284="","",268)</f>
        <v/>
      </c>
      <c r="B284" s="28">
        <f>IF($P284="","",IF(INDEX(CalcNormDate,$P284)=0,"",INDEX(CalcNormDate,$P284)))</f>
        <v/>
      </c>
      <c r="C284" s="28">
        <f>IF($P284="","",IF(INDEX(CalcTime,$P284)=0,"",INDEX(CalcTime,$P284)))</f>
        <v/>
      </c>
      <c r="D284" s="28">
        <f>IF($P284="","",IF(INDEX(EntryParty,$P284)=0,"",INDEX(EntryParty,$P284)))</f>
        <v/>
      </c>
      <c r="E284" s="28">
        <f>IF($P284="","",IF(INDEX(EntryPartyName,$P284)=0,"",INDEX(EntryPartyName,$P284)))</f>
        <v/>
      </c>
      <c r="F284" s="28">
        <f>IF($P284="","",IF(INDEX(EntryPartyType,$P284)=0,"",INDEX(EntryPartyType,$P284)))</f>
        <v/>
      </c>
      <c r="G284" s="28">
        <f>IF($P284="","",IF(INDEX(EntryTxnType,$P284)=0,"",INDEX(EntryTxnType,$P284)))</f>
        <v/>
      </c>
      <c r="H284" s="29">
        <f>IF($P284="","",IF(INDEX(EntryDep,$P284)=0,"",INDEX(EntryDep,$P284)))</f>
        <v/>
      </c>
      <c r="I284" s="29">
        <f>IF($P284="","",IF(INDEX(EntryWit,$P284)=0,"",INDEX(EntryWit,$P284)))</f>
        <v/>
      </c>
      <c r="J284" s="29">
        <f>IF($B284="","",IF($A284=1,$C$7,IF(J283="",0,J283))+IF($H284="",0,$H284)-IF($I284="",0,$I284))</f>
        <v/>
      </c>
      <c r="K284" s="29">
        <f>IF($P284="","",IF(INDEX(EntryMan,$P284)=0,"",INDEX(EntryMan,$P284)))</f>
        <v/>
      </c>
      <c r="L284" s="28">
        <f>IF($B284="","",IF($K284="","—",IF(ROUND($K284-$J284,0)=0,"√","×")))</f>
        <v/>
      </c>
      <c r="M284" s="28">
        <f>IF($B284="","",IF(COUNTIFS(EntryDates,$B284,CalcTime,$C284,CalcBank,$C$5,EntryParty,$D284,EntryDep,$H284,EntryWit,$I284)&gt;1,"تکرار",""))</f>
        <v/>
      </c>
      <c r="N284" s="28">
        <f>IF($P284="","",IF(INDEX(EntryNotes,$P284)=0,"",INDEX(EntryNotes,$P284)))</f>
        <v/>
      </c>
      <c r="O284" s="28">
        <f>IF($P284="","",IF(INDEX(EntryTxnID,$P284)=0,"",INDEX(EntryTxnID,$P284)))</f>
        <v/>
      </c>
      <c r="P284" s="28">
        <f>IFERROR(MATCH($C$5&amp;"|"&amp;RIGHT("000000"&amp;268,6),CalcRankKey,0),"")</f>
        <v/>
      </c>
    </row>
    <row r="285">
      <c r="A285" s="26">
        <f>IF($B285="","",269)</f>
        <v/>
      </c>
      <c r="B285" s="26">
        <f>IF($P285="","",IF(INDEX(CalcNormDate,$P285)=0,"",INDEX(CalcNormDate,$P285)))</f>
        <v/>
      </c>
      <c r="C285" s="26">
        <f>IF($P285="","",IF(INDEX(CalcTime,$P285)=0,"",INDEX(CalcTime,$P285)))</f>
        <v/>
      </c>
      <c r="D285" s="26">
        <f>IF($P285="","",IF(INDEX(EntryParty,$P285)=0,"",INDEX(EntryParty,$P285)))</f>
        <v/>
      </c>
      <c r="E285" s="26">
        <f>IF($P285="","",IF(INDEX(EntryPartyName,$P285)=0,"",INDEX(EntryPartyName,$P285)))</f>
        <v/>
      </c>
      <c r="F285" s="26">
        <f>IF($P285="","",IF(INDEX(EntryPartyType,$P285)=0,"",INDEX(EntryPartyType,$P285)))</f>
        <v/>
      </c>
      <c r="G285" s="26">
        <f>IF($P285="","",IF(INDEX(EntryTxnType,$P285)=0,"",INDEX(EntryTxnType,$P285)))</f>
        <v/>
      </c>
      <c r="H285" s="27">
        <f>IF($P285="","",IF(INDEX(EntryDep,$P285)=0,"",INDEX(EntryDep,$P285)))</f>
        <v/>
      </c>
      <c r="I285" s="27">
        <f>IF($P285="","",IF(INDEX(EntryWit,$P285)=0,"",INDEX(EntryWit,$P285)))</f>
        <v/>
      </c>
      <c r="J285" s="27">
        <f>IF($B285="","",IF($A285=1,$C$7,IF(J284="",0,J284))+IF($H285="",0,$H285)-IF($I285="",0,$I285))</f>
        <v/>
      </c>
      <c r="K285" s="27">
        <f>IF($P285="","",IF(INDEX(EntryMan,$P285)=0,"",INDEX(EntryMan,$P285)))</f>
        <v/>
      </c>
      <c r="L285" s="26">
        <f>IF($B285="","",IF($K285="","—",IF(ROUND($K285-$J285,0)=0,"√","×")))</f>
        <v/>
      </c>
      <c r="M285" s="26">
        <f>IF($B285="","",IF(COUNTIFS(EntryDates,$B285,CalcTime,$C285,CalcBank,$C$5,EntryParty,$D285,EntryDep,$H285,EntryWit,$I285)&gt;1,"تکرار",""))</f>
        <v/>
      </c>
      <c r="N285" s="26">
        <f>IF($P285="","",IF(INDEX(EntryNotes,$P285)=0,"",INDEX(EntryNotes,$P285)))</f>
        <v/>
      </c>
      <c r="O285" s="26">
        <f>IF($P285="","",IF(INDEX(EntryTxnID,$P285)=0,"",INDEX(EntryTxnID,$P285)))</f>
        <v/>
      </c>
      <c r="P285" s="26">
        <f>IFERROR(MATCH($C$5&amp;"|"&amp;RIGHT("000000"&amp;269,6),CalcRankKey,0),"")</f>
        <v/>
      </c>
    </row>
    <row r="286">
      <c r="A286" s="28">
        <f>IF($B286="","",270)</f>
        <v/>
      </c>
      <c r="B286" s="28">
        <f>IF($P286="","",IF(INDEX(CalcNormDate,$P286)=0,"",INDEX(CalcNormDate,$P286)))</f>
        <v/>
      </c>
      <c r="C286" s="28">
        <f>IF($P286="","",IF(INDEX(CalcTime,$P286)=0,"",INDEX(CalcTime,$P286)))</f>
        <v/>
      </c>
      <c r="D286" s="28">
        <f>IF($P286="","",IF(INDEX(EntryParty,$P286)=0,"",INDEX(EntryParty,$P286)))</f>
        <v/>
      </c>
      <c r="E286" s="28">
        <f>IF($P286="","",IF(INDEX(EntryPartyName,$P286)=0,"",INDEX(EntryPartyName,$P286)))</f>
        <v/>
      </c>
      <c r="F286" s="28">
        <f>IF($P286="","",IF(INDEX(EntryPartyType,$P286)=0,"",INDEX(EntryPartyType,$P286)))</f>
        <v/>
      </c>
      <c r="G286" s="28">
        <f>IF($P286="","",IF(INDEX(EntryTxnType,$P286)=0,"",INDEX(EntryTxnType,$P286)))</f>
        <v/>
      </c>
      <c r="H286" s="29">
        <f>IF($P286="","",IF(INDEX(EntryDep,$P286)=0,"",INDEX(EntryDep,$P286)))</f>
        <v/>
      </c>
      <c r="I286" s="29">
        <f>IF($P286="","",IF(INDEX(EntryWit,$P286)=0,"",INDEX(EntryWit,$P286)))</f>
        <v/>
      </c>
      <c r="J286" s="29">
        <f>IF($B286="","",IF($A286=1,$C$7,IF(J285="",0,J285))+IF($H286="",0,$H286)-IF($I286="",0,$I286))</f>
        <v/>
      </c>
      <c r="K286" s="29">
        <f>IF($P286="","",IF(INDEX(EntryMan,$P286)=0,"",INDEX(EntryMan,$P286)))</f>
        <v/>
      </c>
      <c r="L286" s="28">
        <f>IF($B286="","",IF($K286="","—",IF(ROUND($K286-$J286,0)=0,"√","×")))</f>
        <v/>
      </c>
      <c r="M286" s="28">
        <f>IF($B286="","",IF(COUNTIFS(EntryDates,$B286,CalcTime,$C286,CalcBank,$C$5,EntryParty,$D286,EntryDep,$H286,EntryWit,$I286)&gt;1,"تکرار",""))</f>
        <v/>
      </c>
      <c r="N286" s="28">
        <f>IF($P286="","",IF(INDEX(EntryNotes,$P286)=0,"",INDEX(EntryNotes,$P286)))</f>
        <v/>
      </c>
      <c r="O286" s="28">
        <f>IF($P286="","",IF(INDEX(EntryTxnID,$P286)=0,"",INDEX(EntryTxnID,$P286)))</f>
        <v/>
      </c>
      <c r="P286" s="28">
        <f>IFERROR(MATCH($C$5&amp;"|"&amp;RIGHT("000000"&amp;270,6),CalcRankKey,0),"")</f>
        <v/>
      </c>
    </row>
    <row r="287">
      <c r="A287" s="26">
        <f>IF($B287="","",271)</f>
        <v/>
      </c>
      <c r="B287" s="26">
        <f>IF($P287="","",IF(INDEX(CalcNormDate,$P287)=0,"",INDEX(CalcNormDate,$P287)))</f>
        <v/>
      </c>
      <c r="C287" s="26">
        <f>IF($P287="","",IF(INDEX(CalcTime,$P287)=0,"",INDEX(CalcTime,$P287)))</f>
        <v/>
      </c>
      <c r="D287" s="26">
        <f>IF($P287="","",IF(INDEX(EntryParty,$P287)=0,"",INDEX(EntryParty,$P287)))</f>
        <v/>
      </c>
      <c r="E287" s="26">
        <f>IF($P287="","",IF(INDEX(EntryPartyName,$P287)=0,"",INDEX(EntryPartyName,$P287)))</f>
        <v/>
      </c>
      <c r="F287" s="26">
        <f>IF($P287="","",IF(INDEX(EntryPartyType,$P287)=0,"",INDEX(EntryPartyType,$P287)))</f>
        <v/>
      </c>
      <c r="G287" s="26">
        <f>IF($P287="","",IF(INDEX(EntryTxnType,$P287)=0,"",INDEX(EntryTxnType,$P287)))</f>
        <v/>
      </c>
      <c r="H287" s="27">
        <f>IF($P287="","",IF(INDEX(EntryDep,$P287)=0,"",INDEX(EntryDep,$P287)))</f>
        <v/>
      </c>
      <c r="I287" s="27">
        <f>IF($P287="","",IF(INDEX(EntryWit,$P287)=0,"",INDEX(EntryWit,$P287)))</f>
        <v/>
      </c>
      <c r="J287" s="27">
        <f>IF($B287="","",IF($A287=1,$C$7,IF(J286="",0,J286))+IF($H287="",0,$H287)-IF($I287="",0,$I287))</f>
        <v/>
      </c>
      <c r="K287" s="27">
        <f>IF($P287="","",IF(INDEX(EntryMan,$P287)=0,"",INDEX(EntryMan,$P287)))</f>
        <v/>
      </c>
      <c r="L287" s="26">
        <f>IF($B287="","",IF($K287="","—",IF(ROUND($K287-$J287,0)=0,"√","×")))</f>
        <v/>
      </c>
      <c r="M287" s="26">
        <f>IF($B287="","",IF(COUNTIFS(EntryDates,$B287,CalcTime,$C287,CalcBank,$C$5,EntryParty,$D287,EntryDep,$H287,EntryWit,$I287)&gt;1,"تکرار",""))</f>
        <v/>
      </c>
      <c r="N287" s="26">
        <f>IF($P287="","",IF(INDEX(EntryNotes,$P287)=0,"",INDEX(EntryNotes,$P287)))</f>
        <v/>
      </c>
      <c r="O287" s="26">
        <f>IF($P287="","",IF(INDEX(EntryTxnID,$P287)=0,"",INDEX(EntryTxnID,$P287)))</f>
        <v/>
      </c>
      <c r="P287" s="26">
        <f>IFERROR(MATCH($C$5&amp;"|"&amp;RIGHT("000000"&amp;271,6),CalcRankKey,0),"")</f>
        <v/>
      </c>
    </row>
    <row r="288">
      <c r="A288" s="28">
        <f>IF($B288="","",272)</f>
        <v/>
      </c>
      <c r="B288" s="28">
        <f>IF($P288="","",IF(INDEX(CalcNormDate,$P288)=0,"",INDEX(CalcNormDate,$P288)))</f>
        <v/>
      </c>
      <c r="C288" s="28">
        <f>IF($P288="","",IF(INDEX(CalcTime,$P288)=0,"",INDEX(CalcTime,$P288)))</f>
        <v/>
      </c>
      <c r="D288" s="28">
        <f>IF($P288="","",IF(INDEX(EntryParty,$P288)=0,"",INDEX(EntryParty,$P288)))</f>
        <v/>
      </c>
      <c r="E288" s="28">
        <f>IF($P288="","",IF(INDEX(EntryPartyName,$P288)=0,"",INDEX(EntryPartyName,$P288)))</f>
        <v/>
      </c>
      <c r="F288" s="28">
        <f>IF($P288="","",IF(INDEX(EntryPartyType,$P288)=0,"",INDEX(EntryPartyType,$P288)))</f>
        <v/>
      </c>
      <c r="G288" s="28">
        <f>IF($P288="","",IF(INDEX(EntryTxnType,$P288)=0,"",INDEX(EntryTxnType,$P288)))</f>
        <v/>
      </c>
      <c r="H288" s="29">
        <f>IF($P288="","",IF(INDEX(EntryDep,$P288)=0,"",INDEX(EntryDep,$P288)))</f>
        <v/>
      </c>
      <c r="I288" s="29">
        <f>IF($P288="","",IF(INDEX(EntryWit,$P288)=0,"",INDEX(EntryWit,$P288)))</f>
        <v/>
      </c>
      <c r="J288" s="29">
        <f>IF($B288="","",IF($A288=1,$C$7,IF(J287="",0,J287))+IF($H288="",0,$H288)-IF($I288="",0,$I288))</f>
        <v/>
      </c>
      <c r="K288" s="29">
        <f>IF($P288="","",IF(INDEX(EntryMan,$P288)=0,"",INDEX(EntryMan,$P288)))</f>
        <v/>
      </c>
      <c r="L288" s="28">
        <f>IF($B288="","",IF($K288="","—",IF(ROUND($K288-$J288,0)=0,"√","×")))</f>
        <v/>
      </c>
      <c r="M288" s="28">
        <f>IF($B288="","",IF(COUNTIFS(EntryDates,$B288,CalcTime,$C288,CalcBank,$C$5,EntryParty,$D288,EntryDep,$H288,EntryWit,$I288)&gt;1,"تکرار",""))</f>
        <v/>
      </c>
      <c r="N288" s="28">
        <f>IF($P288="","",IF(INDEX(EntryNotes,$P288)=0,"",INDEX(EntryNotes,$P288)))</f>
        <v/>
      </c>
      <c r="O288" s="28">
        <f>IF($P288="","",IF(INDEX(EntryTxnID,$P288)=0,"",INDEX(EntryTxnID,$P288)))</f>
        <v/>
      </c>
      <c r="P288" s="28">
        <f>IFERROR(MATCH($C$5&amp;"|"&amp;RIGHT("000000"&amp;272,6),CalcRankKey,0),"")</f>
        <v/>
      </c>
    </row>
    <row r="289">
      <c r="A289" s="26">
        <f>IF($B289="","",273)</f>
        <v/>
      </c>
      <c r="B289" s="26">
        <f>IF($P289="","",IF(INDEX(CalcNormDate,$P289)=0,"",INDEX(CalcNormDate,$P289)))</f>
        <v/>
      </c>
      <c r="C289" s="26">
        <f>IF($P289="","",IF(INDEX(CalcTime,$P289)=0,"",INDEX(CalcTime,$P289)))</f>
        <v/>
      </c>
      <c r="D289" s="26">
        <f>IF($P289="","",IF(INDEX(EntryParty,$P289)=0,"",INDEX(EntryParty,$P289)))</f>
        <v/>
      </c>
      <c r="E289" s="26">
        <f>IF($P289="","",IF(INDEX(EntryPartyName,$P289)=0,"",INDEX(EntryPartyName,$P289)))</f>
        <v/>
      </c>
      <c r="F289" s="26">
        <f>IF($P289="","",IF(INDEX(EntryPartyType,$P289)=0,"",INDEX(EntryPartyType,$P289)))</f>
        <v/>
      </c>
      <c r="G289" s="26">
        <f>IF($P289="","",IF(INDEX(EntryTxnType,$P289)=0,"",INDEX(EntryTxnType,$P289)))</f>
        <v/>
      </c>
      <c r="H289" s="27">
        <f>IF($P289="","",IF(INDEX(EntryDep,$P289)=0,"",INDEX(EntryDep,$P289)))</f>
        <v/>
      </c>
      <c r="I289" s="27">
        <f>IF($P289="","",IF(INDEX(EntryWit,$P289)=0,"",INDEX(EntryWit,$P289)))</f>
        <v/>
      </c>
      <c r="J289" s="27">
        <f>IF($B289="","",IF($A289=1,$C$7,IF(J288="",0,J288))+IF($H289="",0,$H289)-IF($I289="",0,$I289))</f>
        <v/>
      </c>
      <c r="K289" s="27">
        <f>IF($P289="","",IF(INDEX(EntryMan,$P289)=0,"",INDEX(EntryMan,$P289)))</f>
        <v/>
      </c>
      <c r="L289" s="26">
        <f>IF($B289="","",IF($K289="","—",IF(ROUND($K289-$J289,0)=0,"√","×")))</f>
        <v/>
      </c>
      <c r="M289" s="26">
        <f>IF($B289="","",IF(COUNTIFS(EntryDates,$B289,CalcTime,$C289,CalcBank,$C$5,EntryParty,$D289,EntryDep,$H289,EntryWit,$I289)&gt;1,"تکرار",""))</f>
        <v/>
      </c>
      <c r="N289" s="26">
        <f>IF($P289="","",IF(INDEX(EntryNotes,$P289)=0,"",INDEX(EntryNotes,$P289)))</f>
        <v/>
      </c>
      <c r="O289" s="26">
        <f>IF($P289="","",IF(INDEX(EntryTxnID,$P289)=0,"",INDEX(EntryTxnID,$P289)))</f>
        <v/>
      </c>
      <c r="P289" s="26">
        <f>IFERROR(MATCH($C$5&amp;"|"&amp;RIGHT("000000"&amp;273,6),CalcRankKey,0),"")</f>
        <v/>
      </c>
    </row>
    <row r="290">
      <c r="A290" s="28">
        <f>IF($B290="","",274)</f>
        <v/>
      </c>
      <c r="B290" s="28">
        <f>IF($P290="","",IF(INDEX(CalcNormDate,$P290)=0,"",INDEX(CalcNormDate,$P290)))</f>
        <v/>
      </c>
      <c r="C290" s="28">
        <f>IF($P290="","",IF(INDEX(CalcTime,$P290)=0,"",INDEX(CalcTime,$P290)))</f>
        <v/>
      </c>
      <c r="D290" s="28">
        <f>IF($P290="","",IF(INDEX(EntryParty,$P290)=0,"",INDEX(EntryParty,$P290)))</f>
        <v/>
      </c>
      <c r="E290" s="28">
        <f>IF($P290="","",IF(INDEX(EntryPartyName,$P290)=0,"",INDEX(EntryPartyName,$P290)))</f>
        <v/>
      </c>
      <c r="F290" s="28">
        <f>IF($P290="","",IF(INDEX(EntryPartyType,$P290)=0,"",INDEX(EntryPartyType,$P290)))</f>
        <v/>
      </c>
      <c r="G290" s="28">
        <f>IF($P290="","",IF(INDEX(EntryTxnType,$P290)=0,"",INDEX(EntryTxnType,$P290)))</f>
        <v/>
      </c>
      <c r="H290" s="29">
        <f>IF($P290="","",IF(INDEX(EntryDep,$P290)=0,"",INDEX(EntryDep,$P290)))</f>
        <v/>
      </c>
      <c r="I290" s="29">
        <f>IF($P290="","",IF(INDEX(EntryWit,$P290)=0,"",INDEX(EntryWit,$P290)))</f>
        <v/>
      </c>
      <c r="J290" s="29">
        <f>IF($B290="","",IF($A290=1,$C$7,IF(J289="",0,J289))+IF($H290="",0,$H290)-IF($I290="",0,$I290))</f>
        <v/>
      </c>
      <c r="K290" s="29">
        <f>IF($P290="","",IF(INDEX(EntryMan,$P290)=0,"",INDEX(EntryMan,$P290)))</f>
        <v/>
      </c>
      <c r="L290" s="28">
        <f>IF($B290="","",IF($K290="","—",IF(ROUND($K290-$J290,0)=0,"√","×")))</f>
        <v/>
      </c>
      <c r="M290" s="28">
        <f>IF($B290="","",IF(COUNTIFS(EntryDates,$B290,CalcTime,$C290,CalcBank,$C$5,EntryParty,$D290,EntryDep,$H290,EntryWit,$I290)&gt;1,"تکرار",""))</f>
        <v/>
      </c>
      <c r="N290" s="28">
        <f>IF($P290="","",IF(INDEX(EntryNotes,$P290)=0,"",INDEX(EntryNotes,$P290)))</f>
        <v/>
      </c>
      <c r="O290" s="28">
        <f>IF($P290="","",IF(INDEX(EntryTxnID,$P290)=0,"",INDEX(EntryTxnID,$P290)))</f>
        <v/>
      </c>
      <c r="P290" s="28">
        <f>IFERROR(MATCH($C$5&amp;"|"&amp;RIGHT("000000"&amp;274,6),CalcRankKey,0),"")</f>
        <v/>
      </c>
    </row>
    <row r="291">
      <c r="A291" s="26">
        <f>IF($B291="","",275)</f>
        <v/>
      </c>
      <c r="B291" s="26">
        <f>IF($P291="","",IF(INDEX(CalcNormDate,$P291)=0,"",INDEX(CalcNormDate,$P291)))</f>
        <v/>
      </c>
      <c r="C291" s="26">
        <f>IF($P291="","",IF(INDEX(CalcTime,$P291)=0,"",INDEX(CalcTime,$P291)))</f>
        <v/>
      </c>
      <c r="D291" s="26">
        <f>IF($P291="","",IF(INDEX(EntryParty,$P291)=0,"",INDEX(EntryParty,$P291)))</f>
        <v/>
      </c>
      <c r="E291" s="26">
        <f>IF($P291="","",IF(INDEX(EntryPartyName,$P291)=0,"",INDEX(EntryPartyName,$P291)))</f>
        <v/>
      </c>
      <c r="F291" s="26">
        <f>IF($P291="","",IF(INDEX(EntryPartyType,$P291)=0,"",INDEX(EntryPartyType,$P291)))</f>
        <v/>
      </c>
      <c r="G291" s="26">
        <f>IF($P291="","",IF(INDEX(EntryTxnType,$P291)=0,"",INDEX(EntryTxnType,$P291)))</f>
        <v/>
      </c>
      <c r="H291" s="27">
        <f>IF($P291="","",IF(INDEX(EntryDep,$P291)=0,"",INDEX(EntryDep,$P291)))</f>
        <v/>
      </c>
      <c r="I291" s="27">
        <f>IF($P291="","",IF(INDEX(EntryWit,$P291)=0,"",INDEX(EntryWit,$P291)))</f>
        <v/>
      </c>
      <c r="J291" s="27">
        <f>IF($B291="","",IF($A291=1,$C$7,IF(J290="",0,J290))+IF($H291="",0,$H291)-IF($I291="",0,$I291))</f>
        <v/>
      </c>
      <c r="K291" s="27">
        <f>IF($P291="","",IF(INDEX(EntryMan,$P291)=0,"",INDEX(EntryMan,$P291)))</f>
        <v/>
      </c>
      <c r="L291" s="26">
        <f>IF($B291="","",IF($K291="","—",IF(ROUND($K291-$J291,0)=0,"√","×")))</f>
        <v/>
      </c>
      <c r="M291" s="26">
        <f>IF($B291="","",IF(COUNTIFS(EntryDates,$B291,CalcTime,$C291,CalcBank,$C$5,EntryParty,$D291,EntryDep,$H291,EntryWit,$I291)&gt;1,"تکرار",""))</f>
        <v/>
      </c>
      <c r="N291" s="26">
        <f>IF($P291="","",IF(INDEX(EntryNotes,$P291)=0,"",INDEX(EntryNotes,$P291)))</f>
        <v/>
      </c>
      <c r="O291" s="26">
        <f>IF($P291="","",IF(INDEX(EntryTxnID,$P291)=0,"",INDEX(EntryTxnID,$P291)))</f>
        <v/>
      </c>
      <c r="P291" s="26">
        <f>IFERROR(MATCH($C$5&amp;"|"&amp;RIGHT("000000"&amp;275,6),CalcRankKey,0),"")</f>
        <v/>
      </c>
    </row>
    <row r="292">
      <c r="A292" s="28">
        <f>IF($B292="","",276)</f>
        <v/>
      </c>
      <c r="B292" s="28">
        <f>IF($P292="","",IF(INDEX(CalcNormDate,$P292)=0,"",INDEX(CalcNormDate,$P292)))</f>
        <v/>
      </c>
      <c r="C292" s="28">
        <f>IF($P292="","",IF(INDEX(CalcTime,$P292)=0,"",INDEX(CalcTime,$P292)))</f>
        <v/>
      </c>
      <c r="D292" s="28">
        <f>IF($P292="","",IF(INDEX(EntryParty,$P292)=0,"",INDEX(EntryParty,$P292)))</f>
        <v/>
      </c>
      <c r="E292" s="28">
        <f>IF($P292="","",IF(INDEX(EntryPartyName,$P292)=0,"",INDEX(EntryPartyName,$P292)))</f>
        <v/>
      </c>
      <c r="F292" s="28">
        <f>IF($P292="","",IF(INDEX(EntryPartyType,$P292)=0,"",INDEX(EntryPartyType,$P292)))</f>
        <v/>
      </c>
      <c r="G292" s="28">
        <f>IF($P292="","",IF(INDEX(EntryTxnType,$P292)=0,"",INDEX(EntryTxnType,$P292)))</f>
        <v/>
      </c>
      <c r="H292" s="29">
        <f>IF($P292="","",IF(INDEX(EntryDep,$P292)=0,"",INDEX(EntryDep,$P292)))</f>
        <v/>
      </c>
      <c r="I292" s="29">
        <f>IF($P292="","",IF(INDEX(EntryWit,$P292)=0,"",INDEX(EntryWit,$P292)))</f>
        <v/>
      </c>
      <c r="J292" s="29">
        <f>IF($B292="","",IF($A292=1,$C$7,IF(J291="",0,J291))+IF($H292="",0,$H292)-IF($I292="",0,$I292))</f>
        <v/>
      </c>
      <c r="K292" s="29">
        <f>IF($P292="","",IF(INDEX(EntryMan,$P292)=0,"",INDEX(EntryMan,$P292)))</f>
        <v/>
      </c>
      <c r="L292" s="28">
        <f>IF($B292="","",IF($K292="","—",IF(ROUND($K292-$J292,0)=0,"√","×")))</f>
        <v/>
      </c>
      <c r="M292" s="28">
        <f>IF($B292="","",IF(COUNTIFS(EntryDates,$B292,CalcTime,$C292,CalcBank,$C$5,EntryParty,$D292,EntryDep,$H292,EntryWit,$I292)&gt;1,"تکرار",""))</f>
        <v/>
      </c>
      <c r="N292" s="28">
        <f>IF($P292="","",IF(INDEX(EntryNotes,$P292)=0,"",INDEX(EntryNotes,$P292)))</f>
        <v/>
      </c>
      <c r="O292" s="28">
        <f>IF($P292="","",IF(INDEX(EntryTxnID,$P292)=0,"",INDEX(EntryTxnID,$P292)))</f>
        <v/>
      </c>
      <c r="P292" s="28">
        <f>IFERROR(MATCH($C$5&amp;"|"&amp;RIGHT("000000"&amp;276,6),CalcRankKey,0),"")</f>
        <v/>
      </c>
    </row>
    <row r="293">
      <c r="A293" s="26">
        <f>IF($B293="","",277)</f>
        <v/>
      </c>
      <c r="B293" s="26">
        <f>IF($P293="","",IF(INDEX(CalcNormDate,$P293)=0,"",INDEX(CalcNormDate,$P293)))</f>
        <v/>
      </c>
      <c r="C293" s="26">
        <f>IF($P293="","",IF(INDEX(CalcTime,$P293)=0,"",INDEX(CalcTime,$P293)))</f>
        <v/>
      </c>
      <c r="D293" s="26">
        <f>IF($P293="","",IF(INDEX(EntryParty,$P293)=0,"",INDEX(EntryParty,$P293)))</f>
        <v/>
      </c>
      <c r="E293" s="26">
        <f>IF($P293="","",IF(INDEX(EntryPartyName,$P293)=0,"",INDEX(EntryPartyName,$P293)))</f>
        <v/>
      </c>
      <c r="F293" s="26">
        <f>IF($P293="","",IF(INDEX(EntryPartyType,$P293)=0,"",INDEX(EntryPartyType,$P293)))</f>
        <v/>
      </c>
      <c r="G293" s="26">
        <f>IF($P293="","",IF(INDEX(EntryTxnType,$P293)=0,"",INDEX(EntryTxnType,$P293)))</f>
        <v/>
      </c>
      <c r="H293" s="27">
        <f>IF($P293="","",IF(INDEX(EntryDep,$P293)=0,"",INDEX(EntryDep,$P293)))</f>
        <v/>
      </c>
      <c r="I293" s="27">
        <f>IF($P293="","",IF(INDEX(EntryWit,$P293)=0,"",INDEX(EntryWit,$P293)))</f>
        <v/>
      </c>
      <c r="J293" s="27">
        <f>IF($B293="","",IF($A293=1,$C$7,IF(J292="",0,J292))+IF($H293="",0,$H293)-IF($I293="",0,$I293))</f>
        <v/>
      </c>
      <c r="K293" s="27">
        <f>IF($P293="","",IF(INDEX(EntryMan,$P293)=0,"",INDEX(EntryMan,$P293)))</f>
        <v/>
      </c>
      <c r="L293" s="26">
        <f>IF($B293="","",IF($K293="","—",IF(ROUND($K293-$J293,0)=0,"√","×")))</f>
        <v/>
      </c>
      <c r="M293" s="26">
        <f>IF($B293="","",IF(COUNTIFS(EntryDates,$B293,CalcTime,$C293,CalcBank,$C$5,EntryParty,$D293,EntryDep,$H293,EntryWit,$I293)&gt;1,"تکرار",""))</f>
        <v/>
      </c>
      <c r="N293" s="26">
        <f>IF($P293="","",IF(INDEX(EntryNotes,$P293)=0,"",INDEX(EntryNotes,$P293)))</f>
        <v/>
      </c>
      <c r="O293" s="26">
        <f>IF($P293="","",IF(INDEX(EntryTxnID,$P293)=0,"",INDEX(EntryTxnID,$P293)))</f>
        <v/>
      </c>
      <c r="P293" s="26">
        <f>IFERROR(MATCH($C$5&amp;"|"&amp;RIGHT("000000"&amp;277,6),CalcRankKey,0),"")</f>
        <v/>
      </c>
    </row>
    <row r="294">
      <c r="A294" s="28">
        <f>IF($B294="","",278)</f>
        <v/>
      </c>
      <c r="B294" s="28">
        <f>IF($P294="","",IF(INDEX(CalcNormDate,$P294)=0,"",INDEX(CalcNormDate,$P294)))</f>
        <v/>
      </c>
      <c r="C294" s="28">
        <f>IF($P294="","",IF(INDEX(CalcTime,$P294)=0,"",INDEX(CalcTime,$P294)))</f>
        <v/>
      </c>
      <c r="D294" s="28">
        <f>IF($P294="","",IF(INDEX(EntryParty,$P294)=0,"",INDEX(EntryParty,$P294)))</f>
        <v/>
      </c>
      <c r="E294" s="28">
        <f>IF($P294="","",IF(INDEX(EntryPartyName,$P294)=0,"",INDEX(EntryPartyName,$P294)))</f>
        <v/>
      </c>
      <c r="F294" s="28">
        <f>IF($P294="","",IF(INDEX(EntryPartyType,$P294)=0,"",INDEX(EntryPartyType,$P294)))</f>
        <v/>
      </c>
      <c r="G294" s="28">
        <f>IF($P294="","",IF(INDEX(EntryTxnType,$P294)=0,"",INDEX(EntryTxnType,$P294)))</f>
        <v/>
      </c>
      <c r="H294" s="29">
        <f>IF($P294="","",IF(INDEX(EntryDep,$P294)=0,"",INDEX(EntryDep,$P294)))</f>
        <v/>
      </c>
      <c r="I294" s="29">
        <f>IF($P294="","",IF(INDEX(EntryWit,$P294)=0,"",INDEX(EntryWit,$P294)))</f>
        <v/>
      </c>
      <c r="J294" s="29">
        <f>IF($B294="","",IF($A294=1,$C$7,IF(J293="",0,J293))+IF($H294="",0,$H294)-IF($I294="",0,$I294))</f>
        <v/>
      </c>
      <c r="K294" s="29">
        <f>IF($P294="","",IF(INDEX(EntryMan,$P294)=0,"",INDEX(EntryMan,$P294)))</f>
        <v/>
      </c>
      <c r="L294" s="28">
        <f>IF($B294="","",IF($K294="","—",IF(ROUND($K294-$J294,0)=0,"√","×")))</f>
        <v/>
      </c>
      <c r="M294" s="28">
        <f>IF($B294="","",IF(COUNTIFS(EntryDates,$B294,CalcTime,$C294,CalcBank,$C$5,EntryParty,$D294,EntryDep,$H294,EntryWit,$I294)&gt;1,"تکرار",""))</f>
        <v/>
      </c>
      <c r="N294" s="28">
        <f>IF($P294="","",IF(INDEX(EntryNotes,$P294)=0,"",INDEX(EntryNotes,$P294)))</f>
        <v/>
      </c>
      <c r="O294" s="28">
        <f>IF($P294="","",IF(INDEX(EntryTxnID,$P294)=0,"",INDEX(EntryTxnID,$P294)))</f>
        <v/>
      </c>
      <c r="P294" s="28">
        <f>IFERROR(MATCH($C$5&amp;"|"&amp;RIGHT("000000"&amp;278,6),CalcRankKey,0),"")</f>
        <v/>
      </c>
    </row>
    <row r="295">
      <c r="A295" s="26">
        <f>IF($B295="","",279)</f>
        <v/>
      </c>
      <c r="B295" s="26">
        <f>IF($P295="","",IF(INDEX(CalcNormDate,$P295)=0,"",INDEX(CalcNormDate,$P295)))</f>
        <v/>
      </c>
      <c r="C295" s="26">
        <f>IF($P295="","",IF(INDEX(CalcTime,$P295)=0,"",INDEX(CalcTime,$P295)))</f>
        <v/>
      </c>
      <c r="D295" s="26">
        <f>IF($P295="","",IF(INDEX(EntryParty,$P295)=0,"",INDEX(EntryParty,$P295)))</f>
        <v/>
      </c>
      <c r="E295" s="26">
        <f>IF($P295="","",IF(INDEX(EntryPartyName,$P295)=0,"",INDEX(EntryPartyName,$P295)))</f>
        <v/>
      </c>
      <c r="F295" s="26">
        <f>IF($P295="","",IF(INDEX(EntryPartyType,$P295)=0,"",INDEX(EntryPartyType,$P295)))</f>
        <v/>
      </c>
      <c r="G295" s="26">
        <f>IF($P295="","",IF(INDEX(EntryTxnType,$P295)=0,"",INDEX(EntryTxnType,$P295)))</f>
        <v/>
      </c>
      <c r="H295" s="27">
        <f>IF($P295="","",IF(INDEX(EntryDep,$P295)=0,"",INDEX(EntryDep,$P295)))</f>
        <v/>
      </c>
      <c r="I295" s="27">
        <f>IF($P295="","",IF(INDEX(EntryWit,$P295)=0,"",INDEX(EntryWit,$P295)))</f>
        <v/>
      </c>
      <c r="J295" s="27">
        <f>IF($B295="","",IF($A295=1,$C$7,IF(J294="",0,J294))+IF($H295="",0,$H295)-IF($I295="",0,$I295))</f>
        <v/>
      </c>
      <c r="K295" s="27">
        <f>IF($P295="","",IF(INDEX(EntryMan,$P295)=0,"",INDEX(EntryMan,$P295)))</f>
        <v/>
      </c>
      <c r="L295" s="26">
        <f>IF($B295="","",IF($K295="","—",IF(ROUND($K295-$J295,0)=0,"√","×")))</f>
        <v/>
      </c>
      <c r="M295" s="26">
        <f>IF($B295="","",IF(COUNTIFS(EntryDates,$B295,CalcTime,$C295,CalcBank,$C$5,EntryParty,$D295,EntryDep,$H295,EntryWit,$I295)&gt;1,"تکرار",""))</f>
        <v/>
      </c>
      <c r="N295" s="26">
        <f>IF($P295="","",IF(INDEX(EntryNotes,$P295)=0,"",INDEX(EntryNotes,$P295)))</f>
        <v/>
      </c>
      <c r="O295" s="26">
        <f>IF($P295="","",IF(INDEX(EntryTxnID,$P295)=0,"",INDEX(EntryTxnID,$P295)))</f>
        <v/>
      </c>
      <c r="P295" s="26">
        <f>IFERROR(MATCH($C$5&amp;"|"&amp;RIGHT("000000"&amp;279,6),CalcRankKey,0),"")</f>
        <v/>
      </c>
    </row>
    <row r="296">
      <c r="A296" s="28">
        <f>IF($B296="","",280)</f>
        <v/>
      </c>
      <c r="B296" s="28">
        <f>IF($P296="","",IF(INDEX(CalcNormDate,$P296)=0,"",INDEX(CalcNormDate,$P296)))</f>
        <v/>
      </c>
      <c r="C296" s="28">
        <f>IF($P296="","",IF(INDEX(CalcTime,$P296)=0,"",INDEX(CalcTime,$P296)))</f>
        <v/>
      </c>
      <c r="D296" s="28">
        <f>IF($P296="","",IF(INDEX(EntryParty,$P296)=0,"",INDEX(EntryParty,$P296)))</f>
        <v/>
      </c>
      <c r="E296" s="28">
        <f>IF($P296="","",IF(INDEX(EntryPartyName,$P296)=0,"",INDEX(EntryPartyName,$P296)))</f>
        <v/>
      </c>
      <c r="F296" s="28">
        <f>IF($P296="","",IF(INDEX(EntryPartyType,$P296)=0,"",INDEX(EntryPartyType,$P296)))</f>
        <v/>
      </c>
      <c r="G296" s="28">
        <f>IF($P296="","",IF(INDEX(EntryTxnType,$P296)=0,"",INDEX(EntryTxnType,$P296)))</f>
        <v/>
      </c>
      <c r="H296" s="29">
        <f>IF($P296="","",IF(INDEX(EntryDep,$P296)=0,"",INDEX(EntryDep,$P296)))</f>
        <v/>
      </c>
      <c r="I296" s="29">
        <f>IF($P296="","",IF(INDEX(EntryWit,$P296)=0,"",INDEX(EntryWit,$P296)))</f>
        <v/>
      </c>
      <c r="J296" s="29">
        <f>IF($B296="","",IF($A296=1,$C$7,IF(J295="",0,J295))+IF($H296="",0,$H296)-IF($I296="",0,$I296))</f>
        <v/>
      </c>
      <c r="K296" s="29">
        <f>IF($P296="","",IF(INDEX(EntryMan,$P296)=0,"",INDEX(EntryMan,$P296)))</f>
        <v/>
      </c>
      <c r="L296" s="28">
        <f>IF($B296="","",IF($K296="","—",IF(ROUND($K296-$J296,0)=0,"√","×")))</f>
        <v/>
      </c>
      <c r="M296" s="28">
        <f>IF($B296="","",IF(COUNTIFS(EntryDates,$B296,CalcTime,$C296,CalcBank,$C$5,EntryParty,$D296,EntryDep,$H296,EntryWit,$I296)&gt;1,"تکرار",""))</f>
        <v/>
      </c>
      <c r="N296" s="28">
        <f>IF($P296="","",IF(INDEX(EntryNotes,$P296)=0,"",INDEX(EntryNotes,$P296)))</f>
        <v/>
      </c>
      <c r="O296" s="28">
        <f>IF($P296="","",IF(INDEX(EntryTxnID,$P296)=0,"",INDEX(EntryTxnID,$P296)))</f>
        <v/>
      </c>
      <c r="P296" s="28">
        <f>IFERROR(MATCH($C$5&amp;"|"&amp;RIGHT("000000"&amp;280,6),CalcRankKey,0),"")</f>
        <v/>
      </c>
    </row>
    <row r="297">
      <c r="A297" s="26">
        <f>IF($B297="","",281)</f>
        <v/>
      </c>
      <c r="B297" s="26">
        <f>IF($P297="","",IF(INDEX(CalcNormDate,$P297)=0,"",INDEX(CalcNormDate,$P297)))</f>
        <v/>
      </c>
      <c r="C297" s="26">
        <f>IF($P297="","",IF(INDEX(CalcTime,$P297)=0,"",INDEX(CalcTime,$P297)))</f>
        <v/>
      </c>
      <c r="D297" s="26">
        <f>IF($P297="","",IF(INDEX(EntryParty,$P297)=0,"",INDEX(EntryParty,$P297)))</f>
        <v/>
      </c>
      <c r="E297" s="26">
        <f>IF($P297="","",IF(INDEX(EntryPartyName,$P297)=0,"",INDEX(EntryPartyName,$P297)))</f>
        <v/>
      </c>
      <c r="F297" s="26">
        <f>IF($P297="","",IF(INDEX(EntryPartyType,$P297)=0,"",INDEX(EntryPartyType,$P297)))</f>
        <v/>
      </c>
      <c r="G297" s="26">
        <f>IF($P297="","",IF(INDEX(EntryTxnType,$P297)=0,"",INDEX(EntryTxnType,$P297)))</f>
        <v/>
      </c>
      <c r="H297" s="27">
        <f>IF($P297="","",IF(INDEX(EntryDep,$P297)=0,"",INDEX(EntryDep,$P297)))</f>
        <v/>
      </c>
      <c r="I297" s="27">
        <f>IF($P297="","",IF(INDEX(EntryWit,$P297)=0,"",INDEX(EntryWit,$P297)))</f>
        <v/>
      </c>
      <c r="J297" s="27">
        <f>IF($B297="","",IF($A297=1,$C$7,IF(J296="",0,J296))+IF($H297="",0,$H297)-IF($I297="",0,$I297))</f>
        <v/>
      </c>
      <c r="K297" s="27">
        <f>IF($P297="","",IF(INDEX(EntryMan,$P297)=0,"",INDEX(EntryMan,$P297)))</f>
        <v/>
      </c>
      <c r="L297" s="26">
        <f>IF($B297="","",IF($K297="","—",IF(ROUND($K297-$J297,0)=0,"√","×")))</f>
        <v/>
      </c>
      <c r="M297" s="26">
        <f>IF($B297="","",IF(COUNTIFS(EntryDates,$B297,CalcTime,$C297,CalcBank,$C$5,EntryParty,$D297,EntryDep,$H297,EntryWit,$I297)&gt;1,"تکرار",""))</f>
        <v/>
      </c>
      <c r="N297" s="26">
        <f>IF($P297="","",IF(INDEX(EntryNotes,$P297)=0,"",INDEX(EntryNotes,$P297)))</f>
        <v/>
      </c>
      <c r="O297" s="26">
        <f>IF($P297="","",IF(INDEX(EntryTxnID,$P297)=0,"",INDEX(EntryTxnID,$P297)))</f>
        <v/>
      </c>
      <c r="P297" s="26">
        <f>IFERROR(MATCH($C$5&amp;"|"&amp;RIGHT("000000"&amp;281,6),CalcRankKey,0),"")</f>
        <v/>
      </c>
    </row>
    <row r="298">
      <c r="A298" s="28">
        <f>IF($B298="","",282)</f>
        <v/>
      </c>
      <c r="B298" s="28">
        <f>IF($P298="","",IF(INDEX(CalcNormDate,$P298)=0,"",INDEX(CalcNormDate,$P298)))</f>
        <v/>
      </c>
      <c r="C298" s="28">
        <f>IF($P298="","",IF(INDEX(CalcTime,$P298)=0,"",INDEX(CalcTime,$P298)))</f>
        <v/>
      </c>
      <c r="D298" s="28">
        <f>IF($P298="","",IF(INDEX(EntryParty,$P298)=0,"",INDEX(EntryParty,$P298)))</f>
        <v/>
      </c>
      <c r="E298" s="28">
        <f>IF($P298="","",IF(INDEX(EntryPartyName,$P298)=0,"",INDEX(EntryPartyName,$P298)))</f>
        <v/>
      </c>
      <c r="F298" s="28">
        <f>IF($P298="","",IF(INDEX(EntryPartyType,$P298)=0,"",INDEX(EntryPartyType,$P298)))</f>
        <v/>
      </c>
      <c r="G298" s="28">
        <f>IF($P298="","",IF(INDEX(EntryTxnType,$P298)=0,"",INDEX(EntryTxnType,$P298)))</f>
        <v/>
      </c>
      <c r="H298" s="29">
        <f>IF($P298="","",IF(INDEX(EntryDep,$P298)=0,"",INDEX(EntryDep,$P298)))</f>
        <v/>
      </c>
      <c r="I298" s="29">
        <f>IF($P298="","",IF(INDEX(EntryWit,$P298)=0,"",INDEX(EntryWit,$P298)))</f>
        <v/>
      </c>
      <c r="J298" s="29">
        <f>IF($B298="","",IF($A298=1,$C$7,IF(J297="",0,J297))+IF($H298="",0,$H298)-IF($I298="",0,$I298))</f>
        <v/>
      </c>
      <c r="K298" s="29">
        <f>IF($P298="","",IF(INDEX(EntryMan,$P298)=0,"",INDEX(EntryMan,$P298)))</f>
        <v/>
      </c>
      <c r="L298" s="28">
        <f>IF($B298="","",IF($K298="","—",IF(ROUND($K298-$J298,0)=0,"√","×")))</f>
        <v/>
      </c>
      <c r="M298" s="28">
        <f>IF($B298="","",IF(COUNTIFS(EntryDates,$B298,CalcTime,$C298,CalcBank,$C$5,EntryParty,$D298,EntryDep,$H298,EntryWit,$I298)&gt;1,"تکرار",""))</f>
        <v/>
      </c>
      <c r="N298" s="28">
        <f>IF($P298="","",IF(INDEX(EntryNotes,$P298)=0,"",INDEX(EntryNotes,$P298)))</f>
        <v/>
      </c>
      <c r="O298" s="28">
        <f>IF($P298="","",IF(INDEX(EntryTxnID,$P298)=0,"",INDEX(EntryTxnID,$P298)))</f>
        <v/>
      </c>
      <c r="P298" s="28">
        <f>IFERROR(MATCH($C$5&amp;"|"&amp;RIGHT("000000"&amp;282,6),CalcRankKey,0),"")</f>
        <v/>
      </c>
    </row>
    <row r="299">
      <c r="A299" s="26">
        <f>IF($B299="","",283)</f>
        <v/>
      </c>
      <c r="B299" s="26">
        <f>IF($P299="","",IF(INDEX(CalcNormDate,$P299)=0,"",INDEX(CalcNormDate,$P299)))</f>
        <v/>
      </c>
      <c r="C299" s="26">
        <f>IF($P299="","",IF(INDEX(CalcTime,$P299)=0,"",INDEX(CalcTime,$P299)))</f>
        <v/>
      </c>
      <c r="D299" s="26">
        <f>IF($P299="","",IF(INDEX(EntryParty,$P299)=0,"",INDEX(EntryParty,$P299)))</f>
        <v/>
      </c>
      <c r="E299" s="26">
        <f>IF($P299="","",IF(INDEX(EntryPartyName,$P299)=0,"",INDEX(EntryPartyName,$P299)))</f>
        <v/>
      </c>
      <c r="F299" s="26">
        <f>IF($P299="","",IF(INDEX(EntryPartyType,$P299)=0,"",INDEX(EntryPartyType,$P299)))</f>
        <v/>
      </c>
      <c r="G299" s="26">
        <f>IF($P299="","",IF(INDEX(EntryTxnType,$P299)=0,"",INDEX(EntryTxnType,$P299)))</f>
        <v/>
      </c>
      <c r="H299" s="27">
        <f>IF($P299="","",IF(INDEX(EntryDep,$P299)=0,"",INDEX(EntryDep,$P299)))</f>
        <v/>
      </c>
      <c r="I299" s="27">
        <f>IF($P299="","",IF(INDEX(EntryWit,$P299)=0,"",INDEX(EntryWit,$P299)))</f>
        <v/>
      </c>
      <c r="J299" s="27">
        <f>IF($B299="","",IF($A299=1,$C$7,IF(J298="",0,J298))+IF($H299="",0,$H299)-IF($I299="",0,$I299))</f>
        <v/>
      </c>
      <c r="K299" s="27">
        <f>IF($P299="","",IF(INDEX(EntryMan,$P299)=0,"",INDEX(EntryMan,$P299)))</f>
        <v/>
      </c>
      <c r="L299" s="26">
        <f>IF($B299="","",IF($K299="","—",IF(ROUND($K299-$J299,0)=0,"√","×")))</f>
        <v/>
      </c>
      <c r="M299" s="26">
        <f>IF($B299="","",IF(COUNTIFS(EntryDates,$B299,CalcTime,$C299,CalcBank,$C$5,EntryParty,$D299,EntryDep,$H299,EntryWit,$I299)&gt;1,"تکرار",""))</f>
        <v/>
      </c>
      <c r="N299" s="26">
        <f>IF($P299="","",IF(INDEX(EntryNotes,$P299)=0,"",INDEX(EntryNotes,$P299)))</f>
        <v/>
      </c>
      <c r="O299" s="26">
        <f>IF($P299="","",IF(INDEX(EntryTxnID,$P299)=0,"",INDEX(EntryTxnID,$P299)))</f>
        <v/>
      </c>
      <c r="P299" s="26">
        <f>IFERROR(MATCH($C$5&amp;"|"&amp;RIGHT("000000"&amp;283,6),CalcRankKey,0),"")</f>
        <v/>
      </c>
    </row>
    <row r="300">
      <c r="A300" s="28">
        <f>IF($B300="","",284)</f>
        <v/>
      </c>
      <c r="B300" s="28">
        <f>IF($P300="","",IF(INDEX(CalcNormDate,$P300)=0,"",INDEX(CalcNormDate,$P300)))</f>
        <v/>
      </c>
      <c r="C300" s="28">
        <f>IF($P300="","",IF(INDEX(CalcTime,$P300)=0,"",INDEX(CalcTime,$P300)))</f>
        <v/>
      </c>
      <c r="D300" s="28">
        <f>IF($P300="","",IF(INDEX(EntryParty,$P300)=0,"",INDEX(EntryParty,$P300)))</f>
        <v/>
      </c>
      <c r="E300" s="28">
        <f>IF($P300="","",IF(INDEX(EntryPartyName,$P300)=0,"",INDEX(EntryPartyName,$P300)))</f>
        <v/>
      </c>
      <c r="F300" s="28">
        <f>IF($P300="","",IF(INDEX(EntryPartyType,$P300)=0,"",INDEX(EntryPartyType,$P300)))</f>
        <v/>
      </c>
      <c r="G300" s="28">
        <f>IF($P300="","",IF(INDEX(EntryTxnType,$P300)=0,"",INDEX(EntryTxnType,$P300)))</f>
        <v/>
      </c>
      <c r="H300" s="29">
        <f>IF($P300="","",IF(INDEX(EntryDep,$P300)=0,"",INDEX(EntryDep,$P300)))</f>
        <v/>
      </c>
      <c r="I300" s="29">
        <f>IF($P300="","",IF(INDEX(EntryWit,$P300)=0,"",INDEX(EntryWit,$P300)))</f>
        <v/>
      </c>
      <c r="J300" s="29">
        <f>IF($B300="","",IF($A300=1,$C$7,IF(J299="",0,J299))+IF($H300="",0,$H300)-IF($I300="",0,$I300))</f>
        <v/>
      </c>
      <c r="K300" s="29">
        <f>IF($P300="","",IF(INDEX(EntryMan,$P300)=0,"",INDEX(EntryMan,$P300)))</f>
        <v/>
      </c>
      <c r="L300" s="28">
        <f>IF($B300="","",IF($K300="","—",IF(ROUND($K300-$J300,0)=0,"√","×")))</f>
        <v/>
      </c>
      <c r="M300" s="28">
        <f>IF($B300="","",IF(COUNTIFS(EntryDates,$B300,CalcTime,$C300,CalcBank,$C$5,EntryParty,$D300,EntryDep,$H300,EntryWit,$I300)&gt;1,"تکرار",""))</f>
        <v/>
      </c>
      <c r="N300" s="28">
        <f>IF($P300="","",IF(INDEX(EntryNotes,$P300)=0,"",INDEX(EntryNotes,$P300)))</f>
        <v/>
      </c>
      <c r="O300" s="28">
        <f>IF($P300="","",IF(INDEX(EntryTxnID,$P300)=0,"",INDEX(EntryTxnID,$P300)))</f>
        <v/>
      </c>
      <c r="P300" s="28">
        <f>IFERROR(MATCH($C$5&amp;"|"&amp;RIGHT("000000"&amp;284,6),CalcRankKey,0),"")</f>
        <v/>
      </c>
    </row>
    <row r="301">
      <c r="A301" s="26">
        <f>IF($B301="","",285)</f>
        <v/>
      </c>
      <c r="B301" s="26">
        <f>IF($P301="","",IF(INDEX(CalcNormDate,$P301)=0,"",INDEX(CalcNormDate,$P301)))</f>
        <v/>
      </c>
      <c r="C301" s="26">
        <f>IF($P301="","",IF(INDEX(CalcTime,$P301)=0,"",INDEX(CalcTime,$P301)))</f>
        <v/>
      </c>
      <c r="D301" s="26">
        <f>IF($P301="","",IF(INDEX(EntryParty,$P301)=0,"",INDEX(EntryParty,$P301)))</f>
        <v/>
      </c>
      <c r="E301" s="26">
        <f>IF($P301="","",IF(INDEX(EntryPartyName,$P301)=0,"",INDEX(EntryPartyName,$P301)))</f>
        <v/>
      </c>
      <c r="F301" s="26">
        <f>IF($P301="","",IF(INDEX(EntryPartyType,$P301)=0,"",INDEX(EntryPartyType,$P301)))</f>
        <v/>
      </c>
      <c r="G301" s="26">
        <f>IF($P301="","",IF(INDEX(EntryTxnType,$P301)=0,"",INDEX(EntryTxnType,$P301)))</f>
        <v/>
      </c>
      <c r="H301" s="27">
        <f>IF($P301="","",IF(INDEX(EntryDep,$P301)=0,"",INDEX(EntryDep,$P301)))</f>
        <v/>
      </c>
      <c r="I301" s="27">
        <f>IF($P301="","",IF(INDEX(EntryWit,$P301)=0,"",INDEX(EntryWit,$P301)))</f>
        <v/>
      </c>
      <c r="J301" s="27">
        <f>IF($B301="","",IF($A301=1,$C$7,IF(J300="",0,J300))+IF($H301="",0,$H301)-IF($I301="",0,$I301))</f>
        <v/>
      </c>
      <c r="K301" s="27">
        <f>IF($P301="","",IF(INDEX(EntryMan,$P301)=0,"",INDEX(EntryMan,$P301)))</f>
        <v/>
      </c>
      <c r="L301" s="26">
        <f>IF($B301="","",IF($K301="","—",IF(ROUND($K301-$J301,0)=0,"√","×")))</f>
        <v/>
      </c>
      <c r="M301" s="26">
        <f>IF($B301="","",IF(COUNTIFS(EntryDates,$B301,CalcTime,$C301,CalcBank,$C$5,EntryParty,$D301,EntryDep,$H301,EntryWit,$I301)&gt;1,"تکرار",""))</f>
        <v/>
      </c>
      <c r="N301" s="26">
        <f>IF($P301="","",IF(INDEX(EntryNotes,$P301)=0,"",INDEX(EntryNotes,$P301)))</f>
        <v/>
      </c>
      <c r="O301" s="26">
        <f>IF($P301="","",IF(INDEX(EntryTxnID,$P301)=0,"",INDEX(EntryTxnID,$P301)))</f>
        <v/>
      </c>
      <c r="P301" s="26">
        <f>IFERROR(MATCH($C$5&amp;"|"&amp;RIGHT("000000"&amp;285,6),CalcRankKey,0),"")</f>
        <v/>
      </c>
    </row>
    <row r="302">
      <c r="A302" s="28">
        <f>IF($B302="","",286)</f>
        <v/>
      </c>
      <c r="B302" s="28">
        <f>IF($P302="","",IF(INDEX(CalcNormDate,$P302)=0,"",INDEX(CalcNormDate,$P302)))</f>
        <v/>
      </c>
      <c r="C302" s="28">
        <f>IF($P302="","",IF(INDEX(CalcTime,$P302)=0,"",INDEX(CalcTime,$P302)))</f>
        <v/>
      </c>
      <c r="D302" s="28">
        <f>IF($P302="","",IF(INDEX(EntryParty,$P302)=0,"",INDEX(EntryParty,$P302)))</f>
        <v/>
      </c>
      <c r="E302" s="28">
        <f>IF($P302="","",IF(INDEX(EntryPartyName,$P302)=0,"",INDEX(EntryPartyName,$P302)))</f>
        <v/>
      </c>
      <c r="F302" s="28">
        <f>IF($P302="","",IF(INDEX(EntryPartyType,$P302)=0,"",INDEX(EntryPartyType,$P302)))</f>
        <v/>
      </c>
      <c r="G302" s="28">
        <f>IF($P302="","",IF(INDEX(EntryTxnType,$P302)=0,"",INDEX(EntryTxnType,$P302)))</f>
        <v/>
      </c>
      <c r="H302" s="29">
        <f>IF($P302="","",IF(INDEX(EntryDep,$P302)=0,"",INDEX(EntryDep,$P302)))</f>
        <v/>
      </c>
      <c r="I302" s="29">
        <f>IF($P302="","",IF(INDEX(EntryWit,$P302)=0,"",INDEX(EntryWit,$P302)))</f>
        <v/>
      </c>
      <c r="J302" s="29">
        <f>IF($B302="","",IF($A302=1,$C$7,IF(J301="",0,J301))+IF($H302="",0,$H302)-IF($I302="",0,$I302))</f>
        <v/>
      </c>
      <c r="K302" s="29">
        <f>IF($P302="","",IF(INDEX(EntryMan,$P302)=0,"",INDEX(EntryMan,$P302)))</f>
        <v/>
      </c>
      <c r="L302" s="28">
        <f>IF($B302="","",IF($K302="","—",IF(ROUND($K302-$J302,0)=0,"√","×")))</f>
        <v/>
      </c>
      <c r="M302" s="28">
        <f>IF($B302="","",IF(COUNTIFS(EntryDates,$B302,CalcTime,$C302,CalcBank,$C$5,EntryParty,$D302,EntryDep,$H302,EntryWit,$I302)&gt;1,"تکرار",""))</f>
        <v/>
      </c>
      <c r="N302" s="28">
        <f>IF($P302="","",IF(INDEX(EntryNotes,$P302)=0,"",INDEX(EntryNotes,$P302)))</f>
        <v/>
      </c>
      <c r="O302" s="28">
        <f>IF($P302="","",IF(INDEX(EntryTxnID,$P302)=0,"",INDEX(EntryTxnID,$P302)))</f>
        <v/>
      </c>
      <c r="P302" s="28">
        <f>IFERROR(MATCH($C$5&amp;"|"&amp;RIGHT("000000"&amp;286,6),CalcRankKey,0),"")</f>
        <v/>
      </c>
    </row>
    <row r="303">
      <c r="A303" s="26">
        <f>IF($B303="","",287)</f>
        <v/>
      </c>
      <c r="B303" s="26">
        <f>IF($P303="","",IF(INDEX(CalcNormDate,$P303)=0,"",INDEX(CalcNormDate,$P303)))</f>
        <v/>
      </c>
      <c r="C303" s="26">
        <f>IF($P303="","",IF(INDEX(CalcTime,$P303)=0,"",INDEX(CalcTime,$P303)))</f>
        <v/>
      </c>
      <c r="D303" s="26">
        <f>IF($P303="","",IF(INDEX(EntryParty,$P303)=0,"",INDEX(EntryParty,$P303)))</f>
        <v/>
      </c>
      <c r="E303" s="26">
        <f>IF($P303="","",IF(INDEX(EntryPartyName,$P303)=0,"",INDEX(EntryPartyName,$P303)))</f>
        <v/>
      </c>
      <c r="F303" s="26">
        <f>IF($P303="","",IF(INDEX(EntryPartyType,$P303)=0,"",INDEX(EntryPartyType,$P303)))</f>
        <v/>
      </c>
      <c r="G303" s="26">
        <f>IF($P303="","",IF(INDEX(EntryTxnType,$P303)=0,"",INDEX(EntryTxnType,$P303)))</f>
        <v/>
      </c>
      <c r="H303" s="27">
        <f>IF($P303="","",IF(INDEX(EntryDep,$P303)=0,"",INDEX(EntryDep,$P303)))</f>
        <v/>
      </c>
      <c r="I303" s="27">
        <f>IF($P303="","",IF(INDEX(EntryWit,$P303)=0,"",INDEX(EntryWit,$P303)))</f>
        <v/>
      </c>
      <c r="J303" s="27">
        <f>IF($B303="","",IF($A303=1,$C$7,IF(J302="",0,J302))+IF($H303="",0,$H303)-IF($I303="",0,$I303))</f>
        <v/>
      </c>
      <c r="K303" s="27">
        <f>IF($P303="","",IF(INDEX(EntryMan,$P303)=0,"",INDEX(EntryMan,$P303)))</f>
        <v/>
      </c>
      <c r="L303" s="26">
        <f>IF($B303="","",IF($K303="","—",IF(ROUND($K303-$J303,0)=0,"√","×")))</f>
        <v/>
      </c>
      <c r="M303" s="26">
        <f>IF($B303="","",IF(COUNTIFS(EntryDates,$B303,CalcTime,$C303,CalcBank,$C$5,EntryParty,$D303,EntryDep,$H303,EntryWit,$I303)&gt;1,"تکرار",""))</f>
        <v/>
      </c>
      <c r="N303" s="26">
        <f>IF($P303="","",IF(INDEX(EntryNotes,$P303)=0,"",INDEX(EntryNotes,$P303)))</f>
        <v/>
      </c>
      <c r="O303" s="26">
        <f>IF($P303="","",IF(INDEX(EntryTxnID,$P303)=0,"",INDEX(EntryTxnID,$P303)))</f>
        <v/>
      </c>
      <c r="P303" s="26">
        <f>IFERROR(MATCH($C$5&amp;"|"&amp;RIGHT("000000"&amp;287,6),CalcRankKey,0),"")</f>
        <v/>
      </c>
    </row>
    <row r="304">
      <c r="A304" s="28">
        <f>IF($B304="","",288)</f>
        <v/>
      </c>
      <c r="B304" s="28">
        <f>IF($P304="","",IF(INDEX(CalcNormDate,$P304)=0,"",INDEX(CalcNormDate,$P304)))</f>
        <v/>
      </c>
      <c r="C304" s="28">
        <f>IF($P304="","",IF(INDEX(CalcTime,$P304)=0,"",INDEX(CalcTime,$P304)))</f>
        <v/>
      </c>
      <c r="D304" s="28">
        <f>IF($P304="","",IF(INDEX(EntryParty,$P304)=0,"",INDEX(EntryParty,$P304)))</f>
        <v/>
      </c>
      <c r="E304" s="28">
        <f>IF($P304="","",IF(INDEX(EntryPartyName,$P304)=0,"",INDEX(EntryPartyName,$P304)))</f>
        <v/>
      </c>
      <c r="F304" s="28">
        <f>IF($P304="","",IF(INDEX(EntryPartyType,$P304)=0,"",INDEX(EntryPartyType,$P304)))</f>
        <v/>
      </c>
      <c r="G304" s="28">
        <f>IF($P304="","",IF(INDEX(EntryTxnType,$P304)=0,"",INDEX(EntryTxnType,$P304)))</f>
        <v/>
      </c>
      <c r="H304" s="29">
        <f>IF($P304="","",IF(INDEX(EntryDep,$P304)=0,"",INDEX(EntryDep,$P304)))</f>
        <v/>
      </c>
      <c r="I304" s="29">
        <f>IF($P304="","",IF(INDEX(EntryWit,$P304)=0,"",INDEX(EntryWit,$P304)))</f>
        <v/>
      </c>
      <c r="J304" s="29">
        <f>IF($B304="","",IF($A304=1,$C$7,IF(J303="",0,J303))+IF($H304="",0,$H304)-IF($I304="",0,$I304))</f>
        <v/>
      </c>
      <c r="K304" s="29">
        <f>IF($P304="","",IF(INDEX(EntryMan,$P304)=0,"",INDEX(EntryMan,$P304)))</f>
        <v/>
      </c>
      <c r="L304" s="28">
        <f>IF($B304="","",IF($K304="","—",IF(ROUND($K304-$J304,0)=0,"√","×")))</f>
        <v/>
      </c>
      <c r="M304" s="28">
        <f>IF($B304="","",IF(COUNTIFS(EntryDates,$B304,CalcTime,$C304,CalcBank,$C$5,EntryParty,$D304,EntryDep,$H304,EntryWit,$I304)&gt;1,"تکرار",""))</f>
        <v/>
      </c>
      <c r="N304" s="28">
        <f>IF($P304="","",IF(INDEX(EntryNotes,$P304)=0,"",INDEX(EntryNotes,$P304)))</f>
        <v/>
      </c>
      <c r="O304" s="28">
        <f>IF($P304="","",IF(INDEX(EntryTxnID,$P304)=0,"",INDEX(EntryTxnID,$P304)))</f>
        <v/>
      </c>
      <c r="P304" s="28">
        <f>IFERROR(MATCH($C$5&amp;"|"&amp;RIGHT("000000"&amp;288,6),CalcRankKey,0),"")</f>
        <v/>
      </c>
    </row>
    <row r="305">
      <c r="A305" s="26">
        <f>IF($B305="","",289)</f>
        <v/>
      </c>
      <c r="B305" s="26">
        <f>IF($P305="","",IF(INDEX(CalcNormDate,$P305)=0,"",INDEX(CalcNormDate,$P305)))</f>
        <v/>
      </c>
      <c r="C305" s="26">
        <f>IF($P305="","",IF(INDEX(CalcTime,$P305)=0,"",INDEX(CalcTime,$P305)))</f>
        <v/>
      </c>
      <c r="D305" s="26">
        <f>IF($P305="","",IF(INDEX(EntryParty,$P305)=0,"",INDEX(EntryParty,$P305)))</f>
        <v/>
      </c>
      <c r="E305" s="26">
        <f>IF($P305="","",IF(INDEX(EntryPartyName,$P305)=0,"",INDEX(EntryPartyName,$P305)))</f>
        <v/>
      </c>
      <c r="F305" s="26">
        <f>IF($P305="","",IF(INDEX(EntryPartyType,$P305)=0,"",INDEX(EntryPartyType,$P305)))</f>
        <v/>
      </c>
      <c r="G305" s="26">
        <f>IF($P305="","",IF(INDEX(EntryTxnType,$P305)=0,"",INDEX(EntryTxnType,$P305)))</f>
        <v/>
      </c>
      <c r="H305" s="27">
        <f>IF($P305="","",IF(INDEX(EntryDep,$P305)=0,"",INDEX(EntryDep,$P305)))</f>
        <v/>
      </c>
      <c r="I305" s="27">
        <f>IF($P305="","",IF(INDEX(EntryWit,$P305)=0,"",INDEX(EntryWit,$P305)))</f>
        <v/>
      </c>
      <c r="J305" s="27">
        <f>IF($B305="","",IF($A305=1,$C$7,IF(J304="",0,J304))+IF($H305="",0,$H305)-IF($I305="",0,$I305))</f>
        <v/>
      </c>
      <c r="K305" s="27">
        <f>IF($P305="","",IF(INDEX(EntryMan,$P305)=0,"",INDEX(EntryMan,$P305)))</f>
        <v/>
      </c>
      <c r="L305" s="26">
        <f>IF($B305="","",IF($K305="","—",IF(ROUND($K305-$J305,0)=0,"√","×")))</f>
        <v/>
      </c>
      <c r="M305" s="26">
        <f>IF($B305="","",IF(COUNTIFS(EntryDates,$B305,CalcTime,$C305,CalcBank,$C$5,EntryParty,$D305,EntryDep,$H305,EntryWit,$I305)&gt;1,"تکرار",""))</f>
        <v/>
      </c>
      <c r="N305" s="26">
        <f>IF($P305="","",IF(INDEX(EntryNotes,$P305)=0,"",INDEX(EntryNotes,$P305)))</f>
        <v/>
      </c>
      <c r="O305" s="26">
        <f>IF($P305="","",IF(INDEX(EntryTxnID,$P305)=0,"",INDEX(EntryTxnID,$P305)))</f>
        <v/>
      </c>
      <c r="P305" s="26">
        <f>IFERROR(MATCH($C$5&amp;"|"&amp;RIGHT("000000"&amp;289,6),CalcRankKey,0),"")</f>
        <v/>
      </c>
    </row>
    <row r="306">
      <c r="A306" s="28">
        <f>IF($B306="","",290)</f>
        <v/>
      </c>
      <c r="B306" s="28">
        <f>IF($P306="","",IF(INDEX(CalcNormDate,$P306)=0,"",INDEX(CalcNormDate,$P306)))</f>
        <v/>
      </c>
      <c r="C306" s="28">
        <f>IF($P306="","",IF(INDEX(CalcTime,$P306)=0,"",INDEX(CalcTime,$P306)))</f>
        <v/>
      </c>
      <c r="D306" s="28">
        <f>IF($P306="","",IF(INDEX(EntryParty,$P306)=0,"",INDEX(EntryParty,$P306)))</f>
        <v/>
      </c>
      <c r="E306" s="28">
        <f>IF($P306="","",IF(INDEX(EntryPartyName,$P306)=0,"",INDEX(EntryPartyName,$P306)))</f>
        <v/>
      </c>
      <c r="F306" s="28">
        <f>IF($P306="","",IF(INDEX(EntryPartyType,$P306)=0,"",INDEX(EntryPartyType,$P306)))</f>
        <v/>
      </c>
      <c r="G306" s="28">
        <f>IF($P306="","",IF(INDEX(EntryTxnType,$P306)=0,"",INDEX(EntryTxnType,$P306)))</f>
        <v/>
      </c>
      <c r="H306" s="29">
        <f>IF($P306="","",IF(INDEX(EntryDep,$P306)=0,"",INDEX(EntryDep,$P306)))</f>
        <v/>
      </c>
      <c r="I306" s="29">
        <f>IF($P306="","",IF(INDEX(EntryWit,$P306)=0,"",INDEX(EntryWit,$P306)))</f>
        <v/>
      </c>
      <c r="J306" s="29">
        <f>IF($B306="","",IF($A306=1,$C$7,IF(J305="",0,J305))+IF($H306="",0,$H306)-IF($I306="",0,$I306))</f>
        <v/>
      </c>
      <c r="K306" s="29">
        <f>IF($P306="","",IF(INDEX(EntryMan,$P306)=0,"",INDEX(EntryMan,$P306)))</f>
        <v/>
      </c>
      <c r="L306" s="28">
        <f>IF($B306="","",IF($K306="","—",IF(ROUND($K306-$J306,0)=0,"√","×")))</f>
        <v/>
      </c>
      <c r="M306" s="28">
        <f>IF($B306="","",IF(COUNTIFS(EntryDates,$B306,CalcTime,$C306,CalcBank,$C$5,EntryParty,$D306,EntryDep,$H306,EntryWit,$I306)&gt;1,"تکرار",""))</f>
        <v/>
      </c>
      <c r="N306" s="28">
        <f>IF($P306="","",IF(INDEX(EntryNotes,$P306)=0,"",INDEX(EntryNotes,$P306)))</f>
        <v/>
      </c>
      <c r="O306" s="28">
        <f>IF($P306="","",IF(INDEX(EntryTxnID,$P306)=0,"",INDEX(EntryTxnID,$P306)))</f>
        <v/>
      </c>
      <c r="P306" s="28">
        <f>IFERROR(MATCH($C$5&amp;"|"&amp;RIGHT("000000"&amp;290,6),CalcRankKey,0),"")</f>
        <v/>
      </c>
    </row>
    <row r="307">
      <c r="A307" s="26">
        <f>IF($B307="","",291)</f>
        <v/>
      </c>
      <c r="B307" s="26">
        <f>IF($P307="","",IF(INDEX(CalcNormDate,$P307)=0,"",INDEX(CalcNormDate,$P307)))</f>
        <v/>
      </c>
      <c r="C307" s="26">
        <f>IF($P307="","",IF(INDEX(CalcTime,$P307)=0,"",INDEX(CalcTime,$P307)))</f>
        <v/>
      </c>
      <c r="D307" s="26">
        <f>IF($P307="","",IF(INDEX(EntryParty,$P307)=0,"",INDEX(EntryParty,$P307)))</f>
        <v/>
      </c>
      <c r="E307" s="26">
        <f>IF($P307="","",IF(INDEX(EntryPartyName,$P307)=0,"",INDEX(EntryPartyName,$P307)))</f>
        <v/>
      </c>
      <c r="F307" s="26">
        <f>IF($P307="","",IF(INDEX(EntryPartyType,$P307)=0,"",INDEX(EntryPartyType,$P307)))</f>
        <v/>
      </c>
      <c r="G307" s="26">
        <f>IF($P307="","",IF(INDEX(EntryTxnType,$P307)=0,"",INDEX(EntryTxnType,$P307)))</f>
        <v/>
      </c>
      <c r="H307" s="27">
        <f>IF($P307="","",IF(INDEX(EntryDep,$P307)=0,"",INDEX(EntryDep,$P307)))</f>
        <v/>
      </c>
      <c r="I307" s="27">
        <f>IF($P307="","",IF(INDEX(EntryWit,$P307)=0,"",INDEX(EntryWit,$P307)))</f>
        <v/>
      </c>
      <c r="J307" s="27">
        <f>IF($B307="","",IF($A307=1,$C$7,IF(J306="",0,J306))+IF($H307="",0,$H307)-IF($I307="",0,$I307))</f>
        <v/>
      </c>
      <c r="K307" s="27">
        <f>IF($P307="","",IF(INDEX(EntryMan,$P307)=0,"",INDEX(EntryMan,$P307)))</f>
        <v/>
      </c>
      <c r="L307" s="26">
        <f>IF($B307="","",IF($K307="","—",IF(ROUND($K307-$J307,0)=0,"√","×")))</f>
        <v/>
      </c>
      <c r="M307" s="26">
        <f>IF($B307="","",IF(COUNTIFS(EntryDates,$B307,CalcTime,$C307,CalcBank,$C$5,EntryParty,$D307,EntryDep,$H307,EntryWit,$I307)&gt;1,"تکرار",""))</f>
        <v/>
      </c>
      <c r="N307" s="26">
        <f>IF($P307="","",IF(INDEX(EntryNotes,$P307)=0,"",INDEX(EntryNotes,$P307)))</f>
        <v/>
      </c>
      <c r="O307" s="26">
        <f>IF($P307="","",IF(INDEX(EntryTxnID,$P307)=0,"",INDEX(EntryTxnID,$P307)))</f>
        <v/>
      </c>
      <c r="P307" s="26">
        <f>IFERROR(MATCH($C$5&amp;"|"&amp;RIGHT("000000"&amp;291,6),CalcRankKey,0),"")</f>
        <v/>
      </c>
    </row>
    <row r="308">
      <c r="A308" s="28">
        <f>IF($B308="","",292)</f>
        <v/>
      </c>
      <c r="B308" s="28">
        <f>IF($P308="","",IF(INDEX(CalcNormDate,$P308)=0,"",INDEX(CalcNormDate,$P308)))</f>
        <v/>
      </c>
      <c r="C308" s="28">
        <f>IF($P308="","",IF(INDEX(CalcTime,$P308)=0,"",INDEX(CalcTime,$P308)))</f>
        <v/>
      </c>
      <c r="D308" s="28">
        <f>IF($P308="","",IF(INDEX(EntryParty,$P308)=0,"",INDEX(EntryParty,$P308)))</f>
        <v/>
      </c>
      <c r="E308" s="28">
        <f>IF($P308="","",IF(INDEX(EntryPartyName,$P308)=0,"",INDEX(EntryPartyName,$P308)))</f>
        <v/>
      </c>
      <c r="F308" s="28">
        <f>IF($P308="","",IF(INDEX(EntryPartyType,$P308)=0,"",INDEX(EntryPartyType,$P308)))</f>
        <v/>
      </c>
      <c r="G308" s="28">
        <f>IF($P308="","",IF(INDEX(EntryTxnType,$P308)=0,"",INDEX(EntryTxnType,$P308)))</f>
        <v/>
      </c>
      <c r="H308" s="29">
        <f>IF($P308="","",IF(INDEX(EntryDep,$P308)=0,"",INDEX(EntryDep,$P308)))</f>
        <v/>
      </c>
      <c r="I308" s="29">
        <f>IF($P308="","",IF(INDEX(EntryWit,$P308)=0,"",INDEX(EntryWit,$P308)))</f>
        <v/>
      </c>
      <c r="J308" s="29">
        <f>IF($B308="","",IF($A308=1,$C$7,IF(J307="",0,J307))+IF($H308="",0,$H308)-IF($I308="",0,$I308))</f>
        <v/>
      </c>
      <c r="K308" s="29">
        <f>IF($P308="","",IF(INDEX(EntryMan,$P308)=0,"",INDEX(EntryMan,$P308)))</f>
        <v/>
      </c>
      <c r="L308" s="28">
        <f>IF($B308="","",IF($K308="","—",IF(ROUND($K308-$J308,0)=0,"√","×")))</f>
        <v/>
      </c>
      <c r="M308" s="28">
        <f>IF($B308="","",IF(COUNTIFS(EntryDates,$B308,CalcTime,$C308,CalcBank,$C$5,EntryParty,$D308,EntryDep,$H308,EntryWit,$I308)&gt;1,"تکرار",""))</f>
        <v/>
      </c>
      <c r="N308" s="28">
        <f>IF($P308="","",IF(INDEX(EntryNotes,$P308)=0,"",INDEX(EntryNotes,$P308)))</f>
        <v/>
      </c>
      <c r="O308" s="28">
        <f>IF($P308="","",IF(INDEX(EntryTxnID,$P308)=0,"",INDEX(EntryTxnID,$P308)))</f>
        <v/>
      </c>
      <c r="P308" s="28">
        <f>IFERROR(MATCH($C$5&amp;"|"&amp;RIGHT("000000"&amp;292,6),CalcRankKey,0),"")</f>
        <v/>
      </c>
    </row>
    <row r="309">
      <c r="A309" s="26">
        <f>IF($B309="","",293)</f>
        <v/>
      </c>
      <c r="B309" s="26">
        <f>IF($P309="","",IF(INDEX(CalcNormDate,$P309)=0,"",INDEX(CalcNormDate,$P309)))</f>
        <v/>
      </c>
      <c r="C309" s="26">
        <f>IF($P309="","",IF(INDEX(CalcTime,$P309)=0,"",INDEX(CalcTime,$P309)))</f>
        <v/>
      </c>
      <c r="D309" s="26">
        <f>IF($P309="","",IF(INDEX(EntryParty,$P309)=0,"",INDEX(EntryParty,$P309)))</f>
        <v/>
      </c>
      <c r="E309" s="26">
        <f>IF($P309="","",IF(INDEX(EntryPartyName,$P309)=0,"",INDEX(EntryPartyName,$P309)))</f>
        <v/>
      </c>
      <c r="F309" s="26">
        <f>IF($P309="","",IF(INDEX(EntryPartyType,$P309)=0,"",INDEX(EntryPartyType,$P309)))</f>
        <v/>
      </c>
      <c r="G309" s="26">
        <f>IF($P309="","",IF(INDEX(EntryTxnType,$P309)=0,"",INDEX(EntryTxnType,$P309)))</f>
        <v/>
      </c>
      <c r="H309" s="27">
        <f>IF($P309="","",IF(INDEX(EntryDep,$P309)=0,"",INDEX(EntryDep,$P309)))</f>
        <v/>
      </c>
      <c r="I309" s="27">
        <f>IF($P309="","",IF(INDEX(EntryWit,$P309)=0,"",INDEX(EntryWit,$P309)))</f>
        <v/>
      </c>
      <c r="J309" s="27">
        <f>IF($B309="","",IF($A309=1,$C$7,IF(J308="",0,J308))+IF($H309="",0,$H309)-IF($I309="",0,$I309))</f>
        <v/>
      </c>
      <c r="K309" s="27">
        <f>IF($P309="","",IF(INDEX(EntryMan,$P309)=0,"",INDEX(EntryMan,$P309)))</f>
        <v/>
      </c>
      <c r="L309" s="26">
        <f>IF($B309="","",IF($K309="","—",IF(ROUND($K309-$J309,0)=0,"√","×")))</f>
        <v/>
      </c>
      <c r="M309" s="26">
        <f>IF($B309="","",IF(COUNTIFS(EntryDates,$B309,CalcTime,$C309,CalcBank,$C$5,EntryParty,$D309,EntryDep,$H309,EntryWit,$I309)&gt;1,"تکرار",""))</f>
        <v/>
      </c>
      <c r="N309" s="26">
        <f>IF($P309="","",IF(INDEX(EntryNotes,$P309)=0,"",INDEX(EntryNotes,$P309)))</f>
        <v/>
      </c>
      <c r="O309" s="26">
        <f>IF($P309="","",IF(INDEX(EntryTxnID,$P309)=0,"",INDEX(EntryTxnID,$P309)))</f>
        <v/>
      </c>
      <c r="P309" s="26">
        <f>IFERROR(MATCH($C$5&amp;"|"&amp;RIGHT("000000"&amp;293,6),CalcRankKey,0),"")</f>
        <v/>
      </c>
    </row>
    <row r="310">
      <c r="A310" s="28">
        <f>IF($B310="","",294)</f>
        <v/>
      </c>
      <c r="B310" s="28">
        <f>IF($P310="","",IF(INDEX(CalcNormDate,$P310)=0,"",INDEX(CalcNormDate,$P310)))</f>
        <v/>
      </c>
      <c r="C310" s="28">
        <f>IF($P310="","",IF(INDEX(CalcTime,$P310)=0,"",INDEX(CalcTime,$P310)))</f>
        <v/>
      </c>
      <c r="D310" s="28">
        <f>IF($P310="","",IF(INDEX(EntryParty,$P310)=0,"",INDEX(EntryParty,$P310)))</f>
        <v/>
      </c>
      <c r="E310" s="28">
        <f>IF($P310="","",IF(INDEX(EntryPartyName,$P310)=0,"",INDEX(EntryPartyName,$P310)))</f>
        <v/>
      </c>
      <c r="F310" s="28">
        <f>IF($P310="","",IF(INDEX(EntryPartyType,$P310)=0,"",INDEX(EntryPartyType,$P310)))</f>
        <v/>
      </c>
      <c r="G310" s="28">
        <f>IF($P310="","",IF(INDEX(EntryTxnType,$P310)=0,"",INDEX(EntryTxnType,$P310)))</f>
        <v/>
      </c>
      <c r="H310" s="29">
        <f>IF($P310="","",IF(INDEX(EntryDep,$P310)=0,"",INDEX(EntryDep,$P310)))</f>
        <v/>
      </c>
      <c r="I310" s="29">
        <f>IF($P310="","",IF(INDEX(EntryWit,$P310)=0,"",INDEX(EntryWit,$P310)))</f>
        <v/>
      </c>
      <c r="J310" s="29">
        <f>IF($B310="","",IF($A310=1,$C$7,IF(J309="",0,J309))+IF($H310="",0,$H310)-IF($I310="",0,$I310))</f>
        <v/>
      </c>
      <c r="K310" s="29">
        <f>IF($P310="","",IF(INDEX(EntryMan,$P310)=0,"",INDEX(EntryMan,$P310)))</f>
        <v/>
      </c>
      <c r="L310" s="28">
        <f>IF($B310="","",IF($K310="","—",IF(ROUND($K310-$J310,0)=0,"√","×")))</f>
        <v/>
      </c>
      <c r="M310" s="28">
        <f>IF($B310="","",IF(COUNTIFS(EntryDates,$B310,CalcTime,$C310,CalcBank,$C$5,EntryParty,$D310,EntryDep,$H310,EntryWit,$I310)&gt;1,"تکرار",""))</f>
        <v/>
      </c>
      <c r="N310" s="28">
        <f>IF($P310="","",IF(INDEX(EntryNotes,$P310)=0,"",INDEX(EntryNotes,$P310)))</f>
        <v/>
      </c>
      <c r="O310" s="28">
        <f>IF($P310="","",IF(INDEX(EntryTxnID,$P310)=0,"",INDEX(EntryTxnID,$P310)))</f>
        <v/>
      </c>
      <c r="P310" s="28">
        <f>IFERROR(MATCH($C$5&amp;"|"&amp;RIGHT("000000"&amp;294,6),CalcRankKey,0),"")</f>
        <v/>
      </c>
    </row>
    <row r="311">
      <c r="A311" s="26">
        <f>IF($B311="","",295)</f>
        <v/>
      </c>
      <c r="B311" s="26">
        <f>IF($P311="","",IF(INDEX(CalcNormDate,$P311)=0,"",INDEX(CalcNormDate,$P311)))</f>
        <v/>
      </c>
      <c r="C311" s="26">
        <f>IF($P311="","",IF(INDEX(CalcTime,$P311)=0,"",INDEX(CalcTime,$P311)))</f>
        <v/>
      </c>
      <c r="D311" s="26">
        <f>IF($P311="","",IF(INDEX(EntryParty,$P311)=0,"",INDEX(EntryParty,$P311)))</f>
        <v/>
      </c>
      <c r="E311" s="26">
        <f>IF($P311="","",IF(INDEX(EntryPartyName,$P311)=0,"",INDEX(EntryPartyName,$P311)))</f>
        <v/>
      </c>
      <c r="F311" s="26">
        <f>IF($P311="","",IF(INDEX(EntryPartyType,$P311)=0,"",INDEX(EntryPartyType,$P311)))</f>
        <v/>
      </c>
      <c r="G311" s="26">
        <f>IF($P311="","",IF(INDEX(EntryTxnType,$P311)=0,"",INDEX(EntryTxnType,$P311)))</f>
        <v/>
      </c>
      <c r="H311" s="27">
        <f>IF($P311="","",IF(INDEX(EntryDep,$P311)=0,"",INDEX(EntryDep,$P311)))</f>
        <v/>
      </c>
      <c r="I311" s="27">
        <f>IF($P311="","",IF(INDEX(EntryWit,$P311)=0,"",INDEX(EntryWit,$P311)))</f>
        <v/>
      </c>
      <c r="J311" s="27">
        <f>IF($B311="","",IF($A311=1,$C$7,IF(J310="",0,J310))+IF($H311="",0,$H311)-IF($I311="",0,$I311))</f>
        <v/>
      </c>
      <c r="K311" s="27">
        <f>IF($P311="","",IF(INDEX(EntryMan,$P311)=0,"",INDEX(EntryMan,$P311)))</f>
        <v/>
      </c>
      <c r="L311" s="26">
        <f>IF($B311="","",IF($K311="","—",IF(ROUND($K311-$J311,0)=0,"√","×")))</f>
        <v/>
      </c>
      <c r="M311" s="26">
        <f>IF($B311="","",IF(COUNTIFS(EntryDates,$B311,CalcTime,$C311,CalcBank,$C$5,EntryParty,$D311,EntryDep,$H311,EntryWit,$I311)&gt;1,"تکرار",""))</f>
        <v/>
      </c>
      <c r="N311" s="26">
        <f>IF($P311="","",IF(INDEX(EntryNotes,$P311)=0,"",INDEX(EntryNotes,$P311)))</f>
        <v/>
      </c>
      <c r="O311" s="26">
        <f>IF($P311="","",IF(INDEX(EntryTxnID,$P311)=0,"",INDEX(EntryTxnID,$P311)))</f>
        <v/>
      </c>
      <c r="P311" s="26">
        <f>IFERROR(MATCH($C$5&amp;"|"&amp;RIGHT("000000"&amp;295,6),CalcRankKey,0),"")</f>
        <v/>
      </c>
    </row>
    <row r="312">
      <c r="A312" s="28">
        <f>IF($B312="","",296)</f>
        <v/>
      </c>
      <c r="B312" s="28">
        <f>IF($P312="","",IF(INDEX(CalcNormDate,$P312)=0,"",INDEX(CalcNormDate,$P312)))</f>
        <v/>
      </c>
      <c r="C312" s="28">
        <f>IF($P312="","",IF(INDEX(CalcTime,$P312)=0,"",INDEX(CalcTime,$P312)))</f>
        <v/>
      </c>
      <c r="D312" s="28">
        <f>IF($P312="","",IF(INDEX(EntryParty,$P312)=0,"",INDEX(EntryParty,$P312)))</f>
        <v/>
      </c>
      <c r="E312" s="28">
        <f>IF($P312="","",IF(INDEX(EntryPartyName,$P312)=0,"",INDEX(EntryPartyName,$P312)))</f>
        <v/>
      </c>
      <c r="F312" s="28">
        <f>IF($P312="","",IF(INDEX(EntryPartyType,$P312)=0,"",INDEX(EntryPartyType,$P312)))</f>
        <v/>
      </c>
      <c r="G312" s="28">
        <f>IF($P312="","",IF(INDEX(EntryTxnType,$P312)=0,"",INDEX(EntryTxnType,$P312)))</f>
        <v/>
      </c>
      <c r="H312" s="29">
        <f>IF($P312="","",IF(INDEX(EntryDep,$P312)=0,"",INDEX(EntryDep,$P312)))</f>
        <v/>
      </c>
      <c r="I312" s="29">
        <f>IF($P312="","",IF(INDEX(EntryWit,$P312)=0,"",INDEX(EntryWit,$P312)))</f>
        <v/>
      </c>
      <c r="J312" s="29">
        <f>IF($B312="","",IF($A312=1,$C$7,IF(J311="",0,J311))+IF($H312="",0,$H312)-IF($I312="",0,$I312))</f>
        <v/>
      </c>
      <c r="K312" s="29">
        <f>IF($P312="","",IF(INDEX(EntryMan,$P312)=0,"",INDEX(EntryMan,$P312)))</f>
        <v/>
      </c>
      <c r="L312" s="28">
        <f>IF($B312="","",IF($K312="","—",IF(ROUND($K312-$J312,0)=0,"√","×")))</f>
        <v/>
      </c>
      <c r="M312" s="28">
        <f>IF($B312="","",IF(COUNTIFS(EntryDates,$B312,CalcTime,$C312,CalcBank,$C$5,EntryParty,$D312,EntryDep,$H312,EntryWit,$I312)&gt;1,"تکرار",""))</f>
        <v/>
      </c>
      <c r="N312" s="28">
        <f>IF($P312="","",IF(INDEX(EntryNotes,$P312)=0,"",INDEX(EntryNotes,$P312)))</f>
        <v/>
      </c>
      <c r="O312" s="28">
        <f>IF($P312="","",IF(INDEX(EntryTxnID,$P312)=0,"",INDEX(EntryTxnID,$P312)))</f>
        <v/>
      </c>
      <c r="P312" s="28">
        <f>IFERROR(MATCH($C$5&amp;"|"&amp;RIGHT("000000"&amp;296,6),CalcRankKey,0),"")</f>
        <v/>
      </c>
    </row>
    <row r="313">
      <c r="A313" s="26">
        <f>IF($B313="","",297)</f>
        <v/>
      </c>
      <c r="B313" s="26">
        <f>IF($P313="","",IF(INDEX(CalcNormDate,$P313)=0,"",INDEX(CalcNormDate,$P313)))</f>
        <v/>
      </c>
      <c r="C313" s="26">
        <f>IF($P313="","",IF(INDEX(CalcTime,$P313)=0,"",INDEX(CalcTime,$P313)))</f>
        <v/>
      </c>
      <c r="D313" s="26">
        <f>IF($P313="","",IF(INDEX(EntryParty,$P313)=0,"",INDEX(EntryParty,$P313)))</f>
        <v/>
      </c>
      <c r="E313" s="26">
        <f>IF($P313="","",IF(INDEX(EntryPartyName,$P313)=0,"",INDEX(EntryPartyName,$P313)))</f>
        <v/>
      </c>
      <c r="F313" s="26">
        <f>IF($P313="","",IF(INDEX(EntryPartyType,$P313)=0,"",INDEX(EntryPartyType,$P313)))</f>
        <v/>
      </c>
      <c r="G313" s="26">
        <f>IF($P313="","",IF(INDEX(EntryTxnType,$P313)=0,"",INDEX(EntryTxnType,$P313)))</f>
        <v/>
      </c>
      <c r="H313" s="27">
        <f>IF($P313="","",IF(INDEX(EntryDep,$P313)=0,"",INDEX(EntryDep,$P313)))</f>
        <v/>
      </c>
      <c r="I313" s="27">
        <f>IF($P313="","",IF(INDEX(EntryWit,$P313)=0,"",INDEX(EntryWit,$P313)))</f>
        <v/>
      </c>
      <c r="J313" s="27">
        <f>IF($B313="","",IF($A313=1,$C$7,IF(J312="",0,J312))+IF($H313="",0,$H313)-IF($I313="",0,$I313))</f>
        <v/>
      </c>
      <c r="K313" s="27">
        <f>IF($P313="","",IF(INDEX(EntryMan,$P313)=0,"",INDEX(EntryMan,$P313)))</f>
        <v/>
      </c>
      <c r="L313" s="26">
        <f>IF($B313="","",IF($K313="","—",IF(ROUND($K313-$J313,0)=0,"√","×")))</f>
        <v/>
      </c>
      <c r="M313" s="26">
        <f>IF($B313="","",IF(COUNTIFS(EntryDates,$B313,CalcTime,$C313,CalcBank,$C$5,EntryParty,$D313,EntryDep,$H313,EntryWit,$I313)&gt;1,"تکرار",""))</f>
        <v/>
      </c>
      <c r="N313" s="26">
        <f>IF($P313="","",IF(INDEX(EntryNotes,$P313)=0,"",INDEX(EntryNotes,$P313)))</f>
        <v/>
      </c>
      <c r="O313" s="26">
        <f>IF($P313="","",IF(INDEX(EntryTxnID,$P313)=0,"",INDEX(EntryTxnID,$P313)))</f>
        <v/>
      </c>
      <c r="P313" s="26">
        <f>IFERROR(MATCH($C$5&amp;"|"&amp;RIGHT("000000"&amp;297,6),CalcRankKey,0),"")</f>
        <v/>
      </c>
    </row>
    <row r="314">
      <c r="A314" s="28">
        <f>IF($B314="","",298)</f>
        <v/>
      </c>
      <c r="B314" s="28">
        <f>IF($P314="","",IF(INDEX(CalcNormDate,$P314)=0,"",INDEX(CalcNormDate,$P314)))</f>
        <v/>
      </c>
      <c r="C314" s="28">
        <f>IF($P314="","",IF(INDEX(CalcTime,$P314)=0,"",INDEX(CalcTime,$P314)))</f>
        <v/>
      </c>
      <c r="D314" s="28">
        <f>IF($P314="","",IF(INDEX(EntryParty,$P314)=0,"",INDEX(EntryParty,$P314)))</f>
        <v/>
      </c>
      <c r="E314" s="28">
        <f>IF($P314="","",IF(INDEX(EntryPartyName,$P314)=0,"",INDEX(EntryPartyName,$P314)))</f>
        <v/>
      </c>
      <c r="F314" s="28">
        <f>IF($P314="","",IF(INDEX(EntryPartyType,$P314)=0,"",INDEX(EntryPartyType,$P314)))</f>
        <v/>
      </c>
      <c r="G314" s="28">
        <f>IF($P314="","",IF(INDEX(EntryTxnType,$P314)=0,"",INDEX(EntryTxnType,$P314)))</f>
        <v/>
      </c>
      <c r="H314" s="29">
        <f>IF($P314="","",IF(INDEX(EntryDep,$P314)=0,"",INDEX(EntryDep,$P314)))</f>
        <v/>
      </c>
      <c r="I314" s="29">
        <f>IF($P314="","",IF(INDEX(EntryWit,$P314)=0,"",INDEX(EntryWit,$P314)))</f>
        <v/>
      </c>
      <c r="J314" s="29">
        <f>IF($B314="","",IF($A314=1,$C$7,IF(J313="",0,J313))+IF($H314="",0,$H314)-IF($I314="",0,$I314))</f>
        <v/>
      </c>
      <c r="K314" s="29">
        <f>IF($P314="","",IF(INDEX(EntryMan,$P314)=0,"",INDEX(EntryMan,$P314)))</f>
        <v/>
      </c>
      <c r="L314" s="28">
        <f>IF($B314="","",IF($K314="","—",IF(ROUND($K314-$J314,0)=0,"√","×")))</f>
        <v/>
      </c>
      <c r="M314" s="28">
        <f>IF($B314="","",IF(COUNTIFS(EntryDates,$B314,CalcTime,$C314,CalcBank,$C$5,EntryParty,$D314,EntryDep,$H314,EntryWit,$I314)&gt;1,"تکرار",""))</f>
        <v/>
      </c>
      <c r="N314" s="28">
        <f>IF($P314="","",IF(INDEX(EntryNotes,$P314)=0,"",INDEX(EntryNotes,$P314)))</f>
        <v/>
      </c>
      <c r="O314" s="28">
        <f>IF($P314="","",IF(INDEX(EntryTxnID,$P314)=0,"",INDEX(EntryTxnID,$P314)))</f>
        <v/>
      </c>
      <c r="P314" s="28">
        <f>IFERROR(MATCH($C$5&amp;"|"&amp;RIGHT("000000"&amp;298,6),CalcRankKey,0),"")</f>
        <v/>
      </c>
    </row>
    <row r="315">
      <c r="A315" s="26">
        <f>IF($B315="","",299)</f>
        <v/>
      </c>
      <c r="B315" s="26">
        <f>IF($P315="","",IF(INDEX(CalcNormDate,$P315)=0,"",INDEX(CalcNormDate,$P315)))</f>
        <v/>
      </c>
      <c r="C315" s="26">
        <f>IF($P315="","",IF(INDEX(CalcTime,$P315)=0,"",INDEX(CalcTime,$P315)))</f>
        <v/>
      </c>
      <c r="D315" s="26">
        <f>IF($P315="","",IF(INDEX(EntryParty,$P315)=0,"",INDEX(EntryParty,$P315)))</f>
        <v/>
      </c>
      <c r="E315" s="26">
        <f>IF($P315="","",IF(INDEX(EntryPartyName,$P315)=0,"",INDEX(EntryPartyName,$P315)))</f>
        <v/>
      </c>
      <c r="F315" s="26">
        <f>IF($P315="","",IF(INDEX(EntryPartyType,$P315)=0,"",INDEX(EntryPartyType,$P315)))</f>
        <v/>
      </c>
      <c r="G315" s="26">
        <f>IF($P315="","",IF(INDEX(EntryTxnType,$P315)=0,"",INDEX(EntryTxnType,$P315)))</f>
        <v/>
      </c>
      <c r="H315" s="27">
        <f>IF($P315="","",IF(INDEX(EntryDep,$P315)=0,"",INDEX(EntryDep,$P315)))</f>
        <v/>
      </c>
      <c r="I315" s="27">
        <f>IF($P315="","",IF(INDEX(EntryWit,$P315)=0,"",INDEX(EntryWit,$P315)))</f>
        <v/>
      </c>
      <c r="J315" s="27">
        <f>IF($B315="","",IF($A315=1,$C$7,IF(J314="",0,J314))+IF($H315="",0,$H315)-IF($I315="",0,$I315))</f>
        <v/>
      </c>
      <c r="K315" s="27">
        <f>IF($P315="","",IF(INDEX(EntryMan,$P315)=0,"",INDEX(EntryMan,$P315)))</f>
        <v/>
      </c>
      <c r="L315" s="26">
        <f>IF($B315="","",IF($K315="","—",IF(ROUND($K315-$J315,0)=0,"√","×")))</f>
        <v/>
      </c>
      <c r="M315" s="26">
        <f>IF($B315="","",IF(COUNTIFS(EntryDates,$B315,CalcTime,$C315,CalcBank,$C$5,EntryParty,$D315,EntryDep,$H315,EntryWit,$I315)&gt;1,"تکرار",""))</f>
        <v/>
      </c>
      <c r="N315" s="26">
        <f>IF($P315="","",IF(INDEX(EntryNotes,$P315)=0,"",INDEX(EntryNotes,$P315)))</f>
        <v/>
      </c>
      <c r="O315" s="26">
        <f>IF($P315="","",IF(INDEX(EntryTxnID,$P315)=0,"",INDEX(EntryTxnID,$P315)))</f>
        <v/>
      </c>
      <c r="P315" s="26">
        <f>IFERROR(MATCH($C$5&amp;"|"&amp;RIGHT("000000"&amp;299,6),CalcRankKey,0),"")</f>
        <v/>
      </c>
    </row>
    <row r="316">
      <c r="A316" s="28">
        <f>IF($B316="","",300)</f>
        <v/>
      </c>
      <c r="B316" s="28">
        <f>IF($P316="","",IF(INDEX(CalcNormDate,$P316)=0,"",INDEX(CalcNormDate,$P316)))</f>
        <v/>
      </c>
      <c r="C316" s="28">
        <f>IF($P316="","",IF(INDEX(CalcTime,$P316)=0,"",INDEX(CalcTime,$P316)))</f>
        <v/>
      </c>
      <c r="D316" s="28">
        <f>IF($P316="","",IF(INDEX(EntryParty,$P316)=0,"",INDEX(EntryParty,$P316)))</f>
        <v/>
      </c>
      <c r="E316" s="28">
        <f>IF($P316="","",IF(INDEX(EntryPartyName,$P316)=0,"",INDEX(EntryPartyName,$P316)))</f>
        <v/>
      </c>
      <c r="F316" s="28">
        <f>IF($P316="","",IF(INDEX(EntryPartyType,$P316)=0,"",INDEX(EntryPartyType,$P316)))</f>
        <v/>
      </c>
      <c r="G316" s="28">
        <f>IF($P316="","",IF(INDEX(EntryTxnType,$P316)=0,"",INDEX(EntryTxnType,$P316)))</f>
        <v/>
      </c>
      <c r="H316" s="29">
        <f>IF($P316="","",IF(INDEX(EntryDep,$P316)=0,"",INDEX(EntryDep,$P316)))</f>
        <v/>
      </c>
      <c r="I316" s="29">
        <f>IF($P316="","",IF(INDEX(EntryWit,$P316)=0,"",INDEX(EntryWit,$P316)))</f>
        <v/>
      </c>
      <c r="J316" s="29">
        <f>IF($B316="","",IF($A316=1,$C$7,IF(J315="",0,J315))+IF($H316="",0,$H316)-IF($I316="",0,$I316))</f>
        <v/>
      </c>
      <c r="K316" s="29">
        <f>IF($P316="","",IF(INDEX(EntryMan,$P316)=0,"",INDEX(EntryMan,$P316)))</f>
        <v/>
      </c>
      <c r="L316" s="28">
        <f>IF($B316="","",IF($K316="","—",IF(ROUND($K316-$J316,0)=0,"√","×")))</f>
        <v/>
      </c>
      <c r="M316" s="28">
        <f>IF($B316="","",IF(COUNTIFS(EntryDates,$B316,CalcTime,$C316,CalcBank,$C$5,EntryParty,$D316,EntryDep,$H316,EntryWit,$I316)&gt;1,"تکرار",""))</f>
        <v/>
      </c>
      <c r="N316" s="28">
        <f>IF($P316="","",IF(INDEX(EntryNotes,$P316)=0,"",INDEX(EntryNotes,$P316)))</f>
        <v/>
      </c>
      <c r="O316" s="28">
        <f>IF($P316="","",IF(INDEX(EntryTxnID,$P316)=0,"",INDEX(EntryTxnID,$P316)))</f>
        <v/>
      </c>
      <c r="P316" s="28">
        <f>IFERROR(MATCH($C$5&amp;"|"&amp;RIGHT("000000"&amp;300,6),CalcRankKey,0),"")</f>
        <v/>
      </c>
    </row>
    <row r="317">
      <c r="A317" s="26">
        <f>IF($B317="","",301)</f>
        <v/>
      </c>
      <c r="B317" s="26">
        <f>IF($P317="","",IF(INDEX(CalcNormDate,$P317)=0,"",INDEX(CalcNormDate,$P317)))</f>
        <v/>
      </c>
      <c r="C317" s="26">
        <f>IF($P317="","",IF(INDEX(CalcTime,$P317)=0,"",INDEX(CalcTime,$P317)))</f>
        <v/>
      </c>
      <c r="D317" s="26">
        <f>IF($P317="","",IF(INDEX(EntryParty,$P317)=0,"",INDEX(EntryParty,$P317)))</f>
        <v/>
      </c>
      <c r="E317" s="26">
        <f>IF($P317="","",IF(INDEX(EntryPartyName,$P317)=0,"",INDEX(EntryPartyName,$P317)))</f>
        <v/>
      </c>
      <c r="F317" s="26">
        <f>IF($P317="","",IF(INDEX(EntryPartyType,$P317)=0,"",INDEX(EntryPartyType,$P317)))</f>
        <v/>
      </c>
      <c r="G317" s="26">
        <f>IF($P317="","",IF(INDEX(EntryTxnType,$P317)=0,"",INDEX(EntryTxnType,$P317)))</f>
        <v/>
      </c>
      <c r="H317" s="27">
        <f>IF($P317="","",IF(INDEX(EntryDep,$P317)=0,"",INDEX(EntryDep,$P317)))</f>
        <v/>
      </c>
      <c r="I317" s="27">
        <f>IF($P317="","",IF(INDEX(EntryWit,$P317)=0,"",INDEX(EntryWit,$P317)))</f>
        <v/>
      </c>
      <c r="J317" s="27">
        <f>IF($B317="","",IF($A317=1,$C$7,IF(J316="",0,J316))+IF($H317="",0,$H317)-IF($I317="",0,$I317))</f>
        <v/>
      </c>
      <c r="K317" s="27">
        <f>IF($P317="","",IF(INDEX(EntryMan,$P317)=0,"",INDEX(EntryMan,$P317)))</f>
        <v/>
      </c>
      <c r="L317" s="26">
        <f>IF($B317="","",IF($K317="","—",IF(ROUND($K317-$J317,0)=0,"√","×")))</f>
        <v/>
      </c>
      <c r="M317" s="26">
        <f>IF($B317="","",IF(COUNTIFS(EntryDates,$B317,CalcTime,$C317,CalcBank,$C$5,EntryParty,$D317,EntryDep,$H317,EntryWit,$I317)&gt;1,"تکرار",""))</f>
        <v/>
      </c>
      <c r="N317" s="26">
        <f>IF($P317="","",IF(INDEX(EntryNotes,$P317)=0,"",INDEX(EntryNotes,$P317)))</f>
        <v/>
      </c>
      <c r="O317" s="26">
        <f>IF($P317="","",IF(INDEX(EntryTxnID,$P317)=0,"",INDEX(EntryTxnID,$P317)))</f>
        <v/>
      </c>
      <c r="P317" s="26">
        <f>IFERROR(MATCH($C$5&amp;"|"&amp;RIGHT("000000"&amp;301,6),CalcRankKey,0),"")</f>
        <v/>
      </c>
    </row>
    <row r="318">
      <c r="A318" s="28">
        <f>IF($B318="","",302)</f>
        <v/>
      </c>
      <c r="B318" s="28">
        <f>IF($P318="","",IF(INDEX(CalcNormDate,$P318)=0,"",INDEX(CalcNormDate,$P318)))</f>
        <v/>
      </c>
      <c r="C318" s="28">
        <f>IF($P318="","",IF(INDEX(CalcTime,$P318)=0,"",INDEX(CalcTime,$P318)))</f>
        <v/>
      </c>
      <c r="D318" s="28">
        <f>IF($P318="","",IF(INDEX(EntryParty,$P318)=0,"",INDEX(EntryParty,$P318)))</f>
        <v/>
      </c>
      <c r="E318" s="28">
        <f>IF($P318="","",IF(INDEX(EntryPartyName,$P318)=0,"",INDEX(EntryPartyName,$P318)))</f>
        <v/>
      </c>
      <c r="F318" s="28">
        <f>IF($P318="","",IF(INDEX(EntryPartyType,$P318)=0,"",INDEX(EntryPartyType,$P318)))</f>
        <v/>
      </c>
      <c r="G318" s="28">
        <f>IF($P318="","",IF(INDEX(EntryTxnType,$P318)=0,"",INDEX(EntryTxnType,$P318)))</f>
        <v/>
      </c>
      <c r="H318" s="29">
        <f>IF($P318="","",IF(INDEX(EntryDep,$P318)=0,"",INDEX(EntryDep,$P318)))</f>
        <v/>
      </c>
      <c r="I318" s="29">
        <f>IF($P318="","",IF(INDEX(EntryWit,$P318)=0,"",INDEX(EntryWit,$P318)))</f>
        <v/>
      </c>
      <c r="J318" s="29">
        <f>IF($B318="","",IF($A318=1,$C$7,IF(J317="",0,J317))+IF($H318="",0,$H318)-IF($I318="",0,$I318))</f>
        <v/>
      </c>
      <c r="K318" s="29">
        <f>IF($P318="","",IF(INDEX(EntryMan,$P318)=0,"",INDEX(EntryMan,$P318)))</f>
        <v/>
      </c>
      <c r="L318" s="28">
        <f>IF($B318="","",IF($K318="","—",IF(ROUND($K318-$J318,0)=0,"√","×")))</f>
        <v/>
      </c>
      <c r="M318" s="28">
        <f>IF($B318="","",IF(COUNTIFS(EntryDates,$B318,CalcTime,$C318,CalcBank,$C$5,EntryParty,$D318,EntryDep,$H318,EntryWit,$I318)&gt;1,"تکرار",""))</f>
        <v/>
      </c>
      <c r="N318" s="28">
        <f>IF($P318="","",IF(INDEX(EntryNotes,$P318)=0,"",INDEX(EntryNotes,$P318)))</f>
        <v/>
      </c>
      <c r="O318" s="28">
        <f>IF($P318="","",IF(INDEX(EntryTxnID,$P318)=0,"",INDEX(EntryTxnID,$P318)))</f>
        <v/>
      </c>
      <c r="P318" s="28">
        <f>IFERROR(MATCH($C$5&amp;"|"&amp;RIGHT("000000"&amp;302,6),CalcRankKey,0),"")</f>
        <v/>
      </c>
    </row>
    <row r="319">
      <c r="A319" s="26">
        <f>IF($B319="","",303)</f>
        <v/>
      </c>
      <c r="B319" s="26">
        <f>IF($P319="","",IF(INDEX(CalcNormDate,$P319)=0,"",INDEX(CalcNormDate,$P319)))</f>
        <v/>
      </c>
      <c r="C319" s="26">
        <f>IF($P319="","",IF(INDEX(CalcTime,$P319)=0,"",INDEX(CalcTime,$P319)))</f>
        <v/>
      </c>
      <c r="D319" s="26">
        <f>IF($P319="","",IF(INDEX(EntryParty,$P319)=0,"",INDEX(EntryParty,$P319)))</f>
        <v/>
      </c>
      <c r="E319" s="26">
        <f>IF($P319="","",IF(INDEX(EntryPartyName,$P319)=0,"",INDEX(EntryPartyName,$P319)))</f>
        <v/>
      </c>
      <c r="F319" s="26">
        <f>IF($P319="","",IF(INDEX(EntryPartyType,$P319)=0,"",INDEX(EntryPartyType,$P319)))</f>
        <v/>
      </c>
      <c r="G319" s="26">
        <f>IF($P319="","",IF(INDEX(EntryTxnType,$P319)=0,"",INDEX(EntryTxnType,$P319)))</f>
        <v/>
      </c>
      <c r="H319" s="27">
        <f>IF($P319="","",IF(INDEX(EntryDep,$P319)=0,"",INDEX(EntryDep,$P319)))</f>
        <v/>
      </c>
      <c r="I319" s="27">
        <f>IF($P319="","",IF(INDEX(EntryWit,$P319)=0,"",INDEX(EntryWit,$P319)))</f>
        <v/>
      </c>
      <c r="J319" s="27">
        <f>IF($B319="","",IF($A319=1,$C$7,IF(J318="",0,J318))+IF($H319="",0,$H319)-IF($I319="",0,$I319))</f>
        <v/>
      </c>
      <c r="K319" s="27">
        <f>IF($P319="","",IF(INDEX(EntryMan,$P319)=0,"",INDEX(EntryMan,$P319)))</f>
        <v/>
      </c>
      <c r="L319" s="26">
        <f>IF($B319="","",IF($K319="","—",IF(ROUND($K319-$J319,0)=0,"√","×")))</f>
        <v/>
      </c>
      <c r="M319" s="26">
        <f>IF($B319="","",IF(COUNTIFS(EntryDates,$B319,CalcTime,$C319,CalcBank,$C$5,EntryParty,$D319,EntryDep,$H319,EntryWit,$I319)&gt;1,"تکرار",""))</f>
        <v/>
      </c>
      <c r="N319" s="26">
        <f>IF($P319="","",IF(INDEX(EntryNotes,$P319)=0,"",INDEX(EntryNotes,$P319)))</f>
        <v/>
      </c>
      <c r="O319" s="26">
        <f>IF($P319="","",IF(INDEX(EntryTxnID,$P319)=0,"",INDEX(EntryTxnID,$P319)))</f>
        <v/>
      </c>
      <c r="P319" s="26">
        <f>IFERROR(MATCH($C$5&amp;"|"&amp;RIGHT("000000"&amp;303,6),CalcRankKey,0),"")</f>
        <v/>
      </c>
    </row>
    <row r="320">
      <c r="A320" s="28">
        <f>IF($B320="","",304)</f>
        <v/>
      </c>
      <c r="B320" s="28">
        <f>IF($P320="","",IF(INDEX(CalcNormDate,$P320)=0,"",INDEX(CalcNormDate,$P320)))</f>
        <v/>
      </c>
      <c r="C320" s="28">
        <f>IF($P320="","",IF(INDEX(CalcTime,$P320)=0,"",INDEX(CalcTime,$P320)))</f>
        <v/>
      </c>
      <c r="D320" s="28">
        <f>IF($P320="","",IF(INDEX(EntryParty,$P320)=0,"",INDEX(EntryParty,$P320)))</f>
        <v/>
      </c>
      <c r="E320" s="28">
        <f>IF($P320="","",IF(INDEX(EntryPartyName,$P320)=0,"",INDEX(EntryPartyName,$P320)))</f>
        <v/>
      </c>
      <c r="F320" s="28">
        <f>IF($P320="","",IF(INDEX(EntryPartyType,$P320)=0,"",INDEX(EntryPartyType,$P320)))</f>
        <v/>
      </c>
      <c r="G320" s="28">
        <f>IF($P320="","",IF(INDEX(EntryTxnType,$P320)=0,"",INDEX(EntryTxnType,$P320)))</f>
        <v/>
      </c>
      <c r="H320" s="29">
        <f>IF($P320="","",IF(INDEX(EntryDep,$P320)=0,"",INDEX(EntryDep,$P320)))</f>
        <v/>
      </c>
      <c r="I320" s="29">
        <f>IF($P320="","",IF(INDEX(EntryWit,$P320)=0,"",INDEX(EntryWit,$P320)))</f>
        <v/>
      </c>
      <c r="J320" s="29">
        <f>IF($B320="","",IF($A320=1,$C$7,IF(J319="",0,J319))+IF($H320="",0,$H320)-IF($I320="",0,$I320))</f>
        <v/>
      </c>
      <c r="K320" s="29">
        <f>IF($P320="","",IF(INDEX(EntryMan,$P320)=0,"",INDEX(EntryMan,$P320)))</f>
        <v/>
      </c>
      <c r="L320" s="28">
        <f>IF($B320="","",IF($K320="","—",IF(ROUND($K320-$J320,0)=0,"√","×")))</f>
        <v/>
      </c>
      <c r="M320" s="28">
        <f>IF($B320="","",IF(COUNTIFS(EntryDates,$B320,CalcTime,$C320,CalcBank,$C$5,EntryParty,$D320,EntryDep,$H320,EntryWit,$I320)&gt;1,"تکرار",""))</f>
        <v/>
      </c>
      <c r="N320" s="28">
        <f>IF($P320="","",IF(INDEX(EntryNotes,$P320)=0,"",INDEX(EntryNotes,$P320)))</f>
        <v/>
      </c>
      <c r="O320" s="28">
        <f>IF($P320="","",IF(INDEX(EntryTxnID,$P320)=0,"",INDEX(EntryTxnID,$P320)))</f>
        <v/>
      </c>
      <c r="P320" s="28">
        <f>IFERROR(MATCH($C$5&amp;"|"&amp;RIGHT("000000"&amp;304,6),CalcRankKey,0),"")</f>
        <v/>
      </c>
    </row>
    <row r="321">
      <c r="A321" s="26">
        <f>IF($B321="","",305)</f>
        <v/>
      </c>
      <c r="B321" s="26">
        <f>IF($P321="","",IF(INDEX(CalcNormDate,$P321)=0,"",INDEX(CalcNormDate,$P321)))</f>
        <v/>
      </c>
      <c r="C321" s="26">
        <f>IF($P321="","",IF(INDEX(CalcTime,$P321)=0,"",INDEX(CalcTime,$P321)))</f>
        <v/>
      </c>
      <c r="D321" s="26">
        <f>IF($P321="","",IF(INDEX(EntryParty,$P321)=0,"",INDEX(EntryParty,$P321)))</f>
        <v/>
      </c>
      <c r="E321" s="26">
        <f>IF($P321="","",IF(INDEX(EntryPartyName,$P321)=0,"",INDEX(EntryPartyName,$P321)))</f>
        <v/>
      </c>
      <c r="F321" s="26">
        <f>IF($P321="","",IF(INDEX(EntryPartyType,$P321)=0,"",INDEX(EntryPartyType,$P321)))</f>
        <v/>
      </c>
      <c r="G321" s="26">
        <f>IF($P321="","",IF(INDEX(EntryTxnType,$P321)=0,"",INDEX(EntryTxnType,$P321)))</f>
        <v/>
      </c>
      <c r="H321" s="27">
        <f>IF($P321="","",IF(INDEX(EntryDep,$P321)=0,"",INDEX(EntryDep,$P321)))</f>
        <v/>
      </c>
      <c r="I321" s="27">
        <f>IF($P321="","",IF(INDEX(EntryWit,$P321)=0,"",INDEX(EntryWit,$P321)))</f>
        <v/>
      </c>
      <c r="J321" s="27">
        <f>IF($B321="","",IF($A321=1,$C$7,IF(J320="",0,J320))+IF($H321="",0,$H321)-IF($I321="",0,$I321))</f>
        <v/>
      </c>
      <c r="K321" s="27">
        <f>IF($P321="","",IF(INDEX(EntryMan,$P321)=0,"",INDEX(EntryMan,$P321)))</f>
        <v/>
      </c>
      <c r="L321" s="26">
        <f>IF($B321="","",IF($K321="","—",IF(ROUND($K321-$J321,0)=0,"√","×")))</f>
        <v/>
      </c>
      <c r="M321" s="26">
        <f>IF($B321="","",IF(COUNTIFS(EntryDates,$B321,CalcTime,$C321,CalcBank,$C$5,EntryParty,$D321,EntryDep,$H321,EntryWit,$I321)&gt;1,"تکرار",""))</f>
        <v/>
      </c>
      <c r="N321" s="26">
        <f>IF($P321="","",IF(INDEX(EntryNotes,$P321)=0,"",INDEX(EntryNotes,$P321)))</f>
        <v/>
      </c>
      <c r="O321" s="26">
        <f>IF($P321="","",IF(INDEX(EntryTxnID,$P321)=0,"",INDEX(EntryTxnID,$P321)))</f>
        <v/>
      </c>
      <c r="P321" s="26">
        <f>IFERROR(MATCH($C$5&amp;"|"&amp;RIGHT("000000"&amp;305,6),CalcRankKey,0),"")</f>
        <v/>
      </c>
    </row>
    <row r="322">
      <c r="A322" s="28">
        <f>IF($B322="","",306)</f>
        <v/>
      </c>
      <c r="B322" s="28">
        <f>IF($P322="","",IF(INDEX(CalcNormDate,$P322)=0,"",INDEX(CalcNormDate,$P322)))</f>
        <v/>
      </c>
      <c r="C322" s="28">
        <f>IF($P322="","",IF(INDEX(CalcTime,$P322)=0,"",INDEX(CalcTime,$P322)))</f>
        <v/>
      </c>
      <c r="D322" s="28">
        <f>IF($P322="","",IF(INDEX(EntryParty,$P322)=0,"",INDEX(EntryParty,$P322)))</f>
        <v/>
      </c>
      <c r="E322" s="28">
        <f>IF($P322="","",IF(INDEX(EntryPartyName,$P322)=0,"",INDEX(EntryPartyName,$P322)))</f>
        <v/>
      </c>
      <c r="F322" s="28">
        <f>IF($P322="","",IF(INDEX(EntryPartyType,$P322)=0,"",INDEX(EntryPartyType,$P322)))</f>
        <v/>
      </c>
      <c r="G322" s="28">
        <f>IF($P322="","",IF(INDEX(EntryTxnType,$P322)=0,"",INDEX(EntryTxnType,$P322)))</f>
        <v/>
      </c>
      <c r="H322" s="29">
        <f>IF($P322="","",IF(INDEX(EntryDep,$P322)=0,"",INDEX(EntryDep,$P322)))</f>
        <v/>
      </c>
      <c r="I322" s="29">
        <f>IF($P322="","",IF(INDEX(EntryWit,$P322)=0,"",INDEX(EntryWit,$P322)))</f>
        <v/>
      </c>
      <c r="J322" s="29">
        <f>IF($B322="","",IF($A322=1,$C$7,IF(J321="",0,J321))+IF($H322="",0,$H322)-IF($I322="",0,$I322))</f>
        <v/>
      </c>
      <c r="K322" s="29">
        <f>IF($P322="","",IF(INDEX(EntryMan,$P322)=0,"",INDEX(EntryMan,$P322)))</f>
        <v/>
      </c>
      <c r="L322" s="28">
        <f>IF($B322="","",IF($K322="","—",IF(ROUND($K322-$J322,0)=0,"√","×")))</f>
        <v/>
      </c>
      <c r="M322" s="28">
        <f>IF($B322="","",IF(COUNTIFS(EntryDates,$B322,CalcTime,$C322,CalcBank,$C$5,EntryParty,$D322,EntryDep,$H322,EntryWit,$I322)&gt;1,"تکرار",""))</f>
        <v/>
      </c>
      <c r="N322" s="28">
        <f>IF($P322="","",IF(INDEX(EntryNotes,$P322)=0,"",INDEX(EntryNotes,$P322)))</f>
        <v/>
      </c>
      <c r="O322" s="28">
        <f>IF($P322="","",IF(INDEX(EntryTxnID,$P322)=0,"",INDEX(EntryTxnID,$P322)))</f>
        <v/>
      </c>
      <c r="P322" s="28">
        <f>IFERROR(MATCH($C$5&amp;"|"&amp;RIGHT("000000"&amp;306,6),CalcRankKey,0),"")</f>
        <v/>
      </c>
    </row>
    <row r="323">
      <c r="A323" s="26">
        <f>IF($B323="","",307)</f>
        <v/>
      </c>
      <c r="B323" s="26">
        <f>IF($P323="","",IF(INDEX(CalcNormDate,$P323)=0,"",INDEX(CalcNormDate,$P323)))</f>
        <v/>
      </c>
      <c r="C323" s="26">
        <f>IF($P323="","",IF(INDEX(CalcTime,$P323)=0,"",INDEX(CalcTime,$P323)))</f>
        <v/>
      </c>
      <c r="D323" s="26">
        <f>IF($P323="","",IF(INDEX(EntryParty,$P323)=0,"",INDEX(EntryParty,$P323)))</f>
        <v/>
      </c>
      <c r="E323" s="26">
        <f>IF($P323="","",IF(INDEX(EntryPartyName,$P323)=0,"",INDEX(EntryPartyName,$P323)))</f>
        <v/>
      </c>
      <c r="F323" s="26">
        <f>IF($P323="","",IF(INDEX(EntryPartyType,$P323)=0,"",INDEX(EntryPartyType,$P323)))</f>
        <v/>
      </c>
      <c r="G323" s="26">
        <f>IF($P323="","",IF(INDEX(EntryTxnType,$P323)=0,"",INDEX(EntryTxnType,$P323)))</f>
        <v/>
      </c>
      <c r="H323" s="27">
        <f>IF($P323="","",IF(INDEX(EntryDep,$P323)=0,"",INDEX(EntryDep,$P323)))</f>
        <v/>
      </c>
      <c r="I323" s="27">
        <f>IF($P323="","",IF(INDEX(EntryWit,$P323)=0,"",INDEX(EntryWit,$P323)))</f>
        <v/>
      </c>
      <c r="J323" s="27">
        <f>IF($B323="","",IF($A323=1,$C$7,IF(J322="",0,J322))+IF($H323="",0,$H323)-IF($I323="",0,$I323))</f>
        <v/>
      </c>
      <c r="K323" s="27">
        <f>IF($P323="","",IF(INDEX(EntryMan,$P323)=0,"",INDEX(EntryMan,$P323)))</f>
        <v/>
      </c>
      <c r="L323" s="26">
        <f>IF($B323="","",IF($K323="","—",IF(ROUND($K323-$J323,0)=0,"√","×")))</f>
        <v/>
      </c>
      <c r="M323" s="26">
        <f>IF($B323="","",IF(COUNTIFS(EntryDates,$B323,CalcTime,$C323,CalcBank,$C$5,EntryParty,$D323,EntryDep,$H323,EntryWit,$I323)&gt;1,"تکرار",""))</f>
        <v/>
      </c>
      <c r="N323" s="26">
        <f>IF($P323="","",IF(INDEX(EntryNotes,$P323)=0,"",INDEX(EntryNotes,$P323)))</f>
        <v/>
      </c>
      <c r="O323" s="26">
        <f>IF($P323="","",IF(INDEX(EntryTxnID,$P323)=0,"",INDEX(EntryTxnID,$P323)))</f>
        <v/>
      </c>
      <c r="P323" s="26">
        <f>IFERROR(MATCH($C$5&amp;"|"&amp;RIGHT("000000"&amp;307,6),CalcRankKey,0),"")</f>
        <v/>
      </c>
    </row>
    <row r="324">
      <c r="A324" s="28">
        <f>IF($B324="","",308)</f>
        <v/>
      </c>
      <c r="B324" s="28">
        <f>IF($P324="","",IF(INDEX(CalcNormDate,$P324)=0,"",INDEX(CalcNormDate,$P324)))</f>
        <v/>
      </c>
      <c r="C324" s="28">
        <f>IF($P324="","",IF(INDEX(CalcTime,$P324)=0,"",INDEX(CalcTime,$P324)))</f>
        <v/>
      </c>
      <c r="D324" s="28">
        <f>IF($P324="","",IF(INDEX(EntryParty,$P324)=0,"",INDEX(EntryParty,$P324)))</f>
        <v/>
      </c>
      <c r="E324" s="28">
        <f>IF($P324="","",IF(INDEX(EntryPartyName,$P324)=0,"",INDEX(EntryPartyName,$P324)))</f>
        <v/>
      </c>
      <c r="F324" s="28">
        <f>IF($P324="","",IF(INDEX(EntryPartyType,$P324)=0,"",INDEX(EntryPartyType,$P324)))</f>
        <v/>
      </c>
      <c r="G324" s="28">
        <f>IF($P324="","",IF(INDEX(EntryTxnType,$P324)=0,"",INDEX(EntryTxnType,$P324)))</f>
        <v/>
      </c>
      <c r="H324" s="29">
        <f>IF($P324="","",IF(INDEX(EntryDep,$P324)=0,"",INDEX(EntryDep,$P324)))</f>
        <v/>
      </c>
      <c r="I324" s="29">
        <f>IF($P324="","",IF(INDEX(EntryWit,$P324)=0,"",INDEX(EntryWit,$P324)))</f>
        <v/>
      </c>
      <c r="J324" s="29">
        <f>IF($B324="","",IF($A324=1,$C$7,IF(J323="",0,J323))+IF($H324="",0,$H324)-IF($I324="",0,$I324))</f>
        <v/>
      </c>
      <c r="K324" s="29">
        <f>IF($P324="","",IF(INDEX(EntryMan,$P324)=0,"",INDEX(EntryMan,$P324)))</f>
        <v/>
      </c>
      <c r="L324" s="28">
        <f>IF($B324="","",IF($K324="","—",IF(ROUND($K324-$J324,0)=0,"√","×")))</f>
        <v/>
      </c>
      <c r="M324" s="28">
        <f>IF($B324="","",IF(COUNTIFS(EntryDates,$B324,CalcTime,$C324,CalcBank,$C$5,EntryParty,$D324,EntryDep,$H324,EntryWit,$I324)&gt;1,"تکرار",""))</f>
        <v/>
      </c>
      <c r="N324" s="28">
        <f>IF($P324="","",IF(INDEX(EntryNotes,$P324)=0,"",INDEX(EntryNotes,$P324)))</f>
        <v/>
      </c>
      <c r="O324" s="28">
        <f>IF($P324="","",IF(INDEX(EntryTxnID,$P324)=0,"",INDEX(EntryTxnID,$P324)))</f>
        <v/>
      </c>
      <c r="P324" s="28">
        <f>IFERROR(MATCH($C$5&amp;"|"&amp;RIGHT("000000"&amp;308,6),CalcRankKey,0),"")</f>
        <v/>
      </c>
    </row>
    <row r="325">
      <c r="A325" s="26">
        <f>IF($B325="","",309)</f>
        <v/>
      </c>
      <c r="B325" s="26">
        <f>IF($P325="","",IF(INDEX(CalcNormDate,$P325)=0,"",INDEX(CalcNormDate,$P325)))</f>
        <v/>
      </c>
      <c r="C325" s="26">
        <f>IF($P325="","",IF(INDEX(CalcTime,$P325)=0,"",INDEX(CalcTime,$P325)))</f>
        <v/>
      </c>
      <c r="D325" s="26">
        <f>IF($P325="","",IF(INDEX(EntryParty,$P325)=0,"",INDEX(EntryParty,$P325)))</f>
        <v/>
      </c>
      <c r="E325" s="26">
        <f>IF($P325="","",IF(INDEX(EntryPartyName,$P325)=0,"",INDEX(EntryPartyName,$P325)))</f>
        <v/>
      </c>
      <c r="F325" s="26">
        <f>IF($P325="","",IF(INDEX(EntryPartyType,$P325)=0,"",INDEX(EntryPartyType,$P325)))</f>
        <v/>
      </c>
      <c r="G325" s="26">
        <f>IF($P325="","",IF(INDEX(EntryTxnType,$P325)=0,"",INDEX(EntryTxnType,$P325)))</f>
        <v/>
      </c>
      <c r="H325" s="27">
        <f>IF($P325="","",IF(INDEX(EntryDep,$P325)=0,"",INDEX(EntryDep,$P325)))</f>
        <v/>
      </c>
      <c r="I325" s="27">
        <f>IF($P325="","",IF(INDEX(EntryWit,$P325)=0,"",INDEX(EntryWit,$P325)))</f>
        <v/>
      </c>
      <c r="J325" s="27">
        <f>IF($B325="","",IF($A325=1,$C$7,IF(J324="",0,J324))+IF($H325="",0,$H325)-IF($I325="",0,$I325))</f>
        <v/>
      </c>
      <c r="K325" s="27">
        <f>IF($P325="","",IF(INDEX(EntryMan,$P325)=0,"",INDEX(EntryMan,$P325)))</f>
        <v/>
      </c>
      <c r="L325" s="26">
        <f>IF($B325="","",IF($K325="","—",IF(ROUND($K325-$J325,0)=0,"√","×")))</f>
        <v/>
      </c>
      <c r="M325" s="26">
        <f>IF($B325="","",IF(COUNTIFS(EntryDates,$B325,CalcTime,$C325,CalcBank,$C$5,EntryParty,$D325,EntryDep,$H325,EntryWit,$I325)&gt;1,"تکرار",""))</f>
        <v/>
      </c>
      <c r="N325" s="26">
        <f>IF($P325="","",IF(INDEX(EntryNotes,$P325)=0,"",INDEX(EntryNotes,$P325)))</f>
        <v/>
      </c>
      <c r="O325" s="26">
        <f>IF($P325="","",IF(INDEX(EntryTxnID,$P325)=0,"",INDEX(EntryTxnID,$P325)))</f>
        <v/>
      </c>
      <c r="P325" s="26">
        <f>IFERROR(MATCH($C$5&amp;"|"&amp;RIGHT("000000"&amp;309,6),CalcRankKey,0),"")</f>
        <v/>
      </c>
    </row>
    <row r="326">
      <c r="A326" s="28">
        <f>IF($B326="","",310)</f>
        <v/>
      </c>
      <c r="B326" s="28">
        <f>IF($P326="","",IF(INDEX(CalcNormDate,$P326)=0,"",INDEX(CalcNormDate,$P326)))</f>
        <v/>
      </c>
      <c r="C326" s="28">
        <f>IF($P326="","",IF(INDEX(CalcTime,$P326)=0,"",INDEX(CalcTime,$P326)))</f>
        <v/>
      </c>
      <c r="D326" s="28">
        <f>IF($P326="","",IF(INDEX(EntryParty,$P326)=0,"",INDEX(EntryParty,$P326)))</f>
        <v/>
      </c>
      <c r="E326" s="28">
        <f>IF($P326="","",IF(INDEX(EntryPartyName,$P326)=0,"",INDEX(EntryPartyName,$P326)))</f>
        <v/>
      </c>
      <c r="F326" s="28">
        <f>IF($P326="","",IF(INDEX(EntryPartyType,$P326)=0,"",INDEX(EntryPartyType,$P326)))</f>
        <v/>
      </c>
      <c r="G326" s="28">
        <f>IF($P326="","",IF(INDEX(EntryTxnType,$P326)=0,"",INDEX(EntryTxnType,$P326)))</f>
        <v/>
      </c>
      <c r="H326" s="29">
        <f>IF($P326="","",IF(INDEX(EntryDep,$P326)=0,"",INDEX(EntryDep,$P326)))</f>
        <v/>
      </c>
      <c r="I326" s="29">
        <f>IF($P326="","",IF(INDEX(EntryWit,$P326)=0,"",INDEX(EntryWit,$P326)))</f>
        <v/>
      </c>
      <c r="J326" s="29">
        <f>IF($B326="","",IF($A326=1,$C$7,IF(J325="",0,J325))+IF($H326="",0,$H326)-IF($I326="",0,$I326))</f>
        <v/>
      </c>
      <c r="K326" s="29">
        <f>IF($P326="","",IF(INDEX(EntryMan,$P326)=0,"",INDEX(EntryMan,$P326)))</f>
        <v/>
      </c>
      <c r="L326" s="28">
        <f>IF($B326="","",IF($K326="","—",IF(ROUND($K326-$J326,0)=0,"√","×")))</f>
        <v/>
      </c>
      <c r="M326" s="28">
        <f>IF($B326="","",IF(COUNTIFS(EntryDates,$B326,CalcTime,$C326,CalcBank,$C$5,EntryParty,$D326,EntryDep,$H326,EntryWit,$I326)&gt;1,"تکرار",""))</f>
        <v/>
      </c>
      <c r="N326" s="28">
        <f>IF($P326="","",IF(INDEX(EntryNotes,$P326)=0,"",INDEX(EntryNotes,$P326)))</f>
        <v/>
      </c>
      <c r="O326" s="28">
        <f>IF($P326="","",IF(INDEX(EntryTxnID,$P326)=0,"",INDEX(EntryTxnID,$P326)))</f>
        <v/>
      </c>
      <c r="P326" s="28">
        <f>IFERROR(MATCH($C$5&amp;"|"&amp;RIGHT("000000"&amp;310,6),CalcRankKey,0),"")</f>
        <v/>
      </c>
    </row>
    <row r="327">
      <c r="A327" s="26">
        <f>IF($B327="","",311)</f>
        <v/>
      </c>
      <c r="B327" s="26">
        <f>IF($P327="","",IF(INDEX(CalcNormDate,$P327)=0,"",INDEX(CalcNormDate,$P327)))</f>
        <v/>
      </c>
      <c r="C327" s="26">
        <f>IF($P327="","",IF(INDEX(CalcTime,$P327)=0,"",INDEX(CalcTime,$P327)))</f>
        <v/>
      </c>
      <c r="D327" s="26">
        <f>IF($P327="","",IF(INDEX(EntryParty,$P327)=0,"",INDEX(EntryParty,$P327)))</f>
        <v/>
      </c>
      <c r="E327" s="26">
        <f>IF($P327="","",IF(INDEX(EntryPartyName,$P327)=0,"",INDEX(EntryPartyName,$P327)))</f>
        <v/>
      </c>
      <c r="F327" s="26">
        <f>IF($P327="","",IF(INDEX(EntryPartyType,$P327)=0,"",INDEX(EntryPartyType,$P327)))</f>
        <v/>
      </c>
      <c r="G327" s="26">
        <f>IF($P327="","",IF(INDEX(EntryTxnType,$P327)=0,"",INDEX(EntryTxnType,$P327)))</f>
        <v/>
      </c>
      <c r="H327" s="27">
        <f>IF($P327="","",IF(INDEX(EntryDep,$P327)=0,"",INDEX(EntryDep,$P327)))</f>
        <v/>
      </c>
      <c r="I327" s="27">
        <f>IF($P327="","",IF(INDEX(EntryWit,$P327)=0,"",INDEX(EntryWit,$P327)))</f>
        <v/>
      </c>
      <c r="J327" s="27">
        <f>IF($B327="","",IF($A327=1,$C$7,IF(J326="",0,J326))+IF($H327="",0,$H327)-IF($I327="",0,$I327))</f>
        <v/>
      </c>
      <c r="K327" s="27">
        <f>IF($P327="","",IF(INDEX(EntryMan,$P327)=0,"",INDEX(EntryMan,$P327)))</f>
        <v/>
      </c>
      <c r="L327" s="26">
        <f>IF($B327="","",IF($K327="","—",IF(ROUND($K327-$J327,0)=0,"√","×")))</f>
        <v/>
      </c>
      <c r="M327" s="26">
        <f>IF($B327="","",IF(COUNTIFS(EntryDates,$B327,CalcTime,$C327,CalcBank,$C$5,EntryParty,$D327,EntryDep,$H327,EntryWit,$I327)&gt;1,"تکرار",""))</f>
        <v/>
      </c>
      <c r="N327" s="26">
        <f>IF($P327="","",IF(INDEX(EntryNotes,$P327)=0,"",INDEX(EntryNotes,$P327)))</f>
        <v/>
      </c>
      <c r="O327" s="26">
        <f>IF($P327="","",IF(INDEX(EntryTxnID,$P327)=0,"",INDEX(EntryTxnID,$P327)))</f>
        <v/>
      </c>
      <c r="P327" s="26">
        <f>IFERROR(MATCH($C$5&amp;"|"&amp;RIGHT("000000"&amp;311,6),CalcRankKey,0),"")</f>
        <v/>
      </c>
    </row>
    <row r="328">
      <c r="A328" s="28">
        <f>IF($B328="","",312)</f>
        <v/>
      </c>
      <c r="B328" s="28">
        <f>IF($P328="","",IF(INDEX(CalcNormDate,$P328)=0,"",INDEX(CalcNormDate,$P328)))</f>
        <v/>
      </c>
      <c r="C328" s="28">
        <f>IF($P328="","",IF(INDEX(CalcTime,$P328)=0,"",INDEX(CalcTime,$P328)))</f>
        <v/>
      </c>
      <c r="D328" s="28">
        <f>IF($P328="","",IF(INDEX(EntryParty,$P328)=0,"",INDEX(EntryParty,$P328)))</f>
        <v/>
      </c>
      <c r="E328" s="28">
        <f>IF($P328="","",IF(INDEX(EntryPartyName,$P328)=0,"",INDEX(EntryPartyName,$P328)))</f>
        <v/>
      </c>
      <c r="F328" s="28">
        <f>IF($P328="","",IF(INDEX(EntryPartyType,$P328)=0,"",INDEX(EntryPartyType,$P328)))</f>
        <v/>
      </c>
      <c r="G328" s="28">
        <f>IF($P328="","",IF(INDEX(EntryTxnType,$P328)=0,"",INDEX(EntryTxnType,$P328)))</f>
        <v/>
      </c>
      <c r="H328" s="29">
        <f>IF($P328="","",IF(INDEX(EntryDep,$P328)=0,"",INDEX(EntryDep,$P328)))</f>
        <v/>
      </c>
      <c r="I328" s="29">
        <f>IF($P328="","",IF(INDEX(EntryWit,$P328)=0,"",INDEX(EntryWit,$P328)))</f>
        <v/>
      </c>
      <c r="J328" s="29">
        <f>IF($B328="","",IF($A328=1,$C$7,IF(J327="",0,J327))+IF($H328="",0,$H328)-IF($I328="",0,$I328))</f>
        <v/>
      </c>
      <c r="K328" s="29">
        <f>IF($P328="","",IF(INDEX(EntryMan,$P328)=0,"",INDEX(EntryMan,$P328)))</f>
        <v/>
      </c>
      <c r="L328" s="28">
        <f>IF($B328="","",IF($K328="","—",IF(ROUND($K328-$J328,0)=0,"√","×")))</f>
        <v/>
      </c>
      <c r="M328" s="28">
        <f>IF($B328="","",IF(COUNTIFS(EntryDates,$B328,CalcTime,$C328,CalcBank,$C$5,EntryParty,$D328,EntryDep,$H328,EntryWit,$I328)&gt;1,"تکرار",""))</f>
        <v/>
      </c>
      <c r="N328" s="28">
        <f>IF($P328="","",IF(INDEX(EntryNotes,$P328)=0,"",INDEX(EntryNotes,$P328)))</f>
        <v/>
      </c>
      <c r="O328" s="28">
        <f>IF($P328="","",IF(INDEX(EntryTxnID,$P328)=0,"",INDEX(EntryTxnID,$P328)))</f>
        <v/>
      </c>
      <c r="P328" s="28">
        <f>IFERROR(MATCH($C$5&amp;"|"&amp;RIGHT("000000"&amp;312,6),CalcRankKey,0),"")</f>
        <v/>
      </c>
    </row>
    <row r="329">
      <c r="A329" s="26">
        <f>IF($B329="","",313)</f>
        <v/>
      </c>
      <c r="B329" s="26">
        <f>IF($P329="","",IF(INDEX(CalcNormDate,$P329)=0,"",INDEX(CalcNormDate,$P329)))</f>
        <v/>
      </c>
      <c r="C329" s="26">
        <f>IF($P329="","",IF(INDEX(CalcTime,$P329)=0,"",INDEX(CalcTime,$P329)))</f>
        <v/>
      </c>
      <c r="D329" s="26">
        <f>IF($P329="","",IF(INDEX(EntryParty,$P329)=0,"",INDEX(EntryParty,$P329)))</f>
        <v/>
      </c>
      <c r="E329" s="26">
        <f>IF($P329="","",IF(INDEX(EntryPartyName,$P329)=0,"",INDEX(EntryPartyName,$P329)))</f>
        <v/>
      </c>
      <c r="F329" s="26">
        <f>IF($P329="","",IF(INDEX(EntryPartyType,$P329)=0,"",INDEX(EntryPartyType,$P329)))</f>
        <v/>
      </c>
      <c r="G329" s="26">
        <f>IF($P329="","",IF(INDEX(EntryTxnType,$P329)=0,"",INDEX(EntryTxnType,$P329)))</f>
        <v/>
      </c>
      <c r="H329" s="27">
        <f>IF($P329="","",IF(INDEX(EntryDep,$P329)=0,"",INDEX(EntryDep,$P329)))</f>
        <v/>
      </c>
      <c r="I329" s="27">
        <f>IF($P329="","",IF(INDEX(EntryWit,$P329)=0,"",INDEX(EntryWit,$P329)))</f>
        <v/>
      </c>
      <c r="J329" s="27">
        <f>IF($B329="","",IF($A329=1,$C$7,IF(J328="",0,J328))+IF($H329="",0,$H329)-IF($I329="",0,$I329))</f>
        <v/>
      </c>
      <c r="K329" s="27">
        <f>IF($P329="","",IF(INDEX(EntryMan,$P329)=0,"",INDEX(EntryMan,$P329)))</f>
        <v/>
      </c>
      <c r="L329" s="26">
        <f>IF($B329="","",IF($K329="","—",IF(ROUND($K329-$J329,0)=0,"√","×")))</f>
        <v/>
      </c>
      <c r="M329" s="26">
        <f>IF($B329="","",IF(COUNTIFS(EntryDates,$B329,CalcTime,$C329,CalcBank,$C$5,EntryParty,$D329,EntryDep,$H329,EntryWit,$I329)&gt;1,"تکرار",""))</f>
        <v/>
      </c>
      <c r="N329" s="26">
        <f>IF($P329="","",IF(INDEX(EntryNotes,$P329)=0,"",INDEX(EntryNotes,$P329)))</f>
        <v/>
      </c>
      <c r="O329" s="26">
        <f>IF($P329="","",IF(INDEX(EntryTxnID,$P329)=0,"",INDEX(EntryTxnID,$P329)))</f>
        <v/>
      </c>
      <c r="P329" s="26">
        <f>IFERROR(MATCH($C$5&amp;"|"&amp;RIGHT("000000"&amp;313,6),CalcRankKey,0),"")</f>
        <v/>
      </c>
    </row>
    <row r="330">
      <c r="A330" s="28">
        <f>IF($B330="","",314)</f>
        <v/>
      </c>
      <c r="B330" s="28">
        <f>IF($P330="","",IF(INDEX(CalcNormDate,$P330)=0,"",INDEX(CalcNormDate,$P330)))</f>
        <v/>
      </c>
      <c r="C330" s="28">
        <f>IF($P330="","",IF(INDEX(CalcTime,$P330)=0,"",INDEX(CalcTime,$P330)))</f>
        <v/>
      </c>
      <c r="D330" s="28">
        <f>IF($P330="","",IF(INDEX(EntryParty,$P330)=0,"",INDEX(EntryParty,$P330)))</f>
        <v/>
      </c>
      <c r="E330" s="28">
        <f>IF($P330="","",IF(INDEX(EntryPartyName,$P330)=0,"",INDEX(EntryPartyName,$P330)))</f>
        <v/>
      </c>
      <c r="F330" s="28">
        <f>IF($P330="","",IF(INDEX(EntryPartyType,$P330)=0,"",INDEX(EntryPartyType,$P330)))</f>
        <v/>
      </c>
      <c r="G330" s="28">
        <f>IF($P330="","",IF(INDEX(EntryTxnType,$P330)=0,"",INDEX(EntryTxnType,$P330)))</f>
        <v/>
      </c>
      <c r="H330" s="29">
        <f>IF($P330="","",IF(INDEX(EntryDep,$P330)=0,"",INDEX(EntryDep,$P330)))</f>
        <v/>
      </c>
      <c r="I330" s="29">
        <f>IF($P330="","",IF(INDEX(EntryWit,$P330)=0,"",INDEX(EntryWit,$P330)))</f>
        <v/>
      </c>
      <c r="J330" s="29">
        <f>IF($B330="","",IF($A330=1,$C$7,IF(J329="",0,J329))+IF($H330="",0,$H330)-IF($I330="",0,$I330))</f>
        <v/>
      </c>
      <c r="K330" s="29">
        <f>IF($P330="","",IF(INDEX(EntryMan,$P330)=0,"",INDEX(EntryMan,$P330)))</f>
        <v/>
      </c>
      <c r="L330" s="28">
        <f>IF($B330="","",IF($K330="","—",IF(ROUND($K330-$J330,0)=0,"√","×")))</f>
        <v/>
      </c>
      <c r="M330" s="28">
        <f>IF($B330="","",IF(COUNTIFS(EntryDates,$B330,CalcTime,$C330,CalcBank,$C$5,EntryParty,$D330,EntryDep,$H330,EntryWit,$I330)&gt;1,"تکرار",""))</f>
        <v/>
      </c>
      <c r="N330" s="28">
        <f>IF($P330="","",IF(INDEX(EntryNotes,$P330)=0,"",INDEX(EntryNotes,$P330)))</f>
        <v/>
      </c>
      <c r="O330" s="28">
        <f>IF($P330="","",IF(INDEX(EntryTxnID,$P330)=0,"",INDEX(EntryTxnID,$P330)))</f>
        <v/>
      </c>
      <c r="P330" s="28">
        <f>IFERROR(MATCH($C$5&amp;"|"&amp;RIGHT("000000"&amp;314,6),CalcRankKey,0),"")</f>
        <v/>
      </c>
    </row>
    <row r="331">
      <c r="A331" s="26">
        <f>IF($B331="","",315)</f>
        <v/>
      </c>
      <c r="B331" s="26">
        <f>IF($P331="","",IF(INDEX(CalcNormDate,$P331)=0,"",INDEX(CalcNormDate,$P331)))</f>
        <v/>
      </c>
      <c r="C331" s="26">
        <f>IF($P331="","",IF(INDEX(CalcTime,$P331)=0,"",INDEX(CalcTime,$P331)))</f>
        <v/>
      </c>
      <c r="D331" s="26">
        <f>IF($P331="","",IF(INDEX(EntryParty,$P331)=0,"",INDEX(EntryParty,$P331)))</f>
        <v/>
      </c>
      <c r="E331" s="26">
        <f>IF($P331="","",IF(INDEX(EntryPartyName,$P331)=0,"",INDEX(EntryPartyName,$P331)))</f>
        <v/>
      </c>
      <c r="F331" s="26">
        <f>IF($P331="","",IF(INDEX(EntryPartyType,$P331)=0,"",INDEX(EntryPartyType,$P331)))</f>
        <v/>
      </c>
      <c r="G331" s="26">
        <f>IF($P331="","",IF(INDEX(EntryTxnType,$P331)=0,"",INDEX(EntryTxnType,$P331)))</f>
        <v/>
      </c>
      <c r="H331" s="27">
        <f>IF($P331="","",IF(INDEX(EntryDep,$P331)=0,"",INDEX(EntryDep,$P331)))</f>
        <v/>
      </c>
      <c r="I331" s="27">
        <f>IF($P331="","",IF(INDEX(EntryWit,$P331)=0,"",INDEX(EntryWit,$P331)))</f>
        <v/>
      </c>
      <c r="J331" s="27">
        <f>IF($B331="","",IF($A331=1,$C$7,IF(J330="",0,J330))+IF($H331="",0,$H331)-IF($I331="",0,$I331))</f>
        <v/>
      </c>
      <c r="K331" s="27">
        <f>IF($P331="","",IF(INDEX(EntryMan,$P331)=0,"",INDEX(EntryMan,$P331)))</f>
        <v/>
      </c>
      <c r="L331" s="26">
        <f>IF($B331="","",IF($K331="","—",IF(ROUND($K331-$J331,0)=0,"√","×")))</f>
        <v/>
      </c>
      <c r="M331" s="26">
        <f>IF($B331="","",IF(COUNTIFS(EntryDates,$B331,CalcTime,$C331,CalcBank,$C$5,EntryParty,$D331,EntryDep,$H331,EntryWit,$I331)&gt;1,"تکرار",""))</f>
        <v/>
      </c>
      <c r="N331" s="26">
        <f>IF($P331="","",IF(INDEX(EntryNotes,$P331)=0,"",INDEX(EntryNotes,$P331)))</f>
        <v/>
      </c>
      <c r="O331" s="26">
        <f>IF($P331="","",IF(INDEX(EntryTxnID,$P331)=0,"",INDEX(EntryTxnID,$P331)))</f>
        <v/>
      </c>
      <c r="P331" s="26">
        <f>IFERROR(MATCH($C$5&amp;"|"&amp;RIGHT("000000"&amp;315,6),CalcRankKey,0),"")</f>
        <v/>
      </c>
    </row>
    <row r="332">
      <c r="A332" s="28">
        <f>IF($B332="","",316)</f>
        <v/>
      </c>
      <c r="B332" s="28">
        <f>IF($P332="","",IF(INDEX(CalcNormDate,$P332)=0,"",INDEX(CalcNormDate,$P332)))</f>
        <v/>
      </c>
      <c r="C332" s="28">
        <f>IF($P332="","",IF(INDEX(CalcTime,$P332)=0,"",INDEX(CalcTime,$P332)))</f>
        <v/>
      </c>
      <c r="D332" s="28">
        <f>IF($P332="","",IF(INDEX(EntryParty,$P332)=0,"",INDEX(EntryParty,$P332)))</f>
        <v/>
      </c>
      <c r="E332" s="28">
        <f>IF($P332="","",IF(INDEX(EntryPartyName,$P332)=0,"",INDEX(EntryPartyName,$P332)))</f>
        <v/>
      </c>
      <c r="F332" s="28">
        <f>IF($P332="","",IF(INDEX(EntryPartyType,$P332)=0,"",INDEX(EntryPartyType,$P332)))</f>
        <v/>
      </c>
      <c r="G332" s="28">
        <f>IF($P332="","",IF(INDEX(EntryTxnType,$P332)=0,"",INDEX(EntryTxnType,$P332)))</f>
        <v/>
      </c>
      <c r="H332" s="29">
        <f>IF($P332="","",IF(INDEX(EntryDep,$P332)=0,"",INDEX(EntryDep,$P332)))</f>
        <v/>
      </c>
      <c r="I332" s="29">
        <f>IF($P332="","",IF(INDEX(EntryWit,$P332)=0,"",INDEX(EntryWit,$P332)))</f>
        <v/>
      </c>
      <c r="J332" s="29">
        <f>IF($B332="","",IF($A332=1,$C$7,IF(J331="",0,J331))+IF($H332="",0,$H332)-IF($I332="",0,$I332))</f>
        <v/>
      </c>
      <c r="K332" s="29">
        <f>IF($P332="","",IF(INDEX(EntryMan,$P332)=0,"",INDEX(EntryMan,$P332)))</f>
        <v/>
      </c>
      <c r="L332" s="28">
        <f>IF($B332="","",IF($K332="","—",IF(ROUND($K332-$J332,0)=0,"√","×")))</f>
        <v/>
      </c>
      <c r="M332" s="28">
        <f>IF($B332="","",IF(COUNTIFS(EntryDates,$B332,CalcTime,$C332,CalcBank,$C$5,EntryParty,$D332,EntryDep,$H332,EntryWit,$I332)&gt;1,"تکرار",""))</f>
        <v/>
      </c>
      <c r="N332" s="28">
        <f>IF($P332="","",IF(INDEX(EntryNotes,$P332)=0,"",INDEX(EntryNotes,$P332)))</f>
        <v/>
      </c>
      <c r="O332" s="28">
        <f>IF($P332="","",IF(INDEX(EntryTxnID,$P332)=0,"",INDEX(EntryTxnID,$P332)))</f>
        <v/>
      </c>
      <c r="P332" s="28">
        <f>IFERROR(MATCH($C$5&amp;"|"&amp;RIGHT("000000"&amp;316,6),CalcRankKey,0),"")</f>
        <v/>
      </c>
    </row>
    <row r="333">
      <c r="A333" s="26">
        <f>IF($B333="","",317)</f>
        <v/>
      </c>
      <c r="B333" s="26">
        <f>IF($P333="","",IF(INDEX(CalcNormDate,$P333)=0,"",INDEX(CalcNormDate,$P333)))</f>
        <v/>
      </c>
      <c r="C333" s="26">
        <f>IF($P333="","",IF(INDEX(CalcTime,$P333)=0,"",INDEX(CalcTime,$P333)))</f>
        <v/>
      </c>
      <c r="D333" s="26">
        <f>IF($P333="","",IF(INDEX(EntryParty,$P333)=0,"",INDEX(EntryParty,$P333)))</f>
        <v/>
      </c>
      <c r="E333" s="26">
        <f>IF($P333="","",IF(INDEX(EntryPartyName,$P333)=0,"",INDEX(EntryPartyName,$P333)))</f>
        <v/>
      </c>
      <c r="F333" s="26">
        <f>IF($P333="","",IF(INDEX(EntryPartyType,$P333)=0,"",INDEX(EntryPartyType,$P333)))</f>
        <v/>
      </c>
      <c r="G333" s="26">
        <f>IF($P333="","",IF(INDEX(EntryTxnType,$P333)=0,"",INDEX(EntryTxnType,$P333)))</f>
        <v/>
      </c>
      <c r="H333" s="27">
        <f>IF($P333="","",IF(INDEX(EntryDep,$P333)=0,"",INDEX(EntryDep,$P333)))</f>
        <v/>
      </c>
      <c r="I333" s="27">
        <f>IF($P333="","",IF(INDEX(EntryWit,$P333)=0,"",INDEX(EntryWit,$P333)))</f>
        <v/>
      </c>
      <c r="J333" s="27">
        <f>IF($B333="","",IF($A333=1,$C$7,IF(J332="",0,J332))+IF($H333="",0,$H333)-IF($I333="",0,$I333))</f>
        <v/>
      </c>
      <c r="K333" s="27">
        <f>IF($P333="","",IF(INDEX(EntryMan,$P333)=0,"",INDEX(EntryMan,$P333)))</f>
        <v/>
      </c>
      <c r="L333" s="26">
        <f>IF($B333="","",IF($K333="","—",IF(ROUND($K333-$J333,0)=0,"√","×")))</f>
        <v/>
      </c>
      <c r="M333" s="26">
        <f>IF($B333="","",IF(COUNTIFS(EntryDates,$B333,CalcTime,$C333,CalcBank,$C$5,EntryParty,$D333,EntryDep,$H333,EntryWit,$I333)&gt;1,"تکرار",""))</f>
        <v/>
      </c>
      <c r="N333" s="26">
        <f>IF($P333="","",IF(INDEX(EntryNotes,$P333)=0,"",INDEX(EntryNotes,$P333)))</f>
        <v/>
      </c>
      <c r="O333" s="26">
        <f>IF($P333="","",IF(INDEX(EntryTxnID,$P333)=0,"",INDEX(EntryTxnID,$P333)))</f>
        <v/>
      </c>
      <c r="P333" s="26">
        <f>IFERROR(MATCH($C$5&amp;"|"&amp;RIGHT("000000"&amp;317,6),CalcRankKey,0),"")</f>
        <v/>
      </c>
    </row>
    <row r="334">
      <c r="A334" s="28">
        <f>IF($B334="","",318)</f>
        <v/>
      </c>
      <c r="B334" s="28">
        <f>IF($P334="","",IF(INDEX(CalcNormDate,$P334)=0,"",INDEX(CalcNormDate,$P334)))</f>
        <v/>
      </c>
      <c r="C334" s="28">
        <f>IF($P334="","",IF(INDEX(CalcTime,$P334)=0,"",INDEX(CalcTime,$P334)))</f>
        <v/>
      </c>
      <c r="D334" s="28">
        <f>IF($P334="","",IF(INDEX(EntryParty,$P334)=0,"",INDEX(EntryParty,$P334)))</f>
        <v/>
      </c>
      <c r="E334" s="28">
        <f>IF($P334="","",IF(INDEX(EntryPartyName,$P334)=0,"",INDEX(EntryPartyName,$P334)))</f>
        <v/>
      </c>
      <c r="F334" s="28">
        <f>IF($P334="","",IF(INDEX(EntryPartyType,$P334)=0,"",INDEX(EntryPartyType,$P334)))</f>
        <v/>
      </c>
      <c r="G334" s="28">
        <f>IF($P334="","",IF(INDEX(EntryTxnType,$P334)=0,"",INDEX(EntryTxnType,$P334)))</f>
        <v/>
      </c>
      <c r="H334" s="29">
        <f>IF($P334="","",IF(INDEX(EntryDep,$P334)=0,"",INDEX(EntryDep,$P334)))</f>
        <v/>
      </c>
      <c r="I334" s="29">
        <f>IF($P334="","",IF(INDEX(EntryWit,$P334)=0,"",INDEX(EntryWit,$P334)))</f>
        <v/>
      </c>
      <c r="J334" s="29">
        <f>IF($B334="","",IF($A334=1,$C$7,IF(J333="",0,J333))+IF($H334="",0,$H334)-IF($I334="",0,$I334))</f>
        <v/>
      </c>
      <c r="K334" s="29">
        <f>IF($P334="","",IF(INDEX(EntryMan,$P334)=0,"",INDEX(EntryMan,$P334)))</f>
        <v/>
      </c>
      <c r="L334" s="28">
        <f>IF($B334="","",IF($K334="","—",IF(ROUND($K334-$J334,0)=0,"√","×")))</f>
        <v/>
      </c>
      <c r="M334" s="28">
        <f>IF($B334="","",IF(COUNTIFS(EntryDates,$B334,CalcTime,$C334,CalcBank,$C$5,EntryParty,$D334,EntryDep,$H334,EntryWit,$I334)&gt;1,"تکرار",""))</f>
        <v/>
      </c>
      <c r="N334" s="28">
        <f>IF($P334="","",IF(INDEX(EntryNotes,$P334)=0,"",INDEX(EntryNotes,$P334)))</f>
        <v/>
      </c>
      <c r="O334" s="28">
        <f>IF($P334="","",IF(INDEX(EntryTxnID,$P334)=0,"",INDEX(EntryTxnID,$P334)))</f>
        <v/>
      </c>
      <c r="P334" s="28">
        <f>IFERROR(MATCH($C$5&amp;"|"&amp;RIGHT("000000"&amp;318,6),CalcRankKey,0),"")</f>
        <v/>
      </c>
    </row>
    <row r="335">
      <c r="A335" s="26">
        <f>IF($B335="","",319)</f>
        <v/>
      </c>
      <c r="B335" s="26">
        <f>IF($P335="","",IF(INDEX(CalcNormDate,$P335)=0,"",INDEX(CalcNormDate,$P335)))</f>
        <v/>
      </c>
      <c r="C335" s="26">
        <f>IF($P335="","",IF(INDEX(CalcTime,$P335)=0,"",INDEX(CalcTime,$P335)))</f>
        <v/>
      </c>
      <c r="D335" s="26">
        <f>IF($P335="","",IF(INDEX(EntryParty,$P335)=0,"",INDEX(EntryParty,$P335)))</f>
        <v/>
      </c>
      <c r="E335" s="26">
        <f>IF($P335="","",IF(INDEX(EntryPartyName,$P335)=0,"",INDEX(EntryPartyName,$P335)))</f>
        <v/>
      </c>
      <c r="F335" s="26">
        <f>IF($P335="","",IF(INDEX(EntryPartyType,$P335)=0,"",INDEX(EntryPartyType,$P335)))</f>
        <v/>
      </c>
      <c r="G335" s="26">
        <f>IF($P335="","",IF(INDEX(EntryTxnType,$P335)=0,"",INDEX(EntryTxnType,$P335)))</f>
        <v/>
      </c>
      <c r="H335" s="27">
        <f>IF($P335="","",IF(INDEX(EntryDep,$P335)=0,"",INDEX(EntryDep,$P335)))</f>
        <v/>
      </c>
      <c r="I335" s="27">
        <f>IF($P335="","",IF(INDEX(EntryWit,$P335)=0,"",INDEX(EntryWit,$P335)))</f>
        <v/>
      </c>
      <c r="J335" s="27">
        <f>IF($B335="","",IF($A335=1,$C$7,IF(J334="",0,J334))+IF($H335="",0,$H335)-IF($I335="",0,$I335))</f>
        <v/>
      </c>
      <c r="K335" s="27">
        <f>IF($P335="","",IF(INDEX(EntryMan,$P335)=0,"",INDEX(EntryMan,$P335)))</f>
        <v/>
      </c>
      <c r="L335" s="26">
        <f>IF($B335="","",IF($K335="","—",IF(ROUND($K335-$J335,0)=0,"√","×")))</f>
        <v/>
      </c>
      <c r="M335" s="26">
        <f>IF($B335="","",IF(COUNTIFS(EntryDates,$B335,CalcTime,$C335,CalcBank,$C$5,EntryParty,$D335,EntryDep,$H335,EntryWit,$I335)&gt;1,"تکرار",""))</f>
        <v/>
      </c>
      <c r="N335" s="26">
        <f>IF($P335="","",IF(INDEX(EntryNotes,$P335)=0,"",INDEX(EntryNotes,$P335)))</f>
        <v/>
      </c>
      <c r="O335" s="26">
        <f>IF($P335="","",IF(INDEX(EntryTxnID,$P335)=0,"",INDEX(EntryTxnID,$P335)))</f>
        <v/>
      </c>
      <c r="P335" s="26">
        <f>IFERROR(MATCH($C$5&amp;"|"&amp;RIGHT("000000"&amp;319,6),CalcRankKey,0),"")</f>
        <v/>
      </c>
    </row>
    <row r="336">
      <c r="A336" s="28">
        <f>IF($B336="","",320)</f>
        <v/>
      </c>
      <c r="B336" s="28">
        <f>IF($P336="","",IF(INDEX(CalcNormDate,$P336)=0,"",INDEX(CalcNormDate,$P336)))</f>
        <v/>
      </c>
      <c r="C336" s="28">
        <f>IF($P336="","",IF(INDEX(CalcTime,$P336)=0,"",INDEX(CalcTime,$P336)))</f>
        <v/>
      </c>
      <c r="D336" s="28">
        <f>IF($P336="","",IF(INDEX(EntryParty,$P336)=0,"",INDEX(EntryParty,$P336)))</f>
        <v/>
      </c>
      <c r="E336" s="28">
        <f>IF($P336="","",IF(INDEX(EntryPartyName,$P336)=0,"",INDEX(EntryPartyName,$P336)))</f>
        <v/>
      </c>
      <c r="F336" s="28">
        <f>IF($P336="","",IF(INDEX(EntryPartyType,$P336)=0,"",INDEX(EntryPartyType,$P336)))</f>
        <v/>
      </c>
      <c r="G336" s="28">
        <f>IF($P336="","",IF(INDEX(EntryTxnType,$P336)=0,"",INDEX(EntryTxnType,$P336)))</f>
        <v/>
      </c>
      <c r="H336" s="29">
        <f>IF($P336="","",IF(INDEX(EntryDep,$P336)=0,"",INDEX(EntryDep,$P336)))</f>
        <v/>
      </c>
      <c r="I336" s="29">
        <f>IF($P336="","",IF(INDEX(EntryWit,$P336)=0,"",INDEX(EntryWit,$P336)))</f>
        <v/>
      </c>
      <c r="J336" s="29">
        <f>IF($B336="","",IF($A336=1,$C$7,IF(J335="",0,J335))+IF($H336="",0,$H336)-IF($I336="",0,$I336))</f>
        <v/>
      </c>
      <c r="K336" s="29">
        <f>IF($P336="","",IF(INDEX(EntryMan,$P336)=0,"",INDEX(EntryMan,$P336)))</f>
        <v/>
      </c>
      <c r="L336" s="28">
        <f>IF($B336="","",IF($K336="","—",IF(ROUND($K336-$J336,0)=0,"√","×")))</f>
        <v/>
      </c>
      <c r="M336" s="28">
        <f>IF($B336="","",IF(COUNTIFS(EntryDates,$B336,CalcTime,$C336,CalcBank,$C$5,EntryParty,$D336,EntryDep,$H336,EntryWit,$I336)&gt;1,"تکرار",""))</f>
        <v/>
      </c>
      <c r="N336" s="28">
        <f>IF($P336="","",IF(INDEX(EntryNotes,$P336)=0,"",INDEX(EntryNotes,$P336)))</f>
        <v/>
      </c>
      <c r="O336" s="28">
        <f>IF($P336="","",IF(INDEX(EntryTxnID,$P336)=0,"",INDEX(EntryTxnID,$P336)))</f>
        <v/>
      </c>
      <c r="P336" s="28">
        <f>IFERROR(MATCH($C$5&amp;"|"&amp;RIGHT("000000"&amp;320,6),CalcRankKey,0),"")</f>
        <v/>
      </c>
    </row>
    <row r="337">
      <c r="A337" s="26">
        <f>IF($B337="","",321)</f>
        <v/>
      </c>
      <c r="B337" s="26">
        <f>IF($P337="","",IF(INDEX(CalcNormDate,$P337)=0,"",INDEX(CalcNormDate,$P337)))</f>
        <v/>
      </c>
      <c r="C337" s="26">
        <f>IF($P337="","",IF(INDEX(CalcTime,$P337)=0,"",INDEX(CalcTime,$P337)))</f>
        <v/>
      </c>
      <c r="D337" s="26">
        <f>IF($P337="","",IF(INDEX(EntryParty,$P337)=0,"",INDEX(EntryParty,$P337)))</f>
        <v/>
      </c>
      <c r="E337" s="26">
        <f>IF($P337="","",IF(INDEX(EntryPartyName,$P337)=0,"",INDEX(EntryPartyName,$P337)))</f>
        <v/>
      </c>
      <c r="F337" s="26">
        <f>IF($P337="","",IF(INDEX(EntryPartyType,$P337)=0,"",INDEX(EntryPartyType,$P337)))</f>
        <v/>
      </c>
      <c r="G337" s="26">
        <f>IF($P337="","",IF(INDEX(EntryTxnType,$P337)=0,"",INDEX(EntryTxnType,$P337)))</f>
        <v/>
      </c>
      <c r="H337" s="27">
        <f>IF($P337="","",IF(INDEX(EntryDep,$P337)=0,"",INDEX(EntryDep,$P337)))</f>
        <v/>
      </c>
      <c r="I337" s="27">
        <f>IF($P337="","",IF(INDEX(EntryWit,$P337)=0,"",INDEX(EntryWit,$P337)))</f>
        <v/>
      </c>
      <c r="J337" s="27">
        <f>IF($B337="","",IF($A337=1,$C$7,IF(J336="",0,J336))+IF($H337="",0,$H337)-IF($I337="",0,$I337))</f>
        <v/>
      </c>
      <c r="K337" s="27">
        <f>IF($P337="","",IF(INDEX(EntryMan,$P337)=0,"",INDEX(EntryMan,$P337)))</f>
        <v/>
      </c>
      <c r="L337" s="26">
        <f>IF($B337="","",IF($K337="","—",IF(ROUND($K337-$J337,0)=0,"√","×")))</f>
        <v/>
      </c>
      <c r="M337" s="26">
        <f>IF($B337="","",IF(COUNTIFS(EntryDates,$B337,CalcTime,$C337,CalcBank,$C$5,EntryParty,$D337,EntryDep,$H337,EntryWit,$I337)&gt;1,"تکرار",""))</f>
        <v/>
      </c>
      <c r="N337" s="26">
        <f>IF($P337="","",IF(INDEX(EntryNotes,$P337)=0,"",INDEX(EntryNotes,$P337)))</f>
        <v/>
      </c>
      <c r="O337" s="26">
        <f>IF($P337="","",IF(INDEX(EntryTxnID,$P337)=0,"",INDEX(EntryTxnID,$P337)))</f>
        <v/>
      </c>
      <c r="P337" s="26">
        <f>IFERROR(MATCH($C$5&amp;"|"&amp;RIGHT("000000"&amp;321,6),CalcRankKey,0),"")</f>
        <v/>
      </c>
    </row>
    <row r="338">
      <c r="A338" s="28">
        <f>IF($B338="","",322)</f>
        <v/>
      </c>
      <c r="B338" s="28">
        <f>IF($P338="","",IF(INDEX(CalcNormDate,$P338)=0,"",INDEX(CalcNormDate,$P338)))</f>
        <v/>
      </c>
      <c r="C338" s="28">
        <f>IF($P338="","",IF(INDEX(CalcTime,$P338)=0,"",INDEX(CalcTime,$P338)))</f>
        <v/>
      </c>
      <c r="D338" s="28">
        <f>IF($P338="","",IF(INDEX(EntryParty,$P338)=0,"",INDEX(EntryParty,$P338)))</f>
        <v/>
      </c>
      <c r="E338" s="28">
        <f>IF($P338="","",IF(INDEX(EntryPartyName,$P338)=0,"",INDEX(EntryPartyName,$P338)))</f>
        <v/>
      </c>
      <c r="F338" s="28">
        <f>IF($P338="","",IF(INDEX(EntryPartyType,$P338)=0,"",INDEX(EntryPartyType,$P338)))</f>
        <v/>
      </c>
      <c r="G338" s="28">
        <f>IF($P338="","",IF(INDEX(EntryTxnType,$P338)=0,"",INDEX(EntryTxnType,$P338)))</f>
        <v/>
      </c>
      <c r="H338" s="29">
        <f>IF($P338="","",IF(INDEX(EntryDep,$P338)=0,"",INDEX(EntryDep,$P338)))</f>
        <v/>
      </c>
      <c r="I338" s="29">
        <f>IF($P338="","",IF(INDEX(EntryWit,$P338)=0,"",INDEX(EntryWit,$P338)))</f>
        <v/>
      </c>
      <c r="J338" s="29">
        <f>IF($B338="","",IF($A338=1,$C$7,IF(J337="",0,J337))+IF($H338="",0,$H338)-IF($I338="",0,$I338))</f>
        <v/>
      </c>
      <c r="K338" s="29">
        <f>IF($P338="","",IF(INDEX(EntryMan,$P338)=0,"",INDEX(EntryMan,$P338)))</f>
        <v/>
      </c>
      <c r="L338" s="28">
        <f>IF($B338="","",IF($K338="","—",IF(ROUND($K338-$J338,0)=0,"√","×")))</f>
        <v/>
      </c>
      <c r="M338" s="28">
        <f>IF($B338="","",IF(COUNTIFS(EntryDates,$B338,CalcTime,$C338,CalcBank,$C$5,EntryParty,$D338,EntryDep,$H338,EntryWit,$I338)&gt;1,"تکرار",""))</f>
        <v/>
      </c>
      <c r="N338" s="28">
        <f>IF($P338="","",IF(INDEX(EntryNotes,$P338)=0,"",INDEX(EntryNotes,$P338)))</f>
        <v/>
      </c>
      <c r="O338" s="28">
        <f>IF($P338="","",IF(INDEX(EntryTxnID,$P338)=0,"",INDEX(EntryTxnID,$P338)))</f>
        <v/>
      </c>
      <c r="P338" s="28">
        <f>IFERROR(MATCH($C$5&amp;"|"&amp;RIGHT("000000"&amp;322,6),CalcRankKey,0),"")</f>
        <v/>
      </c>
    </row>
    <row r="339">
      <c r="A339" s="26">
        <f>IF($B339="","",323)</f>
        <v/>
      </c>
      <c r="B339" s="26">
        <f>IF($P339="","",IF(INDEX(CalcNormDate,$P339)=0,"",INDEX(CalcNormDate,$P339)))</f>
        <v/>
      </c>
      <c r="C339" s="26">
        <f>IF($P339="","",IF(INDEX(CalcTime,$P339)=0,"",INDEX(CalcTime,$P339)))</f>
        <v/>
      </c>
      <c r="D339" s="26">
        <f>IF($P339="","",IF(INDEX(EntryParty,$P339)=0,"",INDEX(EntryParty,$P339)))</f>
        <v/>
      </c>
      <c r="E339" s="26">
        <f>IF($P339="","",IF(INDEX(EntryPartyName,$P339)=0,"",INDEX(EntryPartyName,$P339)))</f>
        <v/>
      </c>
      <c r="F339" s="26">
        <f>IF($P339="","",IF(INDEX(EntryPartyType,$P339)=0,"",INDEX(EntryPartyType,$P339)))</f>
        <v/>
      </c>
      <c r="G339" s="26">
        <f>IF($P339="","",IF(INDEX(EntryTxnType,$P339)=0,"",INDEX(EntryTxnType,$P339)))</f>
        <v/>
      </c>
      <c r="H339" s="27">
        <f>IF($P339="","",IF(INDEX(EntryDep,$P339)=0,"",INDEX(EntryDep,$P339)))</f>
        <v/>
      </c>
      <c r="I339" s="27">
        <f>IF($P339="","",IF(INDEX(EntryWit,$P339)=0,"",INDEX(EntryWit,$P339)))</f>
        <v/>
      </c>
      <c r="J339" s="27">
        <f>IF($B339="","",IF($A339=1,$C$7,IF(J338="",0,J338))+IF($H339="",0,$H339)-IF($I339="",0,$I339))</f>
        <v/>
      </c>
      <c r="K339" s="27">
        <f>IF($P339="","",IF(INDEX(EntryMan,$P339)=0,"",INDEX(EntryMan,$P339)))</f>
        <v/>
      </c>
      <c r="L339" s="26">
        <f>IF($B339="","",IF($K339="","—",IF(ROUND($K339-$J339,0)=0,"√","×")))</f>
        <v/>
      </c>
      <c r="M339" s="26">
        <f>IF($B339="","",IF(COUNTIFS(EntryDates,$B339,CalcTime,$C339,CalcBank,$C$5,EntryParty,$D339,EntryDep,$H339,EntryWit,$I339)&gt;1,"تکرار",""))</f>
        <v/>
      </c>
      <c r="N339" s="26">
        <f>IF($P339="","",IF(INDEX(EntryNotes,$P339)=0,"",INDEX(EntryNotes,$P339)))</f>
        <v/>
      </c>
      <c r="O339" s="26">
        <f>IF($P339="","",IF(INDEX(EntryTxnID,$P339)=0,"",INDEX(EntryTxnID,$P339)))</f>
        <v/>
      </c>
      <c r="P339" s="26">
        <f>IFERROR(MATCH($C$5&amp;"|"&amp;RIGHT("000000"&amp;323,6),CalcRankKey,0),"")</f>
        <v/>
      </c>
    </row>
    <row r="340">
      <c r="A340" s="28">
        <f>IF($B340="","",324)</f>
        <v/>
      </c>
      <c r="B340" s="28">
        <f>IF($P340="","",IF(INDEX(CalcNormDate,$P340)=0,"",INDEX(CalcNormDate,$P340)))</f>
        <v/>
      </c>
      <c r="C340" s="28">
        <f>IF($P340="","",IF(INDEX(CalcTime,$P340)=0,"",INDEX(CalcTime,$P340)))</f>
        <v/>
      </c>
      <c r="D340" s="28">
        <f>IF($P340="","",IF(INDEX(EntryParty,$P340)=0,"",INDEX(EntryParty,$P340)))</f>
        <v/>
      </c>
      <c r="E340" s="28">
        <f>IF($P340="","",IF(INDEX(EntryPartyName,$P340)=0,"",INDEX(EntryPartyName,$P340)))</f>
        <v/>
      </c>
      <c r="F340" s="28">
        <f>IF($P340="","",IF(INDEX(EntryPartyType,$P340)=0,"",INDEX(EntryPartyType,$P340)))</f>
        <v/>
      </c>
      <c r="G340" s="28">
        <f>IF($P340="","",IF(INDEX(EntryTxnType,$P340)=0,"",INDEX(EntryTxnType,$P340)))</f>
        <v/>
      </c>
      <c r="H340" s="29">
        <f>IF($P340="","",IF(INDEX(EntryDep,$P340)=0,"",INDEX(EntryDep,$P340)))</f>
        <v/>
      </c>
      <c r="I340" s="29">
        <f>IF($P340="","",IF(INDEX(EntryWit,$P340)=0,"",INDEX(EntryWit,$P340)))</f>
        <v/>
      </c>
      <c r="J340" s="29">
        <f>IF($B340="","",IF($A340=1,$C$7,IF(J339="",0,J339))+IF($H340="",0,$H340)-IF($I340="",0,$I340))</f>
        <v/>
      </c>
      <c r="K340" s="29">
        <f>IF($P340="","",IF(INDEX(EntryMan,$P340)=0,"",INDEX(EntryMan,$P340)))</f>
        <v/>
      </c>
      <c r="L340" s="28">
        <f>IF($B340="","",IF($K340="","—",IF(ROUND($K340-$J340,0)=0,"√","×")))</f>
        <v/>
      </c>
      <c r="M340" s="28">
        <f>IF($B340="","",IF(COUNTIFS(EntryDates,$B340,CalcTime,$C340,CalcBank,$C$5,EntryParty,$D340,EntryDep,$H340,EntryWit,$I340)&gt;1,"تکرار",""))</f>
        <v/>
      </c>
      <c r="N340" s="28">
        <f>IF($P340="","",IF(INDEX(EntryNotes,$P340)=0,"",INDEX(EntryNotes,$P340)))</f>
        <v/>
      </c>
      <c r="O340" s="28">
        <f>IF($P340="","",IF(INDEX(EntryTxnID,$P340)=0,"",INDEX(EntryTxnID,$P340)))</f>
        <v/>
      </c>
      <c r="P340" s="28">
        <f>IFERROR(MATCH($C$5&amp;"|"&amp;RIGHT("000000"&amp;324,6),CalcRankKey,0),"")</f>
        <v/>
      </c>
    </row>
    <row r="341">
      <c r="A341" s="26">
        <f>IF($B341="","",325)</f>
        <v/>
      </c>
      <c r="B341" s="26">
        <f>IF($P341="","",IF(INDEX(CalcNormDate,$P341)=0,"",INDEX(CalcNormDate,$P341)))</f>
        <v/>
      </c>
      <c r="C341" s="26">
        <f>IF($P341="","",IF(INDEX(CalcTime,$P341)=0,"",INDEX(CalcTime,$P341)))</f>
        <v/>
      </c>
      <c r="D341" s="26">
        <f>IF($P341="","",IF(INDEX(EntryParty,$P341)=0,"",INDEX(EntryParty,$P341)))</f>
        <v/>
      </c>
      <c r="E341" s="26">
        <f>IF($P341="","",IF(INDEX(EntryPartyName,$P341)=0,"",INDEX(EntryPartyName,$P341)))</f>
        <v/>
      </c>
      <c r="F341" s="26">
        <f>IF($P341="","",IF(INDEX(EntryPartyType,$P341)=0,"",INDEX(EntryPartyType,$P341)))</f>
        <v/>
      </c>
      <c r="G341" s="26">
        <f>IF($P341="","",IF(INDEX(EntryTxnType,$P341)=0,"",INDEX(EntryTxnType,$P341)))</f>
        <v/>
      </c>
      <c r="H341" s="27">
        <f>IF($P341="","",IF(INDEX(EntryDep,$P341)=0,"",INDEX(EntryDep,$P341)))</f>
        <v/>
      </c>
      <c r="I341" s="27">
        <f>IF($P341="","",IF(INDEX(EntryWit,$P341)=0,"",INDEX(EntryWit,$P341)))</f>
        <v/>
      </c>
      <c r="J341" s="27">
        <f>IF($B341="","",IF($A341=1,$C$7,IF(J340="",0,J340))+IF($H341="",0,$H341)-IF($I341="",0,$I341))</f>
        <v/>
      </c>
      <c r="K341" s="27">
        <f>IF($P341="","",IF(INDEX(EntryMan,$P341)=0,"",INDEX(EntryMan,$P341)))</f>
        <v/>
      </c>
      <c r="L341" s="26">
        <f>IF($B341="","",IF($K341="","—",IF(ROUND($K341-$J341,0)=0,"√","×")))</f>
        <v/>
      </c>
      <c r="M341" s="26">
        <f>IF($B341="","",IF(COUNTIFS(EntryDates,$B341,CalcTime,$C341,CalcBank,$C$5,EntryParty,$D341,EntryDep,$H341,EntryWit,$I341)&gt;1,"تکرار",""))</f>
        <v/>
      </c>
      <c r="N341" s="26">
        <f>IF($P341="","",IF(INDEX(EntryNotes,$P341)=0,"",INDEX(EntryNotes,$P341)))</f>
        <v/>
      </c>
      <c r="O341" s="26">
        <f>IF($P341="","",IF(INDEX(EntryTxnID,$P341)=0,"",INDEX(EntryTxnID,$P341)))</f>
        <v/>
      </c>
      <c r="P341" s="26">
        <f>IFERROR(MATCH($C$5&amp;"|"&amp;RIGHT("000000"&amp;325,6),CalcRankKey,0),"")</f>
        <v/>
      </c>
    </row>
    <row r="342">
      <c r="A342" s="28">
        <f>IF($B342="","",326)</f>
        <v/>
      </c>
      <c r="B342" s="28">
        <f>IF($P342="","",IF(INDEX(CalcNormDate,$P342)=0,"",INDEX(CalcNormDate,$P342)))</f>
        <v/>
      </c>
      <c r="C342" s="28">
        <f>IF($P342="","",IF(INDEX(CalcTime,$P342)=0,"",INDEX(CalcTime,$P342)))</f>
        <v/>
      </c>
      <c r="D342" s="28">
        <f>IF($P342="","",IF(INDEX(EntryParty,$P342)=0,"",INDEX(EntryParty,$P342)))</f>
        <v/>
      </c>
      <c r="E342" s="28">
        <f>IF($P342="","",IF(INDEX(EntryPartyName,$P342)=0,"",INDEX(EntryPartyName,$P342)))</f>
        <v/>
      </c>
      <c r="F342" s="28">
        <f>IF($P342="","",IF(INDEX(EntryPartyType,$P342)=0,"",INDEX(EntryPartyType,$P342)))</f>
        <v/>
      </c>
      <c r="G342" s="28">
        <f>IF($P342="","",IF(INDEX(EntryTxnType,$P342)=0,"",INDEX(EntryTxnType,$P342)))</f>
        <v/>
      </c>
      <c r="H342" s="29">
        <f>IF($P342="","",IF(INDEX(EntryDep,$P342)=0,"",INDEX(EntryDep,$P342)))</f>
        <v/>
      </c>
      <c r="I342" s="29">
        <f>IF($P342="","",IF(INDEX(EntryWit,$P342)=0,"",INDEX(EntryWit,$P342)))</f>
        <v/>
      </c>
      <c r="J342" s="29">
        <f>IF($B342="","",IF($A342=1,$C$7,IF(J341="",0,J341))+IF($H342="",0,$H342)-IF($I342="",0,$I342))</f>
        <v/>
      </c>
      <c r="K342" s="29">
        <f>IF($P342="","",IF(INDEX(EntryMan,$P342)=0,"",INDEX(EntryMan,$P342)))</f>
        <v/>
      </c>
      <c r="L342" s="28">
        <f>IF($B342="","",IF($K342="","—",IF(ROUND($K342-$J342,0)=0,"√","×")))</f>
        <v/>
      </c>
      <c r="M342" s="28">
        <f>IF($B342="","",IF(COUNTIFS(EntryDates,$B342,CalcTime,$C342,CalcBank,$C$5,EntryParty,$D342,EntryDep,$H342,EntryWit,$I342)&gt;1,"تکرار",""))</f>
        <v/>
      </c>
      <c r="N342" s="28">
        <f>IF($P342="","",IF(INDEX(EntryNotes,$P342)=0,"",INDEX(EntryNotes,$P342)))</f>
        <v/>
      </c>
      <c r="O342" s="28">
        <f>IF($P342="","",IF(INDEX(EntryTxnID,$P342)=0,"",INDEX(EntryTxnID,$P342)))</f>
        <v/>
      </c>
      <c r="P342" s="28">
        <f>IFERROR(MATCH($C$5&amp;"|"&amp;RIGHT("000000"&amp;326,6),CalcRankKey,0),"")</f>
        <v/>
      </c>
    </row>
    <row r="343">
      <c r="A343" s="26">
        <f>IF($B343="","",327)</f>
        <v/>
      </c>
      <c r="B343" s="26">
        <f>IF($P343="","",IF(INDEX(CalcNormDate,$P343)=0,"",INDEX(CalcNormDate,$P343)))</f>
        <v/>
      </c>
      <c r="C343" s="26">
        <f>IF($P343="","",IF(INDEX(CalcTime,$P343)=0,"",INDEX(CalcTime,$P343)))</f>
        <v/>
      </c>
      <c r="D343" s="26">
        <f>IF($P343="","",IF(INDEX(EntryParty,$P343)=0,"",INDEX(EntryParty,$P343)))</f>
        <v/>
      </c>
      <c r="E343" s="26">
        <f>IF($P343="","",IF(INDEX(EntryPartyName,$P343)=0,"",INDEX(EntryPartyName,$P343)))</f>
        <v/>
      </c>
      <c r="F343" s="26">
        <f>IF($P343="","",IF(INDEX(EntryPartyType,$P343)=0,"",INDEX(EntryPartyType,$P343)))</f>
        <v/>
      </c>
      <c r="G343" s="26">
        <f>IF($P343="","",IF(INDEX(EntryTxnType,$P343)=0,"",INDEX(EntryTxnType,$P343)))</f>
        <v/>
      </c>
      <c r="H343" s="27">
        <f>IF($P343="","",IF(INDEX(EntryDep,$P343)=0,"",INDEX(EntryDep,$P343)))</f>
        <v/>
      </c>
      <c r="I343" s="27">
        <f>IF($P343="","",IF(INDEX(EntryWit,$P343)=0,"",INDEX(EntryWit,$P343)))</f>
        <v/>
      </c>
      <c r="J343" s="27">
        <f>IF($B343="","",IF($A343=1,$C$7,IF(J342="",0,J342))+IF($H343="",0,$H343)-IF($I343="",0,$I343))</f>
        <v/>
      </c>
      <c r="K343" s="27">
        <f>IF($P343="","",IF(INDEX(EntryMan,$P343)=0,"",INDEX(EntryMan,$P343)))</f>
        <v/>
      </c>
      <c r="L343" s="26">
        <f>IF($B343="","",IF($K343="","—",IF(ROUND($K343-$J343,0)=0,"√","×")))</f>
        <v/>
      </c>
      <c r="M343" s="26">
        <f>IF($B343="","",IF(COUNTIFS(EntryDates,$B343,CalcTime,$C343,CalcBank,$C$5,EntryParty,$D343,EntryDep,$H343,EntryWit,$I343)&gt;1,"تکرار",""))</f>
        <v/>
      </c>
      <c r="N343" s="26">
        <f>IF($P343="","",IF(INDEX(EntryNotes,$P343)=0,"",INDEX(EntryNotes,$P343)))</f>
        <v/>
      </c>
      <c r="O343" s="26">
        <f>IF($P343="","",IF(INDEX(EntryTxnID,$P343)=0,"",INDEX(EntryTxnID,$P343)))</f>
        <v/>
      </c>
      <c r="P343" s="26">
        <f>IFERROR(MATCH($C$5&amp;"|"&amp;RIGHT("000000"&amp;327,6),CalcRankKey,0),"")</f>
        <v/>
      </c>
    </row>
    <row r="344">
      <c r="A344" s="28">
        <f>IF($B344="","",328)</f>
        <v/>
      </c>
      <c r="B344" s="28">
        <f>IF($P344="","",IF(INDEX(CalcNormDate,$P344)=0,"",INDEX(CalcNormDate,$P344)))</f>
        <v/>
      </c>
      <c r="C344" s="28">
        <f>IF($P344="","",IF(INDEX(CalcTime,$P344)=0,"",INDEX(CalcTime,$P344)))</f>
        <v/>
      </c>
      <c r="D344" s="28">
        <f>IF($P344="","",IF(INDEX(EntryParty,$P344)=0,"",INDEX(EntryParty,$P344)))</f>
        <v/>
      </c>
      <c r="E344" s="28">
        <f>IF($P344="","",IF(INDEX(EntryPartyName,$P344)=0,"",INDEX(EntryPartyName,$P344)))</f>
        <v/>
      </c>
      <c r="F344" s="28">
        <f>IF($P344="","",IF(INDEX(EntryPartyType,$P344)=0,"",INDEX(EntryPartyType,$P344)))</f>
        <v/>
      </c>
      <c r="G344" s="28">
        <f>IF($P344="","",IF(INDEX(EntryTxnType,$P344)=0,"",INDEX(EntryTxnType,$P344)))</f>
        <v/>
      </c>
      <c r="H344" s="29">
        <f>IF($P344="","",IF(INDEX(EntryDep,$P344)=0,"",INDEX(EntryDep,$P344)))</f>
        <v/>
      </c>
      <c r="I344" s="29">
        <f>IF($P344="","",IF(INDEX(EntryWit,$P344)=0,"",INDEX(EntryWit,$P344)))</f>
        <v/>
      </c>
      <c r="J344" s="29">
        <f>IF($B344="","",IF($A344=1,$C$7,IF(J343="",0,J343))+IF($H344="",0,$H344)-IF($I344="",0,$I344))</f>
        <v/>
      </c>
      <c r="K344" s="29">
        <f>IF($P344="","",IF(INDEX(EntryMan,$P344)=0,"",INDEX(EntryMan,$P344)))</f>
        <v/>
      </c>
      <c r="L344" s="28">
        <f>IF($B344="","",IF($K344="","—",IF(ROUND($K344-$J344,0)=0,"√","×")))</f>
        <v/>
      </c>
      <c r="M344" s="28">
        <f>IF($B344="","",IF(COUNTIFS(EntryDates,$B344,CalcTime,$C344,CalcBank,$C$5,EntryParty,$D344,EntryDep,$H344,EntryWit,$I344)&gt;1,"تکرار",""))</f>
        <v/>
      </c>
      <c r="N344" s="28">
        <f>IF($P344="","",IF(INDEX(EntryNotes,$P344)=0,"",INDEX(EntryNotes,$P344)))</f>
        <v/>
      </c>
      <c r="O344" s="28">
        <f>IF($P344="","",IF(INDEX(EntryTxnID,$P344)=0,"",INDEX(EntryTxnID,$P344)))</f>
        <v/>
      </c>
      <c r="P344" s="28">
        <f>IFERROR(MATCH($C$5&amp;"|"&amp;RIGHT("000000"&amp;328,6),CalcRankKey,0),"")</f>
        <v/>
      </c>
    </row>
    <row r="345">
      <c r="A345" s="26">
        <f>IF($B345="","",329)</f>
        <v/>
      </c>
      <c r="B345" s="26">
        <f>IF($P345="","",IF(INDEX(CalcNormDate,$P345)=0,"",INDEX(CalcNormDate,$P345)))</f>
        <v/>
      </c>
      <c r="C345" s="26">
        <f>IF($P345="","",IF(INDEX(CalcTime,$P345)=0,"",INDEX(CalcTime,$P345)))</f>
        <v/>
      </c>
      <c r="D345" s="26">
        <f>IF($P345="","",IF(INDEX(EntryParty,$P345)=0,"",INDEX(EntryParty,$P345)))</f>
        <v/>
      </c>
      <c r="E345" s="26">
        <f>IF($P345="","",IF(INDEX(EntryPartyName,$P345)=0,"",INDEX(EntryPartyName,$P345)))</f>
        <v/>
      </c>
      <c r="F345" s="26">
        <f>IF($P345="","",IF(INDEX(EntryPartyType,$P345)=0,"",INDEX(EntryPartyType,$P345)))</f>
        <v/>
      </c>
      <c r="G345" s="26">
        <f>IF($P345="","",IF(INDEX(EntryTxnType,$P345)=0,"",INDEX(EntryTxnType,$P345)))</f>
        <v/>
      </c>
      <c r="H345" s="27">
        <f>IF($P345="","",IF(INDEX(EntryDep,$P345)=0,"",INDEX(EntryDep,$P345)))</f>
        <v/>
      </c>
      <c r="I345" s="27">
        <f>IF($P345="","",IF(INDEX(EntryWit,$P345)=0,"",INDEX(EntryWit,$P345)))</f>
        <v/>
      </c>
      <c r="J345" s="27">
        <f>IF($B345="","",IF($A345=1,$C$7,IF(J344="",0,J344))+IF($H345="",0,$H345)-IF($I345="",0,$I345))</f>
        <v/>
      </c>
      <c r="K345" s="27">
        <f>IF($P345="","",IF(INDEX(EntryMan,$P345)=0,"",INDEX(EntryMan,$P345)))</f>
        <v/>
      </c>
      <c r="L345" s="26">
        <f>IF($B345="","",IF($K345="","—",IF(ROUND($K345-$J345,0)=0,"√","×")))</f>
        <v/>
      </c>
      <c r="M345" s="26">
        <f>IF($B345="","",IF(COUNTIFS(EntryDates,$B345,CalcTime,$C345,CalcBank,$C$5,EntryParty,$D345,EntryDep,$H345,EntryWit,$I345)&gt;1,"تکرار",""))</f>
        <v/>
      </c>
      <c r="N345" s="26">
        <f>IF($P345="","",IF(INDEX(EntryNotes,$P345)=0,"",INDEX(EntryNotes,$P345)))</f>
        <v/>
      </c>
      <c r="O345" s="26">
        <f>IF($P345="","",IF(INDEX(EntryTxnID,$P345)=0,"",INDEX(EntryTxnID,$P345)))</f>
        <v/>
      </c>
      <c r="P345" s="26">
        <f>IFERROR(MATCH($C$5&amp;"|"&amp;RIGHT("000000"&amp;329,6),CalcRankKey,0),"")</f>
        <v/>
      </c>
    </row>
    <row r="346">
      <c r="A346" s="28">
        <f>IF($B346="","",330)</f>
        <v/>
      </c>
      <c r="B346" s="28">
        <f>IF($P346="","",IF(INDEX(CalcNormDate,$P346)=0,"",INDEX(CalcNormDate,$P346)))</f>
        <v/>
      </c>
      <c r="C346" s="28">
        <f>IF($P346="","",IF(INDEX(CalcTime,$P346)=0,"",INDEX(CalcTime,$P346)))</f>
        <v/>
      </c>
      <c r="D346" s="28">
        <f>IF($P346="","",IF(INDEX(EntryParty,$P346)=0,"",INDEX(EntryParty,$P346)))</f>
        <v/>
      </c>
      <c r="E346" s="28">
        <f>IF($P346="","",IF(INDEX(EntryPartyName,$P346)=0,"",INDEX(EntryPartyName,$P346)))</f>
        <v/>
      </c>
      <c r="F346" s="28">
        <f>IF($P346="","",IF(INDEX(EntryPartyType,$P346)=0,"",INDEX(EntryPartyType,$P346)))</f>
        <v/>
      </c>
      <c r="G346" s="28">
        <f>IF($P346="","",IF(INDEX(EntryTxnType,$P346)=0,"",INDEX(EntryTxnType,$P346)))</f>
        <v/>
      </c>
      <c r="H346" s="29">
        <f>IF($P346="","",IF(INDEX(EntryDep,$P346)=0,"",INDEX(EntryDep,$P346)))</f>
        <v/>
      </c>
      <c r="I346" s="29">
        <f>IF($P346="","",IF(INDEX(EntryWit,$P346)=0,"",INDEX(EntryWit,$P346)))</f>
        <v/>
      </c>
      <c r="J346" s="29">
        <f>IF($B346="","",IF($A346=1,$C$7,IF(J345="",0,J345))+IF($H346="",0,$H346)-IF($I346="",0,$I346))</f>
        <v/>
      </c>
      <c r="K346" s="29">
        <f>IF($P346="","",IF(INDEX(EntryMan,$P346)=0,"",INDEX(EntryMan,$P346)))</f>
        <v/>
      </c>
      <c r="L346" s="28">
        <f>IF($B346="","",IF($K346="","—",IF(ROUND($K346-$J346,0)=0,"√","×")))</f>
        <v/>
      </c>
      <c r="M346" s="28">
        <f>IF($B346="","",IF(COUNTIFS(EntryDates,$B346,CalcTime,$C346,CalcBank,$C$5,EntryParty,$D346,EntryDep,$H346,EntryWit,$I346)&gt;1,"تکرار",""))</f>
        <v/>
      </c>
      <c r="N346" s="28">
        <f>IF($P346="","",IF(INDEX(EntryNotes,$P346)=0,"",INDEX(EntryNotes,$P346)))</f>
        <v/>
      </c>
      <c r="O346" s="28">
        <f>IF($P346="","",IF(INDEX(EntryTxnID,$P346)=0,"",INDEX(EntryTxnID,$P346)))</f>
        <v/>
      </c>
      <c r="P346" s="28">
        <f>IFERROR(MATCH($C$5&amp;"|"&amp;RIGHT("000000"&amp;330,6),CalcRankKey,0),"")</f>
        <v/>
      </c>
    </row>
    <row r="347">
      <c r="A347" s="26">
        <f>IF($B347="","",331)</f>
        <v/>
      </c>
      <c r="B347" s="26">
        <f>IF($P347="","",IF(INDEX(CalcNormDate,$P347)=0,"",INDEX(CalcNormDate,$P347)))</f>
        <v/>
      </c>
      <c r="C347" s="26">
        <f>IF($P347="","",IF(INDEX(CalcTime,$P347)=0,"",INDEX(CalcTime,$P347)))</f>
        <v/>
      </c>
      <c r="D347" s="26">
        <f>IF($P347="","",IF(INDEX(EntryParty,$P347)=0,"",INDEX(EntryParty,$P347)))</f>
        <v/>
      </c>
      <c r="E347" s="26">
        <f>IF($P347="","",IF(INDEX(EntryPartyName,$P347)=0,"",INDEX(EntryPartyName,$P347)))</f>
        <v/>
      </c>
      <c r="F347" s="26">
        <f>IF($P347="","",IF(INDEX(EntryPartyType,$P347)=0,"",INDEX(EntryPartyType,$P347)))</f>
        <v/>
      </c>
      <c r="G347" s="26">
        <f>IF($P347="","",IF(INDEX(EntryTxnType,$P347)=0,"",INDEX(EntryTxnType,$P347)))</f>
        <v/>
      </c>
      <c r="H347" s="27">
        <f>IF($P347="","",IF(INDEX(EntryDep,$P347)=0,"",INDEX(EntryDep,$P347)))</f>
        <v/>
      </c>
      <c r="I347" s="27">
        <f>IF($P347="","",IF(INDEX(EntryWit,$P347)=0,"",INDEX(EntryWit,$P347)))</f>
        <v/>
      </c>
      <c r="J347" s="27">
        <f>IF($B347="","",IF($A347=1,$C$7,IF(J346="",0,J346))+IF($H347="",0,$H347)-IF($I347="",0,$I347))</f>
        <v/>
      </c>
      <c r="K347" s="27">
        <f>IF($P347="","",IF(INDEX(EntryMan,$P347)=0,"",INDEX(EntryMan,$P347)))</f>
        <v/>
      </c>
      <c r="L347" s="26">
        <f>IF($B347="","",IF($K347="","—",IF(ROUND($K347-$J347,0)=0,"√","×")))</f>
        <v/>
      </c>
      <c r="M347" s="26">
        <f>IF($B347="","",IF(COUNTIFS(EntryDates,$B347,CalcTime,$C347,CalcBank,$C$5,EntryParty,$D347,EntryDep,$H347,EntryWit,$I347)&gt;1,"تکرار",""))</f>
        <v/>
      </c>
      <c r="N347" s="26">
        <f>IF($P347="","",IF(INDEX(EntryNotes,$P347)=0,"",INDEX(EntryNotes,$P347)))</f>
        <v/>
      </c>
      <c r="O347" s="26">
        <f>IF($P347="","",IF(INDEX(EntryTxnID,$P347)=0,"",INDEX(EntryTxnID,$P347)))</f>
        <v/>
      </c>
      <c r="P347" s="26">
        <f>IFERROR(MATCH($C$5&amp;"|"&amp;RIGHT("000000"&amp;331,6),CalcRankKey,0),"")</f>
        <v/>
      </c>
    </row>
    <row r="348">
      <c r="A348" s="28">
        <f>IF($B348="","",332)</f>
        <v/>
      </c>
      <c r="B348" s="28">
        <f>IF($P348="","",IF(INDEX(CalcNormDate,$P348)=0,"",INDEX(CalcNormDate,$P348)))</f>
        <v/>
      </c>
      <c r="C348" s="28">
        <f>IF($P348="","",IF(INDEX(CalcTime,$P348)=0,"",INDEX(CalcTime,$P348)))</f>
        <v/>
      </c>
      <c r="D348" s="28">
        <f>IF($P348="","",IF(INDEX(EntryParty,$P348)=0,"",INDEX(EntryParty,$P348)))</f>
        <v/>
      </c>
      <c r="E348" s="28">
        <f>IF($P348="","",IF(INDEX(EntryPartyName,$P348)=0,"",INDEX(EntryPartyName,$P348)))</f>
        <v/>
      </c>
      <c r="F348" s="28">
        <f>IF($P348="","",IF(INDEX(EntryPartyType,$P348)=0,"",INDEX(EntryPartyType,$P348)))</f>
        <v/>
      </c>
      <c r="G348" s="28">
        <f>IF($P348="","",IF(INDEX(EntryTxnType,$P348)=0,"",INDEX(EntryTxnType,$P348)))</f>
        <v/>
      </c>
      <c r="H348" s="29">
        <f>IF($P348="","",IF(INDEX(EntryDep,$P348)=0,"",INDEX(EntryDep,$P348)))</f>
        <v/>
      </c>
      <c r="I348" s="29">
        <f>IF($P348="","",IF(INDEX(EntryWit,$P348)=0,"",INDEX(EntryWit,$P348)))</f>
        <v/>
      </c>
      <c r="J348" s="29">
        <f>IF($B348="","",IF($A348=1,$C$7,IF(J347="",0,J347))+IF($H348="",0,$H348)-IF($I348="",0,$I348))</f>
        <v/>
      </c>
      <c r="K348" s="29">
        <f>IF($P348="","",IF(INDEX(EntryMan,$P348)=0,"",INDEX(EntryMan,$P348)))</f>
        <v/>
      </c>
      <c r="L348" s="28">
        <f>IF($B348="","",IF($K348="","—",IF(ROUND($K348-$J348,0)=0,"√","×")))</f>
        <v/>
      </c>
      <c r="M348" s="28">
        <f>IF($B348="","",IF(COUNTIFS(EntryDates,$B348,CalcTime,$C348,CalcBank,$C$5,EntryParty,$D348,EntryDep,$H348,EntryWit,$I348)&gt;1,"تکرار",""))</f>
        <v/>
      </c>
      <c r="N348" s="28">
        <f>IF($P348="","",IF(INDEX(EntryNotes,$P348)=0,"",INDEX(EntryNotes,$P348)))</f>
        <v/>
      </c>
      <c r="O348" s="28">
        <f>IF($P348="","",IF(INDEX(EntryTxnID,$P348)=0,"",INDEX(EntryTxnID,$P348)))</f>
        <v/>
      </c>
      <c r="P348" s="28">
        <f>IFERROR(MATCH($C$5&amp;"|"&amp;RIGHT("000000"&amp;332,6),CalcRankKey,0),"")</f>
        <v/>
      </c>
    </row>
    <row r="349">
      <c r="A349" s="26">
        <f>IF($B349="","",333)</f>
        <v/>
      </c>
      <c r="B349" s="26">
        <f>IF($P349="","",IF(INDEX(CalcNormDate,$P349)=0,"",INDEX(CalcNormDate,$P349)))</f>
        <v/>
      </c>
      <c r="C349" s="26">
        <f>IF($P349="","",IF(INDEX(CalcTime,$P349)=0,"",INDEX(CalcTime,$P349)))</f>
        <v/>
      </c>
      <c r="D349" s="26">
        <f>IF($P349="","",IF(INDEX(EntryParty,$P349)=0,"",INDEX(EntryParty,$P349)))</f>
        <v/>
      </c>
      <c r="E349" s="26">
        <f>IF($P349="","",IF(INDEX(EntryPartyName,$P349)=0,"",INDEX(EntryPartyName,$P349)))</f>
        <v/>
      </c>
      <c r="F349" s="26">
        <f>IF($P349="","",IF(INDEX(EntryPartyType,$P349)=0,"",INDEX(EntryPartyType,$P349)))</f>
        <v/>
      </c>
      <c r="G349" s="26">
        <f>IF($P349="","",IF(INDEX(EntryTxnType,$P349)=0,"",INDEX(EntryTxnType,$P349)))</f>
        <v/>
      </c>
      <c r="H349" s="27">
        <f>IF($P349="","",IF(INDEX(EntryDep,$P349)=0,"",INDEX(EntryDep,$P349)))</f>
        <v/>
      </c>
      <c r="I349" s="27">
        <f>IF($P349="","",IF(INDEX(EntryWit,$P349)=0,"",INDEX(EntryWit,$P349)))</f>
        <v/>
      </c>
      <c r="J349" s="27">
        <f>IF($B349="","",IF($A349=1,$C$7,IF(J348="",0,J348))+IF($H349="",0,$H349)-IF($I349="",0,$I349))</f>
        <v/>
      </c>
      <c r="K349" s="27">
        <f>IF($P349="","",IF(INDEX(EntryMan,$P349)=0,"",INDEX(EntryMan,$P349)))</f>
        <v/>
      </c>
      <c r="L349" s="26">
        <f>IF($B349="","",IF($K349="","—",IF(ROUND($K349-$J349,0)=0,"√","×")))</f>
        <v/>
      </c>
      <c r="M349" s="26">
        <f>IF($B349="","",IF(COUNTIFS(EntryDates,$B349,CalcTime,$C349,CalcBank,$C$5,EntryParty,$D349,EntryDep,$H349,EntryWit,$I349)&gt;1,"تکرار",""))</f>
        <v/>
      </c>
      <c r="N349" s="26">
        <f>IF($P349="","",IF(INDEX(EntryNotes,$P349)=0,"",INDEX(EntryNotes,$P349)))</f>
        <v/>
      </c>
      <c r="O349" s="26">
        <f>IF($P349="","",IF(INDEX(EntryTxnID,$P349)=0,"",INDEX(EntryTxnID,$P349)))</f>
        <v/>
      </c>
      <c r="P349" s="26">
        <f>IFERROR(MATCH($C$5&amp;"|"&amp;RIGHT("000000"&amp;333,6),CalcRankKey,0),"")</f>
        <v/>
      </c>
    </row>
    <row r="350">
      <c r="A350" s="28">
        <f>IF($B350="","",334)</f>
        <v/>
      </c>
      <c r="B350" s="28">
        <f>IF($P350="","",IF(INDEX(CalcNormDate,$P350)=0,"",INDEX(CalcNormDate,$P350)))</f>
        <v/>
      </c>
      <c r="C350" s="28">
        <f>IF($P350="","",IF(INDEX(CalcTime,$P350)=0,"",INDEX(CalcTime,$P350)))</f>
        <v/>
      </c>
      <c r="D350" s="28">
        <f>IF($P350="","",IF(INDEX(EntryParty,$P350)=0,"",INDEX(EntryParty,$P350)))</f>
        <v/>
      </c>
      <c r="E350" s="28">
        <f>IF($P350="","",IF(INDEX(EntryPartyName,$P350)=0,"",INDEX(EntryPartyName,$P350)))</f>
        <v/>
      </c>
      <c r="F350" s="28">
        <f>IF($P350="","",IF(INDEX(EntryPartyType,$P350)=0,"",INDEX(EntryPartyType,$P350)))</f>
        <v/>
      </c>
      <c r="G350" s="28">
        <f>IF($P350="","",IF(INDEX(EntryTxnType,$P350)=0,"",INDEX(EntryTxnType,$P350)))</f>
        <v/>
      </c>
      <c r="H350" s="29">
        <f>IF($P350="","",IF(INDEX(EntryDep,$P350)=0,"",INDEX(EntryDep,$P350)))</f>
        <v/>
      </c>
      <c r="I350" s="29">
        <f>IF($P350="","",IF(INDEX(EntryWit,$P350)=0,"",INDEX(EntryWit,$P350)))</f>
        <v/>
      </c>
      <c r="J350" s="29">
        <f>IF($B350="","",IF($A350=1,$C$7,IF(J349="",0,J349))+IF($H350="",0,$H350)-IF($I350="",0,$I350))</f>
        <v/>
      </c>
      <c r="K350" s="29">
        <f>IF($P350="","",IF(INDEX(EntryMan,$P350)=0,"",INDEX(EntryMan,$P350)))</f>
        <v/>
      </c>
      <c r="L350" s="28">
        <f>IF($B350="","",IF($K350="","—",IF(ROUND($K350-$J350,0)=0,"√","×")))</f>
        <v/>
      </c>
      <c r="M350" s="28">
        <f>IF($B350="","",IF(COUNTIFS(EntryDates,$B350,CalcTime,$C350,CalcBank,$C$5,EntryParty,$D350,EntryDep,$H350,EntryWit,$I350)&gt;1,"تکرار",""))</f>
        <v/>
      </c>
      <c r="N350" s="28">
        <f>IF($P350="","",IF(INDEX(EntryNotes,$P350)=0,"",INDEX(EntryNotes,$P350)))</f>
        <v/>
      </c>
      <c r="O350" s="28">
        <f>IF($P350="","",IF(INDEX(EntryTxnID,$P350)=0,"",INDEX(EntryTxnID,$P350)))</f>
        <v/>
      </c>
      <c r="P350" s="28">
        <f>IFERROR(MATCH($C$5&amp;"|"&amp;RIGHT("000000"&amp;334,6),CalcRankKey,0),"")</f>
        <v/>
      </c>
    </row>
    <row r="351">
      <c r="A351" s="26">
        <f>IF($B351="","",335)</f>
        <v/>
      </c>
      <c r="B351" s="26">
        <f>IF($P351="","",IF(INDEX(CalcNormDate,$P351)=0,"",INDEX(CalcNormDate,$P351)))</f>
        <v/>
      </c>
      <c r="C351" s="26">
        <f>IF($P351="","",IF(INDEX(CalcTime,$P351)=0,"",INDEX(CalcTime,$P351)))</f>
        <v/>
      </c>
      <c r="D351" s="26">
        <f>IF($P351="","",IF(INDEX(EntryParty,$P351)=0,"",INDEX(EntryParty,$P351)))</f>
        <v/>
      </c>
      <c r="E351" s="26">
        <f>IF($P351="","",IF(INDEX(EntryPartyName,$P351)=0,"",INDEX(EntryPartyName,$P351)))</f>
        <v/>
      </c>
      <c r="F351" s="26">
        <f>IF($P351="","",IF(INDEX(EntryPartyType,$P351)=0,"",INDEX(EntryPartyType,$P351)))</f>
        <v/>
      </c>
      <c r="G351" s="26">
        <f>IF($P351="","",IF(INDEX(EntryTxnType,$P351)=0,"",INDEX(EntryTxnType,$P351)))</f>
        <v/>
      </c>
      <c r="H351" s="27">
        <f>IF($P351="","",IF(INDEX(EntryDep,$P351)=0,"",INDEX(EntryDep,$P351)))</f>
        <v/>
      </c>
      <c r="I351" s="27">
        <f>IF($P351="","",IF(INDEX(EntryWit,$P351)=0,"",INDEX(EntryWit,$P351)))</f>
        <v/>
      </c>
      <c r="J351" s="27">
        <f>IF($B351="","",IF($A351=1,$C$7,IF(J350="",0,J350))+IF($H351="",0,$H351)-IF($I351="",0,$I351))</f>
        <v/>
      </c>
      <c r="K351" s="27">
        <f>IF($P351="","",IF(INDEX(EntryMan,$P351)=0,"",INDEX(EntryMan,$P351)))</f>
        <v/>
      </c>
      <c r="L351" s="26">
        <f>IF($B351="","",IF($K351="","—",IF(ROUND($K351-$J351,0)=0,"√","×")))</f>
        <v/>
      </c>
      <c r="M351" s="26">
        <f>IF($B351="","",IF(COUNTIFS(EntryDates,$B351,CalcTime,$C351,CalcBank,$C$5,EntryParty,$D351,EntryDep,$H351,EntryWit,$I351)&gt;1,"تکرار",""))</f>
        <v/>
      </c>
      <c r="N351" s="26">
        <f>IF($P351="","",IF(INDEX(EntryNotes,$P351)=0,"",INDEX(EntryNotes,$P351)))</f>
        <v/>
      </c>
      <c r="O351" s="26">
        <f>IF($P351="","",IF(INDEX(EntryTxnID,$P351)=0,"",INDEX(EntryTxnID,$P351)))</f>
        <v/>
      </c>
      <c r="P351" s="26">
        <f>IFERROR(MATCH($C$5&amp;"|"&amp;RIGHT("000000"&amp;335,6),CalcRankKey,0),"")</f>
        <v/>
      </c>
    </row>
    <row r="352">
      <c r="A352" s="28">
        <f>IF($B352="","",336)</f>
        <v/>
      </c>
      <c r="B352" s="28">
        <f>IF($P352="","",IF(INDEX(CalcNormDate,$P352)=0,"",INDEX(CalcNormDate,$P352)))</f>
        <v/>
      </c>
      <c r="C352" s="28">
        <f>IF($P352="","",IF(INDEX(CalcTime,$P352)=0,"",INDEX(CalcTime,$P352)))</f>
        <v/>
      </c>
      <c r="D352" s="28">
        <f>IF($P352="","",IF(INDEX(EntryParty,$P352)=0,"",INDEX(EntryParty,$P352)))</f>
        <v/>
      </c>
      <c r="E352" s="28">
        <f>IF($P352="","",IF(INDEX(EntryPartyName,$P352)=0,"",INDEX(EntryPartyName,$P352)))</f>
        <v/>
      </c>
      <c r="F352" s="28">
        <f>IF($P352="","",IF(INDEX(EntryPartyType,$P352)=0,"",INDEX(EntryPartyType,$P352)))</f>
        <v/>
      </c>
      <c r="G352" s="28">
        <f>IF($P352="","",IF(INDEX(EntryTxnType,$P352)=0,"",INDEX(EntryTxnType,$P352)))</f>
        <v/>
      </c>
      <c r="H352" s="29">
        <f>IF($P352="","",IF(INDEX(EntryDep,$P352)=0,"",INDEX(EntryDep,$P352)))</f>
        <v/>
      </c>
      <c r="I352" s="29">
        <f>IF($P352="","",IF(INDEX(EntryWit,$P352)=0,"",INDEX(EntryWit,$P352)))</f>
        <v/>
      </c>
      <c r="J352" s="29">
        <f>IF($B352="","",IF($A352=1,$C$7,IF(J351="",0,J351))+IF($H352="",0,$H352)-IF($I352="",0,$I352))</f>
        <v/>
      </c>
      <c r="K352" s="29">
        <f>IF($P352="","",IF(INDEX(EntryMan,$P352)=0,"",INDEX(EntryMan,$P352)))</f>
        <v/>
      </c>
      <c r="L352" s="28">
        <f>IF($B352="","",IF($K352="","—",IF(ROUND($K352-$J352,0)=0,"√","×")))</f>
        <v/>
      </c>
      <c r="M352" s="28">
        <f>IF($B352="","",IF(COUNTIFS(EntryDates,$B352,CalcTime,$C352,CalcBank,$C$5,EntryParty,$D352,EntryDep,$H352,EntryWit,$I352)&gt;1,"تکرار",""))</f>
        <v/>
      </c>
      <c r="N352" s="28">
        <f>IF($P352="","",IF(INDEX(EntryNotes,$P352)=0,"",INDEX(EntryNotes,$P352)))</f>
        <v/>
      </c>
      <c r="O352" s="28">
        <f>IF($P352="","",IF(INDEX(EntryTxnID,$P352)=0,"",INDEX(EntryTxnID,$P352)))</f>
        <v/>
      </c>
      <c r="P352" s="28">
        <f>IFERROR(MATCH($C$5&amp;"|"&amp;RIGHT("000000"&amp;336,6),CalcRankKey,0),"")</f>
        <v/>
      </c>
    </row>
    <row r="353">
      <c r="A353" s="26">
        <f>IF($B353="","",337)</f>
        <v/>
      </c>
      <c r="B353" s="26">
        <f>IF($P353="","",IF(INDEX(CalcNormDate,$P353)=0,"",INDEX(CalcNormDate,$P353)))</f>
        <v/>
      </c>
      <c r="C353" s="26">
        <f>IF($P353="","",IF(INDEX(CalcTime,$P353)=0,"",INDEX(CalcTime,$P353)))</f>
        <v/>
      </c>
      <c r="D353" s="26">
        <f>IF($P353="","",IF(INDEX(EntryParty,$P353)=0,"",INDEX(EntryParty,$P353)))</f>
        <v/>
      </c>
      <c r="E353" s="26">
        <f>IF($P353="","",IF(INDEX(EntryPartyName,$P353)=0,"",INDEX(EntryPartyName,$P353)))</f>
        <v/>
      </c>
      <c r="F353" s="26">
        <f>IF($P353="","",IF(INDEX(EntryPartyType,$P353)=0,"",INDEX(EntryPartyType,$P353)))</f>
        <v/>
      </c>
      <c r="G353" s="26">
        <f>IF($P353="","",IF(INDEX(EntryTxnType,$P353)=0,"",INDEX(EntryTxnType,$P353)))</f>
        <v/>
      </c>
      <c r="H353" s="27">
        <f>IF($P353="","",IF(INDEX(EntryDep,$P353)=0,"",INDEX(EntryDep,$P353)))</f>
        <v/>
      </c>
      <c r="I353" s="27">
        <f>IF($P353="","",IF(INDEX(EntryWit,$P353)=0,"",INDEX(EntryWit,$P353)))</f>
        <v/>
      </c>
      <c r="J353" s="27">
        <f>IF($B353="","",IF($A353=1,$C$7,IF(J352="",0,J352))+IF($H353="",0,$H353)-IF($I353="",0,$I353))</f>
        <v/>
      </c>
      <c r="K353" s="27">
        <f>IF($P353="","",IF(INDEX(EntryMan,$P353)=0,"",INDEX(EntryMan,$P353)))</f>
        <v/>
      </c>
      <c r="L353" s="26">
        <f>IF($B353="","",IF($K353="","—",IF(ROUND($K353-$J353,0)=0,"√","×")))</f>
        <v/>
      </c>
      <c r="M353" s="26">
        <f>IF($B353="","",IF(COUNTIFS(EntryDates,$B353,CalcTime,$C353,CalcBank,$C$5,EntryParty,$D353,EntryDep,$H353,EntryWit,$I353)&gt;1,"تکرار",""))</f>
        <v/>
      </c>
      <c r="N353" s="26">
        <f>IF($P353="","",IF(INDEX(EntryNotes,$P353)=0,"",INDEX(EntryNotes,$P353)))</f>
        <v/>
      </c>
      <c r="O353" s="26">
        <f>IF($P353="","",IF(INDEX(EntryTxnID,$P353)=0,"",INDEX(EntryTxnID,$P353)))</f>
        <v/>
      </c>
      <c r="P353" s="26">
        <f>IFERROR(MATCH($C$5&amp;"|"&amp;RIGHT("000000"&amp;337,6),CalcRankKey,0),"")</f>
        <v/>
      </c>
    </row>
    <row r="354">
      <c r="A354" s="28">
        <f>IF($B354="","",338)</f>
        <v/>
      </c>
      <c r="B354" s="28">
        <f>IF($P354="","",IF(INDEX(CalcNormDate,$P354)=0,"",INDEX(CalcNormDate,$P354)))</f>
        <v/>
      </c>
      <c r="C354" s="28">
        <f>IF($P354="","",IF(INDEX(CalcTime,$P354)=0,"",INDEX(CalcTime,$P354)))</f>
        <v/>
      </c>
      <c r="D354" s="28">
        <f>IF($P354="","",IF(INDEX(EntryParty,$P354)=0,"",INDEX(EntryParty,$P354)))</f>
        <v/>
      </c>
      <c r="E354" s="28">
        <f>IF($P354="","",IF(INDEX(EntryPartyName,$P354)=0,"",INDEX(EntryPartyName,$P354)))</f>
        <v/>
      </c>
      <c r="F354" s="28">
        <f>IF($P354="","",IF(INDEX(EntryPartyType,$P354)=0,"",INDEX(EntryPartyType,$P354)))</f>
        <v/>
      </c>
      <c r="G354" s="28">
        <f>IF($P354="","",IF(INDEX(EntryTxnType,$P354)=0,"",INDEX(EntryTxnType,$P354)))</f>
        <v/>
      </c>
      <c r="H354" s="29">
        <f>IF($P354="","",IF(INDEX(EntryDep,$P354)=0,"",INDEX(EntryDep,$P354)))</f>
        <v/>
      </c>
      <c r="I354" s="29">
        <f>IF($P354="","",IF(INDEX(EntryWit,$P354)=0,"",INDEX(EntryWit,$P354)))</f>
        <v/>
      </c>
      <c r="J354" s="29">
        <f>IF($B354="","",IF($A354=1,$C$7,IF(J353="",0,J353))+IF($H354="",0,$H354)-IF($I354="",0,$I354))</f>
        <v/>
      </c>
      <c r="K354" s="29">
        <f>IF($P354="","",IF(INDEX(EntryMan,$P354)=0,"",INDEX(EntryMan,$P354)))</f>
        <v/>
      </c>
      <c r="L354" s="28">
        <f>IF($B354="","",IF($K354="","—",IF(ROUND($K354-$J354,0)=0,"√","×")))</f>
        <v/>
      </c>
      <c r="M354" s="28">
        <f>IF($B354="","",IF(COUNTIFS(EntryDates,$B354,CalcTime,$C354,CalcBank,$C$5,EntryParty,$D354,EntryDep,$H354,EntryWit,$I354)&gt;1,"تکرار",""))</f>
        <v/>
      </c>
      <c r="N354" s="28">
        <f>IF($P354="","",IF(INDEX(EntryNotes,$P354)=0,"",INDEX(EntryNotes,$P354)))</f>
        <v/>
      </c>
      <c r="O354" s="28">
        <f>IF($P354="","",IF(INDEX(EntryTxnID,$P354)=0,"",INDEX(EntryTxnID,$P354)))</f>
        <v/>
      </c>
      <c r="P354" s="28">
        <f>IFERROR(MATCH($C$5&amp;"|"&amp;RIGHT("000000"&amp;338,6),CalcRankKey,0),"")</f>
        <v/>
      </c>
    </row>
    <row r="355">
      <c r="A355" s="26">
        <f>IF($B355="","",339)</f>
        <v/>
      </c>
      <c r="B355" s="26">
        <f>IF($P355="","",IF(INDEX(CalcNormDate,$P355)=0,"",INDEX(CalcNormDate,$P355)))</f>
        <v/>
      </c>
      <c r="C355" s="26">
        <f>IF($P355="","",IF(INDEX(CalcTime,$P355)=0,"",INDEX(CalcTime,$P355)))</f>
        <v/>
      </c>
      <c r="D355" s="26">
        <f>IF($P355="","",IF(INDEX(EntryParty,$P355)=0,"",INDEX(EntryParty,$P355)))</f>
        <v/>
      </c>
      <c r="E355" s="26">
        <f>IF($P355="","",IF(INDEX(EntryPartyName,$P355)=0,"",INDEX(EntryPartyName,$P355)))</f>
        <v/>
      </c>
      <c r="F355" s="26">
        <f>IF($P355="","",IF(INDEX(EntryPartyType,$P355)=0,"",INDEX(EntryPartyType,$P355)))</f>
        <v/>
      </c>
      <c r="G355" s="26">
        <f>IF($P355="","",IF(INDEX(EntryTxnType,$P355)=0,"",INDEX(EntryTxnType,$P355)))</f>
        <v/>
      </c>
      <c r="H355" s="27">
        <f>IF($P355="","",IF(INDEX(EntryDep,$P355)=0,"",INDEX(EntryDep,$P355)))</f>
        <v/>
      </c>
      <c r="I355" s="27">
        <f>IF($P355="","",IF(INDEX(EntryWit,$P355)=0,"",INDEX(EntryWit,$P355)))</f>
        <v/>
      </c>
      <c r="J355" s="27">
        <f>IF($B355="","",IF($A355=1,$C$7,IF(J354="",0,J354))+IF($H355="",0,$H355)-IF($I355="",0,$I355))</f>
        <v/>
      </c>
      <c r="K355" s="27">
        <f>IF($P355="","",IF(INDEX(EntryMan,$P355)=0,"",INDEX(EntryMan,$P355)))</f>
        <v/>
      </c>
      <c r="L355" s="26">
        <f>IF($B355="","",IF($K355="","—",IF(ROUND($K355-$J355,0)=0,"√","×")))</f>
        <v/>
      </c>
      <c r="M355" s="26">
        <f>IF($B355="","",IF(COUNTIFS(EntryDates,$B355,CalcTime,$C355,CalcBank,$C$5,EntryParty,$D355,EntryDep,$H355,EntryWit,$I355)&gt;1,"تکرار",""))</f>
        <v/>
      </c>
      <c r="N355" s="26">
        <f>IF($P355="","",IF(INDEX(EntryNotes,$P355)=0,"",INDEX(EntryNotes,$P355)))</f>
        <v/>
      </c>
      <c r="O355" s="26">
        <f>IF($P355="","",IF(INDEX(EntryTxnID,$P355)=0,"",INDEX(EntryTxnID,$P355)))</f>
        <v/>
      </c>
      <c r="P355" s="26">
        <f>IFERROR(MATCH($C$5&amp;"|"&amp;RIGHT("000000"&amp;339,6),CalcRankKey,0),"")</f>
        <v/>
      </c>
    </row>
    <row r="356">
      <c r="A356" s="28">
        <f>IF($B356="","",340)</f>
        <v/>
      </c>
      <c r="B356" s="28">
        <f>IF($P356="","",IF(INDEX(CalcNormDate,$P356)=0,"",INDEX(CalcNormDate,$P356)))</f>
        <v/>
      </c>
      <c r="C356" s="28">
        <f>IF($P356="","",IF(INDEX(CalcTime,$P356)=0,"",INDEX(CalcTime,$P356)))</f>
        <v/>
      </c>
      <c r="D356" s="28">
        <f>IF($P356="","",IF(INDEX(EntryParty,$P356)=0,"",INDEX(EntryParty,$P356)))</f>
        <v/>
      </c>
      <c r="E356" s="28">
        <f>IF($P356="","",IF(INDEX(EntryPartyName,$P356)=0,"",INDEX(EntryPartyName,$P356)))</f>
        <v/>
      </c>
      <c r="F356" s="28">
        <f>IF($P356="","",IF(INDEX(EntryPartyType,$P356)=0,"",INDEX(EntryPartyType,$P356)))</f>
        <v/>
      </c>
      <c r="G356" s="28">
        <f>IF($P356="","",IF(INDEX(EntryTxnType,$P356)=0,"",INDEX(EntryTxnType,$P356)))</f>
        <v/>
      </c>
      <c r="H356" s="29">
        <f>IF($P356="","",IF(INDEX(EntryDep,$P356)=0,"",INDEX(EntryDep,$P356)))</f>
        <v/>
      </c>
      <c r="I356" s="29">
        <f>IF($P356="","",IF(INDEX(EntryWit,$P356)=0,"",INDEX(EntryWit,$P356)))</f>
        <v/>
      </c>
      <c r="J356" s="29">
        <f>IF($B356="","",IF($A356=1,$C$7,IF(J355="",0,J355))+IF($H356="",0,$H356)-IF($I356="",0,$I356))</f>
        <v/>
      </c>
      <c r="K356" s="29">
        <f>IF($P356="","",IF(INDEX(EntryMan,$P356)=0,"",INDEX(EntryMan,$P356)))</f>
        <v/>
      </c>
      <c r="L356" s="28">
        <f>IF($B356="","",IF($K356="","—",IF(ROUND($K356-$J356,0)=0,"√","×")))</f>
        <v/>
      </c>
      <c r="M356" s="28">
        <f>IF($B356="","",IF(COUNTIFS(EntryDates,$B356,CalcTime,$C356,CalcBank,$C$5,EntryParty,$D356,EntryDep,$H356,EntryWit,$I356)&gt;1,"تکرار",""))</f>
        <v/>
      </c>
      <c r="N356" s="28">
        <f>IF($P356="","",IF(INDEX(EntryNotes,$P356)=0,"",INDEX(EntryNotes,$P356)))</f>
        <v/>
      </c>
      <c r="O356" s="28">
        <f>IF($P356="","",IF(INDEX(EntryTxnID,$P356)=0,"",INDEX(EntryTxnID,$P356)))</f>
        <v/>
      </c>
      <c r="P356" s="28">
        <f>IFERROR(MATCH($C$5&amp;"|"&amp;RIGHT("000000"&amp;340,6),CalcRankKey,0),"")</f>
        <v/>
      </c>
    </row>
    <row r="357">
      <c r="A357" s="26">
        <f>IF($B357="","",341)</f>
        <v/>
      </c>
      <c r="B357" s="26">
        <f>IF($P357="","",IF(INDEX(CalcNormDate,$P357)=0,"",INDEX(CalcNormDate,$P357)))</f>
        <v/>
      </c>
      <c r="C357" s="26">
        <f>IF($P357="","",IF(INDEX(CalcTime,$P357)=0,"",INDEX(CalcTime,$P357)))</f>
        <v/>
      </c>
      <c r="D357" s="26">
        <f>IF($P357="","",IF(INDEX(EntryParty,$P357)=0,"",INDEX(EntryParty,$P357)))</f>
        <v/>
      </c>
      <c r="E357" s="26">
        <f>IF($P357="","",IF(INDEX(EntryPartyName,$P357)=0,"",INDEX(EntryPartyName,$P357)))</f>
        <v/>
      </c>
      <c r="F357" s="26">
        <f>IF($P357="","",IF(INDEX(EntryPartyType,$P357)=0,"",INDEX(EntryPartyType,$P357)))</f>
        <v/>
      </c>
      <c r="G357" s="26">
        <f>IF($P357="","",IF(INDEX(EntryTxnType,$P357)=0,"",INDEX(EntryTxnType,$P357)))</f>
        <v/>
      </c>
      <c r="H357" s="27">
        <f>IF($P357="","",IF(INDEX(EntryDep,$P357)=0,"",INDEX(EntryDep,$P357)))</f>
        <v/>
      </c>
      <c r="I357" s="27">
        <f>IF($P357="","",IF(INDEX(EntryWit,$P357)=0,"",INDEX(EntryWit,$P357)))</f>
        <v/>
      </c>
      <c r="J357" s="27">
        <f>IF($B357="","",IF($A357=1,$C$7,IF(J356="",0,J356))+IF($H357="",0,$H357)-IF($I357="",0,$I357))</f>
        <v/>
      </c>
      <c r="K357" s="27">
        <f>IF($P357="","",IF(INDEX(EntryMan,$P357)=0,"",INDEX(EntryMan,$P357)))</f>
        <v/>
      </c>
      <c r="L357" s="26">
        <f>IF($B357="","",IF($K357="","—",IF(ROUND($K357-$J357,0)=0,"√","×")))</f>
        <v/>
      </c>
      <c r="M357" s="26">
        <f>IF($B357="","",IF(COUNTIFS(EntryDates,$B357,CalcTime,$C357,CalcBank,$C$5,EntryParty,$D357,EntryDep,$H357,EntryWit,$I357)&gt;1,"تکرار",""))</f>
        <v/>
      </c>
      <c r="N357" s="26">
        <f>IF($P357="","",IF(INDEX(EntryNotes,$P357)=0,"",INDEX(EntryNotes,$P357)))</f>
        <v/>
      </c>
      <c r="O357" s="26">
        <f>IF($P357="","",IF(INDEX(EntryTxnID,$P357)=0,"",INDEX(EntryTxnID,$P357)))</f>
        <v/>
      </c>
      <c r="P357" s="26">
        <f>IFERROR(MATCH($C$5&amp;"|"&amp;RIGHT("000000"&amp;341,6),CalcRankKey,0),"")</f>
        <v/>
      </c>
    </row>
    <row r="358">
      <c r="A358" s="28">
        <f>IF($B358="","",342)</f>
        <v/>
      </c>
      <c r="B358" s="28">
        <f>IF($P358="","",IF(INDEX(CalcNormDate,$P358)=0,"",INDEX(CalcNormDate,$P358)))</f>
        <v/>
      </c>
      <c r="C358" s="28">
        <f>IF($P358="","",IF(INDEX(CalcTime,$P358)=0,"",INDEX(CalcTime,$P358)))</f>
        <v/>
      </c>
      <c r="D358" s="28">
        <f>IF($P358="","",IF(INDEX(EntryParty,$P358)=0,"",INDEX(EntryParty,$P358)))</f>
        <v/>
      </c>
      <c r="E358" s="28">
        <f>IF($P358="","",IF(INDEX(EntryPartyName,$P358)=0,"",INDEX(EntryPartyName,$P358)))</f>
        <v/>
      </c>
      <c r="F358" s="28">
        <f>IF($P358="","",IF(INDEX(EntryPartyType,$P358)=0,"",INDEX(EntryPartyType,$P358)))</f>
        <v/>
      </c>
      <c r="G358" s="28">
        <f>IF($P358="","",IF(INDEX(EntryTxnType,$P358)=0,"",INDEX(EntryTxnType,$P358)))</f>
        <v/>
      </c>
      <c r="H358" s="29">
        <f>IF($P358="","",IF(INDEX(EntryDep,$P358)=0,"",INDEX(EntryDep,$P358)))</f>
        <v/>
      </c>
      <c r="I358" s="29">
        <f>IF($P358="","",IF(INDEX(EntryWit,$P358)=0,"",INDEX(EntryWit,$P358)))</f>
        <v/>
      </c>
      <c r="J358" s="29">
        <f>IF($B358="","",IF($A358=1,$C$7,IF(J357="",0,J357))+IF($H358="",0,$H358)-IF($I358="",0,$I358))</f>
        <v/>
      </c>
      <c r="K358" s="29">
        <f>IF($P358="","",IF(INDEX(EntryMan,$P358)=0,"",INDEX(EntryMan,$P358)))</f>
        <v/>
      </c>
      <c r="L358" s="28">
        <f>IF($B358="","",IF($K358="","—",IF(ROUND($K358-$J358,0)=0,"√","×")))</f>
        <v/>
      </c>
      <c r="M358" s="28">
        <f>IF($B358="","",IF(COUNTIFS(EntryDates,$B358,CalcTime,$C358,CalcBank,$C$5,EntryParty,$D358,EntryDep,$H358,EntryWit,$I358)&gt;1,"تکرار",""))</f>
        <v/>
      </c>
      <c r="N358" s="28">
        <f>IF($P358="","",IF(INDEX(EntryNotes,$P358)=0,"",INDEX(EntryNotes,$P358)))</f>
        <v/>
      </c>
      <c r="O358" s="28">
        <f>IF($P358="","",IF(INDEX(EntryTxnID,$P358)=0,"",INDEX(EntryTxnID,$P358)))</f>
        <v/>
      </c>
      <c r="P358" s="28">
        <f>IFERROR(MATCH($C$5&amp;"|"&amp;RIGHT("000000"&amp;342,6),CalcRankKey,0),"")</f>
        <v/>
      </c>
    </row>
    <row r="359">
      <c r="A359" s="26">
        <f>IF($B359="","",343)</f>
        <v/>
      </c>
      <c r="B359" s="26">
        <f>IF($P359="","",IF(INDEX(CalcNormDate,$P359)=0,"",INDEX(CalcNormDate,$P359)))</f>
        <v/>
      </c>
      <c r="C359" s="26">
        <f>IF($P359="","",IF(INDEX(CalcTime,$P359)=0,"",INDEX(CalcTime,$P359)))</f>
        <v/>
      </c>
      <c r="D359" s="26">
        <f>IF($P359="","",IF(INDEX(EntryParty,$P359)=0,"",INDEX(EntryParty,$P359)))</f>
        <v/>
      </c>
      <c r="E359" s="26">
        <f>IF($P359="","",IF(INDEX(EntryPartyName,$P359)=0,"",INDEX(EntryPartyName,$P359)))</f>
        <v/>
      </c>
      <c r="F359" s="26">
        <f>IF($P359="","",IF(INDEX(EntryPartyType,$P359)=0,"",INDEX(EntryPartyType,$P359)))</f>
        <v/>
      </c>
      <c r="G359" s="26">
        <f>IF($P359="","",IF(INDEX(EntryTxnType,$P359)=0,"",INDEX(EntryTxnType,$P359)))</f>
        <v/>
      </c>
      <c r="H359" s="27">
        <f>IF($P359="","",IF(INDEX(EntryDep,$P359)=0,"",INDEX(EntryDep,$P359)))</f>
        <v/>
      </c>
      <c r="I359" s="27">
        <f>IF($P359="","",IF(INDEX(EntryWit,$P359)=0,"",INDEX(EntryWit,$P359)))</f>
        <v/>
      </c>
      <c r="J359" s="27">
        <f>IF($B359="","",IF($A359=1,$C$7,IF(J358="",0,J358))+IF($H359="",0,$H359)-IF($I359="",0,$I359))</f>
        <v/>
      </c>
      <c r="K359" s="27">
        <f>IF($P359="","",IF(INDEX(EntryMan,$P359)=0,"",INDEX(EntryMan,$P359)))</f>
        <v/>
      </c>
      <c r="L359" s="26">
        <f>IF($B359="","",IF($K359="","—",IF(ROUND($K359-$J359,0)=0,"√","×")))</f>
        <v/>
      </c>
      <c r="M359" s="26">
        <f>IF($B359="","",IF(COUNTIFS(EntryDates,$B359,CalcTime,$C359,CalcBank,$C$5,EntryParty,$D359,EntryDep,$H359,EntryWit,$I359)&gt;1,"تکرار",""))</f>
        <v/>
      </c>
      <c r="N359" s="26">
        <f>IF($P359="","",IF(INDEX(EntryNotes,$P359)=0,"",INDEX(EntryNotes,$P359)))</f>
        <v/>
      </c>
      <c r="O359" s="26">
        <f>IF($P359="","",IF(INDEX(EntryTxnID,$P359)=0,"",INDEX(EntryTxnID,$P359)))</f>
        <v/>
      </c>
      <c r="P359" s="26">
        <f>IFERROR(MATCH($C$5&amp;"|"&amp;RIGHT("000000"&amp;343,6),CalcRankKey,0),"")</f>
        <v/>
      </c>
    </row>
    <row r="360">
      <c r="A360" s="28">
        <f>IF($B360="","",344)</f>
        <v/>
      </c>
      <c r="B360" s="28">
        <f>IF($P360="","",IF(INDEX(CalcNormDate,$P360)=0,"",INDEX(CalcNormDate,$P360)))</f>
        <v/>
      </c>
      <c r="C360" s="28">
        <f>IF($P360="","",IF(INDEX(CalcTime,$P360)=0,"",INDEX(CalcTime,$P360)))</f>
        <v/>
      </c>
      <c r="D360" s="28">
        <f>IF($P360="","",IF(INDEX(EntryParty,$P360)=0,"",INDEX(EntryParty,$P360)))</f>
        <v/>
      </c>
      <c r="E360" s="28">
        <f>IF($P360="","",IF(INDEX(EntryPartyName,$P360)=0,"",INDEX(EntryPartyName,$P360)))</f>
        <v/>
      </c>
      <c r="F360" s="28">
        <f>IF($P360="","",IF(INDEX(EntryPartyType,$P360)=0,"",INDEX(EntryPartyType,$P360)))</f>
        <v/>
      </c>
      <c r="G360" s="28">
        <f>IF($P360="","",IF(INDEX(EntryTxnType,$P360)=0,"",INDEX(EntryTxnType,$P360)))</f>
        <v/>
      </c>
      <c r="H360" s="29">
        <f>IF($P360="","",IF(INDEX(EntryDep,$P360)=0,"",INDEX(EntryDep,$P360)))</f>
        <v/>
      </c>
      <c r="I360" s="29">
        <f>IF($P360="","",IF(INDEX(EntryWit,$P360)=0,"",INDEX(EntryWit,$P360)))</f>
        <v/>
      </c>
      <c r="J360" s="29">
        <f>IF($B360="","",IF($A360=1,$C$7,IF(J359="",0,J359))+IF($H360="",0,$H360)-IF($I360="",0,$I360))</f>
        <v/>
      </c>
      <c r="K360" s="29">
        <f>IF($P360="","",IF(INDEX(EntryMan,$P360)=0,"",INDEX(EntryMan,$P360)))</f>
        <v/>
      </c>
      <c r="L360" s="28">
        <f>IF($B360="","",IF($K360="","—",IF(ROUND($K360-$J360,0)=0,"√","×")))</f>
        <v/>
      </c>
      <c r="M360" s="28">
        <f>IF($B360="","",IF(COUNTIFS(EntryDates,$B360,CalcTime,$C360,CalcBank,$C$5,EntryParty,$D360,EntryDep,$H360,EntryWit,$I360)&gt;1,"تکرار",""))</f>
        <v/>
      </c>
      <c r="N360" s="28">
        <f>IF($P360="","",IF(INDEX(EntryNotes,$P360)=0,"",INDEX(EntryNotes,$P360)))</f>
        <v/>
      </c>
      <c r="O360" s="28">
        <f>IF($P360="","",IF(INDEX(EntryTxnID,$P360)=0,"",INDEX(EntryTxnID,$P360)))</f>
        <v/>
      </c>
      <c r="P360" s="28">
        <f>IFERROR(MATCH($C$5&amp;"|"&amp;RIGHT("000000"&amp;344,6),CalcRankKey,0),"")</f>
        <v/>
      </c>
    </row>
    <row r="361">
      <c r="A361" s="26">
        <f>IF($B361="","",345)</f>
        <v/>
      </c>
      <c r="B361" s="26">
        <f>IF($P361="","",IF(INDEX(CalcNormDate,$P361)=0,"",INDEX(CalcNormDate,$P361)))</f>
        <v/>
      </c>
      <c r="C361" s="26">
        <f>IF($P361="","",IF(INDEX(CalcTime,$P361)=0,"",INDEX(CalcTime,$P361)))</f>
        <v/>
      </c>
      <c r="D361" s="26">
        <f>IF($P361="","",IF(INDEX(EntryParty,$P361)=0,"",INDEX(EntryParty,$P361)))</f>
        <v/>
      </c>
      <c r="E361" s="26">
        <f>IF($P361="","",IF(INDEX(EntryPartyName,$P361)=0,"",INDEX(EntryPartyName,$P361)))</f>
        <v/>
      </c>
      <c r="F361" s="26">
        <f>IF($P361="","",IF(INDEX(EntryPartyType,$P361)=0,"",INDEX(EntryPartyType,$P361)))</f>
        <v/>
      </c>
      <c r="G361" s="26">
        <f>IF($P361="","",IF(INDEX(EntryTxnType,$P361)=0,"",INDEX(EntryTxnType,$P361)))</f>
        <v/>
      </c>
      <c r="H361" s="27">
        <f>IF($P361="","",IF(INDEX(EntryDep,$P361)=0,"",INDEX(EntryDep,$P361)))</f>
        <v/>
      </c>
      <c r="I361" s="27">
        <f>IF($P361="","",IF(INDEX(EntryWit,$P361)=0,"",INDEX(EntryWit,$P361)))</f>
        <v/>
      </c>
      <c r="J361" s="27">
        <f>IF($B361="","",IF($A361=1,$C$7,IF(J360="",0,J360))+IF($H361="",0,$H361)-IF($I361="",0,$I361))</f>
        <v/>
      </c>
      <c r="K361" s="27">
        <f>IF($P361="","",IF(INDEX(EntryMan,$P361)=0,"",INDEX(EntryMan,$P361)))</f>
        <v/>
      </c>
      <c r="L361" s="26">
        <f>IF($B361="","",IF($K361="","—",IF(ROUND($K361-$J361,0)=0,"√","×")))</f>
        <v/>
      </c>
      <c r="M361" s="26">
        <f>IF($B361="","",IF(COUNTIFS(EntryDates,$B361,CalcTime,$C361,CalcBank,$C$5,EntryParty,$D361,EntryDep,$H361,EntryWit,$I361)&gt;1,"تکرار",""))</f>
        <v/>
      </c>
      <c r="N361" s="26">
        <f>IF($P361="","",IF(INDEX(EntryNotes,$P361)=0,"",INDEX(EntryNotes,$P361)))</f>
        <v/>
      </c>
      <c r="O361" s="26">
        <f>IF($P361="","",IF(INDEX(EntryTxnID,$P361)=0,"",INDEX(EntryTxnID,$P361)))</f>
        <v/>
      </c>
      <c r="P361" s="26">
        <f>IFERROR(MATCH($C$5&amp;"|"&amp;RIGHT("000000"&amp;345,6),CalcRankKey,0),"")</f>
        <v/>
      </c>
    </row>
    <row r="362">
      <c r="A362" s="28">
        <f>IF($B362="","",346)</f>
        <v/>
      </c>
      <c r="B362" s="28">
        <f>IF($P362="","",IF(INDEX(CalcNormDate,$P362)=0,"",INDEX(CalcNormDate,$P362)))</f>
        <v/>
      </c>
      <c r="C362" s="28">
        <f>IF($P362="","",IF(INDEX(CalcTime,$P362)=0,"",INDEX(CalcTime,$P362)))</f>
        <v/>
      </c>
      <c r="D362" s="28">
        <f>IF($P362="","",IF(INDEX(EntryParty,$P362)=0,"",INDEX(EntryParty,$P362)))</f>
        <v/>
      </c>
      <c r="E362" s="28">
        <f>IF($P362="","",IF(INDEX(EntryPartyName,$P362)=0,"",INDEX(EntryPartyName,$P362)))</f>
        <v/>
      </c>
      <c r="F362" s="28">
        <f>IF($P362="","",IF(INDEX(EntryPartyType,$P362)=0,"",INDEX(EntryPartyType,$P362)))</f>
        <v/>
      </c>
      <c r="G362" s="28">
        <f>IF($P362="","",IF(INDEX(EntryTxnType,$P362)=0,"",INDEX(EntryTxnType,$P362)))</f>
        <v/>
      </c>
      <c r="H362" s="29">
        <f>IF($P362="","",IF(INDEX(EntryDep,$P362)=0,"",INDEX(EntryDep,$P362)))</f>
        <v/>
      </c>
      <c r="I362" s="29">
        <f>IF($P362="","",IF(INDEX(EntryWit,$P362)=0,"",INDEX(EntryWit,$P362)))</f>
        <v/>
      </c>
      <c r="J362" s="29">
        <f>IF($B362="","",IF($A362=1,$C$7,IF(J361="",0,J361))+IF($H362="",0,$H362)-IF($I362="",0,$I362))</f>
        <v/>
      </c>
      <c r="K362" s="29">
        <f>IF($P362="","",IF(INDEX(EntryMan,$P362)=0,"",INDEX(EntryMan,$P362)))</f>
        <v/>
      </c>
      <c r="L362" s="28">
        <f>IF($B362="","",IF($K362="","—",IF(ROUND($K362-$J362,0)=0,"√","×")))</f>
        <v/>
      </c>
      <c r="M362" s="28">
        <f>IF($B362="","",IF(COUNTIFS(EntryDates,$B362,CalcTime,$C362,CalcBank,$C$5,EntryParty,$D362,EntryDep,$H362,EntryWit,$I362)&gt;1,"تکرار",""))</f>
        <v/>
      </c>
      <c r="N362" s="28">
        <f>IF($P362="","",IF(INDEX(EntryNotes,$P362)=0,"",INDEX(EntryNotes,$P362)))</f>
        <v/>
      </c>
      <c r="O362" s="28">
        <f>IF($P362="","",IF(INDEX(EntryTxnID,$P362)=0,"",INDEX(EntryTxnID,$P362)))</f>
        <v/>
      </c>
      <c r="P362" s="28">
        <f>IFERROR(MATCH($C$5&amp;"|"&amp;RIGHT("000000"&amp;346,6),CalcRankKey,0),"")</f>
        <v/>
      </c>
    </row>
    <row r="363">
      <c r="A363" s="26">
        <f>IF($B363="","",347)</f>
        <v/>
      </c>
      <c r="B363" s="26">
        <f>IF($P363="","",IF(INDEX(CalcNormDate,$P363)=0,"",INDEX(CalcNormDate,$P363)))</f>
        <v/>
      </c>
      <c r="C363" s="26">
        <f>IF($P363="","",IF(INDEX(CalcTime,$P363)=0,"",INDEX(CalcTime,$P363)))</f>
        <v/>
      </c>
      <c r="D363" s="26">
        <f>IF($P363="","",IF(INDEX(EntryParty,$P363)=0,"",INDEX(EntryParty,$P363)))</f>
        <v/>
      </c>
      <c r="E363" s="26">
        <f>IF($P363="","",IF(INDEX(EntryPartyName,$P363)=0,"",INDEX(EntryPartyName,$P363)))</f>
        <v/>
      </c>
      <c r="F363" s="26">
        <f>IF($P363="","",IF(INDEX(EntryPartyType,$P363)=0,"",INDEX(EntryPartyType,$P363)))</f>
        <v/>
      </c>
      <c r="G363" s="26">
        <f>IF($P363="","",IF(INDEX(EntryTxnType,$P363)=0,"",INDEX(EntryTxnType,$P363)))</f>
        <v/>
      </c>
      <c r="H363" s="27">
        <f>IF($P363="","",IF(INDEX(EntryDep,$P363)=0,"",INDEX(EntryDep,$P363)))</f>
        <v/>
      </c>
      <c r="I363" s="27">
        <f>IF($P363="","",IF(INDEX(EntryWit,$P363)=0,"",INDEX(EntryWit,$P363)))</f>
        <v/>
      </c>
      <c r="J363" s="27">
        <f>IF($B363="","",IF($A363=1,$C$7,IF(J362="",0,J362))+IF($H363="",0,$H363)-IF($I363="",0,$I363))</f>
        <v/>
      </c>
      <c r="K363" s="27">
        <f>IF($P363="","",IF(INDEX(EntryMan,$P363)=0,"",INDEX(EntryMan,$P363)))</f>
        <v/>
      </c>
      <c r="L363" s="26">
        <f>IF($B363="","",IF($K363="","—",IF(ROUND($K363-$J363,0)=0,"√","×")))</f>
        <v/>
      </c>
      <c r="M363" s="26">
        <f>IF($B363="","",IF(COUNTIFS(EntryDates,$B363,CalcTime,$C363,CalcBank,$C$5,EntryParty,$D363,EntryDep,$H363,EntryWit,$I363)&gt;1,"تکرار",""))</f>
        <v/>
      </c>
      <c r="N363" s="26">
        <f>IF($P363="","",IF(INDEX(EntryNotes,$P363)=0,"",INDEX(EntryNotes,$P363)))</f>
        <v/>
      </c>
      <c r="O363" s="26">
        <f>IF($P363="","",IF(INDEX(EntryTxnID,$P363)=0,"",INDEX(EntryTxnID,$P363)))</f>
        <v/>
      </c>
      <c r="P363" s="26">
        <f>IFERROR(MATCH($C$5&amp;"|"&amp;RIGHT("000000"&amp;347,6),CalcRankKey,0),"")</f>
        <v/>
      </c>
    </row>
    <row r="364">
      <c r="A364" s="28">
        <f>IF($B364="","",348)</f>
        <v/>
      </c>
      <c r="B364" s="28">
        <f>IF($P364="","",IF(INDEX(CalcNormDate,$P364)=0,"",INDEX(CalcNormDate,$P364)))</f>
        <v/>
      </c>
      <c r="C364" s="28">
        <f>IF($P364="","",IF(INDEX(CalcTime,$P364)=0,"",INDEX(CalcTime,$P364)))</f>
        <v/>
      </c>
      <c r="D364" s="28">
        <f>IF($P364="","",IF(INDEX(EntryParty,$P364)=0,"",INDEX(EntryParty,$P364)))</f>
        <v/>
      </c>
      <c r="E364" s="28">
        <f>IF($P364="","",IF(INDEX(EntryPartyName,$P364)=0,"",INDEX(EntryPartyName,$P364)))</f>
        <v/>
      </c>
      <c r="F364" s="28">
        <f>IF($P364="","",IF(INDEX(EntryPartyType,$P364)=0,"",INDEX(EntryPartyType,$P364)))</f>
        <v/>
      </c>
      <c r="G364" s="28">
        <f>IF($P364="","",IF(INDEX(EntryTxnType,$P364)=0,"",INDEX(EntryTxnType,$P364)))</f>
        <v/>
      </c>
      <c r="H364" s="29">
        <f>IF($P364="","",IF(INDEX(EntryDep,$P364)=0,"",INDEX(EntryDep,$P364)))</f>
        <v/>
      </c>
      <c r="I364" s="29">
        <f>IF($P364="","",IF(INDEX(EntryWit,$P364)=0,"",INDEX(EntryWit,$P364)))</f>
        <v/>
      </c>
      <c r="J364" s="29">
        <f>IF($B364="","",IF($A364=1,$C$7,IF(J363="",0,J363))+IF($H364="",0,$H364)-IF($I364="",0,$I364))</f>
        <v/>
      </c>
      <c r="K364" s="29">
        <f>IF($P364="","",IF(INDEX(EntryMan,$P364)=0,"",INDEX(EntryMan,$P364)))</f>
        <v/>
      </c>
      <c r="L364" s="28">
        <f>IF($B364="","",IF($K364="","—",IF(ROUND($K364-$J364,0)=0,"√","×")))</f>
        <v/>
      </c>
      <c r="M364" s="28">
        <f>IF($B364="","",IF(COUNTIFS(EntryDates,$B364,CalcTime,$C364,CalcBank,$C$5,EntryParty,$D364,EntryDep,$H364,EntryWit,$I364)&gt;1,"تکرار",""))</f>
        <v/>
      </c>
      <c r="N364" s="28">
        <f>IF($P364="","",IF(INDEX(EntryNotes,$P364)=0,"",INDEX(EntryNotes,$P364)))</f>
        <v/>
      </c>
      <c r="O364" s="28">
        <f>IF($P364="","",IF(INDEX(EntryTxnID,$P364)=0,"",INDEX(EntryTxnID,$P364)))</f>
        <v/>
      </c>
      <c r="P364" s="28">
        <f>IFERROR(MATCH($C$5&amp;"|"&amp;RIGHT("000000"&amp;348,6),CalcRankKey,0),"")</f>
        <v/>
      </c>
    </row>
    <row r="365">
      <c r="A365" s="26">
        <f>IF($B365="","",349)</f>
        <v/>
      </c>
      <c r="B365" s="26">
        <f>IF($P365="","",IF(INDEX(CalcNormDate,$P365)=0,"",INDEX(CalcNormDate,$P365)))</f>
        <v/>
      </c>
      <c r="C365" s="26">
        <f>IF($P365="","",IF(INDEX(CalcTime,$P365)=0,"",INDEX(CalcTime,$P365)))</f>
        <v/>
      </c>
      <c r="D365" s="26">
        <f>IF($P365="","",IF(INDEX(EntryParty,$P365)=0,"",INDEX(EntryParty,$P365)))</f>
        <v/>
      </c>
      <c r="E365" s="26">
        <f>IF($P365="","",IF(INDEX(EntryPartyName,$P365)=0,"",INDEX(EntryPartyName,$P365)))</f>
        <v/>
      </c>
      <c r="F365" s="26">
        <f>IF($P365="","",IF(INDEX(EntryPartyType,$P365)=0,"",INDEX(EntryPartyType,$P365)))</f>
        <v/>
      </c>
      <c r="G365" s="26">
        <f>IF($P365="","",IF(INDEX(EntryTxnType,$P365)=0,"",INDEX(EntryTxnType,$P365)))</f>
        <v/>
      </c>
      <c r="H365" s="27">
        <f>IF($P365="","",IF(INDEX(EntryDep,$P365)=0,"",INDEX(EntryDep,$P365)))</f>
        <v/>
      </c>
      <c r="I365" s="27">
        <f>IF($P365="","",IF(INDEX(EntryWit,$P365)=0,"",INDEX(EntryWit,$P365)))</f>
        <v/>
      </c>
      <c r="J365" s="27">
        <f>IF($B365="","",IF($A365=1,$C$7,IF(J364="",0,J364))+IF($H365="",0,$H365)-IF($I365="",0,$I365))</f>
        <v/>
      </c>
      <c r="K365" s="27">
        <f>IF($P365="","",IF(INDEX(EntryMan,$P365)=0,"",INDEX(EntryMan,$P365)))</f>
        <v/>
      </c>
      <c r="L365" s="26">
        <f>IF($B365="","",IF($K365="","—",IF(ROUND($K365-$J365,0)=0,"√","×")))</f>
        <v/>
      </c>
      <c r="M365" s="26">
        <f>IF($B365="","",IF(COUNTIFS(EntryDates,$B365,CalcTime,$C365,CalcBank,$C$5,EntryParty,$D365,EntryDep,$H365,EntryWit,$I365)&gt;1,"تکرار",""))</f>
        <v/>
      </c>
      <c r="N365" s="26">
        <f>IF($P365="","",IF(INDEX(EntryNotes,$P365)=0,"",INDEX(EntryNotes,$P365)))</f>
        <v/>
      </c>
      <c r="O365" s="26">
        <f>IF($P365="","",IF(INDEX(EntryTxnID,$P365)=0,"",INDEX(EntryTxnID,$P365)))</f>
        <v/>
      </c>
      <c r="P365" s="26">
        <f>IFERROR(MATCH($C$5&amp;"|"&amp;RIGHT("000000"&amp;349,6),CalcRankKey,0),"")</f>
        <v/>
      </c>
    </row>
    <row r="366">
      <c r="A366" s="28">
        <f>IF($B366="","",350)</f>
        <v/>
      </c>
      <c r="B366" s="28">
        <f>IF($P366="","",IF(INDEX(CalcNormDate,$P366)=0,"",INDEX(CalcNormDate,$P366)))</f>
        <v/>
      </c>
      <c r="C366" s="28">
        <f>IF($P366="","",IF(INDEX(CalcTime,$P366)=0,"",INDEX(CalcTime,$P366)))</f>
        <v/>
      </c>
      <c r="D366" s="28">
        <f>IF($P366="","",IF(INDEX(EntryParty,$P366)=0,"",INDEX(EntryParty,$P366)))</f>
        <v/>
      </c>
      <c r="E366" s="28">
        <f>IF($P366="","",IF(INDEX(EntryPartyName,$P366)=0,"",INDEX(EntryPartyName,$P366)))</f>
        <v/>
      </c>
      <c r="F366" s="28">
        <f>IF($P366="","",IF(INDEX(EntryPartyType,$P366)=0,"",INDEX(EntryPartyType,$P366)))</f>
        <v/>
      </c>
      <c r="G366" s="28">
        <f>IF($P366="","",IF(INDEX(EntryTxnType,$P366)=0,"",INDEX(EntryTxnType,$P366)))</f>
        <v/>
      </c>
      <c r="H366" s="29">
        <f>IF($P366="","",IF(INDEX(EntryDep,$P366)=0,"",INDEX(EntryDep,$P366)))</f>
        <v/>
      </c>
      <c r="I366" s="29">
        <f>IF($P366="","",IF(INDEX(EntryWit,$P366)=0,"",INDEX(EntryWit,$P366)))</f>
        <v/>
      </c>
      <c r="J366" s="29">
        <f>IF($B366="","",IF($A366=1,$C$7,IF(J365="",0,J365))+IF($H366="",0,$H366)-IF($I366="",0,$I366))</f>
        <v/>
      </c>
      <c r="K366" s="29">
        <f>IF($P366="","",IF(INDEX(EntryMan,$P366)=0,"",INDEX(EntryMan,$P366)))</f>
        <v/>
      </c>
      <c r="L366" s="28">
        <f>IF($B366="","",IF($K366="","—",IF(ROUND($K366-$J366,0)=0,"√","×")))</f>
        <v/>
      </c>
      <c r="M366" s="28">
        <f>IF($B366="","",IF(COUNTIFS(EntryDates,$B366,CalcTime,$C366,CalcBank,$C$5,EntryParty,$D366,EntryDep,$H366,EntryWit,$I366)&gt;1,"تکرار",""))</f>
        <v/>
      </c>
      <c r="N366" s="28">
        <f>IF($P366="","",IF(INDEX(EntryNotes,$P366)=0,"",INDEX(EntryNotes,$P366)))</f>
        <v/>
      </c>
      <c r="O366" s="28">
        <f>IF($P366="","",IF(INDEX(EntryTxnID,$P366)=0,"",INDEX(EntryTxnID,$P366)))</f>
        <v/>
      </c>
      <c r="P366" s="28">
        <f>IFERROR(MATCH($C$5&amp;"|"&amp;RIGHT("000000"&amp;350,6),CalcRankKey,0),"")</f>
        <v/>
      </c>
    </row>
    <row r="367">
      <c r="A367" s="26">
        <f>IF($B367="","",351)</f>
        <v/>
      </c>
      <c r="B367" s="26">
        <f>IF($P367="","",IF(INDEX(CalcNormDate,$P367)=0,"",INDEX(CalcNormDate,$P367)))</f>
        <v/>
      </c>
      <c r="C367" s="26">
        <f>IF($P367="","",IF(INDEX(CalcTime,$P367)=0,"",INDEX(CalcTime,$P367)))</f>
        <v/>
      </c>
      <c r="D367" s="26">
        <f>IF($P367="","",IF(INDEX(EntryParty,$P367)=0,"",INDEX(EntryParty,$P367)))</f>
        <v/>
      </c>
      <c r="E367" s="26">
        <f>IF($P367="","",IF(INDEX(EntryPartyName,$P367)=0,"",INDEX(EntryPartyName,$P367)))</f>
        <v/>
      </c>
      <c r="F367" s="26">
        <f>IF($P367="","",IF(INDEX(EntryPartyType,$P367)=0,"",INDEX(EntryPartyType,$P367)))</f>
        <v/>
      </c>
      <c r="G367" s="26">
        <f>IF($P367="","",IF(INDEX(EntryTxnType,$P367)=0,"",INDEX(EntryTxnType,$P367)))</f>
        <v/>
      </c>
      <c r="H367" s="27">
        <f>IF($P367="","",IF(INDEX(EntryDep,$P367)=0,"",INDEX(EntryDep,$P367)))</f>
        <v/>
      </c>
      <c r="I367" s="27">
        <f>IF($P367="","",IF(INDEX(EntryWit,$P367)=0,"",INDEX(EntryWit,$P367)))</f>
        <v/>
      </c>
      <c r="J367" s="27">
        <f>IF($B367="","",IF($A367=1,$C$7,IF(J366="",0,J366))+IF($H367="",0,$H367)-IF($I367="",0,$I367))</f>
        <v/>
      </c>
      <c r="K367" s="27">
        <f>IF($P367="","",IF(INDEX(EntryMan,$P367)=0,"",INDEX(EntryMan,$P367)))</f>
        <v/>
      </c>
      <c r="L367" s="26">
        <f>IF($B367="","",IF($K367="","—",IF(ROUND($K367-$J367,0)=0,"√","×")))</f>
        <v/>
      </c>
      <c r="M367" s="26">
        <f>IF($B367="","",IF(COUNTIFS(EntryDates,$B367,CalcTime,$C367,CalcBank,$C$5,EntryParty,$D367,EntryDep,$H367,EntryWit,$I367)&gt;1,"تکرار",""))</f>
        <v/>
      </c>
      <c r="N367" s="26">
        <f>IF($P367="","",IF(INDEX(EntryNotes,$P367)=0,"",INDEX(EntryNotes,$P367)))</f>
        <v/>
      </c>
      <c r="O367" s="26">
        <f>IF($P367="","",IF(INDEX(EntryTxnID,$P367)=0,"",INDEX(EntryTxnID,$P367)))</f>
        <v/>
      </c>
      <c r="P367" s="26">
        <f>IFERROR(MATCH($C$5&amp;"|"&amp;RIGHT("000000"&amp;351,6),CalcRankKey,0),"")</f>
        <v/>
      </c>
    </row>
    <row r="368">
      <c r="A368" s="28">
        <f>IF($B368="","",352)</f>
        <v/>
      </c>
      <c r="B368" s="28">
        <f>IF($P368="","",IF(INDEX(CalcNormDate,$P368)=0,"",INDEX(CalcNormDate,$P368)))</f>
        <v/>
      </c>
      <c r="C368" s="28">
        <f>IF($P368="","",IF(INDEX(CalcTime,$P368)=0,"",INDEX(CalcTime,$P368)))</f>
        <v/>
      </c>
      <c r="D368" s="28">
        <f>IF($P368="","",IF(INDEX(EntryParty,$P368)=0,"",INDEX(EntryParty,$P368)))</f>
        <v/>
      </c>
      <c r="E368" s="28">
        <f>IF($P368="","",IF(INDEX(EntryPartyName,$P368)=0,"",INDEX(EntryPartyName,$P368)))</f>
        <v/>
      </c>
      <c r="F368" s="28">
        <f>IF($P368="","",IF(INDEX(EntryPartyType,$P368)=0,"",INDEX(EntryPartyType,$P368)))</f>
        <v/>
      </c>
      <c r="G368" s="28">
        <f>IF($P368="","",IF(INDEX(EntryTxnType,$P368)=0,"",INDEX(EntryTxnType,$P368)))</f>
        <v/>
      </c>
      <c r="H368" s="29">
        <f>IF($P368="","",IF(INDEX(EntryDep,$P368)=0,"",INDEX(EntryDep,$P368)))</f>
        <v/>
      </c>
      <c r="I368" s="29">
        <f>IF($P368="","",IF(INDEX(EntryWit,$P368)=0,"",INDEX(EntryWit,$P368)))</f>
        <v/>
      </c>
      <c r="J368" s="29">
        <f>IF($B368="","",IF($A368=1,$C$7,IF(J367="",0,J367))+IF($H368="",0,$H368)-IF($I368="",0,$I368))</f>
        <v/>
      </c>
      <c r="K368" s="29">
        <f>IF($P368="","",IF(INDEX(EntryMan,$P368)=0,"",INDEX(EntryMan,$P368)))</f>
        <v/>
      </c>
      <c r="L368" s="28">
        <f>IF($B368="","",IF($K368="","—",IF(ROUND($K368-$J368,0)=0,"√","×")))</f>
        <v/>
      </c>
      <c r="M368" s="28">
        <f>IF($B368="","",IF(COUNTIFS(EntryDates,$B368,CalcTime,$C368,CalcBank,$C$5,EntryParty,$D368,EntryDep,$H368,EntryWit,$I368)&gt;1,"تکرار",""))</f>
        <v/>
      </c>
      <c r="N368" s="28">
        <f>IF($P368="","",IF(INDEX(EntryNotes,$P368)=0,"",INDEX(EntryNotes,$P368)))</f>
        <v/>
      </c>
      <c r="O368" s="28">
        <f>IF($P368="","",IF(INDEX(EntryTxnID,$P368)=0,"",INDEX(EntryTxnID,$P368)))</f>
        <v/>
      </c>
      <c r="P368" s="28">
        <f>IFERROR(MATCH($C$5&amp;"|"&amp;RIGHT("000000"&amp;352,6),CalcRankKey,0),"")</f>
        <v/>
      </c>
    </row>
    <row r="369">
      <c r="A369" s="26">
        <f>IF($B369="","",353)</f>
        <v/>
      </c>
      <c r="B369" s="26">
        <f>IF($P369="","",IF(INDEX(CalcNormDate,$P369)=0,"",INDEX(CalcNormDate,$P369)))</f>
        <v/>
      </c>
      <c r="C369" s="26">
        <f>IF($P369="","",IF(INDEX(CalcTime,$P369)=0,"",INDEX(CalcTime,$P369)))</f>
        <v/>
      </c>
      <c r="D369" s="26">
        <f>IF($P369="","",IF(INDEX(EntryParty,$P369)=0,"",INDEX(EntryParty,$P369)))</f>
        <v/>
      </c>
      <c r="E369" s="26">
        <f>IF($P369="","",IF(INDEX(EntryPartyName,$P369)=0,"",INDEX(EntryPartyName,$P369)))</f>
        <v/>
      </c>
      <c r="F369" s="26">
        <f>IF($P369="","",IF(INDEX(EntryPartyType,$P369)=0,"",INDEX(EntryPartyType,$P369)))</f>
        <v/>
      </c>
      <c r="G369" s="26">
        <f>IF($P369="","",IF(INDEX(EntryTxnType,$P369)=0,"",INDEX(EntryTxnType,$P369)))</f>
        <v/>
      </c>
      <c r="H369" s="27">
        <f>IF($P369="","",IF(INDEX(EntryDep,$P369)=0,"",INDEX(EntryDep,$P369)))</f>
        <v/>
      </c>
      <c r="I369" s="27">
        <f>IF($P369="","",IF(INDEX(EntryWit,$P369)=0,"",INDEX(EntryWit,$P369)))</f>
        <v/>
      </c>
      <c r="J369" s="27">
        <f>IF($B369="","",IF($A369=1,$C$7,IF(J368="",0,J368))+IF($H369="",0,$H369)-IF($I369="",0,$I369))</f>
        <v/>
      </c>
      <c r="K369" s="27">
        <f>IF($P369="","",IF(INDEX(EntryMan,$P369)=0,"",INDEX(EntryMan,$P369)))</f>
        <v/>
      </c>
      <c r="L369" s="26">
        <f>IF($B369="","",IF($K369="","—",IF(ROUND($K369-$J369,0)=0,"√","×")))</f>
        <v/>
      </c>
      <c r="M369" s="26">
        <f>IF($B369="","",IF(COUNTIFS(EntryDates,$B369,CalcTime,$C369,CalcBank,$C$5,EntryParty,$D369,EntryDep,$H369,EntryWit,$I369)&gt;1,"تکرار",""))</f>
        <v/>
      </c>
      <c r="N369" s="26">
        <f>IF($P369="","",IF(INDEX(EntryNotes,$P369)=0,"",INDEX(EntryNotes,$P369)))</f>
        <v/>
      </c>
      <c r="O369" s="26">
        <f>IF($P369="","",IF(INDEX(EntryTxnID,$P369)=0,"",INDEX(EntryTxnID,$P369)))</f>
        <v/>
      </c>
      <c r="P369" s="26">
        <f>IFERROR(MATCH($C$5&amp;"|"&amp;RIGHT("000000"&amp;353,6),CalcRankKey,0),"")</f>
        <v/>
      </c>
    </row>
    <row r="370">
      <c r="A370" s="28">
        <f>IF($B370="","",354)</f>
        <v/>
      </c>
      <c r="B370" s="28">
        <f>IF($P370="","",IF(INDEX(CalcNormDate,$P370)=0,"",INDEX(CalcNormDate,$P370)))</f>
        <v/>
      </c>
      <c r="C370" s="28">
        <f>IF($P370="","",IF(INDEX(CalcTime,$P370)=0,"",INDEX(CalcTime,$P370)))</f>
        <v/>
      </c>
      <c r="D370" s="28">
        <f>IF($P370="","",IF(INDEX(EntryParty,$P370)=0,"",INDEX(EntryParty,$P370)))</f>
        <v/>
      </c>
      <c r="E370" s="28">
        <f>IF($P370="","",IF(INDEX(EntryPartyName,$P370)=0,"",INDEX(EntryPartyName,$P370)))</f>
        <v/>
      </c>
      <c r="F370" s="28">
        <f>IF($P370="","",IF(INDEX(EntryPartyType,$P370)=0,"",INDEX(EntryPartyType,$P370)))</f>
        <v/>
      </c>
      <c r="G370" s="28">
        <f>IF($P370="","",IF(INDEX(EntryTxnType,$P370)=0,"",INDEX(EntryTxnType,$P370)))</f>
        <v/>
      </c>
      <c r="H370" s="29">
        <f>IF($P370="","",IF(INDEX(EntryDep,$P370)=0,"",INDEX(EntryDep,$P370)))</f>
        <v/>
      </c>
      <c r="I370" s="29">
        <f>IF($P370="","",IF(INDEX(EntryWit,$P370)=0,"",INDEX(EntryWit,$P370)))</f>
        <v/>
      </c>
      <c r="J370" s="29">
        <f>IF($B370="","",IF($A370=1,$C$7,IF(J369="",0,J369))+IF($H370="",0,$H370)-IF($I370="",0,$I370))</f>
        <v/>
      </c>
      <c r="K370" s="29">
        <f>IF($P370="","",IF(INDEX(EntryMan,$P370)=0,"",INDEX(EntryMan,$P370)))</f>
        <v/>
      </c>
      <c r="L370" s="28">
        <f>IF($B370="","",IF($K370="","—",IF(ROUND($K370-$J370,0)=0,"√","×")))</f>
        <v/>
      </c>
      <c r="M370" s="28">
        <f>IF($B370="","",IF(COUNTIFS(EntryDates,$B370,CalcTime,$C370,CalcBank,$C$5,EntryParty,$D370,EntryDep,$H370,EntryWit,$I370)&gt;1,"تکرار",""))</f>
        <v/>
      </c>
      <c r="N370" s="28">
        <f>IF($P370="","",IF(INDEX(EntryNotes,$P370)=0,"",INDEX(EntryNotes,$P370)))</f>
        <v/>
      </c>
      <c r="O370" s="28">
        <f>IF($P370="","",IF(INDEX(EntryTxnID,$P370)=0,"",INDEX(EntryTxnID,$P370)))</f>
        <v/>
      </c>
      <c r="P370" s="28">
        <f>IFERROR(MATCH($C$5&amp;"|"&amp;RIGHT("000000"&amp;354,6),CalcRankKey,0),"")</f>
        <v/>
      </c>
    </row>
    <row r="371">
      <c r="A371" s="26">
        <f>IF($B371="","",355)</f>
        <v/>
      </c>
      <c r="B371" s="26">
        <f>IF($P371="","",IF(INDEX(CalcNormDate,$P371)=0,"",INDEX(CalcNormDate,$P371)))</f>
        <v/>
      </c>
      <c r="C371" s="26">
        <f>IF($P371="","",IF(INDEX(CalcTime,$P371)=0,"",INDEX(CalcTime,$P371)))</f>
        <v/>
      </c>
      <c r="D371" s="26">
        <f>IF($P371="","",IF(INDEX(EntryParty,$P371)=0,"",INDEX(EntryParty,$P371)))</f>
        <v/>
      </c>
      <c r="E371" s="26">
        <f>IF($P371="","",IF(INDEX(EntryPartyName,$P371)=0,"",INDEX(EntryPartyName,$P371)))</f>
        <v/>
      </c>
      <c r="F371" s="26">
        <f>IF($P371="","",IF(INDEX(EntryPartyType,$P371)=0,"",INDEX(EntryPartyType,$P371)))</f>
        <v/>
      </c>
      <c r="G371" s="26">
        <f>IF($P371="","",IF(INDEX(EntryTxnType,$P371)=0,"",INDEX(EntryTxnType,$P371)))</f>
        <v/>
      </c>
      <c r="H371" s="27">
        <f>IF($P371="","",IF(INDEX(EntryDep,$P371)=0,"",INDEX(EntryDep,$P371)))</f>
        <v/>
      </c>
      <c r="I371" s="27">
        <f>IF($P371="","",IF(INDEX(EntryWit,$P371)=0,"",INDEX(EntryWit,$P371)))</f>
        <v/>
      </c>
      <c r="J371" s="27">
        <f>IF($B371="","",IF($A371=1,$C$7,IF(J370="",0,J370))+IF($H371="",0,$H371)-IF($I371="",0,$I371))</f>
        <v/>
      </c>
      <c r="K371" s="27">
        <f>IF($P371="","",IF(INDEX(EntryMan,$P371)=0,"",INDEX(EntryMan,$P371)))</f>
        <v/>
      </c>
      <c r="L371" s="26">
        <f>IF($B371="","",IF($K371="","—",IF(ROUND($K371-$J371,0)=0,"√","×")))</f>
        <v/>
      </c>
      <c r="M371" s="26">
        <f>IF($B371="","",IF(COUNTIFS(EntryDates,$B371,CalcTime,$C371,CalcBank,$C$5,EntryParty,$D371,EntryDep,$H371,EntryWit,$I371)&gt;1,"تکرار",""))</f>
        <v/>
      </c>
      <c r="N371" s="26">
        <f>IF($P371="","",IF(INDEX(EntryNotes,$P371)=0,"",INDEX(EntryNotes,$P371)))</f>
        <v/>
      </c>
      <c r="O371" s="26">
        <f>IF($P371="","",IF(INDEX(EntryTxnID,$P371)=0,"",INDEX(EntryTxnID,$P371)))</f>
        <v/>
      </c>
      <c r="P371" s="26">
        <f>IFERROR(MATCH($C$5&amp;"|"&amp;RIGHT("000000"&amp;355,6),CalcRankKey,0),"")</f>
        <v/>
      </c>
    </row>
    <row r="372">
      <c r="A372" s="28">
        <f>IF($B372="","",356)</f>
        <v/>
      </c>
      <c r="B372" s="28">
        <f>IF($P372="","",IF(INDEX(CalcNormDate,$P372)=0,"",INDEX(CalcNormDate,$P372)))</f>
        <v/>
      </c>
      <c r="C372" s="28">
        <f>IF($P372="","",IF(INDEX(CalcTime,$P372)=0,"",INDEX(CalcTime,$P372)))</f>
        <v/>
      </c>
      <c r="D372" s="28">
        <f>IF($P372="","",IF(INDEX(EntryParty,$P372)=0,"",INDEX(EntryParty,$P372)))</f>
        <v/>
      </c>
      <c r="E372" s="28">
        <f>IF($P372="","",IF(INDEX(EntryPartyName,$P372)=0,"",INDEX(EntryPartyName,$P372)))</f>
        <v/>
      </c>
      <c r="F372" s="28">
        <f>IF($P372="","",IF(INDEX(EntryPartyType,$P372)=0,"",INDEX(EntryPartyType,$P372)))</f>
        <v/>
      </c>
      <c r="G372" s="28">
        <f>IF($P372="","",IF(INDEX(EntryTxnType,$P372)=0,"",INDEX(EntryTxnType,$P372)))</f>
        <v/>
      </c>
      <c r="H372" s="29">
        <f>IF($P372="","",IF(INDEX(EntryDep,$P372)=0,"",INDEX(EntryDep,$P372)))</f>
        <v/>
      </c>
      <c r="I372" s="29">
        <f>IF($P372="","",IF(INDEX(EntryWit,$P372)=0,"",INDEX(EntryWit,$P372)))</f>
        <v/>
      </c>
      <c r="J372" s="29">
        <f>IF($B372="","",IF($A372=1,$C$7,IF(J371="",0,J371))+IF($H372="",0,$H372)-IF($I372="",0,$I372))</f>
        <v/>
      </c>
      <c r="K372" s="29">
        <f>IF($P372="","",IF(INDEX(EntryMan,$P372)=0,"",INDEX(EntryMan,$P372)))</f>
        <v/>
      </c>
      <c r="L372" s="28">
        <f>IF($B372="","",IF($K372="","—",IF(ROUND($K372-$J372,0)=0,"√","×")))</f>
        <v/>
      </c>
      <c r="M372" s="28">
        <f>IF($B372="","",IF(COUNTIFS(EntryDates,$B372,CalcTime,$C372,CalcBank,$C$5,EntryParty,$D372,EntryDep,$H372,EntryWit,$I372)&gt;1,"تکرار",""))</f>
        <v/>
      </c>
      <c r="N372" s="28">
        <f>IF($P372="","",IF(INDEX(EntryNotes,$P372)=0,"",INDEX(EntryNotes,$P372)))</f>
        <v/>
      </c>
      <c r="O372" s="28">
        <f>IF($P372="","",IF(INDEX(EntryTxnID,$P372)=0,"",INDEX(EntryTxnID,$P372)))</f>
        <v/>
      </c>
      <c r="P372" s="28">
        <f>IFERROR(MATCH($C$5&amp;"|"&amp;RIGHT("000000"&amp;356,6),CalcRankKey,0),"")</f>
        <v/>
      </c>
    </row>
    <row r="373">
      <c r="A373" s="26">
        <f>IF($B373="","",357)</f>
        <v/>
      </c>
      <c r="B373" s="26">
        <f>IF($P373="","",IF(INDEX(CalcNormDate,$P373)=0,"",INDEX(CalcNormDate,$P373)))</f>
        <v/>
      </c>
      <c r="C373" s="26">
        <f>IF($P373="","",IF(INDEX(CalcTime,$P373)=0,"",INDEX(CalcTime,$P373)))</f>
        <v/>
      </c>
      <c r="D373" s="26">
        <f>IF($P373="","",IF(INDEX(EntryParty,$P373)=0,"",INDEX(EntryParty,$P373)))</f>
        <v/>
      </c>
      <c r="E373" s="26">
        <f>IF($P373="","",IF(INDEX(EntryPartyName,$P373)=0,"",INDEX(EntryPartyName,$P373)))</f>
        <v/>
      </c>
      <c r="F373" s="26">
        <f>IF($P373="","",IF(INDEX(EntryPartyType,$P373)=0,"",INDEX(EntryPartyType,$P373)))</f>
        <v/>
      </c>
      <c r="G373" s="26">
        <f>IF($P373="","",IF(INDEX(EntryTxnType,$P373)=0,"",INDEX(EntryTxnType,$P373)))</f>
        <v/>
      </c>
      <c r="H373" s="27">
        <f>IF($P373="","",IF(INDEX(EntryDep,$P373)=0,"",INDEX(EntryDep,$P373)))</f>
        <v/>
      </c>
      <c r="I373" s="27">
        <f>IF($P373="","",IF(INDEX(EntryWit,$P373)=0,"",INDEX(EntryWit,$P373)))</f>
        <v/>
      </c>
      <c r="J373" s="27">
        <f>IF($B373="","",IF($A373=1,$C$7,IF(J372="",0,J372))+IF($H373="",0,$H373)-IF($I373="",0,$I373))</f>
        <v/>
      </c>
      <c r="K373" s="27">
        <f>IF($P373="","",IF(INDEX(EntryMan,$P373)=0,"",INDEX(EntryMan,$P373)))</f>
        <v/>
      </c>
      <c r="L373" s="26">
        <f>IF($B373="","",IF($K373="","—",IF(ROUND($K373-$J373,0)=0,"√","×")))</f>
        <v/>
      </c>
      <c r="M373" s="26">
        <f>IF($B373="","",IF(COUNTIFS(EntryDates,$B373,CalcTime,$C373,CalcBank,$C$5,EntryParty,$D373,EntryDep,$H373,EntryWit,$I373)&gt;1,"تکرار",""))</f>
        <v/>
      </c>
      <c r="N373" s="26">
        <f>IF($P373="","",IF(INDEX(EntryNotes,$P373)=0,"",INDEX(EntryNotes,$P373)))</f>
        <v/>
      </c>
      <c r="O373" s="26">
        <f>IF($P373="","",IF(INDEX(EntryTxnID,$P373)=0,"",INDEX(EntryTxnID,$P373)))</f>
        <v/>
      </c>
      <c r="P373" s="26">
        <f>IFERROR(MATCH($C$5&amp;"|"&amp;RIGHT("000000"&amp;357,6),CalcRankKey,0),"")</f>
        <v/>
      </c>
    </row>
    <row r="374">
      <c r="A374" s="28">
        <f>IF($B374="","",358)</f>
        <v/>
      </c>
      <c r="B374" s="28">
        <f>IF($P374="","",IF(INDEX(CalcNormDate,$P374)=0,"",INDEX(CalcNormDate,$P374)))</f>
        <v/>
      </c>
      <c r="C374" s="28">
        <f>IF($P374="","",IF(INDEX(CalcTime,$P374)=0,"",INDEX(CalcTime,$P374)))</f>
        <v/>
      </c>
      <c r="D374" s="28">
        <f>IF($P374="","",IF(INDEX(EntryParty,$P374)=0,"",INDEX(EntryParty,$P374)))</f>
        <v/>
      </c>
      <c r="E374" s="28">
        <f>IF($P374="","",IF(INDEX(EntryPartyName,$P374)=0,"",INDEX(EntryPartyName,$P374)))</f>
        <v/>
      </c>
      <c r="F374" s="28">
        <f>IF($P374="","",IF(INDEX(EntryPartyType,$P374)=0,"",INDEX(EntryPartyType,$P374)))</f>
        <v/>
      </c>
      <c r="G374" s="28">
        <f>IF($P374="","",IF(INDEX(EntryTxnType,$P374)=0,"",INDEX(EntryTxnType,$P374)))</f>
        <v/>
      </c>
      <c r="H374" s="29">
        <f>IF($P374="","",IF(INDEX(EntryDep,$P374)=0,"",INDEX(EntryDep,$P374)))</f>
        <v/>
      </c>
      <c r="I374" s="29">
        <f>IF($P374="","",IF(INDEX(EntryWit,$P374)=0,"",INDEX(EntryWit,$P374)))</f>
        <v/>
      </c>
      <c r="J374" s="29">
        <f>IF($B374="","",IF($A374=1,$C$7,IF(J373="",0,J373))+IF($H374="",0,$H374)-IF($I374="",0,$I374))</f>
        <v/>
      </c>
      <c r="K374" s="29">
        <f>IF($P374="","",IF(INDEX(EntryMan,$P374)=0,"",INDEX(EntryMan,$P374)))</f>
        <v/>
      </c>
      <c r="L374" s="28">
        <f>IF($B374="","",IF($K374="","—",IF(ROUND($K374-$J374,0)=0,"√","×")))</f>
        <v/>
      </c>
      <c r="M374" s="28">
        <f>IF($B374="","",IF(COUNTIFS(EntryDates,$B374,CalcTime,$C374,CalcBank,$C$5,EntryParty,$D374,EntryDep,$H374,EntryWit,$I374)&gt;1,"تکرار",""))</f>
        <v/>
      </c>
      <c r="N374" s="28">
        <f>IF($P374="","",IF(INDEX(EntryNotes,$P374)=0,"",INDEX(EntryNotes,$P374)))</f>
        <v/>
      </c>
      <c r="O374" s="28">
        <f>IF($P374="","",IF(INDEX(EntryTxnID,$P374)=0,"",INDEX(EntryTxnID,$P374)))</f>
        <v/>
      </c>
      <c r="P374" s="28">
        <f>IFERROR(MATCH($C$5&amp;"|"&amp;RIGHT("000000"&amp;358,6),CalcRankKey,0),"")</f>
        <v/>
      </c>
    </row>
    <row r="375">
      <c r="A375" s="26">
        <f>IF($B375="","",359)</f>
        <v/>
      </c>
      <c r="B375" s="26">
        <f>IF($P375="","",IF(INDEX(CalcNormDate,$P375)=0,"",INDEX(CalcNormDate,$P375)))</f>
        <v/>
      </c>
      <c r="C375" s="26">
        <f>IF($P375="","",IF(INDEX(CalcTime,$P375)=0,"",INDEX(CalcTime,$P375)))</f>
        <v/>
      </c>
      <c r="D375" s="26">
        <f>IF($P375="","",IF(INDEX(EntryParty,$P375)=0,"",INDEX(EntryParty,$P375)))</f>
        <v/>
      </c>
      <c r="E375" s="26">
        <f>IF($P375="","",IF(INDEX(EntryPartyName,$P375)=0,"",INDEX(EntryPartyName,$P375)))</f>
        <v/>
      </c>
      <c r="F375" s="26">
        <f>IF($P375="","",IF(INDEX(EntryPartyType,$P375)=0,"",INDEX(EntryPartyType,$P375)))</f>
        <v/>
      </c>
      <c r="G375" s="26">
        <f>IF($P375="","",IF(INDEX(EntryTxnType,$P375)=0,"",INDEX(EntryTxnType,$P375)))</f>
        <v/>
      </c>
      <c r="H375" s="27">
        <f>IF($P375="","",IF(INDEX(EntryDep,$P375)=0,"",INDEX(EntryDep,$P375)))</f>
        <v/>
      </c>
      <c r="I375" s="27">
        <f>IF($P375="","",IF(INDEX(EntryWit,$P375)=0,"",INDEX(EntryWit,$P375)))</f>
        <v/>
      </c>
      <c r="J375" s="27">
        <f>IF($B375="","",IF($A375=1,$C$7,IF(J374="",0,J374))+IF($H375="",0,$H375)-IF($I375="",0,$I375))</f>
        <v/>
      </c>
      <c r="K375" s="27">
        <f>IF($P375="","",IF(INDEX(EntryMan,$P375)=0,"",INDEX(EntryMan,$P375)))</f>
        <v/>
      </c>
      <c r="L375" s="26">
        <f>IF($B375="","",IF($K375="","—",IF(ROUND($K375-$J375,0)=0,"√","×")))</f>
        <v/>
      </c>
      <c r="M375" s="26">
        <f>IF($B375="","",IF(COUNTIFS(EntryDates,$B375,CalcTime,$C375,CalcBank,$C$5,EntryParty,$D375,EntryDep,$H375,EntryWit,$I375)&gt;1,"تکرار",""))</f>
        <v/>
      </c>
      <c r="N375" s="26">
        <f>IF($P375="","",IF(INDEX(EntryNotes,$P375)=0,"",INDEX(EntryNotes,$P375)))</f>
        <v/>
      </c>
      <c r="O375" s="26">
        <f>IF($P375="","",IF(INDEX(EntryTxnID,$P375)=0,"",INDEX(EntryTxnID,$P375)))</f>
        <v/>
      </c>
      <c r="P375" s="26">
        <f>IFERROR(MATCH($C$5&amp;"|"&amp;RIGHT("000000"&amp;359,6),CalcRankKey,0),"")</f>
        <v/>
      </c>
    </row>
    <row r="376">
      <c r="A376" s="28">
        <f>IF($B376="","",360)</f>
        <v/>
      </c>
      <c r="B376" s="28">
        <f>IF($P376="","",IF(INDEX(CalcNormDate,$P376)=0,"",INDEX(CalcNormDate,$P376)))</f>
        <v/>
      </c>
      <c r="C376" s="28">
        <f>IF($P376="","",IF(INDEX(CalcTime,$P376)=0,"",INDEX(CalcTime,$P376)))</f>
        <v/>
      </c>
      <c r="D376" s="28">
        <f>IF($P376="","",IF(INDEX(EntryParty,$P376)=0,"",INDEX(EntryParty,$P376)))</f>
        <v/>
      </c>
      <c r="E376" s="28">
        <f>IF($P376="","",IF(INDEX(EntryPartyName,$P376)=0,"",INDEX(EntryPartyName,$P376)))</f>
        <v/>
      </c>
      <c r="F376" s="28">
        <f>IF($P376="","",IF(INDEX(EntryPartyType,$P376)=0,"",INDEX(EntryPartyType,$P376)))</f>
        <v/>
      </c>
      <c r="G376" s="28">
        <f>IF($P376="","",IF(INDEX(EntryTxnType,$P376)=0,"",INDEX(EntryTxnType,$P376)))</f>
        <v/>
      </c>
      <c r="H376" s="29">
        <f>IF($P376="","",IF(INDEX(EntryDep,$P376)=0,"",INDEX(EntryDep,$P376)))</f>
        <v/>
      </c>
      <c r="I376" s="29">
        <f>IF($P376="","",IF(INDEX(EntryWit,$P376)=0,"",INDEX(EntryWit,$P376)))</f>
        <v/>
      </c>
      <c r="J376" s="29">
        <f>IF($B376="","",IF($A376=1,$C$7,IF(J375="",0,J375))+IF($H376="",0,$H376)-IF($I376="",0,$I376))</f>
        <v/>
      </c>
      <c r="K376" s="29">
        <f>IF($P376="","",IF(INDEX(EntryMan,$P376)=0,"",INDEX(EntryMan,$P376)))</f>
        <v/>
      </c>
      <c r="L376" s="28">
        <f>IF($B376="","",IF($K376="","—",IF(ROUND($K376-$J376,0)=0,"√","×")))</f>
        <v/>
      </c>
      <c r="M376" s="28">
        <f>IF($B376="","",IF(COUNTIFS(EntryDates,$B376,CalcTime,$C376,CalcBank,$C$5,EntryParty,$D376,EntryDep,$H376,EntryWit,$I376)&gt;1,"تکرار",""))</f>
        <v/>
      </c>
      <c r="N376" s="28">
        <f>IF($P376="","",IF(INDEX(EntryNotes,$P376)=0,"",INDEX(EntryNotes,$P376)))</f>
        <v/>
      </c>
      <c r="O376" s="28">
        <f>IF($P376="","",IF(INDEX(EntryTxnID,$P376)=0,"",INDEX(EntryTxnID,$P376)))</f>
        <v/>
      </c>
      <c r="P376" s="28">
        <f>IFERROR(MATCH($C$5&amp;"|"&amp;RIGHT("000000"&amp;360,6),CalcRankKey,0),"")</f>
        <v/>
      </c>
    </row>
    <row r="377">
      <c r="A377" s="26">
        <f>IF($B377="","",361)</f>
        <v/>
      </c>
      <c r="B377" s="26">
        <f>IF($P377="","",IF(INDEX(CalcNormDate,$P377)=0,"",INDEX(CalcNormDate,$P377)))</f>
        <v/>
      </c>
      <c r="C377" s="26">
        <f>IF($P377="","",IF(INDEX(CalcTime,$P377)=0,"",INDEX(CalcTime,$P377)))</f>
        <v/>
      </c>
      <c r="D377" s="26">
        <f>IF($P377="","",IF(INDEX(EntryParty,$P377)=0,"",INDEX(EntryParty,$P377)))</f>
        <v/>
      </c>
      <c r="E377" s="26">
        <f>IF($P377="","",IF(INDEX(EntryPartyName,$P377)=0,"",INDEX(EntryPartyName,$P377)))</f>
        <v/>
      </c>
      <c r="F377" s="26">
        <f>IF($P377="","",IF(INDEX(EntryPartyType,$P377)=0,"",INDEX(EntryPartyType,$P377)))</f>
        <v/>
      </c>
      <c r="G377" s="26">
        <f>IF($P377="","",IF(INDEX(EntryTxnType,$P377)=0,"",INDEX(EntryTxnType,$P377)))</f>
        <v/>
      </c>
      <c r="H377" s="27">
        <f>IF($P377="","",IF(INDEX(EntryDep,$P377)=0,"",INDEX(EntryDep,$P377)))</f>
        <v/>
      </c>
      <c r="I377" s="27">
        <f>IF($P377="","",IF(INDEX(EntryWit,$P377)=0,"",INDEX(EntryWit,$P377)))</f>
        <v/>
      </c>
      <c r="J377" s="27">
        <f>IF($B377="","",IF($A377=1,$C$7,IF(J376="",0,J376))+IF($H377="",0,$H377)-IF($I377="",0,$I377))</f>
        <v/>
      </c>
      <c r="K377" s="27">
        <f>IF($P377="","",IF(INDEX(EntryMan,$P377)=0,"",INDEX(EntryMan,$P377)))</f>
        <v/>
      </c>
      <c r="L377" s="26">
        <f>IF($B377="","",IF($K377="","—",IF(ROUND($K377-$J377,0)=0,"√","×")))</f>
        <v/>
      </c>
      <c r="M377" s="26">
        <f>IF($B377="","",IF(COUNTIFS(EntryDates,$B377,CalcTime,$C377,CalcBank,$C$5,EntryParty,$D377,EntryDep,$H377,EntryWit,$I377)&gt;1,"تکرار",""))</f>
        <v/>
      </c>
      <c r="N377" s="26">
        <f>IF($P377="","",IF(INDEX(EntryNotes,$P377)=0,"",INDEX(EntryNotes,$P377)))</f>
        <v/>
      </c>
      <c r="O377" s="26">
        <f>IF($P377="","",IF(INDEX(EntryTxnID,$P377)=0,"",INDEX(EntryTxnID,$P377)))</f>
        <v/>
      </c>
      <c r="P377" s="26">
        <f>IFERROR(MATCH($C$5&amp;"|"&amp;RIGHT("000000"&amp;361,6),CalcRankKey,0),"")</f>
        <v/>
      </c>
    </row>
    <row r="378">
      <c r="A378" s="28">
        <f>IF($B378="","",362)</f>
        <v/>
      </c>
      <c r="B378" s="28">
        <f>IF($P378="","",IF(INDEX(CalcNormDate,$P378)=0,"",INDEX(CalcNormDate,$P378)))</f>
        <v/>
      </c>
      <c r="C378" s="28">
        <f>IF($P378="","",IF(INDEX(CalcTime,$P378)=0,"",INDEX(CalcTime,$P378)))</f>
        <v/>
      </c>
      <c r="D378" s="28">
        <f>IF($P378="","",IF(INDEX(EntryParty,$P378)=0,"",INDEX(EntryParty,$P378)))</f>
        <v/>
      </c>
      <c r="E378" s="28">
        <f>IF($P378="","",IF(INDEX(EntryPartyName,$P378)=0,"",INDEX(EntryPartyName,$P378)))</f>
        <v/>
      </c>
      <c r="F378" s="28">
        <f>IF($P378="","",IF(INDEX(EntryPartyType,$P378)=0,"",INDEX(EntryPartyType,$P378)))</f>
        <v/>
      </c>
      <c r="G378" s="28">
        <f>IF($P378="","",IF(INDEX(EntryTxnType,$P378)=0,"",INDEX(EntryTxnType,$P378)))</f>
        <v/>
      </c>
      <c r="H378" s="29">
        <f>IF($P378="","",IF(INDEX(EntryDep,$P378)=0,"",INDEX(EntryDep,$P378)))</f>
        <v/>
      </c>
      <c r="I378" s="29">
        <f>IF($P378="","",IF(INDEX(EntryWit,$P378)=0,"",INDEX(EntryWit,$P378)))</f>
        <v/>
      </c>
      <c r="J378" s="29">
        <f>IF($B378="","",IF($A378=1,$C$7,IF(J377="",0,J377))+IF($H378="",0,$H378)-IF($I378="",0,$I378))</f>
        <v/>
      </c>
      <c r="K378" s="29">
        <f>IF($P378="","",IF(INDEX(EntryMan,$P378)=0,"",INDEX(EntryMan,$P378)))</f>
        <v/>
      </c>
      <c r="L378" s="28">
        <f>IF($B378="","",IF($K378="","—",IF(ROUND($K378-$J378,0)=0,"√","×")))</f>
        <v/>
      </c>
      <c r="M378" s="28">
        <f>IF($B378="","",IF(COUNTIFS(EntryDates,$B378,CalcTime,$C378,CalcBank,$C$5,EntryParty,$D378,EntryDep,$H378,EntryWit,$I378)&gt;1,"تکرار",""))</f>
        <v/>
      </c>
      <c r="N378" s="28">
        <f>IF($P378="","",IF(INDEX(EntryNotes,$P378)=0,"",INDEX(EntryNotes,$P378)))</f>
        <v/>
      </c>
      <c r="O378" s="28">
        <f>IF($P378="","",IF(INDEX(EntryTxnID,$P378)=0,"",INDEX(EntryTxnID,$P378)))</f>
        <v/>
      </c>
      <c r="P378" s="28">
        <f>IFERROR(MATCH($C$5&amp;"|"&amp;RIGHT("000000"&amp;362,6),CalcRankKey,0),"")</f>
        <v/>
      </c>
    </row>
    <row r="379">
      <c r="A379" s="26">
        <f>IF($B379="","",363)</f>
        <v/>
      </c>
      <c r="B379" s="26">
        <f>IF($P379="","",IF(INDEX(CalcNormDate,$P379)=0,"",INDEX(CalcNormDate,$P379)))</f>
        <v/>
      </c>
      <c r="C379" s="26">
        <f>IF($P379="","",IF(INDEX(CalcTime,$P379)=0,"",INDEX(CalcTime,$P379)))</f>
        <v/>
      </c>
      <c r="D379" s="26">
        <f>IF($P379="","",IF(INDEX(EntryParty,$P379)=0,"",INDEX(EntryParty,$P379)))</f>
        <v/>
      </c>
      <c r="E379" s="26">
        <f>IF($P379="","",IF(INDEX(EntryPartyName,$P379)=0,"",INDEX(EntryPartyName,$P379)))</f>
        <v/>
      </c>
      <c r="F379" s="26">
        <f>IF($P379="","",IF(INDEX(EntryPartyType,$P379)=0,"",INDEX(EntryPartyType,$P379)))</f>
        <v/>
      </c>
      <c r="G379" s="26">
        <f>IF($P379="","",IF(INDEX(EntryTxnType,$P379)=0,"",INDEX(EntryTxnType,$P379)))</f>
        <v/>
      </c>
      <c r="H379" s="27">
        <f>IF($P379="","",IF(INDEX(EntryDep,$P379)=0,"",INDEX(EntryDep,$P379)))</f>
        <v/>
      </c>
      <c r="I379" s="27">
        <f>IF($P379="","",IF(INDEX(EntryWit,$P379)=0,"",INDEX(EntryWit,$P379)))</f>
        <v/>
      </c>
      <c r="J379" s="27">
        <f>IF($B379="","",IF($A379=1,$C$7,IF(J378="",0,J378))+IF($H379="",0,$H379)-IF($I379="",0,$I379))</f>
        <v/>
      </c>
      <c r="K379" s="27">
        <f>IF($P379="","",IF(INDEX(EntryMan,$P379)=0,"",INDEX(EntryMan,$P379)))</f>
        <v/>
      </c>
      <c r="L379" s="26">
        <f>IF($B379="","",IF($K379="","—",IF(ROUND($K379-$J379,0)=0,"√","×")))</f>
        <v/>
      </c>
      <c r="M379" s="26">
        <f>IF($B379="","",IF(COUNTIFS(EntryDates,$B379,CalcTime,$C379,CalcBank,$C$5,EntryParty,$D379,EntryDep,$H379,EntryWit,$I379)&gt;1,"تکرار",""))</f>
        <v/>
      </c>
      <c r="N379" s="26">
        <f>IF($P379="","",IF(INDEX(EntryNotes,$P379)=0,"",INDEX(EntryNotes,$P379)))</f>
        <v/>
      </c>
      <c r="O379" s="26">
        <f>IF($P379="","",IF(INDEX(EntryTxnID,$P379)=0,"",INDEX(EntryTxnID,$P379)))</f>
        <v/>
      </c>
      <c r="P379" s="26">
        <f>IFERROR(MATCH($C$5&amp;"|"&amp;RIGHT("000000"&amp;363,6),CalcRankKey,0),"")</f>
        <v/>
      </c>
    </row>
    <row r="380">
      <c r="A380" s="28">
        <f>IF($B380="","",364)</f>
        <v/>
      </c>
      <c r="B380" s="28">
        <f>IF($P380="","",IF(INDEX(CalcNormDate,$P380)=0,"",INDEX(CalcNormDate,$P380)))</f>
        <v/>
      </c>
      <c r="C380" s="28">
        <f>IF($P380="","",IF(INDEX(CalcTime,$P380)=0,"",INDEX(CalcTime,$P380)))</f>
        <v/>
      </c>
      <c r="D380" s="28">
        <f>IF($P380="","",IF(INDEX(EntryParty,$P380)=0,"",INDEX(EntryParty,$P380)))</f>
        <v/>
      </c>
      <c r="E380" s="28">
        <f>IF($P380="","",IF(INDEX(EntryPartyName,$P380)=0,"",INDEX(EntryPartyName,$P380)))</f>
        <v/>
      </c>
      <c r="F380" s="28">
        <f>IF($P380="","",IF(INDEX(EntryPartyType,$P380)=0,"",INDEX(EntryPartyType,$P380)))</f>
        <v/>
      </c>
      <c r="G380" s="28">
        <f>IF($P380="","",IF(INDEX(EntryTxnType,$P380)=0,"",INDEX(EntryTxnType,$P380)))</f>
        <v/>
      </c>
      <c r="H380" s="29">
        <f>IF($P380="","",IF(INDEX(EntryDep,$P380)=0,"",INDEX(EntryDep,$P380)))</f>
        <v/>
      </c>
      <c r="I380" s="29">
        <f>IF($P380="","",IF(INDEX(EntryWit,$P380)=0,"",INDEX(EntryWit,$P380)))</f>
        <v/>
      </c>
      <c r="J380" s="29">
        <f>IF($B380="","",IF($A380=1,$C$7,IF(J379="",0,J379))+IF($H380="",0,$H380)-IF($I380="",0,$I380))</f>
        <v/>
      </c>
      <c r="K380" s="29">
        <f>IF($P380="","",IF(INDEX(EntryMan,$P380)=0,"",INDEX(EntryMan,$P380)))</f>
        <v/>
      </c>
      <c r="L380" s="28">
        <f>IF($B380="","",IF($K380="","—",IF(ROUND($K380-$J380,0)=0,"√","×")))</f>
        <v/>
      </c>
      <c r="M380" s="28">
        <f>IF($B380="","",IF(COUNTIFS(EntryDates,$B380,CalcTime,$C380,CalcBank,$C$5,EntryParty,$D380,EntryDep,$H380,EntryWit,$I380)&gt;1,"تکرار",""))</f>
        <v/>
      </c>
      <c r="N380" s="28">
        <f>IF($P380="","",IF(INDEX(EntryNotes,$P380)=0,"",INDEX(EntryNotes,$P380)))</f>
        <v/>
      </c>
      <c r="O380" s="28">
        <f>IF($P380="","",IF(INDEX(EntryTxnID,$P380)=0,"",INDEX(EntryTxnID,$P380)))</f>
        <v/>
      </c>
      <c r="P380" s="28">
        <f>IFERROR(MATCH($C$5&amp;"|"&amp;RIGHT("000000"&amp;364,6),CalcRankKey,0),"")</f>
        <v/>
      </c>
    </row>
    <row r="381">
      <c r="A381" s="26">
        <f>IF($B381="","",365)</f>
        <v/>
      </c>
      <c r="B381" s="26">
        <f>IF($P381="","",IF(INDEX(CalcNormDate,$P381)=0,"",INDEX(CalcNormDate,$P381)))</f>
        <v/>
      </c>
      <c r="C381" s="26">
        <f>IF($P381="","",IF(INDEX(CalcTime,$P381)=0,"",INDEX(CalcTime,$P381)))</f>
        <v/>
      </c>
      <c r="D381" s="26">
        <f>IF($P381="","",IF(INDEX(EntryParty,$P381)=0,"",INDEX(EntryParty,$P381)))</f>
        <v/>
      </c>
      <c r="E381" s="26">
        <f>IF($P381="","",IF(INDEX(EntryPartyName,$P381)=0,"",INDEX(EntryPartyName,$P381)))</f>
        <v/>
      </c>
      <c r="F381" s="26">
        <f>IF($P381="","",IF(INDEX(EntryPartyType,$P381)=0,"",INDEX(EntryPartyType,$P381)))</f>
        <v/>
      </c>
      <c r="G381" s="26">
        <f>IF($P381="","",IF(INDEX(EntryTxnType,$P381)=0,"",INDEX(EntryTxnType,$P381)))</f>
        <v/>
      </c>
      <c r="H381" s="27">
        <f>IF($P381="","",IF(INDEX(EntryDep,$P381)=0,"",INDEX(EntryDep,$P381)))</f>
        <v/>
      </c>
      <c r="I381" s="27">
        <f>IF($P381="","",IF(INDEX(EntryWit,$P381)=0,"",INDEX(EntryWit,$P381)))</f>
        <v/>
      </c>
      <c r="J381" s="27">
        <f>IF($B381="","",IF($A381=1,$C$7,IF(J380="",0,J380))+IF($H381="",0,$H381)-IF($I381="",0,$I381))</f>
        <v/>
      </c>
      <c r="K381" s="27">
        <f>IF($P381="","",IF(INDEX(EntryMan,$P381)=0,"",INDEX(EntryMan,$P381)))</f>
        <v/>
      </c>
      <c r="L381" s="26">
        <f>IF($B381="","",IF($K381="","—",IF(ROUND($K381-$J381,0)=0,"√","×")))</f>
        <v/>
      </c>
      <c r="M381" s="26">
        <f>IF($B381="","",IF(COUNTIFS(EntryDates,$B381,CalcTime,$C381,CalcBank,$C$5,EntryParty,$D381,EntryDep,$H381,EntryWit,$I381)&gt;1,"تکرار",""))</f>
        <v/>
      </c>
      <c r="N381" s="26">
        <f>IF($P381="","",IF(INDEX(EntryNotes,$P381)=0,"",INDEX(EntryNotes,$P381)))</f>
        <v/>
      </c>
      <c r="O381" s="26">
        <f>IF($P381="","",IF(INDEX(EntryTxnID,$P381)=0,"",INDEX(EntryTxnID,$P381)))</f>
        <v/>
      </c>
      <c r="P381" s="26">
        <f>IFERROR(MATCH($C$5&amp;"|"&amp;RIGHT("000000"&amp;365,6),CalcRankKey,0),"")</f>
        <v/>
      </c>
    </row>
    <row r="382">
      <c r="A382" s="28">
        <f>IF($B382="","",366)</f>
        <v/>
      </c>
      <c r="B382" s="28">
        <f>IF($P382="","",IF(INDEX(CalcNormDate,$P382)=0,"",INDEX(CalcNormDate,$P382)))</f>
        <v/>
      </c>
      <c r="C382" s="28">
        <f>IF($P382="","",IF(INDEX(CalcTime,$P382)=0,"",INDEX(CalcTime,$P382)))</f>
        <v/>
      </c>
      <c r="D382" s="28">
        <f>IF($P382="","",IF(INDEX(EntryParty,$P382)=0,"",INDEX(EntryParty,$P382)))</f>
        <v/>
      </c>
      <c r="E382" s="28">
        <f>IF($P382="","",IF(INDEX(EntryPartyName,$P382)=0,"",INDEX(EntryPartyName,$P382)))</f>
        <v/>
      </c>
      <c r="F382" s="28">
        <f>IF($P382="","",IF(INDEX(EntryPartyType,$P382)=0,"",INDEX(EntryPartyType,$P382)))</f>
        <v/>
      </c>
      <c r="G382" s="28">
        <f>IF($P382="","",IF(INDEX(EntryTxnType,$P382)=0,"",INDEX(EntryTxnType,$P382)))</f>
        <v/>
      </c>
      <c r="H382" s="29">
        <f>IF($P382="","",IF(INDEX(EntryDep,$P382)=0,"",INDEX(EntryDep,$P382)))</f>
        <v/>
      </c>
      <c r="I382" s="29">
        <f>IF($P382="","",IF(INDEX(EntryWit,$P382)=0,"",INDEX(EntryWit,$P382)))</f>
        <v/>
      </c>
      <c r="J382" s="29">
        <f>IF($B382="","",IF($A382=1,$C$7,IF(J381="",0,J381))+IF($H382="",0,$H382)-IF($I382="",0,$I382))</f>
        <v/>
      </c>
      <c r="K382" s="29">
        <f>IF($P382="","",IF(INDEX(EntryMan,$P382)=0,"",INDEX(EntryMan,$P382)))</f>
        <v/>
      </c>
      <c r="L382" s="28">
        <f>IF($B382="","",IF($K382="","—",IF(ROUND($K382-$J382,0)=0,"√","×")))</f>
        <v/>
      </c>
      <c r="M382" s="28">
        <f>IF($B382="","",IF(COUNTIFS(EntryDates,$B382,CalcTime,$C382,CalcBank,$C$5,EntryParty,$D382,EntryDep,$H382,EntryWit,$I382)&gt;1,"تکرار",""))</f>
        <v/>
      </c>
      <c r="N382" s="28">
        <f>IF($P382="","",IF(INDEX(EntryNotes,$P382)=0,"",INDEX(EntryNotes,$P382)))</f>
        <v/>
      </c>
      <c r="O382" s="28">
        <f>IF($P382="","",IF(INDEX(EntryTxnID,$P382)=0,"",INDEX(EntryTxnID,$P382)))</f>
        <v/>
      </c>
      <c r="P382" s="28">
        <f>IFERROR(MATCH($C$5&amp;"|"&amp;RIGHT("000000"&amp;366,6),CalcRankKey,0),"")</f>
        <v/>
      </c>
    </row>
    <row r="383">
      <c r="A383" s="26">
        <f>IF($B383="","",367)</f>
        <v/>
      </c>
      <c r="B383" s="26">
        <f>IF($P383="","",IF(INDEX(CalcNormDate,$P383)=0,"",INDEX(CalcNormDate,$P383)))</f>
        <v/>
      </c>
      <c r="C383" s="26">
        <f>IF($P383="","",IF(INDEX(CalcTime,$P383)=0,"",INDEX(CalcTime,$P383)))</f>
        <v/>
      </c>
      <c r="D383" s="26">
        <f>IF($P383="","",IF(INDEX(EntryParty,$P383)=0,"",INDEX(EntryParty,$P383)))</f>
        <v/>
      </c>
      <c r="E383" s="26">
        <f>IF($P383="","",IF(INDEX(EntryPartyName,$P383)=0,"",INDEX(EntryPartyName,$P383)))</f>
        <v/>
      </c>
      <c r="F383" s="26">
        <f>IF($P383="","",IF(INDEX(EntryPartyType,$P383)=0,"",INDEX(EntryPartyType,$P383)))</f>
        <v/>
      </c>
      <c r="G383" s="26">
        <f>IF($P383="","",IF(INDEX(EntryTxnType,$P383)=0,"",INDEX(EntryTxnType,$P383)))</f>
        <v/>
      </c>
      <c r="H383" s="27">
        <f>IF($P383="","",IF(INDEX(EntryDep,$P383)=0,"",INDEX(EntryDep,$P383)))</f>
        <v/>
      </c>
      <c r="I383" s="27">
        <f>IF($P383="","",IF(INDEX(EntryWit,$P383)=0,"",INDEX(EntryWit,$P383)))</f>
        <v/>
      </c>
      <c r="J383" s="27">
        <f>IF($B383="","",IF($A383=1,$C$7,IF(J382="",0,J382))+IF($H383="",0,$H383)-IF($I383="",0,$I383))</f>
        <v/>
      </c>
      <c r="K383" s="27">
        <f>IF($P383="","",IF(INDEX(EntryMan,$P383)=0,"",INDEX(EntryMan,$P383)))</f>
        <v/>
      </c>
      <c r="L383" s="26">
        <f>IF($B383="","",IF($K383="","—",IF(ROUND($K383-$J383,0)=0,"√","×")))</f>
        <v/>
      </c>
      <c r="M383" s="26">
        <f>IF($B383="","",IF(COUNTIFS(EntryDates,$B383,CalcTime,$C383,CalcBank,$C$5,EntryParty,$D383,EntryDep,$H383,EntryWit,$I383)&gt;1,"تکرار",""))</f>
        <v/>
      </c>
      <c r="N383" s="26">
        <f>IF($P383="","",IF(INDEX(EntryNotes,$P383)=0,"",INDEX(EntryNotes,$P383)))</f>
        <v/>
      </c>
      <c r="O383" s="26">
        <f>IF($P383="","",IF(INDEX(EntryTxnID,$P383)=0,"",INDEX(EntryTxnID,$P383)))</f>
        <v/>
      </c>
      <c r="P383" s="26">
        <f>IFERROR(MATCH($C$5&amp;"|"&amp;RIGHT("000000"&amp;367,6),CalcRankKey,0),"")</f>
        <v/>
      </c>
    </row>
    <row r="384">
      <c r="A384" s="28">
        <f>IF($B384="","",368)</f>
        <v/>
      </c>
      <c r="B384" s="28">
        <f>IF($P384="","",IF(INDEX(CalcNormDate,$P384)=0,"",INDEX(CalcNormDate,$P384)))</f>
        <v/>
      </c>
      <c r="C384" s="28">
        <f>IF($P384="","",IF(INDEX(CalcTime,$P384)=0,"",INDEX(CalcTime,$P384)))</f>
        <v/>
      </c>
      <c r="D384" s="28">
        <f>IF($P384="","",IF(INDEX(EntryParty,$P384)=0,"",INDEX(EntryParty,$P384)))</f>
        <v/>
      </c>
      <c r="E384" s="28">
        <f>IF($P384="","",IF(INDEX(EntryPartyName,$P384)=0,"",INDEX(EntryPartyName,$P384)))</f>
        <v/>
      </c>
      <c r="F384" s="28">
        <f>IF($P384="","",IF(INDEX(EntryPartyType,$P384)=0,"",INDEX(EntryPartyType,$P384)))</f>
        <v/>
      </c>
      <c r="G384" s="28">
        <f>IF($P384="","",IF(INDEX(EntryTxnType,$P384)=0,"",INDEX(EntryTxnType,$P384)))</f>
        <v/>
      </c>
      <c r="H384" s="29">
        <f>IF($P384="","",IF(INDEX(EntryDep,$P384)=0,"",INDEX(EntryDep,$P384)))</f>
        <v/>
      </c>
      <c r="I384" s="29">
        <f>IF($P384="","",IF(INDEX(EntryWit,$P384)=0,"",INDEX(EntryWit,$P384)))</f>
        <v/>
      </c>
      <c r="J384" s="29">
        <f>IF($B384="","",IF($A384=1,$C$7,IF(J383="",0,J383))+IF($H384="",0,$H384)-IF($I384="",0,$I384))</f>
        <v/>
      </c>
      <c r="K384" s="29">
        <f>IF($P384="","",IF(INDEX(EntryMan,$P384)=0,"",INDEX(EntryMan,$P384)))</f>
        <v/>
      </c>
      <c r="L384" s="28">
        <f>IF($B384="","",IF($K384="","—",IF(ROUND($K384-$J384,0)=0,"√","×")))</f>
        <v/>
      </c>
      <c r="M384" s="28">
        <f>IF($B384="","",IF(COUNTIFS(EntryDates,$B384,CalcTime,$C384,CalcBank,$C$5,EntryParty,$D384,EntryDep,$H384,EntryWit,$I384)&gt;1,"تکرار",""))</f>
        <v/>
      </c>
      <c r="N384" s="28">
        <f>IF($P384="","",IF(INDEX(EntryNotes,$P384)=0,"",INDEX(EntryNotes,$P384)))</f>
        <v/>
      </c>
      <c r="O384" s="28">
        <f>IF($P384="","",IF(INDEX(EntryTxnID,$P384)=0,"",INDEX(EntryTxnID,$P384)))</f>
        <v/>
      </c>
      <c r="P384" s="28">
        <f>IFERROR(MATCH($C$5&amp;"|"&amp;RIGHT("000000"&amp;368,6),CalcRankKey,0),"")</f>
        <v/>
      </c>
    </row>
    <row r="385">
      <c r="A385" s="26">
        <f>IF($B385="","",369)</f>
        <v/>
      </c>
      <c r="B385" s="26">
        <f>IF($P385="","",IF(INDEX(CalcNormDate,$P385)=0,"",INDEX(CalcNormDate,$P385)))</f>
        <v/>
      </c>
      <c r="C385" s="26">
        <f>IF($P385="","",IF(INDEX(CalcTime,$P385)=0,"",INDEX(CalcTime,$P385)))</f>
        <v/>
      </c>
      <c r="D385" s="26">
        <f>IF($P385="","",IF(INDEX(EntryParty,$P385)=0,"",INDEX(EntryParty,$P385)))</f>
        <v/>
      </c>
      <c r="E385" s="26">
        <f>IF($P385="","",IF(INDEX(EntryPartyName,$P385)=0,"",INDEX(EntryPartyName,$P385)))</f>
        <v/>
      </c>
      <c r="F385" s="26">
        <f>IF($P385="","",IF(INDEX(EntryPartyType,$P385)=0,"",INDEX(EntryPartyType,$P385)))</f>
        <v/>
      </c>
      <c r="G385" s="26">
        <f>IF($P385="","",IF(INDEX(EntryTxnType,$P385)=0,"",INDEX(EntryTxnType,$P385)))</f>
        <v/>
      </c>
      <c r="H385" s="27">
        <f>IF($P385="","",IF(INDEX(EntryDep,$P385)=0,"",INDEX(EntryDep,$P385)))</f>
        <v/>
      </c>
      <c r="I385" s="27">
        <f>IF($P385="","",IF(INDEX(EntryWit,$P385)=0,"",INDEX(EntryWit,$P385)))</f>
        <v/>
      </c>
      <c r="J385" s="27">
        <f>IF($B385="","",IF($A385=1,$C$7,IF(J384="",0,J384))+IF($H385="",0,$H385)-IF($I385="",0,$I385))</f>
        <v/>
      </c>
      <c r="K385" s="27">
        <f>IF($P385="","",IF(INDEX(EntryMan,$P385)=0,"",INDEX(EntryMan,$P385)))</f>
        <v/>
      </c>
      <c r="L385" s="26">
        <f>IF($B385="","",IF($K385="","—",IF(ROUND($K385-$J385,0)=0,"√","×")))</f>
        <v/>
      </c>
      <c r="M385" s="26">
        <f>IF($B385="","",IF(COUNTIFS(EntryDates,$B385,CalcTime,$C385,CalcBank,$C$5,EntryParty,$D385,EntryDep,$H385,EntryWit,$I385)&gt;1,"تکرار",""))</f>
        <v/>
      </c>
      <c r="N385" s="26">
        <f>IF($P385="","",IF(INDEX(EntryNotes,$P385)=0,"",INDEX(EntryNotes,$P385)))</f>
        <v/>
      </c>
      <c r="O385" s="26">
        <f>IF($P385="","",IF(INDEX(EntryTxnID,$P385)=0,"",INDEX(EntryTxnID,$P385)))</f>
        <v/>
      </c>
      <c r="P385" s="26">
        <f>IFERROR(MATCH($C$5&amp;"|"&amp;RIGHT("000000"&amp;369,6),CalcRankKey,0),"")</f>
        <v/>
      </c>
    </row>
    <row r="386">
      <c r="A386" s="28">
        <f>IF($B386="","",370)</f>
        <v/>
      </c>
      <c r="B386" s="28">
        <f>IF($P386="","",IF(INDEX(CalcNormDate,$P386)=0,"",INDEX(CalcNormDate,$P386)))</f>
        <v/>
      </c>
      <c r="C386" s="28">
        <f>IF($P386="","",IF(INDEX(CalcTime,$P386)=0,"",INDEX(CalcTime,$P386)))</f>
        <v/>
      </c>
      <c r="D386" s="28">
        <f>IF($P386="","",IF(INDEX(EntryParty,$P386)=0,"",INDEX(EntryParty,$P386)))</f>
        <v/>
      </c>
      <c r="E386" s="28">
        <f>IF($P386="","",IF(INDEX(EntryPartyName,$P386)=0,"",INDEX(EntryPartyName,$P386)))</f>
        <v/>
      </c>
      <c r="F386" s="28">
        <f>IF($P386="","",IF(INDEX(EntryPartyType,$P386)=0,"",INDEX(EntryPartyType,$P386)))</f>
        <v/>
      </c>
      <c r="G386" s="28">
        <f>IF($P386="","",IF(INDEX(EntryTxnType,$P386)=0,"",INDEX(EntryTxnType,$P386)))</f>
        <v/>
      </c>
      <c r="H386" s="29">
        <f>IF($P386="","",IF(INDEX(EntryDep,$P386)=0,"",INDEX(EntryDep,$P386)))</f>
        <v/>
      </c>
      <c r="I386" s="29">
        <f>IF($P386="","",IF(INDEX(EntryWit,$P386)=0,"",INDEX(EntryWit,$P386)))</f>
        <v/>
      </c>
      <c r="J386" s="29">
        <f>IF($B386="","",IF($A386=1,$C$7,IF(J385="",0,J385))+IF($H386="",0,$H386)-IF($I386="",0,$I386))</f>
        <v/>
      </c>
      <c r="K386" s="29">
        <f>IF($P386="","",IF(INDEX(EntryMan,$P386)=0,"",INDEX(EntryMan,$P386)))</f>
        <v/>
      </c>
      <c r="L386" s="28">
        <f>IF($B386="","",IF($K386="","—",IF(ROUND($K386-$J386,0)=0,"√","×")))</f>
        <v/>
      </c>
      <c r="M386" s="28">
        <f>IF($B386="","",IF(COUNTIFS(EntryDates,$B386,CalcTime,$C386,CalcBank,$C$5,EntryParty,$D386,EntryDep,$H386,EntryWit,$I386)&gt;1,"تکرار",""))</f>
        <v/>
      </c>
      <c r="N386" s="28">
        <f>IF($P386="","",IF(INDEX(EntryNotes,$P386)=0,"",INDEX(EntryNotes,$P386)))</f>
        <v/>
      </c>
      <c r="O386" s="28">
        <f>IF($P386="","",IF(INDEX(EntryTxnID,$P386)=0,"",INDEX(EntryTxnID,$P386)))</f>
        <v/>
      </c>
      <c r="P386" s="28">
        <f>IFERROR(MATCH($C$5&amp;"|"&amp;RIGHT("000000"&amp;370,6),CalcRankKey,0),"")</f>
        <v/>
      </c>
    </row>
    <row r="387">
      <c r="A387" s="26">
        <f>IF($B387="","",371)</f>
        <v/>
      </c>
      <c r="B387" s="26">
        <f>IF($P387="","",IF(INDEX(CalcNormDate,$P387)=0,"",INDEX(CalcNormDate,$P387)))</f>
        <v/>
      </c>
      <c r="C387" s="26">
        <f>IF($P387="","",IF(INDEX(CalcTime,$P387)=0,"",INDEX(CalcTime,$P387)))</f>
        <v/>
      </c>
      <c r="D387" s="26">
        <f>IF($P387="","",IF(INDEX(EntryParty,$P387)=0,"",INDEX(EntryParty,$P387)))</f>
        <v/>
      </c>
      <c r="E387" s="26">
        <f>IF($P387="","",IF(INDEX(EntryPartyName,$P387)=0,"",INDEX(EntryPartyName,$P387)))</f>
        <v/>
      </c>
      <c r="F387" s="26">
        <f>IF($P387="","",IF(INDEX(EntryPartyType,$P387)=0,"",INDEX(EntryPartyType,$P387)))</f>
        <v/>
      </c>
      <c r="G387" s="26">
        <f>IF($P387="","",IF(INDEX(EntryTxnType,$P387)=0,"",INDEX(EntryTxnType,$P387)))</f>
        <v/>
      </c>
      <c r="H387" s="27">
        <f>IF($P387="","",IF(INDEX(EntryDep,$P387)=0,"",INDEX(EntryDep,$P387)))</f>
        <v/>
      </c>
      <c r="I387" s="27">
        <f>IF($P387="","",IF(INDEX(EntryWit,$P387)=0,"",INDEX(EntryWit,$P387)))</f>
        <v/>
      </c>
      <c r="J387" s="27">
        <f>IF($B387="","",IF($A387=1,$C$7,IF(J386="",0,J386))+IF($H387="",0,$H387)-IF($I387="",0,$I387))</f>
        <v/>
      </c>
      <c r="K387" s="27">
        <f>IF($P387="","",IF(INDEX(EntryMan,$P387)=0,"",INDEX(EntryMan,$P387)))</f>
        <v/>
      </c>
      <c r="L387" s="26">
        <f>IF($B387="","",IF($K387="","—",IF(ROUND($K387-$J387,0)=0,"√","×")))</f>
        <v/>
      </c>
      <c r="M387" s="26">
        <f>IF($B387="","",IF(COUNTIFS(EntryDates,$B387,CalcTime,$C387,CalcBank,$C$5,EntryParty,$D387,EntryDep,$H387,EntryWit,$I387)&gt;1,"تکرار",""))</f>
        <v/>
      </c>
      <c r="N387" s="26">
        <f>IF($P387="","",IF(INDEX(EntryNotes,$P387)=0,"",INDEX(EntryNotes,$P387)))</f>
        <v/>
      </c>
      <c r="O387" s="26">
        <f>IF($P387="","",IF(INDEX(EntryTxnID,$P387)=0,"",INDEX(EntryTxnID,$P387)))</f>
        <v/>
      </c>
      <c r="P387" s="26">
        <f>IFERROR(MATCH($C$5&amp;"|"&amp;RIGHT("000000"&amp;371,6),CalcRankKey,0),"")</f>
        <v/>
      </c>
    </row>
    <row r="388">
      <c r="A388" s="28">
        <f>IF($B388="","",372)</f>
        <v/>
      </c>
      <c r="B388" s="28">
        <f>IF($P388="","",IF(INDEX(CalcNormDate,$P388)=0,"",INDEX(CalcNormDate,$P388)))</f>
        <v/>
      </c>
      <c r="C388" s="28">
        <f>IF($P388="","",IF(INDEX(CalcTime,$P388)=0,"",INDEX(CalcTime,$P388)))</f>
        <v/>
      </c>
      <c r="D388" s="28">
        <f>IF($P388="","",IF(INDEX(EntryParty,$P388)=0,"",INDEX(EntryParty,$P388)))</f>
        <v/>
      </c>
      <c r="E388" s="28">
        <f>IF($P388="","",IF(INDEX(EntryPartyName,$P388)=0,"",INDEX(EntryPartyName,$P388)))</f>
        <v/>
      </c>
      <c r="F388" s="28">
        <f>IF($P388="","",IF(INDEX(EntryPartyType,$P388)=0,"",INDEX(EntryPartyType,$P388)))</f>
        <v/>
      </c>
      <c r="G388" s="28">
        <f>IF($P388="","",IF(INDEX(EntryTxnType,$P388)=0,"",INDEX(EntryTxnType,$P388)))</f>
        <v/>
      </c>
      <c r="H388" s="29">
        <f>IF($P388="","",IF(INDEX(EntryDep,$P388)=0,"",INDEX(EntryDep,$P388)))</f>
        <v/>
      </c>
      <c r="I388" s="29">
        <f>IF($P388="","",IF(INDEX(EntryWit,$P388)=0,"",INDEX(EntryWit,$P388)))</f>
        <v/>
      </c>
      <c r="J388" s="29">
        <f>IF($B388="","",IF($A388=1,$C$7,IF(J387="",0,J387))+IF($H388="",0,$H388)-IF($I388="",0,$I388))</f>
        <v/>
      </c>
      <c r="K388" s="29">
        <f>IF($P388="","",IF(INDEX(EntryMan,$P388)=0,"",INDEX(EntryMan,$P388)))</f>
        <v/>
      </c>
      <c r="L388" s="28">
        <f>IF($B388="","",IF($K388="","—",IF(ROUND($K388-$J388,0)=0,"√","×")))</f>
        <v/>
      </c>
      <c r="M388" s="28">
        <f>IF($B388="","",IF(COUNTIFS(EntryDates,$B388,CalcTime,$C388,CalcBank,$C$5,EntryParty,$D388,EntryDep,$H388,EntryWit,$I388)&gt;1,"تکرار",""))</f>
        <v/>
      </c>
      <c r="N388" s="28">
        <f>IF($P388="","",IF(INDEX(EntryNotes,$P388)=0,"",INDEX(EntryNotes,$P388)))</f>
        <v/>
      </c>
      <c r="O388" s="28">
        <f>IF($P388="","",IF(INDEX(EntryTxnID,$P388)=0,"",INDEX(EntryTxnID,$P388)))</f>
        <v/>
      </c>
      <c r="P388" s="28">
        <f>IFERROR(MATCH($C$5&amp;"|"&amp;RIGHT("000000"&amp;372,6),CalcRankKey,0),"")</f>
        <v/>
      </c>
    </row>
    <row r="389">
      <c r="A389" s="26">
        <f>IF($B389="","",373)</f>
        <v/>
      </c>
      <c r="B389" s="26">
        <f>IF($P389="","",IF(INDEX(CalcNormDate,$P389)=0,"",INDEX(CalcNormDate,$P389)))</f>
        <v/>
      </c>
      <c r="C389" s="26">
        <f>IF($P389="","",IF(INDEX(CalcTime,$P389)=0,"",INDEX(CalcTime,$P389)))</f>
        <v/>
      </c>
      <c r="D389" s="26">
        <f>IF($P389="","",IF(INDEX(EntryParty,$P389)=0,"",INDEX(EntryParty,$P389)))</f>
        <v/>
      </c>
      <c r="E389" s="26">
        <f>IF($P389="","",IF(INDEX(EntryPartyName,$P389)=0,"",INDEX(EntryPartyName,$P389)))</f>
        <v/>
      </c>
      <c r="F389" s="26">
        <f>IF($P389="","",IF(INDEX(EntryPartyType,$P389)=0,"",INDEX(EntryPartyType,$P389)))</f>
        <v/>
      </c>
      <c r="G389" s="26">
        <f>IF($P389="","",IF(INDEX(EntryTxnType,$P389)=0,"",INDEX(EntryTxnType,$P389)))</f>
        <v/>
      </c>
      <c r="H389" s="27">
        <f>IF($P389="","",IF(INDEX(EntryDep,$P389)=0,"",INDEX(EntryDep,$P389)))</f>
        <v/>
      </c>
      <c r="I389" s="27">
        <f>IF($P389="","",IF(INDEX(EntryWit,$P389)=0,"",INDEX(EntryWit,$P389)))</f>
        <v/>
      </c>
      <c r="J389" s="27">
        <f>IF($B389="","",IF($A389=1,$C$7,IF(J388="",0,J388))+IF($H389="",0,$H389)-IF($I389="",0,$I389))</f>
        <v/>
      </c>
      <c r="K389" s="27">
        <f>IF($P389="","",IF(INDEX(EntryMan,$P389)=0,"",INDEX(EntryMan,$P389)))</f>
        <v/>
      </c>
      <c r="L389" s="26">
        <f>IF($B389="","",IF($K389="","—",IF(ROUND($K389-$J389,0)=0,"√","×")))</f>
        <v/>
      </c>
      <c r="M389" s="26">
        <f>IF($B389="","",IF(COUNTIFS(EntryDates,$B389,CalcTime,$C389,CalcBank,$C$5,EntryParty,$D389,EntryDep,$H389,EntryWit,$I389)&gt;1,"تکرار",""))</f>
        <v/>
      </c>
      <c r="N389" s="26">
        <f>IF($P389="","",IF(INDEX(EntryNotes,$P389)=0,"",INDEX(EntryNotes,$P389)))</f>
        <v/>
      </c>
      <c r="O389" s="26">
        <f>IF($P389="","",IF(INDEX(EntryTxnID,$P389)=0,"",INDEX(EntryTxnID,$P389)))</f>
        <v/>
      </c>
      <c r="P389" s="26">
        <f>IFERROR(MATCH($C$5&amp;"|"&amp;RIGHT("000000"&amp;373,6),CalcRankKey,0),"")</f>
        <v/>
      </c>
    </row>
    <row r="390">
      <c r="A390" s="28">
        <f>IF($B390="","",374)</f>
        <v/>
      </c>
      <c r="B390" s="28">
        <f>IF($P390="","",IF(INDEX(CalcNormDate,$P390)=0,"",INDEX(CalcNormDate,$P390)))</f>
        <v/>
      </c>
      <c r="C390" s="28">
        <f>IF($P390="","",IF(INDEX(CalcTime,$P390)=0,"",INDEX(CalcTime,$P390)))</f>
        <v/>
      </c>
      <c r="D390" s="28">
        <f>IF($P390="","",IF(INDEX(EntryParty,$P390)=0,"",INDEX(EntryParty,$P390)))</f>
        <v/>
      </c>
      <c r="E390" s="28">
        <f>IF($P390="","",IF(INDEX(EntryPartyName,$P390)=0,"",INDEX(EntryPartyName,$P390)))</f>
        <v/>
      </c>
      <c r="F390" s="28">
        <f>IF($P390="","",IF(INDEX(EntryPartyType,$P390)=0,"",INDEX(EntryPartyType,$P390)))</f>
        <v/>
      </c>
      <c r="G390" s="28">
        <f>IF($P390="","",IF(INDEX(EntryTxnType,$P390)=0,"",INDEX(EntryTxnType,$P390)))</f>
        <v/>
      </c>
      <c r="H390" s="29">
        <f>IF($P390="","",IF(INDEX(EntryDep,$P390)=0,"",INDEX(EntryDep,$P390)))</f>
        <v/>
      </c>
      <c r="I390" s="29">
        <f>IF($P390="","",IF(INDEX(EntryWit,$P390)=0,"",INDEX(EntryWit,$P390)))</f>
        <v/>
      </c>
      <c r="J390" s="29">
        <f>IF($B390="","",IF($A390=1,$C$7,IF(J389="",0,J389))+IF($H390="",0,$H390)-IF($I390="",0,$I390))</f>
        <v/>
      </c>
      <c r="K390" s="29">
        <f>IF($P390="","",IF(INDEX(EntryMan,$P390)=0,"",INDEX(EntryMan,$P390)))</f>
        <v/>
      </c>
      <c r="L390" s="28">
        <f>IF($B390="","",IF($K390="","—",IF(ROUND($K390-$J390,0)=0,"√","×")))</f>
        <v/>
      </c>
      <c r="M390" s="28">
        <f>IF($B390="","",IF(COUNTIFS(EntryDates,$B390,CalcTime,$C390,CalcBank,$C$5,EntryParty,$D390,EntryDep,$H390,EntryWit,$I390)&gt;1,"تکرار",""))</f>
        <v/>
      </c>
      <c r="N390" s="28">
        <f>IF($P390="","",IF(INDEX(EntryNotes,$P390)=0,"",INDEX(EntryNotes,$P390)))</f>
        <v/>
      </c>
      <c r="O390" s="28">
        <f>IF($P390="","",IF(INDEX(EntryTxnID,$P390)=0,"",INDEX(EntryTxnID,$P390)))</f>
        <v/>
      </c>
      <c r="P390" s="28">
        <f>IFERROR(MATCH($C$5&amp;"|"&amp;RIGHT("000000"&amp;374,6),CalcRankKey,0),"")</f>
        <v/>
      </c>
    </row>
    <row r="391">
      <c r="A391" s="26">
        <f>IF($B391="","",375)</f>
        <v/>
      </c>
      <c r="B391" s="26">
        <f>IF($P391="","",IF(INDEX(CalcNormDate,$P391)=0,"",INDEX(CalcNormDate,$P391)))</f>
        <v/>
      </c>
      <c r="C391" s="26">
        <f>IF($P391="","",IF(INDEX(CalcTime,$P391)=0,"",INDEX(CalcTime,$P391)))</f>
        <v/>
      </c>
      <c r="D391" s="26">
        <f>IF($P391="","",IF(INDEX(EntryParty,$P391)=0,"",INDEX(EntryParty,$P391)))</f>
        <v/>
      </c>
      <c r="E391" s="26">
        <f>IF($P391="","",IF(INDEX(EntryPartyName,$P391)=0,"",INDEX(EntryPartyName,$P391)))</f>
        <v/>
      </c>
      <c r="F391" s="26">
        <f>IF($P391="","",IF(INDEX(EntryPartyType,$P391)=0,"",INDEX(EntryPartyType,$P391)))</f>
        <v/>
      </c>
      <c r="G391" s="26">
        <f>IF($P391="","",IF(INDEX(EntryTxnType,$P391)=0,"",INDEX(EntryTxnType,$P391)))</f>
        <v/>
      </c>
      <c r="H391" s="27">
        <f>IF($P391="","",IF(INDEX(EntryDep,$P391)=0,"",INDEX(EntryDep,$P391)))</f>
        <v/>
      </c>
      <c r="I391" s="27">
        <f>IF($P391="","",IF(INDEX(EntryWit,$P391)=0,"",INDEX(EntryWit,$P391)))</f>
        <v/>
      </c>
      <c r="J391" s="27">
        <f>IF($B391="","",IF($A391=1,$C$7,IF(J390="",0,J390))+IF($H391="",0,$H391)-IF($I391="",0,$I391))</f>
        <v/>
      </c>
      <c r="K391" s="27">
        <f>IF($P391="","",IF(INDEX(EntryMan,$P391)=0,"",INDEX(EntryMan,$P391)))</f>
        <v/>
      </c>
      <c r="L391" s="26">
        <f>IF($B391="","",IF($K391="","—",IF(ROUND($K391-$J391,0)=0,"√","×")))</f>
        <v/>
      </c>
      <c r="M391" s="26">
        <f>IF($B391="","",IF(COUNTIFS(EntryDates,$B391,CalcTime,$C391,CalcBank,$C$5,EntryParty,$D391,EntryDep,$H391,EntryWit,$I391)&gt;1,"تکرار",""))</f>
        <v/>
      </c>
      <c r="N391" s="26">
        <f>IF($P391="","",IF(INDEX(EntryNotes,$P391)=0,"",INDEX(EntryNotes,$P391)))</f>
        <v/>
      </c>
      <c r="O391" s="26">
        <f>IF($P391="","",IF(INDEX(EntryTxnID,$P391)=0,"",INDEX(EntryTxnID,$P391)))</f>
        <v/>
      </c>
      <c r="P391" s="26">
        <f>IFERROR(MATCH($C$5&amp;"|"&amp;RIGHT("000000"&amp;375,6),CalcRankKey,0),"")</f>
        <v/>
      </c>
    </row>
    <row r="392">
      <c r="A392" s="28">
        <f>IF($B392="","",376)</f>
        <v/>
      </c>
      <c r="B392" s="28">
        <f>IF($P392="","",IF(INDEX(CalcNormDate,$P392)=0,"",INDEX(CalcNormDate,$P392)))</f>
        <v/>
      </c>
      <c r="C392" s="28">
        <f>IF($P392="","",IF(INDEX(CalcTime,$P392)=0,"",INDEX(CalcTime,$P392)))</f>
        <v/>
      </c>
      <c r="D392" s="28">
        <f>IF($P392="","",IF(INDEX(EntryParty,$P392)=0,"",INDEX(EntryParty,$P392)))</f>
        <v/>
      </c>
      <c r="E392" s="28">
        <f>IF($P392="","",IF(INDEX(EntryPartyName,$P392)=0,"",INDEX(EntryPartyName,$P392)))</f>
        <v/>
      </c>
      <c r="F392" s="28">
        <f>IF($P392="","",IF(INDEX(EntryPartyType,$P392)=0,"",INDEX(EntryPartyType,$P392)))</f>
        <v/>
      </c>
      <c r="G392" s="28">
        <f>IF($P392="","",IF(INDEX(EntryTxnType,$P392)=0,"",INDEX(EntryTxnType,$P392)))</f>
        <v/>
      </c>
      <c r="H392" s="29">
        <f>IF($P392="","",IF(INDEX(EntryDep,$P392)=0,"",INDEX(EntryDep,$P392)))</f>
        <v/>
      </c>
      <c r="I392" s="29">
        <f>IF($P392="","",IF(INDEX(EntryWit,$P392)=0,"",INDEX(EntryWit,$P392)))</f>
        <v/>
      </c>
      <c r="J392" s="29">
        <f>IF($B392="","",IF($A392=1,$C$7,IF(J391="",0,J391))+IF($H392="",0,$H392)-IF($I392="",0,$I392))</f>
        <v/>
      </c>
      <c r="K392" s="29">
        <f>IF($P392="","",IF(INDEX(EntryMan,$P392)=0,"",INDEX(EntryMan,$P392)))</f>
        <v/>
      </c>
      <c r="L392" s="28">
        <f>IF($B392="","",IF($K392="","—",IF(ROUND($K392-$J392,0)=0,"√","×")))</f>
        <v/>
      </c>
      <c r="M392" s="28">
        <f>IF($B392="","",IF(COUNTIFS(EntryDates,$B392,CalcTime,$C392,CalcBank,$C$5,EntryParty,$D392,EntryDep,$H392,EntryWit,$I392)&gt;1,"تکرار",""))</f>
        <v/>
      </c>
      <c r="N392" s="28">
        <f>IF($P392="","",IF(INDEX(EntryNotes,$P392)=0,"",INDEX(EntryNotes,$P392)))</f>
        <v/>
      </c>
      <c r="O392" s="28">
        <f>IF($P392="","",IF(INDEX(EntryTxnID,$P392)=0,"",INDEX(EntryTxnID,$P392)))</f>
        <v/>
      </c>
      <c r="P392" s="28">
        <f>IFERROR(MATCH($C$5&amp;"|"&amp;RIGHT("000000"&amp;376,6),CalcRankKey,0),"")</f>
        <v/>
      </c>
    </row>
    <row r="393">
      <c r="A393" s="26">
        <f>IF($B393="","",377)</f>
        <v/>
      </c>
      <c r="B393" s="26">
        <f>IF($P393="","",IF(INDEX(CalcNormDate,$P393)=0,"",INDEX(CalcNormDate,$P393)))</f>
        <v/>
      </c>
      <c r="C393" s="26">
        <f>IF($P393="","",IF(INDEX(CalcTime,$P393)=0,"",INDEX(CalcTime,$P393)))</f>
        <v/>
      </c>
      <c r="D393" s="26">
        <f>IF($P393="","",IF(INDEX(EntryParty,$P393)=0,"",INDEX(EntryParty,$P393)))</f>
        <v/>
      </c>
      <c r="E393" s="26">
        <f>IF($P393="","",IF(INDEX(EntryPartyName,$P393)=0,"",INDEX(EntryPartyName,$P393)))</f>
        <v/>
      </c>
      <c r="F393" s="26">
        <f>IF($P393="","",IF(INDEX(EntryPartyType,$P393)=0,"",INDEX(EntryPartyType,$P393)))</f>
        <v/>
      </c>
      <c r="G393" s="26">
        <f>IF($P393="","",IF(INDEX(EntryTxnType,$P393)=0,"",INDEX(EntryTxnType,$P393)))</f>
        <v/>
      </c>
      <c r="H393" s="27">
        <f>IF($P393="","",IF(INDEX(EntryDep,$P393)=0,"",INDEX(EntryDep,$P393)))</f>
        <v/>
      </c>
      <c r="I393" s="27">
        <f>IF($P393="","",IF(INDEX(EntryWit,$P393)=0,"",INDEX(EntryWit,$P393)))</f>
        <v/>
      </c>
      <c r="J393" s="27">
        <f>IF($B393="","",IF($A393=1,$C$7,IF(J392="",0,J392))+IF($H393="",0,$H393)-IF($I393="",0,$I393))</f>
        <v/>
      </c>
      <c r="K393" s="27">
        <f>IF($P393="","",IF(INDEX(EntryMan,$P393)=0,"",INDEX(EntryMan,$P393)))</f>
        <v/>
      </c>
      <c r="L393" s="26">
        <f>IF($B393="","",IF($K393="","—",IF(ROUND($K393-$J393,0)=0,"√","×")))</f>
        <v/>
      </c>
      <c r="M393" s="26">
        <f>IF($B393="","",IF(COUNTIFS(EntryDates,$B393,CalcTime,$C393,CalcBank,$C$5,EntryParty,$D393,EntryDep,$H393,EntryWit,$I393)&gt;1,"تکرار",""))</f>
        <v/>
      </c>
      <c r="N393" s="26">
        <f>IF($P393="","",IF(INDEX(EntryNotes,$P393)=0,"",INDEX(EntryNotes,$P393)))</f>
        <v/>
      </c>
      <c r="O393" s="26">
        <f>IF($P393="","",IF(INDEX(EntryTxnID,$P393)=0,"",INDEX(EntryTxnID,$P393)))</f>
        <v/>
      </c>
      <c r="P393" s="26">
        <f>IFERROR(MATCH($C$5&amp;"|"&amp;RIGHT("000000"&amp;377,6),CalcRankKey,0),"")</f>
        <v/>
      </c>
    </row>
    <row r="394">
      <c r="A394" s="28">
        <f>IF($B394="","",378)</f>
        <v/>
      </c>
      <c r="B394" s="28">
        <f>IF($P394="","",IF(INDEX(CalcNormDate,$P394)=0,"",INDEX(CalcNormDate,$P394)))</f>
        <v/>
      </c>
      <c r="C394" s="28">
        <f>IF($P394="","",IF(INDEX(CalcTime,$P394)=0,"",INDEX(CalcTime,$P394)))</f>
        <v/>
      </c>
      <c r="D394" s="28">
        <f>IF($P394="","",IF(INDEX(EntryParty,$P394)=0,"",INDEX(EntryParty,$P394)))</f>
        <v/>
      </c>
      <c r="E394" s="28">
        <f>IF($P394="","",IF(INDEX(EntryPartyName,$P394)=0,"",INDEX(EntryPartyName,$P394)))</f>
        <v/>
      </c>
      <c r="F394" s="28">
        <f>IF($P394="","",IF(INDEX(EntryPartyType,$P394)=0,"",INDEX(EntryPartyType,$P394)))</f>
        <v/>
      </c>
      <c r="G394" s="28">
        <f>IF($P394="","",IF(INDEX(EntryTxnType,$P394)=0,"",INDEX(EntryTxnType,$P394)))</f>
        <v/>
      </c>
      <c r="H394" s="29">
        <f>IF($P394="","",IF(INDEX(EntryDep,$P394)=0,"",INDEX(EntryDep,$P394)))</f>
        <v/>
      </c>
      <c r="I394" s="29">
        <f>IF($P394="","",IF(INDEX(EntryWit,$P394)=0,"",INDEX(EntryWit,$P394)))</f>
        <v/>
      </c>
      <c r="J394" s="29">
        <f>IF($B394="","",IF($A394=1,$C$7,IF(J393="",0,J393))+IF($H394="",0,$H394)-IF($I394="",0,$I394))</f>
        <v/>
      </c>
      <c r="K394" s="29">
        <f>IF($P394="","",IF(INDEX(EntryMan,$P394)=0,"",INDEX(EntryMan,$P394)))</f>
        <v/>
      </c>
      <c r="L394" s="28">
        <f>IF($B394="","",IF($K394="","—",IF(ROUND($K394-$J394,0)=0,"√","×")))</f>
        <v/>
      </c>
      <c r="M394" s="28">
        <f>IF($B394="","",IF(COUNTIFS(EntryDates,$B394,CalcTime,$C394,CalcBank,$C$5,EntryParty,$D394,EntryDep,$H394,EntryWit,$I394)&gt;1,"تکرار",""))</f>
        <v/>
      </c>
      <c r="N394" s="28">
        <f>IF($P394="","",IF(INDEX(EntryNotes,$P394)=0,"",INDEX(EntryNotes,$P394)))</f>
        <v/>
      </c>
      <c r="O394" s="28">
        <f>IF($P394="","",IF(INDEX(EntryTxnID,$P394)=0,"",INDEX(EntryTxnID,$P394)))</f>
        <v/>
      </c>
      <c r="P394" s="28">
        <f>IFERROR(MATCH($C$5&amp;"|"&amp;RIGHT("000000"&amp;378,6),CalcRankKey,0),"")</f>
        <v/>
      </c>
    </row>
    <row r="395">
      <c r="A395" s="26">
        <f>IF($B395="","",379)</f>
        <v/>
      </c>
      <c r="B395" s="26">
        <f>IF($P395="","",IF(INDEX(CalcNormDate,$P395)=0,"",INDEX(CalcNormDate,$P395)))</f>
        <v/>
      </c>
      <c r="C395" s="26">
        <f>IF($P395="","",IF(INDEX(CalcTime,$P395)=0,"",INDEX(CalcTime,$P395)))</f>
        <v/>
      </c>
      <c r="D395" s="26">
        <f>IF($P395="","",IF(INDEX(EntryParty,$P395)=0,"",INDEX(EntryParty,$P395)))</f>
        <v/>
      </c>
      <c r="E395" s="26">
        <f>IF($P395="","",IF(INDEX(EntryPartyName,$P395)=0,"",INDEX(EntryPartyName,$P395)))</f>
        <v/>
      </c>
      <c r="F395" s="26">
        <f>IF($P395="","",IF(INDEX(EntryPartyType,$P395)=0,"",INDEX(EntryPartyType,$P395)))</f>
        <v/>
      </c>
      <c r="G395" s="26">
        <f>IF($P395="","",IF(INDEX(EntryTxnType,$P395)=0,"",INDEX(EntryTxnType,$P395)))</f>
        <v/>
      </c>
      <c r="H395" s="27">
        <f>IF($P395="","",IF(INDEX(EntryDep,$P395)=0,"",INDEX(EntryDep,$P395)))</f>
        <v/>
      </c>
      <c r="I395" s="27">
        <f>IF($P395="","",IF(INDEX(EntryWit,$P395)=0,"",INDEX(EntryWit,$P395)))</f>
        <v/>
      </c>
      <c r="J395" s="27">
        <f>IF($B395="","",IF($A395=1,$C$7,IF(J394="",0,J394))+IF($H395="",0,$H395)-IF($I395="",0,$I395))</f>
        <v/>
      </c>
      <c r="K395" s="27">
        <f>IF($P395="","",IF(INDEX(EntryMan,$P395)=0,"",INDEX(EntryMan,$P395)))</f>
        <v/>
      </c>
      <c r="L395" s="26">
        <f>IF($B395="","",IF($K395="","—",IF(ROUND($K395-$J395,0)=0,"√","×")))</f>
        <v/>
      </c>
      <c r="M395" s="26">
        <f>IF($B395="","",IF(COUNTIFS(EntryDates,$B395,CalcTime,$C395,CalcBank,$C$5,EntryParty,$D395,EntryDep,$H395,EntryWit,$I395)&gt;1,"تکرار",""))</f>
        <v/>
      </c>
      <c r="N395" s="26">
        <f>IF($P395="","",IF(INDEX(EntryNotes,$P395)=0,"",INDEX(EntryNotes,$P395)))</f>
        <v/>
      </c>
      <c r="O395" s="26">
        <f>IF($P395="","",IF(INDEX(EntryTxnID,$P395)=0,"",INDEX(EntryTxnID,$P395)))</f>
        <v/>
      </c>
      <c r="P395" s="26">
        <f>IFERROR(MATCH($C$5&amp;"|"&amp;RIGHT("000000"&amp;379,6),CalcRankKey,0),"")</f>
        <v/>
      </c>
    </row>
    <row r="396">
      <c r="A396" s="28">
        <f>IF($B396="","",380)</f>
        <v/>
      </c>
      <c r="B396" s="28">
        <f>IF($P396="","",IF(INDEX(CalcNormDate,$P396)=0,"",INDEX(CalcNormDate,$P396)))</f>
        <v/>
      </c>
      <c r="C396" s="28">
        <f>IF($P396="","",IF(INDEX(CalcTime,$P396)=0,"",INDEX(CalcTime,$P396)))</f>
        <v/>
      </c>
      <c r="D396" s="28">
        <f>IF($P396="","",IF(INDEX(EntryParty,$P396)=0,"",INDEX(EntryParty,$P396)))</f>
        <v/>
      </c>
      <c r="E396" s="28">
        <f>IF($P396="","",IF(INDEX(EntryPartyName,$P396)=0,"",INDEX(EntryPartyName,$P396)))</f>
        <v/>
      </c>
      <c r="F396" s="28">
        <f>IF($P396="","",IF(INDEX(EntryPartyType,$P396)=0,"",INDEX(EntryPartyType,$P396)))</f>
        <v/>
      </c>
      <c r="G396" s="28">
        <f>IF($P396="","",IF(INDEX(EntryTxnType,$P396)=0,"",INDEX(EntryTxnType,$P396)))</f>
        <v/>
      </c>
      <c r="H396" s="29">
        <f>IF($P396="","",IF(INDEX(EntryDep,$P396)=0,"",INDEX(EntryDep,$P396)))</f>
        <v/>
      </c>
      <c r="I396" s="29">
        <f>IF($P396="","",IF(INDEX(EntryWit,$P396)=0,"",INDEX(EntryWit,$P396)))</f>
        <v/>
      </c>
      <c r="J396" s="29">
        <f>IF($B396="","",IF($A396=1,$C$7,IF(J395="",0,J395))+IF($H396="",0,$H396)-IF($I396="",0,$I396))</f>
        <v/>
      </c>
      <c r="K396" s="29">
        <f>IF($P396="","",IF(INDEX(EntryMan,$P396)=0,"",INDEX(EntryMan,$P396)))</f>
        <v/>
      </c>
      <c r="L396" s="28">
        <f>IF($B396="","",IF($K396="","—",IF(ROUND($K396-$J396,0)=0,"√","×")))</f>
        <v/>
      </c>
      <c r="M396" s="28">
        <f>IF($B396="","",IF(COUNTIFS(EntryDates,$B396,CalcTime,$C396,CalcBank,$C$5,EntryParty,$D396,EntryDep,$H396,EntryWit,$I396)&gt;1,"تکرار",""))</f>
        <v/>
      </c>
      <c r="N396" s="28">
        <f>IF($P396="","",IF(INDEX(EntryNotes,$P396)=0,"",INDEX(EntryNotes,$P396)))</f>
        <v/>
      </c>
      <c r="O396" s="28">
        <f>IF($P396="","",IF(INDEX(EntryTxnID,$P396)=0,"",INDEX(EntryTxnID,$P396)))</f>
        <v/>
      </c>
      <c r="P396" s="28">
        <f>IFERROR(MATCH($C$5&amp;"|"&amp;RIGHT("000000"&amp;380,6),CalcRankKey,0),"")</f>
        <v/>
      </c>
    </row>
    <row r="397">
      <c r="A397" s="26">
        <f>IF($B397="","",381)</f>
        <v/>
      </c>
      <c r="B397" s="26">
        <f>IF($P397="","",IF(INDEX(CalcNormDate,$P397)=0,"",INDEX(CalcNormDate,$P397)))</f>
        <v/>
      </c>
      <c r="C397" s="26">
        <f>IF($P397="","",IF(INDEX(CalcTime,$P397)=0,"",INDEX(CalcTime,$P397)))</f>
        <v/>
      </c>
      <c r="D397" s="26">
        <f>IF($P397="","",IF(INDEX(EntryParty,$P397)=0,"",INDEX(EntryParty,$P397)))</f>
        <v/>
      </c>
      <c r="E397" s="26">
        <f>IF($P397="","",IF(INDEX(EntryPartyName,$P397)=0,"",INDEX(EntryPartyName,$P397)))</f>
        <v/>
      </c>
      <c r="F397" s="26">
        <f>IF($P397="","",IF(INDEX(EntryPartyType,$P397)=0,"",INDEX(EntryPartyType,$P397)))</f>
        <v/>
      </c>
      <c r="G397" s="26">
        <f>IF($P397="","",IF(INDEX(EntryTxnType,$P397)=0,"",INDEX(EntryTxnType,$P397)))</f>
        <v/>
      </c>
      <c r="H397" s="27">
        <f>IF($P397="","",IF(INDEX(EntryDep,$P397)=0,"",INDEX(EntryDep,$P397)))</f>
        <v/>
      </c>
      <c r="I397" s="27">
        <f>IF($P397="","",IF(INDEX(EntryWit,$P397)=0,"",INDEX(EntryWit,$P397)))</f>
        <v/>
      </c>
      <c r="J397" s="27">
        <f>IF($B397="","",IF($A397=1,$C$7,IF(J396="",0,J396))+IF($H397="",0,$H397)-IF($I397="",0,$I397))</f>
        <v/>
      </c>
      <c r="K397" s="27">
        <f>IF($P397="","",IF(INDEX(EntryMan,$P397)=0,"",INDEX(EntryMan,$P397)))</f>
        <v/>
      </c>
      <c r="L397" s="26">
        <f>IF($B397="","",IF($K397="","—",IF(ROUND($K397-$J397,0)=0,"√","×")))</f>
        <v/>
      </c>
      <c r="M397" s="26">
        <f>IF($B397="","",IF(COUNTIFS(EntryDates,$B397,CalcTime,$C397,CalcBank,$C$5,EntryParty,$D397,EntryDep,$H397,EntryWit,$I397)&gt;1,"تکرار",""))</f>
        <v/>
      </c>
      <c r="N397" s="26">
        <f>IF($P397="","",IF(INDEX(EntryNotes,$P397)=0,"",INDEX(EntryNotes,$P397)))</f>
        <v/>
      </c>
      <c r="O397" s="26">
        <f>IF($P397="","",IF(INDEX(EntryTxnID,$P397)=0,"",INDEX(EntryTxnID,$P397)))</f>
        <v/>
      </c>
      <c r="P397" s="26">
        <f>IFERROR(MATCH($C$5&amp;"|"&amp;RIGHT("000000"&amp;381,6),CalcRankKey,0),"")</f>
        <v/>
      </c>
    </row>
    <row r="398">
      <c r="A398" s="28">
        <f>IF($B398="","",382)</f>
        <v/>
      </c>
      <c r="B398" s="28">
        <f>IF($P398="","",IF(INDEX(CalcNormDate,$P398)=0,"",INDEX(CalcNormDate,$P398)))</f>
        <v/>
      </c>
      <c r="C398" s="28">
        <f>IF($P398="","",IF(INDEX(CalcTime,$P398)=0,"",INDEX(CalcTime,$P398)))</f>
        <v/>
      </c>
      <c r="D398" s="28">
        <f>IF($P398="","",IF(INDEX(EntryParty,$P398)=0,"",INDEX(EntryParty,$P398)))</f>
        <v/>
      </c>
      <c r="E398" s="28">
        <f>IF($P398="","",IF(INDEX(EntryPartyName,$P398)=0,"",INDEX(EntryPartyName,$P398)))</f>
        <v/>
      </c>
      <c r="F398" s="28">
        <f>IF($P398="","",IF(INDEX(EntryPartyType,$P398)=0,"",INDEX(EntryPartyType,$P398)))</f>
        <v/>
      </c>
      <c r="G398" s="28">
        <f>IF($P398="","",IF(INDEX(EntryTxnType,$P398)=0,"",INDEX(EntryTxnType,$P398)))</f>
        <v/>
      </c>
      <c r="H398" s="29">
        <f>IF($P398="","",IF(INDEX(EntryDep,$P398)=0,"",INDEX(EntryDep,$P398)))</f>
        <v/>
      </c>
      <c r="I398" s="29">
        <f>IF($P398="","",IF(INDEX(EntryWit,$P398)=0,"",INDEX(EntryWit,$P398)))</f>
        <v/>
      </c>
      <c r="J398" s="29">
        <f>IF($B398="","",IF($A398=1,$C$7,IF(J397="",0,J397))+IF($H398="",0,$H398)-IF($I398="",0,$I398))</f>
        <v/>
      </c>
      <c r="K398" s="29">
        <f>IF($P398="","",IF(INDEX(EntryMan,$P398)=0,"",INDEX(EntryMan,$P398)))</f>
        <v/>
      </c>
      <c r="L398" s="28">
        <f>IF($B398="","",IF($K398="","—",IF(ROUND($K398-$J398,0)=0,"√","×")))</f>
        <v/>
      </c>
      <c r="M398" s="28">
        <f>IF($B398="","",IF(COUNTIFS(EntryDates,$B398,CalcTime,$C398,CalcBank,$C$5,EntryParty,$D398,EntryDep,$H398,EntryWit,$I398)&gt;1,"تکرار",""))</f>
        <v/>
      </c>
      <c r="N398" s="28">
        <f>IF($P398="","",IF(INDEX(EntryNotes,$P398)=0,"",INDEX(EntryNotes,$P398)))</f>
        <v/>
      </c>
      <c r="O398" s="28">
        <f>IF($P398="","",IF(INDEX(EntryTxnID,$P398)=0,"",INDEX(EntryTxnID,$P398)))</f>
        <v/>
      </c>
      <c r="P398" s="28">
        <f>IFERROR(MATCH($C$5&amp;"|"&amp;RIGHT("000000"&amp;382,6),CalcRankKey,0),"")</f>
        <v/>
      </c>
    </row>
    <row r="399">
      <c r="A399" s="26">
        <f>IF($B399="","",383)</f>
        <v/>
      </c>
      <c r="B399" s="26">
        <f>IF($P399="","",IF(INDEX(CalcNormDate,$P399)=0,"",INDEX(CalcNormDate,$P399)))</f>
        <v/>
      </c>
      <c r="C399" s="26">
        <f>IF($P399="","",IF(INDEX(CalcTime,$P399)=0,"",INDEX(CalcTime,$P399)))</f>
        <v/>
      </c>
      <c r="D399" s="26">
        <f>IF($P399="","",IF(INDEX(EntryParty,$P399)=0,"",INDEX(EntryParty,$P399)))</f>
        <v/>
      </c>
      <c r="E399" s="26">
        <f>IF($P399="","",IF(INDEX(EntryPartyName,$P399)=0,"",INDEX(EntryPartyName,$P399)))</f>
        <v/>
      </c>
      <c r="F399" s="26">
        <f>IF($P399="","",IF(INDEX(EntryPartyType,$P399)=0,"",INDEX(EntryPartyType,$P399)))</f>
        <v/>
      </c>
      <c r="G399" s="26">
        <f>IF($P399="","",IF(INDEX(EntryTxnType,$P399)=0,"",INDEX(EntryTxnType,$P399)))</f>
        <v/>
      </c>
      <c r="H399" s="27">
        <f>IF($P399="","",IF(INDEX(EntryDep,$P399)=0,"",INDEX(EntryDep,$P399)))</f>
        <v/>
      </c>
      <c r="I399" s="27">
        <f>IF($P399="","",IF(INDEX(EntryWit,$P399)=0,"",INDEX(EntryWit,$P399)))</f>
        <v/>
      </c>
      <c r="J399" s="27">
        <f>IF($B399="","",IF($A399=1,$C$7,IF(J398="",0,J398))+IF($H399="",0,$H399)-IF($I399="",0,$I399))</f>
        <v/>
      </c>
      <c r="K399" s="27">
        <f>IF($P399="","",IF(INDEX(EntryMan,$P399)=0,"",INDEX(EntryMan,$P399)))</f>
        <v/>
      </c>
      <c r="L399" s="26">
        <f>IF($B399="","",IF($K399="","—",IF(ROUND($K399-$J399,0)=0,"√","×")))</f>
        <v/>
      </c>
      <c r="M399" s="26">
        <f>IF($B399="","",IF(COUNTIFS(EntryDates,$B399,CalcTime,$C399,CalcBank,$C$5,EntryParty,$D399,EntryDep,$H399,EntryWit,$I399)&gt;1,"تکرار",""))</f>
        <v/>
      </c>
      <c r="N399" s="26">
        <f>IF($P399="","",IF(INDEX(EntryNotes,$P399)=0,"",INDEX(EntryNotes,$P399)))</f>
        <v/>
      </c>
      <c r="O399" s="26">
        <f>IF($P399="","",IF(INDEX(EntryTxnID,$P399)=0,"",INDEX(EntryTxnID,$P399)))</f>
        <v/>
      </c>
      <c r="P399" s="26">
        <f>IFERROR(MATCH($C$5&amp;"|"&amp;RIGHT("000000"&amp;383,6),CalcRankKey,0),"")</f>
        <v/>
      </c>
    </row>
    <row r="400">
      <c r="A400" s="28">
        <f>IF($B400="","",384)</f>
        <v/>
      </c>
      <c r="B400" s="28">
        <f>IF($P400="","",IF(INDEX(CalcNormDate,$P400)=0,"",INDEX(CalcNormDate,$P400)))</f>
        <v/>
      </c>
      <c r="C400" s="28">
        <f>IF($P400="","",IF(INDEX(CalcTime,$P400)=0,"",INDEX(CalcTime,$P400)))</f>
        <v/>
      </c>
      <c r="D400" s="28">
        <f>IF($P400="","",IF(INDEX(EntryParty,$P400)=0,"",INDEX(EntryParty,$P400)))</f>
        <v/>
      </c>
      <c r="E400" s="28">
        <f>IF($P400="","",IF(INDEX(EntryPartyName,$P400)=0,"",INDEX(EntryPartyName,$P400)))</f>
        <v/>
      </c>
      <c r="F400" s="28">
        <f>IF($P400="","",IF(INDEX(EntryPartyType,$P400)=0,"",INDEX(EntryPartyType,$P400)))</f>
        <v/>
      </c>
      <c r="G400" s="28">
        <f>IF($P400="","",IF(INDEX(EntryTxnType,$P400)=0,"",INDEX(EntryTxnType,$P400)))</f>
        <v/>
      </c>
      <c r="H400" s="29">
        <f>IF($P400="","",IF(INDEX(EntryDep,$P400)=0,"",INDEX(EntryDep,$P400)))</f>
        <v/>
      </c>
      <c r="I400" s="29">
        <f>IF($P400="","",IF(INDEX(EntryWit,$P400)=0,"",INDEX(EntryWit,$P400)))</f>
        <v/>
      </c>
      <c r="J400" s="29">
        <f>IF($B400="","",IF($A400=1,$C$7,IF(J399="",0,J399))+IF($H400="",0,$H400)-IF($I400="",0,$I400))</f>
        <v/>
      </c>
      <c r="K400" s="29">
        <f>IF($P400="","",IF(INDEX(EntryMan,$P400)=0,"",INDEX(EntryMan,$P400)))</f>
        <v/>
      </c>
      <c r="L400" s="28">
        <f>IF($B400="","",IF($K400="","—",IF(ROUND($K400-$J400,0)=0,"√","×")))</f>
        <v/>
      </c>
      <c r="M400" s="28">
        <f>IF($B400="","",IF(COUNTIFS(EntryDates,$B400,CalcTime,$C400,CalcBank,$C$5,EntryParty,$D400,EntryDep,$H400,EntryWit,$I400)&gt;1,"تکرار",""))</f>
        <v/>
      </c>
      <c r="N400" s="28">
        <f>IF($P400="","",IF(INDEX(EntryNotes,$P400)=0,"",INDEX(EntryNotes,$P400)))</f>
        <v/>
      </c>
      <c r="O400" s="28">
        <f>IF($P400="","",IF(INDEX(EntryTxnID,$P400)=0,"",INDEX(EntryTxnID,$P400)))</f>
        <v/>
      </c>
      <c r="P400" s="28">
        <f>IFERROR(MATCH($C$5&amp;"|"&amp;RIGHT("000000"&amp;384,6),CalcRankKey,0),"")</f>
        <v/>
      </c>
    </row>
    <row r="401">
      <c r="A401" s="26">
        <f>IF($B401="","",385)</f>
        <v/>
      </c>
      <c r="B401" s="26">
        <f>IF($P401="","",IF(INDEX(CalcNormDate,$P401)=0,"",INDEX(CalcNormDate,$P401)))</f>
        <v/>
      </c>
      <c r="C401" s="26">
        <f>IF($P401="","",IF(INDEX(CalcTime,$P401)=0,"",INDEX(CalcTime,$P401)))</f>
        <v/>
      </c>
      <c r="D401" s="26">
        <f>IF($P401="","",IF(INDEX(EntryParty,$P401)=0,"",INDEX(EntryParty,$P401)))</f>
        <v/>
      </c>
      <c r="E401" s="26">
        <f>IF($P401="","",IF(INDEX(EntryPartyName,$P401)=0,"",INDEX(EntryPartyName,$P401)))</f>
        <v/>
      </c>
      <c r="F401" s="26">
        <f>IF($P401="","",IF(INDEX(EntryPartyType,$P401)=0,"",INDEX(EntryPartyType,$P401)))</f>
        <v/>
      </c>
      <c r="G401" s="26">
        <f>IF($P401="","",IF(INDEX(EntryTxnType,$P401)=0,"",INDEX(EntryTxnType,$P401)))</f>
        <v/>
      </c>
      <c r="H401" s="27">
        <f>IF($P401="","",IF(INDEX(EntryDep,$P401)=0,"",INDEX(EntryDep,$P401)))</f>
        <v/>
      </c>
      <c r="I401" s="27">
        <f>IF($P401="","",IF(INDEX(EntryWit,$P401)=0,"",INDEX(EntryWit,$P401)))</f>
        <v/>
      </c>
      <c r="J401" s="27">
        <f>IF($B401="","",IF($A401=1,$C$7,IF(J400="",0,J400))+IF($H401="",0,$H401)-IF($I401="",0,$I401))</f>
        <v/>
      </c>
      <c r="K401" s="27">
        <f>IF($P401="","",IF(INDEX(EntryMan,$P401)=0,"",INDEX(EntryMan,$P401)))</f>
        <v/>
      </c>
      <c r="L401" s="26">
        <f>IF($B401="","",IF($K401="","—",IF(ROUND($K401-$J401,0)=0,"√","×")))</f>
        <v/>
      </c>
      <c r="M401" s="26">
        <f>IF($B401="","",IF(COUNTIFS(EntryDates,$B401,CalcTime,$C401,CalcBank,$C$5,EntryParty,$D401,EntryDep,$H401,EntryWit,$I401)&gt;1,"تکرار",""))</f>
        <v/>
      </c>
      <c r="N401" s="26">
        <f>IF($P401="","",IF(INDEX(EntryNotes,$P401)=0,"",INDEX(EntryNotes,$P401)))</f>
        <v/>
      </c>
      <c r="O401" s="26">
        <f>IF($P401="","",IF(INDEX(EntryTxnID,$P401)=0,"",INDEX(EntryTxnID,$P401)))</f>
        <v/>
      </c>
      <c r="P401" s="26">
        <f>IFERROR(MATCH($C$5&amp;"|"&amp;RIGHT("000000"&amp;385,6),CalcRankKey,0),"")</f>
        <v/>
      </c>
    </row>
    <row r="402">
      <c r="A402" s="28">
        <f>IF($B402="","",386)</f>
        <v/>
      </c>
      <c r="B402" s="28">
        <f>IF($P402="","",IF(INDEX(CalcNormDate,$P402)=0,"",INDEX(CalcNormDate,$P402)))</f>
        <v/>
      </c>
      <c r="C402" s="28">
        <f>IF($P402="","",IF(INDEX(CalcTime,$P402)=0,"",INDEX(CalcTime,$P402)))</f>
        <v/>
      </c>
      <c r="D402" s="28">
        <f>IF($P402="","",IF(INDEX(EntryParty,$P402)=0,"",INDEX(EntryParty,$P402)))</f>
        <v/>
      </c>
      <c r="E402" s="28">
        <f>IF($P402="","",IF(INDEX(EntryPartyName,$P402)=0,"",INDEX(EntryPartyName,$P402)))</f>
        <v/>
      </c>
      <c r="F402" s="28">
        <f>IF($P402="","",IF(INDEX(EntryPartyType,$P402)=0,"",INDEX(EntryPartyType,$P402)))</f>
        <v/>
      </c>
      <c r="G402" s="28">
        <f>IF($P402="","",IF(INDEX(EntryTxnType,$P402)=0,"",INDEX(EntryTxnType,$P402)))</f>
        <v/>
      </c>
      <c r="H402" s="29">
        <f>IF($P402="","",IF(INDEX(EntryDep,$P402)=0,"",INDEX(EntryDep,$P402)))</f>
        <v/>
      </c>
      <c r="I402" s="29">
        <f>IF($P402="","",IF(INDEX(EntryWit,$P402)=0,"",INDEX(EntryWit,$P402)))</f>
        <v/>
      </c>
      <c r="J402" s="29">
        <f>IF($B402="","",IF($A402=1,$C$7,IF(J401="",0,J401))+IF($H402="",0,$H402)-IF($I402="",0,$I402))</f>
        <v/>
      </c>
      <c r="K402" s="29">
        <f>IF($P402="","",IF(INDEX(EntryMan,$P402)=0,"",INDEX(EntryMan,$P402)))</f>
        <v/>
      </c>
      <c r="L402" s="28">
        <f>IF($B402="","",IF($K402="","—",IF(ROUND($K402-$J402,0)=0,"√","×")))</f>
        <v/>
      </c>
      <c r="M402" s="28">
        <f>IF($B402="","",IF(COUNTIFS(EntryDates,$B402,CalcTime,$C402,CalcBank,$C$5,EntryParty,$D402,EntryDep,$H402,EntryWit,$I402)&gt;1,"تکرار",""))</f>
        <v/>
      </c>
      <c r="N402" s="28">
        <f>IF($P402="","",IF(INDEX(EntryNotes,$P402)=0,"",INDEX(EntryNotes,$P402)))</f>
        <v/>
      </c>
      <c r="O402" s="28">
        <f>IF($P402="","",IF(INDEX(EntryTxnID,$P402)=0,"",INDEX(EntryTxnID,$P402)))</f>
        <v/>
      </c>
      <c r="P402" s="28">
        <f>IFERROR(MATCH($C$5&amp;"|"&amp;RIGHT("000000"&amp;386,6),CalcRankKey,0),"")</f>
        <v/>
      </c>
    </row>
    <row r="403">
      <c r="A403" s="26">
        <f>IF($B403="","",387)</f>
        <v/>
      </c>
      <c r="B403" s="26">
        <f>IF($P403="","",IF(INDEX(CalcNormDate,$P403)=0,"",INDEX(CalcNormDate,$P403)))</f>
        <v/>
      </c>
      <c r="C403" s="26">
        <f>IF($P403="","",IF(INDEX(CalcTime,$P403)=0,"",INDEX(CalcTime,$P403)))</f>
        <v/>
      </c>
      <c r="D403" s="26">
        <f>IF($P403="","",IF(INDEX(EntryParty,$P403)=0,"",INDEX(EntryParty,$P403)))</f>
        <v/>
      </c>
      <c r="E403" s="26">
        <f>IF($P403="","",IF(INDEX(EntryPartyName,$P403)=0,"",INDEX(EntryPartyName,$P403)))</f>
        <v/>
      </c>
      <c r="F403" s="26">
        <f>IF($P403="","",IF(INDEX(EntryPartyType,$P403)=0,"",INDEX(EntryPartyType,$P403)))</f>
        <v/>
      </c>
      <c r="G403" s="26">
        <f>IF($P403="","",IF(INDEX(EntryTxnType,$P403)=0,"",INDEX(EntryTxnType,$P403)))</f>
        <v/>
      </c>
      <c r="H403" s="27">
        <f>IF($P403="","",IF(INDEX(EntryDep,$P403)=0,"",INDEX(EntryDep,$P403)))</f>
        <v/>
      </c>
      <c r="I403" s="27">
        <f>IF($P403="","",IF(INDEX(EntryWit,$P403)=0,"",INDEX(EntryWit,$P403)))</f>
        <v/>
      </c>
      <c r="J403" s="27">
        <f>IF($B403="","",IF($A403=1,$C$7,IF(J402="",0,J402))+IF($H403="",0,$H403)-IF($I403="",0,$I403))</f>
        <v/>
      </c>
      <c r="K403" s="27">
        <f>IF($P403="","",IF(INDEX(EntryMan,$P403)=0,"",INDEX(EntryMan,$P403)))</f>
        <v/>
      </c>
      <c r="L403" s="26">
        <f>IF($B403="","",IF($K403="","—",IF(ROUND($K403-$J403,0)=0,"√","×")))</f>
        <v/>
      </c>
      <c r="M403" s="26">
        <f>IF($B403="","",IF(COUNTIFS(EntryDates,$B403,CalcTime,$C403,CalcBank,$C$5,EntryParty,$D403,EntryDep,$H403,EntryWit,$I403)&gt;1,"تکرار",""))</f>
        <v/>
      </c>
      <c r="N403" s="26">
        <f>IF($P403="","",IF(INDEX(EntryNotes,$P403)=0,"",INDEX(EntryNotes,$P403)))</f>
        <v/>
      </c>
      <c r="O403" s="26">
        <f>IF($P403="","",IF(INDEX(EntryTxnID,$P403)=0,"",INDEX(EntryTxnID,$P403)))</f>
        <v/>
      </c>
      <c r="P403" s="26">
        <f>IFERROR(MATCH($C$5&amp;"|"&amp;RIGHT("000000"&amp;387,6),CalcRankKey,0),"")</f>
        <v/>
      </c>
    </row>
    <row r="404">
      <c r="A404" s="28">
        <f>IF($B404="","",388)</f>
        <v/>
      </c>
      <c r="B404" s="28">
        <f>IF($P404="","",IF(INDEX(CalcNormDate,$P404)=0,"",INDEX(CalcNormDate,$P404)))</f>
        <v/>
      </c>
      <c r="C404" s="28">
        <f>IF($P404="","",IF(INDEX(CalcTime,$P404)=0,"",INDEX(CalcTime,$P404)))</f>
        <v/>
      </c>
      <c r="D404" s="28">
        <f>IF($P404="","",IF(INDEX(EntryParty,$P404)=0,"",INDEX(EntryParty,$P404)))</f>
        <v/>
      </c>
      <c r="E404" s="28">
        <f>IF($P404="","",IF(INDEX(EntryPartyName,$P404)=0,"",INDEX(EntryPartyName,$P404)))</f>
        <v/>
      </c>
      <c r="F404" s="28">
        <f>IF($P404="","",IF(INDEX(EntryPartyType,$P404)=0,"",INDEX(EntryPartyType,$P404)))</f>
        <v/>
      </c>
      <c r="G404" s="28">
        <f>IF($P404="","",IF(INDEX(EntryTxnType,$P404)=0,"",INDEX(EntryTxnType,$P404)))</f>
        <v/>
      </c>
      <c r="H404" s="29">
        <f>IF($P404="","",IF(INDEX(EntryDep,$P404)=0,"",INDEX(EntryDep,$P404)))</f>
        <v/>
      </c>
      <c r="I404" s="29">
        <f>IF($P404="","",IF(INDEX(EntryWit,$P404)=0,"",INDEX(EntryWit,$P404)))</f>
        <v/>
      </c>
      <c r="J404" s="29">
        <f>IF($B404="","",IF($A404=1,$C$7,IF(J403="",0,J403))+IF($H404="",0,$H404)-IF($I404="",0,$I404))</f>
        <v/>
      </c>
      <c r="K404" s="29">
        <f>IF($P404="","",IF(INDEX(EntryMan,$P404)=0,"",INDEX(EntryMan,$P404)))</f>
        <v/>
      </c>
      <c r="L404" s="28">
        <f>IF($B404="","",IF($K404="","—",IF(ROUND($K404-$J404,0)=0,"√","×")))</f>
        <v/>
      </c>
      <c r="M404" s="28">
        <f>IF($B404="","",IF(COUNTIFS(EntryDates,$B404,CalcTime,$C404,CalcBank,$C$5,EntryParty,$D404,EntryDep,$H404,EntryWit,$I404)&gt;1,"تکرار",""))</f>
        <v/>
      </c>
      <c r="N404" s="28">
        <f>IF($P404="","",IF(INDEX(EntryNotes,$P404)=0,"",INDEX(EntryNotes,$P404)))</f>
        <v/>
      </c>
      <c r="O404" s="28">
        <f>IF($P404="","",IF(INDEX(EntryTxnID,$P404)=0,"",INDEX(EntryTxnID,$P404)))</f>
        <v/>
      </c>
      <c r="P404" s="28">
        <f>IFERROR(MATCH($C$5&amp;"|"&amp;RIGHT("000000"&amp;388,6),CalcRankKey,0),"")</f>
        <v/>
      </c>
    </row>
    <row r="405">
      <c r="A405" s="26">
        <f>IF($B405="","",389)</f>
        <v/>
      </c>
      <c r="B405" s="26">
        <f>IF($P405="","",IF(INDEX(CalcNormDate,$P405)=0,"",INDEX(CalcNormDate,$P405)))</f>
        <v/>
      </c>
      <c r="C405" s="26">
        <f>IF($P405="","",IF(INDEX(CalcTime,$P405)=0,"",INDEX(CalcTime,$P405)))</f>
        <v/>
      </c>
      <c r="D405" s="26">
        <f>IF($P405="","",IF(INDEX(EntryParty,$P405)=0,"",INDEX(EntryParty,$P405)))</f>
        <v/>
      </c>
      <c r="E405" s="26">
        <f>IF($P405="","",IF(INDEX(EntryPartyName,$P405)=0,"",INDEX(EntryPartyName,$P405)))</f>
        <v/>
      </c>
      <c r="F405" s="26">
        <f>IF($P405="","",IF(INDEX(EntryPartyType,$P405)=0,"",INDEX(EntryPartyType,$P405)))</f>
        <v/>
      </c>
      <c r="G405" s="26">
        <f>IF($P405="","",IF(INDEX(EntryTxnType,$P405)=0,"",INDEX(EntryTxnType,$P405)))</f>
        <v/>
      </c>
      <c r="H405" s="27">
        <f>IF($P405="","",IF(INDEX(EntryDep,$P405)=0,"",INDEX(EntryDep,$P405)))</f>
        <v/>
      </c>
      <c r="I405" s="27">
        <f>IF($P405="","",IF(INDEX(EntryWit,$P405)=0,"",INDEX(EntryWit,$P405)))</f>
        <v/>
      </c>
      <c r="J405" s="27">
        <f>IF($B405="","",IF($A405=1,$C$7,IF(J404="",0,J404))+IF($H405="",0,$H405)-IF($I405="",0,$I405))</f>
        <v/>
      </c>
      <c r="K405" s="27">
        <f>IF($P405="","",IF(INDEX(EntryMan,$P405)=0,"",INDEX(EntryMan,$P405)))</f>
        <v/>
      </c>
      <c r="L405" s="26">
        <f>IF($B405="","",IF($K405="","—",IF(ROUND($K405-$J405,0)=0,"√","×")))</f>
        <v/>
      </c>
      <c r="M405" s="26">
        <f>IF($B405="","",IF(COUNTIFS(EntryDates,$B405,CalcTime,$C405,CalcBank,$C$5,EntryParty,$D405,EntryDep,$H405,EntryWit,$I405)&gt;1,"تکرار",""))</f>
        <v/>
      </c>
      <c r="N405" s="26">
        <f>IF($P405="","",IF(INDEX(EntryNotes,$P405)=0,"",INDEX(EntryNotes,$P405)))</f>
        <v/>
      </c>
      <c r="O405" s="26">
        <f>IF($P405="","",IF(INDEX(EntryTxnID,$P405)=0,"",INDEX(EntryTxnID,$P405)))</f>
        <v/>
      </c>
      <c r="P405" s="26">
        <f>IFERROR(MATCH($C$5&amp;"|"&amp;RIGHT("000000"&amp;389,6),CalcRankKey,0),"")</f>
        <v/>
      </c>
    </row>
    <row r="406">
      <c r="A406" s="28">
        <f>IF($B406="","",390)</f>
        <v/>
      </c>
      <c r="B406" s="28">
        <f>IF($P406="","",IF(INDEX(CalcNormDate,$P406)=0,"",INDEX(CalcNormDate,$P406)))</f>
        <v/>
      </c>
      <c r="C406" s="28">
        <f>IF($P406="","",IF(INDEX(CalcTime,$P406)=0,"",INDEX(CalcTime,$P406)))</f>
        <v/>
      </c>
      <c r="D406" s="28">
        <f>IF($P406="","",IF(INDEX(EntryParty,$P406)=0,"",INDEX(EntryParty,$P406)))</f>
        <v/>
      </c>
      <c r="E406" s="28">
        <f>IF($P406="","",IF(INDEX(EntryPartyName,$P406)=0,"",INDEX(EntryPartyName,$P406)))</f>
        <v/>
      </c>
      <c r="F406" s="28">
        <f>IF($P406="","",IF(INDEX(EntryPartyType,$P406)=0,"",INDEX(EntryPartyType,$P406)))</f>
        <v/>
      </c>
      <c r="G406" s="28">
        <f>IF($P406="","",IF(INDEX(EntryTxnType,$P406)=0,"",INDEX(EntryTxnType,$P406)))</f>
        <v/>
      </c>
      <c r="H406" s="29">
        <f>IF($P406="","",IF(INDEX(EntryDep,$P406)=0,"",INDEX(EntryDep,$P406)))</f>
        <v/>
      </c>
      <c r="I406" s="29">
        <f>IF($P406="","",IF(INDEX(EntryWit,$P406)=0,"",INDEX(EntryWit,$P406)))</f>
        <v/>
      </c>
      <c r="J406" s="29">
        <f>IF($B406="","",IF($A406=1,$C$7,IF(J405="",0,J405))+IF($H406="",0,$H406)-IF($I406="",0,$I406))</f>
        <v/>
      </c>
      <c r="K406" s="29">
        <f>IF($P406="","",IF(INDEX(EntryMan,$P406)=0,"",INDEX(EntryMan,$P406)))</f>
        <v/>
      </c>
      <c r="L406" s="28">
        <f>IF($B406="","",IF($K406="","—",IF(ROUND($K406-$J406,0)=0,"√","×")))</f>
        <v/>
      </c>
      <c r="M406" s="28">
        <f>IF($B406="","",IF(COUNTIFS(EntryDates,$B406,CalcTime,$C406,CalcBank,$C$5,EntryParty,$D406,EntryDep,$H406,EntryWit,$I406)&gt;1,"تکرار",""))</f>
        <v/>
      </c>
      <c r="N406" s="28">
        <f>IF($P406="","",IF(INDEX(EntryNotes,$P406)=0,"",INDEX(EntryNotes,$P406)))</f>
        <v/>
      </c>
      <c r="O406" s="28">
        <f>IF($P406="","",IF(INDEX(EntryTxnID,$P406)=0,"",INDEX(EntryTxnID,$P406)))</f>
        <v/>
      </c>
      <c r="P406" s="28">
        <f>IFERROR(MATCH($C$5&amp;"|"&amp;RIGHT("000000"&amp;390,6),CalcRankKey,0),"")</f>
        <v/>
      </c>
    </row>
    <row r="407">
      <c r="A407" s="26">
        <f>IF($B407="","",391)</f>
        <v/>
      </c>
      <c r="B407" s="26">
        <f>IF($P407="","",IF(INDEX(CalcNormDate,$P407)=0,"",INDEX(CalcNormDate,$P407)))</f>
        <v/>
      </c>
      <c r="C407" s="26">
        <f>IF($P407="","",IF(INDEX(CalcTime,$P407)=0,"",INDEX(CalcTime,$P407)))</f>
        <v/>
      </c>
      <c r="D407" s="26">
        <f>IF($P407="","",IF(INDEX(EntryParty,$P407)=0,"",INDEX(EntryParty,$P407)))</f>
        <v/>
      </c>
      <c r="E407" s="26">
        <f>IF($P407="","",IF(INDEX(EntryPartyName,$P407)=0,"",INDEX(EntryPartyName,$P407)))</f>
        <v/>
      </c>
      <c r="F407" s="26">
        <f>IF($P407="","",IF(INDEX(EntryPartyType,$P407)=0,"",INDEX(EntryPartyType,$P407)))</f>
        <v/>
      </c>
      <c r="G407" s="26">
        <f>IF($P407="","",IF(INDEX(EntryTxnType,$P407)=0,"",INDEX(EntryTxnType,$P407)))</f>
        <v/>
      </c>
      <c r="H407" s="27">
        <f>IF($P407="","",IF(INDEX(EntryDep,$P407)=0,"",INDEX(EntryDep,$P407)))</f>
        <v/>
      </c>
      <c r="I407" s="27">
        <f>IF($P407="","",IF(INDEX(EntryWit,$P407)=0,"",INDEX(EntryWit,$P407)))</f>
        <v/>
      </c>
      <c r="J407" s="27">
        <f>IF($B407="","",IF($A407=1,$C$7,IF(J406="",0,J406))+IF($H407="",0,$H407)-IF($I407="",0,$I407))</f>
        <v/>
      </c>
      <c r="K407" s="27">
        <f>IF($P407="","",IF(INDEX(EntryMan,$P407)=0,"",INDEX(EntryMan,$P407)))</f>
        <v/>
      </c>
      <c r="L407" s="26">
        <f>IF($B407="","",IF($K407="","—",IF(ROUND($K407-$J407,0)=0,"√","×")))</f>
        <v/>
      </c>
      <c r="M407" s="26">
        <f>IF($B407="","",IF(COUNTIFS(EntryDates,$B407,CalcTime,$C407,CalcBank,$C$5,EntryParty,$D407,EntryDep,$H407,EntryWit,$I407)&gt;1,"تکرار",""))</f>
        <v/>
      </c>
      <c r="N407" s="26">
        <f>IF($P407="","",IF(INDEX(EntryNotes,$P407)=0,"",INDEX(EntryNotes,$P407)))</f>
        <v/>
      </c>
      <c r="O407" s="26">
        <f>IF($P407="","",IF(INDEX(EntryTxnID,$P407)=0,"",INDEX(EntryTxnID,$P407)))</f>
        <v/>
      </c>
      <c r="P407" s="26">
        <f>IFERROR(MATCH($C$5&amp;"|"&amp;RIGHT("000000"&amp;391,6),CalcRankKey,0),"")</f>
        <v/>
      </c>
    </row>
    <row r="408">
      <c r="A408" s="28">
        <f>IF($B408="","",392)</f>
        <v/>
      </c>
      <c r="B408" s="28">
        <f>IF($P408="","",IF(INDEX(CalcNormDate,$P408)=0,"",INDEX(CalcNormDate,$P408)))</f>
        <v/>
      </c>
      <c r="C408" s="28">
        <f>IF($P408="","",IF(INDEX(CalcTime,$P408)=0,"",INDEX(CalcTime,$P408)))</f>
        <v/>
      </c>
      <c r="D408" s="28">
        <f>IF($P408="","",IF(INDEX(EntryParty,$P408)=0,"",INDEX(EntryParty,$P408)))</f>
        <v/>
      </c>
      <c r="E408" s="28">
        <f>IF($P408="","",IF(INDEX(EntryPartyName,$P408)=0,"",INDEX(EntryPartyName,$P408)))</f>
        <v/>
      </c>
      <c r="F408" s="28">
        <f>IF($P408="","",IF(INDEX(EntryPartyType,$P408)=0,"",INDEX(EntryPartyType,$P408)))</f>
        <v/>
      </c>
      <c r="G408" s="28">
        <f>IF($P408="","",IF(INDEX(EntryTxnType,$P408)=0,"",INDEX(EntryTxnType,$P408)))</f>
        <v/>
      </c>
      <c r="H408" s="29">
        <f>IF($P408="","",IF(INDEX(EntryDep,$P408)=0,"",INDEX(EntryDep,$P408)))</f>
        <v/>
      </c>
      <c r="I408" s="29">
        <f>IF($P408="","",IF(INDEX(EntryWit,$P408)=0,"",INDEX(EntryWit,$P408)))</f>
        <v/>
      </c>
      <c r="J408" s="29">
        <f>IF($B408="","",IF($A408=1,$C$7,IF(J407="",0,J407))+IF($H408="",0,$H408)-IF($I408="",0,$I408))</f>
        <v/>
      </c>
      <c r="K408" s="29">
        <f>IF($P408="","",IF(INDEX(EntryMan,$P408)=0,"",INDEX(EntryMan,$P408)))</f>
        <v/>
      </c>
      <c r="L408" s="28">
        <f>IF($B408="","",IF($K408="","—",IF(ROUND($K408-$J408,0)=0,"√","×")))</f>
        <v/>
      </c>
      <c r="M408" s="28">
        <f>IF($B408="","",IF(COUNTIFS(EntryDates,$B408,CalcTime,$C408,CalcBank,$C$5,EntryParty,$D408,EntryDep,$H408,EntryWit,$I408)&gt;1,"تکرار",""))</f>
        <v/>
      </c>
      <c r="N408" s="28">
        <f>IF($P408="","",IF(INDEX(EntryNotes,$P408)=0,"",INDEX(EntryNotes,$P408)))</f>
        <v/>
      </c>
      <c r="O408" s="28">
        <f>IF($P408="","",IF(INDEX(EntryTxnID,$P408)=0,"",INDEX(EntryTxnID,$P408)))</f>
        <v/>
      </c>
      <c r="P408" s="28">
        <f>IFERROR(MATCH($C$5&amp;"|"&amp;RIGHT("000000"&amp;392,6),CalcRankKey,0),"")</f>
        <v/>
      </c>
    </row>
    <row r="409">
      <c r="A409" s="26">
        <f>IF($B409="","",393)</f>
        <v/>
      </c>
      <c r="B409" s="26">
        <f>IF($P409="","",IF(INDEX(CalcNormDate,$P409)=0,"",INDEX(CalcNormDate,$P409)))</f>
        <v/>
      </c>
      <c r="C409" s="26">
        <f>IF($P409="","",IF(INDEX(CalcTime,$P409)=0,"",INDEX(CalcTime,$P409)))</f>
        <v/>
      </c>
      <c r="D409" s="26">
        <f>IF($P409="","",IF(INDEX(EntryParty,$P409)=0,"",INDEX(EntryParty,$P409)))</f>
        <v/>
      </c>
      <c r="E409" s="26">
        <f>IF($P409="","",IF(INDEX(EntryPartyName,$P409)=0,"",INDEX(EntryPartyName,$P409)))</f>
        <v/>
      </c>
      <c r="F409" s="26">
        <f>IF($P409="","",IF(INDEX(EntryPartyType,$P409)=0,"",INDEX(EntryPartyType,$P409)))</f>
        <v/>
      </c>
      <c r="G409" s="26">
        <f>IF($P409="","",IF(INDEX(EntryTxnType,$P409)=0,"",INDEX(EntryTxnType,$P409)))</f>
        <v/>
      </c>
      <c r="H409" s="27">
        <f>IF($P409="","",IF(INDEX(EntryDep,$P409)=0,"",INDEX(EntryDep,$P409)))</f>
        <v/>
      </c>
      <c r="I409" s="27">
        <f>IF($P409="","",IF(INDEX(EntryWit,$P409)=0,"",INDEX(EntryWit,$P409)))</f>
        <v/>
      </c>
      <c r="J409" s="27">
        <f>IF($B409="","",IF($A409=1,$C$7,IF(J408="",0,J408))+IF($H409="",0,$H409)-IF($I409="",0,$I409))</f>
        <v/>
      </c>
      <c r="K409" s="27">
        <f>IF($P409="","",IF(INDEX(EntryMan,$P409)=0,"",INDEX(EntryMan,$P409)))</f>
        <v/>
      </c>
      <c r="L409" s="26">
        <f>IF($B409="","",IF($K409="","—",IF(ROUND($K409-$J409,0)=0,"√","×")))</f>
        <v/>
      </c>
      <c r="M409" s="26">
        <f>IF($B409="","",IF(COUNTIFS(EntryDates,$B409,CalcTime,$C409,CalcBank,$C$5,EntryParty,$D409,EntryDep,$H409,EntryWit,$I409)&gt;1,"تکرار",""))</f>
        <v/>
      </c>
      <c r="N409" s="26">
        <f>IF($P409="","",IF(INDEX(EntryNotes,$P409)=0,"",INDEX(EntryNotes,$P409)))</f>
        <v/>
      </c>
      <c r="O409" s="26">
        <f>IF($P409="","",IF(INDEX(EntryTxnID,$P409)=0,"",INDEX(EntryTxnID,$P409)))</f>
        <v/>
      </c>
      <c r="P409" s="26">
        <f>IFERROR(MATCH($C$5&amp;"|"&amp;RIGHT("000000"&amp;393,6),CalcRankKey,0),"")</f>
        <v/>
      </c>
    </row>
    <row r="410">
      <c r="A410" s="28">
        <f>IF($B410="","",394)</f>
        <v/>
      </c>
      <c r="B410" s="28">
        <f>IF($P410="","",IF(INDEX(CalcNormDate,$P410)=0,"",INDEX(CalcNormDate,$P410)))</f>
        <v/>
      </c>
      <c r="C410" s="28">
        <f>IF($P410="","",IF(INDEX(CalcTime,$P410)=0,"",INDEX(CalcTime,$P410)))</f>
        <v/>
      </c>
      <c r="D410" s="28">
        <f>IF($P410="","",IF(INDEX(EntryParty,$P410)=0,"",INDEX(EntryParty,$P410)))</f>
        <v/>
      </c>
      <c r="E410" s="28">
        <f>IF($P410="","",IF(INDEX(EntryPartyName,$P410)=0,"",INDEX(EntryPartyName,$P410)))</f>
        <v/>
      </c>
      <c r="F410" s="28">
        <f>IF($P410="","",IF(INDEX(EntryPartyType,$P410)=0,"",INDEX(EntryPartyType,$P410)))</f>
        <v/>
      </c>
      <c r="G410" s="28">
        <f>IF($P410="","",IF(INDEX(EntryTxnType,$P410)=0,"",INDEX(EntryTxnType,$P410)))</f>
        <v/>
      </c>
      <c r="H410" s="29">
        <f>IF($P410="","",IF(INDEX(EntryDep,$P410)=0,"",INDEX(EntryDep,$P410)))</f>
        <v/>
      </c>
      <c r="I410" s="29">
        <f>IF($P410="","",IF(INDEX(EntryWit,$P410)=0,"",INDEX(EntryWit,$P410)))</f>
        <v/>
      </c>
      <c r="J410" s="29">
        <f>IF($B410="","",IF($A410=1,$C$7,IF(J409="",0,J409))+IF($H410="",0,$H410)-IF($I410="",0,$I410))</f>
        <v/>
      </c>
      <c r="K410" s="29">
        <f>IF($P410="","",IF(INDEX(EntryMan,$P410)=0,"",INDEX(EntryMan,$P410)))</f>
        <v/>
      </c>
      <c r="L410" s="28">
        <f>IF($B410="","",IF($K410="","—",IF(ROUND($K410-$J410,0)=0,"√","×")))</f>
        <v/>
      </c>
      <c r="M410" s="28">
        <f>IF($B410="","",IF(COUNTIFS(EntryDates,$B410,CalcTime,$C410,CalcBank,$C$5,EntryParty,$D410,EntryDep,$H410,EntryWit,$I410)&gt;1,"تکرار",""))</f>
        <v/>
      </c>
      <c r="N410" s="28">
        <f>IF($P410="","",IF(INDEX(EntryNotes,$P410)=0,"",INDEX(EntryNotes,$P410)))</f>
        <v/>
      </c>
      <c r="O410" s="28">
        <f>IF($P410="","",IF(INDEX(EntryTxnID,$P410)=0,"",INDEX(EntryTxnID,$P410)))</f>
        <v/>
      </c>
      <c r="P410" s="28">
        <f>IFERROR(MATCH($C$5&amp;"|"&amp;RIGHT("000000"&amp;394,6),CalcRankKey,0),"")</f>
        <v/>
      </c>
    </row>
    <row r="411">
      <c r="A411" s="26">
        <f>IF($B411="","",395)</f>
        <v/>
      </c>
      <c r="B411" s="26">
        <f>IF($P411="","",IF(INDEX(CalcNormDate,$P411)=0,"",INDEX(CalcNormDate,$P411)))</f>
        <v/>
      </c>
      <c r="C411" s="26">
        <f>IF($P411="","",IF(INDEX(CalcTime,$P411)=0,"",INDEX(CalcTime,$P411)))</f>
        <v/>
      </c>
      <c r="D411" s="26">
        <f>IF($P411="","",IF(INDEX(EntryParty,$P411)=0,"",INDEX(EntryParty,$P411)))</f>
        <v/>
      </c>
      <c r="E411" s="26">
        <f>IF($P411="","",IF(INDEX(EntryPartyName,$P411)=0,"",INDEX(EntryPartyName,$P411)))</f>
        <v/>
      </c>
      <c r="F411" s="26">
        <f>IF($P411="","",IF(INDEX(EntryPartyType,$P411)=0,"",INDEX(EntryPartyType,$P411)))</f>
        <v/>
      </c>
      <c r="G411" s="26">
        <f>IF($P411="","",IF(INDEX(EntryTxnType,$P411)=0,"",INDEX(EntryTxnType,$P411)))</f>
        <v/>
      </c>
      <c r="H411" s="27">
        <f>IF($P411="","",IF(INDEX(EntryDep,$P411)=0,"",INDEX(EntryDep,$P411)))</f>
        <v/>
      </c>
      <c r="I411" s="27">
        <f>IF($P411="","",IF(INDEX(EntryWit,$P411)=0,"",INDEX(EntryWit,$P411)))</f>
        <v/>
      </c>
      <c r="J411" s="27">
        <f>IF($B411="","",IF($A411=1,$C$7,IF(J410="",0,J410))+IF($H411="",0,$H411)-IF($I411="",0,$I411))</f>
        <v/>
      </c>
      <c r="K411" s="27">
        <f>IF($P411="","",IF(INDEX(EntryMan,$P411)=0,"",INDEX(EntryMan,$P411)))</f>
        <v/>
      </c>
      <c r="L411" s="26">
        <f>IF($B411="","",IF($K411="","—",IF(ROUND($K411-$J411,0)=0,"√","×")))</f>
        <v/>
      </c>
      <c r="M411" s="26">
        <f>IF($B411="","",IF(COUNTIFS(EntryDates,$B411,CalcTime,$C411,CalcBank,$C$5,EntryParty,$D411,EntryDep,$H411,EntryWit,$I411)&gt;1,"تکرار",""))</f>
        <v/>
      </c>
      <c r="N411" s="26">
        <f>IF($P411="","",IF(INDEX(EntryNotes,$P411)=0,"",INDEX(EntryNotes,$P411)))</f>
        <v/>
      </c>
      <c r="O411" s="26">
        <f>IF($P411="","",IF(INDEX(EntryTxnID,$P411)=0,"",INDEX(EntryTxnID,$P411)))</f>
        <v/>
      </c>
      <c r="P411" s="26">
        <f>IFERROR(MATCH($C$5&amp;"|"&amp;RIGHT("000000"&amp;395,6),CalcRankKey,0),"")</f>
        <v/>
      </c>
    </row>
    <row r="412">
      <c r="A412" s="28">
        <f>IF($B412="","",396)</f>
        <v/>
      </c>
      <c r="B412" s="28">
        <f>IF($P412="","",IF(INDEX(CalcNormDate,$P412)=0,"",INDEX(CalcNormDate,$P412)))</f>
        <v/>
      </c>
      <c r="C412" s="28">
        <f>IF($P412="","",IF(INDEX(CalcTime,$P412)=0,"",INDEX(CalcTime,$P412)))</f>
        <v/>
      </c>
      <c r="D412" s="28">
        <f>IF($P412="","",IF(INDEX(EntryParty,$P412)=0,"",INDEX(EntryParty,$P412)))</f>
        <v/>
      </c>
      <c r="E412" s="28">
        <f>IF($P412="","",IF(INDEX(EntryPartyName,$P412)=0,"",INDEX(EntryPartyName,$P412)))</f>
        <v/>
      </c>
      <c r="F412" s="28">
        <f>IF($P412="","",IF(INDEX(EntryPartyType,$P412)=0,"",INDEX(EntryPartyType,$P412)))</f>
        <v/>
      </c>
      <c r="G412" s="28">
        <f>IF($P412="","",IF(INDEX(EntryTxnType,$P412)=0,"",INDEX(EntryTxnType,$P412)))</f>
        <v/>
      </c>
      <c r="H412" s="29">
        <f>IF($P412="","",IF(INDEX(EntryDep,$P412)=0,"",INDEX(EntryDep,$P412)))</f>
        <v/>
      </c>
      <c r="I412" s="29">
        <f>IF($P412="","",IF(INDEX(EntryWit,$P412)=0,"",INDEX(EntryWit,$P412)))</f>
        <v/>
      </c>
      <c r="J412" s="29">
        <f>IF($B412="","",IF($A412=1,$C$7,IF(J411="",0,J411))+IF($H412="",0,$H412)-IF($I412="",0,$I412))</f>
        <v/>
      </c>
      <c r="K412" s="29">
        <f>IF($P412="","",IF(INDEX(EntryMan,$P412)=0,"",INDEX(EntryMan,$P412)))</f>
        <v/>
      </c>
      <c r="L412" s="28">
        <f>IF($B412="","",IF($K412="","—",IF(ROUND($K412-$J412,0)=0,"√","×")))</f>
        <v/>
      </c>
      <c r="M412" s="28">
        <f>IF($B412="","",IF(COUNTIFS(EntryDates,$B412,CalcTime,$C412,CalcBank,$C$5,EntryParty,$D412,EntryDep,$H412,EntryWit,$I412)&gt;1,"تکرار",""))</f>
        <v/>
      </c>
      <c r="N412" s="28">
        <f>IF($P412="","",IF(INDEX(EntryNotes,$P412)=0,"",INDEX(EntryNotes,$P412)))</f>
        <v/>
      </c>
      <c r="O412" s="28">
        <f>IF($P412="","",IF(INDEX(EntryTxnID,$P412)=0,"",INDEX(EntryTxnID,$P412)))</f>
        <v/>
      </c>
      <c r="P412" s="28">
        <f>IFERROR(MATCH($C$5&amp;"|"&amp;RIGHT("000000"&amp;396,6),CalcRankKey,0),"")</f>
        <v/>
      </c>
    </row>
    <row r="413">
      <c r="A413" s="26">
        <f>IF($B413="","",397)</f>
        <v/>
      </c>
      <c r="B413" s="26">
        <f>IF($P413="","",IF(INDEX(CalcNormDate,$P413)=0,"",INDEX(CalcNormDate,$P413)))</f>
        <v/>
      </c>
      <c r="C413" s="26">
        <f>IF($P413="","",IF(INDEX(CalcTime,$P413)=0,"",INDEX(CalcTime,$P413)))</f>
        <v/>
      </c>
      <c r="D413" s="26">
        <f>IF($P413="","",IF(INDEX(EntryParty,$P413)=0,"",INDEX(EntryParty,$P413)))</f>
        <v/>
      </c>
      <c r="E413" s="26">
        <f>IF($P413="","",IF(INDEX(EntryPartyName,$P413)=0,"",INDEX(EntryPartyName,$P413)))</f>
        <v/>
      </c>
      <c r="F413" s="26">
        <f>IF($P413="","",IF(INDEX(EntryPartyType,$P413)=0,"",INDEX(EntryPartyType,$P413)))</f>
        <v/>
      </c>
      <c r="G413" s="26">
        <f>IF($P413="","",IF(INDEX(EntryTxnType,$P413)=0,"",INDEX(EntryTxnType,$P413)))</f>
        <v/>
      </c>
      <c r="H413" s="27">
        <f>IF($P413="","",IF(INDEX(EntryDep,$P413)=0,"",INDEX(EntryDep,$P413)))</f>
        <v/>
      </c>
      <c r="I413" s="27">
        <f>IF($P413="","",IF(INDEX(EntryWit,$P413)=0,"",INDEX(EntryWit,$P413)))</f>
        <v/>
      </c>
      <c r="J413" s="27">
        <f>IF($B413="","",IF($A413=1,$C$7,IF(J412="",0,J412))+IF($H413="",0,$H413)-IF($I413="",0,$I413))</f>
        <v/>
      </c>
      <c r="K413" s="27">
        <f>IF($P413="","",IF(INDEX(EntryMan,$P413)=0,"",INDEX(EntryMan,$P413)))</f>
        <v/>
      </c>
      <c r="L413" s="26">
        <f>IF($B413="","",IF($K413="","—",IF(ROUND($K413-$J413,0)=0,"√","×")))</f>
        <v/>
      </c>
      <c r="M413" s="26">
        <f>IF($B413="","",IF(COUNTIFS(EntryDates,$B413,CalcTime,$C413,CalcBank,$C$5,EntryParty,$D413,EntryDep,$H413,EntryWit,$I413)&gt;1,"تکرار",""))</f>
        <v/>
      </c>
      <c r="N413" s="26">
        <f>IF($P413="","",IF(INDEX(EntryNotes,$P413)=0,"",INDEX(EntryNotes,$P413)))</f>
        <v/>
      </c>
      <c r="O413" s="26">
        <f>IF($P413="","",IF(INDEX(EntryTxnID,$P413)=0,"",INDEX(EntryTxnID,$P413)))</f>
        <v/>
      </c>
      <c r="P413" s="26">
        <f>IFERROR(MATCH($C$5&amp;"|"&amp;RIGHT("000000"&amp;397,6),CalcRankKey,0),"")</f>
        <v/>
      </c>
    </row>
    <row r="414">
      <c r="A414" s="28">
        <f>IF($B414="","",398)</f>
        <v/>
      </c>
      <c r="B414" s="28">
        <f>IF($P414="","",IF(INDEX(CalcNormDate,$P414)=0,"",INDEX(CalcNormDate,$P414)))</f>
        <v/>
      </c>
      <c r="C414" s="28">
        <f>IF($P414="","",IF(INDEX(CalcTime,$P414)=0,"",INDEX(CalcTime,$P414)))</f>
        <v/>
      </c>
      <c r="D414" s="28">
        <f>IF($P414="","",IF(INDEX(EntryParty,$P414)=0,"",INDEX(EntryParty,$P414)))</f>
        <v/>
      </c>
      <c r="E414" s="28">
        <f>IF($P414="","",IF(INDEX(EntryPartyName,$P414)=0,"",INDEX(EntryPartyName,$P414)))</f>
        <v/>
      </c>
      <c r="F414" s="28">
        <f>IF($P414="","",IF(INDEX(EntryPartyType,$P414)=0,"",INDEX(EntryPartyType,$P414)))</f>
        <v/>
      </c>
      <c r="G414" s="28">
        <f>IF($P414="","",IF(INDEX(EntryTxnType,$P414)=0,"",INDEX(EntryTxnType,$P414)))</f>
        <v/>
      </c>
      <c r="H414" s="29">
        <f>IF($P414="","",IF(INDEX(EntryDep,$P414)=0,"",INDEX(EntryDep,$P414)))</f>
        <v/>
      </c>
      <c r="I414" s="29">
        <f>IF($P414="","",IF(INDEX(EntryWit,$P414)=0,"",INDEX(EntryWit,$P414)))</f>
        <v/>
      </c>
      <c r="J414" s="29">
        <f>IF($B414="","",IF($A414=1,$C$7,IF(J413="",0,J413))+IF($H414="",0,$H414)-IF($I414="",0,$I414))</f>
        <v/>
      </c>
      <c r="K414" s="29">
        <f>IF($P414="","",IF(INDEX(EntryMan,$P414)=0,"",INDEX(EntryMan,$P414)))</f>
        <v/>
      </c>
      <c r="L414" s="28">
        <f>IF($B414="","",IF($K414="","—",IF(ROUND($K414-$J414,0)=0,"√","×")))</f>
        <v/>
      </c>
      <c r="M414" s="28">
        <f>IF($B414="","",IF(COUNTIFS(EntryDates,$B414,CalcTime,$C414,CalcBank,$C$5,EntryParty,$D414,EntryDep,$H414,EntryWit,$I414)&gt;1,"تکرار",""))</f>
        <v/>
      </c>
      <c r="N414" s="28">
        <f>IF($P414="","",IF(INDEX(EntryNotes,$P414)=0,"",INDEX(EntryNotes,$P414)))</f>
        <v/>
      </c>
      <c r="O414" s="28">
        <f>IF($P414="","",IF(INDEX(EntryTxnID,$P414)=0,"",INDEX(EntryTxnID,$P414)))</f>
        <v/>
      </c>
      <c r="P414" s="28">
        <f>IFERROR(MATCH($C$5&amp;"|"&amp;RIGHT("000000"&amp;398,6),CalcRankKey,0),"")</f>
        <v/>
      </c>
    </row>
    <row r="415">
      <c r="A415" s="26">
        <f>IF($B415="","",399)</f>
        <v/>
      </c>
      <c r="B415" s="26">
        <f>IF($P415="","",IF(INDEX(CalcNormDate,$P415)=0,"",INDEX(CalcNormDate,$P415)))</f>
        <v/>
      </c>
      <c r="C415" s="26">
        <f>IF($P415="","",IF(INDEX(CalcTime,$P415)=0,"",INDEX(CalcTime,$P415)))</f>
        <v/>
      </c>
      <c r="D415" s="26">
        <f>IF($P415="","",IF(INDEX(EntryParty,$P415)=0,"",INDEX(EntryParty,$P415)))</f>
        <v/>
      </c>
      <c r="E415" s="26">
        <f>IF($P415="","",IF(INDEX(EntryPartyName,$P415)=0,"",INDEX(EntryPartyName,$P415)))</f>
        <v/>
      </c>
      <c r="F415" s="26">
        <f>IF($P415="","",IF(INDEX(EntryPartyType,$P415)=0,"",INDEX(EntryPartyType,$P415)))</f>
        <v/>
      </c>
      <c r="G415" s="26">
        <f>IF($P415="","",IF(INDEX(EntryTxnType,$P415)=0,"",INDEX(EntryTxnType,$P415)))</f>
        <v/>
      </c>
      <c r="H415" s="27">
        <f>IF($P415="","",IF(INDEX(EntryDep,$P415)=0,"",INDEX(EntryDep,$P415)))</f>
        <v/>
      </c>
      <c r="I415" s="27">
        <f>IF($P415="","",IF(INDEX(EntryWit,$P415)=0,"",INDEX(EntryWit,$P415)))</f>
        <v/>
      </c>
      <c r="J415" s="27">
        <f>IF($B415="","",IF($A415=1,$C$7,IF(J414="",0,J414))+IF($H415="",0,$H415)-IF($I415="",0,$I415))</f>
        <v/>
      </c>
      <c r="K415" s="27">
        <f>IF($P415="","",IF(INDEX(EntryMan,$P415)=0,"",INDEX(EntryMan,$P415)))</f>
        <v/>
      </c>
      <c r="L415" s="26">
        <f>IF($B415="","",IF($K415="","—",IF(ROUND($K415-$J415,0)=0,"√","×")))</f>
        <v/>
      </c>
      <c r="M415" s="26">
        <f>IF($B415="","",IF(COUNTIFS(EntryDates,$B415,CalcTime,$C415,CalcBank,$C$5,EntryParty,$D415,EntryDep,$H415,EntryWit,$I415)&gt;1,"تکرار",""))</f>
        <v/>
      </c>
      <c r="N415" s="26">
        <f>IF($P415="","",IF(INDEX(EntryNotes,$P415)=0,"",INDEX(EntryNotes,$P415)))</f>
        <v/>
      </c>
      <c r="O415" s="26">
        <f>IF($P415="","",IF(INDEX(EntryTxnID,$P415)=0,"",INDEX(EntryTxnID,$P415)))</f>
        <v/>
      </c>
      <c r="P415" s="26">
        <f>IFERROR(MATCH($C$5&amp;"|"&amp;RIGHT("000000"&amp;399,6),CalcRankKey,0),"")</f>
        <v/>
      </c>
    </row>
    <row r="416">
      <c r="A416" s="28">
        <f>IF($B416="","",400)</f>
        <v/>
      </c>
      <c r="B416" s="28">
        <f>IF($P416="","",IF(INDEX(CalcNormDate,$P416)=0,"",INDEX(CalcNormDate,$P416)))</f>
        <v/>
      </c>
      <c r="C416" s="28">
        <f>IF($P416="","",IF(INDEX(CalcTime,$P416)=0,"",INDEX(CalcTime,$P416)))</f>
        <v/>
      </c>
      <c r="D416" s="28">
        <f>IF($P416="","",IF(INDEX(EntryParty,$P416)=0,"",INDEX(EntryParty,$P416)))</f>
        <v/>
      </c>
      <c r="E416" s="28">
        <f>IF($P416="","",IF(INDEX(EntryPartyName,$P416)=0,"",INDEX(EntryPartyName,$P416)))</f>
        <v/>
      </c>
      <c r="F416" s="28">
        <f>IF($P416="","",IF(INDEX(EntryPartyType,$P416)=0,"",INDEX(EntryPartyType,$P416)))</f>
        <v/>
      </c>
      <c r="G416" s="28">
        <f>IF($P416="","",IF(INDEX(EntryTxnType,$P416)=0,"",INDEX(EntryTxnType,$P416)))</f>
        <v/>
      </c>
      <c r="H416" s="29">
        <f>IF($P416="","",IF(INDEX(EntryDep,$P416)=0,"",INDEX(EntryDep,$P416)))</f>
        <v/>
      </c>
      <c r="I416" s="29">
        <f>IF($P416="","",IF(INDEX(EntryWit,$P416)=0,"",INDEX(EntryWit,$P416)))</f>
        <v/>
      </c>
      <c r="J416" s="29">
        <f>IF($B416="","",IF($A416=1,$C$7,IF(J415="",0,J415))+IF($H416="",0,$H416)-IF($I416="",0,$I416))</f>
        <v/>
      </c>
      <c r="K416" s="29">
        <f>IF($P416="","",IF(INDEX(EntryMan,$P416)=0,"",INDEX(EntryMan,$P416)))</f>
        <v/>
      </c>
      <c r="L416" s="28">
        <f>IF($B416="","",IF($K416="","—",IF(ROUND($K416-$J416,0)=0,"√","×")))</f>
        <v/>
      </c>
      <c r="M416" s="28">
        <f>IF($B416="","",IF(COUNTIFS(EntryDates,$B416,CalcTime,$C416,CalcBank,$C$5,EntryParty,$D416,EntryDep,$H416,EntryWit,$I416)&gt;1,"تکرار",""))</f>
        <v/>
      </c>
      <c r="N416" s="28">
        <f>IF($P416="","",IF(INDEX(EntryNotes,$P416)=0,"",INDEX(EntryNotes,$P416)))</f>
        <v/>
      </c>
      <c r="O416" s="28">
        <f>IF($P416="","",IF(INDEX(EntryTxnID,$P416)=0,"",INDEX(EntryTxnID,$P416)))</f>
        <v/>
      </c>
      <c r="P416" s="28">
        <f>IFERROR(MATCH($C$5&amp;"|"&amp;RIGHT("000000"&amp;400,6),CalcRankKey,0),"")</f>
        <v/>
      </c>
    </row>
    <row r="417">
      <c r="A417" s="26">
        <f>IF($B417="","",401)</f>
        <v/>
      </c>
      <c r="B417" s="26">
        <f>IF($P417="","",IF(INDEX(CalcNormDate,$P417)=0,"",INDEX(CalcNormDate,$P417)))</f>
        <v/>
      </c>
      <c r="C417" s="26">
        <f>IF($P417="","",IF(INDEX(CalcTime,$P417)=0,"",INDEX(CalcTime,$P417)))</f>
        <v/>
      </c>
      <c r="D417" s="26">
        <f>IF($P417="","",IF(INDEX(EntryParty,$P417)=0,"",INDEX(EntryParty,$P417)))</f>
        <v/>
      </c>
      <c r="E417" s="26">
        <f>IF($P417="","",IF(INDEX(EntryPartyName,$P417)=0,"",INDEX(EntryPartyName,$P417)))</f>
        <v/>
      </c>
      <c r="F417" s="26">
        <f>IF($P417="","",IF(INDEX(EntryPartyType,$P417)=0,"",INDEX(EntryPartyType,$P417)))</f>
        <v/>
      </c>
      <c r="G417" s="26">
        <f>IF($P417="","",IF(INDEX(EntryTxnType,$P417)=0,"",INDEX(EntryTxnType,$P417)))</f>
        <v/>
      </c>
      <c r="H417" s="27">
        <f>IF($P417="","",IF(INDEX(EntryDep,$P417)=0,"",INDEX(EntryDep,$P417)))</f>
        <v/>
      </c>
      <c r="I417" s="27">
        <f>IF($P417="","",IF(INDEX(EntryWit,$P417)=0,"",INDEX(EntryWit,$P417)))</f>
        <v/>
      </c>
      <c r="J417" s="27">
        <f>IF($B417="","",IF($A417=1,$C$7,IF(J416="",0,J416))+IF($H417="",0,$H417)-IF($I417="",0,$I417))</f>
        <v/>
      </c>
      <c r="K417" s="27">
        <f>IF($P417="","",IF(INDEX(EntryMan,$P417)=0,"",INDEX(EntryMan,$P417)))</f>
        <v/>
      </c>
      <c r="L417" s="26">
        <f>IF($B417="","",IF($K417="","—",IF(ROUND($K417-$J417,0)=0,"√","×")))</f>
        <v/>
      </c>
      <c r="M417" s="26">
        <f>IF($B417="","",IF(COUNTIFS(EntryDates,$B417,CalcTime,$C417,CalcBank,$C$5,EntryParty,$D417,EntryDep,$H417,EntryWit,$I417)&gt;1,"تکرار",""))</f>
        <v/>
      </c>
      <c r="N417" s="26">
        <f>IF($P417="","",IF(INDEX(EntryNotes,$P417)=0,"",INDEX(EntryNotes,$P417)))</f>
        <v/>
      </c>
      <c r="O417" s="26">
        <f>IF($P417="","",IF(INDEX(EntryTxnID,$P417)=0,"",INDEX(EntryTxnID,$P417)))</f>
        <v/>
      </c>
      <c r="P417" s="26">
        <f>IFERROR(MATCH($C$5&amp;"|"&amp;RIGHT("000000"&amp;401,6),CalcRankKey,0),"")</f>
        <v/>
      </c>
    </row>
    <row r="418">
      <c r="A418" s="28">
        <f>IF($B418="","",402)</f>
        <v/>
      </c>
      <c r="B418" s="28">
        <f>IF($P418="","",IF(INDEX(CalcNormDate,$P418)=0,"",INDEX(CalcNormDate,$P418)))</f>
        <v/>
      </c>
      <c r="C418" s="28">
        <f>IF($P418="","",IF(INDEX(CalcTime,$P418)=0,"",INDEX(CalcTime,$P418)))</f>
        <v/>
      </c>
      <c r="D418" s="28">
        <f>IF($P418="","",IF(INDEX(EntryParty,$P418)=0,"",INDEX(EntryParty,$P418)))</f>
        <v/>
      </c>
      <c r="E418" s="28">
        <f>IF($P418="","",IF(INDEX(EntryPartyName,$P418)=0,"",INDEX(EntryPartyName,$P418)))</f>
        <v/>
      </c>
      <c r="F418" s="28">
        <f>IF($P418="","",IF(INDEX(EntryPartyType,$P418)=0,"",INDEX(EntryPartyType,$P418)))</f>
        <v/>
      </c>
      <c r="G418" s="28">
        <f>IF($P418="","",IF(INDEX(EntryTxnType,$P418)=0,"",INDEX(EntryTxnType,$P418)))</f>
        <v/>
      </c>
      <c r="H418" s="29">
        <f>IF($P418="","",IF(INDEX(EntryDep,$P418)=0,"",INDEX(EntryDep,$P418)))</f>
        <v/>
      </c>
      <c r="I418" s="29">
        <f>IF($P418="","",IF(INDEX(EntryWit,$P418)=0,"",INDEX(EntryWit,$P418)))</f>
        <v/>
      </c>
      <c r="J418" s="29">
        <f>IF($B418="","",IF($A418=1,$C$7,IF(J417="",0,J417))+IF($H418="",0,$H418)-IF($I418="",0,$I418))</f>
        <v/>
      </c>
      <c r="K418" s="29">
        <f>IF($P418="","",IF(INDEX(EntryMan,$P418)=0,"",INDEX(EntryMan,$P418)))</f>
        <v/>
      </c>
      <c r="L418" s="28">
        <f>IF($B418="","",IF($K418="","—",IF(ROUND($K418-$J418,0)=0,"√","×")))</f>
        <v/>
      </c>
      <c r="M418" s="28">
        <f>IF($B418="","",IF(COUNTIFS(EntryDates,$B418,CalcTime,$C418,CalcBank,$C$5,EntryParty,$D418,EntryDep,$H418,EntryWit,$I418)&gt;1,"تکرار",""))</f>
        <v/>
      </c>
      <c r="N418" s="28">
        <f>IF($P418="","",IF(INDEX(EntryNotes,$P418)=0,"",INDEX(EntryNotes,$P418)))</f>
        <v/>
      </c>
      <c r="O418" s="28">
        <f>IF($P418="","",IF(INDEX(EntryTxnID,$P418)=0,"",INDEX(EntryTxnID,$P418)))</f>
        <v/>
      </c>
      <c r="P418" s="28">
        <f>IFERROR(MATCH($C$5&amp;"|"&amp;RIGHT("000000"&amp;402,6),CalcRankKey,0),"")</f>
        <v/>
      </c>
    </row>
    <row r="419">
      <c r="A419" s="26">
        <f>IF($B419="","",403)</f>
        <v/>
      </c>
      <c r="B419" s="26">
        <f>IF($P419="","",IF(INDEX(CalcNormDate,$P419)=0,"",INDEX(CalcNormDate,$P419)))</f>
        <v/>
      </c>
      <c r="C419" s="26">
        <f>IF($P419="","",IF(INDEX(CalcTime,$P419)=0,"",INDEX(CalcTime,$P419)))</f>
        <v/>
      </c>
      <c r="D419" s="26">
        <f>IF($P419="","",IF(INDEX(EntryParty,$P419)=0,"",INDEX(EntryParty,$P419)))</f>
        <v/>
      </c>
      <c r="E419" s="26">
        <f>IF($P419="","",IF(INDEX(EntryPartyName,$P419)=0,"",INDEX(EntryPartyName,$P419)))</f>
        <v/>
      </c>
      <c r="F419" s="26">
        <f>IF($P419="","",IF(INDEX(EntryPartyType,$P419)=0,"",INDEX(EntryPartyType,$P419)))</f>
        <v/>
      </c>
      <c r="G419" s="26">
        <f>IF($P419="","",IF(INDEX(EntryTxnType,$P419)=0,"",INDEX(EntryTxnType,$P419)))</f>
        <v/>
      </c>
      <c r="H419" s="27">
        <f>IF($P419="","",IF(INDEX(EntryDep,$P419)=0,"",INDEX(EntryDep,$P419)))</f>
        <v/>
      </c>
      <c r="I419" s="27">
        <f>IF($P419="","",IF(INDEX(EntryWit,$P419)=0,"",INDEX(EntryWit,$P419)))</f>
        <v/>
      </c>
      <c r="J419" s="27">
        <f>IF($B419="","",IF($A419=1,$C$7,IF(J418="",0,J418))+IF($H419="",0,$H419)-IF($I419="",0,$I419))</f>
        <v/>
      </c>
      <c r="K419" s="27">
        <f>IF($P419="","",IF(INDEX(EntryMan,$P419)=0,"",INDEX(EntryMan,$P419)))</f>
        <v/>
      </c>
      <c r="L419" s="26">
        <f>IF($B419="","",IF($K419="","—",IF(ROUND($K419-$J419,0)=0,"√","×")))</f>
        <v/>
      </c>
      <c r="M419" s="26">
        <f>IF($B419="","",IF(COUNTIFS(EntryDates,$B419,CalcTime,$C419,CalcBank,$C$5,EntryParty,$D419,EntryDep,$H419,EntryWit,$I419)&gt;1,"تکرار",""))</f>
        <v/>
      </c>
      <c r="N419" s="26">
        <f>IF($P419="","",IF(INDEX(EntryNotes,$P419)=0,"",INDEX(EntryNotes,$P419)))</f>
        <v/>
      </c>
      <c r="O419" s="26">
        <f>IF($P419="","",IF(INDEX(EntryTxnID,$P419)=0,"",INDEX(EntryTxnID,$P419)))</f>
        <v/>
      </c>
      <c r="P419" s="26">
        <f>IFERROR(MATCH($C$5&amp;"|"&amp;RIGHT("000000"&amp;403,6),CalcRankKey,0),"")</f>
        <v/>
      </c>
    </row>
    <row r="420">
      <c r="A420" s="28">
        <f>IF($B420="","",404)</f>
        <v/>
      </c>
      <c r="B420" s="28">
        <f>IF($P420="","",IF(INDEX(CalcNormDate,$P420)=0,"",INDEX(CalcNormDate,$P420)))</f>
        <v/>
      </c>
      <c r="C420" s="28">
        <f>IF($P420="","",IF(INDEX(CalcTime,$P420)=0,"",INDEX(CalcTime,$P420)))</f>
        <v/>
      </c>
      <c r="D420" s="28">
        <f>IF($P420="","",IF(INDEX(EntryParty,$P420)=0,"",INDEX(EntryParty,$P420)))</f>
        <v/>
      </c>
      <c r="E420" s="28">
        <f>IF($P420="","",IF(INDEX(EntryPartyName,$P420)=0,"",INDEX(EntryPartyName,$P420)))</f>
        <v/>
      </c>
      <c r="F420" s="28">
        <f>IF($P420="","",IF(INDEX(EntryPartyType,$P420)=0,"",INDEX(EntryPartyType,$P420)))</f>
        <v/>
      </c>
      <c r="G420" s="28">
        <f>IF($P420="","",IF(INDEX(EntryTxnType,$P420)=0,"",INDEX(EntryTxnType,$P420)))</f>
        <v/>
      </c>
      <c r="H420" s="29">
        <f>IF($P420="","",IF(INDEX(EntryDep,$P420)=0,"",INDEX(EntryDep,$P420)))</f>
        <v/>
      </c>
      <c r="I420" s="29">
        <f>IF($P420="","",IF(INDEX(EntryWit,$P420)=0,"",INDEX(EntryWit,$P420)))</f>
        <v/>
      </c>
      <c r="J420" s="29">
        <f>IF($B420="","",IF($A420=1,$C$7,IF(J419="",0,J419))+IF($H420="",0,$H420)-IF($I420="",0,$I420))</f>
        <v/>
      </c>
      <c r="K420" s="29">
        <f>IF($P420="","",IF(INDEX(EntryMan,$P420)=0,"",INDEX(EntryMan,$P420)))</f>
        <v/>
      </c>
      <c r="L420" s="28">
        <f>IF($B420="","",IF($K420="","—",IF(ROUND($K420-$J420,0)=0,"√","×")))</f>
        <v/>
      </c>
      <c r="M420" s="28">
        <f>IF($B420="","",IF(COUNTIFS(EntryDates,$B420,CalcTime,$C420,CalcBank,$C$5,EntryParty,$D420,EntryDep,$H420,EntryWit,$I420)&gt;1,"تکرار",""))</f>
        <v/>
      </c>
      <c r="N420" s="28">
        <f>IF($P420="","",IF(INDEX(EntryNotes,$P420)=0,"",INDEX(EntryNotes,$P420)))</f>
        <v/>
      </c>
      <c r="O420" s="28">
        <f>IF($P420="","",IF(INDEX(EntryTxnID,$P420)=0,"",INDEX(EntryTxnID,$P420)))</f>
        <v/>
      </c>
      <c r="P420" s="28">
        <f>IFERROR(MATCH($C$5&amp;"|"&amp;RIGHT("000000"&amp;404,6),CalcRankKey,0),"")</f>
        <v/>
      </c>
    </row>
    <row r="421">
      <c r="A421" s="26">
        <f>IF($B421="","",405)</f>
        <v/>
      </c>
      <c r="B421" s="26">
        <f>IF($P421="","",IF(INDEX(CalcNormDate,$P421)=0,"",INDEX(CalcNormDate,$P421)))</f>
        <v/>
      </c>
      <c r="C421" s="26">
        <f>IF($P421="","",IF(INDEX(CalcTime,$P421)=0,"",INDEX(CalcTime,$P421)))</f>
        <v/>
      </c>
      <c r="D421" s="26">
        <f>IF($P421="","",IF(INDEX(EntryParty,$P421)=0,"",INDEX(EntryParty,$P421)))</f>
        <v/>
      </c>
      <c r="E421" s="26">
        <f>IF($P421="","",IF(INDEX(EntryPartyName,$P421)=0,"",INDEX(EntryPartyName,$P421)))</f>
        <v/>
      </c>
      <c r="F421" s="26">
        <f>IF($P421="","",IF(INDEX(EntryPartyType,$P421)=0,"",INDEX(EntryPartyType,$P421)))</f>
        <v/>
      </c>
      <c r="G421" s="26">
        <f>IF($P421="","",IF(INDEX(EntryTxnType,$P421)=0,"",INDEX(EntryTxnType,$P421)))</f>
        <v/>
      </c>
      <c r="H421" s="27">
        <f>IF($P421="","",IF(INDEX(EntryDep,$P421)=0,"",INDEX(EntryDep,$P421)))</f>
        <v/>
      </c>
      <c r="I421" s="27">
        <f>IF($P421="","",IF(INDEX(EntryWit,$P421)=0,"",INDEX(EntryWit,$P421)))</f>
        <v/>
      </c>
      <c r="J421" s="27">
        <f>IF($B421="","",IF($A421=1,$C$7,IF(J420="",0,J420))+IF($H421="",0,$H421)-IF($I421="",0,$I421))</f>
        <v/>
      </c>
      <c r="K421" s="27">
        <f>IF($P421="","",IF(INDEX(EntryMan,$P421)=0,"",INDEX(EntryMan,$P421)))</f>
        <v/>
      </c>
      <c r="L421" s="26">
        <f>IF($B421="","",IF($K421="","—",IF(ROUND($K421-$J421,0)=0,"√","×")))</f>
        <v/>
      </c>
      <c r="M421" s="26">
        <f>IF($B421="","",IF(COUNTIFS(EntryDates,$B421,CalcTime,$C421,CalcBank,$C$5,EntryParty,$D421,EntryDep,$H421,EntryWit,$I421)&gt;1,"تکرار",""))</f>
        <v/>
      </c>
      <c r="N421" s="26">
        <f>IF($P421="","",IF(INDEX(EntryNotes,$P421)=0,"",INDEX(EntryNotes,$P421)))</f>
        <v/>
      </c>
      <c r="O421" s="26">
        <f>IF($P421="","",IF(INDEX(EntryTxnID,$P421)=0,"",INDEX(EntryTxnID,$P421)))</f>
        <v/>
      </c>
      <c r="P421" s="26">
        <f>IFERROR(MATCH($C$5&amp;"|"&amp;RIGHT("000000"&amp;405,6),CalcRankKey,0),"")</f>
        <v/>
      </c>
    </row>
    <row r="422">
      <c r="A422" s="28">
        <f>IF($B422="","",406)</f>
        <v/>
      </c>
      <c r="B422" s="28">
        <f>IF($P422="","",IF(INDEX(CalcNormDate,$P422)=0,"",INDEX(CalcNormDate,$P422)))</f>
        <v/>
      </c>
      <c r="C422" s="28">
        <f>IF($P422="","",IF(INDEX(CalcTime,$P422)=0,"",INDEX(CalcTime,$P422)))</f>
        <v/>
      </c>
      <c r="D422" s="28">
        <f>IF($P422="","",IF(INDEX(EntryParty,$P422)=0,"",INDEX(EntryParty,$P422)))</f>
        <v/>
      </c>
      <c r="E422" s="28">
        <f>IF($P422="","",IF(INDEX(EntryPartyName,$P422)=0,"",INDEX(EntryPartyName,$P422)))</f>
        <v/>
      </c>
      <c r="F422" s="28">
        <f>IF($P422="","",IF(INDEX(EntryPartyType,$P422)=0,"",INDEX(EntryPartyType,$P422)))</f>
        <v/>
      </c>
      <c r="G422" s="28">
        <f>IF($P422="","",IF(INDEX(EntryTxnType,$P422)=0,"",INDEX(EntryTxnType,$P422)))</f>
        <v/>
      </c>
      <c r="H422" s="29">
        <f>IF($P422="","",IF(INDEX(EntryDep,$P422)=0,"",INDEX(EntryDep,$P422)))</f>
        <v/>
      </c>
      <c r="I422" s="29">
        <f>IF($P422="","",IF(INDEX(EntryWit,$P422)=0,"",INDEX(EntryWit,$P422)))</f>
        <v/>
      </c>
      <c r="J422" s="29">
        <f>IF($B422="","",IF($A422=1,$C$7,IF(J421="",0,J421))+IF($H422="",0,$H422)-IF($I422="",0,$I422))</f>
        <v/>
      </c>
      <c r="K422" s="29">
        <f>IF($P422="","",IF(INDEX(EntryMan,$P422)=0,"",INDEX(EntryMan,$P422)))</f>
        <v/>
      </c>
      <c r="L422" s="28">
        <f>IF($B422="","",IF($K422="","—",IF(ROUND($K422-$J422,0)=0,"√","×")))</f>
        <v/>
      </c>
      <c r="M422" s="28">
        <f>IF($B422="","",IF(COUNTIFS(EntryDates,$B422,CalcTime,$C422,CalcBank,$C$5,EntryParty,$D422,EntryDep,$H422,EntryWit,$I422)&gt;1,"تکرار",""))</f>
        <v/>
      </c>
      <c r="N422" s="28">
        <f>IF($P422="","",IF(INDEX(EntryNotes,$P422)=0,"",INDEX(EntryNotes,$P422)))</f>
        <v/>
      </c>
      <c r="O422" s="28">
        <f>IF($P422="","",IF(INDEX(EntryTxnID,$P422)=0,"",INDEX(EntryTxnID,$P422)))</f>
        <v/>
      </c>
      <c r="P422" s="28">
        <f>IFERROR(MATCH($C$5&amp;"|"&amp;RIGHT("000000"&amp;406,6),CalcRankKey,0),"")</f>
        <v/>
      </c>
    </row>
    <row r="423">
      <c r="A423" s="26">
        <f>IF($B423="","",407)</f>
        <v/>
      </c>
      <c r="B423" s="26">
        <f>IF($P423="","",IF(INDEX(CalcNormDate,$P423)=0,"",INDEX(CalcNormDate,$P423)))</f>
        <v/>
      </c>
      <c r="C423" s="26">
        <f>IF($P423="","",IF(INDEX(CalcTime,$P423)=0,"",INDEX(CalcTime,$P423)))</f>
        <v/>
      </c>
      <c r="D423" s="26">
        <f>IF($P423="","",IF(INDEX(EntryParty,$P423)=0,"",INDEX(EntryParty,$P423)))</f>
        <v/>
      </c>
      <c r="E423" s="26">
        <f>IF($P423="","",IF(INDEX(EntryPartyName,$P423)=0,"",INDEX(EntryPartyName,$P423)))</f>
        <v/>
      </c>
      <c r="F423" s="26">
        <f>IF($P423="","",IF(INDEX(EntryPartyType,$P423)=0,"",INDEX(EntryPartyType,$P423)))</f>
        <v/>
      </c>
      <c r="G423" s="26">
        <f>IF($P423="","",IF(INDEX(EntryTxnType,$P423)=0,"",INDEX(EntryTxnType,$P423)))</f>
        <v/>
      </c>
      <c r="H423" s="27">
        <f>IF($P423="","",IF(INDEX(EntryDep,$P423)=0,"",INDEX(EntryDep,$P423)))</f>
        <v/>
      </c>
      <c r="I423" s="27">
        <f>IF($P423="","",IF(INDEX(EntryWit,$P423)=0,"",INDEX(EntryWit,$P423)))</f>
        <v/>
      </c>
      <c r="J423" s="27">
        <f>IF($B423="","",IF($A423=1,$C$7,IF(J422="",0,J422))+IF($H423="",0,$H423)-IF($I423="",0,$I423))</f>
        <v/>
      </c>
      <c r="K423" s="27">
        <f>IF($P423="","",IF(INDEX(EntryMan,$P423)=0,"",INDEX(EntryMan,$P423)))</f>
        <v/>
      </c>
      <c r="L423" s="26">
        <f>IF($B423="","",IF($K423="","—",IF(ROUND($K423-$J423,0)=0,"√","×")))</f>
        <v/>
      </c>
      <c r="M423" s="26">
        <f>IF($B423="","",IF(COUNTIFS(EntryDates,$B423,CalcTime,$C423,CalcBank,$C$5,EntryParty,$D423,EntryDep,$H423,EntryWit,$I423)&gt;1,"تکرار",""))</f>
        <v/>
      </c>
      <c r="N423" s="26">
        <f>IF($P423="","",IF(INDEX(EntryNotes,$P423)=0,"",INDEX(EntryNotes,$P423)))</f>
        <v/>
      </c>
      <c r="O423" s="26">
        <f>IF($P423="","",IF(INDEX(EntryTxnID,$P423)=0,"",INDEX(EntryTxnID,$P423)))</f>
        <v/>
      </c>
      <c r="P423" s="26">
        <f>IFERROR(MATCH($C$5&amp;"|"&amp;RIGHT("000000"&amp;407,6),CalcRankKey,0),"")</f>
        <v/>
      </c>
    </row>
    <row r="424">
      <c r="A424" s="28">
        <f>IF($B424="","",408)</f>
        <v/>
      </c>
      <c r="B424" s="28">
        <f>IF($P424="","",IF(INDEX(CalcNormDate,$P424)=0,"",INDEX(CalcNormDate,$P424)))</f>
        <v/>
      </c>
      <c r="C424" s="28">
        <f>IF($P424="","",IF(INDEX(CalcTime,$P424)=0,"",INDEX(CalcTime,$P424)))</f>
        <v/>
      </c>
      <c r="D424" s="28">
        <f>IF($P424="","",IF(INDEX(EntryParty,$P424)=0,"",INDEX(EntryParty,$P424)))</f>
        <v/>
      </c>
      <c r="E424" s="28">
        <f>IF($P424="","",IF(INDEX(EntryPartyName,$P424)=0,"",INDEX(EntryPartyName,$P424)))</f>
        <v/>
      </c>
      <c r="F424" s="28">
        <f>IF($P424="","",IF(INDEX(EntryPartyType,$P424)=0,"",INDEX(EntryPartyType,$P424)))</f>
        <v/>
      </c>
      <c r="G424" s="28">
        <f>IF($P424="","",IF(INDEX(EntryTxnType,$P424)=0,"",INDEX(EntryTxnType,$P424)))</f>
        <v/>
      </c>
      <c r="H424" s="29">
        <f>IF($P424="","",IF(INDEX(EntryDep,$P424)=0,"",INDEX(EntryDep,$P424)))</f>
        <v/>
      </c>
      <c r="I424" s="29">
        <f>IF($P424="","",IF(INDEX(EntryWit,$P424)=0,"",INDEX(EntryWit,$P424)))</f>
        <v/>
      </c>
      <c r="J424" s="29">
        <f>IF($B424="","",IF($A424=1,$C$7,IF(J423="",0,J423))+IF($H424="",0,$H424)-IF($I424="",0,$I424))</f>
        <v/>
      </c>
      <c r="K424" s="29">
        <f>IF($P424="","",IF(INDEX(EntryMan,$P424)=0,"",INDEX(EntryMan,$P424)))</f>
        <v/>
      </c>
      <c r="L424" s="28">
        <f>IF($B424="","",IF($K424="","—",IF(ROUND($K424-$J424,0)=0,"√","×")))</f>
        <v/>
      </c>
      <c r="M424" s="28">
        <f>IF($B424="","",IF(COUNTIFS(EntryDates,$B424,CalcTime,$C424,CalcBank,$C$5,EntryParty,$D424,EntryDep,$H424,EntryWit,$I424)&gt;1,"تکرار",""))</f>
        <v/>
      </c>
      <c r="N424" s="28">
        <f>IF($P424="","",IF(INDEX(EntryNotes,$P424)=0,"",INDEX(EntryNotes,$P424)))</f>
        <v/>
      </c>
      <c r="O424" s="28">
        <f>IF($P424="","",IF(INDEX(EntryTxnID,$P424)=0,"",INDEX(EntryTxnID,$P424)))</f>
        <v/>
      </c>
      <c r="P424" s="28">
        <f>IFERROR(MATCH($C$5&amp;"|"&amp;RIGHT("000000"&amp;408,6),CalcRankKey,0),"")</f>
        <v/>
      </c>
    </row>
    <row r="425">
      <c r="A425" s="26">
        <f>IF($B425="","",409)</f>
        <v/>
      </c>
      <c r="B425" s="26">
        <f>IF($P425="","",IF(INDEX(CalcNormDate,$P425)=0,"",INDEX(CalcNormDate,$P425)))</f>
        <v/>
      </c>
      <c r="C425" s="26">
        <f>IF($P425="","",IF(INDEX(CalcTime,$P425)=0,"",INDEX(CalcTime,$P425)))</f>
        <v/>
      </c>
      <c r="D425" s="26">
        <f>IF($P425="","",IF(INDEX(EntryParty,$P425)=0,"",INDEX(EntryParty,$P425)))</f>
        <v/>
      </c>
      <c r="E425" s="26">
        <f>IF($P425="","",IF(INDEX(EntryPartyName,$P425)=0,"",INDEX(EntryPartyName,$P425)))</f>
        <v/>
      </c>
      <c r="F425" s="26">
        <f>IF($P425="","",IF(INDEX(EntryPartyType,$P425)=0,"",INDEX(EntryPartyType,$P425)))</f>
        <v/>
      </c>
      <c r="G425" s="26">
        <f>IF($P425="","",IF(INDEX(EntryTxnType,$P425)=0,"",INDEX(EntryTxnType,$P425)))</f>
        <v/>
      </c>
      <c r="H425" s="27">
        <f>IF($P425="","",IF(INDEX(EntryDep,$P425)=0,"",INDEX(EntryDep,$P425)))</f>
        <v/>
      </c>
      <c r="I425" s="27">
        <f>IF($P425="","",IF(INDEX(EntryWit,$P425)=0,"",INDEX(EntryWit,$P425)))</f>
        <v/>
      </c>
      <c r="J425" s="27">
        <f>IF($B425="","",IF($A425=1,$C$7,IF(J424="",0,J424))+IF($H425="",0,$H425)-IF($I425="",0,$I425))</f>
        <v/>
      </c>
      <c r="K425" s="27">
        <f>IF($P425="","",IF(INDEX(EntryMan,$P425)=0,"",INDEX(EntryMan,$P425)))</f>
        <v/>
      </c>
      <c r="L425" s="26">
        <f>IF($B425="","",IF($K425="","—",IF(ROUND($K425-$J425,0)=0,"√","×")))</f>
        <v/>
      </c>
      <c r="M425" s="26">
        <f>IF($B425="","",IF(COUNTIFS(EntryDates,$B425,CalcTime,$C425,CalcBank,$C$5,EntryParty,$D425,EntryDep,$H425,EntryWit,$I425)&gt;1,"تکرار",""))</f>
        <v/>
      </c>
      <c r="N425" s="26">
        <f>IF($P425="","",IF(INDEX(EntryNotes,$P425)=0,"",INDEX(EntryNotes,$P425)))</f>
        <v/>
      </c>
      <c r="O425" s="26">
        <f>IF($P425="","",IF(INDEX(EntryTxnID,$P425)=0,"",INDEX(EntryTxnID,$P425)))</f>
        <v/>
      </c>
      <c r="P425" s="26">
        <f>IFERROR(MATCH($C$5&amp;"|"&amp;RIGHT("000000"&amp;409,6),CalcRankKey,0),"")</f>
        <v/>
      </c>
    </row>
    <row r="426">
      <c r="A426" s="28">
        <f>IF($B426="","",410)</f>
        <v/>
      </c>
      <c r="B426" s="28">
        <f>IF($P426="","",IF(INDEX(CalcNormDate,$P426)=0,"",INDEX(CalcNormDate,$P426)))</f>
        <v/>
      </c>
      <c r="C426" s="28">
        <f>IF($P426="","",IF(INDEX(CalcTime,$P426)=0,"",INDEX(CalcTime,$P426)))</f>
        <v/>
      </c>
      <c r="D426" s="28">
        <f>IF($P426="","",IF(INDEX(EntryParty,$P426)=0,"",INDEX(EntryParty,$P426)))</f>
        <v/>
      </c>
      <c r="E426" s="28">
        <f>IF($P426="","",IF(INDEX(EntryPartyName,$P426)=0,"",INDEX(EntryPartyName,$P426)))</f>
        <v/>
      </c>
      <c r="F426" s="28">
        <f>IF($P426="","",IF(INDEX(EntryPartyType,$P426)=0,"",INDEX(EntryPartyType,$P426)))</f>
        <v/>
      </c>
      <c r="G426" s="28">
        <f>IF($P426="","",IF(INDEX(EntryTxnType,$P426)=0,"",INDEX(EntryTxnType,$P426)))</f>
        <v/>
      </c>
      <c r="H426" s="29">
        <f>IF($P426="","",IF(INDEX(EntryDep,$P426)=0,"",INDEX(EntryDep,$P426)))</f>
        <v/>
      </c>
      <c r="I426" s="29">
        <f>IF($P426="","",IF(INDEX(EntryWit,$P426)=0,"",INDEX(EntryWit,$P426)))</f>
        <v/>
      </c>
      <c r="J426" s="29">
        <f>IF($B426="","",IF($A426=1,$C$7,IF(J425="",0,J425))+IF($H426="",0,$H426)-IF($I426="",0,$I426))</f>
        <v/>
      </c>
      <c r="K426" s="29">
        <f>IF($P426="","",IF(INDEX(EntryMan,$P426)=0,"",INDEX(EntryMan,$P426)))</f>
        <v/>
      </c>
      <c r="L426" s="28">
        <f>IF($B426="","",IF($K426="","—",IF(ROUND($K426-$J426,0)=0,"√","×")))</f>
        <v/>
      </c>
      <c r="M426" s="28">
        <f>IF($B426="","",IF(COUNTIFS(EntryDates,$B426,CalcTime,$C426,CalcBank,$C$5,EntryParty,$D426,EntryDep,$H426,EntryWit,$I426)&gt;1,"تکرار",""))</f>
        <v/>
      </c>
      <c r="N426" s="28">
        <f>IF($P426="","",IF(INDEX(EntryNotes,$P426)=0,"",INDEX(EntryNotes,$P426)))</f>
        <v/>
      </c>
      <c r="O426" s="28">
        <f>IF($P426="","",IF(INDEX(EntryTxnID,$P426)=0,"",INDEX(EntryTxnID,$P426)))</f>
        <v/>
      </c>
      <c r="P426" s="28">
        <f>IFERROR(MATCH($C$5&amp;"|"&amp;RIGHT("000000"&amp;410,6),CalcRankKey,0),"")</f>
        <v/>
      </c>
    </row>
    <row r="427">
      <c r="A427" s="26">
        <f>IF($B427="","",411)</f>
        <v/>
      </c>
      <c r="B427" s="26">
        <f>IF($P427="","",IF(INDEX(CalcNormDate,$P427)=0,"",INDEX(CalcNormDate,$P427)))</f>
        <v/>
      </c>
      <c r="C427" s="26">
        <f>IF($P427="","",IF(INDEX(CalcTime,$P427)=0,"",INDEX(CalcTime,$P427)))</f>
        <v/>
      </c>
      <c r="D427" s="26">
        <f>IF($P427="","",IF(INDEX(EntryParty,$P427)=0,"",INDEX(EntryParty,$P427)))</f>
        <v/>
      </c>
      <c r="E427" s="26">
        <f>IF($P427="","",IF(INDEX(EntryPartyName,$P427)=0,"",INDEX(EntryPartyName,$P427)))</f>
        <v/>
      </c>
      <c r="F427" s="26">
        <f>IF($P427="","",IF(INDEX(EntryPartyType,$P427)=0,"",INDEX(EntryPartyType,$P427)))</f>
        <v/>
      </c>
      <c r="G427" s="26">
        <f>IF($P427="","",IF(INDEX(EntryTxnType,$P427)=0,"",INDEX(EntryTxnType,$P427)))</f>
        <v/>
      </c>
      <c r="H427" s="27">
        <f>IF($P427="","",IF(INDEX(EntryDep,$P427)=0,"",INDEX(EntryDep,$P427)))</f>
        <v/>
      </c>
      <c r="I427" s="27">
        <f>IF($P427="","",IF(INDEX(EntryWit,$P427)=0,"",INDEX(EntryWit,$P427)))</f>
        <v/>
      </c>
      <c r="J427" s="27">
        <f>IF($B427="","",IF($A427=1,$C$7,IF(J426="",0,J426))+IF($H427="",0,$H427)-IF($I427="",0,$I427))</f>
        <v/>
      </c>
      <c r="K427" s="27">
        <f>IF($P427="","",IF(INDEX(EntryMan,$P427)=0,"",INDEX(EntryMan,$P427)))</f>
        <v/>
      </c>
      <c r="L427" s="26">
        <f>IF($B427="","",IF($K427="","—",IF(ROUND($K427-$J427,0)=0,"√","×")))</f>
        <v/>
      </c>
      <c r="M427" s="26">
        <f>IF($B427="","",IF(COUNTIFS(EntryDates,$B427,CalcTime,$C427,CalcBank,$C$5,EntryParty,$D427,EntryDep,$H427,EntryWit,$I427)&gt;1,"تکرار",""))</f>
        <v/>
      </c>
      <c r="N427" s="26">
        <f>IF($P427="","",IF(INDEX(EntryNotes,$P427)=0,"",INDEX(EntryNotes,$P427)))</f>
        <v/>
      </c>
      <c r="O427" s="26">
        <f>IF($P427="","",IF(INDEX(EntryTxnID,$P427)=0,"",INDEX(EntryTxnID,$P427)))</f>
        <v/>
      </c>
      <c r="P427" s="26">
        <f>IFERROR(MATCH($C$5&amp;"|"&amp;RIGHT("000000"&amp;411,6),CalcRankKey,0),"")</f>
        <v/>
      </c>
    </row>
    <row r="428">
      <c r="A428" s="28">
        <f>IF($B428="","",412)</f>
        <v/>
      </c>
      <c r="B428" s="28">
        <f>IF($P428="","",IF(INDEX(CalcNormDate,$P428)=0,"",INDEX(CalcNormDate,$P428)))</f>
        <v/>
      </c>
      <c r="C428" s="28">
        <f>IF($P428="","",IF(INDEX(CalcTime,$P428)=0,"",INDEX(CalcTime,$P428)))</f>
        <v/>
      </c>
      <c r="D428" s="28">
        <f>IF($P428="","",IF(INDEX(EntryParty,$P428)=0,"",INDEX(EntryParty,$P428)))</f>
        <v/>
      </c>
      <c r="E428" s="28">
        <f>IF($P428="","",IF(INDEX(EntryPartyName,$P428)=0,"",INDEX(EntryPartyName,$P428)))</f>
        <v/>
      </c>
      <c r="F428" s="28">
        <f>IF($P428="","",IF(INDEX(EntryPartyType,$P428)=0,"",INDEX(EntryPartyType,$P428)))</f>
        <v/>
      </c>
      <c r="G428" s="28">
        <f>IF($P428="","",IF(INDEX(EntryTxnType,$P428)=0,"",INDEX(EntryTxnType,$P428)))</f>
        <v/>
      </c>
      <c r="H428" s="29">
        <f>IF($P428="","",IF(INDEX(EntryDep,$P428)=0,"",INDEX(EntryDep,$P428)))</f>
        <v/>
      </c>
      <c r="I428" s="29">
        <f>IF($P428="","",IF(INDEX(EntryWit,$P428)=0,"",INDEX(EntryWit,$P428)))</f>
        <v/>
      </c>
      <c r="J428" s="29">
        <f>IF($B428="","",IF($A428=1,$C$7,IF(J427="",0,J427))+IF($H428="",0,$H428)-IF($I428="",0,$I428))</f>
        <v/>
      </c>
      <c r="K428" s="29">
        <f>IF($P428="","",IF(INDEX(EntryMan,$P428)=0,"",INDEX(EntryMan,$P428)))</f>
        <v/>
      </c>
      <c r="L428" s="28">
        <f>IF($B428="","",IF($K428="","—",IF(ROUND($K428-$J428,0)=0,"√","×")))</f>
        <v/>
      </c>
      <c r="M428" s="28">
        <f>IF($B428="","",IF(COUNTIFS(EntryDates,$B428,CalcTime,$C428,CalcBank,$C$5,EntryParty,$D428,EntryDep,$H428,EntryWit,$I428)&gt;1,"تکرار",""))</f>
        <v/>
      </c>
      <c r="N428" s="28">
        <f>IF($P428="","",IF(INDEX(EntryNotes,$P428)=0,"",INDEX(EntryNotes,$P428)))</f>
        <v/>
      </c>
      <c r="O428" s="28">
        <f>IF($P428="","",IF(INDEX(EntryTxnID,$P428)=0,"",INDEX(EntryTxnID,$P428)))</f>
        <v/>
      </c>
      <c r="P428" s="28">
        <f>IFERROR(MATCH($C$5&amp;"|"&amp;RIGHT("000000"&amp;412,6),CalcRankKey,0),"")</f>
        <v/>
      </c>
    </row>
    <row r="429">
      <c r="A429" s="26">
        <f>IF($B429="","",413)</f>
        <v/>
      </c>
      <c r="B429" s="26">
        <f>IF($P429="","",IF(INDEX(CalcNormDate,$P429)=0,"",INDEX(CalcNormDate,$P429)))</f>
        <v/>
      </c>
      <c r="C429" s="26">
        <f>IF($P429="","",IF(INDEX(CalcTime,$P429)=0,"",INDEX(CalcTime,$P429)))</f>
        <v/>
      </c>
      <c r="D429" s="26">
        <f>IF($P429="","",IF(INDEX(EntryParty,$P429)=0,"",INDEX(EntryParty,$P429)))</f>
        <v/>
      </c>
      <c r="E429" s="26">
        <f>IF($P429="","",IF(INDEX(EntryPartyName,$P429)=0,"",INDEX(EntryPartyName,$P429)))</f>
        <v/>
      </c>
      <c r="F429" s="26">
        <f>IF($P429="","",IF(INDEX(EntryPartyType,$P429)=0,"",INDEX(EntryPartyType,$P429)))</f>
        <v/>
      </c>
      <c r="G429" s="26">
        <f>IF($P429="","",IF(INDEX(EntryTxnType,$P429)=0,"",INDEX(EntryTxnType,$P429)))</f>
        <v/>
      </c>
      <c r="H429" s="27">
        <f>IF($P429="","",IF(INDEX(EntryDep,$P429)=0,"",INDEX(EntryDep,$P429)))</f>
        <v/>
      </c>
      <c r="I429" s="27">
        <f>IF($P429="","",IF(INDEX(EntryWit,$P429)=0,"",INDEX(EntryWit,$P429)))</f>
        <v/>
      </c>
      <c r="J429" s="27">
        <f>IF($B429="","",IF($A429=1,$C$7,IF(J428="",0,J428))+IF($H429="",0,$H429)-IF($I429="",0,$I429))</f>
        <v/>
      </c>
      <c r="K429" s="27">
        <f>IF($P429="","",IF(INDEX(EntryMan,$P429)=0,"",INDEX(EntryMan,$P429)))</f>
        <v/>
      </c>
      <c r="L429" s="26">
        <f>IF($B429="","",IF($K429="","—",IF(ROUND($K429-$J429,0)=0,"√","×")))</f>
        <v/>
      </c>
      <c r="M429" s="26">
        <f>IF($B429="","",IF(COUNTIFS(EntryDates,$B429,CalcTime,$C429,CalcBank,$C$5,EntryParty,$D429,EntryDep,$H429,EntryWit,$I429)&gt;1,"تکرار",""))</f>
        <v/>
      </c>
      <c r="N429" s="26">
        <f>IF($P429="","",IF(INDEX(EntryNotes,$P429)=0,"",INDEX(EntryNotes,$P429)))</f>
        <v/>
      </c>
      <c r="O429" s="26">
        <f>IF($P429="","",IF(INDEX(EntryTxnID,$P429)=0,"",INDEX(EntryTxnID,$P429)))</f>
        <v/>
      </c>
      <c r="P429" s="26">
        <f>IFERROR(MATCH($C$5&amp;"|"&amp;RIGHT("000000"&amp;413,6),CalcRankKey,0),"")</f>
        <v/>
      </c>
    </row>
    <row r="430">
      <c r="A430" s="28">
        <f>IF($B430="","",414)</f>
        <v/>
      </c>
      <c r="B430" s="28">
        <f>IF($P430="","",IF(INDEX(CalcNormDate,$P430)=0,"",INDEX(CalcNormDate,$P430)))</f>
        <v/>
      </c>
      <c r="C430" s="28">
        <f>IF($P430="","",IF(INDEX(CalcTime,$P430)=0,"",INDEX(CalcTime,$P430)))</f>
        <v/>
      </c>
      <c r="D430" s="28">
        <f>IF($P430="","",IF(INDEX(EntryParty,$P430)=0,"",INDEX(EntryParty,$P430)))</f>
        <v/>
      </c>
      <c r="E430" s="28">
        <f>IF($P430="","",IF(INDEX(EntryPartyName,$P430)=0,"",INDEX(EntryPartyName,$P430)))</f>
        <v/>
      </c>
      <c r="F430" s="28">
        <f>IF($P430="","",IF(INDEX(EntryPartyType,$P430)=0,"",INDEX(EntryPartyType,$P430)))</f>
        <v/>
      </c>
      <c r="G430" s="28">
        <f>IF($P430="","",IF(INDEX(EntryTxnType,$P430)=0,"",INDEX(EntryTxnType,$P430)))</f>
        <v/>
      </c>
      <c r="H430" s="29">
        <f>IF($P430="","",IF(INDEX(EntryDep,$P430)=0,"",INDEX(EntryDep,$P430)))</f>
        <v/>
      </c>
      <c r="I430" s="29">
        <f>IF($P430="","",IF(INDEX(EntryWit,$P430)=0,"",INDEX(EntryWit,$P430)))</f>
        <v/>
      </c>
      <c r="J430" s="29">
        <f>IF($B430="","",IF($A430=1,$C$7,IF(J429="",0,J429))+IF($H430="",0,$H430)-IF($I430="",0,$I430))</f>
        <v/>
      </c>
      <c r="K430" s="29">
        <f>IF($P430="","",IF(INDEX(EntryMan,$P430)=0,"",INDEX(EntryMan,$P430)))</f>
        <v/>
      </c>
      <c r="L430" s="28">
        <f>IF($B430="","",IF($K430="","—",IF(ROUND($K430-$J430,0)=0,"√","×")))</f>
        <v/>
      </c>
      <c r="M430" s="28">
        <f>IF($B430="","",IF(COUNTIFS(EntryDates,$B430,CalcTime,$C430,CalcBank,$C$5,EntryParty,$D430,EntryDep,$H430,EntryWit,$I430)&gt;1,"تکرار",""))</f>
        <v/>
      </c>
      <c r="N430" s="28">
        <f>IF($P430="","",IF(INDEX(EntryNotes,$P430)=0,"",INDEX(EntryNotes,$P430)))</f>
        <v/>
      </c>
      <c r="O430" s="28">
        <f>IF($P430="","",IF(INDEX(EntryTxnID,$P430)=0,"",INDEX(EntryTxnID,$P430)))</f>
        <v/>
      </c>
      <c r="P430" s="28">
        <f>IFERROR(MATCH($C$5&amp;"|"&amp;RIGHT("000000"&amp;414,6),CalcRankKey,0),"")</f>
        <v/>
      </c>
    </row>
    <row r="431">
      <c r="A431" s="26">
        <f>IF($B431="","",415)</f>
        <v/>
      </c>
      <c r="B431" s="26">
        <f>IF($P431="","",IF(INDEX(CalcNormDate,$P431)=0,"",INDEX(CalcNormDate,$P431)))</f>
        <v/>
      </c>
      <c r="C431" s="26">
        <f>IF($P431="","",IF(INDEX(CalcTime,$P431)=0,"",INDEX(CalcTime,$P431)))</f>
        <v/>
      </c>
      <c r="D431" s="26">
        <f>IF($P431="","",IF(INDEX(EntryParty,$P431)=0,"",INDEX(EntryParty,$P431)))</f>
        <v/>
      </c>
      <c r="E431" s="26">
        <f>IF($P431="","",IF(INDEX(EntryPartyName,$P431)=0,"",INDEX(EntryPartyName,$P431)))</f>
        <v/>
      </c>
      <c r="F431" s="26">
        <f>IF($P431="","",IF(INDEX(EntryPartyType,$P431)=0,"",INDEX(EntryPartyType,$P431)))</f>
        <v/>
      </c>
      <c r="G431" s="26">
        <f>IF($P431="","",IF(INDEX(EntryTxnType,$P431)=0,"",INDEX(EntryTxnType,$P431)))</f>
        <v/>
      </c>
      <c r="H431" s="27">
        <f>IF($P431="","",IF(INDEX(EntryDep,$P431)=0,"",INDEX(EntryDep,$P431)))</f>
        <v/>
      </c>
      <c r="I431" s="27">
        <f>IF($P431="","",IF(INDEX(EntryWit,$P431)=0,"",INDEX(EntryWit,$P431)))</f>
        <v/>
      </c>
      <c r="J431" s="27">
        <f>IF($B431="","",IF($A431=1,$C$7,IF(J430="",0,J430))+IF($H431="",0,$H431)-IF($I431="",0,$I431))</f>
        <v/>
      </c>
      <c r="K431" s="27">
        <f>IF($P431="","",IF(INDEX(EntryMan,$P431)=0,"",INDEX(EntryMan,$P431)))</f>
        <v/>
      </c>
      <c r="L431" s="26">
        <f>IF($B431="","",IF($K431="","—",IF(ROUND($K431-$J431,0)=0,"√","×")))</f>
        <v/>
      </c>
      <c r="M431" s="26">
        <f>IF($B431="","",IF(COUNTIFS(EntryDates,$B431,CalcTime,$C431,CalcBank,$C$5,EntryParty,$D431,EntryDep,$H431,EntryWit,$I431)&gt;1,"تکرار",""))</f>
        <v/>
      </c>
      <c r="N431" s="26">
        <f>IF($P431="","",IF(INDEX(EntryNotes,$P431)=0,"",INDEX(EntryNotes,$P431)))</f>
        <v/>
      </c>
      <c r="O431" s="26">
        <f>IF($P431="","",IF(INDEX(EntryTxnID,$P431)=0,"",INDEX(EntryTxnID,$P431)))</f>
        <v/>
      </c>
      <c r="P431" s="26">
        <f>IFERROR(MATCH($C$5&amp;"|"&amp;RIGHT("000000"&amp;415,6),CalcRankKey,0),"")</f>
        <v/>
      </c>
    </row>
    <row r="432">
      <c r="A432" s="28">
        <f>IF($B432="","",416)</f>
        <v/>
      </c>
      <c r="B432" s="28">
        <f>IF($P432="","",IF(INDEX(CalcNormDate,$P432)=0,"",INDEX(CalcNormDate,$P432)))</f>
        <v/>
      </c>
      <c r="C432" s="28">
        <f>IF($P432="","",IF(INDEX(CalcTime,$P432)=0,"",INDEX(CalcTime,$P432)))</f>
        <v/>
      </c>
      <c r="D432" s="28">
        <f>IF($P432="","",IF(INDEX(EntryParty,$P432)=0,"",INDEX(EntryParty,$P432)))</f>
        <v/>
      </c>
      <c r="E432" s="28">
        <f>IF($P432="","",IF(INDEX(EntryPartyName,$P432)=0,"",INDEX(EntryPartyName,$P432)))</f>
        <v/>
      </c>
      <c r="F432" s="28">
        <f>IF($P432="","",IF(INDEX(EntryPartyType,$P432)=0,"",INDEX(EntryPartyType,$P432)))</f>
        <v/>
      </c>
      <c r="G432" s="28">
        <f>IF($P432="","",IF(INDEX(EntryTxnType,$P432)=0,"",INDEX(EntryTxnType,$P432)))</f>
        <v/>
      </c>
      <c r="H432" s="29">
        <f>IF($P432="","",IF(INDEX(EntryDep,$P432)=0,"",INDEX(EntryDep,$P432)))</f>
        <v/>
      </c>
      <c r="I432" s="29">
        <f>IF($P432="","",IF(INDEX(EntryWit,$P432)=0,"",INDEX(EntryWit,$P432)))</f>
        <v/>
      </c>
      <c r="J432" s="29">
        <f>IF($B432="","",IF($A432=1,$C$7,IF(J431="",0,J431))+IF($H432="",0,$H432)-IF($I432="",0,$I432))</f>
        <v/>
      </c>
      <c r="K432" s="29">
        <f>IF($P432="","",IF(INDEX(EntryMan,$P432)=0,"",INDEX(EntryMan,$P432)))</f>
        <v/>
      </c>
      <c r="L432" s="28">
        <f>IF($B432="","",IF($K432="","—",IF(ROUND($K432-$J432,0)=0,"√","×")))</f>
        <v/>
      </c>
      <c r="M432" s="28">
        <f>IF($B432="","",IF(COUNTIFS(EntryDates,$B432,CalcTime,$C432,CalcBank,$C$5,EntryParty,$D432,EntryDep,$H432,EntryWit,$I432)&gt;1,"تکرار",""))</f>
        <v/>
      </c>
      <c r="N432" s="28">
        <f>IF($P432="","",IF(INDEX(EntryNotes,$P432)=0,"",INDEX(EntryNotes,$P432)))</f>
        <v/>
      </c>
      <c r="O432" s="28">
        <f>IF($P432="","",IF(INDEX(EntryTxnID,$P432)=0,"",INDEX(EntryTxnID,$P432)))</f>
        <v/>
      </c>
      <c r="P432" s="28">
        <f>IFERROR(MATCH($C$5&amp;"|"&amp;RIGHT("000000"&amp;416,6),CalcRankKey,0),"")</f>
        <v/>
      </c>
    </row>
    <row r="433">
      <c r="A433" s="26">
        <f>IF($B433="","",417)</f>
        <v/>
      </c>
      <c r="B433" s="26">
        <f>IF($P433="","",IF(INDEX(CalcNormDate,$P433)=0,"",INDEX(CalcNormDate,$P433)))</f>
        <v/>
      </c>
      <c r="C433" s="26">
        <f>IF($P433="","",IF(INDEX(CalcTime,$P433)=0,"",INDEX(CalcTime,$P433)))</f>
        <v/>
      </c>
      <c r="D433" s="26">
        <f>IF($P433="","",IF(INDEX(EntryParty,$P433)=0,"",INDEX(EntryParty,$P433)))</f>
        <v/>
      </c>
      <c r="E433" s="26">
        <f>IF($P433="","",IF(INDEX(EntryPartyName,$P433)=0,"",INDEX(EntryPartyName,$P433)))</f>
        <v/>
      </c>
      <c r="F433" s="26">
        <f>IF($P433="","",IF(INDEX(EntryPartyType,$P433)=0,"",INDEX(EntryPartyType,$P433)))</f>
        <v/>
      </c>
      <c r="G433" s="26">
        <f>IF($P433="","",IF(INDEX(EntryTxnType,$P433)=0,"",INDEX(EntryTxnType,$P433)))</f>
        <v/>
      </c>
      <c r="H433" s="27">
        <f>IF($P433="","",IF(INDEX(EntryDep,$P433)=0,"",INDEX(EntryDep,$P433)))</f>
        <v/>
      </c>
      <c r="I433" s="27">
        <f>IF($P433="","",IF(INDEX(EntryWit,$P433)=0,"",INDEX(EntryWit,$P433)))</f>
        <v/>
      </c>
      <c r="J433" s="27">
        <f>IF($B433="","",IF($A433=1,$C$7,IF(J432="",0,J432))+IF($H433="",0,$H433)-IF($I433="",0,$I433))</f>
        <v/>
      </c>
      <c r="K433" s="27">
        <f>IF($P433="","",IF(INDEX(EntryMan,$P433)=0,"",INDEX(EntryMan,$P433)))</f>
        <v/>
      </c>
      <c r="L433" s="26">
        <f>IF($B433="","",IF($K433="","—",IF(ROUND($K433-$J433,0)=0,"√","×")))</f>
        <v/>
      </c>
      <c r="M433" s="26">
        <f>IF($B433="","",IF(COUNTIFS(EntryDates,$B433,CalcTime,$C433,CalcBank,$C$5,EntryParty,$D433,EntryDep,$H433,EntryWit,$I433)&gt;1,"تکرار",""))</f>
        <v/>
      </c>
      <c r="N433" s="26">
        <f>IF($P433="","",IF(INDEX(EntryNotes,$P433)=0,"",INDEX(EntryNotes,$P433)))</f>
        <v/>
      </c>
      <c r="O433" s="26">
        <f>IF($P433="","",IF(INDEX(EntryTxnID,$P433)=0,"",INDEX(EntryTxnID,$P433)))</f>
        <v/>
      </c>
      <c r="P433" s="26">
        <f>IFERROR(MATCH($C$5&amp;"|"&amp;RIGHT("000000"&amp;417,6),CalcRankKey,0),"")</f>
        <v/>
      </c>
    </row>
    <row r="434">
      <c r="A434" s="28">
        <f>IF($B434="","",418)</f>
        <v/>
      </c>
      <c r="B434" s="28">
        <f>IF($P434="","",IF(INDEX(CalcNormDate,$P434)=0,"",INDEX(CalcNormDate,$P434)))</f>
        <v/>
      </c>
      <c r="C434" s="28">
        <f>IF($P434="","",IF(INDEX(CalcTime,$P434)=0,"",INDEX(CalcTime,$P434)))</f>
        <v/>
      </c>
      <c r="D434" s="28">
        <f>IF($P434="","",IF(INDEX(EntryParty,$P434)=0,"",INDEX(EntryParty,$P434)))</f>
        <v/>
      </c>
      <c r="E434" s="28">
        <f>IF($P434="","",IF(INDEX(EntryPartyName,$P434)=0,"",INDEX(EntryPartyName,$P434)))</f>
        <v/>
      </c>
      <c r="F434" s="28">
        <f>IF($P434="","",IF(INDEX(EntryPartyType,$P434)=0,"",INDEX(EntryPartyType,$P434)))</f>
        <v/>
      </c>
      <c r="G434" s="28">
        <f>IF($P434="","",IF(INDEX(EntryTxnType,$P434)=0,"",INDEX(EntryTxnType,$P434)))</f>
        <v/>
      </c>
      <c r="H434" s="29">
        <f>IF($P434="","",IF(INDEX(EntryDep,$P434)=0,"",INDEX(EntryDep,$P434)))</f>
        <v/>
      </c>
      <c r="I434" s="29">
        <f>IF($P434="","",IF(INDEX(EntryWit,$P434)=0,"",INDEX(EntryWit,$P434)))</f>
        <v/>
      </c>
      <c r="J434" s="29">
        <f>IF($B434="","",IF($A434=1,$C$7,IF(J433="",0,J433))+IF($H434="",0,$H434)-IF($I434="",0,$I434))</f>
        <v/>
      </c>
      <c r="K434" s="29">
        <f>IF($P434="","",IF(INDEX(EntryMan,$P434)=0,"",INDEX(EntryMan,$P434)))</f>
        <v/>
      </c>
      <c r="L434" s="28">
        <f>IF($B434="","",IF($K434="","—",IF(ROUND($K434-$J434,0)=0,"√","×")))</f>
        <v/>
      </c>
      <c r="M434" s="28">
        <f>IF($B434="","",IF(COUNTIFS(EntryDates,$B434,CalcTime,$C434,CalcBank,$C$5,EntryParty,$D434,EntryDep,$H434,EntryWit,$I434)&gt;1,"تکرار",""))</f>
        <v/>
      </c>
      <c r="N434" s="28">
        <f>IF($P434="","",IF(INDEX(EntryNotes,$P434)=0,"",INDEX(EntryNotes,$P434)))</f>
        <v/>
      </c>
      <c r="O434" s="28">
        <f>IF($P434="","",IF(INDEX(EntryTxnID,$P434)=0,"",INDEX(EntryTxnID,$P434)))</f>
        <v/>
      </c>
      <c r="P434" s="28">
        <f>IFERROR(MATCH($C$5&amp;"|"&amp;RIGHT("000000"&amp;418,6),CalcRankKey,0),"")</f>
        <v/>
      </c>
    </row>
    <row r="435">
      <c r="A435" s="26">
        <f>IF($B435="","",419)</f>
        <v/>
      </c>
      <c r="B435" s="26">
        <f>IF($P435="","",IF(INDEX(CalcNormDate,$P435)=0,"",INDEX(CalcNormDate,$P435)))</f>
        <v/>
      </c>
      <c r="C435" s="26">
        <f>IF($P435="","",IF(INDEX(CalcTime,$P435)=0,"",INDEX(CalcTime,$P435)))</f>
        <v/>
      </c>
      <c r="D435" s="26">
        <f>IF($P435="","",IF(INDEX(EntryParty,$P435)=0,"",INDEX(EntryParty,$P435)))</f>
        <v/>
      </c>
      <c r="E435" s="26">
        <f>IF($P435="","",IF(INDEX(EntryPartyName,$P435)=0,"",INDEX(EntryPartyName,$P435)))</f>
        <v/>
      </c>
      <c r="F435" s="26">
        <f>IF($P435="","",IF(INDEX(EntryPartyType,$P435)=0,"",INDEX(EntryPartyType,$P435)))</f>
        <v/>
      </c>
      <c r="G435" s="26">
        <f>IF($P435="","",IF(INDEX(EntryTxnType,$P435)=0,"",INDEX(EntryTxnType,$P435)))</f>
        <v/>
      </c>
      <c r="H435" s="27">
        <f>IF($P435="","",IF(INDEX(EntryDep,$P435)=0,"",INDEX(EntryDep,$P435)))</f>
        <v/>
      </c>
      <c r="I435" s="27">
        <f>IF($P435="","",IF(INDEX(EntryWit,$P435)=0,"",INDEX(EntryWit,$P435)))</f>
        <v/>
      </c>
      <c r="J435" s="27">
        <f>IF($B435="","",IF($A435=1,$C$7,IF(J434="",0,J434))+IF($H435="",0,$H435)-IF($I435="",0,$I435))</f>
        <v/>
      </c>
      <c r="K435" s="27">
        <f>IF($P435="","",IF(INDEX(EntryMan,$P435)=0,"",INDEX(EntryMan,$P435)))</f>
        <v/>
      </c>
      <c r="L435" s="26">
        <f>IF($B435="","",IF($K435="","—",IF(ROUND($K435-$J435,0)=0,"√","×")))</f>
        <v/>
      </c>
      <c r="M435" s="26">
        <f>IF($B435="","",IF(COUNTIFS(EntryDates,$B435,CalcTime,$C435,CalcBank,$C$5,EntryParty,$D435,EntryDep,$H435,EntryWit,$I435)&gt;1,"تکرار",""))</f>
        <v/>
      </c>
      <c r="N435" s="26">
        <f>IF($P435="","",IF(INDEX(EntryNotes,$P435)=0,"",INDEX(EntryNotes,$P435)))</f>
        <v/>
      </c>
      <c r="O435" s="26">
        <f>IF($P435="","",IF(INDEX(EntryTxnID,$P435)=0,"",INDEX(EntryTxnID,$P435)))</f>
        <v/>
      </c>
      <c r="P435" s="26">
        <f>IFERROR(MATCH($C$5&amp;"|"&amp;RIGHT("000000"&amp;419,6),CalcRankKey,0),"")</f>
        <v/>
      </c>
    </row>
    <row r="436">
      <c r="A436" s="28">
        <f>IF($B436="","",420)</f>
        <v/>
      </c>
      <c r="B436" s="28">
        <f>IF($P436="","",IF(INDEX(CalcNormDate,$P436)=0,"",INDEX(CalcNormDate,$P436)))</f>
        <v/>
      </c>
      <c r="C436" s="28">
        <f>IF($P436="","",IF(INDEX(CalcTime,$P436)=0,"",INDEX(CalcTime,$P436)))</f>
        <v/>
      </c>
      <c r="D436" s="28">
        <f>IF($P436="","",IF(INDEX(EntryParty,$P436)=0,"",INDEX(EntryParty,$P436)))</f>
        <v/>
      </c>
      <c r="E436" s="28">
        <f>IF($P436="","",IF(INDEX(EntryPartyName,$P436)=0,"",INDEX(EntryPartyName,$P436)))</f>
        <v/>
      </c>
      <c r="F436" s="28">
        <f>IF($P436="","",IF(INDEX(EntryPartyType,$P436)=0,"",INDEX(EntryPartyType,$P436)))</f>
        <v/>
      </c>
      <c r="G436" s="28">
        <f>IF($P436="","",IF(INDEX(EntryTxnType,$P436)=0,"",INDEX(EntryTxnType,$P436)))</f>
        <v/>
      </c>
      <c r="H436" s="29">
        <f>IF($P436="","",IF(INDEX(EntryDep,$P436)=0,"",INDEX(EntryDep,$P436)))</f>
        <v/>
      </c>
      <c r="I436" s="29">
        <f>IF($P436="","",IF(INDEX(EntryWit,$P436)=0,"",INDEX(EntryWit,$P436)))</f>
        <v/>
      </c>
      <c r="J436" s="29">
        <f>IF($B436="","",IF($A436=1,$C$7,IF(J435="",0,J435))+IF($H436="",0,$H436)-IF($I436="",0,$I436))</f>
        <v/>
      </c>
      <c r="K436" s="29">
        <f>IF($P436="","",IF(INDEX(EntryMan,$P436)=0,"",INDEX(EntryMan,$P436)))</f>
        <v/>
      </c>
      <c r="L436" s="28">
        <f>IF($B436="","",IF($K436="","—",IF(ROUND($K436-$J436,0)=0,"√","×")))</f>
        <v/>
      </c>
      <c r="M436" s="28">
        <f>IF($B436="","",IF(COUNTIFS(EntryDates,$B436,CalcTime,$C436,CalcBank,$C$5,EntryParty,$D436,EntryDep,$H436,EntryWit,$I436)&gt;1,"تکرار",""))</f>
        <v/>
      </c>
      <c r="N436" s="28">
        <f>IF($P436="","",IF(INDEX(EntryNotes,$P436)=0,"",INDEX(EntryNotes,$P436)))</f>
        <v/>
      </c>
      <c r="O436" s="28">
        <f>IF($P436="","",IF(INDEX(EntryTxnID,$P436)=0,"",INDEX(EntryTxnID,$P436)))</f>
        <v/>
      </c>
      <c r="P436" s="28">
        <f>IFERROR(MATCH($C$5&amp;"|"&amp;RIGHT("000000"&amp;420,6),CalcRankKey,0),"")</f>
        <v/>
      </c>
    </row>
    <row r="437">
      <c r="A437" s="26">
        <f>IF($B437="","",421)</f>
        <v/>
      </c>
      <c r="B437" s="26">
        <f>IF($P437="","",IF(INDEX(CalcNormDate,$P437)=0,"",INDEX(CalcNormDate,$P437)))</f>
        <v/>
      </c>
      <c r="C437" s="26">
        <f>IF($P437="","",IF(INDEX(CalcTime,$P437)=0,"",INDEX(CalcTime,$P437)))</f>
        <v/>
      </c>
      <c r="D437" s="26">
        <f>IF($P437="","",IF(INDEX(EntryParty,$P437)=0,"",INDEX(EntryParty,$P437)))</f>
        <v/>
      </c>
      <c r="E437" s="26">
        <f>IF($P437="","",IF(INDEX(EntryPartyName,$P437)=0,"",INDEX(EntryPartyName,$P437)))</f>
        <v/>
      </c>
      <c r="F437" s="26">
        <f>IF($P437="","",IF(INDEX(EntryPartyType,$P437)=0,"",INDEX(EntryPartyType,$P437)))</f>
        <v/>
      </c>
      <c r="G437" s="26">
        <f>IF($P437="","",IF(INDEX(EntryTxnType,$P437)=0,"",INDEX(EntryTxnType,$P437)))</f>
        <v/>
      </c>
      <c r="H437" s="27">
        <f>IF($P437="","",IF(INDEX(EntryDep,$P437)=0,"",INDEX(EntryDep,$P437)))</f>
        <v/>
      </c>
      <c r="I437" s="27">
        <f>IF($P437="","",IF(INDEX(EntryWit,$P437)=0,"",INDEX(EntryWit,$P437)))</f>
        <v/>
      </c>
      <c r="J437" s="27">
        <f>IF($B437="","",IF($A437=1,$C$7,IF(J436="",0,J436))+IF($H437="",0,$H437)-IF($I437="",0,$I437))</f>
        <v/>
      </c>
      <c r="K437" s="27">
        <f>IF($P437="","",IF(INDEX(EntryMan,$P437)=0,"",INDEX(EntryMan,$P437)))</f>
        <v/>
      </c>
      <c r="L437" s="26">
        <f>IF($B437="","",IF($K437="","—",IF(ROUND($K437-$J437,0)=0,"√","×")))</f>
        <v/>
      </c>
      <c r="M437" s="26">
        <f>IF($B437="","",IF(COUNTIFS(EntryDates,$B437,CalcTime,$C437,CalcBank,$C$5,EntryParty,$D437,EntryDep,$H437,EntryWit,$I437)&gt;1,"تکرار",""))</f>
        <v/>
      </c>
      <c r="N437" s="26">
        <f>IF($P437="","",IF(INDEX(EntryNotes,$P437)=0,"",INDEX(EntryNotes,$P437)))</f>
        <v/>
      </c>
      <c r="O437" s="26">
        <f>IF($P437="","",IF(INDEX(EntryTxnID,$P437)=0,"",INDEX(EntryTxnID,$P437)))</f>
        <v/>
      </c>
      <c r="P437" s="26">
        <f>IFERROR(MATCH($C$5&amp;"|"&amp;RIGHT("000000"&amp;421,6),CalcRankKey,0),"")</f>
        <v/>
      </c>
    </row>
    <row r="438">
      <c r="A438" s="28">
        <f>IF($B438="","",422)</f>
        <v/>
      </c>
      <c r="B438" s="28">
        <f>IF($P438="","",IF(INDEX(CalcNormDate,$P438)=0,"",INDEX(CalcNormDate,$P438)))</f>
        <v/>
      </c>
      <c r="C438" s="28">
        <f>IF($P438="","",IF(INDEX(CalcTime,$P438)=0,"",INDEX(CalcTime,$P438)))</f>
        <v/>
      </c>
      <c r="D438" s="28">
        <f>IF($P438="","",IF(INDEX(EntryParty,$P438)=0,"",INDEX(EntryParty,$P438)))</f>
        <v/>
      </c>
      <c r="E438" s="28">
        <f>IF($P438="","",IF(INDEX(EntryPartyName,$P438)=0,"",INDEX(EntryPartyName,$P438)))</f>
        <v/>
      </c>
      <c r="F438" s="28">
        <f>IF($P438="","",IF(INDEX(EntryPartyType,$P438)=0,"",INDEX(EntryPartyType,$P438)))</f>
        <v/>
      </c>
      <c r="G438" s="28">
        <f>IF($P438="","",IF(INDEX(EntryTxnType,$P438)=0,"",INDEX(EntryTxnType,$P438)))</f>
        <v/>
      </c>
      <c r="H438" s="29">
        <f>IF($P438="","",IF(INDEX(EntryDep,$P438)=0,"",INDEX(EntryDep,$P438)))</f>
        <v/>
      </c>
      <c r="I438" s="29">
        <f>IF($P438="","",IF(INDEX(EntryWit,$P438)=0,"",INDEX(EntryWit,$P438)))</f>
        <v/>
      </c>
      <c r="J438" s="29">
        <f>IF($B438="","",IF($A438=1,$C$7,IF(J437="",0,J437))+IF($H438="",0,$H438)-IF($I438="",0,$I438))</f>
        <v/>
      </c>
      <c r="K438" s="29">
        <f>IF($P438="","",IF(INDEX(EntryMan,$P438)=0,"",INDEX(EntryMan,$P438)))</f>
        <v/>
      </c>
      <c r="L438" s="28">
        <f>IF($B438="","",IF($K438="","—",IF(ROUND($K438-$J438,0)=0,"√","×")))</f>
        <v/>
      </c>
      <c r="M438" s="28">
        <f>IF($B438="","",IF(COUNTIFS(EntryDates,$B438,CalcTime,$C438,CalcBank,$C$5,EntryParty,$D438,EntryDep,$H438,EntryWit,$I438)&gt;1,"تکرار",""))</f>
        <v/>
      </c>
      <c r="N438" s="28">
        <f>IF($P438="","",IF(INDEX(EntryNotes,$P438)=0,"",INDEX(EntryNotes,$P438)))</f>
        <v/>
      </c>
      <c r="O438" s="28">
        <f>IF($P438="","",IF(INDEX(EntryTxnID,$P438)=0,"",INDEX(EntryTxnID,$P438)))</f>
        <v/>
      </c>
      <c r="P438" s="28">
        <f>IFERROR(MATCH($C$5&amp;"|"&amp;RIGHT("000000"&amp;422,6),CalcRankKey,0),"")</f>
        <v/>
      </c>
    </row>
    <row r="439">
      <c r="A439" s="26">
        <f>IF($B439="","",423)</f>
        <v/>
      </c>
      <c r="B439" s="26">
        <f>IF($P439="","",IF(INDEX(CalcNormDate,$P439)=0,"",INDEX(CalcNormDate,$P439)))</f>
        <v/>
      </c>
      <c r="C439" s="26">
        <f>IF($P439="","",IF(INDEX(CalcTime,$P439)=0,"",INDEX(CalcTime,$P439)))</f>
        <v/>
      </c>
      <c r="D439" s="26">
        <f>IF($P439="","",IF(INDEX(EntryParty,$P439)=0,"",INDEX(EntryParty,$P439)))</f>
        <v/>
      </c>
      <c r="E439" s="26">
        <f>IF($P439="","",IF(INDEX(EntryPartyName,$P439)=0,"",INDEX(EntryPartyName,$P439)))</f>
        <v/>
      </c>
      <c r="F439" s="26">
        <f>IF($P439="","",IF(INDEX(EntryPartyType,$P439)=0,"",INDEX(EntryPartyType,$P439)))</f>
        <v/>
      </c>
      <c r="G439" s="26">
        <f>IF($P439="","",IF(INDEX(EntryTxnType,$P439)=0,"",INDEX(EntryTxnType,$P439)))</f>
        <v/>
      </c>
      <c r="H439" s="27">
        <f>IF($P439="","",IF(INDEX(EntryDep,$P439)=0,"",INDEX(EntryDep,$P439)))</f>
        <v/>
      </c>
      <c r="I439" s="27">
        <f>IF($P439="","",IF(INDEX(EntryWit,$P439)=0,"",INDEX(EntryWit,$P439)))</f>
        <v/>
      </c>
      <c r="J439" s="27">
        <f>IF($B439="","",IF($A439=1,$C$7,IF(J438="",0,J438))+IF($H439="",0,$H439)-IF($I439="",0,$I439))</f>
        <v/>
      </c>
      <c r="K439" s="27">
        <f>IF($P439="","",IF(INDEX(EntryMan,$P439)=0,"",INDEX(EntryMan,$P439)))</f>
        <v/>
      </c>
      <c r="L439" s="26">
        <f>IF($B439="","",IF($K439="","—",IF(ROUND($K439-$J439,0)=0,"√","×")))</f>
        <v/>
      </c>
      <c r="M439" s="26">
        <f>IF($B439="","",IF(COUNTIFS(EntryDates,$B439,CalcTime,$C439,CalcBank,$C$5,EntryParty,$D439,EntryDep,$H439,EntryWit,$I439)&gt;1,"تکرار",""))</f>
        <v/>
      </c>
      <c r="N439" s="26">
        <f>IF($P439="","",IF(INDEX(EntryNotes,$P439)=0,"",INDEX(EntryNotes,$P439)))</f>
        <v/>
      </c>
      <c r="O439" s="26">
        <f>IF($P439="","",IF(INDEX(EntryTxnID,$P439)=0,"",INDEX(EntryTxnID,$P439)))</f>
        <v/>
      </c>
      <c r="P439" s="26">
        <f>IFERROR(MATCH($C$5&amp;"|"&amp;RIGHT("000000"&amp;423,6),CalcRankKey,0),"")</f>
        <v/>
      </c>
    </row>
    <row r="440">
      <c r="A440" s="28">
        <f>IF($B440="","",424)</f>
        <v/>
      </c>
      <c r="B440" s="28">
        <f>IF($P440="","",IF(INDEX(CalcNormDate,$P440)=0,"",INDEX(CalcNormDate,$P440)))</f>
        <v/>
      </c>
      <c r="C440" s="28">
        <f>IF($P440="","",IF(INDEX(CalcTime,$P440)=0,"",INDEX(CalcTime,$P440)))</f>
        <v/>
      </c>
      <c r="D440" s="28">
        <f>IF($P440="","",IF(INDEX(EntryParty,$P440)=0,"",INDEX(EntryParty,$P440)))</f>
        <v/>
      </c>
      <c r="E440" s="28">
        <f>IF($P440="","",IF(INDEX(EntryPartyName,$P440)=0,"",INDEX(EntryPartyName,$P440)))</f>
        <v/>
      </c>
      <c r="F440" s="28">
        <f>IF($P440="","",IF(INDEX(EntryPartyType,$P440)=0,"",INDEX(EntryPartyType,$P440)))</f>
        <v/>
      </c>
      <c r="G440" s="28">
        <f>IF($P440="","",IF(INDEX(EntryTxnType,$P440)=0,"",INDEX(EntryTxnType,$P440)))</f>
        <v/>
      </c>
      <c r="H440" s="29">
        <f>IF($P440="","",IF(INDEX(EntryDep,$P440)=0,"",INDEX(EntryDep,$P440)))</f>
        <v/>
      </c>
      <c r="I440" s="29">
        <f>IF($P440="","",IF(INDEX(EntryWit,$P440)=0,"",INDEX(EntryWit,$P440)))</f>
        <v/>
      </c>
      <c r="J440" s="29">
        <f>IF($B440="","",IF($A440=1,$C$7,IF(J439="",0,J439))+IF($H440="",0,$H440)-IF($I440="",0,$I440))</f>
        <v/>
      </c>
      <c r="K440" s="29">
        <f>IF($P440="","",IF(INDEX(EntryMan,$P440)=0,"",INDEX(EntryMan,$P440)))</f>
        <v/>
      </c>
      <c r="L440" s="28">
        <f>IF($B440="","",IF($K440="","—",IF(ROUND($K440-$J440,0)=0,"√","×")))</f>
        <v/>
      </c>
      <c r="M440" s="28">
        <f>IF($B440="","",IF(COUNTIFS(EntryDates,$B440,CalcTime,$C440,CalcBank,$C$5,EntryParty,$D440,EntryDep,$H440,EntryWit,$I440)&gt;1,"تکرار",""))</f>
        <v/>
      </c>
      <c r="N440" s="28">
        <f>IF($P440="","",IF(INDEX(EntryNotes,$P440)=0,"",INDEX(EntryNotes,$P440)))</f>
        <v/>
      </c>
      <c r="O440" s="28">
        <f>IF($P440="","",IF(INDEX(EntryTxnID,$P440)=0,"",INDEX(EntryTxnID,$P440)))</f>
        <v/>
      </c>
      <c r="P440" s="28">
        <f>IFERROR(MATCH($C$5&amp;"|"&amp;RIGHT("000000"&amp;424,6),CalcRankKey,0),"")</f>
        <v/>
      </c>
    </row>
    <row r="441">
      <c r="A441" s="26">
        <f>IF($B441="","",425)</f>
        <v/>
      </c>
      <c r="B441" s="26">
        <f>IF($P441="","",IF(INDEX(CalcNormDate,$P441)=0,"",INDEX(CalcNormDate,$P441)))</f>
        <v/>
      </c>
      <c r="C441" s="26">
        <f>IF($P441="","",IF(INDEX(CalcTime,$P441)=0,"",INDEX(CalcTime,$P441)))</f>
        <v/>
      </c>
      <c r="D441" s="26">
        <f>IF($P441="","",IF(INDEX(EntryParty,$P441)=0,"",INDEX(EntryParty,$P441)))</f>
        <v/>
      </c>
      <c r="E441" s="26">
        <f>IF($P441="","",IF(INDEX(EntryPartyName,$P441)=0,"",INDEX(EntryPartyName,$P441)))</f>
        <v/>
      </c>
      <c r="F441" s="26">
        <f>IF($P441="","",IF(INDEX(EntryPartyType,$P441)=0,"",INDEX(EntryPartyType,$P441)))</f>
        <v/>
      </c>
      <c r="G441" s="26">
        <f>IF($P441="","",IF(INDEX(EntryTxnType,$P441)=0,"",INDEX(EntryTxnType,$P441)))</f>
        <v/>
      </c>
      <c r="H441" s="27">
        <f>IF($P441="","",IF(INDEX(EntryDep,$P441)=0,"",INDEX(EntryDep,$P441)))</f>
        <v/>
      </c>
      <c r="I441" s="27">
        <f>IF($P441="","",IF(INDEX(EntryWit,$P441)=0,"",INDEX(EntryWit,$P441)))</f>
        <v/>
      </c>
      <c r="J441" s="27">
        <f>IF($B441="","",IF($A441=1,$C$7,IF(J440="",0,J440))+IF($H441="",0,$H441)-IF($I441="",0,$I441))</f>
        <v/>
      </c>
      <c r="K441" s="27">
        <f>IF($P441="","",IF(INDEX(EntryMan,$P441)=0,"",INDEX(EntryMan,$P441)))</f>
        <v/>
      </c>
      <c r="L441" s="26">
        <f>IF($B441="","",IF($K441="","—",IF(ROUND($K441-$J441,0)=0,"√","×")))</f>
        <v/>
      </c>
      <c r="M441" s="26">
        <f>IF($B441="","",IF(COUNTIFS(EntryDates,$B441,CalcTime,$C441,CalcBank,$C$5,EntryParty,$D441,EntryDep,$H441,EntryWit,$I441)&gt;1,"تکرار",""))</f>
        <v/>
      </c>
      <c r="N441" s="26">
        <f>IF($P441="","",IF(INDEX(EntryNotes,$P441)=0,"",INDEX(EntryNotes,$P441)))</f>
        <v/>
      </c>
      <c r="O441" s="26">
        <f>IF($P441="","",IF(INDEX(EntryTxnID,$P441)=0,"",INDEX(EntryTxnID,$P441)))</f>
        <v/>
      </c>
      <c r="P441" s="26">
        <f>IFERROR(MATCH($C$5&amp;"|"&amp;RIGHT("000000"&amp;425,6),CalcRankKey,0),"")</f>
        <v/>
      </c>
    </row>
    <row r="442">
      <c r="A442" s="28">
        <f>IF($B442="","",426)</f>
        <v/>
      </c>
      <c r="B442" s="28">
        <f>IF($P442="","",IF(INDEX(CalcNormDate,$P442)=0,"",INDEX(CalcNormDate,$P442)))</f>
        <v/>
      </c>
      <c r="C442" s="28">
        <f>IF($P442="","",IF(INDEX(CalcTime,$P442)=0,"",INDEX(CalcTime,$P442)))</f>
        <v/>
      </c>
      <c r="D442" s="28">
        <f>IF($P442="","",IF(INDEX(EntryParty,$P442)=0,"",INDEX(EntryParty,$P442)))</f>
        <v/>
      </c>
      <c r="E442" s="28">
        <f>IF($P442="","",IF(INDEX(EntryPartyName,$P442)=0,"",INDEX(EntryPartyName,$P442)))</f>
        <v/>
      </c>
      <c r="F442" s="28">
        <f>IF($P442="","",IF(INDEX(EntryPartyType,$P442)=0,"",INDEX(EntryPartyType,$P442)))</f>
        <v/>
      </c>
      <c r="G442" s="28">
        <f>IF($P442="","",IF(INDEX(EntryTxnType,$P442)=0,"",INDEX(EntryTxnType,$P442)))</f>
        <v/>
      </c>
      <c r="H442" s="29">
        <f>IF($P442="","",IF(INDEX(EntryDep,$P442)=0,"",INDEX(EntryDep,$P442)))</f>
        <v/>
      </c>
      <c r="I442" s="29">
        <f>IF($P442="","",IF(INDEX(EntryWit,$P442)=0,"",INDEX(EntryWit,$P442)))</f>
        <v/>
      </c>
      <c r="J442" s="29">
        <f>IF($B442="","",IF($A442=1,$C$7,IF(J441="",0,J441))+IF($H442="",0,$H442)-IF($I442="",0,$I442))</f>
        <v/>
      </c>
      <c r="K442" s="29">
        <f>IF($P442="","",IF(INDEX(EntryMan,$P442)=0,"",INDEX(EntryMan,$P442)))</f>
        <v/>
      </c>
      <c r="L442" s="28">
        <f>IF($B442="","",IF($K442="","—",IF(ROUND($K442-$J442,0)=0,"√","×")))</f>
        <v/>
      </c>
      <c r="M442" s="28">
        <f>IF($B442="","",IF(COUNTIFS(EntryDates,$B442,CalcTime,$C442,CalcBank,$C$5,EntryParty,$D442,EntryDep,$H442,EntryWit,$I442)&gt;1,"تکرار",""))</f>
        <v/>
      </c>
      <c r="N442" s="28">
        <f>IF($P442="","",IF(INDEX(EntryNotes,$P442)=0,"",INDEX(EntryNotes,$P442)))</f>
        <v/>
      </c>
      <c r="O442" s="28">
        <f>IF($P442="","",IF(INDEX(EntryTxnID,$P442)=0,"",INDEX(EntryTxnID,$P442)))</f>
        <v/>
      </c>
      <c r="P442" s="28">
        <f>IFERROR(MATCH($C$5&amp;"|"&amp;RIGHT("000000"&amp;426,6),CalcRankKey,0),"")</f>
        <v/>
      </c>
    </row>
    <row r="443">
      <c r="A443" s="26">
        <f>IF($B443="","",427)</f>
        <v/>
      </c>
      <c r="B443" s="26">
        <f>IF($P443="","",IF(INDEX(CalcNormDate,$P443)=0,"",INDEX(CalcNormDate,$P443)))</f>
        <v/>
      </c>
      <c r="C443" s="26">
        <f>IF($P443="","",IF(INDEX(CalcTime,$P443)=0,"",INDEX(CalcTime,$P443)))</f>
        <v/>
      </c>
      <c r="D443" s="26">
        <f>IF($P443="","",IF(INDEX(EntryParty,$P443)=0,"",INDEX(EntryParty,$P443)))</f>
        <v/>
      </c>
      <c r="E443" s="26">
        <f>IF($P443="","",IF(INDEX(EntryPartyName,$P443)=0,"",INDEX(EntryPartyName,$P443)))</f>
        <v/>
      </c>
      <c r="F443" s="26">
        <f>IF($P443="","",IF(INDEX(EntryPartyType,$P443)=0,"",INDEX(EntryPartyType,$P443)))</f>
        <v/>
      </c>
      <c r="G443" s="26">
        <f>IF($P443="","",IF(INDEX(EntryTxnType,$P443)=0,"",INDEX(EntryTxnType,$P443)))</f>
        <v/>
      </c>
      <c r="H443" s="27">
        <f>IF($P443="","",IF(INDEX(EntryDep,$P443)=0,"",INDEX(EntryDep,$P443)))</f>
        <v/>
      </c>
      <c r="I443" s="27">
        <f>IF($P443="","",IF(INDEX(EntryWit,$P443)=0,"",INDEX(EntryWit,$P443)))</f>
        <v/>
      </c>
      <c r="J443" s="27">
        <f>IF($B443="","",IF($A443=1,$C$7,IF(J442="",0,J442))+IF($H443="",0,$H443)-IF($I443="",0,$I443))</f>
        <v/>
      </c>
      <c r="K443" s="27">
        <f>IF($P443="","",IF(INDEX(EntryMan,$P443)=0,"",INDEX(EntryMan,$P443)))</f>
        <v/>
      </c>
      <c r="L443" s="26">
        <f>IF($B443="","",IF($K443="","—",IF(ROUND($K443-$J443,0)=0,"√","×")))</f>
        <v/>
      </c>
      <c r="M443" s="26">
        <f>IF($B443="","",IF(COUNTIFS(EntryDates,$B443,CalcTime,$C443,CalcBank,$C$5,EntryParty,$D443,EntryDep,$H443,EntryWit,$I443)&gt;1,"تکرار",""))</f>
        <v/>
      </c>
      <c r="N443" s="26">
        <f>IF($P443="","",IF(INDEX(EntryNotes,$P443)=0,"",INDEX(EntryNotes,$P443)))</f>
        <v/>
      </c>
      <c r="O443" s="26">
        <f>IF($P443="","",IF(INDEX(EntryTxnID,$P443)=0,"",INDEX(EntryTxnID,$P443)))</f>
        <v/>
      </c>
      <c r="P443" s="26">
        <f>IFERROR(MATCH($C$5&amp;"|"&amp;RIGHT("000000"&amp;427,6),CalcRankKey,0),"")</f>
        <v/>
      </c>
    </row>
    <row r="444">
      <c r="A444" s="28">
        <f>IF($B444="","",428)</f>
        <v/>
      </c>
      <c r="B444" s="28">
        <f>IF($P444="","",IF(INDEX(CalcNormDate,$P444)=0,"",INDEX(CalcNormDate,$P444)))</f>
        <v/>
      </c>
      <c r="C444" s="28">
        <f>IF($P444="","",IF(INDEX(CalcTime,$P444)=0,"",INDEX(CalcTime,$P444)))</f>
        <v/>
      </c>
      <c r="D444" s="28">
        <f>IF($P444="","",IF(INDEX(EntryParty,$P444)=0,"",INDEX(EntryParty,$P444)))</f>
        <v/>
      </c>
      <c r="E444" s="28">
        <f>IF($P444="","",IF(INDEX(EntryPartyName,$P444)=0,"",INDEX(EntryPartyName,$P444)))</f>
        <v/>
      </c>
      <c r="F444" s="28">
        <f>IF($P444="","",IF(INDEX(EntryPartyType,$P444)=0,"",INDEX(EntryPartyType,$P444)))</f>
        <v/>
      </c>
      <c r="G444" s="28">
        <f>IF($P444="","",IF(INDEX(EntryTxnType,$P444)=0,"",INDEX(EntryTxnType,$P444)))</f>
        <v/>
      </c>
      <c r="H444" s="29">
        <f>IF($P444="","",IF(INDEX(EntryDep,$P444)=0,"",INDEX(EntryDep,$P444)))</f>
        <v/>
      </c>
      <c r="I444" s="29">
        <f>IF($P444="","",IF(INDEX(EntryWit,$P444)=0,"",INDEX(EntryWit,$P444)))</f>
        <v/>
      </c>
      <c r="J444" s="29">
        <f>IF($B444="","",IF($A444=1,$C$7,IF(J443="",0,J443))+IF($H444="",0,$H444)-IF($I444="",0,$I444))</f>
        <v/>
      </c>
      <c r="K444" s="29">
        <f>IF($P444="","",IF(INDEX(EntryMan,$P444)=0,"",INDEX(EntryMan,$P444)))</f>
        <v/>
      </c>
      <c r="L444" s="28">
        <f>IF($B444="","",IF($K444="","—",IF(ROUND($K444-$J444,0)=0,"√","×")))</f>
        <v/>
      </c>
      <c r="M444" s="28">
        <f>IF($B444="","",IF(COUNTIFS(EntryDates,$B444,CalcTime,$C444,CalcBank,$C$5,EntryParty,$D444,EntryDep,$H444,EntryWit,$I444)&gt;1,"تکرار",""))</f>
        <v/>
      </c>
      <c r="N444" s="28">
        <f>IF($P444="","",IF(INDEX(EntryNotes,$P444)=0,"",INDEX(EntryNotes,$P444)))</f>
        <v/>
      </c>
      <c r="O444" s="28">
        <f>IF($P444="","",IF(INDEX(EntryTxnID,$P444)=0,"",INDEX(EntryTxnID,$P444)))</f>
        <v/>
      </c>
      <c r="P444" s="28">
        <f>IFERROR(MATCH($C$5&amp;"|"&amp;RIGHT("000000"&amp;428,6),CalcRankKey,0),"")</f>
        <v/>
      </c>
    </row>
    <row r="445">
      <c r="A445" s="26">
        <f>IF($B445="","",429)</f>
        <v/>
      </c>
      <c r="B445" s="26">
        <f>IF($P445="","",IF(INDEX(CalcNormDate,$P445)=0,"",INDEX(CalcNormDate,$P445)))</f>
        <v/>
      </c>
      <c r="C445" s="26">
        <f>IF($P445="","",IF(INDEX(CalcTime,$P445)=0,"",INDEX(CalcTime,$P445)))</f>
        <v/>
      </c>
      <c r="D445" s="26">
        <f>IF($P445="","",IF(INDEX(EntryParty,$P445)=0,"",INDEX(EntryParty,$P445)))</f>
        <v/>
      </c>
      <c r="E445" s="26">
        <f>IF($P445="","",IF(INDEX(EntryPartyName,$P445)=0,"",INDEX(EntryPartyName,$P445)))</f>
        <v/>
      </c>
      <c r="F445" s="26">
        <f>IF($P445="","",IF(INDEX(EntryPartyType,$P445)=0,"",INDEX(EntryPartyType,$P445)))</f>
        <v/>
      </c>
      <c r="G445" s="26">
        <f>IF($P445="","",IF(INDEX(EntryTxnType,$P445)=0,"",INDEX(EntryTxnType,$P445)))</f>
        <v/>
      </c>
      <c r="H445" s="27">
        <f>IF($P445="","",IF(INDEX(EntryDep,$P445)=0,"",INDEX(EntryDep,$P445)))</f>
        <v/>
      </c>
      <c r="I445" s="27">
        <f>IF($P445="","",IF(INDEX(EntryWit,$P445)=0,"",INDEX(EntryWit,$P445)))</f>
        <v/>
      </c>
      <c r="J445" s="27">
        <f>IF($B445="","",IF($A445=1,$C$7,IF(J444="",0,J444))+IF($H445="",0,$H445)-IF($I445="",0,$I445))</f>
        <v/>
      </c>
      <c r="K445" s="27">
        <f>IF($P445="","",IF(INDEX(EntryMan,$P445)=0,"",INDEX(EntryMan,$P445)))</f>
        <v/>
      </c>
      <c r="L445" s="26">
        <f>IF($B445="","",IF($K445="","—",IF(ROUND($K445-$J445,0)=0,"√","×")))</f>
        <v/>
      </c>
      <c r="M445" s="26">
        <f>IF($B445="","",IF(COUNTIFS(EntryDates,$B445,CalcTime,$C445,CalcBank,$C$5,EntryParty,$D445,EntryDep,$H445,EntryWit,$I445)&gt;1,"تکرار",""))</f>
        <v/>
      </c>
      <c r="N445" s="26">
        <f>IF($P445="","",IF(INDEX(EntryNotes,$P445)=0,"",INDEX(EntryNotes,$P445)))</f>
        <v/>
      </c>
      <c r="O445" s="26">
        <f>IF($P445="","",IF(INDEX(EntryTxnID,$P445)=0,"",INDEX(EntryTxnID,$P445)))</f>
        <v/>
      </c>
      <c r="P445" s="26">
        <f>IFERROR(MATCH($C$5&amp;"|"&amp;RIGHT("000000"&amp;429,6),CalcRankKey,0),"")</f>
        <v/>
      </c>
    </row>
    <row r="446">
      <c r="A446" s="28">
        <f>IF($B446="","",430)</f>
        <v/>
      </c>
      <c r="B446" s="28">
        <f>IF($P446="","",IF(INDEX(CalcNormDate,$P446)=0,"",INDEX(CalcNormDate,$P446)))</f>
        <v/>
      </c>
      <c r="C446" s="28">
        <f>IF($P446="","",IF(INDEX(CalcTime,$P446)=0,"",INDEX(CalcTime,$P446)))</f>
        <v/>
      </c>
      <c r="D446" s="28">
        <f>IF($P446="","",IF(INDEX(EntryParty,$P446)=0,"",INDEX(EntryParty,$P446)))</f>
        <v/>
      </c>
      <c r="E446" s="28">
        <f>IF($P446="","",IF(INDEX(EntryPartyName,$P446)=0,"",INDEX(EntryPartyName,$P446)))</f>
        <v/>
      </c>
      <c r="F446" s="28">
        <f>IF($P446="","",IF(INDEX(EntryPartyType,$P446)=0,"",INDEX(EntryPartyType,$P446)))</f>
        <v/>
      </c>
      <c r="G446" s="28">
        <f>IF($P446="","",IF(INDEX(EntryTxnType,$P446)=0,"",INDEX(EntryTxnType,$P446)))</f>
        <v/>
      </c>
      <c r="H446" s="29">
        <f>IF($P446="","",IF(INDEX(EntryDep,$P446)=0,"",INDEX(EntryDep,$P446)))</f>
        <v/>
      </c>
      <c r="I446" s="29">
        <f>IF($P446="","",IF(INDEX(EntryWit,$P446)=0,"",INDEX(EntryWit,$P446)))</f>
        <v/>
      </c>
      <c r="J446" s="29">
        <f>IF($B446="","",IF($A446=1,$C$7,IF(J445="",0,J445))+IF($H446="",0,$H446)-IF($I446="",0,$I446))</f>
        <v/>
      </c>
      <c r="K446" s="29">
        <f>IF($P446="","",IF(INDEX(EntryMan,$P446)=0,"",INDEX(EntryMan,$P446)))</f>
        <v/>
      </c>
      <c r="L446" s="28">
        <f>IF($B446="","",IF($K446="","—",IF(ROUND($K446-$J446,0)=0,"√","×")))</f>
        <v/>
      </c>
      <c r="M446" s="28">
        <f>IF($B446="","",IF(COUNTIFS(EntryDates,$B446,CalcTime,$C446,CalcBank,$C$5,EntryParty,$D446,EntryDep,$H446,EntryWit,$I446)&gt;1,"تکرار",""))</f>
        <v/>
      </c>
      <c r="N446" s="28">
        <f>IF($P446="","",IF(INDEX(EntryNotes,$P446)=0,"",INDEX(EntryNotes,$P446)))</f>
        <v/>
      </c>
      <c r="O446" s="28">
        <f>IF($P446="","",IF(INDEX(EntryTxnID,$P446)=0,"",INDEX(EntryTxnID,$P446)))</f>
        <v/>
      </c>
      <c r="P446" s="28">
        <f>IFERROR(MATCH($C$5&amp;"|"&amp;RIGHT("000000"&amp;430,6),CalcRankKey,0),"")</f>
        <v/>
      </c>
    </row>
    <row r="447">
      <c r="A447" s="26">
        <f>IF($B447="","",431)</f>
        <v/>
      </c>
      <c r="B447" s="26">
        <f>IF($P447="","",IF(INDEX(CalcNormDate,$P447)=0,"",INDEX(CalcNormDate,$P447)))</f>
        <v/>
      </c>
      <c r="C447" s="26">
        <f>IF($P447="","",IF(INDEX(CalcTime,$P447)=0,"",INDEX(CalcTime,$P447)))</f>
        <v/>
      </c>
      <c r="D447" s="26">
        <f>IF($P447="","",IF(INDEX(EntryParty,$P447)=0,"",INDEX(EntryParty,$P447)))</f>
        <v/>
      </c>
      <c r="E447" s="26">
        <f>IF($P447="","",IF(INDEX(EntryPartyName,$P447)=0,"",INDEX(EntryPartyName,$P447)))</f>
        <v/>
      </c>
      <c r="F447" s="26">
        <f>IF($P447="","",IF(INDEX(EntryPartyType,$P447)=0,"",INDEX(EntryPartyType,$P447)))</f>
        <v/>
      </c>
      <c r="G447" s="26">
        <f>IF($P447="","",IF(INDEX(EntryTxnType,$P447)=0,"",INDEX(EntryTxnType,$P447)))</f>
        <v/>
      </c>
      <c r="H447" s="27">
        <f>IF($P447="","",IF(INDEX(EntryDep,$P447)=0,"",INDEX(EntryDep,$P447)))</f>
        <v/>
      </c>
      <c r="I447" s="27">
        <f>IF($P447="","",IF(INDEX(EntryWit,$P447)=0,"",INDEX(EntryWit,$P447)))</f>
        <v/>
      </c>
      <c r="J447" s="27">
        <f>IF($B447="","",IF($A447=1,$C$7,IF(J446="",0,J446))+IF($H447="",0,$H447)-IF($I447="",0,$I447))</f>
        <v/>
      </c>
      <c r="K447" s="27">
        <f>IF($P447="","",IF(INDEX(EntryMan,$P447)=0,"",INDEX(EntryMan,$P447)))</f>
        <v/>
      </c>
      <c r="L447" s="26">
        <f>IF($B447="","",IF($K447="","—",IF(ROUND($K447-$J447,0)=0,"√","×")))</f>
        <v/>
      </c>
      <c r="M447" s="26">
        <f>IF($B447="","",IF(COUNTIFS(EntryDates,$B447,CalcTime,$C447,CalcBank,$C$5,EntryParty,$D447,EntryDep,$H447,EntryWit,$I447)&gt;1,"تکرار",""))</f>
        <v/>
      </c>
      <c r="N447" s="26">
        <f>IF($P447="","",IF(INDEX(EntryNotes,$P447)=0,"",INDEX(EntryNotes,$P447)))</f>
        <v/>
      </c>
      <c r="O447" s="26">
        <f>IF($P447="","",IF(INDEX(EntryTxnID,$P447)=0,"",INDEX(EntryTxnID,$P447)))</f>
        <v/>
      </c>
      <c r="P447" s="26">
        <f>IFERROR(MATCH($C$5&amp;"|"&amp;RIGHT("000000"&amp;431,6),CalcRankKey,0),"")</f>
        <v/>
      </c>
    </row>
    <row r="448">
      <c r="A448" s="28">
        <f>IF($B448="","",432)</f>
        <v/>
      </c>
      <c r="B448" s="28">
        <f>IF($P448="","",IF(INDEX(CalcNormDate,$P448)=0,"",INDEX(CalcNormDate,$P448)))</f>
        <v/>
      </c>
      <c r="C448" s="28">
        <f>IF($P448="","",IF(INDEX(CalcTime,$P448)=0,"",INDEX(CalcTime,$P448)))</f>
        <v/>
      </c>
      <c r="D448" s="28">
        <f>IF($P448="","",IF(INDEX(EntryParty,$P448)=0,"",INDEX(EntryParty,$P448)))</f>
        <v/>
      </c>
      <c r="E448" s="28">
        <f>IF($P448="","",IF(INDEX(EntryPartyName,$P448)=0,"",INDEX(EntryPartyName,$P448)))</f>
        <v/>
      </c>
      <c r="F448" s="28">
        <f>IF($P448="","",IF(INDEX(EntryPartyType,$P448)=0,"",INDEX(EntryPartyType,$P448)))</f>
        <v/>
      </c>
      <c r="G448" s="28">
        <f>IF($P448="","",IF(INDEX(EntryTxnType,$P448)=0,"",INDEX(EntryTxnType,$P448)))</f>
        <v/>
      </c>
      <c r="H448" s="29">
        <f>IF($P448="","",IF(INDEX(EntryDep,$P448)=0,"",INDEX(EntryDep,$P448)))</f>
        <v/>
      </c>
      <c r="I448" s="29">
        <f>IF($P448="","",IF(INDEX(EntryWit,$P448)=0,"",INDEX(EntryWit,$P448)))</f>
        <v/>
      </c>
      <c r="J448" s="29">
        <f>IF($B448="","",IF($A448=1,$C$7,IF(J447="",0,J447))+IF($H448="",0,$H448)-IF($I448="",0,$I448))</f>
        <v/>
      </c>
      <c r="K448" s="29">
        <f>IF($P448="","",IF(INDEX(EntryMan,$P448)=0,"",INDEX(EntryMan,$P448)))</f>
        <v/>
      </c>
      <c r="L448" s="28">
        <f>IF($B448="","",IF($K448="","—",IF(ROUND($K448-$J448,0)=0,"√","×")))</f>
        <v/>
      </c>
      <c r="M448" s="28">
        <f>IF($B448="","",IF(COUNTIFS(EntryDates,$B448,CalcTime,$C448,CalcBank,$C$5,EntryParty,$D448,EntryDep,$H448,EntryWit,$I448)&gt;1,"تکرار",""))</f>
        <v/>
      </c>
      <c r="N448" s="28">
        <f>IF($P448="","",IF(INDEX(EntryNotes,$P448)=0,"",INDEX(EntryNotes,$P448)))</f>
        <v/>
      </c>
      <c r="O448" s="28">
        <f>IF($P448="","",IF(INDEX(EntryTxnID,$P448)=0,"",INDEX(EntryTxnID,$P448)))</f>
        <v/>
      </c>
      <c r="P448" s="28">
        <f>IFERROR(MATCH($C$5&amp;"|"&amp;RIGHT("000000"&amp;432,6),CalcRankKey,0),"")</f>
        <v/>
      </c>
    </row>
    <row r="449">
      <c r="A449" s="26">
        <f>IF($B449="","",433)</f>
        <v/>
      </c>
      <c r="B449" s="26">
        <f>IF($P449="","",IF(INDEX(CalcNormDate,$P449)=0,"",INDEX(CalcNormDate,$P449)))</f>
        <v/>
      </c>
      <c r="C449" s="26">
        <f>IF($P449="","",IF(INDEX(CalcTime,$P449)=0,"",INDEX(CalcTime,$P449)))</f>
        <v/>
      </c>
      <c r="D449" s="26">
        <f>IF($P449="","",IF(INDEX(EntryParty,$P449)=0,"",INDEX(EntryParty,$P449)))</f>
        <v/>
      </c>
      <c r="E449" s="26">
        <f>IF($P449="","",IF(INDEX(EntryPartyName,$P449)=0,"",INDEX(EntryPartyName,$P449)))</f>
        <v/>
      </c>
      <c r="F449" s="26">
        <f>IF($P449="","",IF(INDEX(EntryPartyType,$P449)=0,"",INDEX(EntryPartyType,$P449)))</f>
        <v/>
      </c>
      <c r="G449" s="26">
        <f>IF($P449="","",IF(INDEX(EntryTxnType,$P449)=0,"",INDEX(EntryTxnType,$P449)))</f>
        <v/>
      </c>
      <c r="H449" s="27">
        <f>IF($P449="","",IF(INDEX(EntryDep,$P449)=0,"",INDEX(EntryDep,$P449)))</f>
        <v/>
      </c>
      <c r="I449" s="27">
        <f>IF($P449="","",IF(INDEX(EntryWit,$P449)=0,"",INDEX(EntryWit,$P449)))</f>
        <v/>
      </c>
      <c r="J449" s="27">
        <f>IF($B449="","",IF($A449=1,$C$7,IF(J448="",0,J448))+IF($H449="",0,$H449)-IF($I449="",0,$I449))</f>
        <v/>
      </c>
      <c r="K449" s="27">
        <f>IF($P449="","",IF(INDEX(EntryMan,$P449)=0,"",INDEX(EntryMan,$P449)))</f>
        <v/>
      </c>
      <c r="L449" s="26">
        <f>IF($B449="","",IF($K449="","—",IF(ROUND($K449-$J449,0)=0,"√","×")))</f>
        <v/>
      </c>
      <c r="M449" s="26">
        <f>IF($B449="","",IF(COUNTIFS(EntryDates,$B449,CalcTime,$C449,CalcBank,$C$5,EntryParty,$D449,EntryDep,$H449,EntryWit,$I449)&gt;1,"تکرار",""))</f>
        <v/>
      </c>
      <c r="N449" s="26">
        <f>IF($P449="","",IF(INDEX(EntryNotes,$P449)=0,"",INDEX(EntryNotes,$P449)))</f>
        <v/>
      </c>
      <c r="O449" s="26">
        <f>IF($P449="","",IF(INDEX(EntryTxnID,$P449)=0,"",INDEX(EntryTxnID,$P449)))</f>
        <v/>
      </c>
      <c r="P449" s="26">
        <f>IFERROR(MATCH($C$5&amp;"|"&amp;RIGHT("000000"&amp;433,6),CalcRankKey,0),"")</f>
        <v/>
      </c>
    </row>
    <row r="450">
      <c r="A450" s="28">
        <f>IF($B450="","",434)</f>
        <v/>
      </c>
      <c r="B450" s="28">
        <f>IF($P450="","",IF(INDEX(CalcNormDate,$P450)=0,"",INDEX(CalcNormDate,$P450)))</f>
        <v/>
      </c>
      <c r="C450" s="28">
        <f>IF($P450="","",IF(INDEX(CalcTime,$P450)=0,"",INDEX(CalcTime,$P450)))</f>
        <v/>
      </c>
      <c r="D450" s="28">
        <f>IF($P450="","",IF(INDEX(EntryParty,$P450)=0,"",INDEX(EntryParty,$P450)))</f>
        <v/>
      </c>
      <c r="E450" s="28">
        <f>IF($P450="","",IF(INDEX(EntryPartyName,$P450)=0,"",INDEX(EntryPartyName,$P450)))</f>
        <v/>
      </c>
      <c r="F450" s="28">
        <f>IF($P450="","",IF(INDEX(EntryPartyType,$P450)=0,"",INDEX(EntryPartyType,$P450)))</f>
        <v/>
      </c>
      <c r="G450" s="28">
        <f>IF($P450="","",IF(INDEX(EntryTxnType,$P450)=0,"",INDEX(EntryTxnType,$P450)))</f>
        <v/>
      </c>
      <c r="H450" s="29">
        <f>IF($P450="","",IF(INDEX(EntryDep,$P450)=0,"",INDEX(EntryDep,$P450)))</f>
        <v/>
      </c>
      <c r="I450" s="29">
        <f>IF($P450="","",IF(INDEX(EntryWit,$P450)=0,"",INDEX(EntryWit,$P450)))</f>
        <v/>
      </c>
      <c r="J450" s="29">
        <f>IF($B450="","",IF($A450=1,$C$7,IF(J449="",0,J449))+IF($H450="",0,$H450)-IF($I450="",0,$I450))</f>
        <v/>
      </c>
      <c r="K450" s="29">
        <f>IF($P450="","",IF(INDEX(EntryMan,$P450)=0,"",INDEX(EntryMan,$P450)))</f>
        <v/>
      </c>
      <c r="L450" s="28">
        <f>IF($B450="","",IF($K450="","—",IF(ROUND($K450-$J450,0)=0,"√","×")))</f>
        <v/>
      </c>
      <c r="M450" s="28">
        <f>IF($B450="","",IF(COUNTIFS(EntryDates,$B450,CalcTime,$C450,CalcBank,$C$5,EntryParty,$D450,EntryDep,$H450,EntryWit,$I450)&gt;1,"تکرار",""))</f>
        <v/>
      </c>
      <c r="N450" s="28">
        <f>IF($P450="","",IF(INDEX(EntryNotes,$P450)=0,"",INDEX(EntryNotes,$P450)))</f>
        <v/>
      </c>
      <c r="O450" s="28">
        <f>IF($P450="","",IF(INDEX(EntryTxnID,$P450)=0,"",INDEX(EntryTxnID,$P450)))</f>
        <v/>
      </c>
      <c r="P450" s="28">
        <f>IFERROR(MATCH($C$5&amp;"|"&amp;RIGHT("000000"&amp;434,6),CalcRankKey,0),"")</f>
        <v/>
      </c>
    </row>
    <row r="451">
      <c r="A451" s="26">
        <f>IF($B451="","",435)</f>
        <v/>
      </c>
      <c r="B451" s="26">
        <f>IF($P451="","",IF(INDEX(CalcNormDate,$P451)=0,"",INDEX(CalcNormDate,$P451)))</f>
        <v/>
      </c>
      <c r="C451" s="26">
        <f>IF($P451="","",IF(INDEX(CalcTime,$P451)=0,"",INDEX(CalcTime,$P451)))</f>
        <v/>
      </c>
      <c r="D451" s="26">
        <f>IF($P451="","",IF(INDEX(EntryParty,$P451)=0,"",INDEX(EntryParty,$P451)))</f>
        <v/>
      </c>
      <c r="E451" s="26">
        <f>IF($P451="","",IF(INDEX(EntryPartyName,$P451)=0,"",INDEX(EntryPartyName,$P451)))</f>
        <v/>
      </c>
      <c r="F451" s="26">
        <f>IF($P451="","",IF(INDEX(EntryPartyType,$P451)=0,"",INDEX(EntryPartyType,$P451)))</f>
        <v/>
      </c>
      <c r="G451" s="26">
        <f>IF($P451="","",IF(INDEX(EntryTxnType,$P451)=0,"",INDEX(EntryTxnType,$P451)))</f>
        <v/>
      </c>
      <c r="H451" s="27">
        <f>IF($P451="","",IF(INDEX(EntryDep,$P451)=0,"",INDEX(EntryDep,$P451)))</f>
        <v/>
      </c>
      <c r="I451" s="27">
        <f>IF($P451="","",IF(INDEX(EntryWit,$P451)=0,"",INDEX(EntryWit,$P451)))</f>
        <v/>
      </c>
      <c r="J451" s="27">
        <f>IF($B451="","",IF($A451=1,$C$7,IF(J450="",0,J450))+IF($H451="",0,$H451)-IF($I451="",0,$I451))</f>
        <v/>
      </c>
      <c r="K451" s="27">
        <f>IF($P451="","",IF(INDEX(EntryMan,$P451)=0,"",INDEX(EntryMan,$P451)))</f>
        <v/>
      </c>
      <c r="L451" s="26">
        <f>IF($B451="","",IF($K451="","—",IF(ROUND($K451-$J451,0)=0,"√","×")))</f>
        <v/>
      </c>
      <c r="M451" s="26">
        <f>IF($B451="","",IF(COUNTIFS(EntryDates,$B451,CalcTime,$C451,CalcBank,$C$5,EntryParty,$D451,EntryDep,$H451,EntryWit,$I451)&gt;1,"تکرار",""))</f>
        <v/>
      </c>
      <c r="N451" s="26">
        <f>IF($P451="","",IF(INDEX(EntryNotes,$P451)=0,"",INDEX(EntryNotes,$P451)))</f>
        <v/>
      </c>
      <c r="O451" s="26">
        <f>IF($P451="","",IF(INDEX(EntryTxnID,$P451)=0,"",INDEX(EntryTxnID,$P451)))</f>
        <v/>
      </c>
      <c r="P451" s="26">
        <f>IFERROR(MATCH($C$5&amp;"|"&amp;RIGHT("000000"&amp;435,6),CalcRankKey,0),"")</f>
        <v/>
      </c>
    </row>
    <row r="452">
      <c r="A452" s="28">
        <f>IF($B452="","",436)</f>
        <v/>
      </c>
      <c r="B452" s="28">
        <f>IF($P452="","",IF(INDEX(CalcNormDate,$P452)=0,"",INDEX(CalcNormDate,$P452)))</f>
        <v/>
      </c>
      <c r="C452" s="28">
        <f>IF($P452="","",IF(INDEX(CalcTime,$P452)=0,"",INDEX(CalcTime,$P452)))</f>
        <v/>
      </c>
      <c r="D452" s="28">
        <f>IF($P452="","",IF(INDEX(EntryParty,$P452)=0,"",INDEX(EntryParty,$P452)))</f>
        <v/>
      </c>
      <c r="E452" s="28">
        <f>IF($P452="","",IF(INDEX(EntryPartyName,$P452)=0,"",INDEX(EntryPartyName,$P452)))</f>
        <v/>
      </c>
      <c r="F452" s="28">
        <f>IF($P452="","",IF(INDEX(EntryPartyType,$P452)=0,"",INDEX(EntryPartyType,$P452)))</f>
        <v/>
      </c>
      <c r="G452" s="28">
        <f>IF($P452="","",IF(INDEX(EntryTxnType,$P452)=0,"",INDEX(EntryTxnType,$P452)))</f>
        <v/>
      </c>
      <c r="H452" s="29">
        <f>IF($P452="","",IF(INDEX(EntryDep,$P452)=0,"",INDEX(EntryDep,$P452)))</f>
        <v/>
      </c>
      <c r="I452" s="29">
        <f>IF($P452="","",IF(INDEX(EntryWit,$P452)=0,"",INDEX(EntryWit,$P452)))</f>
        <v/>
      </c>
      <c r="J452" s="29">
        <f>IF($B452="","",IF($A452=1,$C$7,IF(J451="",0,J451))+IF($H452="",0,$H452)-IF($I452="",0,$I452))</f>
        <v/>
      </c>
      <c r="K452" s="29">
        <f>IF($P452="","",IF(INDEX(EntryMan,$P452)=0,"",INDEX(EntryMan,$P452)))</f>
        <v/>
      </c>
      <c r="L452" s="28">
        <f>IF($B452="","",IF($K452="","—",IF(ROUND($K452-$J452,0)=0,"√","×")))</f>
        <v/>
      </c>
      <c r="M452" s="28">
        <f>IF($B452="","",IF(COUNTIFS(EntryDates,$B452,CalcTime,$C452,CalcBank,$C$5,EntryParty,$D452,EntryDep,$H452,EntryWit,$I452)&gt;1,"تکرار",""))</f>
        <v/>
      </c>
      <c r="N452" s="28">
        <f>IF($P452="","",IF(INDEX(EntryNotes,$P452)=0,"",INDEX(EntryNotes,$P452)))</f>
        <v/>
      </c>
      <c r="O452" s="28">
        <f>IF($P452="","",IF(INDEX(EntryTxnID,$P452)=0,"",INDEX(EntryTxnID,$P452)))</f>
        <v/>
      </c>
      <c r="P452" s="28">
        <f>IFERROR(MATCH($C$5&amp;"|"&amp;RIGHT("000000"&amp;436,6),CalcRankKey,0),"")</f>
        <v/>
      </c>
    </row>
    <row r="453">
      <c r="A453" s="26">
        <f>IF($B453="","",437)</f>
        <v/>
      </c>
      <c r="B453" s="26">
        <f>IF($P453="","",IF(INDEX(CalcNormDate,$P453)=0,"",INDEX(CalcNormDate,$P453)))</f>
        <v/>
      </c>
      <c r="C453" s="26">
        <f>IF($P453="","",IF(INDEX(CalcTime,$P453)=0,"",INDEX(CalcTime,$P453)))</f>
        <v/>
      </c>
      <c r="D453" s="26">
        <f>IF($P453="","",IF(INDEX(EntryParty,$P453)=0,"",INDEX(EntryParty,$P453)))</f>
        <v/>
      </c>
      <c r="E453" s="26">
        <f>IF($P453="","",IF(INDEX(EntryPartyName,$P453)=0,"",INDEX(EntryPartyName,$P453)))</f>
        <v/>
      </c>
      <c r="F453" s="26">
        <f>IF($P453="","",IF(INDEX(EntryPartyType,$P453)=0,"",INDEX(EntryPartyType,$P453)))</f>
        <v/>
      </c>
      <c r="G453" s="26">
        <f>IF($P453="","",IF(INDEX(EntryTxnType,$P453)=0,"",INDEX(EntryTxnType,$P453)))</f>
        <v/>
      </c>
      <c r="H453" s="27">
        <f>IF($P453="","",IF(INDEX(EntryDep,$P453)=0,"",INDEX(EntryDep,$P453)))</f>
        <v/>
      </c>
      <c r="I453" s="27">
        <f>IF($P453="","",IF(INDEX(EntryWit,$P453)=0,"",INDEX(EntryWit,$P453)))</f>
        <v/>
      </c>
      <c r="J453" s="27">
        <f>IF($B453="","",IF($A453=1,$C$7,IF(J452="",0,J452))+IF($H453="",0,$H453)-IF($I453="",0,$I453))</f>
        <v/>
      </c>
      <c r="K453" s="27">
        <f>IF($P453="","",IF(INDEX(EntryMan,$P453)=0,"",INDEX(EntryMan,$P453)))</f>
        <v/>
      </c>
      <c r="L453" s="26">
        <f>IF($B453="","",IF($K453="","—",IF(ROUND($K453-$J453,0)=0,"√","×")))</f>
        <v/>
      </c>
      <c r="M453" s="26">
        <f>IF($B453="","",IF(COUNTIFS(EntryDates,$B453,CalcTime,$C453,CalcBank,$C$5,EntryParty,$D453,EntryDep,$H453,EntryWit,$I453)&gt;1,"تکرار",""))</f>
        <v/>
      </c>
      <c r="N453" s="26">
        <f>IF($P453="","",IF(INDEX(EntryNotes,$P453)=0,"",INDEX(EntryNotes,$P453)))</f>
        <v/>
      </c>
      <c r="O453" s="26">
        <f>IF($P453="","",IF(INDEX(EntryTxnID,$P453)=0,"",INDEX(EntryTxnID,$P453)))</f>
        <v/>
      </c>
      <c r="P453" s="26">
        <f>IFERROR(MATCH($C$5&amp;"|"&amp;RIGHT("000000"&amp;437,6),CalcRankKey,0),"")</f>
        <v/>
      </c>
    </row>
    <row r="454">
      <c r="A454" s="28">
        <f>IF($B454="","",438)</f>
        <v/>
      </c>
      <c r="B454" s="28">
        <f>IF($P454="","",IF(INDEX(CalcNormDate,$P454)=0,"",INDEX(CalcNormDate,$P454)))</f>
        <v/>
      </c>
      <c r="C454" s="28">
        <f>IF($P454="","",IF(INDEX(CalcTime,$P454)=0,"",INDEX(CalcTime,$P454)))</f>
        <v/>
      </c>
      <c r="D454" s="28">
        <f>IF($P454="","",IF(INDEX(EntryParty,$P454)=0,"",INDEX(EntryParty,$P454)))</f>
        <v/>
      </c>
      <c r="E454" s="28">
        <f>IF($P454="","",IF(INDEX(EntryPartyName,$P454)=0,"",INDEX(EntryPartyName,$P454)))</f>
        <v/>
      </c>
      <c r="F454" s="28">
        <f>IF($P454="","",IF(INDEX(EntryPartyType,$P454)=0,"",INDEX(EntryPartyType,$P454)))</f>
        <v/>
      </c>
      <c r="G454" s="28">
        <f>IF($P454="","",IF(INDEX(EntryTxnType,$P454)=0,"",INDEX(EntryTxnType,$P454)))</f>
        <v/>
      </c>
      <c r="H454" s="29">
        <f>IF($P454="","",IF(INDEX(EntryDep,$P454)=0,"",INDEX(EntryDep,$P454)))</f>
        <v/>
      </c>
      <c r="I454" s="29">
        <f>IF($P454="","",IF(INDEX(EntryWit,$P454)=0,"",INDEX(EntryWit,$P454)))</f>
        <v/>
      </c>
      <c r="J454" s="29">
        <f>IF($B454="","",IF($A454=1,$C$7,IF(J453="",0,J453))+IF($H454="",0,$H454)-IF($I454="",0,$I454))</f>
        <v/>
      </c>
      <c r="K454" s="29">
        <f>IF($P454="","",IF(INDEX(EntryMan,$P454)=0,"",INDEX(EntryMan,$P454)))</f>
        <v/>
      </c>
      <c r="L454" s="28">
        <f>IF($B454="","",IF($K454="","—",IF(ROUND($K454-$J454,0)=0,"√","×")))</f>
        <v/>
      </c>
      <c r="M454" s="28">
        <f>IF($B454="","",IF(COUNTIFS(EntryDates,$B454,CalcTime,$C454,CalcBank,$C$5,EntryParty,$D454,EntryDep,$H454,EntryWit,$I454)&gt;1,"تکرار",""))</f>
        <v/>
      </c>
      <c r="N454" s="28">
        <f>IF($P454="","",IF(INDEX(EntryNotes,$P454)=0,"",INDEX(EntryNotes,$P454)))</f>
        <v/>
      </c>
      <c r="O454" s="28">
        <f>IF($P454="","",IF(INDEX(EntryTxnID,$P454)=0,"",INDEX(EntryTxnID,$P454)))</f>
        <v/>
      </c>
      <c r="P454" s="28">
        <f>IFERROR(MATCH($C$5&amp;"|"&amp;RIGHT("000000"&amp;438,6),CalcRankKey,0),"")</f>
        <v/>
      </c>
    </row>
    <row r="455">
      <c r="A455" s="26">
        <f>IF($B455="","",439)</f>
        <v/>
      </c>
      <c r="B455" s="26">
        <f>IF($P455="","",IF(INDEX(CalcNormDate,$P455)=0,"",INDEX(CalcNormDate,$P455)))</f>
        <v/>
      </c>
      <c r="C455" s="26">
        <f>IF($P455="","",IF(INDEX(CalcTime,$P455)=0,"",INDEX(CalcTime,$P455)))</f>
        <v/>
      </c>
      <c r="D455" s="26">
        <f>IF($P455="","",IF(INDEX(EntryParty,$P455)=0,"",INDEX(EntryParty,$P455)))</f>
        <v/>
      </c>
      <c r="E455" s="26">
        <f>IF($P455="","",IF(INDEX(EntryPartyName,$P455)=0,"",INDEX(EntryPartyName,$P455)))</f>
        <v/>
      </c>
      <c r="F455" s="26">
        <f>IF($P455="","",IF(INDEX(EntryPartyType,$P455)=0,"",INDEX(EntryPartyType,$P455)))</f>
        <v/>
      </c>
      <c r="G455" s="26">
        <f>IF($P455="","",IF(INDEX(EntryTxnType,$P455)=0,"",INDEX(EntryTxnType,$P455)))</f>
        <v/>
      </c>
      <c r="H455" s="27">
        <f>IF($P455="","",IF(INDEX(EntryDep,$P455)=0,"",INDEX(EntryDep,$P455)))</f>
        <v/>
      </c>
      <c r="I455" s="27">
        <f>IF($P455="","",IF(INDEX(EntryWit,$P455)=0,"",INDEX(EntryWit,$P455)))</f>
        <v/>
      </c>
      <c r="J455" s="27">
        <f>IF($B455="","",IF($A455=1,$C$7,IF(J454="",0,J454))+IF($H455="",0,$H455)-IF($I455="",0,$I455))</f>
        <v/>
      </c>
      <c r="K455" s="27">
        <f>IF($P455="","",IF(INDEX(EntryMan,$P455)=0,"",INDEX(EntryMan,$P455)))</f>
        <v/>
      </c>
      <c r="L455" s="26">
        <f>IF($B455="","",IF($K455="","—",IF(ROUND($K455-$J455,0)=0,"√","×")))</f>
        <v/>
      </c>
      <c r="M455" s="26">
        <f>IF($B455="","",IF(COUNTIFS(EntryDates,$B455,CalcTime,$C455,CalcBank,$C$5,EntryParty,$D455,EntryDep,$H455,EntryWit,$I455)&gt;1,"تکرار",""))</f>
        <v/>
      </c>
      <c r="N455" s="26">
        <f>IF($P455="","",IF(INDEX(EntryNotes,$P455)=0,"",INDEX(EntryNotes,$P455)))</f>
        <v/>
      </c>
      <c r="O455" s="26">
        <f>IF($P455="","",IF(INDEX(EntryTxnID,$P455)=0,"",INDEX(EntryTxnID,$P455)))</f>
        <v/>
      </c>
      <c r="P455" s="26">
        <f>IFERROR(MATCH($C$5&amp;"|"&amp;RIGHT("000000"&amp;439,6),CalcRankKey,0),"")</f>
        <v/>
      </c>
    </row>
    <row r="456">
      <c r="A456" s="28">
        <f>IF($B456="","",440)</f>
        <v/>
      </c>
      <c r="B456" s="28">
        <f>IF($P456="","",IF(INDEX(CalcNormDate,$P456)=0,"",INDEX(CalcNormDate,$P456)))</f>
        <v/>
      </c>
      <c r="C456" s="28">
        <f>IF($P456="","",IF(INDEX(CalcTime,$P456)=0,"",INDEX(CalcTime,$P456)))</f>
        <v/>
      </c>
      <c r="D456" s="28">
        <f>IF($P456="","",IF(INDEX(EntryParty,$P456)=0,"",INDEX(EntryParty,$P456)))</f>
        <v/>
      </c>
      <c r="E456" s="28">
        <f>IF($P456="","",IF(INDEX(EntryPartyName,$P456)=0,"",INDEX(EntryPartyName,$P456)))</f>
        <v/>
      </c>
      <c r="F456" s="28">
        <f>IF($P456="","",IF(INDEX(EntryPartyType,$P456)=0,"",INDEX(EntryPartyType,$P456)))</f>
        <v/>
      </c>
      <c r="G456" s="28">
        <f>IF($P456="","",IF(INDEX(EntryTxnType,$P456)=0,"",INDEX(EntryTxnType,$P456)))</f>
        <v/>
      </c>
      <c r="H456" s="29">
        <f>IF($P456="","",IF(INDEX(EntryDep,$P456)=0,"",INDEX(EntryDep,$P456)))</f>
        <v/>
      </c>
      <c r="I456" s="29">
        <f>IF($P456="","",IF(INDEX(EntryWit,$P456)=0,"",INDEX(EntryWit,$P456)))</f>
        <v/>
      </c>
      <c r="J456" s="29">
        <f>IF($B456="","",IF($A456=1,$C$7,IF(J455="",0,J455))+IF($H456="",0,$H456)-IF($I456="",0,$I456))</f>
        <v/>
      </c>
      <c r="K456" s="29">
        <f>IF($P456="","",IF(INDEX(EntryMan,$P456)=0,"",INDEX(EntryMan,$P456)))</f>
        <v/>
      </c>
      <c r="L456" s="28">
        <f>IF($B456="","",IF($K456="","—",IF(ROUND($K456-$J456,0)=0,"√","×")))</f>
        <v/>
      </c>
      <c r="M456" s="28">
        <f>IF($B456="","",IF(COUNTIFS(EntryDates,$B456,CalcTime,$C456,CalcBank,$C$5,EntryParty,$D456,EntryDep,$H456,EntryWit,$I456)&gt;1,"تکرار",""))</f>
        <v/>
      </c>
      <c r="N456" s="28">
        <f>IF($P456="","",IF(INDEX(EntryNotes,$P456)=0,"",INDEX(EntryNotes,$P456)))</f>
        <v/>
      </c>
      <c r="O456" s="28">
        <f>IF($P456="","",IF(INDEX(EntryTxnID,$P456)=0,"",INDEX(EntryTxnID,$P456)))</f>
        <v/>
      </c>
      <c r="P456" s="28">
        <f>IFERROR(MATCH($C$5&amp;"|"&amp;RIGHT("000000"&amp;440,6),CalcRankKey,0),"")</f>
        <v/>
      </c>
    </row>
    <row r="457">
      <c r="A457" s="26">
        <f>IF($B457="","",441)</f>
        <v/>
      </c>
      <c r="B457" s="26">
        <f>IF($P457="","",IF(INDEX(CalcNormDate,$P457)=0,"",INDEX(CalcNormDate,$P457)))</f>
        <v/>
      </c>
      <c r="C457" s="26">
        <f>IF($P457="","",IF(INDEX(CalcTime,$P457)=0,"",INDEX(CalcTime,$P457)))</f>
        <v/>
      </c>
      <c r="D457" s="26">
        <f>IF($P457="","",IF(INDEX(EntryParty,$P457)=0,"",INDEX(EntryParty,$P457)))</f>
        <v/>
      </c>
      <c r="E457" s="26">
        <f>IF($P457="","",IF(INDEX(EntryPartyName,$P457)=0,"",INDEX(EntryPartyName,$P457)))</f>
        <v/>
      </c>
      <c r="F457" s="26">
        <f>IF($P457="","",IF(INDEX(EntryPartyType,$P457)=0,"",INDEX(EntryPartyType,$P457)))</f>
        <v/>
      </c>
      <c r="G457" s="26">
        <f>IF($P457="","",IF(INDEX(EntryTxnType,$P457)=0,"",INDEX(EntryTxnType,$P457)))</f>
        <v/>
      </c>
      <c r="H457" s="27">
        <f>IF($P457="","",IF(INDEX(EntryDep,$P457)=0,"",INDEX(EntryDep,$P457)))</f>
        <v/>
      </c>
      <c r="I457" s="27">
        <f>IF($P457="","",IF(INDEX(EntryWit,$P457)=0,"",INDEX(EntryWit,$P457)))</f>
        <v/>
      </c>
      <c r="J457" s="27">
        <f>IF($B457="","",IF($A457=1,$C$7,IF(J456="",0,J456))+IF($H457="",0,$H457)-IF($I457="",0,$I457))</f>
        <v/>
      </c>
      <c r="K457" s="27">
        <f>IF($P457="","",IF(INDEX(EntryMan,$P457)=0,"",INDEX(EntryMan,$P457)))</f>
        <v/>
      </c>
      <c r="L457" s="26">
        <f>IF($B457="","",IF($K457="","—",IF(ROUND($K457-$J457,0)=0,"√","×")))</f>
        <v/>
      </c>
      <c r="M457" s="26">
        <f>IF($B457="","",IF(COUNTIFS(EntryDates,$B457,CalcTime,$C457,CalcBank,$C$5,EntryParty,$D457,EntryDep,$H457,EntryWit,$I457)&gt;1,"تکرار",""))</f>
        <v/>
      </c>
      <c r="N457" s="26">
        <f>IF($P457="","",IF(INDEX(EntryNotes,$P457)=0,"",INDEX(EntryNotes,$P457)))</f>
        <v/>
      </c>
      <c r="O457" s="26">
        <f>IF($P457="","",IF(INDEX(EntryTxnID,$P457)=0,"",INDEX(EntryTxnID,$P457)))</f>
        <v/>
      </c>
      <c r="P457" s="26">
        <f>IFERROR(MATCH($C$5&amp;"|"&amp;RIGHT("000000"&amp;441,6),CalcRankKey,0),"")</f>
        <v/>
      </c>
    </row>
    <row r="458">
      <c r="A458" s="28">
        <f>IF($B458="","",442)</f>
        <v/>
      </c>
      <c r="B458" s="28">
        <f>IF($P458="","",IF(INDEX(CalcNormDate,$P458)=0,"",INDEX(CalcNormDate,$P458)))</f>
        <v/>
      </c>
      <c r="C458" s="28">
        <f>IF($P458="","",IF(INDEX(CalcTime,$P458)=0,"",INDEX(CalcTime,$P458)))</f>
        <v/>
      </c>
      <c r="D458" s="28">
        <f>IF($P458="","",IF(INDEX(EntryParty,$P458)=0,"",INDEX(EntryParty,$P458)))</f>
        <v/>
      </c>
      <c r="E458" s="28">
        <f>IF($P458="","",IF(INDEX(EntryPartyName,$P458)=0,"",INDEX(EntryPartyName,$P458)))</f>
        <v/>
      </c>
      <c r="F458" s="28">
        <f>IF($P458="","",IF(INDEX(EntryPartyType,$P458)=0,"",INDEX(EntryPartyType,$P458)))</f>
        <v/>
      </c>
      <c r="G458" s="28">
        <f>IF($P458="","",IF(INDEX(EntryTxnType,$P458)=0,"",INDEX(EntryTxnType,$P458)))</f>
        <v/>
      </c>
      <c r="H458" s="29">
        <f>IF($P458="","",IF(INDEX(EntryDep,$P458)=0,"",INDEX(EntryDep,$P458)))</f>
        <v/>
      </c>
      <c r="I458" s="29">
        <f>IF($P458="","",IF(INDEX(EntryWit,$P458)=0,"",INDEX(EntryWit,$P458)))</f>
        <v/>
      </c>
      <c r="J458" s="29">
        <f>IF($B458="","",IF($A458=1,$C$7,IF(J457="",0,J457))+IF($H458="",0,$H458)-IF($I458="",0,$I458))</f>
        <v/>
      </c>
      <c r="K458" s="29">
        <f>IF($P458="","",IF(INDEX(EntryMan,$P458)=0,"",INDEX(EntryMan,$P458)))</f>
        <v/>
      </c>
      <c r="L458" s="28">
        <f>IF($B458="","",IF($K458="","—",IF(ROUND($K458-$J458,0)=0,"√","×")))</f>
        <v/>
      </c>
      <c r="M458" s="28">
        <f>IF($B458="","",IF(COUNTIFS(EntryDates,$B458,CalcTime,$C458,CalcBank,$C$5,EntryParty,$D458,EntryDep,$H458,EntryWit,$I458)&gt;1,"تکرار",""))</f>
        <v/>
      </c>
      <c r="N458" s="28">
        <f>IF($P458="","",IF(INDEX(EntryNotes,$P458)=0,"",INDEX(EntryNotes,$P458)))</f>
        <v/>
      </c>
      <c r="O458" s="28">
        <f>IF($P458="","",IF(INDEX(EntryTxnID,$P458)=0,"",INDEX(EntryTxnID,$P458)))</f>
        <v/>
      </c>
      <c r="P458" s="28">
        <f>IFERROR(MATCH($C$5&amp;"|"&amp;RIGHT("000000"&amp;442,6),CalcRankKey,0),"")</f>
        <v/>
      </c>
    </row>
    <row r="459">
      <c r="A459" s="26">
        <f>IF($B459="","",443)</f>
        <v/>
      </c>
      <c r="B459" s="26">
        <f>IF($P459="","",IF(INDEX(CalcNormDate,$P459)=0,"",INDEX(CalcNormDate,$P459)))</f>
        <v/>
      </c>
      <c r="C459" s="26">
        <f>IF($P459="","",IF(INDEX(CalcTime,$P459)=0,"",INDEX(CalcTime,$P459)))</f>
        <v/>
      </c>
      <c r="D459" s="26">
        <f>IF($P459="","",IF(INDEX(EntryParty,$P459)=0,"",INDEX(EntryParty,$P459)))</f>
        <v/>
      </c>
      <c r="E459" s="26">
        <f>IF($P459="","",IF(INDEX(EntryPartyName,$P459)=0,"",INDEX(EntryPartyName,$P459)))</f>
        <v/>
      </c>
      <c r="F459" s="26">
        <f>IF($P459="","",IF(INDEX(EntryPartyType,$P459)=0,"",INDEX(EntryPartyType,$P459)))</f>
        <v/>
      </c>
      <c r="G459" s="26">
        <f>IF($P459="","",IF(INDEX(EntryTxnType,$P459)=0,"",INDEX(EntryTxnType,$P459)))</f>
        <v/>
      </c>
      <c r="H459" s="27">
        <f>IF($P459="","",IF(INDEX(EntryDep,$P459)=0,"",INDEX(EntryDep,$P459)))</f>
        <v/>
      </c>
      <c r="I459" s="27">
        <f>IF($P459="","",IF(INDEX(EntryWit,$P459)=0,"",INDEX(EntryWit,$P459)))</f>
        <v/>
      </c>
      <c r="J459" s="27">
        <f>IF($B459="","",IF($A459=1,$C$7,IF(J458="",0,J458))+IF($H459="",0,$H459)-IF($I459="",0,$I459))</f>
        <v/>
      </c>
      <c r="K459" s="27">
        <f>IF($P459="","",IF(INDEX(EntryMan,$P459)=0,"",INDEX(EntryMan,$P459)))</f>
        <v/>
      </c>
      <c r="L459" s="26">
        <f>IF($B459="","",IF($K459="","—",IF(ROUND($K459-$J459,0)=0,"√","×")))</f>
        <v/>
      </c>
      <c r="M459" s="26">
        <f>IF($B459="","",IF(COUNTIFS(EntryDates,$B459,CalcTime,$C459,CalcBank,$C$5,EntryParty,$D459,EntryDep,$H459,EntryWit,$I459)&gt;1,"تکرار",""))</f>
        <v/>
      </c>
      <c r="N459" s="26">
        <f>IF($P459="","",IF(INDEX(EntryNotes,$P459)=0,"",INDEX(EntryNotes,$P459)))</f>
        <v/>
      </c>
      <c r="O459" s="26">
        <f>IF($P459="","",IF(INDEX(EntryTxnID,$P459)=0,"",INDEX(EntryTxnID,$P459)))</f>
        <v/>
      </c>
      <c r="P459" s="26">
        <f>IFERROR(MATCH($C$5&amp;"|"&amp;RIGHT("000000"&amp;443,6),CalcRankKey,0),"")</f>
        <v/>
      </c>
    </row>
    <row r="460">
      <c r="A460" s="28">
        <f>IF($B460="","",444)</f>
        <v/>
      </c>
      <c r="B460" s="28">
        <f>IF($P460="","",IF(INDEX(CalcNormDate,$P460)=0,"",INDEX(CalcNormDate,$P460)))</f>
        <v/>
      </c>
      <c r="C460" s="28">
        <f>IF($P460="","",IF(INDEX(CalcTime,$P460)=0,"",INDEX(CalcTime,$P460)))</f>
        <v/>
      </c>
      <c r="D460" s="28">
        <f>IF($P460="","",IF(INDEX(EntryParty,$P460)=0,"",INDEX(EntryParty,$P460)))</f>
        <v/>
      </c>
      <c r="E460" s="28">
        <f>IF($P460="","",IF(INDEX(EntryPartyName,$P460)=0,"",INDEX(EntryPartyName,$P460)))</f>
        <v/>
      </c>
      <c r="F460" s="28">
        <f>IF($P460="","",IF(INDEX(EntryPartyType,$P460)=0,"",INDEX(EntryPartyType,$P460)))</f>
        <v/>
      </c>
      <c r="G460" s="28">
        <f>IF($P460="","",IF(INDEX(EntryTxnType,$P460)=0,"",INDEX(EntryTxnType,$P460)))</f>
        <v/>
      </c>
      <c r="H460" s="29">
        <f>IF($P460="","",IF(INDEX(EntryDep,$P460)=0,"",INDEX(EntryDep,$P460)))</f>
        <v/>
      </c>
      <c r="I460" s="29">
        <f>IF($P460="","",IF(INDEX(EntryWit,$P460)=0,"",INDEX(EntryWit,$P460)))</f>
        <v/>
      </c>
      <c r="J460" s="29">
        <f>IF($B460="","",IF($A460=1,$C$7,IF(J459="",0,J459))+IF($H460="",0,$H460)-IF($I460="",0,$I460))</f>
        <v/>
      </c>
      <c r="K460" s="29">
        <f>IF($P460="","",IF(INDEX(EntryMan,$P460)=0,"",INDEX(EntryMan,$P460)))</f>
        <v/>
      </c>
      <c r="L460" s="28">
        <f>IF($B460="","",IF($K460="","—",IF(ROUND($K460-$J460,0)=0,"√","×")))</f>
        <v/>
      </c>
      <c r="M460" s="28">
        <f>IF($B460="","",IF(COUNTIFS(EntryDates,$B460,CalcTime,$C460,CalcBank,$C$5,EntryParty,$D460,EntryDep,$H460,EntryWit,$I460)&gt;1,"تکرار",""))</f>
        <v/>
      </c>
      <c r="N460" s="28">
        <f>IF($P460="","",IF(INDEX(EntryNotes,$P460)=0,"",INDEX(EntryNotes,$P460)))</f>
        <v/>
      </c>
      <c r="O460" s="28">
        <f>IF($P460="","",IF(INDEX(EntryTxnID,$P460)=0,"",INDEX(EntryTxnID,$P460)))</f>
        <v/>
      </c>
      <c r="P460" s="28">
        <f>IFERROR(MATCH($C$5&amp;"|"&amp;RIGHT("000000"&amp;444,6),CalcRankKey,0),"")</f>
        <v/>
      </c>
    </row>
    <row r="461">
      <c r="A461" s="26">
        <f>IF($B461="","",445)</f>
        <v/>
      </c>
      <c r="B461" s="26">
        <f>IF($P461="","",IF(INDEX(CalcNormDate,$P461)=0,"",INDEX(CalcNormDate,$P461)))</f>
        <v/>
      </c>
      <c r="C461" s="26">
        <f>IF($P461="","",IF(INDEX(CalcTime,$P461)=0,"",INDEX(CalcTime,$P461)))</f>
        <v/>
      </c>
      <c r="D461" s="26">
        <f>IF($P461="","",IF(INDEX(EntryParty,$P461)=0,"",INDEX(EntryParty,$P461)))</f>
        <v/>
      </c>
      <c r="E461" s="26">
        <f>IF($P461="","",IF(INDEX(EntryPartyName,$P461)=0,"",INDEX(EntryPartyName,$P461)))</f>
        <v/>
      </c>
      <c r="F461" s="26">
        <f>IF($P461="","",IF(INDEX(EntryPartyType,$P461)=0,"",INDEX(EntryPartyType,$P461)))</f>
        <v/>
      </c>
      <c r="G461" s="26">
        <f>IF($P461="","",IF(INDEX(EntryTxnType,$P461)=0,"",INDEX(EntryTxnType,$P461)))</f>
        <v/>
      </c>
      <c r="H461" s="27">
        <f>IF($P461="","",IF(INDEX(EntryDep,$P461)=0,"",INDEX(EntryDep,$P461)))</f>
        <v/>
      </c>
      <c r="I461" s="27">
        <f>IF($P461="","",IF(INDEX(EntryWit,$P461)=0,"",INDEX(EntryWit,$P461)))</f>
        <v/>
      </c>
      <c r="J461" s="27">
        <f>IF($B461="","",IF($A461=1,$C$7,IF(J460="",0,J460))+IF($H461="",0,$H461)-IF($I461="",0,$I461))</f>
        <v/>
      </c>
      <c r="K461" s="27">
        <f>IF($P461="","",IF(INDEX(EntryMan,$P461)=0,"",INDEX(EntryMan,$P461)))</f>
        <v/>
      </c>
      <c r="L461" s="26">
        <f>IF($B461="","",IF($K461="","—",IF(ROUND($K461-$J461,0)=0,"√","×")))</f>
        <v/>
      </c>
      <c r="M461" s="26">
        <f>IF($B461="","",IF(COUNTIFS(EntryDates,$B461,CalcTime,$C461,CalcBank,$C$5,EntryParty,$D461,EntryDep,$H461,EntryWit,$I461)&gt;1,"تکرار",""))</f>
        <v/>
      </c>
      <c r="N461" s="26">
        <f>IF($P461="","",IF(INDEX(EntryNotes,$P461)=0,"",INDEX(EntryNotes,$P461)))</f>
        <v/>
      </c>
      <c r="O461" s="26">
        <f>IF($P461="","",IF(INDEX(EntryTxnID,$P461)=0,"",INDEX(EntryTxnID,$P461)))</f>
        <v/>
      </c>
      <c r="P461" s="26">
        <f>IFERROR(MATCH($C$5&amp;"|"&amp;RIGHT("000000"&amp;445,6),CalcRankKey,0),"")</f>
        <v/>
      </c>
    </row>
    <row r="462">
      <c r="A462" s="28">
        <f>IF($B462="","",446)</f>
        <v/>
      </c>
      <c r="B462" s="28">
        <f>IF($P462="","",IF(INDEX(CalcNormDate,$P462)=0,"",INDEX(CalcNormDate,$P462)))</f>
        <v/>
      </c>
      <c r="C462" s="28">
        <f>IF($P462="","",IF(INDEX(CalcTime,$P462)=0,"",INDEX(CalcTime,$P462)))</f>
        <v/>
      </c>
      <c r="D462" s="28">
        <f>IF($P462="","",IF(INDEX(EntryParty,$P462)=0,"",INDEX(EntryParty,$P462)))</f>
        <v/>
      </c>
      <c r="E462" s="28">
        <f>IF($P462="","",IF(INDEX(EntryPartyName,$P462)=0,"",INDEX(EntryPartyName,$P462)))</f>
        <v/>
      </c>
      <c r="F462" s="28">
        <f>IF($P462="","",IF(INDEX(EntryPartyType,$P462)=0,"",INDEX(EntryPartyType,$P462)))</f>
        <v/>
      </c>
      <c r="G462" s="28">
        <f>IF($P462="","",IF(INDEX(EntryTxnType,$P462)=0,"",INDEX(EntryTxnType,$P462)))</f>
        <v/>
      </c>
      <c r="H462" s="29">
        <f>IF($P462="","",IF(INDEX(EntryDep,$P462)=0,"",INDEX(EntryDep,$P462)))</f>
        <v/>
      </c>
      <c r="I462" s="29">
        <f>IF($P462="","",IF(INDEX(EntryWit,$P462)=0,"",INDEX(EntryWit,$P462)))</f>
        <v/>
      </c>
      <c r="J462" s="29">
        <f>IF($B462="","",IF($A462=1,$C$7,IF(J461="",0,J461))+IF($H462="",0,$H462)-IF($I462="",0,$I462))</f>
        <v/>
      </c>
      <c r="K462" s="29">
        <f>IF($P462="","",IF(INDEX(EntryMan,$P462)=0,"",INDEX(EntryMan,$P462)))</f>
        <v/>
      </c>
      <c r="L462" s="28">
        <f>IF($B462="","",IF($K462="","—",IF(ROUND($K462-$J462,0)=0,"√","×")))</f>
        <v/>
      </c>
      <c r="M462" s="28">
        <f>IF($B462="","",IF(COUNTIFS(EntryDates,$B462,CalcTime,$C462,CalcBank,$C$5,EntryParty,$D462,EntryDep,$H462,EntryWit,$I462)&gt;1,"تکرار",""))</f>
        <v/>
      </c>
      <c r="N462" s="28">
        <f>IF($P462="","",IF(INDEX(EntryNotes,$P462)=0,"",INDEX(EntryNotes,$P462)))</f>
        <v/>
      </c>
      <c r="O462" s="28">
        <f>IF($P462="","",IF(INDEX(EntryTxnID,$P462)=0,"",INDEX(EntryTxnID,$P462)))</f>
        <v/>
      </c>
      <c r="P462" s="28">
        <f>IFERROR(MATCH($C$5&amp;"|"&amp;RIGHT("000000"&amp;446,6),CalcRankKey,0),"")</f>
        <v/>
      </c>
    </row>
    <row r="463">
      <c r="A463" s="26">
        <f>IF($B463="","",447)</f>
        <v/>
      </c>
      <c r="B463" s="26">
        <f>IF($P463="","",IF(INDEX(CalcNormDate,$P463)=0,"",INDEX(CalcNormDate,$P463)))</f>
        <v/>
      </c>
      <c r="C463" s="26">
        <f>IF($P463="","",IF(INDEX(CalcTime,$P463)=0,"",INDEX(CalcTime,$P463)))</f>
        <v/>
      </c>
      <c r="D463" s="26">
        <f>IF($P463="","",IF(INDEX(EntryParty,$P463)=0,"",INDEX(EntryParty,$P463)))</f>
        <v/>
      </c>
      <c r="E463" s="26">
        <f>IF($P463="","",IF(INDEX(EntryPartyName,$P463)=0,"",INDEX(EntryPartyName,$P463)))</f>
        <v/>
      </c>
      <c r="F463" s="26">
        <f>IF($P463="","",IF(INDEX(EntryPartyType,$P463)=0,"",INDEX(EntryPartyType,$P463)))</f>
        <v/>
      </c>
      <c r="G463" s="26">
        <f>IF($P463="","",IF(INDEX(EntryTxnType,$P463)=0,"",INDEX(EntryTxnType,$P463)))</f>
        <v/>
      </c>
      <c r="H463" s="27">
        <f>IF($P463="","",IF(INDEX(EntryDep,$P463)=0,"",INDEX(EntryDep,$P463)))</f>
        <v/>
      </c>
      <c r="I463" s="27">
        <f>IF($P463="","",IF(INDEX(EntryWit,$P463)=0,"",INDEX(EntryWit,$P463)))</f>
        <v/>
      </c>
      <c r="J463" s="27">
        <f>IF($B463="","",IF($A463=1,$C$7,IF(J462="",0,J462))+IF($H463="",0,$H463)-IF($I463="",0,$I463))</f>
        <v/>
      </c>
      <c r="K463" s="27">
        <f>IF($P463="","",IF(INDEX(EntryMan,$P463)=0,"",INDEX(EntryMan,$P463)))</f>
        <v/>
      </c>
      <c r="L463" s="26">
        <f>IF($B463="","",IF($K463="","—",IF(ROUND($K463-$J463,0)=0,"√","×")))</f>
        <v/>
      </c>
      <c r="M463" s="26">
        <f>IF($B463="","",IF(COUNTIFS(EntryDates,$B463,CalcTime,$C463,CalcBank,$C$5,EntryParty,$D463,EntryDep,$H463,EntryWit,$I463)&gt;1,"تکرار",""))</f>
        <v/>
      </c>
      <c r="N463" s="26">
        <f>IF($P463="","",IF(INDEX(EntryNotes,$P463)=0,"",INDEX(EntryNotes,$P463)))</f>
        <v/>
      </c>
      <c r="O463" s="26">
        <f>IF($P463="","",IF(INDEX(EntryTxnID,$P463)=0,"",INDEX(EntryTxnID,$P463)))</f>
        <v/>
      </c>
      <c r="P463" s="26">
        <f>IFERROR(MATCH($C$5&amp;"|"&amp;RIGHT("000000"&amp;447,6),CalcRankKey,0),"")</f>
        <v/>
      </c>
    </row>
    <row r="464">
      <c r="A464" s="28">
        <f>IF($B464="","",448)</f>
        <v/>
      </c>
      <c r="B464" s="28">
        <f>IF($P464="","",IF(INDEX(CalcNormDate,$P464)=0,"",INDEX(CalcNormDate,$P464)))</f>
        <v/>
      </c>
      <c r="C464" s="28">
        <f>IF($P464="","",IF(INDEX(CalcTime,$P464)=0,"",INDEX(CalcTime,$P464)))</f>
        <v/>
      </c>
      <c r="D464" s="28">
        <f>IF($P464="","",IF(INDEX(EntryParty,$P464)=0,"",INDEX(EntryParty,$P464)))</f>
        <v/>
      </c>
      <c r="E464" s="28">
        <f>IF($P464="","",IF(INDEX(EntryPartyName,$P464)=0,"",INDEX(EntryPartyName,$P464)))</f>
        <v/>
      </c>
      <c r="F464" s="28">
        <f>IF($P464="","",IF(INDEX(EntryPartyType,$P464)=0,"",INDEX(EntryPartyType,$P464)))</f>
        <v/>
      </c>
      <c r="G464" s="28">
        <f>IF($P464="","",IF(INDEX(EntryTxnType,$P464)=0,"",INDEX(EntryTxnType,$P464)))</f>
        <v/>
      </c>
      <c r="H464" s="29">
        <f>IF($P464="","",IF(INDEX(EntryDep,$P464)=0,"",INDEX(EntryDep,$P464)))</f>
        <v/>
      </c>
      <c r="I464" s="29">
        <f>IF($P464="","",IF(INDEX(EntryWit,$P464)=0,"",INDEX(EntryWit,$P464)))</f>
        <v/>
      </c>
      <c r="J464" s="29">
        <f>IF($B464="","",IF($A464=1,$C$7,IF(J463="",0,J463))+IF($H464="",0,$H464)-IF($I464="",0,$I464))</f>
        <v/>
      </c>
      <c r="K464" s="29">
        <f>IF($P464="","",IF(INDEX(EntryMan,$P464)=0,"",INDEX(EntryMan,$P464)))</f>
        <v/>
      </c>
      <c r="L464" s="28">
        <f>IF($B464="","",IF($K464="","—",IF(ROUND($K464-$J464,0)=0,"√","×")))</f>
        <v/>
      </c>
      <c r="M464" s="28">
        <f>IF($B464="","",IF(COUNTIFS(EntryDates,$B464,CalcTime,$C464,CalcBank,$C$5,EntryParty,$D464,EntryDep,$H464,EntryWit,$I464)&gt;1,"تکرار",""))</f>
        <v/>
      </c>
      <c r="N464" s="28">
        <f>IF($P464="","",IF(INDEX(EntryNotes,$P464)=0,"",INDEX(EntryNotes,$P464)))</f>
        <v/>
      </c>
      <c r="O464" s="28">
        <f>IF($P464="","",IF(INDEX(EntryTxnID,$P464)=0,"",INDEX(EntryTxnID,$P464)))</f>
        <v/>
      </c>
      <c r="P464" s="28">
        <f>IFERROR(MATCH($C$5&amp;"|"&amp;RIGHT("000000"&amp;448,6),CalcRankKey,0),"")</f>
        <v/>
      </c>
    </row>
    <row r="465">
      <c r="A465" s="26">
        <f>IF($B465="","",449)</f>
        <v/>
      </c>
      <c r="B465" s="26">
        <f>IF($P465="","",IF(INDEX(CalcNormDate,$P465)=0,"",INDEX(CalcNormDate,$P465)))</f>
        <v/>
      </c>
      <c r="C465" s="26">
        <f>IF($P465="","",IF(INDEX(CalcTime,$P465)=0,"",INDEX(CalcTime,$P465)))</f>
        <v/>
      </c>
      <c r="D465" s="26">
        <f>IF($P465="","",IF(INDEX(EntryParty,$P465)=0,"",INDEX(EntryParty,$P465)))</f>
        <v/>
      </c>
      <c r="E465" s="26">
        <f>IF($P465="","",IF(INDEX(EntryPartyName,$P465)=0,"",INDEX(EntryPartyName,$P465)))</f>
        <v/>
      </c>
      <c r="F465" s="26">
        <f>IF($P465="","",IF(INDEX(EntryPartyType,$P465)=0,"",INDEX(EntryPartyType,$P465)))</f>
        <v/>
      </c>
      <c r="G465" s="26">
        <f>IF($P465="","",IF(INDEX(EntryTxnType,$P465)=0,"",INDEX(EntryTxnType,$P465)))</f>
        <v/>
      </c>
      <c r="H465" s="27">
        <f>IF($P465="","",IF(INDEX(EntryDep,$P465)=0,"",INDEX(EntryDep,$P465)))</f>
        <v/>
      </c>
      <c r="I465" s="27">
        <f>IF($P465="","",IF(INDEX(EntryWit,$P465)=0,"",INDEX(EntryWit,$P465)))</f>
        <v/>
      </c>
      <c r="J465" s="27">
        <f>IF($B465="","",IF($A465=1,$C$7,IF(J464="",0,J464))+IF($H465="",0,$H465)-IF($I465="",0,$I465))</f>
        <v/>
      </c>
      <c r="K465" s="27">
        <f>IF($P465="","",IF(INDEX(EntryMan,$P465)=0,"",INDEX(EntryMan,$P465)))</f>
        <v/>
      </c>
      <c r="L465" s="26">
        <f>IF($B465="","",IF($K465="","—",IF(ROUND($K465-$J465,0)=0,"√","×")))</f>
        <v/>
      </c>
      <c r="M465" s="26">
        <f>IF($B465="","",IF(COUNTIFS(EntryDates,$B465,CalcTime,$C465,CalcBank,$C$5,EntryParty,$D465,EntryDep,$H465,EntryWit,$I465)&gt;1,"تکرار",""))</f>
        <v/>
      </c>
      <c r="N465" s="26">
        <f>IF($P465="","",IF(INDEX(EntryNotes,$P465)=0,"",INDEX(EntryNotes,$P465)))</f>
        <v/>
      </c>
      <c r="O465" s="26">
        <f>IF($P465="","",IF(INDEX(EntryTxnID,$P465)=0,"",INDEX(EntryTxnID,$P465)))</f>
        <v/>
      </c>
      <c r="P465" s="26">
        <f>IFERROR(MATCH($C$5&amp;"|"&amp;RIGHT("000000"&amp;449,6),CalcRankKey,0),"")</f>
        <v/>
      </c>
    </row>
    <row r="466">
      <c r="A466" s="28">
        <f>IF($B466="","",450)</f>
        <v/>
      </c>
      <c r="B466" s="28">
        <f>IF($P466="","",IF(INDEX(CalcNormDate,$P466)=0,"",INDEX(CalcNormDate,$P466)))</f>
        <v/>
      </c>
      <c r="C466" s="28">
        <f>IF($P466="","",IF(INDEX(CalcTime,$P466)=0,"",INDEX(CalcTime,$P466)))</f>
        <v/>
      </c>
      <c r="D466" s="28">
        <f>IF($P466="","",IF(INDEX(EntryParty,$P466)=0,"",INDEX(EntryParty,$P466)))</f>
        <v/>
      </c>
      <c r="E466" s="28">
        <f>IF($P466="","",IF(INDEX(EntryPartyName,$P466)=0,"",INDEX(EntryPartyName,$P466)))</f>
        <v/>
      </c>
      <c r="F466" s="28">
        <f>IF($P466="","",IF(INDEX(EntryPartyType,$P466)=0,"",INDEX(EntryPartyType,$P466)))</f>
        <v/>
      </c>
      <c r="G466" s="28">
        <f>IF($P466="","",IF(INDEX(EntryTxnType,$P466)=0,"",INDEX(EntryTxnType,$P466)))</f>
        <v/>
      </c>
      <c r="H466" s="29">
        <f>IF($P466="","",IF(INDEX(EntryDep,$P466)=0,"",INDEX(EntryDep,$P466)))</f>
        <v/>
      </c>
      <c r="I466" s="29">
        <f>IF($P466="","",IF(INDEX(EntryWit,$P466)=0,"",INDEX(EntryWit,$P466)))</f>
        <v/>
      </c>
      <c r="J466" s="29">
        <f>IF($B466="","",IF($A466=1,$C$7,IF(J465="",0,J465))+IF($H466="",0,$H466)-IF($I466="",0,$I466))</f>
        <v/>
      </c>
      <c r="K466" s="29">
        <f>IF($P466="","",IF(INDEX(EntryMan,$P466)=0,"",INDEX(EntryMan,$P466)))</f>
        <v/>
      </c>
      <c r="L466" s="28">
        <f>IF($B466="","",IF($K466="","—",IF(ROUND($K466-$J466,0)=0,"√","×")))</f>
        <v/>
      </c>
      <c r="M466" s="28">
        <f>IF($B466="","",IF(COUNTIFS(EntryDates,$B466,CalcTime,$C466,CalcBank,$C$5,EntryParty,$D466,EntryDep,$H466,EntryWit,$I466)&gt;1,"تکرار",""))</f>
        <v/>
      </c>
      <c r="N466" s="28">
        <f>IF($P466="","",IF(INDEX(EntryNotes,$P466)=0,"",INDEX(EntryNotes,$P466)))</f>
        <v/>
      </c>
      <c r="O466" s="28">
        <f>IF($P466="","",IF(INDEX(EntryTxnID,$P466)=0,"",INDEX(EntryTxnID,$P466)))</f>
        <v/>
      </c>
      <c r="P466" s="28">
        <f>IFERROR(MATCH($C$5&amp;"|"&amp;RIGHT("000000"&amp;450,6),CalcRankKey,0),"")</f>
        <v/>
      </c>
    </row>
    <row r="467">
      <c r="A467" s="26">
        <f>IF($B467="","",451)</f>
        <v/>
      </c>
      <c r="B467" s="26">
        <f>IF($P467="","",IF(INDEX(CalcNormDate,$P467)=0,"",INDEX(CalcNormDate,$P467)))</f>
        <v/>
      </c>
      <c r="C467" s="26">
        <f>IF($P467="","",IF(INDEX(CalcTime,$P467)=0,"",INDEX(CalcTime,$P467)))</f>
        <v/>
      </c>
      <c r="D467" s="26">
        <f>IF($P467="","",IF(INDEX(EntryParty,$P467)=0,"",INDEX(EntryParty,$P467)))</f>
        <v/>
      </c>
      <c r="E467" s="26">
        <f>IF($P467="","",IF(INDEX(EntryPartyName,$P467)=0,"",INDEX(EntryPartyName,$P467)))</f>
        <v/>
      </c>
      <c r="F467" s="26">
        <f>IF($P467="","",IF(INDEX(EntryPartyType,$P467)=0,"",INDEX(EntryPartyType,$P467)))</f>
        <v/>
      </c>
      <c r="G467" s="26">
        <f>IF($P467="","",IF(INDEX(EntryTxnType,$P467)=0,"",INDEX(EntryTxnType,$P467)))</f>
        <v/>
      </c>
      <c r="H467" s="27">
        <f>IF($P467="","",IF(INDEX(EntryDep,$P467)=0,"",INDEX(EntryDep,$P467)))</f>
        <v/>
      </c>
      <c r="I467" s="27">
        <f>IF($P467="","",IF(INDEX(EntryWit,$P467)=0,"",INDEX(EntryWit,$P467)))</f>
        <v/>
      </c>
      <c r="J467" s="27">
        <f>IF($B467="","",IF($A467=1,$C$7,IF(J466="",0,J466))+IF($H467="",0,$H467)-IF($I467="",0,$I467))</f>
        <v/>
      </c>
      <c r="K467" s="27">
        <f>IF($P467="","",IF(INDEX(EntryMan,$P467)=0,"",INDEX(EntryMan,$P467)))</f>
        <v/>
      </c>
      <c r="L467" s="26">
        <f>IF($B467="","",IF($K467="","—",IF(ROUND($K467-$J467,0)=0,"√","×")))</f>
        <v/>
      </c>
      <c r="M467" s="26">
        <f>IF($B467="","",IF(COUNTIFS(EntryDates,$B467,CalcTime,$C467,CalcBank,$C$5,EntryParty,$D467,EntryDep,$H467,EntryWit,$I467)&gt;1,"تکرار",""))</f>
        <v/>
      </c>
      <c r="N467" s="26">
        <f>IF($P467="","",IF(INDEX(EntryNotes,$P467)=0,"",INDEX(EntryNotes,$P467)))</f>
        <v/>
      </c>
      <c r="O467" s="26">
        <f>IF($P467="","",IF(INDEX(EntryTxnID,$P467)=0,"",INDEX(EntryTxnID,$P467)))</f>
        <v/>
      </c>
      <c r="P467" s="26">
        <f>IFERROR(MATCH($C$5&amp;"|"&amp;RIGHT("000000"&amp;451,6),CalcRankKey,0),"")</f>
        <v/>
      </c>
    </row>
    <row r="468">
      <c r="A468" s="28">
        <f>IF($B468="","",452)</f>
        <v/>
      </c>
      <c r="B468" s="28">
        <f>IF($P468="","",IF(INDEX(CalcNormDate,$P468)=0,"",INDEX(CalcNormDate,$P468)))</f>
        <v/>
      </c>
      <c r="C468" s="28">
        <f>IF($P468="","",IF(INDEX(CalcTime,$P468)=0,"",INDEX(CalcTime,$P468)))</f>
        <v/>
      </c>
      <c r="D468" s="28">
        <f>IF($P468="","",IF(INDEX(EntryParty,$P468)=0,"",INDEX(EntryParty,$P468)))</f>
        <v/>
      </c>
      <c r="E468" s="28">
        <f>IF($P468="","",IF(INDEX(EntryPartyName,$P468)=0,"",INDEX(EntryPartyName,$P468)))</f>
        <v/>
      </c>
      <c r="F468" s="28">
        <f>IF($P468="","",IF(INDEX(EntryPartyType,$P468)=0,"",INDEX(EntryPartyType,$P468)))</f>
        <v/>
      </c>
      <c r="G468" s="28">
        <f>IF($P468="","",IF(INDEX(EntryTxnType,$P468)=0,"",INDEX(EntryTxnType,$P468)))</f>
        <v/>
      </c>
      <c r="H468" s="29">
        <f>IF($P468="","",IF(INDEX(EntryDep,$P468)=0,"",INDEX(EntryDep,$P468)))</f>
        <v/>
      </c>
      <c r="I468" s="29">
        <f>IF($P468="","",IF(INDEX(EntryWit,$P468)=0,"",INDEX(EntryWit,$P468)))</f>
        <v/>
      </c>
      <c r="J468" s="29">
        <f>IF($B468="","",IF($A468=1,$C$7,IF(J467="",0,J467))+IF($H468="",0,$H468)-IF($I468="",0,$I468))</f>
        <v/>
      </c>
      <c r="K468" s="29">
        <f>IF($P468="","",IF(INDEX(EntryMan,$P468)=0,"",INDEX(EntryMan,$P468)))</f>
        <v/>
      </c>
      <c r="L468" s="28">
        <f>IF($B468="","",IF($K468="","—",IF(ROUND($K468-$J468,0)=0,"√","×")))</f>
        <v/>
      </c>
      <c r="M468" s="28">
        <f>IF($B468="","",IF(COUNTIFS(EntryDates,$B468,CalcTime,$C468,CalcBank,$C$5,EntryParty,$D468,EntryDep,$H468,EntryWit,$I468)&gt;1,"تکرار",""))</f>
        <v/>
      </c>
      <c r="N468" s="28">
        <f>IF($P468="","",IF(INDEX(EntryNotes,$P468)=0,"",INDEX(EntryNotes,$P468)))</f>
        <v/>
      </c>
      <c r="O468" s="28">
        <f>IF($P468="","",IF(INDEX(EntryTxnID,$P468)=0,"",INDEX(EntryTxnID,$P468)))</f>
        <v/>
      </c>
      <c r="P468" s="28">
        <f>IFERROR(MATCH($C$5&amp;"|"&amp;RIGHT("000000"&amp;452,6),CalcRankKey,0),"")</f>
        <v/>
      </c>
    </row>
    <row r="469">
      <c r="A469" s="26">
        <f>IF($B469="","",453)</f>
        <v/>
      </c>
      <c r="B469" s="26">
        <f>IF($P469="","",IF(INDEX(CalcNormDate,$P469)=0,"",INDEX(CalcNormDate,$P469)))</f>
        <v/>
      </c>
      <c r="C469" s="26">
        <f>IF($P469="","",IF(INDEX(CalcTime,$P469)=0,"",INDEX(CalcTime,$P469)))</f>
        <v/>
      </c>
      <c r="D469" s="26">
        <f>IF($P469="","",IF(INDEX(EntryParty,$P469)=0,"",INDEX(EntryParty,$P469)))</f>
        <v/>
      </c>
      <c r="E469" s="26">
        <f>IF($P469="","",IF(INDEX(EntryPartyName,$P469)=0,"",INDEX(EntryPartyName,$P469)))</f>
        <v/>
      </c>
      <c r="F469" s="26">
        <f>IF($P469="","",IF(INDEX(EntryPartyType,$P469)=0,"",INDEX(EntryPartyType,$P469)))</f>
        <v/>
      </c>
      <c r="G469" s="26">
        <f>IF($P469="","",IF(INDEX(EntryTxnType,$P469)=0,"",INDEX(EntryTxnType,$P469)))</f>
        <v/>
      </c>
      <c r="H469" s="27">
        <f>IF($P469="","",IF(INDEX(EntryDep,$P469)=0,"",INDEX(EntryDep,$P469)))</f>
        <v/>
      </c>
      <c r="I469" s="27">
        <f>IF($P469="","",IF(INDEX(EntryWit,$P469)=0,"",INDEX(EntryWit,$P469)))</f>
        <v/>
      </c>
      <c r="J469" s="27">
        <f>IF($B469="","",IF($A469=1,$C$7,IF(J468="",0,J468))+IF($H469="",0,$H469)-IF($I469="",0,$I469))</f>
        <v/>
      </c>
      <c r="K469" s="27">
        <f>IF($P469="","",IF(INDEX(EntryMan,$P469)=0,"",INDEX(EntryMan,$P469)))</f>
        <v/>
      </c>
      <c r="L469" s="26">
        <f>IF($B469="","",IF($K469="","—",IF(ROUND($K469-$J469,0)=0,"√","×")))</f>
        <v/>
      </c>
      <c r="M469" s="26">
        <f>IF($B469="","",IF(COUNTIFS(EntryDates,$B469,CalcTime,$C469,CalcBank,$C$5,EntryParty,$D469,EntryDep,$H469,EntryWit,$I469)&gt;1,"تکرار",""))</f>
        <v/>
      </c>
      <c r="N469" s="26">
        <f>IF($P469="","",IF(INDEX(EntryNotes,$P469)=0,"",INDEX(EntryNotes,$P469)))</f>
        <v/>
      </c>
      <c r="O469" s="26">
        <f>IF($P469="","",IF(INDEX(EntryTxnID,$P469)=0,"",INDEX(EntryTxnID,$P469)))</f>
        <v/>
      </c>
      <c r="P469" s="26">
        <f>IFERROR(MATCH($C$5&amp;"|"&amp;RIGHT("000000"&amp;453,6),CalcRankKey,0),"")</f>
        <v/>
      </c>
    </row>
    <row r="470">
      <c r="A470" s="28">
        <f>IF($B470="","",454)</f>
        <v/>
      </c>
      <c r="B470" s="28">
        <f>IF($P470="","",IF(INDEX(CalcNormDate,$P470)=0,"",INDEX(CalcNormDate,$P470)))</f>
        <v/>
      </c>
      <c r="C470" s="28">
        <f>IF($P470="","",IF(INDEX(CalcTime,$P470)=0,"",INDEX(CalcTime,$P470)))</f>
        <v/>
      </c>
      <c r="D470" s="28">
        <f>IF($P470="","",IF(INDEX(EntryParty,$P470)=0,"",INDEX(EntryParty,$P470)))</f>
        <v/>
      </c>
      <c r="E470" s="28">
        <f>IF($P470="","",IF(INDEX(EntryPartyName,$P470)=0,"",INDEX(EntryPartyName,$P470)))</f>
        <v/>
      </c>
      <c r="F470" s="28">
        <f>IF($P470="","",IF(INDEX(EntryPartyType,$P470)=0,"",INDEX(EntryPartyType,$P470)))</f>
        <v/>
      </c>
      <c r="G470" s="28">
        <f>IF($P470="","",IF(INDEX(EntryTxnType,$P470)=0,"",INDEX(EntryTxnType,$P470)))</f>
        <v/>
      </c>
      <c r="H470" s="29">
        <f>IF($P470="","",IF(INDEX(EntryDep,$P470)=0,"",INDEX(EntryDep,$P470)))</f>
        <v/>
      </c>
      <c r="I470" s="29">
        <f>IF($P470="","",IF(INDEX(EntryWit,$P470)=0,"",INDEX(EntryWit,$P470)))</f>
        <v/>
      </c>
      <c r="J470" s="29">
        <f>IF($B470="","",IF($A470=1,$C$7,IF(J469="",0,J469))+IF($H470="",0,$H470)-IF($I470="",0,$I470))</f>
        <v/>
      </c>
      <c r="K470" s="29">
        <f>IF($P470="","",IF(INDEX(EntryMan,$P470)=0,"",INDEX(EntryMan,$P470)))</f>
        <v/>
      </c>
      <c r="L470" s="28">
        <f>IF($B470="","",IF($K470="","—",IF(ROUND($K470-$J470,0)=0,"√","×")))</f>
        <v/>
      </c>
      <c r="M470" s="28">
        <f>IF($B470="","",IF(COUNTIFS(EntryDates,$B470,CalcTime,$C470,CalcBank,$C$5,EntryParty,$D470,EntryDep,$H470,EntryWit,$I470)&gt;1,"تکرار",""))</f>
        <v/>
      </c>
      <c r="N470" s="28">
        <f>IF($P470="","",IF(INDEX(EntryNotes,$P470)=0,"",INDEX(EntryNotes,$P470)))</f>
        <v/>
      </c>
      <c r="O470" s="28">
        <f>IF($P470="","",IF(INDEX(EntryTxnID,$P470)=0,"",INDEX(EntryTxnID,$P470)))</f>
        <v/>
      </c>
      <c r="P470" s="28">
        <f>IFERROR(MATCH($C$5&amp;"|"&amp;RIGHT("000000"&amp;454,6),CalcRankKey,0),"")</f>
        <v/>
      </c>
    </row>
    <row r="471">
      <c r="A471" s="26">
        <f>IF($B471="","",455)</f>
        <v/>
      </c>
      <c r="B471" s="26">
        <f>IF($P471="","",IF(INDEX(CalcNormDate,$P471)=0,"",INDEX(CalcNormDate,$P471)))</f>
        <v/>
      </c>
      <c r="C471" s="26">
        <f>IF($P471="","",IF(INDEX(CalcTime,$P471)=0,"",INDEX(CalcTime,$P471)))</f>
        <v/>
      </c>
      <c r="D471" s="26">
        <f>IF($P471="","",IF(INDEX(EntryParty,$P471)=0,"",INDEX(EntryParty,$P471)))</f>
        <v/>
      </c>
      <c r="E471" s="26">
        <f>IF($P471="","",IF(INDEX(EntryPartyName,$P471)=0,"",INDEX(EntryPartyName,$P471)))</f>
        <v/>
      </c>
      <c r="F471" s="26">
        <f>IF($P471="","",IF(INDEX(EntryPartyType,$P471)=0,"",INDEX(EntryPartyType,$P471)))</f>
        <v/>
      </c>
      <c r="G471" s="26">
        <f>IF($P471="","",IF(INDEX(EntryTxnType,$P471)=0,"",INDEX(EntryTxnType,$P471)))</f>
        <v/>
      </c>
      <c r="H471" s="27">
        <f>IF($P471="","",IF(INDEX(EntryDep,$P471)=0,"",INDEX(EntryDep,$P471)))</f>
        <v/>
      </c>
      <c r="I471" s="27">
        <f>IF($P471="","",IF(INDEX(EntryWit,$P471)=0,"",INDEX(EntryWit,$P471)))</f>
        <v/>
      </c>
      <c r="J471" s="27">
        <f>IF($B471="","",IF($A471=1,$C$7,IF(J470="",0,J470))+IF($H471="",0,$H471)-IF($I471="",0,$I471))</f>
        <v/>
      </c>
      <c r="K471" s="27">
        <f>IF($P471="","",IF(INDEX(EntryMan,$P471)=0,"",INDEX(EntryMan,$P471)))</f>
        <v/>
      </c>
      <c r="L471" s="26">
        <f>IF($B471="","",IF($K471="","—",IF(ROUND($K471-$J471,0)=0,"√","×")))</f>
        <v/>
      </c>
      <c r="M471" s="26">
        <f>IF($B471="","",IF(COUNTIFS(EntryDates,$B471,CalcTime,$C471,CalcBank,$C$5,EntryParty,$D471,EntryDep,$H471,EntryWit,$I471)&gt;1,"تکرار",""))</f>
        <v/>
      </c>
      <c r="N471" s="26">
        <f>IF($P471="","",IF(INDEX(EntryNotes,$P471)=0,"",INDEX(EntryNotes,$P471)))</f>
        <v/>
      </c>
      <c r="O471" s="26">
        <f>IF($P471="","",IF(INDEX(EntryTxnID,$P471)=0,"",INDEX(EntryTxnID,$P471)))</f>
        <v/>
      </c>
      <c r="P471" s="26">
        <f>IFERROR(MATCH($C$5&amp;"|"&amp;RIGHT("000000"&amp;455,6),CalcRankKey,0),"")</f>
        <v/>
      </c>
    </row>
    <row r="472">
      <c r="A472" s="28">
        <f>IF($B472="","",456)</f>
        <v/>
      </c>
      <c r="B472" s="28">
        <f>IF($P472="","",IF(INDEX(CalcNormDate,$P472)=0,"",INDEX(CalcNormDate,$P472)))</f>
        <v/>
      </c>
      <c r="C472" s="28">
        <f>IF($P472="","",IF(INDEX(CalcTime,$P472)=0,"",INDEX(CalcTime,$P472)))</f>
        <v/>
      </c>
      <c r="D472" s="28">
        <f>IF($P472="","",IF(INDEX(EntryParty,$P472)=0,"",INDEX(EntryParty,$P472)))</f>
        <v/>
      </c>
      <c r="E472" s="28">
        <f>IF($P472="","",IF(INDEX(EntryPartyName,$P472)=0,"",INDEX(EntryPartyName,$P472)))</f>
        <v/>
      </c>
      <c r="F472" s="28">
        <f>IF($P472="","",IF(INDEX(EntryPartyType,$P472)=0,"",INDEX(EntryPartyType,$P472)))</f>
        <v/>
      </c>
      <c r="G472" s="28">
        <f>IF($P472="","",IF(INDEX(EntryTxnType,$P472)=0,"",INDEX(EntryTxnType,$P472)))</f>
        <v/>
      </c>
      <c r="H472" s="29">
        <f>IF($P472="","",IF(INDEX(EntryDep,$P472)=0,"",INDEX(EntryDep,$P472)))</f>
        <v/>
      </c>
      <c r="I472" s="29">
        <f>IF($P472="","",IF(INDEX(EntryWit,$P472)=0,"",INDEX(EntryWit,$P472)))</f>
        <v/>
      </c>
      <c r="J472" s="29">
        <f>IF($B472="","",IF($A472=1,$C$7,IF(J471="",0,J471))+IF($H472="",0,$H472)-IF($I472="",0,$I472))</f>
        <v/>
      </c>
      <c r="K472" s="29">
        <f>IF($P472="","",IF(INDEX(EntryMan,$P472)=0,"",INDEX(EntryMan,$P472)))</f>
        <v/>
      </c>
      <c r="L472" s="28">
        <f>IF($B472="","",IF($K472="","—",IF(ROUND($K472-$J472,0)=0,"√","×")))</f>
        <v/>
      </c>
      <c r="M472" s="28">
        <f>IF($B472="","",IF(COUNTIFS(EntryDates,$B472,CalcTime,$C472,CalcBank,$C$5,EntryParty,$D472,EntryDep,$H472,EntryWit,$I472)&gt;1,"تکرار",""))</f>
        <v/>
      </c>
      <c r="N472" s="28">
        <f>IF($P472="","",IF(INDEX(EntryNotes,$P472)=0,"",INDEX(EntryNotes,$P472)))</f>
        <v/>
      </c>
      <c r="O472" s="28">
        <f>IF($P472="","",IF(INDEX(EntryTxnID,$P472)=0,"",INDEX(EntryTxnID,$P472)))</f>
        <v/>
      </c>
      <c r="P472" s="28">
        <f>IFERROR(MATCH($C$5&amp;"|"&amp;RIGHT("000000"&amp;456,6),CalcRankKey,0),"")</f>
        <v/>
      </c>
    </row>
    <row r="473">
      <c r="A473" s="26">
        <f>IF($B473="","",457)</f>
        <v/>
      </c>
      <c r="B473" s="26">
        <f>IF($P473="","",IF(INDEX(CalcNormDate,$P473)=0,"",INDEX(CalcNormDate,$P473)))</f>
        <v/>
      </c>
      <c r="C473" s="26">
        <f>IF($P473="","",IF(INDEX(CalcTime,$P473)=0,"",INDEX(CalcTime,$P473)))</f>
        <v/>
      </c>
      <c r="D473" s="26">
        <f>IF($P473="","",IF(INDEX(EntryParty,$P473)=0,"",INDEX(EntryParty,$P473)))</f>
        <v/>
      </c>
      <c r="E473" s="26">
        <f>IF($P473="","",IF(INDEX(EntryPartyName,$P473)=0,"",INDEX(EntryPartyName,$P473)))</f>
        <v/>
      </c>
      <c r="F473" s="26">
        <f>IF($P473="","",IF(INDEX(EntryPartyType,$P473)=0,"",INDEX(EntryPartyType,$P473)))</f>
        <v/>
      </c>
      <c r="G473" s="26">
        <f>IF($P473="","",IF(INDEX(EntryTxnType,$P473)=0,"",INDEX(EntryTxnType,$P473)))</f>
        <v/>
      </c>
      <c r="H473" s="27">
        <f>IF($P473="","",IF(INDEX(EntryDep,$P473)=0,"",INDEX(EntryDep,$P473)))</f>
        <v/>
      </c>
      <c r="I473" s="27">
        <f>IF($P473="","",IF(INDEX(EntryWit,$P473)=0,"",INDEX(EntryWit,$P473)))</f>
        <v/>
      </c>
      <c r="J473" s="27">
        <f>IF($B473="","",IF($A473=1,$C$7,IF(J472="",0,J472))+IF($H473="",0,$H473)-IF($I473="",0,$I473))</f>
        <v/>
      </c>
      <c r="K473" s="27">
        <f>IF($P473="","",IF(INDEX(EntryMan,$P473)=0,"",INDEX(EntryMan,$P473)))</f>
        <v/>
      </c>
      <c r="L473" s="26">
        <f>IF($B473="","",IF($K473="","—",IF(ROUND($K473-$J473,0)=0,"√","×")))</f>
        <v/>
      </c>
      <c r="M473" s="26">
        <f>IF($B473="","",IF(COUNTIFS(EntryDates,$B473,CalcTime,$C473,CalcBank,$C$5,EntryParty,$D473,EntryDep,$H473,EntryWit,$I473)&gt;1,"تکرار",""))</f>
        <v/>
      </c>
      <c r="N473" s="26">
        <f>IF($P473="","",IF(INDEX(EntryNotes,$P473)=0,"",INDEX(EntryNotes,$P473)))</f>
        <v/>
      </c>
      <c r="O473" s="26">
        <f>IF($P473="","",IF(INDEX(EntryTxnID,$P473)=0,"",INDEX(EntryTxnID,$P473)))</f>
        <v/>
      </c>
      <c r="P473" s="26">
        <f>IFERROR(MATCH($C$5&amp;"|"&amp;RIGHT("000000"&amp;457,6),CalcRankKey,0),"")</f>
        <v/>
      </c>
    </row>
    <row r="474">
      <c r="A474" s="28">
        <f>IF($B474="","",458)</f>
        <v/>
      </c>
      <c r="B474" s="28">
        <f>IF($P474="","",IF(INDEX(CalcNormDate,$P474)=0,"",INDEX(CalcNormDate,$P474)))</f>
        <v/>
      </c>
      <c r="C474" s="28">
        <f>IF($P474="","",IF(INDEX(CalcTime,$P474)=0,"",INDEX(CalcTime,$P474)))</f>
        <v/>
      </c>
      <c r="D474" s="28">
        <f>IF($P474="","",IF(INDEX(EntryParty,$P474)=0,"",INDEX(EntryParty,$P474)))</f>
        <v/>
      </c>
      <c r="E474" s="28">
        <f>IF($P474="","",IF(INDEX(EntryPartyName,$P474)=0,"",INDEX(EntryPartyName,$P474)))</f>
        <v/>
      </c>
      <c r="F474" s="28">
        <f>IF($P474="","",IF(INDEX(EntryPartyType,$P474)=0,"",INDEX(EntryPartyType,$P474)))</f>
        <v/>
      </c>
      <c r="G474" s="28">
        <f>IF($P474="","",IF(INDEX(EntryTxnType,$P474)=0,"",INDEX(EntryTxnType,$P474)))</f>
        <v/>
      </c>
      <c r="H474" s="29">
        <f>IF($P474="","",IF(INDEX(EntryDep,$P474)=0,"",INDEX(EntryDep,$P474)))</f>
        <v/>
      </c>
      <c r="I474" s="29">
        <f>IF($P474="","",IF(INDEX(EntryWit,$P474)=0,"",INDEX(EntryWit,$P474)))</f>
        <v/>
      </c>
      <c r="J474" s="29">
        <f>IF($B474="","",IF($A474=1,$C$7,IF(J473="",0,J473))+IF($H474="",0,$H474)-IF($I474="",0,$I474))</f>
        <v/>
      </c>
      <c r="K474" s="29">
        <f>IF($P474="","",IF(INDEX(EntryMan,$P474)=0,"",INDEX(EntryMan,$P474)))</f>
        <v/>
      </c>
      <c r="L474" s="28">
        <f>IF($B474="","",IF($K474="","—",IF(ROUND($K474-$J474,0)=0,"√","×")))</f>
        <v/>
      </c>
      <c r="M474" s="28">
        <f>IF($B474="","",IF(COUNTIFS(EntryDates,$B474,CalcTime,$C474,CalcBank,$C$5,EntryParty,$D474,EntryDep,$H474,EntryWit,$I474)&gt;1,"تکرار",""))</f>
        <v/>
      </c>
      <c r="N474" s="28">
        <f>IF($P474="","",IF(INDEX(EntryNotes,$P474)=0,"",INDEX(EntryNotes,$P474)))</f>
        <v/>
      </c>
      <c r="O474" s="28">
        <f>IF($P474="","",IF(INDEX(EntryTxnID,$P474)=0,"",INDEX(EntryTxnID,$P474)))</f>
        <v/>
      </c>
      <c r="P474" s="28">
        <f>IFERROR(MATCH($C$5&amp;"|"&amp;RIGHT("000000"&amp;458,6),CalcRankKey,0),"")</f>
        <v/>
      </c>
    </row>
    <row r="475">
      <c r="A475" s="26">
        <f>IF($B475="","",459)</f>
        <v/>
      </c>
      <c r="B475" s="26">
        <f>IF($P475="","",IF(INDEX(CalcNormDate,$P475)=0,"",INDEX(CalcNormDate,$P475)))</f>
        <v/>
      </c>
      <c r="C475" s="26">
        <f>IF($P475="","",IF(INDEX(CalcTime,$P475)=0,"",INDEX(CalcTime,$P475)))</f>
        <v/>
      </c>
      <c r="D475" s="26">
        <f>IF($P475="","",IF(INDEX(EntryParty,$P475)=0,"",INDEX(EntryParty,$P475)))</f>
        <v/>
      </c>
      <c r="E475" s="26">
        <f>IF($P475="","",IF(INDEX(EntryPartyName,$P475)=0,"",INDEX(EntryPartyName,$P475)))</f>
        <v/>
      </c>
      <c r="F475" s="26">
        <f>IF($P475="","",IF(INDEX(EntryPartyType,$P475)=0,"",INDEX(EntryPartyType,$P475)))</f>
        <v/>
      </c>
      <c r="G475" s="26">
        <f>IF($P475="","",IF(INDEX(EntryTxnType,$P475)=0,"",INDEX(EntryTxnType,$P475)))</f>
        <v/>
      </c>
      <c r="H475" s="27">
        <f>IF($P475="","",IF(INDEX(EntryDep,$P475)=0,"",INDEX(EntryDep,$P475)))</f>
        <v/>
      </c>
      <c r="I475" s="27">
        <f>IF($P475="","",IF(INDEX(EntryWit,$P475)=0,"",INDEX(EntryWit,$P475)))</f>
        <v/>
      </c>
      <c r="J475" s="27">
        <f>IF($B475="","",IF($A475=1,$C$7,IF(J474="",0,J474))+IF($H475="",0,$H475)-IF($I475="",0,$I475))</f>
        <v/>
      </c>
      <c r="K475" s="27">
        <f>IF($P475="","",IF(INDEX(EntryMan,$P475)=0,"",INDEX(EntryMan,$P475)))</f>
        <v/>
      </c>
      <c r="L475" s="26">
        <f>IF($B475="","",IF($K475="","—",IF(ROUND($K475-$J475,0)=0,"√","×")))</f>
        <v/>
      </c>
      <c r="M475" s="26">
        <f>IF($B475="","",IF(COUNTIFS(EntryDates,$B475,CalcTime,$C475,CalcBank,$C$5,EntryParty,$D475,EntryDep,$H475,EntryWit,$I475)&gt;1,"تکرار",""))</f>
        <v/>
      </c>
      <c r="N475" s="26">
        <f>IF($P475="","",IF(INDEX(EntryNotes,$P475)=0,"",INDEX(EntryNotes,$P475)))</f>
        <v/>
      </c>
      <c r="O475" s="26">
        <f>IF($P475="","",IF(INDEX(EntryTxnID,$P475)=0,"",INDEX(EntryTxnID,$P475)))</f>
        <v/>
      </c>
      <c r="P475" s="26">
        <f>IFERROR(MATCH($C$5&amp;"|"&amp;RIGHT("000000"&amp;459,6),CalcRankKey,0),"")</f>
        <v/>
      </c>
    </row>
    <row r="476">
      <c r="A476" s="28">
        <f>IF($B476="","",460)</f>
        <v/>
      </c>
      <c r="B476" s="28">
        <f>IF($P476="","",IF(INDEX(CalcNormDate,$P476)=0,"",INDEX(CalcNormDate,$P476)))</f>
        <v/>
      </c>
      <c r="C476" s="28">
        <f>IF($P476="","",IF(INDEX(CalcTime,$P476)=0,"",INDEX(CalcTime,$P476)))</f>
        <v/>
      </c>
      <c r="D476" s="28">
        <f>IF($P476="","",IF(INDEX(EntryParty,$P476)=0,"",INDEX(EntryParty,$P476)))</f>
        <v/>
      </c>
      <c r="E476" s="28">
        <f>IF($P476="","",IF(INDEX(EntryPartyName,$P476)=0,"",INDEX(EntryPartyName,$P476)))</f>
        <v/>
      </c>
      <c r="F476" s="28">
        <f>IF($P476="","",IF(INDEX(EntryPartyType,$P476)=0,"",INDEX(EntryPartyType,$P476)))</f>
        <v/>
      </c>
      <c r="G476" s="28">
        <f>IF($P476="","",IF(INDEX(EntryTxnType,$P476)=0,"",INDEX(EntryTxnType,$P476)))</f>
        <v/>
      </c>
      <c r="H476" s="29">
        <f>IF($P476="","",IF(INDEX(EntryDep,$P476)=0,"",INDEX(EntryDep,$P476)))</f>
        <v/>
      </c>
      <c r="I476" s="29">
        <f>IF($P476="","",IF(INDEX(EntryWit,$P476)=0,"",INDEX(EntryWit,$P476)))</f>
        <v/>
      </c>
      <c r="J476" s="29">
        <f>IF($B476="","",IF($A476=1,$C$7,IF(J475="",0,J475))+IF($H476="",0,$H476)-IF($I476="",0,$I476))</f>
        <v/>
      </c>
      <c r="K476" s="29">
        <f>IF($P476="","",IF(INDEX(EntryMan,$P476)=0,"",INDEX(EntryMan,$P476)))</f>
        <v/>
      </c>
      <c r="L476" s="28">
        <f>IF($B476="","",IF($K476="","—",IF(ROUND($K476-$J476,0)=0,"√","×")))</f>
        <v/>
      </c>
      <c r="M476" s="28">
        <f>IF($B476="","",IF(COUNTIFS(EntryDates,$B476,CalcTime,$C476,CalcBank,$C$5,EntryParty,$D476,EntryDep,$H476,EntryWit,$I476)&gt;1,"تکرار",""))</f>
        <v/>
      </c>
      <c r="N476" s="28">
        <f>IF($P476="","",IF(INDEX(EntryNotes,$P476)=0,"",INDEX(EntryNotes,$P476)))</f>
        <v/>
      </c>
      <c r="O476" s="28">
        <f>IF($P476="","",IF(INDEX(EntryTxnID,$P476)=0,"",INDEX(EntryTxnID,$P476)))</f>
        <v/>
      </c>
      <c r="P476" s="28">
        <f>IFERROR(MATCH($C$5&amp;"|"&amp;RIGHT("000000"&amp;460,6),CalcRankKey,0),"")</f>
        <v/>
      </c>
    </row>
    <row r="477">
      <c r="A477" s="26">
        <f>IF($B477="","",461)</f>
        <v/>
      </c>
      <c r="B477" s="26">
        <f>IF($P477="","",IF(INDEX(CalcNormDate,$P477)=0,"",INDEX(CalcNormDate,$P477)))</f>
        <v/>
      </c>
      <c r="C477" s="26">
        <f>IF($P477="","",IF(INDEX(CalcTime,$P477)=0,"",INDEX(CalcTime,$P477)))</f>
        <v/>
      </c>
      <c r="D477" s="26">
        <f>IF($P477="","",IF(INDEX(EntryParty,$P477)=0,"",INDEX(EntryParty,$P477)))</f>
        <v/>
      </c>
      <c r="E477" s="26">
        <f>IF($P477="","",IF(INDEX(EntryPartyName,$P477)=0,"",INDEX(EntryPartyName,$P477)))</f>
        <v/>
      </c>
      <c r="F477" s="26">
        <f>IF($P477="","",IF(INDEX(EntryPartyType,$P477)=0,"",INDEX(EntryPartyType,$P477)))</f>
        <v/>
      </c>
      <c r="G477" s="26">
        <f>IF($P477="","",IF(INDEX(EntryTxnType,$P477)=0,"",INDEX(EntryTxnType,$P477)))</f>
        <v/>
      </c>
      <c r="H477" s="27">
        <f>IF($P477="","",IF(INDEX(EntryDep,$P477)=0,"",INDEX(EntryDep,$P477)))</f>
        <v/>
      </c>
      <c r="I477" s="27">
        <f>IF($P477="","",IF(INDEX(EntryWit,$P477)=0,"",INDEX(EntryWit,$P477)))</f>
        <v/>
      </c>
      <c r="J477" s="27">
        <f>IF($B477="","",IF($A477=1,$C$7,IF(J476="",0,J476))+IF($H477="",0,$H477)-IF($I477="",0,$I477))</f>
        <v/>
      </c>
      <c r="K477" s="27">
        <f>IF($P477="","",IF(INDEX(EntryMan,$P477)=0,"",INDEX(EntryMan,$P477)))</f>
        <v/>
      </c>
      <c r="L477" s="26">
        <f>IF($B477="","",IF($K477="","—",IF(ROUND($K477-$J477,0)=0,"√","×")))</f>
        <v/>
      </c>
      <c r="M477" s="26">
        <f>IF($B477="","",IF(COUNTIFS(EntryDates,$B477,CalcTime,$C477,CalcBank,$C$5,EntryParty,$D477,EntryDep,$H477,EntryWit,$I477)&gt;1,"تکرار",""))</f>
        <v/>
      </c>
      <c r="N477" s="26">
        <f>IF($P477="","",IF(INDEX(EntryNotes,$P477)=0,"",INDEX(EntryNotes,$P477)))</f>
        <v/>
      </c>
      <c r="O477" s="26">
        <f>IF($P477="","",IF(INDEX(EntryTxnID,$P477)=0,"",INDEX(EntryTxnID,$P477)))</f>
        <v/>
      </c>
      <c r="P477" s="26">
        <f>IFERROR(MATCH($C$5&amp;"|"&amp;RIGHT("000000"&amp;461,6),CalcRankKey,0),"")</f>
        <v/>
      </c>
    </row>
    <row r="478">
      <c r="A478" s="28">
        <f>IF($B478="","",462)</f>
        <v/>
      </c>
      <c r="B478" s="28">
        <f>IF($P478="","",IF(INDEX(CalcNormDate,$P478)=0,"",INDEX(CalcNormDate,$P478)))</f>
        <v/>
      </c>
      <c r="C478" s="28">
        <f>IF($P478="","",IF(INDEX(CalcTime,$P478)=0,"",INDEX(CalcTime,$P478)))</f>
        <v/>
      </c>
      <c r="D478" s="28">
        <f>IF($P478="","",IF(INDEX(EntryParty,$P478)=0,"",INDEX(EntryParty,$P478)))</f>
        <v/>
      </c>
      <c r="E478" s="28">
        <f>IF($P478="","",IF(INDEX(EntryPartyName,$P478)=0,"",INDEX(EntryPartyName,$P478)))</f>
        <v/>
      </c>
      <c r="F478" s="28">
        <f>IF($P478="","",IF(INDEX(EntryPartyType,$P478)=0,"",INDEX(EntryPartyType,$P478)))</f>
        <v/>
      </c>
      <c r="G478" s="28">
        <f>IF($P478="","",IF(INDEX(EntryTxnType,$P478)=0,"",INDEX(EntryTxnType,$P478)))</f>
        <v/>
      </c>
      <c r="H478" s="29">
        <f>IF($P478="","",IF(INDEX(EntryDep,$P478)=0,"",INDEX(EntryDep,$P478)))</f>
        <v/>
      </c>
      <c r="I478" s="29">
        <f>IF($P478="","",IF(INDEX(EntryWit,$P478)=0,"",INDEX(EntryWit,$P478)))</f>
        <v/>
      </c>
      <c r="J478" s="29">
        <f>IF($B478="","",IF($A478=1,$C$7,IF(J477="",0,J477))+IF($H478="",0,$H478)-IF($I478="",0,$I478))</f>
        <v/>
      </c>
      <c r="K478" s="29">
        <f>IF($P478="","",IF(INDEX(EntryMan,$P478)=0,"",INDEX(EntryMan,$P478)))</f>
        <v/>
      </c>
      <c r="L478" s="28">
        <f>IF($B478="","",IF($K478="","—",IF(ROUND($K478-$J478,0)=0,"√","×")))</f>
        <v/>
      </c>
      <c r="M478" s="28">
        <f>IF($B478="","",IF(COUNTIFS(EntryDates,$B478,CalcTime,$C478,CalcBank,$C$5,EntryParty,$D478,EntryDep,$H478,EntryWit,$I478)&gt;1,"تکرار",""))</f>
        <v/>
      </c>
      <c r="N478" s="28">
        <f>IF($P478="","",IF(INDEX(EntryNotes,$P478)=0,"",INDEX(EntryNotes,$P478)))</f>
        <v/>
      </c>
      <c r="O478" s="28">
        <f>IF($P478="","",IF(INDEX(EntryTxnID,$P478)=0,"",INDEX(EntryTxnID,$P478)))</f>
        <v/>
      </c>
      <c r="P478" s="28">
        <f>IFERROR(MATCH($C$5&amp;"|"&amp;RIGHT("000000"&amp;462,6),CalcRankKey,0),"")</f>
        <v/>
      </c>
    </row>
    <row r="479">
      <c r="A479" s="26">
        <f>IF($B479="","",463)</f>
        <v/>
      </c>
      <c r="B479" s="26">
        <f>IF($P479="","",IF(INDEX(CalcNormDate,$P479)=0,"",INDEX(CalcNormDate,$P479)))</f>
        <v/>
      </c>
      <c r="C479" s="26">
        <f>IF($P479="","",IF(INDEX(CalcTime,$P479)=0,"",INDEX(CalcTime,$P479)))</f>
        <v/>
      </c>
      <c r="D479" s="26">
        <f>IF($P479="","",IF(INDEX(EntryParty,$P479)=0,"",INDEX(EntryParty,$P479)))</f>
        <v/>
      </c>
      <c r="E479" s="26">
        <f>IF($P479="","",IF(INDEX(EntryPartyName,$P479)=0,"",INDEX(EntryPartyName,$P479)))</f>
        <v/>
      </c>
      <c r="F479" s="26">
        <f>IF($P479="","",IF(INDEX(EntryPartyType,$P479)=0,"",INDEX(EntryPartyType,$P479)))</f>
        <v/>
      </c>
      <c r="G479" s="26">
        <f>IF($P479="","",IF(INDEX(EntryTxnType,$P479)=0,"",INDEX(EntryTxnType,$P479)))</f>
        <v/>
      </c>
      <c r="H479" s="27">
        <f>IF($P479="","",IF(INDEX(EntryDep,$P479)=0,"",INDEX(EntryDep,$P479)))</f>
        <v/>
      </c>
      <c r="I479" s="27">
        <f>IF($P479="","",IF(INDEX(EntryWit,$P479)=0,"",INDEX(EntryWit,$P479)))</f>
        <v/>
      </c>
      <c r="J479" s="27">
        <f>IF($B479="","",IF($A479=1,$C$7,IF(J478="",0,J478))+IF($H479="",0,$H479)-IF($I479="",0,$I479))</f>
        <v/>
      </c>
      <c r="K479" s="27">
        <f>IF($P479="","",IF(INDEX(EntryMan,$P479)=0,"",INDEX(EntryMan,$P479)))</f>
        <v/>
      </c>
      <c r="L479" s="26">
        <f>IF($B479="","",IF($K479="","—",IF(ROUND($K479-$J479,0)=0,"√","×")))</f>
        <v/>
      </c>
      <c r="M479" s="26">
        <f>IF($B479="","",IF(COUNTIFS(EntryDates,$B479,CalcTime,$C479,CalcBank,$C$5,EntryParty,$D479,EntryDep,$H479,EntryWit,$I479)&gt;1,"تکرار",""))</f>
        <v/>
      </c>
      <c r="N479" s="26">
        <f>IF($P479="","",IF(INDEX(EntryNotes,$P479)=0,"",INDEX(EntryNotes,$P479)))</f>
        <v/>
      </c>
      <c r="O479" s="26">
        <f>IF($P479="","",IF(INDEX(EntryTxnID,$P479)=0,"",INDEX(EntryTxnID,$P479)))</f>
        <v/>
      </c>
      <c r="P479" s="26">
        <f>IFERROR(MATCH($C$5&amp;"|"&amp;RIGHT("000000"&amp;463,6),CalcRankKey,0),"")</f>
        <v/>
      </c>
    </row>
    <row r="480">
      <c r="A480" s="28">
        <f>IF($B480="","",464)</f>
        <v/>
      </c>
      <c r="B480" s="28">
        <f>IF($P480="","",IF(INDEX(CalcNormDate,$P480)=0,"",INDEX(CalcNormDate,$P480)))</f>
        <v/>
      </c>
      <c r="C480" s="28">
        <f>IF($P480="","",IF(INDEX(CalcTime,$P480)=0,"",INDEX(CalcTime,$P480)))</f>
        <v/>
      </c>
      <c r="D480" s="28">
        <f>IF($P480="","",IF(INDEX(EntryParty,$P480)=0,"",INDEX(EntryParty,$P480)))</f>
        <v/>
      </c>
      <c r="E480" s="28">
        <f>IF($P480="","",IF(INDEX(EntryPartyName,$P480)=0,"",INDEX(EntryPartyName,$P480)))</f>
        <v/>
      </c>
      <c r="F480" s="28">
        <f>IF($P480="","",IF(INDEX(EntryPartyType,$P480)=0,"",INDEX(EntryPartyType,$P480)))</f>
        <v/>
      </c>
      <c r="G480" s="28">
        <f>IF($P480="","",IF(INDEX(EntryTxnType,$P480)=0,"",INDEX(EntryTxnType,$P480)))</f>
        <v/>
      </c>
      <c r="H480" s="29">
        <f>IF($P480="","",IF(INDEX(EntryDep,$P480)=0,"",INDEX(EntryDep,$P480)))</f>
        <v/>
      </c>
      <c r="I480" s="29">
        <f>IF($P480="","",IF(INDEX(EntryWit,$P480)=0,"",INDEX(EntryWit,$P480)))</f>
        <v/>
      </c>
      <c r="J480" s="29">
        <f>IF($B480="","",IF($A480=1,$C$7,IF(J479="",0,J479))+IF($H480="",0,$H480)-IF($I480="",0,$I480))</f>
        <v/>
      </c>
      <c r="K480" s="29">
        <f>IF($P480="","",IF(INDEX(EntryMan,$P480)=0,"",INDEX(EntryMan,$P480)))</f>
        <v/>
      </c>
      <c r="L480" s="28">
        <f>IF($B480="","",IF($K480="","—",IF(ROUND($K480-$J480,0)=0,"√","×")))</f>
        <v/>
      </c>
      <c r="M480" s="28">
        <f>IF($B480="","",IF(COUNTIFS(EntryDates,$B480,CalcTime,$C480,CalcBank,$C$5,EntryParty,$D480,EntryDep,$H480,EntryWit,$I480)&gt;1,"تکرار",""))</f>
        <v/>
      </c>
      <c r="N480" s="28">
        <f>IF($P480="","",IF(INDEX(EntryNotes,$P480)=0,"",INDEX(EntryNotes,$P480)))</f>
        <v/>
      </c>
      <c r="O480" s="28">
        <f>IF($P480="","",IF(INDEX(EntryTxnID,$P480)=0,"",INDEX(EntryTxnID,$P480)))</f>
        <v/>
      </c>
      <c r="P480" s="28">
        <f>IFERROR(MATCH($C$5&amp;"|"&amp;RIGHT("000000"&amp;464,6),CalcRankKey,0),"")</f>
        <v/>
      </c>
    </row>
    <row r="481">
      <c r="A481" s="26">
        <f>IF($B481="","",465)</f>
        <v/>
      </c>
      <c r="B481" s="26">
        <f>IF($P481="","",IF(INDEX(CalcNormDate,$P481)=0,"",INDEX(CalcNormDate,$P481)))</f>
        <v/>
      </c>
      <c r="C481" s="26">
        <f>IF($P481="","",IF(INDEX(CalcTime,$P481)=0,"",INDEX(CalcTime,$P481)))</f>
        <v/>
      </c>
      <c r="D481" s="26">
        <f>IF($P481="","",IF(INDEX(EntryParty,$P481)=0,"",INDEX(EntryParty,$P481)))</f>
        <v/>
      </c>
      <c r="E481" s="26">
        <f>IF($P481="","",IF(INDEX(EntryPartyName,$P481)=0,"",INDEX(EntryPartyName,$P481)))</f>
        <v/>
      </c>
      <c r="F481" s="26">
        <f>IF($P481="","",IF(INDEX(EntryPartyType,$P481)=0,"",INDEX(EntryPartyType,$P481)))</f>
        <v/>
      </c>
      <c r="G481" s="26">
        <f>IF($P481="","",IF(INDEX(EntryTxnType,$P481)=0,"",INDEX(EntryTxnType,$P481)))</f>
        <v/>
      </c>
      <c r="H481" s="27">
        <f>IF($P481="","",IF(INDEX(EntryDep,$P481)=0,"",INDEX(EntryDep,$P481)))</f>
        <v/>
      </c>
      <c r="I481" s="27">
        <f>IF($P481="","",IF(INDEX(EntryWit,$P481)=0,"",INDEX(EntryWit,$P481)))</f>
        <v/>
      </c>
      <c r="J481" s="27">
        <f>IF($B481="","",IF($A481=1,$C$7,IF(J480="",0,J480))+IF($H481="",0,$H481)-IF($I481="",0,$I481))</f>
        <v/>
      </c>
      <c r="K481" s="27">
        <f>IF($P481="","",IF(INDEX(EntryMan,$P481)=0,"",INDEX(EntryMan,$P481)))</f>
        <v/>
      </c>
      <c r="L481" s="26">
        <f>IF($B481="","",IF($K481="","—",IF(ROUND($K481-$J481,0)=0,"√","×")))</f>
        <v/>
      </c>
      <c r="M481" s="26">
        <f>IF($B481="","",IF(COUNTIFS(EntryDates,$B481,CalcTime,$C481,CalcBank,$C$5,EntryParty,$D481,EntryDep,$H481,EntryWit,$I481)&gt;1,"تکرار",""))</f>
        <v/>
      </c>
      <c r="N481" s="26">
        <f>IF($P481="","",IF(INDEX(EntryNotes,$P481)=0,"",INDEX(EntryNotes,$P481)))</f>
        <v/>
      </c>
      <c r="O481" s="26">
        <f>IF($P481="","",IF(INDEX(EntryTxnID,$P481)=0,"",INDEX(EntryTxnID,$P481)))</f>
        <v/>
      </c>
      <c r="P481" s="26">
        <f>IFERROR(MATCH($C$5&amp;"|"&amp;RIGHT("000000"&amp;465,6),CalcRankKey,0),"")</f>
        <v/>
      </c>
    </row>
    <row r="482">
      <c r="A482" s="28">
        <f>IF($B482="","",466)</f>
        <v/>
      </c>
      <c r="B482" s="28">
        <f>IF($P482="","",IF(INDEX(CalcNormDate,$P482)=0,"",INDEX(CalcNormDate,$P482)))</f>
        <v/>
      </c>
      <c r="C482" s="28">
        <f>IF($P482="","",IF(INDEX(CalcTime,$P482)=0,"",INDEX(CalcTime,$P482)))</f>
        <v/>
      </c>
      <c r="D482" s="28">
        <f>IF($P482="","",IF(INDEX(EntryParty,$P482)=0,"",INDEX(EntryParty,$P482)))</f>
        <v/>
      </c>
      <c r="E482" s="28">
        <f>IF($P482="","",IF(INDEX(EntryPartyName,$P482)=0,"",INDEX(EntryPartyName,$P482)))</f>
        <v/>
      </c>
      <c r="F482" s="28">
        <f>IF($P482="","",IF(INDEX(EntryPartyType,$P482)=0,"",INDEX(EntryPartyType,$P482)))</f>
        <v/>
      </c>
      <c r="G482" s="28">
        <f>IF($P482="","",IF(INDEX(EntryTxnType,$P482)=0,"",INDEX(EntryTxnType,$P482)))</f>
        <v/>
      </c>
      <c r="H482" s="29">
        <f>IF($P482="","",IF(INDEX(EntryDep,$P482)=0,"",INDEX(EntryDep,$P482)))</f>
        <v/>
      </c>
      <c r="I482" s="29">
        <f>IF($P482="","",IF(INDEX(EntryWit,$P482)=0,"",INDEX(EntryWit,$P482)))</f>
        <v/>
      </c>
      <c r="J482" s="29">
        <f>IF($B482="","",IF($A482=1,$C$7,IF(J481="",0,J481))+IF($H482="",0,$H482)-IF($I482="",0,$I482))</f>
        <v/>
      </c>
      <c r="K482" s="29">
        <f>IF($P482="","",IF(INDEX(EntryMan,$P482)=0,"",INDEX(EntryMan,$P482)))</f>
        <v/>
      </c>
      <c r="L482" s="28">
        <f>IF($B482="","",IF($K482="","—",IF(ROUND($K482-$J482,0)=0,"√","×")))</f>
        <v/>
      </c>
      <c r="M482" s="28">
        <f>IF($B482="","",IF(COUNTIFS(EntryDates,$B482,CalcTime,$C482,CalcBank,$C$5,EntryParty,$D482,EntryDep,$H482,EntryWit,$I482)&gt;1,"تکرار",""))</f>
        <v/>
      </c>
      <c r="N482" s="28">
        <f>IF($P482="","",IF(INDEX(EntryNotes,$P482)=0,"",INDEX(EntryNotes,$P482)))</f>
        <v/>
      </c>
      <c r="O482" s="28">
        <f>IF($P482="","",IF(INDEX(EntryTxnID,$P482)=0,"",INDEX(EntryTxnID,$P482)))</f>
        <v/>
      </c>
      <c r="P482" s="28">
        <f>IFERROR(MATCH($C$5&amp;"|"&amp;RIGHT("000000"&amp;466,6),CalcRankKey,0),"")</f>
        <v/>
      </c>
    </row>
    <row r="483">
      <c r="A483" s="26">
        <f>IF($B483="","",467)</f>
        <v/>
      </c>
      <c r="B483" s="26">
        <f>IF($P483="","",IF(INDEX(CalcNormDate,$P483)=0,"",INDEX(CalcNormDate,$P483)))</f>
        <v/>
      </c>
      <c r="C483" s="26">
        <f>IF($P483="","",IF(INDEX(CalcTime,$P483)=0,"",INDEX(CalcTime,$P483)))</f>
        <v/>
      </c>
      <c r="D483" s="26">
        <f>IF($P483="","",IF(INDEX(EntryParty,$P483)=0,"",INDEX(EntryParty,$P483)))</f>
        <v/>
      </c>
      <c r="E483" s="26">
        <f>IF($P483="","",IF(INDEX(EntryPartyName,$P483)=0,"",INDEX(EntryPartyName,$P483)))</f>
        <v/>
      </c>
      <c r="F483" s="26">
        <f>IF($P483="","",IF(INDEX(EntryPartyType,$P483)=0,"",INDEX(EntryPartyType,$P483)))</f>
        <v/>
      </c>
      <c r="G483" s="26">
        <f>IF($P483="","",IF(INDEX(EntryTxnType,$P483)=0,"",INDEX(EntryTxnType,$P483)))</f>
        <v/>
      </c>
      <c r="H483" s="27">
        <f>IF($P483="","",IF(INDEX(EntryDep,$P483)=0,"",INDEX(EntryDep,$P483)))</f>
        <v/>
      </c>
      <c r="I483" s="27">
        <f>IF($P483="","",IF(INDEX(EntryWit,$P483)=0,"",INDEX(EntryWit,$P483)))</f>
        <v/>
      </c>
      <c r="J483" s="27">
        <f>IF($B483="","",IF($A483=1,$C$7,IF(J482="",0,J482))+IF($H483="",0,$H483)-IF($I483="",0,$I483))</f>
        <v/>
      </c>
      <c r="K483" s="27">
        <f>IF($P483="","",IF(INDEX(EntryMan,$P483)=0,"",INDEX(EntryMan,$P483)))</f>
        <v/>
      </c>
      <c r="L483" s="26">
        <f>IF($B483="","",IF($K483="","—",IF(ROUND($K483-$J483,0)=0,"√","×")))</f>
        <v/>
      </c>
      <c r="M483" s="26">
        <f>IF($B483="","",IF(COUNTIFS(EntryDates,$B483,CalcTime,$C483,CalcBank,$C$5,EntryParty,$D483,EntryDep,$H483,EntryWit,$I483)&gt;1,"تکرار",""))</f>
        <v/>
      </c>
      <c r="N483" s="26">
        <f>IF($P483="","",IF(INDEX(EntryNotes,$P483)=0,"",INDEX(EntryNotes,$P483)))</f>
        <v/>
      </c>
      <c r="O483" s="26">
        <f>IF($P483="","",IF(INDEX(EntryTxnID,$P483)=0,"",INDEX(EntryTxnID,$P483)))</f>
        <v/>
      </c>
      <c r="P483" s="26">
        <f>IFERROR(MATCH($C$5&amp;"|"&amp;RIGHT("000000"&amp;467,6),CalcRankKey,0),"")</f>
        <v/>
      </c>
    </row>
    <row r="484">
      <c r="A484" s="28">
        <f>IF($B484="","",468)</f>
        <v/>
      </c>
      <c r="B484" s="28">
        <f>IF($P484="","",IF(INDEX(CalcNormDate,$P484)=0,"",INDEX(CalcNormDate,$P484)))</f>
        <v/>
      </c>
      <c r="C484" s="28">
        <f>IF($P484="","",IF(INDEX(CalcTime,$P484)=0,"",INDEX(CalcTime,$P484)))</f>
        <v/>
      </c>
      <c r="D484" s="28">
        <f>IF($P484="","",IF(INDEX(EntryParty,$P484)=0,"",INDEX(EntryParty,$P484)))</f>
        <v/>
      </c>
      <c r="E484" s="28">
        <f>IF($P484="","",IF(INDEX(EntryPartyName,$P484)=0,"",INDEX(EntryPartyName,$P484)))</f>
        <v/>
      </c>
      <c r="F484" s="28">
        <f>IF($P484="","",IF(INDEX(EntryPartyType,$P484)=0,"",INDEX(EntryPartyType,$P484)))</f>
        <v/>
      </c>
      <c r="G484" s="28">
        <f>IF($P484="","",IF(INDEX(EntryTxnType,$P484)=0,"",INDEX(EntryTxnType,$P484)))</f>
        <v/>
      </c>
      <c r="H484" s="29">
        <f>IF($P484="","",IF(INDEX(EntryDep,$P484)=0,"",INDEX(EntryDep,$P484)))</f>
        <v/>
      </c>
      <c r="I484" s="29">
        <f>IF($P484="","",IF(INDEX(EntryWit,$P484)=0,"",INDEX(EntryWit,$P484)))</f>
        <v/>
      </c>
      <c r="J484" s="29">
        <f>IF($B484="","",IF($A484=1,$C$7,IF(J483="",0,J483))+IF($H484="",0,$H484)-IF($I484="",0,$I484))</f>
        <v/>
      </c>
      <c r="K484" s="29">
        <f>IF($P484="","",IF(INDEX(EntryMan,$P484)=0,"",INDEX(EntryMan,$P484)))</f>
        <v/>
      </c>
      <c r="L484" s="28">
        <f>IF($B484="","",IF($K484="","—",IF(ROUND($K484-$J484,0)=0,"√","×")))</f>
        <v/>
      </c>
      <c r="M484" s="28">
        <f>IF($B484="","",IF(COUNTIFS(EntryDates,$B484,CalcTime,$C484,CalcBank,$C$5,EntryParty,$D484,EntryDep,$H484,EntryWit,$I484)&gt;1,"تکرار",""))</f>
        <v/>
      </c>
      <c r="N484" s="28">
        <f>IF($P484="","",IF(INDEX(EntryNotes,$P484)=0,"",INDEX(EntryNotes,$P484)))</f>
        <v/>
      </c>
      <c r="O484" s="28">
        <f>IF($P484="","",IF(INDEX(EntryTxnID,$P484)=0,"",INDEX(EntryTxnID,$P484)))</f>
        <v/>
      </c>
      <c r="P484" s="28">
        <f>IFERROR(MATCH($C$5&amp;"|"&amp;RIGHT("000000"&amp;468,6),CalcRankKey,0),"")</f>
        <v/>
      </c>
    </row>
    <row r="485">
      <c r="A485" s="26">
        <f>IF($B485="","",469)</f>
        <v/>
      </c>
      <c r="B485" s="26">
        <f>IF($P485="","",IF(INDEX(CalcNormDate,$P485)=0,"",INDEX(CalcNormDate,$P485)))</f>
        <v/>
      </c>
      <c r="C485" s="26">
        <f>IF($P485="","",IF(INDEX(CalcTime,$P485)=0,"",INDEX(CalcTime,$P485)))</f>
        <v/>
      </c>
      <c r="D485" s="26">
        <f>IF($P485="","",IF(INDEX(EntryParty,$P485)=0,"",INDEX(EntryParty,$P485)))</f>
        <v/>
      </c>
      <c r="E485" s="26">
        <f>IF($P485="","",IF(INDEX(EntryPartyName,$P485)=0,"",INDEX(EntryPartyName,$P485)))</f>
        <v/>
      </c>
      <c r="F485" s="26">
        <f>IF($P485="","",IF(INDEX(EntryPartyType,$P485)=0,"",INDEX(EntryPartyType,$P485)))</f>
        <v/>
      </c>
      <c r="G485" s="26">
        <f>IF($P485="","",IF(INDEX(EntryTxnType,$P485)=0,"",INDEX(EntryTxnType,$P485)))</f>
        <v/>
      </c>
      <c r="H485" s="27">
        <f>IF($P485="","",IF(INDEX(EntryDep,$P485)=0,"",INDEX(EntryDep,$P485)))</f>
        <v/>
      </c>
      <c r="I485" s="27">
        <f>IF($P485="","",IF(INDEX(EntryWit,$P485)=0,"",INDEX(EntryWit,$P485)))</f>
        <v/>
      </c>
      <c r="J485" s="27">
        <f>IF($B485="","",IF($A485=1,$C$7,IF(J484="",0,J484))+IF($H485="",0,$H485)-IF($I485="",0,$I485))</f>
        <v/>
      </c>
      <c r="K485" s="27">
        <f>IF($P485="","",IF(INDEX(EntryMan,$P485)=0,"",INDEX(EntryMan,$P485)))</f>
        <v/>
      </c>
      <c r="L485" s="26">
        <f>IF($B485="","",IF($K485="","—",IF(ROUND($K485-$J485,0)=0,"√","×")))</f>
        <v/>
      </c>
      <c r="M485" s="26">
        <f>IF($B485="","",IF(COUNTIFS(EntryDates,$B485,CalcTime,$C485,CalcBank,$C$5,EntryParty,$D485,EntryDep,$H485,EntryWit,$I485)&gt;1,"تکرار",""))</f>
        <v/>
      </c>
      <c r="N485" s="26">
        <f>IF($P485="","",IF(INDEX(EntryNotes,$P485)=0,"",INDEX(EntryNotes,$P485)))</f>
        <v/>
      </c>
      <c r="O485" s="26">
        <f>IF($P485="","",IF(INDEX(EntryTxnID,$P485)=0,"",INDEX(EntryTxnID,$P485)))</f>
        <v/>
      </c>
      <c r="P485" s="26">
        <f>IFERROR(MATCH($C$5&amp;"|"&amp;RIGHT("000000"&amp;469,6),CalcRankKey,0),"")</f>
        <v/>
      </c>
    </row>
    <row r="486">
      <c r="A486" s="28">
        <f>IF($B486="","",470)</f>
        <v/>
      </c>
      <c r="B486" s="28">
        <f>IF($P486="","",IF(INDEX(CalcNormDate,$P486)=0,"",INDEX(CalcNormDate,$P486)))</f>
        <v/>
      </c>
      <c r="C486" s="28">
        <f>IF($P486="","",IF(INDEX(CalcTime,$P486)=0,"",INDEX(CalcTime,$P486)))</f>
        <v/>
      </c>
      <c r="D486" s="28">
        <f>IF($P486="","",IF(INDEX(EntryParty,$P486)=0,"",INDEX(EntryParty,$P486)))</f>
        <v/>
      </c>
      <c r="E486" s="28">
        <f>IF($P486="","",IF(INDEX(EntryPartyName,$P486)=0,"",INDEX(EntryPartyName,$P486)))</f>
        <v/>
      </c>
      <c r="F486" s="28">
        <f>IF($P486="","",IF(INDEX(EntryPartyType,$P486)=0,"",INDEX(EntryPartyType,$P486)))</f>
        <v/>
      </c>
      <c r="G486" s="28">
        <f>IF($P486="","",IF(INDEX(EntryTxnType,$P486)=0,"",INDEX(EntryTxnType,$P486)))</f>
        <v/>
      </c>
      <c r="H486" s="29">
        <f>IF($P486="","",IF(INDEX(EntryDep,$P486)=0,"",INDEX(EntryDep,$P486)))</f>
        <v/>
      </c>
      <c r="I486" s="29">
        <f>IF($P486="","",IF(INDEX(EntryWit,$P486)=0,"",INDEX(EntryWit,$P486)))</f>
        <v/>
      </c>
      <c r="J486" s="29">
        <f>IF($B486="","",IF($A486=1,$C$7,IF(J485="",0,J485))+IF($H486="",0,$H486)-IF($I486="",0,$I486))</f>
        <v/>
      </c>
      <c r="K486" s="29">
        <f>IF($P486="","",IF(INDEX(EntryMan,$P486)=0,"",INDEX(EntryMan,$P486)))</f>
        <v/>
      </c>
      <c r="L486" s="28">
        <f>IF($B486="","",IF($K486="","—",IF(ROUND($K486-$J486,0)=0,"√","×")))</f>
        <v/>
      </c>
      <c r="M486" s="28">
        <f>IF($B486="","",IF(COUNTIFS(EntryDates,$B486,CalcTime,$C486,CalcBank,$C$5,EntryParty,$D486,EntryDep,$H486,EntryWit,$I486)&gt;1,"تکرار",""))</f>
        <v/>
      </c>
      <c r="N486" s="28">
        <f>IF($P486="","",IF(INDEX(EntryNotes,$P486)=0,"",INDEX(EntryNotes,$P486)))</f>
        <v/>
      </c>
      <c r="O486" s="28">
        <f>IF($P486="","",IF(INDEX(EntryTxnID,$P486)=0,"",INDEX(EntryTxnID,$P486)))</f>
        <v/>
      </c>
      <c r="P486" s="28">
        <f>IFERROR(MATCH($C$5&amp;"|"&amp;RIGHT("000000"&amp;470,6),CalcRankKey,0),"")</f>
        <v/>
      </c>
    </row>
    <row r="487">
      <c r="A487" s="26">
        <f>IF($B487="","",471)</f>
        <v/>
      </c>
      <c r="B487" s="26">
        <f>IF($P487="","",IF(INDEX(CalcNormDate,$P487)=0,"",INDEX(CalcNormDate,$P487)))</f>
        <v/>
      </c>
      <c r="C487" s="26">
        <f>IF($P487="","",IF(INDEX(CalcTime,$P487)=0,"",INDEX(CalcTime,$P487)))</f>
        <v/>
      </c>
      <c r="D487" s="26">
        <f>IF($P487="","",IF(INDEX(EntryParty,$P487)=0,"",INDEX(EntryParty,$P487)))</f>
        <v/>
      </c>
      <c r="E487" s="26">
        <f>IF($P487="","",IF(INDEX(EntryPartyName,$P487)=0,"",INDEX(EntryPartyName,$P487)))</f>
        <v/>
      </c>
      <c r="F487" s="26">
        <f>IF($P487="","",IF(INDEX(EntryPartyType,$P487)=0,"",INDEX(EntryPartyType,$P487)))</f>
        <v/>
      </c>
      <c r="G487" s="26">
        <f>IF($P487="","",IF(INDEX(EntryTxnType,$P487)=0,"",INDEX(EntryTxnType,$P487)))</f>
        <v/>
      </c>
      <c r="H487" s="27">
        <f>IF($P487="","",IF(INDEX(EntryDep,$P487)=0,"",INDEX(EntryDep,$P487)))</f>
        <v/>
      </c>
      <c r="I487" s="27">
        <f>IF($P487="","",IF(INDEX(EntryWit,$P487)=0,"",INDEX(EntryWit,$P487)))</f>
        <v/>
      </c>
      <c r="J487" s="27">
        <f>IF($B487="","",IF($A487=1,$C$7,IF(J486="",0,J486))+IF($H487="",0,$H487)-IF($I487="",0,$I487))</f>
        <v/>
      </c>
      <c r="K487" s="27">
        <f>IF($P487="","",IF(INDEX(EntryMan,$P487)=0,"",INDEX(EntryMan,$P487)))</f>
        <v/>
      </c>
      <c r="L487" s="26">
        <f>IF($B487="","",IF($K487="","—",IF(ROUND($K487-$J487,0)=0,"√","×")))</f>
        <v/>
      </c>
      <c r="M487" s="26">
        <f>IF($B487="","",IF(COUNTIFS(EntryDates,$B487,CalcTime,$C487,CalcBank,$C$5,EntryParty,$D487,EntryDep,$H487,EntryWit,$I487)&gt;1,"تکرار",""))</f>
        <v/>
      </c>
      <c r="N487" s="26">
        <f>IF($P487="","",IF(INDEX(EntryNotes,$P487)=0,"",INDEX(EntryNotes,$P487)))</f>
        <v/>
      </c>
      <c r="O487" s="26">
        <f>IF($P487="","",IF(INDEX(EntryTxnID,$P487)=0,"",INDEX(EntryTxnID,$P487)))</f>
        <v/>
      </c>
      <c r="P487" s="26">
        <f>IFERROR(MATCH($C$5&amp;"|"&amp;RIGHT("000000"&amp;471,6),CalcRankKey,0),"")</f>
        <v/>
      </c>
    </row>
    <row r="488">
      <c r="A488" s="28">
        <f>IF($B488="","",472)</f>
        <v/>
      </c>
      <c r="B488" s="28">
        <f>IF($P488="","",IF(INDEX(CalcNormDate,$P488)=0,"",INDEX(CalcNormDate,$P488)))</f>
        <v/>
      </c>
      <c r="C488" s="28">
        <f>IF($P488="","",IF(INDEX(CalcTime,$P488)=0,"",INDEX(CalcTime,$P488)))</f>
        <v/>
      </c>
      <c r="D488" s="28">
        <f>IF($P488="","",IF(INDEX(EntryParty,$P488)=0,"",INDEX(EntryParty,$P488)))</f>
        <v/>
      </c>
      <c r="E488" s="28">
        <f>IF($P488="","",IF(INDEX(EntryPartyName,$P488)=0,"",INDEX(EntryPartyName,$P488)))</f>
        <v/>
      </c>
      <c r="F488" s="28">
        <f>IF($P488="","",IF(INDEX(EntryPartyType,$P488)=0,"",INDEX(EntryPartyType,$P488)))</f>
        <v/>
      </c>
      <c r="G488" s="28">
        <f>IF($P488="","",IF(INDEX(EntryTxnType,$P488)=0,"",INDEX(EntryTxnType,$P488)))</f>
        <v/>
      </c>
      <c r="H488" s="29">
        <f>IF($P488="","",IF(INDEX(EntryDep,$P488)=0,"",INDEX(EntryDep,$P488)))</f>
        <v/>
      </c>
      <c r="I488" s="29">
        <f>IF($P488="","",IF(INDEX(EntryWit,$P488)=0,"",INDEX(EntryWit,$P488)))</f>
        <v/>
      </c>
      <c r="J488" s="29">
        <f>IF($B488="","",IF($A488=1,$C$7,IF(J487="",0,J487))+IF($H488="",0,$H488)-IF($I488="",0,$I488))</f>
        <v/>
      </c>
      <c r="K488" s="29">
        <f>IF($P488="","",IF(INDEX(EntryMan,$P488)=0,"",INDEX(EntryMan,$P488)))</f>
        <v/>
      </c>
      <c r="L488" s="28">
        <f>IF($B488="","",IF($K488="","—",IF(ROUND($K488-$J488,0)=0,"√","×")))</f>
        <v/>
      </c>
      <c r="M488" s="28">
        <f>IF($B488="","",IF(COUNTIFS(EntryDates,$B488,CalcTime,$C488,CalcBank,$C$5,EntryParty,$D488,EntryDep,$H488,EntryWit,$I488)&gt;1,"تکرار",""))</f>
        <v/>
      </c>
      <c r="N488" s="28">
        <f>IF($P488="","",IF(INDEX(EntryNotes,$P488)=0,"",INDEX(EntryNotes,$P488)))</f>
        <v/>
      </c>
      <c r="O488" s="28">
        <f>IF($P488="","",IF(INDEX(EntryTxnID,$P488)=0,"",INDEX(EntryTxnID,$P488)))</f>
        <v/>
      </c>
      <c r="P488" s="28">
        <f>IFERROR(MATCH($C$5&amp;"|"&amp;RIGHT("000000"&amp;472,6),CalcRankKey,0),"")</f>
        <v/>
      </c>
    </row>
    <row r="489">
      <c r="A489" s="26">
        <f>IF($B489="","",473)</f>
        <v/>
      </c>
      <c r="B489" s="26">
        <f>IF($P489="","",IF(INDEX(CalcNormDate,$P489)=0,"",INDEX(CalcNormDate,$P489)))</f>
        <v/>
      </c>
      <c r="C489" s="26">
        <f>IF($P489="","",IF(INDEX(CalcTime,$P489)=0,"",INDEX(CalcTime,$P489)))</f>
        <v/>
      </c>
      <c r="D489" s="26">
        <f>IF($P489="","",IF(INDEX(EntryParty,$P489)=0,"",INDEX(EntryParty,$P489)))</f>
        <v/>
      </c>
      <c r="E489" s="26">
        <f>IF($P489="","",IF(INDEX(EntryPartyName,$P489)=0,"",INDEX(EntryPartyName,$P489)))</f>
        <v/>
      </c>
      <c r="F489" s="26">
        <f>IF($P489="","",IF(INDEX(EntryPartyType,$P489)=0,"",INDEX(EntryPartyType,$P489)))</f>
        <v/>
      </c>
      <c r="G489" s="26">
        <f>IF($P489="","",IF(INDEX(EntryTxnType,$P489)=0,"",INDEX(EntryTxnType,$P489)))</f>
        <v/>
      </c>
      <c r="H489" s="27">
        <f>IF($P489="","",IF(INDEX(EntryDep,$P489)=0,"",INDEX(EntryDep,$P489)))</f>
        <v/>
      </c>
      <c r="I489" s="27">
        <f>IF($P489="","",IF(INDEX(EntryWit,$P489)=0,"",INDEX(EntryWit,$P489)))</f>
        <v/>
      </c>
      <c r="J489" s="27">
        <f>IF($B489="","",IF($A489=1,$C$7,IF(J488="",0,J488))+IF($H489="",0,$H489)-IF($I489="",0,$I489))</f>
        <v/>
      </c>
      <c r="K489" s="27">
        <f>IF($P489="","",IF(INDEX(EntryMan,$P489)=0,"",INDEX(EntryMan,$P489)))</f>
        <v/>
      </c>
      <c r="L489" s="26">
        <f>IF($B489="","",IF($K489="","—",IF(ROUND($K489-$J489,0)=0,"√","×")))</f>
        <v/>
      </c>
      <c r="M489" s="26">
        <f>IF($B489="","",IF(COUNTIFS(EntryDates,$B489,CalcTime,$C489,CalcBank,$C$5,EntryParty,$D489,EntryDep,$H489,EntryWit,$I489)&gt;1,"تکرار",""))</f>
        <v/>
      </c>
      <c r="N489" s="26">
        <f>IF($P489="","",IF(INDEX(EntryNotes,$P489)=0,"",INDEX(EntryNotes,$P489)))</f>
        <v/>
      </c>
      <c r="O489" s="26">
        <f>IF($P489="","",IF(INDEX(EntryTxnID,$P489)=0,"",INDEX(EntryTxnID,$P489)))</f>
        <v/>
      </c>
      <c r="P489" s="26">
        <f>IFERROR(MATCH($C$5&amp;"|"&amp;RIGHT("000000"&amp;473,6),CalcRankKey,0),"")</f>
        <v/>
      </c>
    </row>
    <row r="490">
      <c r="A490" s="28">
        <f>IF($B490="","",474)</f>
        <v/>
      </c>
      <c r="B490" s="28">
        <f>IF($P490="","",IF(INDEX(CalcNormDate,$P490)=0,"",INDEX(CalcNormDate,$P490)))</f>
        <v/>
      </c>
      <c r="C490" s="28">
        <f>IF($P490="","",IF(INDEX(CalcTime,$P490)=0,"",INDEX(CalcTime,$P490)))</f>
        <v/>
      </c>
      <c r="D490" s="28">
        <f>IF($P490="","",IF(INDEX(EntryParty,$P490)=0,"",INDEX(EntryParty,$P490)))</f>
        <v/>
      </c>
      <c r="E490" s="28">
        <f>IF($P490="","",IF(INDEX(EntryPartyName,$P490)=0,"",INDEX(EntryPartyName,$P490)))</f>
        <v/>
      </c>
      <c r="F490" s="28">
        <f>IF($P490="","",IF(INDEX(EntryPartyType,$P490)=0,"",INDEX(EntryPartyType,$P490)))</f>
        <v/>
      </c>
      <c r="G490" s="28">
        <f>IF($P490="","",IF(INDEX(EntryTxnType,$P490)=0,"",INDEX(EntryTxnType,$P490)))</f>
        <v/>
      </c>
      <c r="H490" s="29">
        <f>IF($P490="","",IF(INDEX(EntryDep,$P490)=0,"",INDEX(EntryDep,$P490)))</f>
        <v/>
      </c>
      <c r="I490" s="29">
        <f>IF($P490="","",IF(INDEX(EntryWit,$P490)=0,"",INDEX(EntryWit,$P490)))</f>
        <v/>
      </c>
      <c r="J490" s="29">
        <f>IF($B490="","",IF($A490=1,$C$7,IF(J489="",0,J489))+IF($H490="",0,$H490)-IF($I490="",0,$I490))</f>
        <v/>
      </c>
      <c r="K490" s="29">
        <f>IF($P490="","",IF(INDEX(EntryMan,$P490)=0,"",INDEX(EntryMan,$P490)))</f>
        <v/>
      </c>
      <c r="L490" s="28">
        <f>IF($B490="","",IF($K490="","—",IF(ROUND($K490-$J490,0)=0,"√","×")))</f>
        <v/>
      </c>
      <c r="M490" s="28">
        <f>IF($B490="","",IF(COUNTIFS(EntryDates,$B490,CalcTime,$C490,CalcBank,$C$5,EntryParty,$D490,EntryDep,$H490,EntryWit,$I490)&gt;1,"تکرار",""))</f>
        <v/>
      </c>
      <c r="N490" s="28">
        <f>IF($P490="","",IF(INDEX(EntryNotes,$P490)=0,"",INDEX(EntryNotes,$P490)))</f>
        <v/>
      </c>
      <c r="O490" s="28">
        <f>IF($P490="","",IF(INDEX(EntryTxnID,$P490)=0,"",INDEX(EntryTxnID,$P490)))</f>
        <v/>
      </c>
      <c r="P490" s="28">
        <f>IFERROR(MATCH($C$5&amp;"|"&amp;RIGHT("000000"&amp;474,6),CalcRankKey,0),"")</f>
        <v/>
      </c>
    </row>
    <row r="491">
      <c r="A491" s="26">
        <f>IF($B491="","",475)</f>
        <v/>
      </c>
      <c r="B491" s="26">
        <f>IF($P491="","",IF(INDEX(CalcNormDate,$P491)=0,"",INDEX(CalcNormDate,$P491)))</f>
        <v/>
      </c>
      <c r="C491" s="26">
        <f>IF($P491="","",IF(INDEX(CalcTime,$P491)=0,"",INDEX(CalcTime,$P491)))</f>
        <v/>
      </c>
      <c r="D491" s="26">
        <f>IF($P491="","",IF(INDEX(EntryParty,$P491)=0,"",INDEX(EntryParty,$P491)))</f>
        <v/>
      </c>
      <c r="E491" s="26">
        <f>IF($P491="","",IF(INDEX(EntryPartyName,$P491)=0,"",INDEX(EntryPartyName,$P491)))</f>
        <v/>
      </c>
      <c r="F491" s="26">
        <f>IF($P491="","",IF(INDEX(EntryPartyType,$P491)=0,"",INDEX(EntryPartyType,$P491)))</f>
        <v/>
      </c>
      <c r="G491" s="26">
        <f>IF($P491="","",IF(INDEX(EntryTxnType,$P491)=0,"",INDEX(EntryTxnType,$P491)))</f>
        <v/>
      </c>
      <c r="H491" s="27">
        <f>IF($P491="","",IF(INDEX(EntryDep,$P491)=0,"",INDEX(EntryDep,$P491)))</f>
        <v/>
      </c>
      <c r="I491" s="27">
        <f>IF($P491="","",IF(INDEX(EntryWit,$P491)=0,"",INDEX(EntryWit,$P491)))</f>
        <v/>
      </c>
      <c r="J491" s="27">
        <f>IF($B491="","",IF($A491=1,$C$7,IF(J490="",0,J490))+IF($H491="",0,$H491)-IF($I491="",0,$I491))</f>
        <v/>
      </c>
      <c r="K491" s="27">
        <f>IF($P491="","",IF(INDEX(EntryMan,$P491)=0,"",INDEX(EntryMan,$P491)))</f>
        <v/>
      </c>
      <c r="L491" s="26">
        <f>IF($B491="","",IF($K491="","—",IF(ROUND($K491-$J491,0)=0,"√","×")))</f>
        <v/>
      </c>
      <c r="M491" s="26">
        <f>IF($B491="","",IF(COUNTIFS(EntryDates,$B491,CalcTime,$C491,CalcBank,$C$5,EntryParty,$D491,EntryDep,$H491,EntryWit,$I491)&gt;1,"تکرار",""))</f>
        <v/>
      </c>
      <c r="N491" s="26">
        <f>IF($P491="","",IF(INDEX(EntryNotes,$P491)=0,"",INDEX(EntryNotes,$P491)))</f>
        <v/>
      </c>
      <c r="O491" s="26">
        <f>IF($P491="","",IF(INDEX(EntryTxnID,$P491)=0,"",INDEX(EntryTxnID,$P491)))</f>
        <v/>
      </c>
      <c r="P491" s="26">
        <f>IFERROR(MATCH($C$5&amp;"|"&amp;RIGHT("000000"&amp;475,6),CalcRankKey,0),"")</f>
        <v/>
      </c>
    </row>
    <row r="492">
      <c r="A492" s="28">
        <f>IF($B492="","",476)</f>
        <v/>
      </c>
      <c r="B492" s="28">
        <f>IF($P492="","",IF(INDEX(CalcNormDate,$P492)=0,"",INDEX(CalcNormDate,$P492)))</f>
        <v/>
      </c>
      <c r="C492" s="28">
        <f>IF($P492="","",IF(INDEX(CalcTime,$P492)=0,"",INDEX(CalcTime,$P492)))</f>
        <v/>
      </c>
      <c r="D492" s="28">
        <f>IF($P492="","",IF(INDEX(EntryParty,$P492)=0,"",INDEX(EntryParty,$P492)))</f>
        <v/>
      </c>
      <c r="E492" s="28">
        <f>IF($P492="","",IF(INDEX(EntryPartyName,$P492)=0,"",INDEX(EntryPartyName,$P492)))</f>
        <v/>
      </c>
      <c r="F492" s="28">
        <f>IF($P492="","",IF(INDEX(EntryPartyType,$P492)=0,"",INDEX(EntryPartyType,$P492)))</f>
        <v/>
      </c>
      <c r="G492" s="28">
        <f>IF($P492="","",IF(INDEX(EntryTxnType,$P492)=0,"",INDEX(EntryTxnType,$P492)))</f>
        <v/>
      </c>
      <c r="H492" s="29">
        <f>IF($P492="","",IF(INDEX(EntryDep,$P492)=0,"",INDEX(EntryDep,$P492)))</f>
        <v/>
      </c>
      <c r="I492" s="29">
        <f>IF($P492="","",IF(INDEX(EntryWit,$P492)=0,"",INDEX(EntryWit,$P492)))</f>
        <v/>
      </c>
      <c r="J492" s="29">
        <f>IF($B492="","",IF($A492=1,$C$7,IF(J491="",0,J491))+IF($H492="",0,$H492)-IF($I492="",0,$I492))</f>
        <v/>
      </c>
      <c r="K492" s="29">
        <f>IF($P492="","",IF(INDEX(EntryMan,$P492)=0,"",INDEX(EntryMan,$P492)))</f>
        <v/>
      </c>
      <c r="L492" s="28">
        <f>IF($B492="","",IF($K492="","—",IF(ROUND($K492-$J492,0)=0,"√","×")))</f>
        <v/>
      </c>
      <c r="M492" s="28">
        <f>IF($B492="","",IF(COUNTIFS(EntryDates,$B492,CalcTime,$C492,CalcBank,$C$5,EntryParty,$D492,EntryDep,$H492,EntryWit,$I492)&gt;1,"تکرار",""))</f>
        <v/>
      </c>
      <c r="N492" s="28">
        <f>IF($P492="","",IF(INDEX(EntryNotes,$P492)=0,"",INDEX(EntryNotes,$P492)))</f>
        <v/>
      </c>
      <c r="O492" s="28">
        <f>IF($P492="","",IF(INDEX(EntryTxnID,$P492)=0,"",INDEX(EntryTxnID,$P492)))</f>
        <v/>
      </c>
      <c r="P492" s="28">
        <f>IFERROR(MATCH($C$5&amp;"|"&amp;RIGHT("000000"&amp;476,6),CalcRankKey,0),"")</f>
        <v/>
      </c>
    </row>
    <row r="493">
      <c r="A493" s="26">
        <f>IF($B493="","",477)</f>
        <v/>
      </c>
      <c r="B493" s="26">
        <f>IF($P493="","",IF(INDEX(CalcNormDate,$P493)=0,"",INDEX(CalcNormDate,$P493)))</f>
        <v/>
      </c>
      <c r="C493" s="26">
        <f>IF($P493="","",IF(INDEX(CalcTime,$P493)=0,"",INDEX(CalcTime,$P493)))</f>
        <v/>
      </c>
      <c r="D493" s="26">
        <f>IF($P493="","",IF(INDEX(EntryParty,$P493)=0,"",INDEX(EntryParty,$P493)))</f>
        <v/>
      </c>
      <c r="E493" s="26">
        <f>IF($P493="","",IF(INDEX(EntryPartyName,$P493)=0,"",INDEX(EntryPartyName,$P493)))</f>
        <v/>
      </c>
      <c r="F493" s="26">
        <f>IF($P493="","",IF(INDEX(EntryPartyType,$P493)=0,"",INDEX(EntryPartyType,$P493)))</f>
        <v/>
      </c>
      <c r="G493" s="26">
        <f>IF($P493="","",IF(INDEX(EntryTxnType,$P493)=0,"",INDEX(EntryTxnType,$P493)))</f>
        <v/>
      </c>
      <c r="H493" s="27">
        <f>IF($P493="","",IF(INDEX(EntryDep,$P493)=0,"",INDEX(EntryDep,$P493)))</f>
        <v/>
      </c>
      <c r="I493" s="27">
        <f>IF($P493="","",IF(INDEX(EntryWit,$P493)=0,"",INDEX(EntryWit,$P493)))</f>
        <v/>
      </c>
      <c r="J493" s="27">
        <f>IF($B493="","",IF($A493=1,$C$7,IF(J492="",0,J492))+IF($H493="",0,$H493)-IF($I493="",0,$I493))</f>
        <v/>
      </c>
      <c r="K493" s="27">
        <f>IF($P493="","",IF(INDEX(EntryMan,$P493)=0,"",INDEX(EntryMan,$P493)))</f>
        <v/>
      </c>
      <c r="L493" s="26">
        <f>IF($B493="","",IF($K493="","—",IF(ROUND($K493-$J493,0)=0,"√","×")))</f>
        <v/>
      </c>
      <c r="M493" s="26">
        <f>IF($B493="","",IF(COUNTIFS(EntryDates,$B493,CalcTime,$C493,CalcBank,$C$5,EntryParty,$D493,EntryDep,$H493,EntryWit,$I493)&gt;1,"تکرار",""))</f>
        <v/>
      </c>
      <c r="N493" s="26">
        <f>IF($P493="","",IF(INDEX(EntryNotes,$P493)=0,"",INDEX(EntryNotes,$P493)))</f>
        <v/>
      </c>
      <c r="O493" s="26">
        <f>IF($P493="","",IF(INDEX(EntryTxnID,$P493)=0,"",INDEX(EntryTxnID,$P493)))</f>
        <v/>
      </c>
      <c r="P493" s="26">
        <f>IFERROR(MATCH($C$5&amp;"|"&amp;RIGHT("000000"&amp;477,6),CalcRankKey,0),"")</f>
        <v/>
      </c>
    </row>
    <row r="494">
      <c r="A494" s="28">
        <f>IF($B494="","",478)</f>
        <v/>
      </c>
      <c r="B494" s="28">
        <f>IF($P494="","",IF(INDEX(CalcNormDate,$P494)=0,"",INDEX(CalcNormDate,$P494)))</f>
        <v/>
      </c>
      <c r="C494" s="28">
        <f>IF($P494="","",IF(INDEX(CalcTime,$P494)=0,"",INDEX(CalcTime,$P494)))</f>
        <v/>
      </c>
      <c r="D494" s="28">
        <f>IF($P494="","",IF(INDEX(EntryParty,$P494)=0,"",INDEX(EntryParty,$P494)))</f>
        <v/>
      </c>
      <c r="E494" s="28">
        <f>IF($P494="","",IF(INDEX(EntryPartyName,$P494)=0,"",INDEX(EntryPartyName,$P494)))</f>
        <v/>
      </c>
      <c r="F494" s="28">
        <f>IF($P494="","",IF(INDEX(EntryPartyType,$P494)=0,"",INDEX(EntryPartyType,$P494)))</f>
        <v/>
      </c>
      <c r="G494" s="28">
        <f>IF($P494="","",IF(INDEX(EntryTxnType,$P494)=0,"",INDEX(EntryTxnType,$P494)))</f>
        <v/>
      </c>
      <c r="H494" s="29">
        <f>IF($P494="","",IF(INDEX(EntryDep,$P494)=0,"",INDEX(EntryDep,$P494)))</f>
        <v/>
      </c>
      <c r="I494" s="29">
        <f>IF($P494="","",IF(INDEX(EntryWit,$P494)=0,"",INDEX(EntryWit,$P494)))</f>
        <v/>
      </c>
      <c r="J494" s="29">
        <f>IF($B494="","",IF($A494=1,$C$7,IF(J493="",0,J493))+IF($H494="",0,$H494)-IF($I494="",0,$I494))</f>
        <v/>
      </c>
      <c r="K494" s="29">
        <f>IF($P494="","",IF(INDEX(EntryMan,$P494)=0,"",INDEX(EntryMan,$P494)))</f>
        <v/>
      </c>
      <c r="L494" s="28">
        <f>IF($B494="","",IF($K494="","—",IF(ROUND($K494-$J494,0)=0,"√","×")))</f>
        <v/>
      </c>
      <c r="M494" s="28">
        <f>IF($B494="","",IF(COUNTIFS(EntryDates,$B494,CalcTime,$C494,CalcBank,$C$5,EntryParty,$D494,EntryDep,$H494,EntryWit,$I494)&gt;1,"تکرار",""))</f>
        <v/>
      </c>
      <c r="N494" s="28">
        <f>IF($P494="","",IF(INDEX(EntryNotes,$P494)=0,"",INDEX(EntryNotes,$P494)))</f>
        <v/>
      </c>
      <c r="O494" s="28">
        <f>IF($P494="","",IF(INDEX(EntryTxnID,$P494)=0,"",INDEX(EntryTxnID,$P494)))</f>
        <v/>
      </c>
      <c r="P494" s="28">
        <f>IFERROR(MATCH($C$5&amp;"|"&amp;RIGHT("000000"&amp;478,6),CalcRankKey,0),"")</f>
        <v/>
      </c>
    </row>
    <row r="495">
      <c r="A495" s="26">
        <f>IF($B495="","",479)</f>
        <v/>
      </c>
      <c r="B495" s="26">
        <f>IF($P495="","",IF(INDEX(CalcNormDate,$P495)=0,"",INDEX(CalcNormDate,$P495)))</f>
        <v/>
      </c>
      <c r="C495" s="26">
        <f>IF($P495="","",IF(INDEX(CalcTime,$P495)=0,"",INDEX(CalcTime,$P495)))</f>
        <v/>
      </c>
      <c r="D495" s="26">
        <f>IF($P495="","",IF(INDEX(EntryParty,$P495)=0,"",INDEX(EntryParty,$P495)))</f>
        <v/>
      </c>
      <c r="E495" s="26">
        <f>IF($P495="","",IF(INDEX(EntryPartyName,$P495)=0,"",INDEX(EntryPartyName,$P495)))</f>
        <v/>
      </c>
      <c r="F495" s="26">
        <f>IF($P495="","",IF(INDEX(EntryPartyType,$P495)=0,"",INDEX(EntryPartyType,$P495)))</f>
        <v/>
      </c>
      <c r="G495" s="26">
        <f>IF($P495="","",IF(INDEX(EntryTxnType,$P495)=0,"",INDEX(EntryTxnType,$P495)))</f>
        <v/>
      </c>
      <c r="H495" s="27">
        <f>IF($P495="","",IF(INDEX(EntryDep,$P495)=0,"",INDEX(EntryDep,$P495)))</f>
        <v/>
      </c>
      <c r="I495" s="27">
        <f>IF($P495="","",IF(INDEX(EntryWit,$P495)=0,"",INDEX(EntryWit,$P495)))</f>
        <v/>
      </c>
      <c r="J495" s="27">
        <f>IF($B495="","",IF($A495=1,$C$7,IF(J494="",0,J494))+IF($H495="",0,$H495)-IF($I495="",0,$I495))</f>
        <v/>
      </c>
      <c r="K495" s="27">
        <f>IF($P495="","",IF(INDEX(EntryMan,$P495)=0,"",INDEX(EntryMan,$P495)))</f>
        <v/>
      </c>
      <c r="L495" s="26">
        <f>IF($B495="","",IF($K495="","—",IF(ROUND($K495-$J495,0)=0,"√","×")))</f>
        <v/>
      </c>
      <c r="M495" s="26">
        <f>IF($B495="","",IF(COUNTIFS(EntryDates,$B495,CalcTime,$C495,CalcBank,$C$5,EntryParty,$D495,EntryDep,$H495,EntryWit,$I495)&gt;1,"تکرار",""))</f>
        <v/>
      </c>
      <c r="N495" s="26">
        <f>IF($P495="","",IF(INDEX(EntryNotes,$P495)=0,"",INDEX(EntryNotes,$P495)))</f>
        <v/>
      </c>
      <c r="O495" s="26">
        <f>IF($P495="","",IF(INDEX(EntryTxnID,$P495)=0,"",INDEX(EntryTxnID,$P495)))</f>
        <v/>
      </c>
      <c r="P495" s="26">
        <f>IFERROR(MATCH($C$5&amp;"|"&amp;RIGHT("000000"&amp;479,6),CalcRankKey,0),"")</f>
        <v/>
      </c>
    </row>
    <row r="496">
      <c r="A496" s="28">
        <f>IF($B496="","",480)</f>
        <v/>
      </c>
      <c r="B496" s="28">
        <f>IF($P496="","",IF(INDEX(CalcNormDate,$P496)=0,"",INDEX(CalcNormDate,$P496)))</f>
        <v/>
      </c>
      <c r="C496" s="28">
        <f>IF($P496="","",IF(INDEX(CalcTime,$P496)=0,"",INDEX(CalcTime,$P496)))</f>
        <v/>
      </c>
      <c r="D496" s="28">
        <f>IF($P496="","",IF(INDEX(EntryParty,$P496)=0,"",INDEX(EntryParty,$P496)))</f>
        <v/>
      </c>
      <c r="E496" s="28">
        <f>IF($P496="","",IF(INDEX(EntryPartyName,$P496)=0,"",INDEX(EntryPartyName,$P496)))</f>
        <v/>
      </c>
      <c r="F496" s="28">
        <f>IF($P496="","",IF(INDEX(EntryPartyType,$P496)=0,"",INDEX(EntryPartyType,$P496)))</f>
        <v/>
      </c>
      <c r="G496" s="28">
        <f>IF($P496="","",IF(INDEX(EntryTxnType,$P496)=0,"",INDEX(EntryTxnType,$P496)))</f>
        <v/>
      </c>
      <c r="H496" s="29">
        <f>IF($P496="","",IF(INDEX(EntryDep,$P496)=0,"",INDEX(EntryDep,$P496)))</f>
        <v/>
      </c>
      <c r="I496" s="29">
        <f>IF($P496="","",IF(INDEX(EntryWit,$P496)=0,"",INDEX(EntryWit,$P496)))</f>
        <v/>
      </c>
      <c r="J496" s="29">
        <f>IF($B496="","",IF($A496=1,$C$7,IF(J495="",0,J495))+IF($H496="",0,$H496)-IF($I496="",0,$I496))</f>
        <v/>
      </c>
      <c r="K496" s="29">
        <f>IF($P496="","",IF(INDEX(EntryMan,$P496)=0,"",INDEX(EntryMan,$P496)))</f>
        <v/>
      </c>
      <c r="L496" s="28">
        <f>IF($B496="","",IF($K496="","—",IF(ROUND($K496-$J496,0)=0,"√","×")))</f>
        <v/>
      </c>
      <c r="M496" s="28">
        <f>IF($B496="","",IF(COUNTIFS(EntryDates,$B496,CalcTime,$C496,CalcBank,$C$5,EntryParty,$D496,EntryDep,$H496,EntryWit,$I496)&gt;1,"تکرار",""))</f>
        <v/>
      </c>
      <c r="N496" s="28">
        <f>IF($P496="","",IF(INDEX(EntryNotes,$P496)=0,"",INDEX(EntryNotes,$P496)))</f>
        <v/>
      </c>
      <c r="O496" s="28">
        <f>IF($P496="","",IF(INDEX(EntryTxnID,$P496)=0,"",INDEX(EntryTxnID,$P496)))</f>
        <v/>
      </c>
      <c r="P496" s="28">
        <f>IFERROR(MATCH($C$5&amp;"|"&amp;RIGHT("000000"&amp;480,6),CalcRankKey,0),"")</f>
        <v/>
      </c>
    </row>
    <row r="497">
      <c r="A497" s="26">
        <f>IF($B497="","",481)</f>
        <v/>
      </c>
      <c r="B497" s="26">
        <f>IF($P497="","",IF(INDEX(CalcNormDate,$P497)=0,"",INDEX(CalcNormDate,$P497)))</f>
        <v/>
      </c>
      <c r="C497" s="26">
        <f>IF($P497="","",IF(INDEX(CalcTime,$P497)=0,"",INDEX(CalcTime,$P497)))</f>
        <v/>
      </c>
      <c r="D497" s="26">
        <f>IF($P497="","",IF(INDEX(EntryParty,$P497)=0,"",INDEX(EntryParty,$P497)))</f>
        <v/>
      </c>
      <c r="E497" s="26">
        <f>IF($P497="","",IF(INDEX(EntryPartyName,$P497)=0,"",INDEX(EntryPartyName,$P497)))</f>
        <v/>
      </c>
      <c r="F497" s="26">
        <f>IF($P497="","",IF(INDEX(EntryPartyType,$P497)=0,"",INDEX(EntryPartyType,$P497)))</f>
        <v/>
      </c>
      <c r="G497" s="26">
        <f>IF($P497="","",IF(INDEX(EntryTxnType,$P497)=0,"",INDEX(EntryTxnType,$P497)))</f>
        <v/>
      </c>
      <c r="H497" s="27">
        <f>IF($P497="","",IF(INDEX(EntryDep,$P497)=0,"",INDEX(EntryDep,$P497)))</f>
        <v/>
      </c>
      <c r="I497" s="27">
        <f>IF($P497="","",IF(INDEX(EntryWit,$P497)=0,"",INDEX(EntryWit,$P497)))</f>
        <v/>
      </c>
      <c r="J497" s="27">
        <f>IF($B497="","",IF($A497=1,$C$7,IF(J496="",0,J496))+IF($H497="",0,$H497)-IF($I497="",0,$I497))</f>
        <v/>
      </c>
      <c r="K497" s="27">
        <f>IF($P497="","",IF(INDEX(EntryMan,$P497)=0,"",INDEX(EntryMan,$P497)))</f>
        <v/>
      </c>
      <c r="L497" s="26">
        <f>IF($B497="","",IF($K497="","—",IF(ROUND($K497-$J497,0)=0,"√","×")))</f>
        <v/>
      </c>
      <c r="M497" s="26">
        <f>IF($B497="","",IF(COUNTIFS(EntryDates,$B497,CalcTime,$C497,CalcBank,$C$5,EntryParty,$D497,EntryDep,$H497,EntryWit,$I497)&gt;1,"تکرار",""))</f>
        <v/>
      </c>
      <c r="N497" s="26">
        <f>IF($P497="","",IF(INDEX(EntryNotes,$P497)=0,"",INDEX(EntryNotes,$P497)))</f>
        <v/>
      </c>
      <c r="O497" s="26">
        <f>IF($P497="","",IF(INDEX(EntryTxnID,$P497)=0,"",INDEX(EntryTxnID,$P497)))</f>
        <v/>
      </c>
      <c r="P497" s="26">
        <f>IFERROR(MATCH($C$5&amp;"|"&amp;RIGHT("000000"&amp;481,6),CalcRankKey,0),"")</f>
        <v/>
      </c>
    </row>
    <row r="498">
      <c r="A498" s="28">
        <f>IF($B498="","",482)</f>
        <v/>
      </c>
      <c r="B498" s="28">
        <f>IF($P498="","",IF(INDEX(CalcNormDate,$P498)=0,"",INDEX(CalcNormDate,$P498)))</f>
        <v/>
      </c>
      <c r="C498" s="28">
        <f>IF($P498="","",IF(INDEX(CalcTime,$P498)=0,"",INDEX(CalcTime,$P498)))</f>
        <v/>
      </c>
      <c r="D498" s="28">
        <f>IF($P498="","",IF(INDEX(EntryParty,$P498)=0,"",INDEX(EntryParty,$P498)))</f>
        <v/>
      </c>
      <c r="E498" s="28">
        <f>IF($P498="","",IF(INDEX(EntryPartyName,$P498)=0,"",INDEX(EntryPartyName,$P498)))</f>
        <v/>
      </c>
      <c r="F498" s="28">
        <f>IF($P498="","",IF(INDEX(EntryPartyType,$P498)=0,"",INDEX(EntryPartyType,$P498)))</f>
        <v/>
      </c>
      <c r="G498" s="28">
        <f>IF($P498="","",IF(INDEX(EntryTxnType,$P498)=0,"",INDEX(EntryTxnType,$P498)))</f>
        <v/>
      </c>
      <c r="H498" s="29">
        <f>IF($P498="","",IF(INDEX(EntryDep,$P498)=0,"",INDEX(EntryDep,$P498)))</f>
        <v/>
      </c>
      <c r="I498" s="29">
        <f>IF($P498="","",IF(INDEX(EntryWit,$P498)=0,"",INDEX(EntryWit,$P498)))</f>
        <v/>
      </c>
      <c r="J498" s="29">
        <f>IF($B498="","",IF($A498=1,$C$7,IF(J497="",0,J497))+IF($H498="",0,$H498)-IF($I498="",0,$I498))</f>
        <v/>
      </c>
      <c r="K498" s="29">
        <f>IF($P498="","",IF(INDEX(EntryMan,$P498)=0,"",INDEX(EntryMan,$P498)))</f>
        <v/>
      </c>
      <c r="L498" s="28">
        <f>IF($B498="","",IF($K498="","—",IF(ROUND($K498-$J498,0)=0,"√","×")))</f>
        <v/>
      </c>
      <c r="M498" s="28">
        <f>IF($B498="","",IF(COUNTIFS(EntryDates,$B498,CalcTime,$C498,CalcBank,$C$5,EntryParty,$D498,EntryDep,$H498,EntryWit,$I498)&gt;1,"تکرار",""))</f>
        <v/>
      </c>
      <c r="N498" s="28">
        <f>IF($P498="","",IF(INDEX(EntryNotes,$P498)=0,"",INDEX(EntryNotes,$P498)))</f>
        <v/>
      </c>
      <c r="O498" s="28">
        <f>IF($P498="","",IF(INDEX(EntryTxnID,$P498)=0,"",INDEX(EntryTxnID,$P498)))</f>
        <v/>
      </c>
      <c r="P498" s="28">
        <f>IFERROR(MATCH($C$5&amp;"|"&amp;RIGHT("000000"&amp;482,6),CalcRankKey,0),"")</f>
        <v/>
      </c>
    </row>
    <row r="499">
      <c r="A499" s="26">
        <f>IF($B499="","",483)</f>
        <v/>
      </c>
      <c r="B499" s="26">
        <f>IF($P499="","",IF(INDEX(CalcNormDate,$P499)=0,"",INDEX(CalcNormDate,$P499)))</f>
        <v/>
      </c>
      <c r="C499" s="26">
        <f>IF($P499="","",IF(INDEX(CalcTime,$P499)=0,"",INDEX(CalcTime,$P499)))</f>
        <v/>
      </c>
      <c r="D499" s="26">
        <f>IF($P499="","",IF(INDEX(EntryParty,$P499)=0,"",INDEX(EntryParty,$P499)))</f>
        <v/>
      </c>
      <c r="E499" s="26">
        <f>IF($P499="","",IF(INDEX(EntryPartyName,$P499)=0,"",INDEX(EntryPartyName,$P499)))</f>
        <v/>
      </c>
      <c r="F499" s="26">
        <f>IF($P499="","",IF(INDEX(EntryPartyType,$P499)=0,"",INDEX(EntryPartyType,$P499)))</f>
        <v/>
      </c>
      <c r="G499" s="26">
        <f>IF($P499="","",IF(INDEX(EntryTxnType,$P499)=0,"",INDEX(EntryTxnType,$P499)))</f>
        <v/>
      </c>
      <c r="H499" s="27">
        <f>IF($P499="","",IF(INDEX(EntryDep,$P499)=0,"",INDEX(EntryDep,$P499)))</f>
        <v/>
      </c>
      <c r="I499" s="27">
        <f>IF($P499="","",IF(INDEX(EntryWit,$P499)=0,"",INDEX(EntryWit,$P499)))</f>
        <v/>
      </c>
      <c r="J499" s="27">
        <f>IF($B499="","",IF($A499=1,$C$7,IF(J498="",0,J498))+IF($H499="",0,$H499)-IF($I499="",0,$I499))</f>
        <v/>
      </c>
      <c r="K499" s="27">
        <f>IF($P499="","",IF(INDEX(EntryMan,$P499)=0,"",INDEX(EntryMan,$P499)))</f>
        <v/>
      </c>
      <c r="L499" s="26">
        <f>IF($B499="","",IF($K499="","—",IF(ROUND($K499-$J499,0)=0,"√","×")))</f>
        <v/>
      </c>
      <c r="M499" s="26">
        <f>IF($B499="","",IF(COUNTIFS(EntryDates,$B499,CalcTime,$C499,CalcBank,$C$5,EntryParty,$D499,EntryDep,$H499,EntryWit,$I499)&gt;1,"تکرار",""))</f>
        <v/>
      </c>
      <c r="N499" s="26">
        <f>IF($P499="","",IF(INDEX(EntryNotes,$P499)=0,"",INDEX(EntryNotes,$P499)))</f>
        <v/>
      </c>
      <c r="O499" s="26">
        <f>IF($P499="","",IF(INDEX(EntryTxnID,$P499)=0,"",INDEX(EntryTxnID,$P499)))</f>
        <v/>
      </c>
      <c r="P499" s="26">
        <f>IFERROR(MATCH($C$5&amp;"|"&amp;RIGHT("000000"&amp;483,6),CalcRankKey,0),"")</f>
        <v/>
      </c>
    </row>
    <row r="500">
      <c r="A500" s="28">
        <f>IF($B500="","",484)</f>
        <v/>
      </c>
      <c r="B500" s="28">
        <f>IF($P500="","",IF(INDEX(CalcNormDate,$P500)=0,"",INDEX(CalcNormDate,$P500)))</f>
        <v/>
      </c>
      <c r="C500" s="28">
        <f>IF($P500="","",IF(INDEX(CalcTime,$P500)=0,"",INDEX(CalcTime,$P500)))</f>
        <v/>
      </c>
      <c r="D500" s="28">
        <f>IF($P500="","",IF(INDEX(EntryParty,$P500)=0,"",INDEX(EntryParty,$P500)))</f>
        <v/>
      </c>
      <c r="E500" s="28">
        <f>IF($P500="","",IF(INDEX(EntryPartyName,$P500)=0,"",INDEX(EntryPartyName,$P500)))</f>
        <v/>
      </c>
      <c r="F500" s="28">
        <f>IF($P500="","",IF(INDEX(EntryPartyType,$P500)=0,"",INDEX(EntryPartyType,$P500)))</f>
        <v/>
      </c>
      <c r="G500" s="28">
        <f>IF($P500="","",IF(INDEX(EntryTxnType,$P500)=0,"",INDEX(EntryTxnType,$P500)))</f>
        <v/>
      </c>
      <c r="H500" s="29">
        <f>IF($P500="","",IF(INDEX(EntryDep,$P500)=0,"",INDEX(EntryDep,$P500)))</f>
        <v/>
      </c>
      <c r="I500" s="29">
        <f>IF($P500="","",IF(INDEX(EntryWit,$P500)=0,"",INDEX(EntryWit,$P500)))</f>
        <v/>
      </c>
      <c r="J500" s="29">
        <f>IF($B500="","",IF($A500=1,$C$7,IF(J499="",0,J499))+IF($H500="",0,$H500)-IF($I500="",0,$I500))</f>
        <v/>
      </c>
      <c r="K500" s="29">
        <f>IF($P500="","",IF(INDEX(EntryMan,$P500)=0,"",INDEX(EntryMan,$P500)))</f>
        <v/>
      </c>
      <c r="L500" s="28">
        <f>IF($B500="","",IF($K500="","—",IF(ROUND($K500-$J500,0)=0,"√","×")))</f>
        <v/>
      </c>
      <c r="M500" s="28">
        <f>IF($B500="","",IF(COUNTIFS(EntryDates,$B500,CalcTime,$C500,CalcBank,$C$5,EntryParty,$D500,EntryDep,$H500,EntryWit,$I500)&gt;1,"تکرار",""))</f>
        <v/>
      </c>
      <c r="N500" s="28">
        <f>IF($P500="","",IF(INDEX(EntryNotes,$P500)=0,"",INDEX(EntryNotes,$P500)))</f>
        <v/>
      </c>
      <c r="O500" s="28">
        <f>IF($P500="","",IF(INDEX(EntryTxnID,$P500)=0,"",INDEX(EntryTxnID,$P500)))</f>
        <v/>
      </c>
      <c r="P500" s="28">
        <f>IFERROR(MATCH($C$5&amp;"|"&amp;RIGHT("000000"&amp;484,6),CalcRankKey,0),"")</f>
        <v/>
      </c>
    </row>
    <row r="501">
      <c r="A501" s="26">
        <f>IF($B501="","",485)</f>
        <v/>
      </c>
      <c r="B501" s="26">
        <f>IF($P501="","",IF(INDEX(CalcNormDate,$P501)=0,"",INDEX(CalcNormDate,$P501)))</f>
        <v/>
      </c>
      <c r="C501" s="26">
        <f>IF($P501="","",IF(INDEX(CalcTime,$P501)=0,"",INDEX(CalcTime,$P501)))</f>
        <v/>
      </c>
      <c r="D501" s="26">
        <f>IF($P501="","",IF(INDEX(EntryParty,$P501)=0,"",INDEX(EntryParty,$P501)))</f>
        <v/>
      </c>
      <c r="E501" s="26">
        <f>IF($P501="","",IF(INDEX(EntryPartyName,$P501)=0,"",INDEX(EntryPartyName,$P501)))</f>
        <v/>
      </c>
      <c r="F501" s="26">
        <f>IF($P501="","",IF(INDEX(EntryPartyType,$P501)=0,"",INDEX(EntryPartyType,$P501)))</f>
        <v/>
      </c>
      <c r="G501" s="26">
        <f>IF($P501="","",IF(INDEX(EntryTxnType,$P501)=0,"",INDEX(EntryTxnType,$P501)))</f>
        <v/>
      </c>
      <c r="H501" s="27">
        <f>IF($P501="","",IF(INDEX(EntryDep,$P501)=0,"",INDEX(EntryDep,$P501)))</f>
        <v/>
      </c>
      <c r="I501" s="27">
        <f>IF($P501="","",IF(INDEX(EntryWit,$P501)=0,"",INDEX(EntryWit,$P501)))</f>
        <v/>
      </c>
      <c r="J501" s="27">
        <f>IF($B501="","",IF($A501=1,$C$7,IF(J500="",0,J500))+IF($H501="",0,$H501)-IF($I501="",0,$I501))</f>
        <v/>
      </c>
      <c r="K501" s="27">
        <f>IF($P501="","",IF(INDEX(EntryMan,$P501)=0,"",INDEX(EntryMan,$P501)))</f>
        <v/>
      </c>
      <c r="L501" s="26">
        <f>IF($B501="","",IF($K501="","—",IF(ROUND($K501-$J501,0)=0,"√","×")))</f>
        <v/>
      </c>
      <c r="M501" s="26">
        <f>IF($B501="","",IF(COUNTIFS(EntryDates,$B501,CalcTime,$C501,CalcBank,$C$5,EntryParty,$D501,EntryDep,$H501,EntryWit,$I501)&gt;1,"تکرار",""))</f>
        <v/>
      </c>
      <c r="N501" s="26">
        <f>IF($P501="","",IF(INDEX(EntryNotes,$P501)=0,"",INDEX(EntryNotes,$P501)))</f>
        <v/>
      </c>
      <c r="O501" s="26">
        <f>IF($P501="","",IF(INDEX(EntryTxnID,$P501)=0,"",INDEX(EntryTxnID,$P501)))</f>
        <v/>
      </c>
      <c r="P501" s="26">
        <f>IFERROR(MATCH($C$5&amp;"|"&amp;RIGHT("000000"&amp;485,6),CalcRankKey,0),"")</f>
        <v/>
      </c>
    </row>
    <row r="502">
      <c r="A502" s="28">
        <f>IF($B502="","",486)</f>
        <v/>
      </c>
      <c r="B502" s="28">
        <f>IF($P502="","",IF(INDEX(CalcNormDate,$P502)=0,"",INDEX(CalcNormDate,$P502)))</f>
        <v/>
      </c>
      <c r="C502" s="28">
        <f>IF($P502="","",IF(INDEX(CalcTime,$P502)=0,"",INDEX(CalcTime,$P502)))</f>
        <v/>
      </c>
      <c r="D502" s="28">
        <f>IF($P502="","",IF(INDEX(EntryParty,$P502)=0,"",INDEX(EntryParty,$P502)))</f>
        <v/>
      </c>
      <c r="E502" s="28">
        <f>IF($P502="","",IF(INDEX(EntryPartyName,$P502)=0,"",INDEX(EntryPartyName,$P502)))</f>
        <v/>
      </c>
      <c r="F502" s="28">
        <f>IF($P502="","",IF(INDEX(EntryPartyType,$P502)=0,"",INDEX(EntryPartyType,$P502)))</f>
        <v/>
      </c>
      <c r="G502" s="28">
        <f>IF($P502="","",IF(INDEX(EntryTxnType,$P502)=0,"",INDEX(EntryTxnType,$P502)))</f>
        <v/>
      </c>
      <c r="H502" s="29">
        <f>IF($P502="","",IF(INDEX(EntryDep,$P502)=0,"",INDEX(EntryDep,$P502)))</f>
        <v/>
      </c>
      <c r="I502" s="29">
        <f>IF($P502="","",IF(INDEX(EntryWit,$P502)=0,"",INDEX(EntryWit,$P502)))</f>
        <v/>
      </c>
      <c r="J502" s="29">
        <f>IF($B502="","",IF($A502=1,$C$7,IF(J501="",0,J501))+IF($H502="",0,$H502)-IF($I502="",0,$I502))</f>
        <v/>
      </c>
      <c r="K502" s="29">
        <f>IF($P502="","",IF(INDEX(EntryMan,$P502)=0,"",INDEX(EntryMan,$P502)))</f>
        <v/>
      </c>
      <c r="L502" s="28">
        <f>IF($B502="","",IF($K502="","—",IF(ROUND($K502-$J502,0)=0,"√","×")))</f>
        <v/>
      </c>
      <c r="M502" s="28">
        <f>IF($B502="","",IF(COUNTIFS(EntryDates,$B502,CalcTime,$C502,CalcBank,$C$5,EntryParty,$D502,EntryDep,$H502,EntryWit,$I502)&gt;1,"تکرار",""))</f>
        <v/>
      </c>
      <c r="N502" s="28">
        <f>IF($P502="","",IF(INDEX(EntryNotes,$P502)=0,"",INDEX(EntryNotes,$P502)))</f>
        <v/>
      </c>
      <c r="O502" s="28">
        <f>IF($P502="","",IF(INDEX(EntryTxnID,$P502)=0,"",INDEX(EntryTxnID,$P502)))</f>
        <v/>
      </c>
      <c r="P502" s="28">
        <f>IFERROR(MATCH($C$5&amp;"|"&amp;RIGHT("000000"&amp;486,6),CalcRankKey,0),"")</f>
        <v/>
      </c>
    </row>
    <row r="503">
      <c r="A503" s="26">
        <f>IF($B503="","",487)</f>
        <v/>
      </c>
      <c r="B503" s="26">
        <f>IF($P503="","",IF(INDEX(CalcNormDate,$P503)=0,"",INDEX(CalcNormDate,$P503)))</f>
        <v/>
      </c>
      <c r="C503" s="26">
        <f>IF($P503="","",IF(INDEX(CalcTime,$P503)=0,"",INDEX(CalcTime,$P503)))</f>
        <v/>
      </c>
      <c r="D503" s="26">
        <f>IF($P503="","",IF(INDEX(EntryParty,$P503)=0,"",INDEX(EntryParty,$P503)))</f>
        <v/>
      </c>
      <c r="E503" s="26">
        <f>IF($P503="","",IF(INDEX(EntryPartyName,$P503)=0,"",INDEX(EntryPartyName,$P503)))</f>
        <v/>
      </c>
      <c r="F503" s="26">
        <f>IF($P503="","",IF(INDEX(EntryPartyType,$P503)=0,"",INDEX(EntryPartyType,$P503)))</f>
        <v/>
      </c>
      <c r="G503" s="26">
        <f>IF($P503="","",IF(INDEX(EntryTxnType,$P503)=0,"",INDEX(EntryTxnType,$P503)))</f>
        <v/>
      </c>
      <c r="H503" s="27">
        <f>IF($P503="","",IF(INDEX(EntryDep,$P503)=0,"",INDEX(EntryDep,$P503)))</f>
        <v/>
      </c>
      <c r="I503" s="27">
        <f>IF($P503="","",IF(INDEX(EntryWit,$P503)=0,"",INDEX(EntryWit,$P503)))</f>
        <v/>
      </c>
      <c r="J503" s="27">
        <f>IF($B503="","",IF($A503=1,$C$7,IF(J502="",0,J502))+IF($H503="",0,$H503)-IF($I503="",0,$I503))</f>
        <v/>
      </c>
      <c r="K503" s="27">
        <f>IF($P503="","",IF(INDEX(EntryMan,$P503)=0,"",INDEX(EntryMan,$P503)))</f>
        <v/>
      </c>
      <c r="L503" s="26">
        <f>IF($B503="","",IF($K503="","—",IF(ROUND($K503-$J503,0)=0,"√","×")))</f>
        <v/>
      </c>
      <c r="M503" s="26">
        <f>IF($B503="","",IF(COUNTIFS(EntryDates,$B503,CalcTime,$C503,CalcBank,$C$5,EntryParty,$D503,EntryDep,$H503,EntryWit,$I503)&gt;1,"تکرار",""))</f>
        <v/>
      </c>
      <c r="N503" s="26">
        <f>IF($P503="","",IF(INDEX(EntryNotes,$P503)=0,"",INDEX(EntryNotes,$P503)))</f>
        <v/>
      </c>
      <c r="O503" s="26">
        <f>IF($P503="","",IF(INDEX(EntryTxnID,$P503)=0,"",INDEX(EntryTxnID,$P503)))</f>
        <v/>
      </c>
      <c r="P503" s="26">
        <f>IFERROR(MATCH($C$5&amp;"|"&amp;RIGHT("000000"&amp;487,6),CalcRankKey,0),"")</f>
        <v/>
      </c>
    </row>
    <row r="504">
      <c r="A504" s="28">
        <f>IF($B504="","",488)</f>
        <v/>
      </c>
      <c r="B504" s="28">
        <f>IF($P504="","",IF(INDEX(CalcNormDate,$P504)=0,"",INDEX(CalcNormDate,$P504)))</f>
        <v/>
      </c>
      <c r="C504" s="28">
        <f>IF($P504="","",IF(INDEX(CalcTime,$P504)=0,"",INDEX(CalcTime,$P504)))</f>
        <v/>
      </c>
      <c r="D504" s="28">
        <f>IF($P504="","",IF(INDEX(EntryParty,$P504)=0,"",INDEX(EntryParty,$P504)))</f>
        <v/>
      </c>
      <c r="E504" s="28">
        <f>IF($P504="","",IF(INDEX(EntryPartyName,$P504)=0,"",INDEX(EntryPartyName,$P504)))</f>
        <v/>
      </c>
      <c r="F504" s="28">
        <f>IF($P504="","",IF(INDEX(EntryPartyType,$P504)=0,"",INDEX(EntryPartyType,$P504)))</f>
        <v/>
      </c>
      <c r="G504" s="28">
        <f>IF($P504="","",IF(INDEX(EntryTxnType,$P504)=0,"",INDEX(EntryTxnType,$P504)))</f>
        <v/>
      </c>
      <c r="H504" s="29">
        <f>IF($P504="","",IF(INDEX(EntryDep,$P504)=0,"",INDEX(EntryDep,$P504)))</f>
        <v/>
      </c>
      <c r="I504" s="29">
        <f>IF($P504="","",IF(INDEX(EntryWit,$P504)=0,"",INDEX(EntryWit,$P504)))</f>
        <v/>
      </c>
      <c r="J504" s="29">
        <f>IF($B504="","",IF($A504=1,$C$7,IF(J503="",0,J503))+IF($H504="",0,$H504)-IF($I504="",0,$I504))</f>
        <v/>
      </c>
      <c r="K504" s="29">
        <f>IF($P504="","",IF(INDEX(EntryMan,$P504)=0,"",INDEX(EntryMan,$P504)))</f>
        <v/>
      </c>
      <c r="L504" s="28">
        <f>IF($B504="","",IF($K504="","—",IF(ROUND($K504-$J504,0)=0,"√","×")))</f>
        <v/>
      </c>
      <c r="M504" s="28">
        <f>IF($B504="","",IF(COUNTIFS(EntryDates,$B504,CalcTime,$C504,CalcBank,$C$5,EntryParty,$D504,EntryDep,$H504,EntryWit,$I504)&gt;1,"تکرار",""))</f>
        <v/>
      </c>
      <c r="N504" s="28">
        <f>IF($P504="","",IF(INDEX(EntryNotes,$P504)=0,"",INDEX(EntryNotes,$P504)))</f>
        <v/>
      </c>
      <c r="O504" s="28">
        <f>IF($P504="","",IF(INDEX(EntryTxnID,$P504)=0,"",INDEX(EntryTxnID,$P504)))</f>
        <v/>
      </c>
      <c r="P504" s="28">
        <f>IFERROR(MATCH($C$5&amp;"|"&amp;RIGHT("000000"&amp;488,6),CalcRankKey,0),"")</f>
        <v/>
      </c>
    </row>
    <row r="505">
      <c r="A505" s="26">
        <f>IF($B505="","",489)</f>
        <v/>
      </c>
      <c r="B505" s="26">
        <f>IF($P505="","",IF(INDEX(CalcNormDate,$P505)=0,"",INDEX(CalcNormDate,$P505)))</f>
        <v/>
      </c>
      <c r="C505" s="26">
        <f>IF($P505="","",IF(INDEX(CalcTime,$P505)=0,"",INDEX(CalcTime,$P505)))</f>
        <v/>
      </c>
      <c r="D505" s="26">
        <f>IF($P505="","",IF(INDEX(EntryParty,$P505)=0,"",INDEX(EntryParty,$P505)))</f>
        <v/>
      </c>
      <c r="E505" s="26">
        <f>IF($P505="","",IF(INDEX(EntryPartyName,$P505)=0,"",INDEX(EntryPartyName,$P505)))</f>
        <v/>
      </c>
      <c r="F505" s="26">
        <f>IF($P505="","",IF(INDEX(EntryPartyType,$P505)=0,"",INDEX(EntryPartyType,$P505)))</f>
        <v/>
      </c>
      <c r="G505" s="26">
        <f>IF($P505="","",IF(INDEX(EntryTxnType,$P505)=0,"",INDEX(EntryTxnType,$P505)))</f>
        <v/>
      </c>
      <c r="H505" s="27">
        <f>IF($P505="","",IF(INDEX(EntryDep,$P505)=0,"",INDEX(EntryDep,$P505)))</f>
        <v/>
      </c>
      <c r="I505" s="27">
        <f>IF($P505="","",IF(INDEX(EntryWit,$P505)=0,"",INDEX(EntryWit,$P505)))</f>
        <v/>
      </c>
      <c r="J505" s="27">
        <f>IF($B505="","",IF($A505=1,$C$7,IF(J504="",0,J504))+IF($H505="",0,$H505)-IF($I505="",0,$I505))</f>
        <v/>
      </c>
      <c r="K505" s="27">
        <f>IF($P505="","",IF(INDEX(EntryMan,$P505)=0,"",INDEX(EntryMan,$P505)))</f>
        <v/>
      </c>
      <c r="L505" s="26">
        <f>IF($B505="","",IF($K505="","—",IF(ROUND($K505-$J505,0)=0,"√","×")))</f>
        <v/>
      </c>
      <c r="M505" s="26">
        <f>IF($B505="","",IF(COUNTIFS(EntryDates,$B505,CalcTime,$C505,CalcBank,$C$5,EntryParty,$D505,EntryDep,$H505,EntryWit,$I505)&gt;1,"تکرار",""))</f>
        <v/>
      </c>
      <c r="N505" s="26">
        <f>IF($P505="","",IF(INDEX(EntryNotes,$P505)=0,"",INDEX(EntryNotes,$P505)))</f>
        <v/>
      </c>
      <c r="O505" s="26">
        <f>IF($P505="","",IF(INDEX(EntryTxnID,$P505)=0,"",INDEX(EntryTxnID,$P505)))</f>
        <v/>
      </c>
      <c r="P505" s="26">
        <f>IFERROR(MATCH($C$5&amp;"|"&amp;RIGHT("000000"&amp;489,6),CalcRankKey,0),"")</f>
        <v/>
      </c>
    </row>
    <row r="506">
      <c r="A506" s="28">
        <f>IF($B506="","",490)</f>
        <v/>
      </c>
      <c r="B506" s="28">
        <f>IF($P506="","",IF(INDEX(CalcNormDate,$P506)=0,"",INDEX(CalcNormDate,$P506)))</f>
        <v/>
      </c>
      <c r="C506" s="28">
        <f>IF($P506="","",IF(INDEX(CalcTime,$P506)=0,"",INDEX(CalcTime,$P506)))</f>
        <v/>
      </c>
      <c r="D506" s="28">
        <f>IF($P506="","",IF(INDEX(EntryParty,$P506)=0,"",INDEX(EntryParty,$P506)))</f>
        <v/>
      </c>
      <c r="E506" s="28">
        <f>IF($P506="","",IF(INDEX(EntryPartyName,$P506)=0,"",INDEX(EntryPartyName,$P506)))</f>
        <v/>
      </c>
      <c r="F506" s="28">
        <f>IF($P506="","",IF(INDEX(EntryPartyType,$P506)=0,"",INDEX(EntryPartyType,$P506)))</f>
        <v/>
      </c>
      <c r="G506" s="28">
        <f>IF($P506="","",IF(INDEX(EntryTxnType,$P506)=0,"",INDEX(EntryTxnType,$P506)))</f>
        <v/>
      </c>
      <c r="H506" s="29">
        <f>IF($P506="","",IF(INDEX(EntryDep,$P506)=0,"",INDEX(EntryDep,$P506)))</f>
        <v/>
      </c>
      <c r="I506" s="29">
        <f>IF($P506="","",IF(INDEX(EntryWit,$P506)=0,"",INDEX(EntryWit,$P506)))</f>
        <v/>
      </c>
      <c r="J506" s="29">
        <f>IF($B506="","",IF($A506=1,$C$7,IF(J505="",0,J505))+IF($H506="",0,$H506)-IF($I506="",0,$I506))</f>
        <v/>
      </c>
      <c r="K506" s="29">
        <f>IF($P506="","",IF(INDEX(EntryMan,$P506)=0,"",INDEX(EntryMan,$P506)))</f>
        <v/>
      </c>
      <c r="L506" s="28">
        <f>IF($B506="","",IF($K506="","—",IF(ROUND($K506-$J506,0)=0,"√","×")))</f>
        <v/>
      </c>
      <c r="M506" s="28">
        <f>IF($B506="","",IF(COUNTIFS(EntryDates,$B506,CalcTime,$C506,CalcBank,$C$5,EntryParty,$D506,EntryDep,$H506,EntryWit,$I506)&gt;1,"تکرار",""))</f>
        <v/>
      </c>
      <c r="N506" s="28">
        <f>IF($P506="","",IF(INDEX(EntryNotes,$P506)=0,"",INDEX(EntryNotes,$P506)))</f>
        <v/>
      </c>
      <c r="O506" s="28">
        <f>IF($P506="","",IF(INDEX(EntryTxnID,$P506)=0,"",INDEX(EntryTxnID,$P506)))</f>
        <v/>
      </c>
      <c r="P506" s="28">
        <f>IFERROR(MATCH($C$5&amp;"|"&amp;RIGHT("000000"&amp;490,6),CalcRankKey,0),"")</f>
        <v/>
      </c>
    </row>
    <row r="507">
      <c r="A507" s="26">
        <f>IF($B507="","",491)</f>
        <v/>
      </c>
      <c r="B507" s="26">
        <f>IF($P507="","",IF(INDEX(CalcNormDate,$P507)=0,"",INDEX(CalcNormDate,$P507)))</f>
        <v/>
      </c>
      <c r="C507" s="26">
        <f>IF($P507="","",IF(INDEX(CalcTime,$P507)=0,"",INDEX(CalcTime,$P507)))</f>
        <v/>
      </c>
      <c r="D507" s="26">
        <f>IF($P507="","",IF(INDEX(EntryParty,$P507)=0,"",INDEX(EntryParty,$P507)))</f>
        <v/>
      </c>
      <c r="E507" s="26">
        <f>IF($P507="","",IF(INDEX(EntryPartyName,$P507)=0,"",INDEX(EntryPartyName,$P507)))</f>
        <v/>
      </c>
      <c r="F507" s="26">
        <f>IF($P507="","",IF(INDEX(EntryPartyType,$P507)=0,"",INDEX(EntryPartyType,$P507)))</f>
        <v/>
      </c>
      <c r="G507" s="26">
        <f>IF($P507="","",IF(INDEX(EntryTxnType,$P507)=0,"",INDEX(EntryTxnType,$P507)))</f>
        <v/>
      </c>
      <c r="H507" s="27">
        <f>IF($P507="","",IF(INDEX(EntryDep,$P507)=0,"",INDEX(EntryDep,$P507)))</f>
        <v/>
      </c>
      <c r="I507" s="27">
        <f>IF($P507="","",IF(INDEX(EntryWit,$P507)=0,"",INDEX(EntryWit,$P507)))</f>
        <v/>
      </c>
      <c r="J507" s="27">
        <f>IF($B507="","",IF($A507=1,$C$7,IF(J506="",0,J506))+IF($H507="",0,$H507)-IF($I507="",0,$I507))</f>
        <v/>
      </c>
      <c r="K507" s="27">
        <f>IF($P507="","",IF(INDEX(EntryMan,$P507)=0,"",INDEX(EntryMan,$P507)))</f>
        <v/>
      </c>
      <c r="L507" s="26">
        <f>IF($B507="","",IF($K507="","—",IF(ROUND($K507-$J507,0)=0,"√","×")))</f>
        <v/>
      </c>
      <c r="M507" s="26">
        <f>IF($B507="","",IF(COUNTIFS(EntryDates,$B507,CalcTime,$C507,CalcBank,$C$5,EntryParty,$D507,EntryDep,$H507,EntryWit,$I507)&gt;1,"تکرار",""))</f>
        <v/>
      </c>
      <c r="N507" s="26">
        <f>IF($P507="","",IF(INDEX(EntryNotes,$P507)=0,"",INDEX(EntryNotes,$P507)))</f>
        <v/>
      </c>
      <c r="O507" s="26">
        <f>IF($P507="","",IF(INDEX(EntryTxnID,$P507)=0,"",INDEX(EntryTxnID,$P507)))</f>
        <v/>
      </c>
      <c r="P507" s="26">
        <f>IFERROR(MATCH($C$5&amp;"|"&amp;RIGHT("000000"&amp;491,6),CalcRankKey,0),"")</f>
        <v/>
      </c>
    </row>
    <row r="508">
      <c r="A508" s="28">
        <f>IF($B508="","",492)</f>
        <v/>
      </c>
      <c r="B508" s="28">
        <f>IF($P508="","",IF(INDEX(CalcNormDate,$P508)=0,"",INDEX(CalcNormDate,$P508)))</f>
        <v/>
      </c>
      <c r="C508" s="28">
        <f>IF($P508="","",IF(INDEX(CalcTime,$P508)=0,"",INDEX(CalcTime,$P508)))</f>
        <v/>
      </c>
      <c r="D508" s="28">
        <f>IF($P508="","",IF(INDEX(EntryParty,$P508)=0,"",INDEX(EntryParty,$P508)))</f>
        <v/>
      </c>
      <c r="E508" s="28">
        <f>IF($P508="","",IF(INDEX(EntryPartyName,$P508)=0,"",INDEX(EntryPartyName,$P508)))</f>
        <v/>
      </c>
      <c r="F508" s="28">
        <f>IF($P508="","",IF(INDEX(EntryPartyType,$P508)=0,"",INDEX(EntryPartyType,$P508)))</f>
        <v/>
      </c>
      <c r="G508" s="28">
        <f>IF($P508="","",IF(INDEX(EntryTxnType,$P508)=0,"",INDEX(EntryTxnType,$P508)))</f>
        <v/>
      </c>
      <c r="H508" s="29">
        <f>IF($P508="","",IF(INDEX(EntryDep,$P508)=0,"",INDEX(EntryDep,$P508)))</f>
        <v/>
      </c>
      <c r="I508" s="29">
        <f>IF($P508="","",IF(INDEX(EntryWit,$P508)=0,"",INDEX(EntryWit,$P508)))</f>
        <v/>
      </c>
      <c r="J508" s="29">
        <f>IF($B508="","",IF($A508=1,$C$7,IF(J507="",0,J507))+IF($H508="",0,$H508)-IF($I508="",0,$I508))</f>
        <v/>
      </c>
      <c r="K508" s="29">
        <f>IF($P508="","",IF(INDEX(EntryMan,$P508)=0,"",INDEX(EntryMan,$P508)))</f>
        <v/>
      </c>
      <c r="L508" s="28">
        <f>IF($B508="","",IF($K508="","—",IF(ROUND($K508-$J508,0)=0,"√","×")))</f>
        <v/>
      </c>
      <c r="M508" s="28">
        <f>IF($B508="","",IF(COUNTIFS(EntryDates,$B508,CalcTime,$C508,CalcBank,$C$5,EntryParty,$D508,EntryDep,$H508,EntryWit,$I508)&gt;1,"تکرار",""))</f>
        <v/>
      </c>
      <c r="N508" s="28">
        <f>IF($P508="","",IF(INDEX(EntryNotes,$P508)=0,"",INDEX(EntryNotes,$P508)))</f>
        <v/>
      </c>
      <c r="O508" s="28">
        <f>IF($P508="","",IF(INDEX(EntryTxnID,$P508)=0,"",INDEX(EntryTxnID,$P508)))</f>
        <v/>
      </c>
      <c r="P508" s="28">
        <f>IFERROR(MATCH($C$5&amp;"|"&amp;RIGHT("000000"&amp;492,6),CalcRankKey,0),"")</f>
        <v/>
      </c>
    </row>
    <row r="509">
      <c r="A509" s="26">
        <f>IF($B509="","",493)</f>
        <v/>
      </c>
      <c r="B509" s="26">
        <f>IF($P509="","",IF(INDEX(CalcNormDate,$P509)=0,"",INDEX(CalcNormDate,$P509)))</f>
        <v/>
      </c>
      <c r="C509" s="26">
        <f>IF($P509="","",IF(INDEX(CalcTime,$P509)=0,"",INDEX(CalcTime,$P509)))</f>
        <v/>
      </c>
      <c r="D509" s="26">
        <f>IF($P509="","",IF(INDEX(EntryParty,$P509)=0,"",INDEX(EntryParty,$P509)))</f>
        <v/>
      </c>
      <c r="E509" s="26">
        <f>IF($P509="","",IF(INDEX(EntryPartyName,$P509)=0,"",INDEX(EntryPartyName,$P509)))</f>
        <v/>
      </c>
      <c r="F509" s="26">
        <f>IF($P509="","",IF(INDEX(EntryPartyType,$P509)=0,"",INDEX(EntryPartyType,$P509)))</f>
        <v/>
      </c>
      <c r="G509" s="26">
        <f>IF($P509="","",IF(INDEX(EntryTxnType,$P509)=0,"",INDEX(EntryTxnType,$P509)))</f>
        <v/>
      </c>
      <c r="H509" s="27">
        <f>IF($P509="","",IF(INDEX(EntryDep,$P509)=0,"",INDEX(EntryDep,$P509)))</f>
        <v/>
      </c>
      <c r="I509" s="27">
        <f>IF($P509="","",IF(INDEX(EntryWit,$P509)=0,"",INDEX(EntryWit,$P509)))</f>
        <v/>
      </c>
      <c r="J509" s="27">
        <f>IF($B509="","",IF($A509=1,$C$7,IF(J508="",0,J508))+IF($H509="",0,$H509)-IF($I509="",0,$I509))</f>
        <v/>
      </c>
      <c r="K509" s="27">
        <f>IF($P509="","",IF(INDEX(EntryMan,$P509)=0,"",INDEX(EntryMan,$P509)))</f>
        <v/>
      </c>
      <c r="L509" s="26">
        <f>IF($B509="","",IF($K509="","—",IF(ROUND($K509-$J509,0)=0,"√","×")))</f>
        <v/>
      </c>
      <c r="M509" s="26">
        <f>IF($B509="","",IF(COUNTIFS(EntryDates,$B509,CalcTime,$C509,CalcBank,$C$5,EntryParty,$D509,EntryDep,$H509,EntryWit,$I509)&gt;1,"تکرار",""))</f>
        <v/>
      </c>
      <c r="N509" s="26">
        <f>IF($P509="","",IF(INDEX(EntryNotes,$P509)=0,"",INDEX(EntryNotes,$P509)))</f>
        <v/>
      </c>
      <c r="O509" s="26">
        <f>IF($P509="","",IF(INDEX(EntryTxnID,$P509)=0,"",INDEX(EntryTxnID,$P509)))</f>
        <v/>
      </c>
      <c r="P509" s="26">
        <f>IFERROR(MATCH($C$5&amp;"|"&amp;RIGHT("000000"&amp;493,6),CalcRankKey,0),"")</f>
        <v/>
      </c>
    </row>
    <row r="510">
      <c r="A510" s="28">
        <f>IF($B510="","",494)</f>
        <v/>
      </c>
      <c r="B510" s="28">
        <f>IF($P510="","",IF(INDEX(CalcNormDate,$P510)=0,"",INDEX(CalcNormDate,$P510)))</f>
        <v/>
      </c>
      <c r="C510" s="28">
        <f>IF($P510="","",IF(INDEX(CalcTime,$P510)=0,"",INDEX(CalcTime,$P510)))</f>
        <v/>
      </c>
      <c r="D510" s="28">
        <f>IF($P510="","",IF(INDEX(EntryParty,$P510)=0,"",INDEX(EntryParty,$P510)))</f>
        <v/>
      </c>
      <c r="E510" s="28">
        <f>IF($P510="","",IF(INDEX(EntryPartyName,$P510)=0,"",INDEX(EntryPartyName,$P510)))</f>
        <v/>
      </c>
      <c r="F510" s="28">
        <f>IF($P510="","",IF(INDEX(EntryPartyType,$P510)=0,"",INDEX(EntryPartyType,$P510)))</f>
        <v/>
      </c>
      <c r="G510" s="28">
        <f>IF($P510="","",IF(INDEX(EntryTxnType,$P510)=0,"",INDEX(EntryTxnType,$P510)))</f>
        <v/>
      </c>
      <c r="H510" s="29">
        <f>IF($P510="","",IF(INDEX(EntryDep,$P510)=0,"",INDEX(EntryDep,$P510)))</f>
        <v/>
      </c>
      <c r="I510" s="29">
        <f>IF($P510="","",IF(INDEX(EntryWit,$P510)=0,"",INDEX(EntryWit,$P510)))</f>
        <v/>
      </c>
      <c r="J510" s="29">
        <f>IF($B510="","",IF($A510=1,$C$7,IF(J509="",0,J509))+IF($H510="",0,$H510)-IF($I510="",0,$I510))</f>
        <v/>
      </c>
      <c r="K510" s="29">
        <f>IF($P510="","",IF(INDEX(EntryMan,$P510)=0,"",INDEX(EntryMan,$P510)))</f>
        <v/>
      </c>
      <c r="L510" s="28">
        <f>IF($B510="","",IF($K510="","—",IF(ROUND($K510-$J510,0)=0,"√","×")))</f>
        <v/>
      </c>
      <c r="M510" s="28">
        <f>IF($B510="","",IF(COUNTIFS(EntryDates,$B510,CalcTime,$C510,CalcBank,$C$5,EntryParty,$D510,EntryDep,$H510,EntryWit,$I510)&gt;1,"تکرار",""))</f>
        <v/>
      </c>
      <c r="N510" s="28">
        <f>IF($P510="","",IF(INDEX(EntryNotes,$P510)=0,"",INDEX(EntryNotes,$P510)))</f>
        <v/>
      </c>
      <c r="O510" s="28">
        <f>IF($P510="","",IF(INDEX(EntryTxnID,$P510)=0,"",INDEX(EntryTxnID,$P510)))</f>
        <v/>
      </c>
      <c r="P510" s="28">
        <f>IFERROR(MATCH($C$5&amp;"|"&amp;RIGHT("000000"&amp;494,6),CalcRankKey,0),"")</f>
        <v/>
      </c>
    </row>
    <row r="511">
      <c r="A511" s="26">
        <f>IF($B511="","",495)</f>
        <v/>
      </c>
      <c r="B511" s="26">
        <f>IF($P511="","",IF(INDEX(CalcNormDate,$P511)=0,"",INDEX(CalcNormDate,$P511)))</f>
        <v/>
      </c>
      <c r="C511" s="26">
        <f>IF($P511="","",IF(INDEX(CalcTime,$P511)=0,"",INDEX(CalcTime,$P511)))</f>
        <v/>
      </c>
      <c r="D511" s="26">
        <f>IF($P511="","",IF(INDEX(EntryParty,$P511)=0,"",INDEX(EntryParty,$P511)))</f>
        <v/>
      </c>
      <c r="E511" s="26">
        <f>IF($P511="","",IF(INDEX(EntryPartyName,$P511)=0,"",INDEX(EntryPartyName,$P511)))</f>
        <v/>
      </c>
      <c r="F511" s="26">
        <f>IF($P511="","",IF(INDEX(EntryPartyType,$P511)=0,"",INDEX(EntryPartyType,$P511)))</f>
        <v/>
      </c>
      <c r="G511" s="26">
        <f>IF($P511="","",IF(INDEX(EntryTxnType,$P511)=0,"",INDEX(EntryTxnType,$P511)))</f>
        <v/>
      </c>
      <c r="H511" s="27">
        <f>IF($P511="","",IF(INDEX(EntryDep,$P511)=0,"",INDEX(EntryDep,$P511)))</f>
        <v/>
      </c>
      <c r="I511" s="27">
        <f>IF($P511="","",IF(INDEX(EntryWit,$P511)=0,"",INDEX(EntryWit,$P511)))</f>
        <v/>
      </c>
      <c r="J511" s="27">
        <f>IF($B511="","",IF($A511=1,$C$7,IF(J510="",0,J510))+IF($H511="",0,$H511)-IF($I511="",0,$I511))</f>
        <v/>
      </c>
      <c r="K511" s="27">
        <f>IF($P511="","",IF(INDEX(EntryMan,$P511)=0,"",INDEX(EntryMan,$P511)))</f>
        <v/>
      </c>
      <c r="L511" s="26">
        <f>IF($B511="","",IF($K511="","—",IF(ROUND($K511-$J511,0)=0,"√","×")))</f>
        <v/>
      </c>
      <c r="M511" s="26">
        <f>IF($B511="","",IF(COUNTIFS(EntryDates,$B511,CalcTime,$C511,CalcBank,$C$5,EntryParty,$D511,EntryDep,$H511,EntryWit,$I511)&gt;1,"تکرار",""))</f>
        <v/>
      </c>
      <c r="N511" s="26">
        <f>IF($P511="","",IF(INDEX(EntryNotes,$P511)=0,"",INDEX(EntryNotes,$P511)))</f>
        <v/>
      </c>
      <c r="O511" s="26">
        <f>IF($P511="","",IF(INDEX(EntryTxnID,$P511)=0,"",INDEX(EntryTxnID,$P511)))</f>
        <v/>
      </c>
      <c r="P511" s="26">
        <f>IFERROR(MATCH($C$5&amp;"|"&amp;RIGHT("000000"&amp;495,6),CalcRankKey,0),"")</f>
        <v/>
      </c>
    </row>
    <row r="512">
      <c r="A512" s="28">
        <f>IF($B512="","",496)</f>
        <v/>
      </c>
      <c r="B512" s="28">
        <f>IF($P512="","",IF(INDEX(CalcNormDate,$P512)=0,"",INDEX(CalcNormDate,$P512)))</f>
        <v/>
      </c>
      <c r="C512" s="28">
        <f>IF($P512="","",IF(INDEX(CalcTime,$P512)=0,"",INDEX(CalcTime,$P512)))</f>
        <v/>
      </c>
      <c r="D512" s="28">
        <f>IF($P512="","",IF(INDEX(EntryParty,$P512)=0,"",INDEX(EntryParty,$P512)))</f>
        <v/>
      </c>
      <c r="E512" s="28">
        <f>IF($P512="","",IF(INDEX(EntryPartyName,$P512)=0,"",INDEX(EntryPartyName,$P512)))</f>
        <v/>
      </c>
      <c r="F512" s="28">
        <f>IF($P512="","",IF(INDEX(EntryPartyType,$P512)=0,"",INDEX(EntryPartyType,$P512)))</f>
        <v/>
      </c>
      <c r="G512" s="28">
        <f>IF($P512="","",IF(INDEX(EntryTxnType,$P512)=0,"",INDEX(EntryTxnType,$P512)))</f>
        <v/>
      </c>
      <c r="H512" s="29">
        <f>IF($P512="","",IF(INDEX(EntryDep,$P512)=0,"",INDEX(EntryDep,$P512)))</f>
        <v/>
      </c>
      <c r="I512" s="29">
        <f>IF($P512="","",IF(INDEX(EntryWit,$P512)=0,"",INDEX(EntryWit,$P512)))</f>
        <v/>
      </c>
      <c r="J512" s="29">
        <f>IF($B512="","",IF($A512=1,$C$7,IF(J511="",0,J511))+IF($H512="",0,$H512)-IF($I512="",0,$I512))</f>
        <v/>
      </c>
      <c r="K512" s="29">
        <f>IF($P512="","",IF(INDEX(EntryMan,$P512)=0,"",INDEX(EntryMan,$P512)))</f>
        <v/>
      </c>
      <c r="L512" s="28">
        <f>IF($B512="","",IF($K512="","—",IF(ROUND($K512-$J512,0)=0,"√","×")))</f>
        <v/>
      </c>
      <c r="M512" s="28">
        <f>IF($B512="","",IF(COUNTIFS(EntryDates,$B512,CalcTime,$C512,CalcBank,$C$5,EntryParty,$D512,EntryDep,$H512,EntryWit,$I512)&gt;1,"تکرار",""))</f>
        <v/>
      </c>
      <c r="N512" s="28">
        <f>IF($P512="","",IF(INDEX(EntryNotes,$P512)=0,"",INDEX(EntryNotes,$P512)))</f>
        <v/>
      </c>
      <c r="O512" s="28">
        <f>IF($P512="","",IF(INDEX(EntryTxnID,$P512)=0,"",INDEX(EntryTxnID,$P512)))</f>
        <v/>
      </c>
      <c r="P512" s="28">
        <f>IFERROR(MATCH($C$5&amp;"|"&amp;RIGHT("000000"&amp;496,6),CalcRankKey,0),"")</f>
        <v/>
      </c>
    </row>
    <row r="513">
      <c r="A513" s="26">
        <f>IF($B513="","",497)</f>
        <v/>
      </c>
      <c r="B513" s="26">
        <f>IF($P513="","",IF(INDEX(CalcNormDate,$P513)=0,"",INDEX(CalcNormDate,$P513)))</f>
        <v/>
      </c>
      <c r="C513" s="26">
        <f>IF($P513="","",IF(INDEX(CalcTime,$P513)=0,"",INDEX(CalcTime,$P513)))</f>
        <v/>
      </c>
      <c r="D513" s="26">
        <f>IF($P513="","",IF(INDEX(EntryParty,$P513)=0,"",INDEX(EntryParty,$P513)))</f>
        <v/>
      </c>
      <c r="E513" s="26">
        <f>IF($P513="","",IF(INDEX(EntryPartyName,$P513)=0,"",INDEX(EntryPartyName,$P513)))</f>
        <v/>
      </c>
      <c r="F513" s="26">
        <f>IF($P513="","",IF(INDEX(EntryPartyType,$P513)=0,"",INDEX(EntryPartyType,$P513)))</f>
        <v/>
      </c>
      <c r="G513" s="26">
        <f>IF($P513="","",IF(INDEX(EntryTxnType,$P513)=0,"",INDEX(EntryTxnType,$P513)))</f>
        <v/>
      </c>
      <c r="H513" s="27">
        <f>IF($P513="","",IF(INDEX(EntryDep,$P513)=0,"",INDEX(EntryDep,$P513)))</f>
        <v/>
      </c>
      <c r="I513" s="27">
        <f>IF($P513="","",IF(INDEX(EntryWit,$P513)=0,"",INDEX(EntryWit,$P513)))</f>
        <v/>
      </c>
      <c r="J513" s="27">
        <f>IF($B513="","",IF($A513=1,$C$7,IF(J512="",0,J512))+IF($H513="",0,$H513)-IF($I513="",0,$I513))</f>
        <v/>
      </c>
      <c r="K513" s="27">
        <f>IF($P513="","",IF(INDEX(EntryMan,$P513)=0,"",INDEX(EntryMan,$P513)))</f>
        <v/>
      </c>
      <c r="L513" s="26">
        <f>IF($B513="","",IF($K513="","—",IF(ROUND($K513-$J513,0)=0,"√","×")))</f>
        <v/>
      </c>
      <c r="M513" s="26">
        <f>IF($B513="","",IF(COUNTIFS(EntryDates,$B513,CalcTime,$C513,CalcBank,$C$5,EntryParty,$D513,EntryDep,$H513,EntryWit,$I513)&gt;1,"تکرار",""))</f>
        <v/>
      </c>
      <c r="N513" s="26">
        <f>IF($P513="","",IF(INDEX(EntryNotes,$P513)=0,"",INDEX(EntryNotes,$P513)))</f>
        <v/>
      </c>
      <c r="O513" s="26">
        <f>IF($P513="","",IF(INDEX(EntryTxnID,$P513)=0,"",INDEX(EntryTxnID,$P513)))</f>
        <v/>
      </c>
      <c r="P513" s="26">
        <f>IFERROR(MATCH($C$5&amp;"|"&amp;RIGHT("000000"&amp;497,6),CalcRankKey,0),"")</f>
        <v/>
      </c>
    </row>
    <row r="514">
      <c r="A514" s="28">
        <f>IF($B514="","",498)</f>
        <v/>
      </c>
      <c r="B514" s="28">
        <f>IF($P514="","",IF(INDEX(CalcNormDate,$P514)=0,"",INDEX(CalcNormDate,$P514)))</f>
        <v/>
      </c>
      <c r="C514" s="28">
        <f>IF($P514="","",IF(INDEX(CalcTime,$P514)=0,"",INDEX(CalcTime,$P514)))</f>
        <v/>
      </c>
      <c r="D514" s="28">
        <f>IF($P514="","",IF(INDEX(EntryParty,$P514)=0,"",INDEX(EntryParty,$P514)))</f>
        <v/>
      </c>
      <c r="E514" s="28">
        <f>IF($P514="","",IF(INDEX(EntryPartyName,$P514)=0,"",INDEX(EntryPartyName,$P514)))</f>
        <v/>
      </c>
      <c r="F514" s="28">
        <f>IF($P514="","",IF(INDEX(EntryPartyType,$P514)=0,"",INDEX(EntryPartyType,$P514)))</f>
        <v/>
      </c>
      <c r="G514" s="28">
        <f>IF($P514="","",IF(INDEX(EntryTxnType,$P514)=0,"",INDEX(EntryTxnType,$P514)))</f>
        <v/>
      </c>
      <c r="H514" s="29">
        <f>IF($P514="","",IF(INDEX(EntryDep,$P514)=0,"",INDEX(EntryDep,$P514)))</f>
        <v/>
      </c>
      <c r="I514" s="29">
        <f>IF($P514="","",IF(INDEX(EntryWit,$P514)=0,"",INDEX(EntryWit,$P514)))</f>
        <v/>
      </c>
      <c r="J514" s="29">
        <f>IF($B514="","",IF($A514=1,$C$7,IF(J513="",0,J513))+IF($H514="",0,$H514)-IF($I514="",0,$I514))</f>
        <v/>
      </c>
      <c r="K514" s="29">
        <f>IF($P514="","",IF(INDEX(EntryMan,$P514)=0,"",INDEX(EntryMan,$P514)))</f>
        <v/>
      </c>
      <c r="L514" s="28">
        <f>IF($B514="","",IF($K514="","—",IF(ROUND($K514-$J514,0)=0,"√","×")))</f>
        <v/>
      </c>
      <c r="M514" s="28">
        <f>IF($B514="","",IF(COUNTIFS(EntryDates,$B514,CalcTime,$C514,CalcBank,$C$5,EntryParty,$D514,EntryDep,$H514,EntryWit,$I514)&gt;1,"تکرار",""))</f>
        <v/>
      </c>
      <c r="N514" s="28">
        <f>IF($P514="","",IF(INDEX(EntryNotes,$P514)=0,"",INDEX(EntryNotes,$P514)))</f>
        <v/>
      </c>
      <c r="O514" s="28">
        <f>IF($P514="","",IF(INDEX(EntryTxnID,$P514)=0,"",INDEX(EntryTxnID,$P514)))</f>
        <v/>
      </c>
      <c r="P514" s="28">
        <f>IFERROR(MATCH($C$5&amp;"|"&amp;RIGHT("000000"&amp;498,6),CalcRankKey,0),"")</f>
        <v/>
      </c>
    </row>
    <row r="515">
      <c r="A515" s="26">
        <f>IF($B515="","",499)</f>
        <v/>
      </c>
      <c r="B515" s="26">
        <f>IF($P515="","",IF(INDEX(CalcNormDate,$P515)=0,"",INDEX(CalcNormDate,$P515)))</f>
        <v/>
      </c>
      <c r="C515" s="26">
        <f>IF($P515="","",IF(INDEX(CalcTime,$P515)=0,"",INDEX(CalcTime,$P515)))</f>
        <v/>
      </c>
      <c r="D515" s="26">
        <f>IF($P515="","",IF(INDEX(EntryParty,$P515)=0,"",INDEX(EntryParty,$P515)))</f>
        <v/>
      </c>
      <c r="E515" s="26">
        <f>IF($P515="","",IF(INDEX(EntryPartyName,$P515)=0,"",INDEX(EntryPartyName,$P515)))</f>
        <v/>
      </c>
      <c r="F515" s="26">
        <f>IF($P515="","",IF(INDEX(EntryPartyType,$P515)=0,"",INDEX(EntryPartyType,$P515)))</f>
        <v/>
      </c>
      <c r="G515" s="26">
        <f>IF($P515="","",IF(INDEX(EntryTxnType,$P515)=0,"",INDEX(EntryTxnType,$P515)))</f>
        <v/>
      </c>
      <c r="H515" s="27">
        <f>IF($P515="","",IF(INDEX(EntryDep,$P515)=0,"",INDEX(EntryDep,$P515)))</f>
        <v/>
      </c>
      <c r="I515" s="27">
        <f>IF($P515="","",IF(INDEX(EntryWit,$P515)=0,"",INDEX(EntryWit,$P515)))</f>
        <v/>
      </c>
      <c r="J515" s="27">
        <f>IF($B515="","",IF($A515=1,$C$7,IF(J514="",0,J514))+IF($H515="",0,$H515)-IF($I515="",0,$I515))</f>
        <v/>
      </c>
      <c r="K515" s="27">
        <f>IF($P515="","",IF(INDEX(EntryMan,$P515)=0,"",INDEX(EntryMan,$P515)))</f>
        <v/>
      </c>
      <c r="L515" s="26">
        <f>IF($B515="","",IF($K515="","—",IF(ROUND($K515-$J515,0)=0,"√","×")))</f>
        <v/>
      </c>
      <c r="M515" s="26">
        <f>IF($B515="","",IF(COUNTIFS(EntryDates,$B515,CalcTime,$C515,CalcBank,$C$5,EntryParty,$D515,EntryDep,$H515,EntryWit,$I515)&gt;1,"تکرار",""))</f>
        <v/>
      </c>
      <c r="N515" s="26">
        <f>IF($P515="","",IF(INDEX(EntryNotes,$P515)=0,"",INDEX(EntryNotes,$P515)))</f>
        <v/>
      </c>
      <c r="O515" s="26">
        <f>IF($P515="","",IF(INDEX(EntryTxnID,$P515)=0,"",INDEX(EntryTxnID,$P515)))</f>
        <v/>
      </c>
      <c r="P515" s="26">
        <f>IFERROR(MATCH($C$5&amp;"|"&amp;RIGHT("000000"&amp;499,6),CalcRankKey,0),"")</f>
        <v/>
      </c>
    </row>
    <row r="516">
      <c r="A516" s="28">
        <f>IF($B516="","",500)</f>
        <v/>
      </c>
      <c r="B516" s="28">
        <f>IF($P516="","",IF(INDEX(CalcNormDate,$P516)=0,"",INDEX(CalcNormDate,$P516)))</f>
        <v/>
      </c>
      <c r="C516" s="28">
        <f>IF($P516="","",IF(INDEX(CalcTime,$P516)=0,"",INDEX(CalcTime,$P516)))</f>
        <v/>
      </c>
      <c r="D516" s="28">
        <f>IF($P516="","",IF(INDEX(EntryParty,$P516)=0,"",INDEX(EntryParty,$P516)))</f>
        <v/>
      </c>
      <c r="E516" s="28">
        <f>IF($P516="","",IF(INDEX(EntryPartyName,$P516)=0,"",INDEX(EntryPartyName,$P516)))</f>
        <v/>
      </c>
      <c r="F516" s="28">
        <f>IF($P516="","",IF(INDEX(EntryPartyType,$P516)=0,"",INDEX(EntryPartyType,$P516)))</f>
        <v/>
      </c>
      <c r="G516" s="28">
        <f>IF($P516="","",IF(INDEX(EntryTxnType,$P516)=0,"",INDEX(EntryTxnType,$P516)))</f>
        <v/>
      </c>
      <c r="H516" s="29">
        <f>IF($P516="","",IF(INDEX(EntryDep,$P516)=0,"",INDEX(EntryDep,$P516)))</f>
        <v/>
      </c>
      <c r="I516" s="29">
        <f>IF($P516="","",IF(INDEX(EntryWit,$P516)=0,"",INDEX(EntryWit,$P516)))</f>
        <v/>
      </c>
      <c r="J516" s="29">
        <f>IF($B516="","",IF($A516=1,$C$7,IF(J515="",0,J515))+IF($H516="",0,$H516)-IF($I516="",0,$I516))</f>
        <v/>
      </c>
      <c r="K516" s="29">
        <f>IF($P516="","",IF(INDEX(EntryMan,$P516)=0,"",INDEX(EntryMan,$P516)))</f>
        <v/>
      </c>
      <c r="L516" s="28">
        <f>IF($B516="","",IF($K516="","—",IF(ROUND($K516-$J516,0)=0,"√","×")))</f>
        <v/>
      </c>
      <c r="M516" s="28">
        <f>IF($B516="","",IF(COUNTIFS(EntryDates,$B516,CalcTime,$C516,CalcBank,$C$5,EntryParty,$D516,EntryDep,$H516,EntryWit,$I516)&gt;1,"تکرار",""))</f>
        <v/>
      </c>
      <c r="N516" s="28">
        <f>IF($P516="","",IF(INDEX(EntryNotes,$P516)=0,"",INDEX(EntryNotes,$P516)))</f>
        <v/>
      </c>
      <c r="O516" s="28">
        <f>IF($P516="","",IF(INDEX(EntryTxnID,$P516)=0,"",INDEX(EntryTxnID,$P516)))</f>
        <v/>
      </c>
      <c r="P516" s="28">
        <f>IFERROR(MATCH($C$5&amp;"|"&amp;RIGHT("000000"&amp;500,6),CalcRankKey,0),"")</f>
        <v/>
      </c>
    </row>
  </sheetData>
  <mergeCells count="43">
    <mergeCell ref="E12:F12"/>
    <mergeCell ref="G12:H12"/>
    <mergeCell ref="O12"/>
    <mergeCell ref="H10:I10"/>
    <mergeCell ref="I4:O4"/>
    <mergeCell ref="A6:B6"/>
    <mergeCell ref="H9:I9"/>
    <mergeCell ref="J7:O7"/>
    <mergeCell ref="O13"/>
    <mergeCell ref="A2:O2"/>
    <mergeCell ref="A7:B7"/>
    <mergeCell ref="H6:I6"/>
    <mergeCell ref="C8:E8"/>
    <mergeCell ref="E13:F13"/>
    <mergeCell ref="G13:H13"/>
    <mergeCell ref="C7:E7"/>
    <mergeCell ref="A9:E10"/>
    <mergeCell ref="A12:B12"/>
    <mergeCell ref="M13:N13"/>
    <mergeCell ref="C12:D12"/>
    <mergeCell ref="A3:H3"/>
    <mergeCell ref="I12:J12"/>
    <mergeCell ref="K12:L12"/>
    <mergeCell ref="M12:N12"/>
    <mergeCell ref="H7:I7"/>
    <mergeCell ref="A5:B5"/>
    <mergeCell ref="J8:O8"/>
    <mergeCell ref="A8:B8"/>
    <mergeCell ref="C6:E6"/>
    <mergeCell ref="A4:H4"/>
    <mergeCell ref="J5:O5"/>
    <mergeCell ref="C5:E5"/>
    <mergeCell ref="J10:O10"/>
    <mergeCell ref="I3:O3"/>
    <mergeCell ref="A1:O1"/>
    <mergeCell ref="A13:B13"/>
    <mergeCell ref="H5:I5"/>
    <mergeCell ref="J9:O9"/>
    <mergeCell ref="C13:D13"/>
    <mergeCell ref="H8:I8"/>
    <mergeCell ref="I13:J13"/>
    <mergeCell ref="K13:L13"/>
    <mergeCell ref="J6:O6"/>
  </mergeCells>
  <conditionalFormatting sqref="L17:L516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3">
      <formula>"—"</formula>
    </cfRule>
  </conditionalFormatting>
  <conditionalFormatting sqref="M17:M516">
    <cfRule type="cellIs" priority="4" operator="equal" dxfId="4">
      <formula>"تکرار"</formula>
    </cfRule>
  </conditionalFormatting>
  <conditionalFormatting sqref="J17:J516">
    <cfRule type="cellIs" priority="5" operator="lessThan" dxfId="5">
      <formula>0</formula>
    </cfRule>
  </conditionalFormatting>
  <conditionalFormatting sqref="H17:H516">
    <cfRule type="dataBar" priority="6">
      <dataBar showValue="1">
        <cfvo type="num" val="0"/>
        <cfvo type="max"/>
        <color rgb="0081C784"/>
      </dataBar>
    </cfRule>
  </conditionalFormatting>
  <conditionalFormatting sqref="I17:I516">
    <cfRule type="dataBar" priority="7">
      <dataBar showValue="1">
        <cfvo type="num" val="0"/>
        <cfvo type="max"/>
        <color rgb="00FF8A65"/>
      </dataBar>
    </cfRule>
  </conditionalFormatting>
  <conditionalFormatting sqref="A4:H4">
    <cfRule type="expression" priority="8" dxfId="6">
      <formula>LEN($A$4)&gt;0</formula>
    </cfRule>
  </conditionalFormatting>
  <conditionalFormatting sqref="I13">
    <cfRule type="expression" priority="9" dxfId="7">
      <formula>ISNUMBER(SEARCH("×",$I$13))</formula>
    </cfRule>
    <cfRule type="expression" priority="10" dxfId="8">
      <formula>ISNUMBER(SEARCH("√",$I$13))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بانکی — BANK06&amp;R&amp;"Tahoma"&amp;8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P5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.5" customWidth="1" min="3" max="3"/>
    <col width="10" customWidth="1" min="4" max="4"/>
    <col width="2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0" customWidth="1" min="13" max="13"/>
    <col width="27" customWidth="1" min="14" max="14"/>
    <col width="11" customWidth="1" min="15" max="15"/>
    <col hidden="1" width="6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15">
        <f>IFERROR("صورت حساب بانکی — "&amp;IF(VLOOKUP("BANK07",BankTbl,2,0)="","(بدون عنوان)",VLOOKUP("BANK07",BankTbl,2,0)),"صورت حساب بانکی")</f>
        <v/>
      </c>
      <c r="B3" s="15" t="n"/>
      <c r="C3" s="15" t="n"/>
      <c r="D3" s="15" t="n"/>
      <c r="E3" s="15" t="n"/>
      <c r="F3" s="15" t="n"/>
      <c r="G3" s="15" t="n"/>
      <c r="H3" s="15" t="n"/>
      <c r="I3" s="16">
        <f>"کد حساب: BANK07"</f>
        <v/>
      </c>
      <c r="J3" s="16" t="n"/>
      <c r="K3" s="16" t="n"/>
      <c r="L3" s="16" t="n"/>
      <c r="M3" s="16" t="n"/>
      <c r="N3" s="16" t="n"/>
      <c r="O3" s="16" t="n"/>
    </row>
    <row r="4" ht="14" customHeight="1">
      <c r="A4" s="17">
        <f>IF(COUNTIFS(CalcBank,"BANK07")&gt;500,"× ظرفیت 500 ردیف این برگه پر شده — آخرین ردیف را به پایین کپی کنید","")</f>
        <v/>
      </c>
      <c r="B4" s="17" t="n"/>
      <c r="C4" s="17" t="n"/>
      <c r="D4" s="17" t="n"/>
      <c r="E4" s="17" t="n"/>
      <c r="F4" s="17" t="n"/>
      <c r="G4" s="17" t="n"/>
      <c r="H4" s="17" t="n"/>
      <c r="I4" s="18" t="inlineStr">
        <is>
          <t>مشخصات رسمی زیر، دستی وارد می‌شود (زردرنگ).</t>
        </is>
      </c>
      <c r="J4" s="18" t="n"/>
      <c r="K4" s="18" t="n"/>
      <c r="L4" s="18" t="n"/>
      <c r="M4" s="18" t="n"/>
      <c r="N4" s="18" t="n"/>
      <c r="O4" s="18" t="n"/>
    </row>
    <row r="5" ht="18" customHeight="1">
      <c r="A5" s="19" t="inlineStr">
        <is>
          <t>کد حساب:</t>
        </is>
      </c>
      <c r="B5" s="19" t="n"/>
      <c r="C5" s="20" t="inlineStr">
        <is>
          <t>BANK07</t>
        </is>
      </c>
      <c r="D5" s="20" t="n"/>
      <c r="E5" s="20" t="n"/>
      <c r="H5" s="19" t="inlineStr">
        <is>
          <t>نام رسمی بانک:</t>
        </is>
      </c>
      <c r="I5" s="19" t="n"/>
      <c r="J5" s="21" t="n"/>
      <c r="K5" s="21" t="n"/>
      <c r="L5" s="21" t="n"/>
      <c r="M5" s="21" t="n"/>
      <c r="N5" s="21" t="n"/>
      <c r="O5" s="21" t="n"/>
    </row>
    <row r="6" ht="18" customHeight="1">
      <c r="A6" s="19" t="inlineStr">
        <is>
          <t>عنوان نمایشی:</t>
        </is>
      </c>
      <c r="B6" s="19" t="n"/>
      <c r="C6" s="22">
        <f>IFERROR(IF(VLOOKUP("BANK07",BankTbl,2,0)="","(بدون عنوان)",VLOOKUP("BANK07",BankTbl,2,0)),"—")</f>
        <v/>
      </c>
      <c r="D6" s="22" t="n"/>
      <c r="E6" s="22" t="n"/>
      <c r="H6" s="19" t="inlineStr">
        <is>
          <t>شعبه:</t>
        </is>
      </c>
      <c r="I6" s="19" t="n"/>
      <c r="J6" s="21" t="n"/>
      <c r="K6" s="21" t="n"/>
      <c r="L6" s="21" t="n"/>
      <c r="M6" s="21" t="n"/>
      <c r="N6" s="21" t="n"/>
      <c r="O6" s="21" t="n"/>
    </row>
    <row r="7" ht="18" customHeight="1">
      <c r="A7" s="19" t="inlineStr">
        <is>
          <t>مانده اولیه (ریال):</t>
        </is>
      </c>
      <c r="B7" s="19" t="n"/>
      <c r="C7" s="23">
        <f>IFERROR(VLOOKUP("BANK07",BankTbl,3,0),0)</f>
        <v/>
      </c>
      <c r="D7" s="23" t="n"/>
      <c r="E7" s="23" t="n"/>
      <c r="H7" s="19" t="inlineStr">
        <is>
          <t>شماره حساب:</t>
        </is>
      </c>
      <c r="I7" s="19" t="n"/>
      <c r="J7" s="24" t="n"/>
      <c r="K7" s="24" t="n"/>
      <c r="L7" s="24" t="n"/>
      <c r="M7" s="24" t="n"/>
      <c r="N7" s="24" t="n"/>
      <c r="O7" s="24" t="n"/>
    </row>
    <row r="8" ht="18" customHeight="1">
      <c r="A8" s="19" t="inlineStr">
        <is>
          <t>وضعیت فعال:</t>
        </is>
      </c>
      <c r="B8" s="19" t="n"/>
      <c r="C8" s="10">
        <f>IFERROR(IF(VLOOKUP("BANK07",BankTbl,4,0)=0,"—",VLOOKUP("BANK07",BankTbl,4,0)),"—")</f>
        <v/>
      </c>
      <c r="D8" s="10" t="n"/>
      <c r="E8" s="10" t="n"/>
      <c r="H8" s="19" t="inlineStr">
        <is>
          <t>شماره شبا (۲۴ رقم):</t>
        </is>
      </c>
      <c r="I8" s="19" t="n"/>
      <c r="J8" s="24" t="n"/>
      <c r="K8" s="24" t="n"/>
      <c r="L8" s="24" t="n"/>
      <c r="M8" s="24" t="n"/>
      <c r="N8" s="24" t="n"/>
      <c r="O8" s="24" t="n"/>
    </row>
    <row r="9" ht="18" customHeight="1">
      <c r="A9" s="25" t="inlineStr">
        <is>
          <t>این چهار سلول از فایل مادر خوانده می‌شوند؛ برای تغییر: Mazandasht_INFO.xlsx ← شیت Banks. مشخصات رسمی (زردرنگ) دستی وارد می‌شود.</t>
        </is>
      </c>
      <c r="B9" s="25" t="n"/>
      <c r="C9" s="25" t="n"/>
      <c r="D9" s="25" t="n"/>
      <c r="E9" s="25" t="n"/>
      <c r="H9" s="19" t="inlineStr">
        <is>
          <t>صاحب حساب:</t>
        </is>
      </c>
      <c r="I9" s="19" t="n"/>
      <c r="J9" s="21" t="n"/>
      <c r="K9" s="21" t="n"/>
      <c r="L9" s="21" t="n"/>
      <c r="M9" s="21" t="n"/>
      <c r="N9" s="21" t="n"/>
      <c r="O9" s="21" t="n"/>
    </row>
    <row r="10" ht="18" customHeight="1">
      <c r="A10" s="25" t="n"/>
      <c r="B10" s="25" t="n"/>
      <c r="C10" s="25" t="n"/>
      <c r="D10" s="25" t="n"/>
      <c r="E10" s="25" t="n"/>
      <c r="H10" s="19" t="inlineStr">
        <is>
          <t>تلفن شعبه:</t>
        </is>
      </c>
      <c r="I10" s="19" t="n"/>
      <c r="J10" s="21" t="n"/>
      <c r="K10" s="21" t="n"/>
      <c r="L10" s="21" t="n"/>
      <c r="M10" s="21" t="n"/>
      <c r="N10" s="21" t="n"/>
      <c r="O10" s="21" t="n"/>
    </row>
    <row r="12" ht="13" customHeight="1">
      <c r="A12" s="5" t="inlineStr">
        <is>
          <t>جمع واریز (ریال)</t>
        </is>
      </c>
      <c r="B12" s="5" t="n"/>
      <c r="C12" s="5" t="inlineStr">
        <is>
          <t>جمع برداشت (ریال)</t>
        </is>
      </c>
      <c r="D12" s="5" t="n"/>
      <c r="E12" s="5" t="inlineStr">
        <is>
          <t>مانده نهایی سیستم</t>
        </is>
      </c>
      <c r="F12" s="5" t="n"/>
      <c r="G12" s="5" t="inlineStr">
        <is>
          <t>آخرین موجودی بانک</t>
        </is>
      </c>
      <c r="H12" s="5" t="n"/>
      <c r="I12" s="5" t="inlineStr">
        <is>
          <t>وضعیت مغایرت</t>
        </is>
      </c>
      <c r="J12" s="5" t="n"/>
      <c r="K12" s="5" t="inlineStr">
        <is>
          <t>تعداد تراکنش</t>
        </is>
      </c>
      <c r="L12" s="5" t="n"/>
      <c r="M12" s="5" t="inlineStr">
        <is>
          <t>ردیف تکراری</t>
        </is>
      </c>
      <c r="N12" s="5" t="n"/>
      <c r="O12" s="5" t="inlineStr">
        <is>
          <t>آخرین تاریخ</t>
        </is>
      </c>
    </row>
    <row r="13" ht="22" customHeight="1">
      <c r="A13" s="7">
        <f>SUM($H$17:$H$516)</f>
        <v/>
      </c>
      <c r="B13" s="7" t="n"/>
      <c r="C13" s="7">
        <f>SUM($I$17:$I$516)</f>
        <v/>
      </c>
      <c r="D13" s="7" t="n"/>
      <c r="E13" s="7">
        <f>IFERROR(LOOKUP(9.99E+307,$J$17:$J$516),$C$7)</f>
        <v/>
      </c>
      <c r="F13" s="7" t="n"/>
      <c r="G13" s="7">
        <f>IFERROR(LOOKUP(9.99E+307,$K$17:$K$516),"—")</f>
        <v/>
      </c>
      <c r="H13" s="7" t="n"/>
      <c r="I13" s="7">
        <f>IF(NOT(ISNUMBER($G$13)),"— بدون کنترل",IF(ROUND($G$13-$E$13,0)=0,"√ منطبق","× مغایرت ("&amp;TEXT(ROUND($G$13-$E$13,0),"#,##0")&amp;" ریال)"))</f>
        <v/>
      </c>
      <c r="J13" s="7" t="n"/>
      <c r="K13" s="7">
        <f>COUNT($A$17:$A$516)</f>
        <v/>
      </c>
      <c r="L13" s="7" t="n"/>
      <c r="M13" s="7">
        <f>COUNTIF($M$17:$M$516,"تکرار")</f>
        <v/>
      </c>
      <c r="N13" s="7" t="n"/>
      <c r="O13" s="7">
        <f>IF(COUNT($A$17:$A$516)=0,"—",INDEX($B$17:$B$516,COUNT($A$17:$A$516)))</f>
        <v/>
      </c>
    </row>
    <row r="14" ht="6" customHeight="1"/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ساعت</t>
        </is>
      </c>
      <c r="D15" s="8" t="inlineStr">
        <is>
          <t>کد طرف</t>
        </is>
      </c>
      <c r="E15" s="8" t="inlineStr">
        <is>
          <t>طرف حساب</t>
        </is>
      </c>
      <c r="F15" s="8" t="inlineStr">
        <is>
          <t>نوع طرف حساب</t>
        </is>
      </c>
      <c r="G15" s="8" t="inlineStr">
        <is>
          <t>نوع تراکنش</t>
        </is>
      </c>
      <c r="H15" s="8" t="inlineStr">
        <is>
          <t>واریز (ریال)</t>
        </is>
      </c>
      <c r="I15" s="8" t="inlineStr">
        <is>
          <t>برداشت (ریال)</t>
        </is>
      </c>
      <c r="J15" s="8" t="inlineStr">
        <is>
          <t>مانده سیستم (ریال)</t>
        </is>
      </c>
      <c r="K15" s="8" t="inlineStr">
        <is>
          <t>موجودی بانک (ریال)</t>
        </is>
      </c>
      <c r="L15" s="8" t="inlineStr">
        <is>
          <t>وضعیت</t>
        </is>
      </c>
      <c r="M15" s="8" t="inlineStr">
        <is>
          <t>کنترل تکرار</t>
        </is>
      </c>
      <c r="N15" s="8" t="inlineStr">
        <is>
          <t>توضیحات</t>
        </is>
      </c>
      <c r="O15" s="8" t="inlineStr">
        <is>
          <t>شناسه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Time</t>
        </is>
      </c>
      <c r="D16" s="9" t="inlineStr">
        <is>
          <t>Party Code</t>
        </is>
      </c>
      <c r="E16" s="9" t="inlineStr">
        <is>
          <t>Party</t>
        </is>
      </c>
      <c r="F16" s="9" t="inlineStr">
        <is>
          <t>Party Type</t>
        </is>
      </c>
      <c r="G16" s="9" t="inlineStr">
        <is>
          <t>Txn Type</t>
        </is>
      </c>
      <c r="H16" s="9" t="inlineStr">
        <is>
          <t>Deposit</t>
        </is>
      </c>
      <c r="I16" s="9" t="inlineStr">
        <is>
          <t>Withdrawal</t>
        </is>
      </c>
      <c r="J16" s="9" t="inlineStr">
        <is>
          <t>System Balance</t>
        </is>
      </c>
      <c r="K16" s="9" t="inlineStr">
        <is>
          <t>Bank Balance</t>
        </is>
      </c>
      <c r="L16" s="9" t="inlineStr">
        <is>
          <t>Status</t>
        </is>
      </c>
      <c r="M16" s="9" t="inlineStr">
        <is>
          <t>Dup Check</t>
        </is>
      </c>
      <c r="N16" s="9" t="inlineStr">
        <is>
          <t>Notes</t>
        </is>
      </c>
      <c r="O16" s="9" t="inlineStr">
        <is>
          <t>TxnID</t>
        </is>
      </c>
    </row>
    <row r="17">
      <c r="A17" s="26">
        <f>IF($B17="","",1)</f>
        <v/>
      </c>
      <c r="B17" s="26">
        <f>IF($P17="","",IF(INDEX(CalcNormDate,$P17)=0,"",INDEX(CalcNormDate,$P17)))</f>
        <v/>
      </c>
      <c r="C17" s="26">
        <f>IF($P17="","",IF(INDEX(CalcTime,$P17)=0,"",INDEX(CalcTime,$P17)))</f>
        <v/>
      </c>
      <c r="D17" s="26">
        <f>IF($P17="","",IF(INDEX(EntryParty,$P17)=0,"",INDEX(EntryParty,$P17)))</f>
        <v/>
      </c>
      <c r="E17" s="26">
        <f>IF($P17="","",IF(INDEX(EntryPartyName,$P17)=0,"",INDEX(EntryPartyName,$P17)))</f>
        <v/>
      </c>
      <c r="F17" s="26">
        <f>IF($P17="","",IF(INDEX(EntryPartyType,$P17)=0,"",INDEX(EntryPartyType,$P17)))</f>
        <v/>
      </c>
      <c r="G17" s="26">
        <f>IF($P17="","",IF(INDEX(EntryTxnType,$P17)=0,"",INDEX(EntryTxnType,$P17)))</f>
        <v/>
      </c>
      <c r="H17" s="27">
        <f>IF($P17="","",IF(INDEX(EntryDep,$P17)=0,"",INDEX(EntryDep,$P17)))</f>
        <v/>
      </c>
      <c r="I17" s="27">
        <f>IF($P17="","",IF(INDEX(EntryWit,$P17)=0,"",INDEX(EntryWit,$P17)))</f>
        <v/>
      </c>
      <c r="J17" s="27">
        <f>IF($B17="","",IF($A17=1,$C$7,IF(J16="",0,J16))+IF($H17="",0,$H17)-IF($I17="",0,$I17))</f>
        <v/>
      </c>
      <c r="K17" s="27">
        <f>IF($P17="","",IF(INDEX(EntryMan,$P17)=0,"",INDEX(EntryMan,$P17)))</f>
        <v/>
      </c>
      <c r="L17" s="26">
        <f>IF($B17="","",IF($K17="","—",IF(ROUND($K17-$J17,0)=0,"√","×")))</f>
        <v/>
      </c>
      <c r="M17" s="26">
        <f>IF($B17="","",IF(COUNTIFS(EntryDates,$B17,CalcTime,$C17,CalcBank,$C$5,EntryParty,$D17,EntryDep,$H17,EntryWit,$I17)&gt;1,"تکرار",""))</f>
        <v/>
      </c>
      <c r="N17" s="26">
        <f>IF($P17="","",IF(INDEX(EntryNotes,$P17)=0,"",INDEX(EntryNotes,$P17)))</f>
        <v/>
      </c>
      <c r="O17" s="26">
        <f>IF($P17="","",IF(INDEX(EntryTxnID,$P17)=0,"",INDEX(EntryTxnID,$P17)))</f>
        <v/>
      </c>
      <c r="P17" s="26">
        <f>IFERROR(MATCH($C$5&amp;"|"&amp;RIGHT("000000"&amp;1,6),CalcRankKey,0),"")</f>
        <v/>
      </c>
    </row>
    <row r="18">
      <c r="A18" s="28">
        <f>IF($B18="","",2)</f>
        <v/>
      </c>
      <c r="B18" s="28">
        <f>IF($P18="","",IF(INDEX(CalcNormDate,$P18)=0,"",INDEX(CalcNormDate,$P18)))</f>
        <v/>
      </c>
      <c r="C18" s="28">
        <f>IF($P18="","",IF(INDEX(CalcTime,$P18)=0,"",INDEX(CalcTime,$P18)))</f>
        <v/>
      </c>
      <c r="D18" s="28">
        <f>IF($P18="","",IF(INDEX(EntryParty,$P18)=0,"",INDEX(EntryParty,$P18)))</f>
        <v/>
      </c>
      <c r="E18" s="28">
        <f>IF($P18="","",IF(INDEX(EntryPartyName,$P18)=0,"",INDEX(EntryPartyName,$P18)))</f>
        <v/>
      </c>
      <c r="F18" s="28">
        <f>IF($P18="","",IF(INDEX(EntryPartyType,$P18)=0,"",INDEX(EntryPartyType,$P18)))</f>
        <v/>
      </c>
      <c r="G18" s="28">
        <f>IF($P18="","",IF(INDEX(EntryTxnType,$P18)=0,"",INDEX(EntryTxnType,$P18)))</f>
        <v/>
      </c>
      <c r="H18" s="29">
        <f>IF($P18="","",IF(INDEX(EntryDep,$P18)=0,"",INDEX(EntryDep,$P18)))</f>
        <v/>
      </c>
      <c r="I18" s="29">
        <f>IF($P18="","",IF(INDEX(EntryWit,$P18)=0,"",INDEX(EntryWit,$P18)))</f>
        <v/>
      </c>
      <c r="J18" s="29">
        <f>IF($B18="","",IF($A18=1,$C$7,IF(J17="",0,J17))+IF($H18="",0,$H18)-IF($I18="",0,$I18))</f>
        <v/>
      </c>
      <c r="K18" s="29">
        <f>IF($P18="","",IF(INDEX(EntryMan,$P18)=0,"",INDEX(EntryMan,$P18)))</f>
        <v/>
      </c>
      <c r="L18" s="28">
        <f>IF($B18="","",IF($K18="","—",IF(ROUND($K18-$J18,0)=0,"√","×")))</f>
        <v/>
      </c>
      <c r="M18" s="28">
        <f>IF($B18="","",IF(COUNTIFS(EntryDates,$B18,CalcTime,$C18,CalcBank,$C$5,EntryParty,$D18,EntryDep,$H18,EntryWit,$I18)&gt;1,"تکرار",""))</f>
        <v/>
      </c>
      <c r="N18" s="28">
        <f>IF($P18="","",IF(INDEX(EntryNotes,$P18)=0,"",INDEX(EntryNotes,$P18)))</f>
        <v/>
      </c>
      <c r="O18" s="28">
        <f>IF($P18="","",IF(INDEX(EntryTxnID,$P18)=0,"",INDEX(EntryTxnID,$P18)))</f>
        <v/>
      </c>
      <c r="P18" s="28">
        <f>IFERROR(MATCH($C$5&amp;"|"&amp;RIGHT("000000"&amp;2,6),CalcRankKey,0),"")</f>
        <v/>
      </c>
    </row>
    <row r="19">
      <c r="A19" s="26">
        <f>IF($B19="","",3)</f>
        <v/>
      </c>
      <c r="B19" s="26">
        <f>IF($P19="","",IF(INDEX(CalcNormDate,$P19)=0,"",INDEX(CalcNormDate,$P19)))</f>
        <v/>
      </c>
      <c r="C19" s="26">
        <f>IF($P19="","",IF(INDEX(CalcTime,$P19)=0,"",INDEX(CalcTime,$P19)))</f>
        <v/>
      </c>
      <c r="D19" s="26">
        <f>IF($P19="","",IF(INDEX(EntryParty,$P19)=0,"",INDEX(EntryParty,$P19)))</f>
        <v/>
      </c>
      <c r="E19" s="26">
        <f>IF($P19="","",IF(INDEX(EntryPartyName,$P19)=0,"",INDEX(EntryPartyName,$P19)))</f>
        <v/>
      </c>
      <c r="F19" s="26">
        <f>IF($P19="","",IF(INDEX(EntryPartyType,$P19)=0,"",INDEX(EntryPartyType,$P19)))</f>
        <v/>
      </c>
      <c r="G19" s="26">
        <f>IF($P19="","",IF(INDEX(EntryTxnType,$P19)=0,"",INDEX(EntryTxnType,$P19)))</f>
        <v/>
      </c>
      <c r="H19" s="27">
        <f>IF($P19="","",IF(INDEX(EntryDep,$P19)=0,"",INDEX(EntryDep,$P19)))</f>
        <v/>
      </c>
      <c r="I19" s="27">
        <f>IF($P19="","",IF(INDEX(EntryWit,$P19)=0,"",INDEX(EntryWit,$P19)))</f>
        <v/>
      </c>
      <c r="J19" s="27">
        <f>IF($B19="","",IF($A19=1,$C$7,IF(J18="",0,J18))+IF($H19="",0,$H19)-IF($I19="",0,$I19))</f>
        <v/>
      </c>
      <c r="K19" s="27">
        <f>IF($P19="","",IF(INDEX(EntryMan,$P19)=0,"",INDEX(EntryMan,$P19)))</f>
        <v/>
      </c>
      <c r="L19" s="26">
        <f>IF($B19="","",IF($K19="","—",IF(ROUND($K19-$J19,0)=0,"√","×")))</f>
        <v/>
      </c>
      <c r="M19" s="26">
        <f>IF($B19="","",IF(COUNTIFS(EntryDates,$B19,CalcTime,$C19,CalcBank,$C$5,EntryParty,$D19,EntryDep,$H19,EntryWit,$I19)&gt;1,"تکرار",""))</f>
        <v/>
      </c>
      <c r="N19" s="26">
        <f>IF($P19="","",IF(INDEX(EntryNotes,$P19)=0,"",INDEX(EntryNotes,$P19)))</f>
        <v/>
      </c>
      <c r="O19" s="26">
        <f>IF($P19="","",IF(INDEX(EntryTxnID,$P19)=0,"",INDEX(EntryTxnID,$P19)))</f>
        <v/>
      </c>
      <c r="P19" s="26">
        <f>IFERROR(MATCH($C$5&amp;"|"&amp;RIGHT("000000"&amp;3,6),CalcRankKey,0),"")</f>
        <v/>
      </c>
    </row>
    <row r="20">
      <c r="A20" s="28">
        <f>IF($B20="","",4)</f>
        <v/>
      </c>
      <c r="B20" s="28">
        <f>IF($P20="","",IF(INDEX(CalcNormDate,$P20)=0,"",INDEX(CalcNormDate,$P20)))</f>
        <v/>
      </c>
      <c r="C20" s="28">
        <f>IF($P20="","",IF(INDEX(CalcTime,$P20)=0,"",INDEX(CalcTime,$P20)))</f>
        <v/>
      </c>
      <c r="D20" s="28">
        <f>IF($P20="","",IF(INDEX(EntryParty,$P20)=0,"",INDEX(EntryParty,$P20)))</f>
        <v/>
      </c>
      <c r="E20" s="28">
        <f>IF($P20="","",IF(INDEX(EntryPartyName,$P20)=0,"",INDEX(EntryPartyName,$P20)))</f>
        <v/>
      </c>
      <c r="F20" s="28">
        <f>IF($P20="","",IF(INDEX(EntryPartyType,$P20)=0,"",INDEX(EntryPartyType,$P20)))</f>
        <v/>
      </c>
      <c r="G20" s="28">
        <f>IF($P20="","",IF(INDEX(EntryTxnType,$P20)=0,"",INDEX(EntryTxnType,$P20)))</f>
        <v/>
      </c>
      <c r="H20" s="29">
        <f>IF($P20="","",IF(INDEX(EntryDep,$P20)=0,"",INDEX(EntryDep,$P20)))</f>
        <v/>
      </c>
      <c r="I20" s="29">
        <f>IF($P20="","",IF(INDEX(EntryWit,$P20)=0,"",INDEX(EntryWit,$P20)))</f>
        <v/>
      </c>
      <c r="J20" s="29">
        <f>IF($B20="","",IF($A20=1,$C$7,IF(J19="",0,J19))+IF($H20="",0,$H20)-IF($I20="",0,$I20))</f>
        <v/>
      </c>
      <c r="K20" s="29">
        <f>IF($P20="","",IF(INDEX(EntryMan,$P20)=0,"",INDEX(EntryMan,$P20)))</f>
        <v/>
      </c>
      <c r="L20" s="28">
        <f>IF($B20="","",IF($K20="","—",IF(ROUND($K20-$J20,0)=0,"√","×")))</f>
        <v/>
      </c>
      <c r="M20" s="28">
        <f>IF($B20="","",IF(COUNTIFS(EntryDates,$B20,CalcTime,$C20,CalcBank,$C$5,EntryParty,$D20,EntryDep,$H20,EntryWit,$I20)&gt;1,"تکرار",""))</f>
        <v/>
      </c>
      <c r="N20" s="28">
        <f>IF($P20="","",IF(INDEX(EntryNotes,$P20)=0,"",INDEX(EntryNotes,$P20)))</f>
        <v/>
      </c>
      <c r="O20" s="28">
        <f>IF($P20="","",IF(INDEX(EntryTxnID,$P20)=0,"",INDEX(EntryTxnID,$P20)))</f>
        <v/>
      </c>
      <c r="P20" s="28">
        <f>IFERROR(MATCH($C$5&amp;"|"&amp;RIGHT("000000"&amp;4,6),CalcRankKey,0),"")</f>
        <v/>
      </c>
    </row>
    <row r="21">
      <c r="A21" s="26">
        <f>IF($B21="","",5)</f>
        <v/>
      </c>
      <c r="B21" s="26">
        <f>IF($P21="","",IF(INDEX(CalcNormDate,$P21)=0,"",INDEX(CalcNormDate,$P21)))</f>
        <v/>
      </c>
      <c r="C21" s="26">
        <f>IF($P21="","",IF(INDEX(CalcTime,$P21)=0,"",INDEX(CalcTime,$P21)))</f>
        <v/>
      </c>
      <c r="D21" s="26">
        <f>IF($P21="","",IF(INDEX(EntryParty,$P21)=0,"",INDEX(EntryParty,$P21)))</f>
        <v/>
      </c>
      <c r="E21" s="26">
        <f>IF($P21="","",IF(INDEX(EntryPartyName,$P21)=0,"",INDEX(EntryPartyName,$P21)))</f>
        <v/>
      </c>
      <c r="F21" s="26">
        <f>IF($P21="","",IF(INDEX(EntryPartyType,$P21)=0,"",INDEX(EntryPartyType,$P21)))</f>
        <v/>
      </c>
      <c r="G21" s="26">
        <f>IF($P21="","",IF(INDEX(EntryTxnType,$P21)=0,"",INDEX(EntryTxnType,$P21)))</f>
        <v/>
      </c>
      <c r="H21" s="27">
        <f>IF($P21="","",IF(INDEX(EntryDep,$P21)=0,"",INDEX(EntryDep,$P21)))</f>
        <v/>
      </c>
      <c r="I21" s="27">
        <f>IF($P21="","",IF(INDEX(EntryWit,$P21)=0,"",INDEX(EntryWit,$P21)))</f>
        <v/>
      </c>
      <c r="J21" s="27">
        <f>IF($B21="","",IF($A21=1,$C$7,IF(J20="",0,J20))+IF($H21="",0,$H21)-IF($I21="",0,$I21))</f>
        <v/>
      </c>
      <c r="K21" s="27">
        <f>IF($P21="","",IF(INDEX(EntryMan,$P21)=0,"",INDEX(EntryMan,$P21)))</f>
        <v/>
      </c>
      <c r="L21" s="26">
        <f>IF($B21="","",IF($K21="","—",IF(ROUND($K21-$J21,0)=0,"√","×")))</f>
        <v/>
      </c>
      <c r="M21" s="26">
        <f>IF($B21="","",IF(COUNTIFS(EntryDates,$B21,CalcTime,$C21,CalcBank,$C$5,EntryParty,$D21,EntryDep,$H21,EntryWit,$I21)&gt;1,"تکرار",""))</f>
        <v/>
      </c>
      <c r="N21" s="26">
        <f>IF($P21="","",IF(INDEX(EntryNotes,$P21)=0,"",INDEX(EntryNotes,$P21)))</f>
        <v/>
      </c>
      <c r="O21" s="26">
        <f>IF($P21="","",IF(INDEX(EntryTxnID,$P21)=0,"",INDEX(EntryTxnID,$P21)))</f>
        <v/>
      </c>
      <c r="P21" s="26">
        <f>IFERROR(MATCH($C$5&amp;"|"&amp;RIGHT("000000"&amp;5,6),CalcRankKey,0),"")</f>
        <v/>
      </c>
    </row>
    <row r="22">
      <c r="A22" s="28">
        <f>IF($B22="","",6)</f>
        <v/>
      </c>
      <c r="B22" s="28">
        <f>IF($P22="","",IF(INDEX(CalcNormDate,$P22)=0,"",INDEX(CalcNormDate,$P22)))</f>
        <v/>
      </c>
      <c r="C22" s="28">
        <f>IF($P22="","",IF(INDEX(CalcTime,$P22)=0,"",INDEX(CalcTime,$P22)))</f>
        <v/>
      </c>
      <c r="D22" s="28">
        <f>IF($P22="","",IF(INDEX(EntryParty,$P22)=0,"",INDEX(EntryParty,$P22)))</f>
        <v/>
      </c>
      <c r="E22" s="28">
        <f>IF($P22="","",IF(INDEX(EntryPartyName,$P22)=0,"",INDEX(EntryPartyName,$P22)))</f>
        <v/>
      </c>
      <c r="F22" s="28">
        <f>IF($P22="","",IF(INDEX(EntryPartyType,$P22)=0,"",INDEX(EntryPartyType,$P22)))</f>
        <v/>
      </c>
      <c r="G22" s="28">
        <f>IF($P22="","",IF(INDEX(EntryTxnType,$P22)=0,"",INDEX(EntryTxnType,$P22)))</f>
        <v/>
      </c>
      <c r="H22" s="29">
        <f>IF($P22="","",IF(INDEX(EntryDep,$P22)=0,"",INDEX(EntryDep,$P22)))</f>
        <v/>
      </c>
      <c r="I22" s="29">
        <f>IF($P22="","",IF(INDEX(EntryWit,$P22)=0,"",INDEX(EntryWit,$P22)))</f>
        <v/>
      </c>
      <c r="J22" s="29">
        <f>IF($B22="","",IF($A22=1,$C$7,IF(J21="",0,J21))+IF($H22="",0,$H22)-IF($I22="",0,$I22))</f>
        <v/>
      </c>
      <c r="K22" s="29">
        <f>IF($P22="","",IF(INDEX(EntryMan,$P22)=0,"",INDEX(EntryMan,$P22)))</f>
        <v/>
      </c>
      <c r="L22" s="28">
        <f>IF($B22="","",IF($K22="","—",IF(ROUND($K22-$J22,0)=0,"√","×")))</f>
        <v/>
      </c>
      <c r="M22" s="28">
        <f>IF($B22="","",IF(COUNTIFS(EntryDates,$B22,CalcTime,$C22,CalcBank,$C$5,EntryParty,$D22,EntryDep,$H22,EntryWit,$I22)&gt;1,"تکرار",""))</f>
        <v/>
      </c>
      <c r="N22" s="28">
        <f>IF($P22="","",IF(INDEX(EntryNotes,$P22)=0,"",INDEX(EntryNotes,$P22)))</f>
        <v/>
      </c>
      <c r="O22" s="28">
        <f>IF($P22="","",IF(INDEX(EntryTxnID,$P22)=0,"",INDEX(EntryTxnID,$P22)))</f>
        <v/>
      </c>
      <c r="P22" s="28">
        <f>IFERROR(MATCH($C$5&amp;"|"&amp;RIGHT("000000"&amp;6,6),CalcRankKey,0),"")</f>
        <v/>
      </c>
    </row>
    <row r="23">
      <c r="A23" s="26">
        <f>IF($B23="","",7)</f>
        <v/>
      </c>
      <c r="B23" s="26">
        <f>IF($P23="","",IF(INDEX(CalcNormDate,$P23)=0,"",INDEX(CalcNormDate,$P23)))</f>
        <v/>
      </c>
      <c r="C23" s="26">
        <f>IF($P23="","",IF(INDEX(CalcTime,$P23)=0,"",INDEX(CalcTime,$P23)))</f>
        <v/>
      </c>
      <c r="D23" s="26">
        <f>IF($P23="","",IF(INDEX(EntryParty,$P23)=0,"",INDEX(EntryParty,$P23)))</f>
        <v/>
      </c>
      <c r="E23" s="26">
        <f>IF($P23="","",IF(INDEX(EntryPartyName,$P23)=0,"",INDEX(EntryPartyName,$P23)))</f>
        <v/>
      </c>
      <c r="F23" s="26">
        <f>IF($P23="","",IF(INDEX(EntryPartyType,$P23)=0,"",INDEX(EntryPartyType,$P23)))</f>
        <v/>
      </c>
      <c r="G23" s="26">
        <f>IF($P23="","",IF(INDEX(EntryTxnType,$P23)=0,"",INDEX(EntryTxnType,$P23)))</f>
        <v/>
      </c>
      <c r="H23" s="27">
        <f>IF($P23="","",IF(INDEX(EntryDep,$P23)=0,"",INDEX(EntryDep,$P23)))</f>
        <v/>
      </c>
      <c r="I23" s="27">
        <f>IF($P23="","",IF(INDEX(EntryWit,$P23)=0,"",INDEX(EntryWit,$P23)))</f>
        <v/>
      </c>
      <c r="J23" s="27">
        <f>IF($B23="","",IF($A23=1,$C$7,IF(J22="",0,J22))+IF($H23="",0,$H23)-IF($I23="",0,$I23))</f>
        <v/>
      </c>
      <c r="K23" s="27">
        <f>IF($P23="","",IF(INDEX(EntryMan,$P23)=0,"",INDEX(EntryMan,$P23)))</f>
        <v/>
      </c>
      <c r="L23" s="26">
        <f>IF($B23="","",IF($K23="","—",IF(ROUND($K23-$J23,0)=0,"√","×")))</f>
        <v/>
      </c>
      <c r="M23" s="26">
        <f>IF($B23="","",IF(COUNTIFS(EntryDates,$B23,CalcTime,$C23,CalcBank,$C$5,EntryParty,$D23,EntryDep,$H23,EntryWit,$I23)&gt;1,"تکرار",""))</f>
        <v/>
      </c>
      <c r="N23" s="26">
        <f>IF($P23="","",IF(INDEX(EntryNotes,$P23)=0,"",INDEX(EntryNotes,$P23)))</f>
        <v/>
      </c>
      <c r="O23" s="26">
        <f>IF($P23="","",IF(INDEX(EntryTxnID,$P23)=0,"",INDEX(EntryTxnID,$P23)))</f>
        <v/>
      </c>
      <c r="P23" s="26">
        <f>IFERROR(MATCH($C$5&amp;"|"&amp;RIGHT("000000"&amp;7,6),CalcRankKey,0),"")</f>
        <v/>
      </c>
    </row>
    <row r="24">
      <c r="A24" s="28">
        <f>IF($B24="","",8)</f>
        <v/>
      </c>
      <c r="B24" s="28">
        <f>IF($P24="","",IF(INDEX(CalcNormDate,$P24)=0,"",INDEX(CalcNormDate,$P24)))</f>
        <v/>
      </c>
      <c r="C24" s="28">
        <f>IF($P24="","",IF(INDEX(CalcTime,$P24)=0,"",INDEX(CalcTime,$P24)))</f>
        <v/>
      </c>
      <c r="D24" s="28">
        <f>IF($P24="","",IF(INDEX(EntryParty,$P24)=0,"",INDEX(EntryParty,$P24)))</f>
        <v/>
      </c>
      <c r="E24" s="28">
        <f>IF($P24="","",IF(INDEX(EntryPartyName,$P24)=0,"",INDEX(EntryPartyName,$P24)))</f>
        <v/>
      </c>
      <c r="F24" s="28">
        <f>IF($P24="","",IF(INDEX(EntryPartyType,$P24)=0,"",INDEX(EntryPartyType,$P24)))</f>
        <v/>
      </c>
      <c r="G24" s="28">
        <f>IF($P24="","",IF(INDEX(EntryTxnType,$P24)=0,"",INDEX(EntryTxnType,$P24)))</f>
        <v/>
      </c>
      <c r="H24" s="29">
        <f>IF($P24="","",IF(INDEX(EntryDep,$P24)=0,"",INDEX(EntryDep,$P24)))</f>
        <v/>
      </c>
      <c r="I24" s="29">
        <f>IF($P24="","",IF(INDEX(EntryWit,$P24)=0,"",INDEX(EntryWit,$P24)))</f>
        <v/>
      </c>
      <c r="J24" s="29">
        <f>IF($B24="","",IF($A24=1,$C$7,IF(J23="",0,J23))+IF($H24="",0,$H24)-IF($I24="",0,$I24))</f>
        <v/>
      </c>
      <c r="K24" s="29">
        <f>IF($P24="","",IF(INDEX(EntryMan,$P24)=0,"",INDEX(EntryMan,$P24)))</f>
        <v/>
      </c>
      <c r="L24" s="28">
        <f>IF($B24="","",IF($K24="","—",IF(ROUND($K24-$J24,0)=0,"√","×")))</f>
        <v/>
      </c>
      <c r="M24" s="28">
        <f>IF($B24="","",IF(COUNTIFS(EntryDates,$B24,CalcTime,$C24,CalcBank,$C$5,EntryParty,$D24,EntryDep,$H24,EntryWit,$I24)&gt;1,"تکرار",""))</f>
        <v/>
      </c>
      <c r="N24" s="28">
        <f>IF($P24="","",IF(INDEX(EntryNotes,$P24)=0,"",INDEX(EntryNotes,$P24)))</f>
        <v/>
      </c>
      <c r="O24" s="28">
        <f>IF($P24="","",IF(INDEX(EntryTxnID,$P24)=0,"",INDEX(EntryTxnID,$P24)))</f>
        <v/>
      </c>
      <c r="P24" s="28">
        <f>IFERROR(MATCH($C$5&amp;"|"&amp;RIGHT("000000"&amp;8,6),CalcRankKey,0),"")</f>
        <v/>
      </c>
    </row>
    <row r="25">
      <c r="A25" s="26">
        <f>IF($B25="","",9)</f>
        <v/>
      </c>
      <c r="B25" s="26">
        <f>IF($P25="","",IF(INDEX(CalcNormDate,$P25)=0,"",INDEX(CalcNormDate,$P25)))</f>
        <v/>
      </c>
      <c r="C25" s="26">
        <f>IF($P25="","",IF(INDEX(CalcTime,$P25)=0,"",INDEX(CalcTime,$P25)))</f>
        <v/>
      </c>
      <c r="D25" s="26">
        <f>IF($P25="","",IF(INDEX(EntryParty,$P25)=0,"",INDEX(EntryParty,$P25)))</f>
        <v/>
      </c>
      <c r="E25" s="26">
        <f>IF($P25="","",IF(INDEX(EntryPartyName,$P25)=0,"",INDEX(EntryPartyName,$P25)))</f>
        <v/>
      </c>
      <c r="F25" s="26">
        <f>IF($P25="","",IF(INDEX(EntryPartyType,$P25)=0,"",INDEX(EntryPartyType,$P25)))</f>
        <v/>
      </c>
      <c r="G25" s="26">
        <f>IF($P25="","",IF(INDEX(EntryTxnType,$P25)=0,"",INDEX(EntryTxnType,$P25)))</f>
        <v/>
      </c>
      <c r="H25" s="27">
        <f>IF($P25="","",IF(INDEX(EntryDep,$P25)=0,"",INDEX(EntryDep,$P25)))</f>
        <v/>
      </c>
      <c r="I25" s="27">
        <f>IF($P25="","",IF(INDEX(EntryWit,$P25)=0,"",INDEX(EntryWit,$P25)))</f>
        <v/>
      </c>
      <c r="J25" s="27">
        <f>IF($B25="","",IF($A25=1,$C$7,IF(J24="",0,J24))+IF($H25="",0,$H25)-IF($I25="",0,$I25))</f>
        <v/>
      </c>
      <c r="K25" s="27">
        <f>IF($P25="","",IF(INDEX(EntryMan,$P25)=0,"",INDEX(EntryMan,$P25)))</f>
        <v/>
      </c>
      <c r="L25" s="26">
        <f>IF($B25="","",IF($K25="","—",IF(ROUND($K25-$J25,0)=0,"√","×")))</f>
        <v/>
      </c>
      <c r="M25" s="26">
        <f>IF($B25="","",IF(COUNTIFS(EntryDates,$B25,CalcTime,$C25,CalcBank,$C$5,EntryParty,$D25,EntryDep,$H25,EntryWit,$I25)&gt;1,"تکرار",""))</f>
        <v/>
      </c>
      <c r="N25" s="26">
        <f>IF($P25="","",IF(INDEX(EntryNotes,$P25)=0,"",INDEX(EntryNotes,$P25)))</f>
        <v/>
      </c>
      <c r="O25" s="26">
        <f>IF($P25="","",IF(INDEX(EntryTxnID,$P25)=0,"",INDEX(EntryTxnID,$P25)))</f>
        <v/>
      </c>
      <c r="P25" s="26">
        <f>IFERROR(MATCH($C$5&amp;"|"&amp;RIGHT("000000"&amp;9,6),CalcRankKey,0),"")</f>
        <v/>
      </c>
    </row>
    <row r="26">
      <c r="A26" s="28">
        <f>IF($B26="","",10)</f>
        <v/>
      </c>
      <c r="B26" s="28">
        <f>IF($P26="","",IF(INDEX(CalcNormDate,$P26)=0,"",INDEX(CalcNormDate,$P26)))</f>
        <v/>
      </c>
      <c r="C26" s="28">
        <f>IF($P26="","",IF(INDEX(CalcTime,$P26)=0,"",INDEX(CalcTime,$P26)))</f>
        <v/>
      </c>
      <c r="D26" s="28">
        <f>IF($P26="","",IF(INDEX(EntryParty,$P26)=0,"",INDEX(EntryParty,$P26)))</f>
        <v/>
      </c>
      <c r="E26" s="28">
        <f>IF($P26="","",IF(INDEX(EntryPartyName,$P26)=0,"",INDEX(EntryPartyName,$P26)))</f>
        <v/>
      </c>
      <c r="F26" s="28">
        <f>IF($P26="","",IF(INDEX(EntryPartyType,$P26)=0,"",INDEX(EntryPartyType,$P26)))</f>
        <v/>
      </c>
      <c r="G26" s="28">
        <f>IF($P26="","",IF(INDEX(EntryTxnType,$P26)=0,"",INDEX(EntryTxnType,$P26)))</f>
        <v/>
      </c>
      <c r="H26" s="29">
        <f>IF($P26="","",IF(INDEX(EntryDep,$P26)=0,"",INDEX(EntryDep,$P26)))</f>
        <v/>
      </c>
      <c r="I26" s="29">
        <f>IF($P26="","",IF(INDEX(EntryWit,$P26)=0,"",INDEX(EntryWit,$P26)))</f>
        <v/>
      </c>
      <c r="J26" s="29">
        <f>IF($B26="","",IF($A26=1,$C$7,IF(J25="",0,J25))+IF($H26="",0,$H26)-IF($I26="",0,$I26))</f>
        <v/>
      </c>
      <c r="K26" s="29">
        <f>IF($P26="","",IF(INDEX(EntryMan,$P26)=0,"",INDEX(EntryMan,$P26)))</f>
        <v/>
      </c>
      <c r="L26" s="28">
        <f>IF($B26="","",IF($K26="","—",IF(ROUND($K26-$J26,0)=0,"√","×")))</f>
        <v/>
      </c>
      <c r="M26" s="28">
        <f>IF($B26="","",IF(COUNTIFS(EntryDates,$B26,CalcTime,$C26,CalcBank,$C$5,EntryParty,$D26,EntryDep,$H26,EntryWit,$I26)&gt;1,"تکرار",""))</f>
        <v/>
      </c>
      <c r="N26" s="28">
        <f>IF($P26="","",IF(INDEX(EntryNotes,$P26)=0,"",INDEX(EntryNotes,$P26)))</f>
        <v/>
      </c>
      <c r="O26" s="28">
        <f>IF($P26="","",IF(INDEX(EntryTxnID,$P26)=0,"",INDEX(EntryTxnID,$P26)))</f>
        <v/>
      </c>
      <c r="P26" s="28">
        <f>IFERROR(MATCH($C$5&amp;"|"&amp;RIGHT("000000"&amp;10,6),CalcRankKey,0),"")</f>
        <v/>
      </c>
    </row>
    <row r="27">
      <c r="A27" s="26">
        <f>IF($B27="","",11)</f>
        <v/>
      </c>
      <c r="B27" s="26">
        <f>IF($P27="","",IF(INDEX(CalcNormDate,$P27)=0,"",INDEX(CalcNormDate,$P27)))</f>
        <v/>
      </c>
      <c r="C27" s="26">
        <f>IF($P27="","",IF(INDEX(CalcTime,$P27)=0,"",INDEX(CalcTime,$P27)))</f>
        <v/>
      </c>
      <c r="D27" s="26">
        <f>IF($P27="","",IF(INDEX(EntryParty,$P27)=0,"",INDEX(EntryParty,$P27)))</f>
        <v/>
      </c>
      <c r="E27" s="26">
        <f>IF($P27="","",IF(INDEX(EntryPartyName,$P27)=0,"",INDEX(EntryPartyName,$P27)))</f>
        <v/>
      </c>
      <c r="F27" s="26">
        <f>IF($P27="","",IF(INDEX(EntryPartyType,$P27)=0,"",INDEX(EntryPartyType,$P27)))</f>
        <v/>
      </c>
      <c r="G27" s="26">
        <f>IF($P27="","",IF(INDEX(EntryTxnType,$P27)=0,"",INDEX(EntryTxnType,$P27)))</f>
        <v/>
      </c>
      <c r="H27" s="27">
        <f>IF($P27="","",IF(INDEX(EntryDep,$P27)=0,"",INDEX(EntryDep,$P27)))</f>
        <v/>
      </c>
      <c r="I27" s="27">
        <f>IF($P27="","",IF(INDEX(EntryWit,$P27)=0,"",INDEX(EntryWit,$P27)))</f>
        <v/>
      </c>
      <c r="J27" s="27">
        <f>IF($B27="","",IF($A27=1,$C$7,IF(J26="",0,J26))+IF($H27="",0,$H27)-IF($I27="",0,$I27))</f>
        <v/>
      </c>
      <c r="K27" s="27">
        <f>IF($P27="","",IF(INDEX(EntryMan,$P27)=0,"",INDEX(EntryMan,$P27)))</f>
        <v/>
      </c>
      <c r="L27" s="26">
        <f>IF($B27="","",IF($K27="","—",IF(ROUND($K27-$J27,0)=0,"√","×")))</f>
        <v/>
      </c>
      <c r="M27" s="26">
        <f>IF($B27="","",IF(COUNTIFS(EntryDates,$B27,CalcTime,$C27,CalcBank,$C$5,EntryParty,$D27,EntryDep,$H27,EntryWit,$I27)&gt;1,"تکرار",""))</f>
        <v/>
      </c>
      <c r="N27" s="26">
        <f>IF($P27="","",IF(INDEX(EntryNotes,$P27)=0,"",INDEX(EntryNotes,$P27)))</f>
        <v/>
      </c>
      <c r="O27" s="26">
        <f>IF($P27="","",IF(INDEX(EntryTxnID,$P27)=0,"",INDEX(EntryTxnID,$P27)))</f>
        <v/>
      </c>
      <c r="P27" s="26">
        <f>IFERROR(MATCH($C$5&amp;"|"&amp;RIGHT("000000"&amp;11,6),CalcRankKey,0),"")</f>
        <v/>
      </c>
    </row>
    <row r="28">
      <c r="A28" s="28">
        <f>IF($B28="","",12)</f>
        <v/>
      </c>
      <c r="B28" s="28">
        <f>IF($P28="","",IF(INDEX(CalcNormDate,$P28)=0,"",INDEX(CalcNormDate,$P28)))</f>
        <v/>
      </c>
      <c r="C28" s="28">
        <f>IF($P28="","",IF(INDEX(CalcTime,$P28)=0,"",INDEX(CalcTime,$P28)))</f>
        <v/>
      </c>
      <c r="D28" s="28">
        <f>IF($P28="","",IF(INDEX(EntryParty,$P28)=0,"",INDEX(EntryParty,$P28)))</f>
        <v/>
      </c>
      <c r="E28" s="28">
        <f>IF($P28="","",IF(INDEX(EntryPartyName,$P28)=0,"",INDEX(EntryPartyName,$P28)))</f>
        <v/>
      </c>
      <c r="F28" s="28">
        <f>IF($P28="","",IF(INDEX(EntryPartyType,$P28)=0,"",INDEX(EntryPartyType,$P28)))</f>
        <v/>
      </c>
      <c r="G28" s="28">
        <f>IF($P28="","",IF(INDEX(EntryTxnType,$P28)=0,"",INDEX(EntryTxnType,$P28)))</f>
        <v/>
      </c>
      <c r="H28" s="29">
        <f>IF($P28="","",IF(INDEX(EntryDep,$P28)=0,"",INDEX(EntryDep,$P28)))</f>
        <v/>
      </c>
      <c r="I28" s="29">
        <f>IF($P28="","",IF(INDEX(EntryWit,$P28)=0,"",INDEX(EntryWit,$P28)))</f>
        <v/>
      </c>
      <c r="J28" s="29">
        <f>IF($B28="","",IF($A28=1,$C$7,IF(J27="",0,J27))+IF($H28="",0,$H28)-IF($I28="",0,$I28))</f>
        <v/>
      </c>
      <c r="K28" s="29">
        <f>IF($P28="","",IF(INDEX(EntryMan,$P28)=0,"",INDEX(EntryMan,$P28)))</f>
        <v/>
      </c>
      <c r="L28" s="28">
        <f>IF($B28="","",IF($K28="","—",IF(ROUND($K28-$J28,0)=0,"√","×")))</f>
        <v/>
      </c>
      <c r="M28" s="28">
        <f>IF($B28="","",IF(COUNTIFS(EntryDates,$B28,CalcTime,$C28,CalcBank,$C$5,EntryParty,$D28,EntryDep,$H28,EntryWit,$I28)&gt;1,"تکرار",""))</f>
        <v/>
      </c>
      <c r="N28" s="28">
        <f>IF($P28="","",IF(INDEX(EntryNotes,$P28)=0,"",INDEX(EntryNotes,$P28)))</f>
        <v/>
      </c>
      <c r="O28" s="28">
        <f>IF($P28="","",IF(INDEX(EntryTxnID,$P28)=0,"",INDEX(EntryTxnID,$P28)))</f>
        <v/>
      </c>
      <c r="P28" s="28">
        <f>IFERROR(MATCH($C$5&amp;"|"&amp;RIGHT("000000"&amp;12,6),CalcRankKey,0),"")</f>
        <v/>
      </c>
    </row>
    <row r="29">
      <c r="A29" s="26">
        <f>IF($B29="","",13)</f>
        <v/>
      </c>
      <c r="B29" s="26">
        <f>IF($P29="","",IF(INDEX(CalcNormDate,$P29)=0,"",INDEX(CalcNormDate,$P29)))</f>
        <v/>
      </c>
      <c r="C29" s="26">
        <f>IF($P29="","",IF(INDEX(CalcTime,$P29)=0,"",INDEX(CalcTime,$P29)))</f>
        <v/>
      </c>
      <c r="D29" s="26">
        <f>IF($P29="","",IF(INDEX(EntryParty,$P29)=0,"",INDEX(EntryParty,$P29)))</f>
        <v/>
      </c>
      <c r="E29" s="26">
        <f>IF($P29="","",IF(INDEX(EntryPartyName,$P29)=0,"",INDEX(EntryPartyName,$P29)))</f>
        <v/>
      </c>
      <c r="F29" s="26">
        <f>IF($P29="","",IF(INDEX(EntryPartyType,$P29)=0,"",INDEX(EntryPartyType,$P29)))</f>
        <v/>
      </c>
      <c r="G29" s="26">
        <f>IF($P29="","",IF(INDEX(EntryTxnType,$P29)=0,"",INDEX(EntryTxnType,$P29)))</f>
        <v/>
      </c>
      <c r="H29" s="27">
        <f>IF($P29="","",IF(INDEX(EntryDep,$P29)=0,"",INDEX(EntryDep,$P29)))</f>
        <v/>
      </c>
      <c r="I29" s="27">
        <f>IF($P29="","",IF(INDEX(EntryWit,$P29)=0,"",INDEX(EntryWit,$P29)))</f>
        <v/>
      </c>
      <c r="J29" s="27">
        <f>IF($B29="","",IF($A29=1,$C$7,IF(J28="",0,J28))+IF($H29="",0,$H29)-IF($I29="",0,$I29))</f>
        <v/>
      </c>
      <c r="K29" s="27">
        <f>IF($P29="","",IF(INDEX(EntryMan,$P29)=0,"",INDEX(EntryMan,$P29)))</f>
        <v/>
      </c>
      <c r="L29" s="26">
        <f>IF($B29="","",IF($K29="","—",IF(ROUND($K29-$J29,0)=0,"√","×")))</f>
        <v/>
      </c>
      <c r="M29" s="26">
        <f>IF($B29="","",IF(COUNTIFS(EntryDates,$B29,CalcTime,$C29,CalcBank,$C$5,EntryParty,$D29,EntryDep,$H29,EntryWit,$I29)&gt;1,"تکرار",""))</f>
        <v/>
      </c>
      <c r="N29" s="26">
        <f>IF($P29="","",IF(INDEX(EntryNotes,$P29)=0,"",INDEX(EntryNotes,$P29)))</f>
        <v/>
      </c>
      <c r="O29" s="26">
        <f>IF($P29="","",IF(INDEX(EntryTxnID,$P29)=0,"",INDEX(EntryTxnID,$P29)))</f>
        <v/>
      </c>
      <c r="P29" s="26">
        <f>IFERROR(MATCH($C$5&amp;"|"&amp;RIGHT("000000"&amp;13,6),CalcRankKey,0),"")</f>
        <v/>
      </c>
    </row>
    <row r="30">
      <c r="A30" s="28">
        <f>IF($B30="","",14)</f>
        <v/>
      </c>
      <c r="B30" s="28">
        <f>IF($P30="","",IF(INDEX(CalcNormDate,$P30)=0,"",INDEX(CalcNormDate,$P30)))</f>
        <v/>
      </c>
      <c r="C30" s="28">
        <f>IF($P30="","",IF(INDEX(CalcTime,$P30)=0,"",INDEX(CalcTime,$P30)))</f>
        <v/>
      </c>
      <c r="D30" s="28">
        <f>IF($P30="","",IF(INDEX(EntryParty,$P30)=0,"",INDEX(EntryParty,$P30)))</f>
        <v/>
      </c>
      <c r="E30" s="28">
        <f>IF($P30="","",IF(INDEX(EntryPartyName,$P30)=0,"",INDEX(EntryPartyName,$P30)))</f>
        <v/>
      </c>
      <c r="F30" s="28">
        <f>IF($P30="","",IF(INDEX(EntryPartyType,$P30)=0,"",INDEX(EntryPartyType,$P30)))</f>
        <v/>
      </c>
      <c r="G30" s="28">
        <f>IF($P30="","",IF(INDEX(EntryTxnType,$P30)=0,"",INDEX(EntryTxnType,$P30)))</f>
        <v/>
      </c>
      <c r="H30" s="29">
        <f>IF($P30="","",IF(INDEX(EntryDep,$P30)=0,"",INDEX(EntryDep,$P30)))</f>
        <v/>
      </c>
      <c r="I30" s="29">
        <f>IF($P30="","",IF(INDEX(EntryWit,$P30)=0,"",INDEX(EntryWit,$P30)))</f>
        <v/>
      </c>
      <c r="J30" s="29">
        <f>IF($B30="","",IF($A30=1,$C$7,IF(J29="",0,J29))+IF($H30="",0,$H30)-IF($I30="",0,$I30))</f>
        <v/>
      </c>
      <c r="K30" s="29">
        <f>IF($P30="","",IF(INDEX(EntryMan,$P30)=0,"",INDEX(EntryMan,$P30)))</f>
        <v/>
      </c>
      <c r="L30" s="28">
        <f>IF($B30="","",IF($K30="","—",IF(ROUND($K30-$J30,0)=0,"√","×")))</f>
        <v/>
      </c>
      <c r="M30" s="28">
        <f>IF($B30="","",IF(COUNTIFS(EntryDates,$B30,CalcTime,$C30,CalcBank,$C$5,EntryParty,$D30,EntryDep,$H30,EntryWit,$I30)&gt;1,"تکرار",""))</f>
        <v/>
      </c>
      <c r="N30" s="28">
        <f>IF($P30="","",IF(INDEX(EntryNotes,$P30)=0,"",INDEX(EntryNotes,$P30)))</f>
        <v/>
      </c>
      <c r="O30" s="28">
        <f>IF($P30="","",IF(INDEX(EntryTxnID,$P30)=0,"",INDEX(EntryTxnID,$P30)))</f>
        <v/>
      </c>
      <c r="P30" s="28">
        <f>IFERROR(MATCH($C$5&amp;"|"&amp;RIGHT("000000"&amp;14,6),CalcRankKey,0),"")</f>
        <v/>
      </c>
    </row>
    <row r="31">
      <c r="A31" s="26">
        <f>IF($B31="","",15)</f>
        <v/>
      </c>
      <c r="B31" s="26">
        <f>IF($P31="","",IF(INDEX(CalcNormDate,$P31)=0,"",INDEX(CalcNormDate,$P31)))</f>
        <v/>
      </c>
      <c r="C31" s="26">
        <f>IF($P31="","",IF(INDEX(CalcTime,$P31)=0,"",INDEX(CalcTime,$P31)))</f>
        <v/>
      </c>
      <c r="D31" s="26">
        <f>IF($P31="","",IF(INDEX(EntryParty,$P31)=0,"",INDEX(EntryParty,$P31)))</f>
        <v/>
      </c>
      <c r="E31" s="26">
        <f>IF($P31="","",IF(INDEX(EntryPartyName,$P31)=0,"",INDEX(EntryPartyName,$P31)))</f>
        <v/>
      </c>
      <c r="F31" s="26">
        <f>IF($P31="","",IF(INDEX(EntryPartyType,$P31)=0,"",INDEX(EntryPartyType,$P31)))</f>
        <v/>
      </c>
      <c r="G31" s="26">
        <f>IF($P31="","",IF(INDEX(EntryTxnType,$P31)=0,"",INDEX(EntryTxnType,$P31)))</f>
        <v/>
      </c>
      <c r="H31" s="27">
        <f>IF($P31="","",IF(INDEX(EntryDep,$P31)=0,"",INDEX(EntryDep,$P31)))</f>
        <v/>
      </c>
      <c r="I31" s="27">
        <f>IF($P31="","",IF(INDEX(EntryWit,$P31)=0,"",INDEX(EntryWit,$P31)))</f>
        <v/>
      </c>
      <c r="J31" s="27">
        <f>IF($B31="","",IF($A31=1,$C$7,IF(J30="",0,J30))+IF($H31="",0,$H31)-IF($I31="",0,$I31))</f>
        <v/>
      </c>
      <c r="K31" s="27">
        <f>IF($P31="","",IF(INDEX(EntryMan,$P31)=0,"",INDEX(EntryMan,$P31)))</f>
        <v/>
      </c>
      <c r="L31" s="26">
        <f>IF($B31="","",IF($K31="","—",IF(ROUND($K31-$J31,0)=0,"√","×")))</f>
        <v/>
      </c>
      <c r="M31" s="26">
        <f>IF($B31="","",IF(COUNTIFS(EntryDates,$B31,CalcTime,$C31,CalcBank,$C$5,EntryParty,$D31,EntryDep,$H31,EntryWit,$I31)&gt;1,"تکرار",""))</f>
        <v/>
      </c>
      <c r="N31" s="26">
        <f>IF($P31="","",IF(INDEX(EntryNotes,$P31)=0,"",INDEX(EntryNotes,$P31)))</f>
        <v/>
      </c>
      <c r="O31" s="26">
        <f>IF($P31="","",IF(INDEX(EntryTxnID,$P31)=0,"",INDEX(EntryTxnID,$P31)))</f>
        <v/>
      </c>
      <c r="P31" s="26">
        <f>IFERROR(MATCH($C$5&amp;"|"&amp;RIGHT("000000"&amp;15,6),CalcRankKey,0),"")</f>
        <v/>
      </c>
    </row>
    <row r="32">
      <c r="A32" s="28">
        <f>IF($B32="","",16)</f>
        <v/>
      </c>
      <c r="B32" s="28">
        <f>IF($P32="","",IF(INDEX(CalcNormDate,$P32)=0,"",INDEX(CalcNormDate,$P32)))</f>
        <v/>
      </c>
      <c r="C32" s="28">
        <f>IF($P32="","",IF(INDEX(CalcTime,$P32)=0,"",INDEX(CalcTime,$P32)))</f>
        <v/>
      </c>
      <c r="D32" s="28">
        <f>IF($P32="","",IF(INDEX(EntryParty,$P32)=0,"",INDEX(EntryParty,$P32)))</f>
        <v/>
      </c>
      <c r="E32" s="28">
        <f>IF($P32="","",IF(INDEX(EntryPartyName,$P32)=0,"",INDEX(EntryPartyName,$P32)))</f>
        <v/>
      </c>
      <c r="F32" s="28">
        <f>IF($P32="","",IF(INDEX(EntryPartyType,$P32)=0,"",INDEX(EntryPartyType,$P32)))</f>
        <v/>
      </c>
      <c r="G32" s="28">
        <f>IF($P32="","",IF(INDEX(EntryTxnType,$P32)=0,"",INDEX(EntryTxnType,$P32)))</f>
        <v/>
      </c>
      <c r="H32" s="29">
        <f>IF($P32="","",IF(INDEX(EntryDep,$P32)=0,"",INDEX(EntryDep,$P32)))</f>
        <v/>
      </c>
      <c r="I32" s="29">
        <f>IF($P32="","",IF(INDEX(EntryWit,$P32)=0,"",INDEX(EntryWit,$P32)))</f>
        <v/>
      </c>
      <c r="J32" s="29">
        <f>IF($B32="","",IF($A32=1,$C$7,IF(J31="",0,J31))+IF($H32="",0,$H32)-IF($I32="",0,$I32))</f>
        <v/>
      </c>
      <c r="K32" s="29">
        <f>IF($P32="","",IF(INDEX(EntryMan,$P32)=0,"",INDEX(EntryMan,$P32)))</f>
        <v/>
      </c>
      <c r="L32" s="28">
        <f>IF($B32="","",IF($K32="","—",IF(ROUND($K32-$J32,0)=0,"√","×")))</f>
        <v/>
      </c>
      <c r="M32" s="28">
        <f>IF($B32="","",IF(COUNTIFS(EntryDates,$B32,CalcTime,$C32,CalcBank,$C$5,EntryParty,$D32,EntryDep,$H32,EntryWit,$I32)&gt;1,"تکرار",""))</f>
        <v/>
      </c>
      <c r="N32" s="28">
        <f>IF($P32="","",IF(INDEX(EntryNotes,$P32)=0,"",INDEX(EntryNotes,$P32)))</f>
        <v/>
      </c>
      <c r="O32" s="28">
        <f>IF($P32="","",IF(INDEX(EntryTxnID,$P32)=0,"",INDEX(EntryTxnID,$P32)))</f>
        <v/>
      </c>
      <c r="P32" s="28">
        <f>IFERROR(MATCH($C$5&amp;"|"&amp;RIGHT("000000"&amp;16,6),CalcRankKey,0),"")</f>
        <v/>
      </c>
    </row>
    <row r="33">
      <c r="A33" s="26">
        <f>IF($B33="","",17)</f>
        <v/>
      </c>
      <c r="B33" s="26">
        <f>IF($P33="","",IF(INDEX(CalcNormDate,$P33)=0,"",INDEX(CalcNormDate,$P33)))</f>
        <v/>
      </c>
      <c r="C33" s="26">
        <f>IF($P33="","",IF(INDEX(CalcTime,$P33)=0,"",INDEX(CalcTime,$P33)))</f>
        <v/>
      </c>
      <c r="D33" s="26">
        <f>IF($P33="","",IF(INDEX(EntryParty,$P33)=0,"",INDEX(EntryParty,$P33)))</f>
        <v/>
      </c>
      <c r="E33" s="26">
        <f>IF($P33="","",IF(INDEX(EntryPartyName,$P33)=0,"",INDEX(EntryPartyName,$P33)))</f>
        <v/>
      </c>
      <c r="F33" s="26">
        <f>IF($P33="","",IF(INDEX(EntryPartyType,$P33)=0,"",INDEX(EntryPartyType,$P33)))</f>
        <v/>
      </c>
      <c r="G33" s="26">
        <f>IF($P33="","",IF(INDEX(EntryTxnType,$P33)=0,"",INDEX(EntryTxnType,$P33)))</f>
        <v/>
      </c>
      <c r="H33" s="27">
        <f>IF($P33="","",IF(INDEX(EntryDep,$P33)=0,"",INDEX(EntryDep,$P33)))</f>
        <v/>
      </c>
      <c r="I33" s="27">
        <f>IF($P33="","",IF(INDEX(EntryWit,$P33)=0,"",INDEX(EntryWit,$P33)))</f>
        <v/>
      </c>
      <c r="J33" s="27">
        <f>IF($B33="","",IF($A33=1,$C$7,IF(J32="",0,J32))+IF($H33="",0,$H33)-IF($I33="",0,$I33))</f>
        <v/>
      </c>
      <c r="K33" s="27">
        <f>IF($P33="","",IF(INDEX(EntryMan,$P33)=0,"",INDEX(EntryMan,$P33)))</f>
        <v/>
      </c>
      <c r="L33" s="26">
        <f>IF($B33="","",IF($K33="","—",IF(ROUND($K33-$J33,0)=0,"√","×")))</f>
        <v/>
      </c>
      <c r="M33" s="26">
        <f>IF($B33="","",IF(COUNTIFS(EntryDates,$B33,CalcTime,$C33,CalcBank,$C$5,EntryParty,$D33,EntryDep,$H33,EntryWit,$I33)&gt;1,"تکرار",""))</f>
        <v/>
      </c>
      <c r="N33" s="26">
        <f>IF($P33="","",IF(INDEX(EntryNotes,$P33)=0,"",INDEX(EntryNotes,$P33)))</f>
        <v/>
      </c>
      <c r="O33" s="26">
        <f>IF($P33="","",IF(INDEX(EntryTxnID,$P33)=0,"",INDEX(EntryTxnID,$P33)))</f>
        <v/>
      </c>
      <c r="P33" s="26">
        <f>IFERROR(MATCH($C$5&amp;"|"&amp;RIGHT("000000"&amp;17,6),CalcRankKey,0),"")</f>
        <v/>
      </c>
    </row>
    <row r="34">
      <c r="A34" s="28">
        <f>IF($B34="","",18)</f>
        <v/>
      </c>
      <c r="B34" s="28">
        <f>IF($P34="","",IF(INDEX(CalcNormDate,$P34)=0,"",INDEX(CalcNormDate,$P34)))</f>
        <v/>
      </c>
      <c r="C34" s="28">
        <f>IF($P34="","",IF(INDEX(CalcTime,$P34)=0,"",INDEX(CalcTime,$P34)))</f>
        <v/>
      </c>
      <c r="D34" s="28">
        <f>IF($P34="","",IF(INDEX(EntryParty,$P34)=0,"",INDEX(EntryParty,$P34)))</f>
        <v/>
      </c>
      <c r="E34" s="28">
        <f>IF($P34="","",IF(INDEX(EntryPartyName,$P34)=0,"",INDEX(EntryPartyName,$P34)))</f>
        <v/>
      </c>
      <c r="F34" s="28">
        <f>IF($P34="","",IF(INDEX(EntryPartyType,$P34)=0,"",INDEX(EntryPartyType,$P34)))</f>
        <v/>
      </c>
      <c r="G34" s="28">
        <f>IF($P34="","",IF(INDEX(EntryTxnType,$P34)=0,"",INDEX(EntryTxnType,$P34)))</f>
        <v/>
      </c>
      <c r="H34" s="29">
        <f>IF($P34="","",IF(INDEX(EntryDep,$P34)=0,"",INDEX(EntryDep,$P34)))</f>
        <v/>
      </c>
      <c r="I34" s="29">
        <f>IF($P34="","",IF(INDEX(EntryWit,$P34)=0,"",INDEX(EntryWit,$P34)))</f>
        <v/>
      </c>
      <c r="J34" s="29">
        <f>IF($B34="","",IF($A34=1,$C$7,IF(J33="",0,J33))+IF($H34="",0,$H34)-IF($I34="",0,$I34))</f>
        <v/>
      </c>
      <c r="K34" s="29">
        <f>IF($P34="","",IF(INDEX(EntryMan,$P34)=0,"",INDEX(EntryMan,$P34)))</f>
        <v/>
      </c>
      <c r="L34" s="28">
        <f>IF($B34="","",IF($K34="","—",IF(ROUND($K34-$J34,0)=0,"√","×")))</f>
        <v/>
      </c>
      <c r="M34" s="28">
        <f>IF($B34="","",IF(COUNTIFS(EntryDates,$B34,CalcTime,$C34,CalcBank,$C$5,EntryParty,$D34,EntryDep,$H34,EntryWit,$I34)&gt;1,"تکرار",""))</f>
        <v/>
      </c>
      <c r="N34" s="28">
        <f>IF($P34="","",IF(INDEX(EntryNotes,$P34)=0,"",INDEX(EntryNotes,$P34)))</f>
        <v/>
      </c>
      <c r="O34" s="28">
        <f>IF($P34="","",IF(INDEX(EntryTxnID,$P34)=0,"",INDEX(EntryTxnID,$P34)))</f>
        <v/>
      </c>
      <c r="P34" s="28">
        <f>IFERROR(MATCH($C$5&amp;"|"&amp;RIGHT("000000"&amp;18,6),CalcRankKey,0),"")</f>
        <v/>
      </c>
    </row>
    <row r="35">
      <c r="A35" s="26">
        <f>IF($B35="","",19)</f>
        <v/>
      </c>
      <c r="B35" s="26">
        <f>IF($P35="","",IF(INDEX(CalcNormDate,$P35)=0,"",INDEX(CalcNormDate,$P35)))</f>
        <v/>
      </c>
      <c r="C35" s="26">
        <f>IF($P35="","",IF(INDEX(CalcTime,$P35)=0,"",INDEX(CalcTime,$P35)))</f>
        <v/>
      </c>
      <c r="D35" s="26">
        <f>IF($P35="","",IF(INDEX(EntryParty,$P35)=0,"",INDEX(EntryParty,$P35)))</f>
        <v/>
      </c>
      <c r="E35" s="26">
        <f>IF($P35="","",IF(INDEX(EntryPartyName,$P35)=0,"",INDEX(EntryPartyName,$P35)))</f>
        <v/>
      </c>
      <c r="F35" s="26">
        <f>IF($P35="","",IF(INDEX(EntryPartyType,$P35)=0,"",INDEX(EntryPartyType,$P35)))</f>
        <v/>
      </c>
      <c r="G35" s="26">
        <f>IF($P35="","",IF(INDEX(EntryTxnType,$P35)=0,"",INDEX(EntryTxnType,$P35)))</f>
        <v/>
      </c>
      <c r="H35" s="27">
        <f>IF($P35="","",IF(INDEX(EntryDep,$P35)=0,"",INDEX(EntryDep,$P35)))</f>
        <v/>
      </c>
      <c r="I35" s="27">
        <f>IF($P35="","",IF(INDEX(EntryWit,$P35)=0,"",INDEX(EntryWit,$P35)))</f>
        <v/>
      </c>
      <c r="J35" s="27">
        <f>IF($B35="","",IF($A35=1,$C$7,IF(J34="",0,J34))+IF($H35="",0,$H35)-IF($I35="",0,$I35))</f>
        <v/>
      </c>
      <c r="K35" s="27">
        <f>IF($P35="","",IF(INDEX(EntryMan,$P35)=0,"",INDEX(EntryMan,$P35)))</f>
        <v/>
      </c>
      <c r="L35" s="26">
        <f>IF($B35="","",IF($K35="","—",IF(ROUND($K35-$J35,0)=0,"√","×")))</f>
        <v/>
      </c>
      <c r="M35" s="26">
        <f>IF($B35="","",IF(COUNTIFS(EntryDates,$B35,CalcTime,$C35,CalcBank,$C$5,EntryParty,$D35,EntryDep,$H35,EntryWit,$I35)&gt;1,"تکرار",""))</f>
        <v/>
      </c>
      <c r="N35" s="26">
        <f>IF($P35="","",IF(INDEX(EntryNotes,$P35)=0,"",INDEX(EntryNotes,$P35)))</f>
        <v/>
      </c>
      <c r="O35" s="26">
        <f>IF($P35="","",IF(INDEX(EntryTxnID,$P35)=0,"",INDEX(EntryTxnID,$P35)))</f>
        <v/>
      </c>
      <c r="P35" s="26">
        <f>IFERROR(MATCH($C$5&amp;"|"&amp;RIGHT("000000"&amp;19,6),CalcRankKey,0),"")</f>
        <v/>
      </c>
    </row>
    <row r="36">
      <c r="A36" s="28">
        <f>IF($B36="","",20)</f>
        <v/>
      </c>
      <c r="B36" s="28">
        <f>IF($P36="","",IF(INDEX(CalcNormDate,$P36)=0,"",INDEX(CalcNormDate,$P36)))</f>
        <v/>
      </c>
      <c r="C36" s="28">
        <f>IF($P36="","",IF(INDEX(CalcTime,$P36)=0,"",INDEX(CalcTime,$P36)))</f>
        <v/>
      </c>
      <c r="D36" s="28">
        <f>IF($P36="","",IF(INDEX(EntryParty,$P36)=0,"",INDEX(EntryParty,$P36)))</f>
        <v/>
      </c>
      <c r="E36" s="28">
        <f>IF($P36="","",IF(INDEX(EntryPartyName,$P36)=0,"",INDEX(EntryPartyName,$P36)))</f>
        <v/>
      </c>
      <c r="F36" s="28">
        <f>IF($P36="","",IF(INDEX(EntryPartyType,$P36)=0,"",INDEX(EntryPartyType,$P36)))</f>
        <v/>
      </c>
      <c r="G36" s="28">
        <f>IF($P36="","",IF(INDEX(EntryTxnType,$P36)=0,"",INDEX(EntryTxnType,$P36)))</f>
        <v/>
      </c>
      <c r="H36" s="29">
        <f>IF($P36="","",IF(INDEX(EntryDep,$P36)=0,"",INDEX(EntryDep,$P36)))</f>
        <v/>
      </c>
      <c r="I36" s="29">
        <f>IF($P36="","",IF(INDEX(EntryWit,$P36)=0,"",INDEX(EntryWit,$P36)))</f>
        <v/>
      </c>
      <c r="J36" s="29">
        <f>IF($B36="","",IF($A36=1,$C$7,IF(J35="",0,J35))+IF($H36="",0,$H36)-IF($I36="",0,$I36))</f>
        <v/>
      </c>
      <c r="K36" s="29">
        <f>IF($P36="","",IF(INDEX(EntryMan,$P36)=0,"",INDEX(EntryMan,$P36)))</f>
        <v/>
      </c>
      <c r="L36" s="28">
        <f>IF($B36="","",IF($K36="","—",IF(ROUND($K36-$J36,0)=0,"√","×")))</f>
        <v/>
      </c>
      <c r="M36" s="28">
        <f>IF($B36="","",IF(COUNTIFS(EntryDates,$B36,CalcTime,$C36,CalcBank,$C$5,EntryParty,$D36,EntryDep,$H36,EntryWit,$I36)&gt;1,"تکرار",""))</f>
        <v/>
      </c>
      <c r="N36" s="28">
        <f>IF($P36="","",IF(INDEX(EntryNotes,$P36)=0,"",INDEX(EntryNotes,$P36)))</f>
        <v/>
      </c>
      <c r="O36" s="28">
        <f>IF($P36="","",IF(INDEX(EntryTxnID,$P36)=0,"",INDEX(EntryTxnID,$P36)))</f>
        <v/>
      </c>
      <c r="P36" s="28">
        <f>IFERROR(MATCH($C$5&amp;"|"&amp;RIGHT("000000"&amp;20,6),CalcRankKey,0),"")</f>
        <v/>
      </c>
    </row>
    <row r="37">
      <c r="A37" s="26">
        <f>IF($B37="","",21)</f>
        <v/>
      </c>
      <c r="B37" s="26">
        <f>IF($P37="","",IF(INDEX(CalcNormDate,$P37)=0,"",INDEX(CalcNormDate,$P37)))</f>
        <v/>
      </c>
      <c r="C37" s="26">
        <f>IF($P37="","",IF(INDEX(CalcTime,$P37)=0,"",INDEX(CalcTime,$P37)))</f>
        <v/>
      </c>
      <c r="D37" s="26">
        <f>IF($P37="","",IF(INDEX(EntryParty,$P37)=0,"",INDEX(EntryParty,$P37)))</f>
        <v/>
      </c>
      <c r="E37" s="26">
        <f>IF($P37="","",IF(INDEX(EntryPartyName,$P37)=0,"",INDEX(EntryPartyName,$P37)))</f>
        <v/>
      </c>
      <c r="F37" s="26">
        <f>IF($P37="","",IF(INDEX(EntryPartyType,$P37)=0,"",INDEX(EntryPartyType,$P37)))</f>
        <v/>
      </c>
      <c r="G37" s="26">
        <f>IF($P37="","",IF(INDEX(EntryTxnType,$P37)=0,"",INDEX(EntryTxnType,$P37)))</f>
        <v/>
      </c>
      <c r="H37" s="27">
        <f>IF($P37="","",IF(INDEX(EntryDep,$P37)=0,"",INDEX(EntryDep,$P37)))</f>
        <v/>
      </c>
      <c r="I37" s="27">
        <f>IF($P37="","",IF(INDEX(EntryWit,$P37)=0,"",INDEX(EntryWit,$P37)))</f>
        <v/>
      </c>
      <c r="J37" s="27">
        <f>IF($B37="","",IF($A37=1,$C$7,IF(J36="",0,J36))+IF($H37="",0,$H37)-IF($I37="",0,$I37))</f>
        <v/>
      </c>
      <c r="K37" s="27">
        <f>IF($P37="","",IF(INDEX(EntryMan,$P37)=0,"",INDEX(EntryMan,$P37)))</f>
        <v/>
      </c>
      <c r="L37" s="26">
        <f>IF($B37="","",IF($K37="","—",IF(ROUND($K37-$J37,0)=0,"√","×")))</f>
        <v/>
      </c>
      <c r="M37" s="26">
        <f>IF($B37="","",IF(COUNTIFS(EntryDates,$B37,CalcTime,$C37,CalcBank,$C$5,EntryParty,$D37,EntryDep,$H37,EntryWit,$I37)&gt;1,"تکرار",""))</f>
        <v/>
      </c>
      <c r="N37" s="26">
        <f>IF($P37="","",IF(INDEX(EntryNotes,$P37)=0,"",INDEX(EntryNotes,$P37)))</f>
        <v/>
      </c>
      <c r="O37" s="26">
        <f>IF($P37="","",IF(INDEX(EntryTxnID,$P37)=0,"",INDEX(EntryTxnID,$P37)))</f>
        <v/>
      </c>
      <c r="P37" s="26">
        <f>IFERROR(MATCH($C$5&amp;"|"&amp;RIGHT("000000"&amp;21,6),CalcRankKey,0),"")</f>
        <v/>
      </c>
    </row>
    <row r="38">
      <c r="A38" s="28">
        <f>IF($B38="","",22)</f>
        <v/>
      </c>
      <c r="B38" s="28">
        <f>IF($P38="","",IF(INDEX(CalcNormDate,$P38)=0,"",INDEX(CalcNormDate,$P38)))</f>
        <v/>
      </c>
      <c r="C38" s="28">
        <f>IF($P38="","",IF(INDEX(CalcTime,$P38)=0,"",INDEX(CalcTime,$P38)))</f>
        <v/>
      </c>
      <c r="D38" s="28">
        <f>IF($P38="","",IF(INDEX(EntryParty,$P38)=0,"",INDEX(EntryParty,$P38)))</f>
        <v/>
      </c>
      <c r="E38" s="28">
        <f>IF($P38="","",IF(INDEX(EntryPartyName,$P38)=0,"",INDEX(EntryPartyName,$P38)))</f>
        <v/>
      </c>
      <c r="F38" s="28">
        <f>IF($P38="","",IF(INDEX(EntryPartyType,$P38)=0,"",INDEX(EntryPartyType,$P38)))</f>
        <v/>
      </c>
      <c r="G38" s="28">
        <f>IF($P38="","",IF(INDEX(EntryTxnType,$P38)=0,"",INDEX(EntryTxnType,$P38)))</f>
        <v/>
      </c>
      <c r="H38" s="29">
        <f>IF($P38="","",IF(INDEX(EntryDep,$P38)=0,"",INDEX(EntryDep,$P38)))</f>
        <v/>
      </c>
      <c r="I38" s="29">
        <f>IF($P38="","",IF(INDEX(EntryWit,$P38)=0,"",INDEX(EntryWit,$P38)))</f>
        <v/>
      </c>
      <c r="J38" s="29">
        <f>IF($B38="","",IF($A38=1,$C$7,IF(J37="",0,J37))+IF($H38="",0,$H38)-IF($I38="",0,$I38))</f>
        <v/>
      </c>
      <c r="K38" s="29">
        <f>IF($P38="","",IF(INDEX(EntryMan,$P38)=0,"",INDEX(EntryMan,$P38)))</f>
        <v/>
      </c>
      <c r="L38" s="28">
        <f>IF($B38="","",IF($K38="","—",IF(ROUND($K38-$J38,0)=0,"√","×")))</f>
        <v/>
      </c>
      <c r="M38" s="28">
        <f>IF($B38="","",IF(COUNTIFS(EntryDates,$B38,CalcTime,$C38,CalcBank,$C$5,EntryParty,$D38,EntryDep,$H38,EntryWit,$I38)&gt;1,"تکرار",""))</f>
        <v/>
      </c>
      <c r="N38" s="28">
        <f>IF($P38="","",IF(INDEX(EntryNotes,$P38)=0,"",INDEX(EntryNotes,$P38)))</f>
        <v/>
      </c>
      <c r="O38" s="28">
        <f>IF($P38="","",IF(INDEX(EntryTxnID,$P38)=0,"",INDEX(EntryTxnID,$P38)))</f>
        <v/>
      </c>
      <c r="P38" s="28">
        <f>IFERROR(MATCH($C$5&amp;"|"&amp;RIGHT("000000"&amp;22,6),CalcRankKey,0),"")</f>
        <v/>
      </c>
    </row>
    <row r="39">
      <c r="A39" s="26">
        <f>IF($B39="","",23)</f>
        <v/>
      </c>
      <c r="B39" s="26">
        <f>IF($P39="","",IF(INDEX(CalcNormDate,$P39)=0,"",INDEX(CalcNormDate,$P39)))</f>
        <v/>
      </c>
      <c r="C39" s="26">
        <f>IF($P39="","",IF(INDEX(CalcTime,$P39)=0,"",INDEX(CalcTime,$P39)))</f>
        <v/>
      </c>
      <c r="D39" s="26">
        <f>IF($P39="","",IF(INDEX(EntryParty,$P39)=0,"",INDEX(EntryParty,$P39)))</f>
        <v/>
      </c>
      <c r="E39" s="26">
        <f>IF($P39="","",IF(INDEX(EntryPartyName,$P39)=0,"",INDEX(EntryPartyName,$P39)))</f>
        <v/>
      </c>
      <c r="F39" s="26">
        <f>IF($P39="","",IF(INDEX(EntryPartyType,$P39)=0,"",INDEX(EntryPartyType,$P39)))</f>
        <v/>
      </c>
      <c r="G39" s="26">
        <f>IF($P39="","",IF(INDEX(EntryTxnType,$P39)=0,"",INDEX(EntryTxnType,$P39)))</f>
        <v/>
      </c>
      <c r="H39" s="27">
        <f>IF($P39="","",IF(INDEX(EntryDep,$P39)=0,"",INDEX(EntryDep,$P39)))</f>
        <v/>
      </c>
      <c r="I39" s="27">
        <f>IF($P39="","",IF(INDEX(EntryWit,$P39)=0,"",INDEX(EntryWit,$P39)))</f>
        <v/>
      </c>
      <c r="J39" s="27">
        <f>IF($B39="","",IF($A39=1,$C$7,IF(J38="",0,J38))+IF($H39="",0,$H39)-IF($I39="",0,$I39))</f>
        <v/>
      </c>
      <c r="K39" s="27">
        <f>IF($P39="","",IF(INDEX(EntryMan,$P39)=0,"",INDEX(EntryMan,$P39)))</f>
        <v/>
      </c>
      <c r="L39" s="26">
        <f>IF($B39="","",IF($K39="","—",IF(ROUND($K39-$J39,0)=0,"√","×")))</f>
        <v/>
      </c>
      <c r="M39" s="26">
        <f>IF($B39="","",IF(COUNTIFS(EntryDates,$B39,CalcTime,$C39,CalcBank,$C$5,EntryParty,$D39,EntryDep,$H39,EntryWit,$I39)&gt;1,"تکرار",""))</f>
        <v/>
      </c>
      <c r="N39" s="26">
        <f>IF($P39="","",IF(INDEX(EntryNotes,$P39)=0,"",INDEX(EntryNotes,$P39)))</f>
        <v/>
      </c>
      <c r="O39" s="26">
        <f>IF($P39="","",IF(INDEX(EntryTxnID,$P39)=0,"",INDEX(EntryTxnID,$P39)))</f>
        <v/>
      </c>
      <c r="P39" s="26">
        <f>IFERROR(MATCH($C$5&amp;"|"&amp;RIGHT("000000"&amp;23,6),CalcRankKey,0),"")</f>
        <v/>
      </c>
    </row>
    <row r="40">
      <c r="A40" s="28">
        <f>IF($B40="","",24)</f>
        <v/>
      </c>
      <c r="B40" s="28">
        <f>IF($P40="","",IF(INDEX(CalcNormDate,$P40)=0,"",INDEX(CalcNormDate,$P40)))</f>
        <v/>
      </c>
      <c r="C40" s="28">
        <f>IF($P40="","",IF(INDEX(CalcTime,$P40)=0,"",INDEX(CalcTime,$P40)))</f>
        <v/>
      </c>
      <c r="D40" s="28">
        <f>IF($P40="","",IF(INDEX(EntryParty,$P40)=0,"",INDEX(EntryParty,$P40)))</f>
        <v/>
      </c>
      <c r="E40" s="28">
        <f>IF($P40="","",IF(INDEX(EntryPartyName,$P40)=0,"",INDEX(EntryPartyName,$P40)))</f>
        <v/>
      </c>
      <c r="F40" s="28">
        <f>IF($P40="","",IF(INDEX(EntryPartyType,$P40)=0,"",INDEX(EntryPartyType,$P40)))</f>
        <v/>
      </c>
      <c r="G40" s="28">
        <f>IF($P40="","",IF(INDEX(EntryTxnType,$P40)=0,"",INDEX(EntryTxnType,$P40)))</f>
        <v/>
      </c>
      <c r="H40" s="29">
        <f>IF($P40="","",IF(INDEX(EntryDep,$P40)=0,"",INDEX(EntryDep,$P40)))</f>
        <v/>
      </c>
      <c r="I40" s="29">
        <f>IF($P40="","",IF(INDEX(EntryWit,$P40)=0,"",INDEX(EntryWit,$P40)))</f>
        <v/>
      </c>
      <c r="J40" s="29">
        <f>IF($B40="","",IF($A40=1,$C$7,IF(J39="",0,J39))+IF($H40="",0,$H40)-IF($I40="",0,$I40))</f>
        <v/>
      </c>
      <c r="K40" s="29">
        <f>IF($P40="","",IF(INDEX(EntryMan,$P40)=0,"",INDEX(EntryMan,$P40)))</f>
        <v/>
      </c>
      <c r="L40" s="28">
        <f>IF($B40="","",IF($K40="","—",IF(ROUND($K40-$J40,0)=0,"√","×")))</f>
        <v/>
      </c>
      <c r="M40" s="28">
        <f>IF($B40="","",IF(COUNTIFS(EntryDates,$B40,CalcTime,$C40,CalcBank,$C$5,EntryParty,$D40,EntryDep,$H40,EntryWit,$I40)&gt;1,"تکرار",""))</f>
        <v/>
      </c>
      <c r="N40" s="28">
        <f>IF($P40="","",IF(INDEX(EntryNotes,$P40)=0,"",INDEX(EntryNotes,$P40)))</f>
        <v/>
      </c>
      <c r="O40" s="28">
        <f>IF($P40="","",IF(INDEX(EntryTxnID,$P40)=0,"",INDEX(EntryTxnID,$P40)))</f>
        <v/>
      </c>
      <c r="P40" s="28">
        <f>IFERROR(MATCH($C$5&amp;"|"&amp;RIGHT("000000"&amp;24,6),CalcRankKey,0),"")</f>
        <v/>
      </c>
    </row>
    <row r="41">
      <c r="A41" s="26">
        <f>IF($B41="","",25)</f>
        <v/>
      </c>
      <c r="B41" s="26">
        <f>IF($P41="","",IF(INDEX(CalcNormDate,$P41)=0,"",INDEX(CalcNormDate,$P41)))</f>
        <v/>
      </c>
      <c r="C41" s="26">
        <f>IF($P41="","",IF(INDEX(CalcTime,$P41)=0,"",INDEX(CalcTime,$P41)))</f>
        <v/>
      </c>
      <c r="D41" s="26">
        <f>IF($P41="","",IF(INDEX(EntryParty,$P41)=0,"",INDEX(EntryParty,$P41)))</f>
        <v/>
      </c>
      <c r="E41" s="26">
        <f>IF($P41="","",IF(INDEX(EntryPartyName,$P41)=0,"",INDEX(EntryPartyName,$P41)))</f>
        <v/>
      </c>
      <c r="F41" s="26">
        <f>IF($P41="","",IF(INDEX(EntryPartyType,$P41)=0,"",INDEX(EntryPartyType,$P41)))</f>
        <v/>
      </c>
      <c r="G41" s="26">
        <f>IF($P41="","",IF(INDEX(EntryTxnType,$P41)=0,"",INDEX(EntryTxnType,$P41)))</f>
        <v/>
      </c>
      <c r="H41" s="27">
        <f>IF($P41="","",IF(INDEX(EntryDep,$P41)=0,"",INDEX(EntryDep,$P41)))</f>
        <v/>
      </c>
      <c r="I41" s="27">
        <f>IF($P41="","",IF(INDEX(EntryWit,$P41)=0,"",INDEX(EntryWit,$P41)))</f>
        <v/>
      </c>
      <c r="J41" s="27">
        <f>IF($B41="","",IF($A41=1,$C$7,IF(J40="",0,J40))+IF($H41="",0,$H41)-IF($I41="",0,$I41))</f>
        <v/>
      </c>
      <c r="K41" s="27">
        <f>IF($P41="","",IF(INDEX(EntryMan,$P41)=0,"",INDEX(EntryMan,$P41)))</f>
        <v/>
      </c>
      <c r="L41" s="26">
        <f>IF($B41="","",IF($K41="","—",IF(ROUND($K41-$J41,0)=0,"√","×")))</f>
        <v/>
      </c>
      <c r="M41" s="26">
        <f>IF($B41="","",IF(COUNTIFS(EntryDates,$B41,CalcTime,$C41,CalcBank,$C$5,EntryParty,$D41,EntryDep,$H41,EntryWit,$I41)&gt;1,"تکرار",""))</f>
        <v/>
      </c>
      <c r="N41" s="26">
        <f>IF($P41="","",IF(INDEX(EntryNotes,$P41)=0,"",INDEX(EntryNotes,$P41)))</f>
        <v/>
      </c>
      <c r="O41" s="26">
        <f>IF($P41="","",IF(INDEX(EntryTxnID,$P41)=0,"",INDEX(EntryTxnID,$P41)))</f>
        <v/>
      </c>
      <c r="P41" s="26">
        <f>IFERROR(MATCH($C$5&amp;"|"&amp;RIGHT("000000"&amp;25,6),CalcRankKey,0),"")</f>
        <v/>
      </c>
    </row>
    <row r="42">
      <c r="A42" s="28">
        <f>IF($B42="","",26)</f>
        <v/>
      </c>
      <c r="B42" s="28">
        <f>IF($P42="","",IF(INDEX(CalcNormDate,$P42)=0,"",INDEX(CalcNormDate,$P42)))</f>
        <v/>
      </c>
      <c r="C42" s="28">
        <f>IF($P42="","",IF(INDEX(CalcTime,$P42)=0,"",INDEX(CalcTime,$P42)))</f>
        <v/>
      </c>
      <c r="D42" s="28">
        <f>IF($P42="","",IF(INDEX(EntryParty,$P42)=0,"",INDEX(EntryParty,$P42)))</f>
        <v/>
      </c>
      <c r="E42" s="28">
        <f>IF($P42="","",IF(INDEX(EntryPartyName,$P42)=0,"",INDEX(EntryPartyName,$P42)))</f>
        <v/>
      </c>
      <c r="F42" s="28">
        <f>IF($P42="","",IF(INDEX(EntryPartyType,$P42)=0,"",INDEX(EntryPartyType,$P42)))</f>
        <v/>
      </c>
      <c r="G42" s="28">
        <f>IF($P42="","",IF(INDEX(EntryTxnType,$P42)=0,"",INDEX(EntryTxnType,$P42)))</f>
        <v/>
      </c>
      <c r="H42" s="29">
        <f>IF($P42="","",IF(INDEX(EntryDep,$P42)=0,"",INDEX(EntryDep,$P42)))</f>
        <v/>
      </c>
      <c r="I42" s="29">
        <f>IF($P42="","",IF(INDEX(EntryWit,$P42)=0,"",INDEX(EntryWit,$P42)))</f>
        <v/>
      </c>
      <c r="J42" s="29">
        <f>IF($B42="","",IF($A42=1,$C$7,IF(J41="",0,J41))+IF($H42="",0,$H42)-IF($I42="",0,$I42))</f>
        <v/>
      </c>
      <c r="K42" s="29">
        <f>IF($P42="","",IF(INDEX(EntryMan,$P42)=0,"",INDEX(EntryMan,$P42)))</f>
        <v/>
      </c>
      <c r="L42" s="28">
        <f>IF($B42="","",IF($K42="","—",IF(ROUND($K42-$J42,0)=0,"√","×")))</f>
        <v/>
      </c>
      <c r="M42" s="28">
        <f>IF($B42="","",IF(COUNTIFS(EntryDates,$B42,CalcTime,$C42,CalcBank,$C$5,EntryParty,$D42,EntryDep,$H42,EntryWit,$I42)&gt;1,"تکرار",""))</f>
        <v/>
      </c>
      <c r="N42" s="28">
        <f>IF($P42="","",IF(INDEX(EntryNotes,$P42)=0,"",INDEX(EntryNotes,$P42)))</f>
        <v/>
      </c>
      <c r="O42" s="28">
        <f>IF($P42="","",IF(INDEX(EntryTxnID,$P42)=0,"",INDEX(EntryTxnID,$P42)))</f>
        <v/>
      </c>
      <c r="P42" s="28">
        <f>IFERROR(MATCH($C$5&amp;"|"&amp;RIGHT("000000"&amp;26,6),CalcRankKey,0),"")</f>
        <v/>
      </c>
    </row>
    <row r="43">
      <c r="A43" s="26">
        <f>IF($B43="","",27)</f>
        <v/>
      </c>
      <c r="B43" s="26">
        <f>IF($P43="","",IF(INDEX(CalcNormDate,$P43)=0,"",INDEX(CalcNormDate,$P43)))</f>
        <v/>
      </c>
      <c r="C43" s="26">
        <f>IF($P43="","",IF(INDEX(CalcTime,$P43)=0,"",INDEX(CalcTime,$P43)))</f>
        <v/>
      </c>
      <c r="D43" s="26">
        <f>IF($P43="","",IF(INDEX(EntryParty,$P43)=0,"",INDEX(EntryParty,$P43)))</f>
        <v/>
      </c>
      <c r="E43" s="26">
        <f>IF($P43="","",IF(INDEX(EntryPartyName,$P43)=0,"",INDEX(EntryPartyName,$P43)))</f>
        <v/>
      </c>
      <c r="F43" s="26">
        <f>IF($P43="","",IF(INDEX(EntryPartyType,$P43)=0,"",INDEX(EntryPartyType,$P43)))</f>
        <v/>
      </c>
      <c r="G43" s="26">
        <f>IF($P43="","",IF(INDEX(EntryTxnType,$P43)=0,"",INDEX(EntryTxnType,$P43)))</f>
        <v/>
      </c>
      <c r="H43" s="27">
        <f>IF($P43="","",IF(INDEX(EntryDep,$P43)=0,"",INDEX(EntryDep,$P43)))</f>
        <v/>
      </c>
      <c r="I43" s="27">
        <f>IF($P43="","",IF(INDEX(EntryWit,$P43)=0,"",INDEX(EntryWit,$P43)))</f>
        <v/>
      </c>
      <c r="J43" s="27">
        <f>IF($B43="","",IF($A43=1,$C$7,IF(J42="",0,J42))+IF($H43="",0,$H43)-IF($I43="",0,$I43))</f>
        <v/>
      </c>
      <c r="K43" s="27">
        <f>IF($P43="","",IF(INDEX(EntryMan,$P43)=0,"",INDEX(EntryMan,$P43)))</f>
        <v/>
      </c>
      <c r="L43" s="26">
        <f>IF($B43="","",IF($K43="","—",IF(ROUND($K43-$J43,0)=0,"√","×")))</f>
        <v/>
      </c>
      <c r="M43" s="26">
        <f>IF($B43="","",IF(COUNTIFS(EntryDates,$B43,CalcTime,$C43,CalcBank,$C$5,EntryParty,$D43,EntryDep,$H43,EntryWit,$I43)&gt;1,"تکرار",""))</f>
        <v/>
      </c>
      <c r="N43" s="26">
        <f>IF($P43="","",IF(INDEX(EntryNotes,$P43)=0,"",INDEX(EntryNotes,$P43)))</f>
        <v/>
      </c>
      <c r="O43" s="26">
        <f>IF($P43="","",IF(INDEX(EntryTxnID,$P43)=0,"",INDEX(EntryTxnID,$P43)))</f>
        <v/>
      </c>
      <c r="P43" s="26">
        <f>IFERROR(MATCH($C$5&amp;"|"&amp;RIGHT("000000"&amp;27,6),CalcRankKey,0),"")</f>
        <v/>
      </c>
    </row>
    <row r="44">
      <c r="A44" s="28">
        <f>IF($B44="","",28)</f>
        <v/>
      </c>
      <c r="B44" s="28">
        <f>IF($P44="","",IF(INDEX(CalcNormDate,$P44)=0,"",INDEX(CalcNormDate,$P44)))</f>
        <v/>
      </c>
      <c r="C44" s="28">
        <f>IF($P44="","",IF(INDEX(CalcTime,$P44)=0,"",INDEX(CalcTime,$P44)))</f>
        <v/>
      </c>
      <c r="D44" s="28">
        <f>IF($P44="","",IF(INDEX(EntryParty,$P44)=0,"",INDEX(EntryParty,$P44)))</f>
        <v/>
      </c>
      <c r="E44" s="28">
        <f>IF($P44="","",IF(INDEX(EntryPartyName,$P44)=0,"",INDEX(EntryPartyName,$P44)))</f>
        <v/>
      </c>
      <c r="F44" s="28">
        <f>IF($P44="","",IF(INDEX(EntryPartyType,$P44)=0,"",INDEX(EntryPartyType,$P44)))</f>
        <v/>
      </c>
      <c r="G44" s="28">
        <f>IF($P44="","",IF(INDEX(EntryTxnType,$P44)=0,"",INDEX(EntryTxnType,$P44)))</f>
        <v/>
      </c>
      <c r="H44" s="29">
        <f>IF($P44="","",IF(INDEX(EntryDep,$P44)=0,"",INDEX(EntryDep,$P44)))</f>
        <v/>
      </c>
      <c r="I44" s="29">
        <f>IF($P44="","",IF(INDEX(EntryWit,$P44)=0,"",INDEX(EntryWit,$P44)))</f>
        <v/>
      </c>
      <c r="J44" s="29">
        <f>IF($B44="","",IF($A44=1,$C$7,IF(J43="",0,J43))+IF($H44="",0,$H44)-IF($I44="",0,$I44))</f>
        <v/>
      </c>
      <c r="K44" s="29">
        <f>IF($P44="","",IF(INDEX(EntryMan,$P44)=0,"",INDEX(EntryMan,$P44)))</f>
        <v/>
      </c>
      <c r="L44" s="28">
        <f>IF($B44="","",IF($K44="","—",IF(ROUND($K44-$J44,0)=0,"√","×")))</f>
        <v/>
      </c>
      <c r="M44" s="28">
        <f>IF($B44="","",IF(COUNTIFS(EntryDates,$B44,CalcTime,$C44,CalcBank,$C$5,EntryParty,$D44,EntryDep,$H44,EntryWit,$I44)&gt;1,"تکرار",""))</f>
        <v/>
      </c>
      <c r="N44" s="28">
        <f>IF($P44="","",IF(INDEX(EntryNotes,$P44)=0,"",INDEX(EntryNotes,$P44)))</f>
        <v/>
      </c>
      <c r="O44" s="28">
        <f>IF($P44="","",IF(INDEX(EntryTxnID,$P44)=0,"",INDEX(EntryTxnID,$P44)))</f>
        <v/>
      </c>
      <c r="P44" s="28">
        <f>IFERROR(MATCH($C$5&amp;"|"&amp;RIGHT("000000"&amp;28,6),CalcRankKey,0),"")</f>
        <v/>
      </c>
    </row>
    <row r="45">
      <c r="A45" s="26">
        <f>IF($B45="","",29)</f>
        <v/>
      </c>
      <c r="B45" s="26">
        <f>IF($P45="","",IF(INDEX(CalcNormDate,$P45)=0,"",INDEX(CalcNormDate,$P45)))</f>
        <v/>
      </c>
      <c r="C45" s="26">
        <f>IF($P45="","",IF(INDEX(CalcTime,$P45)=0,"",INDEX(CalcTime,$P45)))</f>
        <v/>
      </c>
      <c r="D45" s="26">
        <f>IF($P45="","",IF(INDEX(EntryParty,$P45)=0,"",INDEX(EntryParty,$P45)))</f>
        <v/>
      </c>
      <c r="E45" s="26">
        <f>IF($P45="","",IF(INDEX(EntryPartyName,$P45)=0,"",INDEX(EntryPartyName,$P45)))</f>
        <v/>
      </c>
      <c r="F45" s="26">
        <f>IF($P45="","",IF(INDEX(EntryPartyType,$P45)=0,"",INDEX(EntryPartyType,$P45)))</f>
        <v/>
      </c>
      <c r="G45" s="26">
        <f>IF($P45="","",IF(INDEX(EntryTxnType,$P45)=0,"",INDEX(EntryTxnType,$P45)))</f>
        <v/>
      </c>
      <c r="H45" s="27">
        <f>IF($P45="","",IF(INDEX(EntryDep,$P45)=0,"",INDEX(EntryDep,$P45)))</f>
        <v/>
      </c>
      <c r="I45" s="27">
        <f>IF($P45="","",IF(INDEX(EntryWit,$P45)=0,"",INDEX(EntryWit,$P45)))</f>
        <v/>
      </c>
      <c r="J45" s="27">
        <f>IF($B45="","",IF($A45=1,$C$7,IF(J44="",0,J44))+IF($H45="",0,$H45)-IF($I45="",0,$I45))</f>
        <v/>
      </c>
      <c r="K45" s="27">
        <f>IF($P45="","",IF(INDEX(EntryMan,$P45)=0,"",INDEX(EntryMan,$P45)))</f>
        <v/>
      </c>
      <c r="L45" s="26">
        <f>IF($B45="","",IF($K45="","—",IF(ROUND($K45-$J45,0)=0,"√","×")))</f>
        <v/>
      </c>
      <c r="M45" s="26">
        <f>IF($B45="","",IF(COUNTIFS(EntryDates,$B45,CalcTime,$C45,CalcBank,$C$5,EntryParty,$D45,EntryDep,$H45,EntryWit,$I45)&gt;1,"تکرار",""))</f>
        <v/>
      </c>
      <c r="N45" s="26">
        <f>IF($P45="","",IF(INDEX(EntryNotes,$P45)=0,"",INDEX(EntryNotes,$P45)))</f>
        <v/>
      </c>
      <c r="O45" s="26">
        <f>IF($P45="","",IF(INDEX(EntryTxnID,$P45)=0,"",INDEX(EntryTxnID,$P45)))</f>
        <v/>
      </c>
      <c r="P45" s="26">
        <f>IFERROR(MATCH($C$5&amp;"|"&amp;RIGHT("000000"&amp;29,6),CalcRankKey,0),"")</f>
        <v/>
      </c>
    </row>
    <row r="46">
      <c r="A46" s="28">
        <f>IF($B46="","",30)</f>
        <v/>
      </c>
      <c r="B46" s="28">
        <f>IF($P46="","",IF(INDEX(CalcNormDate,$P46)=0,"",INDEX(CalcNormDate,$P46)))</f>
        <v/>
      </c>
      <c r="C46" s="28">
        <f>IF($P46="","",IF(INDEX(CalcTime,$P46)=0,"",INDEX(CalcTime,$P46)))</f>
        <v/>
      </c>
      <c r="D46" s="28">
        <f>IF($P46="","",IF(INDEX(EntryParty,$P46)=0,"",INDEX(EntryParty,$P46)))</f>
        <v/>
      </c>
      <c r="E46" s="28">
        <f>IF($P46="","",IF(INDEX(EntryPartyName,$P46)=0,"",INDEX(EntryPartyName,$P46)))</f>
        <v/>
      </c>
      <c r="F46" s="28">
        <f>IF($P46="","",IF(INDEX(EntryPartyType,$P46)=0,"",INDEX(EntryPartyType,$P46)))</f>
        <v/>
      </c>
      <c r="G46" s="28">
        <f>IF($P46="","",IF(INDEX(EntryTxnType,$P46)=0,"",INDEX(EntryTxnType,$P46)))</f>
        <v/>
      </c>
      <c r="H46" s="29">
        <f>IF($P46="","",IF(INDEX(EntryDep,$P46)=0,"",INDEX(EntryDep,$P46)))</f>
        <v/>
      </c>
      <c r="I46" s="29">
        <f>IF($P46="","",IF(INDEX(EntryWit,$P46)=0,"",INDEX(EntryWit,$P46)))</f>
        <v/>
      </c>
      <c r="J46" s="29">
        <f>IF($B46="","",IF($A46=1,$C$7,IF(J45="",0,J45))+IF($H46="",0,$H46)-IF($I46="",0,$I46))</f>
        <v/>
      </c>
      <c r="K46" s="29">
        <f>IF($P46="","",IF(INDEX(EntryMan,$P46)=0,"",INDEX(EntryMan,$P46)))</f>
        <v/>
      </c>
      <c r="L46" s="28">
        <f>IF($B46="","",IF($K46="","—",IF(ROUND($K46-$J46,0)=0,"√","×")))</f>
        <v/>
      </c>
      <c r="M46" s="28">
        <f>IF($B46="","",IF(COUNTIFS(EntryDates,$B46,CalcTime,$C46,CalcBank,$C$5,EntryParty,$D46,EntryDep,$H46,EntryWit,$I46)&gt;1,"تکرار",""))</f>
        <v/>
      </c>
      <c r="N46" s="28">
        <f>IF($P46="","",IF(INDEX(EntryNotes,$P46)=0,"",INDEX(EntryNotes,$P46)))</f>
        <v/>
      </c>
      <c r="O46" s="28">
        <f>IF($P46="","",IF(INDEX(EntryTxnID,$P46)=0,"",INDEX(EntryTxnID,$P46)))</f>
        <v/>
      </c>
      <c r="P46" s="28">
        <f>IFERROR(MATCH($C$5&amp;"|"&amp;RIGHT("000000"&amp;30,6),CalcRankKey,0),"")</f>
        <v/>
      </c>
    </row>
    <row r="47">
      <c r="A47" s="26">
        <f>IF($B47="","",31)</f>
        <v/>
      </c>
      <c r="B47" s="26">
        <f>IF($P47="","",IF(INDEX(CalcNormDate,$P47)=0,"",INDEX(CalcNormDate,$P47)))</f>
        <v/>
      </c>
      <c r="C47" s="26">
        <f>IF($P47="","",IF(INDEX(CalcTime,$P47)=0,"",INDEX(CalcTime,$P47)))</f>
        <v/>
      </c>
      <c r="D47" s="26">
        <f>IF($P47="","",IF(INDEX(EntryParty,$P47)=0,"",INDEX(EntryParty,$P47)))</f>
        <v/>
      </c>
      <c r="E47" s="26">
        <f>IF($P47="","",IF(INDEX(EntryPartyName,$P47)=0,"",INDEX(EntryPartyName,$P47)))</f>
        <v/>
      </c>
      <c r="F47" s="26">
        <f>IF($P47="","",IF(INDEX(EntryPartyType,$P47)=0,"",INDEX(EntryPartyType,$P47)))</f>
        <v/>
      </c>
      <c r="G47" s="26">
        <f>IF($P47="","",IF(INDEX(EntryTxnType,$P47)=0,"",INDEX(EntryTxnType,$P47)))</f>
        <v/>
      </c>
      <c r="H47" s="27">
        <f>IF($P47="","",IF(INDEX(EntryDep,$P47)=0,"",INDEX(EntryDep,$P47)))</f>
        <v/>
      </c>
      <c r="I47" s="27">
        <f>IF($P47="","",IF(INDEX(EntryWit,$P47)=0,"",INDEX(EntryWit,$P47)))</f>
        <v/>
      </c>
      <c r="J47" s="27">
        <f>IF($B47="","",IF($A47=1,$C$7,IF(J46="",0,J46))+IF($H47="",0,$H47)-IF($I47="",0,$I47))</f>
        <v/>
      </c>
      <c r="K47" s="27">
        <f>IF($P47="","",IF(INDEX(EntryMan,$P47)=0,"",INDEX(EntryMan,$P47)))</f>
        <v/>
      </c>
      <c r="L47" s="26">
        <f>IF($B47="","",IF($K47="","—",IF(ROUND($K47-$J47,0)=0,"√","×")))</f>
        <v/>
      </c>
      <c r="M47" s="26">
        <f>IF($B47="","",IF(COUNTIFS(EntryDates,$B47,CalcTime,$C47,CalcBank,$C$5,EntryParty,$D47,EntryDep,$H47,EntryWit,$I47)&gt;1,"تکرار",""))</f>
        <v/>
      </c>
      <c r="N47" s="26">
        <f>IF($P47="","",IF(INDEX(EntryNotes,$P47)=0,"",INDEX(EntryNotes,$P47)))</f>
        <v/>
      </c>
      <c r="O47" s="26">
        <f>IF($P47="","",IF(INDEX(EntryTxnID,$P47)=0,"",INDEX(EntryTxnID,$P47)))</f>
        <v/>
      </c>
      <c r="P47" s="26">
        <f>IFERROR(MATCH($C$5&amp;"|"&amp;RIGHT("000000"&amp;31,6),CalcRankKey,0),"")</f>
        <v/>
      </c>
    </row>
    <row r="48">
      <c r="A48" s="28">
        <f>IF($B48="","",32)</f>
        <v/>
      </c>
      <c r="B48" s="28">
        <f>IF($P48="","",IF(INDEX(CalcNormDate,$P48)=0,"",INDEX(CalcNormDate,$P48)))</f>
        <v/>
      </c>
      <c r="C48" s="28">
        <f>IF($P48="","",IF(INDEX(CalcTime,$P48)=0,"",INDEX(CalcTime,$P48)))</f>
        <v/>
      </c>
      <c r="D48" s="28">
        <f>IF($P48="","",IF(INDEX(EntryParty,$P48)=0,"",INDEX(EntryParty,$P48)))</f>
        <v/>
      </c>
      <c r="E48" s="28">
        <f>IF($P48="","",IF(INDEX(EntryPartyName,$P48)=0,"",INDEX(EntryPartyName,$P48)))</f>
        <v/>
      </c>
      <c r="F48" s="28">
        <f>IF($P48="","",IF(INDEX(EntryPartyType,$P48)=0,"",INDEX(EntryPartyType,$P48)))</f>
        <v/>
      </c>
      <c r="G48" s="28">
        <f>IF($P48="","",IF(INDEX(EntryTxnType,$P48)=0,"",INDEX(EntryTxnType,$P48)))</f>
        <v/>
      </c>
      <c r="H48" s="29">
        <f>IF($P48="","",IF(INDEX(EntryDep,$P48)=0,"",INDEX(EntryDep,$P48)))</f>
        <v/>
      </c>
      <c r="I48" s="29">
        <f>IF($P48="","",IF(INDEX(EntryWit,$P48)=0,"",INDEX(EntryWit,$P48)))</f>
        <v/>
      </c>
      <c r="J48" s="29">
        <f>IF($B48="","",IF($A48=1,$C$7,IF(J47="",0,J47))+IF($H48="",0,$H48)-IF($I48="",0,$I48))</f>
        <v/>
      </c>
      <c r="K48" s="29">
        <f>IF($P48="","",IF(INDEX(EntryMan,$P48)=0,"",INDEX(EntryMan,$P48)))</f>
        <v/>
      </c>
      <c r="L48" s="28">
        <f>IF($B48="","",IF($K48="","—",IF(ROUND($K48-$J48,0)=0,"√","×")))</f>
        <v/>
      </c>
      <c r="M48" s="28">
        <f>IF($B48="","",IF(COUNTIFS(EntryDates,$B48,CalcTime,$C48,CalcBank,$C$5,EntryParty,$D48,EntryDep,$H48,EntryWit,$I48)&gt;1,"تکرار",""))</f>
        <v/>
      </c>
      <c r="N48" s="28">
        <f>IF($P48="","",IF(INDEX(EntryNotes,$P48)=0,"",INDEX(EntryNotes,$P48)))</f>
        <v/>
      </c>
      <c r="O48" s="28">
        <f>IF($P48="","",IF(INDEX(EntryTxnID,$P48)=0,"",INDEX(EntryTxnID,$P48)))</f>
        <v/>
      </c>
      <c r="P48" s="28">
        <f>IFERROR(MATCH($C$5&amp;"|"&amp;RIGHT("000000"&amp;32,6),CalcRankKey,0),"")</f>
        <v/>
      </c>
    </row>
    <row r="49">
      <c r="A49" s="26">
        <f>IF($B49="","",33)</f>
        <v/>
      </c>
      <c r="B49" s="26">
        <f>IF($P49="","",IF(INDEX(CalcNormDate,$P49)=0,"",INDEX(CalcNormDate,$P49)))</f>
        <v/>
      </c>
      <c r="C49" s="26">
        <f>IF($P49="","",IF(INDEX(CalcTime,$P49)=0,"",INDEX(CalcTime,$P49)))</f>
        <v/>
      </c>
      <c r="D49" s="26">
        <f>IF($P49="","",IF(INDEX(EntryParty,$P49)=0,"",INDEX(EntryParty,$P49)))</f>
        <v/>
      </c>
      <c r="E49" s="26">
        <f>IF($P49="","",IF(INDEX(EntryPartyName,$P49)=0,"",INDEX(EntryPartyName,$P49)))</f>
        <v/>
      </c>
      <c r="F49" s="26">
        <f>IF($P49="","",IF(INDEX(EntryPartyType,$P49)=0,"",INDEX(EntryPartyType,$P49)))</f>
        <v/>
      </c>
      <c r="G49" s="26">
        <f>IF($P49="","",IF(INDEX(EntryTxnType,$P49)=0,"",INDEX(EntryTxnType,$P49)))</f>
        <v/>
      </c>
      <c r="H49" s="27">
        <f>IF($P49="","",IF(INDEX(EntryDep,$P49)=0,"",INDEX(EntryDep,$P49)))</f>
        <v/>
      </c>
      <c r="I49" s="27">
        <f>IF($P49="","",IF(INDEX(EntryWit,$P49)=0,"",INDEX(EntryWit,$P49)))</f>
        <v/>
      </c>
      <c r="J49" s="27">
        <f>IF($B49="","",IF($A49=1,$C$7,IF(J48="",0,J48))+IF($H49="",0,$H49)-IF($I49="",0,$I49))</f>
        <v/>
      </c>
      <c r="K49" s="27">
        <f>IF($P49="","",IF(INDEX(EntryMan,$P49)=0,"",INDEX(EntryMan,$P49)))</f>
        <v/>
      </c>
      <c r="L49" s="26">
        <f>IF($B49="","",IF($K49="","—",IF(ROUND($K49-$J49,0)=0,"√","×")))</f>
        <v/>
      </c>
      <c r="M49" s="26">
        <f>IF($B49="","",IF(COUNTIFS(EntryDates,$B49,CalcTime,$C49,CalcBank,$C$5,EntryParty,$D49,EntryDep,$H49,EntryWit,$I49)&gt;1,"تکرار",""))</f>
        <v/>
      </c>
      <c r="N49" s="26">
        <f>IF($P49="","",IF(INDEX(EntryNotes,$P49)=0,"",INDEX(EntryNotes,$P49)))</f>
        <v/>
      </c>
      <c r="O49" s="26">
        <f>IF($P49="","",IF(INDEX(EntryTxnID,$P49)=0,"",INDEX(EntryTxnID,$P49)))</f>
        <v/>
      </c>
      <c r="P49" s="26">
        <f>IFERROR(MATCH($C$5&amp;"|"&amp;RIGHT("000000"&amp;33,6),CalcRankKey,0),"")</f>
        <v/>
      </c>
    </row>
    <row r="50">
      <c r="A50" s="28">
        <f>IF($B50="","",34)</f>
        <v/>
      </c>
      <c r="B50" s="28">
        <f>IF($P50="","",IF(INDEX(CalcNormDate,$P50)=0,"",INDEX(CalcNormDate,$P50)))</f>
        <v/>
      </c>
      <c r="C50" s="28">
        <f>IF($P50="","",IF(INDEX(CalcTime,$P50)=0,"",INDEX(CalcTime,$P50)))</f>
        <v/>
      </c>
      <c r="D50" s="28">
        <f>IF($P50="","",IF(INDEX(EntryParty,$P50)=0,"",INDEX(EntryParty,$P50)))</f>
        <v/>
      </c>
      <c r="E50" s="28">
        <f>IF($P50="","",IF(INDEX(EntryPartyName,$P50)=0,"",INDEX(EntryPartyName,$P50)))</f>
        <v/>
      </c>
      <c r="F50" s="28">
        <f>IF($P50="","",IF(INDEX(EntryPartyType,$P50)=0,"",INDEX(EntryPartyType,$P50)))</f>
        <v/>
      </c>
      <c r="G50" s="28">
        <f>IF($P50="","",IF(INDEX(EntryTxnType,$P50)=0,"",INDEX(EntryTxnType,$P50)))</f>
        <v/>
      </c>
      <c r="H50" s="29">
        <f>IF($P50="","",IF(INDEX(EntryDep,$P50)=0,"",INDEX(EntryDep,$P50)))</f>
        <v/>
      </c>
      <c r="I50" s="29">
        <f>IF($P50="","",IF(INDEX(EntryWit,$P50)=0,"",INDEX(EntryWit,$P50)))</f>
        <v/>
      </c>
      <c r="J50" s="29">
        <f>IF($B50="","",IF($A50=1,$C$7,IF(J49="",0,J49))+IF($H50="",0,$H50)-IF($I50="",0,$I50))</f>
        <v/>
      </c>
      <c r="K50" s="29">
        <f>IF($P50="","",IF(INDEX(EntryMan,$P50)=0,"",INDEX(EntryMan,$P50)))</f>
        <v/>
      </c>
      <c r="L50" s="28">
        <f>IF($B50="","",IF($K50="","—",IF(ROUND($K50-$J50,0)=0,"√","×")))</f>
        <v/>
      </c>
      <c r="M50" s="28">
        <f>IF($B50="","",IF(COUNTIFS(EntryDates,$B50,CalcTime,$C50,CalcBank,$C$5,EntryParty,$D50,EntryDep,$H50,EntryWit,$I50)&gt;1,"تکرار",""))</f>
        <v/>
      </c>
      <c r="N50" s="28">
        <f>IF($P50="","",IF(INDEX(EntryNotes,$P50)=0,"",INDEX(EntryNotes,$P50)))</f>
        <v/>
      </c>
      <c r="O50" s="28">
        <f>IF($P50="","",IF(INDEX(EntryTxnID,$P50)=0,"",INDEX(EntryTxnID,$P50)))</f>
        <v/>
      </c>
      <c r="P50" s="28">
        <f>IFERROR(MATCH($C$5&amp;"|"&amp;RIGHT("000000"&amp;34,6),CalcRankKey,0),"")</f>
        <v/>
      </c>
    </row>
    <row r="51">
      <c r="A51" s="26">
        <f>IF($B51="","",35)</f>
        <v/>
      </c>
      <c r="B51" s="26">
        <f>IF($P51="","",IF(INDEX(CalcNormDate,$P51)=0,"",INDEX(CalcNormDate,$P51)))</f>
        <v/>
      </c>
      <c r="C51" s="26">
        <f>IF($P51="","",IF(INDEX(CalcTime,$P51)=0,"",INDEX(CalcTime,$P51)))</f>
        <v/>
      </c>
      <c r="D51" s="26">
        <f>IF($P51="","",IF(INDEX(EntryParty,$P51)=0,"",INDEX(EntryParty,$P51)))</f>
        <v/>
      </c>
      <c r="E51" s="26">
        <f>IF($P51="","",IF(INDEX(EntryPartyName,$P51)=0,"",INDEX(EntryPartyName,$P51)))</f>
        <v/>
      </c>
      <c r="F51" s="26">
        <f>IF($P51="","",IF(INDEX(EntryPartyType,$P51)=0,"",INDEX(EntryPartyType,$P51)))</f>
        <v/>
      </c>
      <c r="G51" s="26">
        <f>IF($P51="","",IF(INDEX(EntryTxnType,$P51)=0,"",INDEX(EntryTxnType,$P51)))</f>
        <v/>
      </c>
      <c r="H51" s="27">
        <f>IF($P51="","",IF(INDEX(EntryDep,$P51)=0,"",INDEX(EntryDep,$P51)))</f>
        <v/>
      </c>
      <c r="I51" s="27">
        <f>IF($P51="","",IF(INDEX(EntryWit,$P51)=0,"",INDEX(EntryWit,$P51)))</f>
        <v/>
      </c>
      <c r="J51" s="27">
        <f>IF($B51="","",IF($A51=1,$C$7,IF(J50="",0,J50))+IF($H51="",0,$H51)-IF($I51="",0,$I51))</f>
        <v/>
      </c>
      <c r="K51" s="27">
        <f>IF($P51="","",IF(INDEX(EntryMan,$P51)=0,"",INDEX(EntryMan,$P51)))</f>
        <v/>
      </c>
      <c r="L51" s="26">
        <f>IF($B51="","",IF($K51="","—",IF(ROUND($K51-$J51,0)=0,"√","×")))</f>
        <v/>
      </c>
      <c r="M51" s="26">
        <f>IF($B51="","",IF(COUNTIFS(EntryDates,$B51,CalcTime,$C51,CalcBank,$C$5,EntryParty,$D51,EntryDep,$H51,EntryWit,$I51)&gt;1,"تکرار",""))</f>
        <v/>
      </c>
      <c r="N51" s="26">
        <f>IF($P51="","",IF(INDEX(EntryNotes,$P51)=0,"",INDEX(EntryNotes,$P51)))</f>
        <v/>
      </c>
      <c r="O51" s="26">
        <f>IF($P51="","",IF(INDEX(EntryTxnID,$P51)=0,"",INDEX(EntryTxnID,$P51)))</f>
        <v/>
      </c>
      <c r="P51" s="26">
        <f>IFERROR(MATCH($C$5&amp;"|"&amp;RIGHT("000000"&amp;35,6),CalcRankKey,0),"")</f>
        <v/>
      </c>
    </row>
    <row r="52">
      <c r="A52" s="28">
        <f>IF($B52="","",36)</f>
        <v/>
      </c>
      <c r="B52" s="28">
        <f>IF($P52="","",IF(INDEX(CalcNormDate,$P52)=0,"",INDEX(CalcNormDate,$P52)))</f>
        <v/>
      </c>
      <c r="C52" s="28">
        <f>IF($P52="","",IF(INDEX(CalcTime,$P52)=0,"",INDEX(CalcTime,$P52)))</f>
        <v/>
      </c>
      <c r="D52" s="28">
        <f>IF($P52="","",IF(INDEX(EntryParty,$P52)=0,"",INDEX(EntryParty,$P52)))</f>
        <v/>
      </c>
      <c r="E52" s="28">
        <f>IF($P52="","",IF(INDEX(EntryPartyName,$P52)=0,"",INDEX(EntryPartyName,$P52)))</f>
        <v/>
      </c>
      <c r="F52" s="28">
        <f>IF($P52="","",IF(INDEX(EntryPartyType,$P52)=0,"",INDEX(EntryPartyType,$P52)))</f>
        <v/>
      </c>
      <c r="G52" s="28">
        <f>IF($P52="","",IF(INDEX(EntryTxnType,$P52)=0,"",INDEX(EntryTxnType,$P52)))</f>
        <v/>
      </c>
      <c r="H52" s="29">
        <f>IF($P52="","",IF(INDEX(EntryDep,$P52)=0,"",INDEX(EntryDep,$P52)))</f>
        <v/>
      </c>
      <c r="I52" s="29">
        <f>IF($P52="","",IF(INDEX(EntryWit,$P52)=0,"",INDEX(EntryWit,$P52)))</f>
        <v/>
      </c>
      <c r="J52" s="29">
        <f>IF($B52="","",IF($A52=1,$C$7,IF(J51="",0,J51))+IF($H52="",0,$H52)-IF($I52="",0,$I52))</f>
        <v/>
      </c>
      <c r="K52" s="29">
        <f>IF($P52="","",IF(INDEX(EntryMan,$P52)=0,"",INDEX(EntryMan,$P52)))</f>
        <v/>
      </c>
      <c r="L52" s="28">
        <f>IF($B52="","",IF($K52="","—",IF(ROUND($K52-$J52,0)=0,"√","×")))</f>
        <v/>
      </c>
      <c r="M52" s="28">
        <f>IF($B52="","",IF(COUNTIFS(EntryDates,$B52,CalcTime,$C52,CalcBank,$C$5,EntryParty,$D52,EntryDep,$H52,EntryWit,$I52)&gt;1,"تکرار",""))</f>
        <v/>
      </c>
      <c r="N52" s="28">
        <f>IF($P52="","",IF(INDEX(EntryNotes,$P52)=0,"",INDEX(EntryNotes,$P52)))</f>
        <v/>
      </c>
      <c r="O52" s="28">
        <f>IF($P52="","",IF(INDEX(EntryTxnID,$P52)=0,"",INDEX(EntryTxnID,$P52)))</f>
        <v/>
      </c>
      <c r="P52" s="28">
        <f>IFERROR(MATCH($C$5&amp;"|"&amp;RIGHT("000000"&amp;36,6),CalcRankKey,0),"")</f>
        <v/>
      </c>
    </row>
    <row r="53">
      <c r="A53" s="26">
        <f>IF($B53="","",37)</f>
        <v/>
      </c>
      <c r="B53" s="26">
        <f>IF($P53="","",IF(INDEX(CalcNormDate,$P53)=0,"",INDEX(CalcNormDate,$P53)))</f>
        <v/>
      </c>
      <c r="C53" s="26">
        <f>IF($P53="","",IF(INDEX(CalcTime,$P53)=0,"",INDEX(CalcTime,$P53)))</f>
        <v/>
      </c>
      <c r="D53" s="26">
        <f>IF($P53="","",IF(INDEX(EntryParty,$P53)=0,"",INDEX(EntryParty,$P53)))</f>
        <v/>
      </c>
      <c r="E53" s="26">
        <f>IF($P53="","",IF(INDEX(EntryPartyName,$P53)=0,"",INDEX(EntryPartyName,$P53)))</f>
        <v/>
      </c>
      <c r="F53" s="26">
        <f>IF($P53="","",IF(INDEX(EntryPartyType,$P53)=0,"",INDEX(EntryPartyType,$P53)))</f>
        <v/>
      </c>
      <c r="G53" s="26">
        <f>IF($P53="","",IF(INDEX(EntryTxnType,$P53)=0,"",INDEX(EntryTxnType,$P53)))</f>
        <v/>
      </c>
      <c r="H53" s="27">
        <f>IF($P53="","",IF(INDEX(EntryDep,$P53)=0,"",INDEX(EntryDep,$P53)))</f>
        <v/>
      </c>
      <c r="I53" s="27">
        <f>IF($P53="","",IF(INDEX(EntryWit,$P53)=0,"",INDEX(EntryWit,$P53)))</f>
        <v/>
      </c>
      <c r="J53" s="27">
        <f>IF($B53="","",IF($A53=1,$C$7,IF(J52="",0,J52))+IF($H53="",0,$H53)-IF($I53="",0,$I53))</f>
        <v/>
      </c>
      <c r="K53" s="27">
        <f>IF($P53="","",IF(INDEX(EntryMan,$P53)=0,"",INDEX(EntryMan,$P53)))</f>
        <v/>
      </c>
      <c r="L53" s="26">
        <f>IF($B53="","",IF($K53="","—",IF(ROUND($K53-$J53,0)=0,"√","×")))</f>
        <v/>
      </c>
      <c r="M53" s="26">
        <f>IF($B53="","",IF(COUNTIFS(EntryDates,$B53,CalcTime,$C53,CalcBank,$C$5,EntryParty,$D53,EntryDep,$H53,EntryWit,$I53)&gt;1,"تکرار",""))</f>
        <v/>
      </c>
      <c r="N53" s="26">
        <f>IF($P53="","",IF(INDEX(EntryNotes,$P53)=0,"",INDEX(EntryNotes,$P53)))</f>
        <v/>
      </c>
      <c r="O53" s="26">
        <f>IF($P53="","",IF(INDEX(EntryTxnID,$P53)=0,"",INDEX(EntryTxnID,$P53)))</f>
        <v/>
      </c>
      <c r="P53" s="26">
        <f>IFERROR(MATCH($C$5&amp;"|"&amp;RIGHT("000000"&amp;37,6),CalcRankKey,0),"")</f>
        <v/>
      </c>
    </row>
    <row r="54">
      <c r="A54" s="28">
        <f>IF($B54="","",38)</f>
        <v/>
      </c>
      <c r="B54" s="28">
        <f>IF($P54="","",IF(INDEX(CalcNormDate,$P54)=0,"",INDEX(CalcNormDate,$P54)))</f>
        <v/>
      </c>
      <c r="C54" s="28">
        <f>IF($P54="","",IF(INDEX(CalcTime,$P54)=0,"",INDEX(CalcTime,$P54)))</f>
        <v/>
      </c>
      <c r="D54" s="28">
        <f>IF($P54="","",IF(INDEX(EntryParty,$P54)=0,"",INDEX(EntryParty,$P54)))</f>
        <v/>
      </c>
      <c r="E54" s="28">
        <f>IF($P54="","",IF(INDEX(EntryPartyName,$P54)=0,"",INDEX(EntryPartyName,$P54)))</f>
        <v/>
      </c>
      <c r="F54" s="28">
        <f>IF($P54="","",IF(INDEX(EntryPartyType,$P54)=0,"",INDEX(EntryPartyType,$P54)))</f>
        <v/>
      </c>
      <c r="G54" s="28">
        <f>IF($P54="","",IF(INDEX(EntryTxnType,$P54)=0,"",INDEX(EntryTxnType,$P54)))</f>
        <v/>
      </c>
      <c r="H54" s="29">
        <f>IF($P54="","",IF(INDEX(EntryDep,$P54)=0,"",INDEX(EntryDep,$P54)))</f>
        <v/>
      </c>
      <c r="I54" s="29">
        <f>IF($P54="","",IF(INDEX(EntryWit,$P54)=0,"",INDEX(EntryWit,$P54)))</f>
        <v/>
      </c>
      <c r="J54" s="29">
        <f>IF($B54="","",IF($A54=1,$C$7,IF(J53="",0,J53))+IF($H54="",0,$H54)-IF($I54="",0,$I54))</f>
        <v/>
      </c>
      <c r="K54" s="29">
        <f>IF($P54="","",IF(INDEX(EntryMan,$P54)=0,"",INDEX(EntryMan,$P54)))</f>
        <v/>
      </c>
      <c r="L54" s="28">
        <f>IF($B54="","",IF($K54="","—",IF(ROUND($K54-$J54,0)=0,"√","×")))</f>
        <v/>
      </c>
      <c r="M54" s="28">
        <f>IF($B54="","",IF(COUNTIFS(EntryDates,$B54,CalcTime,$C54,CalcBank,$C$5,EntryParty,$D54,EntryDep,$H54,EntryWit,$I54)&gt;1,"تکرار",""))</f>
        <v/>
      </c>
      <c r="N54" s="28">
        <f>IF($P54="","",IF(INDEX(EntryNotes,$P54)=0,"",INDEX(EntryNotes,$P54)))</f>
        <v/>
      </c>
      <c r="O54" s="28">
        <f>IF($P54="","",IF(INDEX(EntryTxnID,$P54)=0,"",INDEX(EntryTxnID,$P54)))</f>
        <v/>
      </c>
      <c r="P54" s="28">
        <f>IFERROR(MATCH($C$5&amp;"|"&amp;RIGHT("000000"&amp;38,6),CalcRankKey,0),"")</f>
        <v/>
      </c>
    </row>
    <row r="55">
      <c r="A55" s="26">
        <f>IF($B55="","",39)</f>
        <v/>
      </c>
      <c r="B55" s="26">
        <f>IF($P55="","",IF(INDEX(CalcNormDate,$P55)=0,"",INDEX(CalcNormDate,$P55)))</f>
        <v/>
      </c>
      <c r="C55" s="26">
        <f>IF($P55="","",IF(INDEX(CalcTime,$P55)=0,"",INDEX(CalcTime,$P55)))</f>
        <v/>
      </c>
      <c r="D55" s="26">
        <f>IF($P55="","",IF(INDEX(EntryParty,$P55)=0,"",INDEX(EntryParty,$P55)))</f>
        <v/>
      </c>
      <c r="E55" s="26">
        <f>IF($P55="","",IF(INDEX(EntryPartyName,$P55)=0,"",INDEX(EntryPartyName,$P55)))</f>
        <v/>
      </c>
      <c r="F55" s="26">
        <f>IF($P55="","",IF(INDEX(EntryPartyType,$P55)=0,"",INDEX(EntryPartyType,$P55)))</f>
        <v/>
      </c>
      <c r="G55" s="26">
        <f>IF($P55="","",IF(INDEX(EntryTxnType,$P55)=0,"",INDEX(EntryTxnType,$P55)))</f>
        <v/>
      </c>
      <c r="H55" s="27">
        <f>IF($P55="","",IF(INDEX(EntryDep,$P55)=0,"",INDEX(EntryDep,$P55)))</f>
        <v/>
      </c>
      <c r="I55" s="27">
        <f>IF($P55="","",IF(INDEX(EntryWit,$P55)=0,"",INDEX(EntryWit,$P55)))</f>
        <v/>
      </c>
      <c r="J55" s="27">
        <f>IF($B55="","",IF($A55=1,$C$7,IF(J54="",0,J54))+IF($H55="",0,$H55)-IF($I55="",0,$I55))</f>
        <v/>
      </c>
      <c r="K55" s="27">
        <f>IF($P55="","",IF(INDEX(EntryMan,$P55)=0,"",INDEX(EntryMan,$P55)))</f>
        <v/>
      </c>
      <c r="L55" s="26">
        <f>IF($B55="","",IF($K55="","—",IF(ROUND($K55-$J55,0)=0,"√","×")))</f>
        <v/>
      </c>
      <c r="M55" s="26">
        <f>IF($B55="","",IF(COUNTIFS(EntryDates,$B55,CalcTime,$C55,CalcBank,$C$5,EntryParty,$D55,EntryDep,$H55,EntryWit,$I55)&gt;1,"تکرار",""))</f>
        <v/>
      </c>
      <c r="N55" s="26">
        <f>IF($P55="","",IF(INDEX(EntryNotes,$P55)=0,"",INDEX(EntryNotes,$P55)))</f>
        <v/>
      </c>
      <c r="O55" s="26">
        <f>IF($P55="","",IF(INDEX(EntryTxnID,$P55)=0,"",INDEX(EntryTxnID,$P55)))</f>
        <v/>
      </c>
      <c r="P55" s="26">
        <f>IFERROR(MATCH($C$5&amp;"|"&amp;RIGHT("000000"&amp;39,6),CalcRankKey,0),"")</f>
        <v/>
      </c>
    </row>
    <row r="56">
      <c r="A56" s="28">
        <f>IF($B56="","",40)</f>
        <v/>
      </c>
      <c r="B56" s="28">
        <f>IF($P56="","",IF(INDEX(CalcNormDate,$P56)=0,"",INDEX(CalcNormDate,$P56)))</f>
        <v/>
      </c>
      <c r="C56" s="28">
        <f>IF($P56="","",IF(INDEX(CalcTime,$P56)=0,"",INDEX(CalcTime,$P56)))</f>
        <v/>
      </c>
      <c r="D56" s="28">
        <f>IF($P56="","",IF(INDEX(EntryParty,$P56)=0,"",INDEX(EntryParty,$P56)))</f>
        <v/>
      </c>
      <c r="E56" s="28">
        <f>IF($P56="","",IF(INDEX(EntryPartyName,$P56)=0,"",INDEX(EntryPartyName,$P56)))</f>
        <v/>
      </c>
      <c r="F56" s="28">
        <f>IF($P56="","",IF(INDEX(EntryPartyType,$P56)=0,"",INDEX(EntryPartyType,$P56)))</f>
        <v/>
      </c>
      <c r="G56" s="28">
        <f>IF($P56="","",IF(INDEX(EntryTxnType,$P56)=0,"",INDEX(EntryTxnType,$P56)))</f>
        <v/>
      </c>
      <c r="H56" s="29">
        <f>IF($P56="","",IF(INDEX(EntryDep,$P56)=0,"",INDEX(EntryDep,$P56)))</f>
        <v/>
      </c>
      <c r="I56" s="29">
        <f>IF($P56="","",IF(INDEX(EntryWit,$P56)=0,"",INDEX(EntryWit,$P56)))</f>
        <v/>
      </c>
      <c r="J56" s="29">
        <f>IF($B56="","",IF($A56=1,$C$7,IF(J55="",0,J55))+IF($H56="",0,$H56)-IF($I56="",0,$I56))</f>
        <v/>
      </c>
      <c r="K56" s="29">
        <f>IF($P56="","",IF(INDEX(EntryMan,$P56)=0,"",INDEX(EntryMan,$P56)))</f>
        <v/>
      </c>
      <c r="L56" s="28">
        <f>IF($B56="","",IF($K56="","—",IF(ROUND($K56-$J56,0)=0,"√","×")))</f>
        <v/>
      </c>
      <c r="M56" s="28">
        <f>IF($B56="","",IF(COUNTIFS(EntryDates,$B56,CalcTime,$C56,CalcBank,$C$5,EntryParty,$D56,EntryDep,$H56,EntryWit,$I56)&gt;1,"تکرار",""))</f>
        <v/>
      </c>
      <c r="N56" s="28">
        <f>IF($P56="","",IF(INDEX(EntryNotes,$P56)=0,"",INDEX(EntryNotes,$P56)))</f>
        <v/>
      </c>
      <c r="O56" s="28">
        <f>IF($P56="","",IF(INDEX(EntryTxnID,$P56)=0,"",INDEX(EntryTxnID,$P56)))</f>
        <v/>
      </c>
      <c r="P56" s="28">
        <f>IFERROR(MATCH($C$5&amp;"|"&amp;RIGHT("000000"&amp;40,6),CalcRankKey,0),"")</f>
        <v/>
      </c>
    </row>
    <row r="57">
      <c r="A57" s="26">
        <f>IF($B57="","",41)</f>
        <v/>
      </c>
      <c r="B57" s="26">
        <f>IF($P57="","",IF(INDEX(CalcNormDate,$P57)=0,"",INDEX(CalcNormDate,$P57)))</f>
        <v/>
      </c>
      <c r="C57" s="26">
        <f>IF($P57="","",IF(INDEX(CalcTime,$P57)=0,"",INDEX(CalcTime,$P57)))</f>
        <v/>
      </c>
      <c r="D57" s="26">
        <f>IF($P57="","",IF(INDEX(EntryParty,$P57)=0,"",INDEX(EntryParty,$P57)))</f>
        <v/>
      </c>
      <c r="E57" s="26">
        <f>IF($P57="","",IF(INDEX(EntryPartyName,$P57)=0,"",INDEX(EntryPartyName,$P57)))</f>
        <v/>
      </c>
      <c r="F57" s="26">
        <f>IF($P57="","",IF(INDEX(EntryPartyType,$P57)=0,"",INDEX(EntryPartyType,$P57)))</f>
        <v/>
      </c>
      <c r="G57" s="26">
        <f>IF($P57="","",IF(INDEX(EntryTxnType,$P57)=0,"",INDEX(EntryTxnType,$P57)))</f>
        <v/>
      </c>
      <c r="H57" s="27">
        <f>IF($P57="","",IF(INDEX(EntryDep,$P57)=0,"",INDEX(EntryDep,$P57)))</f>
        <v/>
      </c>
      <c r="I57" s="27">
        <f>IF($P57="","",IF(INDEX(EntryWit,$P57)=0,"",INDEX(EntryWit,$P57)))</f>
        <v/>
      </c>
      <c r="J57" s="27">
        <f>IF($B57="","",IF($A57=1,$C$7,IF(J56="",0,J56))+IF($H57="",0,$H57)-IF($I57="",0,$I57))</f>
        <v/>
      </c>
      <c r="K57" s="27">
        <f>IF($P57="","",IF(INDEX(EntryMan,$P57)=0,"",INDEX(EntryMan,$P57)))</f>
        <v/>
      </c>
      <c r="L57" s="26">
        <f>IF($B57="","",IF($K57="","—",IF(ROUND($K57-$J57,0)=0,"√","×")))</f>
        <v/>
      </c>
      <c r="M57" s="26">
        <f>IF($B57="","",IF(COUNTIFS(EntryDates,$B57,CalcTime,$C57,CalcBank,$C$5,EntryParty,$D57,EntryDep,$H57,EntryWit,$I57)&gt;1,"تکرار",""))</f>
        <v/>
      </c>
      <c r="N57" s="26">
        <f>IF($P57="","",IF(INDEX(EntryNotes,$P57)=0,"",INDEX(EntryNotes,$P57)))</f>
        <v/>
      </c>
      <c r="O57" s="26">
        <f>IF($P57="","",IF(INDEX(EntryTxnID,$P57)=0,"",INDEX(EntryTxnID,$P57)))</f>
        <v/>
      </c>
      <c r="P57" s="26">
        <f>IFERROR(MATCH($C$5&amp;"|"&amp;RIGHT("000000"&amp;41,6),CalcRankKey,0),"")</f>
        <v/>
      </c>
    </row>
    <row r="58">
      <c r="A58" s="28">
        <f>IF($B58="","",42)</f>
        <v/>
      </c>
      <c r="B58" s="28">
        <f>IF($P58="","",IF(INDEX(CalcNormDate,$P58)=0,"",INDEX(CalcNormDate,$P58)))</f>
        <v/>
      </c>
      <c r="C58" s="28">
        <f>IF($P58="","",IF(INDEX(CalcTime,$P58)=0,"",INDEX(CalcTime,$P58)))</f>
        <v/>
      </c>
      <c r="D58" s="28">
        <f>IF($P58="","",IF(INDEX(EntryParty,$P58)=0,"",INDEX(EntryParty,$P58)))</f>
        <v/>
      </c>
      <c r="E58" s="28">
        <f>IF($P58="","",IF(INDEX(EntryPartyName,$P58)=0,"",INDEX(EntryPartyName,$P58)))</f>
        <v/>
      </c>
      <c r="F58" s="28">
        <f>IF($P58="","",IF(INDEX(EntryPartyType,$P58)=0,"",INDEX(EntryPartyType,$P58)))</f>
        <v/>
      </c>
      <c r="G58" s="28">
        <f>IF($P58="","",IF(INDEX(EntryTxnType,$P58)=0,"",INDEX(EntryTxnType,$P58)))</f>
        <v/>
      </c>
      <c r="H58" s="29">
        <f>IF($P58="","",IF(INDEX(EntryDep,$P58)=0,"",INDEX(EntryDep,$P58)))</f>
        <v/>
      </c>
      <c r="I58" s="29">
        <f>IF($P58="","",IF(INDEX(EntryWit,$P58)=0,"",INDEX(EntryWit,$P58)))</f>
        <v/>
      </c>
      <c r="J58" s="29">
        <f>IF($B58="","",IF($A58=1,$C$7,IF(J57="",0,J57))+IF($H58="",0,$H58)-IF($I58="",0,$I58))</f>
        <v/>
      </c>
      <c r="K58" s="29">
        <f>IF($P58="","",IF(INDEX(EntryMan,$P58)=0,"",INDEX(EntryMan,$P58)))</f>
        <v/>
      </c>
      <c r="L58" s="28">
        <f>IF($B58="","",IF($K58="","—",IF(ROUND($K58-$J58,0)=0,"√","×")))</f>
        <v/>
      </c>
      <c r="M58" s="28">
        <f>IF($B58="","",IF(COUNTIFS(EntryDates,$B58,CalcTime,$C58,CalcBank,$C$5,EntryParty,$D58,EntryDep,$H58,EntryWit,$I58)&gt;1,"تکرار",""))</f>
        <v/>
      </c>
      <c r="N58" s="28">
        <f>IF($P58="","",IF(INDEX(EntryNotes,$P58)=0,"",INDEX(EntryNotes,$P58)))</f>
        <v/>
      </c>
      <c r="O58" s="28">
        <f>IF($P58="","",IF(INDEX(EntryTxnID,$P58)=0,"",INDEX(EntryTxnID,$P58)))</f>
        <v/>
      </c>
      <c r="P58" s="28">
        <f>IFERROR(MATCH($C$5&amp;"|"&amp;RIGHT("000000"&amp;42,6),CalcRankKey,0),"")</f>
        <v/>
      </c>
    </row>
    <row r="59">
      <c r="A59" s="26">
        <f>IF($B59="","",43)</f>
        <v/>
      </c>
      <c r="B59" s="26">
        <f>IF($P59="","",IF(INDEX(CalcNormDate,$P59)=0,"",INDEX(CalcNormDate,$P59)))</f>
        <v/>
      </c>
      <c r="C59" s="26">
        <f>IF($P59="","",IF(INDEX(CalcTime,$P59)=0,"",INDEX(CalcTime,$P59)))</f>
        <v/>
      </c>
      <c r="D59" s="26">
        <f>IF($P59="","",IF(INDEX(EntryParty,$P59)=0,"",INDEX(EntryParty,$P59)))</f>
        <v/>
      </c>
      <c r="E59" s="26">
        <f>IF($P59="","",IF(INDEX(EntryPartyName,$P59)=0,"",INDEX(EntryPartyName,$P59)))</f>
        <v/>
      </c>
      <c r="F59" s="26">
        <f>IF($P59="","",IF(INDEX(EntryPartyType,$P59)=0,"",INDEX(EntryPartyType,$P59)))</f>
        <v/>
      </c>
      <c r="G59" s="26">
        <f>IF($P59="","",IF(INDEX(EntryTxnType,$P59)=0,"",INDEX(EntryTxnType,$P59)))</f>
        <v/>
      </c>
      <c r="H59" s="27">
        <f>IF($P59="","",IF(INDEX(EntryDep,$P59)=0,"",INDEX(EntryDep,$P59)))</f>
        <v/>
      </c>
      <c r="I59" s="27">
        <f>IF($P59="","",IF(INDEX(EntryWit,$P59)=0,"",INDEX(EntryWit,$P59)))</f>
        <v/>
      </c>
      <c r="J59" s="27">
        <f>IF($B59="","",IF($A59=1,$C$7,IF(J58="",0,J58))+IF($H59="",0,$H59)-IF($I59="",0,$I59))</f>
        <v/>
      </c>
      <c r="K59" s="27">
        <f>IF($P59="","",IF(INDEX(EntryMan,$P59)=0,"",INDEX(EntryMan,$P59)))</f>
        <v/>
      </c>
      <c r="L59" s="26">
        <f>IF($B59="","",IF($K59="","—",IF(ROUND($K59-$J59,0)=0,"√","×")))</f>
        <v/>
      </c>
      <c r="M59" s="26">
        <f>IF($B59="","",IF(COUNTIFS(EntryDates,$B59,CalcTime,$C59,CalcBank,$C$5,EntryParty,$D59,EntryDep,$H59,EntryWit,$I59)&gt;1,"تکرار",""))</f>
        <v/>
      </c>
      <c r="N59" s="26">
        <f>IF($P59="","",IF(INDEX(EntryNotes,$P59)=0,"",INDEX(EntryNotes,$P59)))</f>
        <v/>
      </c>
      <c r="O59" s="26">
        <f>IF($P59="","",IF(INDEX(EntryTxnID,$P59)=0,"",INDEX(EntryTxnID,$P59)))</f>
        <v/>
      </c>
      <c r="P59" s="26">
        <f>IFERROR(MATCH($C$5&amp;"|"&amp;RIGHT("000000"&amp;43,6),CalcRankKey,0),"")</f>
        <v/>
      </c>
    </row>
    <row r="60">
      <c r="A60" s="28">
        <f>IF($B60="","",44)</f>
        <v/>
      </c>
      <c r="B60" s="28">
        <f>IF($P60="","",IF(INDEX(CalcNormDate,$P60)=0,"",INDEX(CalcNormDate,$P60)))</f>
        <v/>
      </c>
      <c r="C60" s="28">
        <f>IF($P60="","",IF(INDEX(CalcTime,$P60)=0,"",INDEX(CalcTime,$P60)))</f>
        <v/>
      </c>
      <c r="D60" s="28">
        <f>IF($P60="","",IF(INDEX(EntryParty,$P60)=0,"",INDEX(EntryParty,$P60)))</f>
        <v/>
      </c>
      <c r="E60" s="28">
        <f>IF($P60="","",IF(INDEX(EntryPartyName,$P60)=0,"",INDEX(EntryPartyName,$P60)))</f>
        <v/>
      </c>
      <c r="F60" s="28">
        <f>IF($P60="","",IF(INDEX(EntryPartyType,$P60)=0,"",INDEX(EntryPartyType,$P60)))</f>
        <v/>
      </c>
      <c r="G60" s="28">
        <f>IF($P60="","",IF(INDEX(EntryTxnType,$P60)=0,"",INDEX(EntryTxnType,$P60)))</f>
        <v/>
      </c>
      <c r="H60" s="29">
        <f>IF($P60="","",IF(INDEX(EntryDep,$P60)=0,"",INDEX(EntryDep,$P60)))</f>
        <v/>
      </c>
      <c r="I60" s="29">
        <f>IF($P60="","",IF(INDEX(EntryWit,$P60)=0,"",INDEX(EntryWit,$P60)))</f>
        <v/>
      </c>
      <c r="J60" s="29">
        <f>IF($B60="","",IF($A60=1,$C$7,IF(J59="",0,J59))+IF($H60="",0,$H60)-IF($I60="",0,$I60))</f>
        <v/>
      </c>
      <c r="K60" s="29">
        <f>IF($P60="","",IF(INDEX(EntryMan,$P60)=0,"",INDEX(EntryMan,$P60)))</f>
        <v/>
      </c>
      <c r="L60" s="28">
        <f>IF($B60="","",IF($K60="","—",IF(ROUND($K60-$J60,0)=0,"√","×")))</f>
        <v/>
      </c>
      <c r="M60" s="28">
        <f>IF($B60="","",IF(COUNTIFS(EntryDates,$B60,CalcTime,$C60,CalcBank,$C$5,EntryParty,$D60,EntryDep,$H60,EntryWit,$I60)&gt;1,"تکرار",""))</f>
        <v/>
      </c>
      <c r="N60" s="28">
        <f>IF($P60="","",IF(INDEX(EntryNotes,$P60)=0,"",INDEX(EntryNotes,$P60)))</f>
        <v/>
      </c>
      <c r="O60" s="28">
        <f>IF($P60="","",IF(INDEX(EntryTxnID,$P60)=0,"",INDEX(EntryTxnID,$P60)))</f>
        <v/>
      </c>
      <c r="P60" s="28">
        <f>IFERROR(MATCH($C$5&amp;"|"&amp;RIGHT("000000"&amp;44,6),CalcRankKey,0),"")</f>
        <v/>
      </c>
    </row>
    <row r="61">
      <c r="A61" s="26">
        <f>IF($B61="","",45)</f>
        <v/>
      </c>
      <c r="B61" s="26">
        <f>IF($P61="","",IF(INDEX(CalcNormDate,$P61)=0,"",INDEX(CalcNormDate,$P61)))</f>
        <v/>
      </c>
      <c r="C61" s="26">
        <f>IF($P61="","",IF(INDEX(CalcTime,$P61)=0,"",INDEX(CalcTime,$P61)))</f>
        <v/>
      </c>
      <c r="D61" s="26">
        <f>IF($P61="","",IF(INDEX(EntryParty,$P61)=0,"",INDEX(EntryParty,$P61)))</f>
        <v/>
      </c>
      <c r="E61" s="26">
        <f>IF($P61="","",IF(INDEX(EntryPartyName,$P61)=0,"",INDEX(EntryPartyName,$P61)))</f>
        <v/>
      </c>
      <c r="F61" s="26">
        <f>IF($P61="","",IF(INDEX(EntryPartyType,$P61)=0,"",INDEX(EntryPartyType,$P61)))</f>
        <v/>
      </c>
      <c r="G61" s="26">
        <f>IF($P61="","",IF(INDEX(EntryTxnType,$P61)=0,"",INDEX(EntryTxnType,$P61)))</f>
        <v/>
      </c>
      <c r="H61" s="27">
        <f>IF($P61="","",IF(INDEX(EntryDep,$P61)=0,"",INDEX(EntryDep,$P61)))</f>
        <v/>
      </c>
      <c r="I61" s="27">
        <f>IF($P61="","",IF(INDEX(EntryWit,$P61)=0,"",INDEX(EntryWit,$P61)))</f>
        <v/>
      </c>
      <c r="J61" s="27">
        <f>IF($B61="","",IF($A61=1,$C$7,IF(J60="",0,J60))+IF($H61="",0,$H61)-IF($I61="",0,$I61))</f>
        <v/>
      </c>
      <c r="K61" s="27">
        <f>IF($P61="","",IF(INDEX(EntryMan,$P61)=0,"",INDEX(EntryMan,$P61)))</f>
        <v/>
      </c>
      <c r="L61" s="26">
        <f>IF($B61="","",IF($K61="","—",IF(ROUND($K61-$J61,0)=0,"√","×")))</f>
        <v/>
      </c>
      <c r="M61" s="26">
        <f>IF($B61="","",IF(COUNTIFS(EntryDates,$B61,CalcTime,$C61,CalcBank,$C$5,EntryParty,$D61,EntryDep,$H61,EntryWit,$I61)&gt;1,"تکرار",""))</f>
        <v/>
      </c>
      <c r="N61" s="26">
        <f>IF($P61="","",IF(INDEX(EntryNotes,$P61)=0,"",INDEX(EntryNotes,$P61)))</f>
        <v/>
      </c>
      <c r="O61" s="26">
        <f>IF($P61="","",IF(INDEX(EntryTxnID,$P61)=0,"",INDEX(EntryTxnID,$P61)))</f>
        <v/>
      </c>
      <c r="P61" s="26">
        <f>IFERROR(MATCH($C$5&amp;"|"&amp;RIGHT("000000"&amp;45,6),CalcRankKey,0),"")</f>
        <v/>
      </c>
    </row>
    <row r="62">
      <c r="A62" s="28">
        <f>IF($B62="","",46)</f>
        <v/>
      </c>
      <c r="B62" s="28">
        <f>IF($P62="","",IF(INDEX(CalcNormDate,$P62)=0,"",INDEX(CalcNormDate,$P62)))</f>
        <v/>
      </c>
      <c r="C62" s="28">
        <f>IF($P62="","",IF(INDEX(CalcTime,$P62)=0,"",INDEX(CalcTime,$P62)))</f>
        <v/>
      </c>
      <c r="D62" s="28">
        <f>IF($P62="","",IF(INDEX(EntryParty,$P62)=0,"",INDEX(EntryParty,$P62)))</f>
        <v/>
      </c>
      <c r="E62" s="28">
        <f>IF($P62="","",IF(INDEX(EntryPartyName,$P62)=0,"",INDEX(EntryPartyName,$P62)))</f>
        <v/>
      </c>
      <c r="F62" s="28">
        <f>IF($P62="","",IF(INDEX(EntryPartyType,$P62)=0,"",INDEX(EntryPartyType,$P62)))</f>
        <v/>
      </c>
      <c r="G62" s="28">
        <f>IF($P62="","",IF(INDEX(EntryTxnType,$P62)=0,"",INDEX(EntryTxnType,$P62)))</f>
        <v/>
      </c>
      <c r="H62" s="29">
        <f>IF($P62="","",IF(INDEX(EntryDep,$P62)=0,"",INDEX(EntryDep,$P62)))</f>
        <v/>
      </c>
      <c r="I62" s="29">
        <f>IF($P62="","",IF(INDEX(EntryWit,$P62)=0,"",INDEX(EntryWit,$P62)))</f>
        <v/>
      </c>
      <c r="J62" s="29">
        <f>IF($B62="","",IF($A62=1,$C$7,IF(J61="",0,J61))+IF($H62="",0,$H62)-IF($I62="",0,$I62))</f>
        <v/>
      </c>
      <c r="K62" s="29">
        <f>IF($P62="","",IF(INDEX(EntryMan,$P62)=0,"",INDEX(EntryMan,$P62)))</f>
        <v/>
      </c>
      <c r="L62" s="28">
        <f>IF($B62="","",IF($K62="","—",IF(ROUND($K62-$J62,0)=0,"√","×")))</f>
        <v/>
      </c>
      <c r="M62" s="28">
        <f>IF($B62="","",IF(COUNTIFS(EntryDates,$B62,CalcTime,$C62,CalcBank,$C$5,EntryParty,$D62,EntryDep,$H62,EntryWit,$I62)&gt;1,"تکرار",""))</f>
        <v/>
      </c>
      <c r="N62" s="28">
        <f>IF($P62="","",IF(INDEX(EntryNotes,$P62)=0,"",INDEX(EntryNotes,$P62)))</f>
        <v/>
      </c>
      <c r="O62" s="28">
        <f>IF($P62="","",IF(INDEX(EntryTxnID,$P62)=0,"",INDEX(EntryTxnID,$P62)))</f>
        <v/>
      </c>
      <c r="P62" s="28">
        <f>IFERROR(MATCH($C$5&amp;"|"&amp;RIGHT("000000"&amp;46,6),CalcRankKey,0),"")</f>
        <v/>
      </c>
    </row>
    <row r="63">
      <c r="A63" s="26">
        <f>IF($B63="","",47)</f>
        <v/>
      </c>
      <c r="B63" s="26">
        <f>IF($P63="","",IF(INDEX(CalcNormDate,$P63)=0,"",INDEX(CalcNormDate,$P63)))</f>
        <v/>
      </c>
      <c r="C63" s="26">
        <f>IF($P63="","",IF(INDEX(CalcTime,$P63)=0,"",INDEX(CalcTime,$P63)))</f>
        <v/>
      </c>
      <c r="D63" s="26">
        <f>IF($P63="","",IF(INDEX(EntryParty,$P63)=0,"",INDEX(EntryParty,$P63)))</f>
        <v/>
      </c>
      <c r="E63" s="26">
        <f>IF($P63="","",IF(INDEX(EntryPartyName,$P63)=0,"",INDEX(EntryPartyName,$P63)))</f>
        <v/>
      </c>
      <c r="F63" s="26">
        <f>IF($P63="","",IF(INDEX(EntryPartyType,$P63)=0,"",INDEX(EntryPartyType,$P63)))</f>
        <v/>
      </c>
      <c r="G63" s="26">
        <f>IF($P63="","",IF(INDEX(EntryTxnType,$P63)=0,"",INDEX(EntryTxnType,$P63)))</f>
        <v/>
      </c>
      <c r="H63" s="27">
        <f>IF($P63="","",IF(INDEX(EntryDep,$P63)=0,"",INDEX(EntryDep,$P63)))</f>
        <v/>
      </c>
      <c r="I63" s="27">
        <f>IF($P63="","",IF(INDEX(EntryWit,$P63)=0,"",INDEX(EntryWit,$P63)))</f>
        <v/>
      </c>
      <c r="J63" s="27">
        <f>IF($B63="","",IF($A63=1,$C$7,IF(J62="",0,J62))+IF($H63="",0,$H63)-IF($I63="",0,$I63))</f>
        <v/>
      </c>
      <c r="K63" s="27">
        <f>IF($P63="","",IF(INDEX(EntryMan,$P63)=0,"",INDEX(EntryMan,$P63)))</f>
        <v/>
      </c>
      <c r="L63" s="26">
        <f>IF($B63="","",IF($K63="","—",IF(ROUND($K63-$J63,0)=0,"√","×")))</f>
        <v/>
      </c>
      <c r="M63" s="26">
        <f>IF($B63="","",IF(COUNTIFS(EntryDates,$B63,CalcTime,$C63,CalcBank,$C$5,EntryParty,$D63,EntryDep,$H63,EntryWit,$I63)&gt;1,"تکرار",""))</f>
        <v/>
      </c>
      <c r="N63" s="26">
        <f>IF($P63="","",IF(INDEX(EntryNotes,$P63)=0,"",INDEX(EntryNotes,$P63)))</f>
        <v/>
      </c>
      <c r="O63" s="26">
        <f>IF($P63="","",IF(INDEX(EntryTxnID,$P63)=0,"",INDEX(EntryTxnID,$P63)))</f>
        <v/>
      </c>
      <c r="P63" s="26">
        <f>IFERROR(MATCH($C$5&amp;"|"&amp;RIGHT("000000"&amp;47,6),CalcRankKey,0),"")</f>
        <v/>
      </c>
    </row>
    <row r="64">
      <c r="A64" s="28">
        <f>IF($B64="","",48)</f>
        <v/>
      </c>
      <c r="B64" s="28">
        <f>IF($P64="","",IF(INDEX(CalcNormDate,$P64)=0,"",INDEX(CalcNormDate,$P64)))</f>
        <v/>
      </c>
      <c r="C64" s="28">
        <f>IF($P64="","",IF(INDEX(CalcTime,$P64)=0,"",INDEX(CalcTime,$P64)))</f>
        <v/>
      </c>
      <c r="D64" s="28">
        <f>IF($P64="","",IF(INDEX(EntryParty,$P64)=0,"",INDEX(EntryParty,$P64)))</f>
        <v/>
      </c>
      <c r="E64" s="28">
        <f>IF($P64="","",IF(INDEX(EntryPartyName,$P64)=0,"",INDEX(EntryPartyName,$P64)))</f>
        <v/>
      </c>
      <c r="F64" s="28">
        <f>IF($P64="","",IF(INDEX(EntryPartyType,$P64)=0,"",INDEX(EntryPartyType,$P64)))</f>
        <v/>
      </c>
      <c r="G64" s="28">
        <f>IF($P64="","",IF(INDEX(EntryTxnType,$P64)=0,"",INDEX(EntryTxnType,$P64)))</f>
        <v/>
      </c>
      <c r="H64" s="29">
        <f>IF($P64="","",IF(INDEX(EntryDep,$P64)=0,"",INDEX(EntryDep,$P64)))</f>
        <v/>
      </c>
      <c r="I64" s="29">
        <f>IF($P64="","",IF(INDEX(EntryWit,$P64)=0,"",INDEX(EntryWit,$P64)))</f>
        <v/>
      </c>
      <c r="J64" s="29">
        <f>IF($B64="","",IF($A64=1,$C$7,IF(J63="",0,J63))+IF($H64="",0,$H64)-IF($I64="",0,$I64))</f>
        <v/>
      </c>
      <c r="K64" s="29">
        <f>IF($P64="","",IF(INDEX(EntryMan,$P64)=0,"",INDEX(EntryMan,$P64)))</f>
        <v/>
      </c>
      <c r="L64" s="28">
        <f>IF($B64="","",IF($K64="","—",IF(ROUND($K64-$J64,0)=0,"√","×")))</f>
        <v/>
      </c>
      <c r="M64" s="28">
        <f>IF($B64="","",IF(COUNTIFS(EntryDates,$B64,CalcTime,$C64,CalcBank,$C$5,EntryParty,$D64,EntryDep,$H64,EntryWit,$I64)&gt;1,"تکرار",""))</f>
        <v/>
      </c>
      <c r="N64" s="28">
        <f>IF($P64="","",IF(INDEX(EntryNotes,$P64)=0,"",INDEX(EntryNotes,$P64)))</f>
        <v/>
      </c>
      <c r="O64" s="28">
        <f>IF($P64="","",IF(INDEX(EntryTxnID,$P64)=0,"",INDEX(EntryTxnID,$P64)))</f>
        <v/>
      </c>
      <c r="P64" s="28">
        <f>IFERROR(MATCH($C$5&amp;"|"&amp;RIGHT("000000"&amp;48,6),CalcRankKey,0),"")</f>
        <v/>
      </c>
    </row>
    <row r="65">
      <c r="A65" s="26">
        <f>IF($B65="","",49)</f>
        <v/>
      </c>
      <c r="B65" s="26">
        <f>IF($P65="","",IF(INDEX(CalcNormDate,$P65)=0,"",INDEX(CalcNormDate,$P65)))</f>
        <v/>
      </c>
      <c r="C65" s="26">
        <f>IF($P65="","",IF(INDEX(CalcTime,$P65)=0,"",INDEX(CalcTime,$P65)))</f>
        <v/>
      </c>
      <c r="D65" s="26">
        <f>IF($P65="","",IF(INDEX(EntryParty,$P65)=0,"",INDEX(EntryParty,$P65)))</f>
        <v/>
      </c>
      <c r="E65" s="26">
        <f>IF($P65="","",IF(INDEX(EntryPartyName,$P65)=0,"",INDEX(EntryPartyName,$P65)))</f>
        <v/>
      </c>
      <c r="F65" s="26">
        <f>IF($P65="","",IF(INDEX(EntryPartyType,$P65)=0,"",INDEX(EntryPartyType,$P65)))</f>
        <v/>
      </c>
      <c r="G65" s="26">
        <f>IF($P65="","",IF(INDEX(EntryTxnType,$P65)=0,"",INDEX(EntryTxnType,$P65)))</f>
        <v/>
      </c>
      <c r="H65" s="27">
        <f>IF($P65="","",IF(INDEX(EntryDep,$P65)=0,"",INDEX(EntryDep,$P65)))</f>
        <v/>
      </c>
      <c r="I65" s="27">
        <f>IF($P65="","",IF(INDEX(EntryWit,$P65)=0,"",INDEX(EntryWit,$P65)))</f>
        <v/>
      </c>
      <c r="J65" s="27">
        <f>IF($B65="","",IF($A65=1,$C$7,IF(J64="",0,J64))+IF($H65="",0,$H65)-IF($I65="",0,$I65))</f>
        <v/>
      </c>
      <c r="K65" s="27">
        <f>IF($P65="","",IF(INDEX(EntryMan,$P65)=0,"",INDEX(EntryMan,$P65)))</f>
        <v/>
      </c>
      <c r="L65" s="26">
        <f>IF($B65="","",IF($K65="","—",IF(ROUND($K65-$J65,0)=0,"√","×")))</f>
        <v/>
      </c>
      <c r="M65" s="26">
        <f>IF($B65="","",IF(COUNTIFS(EntryDates,$B65,CalcTime,$C65,CalcBank,$C$5,EntryParty,$D65,EntryDep,$H65,EntryWit,$I65)&gt;1,"تکرار",""))</f>
        <v/>
      </c>
      <c r="N65" s="26">
        <f>IF($P65="","",IF(INDEX(EntryNotes,$P65)=0,"",INDEX(EntryNotes,$P65)))</f>
        <v/>
      </c>
      <c r="O65" s="26">
        <f>IF($P65="","",IF(INDEX(EntryTxnID,$P65)=0,"",INDEX(EntryTxnID,$P65)))</f>
        <v/>
      </c>
      <c r="P65" s="26">
        <f>IFERROR(MATCH($C$5&amp;"|"&amp;RIGHT("000000"&amp;49,6),CalcRankKey,0),"")</f>
        <v/>
      </c>
    </row>
    <row r="66">
      <c r="A66" s="28">
        <f>IF($B66="","",50)</f>
        <v/>
      </c>
      <c r="B66" s="28">
        <f>IF($P66="","",IF(INDEX(CalcNormDate,$P66)=0,"",INDEX(CalcNormDate,$P66)))</f>
        <v/>
      </c>
      <c r="C66" s="28">
        <f>IF($P66="","",IF(INDEX(CalcTime,$P66)=0,"",INDEX(CalcTime,$P66)))</f>
        <v/>
      </c>
      <c r="D66" s="28">
        <f>IF($P66="","",IF(INDEX(EntryParty,$P66)=0,"",INDEX(EntryParty,$P66)))</f>
        <v/>
      </c>
      <c r="E66" s="28">
        <f>IF($P66="","",IF(INDEX(EntryPartyName,$P66)=0,"",INDEX(EntryPartyName,$P66)))</f>
        <v/>
      </c>
      <c r="F66" s="28">
        <f>IF($P66="","",IF(INDEX(EntryPartyType,$P66)=0,"",INDEX(EntryPartyType,$P66)))</f>
        <v/>
      </c>
      <c r="G66" s="28">
        <f>IF($P66="","",IF(INDEX(EntryTxnType,$P66)=0,"",INDEX(EntryTxnType,$P66)))</f>
        <v/>
      </c>
      <c r="H66" s="29">
        <f>IF($P66="","",IF(INDEX(EntryDep,$P66)=0,"",INDEX(EntryDep,$P66)))</f>
        <v/>
      </c>
      <c r="I66" s="29">
        <f>IF($P66="","",IF(INDEX(EntryWit,$P66)=0,"",INDEX(EntryWit,$P66)))</f>
        <v/>
      </c>
      <c r="J66" s="29">
        <f>IF($B66="","",IF($A66=1,$C$7,IF(J65="",0,J65))+IF($H66="",0,$H66)-IF($I66="",0,$I66))</f>
        <v/>
      </c>
      <c r="K66" s="29">
        <f>IF($P66="","",IF(INDEX(EntryMan,$P66)=0,"",INDEX(EntryMan,$P66)))</f>
        <v/>
      </c>
      <c r="L66" s="28">
        <f>IF($B66="","",IF($K66="","—",IF(ROUND($K66-$J66,0)=0,"√","×")))</f>
        <v/>
      </c>
      <c r="M66" s="28">
        <f>IF($B66="","",IF(COUNTIFS(EntryDates,$B66,CalcTime,$C66,CalcBank,$C$5,EntryParty,$D66,EntryDep,$H66,EntryWit,$I66)&gt;1,"تکرار",""))</f>
        <v/>
      </c>
      <c r="N66" s="28">
        <f>IF($P66="","",IF(INDEX(EntryNotes,$P66)=0,"",INDEX(EntryNotes,$P66)))</f>
        <v/>
      </c>
      <c r="O66" s="28">
        <f>IF($P66="","",IF(INDEX(EntryTxnID,$P66)=0,"",INDEX(EntryTxnID,$P66)))</f>
        <v/>
      </c>
      <c r="P66" s="28">
        <f>IFERROR(MATCH($C$5&amp;"|"&amp;RIGHT("000000"&amp;50,6),CalcRankKey,0),"")</f>
        <v/>
      </c>
    </row>
    <row r="67">
      <c r="A67" s="26">
        <f>IF($B67="","",51)</f>
        <v/>
      </c>
      <c r="B67" s="26">
        <f>IF($P67="","",IF(INDEX(CalcNormDate,$P67)=0,"",INDEX(CalcNormDate,$P67)))</f>
        <v/>
      </c>
      <c r="C67" s="26">
        <f>IF($P67="","",IF(INDEX(CalcTime,$P67)=0,"",INDEX(CalcTime,$P67)))</f>
        <v/>
      </c>
      <c r="D67" s="26">
        <f>IF($P67="","",IF(INDEX(EntryParty,$P67)=0,"",INDEX(EntryParty,$P67)))</f>
        <v/>
      </c>
      <c r="E67" s="26">
        <f>IF($P67="","",IF(INDEX(EntryPartyName,$P67)=0,"",INDEX(EntryPartyName,$P67)))</f>
        <v/>
      </c>
      <c r="F67" s="26">
        <f>IF($P67="","",IF(INDEX(EntryPartyType,$P67)=0,"",INDEX(EntryPartyType,$P67)))</f>
        <v/>
      </c>
      <c r="G67" s="26">
        <f>IF($P67="","",IF(INDEX(EntryTxnType,$P67)=0,"",INDEX(EntryTxnType,$P67)))</f>
        <v/>
      </c>
      <c r="H67" s="27">
        <f>IF($P67="","",IF(INDEX(EntryDep,$P67)=0,"",INDEX(EntryDep,$P67)))</f>
        <v/>
      </c>
      <c r="I67" s="27">
        <f>IF($P67="","",IF(INDEX(EntryWit,$P67)=0,"",INDEX(EntryWit,$P67)))</f>
        <v/>
      </c>
      <c r="J67" s="27">
        <f>IF($B67="","",IF($A67=1,$C$7,IF(J66="",0,J66))+IF($H67="",0,$H67)-IF($I67="",0,$I67))</f>
        <v/>
      </c>
      <c r="K67" s="27">
        <f>IF($P67="","",IF(INDEX(EntryMan,$P67)=0,"",INDEX(EntryMan,$P67)))</f>
        <v/>
      </c>
      <c r="L67" s="26">
        <f>IF($B67="","",IF($K67="","—",IF(ROUND($K67-$J67,0)=0,"√","×")))</f>
        <v/>
      </c>
      <c r="M67" s="26">
        <f>IF($B67="","",IF(COUNTIFS(EntryDates,$B67,CalcTime,$C67,CalcBank,$C$5,EntryParty,$D67,EntryDep,$H67,EntryWit,$I67)&gt;1,"تکرار",""))</f>
        <v/>
      </c>
      <c r="N67" s="26">
        <f>IF($P67="","",IF(INDEX(EntryNotes,$P67)=0,"",INDEX(EntryNotes,$P67)))</f>
        <v/>
      </c>
      <c r="O67" s="26">
        <f>IF($P67="","",IF(INDEX(EntryTxnID,$P67)=0,"",INDEX(EntryTxnID,$P67)))</f>
        <v/>
      </c>
      <c r="P67" s="26">
        <f>IFERROR(MATCH($C$5&amp;"|"&amp;RIGHT("000000"&amp;51,6),CalcRankKey,0),"")</f>
        <v/>
      </c>
    </row>
    <row r="68">
      <c r="A68" s="28">
        <f>IF($B68="","",52)</f>
        <v/>
      </c>
      <c r="B68" s="28">
        <f>IF($P68="","",IF(INDEX(CalcNormDate,$P68)=0,"",INDEX(CalcNormDate,$P68)))</f>
        <v/>
      </c>
      <c r="C68" s="28">
        <f>IF($P68="","",IF(INDEX(CalcTime,$P68)=0,"",INDEX(CalcTime,$P68)))</f>
        <v/>
      </c>
      <c r="D68" s="28">
        <f>IF($P68="","",IF(INDEX(EntryParty,$P68)=0,"",INDEX(EntryParty,$P68)))</f>
        <v/>
      </c>
      <c r="E68" s="28">
        <f>IF($P68="","",IF(INDEX(EntryPartyName,$P68)=0,"",INDEX(EntryPartyName,$P68)))</f>
        <v/>
      </c>
      <c r="F68" s="28">
        <f>IF($P68="","",IF(INDEX(EntryPartyType,$P68)=0,"",INDEX(EntryPartyType,$P68)))</f>
        <v/>
      </c>
      <c r="G68" s="28">
        <f>IF($P68="","",IF(INDEX(EntryTxnType,$P68)=0,"",INDEX(EntryTxnType,$P68)))</f>
        <v/>
      </c>
      <c r="H68" s="29">
        <f>IF($P68="","",IF(INDEX(EntryDep,$P68)=0,"",INDEX(EntryDep,$P68)))</f>
        <v/>
      </c>
      <c r="I68" s="29">
        <f>IF($P68="","",IF(INDEX(EntryWit,$P68)=0,"",INDEX(EntryWit,$P68)))</f>
        <v/>
      </c>
      <c r="J68" s="29">
        <f>IF($B68="","",IF($A68=1,$C$7,IF(J67="",0,J67))+IF($H68="",0,$H68)-IF($I68="",0,$I68))</f>
        <v/>
      </c>
      <c r="K68" s="29">
        <f>IF($P68="","",IF(INDEX(EntryMan,$P68)=0,"",INDEX(EntryMan,$P68)))</f>
        <v/>
      </c>
      <c r="L68" s="28">
        <f>IF($B68="","",IF($K68="","—",IF(ROUND($K68-$J68,0)=0,"√","×")))</f>
        <v/>
      </c>
      <c r="M68" s="28">
        <f>IF($B68="","",IF(COUNTIFS(EntryDates,$B68,CalcTime,$C68,CalcBank,$C$5,EntryParty,$D68,EntryDep,$H68,EntryWit,$I68)&gt;1,"تکرار",""))</f>
        <v/>
      </c>
      <c r="N68" s="28">
        <f>IF($P68="","",IF(INDEX(EntryNotes,$P68)=0,"",INDEX(EntryNotes,$P68)))</f>
        <v/>
      </c>
      <c r="O68" s="28">
        <f>IF($P68="","",IF(INDEX(EntryTxnID,$P68)=0,"",INDEX(EntryTxnID,$P68)))</f>
        <v/>
      </c>
      <c r="P68" s="28">
        <f>IFERROR(MATCH($C$5&amp;"|"&amp;RIGHT("000000"&amp;52,6),CalcRankKey,0),"")</f>
        <v/>
      </c>
    </row>
    <row r="69">
      <c r="A69" s="26">
        <f>IF($B69="","",53)</f>
        <v/>
      </c>
      <c r="B69" s="26">
        <f>IF($P69="","",IF(INDEX(CalcNormDate,$P69)=0,"",INDEX(CalcNormDate,$P69)))</f>
        <v/>
      </c>
      <c r="C69" s="26">
        <f>IF($P69="","",IF(INDEX(CalcTime,$P69)=0,"",INDEX(CalcTime,$P69)))</f>
        <v/>
      </c>
      <c r="D69" s="26">
        <f>IF($P69="","",IF(INDEX(EntryParty,$P69)=0,"",INDEX(EntryParty,$P69)))</f>
        <v/>
      </c>
      <c r="E69" s="26">
        <f>IF($P69="","",IF(INDEX(EntryPartyName,$P69)=0,"",INDEX(EntryPartyName,$P69)))</f>
        <v/>
      </c>
      <c r="F69" s="26">
        <f>IF($P69="","",IF(INDEX(EntryPartyType,$P69)=0,"",INDEX(EntryPartyType,$P69)))</f>
        <v/>
      </c>
      <c r="G69" s="26">
        <f>IF($P69="","",IF(INDEX(EntryTxnType,$P69)=0,"",INDEX(EntryTxnType,$P69)))</f>
        <v/>
      </c>
      <c r="H69" s="27">
        <f>IF($P69="","",IF(INDEX(EntryDep,$P69)=0,"",INDEX(EntryDep,$P69)))</f>
        <v/>
      </c>
      <c r="I69" s="27">
        <f>IF($P69="","",IF(INDEX(EntryWit,$P69)=0,"",INDEX(EntryWit,$P69)))</f>
        <v/>
      </c>
      <c r="J69" s="27">
        <f>IF($B69="","",IF($A69=1,$C$7,IF(J68="",0,J68))+IF($H69="",0,$H69)-IF($I69="",0,$I69))</f>
        <v/>
      </c>
      <c r="K69" s="27">
        <f>IF($P69="","",IF(INDEX(EntryMan,$P69)=0,"",INDEX(EntryMan,$P69)))</f>
        <v/>
      </c>
      <c r="L69" s="26">
        <f>IF($B69="","",IF($K69="","—",IF(ROUND($K69-$J69,0)=0,"√","×")))</f>
        <v/>
      </c>
      <c r="M69" s="26">
        <f>IF($B69="","",IF(COUNTIFS(EntryDates,$B69,CalcTime,$C69,CalcBank,$C$5,EntryParty,$D69,EntryDep,$H69,EntryWit,$I69)&gt;1,"تکرار",""))</f>
        <v/>
      </c>
      <c r="N69" s="26">
        <f>IF($P69="","",IF(INDEX(EntryNotes,$P69)=0,"",INDEX(EntryNotes,$P69)))</f>
        <v/>
      </c>
      <c r="O69" s="26">
        <f>IF($P69="","",IF(INDEX(EntryTxnID,$P69)=0,"",INDEX(EntryTxnID,$P69)))</f>
        <v/>
      </c>
      <c r="P69" s="26">
        <f>IFERROR(MATCH($C$5&amp;"|"&amp;RIGHT("000000"&amp;53,6),CalcRankKey,0),"")</f>
        <v/>
      </c>
    </row>
    <row r="70">
      <c r="A70" s="28">
        <f>IF($B70="","",54)</f>
        <v/>
      </c>
      <c r="B70" s="28">
        <f>IF($P70="","",IF(INDEX(CalcNormDate,$P70)=0,"",INDEX(CalcNormDate,$P70)))</f>
        <v/>
      </c>
      <c r="C70" s="28">
        <f>IF($P70="","",IF(INDEX(CalcTime,$P70)=0,"",INDEX(CalcTime,$P70)))</f>
        <v/>
      </c>
      <c r="D70" s="28">
        <f>IF($P70="","",IF(INDEX(EntryParty,$P70)=0,"",INDEX(EntryParty,$P70)))</f>
        <v/>
      </c>
      <c r="E70" s="28">
        <f>IF($P70="","",IF(INDEX(EntryPartyName,$P70)=0,"",INDEX(EntryPartyName,$P70)))</f>
        <v/>
      </c>
      <c r="F70" s="28">
        <f>IF($P70="","",IF(INDEX(EntryPartyType,$P70)=0,"",INDEX(EntryPartyType,$P70)))</f>
        <v/>
      </c>
      <c r="G70" s="28">
        <f>IF($P70="","",IF(INDEX(EntryTxnType,$P70)=0,"",INDEX(EntryTxnType,$P70)))</f>
        <v/>
      </c>
      <c r="H70" s="29">
        <f>IF($P70="","",IF(INDEX(EntryDep,$P70)=0,"",INDEX(EntryDep,$P70)))</f>
        <v/>
      </c>
      <c r="I70" s="29">
        <f>IF($P70="","",IF(INDEX(EntryWit,$P70)=0,"",INDEX(EntryWit,$P70)))</f>
        <v/>
      </c>
      <c r="J70" s="29">
        <f>IF($B70="","",IF($A70=1,$C$7,IF(J69="",0,J69))+IF($H70="",0,$H70)-IF($I70="",0,$I70))</f>
        <v/>
      </c>
      <c r="K70" s="29">
        <f>IF($P70="","",IF(INDEX(EntryMan,$P70)=0,"",INDEX(EntryMan,$P70)))</f>
        <v/>
      </c>
      <c r="L70" s="28">
        <f>IF($B70="","",IF($K70="","—",IF(ROUND($K70-$J70,0)=0,"√","×")))</f>
        <v/>
      </c>
      <c r="M70" s="28">
        <f>IF($B70="","",IF(COUNTIFS(EntryDates,$B70,CalcTime,$C70,CalcBank,$C$5,EntryParty,$D70,EntryDep,$H70,EntryWit,$I70)&gt;1,"تکرار",""))</f>
        <v/>
      </c>
      <c r="N70" s="28">
        <f>IF($P70="","",IF(INDEX(EntryNotes,$P70)=0,"",INDEX(EntryNotes,$P70)))</f>
        <v/>
      </c>
      <c r="O70" s="28">
        <f>IF($P70="","",IF(INDEX(EntryTxnID,$P70)=0,"",INDEX(EntryTxnID,$P70)))</f>
        <v/>
      </c>
      <c r="P70" s="28">
        <f>IFERROR(MATCH($C$5&amp;"|"&amp;RIGHT("000000"&amp;54,6),CalcRankKey,0),"")</f>
        <v/>
      </c>
    </row>
    <row r="71">
      <c r="A71" s="26">
        <f>IF($B71="","",55)</f>
        <v/>
      </c>
      <c r="B71" s="26">
        <f>IF($P71="","",IF(INDEX(CalcNormDate,$P71)=0,"",INDEX(CalcNormDate,$P71)))</f>
        <v/>
      </c>
      <c r="C71" s="26">
        <f>IF($P71="","",IF(INDEX(CalcTime,$P71)=0,"",INDEX(CalcTime,$P71)))</f>
        <v/>
      </c>
      <c r="D71" s="26">
        <f>IF($P71="","",IF(INDEX(EntryParty,$P71)=0,"",INDEX(EntryParty,$P71)))</f>
        <v/>
      </c>
      <c r="E71" s="26">
        <f>IF($P71="","",IF(INDEX(EntryPartyName,$P71)=0,"",INDEX(EntryPartyName,$P71)))</f>
        <v/>
      </c>
      <c r="F71" s="26">
        <f>IF($P71="","",IF(INDEX(EntryPartyType,$P71)=0,"",INDEX(EntryPartyType,$P71)))</f>
        <v/>
      </c>
      <c r="G71" s="26">
        <f>IF($P71="","",IF(INDEX(EntryTxnType,$P71)=0,"",INDEX(EntryTxnType,$P71)))</f>
        <v/>
      </c>
      <c r="H71" s="27">
        <f>IF($P71="","",IF(INDEX(EntryDep,$P71)=0,"",INDEX(EntryDep,$P71)))</f>
        <v/>
      </c>
      <c r="I71" s="27">
        <f>IF($P71="","",IF(INDEX(EntryWit,$P71)=0,"",INDEX(EntryWit,$P71)))</f>
        <v/>
      </c>
      <c r="J71" s="27">
        <f>IF($B71="","",IF($A71=1,$C$7,IF(J70="",0,J70))+IF($H71="",0,$H71)-IF($I71="",0,$I71))</f>
        <v/>
      </c>
      <c r="K71" s="27">
        <f>IF($P71="","",IF(INDEX(EntryMan,$P71)=0,"",INDEX(EntryMan,$P71)))</f>
        <v/>
      </c>
      <c r="L71" s="26">
        <f>IF($B71="","",IF($K71="","—",IF(ROUND($K71-$J71,0)=0,"√","×")))</f>
        <v/>
      </c>
      <c r="M71" s="26">
        <f>IF($B71="","",IF(COUNTIFS(EntryDates,$B71,CalcTime,$C71,CalcBank,$C$5,EntryParty,$D71,EntryDep,$H71,EntryWit,$I71)&gt;1,"تکرار",""))</f>
        <v/>
      </c>
      <c r="N71" s="26">
        <f>IF($P71="","",IF(INDEX(EntryNotes,$P71)=0,"",INDEX(EntryNotes,$P71)))</f>
        <v/>
      </c>
      <c r="O71" s="26">
        <f>IF($P71="","",IF(INDEX(EntryTxnID,$P71)=0,"",INDEX(EntryTxnID,$P71)))</f>
        <v/>
      </c>
      <c r="P71" s="26">
        <f>IFERROR(MATCH($C$5&amp;"|"&amp;RIGHT("000000"&amp;55,6),CalcRankKey,0),"")</f>
        <v/>
      </c>
    </row>
    <row r="72">
      <c r="A72" s="28">
        <f>IF($B72="","",56)</f>
        <v/>
      </c>
      <c r="B72" s="28">
        <f>IF($P72="","",IF(INDEX(CalcNormDate,$P72)=0,"",INDEX(CalcNormDate,$P72)))</f>
        <v/>
      </c>
      <c r="C72" s="28">
        <f>IF($P72="","",IF(INDEX(CalcTime,$P72)=0,"",INDEX(CalcTime,$P72)))</f>
        <v/>
      </c>
      <c r="D72" s="28">
        <f>IF($P72="","",IF(INDEX(EntryParty,$P72)=0,"",INDEX(EntryParty,$P72)))</f>
        <v/>
      </c>
      <c r="E72" s="28">
        <f>IF($P72="","",IF(INDEX(EntryPartyName,$P72)=0,"",INDEX(EntryPartyName,$P72)))</f>
        <v/>
      </c>
      <c r="F72" s="28">
        <f>IF($P72="","",IF(INDEX(EntryPartyType,$P72)=0,"",INDEX(EntryPartyType,$P72)))</f>
        <v/>
      </c>
      <c r="G72" s="28">
        <f>IF($P72="","",IF(INDEX(EntryTxnType,$P72)=0,"",INDEX(EntryTxnType,$P72)))</f>
        <v/>
      </c>
      <c r="H72" s="29">
        <f>IF($P72="","",IF(INDEX(EntryDep,$P72)=0,"",INDEX(EntryDep,$P72)))</f>
        <v/>
      </c>
      <c r="I72" s="29">
        <f>IF($P72="","",IF(INDEX(EntryWit,$P72)=0,"",INDEX(EntryWit,$P72)))</f>
        <v/>
      </c>
      <c r="J72" s="29">
        <f>IF($B72="","",IF($A72=1,$C$7,IF(J71="",0,J71))+IF($H72="",0,$H72)-IF($I72="",0,$I72))</f>
        <v/>
      </c>
      <c r="K72" s="29">
        <f>IF($P72="","",IF(INDEX(EntryMan,$P72)=0,"",INDEX(EntryMan,$P72)))</f>
        <v/>
      </c>
      <c r="L72" s="28">
        <f>IF($B72="","",IF($K72="","—",IF(ROUND($K72-$J72,0)=0,"√","×")))</f>
        <v/>
      </c>
      <c r="M72" s="28">
        <f>IF($B72="","",IF(COUNTIFS(EntryDates,$B72,CalcTime,$C72,CalcBank,$C$5,EntryParty,$D72,EntryDep,$H72,EntryWit,$I72)&gt;1,"تکرار",""))</f>
        <v/>
      </c>
      <c r="N72" s="28">
        <f>IF($P72="","",IF(INDEX(EntryNotes,$P72)=0,"",INDEX(EntryNotes,$P72)))</f>
        <v/>
      </c>
      <c r="O72" s="28">
        <f>IF($P72="","",IF(INDEX(EntryTxnID,$P72)=0,"",INDEX(EntryTxnID,$P72)))</f>
        <v/>
      </c>
      <c r="P72" s="28">
        <f>IFERROR(MATCH($C$5&amp;"|"&amp;RIGHT("000000"&amp;56,6),CalcRankKey,0),"")</f>
        <v/>
      </c>
    </row>
    <row r="73">
      <c r="A73" s="26">
        <f>IF($B73="","",57)</f>
        <v/>
      </c>
      <c r="B73" s="26">
        <f>IF($P73="","",IF(INDEX(CalcNormDate,$P73)=0,"",INDEX(CalcNormDate,$P73)))</f>
        <v/>
      </c>
      <c r="C73" s="26">
        <f>IF($P73="","",IF(INDEX(CalcTime,$P73)=0,"",INDEX(CalcTime,$P73)))</f>
        <v/>
      </c>
      <c r="D73" s="26">
        <f>IF($P73="","",IF(INDEX(EntryParty,$P73)=0,"",INDEX(EntryParty,$P73)))</f>
        <v/>
      </c>
      <c r="E73" s="26">
        <f>IF($P73="","",IF(INDEX(EntryPartyName,$P73)=0,"",INDEX(EntryPartyName,$P73)))</f>
        <v/>
      </c>
      <c r="F73" s="26">
        <f>IF($P73="","",IF(INDEX(EntryPartyType,$P73)=0,"",INDEX(EntryPartyType,$P73)))</f>
        <v/>
      </c>
      <c r="G73" s="26">
        <f>IF($P73="","",IF(INDEX(EntryTxnType,$P73)=0,"",INDEX(EntryTxnType,$P73)))</f>
        <v/>
      </c>
      <c r="H73" s="27">
        <f>IF($P73="","",IF(INDEX(EntryDep,$P73)=0,"",INDEX(EntryDep,$P73)))</f>
        <v/>
      </c>
      <c r="I73" s="27">
        <f>IF($P73="","",IF(INDEX(EntryWit,$P73)=0,"",INDEX(EntryWit,$P73)))</f>
        <v/>
      </c>
      <c r="J73" s="27">
        <f>IF($B73="","",IF($A73=1,$C$7,IF(J72="",0,J72))+IF($H73="",0,$H73)-IF($I73="",0,$I73))</f>
        <v/>
      </c>
      <c r="K73" s="27">
        <f>IF($P73="","",IF(INDEX(EntryMan,$P73)=0,"",INDEX(EntryMan,$P73)))</f>
        <v/>
      </c>
      <c r="L73" s="26">
        <f>IF($B73="","",IF($K73="","—",IF(ROUND($K73-$J73,0)=0,"√","×")))</f>
        <v/>
      </c>
      <c r="M73" s="26">
        <f>IF($B73="","",IF(COUNTIFS(EntryDates,$B73,CalcTime,$C73,CalcBank,$C$5,EntryParty,$D73,EntryDep,$H73,EntryWit,$I73)&gt;1,"تکرار",""))</f>
        <v/>
      </c>
      <c r="N73" s="26">
        <f>IF($P73="","",IF(INDEX(EntryNotes,$P73)=0,"",INDEX(EntryNotes,$P73)))</f>
        <v/>
      </c>
      <c r="O73" s="26">
        <f>IF($P73="","",IF(INDEX(EntryTxnID,$P73)=0,"",INDEX(EntryTxnID,$P73)))</f>
        <v/>
      </c>
      <c r="P73" s="26">
        <f>IFERROR(MATCH($C$5&amp;"|"&amp;RIGHT("000000"&amp;57,6),CalcRankKey,0),"")</f>
        <v/>
      </c>
    </row>
    <row r="74">
      <c r="A74" s="28">
        <f>IF($B74="","",58)</f>
        <v/>
      </c>
      <c r="B74" s="28">
        <f>IF($P74="","",IF(INDEX(CalcNormDate,$P74)=0,"",INDEX(CalcNormDate,$P74)))</f>
        <v/>
      </c>
      <c r="C74" s="28">
        <f>IF($P74="","",IF(INDEX(CalcTime,$P74)=0,"",INDEX(CalcTime,$P74)))</f>
        <v/>
      </c>
      <c r="D74" s="28">
        <f>IF($P74="","",IF(INDEX(EntryParty,$P74)=0,"",INDEX(EntryParty,$P74)))</f>
        <v/>
      </c>
      <c r="E74" s="28">
        <f>IF($P74="","",IF(INDEX(EntryPartyName,$P74)=0,"",INDEX(EntryPartyName,$P74)))</f>
        <v/>
      </c>
      <c r="F74" s="28">
        <f>IF($P74="","",IF(INDEX(EntryPartyType,$P74)=0,"",INDEX(EntryPartyType,$P74)))</f>
        <v/>
      </c>
      <c r="G74" s="28">
        <f>IF($P74="","",IF(INDEX(EntryTxnType,$P74)=0,"",INDEX(EntryTxnType,$P74)))</f>
        <v/>
      </c>
      <c r="H74" s="29">
        <f>IF($P74="","",IF(INDEX(EntryDep,$P74)=0,"",INDEX(EntryDep,$P74)))</f>
        <v/>
      </c>
      <c r="I74" s="29">
        <f>IF($P74="","",IF(INDEX(EntryWit,$P74)=0,"",INDEX(EntryWit,$P74)))</f>
        <v/>
      </c>
      <c r="J74" s="29">
        <f>IF($B74="","",IF($A74=1,$C$7,IF(J73="",0,J73))+IF($H74="",0,$H74)-IF($I74="",0,$I74))</f>
        <v/>
      </c>
      <c r="K74" s="29">
        <f>IF($P74="","",IF(INDEX(EntryMan,$P74)=0,"",INDEX(EntryMan,$P74)))</f>
        <v/>
      </c>
      <c r="L74" s="28">
        <f>IF($B74="","",IF($K74="","—",IF(ROUND($K74-$J74,0)=0,"√","×")))</f>
        <v/>
      </c>
      <c r="M74" s="28">
        <f>IF($B74="","",IF(COUNTIFS(EntryDates,$B74,CalcTime,$C74,CalcBank,$C$5,EntryParty,$D74,EntryDep,$H74,EntryWit,$I74)&gt;1,"تکرار",""))</f>
        <v/>
      </c>
      <c r="N74" s="28">
        <f>IF($P74="","",IF(INDEX(EntryNotes,$P74)=0,"",INDEX(EntryNotes,$P74)))</f>
        <v/>
      </c>
      <c r="O74" s="28">
        <f>IF($P74="","",IF(INDEX(EntryTxnID,$P74)=0,"",INDEX(EntryTxnID,$P74)))</f>
        <v/>
      </c>
      <c r="P74" s="28">
        <f>IFERROR(MATCH($C$5&amp;"|"&amp;RIGHT("000000"&amp;58,6),CalcRankKey,0),"")</f>
        <v/>
      </c>
    </row>
    <row r="75">
      <c r="A75" s="26">
        <f>IF($B75="","",59)</f>
        <v/>
      </c>
      <c r="B75" s="26">
        <f>IF($P75="","",IF(INDEX(CalcNormDate,$P75)=0,"",INDEX(CalcNormDate,$P75)))</f>
        <v/>
      </c>
      <c r="C75" s="26">
        <f>IF($P75="","",IF(INDEX(CalcTime,$P75)=0,"",INDEX(CalcTime,$P75)))</f>
        <v/>
      </c>
      <c r="D75" s="26">
        <f>IF($P75="","",IF(INDEX(EntryParty,$P75)=0,"",INDEX(EntryParty,$P75)))</f>
        <v/>
      </c>
      <c r="E75" s="26">
        <f>IF($P75="","",IF(INDEX(EntryPartyName,$P75)=0,"",INDEX(EntryPartyName,$P75)))</f>
        <v/>
      </c>
      <c r="F75" s="26">
        <f>IF($P75="","",IF(INDEX(EntryPartyType,$P75)=0,"",INDEX(EntryPartyType,$P75)))</f>
        <v/>
      </c>
      <c r="G75" s="26">
        <f>IF($P75="","",IF(INDEX(EntryTxnType,$P75)=0,"",INDEX(EntryTxnType,$P75)))</f>
        <v/>
      </c>
      <c r="H75" s="27">
        <f>IF($P75="","",IF(INDEX(EntryDep,$P75)=0,"",INDEX(EntryDep,$P75)))</f>
        <v/>
      </c>
      <c r="I75" s="27">
        <f>IF($P75="","",IF(INDEX(EntryWit,$P75)=0,"",INDEX(EntryWit,$P75)))</f>
        <v/>
      </c>
      <c r="J75" s="27">
        <f>IF($B75="","",IF($A75=1,$C$7,IF(J74="",0,J74))+IF($H75="",0,$H75)-IF($I75="",0,$I75))</f>
        <v/>
      </c>
      <c r="K75" s="27">
        <f>IF($P75="","",IF(INDEX(EntryMan,$P75)=0,"",INDEX(EntryMan,$P75)))</f>
        <v/>
      </c>
      <c r="L75" s="26">
        <f>IF($B75="","",IF($K75="","—",IF(ROUND($K75-$J75,0)=0,"√","×")))</f>
        <v/>
      </c>
      <c r="M75" s="26">
        <f>IF($B75="","",IF(COUNTIFS(EntryDates,$B75,CalcTime,$C75,CalcBank,$C$5,EntryParty,$D75,EntryDep,$H75,EntryWit,$I75)&gt;1,"تکرار",""))</f>
        <v/>
      </c>
      <c r="N75" s="26">
        <f>IF($P75="","",IF(INDEX(EntryNotes,$P75)=0,"",INDEX(EntryNotes,$P75)))</f>
        <v/>
      </c>
      <c r="O75" s="26">
        <f>IF($P75="","",IF(INDEX(EntryTxnID,$P75)=0,"",INDEX(EntryTxnID,$P75)))</f>
        <v/>
      </c>
      <c r="P75" s="26">
        <f>IFERROR(MATCH($C$5&amp;"|"&amp;RIGHT("000000"&amp;59,6),CalcRankKey,0),"")</f>
        <v/>
      </c>
    </row>
    <row r="76">
      <c r="A76" s="28">
        <f>IF($B76="","",60)</f>
        <v/>
      </c>
      <c r="B76" s="28">
        <f>IF($P76="","",IF(INDEX(CalcNormDate,$P76)=0,"",INDEX(CalcNormDate,$P76)))</f>
        <v/>
      </c>
      <c r="C76" s="28">
        <f>IF($P76="","",IF(INDEX(CalcTime,$P76)=0,"",INDEX(CalcTime,$P76)))</f>
        <v/>
      </c>
      <c r="D76" s="28">
        <f>IF($P76="","",IF(INDEX(EntryParty,$P76)=0,"",INDEX(EntryParty,$P76)))</f>
        <v/>
      </c>
      <c r="E76" s="28">
        <f>IF($P76="","",IF(INDEX(EntryPartyName,$P76)=0,"",INDEX(EntryPartyName,$P76)))</f>
        <v/>
      </c>
      <c r="F76" s="28">
        <f>IF($P76="","",IF(INDEX(EntryPartyType,$P76)=0,"",INDEX(EntryPartyType,$P76)))</f>
        <v/>
      </c>
      <c r="G76" s="28">
        <f>IF($P76="","",IF(INDEX(EntryTxnType,$P76)=0,"",INDEX(EntryTxnType,$P76)))</f>
        <v/>
      </c>
      <c r="H76" s="29">
        <f>IF($P76="","",IF(INDEX(EntryDep,$P76)=0,"",INDEX(EntryDep,$P76)))</f>
        <v/>
      </c>
      <c r="I76" s="29">
        <f>IF($P76="","",IF(INDEX(EntryWit,$P76)=0,"",INDEX(EntryWit,$P76)))</f>
        <v/>
      </c>
      <c r="J76" s="29">
        <f>IF($B76="","",IF($A76=1,$C$7,IF(J75="",0,J75))+IF($H76="",0,$H76)-IF($I76="",0,$I76))</f>
        <v/>
      </c>
      <c r="K76" s="29">
        <f>IF($P76="","",IF(INDEX(EntryMan,$P76)=0,"",INDEX(EntryMan,$P76)))</f>
        <v/>
      </c>
      <c r="L76" s="28">
        <f>IF($B76="","",IF($K76="","—",IF(ROUND($K76-$J76,0)=0,"√","×")))</f>
        <v/>
      </c>
      <c r="M76" s="28">
        <f>IF($B76="","",IF(COUNTIFS(EntryDates,$B76,CalcTime,$C76,CalcBank,$C$5,EntryParty,$D76,EntryDep,$H76,EntryWit,$I76)&gt;1,"تکرار",""))</f>
        <v/>
      </c>
      <c r="N76" s="28">
        <f>IF($P76="","",IF(INDEX(EntryNotes,$P76)=0,"",INDEX(EntryNotes,$P76)))</f>
        <v/>
      </c>
      <c r="O76" s="28">
        <f>IF($P76="","",IF(INDEX(EntryTxnID,$P76)=0,"",INDEX(EntryTxnID,$P76)))</f>
        <v/>
      </c>
      <c r="P76" s="28">
        <f>IFERROR(MATCH($C$5&amp;"|"&amp;RIGHT("000000"&amp;60,6),CalcRankKey,0),"")</f>
        <v/>
      </c>
    </row>
    <row r="77">
      <c r="A77" s="26">
        <f>IF($B77="","",61)</f>
        <v/>
      </c>
      <c r="B77" s="26">
        <f>IF($P77="","",IF(INDEX(CalcNormDate,$P77)=0,"",INDEX(CalcNormDate,$P77)))</f>
        <v/>
      </c>
      <c r="C77" s="26">
        <f>IF($P77="","",IF(INDEX(CalcTime,$P77)=0,"",INDEX(CalcTime,$P77)))</f>
        <v/>
      </c>
      <c r="D77" s="26">
        <f>IF($P77="","",IF(INDEX(EntryParty,$P77)=0,"",INDEX(EntryParty,$P77)))</f>
        <v/>
      </c>
      <c r="E77" s="26">
        <f>IF($P77="","",IF(INDEX(EntryPartyName,$P77)=0,"",INDEX(EntryPartyName,$P77)))</f>
        <v/>
      </c>
      <c r="F77" s="26">
        <f>IF($P77="","",IF(INDEX(EntryPartyType,$P77)=0,"",INDEX(EntryPartyType,$P77)))</f>
        <v/>
      </c>
      <c r="G77" s="26">
        <f>IF($P77="","",IF(INDEX(EntryTxnType,$P77)=0,"",INDEX(EntryTxnType,$P77)))</f>
        <v/>
      </c>
      <c r="H77" s="27">
        <f>IF($P77="","",IF(INDEX(EntryDep,$P77)=0,"",INDEX(EntryDep,$P77)))</f>
        <v/>
      </c>
      <c r="I77" s="27">
        <f>IF($P77="","",IF(INDEX(EntryWit,$P77)=0,"",INDEX(EntryWit,$P77)))</f>
        <v/>
      </c>
      <c r="J77" s="27">
        <f>IF($B77="","",IF($A77=1,$C$7,IF(J76="",0,J76))+IF($H77="",0,$H77)-IF($I77="",0,$I77))</f>
        <v/>
      </c>
      <c r="K77" s="27">
        <f>IF($P77="","",IF(INDEX(EntryMan,$P77)=0,"",INDEX(EntryMan,$P77)))</f>
        <v/>
      </c>
      <c r="L77" s="26">
        <f>IF($B77="","",IF($K77="","—",IF(ROUND($K77-$J77,0)=0,"√","×")))</f>
        <v/>
      </c>
      <c r="M77" s="26">
        <f>IF($B77="","",IF(COUNTIFS(EntryDates,$B77,CalcTime,$C77,CalcBank,$C$5,EntryParty,$D77,EntryDep,$H77,EntryWit,$I77)&gt;1,"تکرار",""))</f>
        <v/>
      </c>
      <c r="N77" s="26">
        <f>IF($P77="","",IF(INDEX(EntryNotes,$P77)=0,"",INDEX(EntryNotes,$P77)))</f>
        <v/>
      </c>
      <c r="O77" s="26">
        <f>IF($P77="","",IF(INDEX(EntryTxnID,$P77)=0,"",INDEX(EntryTxnID,$P77)))</f>
        <v/>
      </c>
      <c r="P77" s="26">
        <f>IFERROR(MATCH($C$5&amp;"|"&amp;RIGHT("000000"&amp;61,6),CalcRankKey,0),"")</f>
        <v/>
      </c>
    </row>
    <row r="78">
      <c r="A78" s="28">
        <f>IF($B78="","",62)</f>
        <v/>
      </c>
      <c r="B78" s="28">
        <f>IF($P78="","",IF(INDEX(CalcNormDate,$P78)=0,"",INDEX(CalcNormDate,$P78)))</f>
        <v/>
      </c>
      <c r="C78" s="28">
        <f>IF($P78="","",IF(INDEX(CalcTime,$P78)=0,"",INDEX(CalcTime,$P78)))</f>
        <v/>
      </c>
      <c r="D78" s="28">
        <f>IF($P78="","",IF(INDEX(EntryParty,$P78)=0,"",INDEX(EntryParty,$P78)))</f>
        <v/>
      </c>
      <c r="E78" s="28">
        <f>IF($P78="","",IF(INDEX(EntryPartyName,$P78)=0,"",INDEX(EntryPartyName,$P78)))</f>
        <v/>
      </c>
      <c r="F78" s="28">
        <f>IF($P78="","",IF(INDEX(EntryPartyType,$P78)=0,"",INDEX(EntryPartyType,$P78)))</f>
        <v/>
      </c>
      <c r="G78" s="28">
        <f>IF($P78="","",IF(INDEX(EntryTxnType,$P78)=0,"",INDEX(EntryTxnType,$P78)))</f>
        <v/>
      </c>
      <c r="H78" s="29">
        <f>IF($P78="","",IF(INDEX(EntryDep,$P78)=0,"",INDEX(EntryDep,$P78)))</f>
        <v/>
      </c>
      <c r="I78" s="29">
        <f>IF($P78="","",IF(INDEX(EntryWit,$P78)=0,"",INDEX(EntryWit,$P78)))</f>
        <v/>
      </c>
      <c r="J78" s="29">
        <f>IF($B78="","",IF($A78=1,$C$7,IF(J77="",0,J77))+IF($H78="",0,$H78)-IF($I78="",0,$I78))</f>
        <v/>
      </c>
      <c r="K78" s="29">
        <f>IF($P78="","",IF(INDEX(EntryMan,$P78)=0,"",INDEX(EntryMan,$P78)))</f>
        <v/>
      </c>
      <c r="L78" s="28">
        <f>IF($B78="","",IF($K78="","—",IF(ROUND($K78-$J78,0)=0,"√","×")))</f>
        <v/>
      </c>
      <c r="M78" s="28">
        <f>IF($B78="","",IF(COUNTIFS(EntryDates,$B78,CalcTime,$C78,CalcBank,$C$5,EntryParty,$D78,EntryDep,$H78,EntryWit,$I78)&gt;1,"تکرار",""))</f>
        <v/>
      </c>
      <c r="N78" s="28">
        <f>IF($P78="","",IF(INDEX(EntryNotes,$P78)=0,"",INDEX(EntryNotes,$P78)))</f>
        <v/>
      </c>
      <c r="O78" s="28">
        <f>IF($P78="","",IF(INDEX(EntryTxnID,$P78)=0,"",INDEX(EntryTxnID,$P78)))</f>
        <v/>
      </c>
      <c r="P78" s="28">
        <f>IFERROR(MATCH($C$5&amp;"|"&amp;RIGHT("000000"&amp;62,6),CalcRankKey,0),"")</f>
        <v/>
      </c>
    </row>
    <row r="79">
      <c r="A79" s="26">
        <f>IF($B79="","",63)</f>
        <v/>
      </c>
      <c r="B79" s="26">
        <f>IF($P79="","",IF(INDEX(CalcNormDate,$P79)=0,"",INDEX(CalcNormDate,$P79)))</f>
        <v/>
      </c>
      <c r="C79" s="26">
        <f>IF($P79="","",IF(INDEX(CalcTime,$P79)=0,"",INDEX(CalcTime,$P79)))</f>
        <v/>
      </c>
      <c r="D79" s="26">
        <f>IF($P79="","",IF(INDEX(EntryParty,$P79)=0,"",INDEX(EntryParty,$P79)))</f>
        <v/>
      </c>
      <c r="E79" s="26">
        <f>IF($P79="","",IF(INDEX(EntryPartyName,$P79)=0,"",INDEX(EntryPartyName,$P79)))</f>
        <v/>
      </c>
      <c r="F79" s="26">
        <f>IF($P79="","",IF(INDEX(EntryPartyType,$P79)=0,"",INDEX(EntryPartyType,$P79)))</f>
        <v/>
      </c>
      <c r="G79" s="26">
        <f>IF($P79="","",IF(INDEX(EntryTxnType,$P79)=0,"",INDEX(EntryTxnType,$P79)))</f>
        <v/>
      </c>
      <c r="H79" s="27">
        <f>IF($P79="","",IF(INDEX(EntryDep,$P79)=0,"",INDEX(EntryDep,$P79)))</f>
        <v/>
      </c>
      <c r="I79" s="27">
        <f>IF($P79="","",IF(INDEX(EntryWit,$P79)=0,"",INDEX(EntryWit,$P79)))</f>
        <v/>
      </c>
      <c r="J79" s="27">
        <f>IF($B79="","",IF($A79=1,$C$7,IF(J78="",0,J78))+IF($H79="",0,$H79)-IF($I79="",0,$I79))</f>
        <v/>
      </c>
      <c r="K79" s="27">
        <f>IF($P79="","",IF(INDEX(EntryMan,$P79)=0,"",INDEX(EntryMan,$P79)))</f>
        <v/>
      </c>
      <c r="L79" s="26">
        <f>IF($B79="","",IF($K79="","—",IF(ROUND($K79-$J79,0)=0,"√","×")))</f>
        <v/>
      </c>
      <c r="M79" s="26">
        <f>IF($B79="","",IF(COUNTIFS(EntryDates,$B79,CalcTime,$C79,CalcBank,$C$5,EntryParty,$D79,EntryDep,$H79,EntryWit,$I79)&gt;1,"تکرار",""))</f>
        <v/>
      </c>
      <c r="N79" s="26">
        <f>IF($P79="","",IF(INDEX(EntryNotes,$P79)=0,"",INDEX(EntryNotes,$P79)))</f>
        <v/>
      </c>
      <c r="O79" s="26">
        <f>IF($P79="","",IF(INDEX(EntryTxnID,$P79)=0,"",INDEX(EntryTxnID,$P79)))</f>
        <v/>
      </c>
      <c r="P79" s="26">
        <f>IFERROR(MATCH($C$5&amp;"|"&amp;RIGHT("000000"&amp;63,6),CalcRankKey,0),"")</f>
        <v/>
      </c>
    </row>
    <row r="80">
      <c r="A80" s="28">
        <f>IF($B80="","",64)</f>
        <v/>
      </c>
      <c r="B80" s="28">
        <f>IF($P80="","",IF(INDEX(CalcNormDate,$P80)=0,"",INDEX(CalcNormDate,$P80)))</f>
        <v/>
      </c>
      <c r="C80" s="28">
        <f>IF($P80="","",IF(INDEX(CalcTime,$P80)=0,"",INDEX(CalcTime,$P80)))</f>
        <v/>
      </c>
      <c r="D80" s="28">
        <f>IF($P80="","",IF(INDEX(EntryParty,$P80)=0,"",INDEX(EntryParty,$P80)))</f>
        <v/>
      </c>
      <c r="E80" s="28">
        <f>IF($P80="","",IF(INDEX(EntryPartyName,$P80)=0,"",INDEX(EntryPartyName,$P80)))</f>
        <v/>
      </c>
      <c r="F80" s="28">
        <f>IF($P80="","",IF(INDEX(EntryPartyType,$P80)=0,"",INDEX(EntryPartyType,$P80)))</f>
        <v/>
      </c>
      <c r="G80" s="28">
        <f>IF($P80="","",IF(INDEX(EntryTxnType,$P80)=0,"",INDEX(EntryTxnType,$P80)))</f>
        <v/>
      </c>
      <c r="H80" s="29">
        <f>IF($P80="","",IF(INDEX(EntryDep,$P80)=0,"",INDEX(EntryDep,$P80)))</f>
        <v/>
      </c>
      <c r="I80" s="29">
        <f>IF($P80="","",IF(INDEX(EntryWit,$P80)=0,"",INDEX(EntryWit,$P80)))</f>
        <v/>
      </c>
      <c r="J80" s="29">
        <f>IF($B80="","",IF($A80=1,$C$7,IF(J79="",0,J79))+IF($H80="",0,$H80)-IF($I80="",0,$I80))</f>
        <v/>
      </c>
      <c r="K80" s="29">
        <f>IF($P80="","",IF(INDEX(EntryMan,$P80)=0,"",INDEX(EntryMan,$P80)))</f>
        <v/>
      </c>
      <c r="L80" s="28">
        <f>IF($B80="","",IF($K80="","—",IF(ROUND($K80-$J80,0)=0,"√","×")))</f>
        <v/>
      </c>
      <c r="M80" s="28">
        <f>IF($B80="","",IF(COUNTIFS(EntryDates,$B80,CalcTime,$C80,CalcBank,$C$5,EntryParty,$D80,EntryDep,$H80,EntryWit,$I80)&gt;1,"تکرار",""))</f>
        <v/>
      </c>
      <c r="N80" s="28">
        <f>IF($P80="","",IF(INDEX(EntryNotes,$P80)=0,"",INDEX(EntryNotes,$P80)))</f>
        <v/>
      </c>
      <c r="O80" s="28">
        <f>IF($P80="","",IF(INDEX(EntryTxnID,$P80)=0,"",INDEX(EntryTxnID,$P80)))</f>
        <v/>
      </c>
      <c r="P80" s="28">
        <f>IFERROR(MATCH($C$5&amp;"|"&amp;RIGHT("000000"&amp;64,6),CalcRankKey,0),"")</f>
        <v/>
      </c>
    </row>
    <row r="81">
      <c r="A81" s="26">
        <f>IF($B81="","",65)</f>
        <v/>
      </c>
      <c r="B81" s="26">
        <f>IF($P81="","",IF(INDEX(CalcNormDate,$P81)=0,"",INDEX(CalcNormDate,$P81)))</f>
        <v/>
      </c>
      <c r="C81" s="26">
        <f>IF($P81="","",IF(INDEX(CalcTime,$P81)=0,"",INDEX(CalcTime,$P81)))</f>
        <v/>
      </c>
      <c r="D81" s="26">
        <f>IF($P81="","",IF(INDEX(EntryParty,$P81)=0,"",INDEX(EntryParty,$P81)))</f>
        <v/>
      </c>
      <c r="E81" s="26">
        <f>IF($P81="","",IF(INDEX(EntryPartyName,$P81)=0,"",INDEX(EntryPartyName,$P81)))</f>
        <v/>
      </c>
      <c r="F81" s="26">
        <f>IF($P81="","",IF(INDEX(EntryPartyType,$P81)=0,"",INDEX(EntryPartyType,$P81)))</f>
        <v/>
      </c>
      <c r="G81" s="26">
        <f>IF($P81="","",IF(INDEX(EntryTxnType,$P81)=0,"",INDEX(EntryTxnType,$P81)))</f>
        <v/>
      </c>
      <c r="H81" s="27">
        <f>IF($P81="","",IF(INDEX(EntryDep,$P81)=0,"",INDEX(EntryDep,$P81)))</f>
        <v/>
      </c>
      <c r="I81" s="27">
        <f>IF($P81="","",IF(INDEX(EntryWit,$P81)=0,"",INDEX(EntryWit,$P81)))</f>
        <v/>
      </c>
      <c r="J81" s="27">
        <f>IF($B81="","",IF($A81=1,$C$7,IF(J80="",0,J80))+IF($H81="",0,$H81)-IF($I81="",0,$I81))</f>
        <v/>
      </c>
      <c r="K81" s="27">
        <f>IF($P81="","",IF(INDEX(EntryMan,$P81)=0,"",INDEX(EntryMan,$P81)))</f>
        <v/>
      </c>
      <c r="L81" s="26">
        <f>IF($B81="","",IF($K81="","—",IF(ROUND($K81-$J81,0)=0,"√","×")))</f>
        <v/>
      </c>
      <c r="M81" s="26">
        <f>IF($B81="","",IF(COUNTIFS(EntryDates,$B81,CalcTime,$C81,CalcBank,$C$5,EntryParty,$D81,EntryDep,$H81,EntryWit,$I81)&gt;1,"تکرار",""))</f>
        <v/>
      </c>
      <c r="N81" s="26">
        <f>IF($P81="","",IF(INDEX(EntryNotes,$P81)=0,"",INDEX(EntryNotes,$P81)))</f>
        <v/>
      </c>
      <c r="O81" s="26">
        <f>IF($P81="","",IF(INDEX(EntryTxnID,$P81)=0,"",INDEX(EntryTxnID,$P81)))</f>
        <v/>
      </c>
      <c r="P81" s="26">
        <f>IFERROR(MATCH($C$5&amp;"|"&amp;RIGHT("000000"&amp;65,6),CalcRankKey,0),"")</f>
        <v/>
      </c>
    </row>
    <row r="82">
      <c r="A82" s="28">
        <f>IF($B82="","",66)</f>
        <v/>
      </c>
      <c r="B82" s="28">
        <f>IF($P82="","",IF(INDEX(CalcNormDate,$P82)=0,"",INDEX(CalcNormDate,$P82)))</f>
        <v/>
      </c>
      <c r="C82" s="28">
        <f>IF($P82="","",IF(INDEX(CalcTime,$P82)=0,"",INDEX(CalcTime,$P82)))</f>
        <v/>
      </c>
      <c r="D82" s="28">
        <f>IF($P82="","",IF(INDEX(EntryParty,$P82)=0,"",INDEX(EntryParty,$P82)))</f>
        <v/>
      </c>
      <c r="E82" s="28">
        <f>IF($P82="","",IF(INDEX(EntryPartyName,$P82)=0,"",INDEX(EntryPartyName,$P82)))</f>
        <v/>
      </c>
      <c r="F82" s="28">
        <f>IF($P82="","",IF(INDEX(EntryPartyType,$P82)=0,"",INDEX(EntryPartyType,$P82)))</f>
        <v/>
      </c>
      <c r="G82" s="28">
        <f>IF($P82="","",IF(INDEX(EntryTxnType,$P82)=0,"",INDEX(EntryTxnType,$P82)))</f>
        <v/>
      </c>
      <c r="H82" s="29">
        <f>IF($P82="","",IF(INDEX(EntryDep,$P82)=0,"",INDEX(EntryDep,$P82)))</f>
        <v/>
      </c>
      <c r="I82" s="29">
        <f>IF($P82="","",IF(INDEX(EntryWit,$P82)=0,"",INDEX(EntryWit,$P82)))</f>
        <v/>
      </c>
      <c r="J82" s="29">
        <f>IF($B82="","",IF($A82=1,$C$7,IF(J81="",0,J81))+IF($H82="",0,$H82)-IF($I82="",0,$I82))</f>
        <v/>
      </c>
      <c r="K82" s="29">
        <f>IF($P82="","",IF(INDEX(EntryMan,$P82)=0,"",INDEX(EntryMan,$P82)))</f>
        <v/>
      </c>
      <c r="L82" s="28">
        <f>IF($B82="","",IF($K82="","—",IF(ROUND($K82-$J82,0)=0,"√","×")))</f>
        <v/>
      </c>
      <c r="M82" s="28">
        <f>IF($B82="","",IF(COUNTIFS(EntryDates,$B82,CalcTime,$C82,CalcBank,$C$5,EntryParty,$D82,EntryDep,$H82,EntryWit,$I82)&gt;1,"تکرار",""))</f>
        <v/>
      </c>
      <c r="N82" s="28">
        <f>IF($P82="","",IF(INDEX(EntryNotes,$P82)=0,"",INDEX(EntryNotes,$P82)))</f>
        <v/>
      </c>
      <c r="O82" s="28">
        <f>IF($P82="","",IF(INDEX(EntryTxnID,$P82)=0,"",INDEX(EntryTxnID,$P82)))</f>
        <v/>
      </c>
      <c r="P82" s="28">
        <f>IFERROR(MATCH($C$5&amp;"|"&amp;RIGHT("000000"&amp;66,6),CalcRankKey,0),"")</f>
        <v/>
      </c>
    </row>
    <row r="83">
      <c r="A83" s="26">
        <f>IF($B83="","",67)</f>
        <v/>
      </c>
      <c r="B83" s="26">
        <f>IF($P83="","",IF(INDEX(CalcNormDate,$P83)=0,"",INDEX(CalcNormDate,$P83)))</f>
        <v/>
      </c>
      <c r="C83" s="26">
        <f>IF($P83="","",IF(INDEX(CalcTime,$P83)=0,"",INDEX(CalcTime,$P83)))</f>
        <v/>
      </c>
      <c r="D83" s="26">
        <f>IF($P83="","",IF(INDEX(EntryParty,$P83)=0,"",INDEX(EntryParty,$P83)))</f>
        <v/>
      </c>
      <c r="E83" s="26">
        <f>IF($P83="","",IF(INDEX(EntryPartyName,$P83)=0,"",INDEX(EntryPartyName,$P83)))</f>
        <v/>
      </c>
      <c r="F83" s="26">
        <f>IF($P83="","",IF(INDEX(EntryPartyType,$P83)=0,"",INDEX(EntryPartyType,$P83)))</f>
        <v/>
      </c>
      <c r="G83" s="26">
        <f>IF($P83="","",IF(INDEX(EntryTxnType,$P83)=0,"",INDEX(EntryTxnType,$P83)))</f>
        <v/>
      </c>
      <c r="H83" s="27">
        <f>IF($P83="","",IF(INDEX(EntryDep,$P83)=0,"",INDEX(EntryDep,$P83)))</f>
        <v/>
      </c>
      <c r="I83" s="27">
        <f>IF($P83="","",IF(INDEX(EntryWit,$P83)=0,"",INDEX(EntryWit,$P83)))</f>
        <v/>
      </c>
      <c r="J83" s="27">
        <f>IF($B83="","",IF($A83=1,$C$7,IF(J82="",0,J82))+IF($H83="",0,$H83)-IF($I83="",0,$I83))</f>
        <v/>
      </c>
      <c r="K83" s="27">
        <f>IF($P83="","",IF(INDEX(EntryMan,$P83)=0,"",INDEX(EntryMan,$P83)))</f>
        <v/>
      </c>
      <c r="L83" s="26">
        <f>IF($B83="","",IF($K83="","—",IF(ROUND($K83-$J83,0)=0,"√","×")))</f>
        <v/>
      </c>
      <c r="M83" s="26">
        <f>IF($B83="","",IF(COUNTIFS(EntryDates,$B83,CalcTime,$C83,CalcBank,$C$5,EntryParty,$D83,EntryDep,$H83,EntryWit,$I83)&gt;1,"تکرار",""))</f>
        <v/>
      </c>
      <c r="N83" s="26">
        <f>IF($P83="","",IF(INDEX(EntryNotes,$P83)=0,"",INDEX(EntryNotes,$P83)))</f>
        <v/>
      </c>
      <c r="O83" s="26">
        <f>IF($P83="","",IF(INDEX(EntryTxnID,$P83)=0,"",INDEX(EntryTxnID,$P83)))</f>
        <v/>
      </c>
      <c r="P83" s="26">
        <f>IFERROR(MATCH($C$5&amp;"|"&amp;RIGHT("000000"&amp;67,6),CalcRankKey,0),"")</f>
        <v/>
      </c>
    </row>
    <row r="84">
      <c r="A84" s="28">
        <f>IF($B84="","",68)</f>
        <v/>
      </c>
      <c r="B84" s="28">
        <f>IF($P84="","",IF(INDEX(CalcNormDate,$P84)=0,"",INDEX(CalcNormDate,$P84)))</f>
        <v/>
      </c>
      <c r="C84" s="28">
        <f>IF($P84="","",IF(INDEX(CalcTime,$P84)=0,"",INDEX(CalcTime,$P84)))</f>
        <v/>
      </c>
      <c r="D84" s="28">
        <f>IF($P84="","",IF(INDEX(EntryParty,$P84)=0,"",INDEX(EntryParty,$P84)))</f>
        <v/>
      </c>
      <c r="E84" s="28">
        <f>IF($P84="","",IF(INDEX(EntryPartyName,$P84)=0,"",INDEX(EntryPartyName,$P84)))</f>
        <v/>
      </c>
      <c r="F84" s="28">
        <f>IF($P84="","",IF(INDEX(EntryPartyType,$P84)=0,"",INDEX(EntryPartyType,$P84)))</f>
        <v/>
      </c>
      <c r="G84" s="28">
        <f>IF($P84="","",IF(INDEX(EntryTxnType,$P84)=0,"",INDEX(EntryTxnType,$P84)))</f>
        <v/>
      </c>
      <c r="H84" s="29">
        <f>IF($P84="","",IF(INDEX(EntryDep,$P84)=0,"",INDEX(EntryDep,$P84)))</f>
        <v/>
      </c>
      <c r="I84" s="29">
        <f>IF($P84="","",IF(INDEX(EntryWit,$P84)=0,"",INDEX(EntryWit,$P84)))</f>
        <v/>
      </c>
      <c r="J84" s="29">
        <f>IF($B84="","",IF($A84=1,$C$7,IF(J83="",0,J83))+IF($H84="",0,$H84)-IF($I84="",0,$I84))</f>
        <v/>
      </c>
      <c r="K84" s="29">
        <f>IF($P84="","",IF(INDEX(EntryMan,$P84)=0,"",INDEX(EntryMan,$P84)))</f>
        <v/>
      </c>
      <c r="L84" s="28">
        <f>IF($B84="","",IF($K84="","—",IF(ROUND($K84-$J84,0)=0,"√","×")))</f>
        <v/>
      </c>
      <c r="M84" s="28">
        <f>IF($B84="","",IF(COUNTIFS(EntryDates,$B84,CalcTime,$C84,CalcBank,$C$5,EntryParty,$D84,EntryDep,$H84,EntryWit,$I84)&gt;1,"تکرار",""))</f>
        <v/>
      </c>
      <c r="N84" s="28">
        <f>IF($P84="","",IF(INDEX(EntryNotes,$P84)=0,"",INDEX(EntryNotes,$P84)))</f>
        <v/>
      </c>
      <c r="O84" s="28">
        <f>IF($P84="","",IF(INDEX(EntryTxnID,$P84)=0,"",INDEX(EntryTxnID,$P84)))</f>
        <v/>
      </c>
      <c r="P84" s="28">
        <f>IFERROR(MATCH($C$5&amp;"|"&amp;RIGHT("000000"&amp;68,6),CalcRankKey,0),"")</f>
        <v/>
      </c>
    </row>
    <row r="85">
      <c r="A85" s="26">
        <f>IF($B85="","",69)</f>
        <v/>
      </c>
      <c r="B85" s="26">
        <f>IF($P85="","",IF(INDEX(CalcNormDate,$P85)=0,"",INDEX(CalcNormDate,$P85)))</f>
        <v/>
      </c>
      <c r="C85" s="26">
        <f>IF($P85="","",IF(INDEX(CalcTime,$P85)=0,"",INDEX(CalcTime,$P85)))</f>
        <v/>
      </c>
      <c r="D85" s="26">
        <f>IF($P85="","",IF(INDEX(EntryParty,$P85)=0,"",INDEX(EntryParty,$P85)))</f>
        <v/>
      </c>
      <c r="E85" s="26">
        <f>IF($P85="","",IF(INDEX(EntryPartyName,$P85)=0,"",INDEX(EntryPartyName,$P85)))</f>
        <v/>
      </c>
      <c r="F85" s="26">
        <f>IF($P85="","",IF(INDEX(EntryPartyType,$P85)=0,"",INDEX(EntryPartyType,$P85)))</f>
        <v/>
      </c>
      <c r="G85" s="26">
        <f>IF($P85="","",IF(INDEX(EntryTxnType,$P85)=0,"",INDEX(EntryTxnType,$P85)))</f>
        <v/>
      </c>
      <c r="H85" s="27">
        <f>IF($P85="","",IF(INDEX(EntryDep,$P85)=0,"",INDEX(EntryDep,$P85)))</f>
        <v/>
      </c>
      <c r="I85" s="27">
        <f>IF($P85="","",IF(INDEX(EntryWit,$P85)=0,"",INDEX(EntryWit,$P85)))</f>
        <v/>
      </c>
      <c r="J85" s="27">
        <f>IF($B85="","",IF($A85=1,$C$7,IF(J84="",0,J84))+IF($H85="",0,$H85)-IF($I85="",0,$I85))</f>
        <v/>
      </c>
      <c r="K85" s="27">
        <f>IF($P85="","",IF(INDEX(EntryMan,$P85)=0,"",INDEX(EntryMan,$P85)))</f>
        <v/>
      </c>
      <c r="L85" s="26">
        <f>IF($B85="","",IF($K85="","—",IF(ROUND($K85-$J85,0)=0,"√","×")))</f>
        <v/>
      </c>
      <c r="M85" s="26">
        <f>IF($B85="","",IF(COUNTIFS(EntryDates,$B85,CalcTime,$C85,CalcBank,$C$5,EntryParty,$D85,EntryDep,$H85,EntryWit,$I85)&gt;1,"تکرار",""))</f>
        <v/>
      </c>
      <c r="N85" s="26">
        <f>IF($P85="","",IF(INDEX(EntryNotes,$P85)=0,"",INDEX(EntryNotes,$P85)))</f>
        <v/>
      </c>
      <c r="O85" s="26">
        <f>IF($P85="","",IF(INDEX(EntryTxnID,$P85)=0,"",INDEX(EntryTxnID,$P85)))</f>
        <v/>
      </c>
      <c r="P85" s="26">
        <f>IFERROR(MATCH($C$5&amp;"|"&amp;RIGHT("000000"&amp;69,6),CalcRankKey,0),"")</f>
        <v/>
      </c>
    </row>
    <row r="86">
      <c r="A86" s="28">
        <f>IF($B86="","",70)</f>
        <v/>
      </c>
      <c r="B86" s="28">
        <f>IF($P86="","",IF(INDEX(CalcNormDate,$P86)=0,"",INDEX(CalcNormDate,$P86)))</f>
        <v/>
      </c>
      <c r="C86" s="28">
        <f>IF($P86="","",IF(INDEX(CalcTime,$P86)=0,"",INDEX(CalcTime,$P86)))</f>
        <v/>
      </c>
      <c r="D86" s="28">
        <f>IF($P86="","",IF(INDEX(EntryParty,$P86)=0,"",INDEX(EntryParty,$P86)))</f>
        <v/>
      </c>
      <c r="E86" s="28">
        <f>IF($P86="","",IF(INDEX(EntryPartyName,$P86)=0,"",INDEX(EntryPartyName,$P86)))</f>
        <v/>
      </c>
      <c r="F86" s="28">
        <f>IF($P86="","",IF(INDEX(EntryPartyType,$P86)=0,"",INDEX(EntryPartyType,$P86)))</f>
        <v/>
      </c>
      <c r="G86" s="28">
        <f>IF($P86="","",IF(INDEX(EntryTxnType,$P86)=0,"",INDEX(EntryTxnType,$P86)))</f>
        <v/>
      </c>
      <c r="H86" s="29">
        <f>IF($P86="","",IF(INDEX(EntryDep,$P86)=0,"",INDEX(EntryDep,$P86)))</f>
        <v/>
      </c>
      <c r="I86" s="29">
        <f>IF($P86="","",IF(INDEX(EntryWit,$P86)=0,"",INDEX(EntryWit,$P86)))</f>
        <v/>
      </c>
      <c r="J86" s="29">
        <f>IF($B86="","",IF($A86=1,$C$7,IF(J85="",0,J85))+IF($H86="",0,$H86)-IF($I86="",0,$I86))</f>
        <v/>
      </c>
      <c r="K86" s="29">
        <f>IF($P86="","",IF(INDEX(EntryMan,$P86)=0,"",INDEX(EntryMan,$P86)))</f>
        <v/>
      </c>
      <c r="L86" s="28">
        <f>IF($B86="","",IF($K86="","—",IF(ROUND($K86-$J86,0)=0,"√","×")))</f>
        <v/>
      </c>
      <c r="M86" s="28">
        <f>IF($B86="","",IF(COUNTIFS(EntryDates,$B86,CalcTime,$C86,CalcBank,$C$5,EntryParty,$D86,EntryDep,$H86,EntryWit,$I86)&gt;1,"تکرار",""))</f>
        <v/>
      </c>
      <c r="N86" s="28">
        <f>IF($P86="","",IF(INDEX(EntryNotes,$P86)=0,"",INDEX(EntryNotes,$P86)))</f>
        <v/>
      </c>
      <c r="O86" s="28">
        <f>IF($P86="","",IF(INDEX(EntryTxnID,$P86)=0,"",INDEX(EntryTxnID,$P86)))</f>
        <v/>
      </c>
      <c r="P86" s="28">
        <f>IFERROR(MATCH($C$5&amp;"|"&amp;RIGHT("000000"&amp;70,6),CalcRankKey,0),"")</f>
        <v/>
      </c>
    </row>
    <row r="87">
      <c r="A87" s="26">
        <f>IF($B87="","",71)</f>
        <v/>
      </c>
      <c r="B87" s="26">
        <f>IF($P87="","",IF(INDEX(CalcNormDate,$P87)=0,"",INDEX(CalcNormDate,$P87)))</f>
        <v/>
      </c>
      <c r="C87" s="26">
        <f>IF($P87="","",IF(INDEX(CalcTime,$P87)=0,"",INDEX(CalcTime,$P87)))</f>
        <v/>
      </c>
      <c r="D87" s="26">
        <f>IF($P87="","",IF(INDEX(EntryParty,$P87)=0,"",INDEX(EntryParty,$P87)))</f>
        <v/>
      </c>
      <c r="E87" s="26">
        <f>IF($P87="","",IF(INDEX(EntryPartyName,$P87)=0,"",INDEX(EntryPartyName,$P87)))</f>
        <v/>
      </c>
      <c r="F87" s="26">
        <f>IF($P87="","",IF(INDEX(EntryPartyType,$P87)=0,"",INDEX(EntryPartyType,$P87)))</f>
        <v/>
      </c>
      <c r="G87" s="26">
        <f>IF($P87="","",IF(INDEX(EntryTxnType,$P87)=0,"",INDEX(EntryTxnType,$P87)))</f>
        <v/>
      </c>
      <c r="H87" s="27">
        <f>IF($P87="","",IF(INDEX(EntryDep,$P87)=0,"",INDEX(EntryDep,$P87)))</f>
        <v/>
      </c>
      <c r="I87" s="27">
        <f>IF($P87="","",IF(INDEX(EntryWit,$P87)=0,"",INDEX(EntryWit,$P87)))</f>
        <v/>
      </c>
      <c r="J87" s="27">
        <f>IF($B87="","",IF($A87=1,$C$7,IF(J86="",0,J86))+IF($H87="",0,$H87)-IF($I87="",0,$I87))</f>
        <v/>
      </c>
      <c r="K87" s="27">
        <f>IF($P87="","",IF(INDEX(EntryMan,$P87)=0,"",INDEX(EntryMan,$P87)))</f>
        <v/>
      </c>
      <c r="L87" s="26">
        <f>IF($B87="","",IF($K87="","—",IF(ROUND($K87-$J87,0)=0,"√","×")))</f>
        <v/>
      </c>
      <c r="M87" s="26">
        <f>IF($B87="","",IF(COUNTIFS(EntryDates,$B87,CalcTime,$C87,CalcBank,$C$5,EntryParty,$D87,EntryDep,$H87,EntryWit,$I87)&gt;1,"تکرار",""))</f>
        <v/>
      </c>
      <c r="N87" s="26">
        <f>IF($P87="","",IF(INDEX(EntryNotes,$P87)=0,"",INDEX(EntryNotes,$P87)))</f>
        <v/>
      </c>
      <c r="O87" s="26">
        <f>IF($P87="","",IF(INDEX(EntryTxnID,$P87)=0,"",INDEX(EntryTxnID,$P87)))</f>
        <v/>
      </c>
      <c r="P87" s="26">
        <f>IFERROR(MATCH($C$5&amp;"|"&amp;RIGHT("000000"&amp;71,6),CalcRankKey,0),"")</f>
        <v/>
      </c>
    </row>
    <row r="88">
      <c r="A88" s="28">
        <f>IF($B88="","",72)</f>
        <v/>
      </c>
      <c r="B88" s="28">
        <f>IF($P88="","",IF(INDEX(CalcNormDate,$P88)=0,"",INDEX(CalcNormDate,$P88)))</f>
        <v/>
      </c>
      <c r="C88" s="28">
        <f>IF($P88="","",IF(INDEX(CalcTime,$P88)=0,"",INDEX(CalcTime,$P88)))</f>
        <v/>
      </c>
      <c r="D88" s="28">
        <f>IF($P88="","",IF(INDEX(EntryParty,$P88)=0,"",INDEX(EntryParty,$P88)))</f>
        <v/>
      </c>
      <c r="E88" s="28">
        <f>IF($P88="","",IF(INDEX(EntryPartyName,$P88)=0,"",INDEX(EntryPartyName,$P88)))</f>
        <v/>
      </c>
      <c r="F88" s="28">
        <f>IF($P88="","",IF(INDEX(EntryPartyType,$P88)=0,"",INDEX(EntryPartyType,$P88)))</f>
        <v/>
      </c>
      <c r="G88" s="28">
        <f>IF($P88="","",IF(INDEX(EntryTxnType,$P88)=0,"",INDEX(EntryTxnType,$P88)))</f>
        <v/>
      </c>
      <c r="H88" s="29">
        <f>IF($P88="","",IF(INDEX(EntryDep,$P88)=0,"",INDEX(EntryDep,$P88)))</f>
        <v/>
      </c>
      <c r="I88" s="29">
        <f>IF($P88="","",IF(INDEX(EntryWit,$P88)=0,"",INDEX(EntryWit,$P88)))</f>
        <v/>
      </c>
      <c r="J88" s="29">
        <f>IF($B88="","",IF($A88=1,$C$7,IF(J87="",0,J87))+IF($H88="",0,$H88)-IF($I88="",0,$I88))</f>
        <v/>
      </c>
      <c r="K88" s="29">
        <f>IF($P88="","",IF(INDEX(EntryMan,$P88)=0,"",INDEX(EntryMan,$P88)))</f>
        <v/>
      </c>
      <c r="L88" s="28">
        <f>IF($B88="","",IF($K88="","—",IF(ROUND($K88-$J88,0)=0,"√","×")))</f>
        <v/>
      </c>
      <c r="M88" s="28">
        <f>IF($B88="","",IF(COUNTIFS(EntryDates,$B88,CalcTime,$C88,CalcBank,$C$5,EntryParty,$D88,EntryDep,$H88,EntryWit,$I88)&gt;1,"تکرار",""))</f>
        <v/>
      </c>
      <c r="N88" s="28">
        <f>IF($P88="","",IF(INDEX(EntryNotes,$P88)=0,"",INDEX(EntryNotes,$P88)))</f>
        <v/>
      </c>
      <c r="O88" s="28">
        <f>IF($P88="","",IF(INDEX(EntryTxnID,$P88)=0,"",INDEX(EntryTxnID,$P88)))</f>
        <v/>
      </c>
      <c r="P88" s="28">
        <f>IFERROR(MATCH($C$5&amp;"|"&amp;RIGHT("000000"&amp;72,6),CalcRankKey,0),"")</f>
        <v/>
      </c>
    </row>
    <row r="89">
      <c r="A89" s="26">
        <f>IF($B89="","",73)</f>
        <v/>
      </c>
      <c r="B89" s="26">
        <f>IF($P89="","",IF(INDEX(CalcNormDate,$P89)=0,"",INDEX(CalcNormDate,$P89)))</f>
        <v/>
      </c>
      <c r="C89" s="26">
        <f>IF($P89="","",IF(INDEX(CalcTime,$P89)=0,"",INDEX(CalcTime,$P89)))</f>
        <v/>
      </c>
      <c r="D89" s="26">
        <f>IF($P89="","",IF(INDEX(EntryParty,$P89)=0,"",INDEX(EntryParty,$P89)))</f>
        <v/>
      </c>
      <c r="E89" s="26">
        <f>IF($P89="","",IF(INDEX(EntryPartyName,$P89)=0,"",INDEX(EntryPartyName,$P89)))</f>
        <v/>
      </c>
      <c r="F89" s="26">
        <f>IF($P89="","",IF(INDEX(EntryPartyType,$P89)=0,"",INDEX(EntryPartyType,$P89)))</f>
        <v/>
      </c>
      <c r="G89" s="26">
        <f>IF($P89="","",IF(INDEX(EntryTxnType,$P89)=0,"",INDEX(EntryTxnType,$P89)))</f>
        <v/>
      </c>
      <c r="H89" s="27">
        <f>IF($P89="","",IF(INDEX(EntryDep,$P89)=0,"",INDEX(EntryDep,$P89)))</f>
        <v/>
      </c>
      <c r="I89" s="27">
        <f>IF($P89="","",IF(INDEX(EntryWit,$P89)=0,"",INDEX(EntryWit,$P89)))</f>
        <v/>
      </c>
      <c r="J89" s="27">
        <f>IF($B89="","",IF($A89=1,$C$7,IF(J88="",0,J88))+IF($H89="",0,$H89)-IF($I89="",0,$I89))</f>
        <v/>
      </c>
      <c r="K89" s="27">
        <f>IF($P89="","",IF(INDEX(EntryMan,$P89)=0,"",INDEX(EntryMan,$P89)))</f>
        <v/>
      </c>
      <c r="L89" s="26">
        <f>IF($B89="","",IF($K89="","—",IF(ROUND($K89-$J89,0)=0,"√","×")))</f>
        <v/>
      </c>
      <c r="M89" s="26">
        <f>IF($B89="","",IF(COUNTIFS(EntryDates,$B89,CalcTime,$C89,CalcBank,$C$5,EntryParty,$D89,EntryDep,$H89,EntryWit,$I89)&gt;1,"تکرار",""))</f>
        <v/>
      </c>
      <c r="N89" s="26">
        <f>IF($P89="","",IF(INDEX(EntryNotes,$P89)=0,"",INDEX(EntryNotes,$P89)))</f>
        <v/>
      </c>
      <c r="O89" s="26">
        <f>IF($P89="","",IF(INDEX(EntryTxnID,$P89)=0,"",INDEX(EntryTxnID,$P89)))</f>
        <v/>
      </c>
      <c r="P89" s="26">
        <f>IFERROR(MATCH($C$5&amp;"|"&amp;RIGHT("000000"&amp;73,6),CalcRankKey,0),"")</f>
        <v/>
      </c>
    </row>
    <row r="90">
      <c r="A90" s="28">
        <f>IF($B90="","",74)</f>
        <v/>
      </c>
      <c r="B90" s="28">
        <f>IF($P90="","",IF(INDEX(CalcNormDate,$P90)=0,"",INDEX(CalcNormDate,$P90)))</f>
        <v/>
      </c>
      <c r="C90" s="28">
        <f>IF($P90="","",IF(INDEX(CalcTime,$P90)=0,"",INDEX(CalcTime,$P90)))</f>
        <v/>
      </c>
      <c r="D90" s="28">
        <f>IF($P90="","",IF(INDEX(EntryParty,$P90)=0,"",INDEX(EntryParty,$P90)))</f>
        <v/>
      </c>
      <c r="E90" s="28">
        <f>IF($P90="","",IF(INDEX(EntryPartyName,$P90)=0,"",INDEX(EntryPartyName,$P90)))</f>
        <v/>
      </c>
      <c r="F90" s="28">
        <f>IF($P90="","",IF(INDEX(EntryPartyType,$P90)=0,"",INDEX(EntryPartyType,$P90)))</f>
        <v/>
      </c>
      <c r="G90" s="28">
        <f>IF($P90="","",IF(INDEX(EntryTxnType,$P90)=0,"",INDEX(EntryTxnType,$P90)))</f>
        <v/>
      </c>
      <c r="H90" s="29">
        <f>IF($P90="","",IF(INDEX(EntryDep,$P90)=0,"",INDEX(EntryDep,$P90)))</f>
        <v/>
      </c>
      <c r="I90" s="29">
        <f>IF($P90="","",IF(INDEX(EntryWit,$P90)=0,"",INDEX(EntryWit,$P90)))</f>
        <v/>
      </c>
      <c r="J90" s="29">
        <f>IF($B90="","",IF($A90=1,$C$7,IF(J89="",0,J89))+IF($H90="",0,$H90)-IF($I90="",0,$I90))</f>
        <v/>
      </c>
      <c r="K90" s="29">
        <f>IF($P90="","",IF(INDEX(EntryMan,$P90)=0,"",INDEX(EntryMan,$P90)))</f>
        <v/>
      </c>
      <c r="L90" s="28">
        <f>IF($B90="","",IF($K90="","—",IF(ROUND($K90-$J90,0)=0,"√","×")))</f>
        <v/>
      </c>
      <c r="M90" s="28">
        <f>IF($B90="","",IF(COUNTIFS(EntryDates,$B90,CalcTime,$C90,CalcBank,$C$5,EntryParty,$D90,EntryDep,$H90,EntryWit,$I90)&gt;1,"تکرار",""))</f>
        <v/>
      </c>
      <c r="N90" s="28">
        <f>IF($P90="","",IF(INDEX(EntryNotes,$P90)=0,"",INDEX(EntryNotes,$P90)))</f>
        <v/>
      </c>
      <c r="O90" s="28">
        <f>IF($P90="","",IF(INDEX(EntryTxnID,$P90)=0,"",INDEX(EntryTxnID,$P90)))</f>
        <v/>
      </c>
      <c r="P90" s="28">
        <f>IFERROR(MATCH($C$5&amp;"|"&amp;RIGHT("000000"&amp;74,6),CalcRankKey,0),"")</f>
        <v/>
      </c>
    </row>
    <row r="91">
      <c r="A91" s="26">
        <f>IF($B91="","",75)</f>
        <v/>
      </c>
      <c r="B91" s="26">
        <f>IF($P91="","",IF(INDEX(CalcNormDate,$P91)=0,"",INDEX(CalcNormDate,$P91)))</f>
        <v/>
      </c>
      <c r="C91" s="26">
        <f>IF($P91="","",IF(INDEX(CalcTime,$P91)=0,"",INDEX(CalcTime,$P91)))</f>
        <v/>
      </c>
      <c r="D91" s="26">
        <f>IF($P91="","",IF(INDEX(EntryParty,$P91)=0,"",INDEX(EntryParty,$P91)))</f>
        <v/>
      </c>
      <c r="E91" s="26">
        <f>IF($P91="","",IF(INDEX(EntryPartyName,$P91)=0,"",INDEX(EntryPartyName,$P91)))</f>
        <v/>
      </c>
      <c r="F91" s="26">
        <f>IF($P91="","",IF(INDEX(EntryPartyType,$P91)=0,"",INDEX(EntryPartyType,$P91)))</f>
        <v/>
      </c>
      <c r="G91" s="26">
        <f>IF($P91="","",IF(INDEX(EntryTxnType,$P91)=0,"",INDEX(EntryTxnType,$P91)))</f>
        <v/>
      </c>
      <c r="H91" s="27">
        <f>IF($P91="","",IF(INDEX(EntryDep,$P91)=0,"",INDEX(EntryDep,$P91)))</f>
        <v/>
      </c>
      <c r="I91" s="27">
        <f>IF($P91="","",IF(INDEX(EntryWit,$P91)=0,"",INDEX(EntryWit,$P91)))</f>
        <v/>
      </c>
      <c r="J91" s="27">
        <f>IF($B91="","",IF($A91=1,$C$7,IF(J90="",0,J90))+IF($H91="",0,$H91)-IF($I91="",0,$I91))</f>
        <v/>
      </c>
      <c r="K91" s="27">
        <f>IF($P91="","",IF(INDEX(EntryMan,$P91)=0,"",INDEX(EntryMan,$P91)))</f>
        <v/>
      </c>
      <c r="L91" s="26">
        <f>IF($B91="","",IF($K91="","—",IF(ROUND($K91-$J91,0)=0,"√","×")))</f>
        <v/>
      </c>
      <c r="M91" s="26">
        <f>IF($B91="","",IF(COUNTIFS(EntryDates,$B91,CalcTime,$C91,CalcBank,$C$5,EntryParty,$D91,EntryDep,$H91,EntryWit,$I91)&gt;1,"تکرار",""))</f>
        <v/>
      </c>
      <c r="N91" s="26">
        <f>IF($P91="","",IF(INDEX(EntryNotes,$P91)=0,"",INDEX(EntryNotes,$P91)))</f>
        <v/>
      </c>
      <c r="O91" s="26">
        <f>IF($P91="","",IF(INDEX(EntryTxnID,$P91)=0,"",INDEX(EntryTxnID,$P91)))</f>
        <v/>
      </c>
      <c r="P91" s="26">
        <f>IFERROR(MATCH($C$5&amp;"|"&amp;RIGHT("000000"&amp;75,6),CalcRankKey,0),"")</f>
        <v/>
      </c>
    </row>
    <row r="92">
      <c r="A92" s="28">
        <f>IF($B92="","",76)</f>
        <v/>
      </c>
      <c r="B92" s="28">
        <f>IF($P92="","",IF(INDEX(CalcNormDate,$P92)=0,"",INDEX(CalcNormDate,$P92)))</f>
        <v/>
      </c>
      <c r="C92" s="28">
        <f>IF($P92="","",IF(INDEX(CalcTime,$P92)=0,"",INDEX(CalcTime,$P92)))</f>
        <v/>
      </c>
      <c r="D92" s="28">
        <f>IF($P92="","",IF(INDEX(EntryParty,$P92)=0,"",INDEX(EntryParty,$P92)))</f>
        <v/>
      </c>
      <c r="E92" s="28">
        <f>IF($P92="","",IF(INDEX(EntryPartyName,$P92)=0,"",INDEX(EntryPartyName,$P92)))</f>
        <v/>
      </c>
      <c r="F92" s="28">
        <f>IF($P92="","",IF(INDEX(EntryPartyType,$P92)=0,"",INDEX(EntryPartyType,$P92)))</f>
        <v/>
      </c>
      <c r="G92" s="28">
        <f>IF($P92="","",IF(INDEX(EntryTxnType,$P92)=0,"",INDEX(EntryTxnType,$P92)))</f>
        <v/>
      </c>
      <c r="H92" s="29">
        <f>IF($P92="","",IF(INDEX(EntryDep,$P92)=0,"",INDEX(EntryDep,$P92)))</f>
        <v/>
      </c>
      <c r="I92" s="29">
        <f>IF($P92="","",IF(INDEX(EntryWit,$P92)=0,"",INDEX(EntryWit,$P92)))</f>
        <v/>
      </c>
      <c r="J92" s="29">
        <f>IF($B92="","",IF($A92=1,$C$7,IF(J91="",0,J91))+IF($H92="",0,$H92)-IF($I92="",0,$I92))</f>
        <v/>
      </c>
      <c r="K92" s="29">
        <f>IF($P92="","",IF(INDEX(EntryMan,$P92)=0,"",INDEX(EntryMan,$P92)))</f>
        <v/>
      </c>
      <c r="L92" s="28">
        <f>IF($B92="","",IF($K92="","—",IF(ROUND($K92-$J92,0)=0,"√","×")))</f>
        <v/>
      </c>
      <c r="M92" s="28">
        <f>IF($B92="","",IF(COUNTIFS(EntryDates,$B92,CalcTime,$C92,CalcBank,$C$5,EntryParty,$D92,EntryDep,$H92,EntryWit,$I92)&gt;1,"تکرار",""))</f>
        <v/>
      </c>
      <c r="N92" s="28">
        <f>IF($P92="","",IF(INDEX(EntryNotes,$P92)=0,"",INDEX(EntryNotes,$P92)))</f>
        <v/>
      </c>
      <c r="O92" s="28">
        <f>IF($P92="","",IF(INDEX(EntryTxnID,$P92)=0,"",INDEX(EntryTxnID,$P92)))</f>
        <v/>
      </c>
      <c r="P92" s="28">
        <f>IFERROR(MATCH($C$5&amp;"|"&amp;RIGHT("000000"&amp;76,6),CalcRankKey,0),"")</f>
        <v/>
      </c>
    </row>
    <row r="93">
      <c r="A93" s="26">
        <f>IF($B93="","",77)</f>
        <v/>
      </c>
      <c r="B93" s="26">
        <f>IF($P93="","",IF(INDEX(CalcNormDate,$P93)=0,"",INDEX(CalcNormDate,$P93)))</f>
        <v/>
      </c>
      <c r="C93" s="26">
        <f>IF($P93="","",IF(INDEX(CalcTime,$P93)=0,"",INDEX(CalcTime,$P93)))</f>
        <v/>
      </c>
      <c r="D93" s="26">
        <f>IF($P93="","",IF(INDEX(EntryParty,$P93)=0,"",INDEX(EntryParty,$P93)))</f>
        <v/>
      </c>
      <c r="E93" s="26">
        <f>IF($P93="","",IF(INDEX(EntryPartyName,$P93)=0,"",INDEX(EntryPartyName,$P93)))</f>
        <v/>
      </c>
      <c r="F93" s="26">
        <f>IF($P93="","",IF(INDEX(EntryPartyType,$P93)=0,"",INDEX(EntryPartyType,$P93)))</f>
        <v/>
      </c>
      <c r="G93" s="26">
        <f>IF($P93="","",IF(INDEX(EntryTxnType,$P93)=0,"",INDEX(EntryTxnType,$P93)))</f>
        <v/>
      </c>
      <c r="H93" s="27">
        <f>IF($P93="","",IF(INDEX(EntryDep,$P93)=0,"",INDEX(EntryDep,$P93)))</f>
        <v/>
      </c>
      <c r="I93" s="27">
        <f>IF($P93="","",IF(INDEX(EntryWit,$P93)=0,"",INDEX(EntryWit,$P93)))</f>
        <v/>
      </c>
      <c r="J93" s="27">
        <f>IF($B93="","",IF($A93=1,$C$7,IF(J92="",0,J92))+IF($H93="",0,$H93)-IF($I93="",0,$I93))</f>
        <v/>
      </c>
      <c r="K93" s="27">
        <f>IF($P93="","",IF(INDEX(EntryMan,$P93)=0,"",INDEX(EntryMan,$P93)))</f>
        <v/>
      </c>
      <c r="L93" s="26">
        <f>IF($B93="","",IF($K93="","—",IF(ROUND($K93-$J93,0)=0,"√","×")))</f>
        <v/>
      </c>
      <c r="M93" s="26">
        <f>IF($B93="","",IF(COUNTIFS(EntryDates,$B93,CalcTime,$C93,CalcBank,$C$5,EntryParty,$D93,EntryDep,$H93,EntryWit,$I93)&gt;1,"تکرار",""))</f>
        <v/>
      </c>
      <c r="N93" s="26">
        <f>IF($P93="","",IF(INDEX(EntryNotes,$P93)=0,"",INDEX(EntryNotes,$P93)))</f>
        <v/>
      </c>
      <c r="O93" s="26">
        <f>IF($P93="","",IF(INDEX(EntryTxnID,$P93)=0,"",INDEX(EntryTxnID,$P93)))</f>
        <v/>
      </c>
      <c r="P93" s="26">
        <f>IFERROR(MATCH($C$5&amp;"|"&amp;RIGHT("000000"&amp;77,6),CalcRankKey,0),"")</f>
        <v/>
      </c>
    </row>
    <row r="94">
      <c r="A94" s="28">
        <f>IF($B94="","",78)</f>
        <v/>
      </c>
      <c r="B94" s="28">
        <f>IF($P94="","",IF(INDEX(CalcNormDate,$P94)=0,"",INDEX(CalcNormDate,$P94)))</f>
        <v/>
      </c>
      <c r="C94" s="28">
        <f>IF($P94="","",IF(INDEX(CalcTime,$P94)=0,"",INDEX(CalcTime,$P94)))</f>
        <v/>
      </c>
      <c r="D94" s="28">
        <f>IF($P94="","",IF(INDEX(EntryParty,$P94)=0,"",INDEX(EntryParty,$P94)))</f>
        <v/>
      </c>
      <c r="E94" s="28">
        <f>IF($P94="","",IF(INDEX(EntryPartyName,$P94)=0,"",INDEX(EntryPartyName,$P94)))</f>
        <v/>
      </c>
      <c r="F94" s="28">
        <f>IF($P94="","",IF(INDEX(EntryPartyType,$P94)=0,"",INDEX(EntryPartyType,$P94)))</f>
        <v/>
      </c>
      <c r="G94" s="28">
        <f>IF($P94="","",IF(INDEX(EntryTxnType,$P94)=0,"",INDEX(EntryTxnType,$P94)))</f>
        <v/>
      </c>
      <c r="H94" s="29">
        <f>IF($P94="","",IF(INDEX(EntryDep,$P94)=0,"",INDEX(EntryDep,$P94)))</f>
        <v/>
      </c>
      <c r="I94" s="29">
        <f>IF($P94="","",IF(INDEX(EntryWit,$P94)=0,"",INDEX(EntryWit,$P94)))</f>
        <v/>
      </c>
      <c r="J94" s="29">
        <f>IF($B94="","",IF($A94=1,$C$7,IF(J93="",0,J93))+IF($H94="",0,$H94)-IF($I94="",0,$I94))</f>
        <v/>
      </c>
      <c r="K94" s="29">
        <f>IF($P94="","",IF(INDEX(EntryMan,$P94)=0,"",INDEX(EntryMan,$P94)))</f>
        <v/>
      </c>
      <c r="L94" s="28">
        <f>IF($B94="","",IF($K94="","—",IF(ROUND($K94-$J94,0)=0,"√","×")))</f>
        <v/>
      </c>
      <c r="M94" s="28">
        <f>IF($B94="","",IF(COUNTIFS(EntryDates,$B94,CalcTime,$C94,CalcBank,$C$5,EntryParty,$D94,EntryDep,$H94,EntryWit,$I94)&gt;1,"تکرار",""))</f>
        <v/>
      </c>
      <c r="N94" s="28">
        <f>IF($P94="","",IF(INDEX(EntryNotes,$P94)=0,"",INDEX(EntryNotes,$P94)))</f>
        <v/>
      </c>
      <c r="O94" s="28">
        <f>IF($P94="","",IF(INDEX(EntryTxnID,$P94)=0,"",INDEX(EntryTxnID,$P94)))</f>
        <v/>
      </c>
      <c r="P94" s="28">
        <f>IFERROR(MATCH($C$5&amp;"|"&amp;RIGHT("000000"&amp;78,6),CalcRankKey,0),"")</f>
        <v/>
      </c>
    </row>
    <row r="95">
      <c r="A95" s="26">
        <f>IF($B95="","",79)</f>
        <v/>
      </c>
      <c r="B95" s="26">
        <f>IF($P95="","",IF(INDEX(CalcNormDate,$P95)=0,"",INDEX(CalcNormDate,$P95)))</f>
        <v/>
      </c>
      <c r="C95" s="26">
        <f>IF($P95="","",IF(INDEX(CalcTime,$P95)=0,"",INDEX(CalcTime,$P95)))</f>
        <v/>
      </c>
      <c r="D95" s="26">
        <f>IF($P95="","",IF(INDEX(EntryParty,$P95)=0,"",INDEX(EntryParty,$P95)))</f>
        <v/>
      </c>
      <c r="E95" s="26">
        <f>IF($P95="","",IF(INDEX(EntryPartyName,$P95)=0,"",INDEX(EntryPartyName,$P95)))</f>
        <v/>
      </c>
      <c r="F95" s="26">
        <f>IF($P95="","",IF(INDEX(EntryPartyType,$P95)=0,"",INDEX(EntryPartyType,$P95)))</f>
        <v/>
      </c>
      <c r="G95" s="26">
        <f>IF($P95="","",IF(INDEX(EntryTxnType,$P95)=0,"",INDEX(EntryTxnType,$P95)))</f>
        <v/>
      </c>
      <c r="H95" s="27">
        <f>IF($P95="","",IF(INDEX(EntryDep,$P95)=0,"",INDEX(EntryDep,$P95)))</f>
        <v/>
      </c>
      <c r="I95" s="27">
        <f>IF($P95="","",IF(INDEX(EntryWit,$P95)=0,"",INDEX(EntryWit,$P95)))</f>
        <v/>
      </c>
      <c r="J95" s="27">
        <f>IF($B95="","",IF($A95=1,$C$7,IF(J94="",0,J94))+IF($H95="",0,$H95)-IF($I95="",0,$I95))</f>
        <v/>
      </c>
      <c r="K95" s="27">
        <f>IF($P95="","",IF(INDEX(EntryMan,$P95)=0,"",INDEX(EntryMan,$P95)))</f>
        <v/>
      </c>
      <c r="L95" s="26">
        <f>IF($B95="","",IF($K95="","—",IF(ROUND($K95-$J95,0)=0,"√","×")))</f>
        <v/>
      </c>
      <c r="M95" s="26">
        <f>IF($B95="","",IF(COUNTIFS(EntryDates,$B95,CalcTime,$C95,CalcBank,$C$5,EntryParty,$D95,EntryDep,$H95,EntryWit,$I95)&gt;1,"تکرار",""))</f>
        <v/>
      </c>
      <c r="N95" s="26">
        <f>IF($P95="","",IF(INDEX(EntryNotes,$P95)=0,"",INDEX(EntryNotes,$P95)))</f>
        <v/>
      </c>
      <c r="O95" s="26">
        <f>IF($P95="","",IF(INDEX(EntryTxnID,$P95)=0,"",INDEX(EntryTxnID,$P95)))</f>
        <v/>
      </c>
      <c r="P95" s="26">
        <f>IFERROR(MATCH($C$5&amp;"|"&amp;RIGHT("000000"&amp;79,6),CalcRankKey,0),"")</f>
        <v/>
      </c>
    </row>
    <row r="96">
      <c r="A96" s="28">
        <f>IF($B96="","",80)</f>
        <v/>
      </c>
      <c r="B96" s="28">
        <f>IF($P96="","",IF(INDEX(CalcNormDate,$P96)=0,"",INDEX(CalcNormDate,$P96)))</f>
        <v/>
      </c>
      <c r="C96" s="28">
        <f>IF($P96="","",IF(INDEX(CalcTime,$P96)=0,"",INDEX(CalcTime,$P96)))</f>
        <v/>
      </c>
      <c r="D96" s="28">
        <f>IF($P96="","",IF(INDEX(EntryParty,$P96)=0,"",INDEX(EntryParty,$P96)))</f>
        <v/>
      </c>
      <c r="E96" s="28">
        <f>IF($P96="","",IF(INDEX(EntryPartyName,$P96)=0,"",INDEX(EntryPartyName,$P96)))</f>
        <v/>
      </c>
      <c r="F96" s="28">
        <f>IF($P96="","",IF(INDEX(EntryPartyType,$P96)=0,"",INDEX(EntryPartyType,$P96)))</f>
        <v/>
      </c>
      <c r="G96" s="28">
        <f>IF($P96="","",IF(INDEX(EntryTxnType,$P96)=0,"",INDEX(EntryTxnType,$P96)))</f>
        <v/>
      </c>
      <c r="H96" s="29">
        <f>IF($P96="","",IF(INDEX(EntryDep,$P96)=0,"",INDEX(EntryDep,$P96)))</f>
        <v/>
      </c>
      <c r="I96" s="29">
        <f>IF($P96="","",IF(INDEX(EntryWit,$P96)=0,"",INDEX(EntryWit,$P96)))</f>
        <v/>
      </c>
      <c r="J96" s="29">
        <f>IF($B96="","",IF($A96=1,$C$7,IF(J95="",0,J95))+IF($H96="",0,$H96)-IF($I96="",0,$I96))</f>
        <v/>
      </c>
      <c r="K96" s="29">
        <f>IF($P96="","",IF(INDEX(EntryMan,$P96)=0,"",INDEX(EntryMan,$P96)))</f>
        <v/>
      </c>
      <c r="L96" s="28">
        <f>IF($B96="","",IF($K96="","—",IF(ROUND($K96-$J96,0)=0,"√","×")))</f>
        <v/>
      </c>
      <c r="M96" s="28">
        <f>IF($B96="","",IF(COUNTIFS(EntryDates,$B96,CalcTime,$C96,CalcBank,$C$5,EntryParty,$D96,EntryDep,$H96,EntryWit,$I96)&gt;1,"تکرار",""))</f>
        <v/>
      </c>
      <c r="N96" s="28">
        <f>IF($P96="","",IF(INDEX(EntryNotes,$P96)=0,"",INDEX(EntryNotes,$P96)))</f>
        <v/>
      </c>
      <c r="O96" s="28">
        <f>IF($P96="","",IF(INDEX(EntryTxnID,$P96)=0,"",INDEX(EntryTxnID,$P96)))</f>
        <v/>
      </c>
      <c r="P96" s="28">
        <f>IFERROR(MATCH($C$5&amp;"|"&amp;RIGHT("000000"&amp;80,6),CalcRankKey,0),"")</f>
        <v/>
      </c>
    </row>
    <row r="97">
      <c r="A97" s="26">
        <f>IF($B97="","",81)</f>
        <v/>
      </c>
      <c r="B97" s="26">
        <f>IF($P97="","",IF(INDEX(CalcNormDate,$P97)=0,"",INDEX(CalcNormDate,$P97)))</f>
        <v/>
      </c>
      <c r="C97" s="26">
        <f>IF($P97="","",IF(INDEX(CalcTime,$P97)=0,"",INDEX(CalcTime,$P97)))</f>
        <v/>
      </c>
      <c r="D97" s="26">
        <f>IF($P97="","",IF(INDEX(EntryParty,$P97)=0,"",INDEX(EntryParty,$P97)))</f>
        <v/>
      </c>
      <c r="E97" s="26">
        <f>IF($P97="","",IF(INDEX(EntryPartyName,$P97)=0,"",INDEX(EntryPartyName,$P97)))</f>
        <v/>
      </c>
      <c r="F97" s="26">
        <f>IF($P97="","",IF(INDEX(EntryPartyType,$P97)=0,"",INDEX(EntryPartyType,$P97)))</f>
        <v/>
      </c>
      <c r="G97" s="26">
        <f>IF($P97="","",IF(INDEX(EntryTxnType,$P97)=0,"",INDEX(EntryTxnType,$P97)))</f>
        <v/>
      </c>
      <c r="H97" s="27">
        <f>IF($P97="","",IF(INDEX(EntryDep,$P97)=0,"",INDEX(EntryDep,$P97)))</f>
        <v/>
      </c>
      <c r="I97" s="27">
        <f>IF($P97="","",IF(INDEX(EntryWit,$P97)=0,"",INDEX(EntryWit,$P97)))</f>
        <v/>
      </c>
      <c r="J97" s="27">
        <f>IF($B97="","",IF($A97=1,$C$7,IF(J96="",0,J96))+IF($H97="",0,$H97)-IF($I97="",0,$I97))</f>
        <v/>
      </c>
      <c r="K97" s="27">
        <f>IF($P97="","",IF(INDEX(EntryMan,$P97)=0,"",INDEX(EntryMan,$P97)))</f>
        <v/>
      </c>
      <c r="L97" s="26">
        <f>IF($B97="","",IF($K97="","—",IF(ROUND($K97-$J97,0)=0,"√","×")))</f>
        <v/>
      </c>
      <c r="M97" s="26">
        <f>IF($B97="","",IF(COUNTIFS(EntryDates,$B97,CalcTime,$C97,CalcBank,$C$5,EntryParty,$D97,EntryDep,$H97,EntryWit,$I97)&gt;1,"تکرار",""))</f>
        <v/>
      </c>
      <c r="N97" s="26">
        <f>IF($P97="","",IF(INDEX(EntryNotes,$P97)=0,"",INDEX(EntryNotes,$P97)))</f>
        <v/>
      </c>
      <c r="O97" s="26">
        <f>IF($P97="","",IF(INDEX(EntryTxnID,$P97)=0,"",INDEX(EntryTxnID,$P97)))</f>
        <v/>
      </c>
      <c r="P97" s="26">
        <f>IFERROR(MATCH($C$5&amp;"|"&amp;RIGHT("000000"&amp;81,6),CalcRankKey,0),"")</f>
        <v/>
      </c>
    </row>
    <row r="98">
      <c r="A98" s="28">
        <f>IF($B98="","",82)</f>
        <v/>
      </c>
      <c r="B98" s="28">
        <f>IF($P98="","",IF(INDEX(CalcNormDate,$P98)=0,"",INDEX(CalcNormDate,$P98)))</f>
        <v/>
      </c>
      <c r="C98" s="28">
        <f>IF($P98="","",IF(INDEX(CalcTime,$P98)=0,"",INDEX(CalcTime,$P98)))</f>
        <v/>
      </c>
      <c r="D98" s="28">
        <f>IF($P98="","",IF(INDEX(EntryParty,$P98)=0,"",INDEX(EntryParty,$P98)))</f>
        <v/>
      </c>
      <c r="E98" s="28">
        <f>IF($P98="","",IF(INDEX(EntryPartyName,$P98)=0,"",INDEX(EntryPartyName,$P98)))</f>
        <v/>
      </c>
      <c r="F98" s="28">
        <f>IF($P98="","",IF(INDEX(EntryPartyType,$P98)=0,"",INDEX(EntryPartyType,$P98)))</f>
        <v/>
      </c>
      <c r="G98" s="28">
        <f>IF($P98="","",IF(INDEX(EntryTxnType,$P98)=0,"",INDEX(EntryTxnType,$P98)))</f>
        <v/>
      </c>
      <c r="H98" s="29">
        <f>IF($P98="","",IF(INDEX(EntryDep,$P98)=0,"",INDEX(EntryDep,$P98)))</f>
        <v/>
      </c>
      <c r="I98" s="29">
        <f>IF($P98="","",IF(INDEX(EntryWit,$P98)=0,"",INDEX(EntryWit,$P98)))</f>
        <v/>
      </c>
      <c r="J98" s="29">
        <f>IF($B98="","",IF($A98=1,$C$7,IF(J97="",0,J97))+IF($H98="",0,$H98)-IF($I98="",0,$I98))</f>
        <v/>
      </c>
      <c r="K98" s="29">
        <f>IF($P98="","",IF(INDEX(EntryMan,$P98)=0,"",INDEX(EntryMan,$P98)))</f>
        <v/>
      </c>
      <c r="L98" s="28">
        <f>IF($B98="","",IF($K98="","—",IF(ROUND($K98-$J98,0)=0,"√","×")))</f>
        <v/>
      </c>
      <c r="M98" s="28">
        <f>IF($B98="","",IF(COUNTIFS(EntryDates,$B98,CalcTime,$C98,CalcBank,$C$5,EntryParty,$D98,EntryDep,$H98,EntryWit,$I98)&gt;1,"تکرار",""))</f>
        <v/>
      </c>
      <c r="N98" s="28">
        <f>IF($P98="","",IF(INDEX(EntryNotes,$P98)=0,"",INDEX(EntryNotes,$P98)))</f>
        <v/>
      </c>
      <c r="O98" s="28">
        <f>IF($P98="","",IF(INDEX(EntryTxnID,$P98)=0,"",INDEX(EntryTxnID,$P98)))</f>
        <v/>
      </c>
      <c r="P98" s="28">
        <f>IFERROR(MATCH($C$5&amp;"|"&amp;RIGHT("000000"&amp;82,6),CalcRankKey,0),"")</f>
        <v/>
      </c>
    </row>
    <row r="99">
      <c r="A99" s="26">
        <f>IF($B99="","",83)</f>
        <v/>
      </c>
      <c r="B99" s="26">
        <f>IF($P99="","",IF(INDEX(CalcNormDate,$P99)=0,"",INDEX(CalcNormDate,$P99)))</f>
        <v/>
      </c>
      <c r="C99" s="26">
        <f>IF($P99="","",IF(INDEX(CalcTime,$P99)=0,"",INDEX(CalcTime,$P99)))</f>
        <v/>
      </c>
      <c r="D99" s="26">
        <f>IF($P99="","",IF(INDEX(EntryParty,$P99)=0,"",INDEX(EntryParty,$P99)))</f>
        <v/>
      </c>
      <c r="E99" s="26">
        <f>IF($P99="","",IF(INDEX(EntryPartyName,$P99)=0,"",INDEX(EntryPartyName,$P99)))</f>
        <v/>
      </c>
      <c r="F99" s="26">
        <f>IF($P99="","",IF(INDEX(EntryPartyType,$P99)=0,"",INDEX(EntryPartyType,$P99)))</f>
        <v/>
      </c>
      <c r="G99" s="26">
        <f>IF($P99="","",IF(INDEX(EntryTxnType,$P99)=0,"",INDEX(EntryTxnType,$P99)))</f>
        <v/>
      </c>
      <c r="H99" s="27">
        <f>IF($P99="","",IF(INDEX(EntryDep,$P99)=0,"",INDEX(EntryDep,$P99)))</f>
        <v/>
      </c>
      <c r="I99" s="27">
        <f>IF($P99="","",IF(INDEX(EntryWit,$P99)=0,"",INDEX(EntryWit,$P99)))</f>
        <v/>
      </c>
      <c r="J99" s="27">
        <f>IF($B99="","",IF($A99=1,$C$7,IF(J98="",0,J98))+IF($H99="",0,$H99)-IF($I99="",0,$I99))</f>
        <v/>
      </c>
      <c r="K99" s="27">
        <f>IF($P99="","",IF(INDEX(EntryMan,$P99)=0,"",INDEX(EntryMan,$P99)))</f>
        <v/>
      </c>
      <c r="L99" s="26">
        <f>IF($B99="","",IF($K99="","—",IF(ROUND($K99-$J99,0)=0,"√","×")))</f>
        <v/>
      </c>
      <c r="M99" s="26">
        <f>IF($B99="","",IF(COUNTIFS(EntryDates,$B99,CalcTime,$C99,CalcBank,$C$5,EntryParty,$D99,EntryDep,$H99,EntryWit,$I99)&gt;1,"تکرار",""))</f>
        <v/>
      </c>
      <c r="N99" s="26">
        <f>IF($P99="","",IF(INDEX(EntryNotes,$P99)=0,"",INDEX(EntryNotes,$P99)))</f>
        <v/>
      </c>
      <c r="O99" s="26">
        <f>IF($P99="","",IF(INDEX(EntryTxnID,$P99)=0,"",INDEX(EntryTxnID,$P99)))</f>
        <v/>
      </c>
      <c r="P99" s="26">
        <f>IFERROR(MATCH($C$5&amp;"|"&amp;RIGHT("000000"&amp;83,6),CalcRankKey,0),"")</f>
        <v/>
      </c>
    </row>
    <row r="100">
      <c r="A100" s="28">
        <f>IF($B100="","",84)</f>
        <v/>
      </c>
      <c r="B100" s="28">
        <f>IF($P100="","",IF(INDEX(CalcNormDate,$P100)=0,"",INDEX(CalcNormDate,$P100)))</f>
        <v/>
      </c>
      <c r="C100" s="28">
        <f>IF($P100="","",IF(INDEX(CalcTime,$P100)=0,"",INDEX(CalcTime,$P100)))</f>
        <v/>
      </c>
      <c r="D100" s="28">
        <f>IF($P100="","",IF(INDEX(EntryParty,$P100)=0,"",INDEX(EntryParty,$P100)))</f>
        <v/>
      </c>
      <c r="E100" s="28">
        <f>IF($P100="","",IF(INDEX(EntryPartyName,$P100)=0,"",INDEX(EntryPartyName,$P100)))</f>
        <v/>
      </c>
      <c r="F100" s="28">
        <f>IF($P100="","",IF(INDEX(EntryPartyType,$P100)=0,"",INDEX(EntryPartyType,$P100)))</f>
        <v/>
      </c>
      <c r="G100" s="28">
        <f>IF($P100="","",IF(INDEX(EntryTxnType,$P100)=0,"",INDEX(EntryTxnType,$P100)))</f>
        <v/>
      </c>
      <c r="H100" s="29">
        <f>IF($P100="","",IF(INDEX(EntryDep,$P100)=0,"",INDEX(EntryDep,$P100)))</f>
        <v/>
      </c>
      <c r="I100" s="29">
        <f>IF($P100="","",IF(INDEX(EntryWit,$P100)=0,"",INDEX(EntryWit,$P100)))</f>
        <v/>
      </c>
      <c r="J100" s="29">
        <f>IF($B100="","",IF($A100=1,$C$7,IF(J99="",0,J99))+IF($H100="",0,$H100)-IF($I100="",0,$I100))</f>
        <v/>
      </c>
      <c r="K100" s="29">
        <f>IF($P100="","",IF(INDEX(EntryMan,$P100)=0,"",INDEX(EntryMan,$P100)))</f>
        <v/>
      </c>
      <c r="L100" s="28">
        <f>IF($B100="","",IF($K100="","—",IF(ROUND($K100-$J100,0)=0,"√","×")))</f>
        <v/>
      </c>
      <c r="M100" s="28">
        <f>IF($B100="","",IF(COUNTIFS(EntryDates,$B100,CalcTime,$C100,CalcBank,$C$5,EntryParty,$D100,EntryDep,$H100,EntryWit,$I100)&gt;1,"تکرار",""))</f>
        <v/>
      </c>
      <c r="N100" s="28">
        <f>IF($P100="","",IF(INDEX(EntryNotes,$P100)=0,"",INDEX(EntryNotes,$P100)))</f>
        <v/>
      </c>
      <c r="O100" s="28">
        <f>IF($P100="","",IF(INDEX(EntryTxnID,$P100)=0,"",INDEX(EntryTxnID,$P100)))</f>
        <v/>
      </c>
      <c r="P100" s="28">
        <f>IFERROR(MATCH($C$5&amp;"|"&amp;RIGHT("000000"&amp;84,6),CalcRankKey,0),"")</f>
        <v/>
      </c>
    </row>
    <row r="101">
      <c r="A101" s="26">
        <f>IF($B101="","",85)</f>
        <v/>
      </c>
      <c r="B101" s="26">
        <f>IF($P101="","",IF(INDEX(CalcNormDate,$P101)=0,"",INDEX(CalcNormDate,$P101)))</f>
        <v/>
      </c>
      <c r="C101" s="26">
        <f>IF($P101="","",IF(INDEX(CalcTime,$P101)=0,"",INDEX(CalcTime,$P101)))</f>
        <v/>
      </c>
      <c r="D101" s="26">
        <f>IF($P101="","",IF(INDEX(EntryParty,$P101)=0,"",INDEX(EntryParty,$P101)))</f>
        <v/>
      </c>
      <c r="E101" s="26">
        <f>IF($P101="","",IF(INDEX(EntryPartyName,$P101)=0,"",INDEX(EntryPartyName,$P101)))</f>
        <v/>
      </c>
      <c r="F101" s="26">
        <f>IF($P101="","",IF(INDEX(EntryPartyType,$P101)=0,"",INDEX(EntryPartyType,$P101)))</f>
        <v/>
      </c>
      <c r="G101" s="26">
        <f>IF($P101="","",IF(INDEX(EntryTxnType,$P101)=0,"",INDEX(EntryTxnType,$P101)))</f>
        <v/>
      </c>
      <c r="H101" s="27">
        <f>IF($P101="","",IF(INDEX(EntryDep,$P101)=0,"",INDEX(EntryDep,$P101)))</f>
        <v/>
      </c>
      <c r="I101" s="27">
        <f>IF($P101="","",IF(INDEX(EntryWit,$P101)=0,"",INDEX(EntryWit,$P101)))</f>
        <v/>
      </c>
      <c r="J101" s="27">
        <f>IF($B101="","",IF($A101=1,$C$7,IF(J100="",0,J100))+IF($H101="",0,$H101)-IF($I101="",0,$I101))</f>
        <v/>
      </c>
      <c r="K101" s="27">
        <f>IF($P101="","",IF(INDEX(EntryMan,$P101)=0,"",INDEX(EntryMan,$P101)))</f>
        <v/>
      </c>
      <c r="L101" s="26">
        <f>IF($B101="","",IF($K101="","—",IF(ROUND($K101-$J101,0)=0,"√","×")))</f>
        <v/>
      </c>
      <c r="M101" s="26">
        <f>IF($B101="","",IF(COUNTIFS(EntryDates,$B101,CalcTime,$C101,CalcBank,$C$5,EntryParty,$D101,EntryDep,$H101,EntryWit,$I101)&gt;1,"تکرار",""))</f>
        <v/>
      </c>
      <c r="N101" s="26">
        <f>IF($P101="","",IF(INDEX(EntryNotes,$P101)=0,"",INDEX(EntryNotes,$P101)))</f>
        <v/>
      </c>
      <c r="O101" s="26">
        <f>IF($P101="","",IF(INDEX(EntryTxnID,$P101)=0,"",INDEX(EntryTxnID,$P101)))</f>
        <v/>
      </c>
      <c r="P101" s="26">
        <f>IFERROR(MATCH($C$5&amp;"|"&amp;RIGHT("000000"&amp;85,6),CalcRankKey,0),"")</f>
        <v/>
      </c>
    </row>
    <row r="102">
      <c r="A102" s="28">
        <f>IF($B102="","",86)</f>
        <v/>
      </c>
      <c r="B102" s="28">
        <f>IF($P102="","",IF(INDEX(CalcNormDate,$P102)=0,"",INDEX(CalcNormDate,$P102)))</f>
        <v/>
      </c>
      <c r="C102" s="28">
        <f>IF($P102="","",IF(INDEX(CalcTime,$P102)=0,"",INDEX(CalcTime,$P102)))</f>
        <v/>
      </c>
      <c r="D102" s="28">
        <f>IF($P102="","",IF(INDEX(EntryParty,$P102)=0,"",INDEX(EntryParty,$P102)))</f>
        <v/>
      </c>
      <c r="E102" s="28">
        <f>IF($P102="","",IF(INDEX(EntryPartyName,$P102)=0,"",INDEX(EntryPartyName,$P102)))</f>
        <v/>
      </c>
      <c r="F102" s="28">
        <f>IF($P102="","",IF(INDEX(EntryPartyType,$P102)=0,"",INDEX(EntryPartyType,$P102)))</f>
        <v/>
      </c>
      <c r="G102" s="28">
        <f>IF($P102="","",IF(INDEX(EntryTxnType,$P102)=0,"",INDEX(EntryTxnType,$P102)))</f>
        <v/>
      </c>
      <c r="H102" s="29">
        <f>IF($P102="","",IF(INDEX(EntryDep,$P102)=0,"",INDEX(EntryDep,$P102)))</f>
        <v/>
      </c>
      <c r="I102" s="29">
        <f>IF($P102="","",IF(INDEX(EntryWit,$P102)=0,"",INDEX(EntryWit,$P102)))</f>
        <v/>
      </c>
      <c r="J102" s="29">
        <f>IF($B102="","",IF($A102=1,$C$7,IF(J101="",0,J101))+IF($H102="",0,$H102)-IF($I102="",0,$I102))</f>
        <v/>
      </c>
      <c r="K102" s="29">
        <f>IF($P102="","",IF(INDEX(EntryMan,$P102)=0,"",INDEX(EntryMan,$P102)))</f>
        <v/>
      </c>
      <c r="L102" s="28">
        <f>IF($B102="","",IF($K102="","—",IF(ROUND($K102-$J102,0)=0,"√","×")))</f>
        <v/>
      </c>
      <c r="M102" s="28">
        <f>IF($B102="","",IF(COUNTIFS(EntryDates,$B102,CalcTime,$C102,CalcBank,$C$5,EntryParty,$D102,EntryDep,$H102,EntryWit,$I102)&gt;1,"تکرار",""))</f>
        <v/>
      </c>
      <c r="N102" s="28">
        <f>IF($P102="","",IF(INDEX(EntryNotes,$P102)=0,"",INDEX(EntryNotes,$P102)))</f>
        <v/>
      </c>
      <c r="O102" s="28">
        <f>IF($P102="","",IF(INDEX(EntryTxnID,$P102)=0,"",INDEX(EntryTxnID,$P102)))</f>
        <v/>
      </c>
      <c r="P102" s="28">
        <f>IFERROR(MATCH($C$5&amp;"|"&amp;RIGHT("000000"&amp;86,6),CalcRankKey,0),"")</f>
        <v/>
      </c>
    </row>
    <row r="103">
      <c r="A103" s="26">
        <f>IF($B103="","",87)</f>
        <v/>
      </c>
      <c r="B103" s="26">
        <f>IF($P103="","",IF(INDEX(CalcNormDate,$P103)=0,"",INDEX(CalcNormDate,$P103)))</f>
        <v/>
      </c>
      <c r="C103" s="26">
        <f>IF($P103="","",IF(INDEX(CalcTime,$P103)=0,"",INDEX(CalcTime,$P103)))</f>
        <v/>
      </c>
      <c r="D103" s="26">
        <f>IF($P103="","",IF(INDEX(EntryParty,$P103)=0,"",INDEX(EntryParty,$P103)))</f>
        <v/>
      </c>
      <c r="E103" s="26">
        <f>IF($P103="","",IF(INDEX(EntryPartyName,$P103)=0,"",INDEX(EntryPartyName,$P103)))</f>
        <v/>
      </c>
      <c r="F103" s="26">
        <f>IF($P103="","",IF(INDEX(EntryPartyType,$P103)=0,"",INDEX(EntryPartyType,$P103)))</f>
        <v/>
      </c>
      <c r="G103" s="26">
        <f>IF($P103="","",IF(INDEX(EntryTxnType,$P103)=0,"",INDEX(EntryTxnType,$P103)))</f>
        <v/>
      </c>
      <c r="H103" s="27">
        <f>IF($P103="","",IF(INDEX(EntryDep,$P103)=0,"",INDEX(EntryDep,$P103)))</f>
        <v/>
      </c>
      <c r="I103" s="27">
        <f>IF($P103="","",IF(INDEX(EntryWit,$P103)=0,"",INDEX(EntryWit,$P103)))</f>
        <v/>
      </c>
      <c r="J103" s="27">
        <f>IF($B103="","",IF($A103=1,$C$7,IF(J102="",0,J102))+IF($H103="",0,$H103)-IF($I103="",0,$I103))</f>
        <v/>
      </c>
      <c r="K103" s="27">
        <f>IF($P103="","",IF(INDEX(EntryMan,$P103)=0,"",INDEX(EntryMan,$P103)))</f>
        <v/>
      </c>
      <c r="L103" s="26">
        <f>IF($B103="","",IF($K103="","—",IF(ROUND($K103-$J103,0)=0,"√","×")))</f>
        <v/>
      </c>
      <c r="M103" s="26">
        <f>IF($B103="","",IF(COUNTIFS(EntryDates,$B103,CalcTime,$C103,CalcBank,$C$5,EntryParty,$D103,EntryDep,$H103,EntryWit,$I103)&gt;1,"تکرار",""))</f>
        <v/>
      </c>
      <c r="N103" s="26">
        <f>IF($P103="","",IF(INDEX(EntryNotes,$P103)=0,"",INDEX(EntryNotes,$P103)))</f>
        <v/>
      </c>
      <c r="O103" s="26">
        <f>IF($P103="","",IF(INDEX(EntryTxnID,$P103)=0,"",INDEX(EntryTxnID,$P103)))</f>
        <v/>
      </c>
      <c r="P103" s="26">
        <f>IFERROR(MATCH($C$5&amp;"|"&amp;RIGHT("000000"&amp;87,6),CalcRankKey,0),"")</f>
        <v/>
      </c>
    </row>
    <row r="104">
      <c r="A104" s="28">
        <f>IF($B104="","",88)</f>
        <v/>
      </c>
      <c r="B104" s="28">
        <f>IF($P104="","",IF(INDEX(CalcNormDate,$P104)=0,"",INDEX(CalcNormDate,$P104)))</f>
        <v/>
      </c>
      <c r="C104" s="28">
        <f>IF($P104="","",IF(INDEX(CalcTime,$P104)=0,"",INDEX(CalcTime,$P104)))</f>
        <v/>
      </c>
      <c r="D104" s="28">
        <f>IF($P104="","",IF(INDEX(EntryParty,$P104)=0,"",INDEX(EntryParty,$P104)))</f>
        <v/>
      </c>
      <c r="E104" s="28">
        <f>IF($P104="","",IF(INDEX(EntryPartyName,$P104)=0,"",INDEX(EntryPartyName,$P104)))</f>
        <v/>
      </c>
      <c r="F104" s="28">
        <f>IF($P104="","",IF(INDEX(EntryPartyType,$P104)=0,"",INDEX(EntryPartyType,$P104)))</f>
        <v/>
      </c>
      <c r="G104" s="28">
        <f>IF($P104="","",IF(INDEX(EntryTxnType,$P104)=0,"",INDEX(EntryTxnType,$P104)))</f>
        <v/>
      </c>
      <c r="H104" s="29">
        <f>IF($P104="","",IF(INDEX(EntryDep,$P104)=0,"",INDEX(EntryDep,$P104)))</f>
        <v/>
      </c>
      <c r="I104" s="29">
        <f>IF($P104="","",IF(INDEX(EntryWit,$P104)=0,"",INDEX(EntryWit,$P104)))</f>
        <v/>
      </c>
      <c r="J104" s="29">
        <f>IF($B104="","",IF($A104=1,$C$7,IF(J103="",0,J103))+IF($H104="",0,$H104)-IF($I104="",0,$I104))</f>
        <v/>
      </c>
      <c r="K104" s="29">
        <f>IF($P104="","",IF(INDEX(EntryMan,$P104)=0,"",INDEX(EntryMan,$P104)))</f>
        <v/>
      </c>
      <c r="L104" s="28">
        <f>IF($B104="","",IF($K104="","—",IF(ROUND($K104-$J104,0)=0,"√","×")))</f>
        <v/>
      </c>
      <c r="M104" s="28">
        <f>IF($B104="","",IF(COUNTIFS(EntryDates,$B104,CalcTime,$C104,CalcBank,$C$5,EntryParty,$D104,EntryDep,$H104,EntryWit,$I104)&gt;1,"تکرار",""))</f>
        <v/>
      </c>
      <c r="N104" s="28">
        <f>IF($P104="","",IF(INDEX(EntryNotes,$P104)=0,"",INDEX(EntryNotes,$P104)))</f>
        <v/>
      </c>
      <c r="O104" s="28">
        <f>IF($P104="","",IF(INDEX(EntryTxnID,$P104)=0,"",INDEX(EntryTxnID,$P104)))</f>
        <v/>
      </c>
      <c r="P104" s="28">
        <f>IFERROR(MATCH($C$5&amp;"|"&amp;RIGHT("000000"&amp;88,6),CalcRankKey,0),"")</f>
        <v/>
      </c>
    </row>
    <row r="105">
      <c r="A105" s="26">
        <f>IF($B105="","",89)</f>
        <v/>
      </c>
      <c r="B105" s="26">
        <f>IF($P105="","",IF(INDEX(CalcNormDate,$P105)=0,"",INDEX(CalcNormDate,$P105)))</f>
        <v/>
      </c>
      <c r="C105" s="26">
        <f>IF($P105="","",IF(INDEX(CalcTime,$P105)=0,"",INDEX(CalcTime,$P105)))</f>
        <v/>
      </c>
      <c r="D105" s="26">
        <f>IF($P105="","",IF(INDEX(EntryParty,$P105)=0,"",INDEX(EntryParty,$P105)))</f>
        <v/>
      </c>
      <c r="E105" s="26">
        <f>IF($P105="","",IF(INDEX(EntryPartyName,$P105)=0,"",INDEX(EntryPartyName,$P105)))</f>
        <v/>
      </c>
      <c r="F105" s="26">
        <f>IF($P105="","",IF(INDEX(EntryPartyType,$P105)=0,"",INDEX(EntryPartyType,$P105)))</f>
        <v/>
      </c>
      <c r="G105" s="26">
        <f>IF($P105="","",IF(INDEX(EntryTxnType,$P105)=0,"",INDEX(EntryTxnType,$P105)))</f>
        <v/>
      </c>
      <c r="H105" s="27">
        <f>IF($P105="","",IF(INDEX(EntryDep,$P105)=0,"",INDEX(EntryDep,$P105)))</f>
        <v/>
      </c>
      <c r="I105" s="27">
        <f>IF($P105="","",IF(INDEX(EntryWit,$P105)=0,"",INDEX(EntryWit,$P105)))</f>
        <v/>
      </c>
      <c r="J105" s="27">
        <f>IF($B105="","",IF($A105=1,$C$7,IF(J104="",0,J104))+IF($H105="",0,$H105)-IF($I105="",0,$I105))</f>
        <v/>
      </c>
      <c r="K105" s="27">
        <f>IF($P105="","",IF(INDEX(EntryMan,$P105)=0,"",INDEX(EntryMan,$P105)))</f>
        <v/>
      </c>
      <c r="L105" s="26">
        <f>IF($B105="","",IF($K105="","—",IF(ROUND($K105-$J105,0)=0,"√","×")))</f>
        <v/>
      </c>
      <c r="M105" s="26">
        <f>IF($B105="","",IF(COUNTIFS(EntryDates,$B105,CalcTime,$C105,CalcBank,$C$5,EntryParty,$D105,EntryDep,$H105,EntryWit,$I105)&gt;1,"تکرار",""))</f>
        <v/>
      </c>
      <c r="N105" s="26">
        <f>IF($P105="","",IF(INDEX(EntryNotes,$P105)=0,"",INDEX(EntryNotes,$P105)))</f>
        <v/>
      </c>
      <c r="O105" s="26">
        <f>IF($P105="","",IF(INDEX(EntryTxnID,$P105)=0,"",INDEX(EntryTxnID,$P105)))</f>
        <v/>
      </c>
      <c r="P105" s="26">
        <f>IFERROR(MATCH($C$5&amp;"|"&amp;RIGHT("000000"&amp;89,6),CalcRankKey,0),"")</f>
        <v/>
      </c>
    </row>
    <row r="106">
      <c r="A106" s="28">
        <f>IF($B106="","",90)</f>
        <v/>
      </c>
      <c r="B106" s="28">
        <f>IF($P106="","",IF(INDEX(CalcNormDate,$P106)=0,"",INDEX(CalcNormDate,$P106)))</f>
        <v/>
      </c>
      <c r="C106" s="28">
        <f>IF($P106="","",IF(INDEX(CalcTime,$P106)=0,"",INDEX(CalcTime,$P106)))</f>
        <v/>
      </c>
      <c r="D106" s="28">
        <f>IF($P106="","",IF(INDEX(EntryParty,$P106)=0,"",INDEX(EntryParty,$P106)))</f>
        <v/>
      </c>
      <c r="E106" s="28">
        <f>IF($P106="","",IF(INDEX(EntryPartyName,$P106)=0,"",INDEX(EntryPartyName,$P106)))</f>
        <v/>
      </c>
      <c r="F106" s="28">
        <f>IF($P106="","",IF(INDEX(EntryPartyType,$P106)=0,"",INDEX(EntryPartyType,$P106)))</f>
        <v/>
      </c>
      <c r="G106" s="28">
        <f>IF($P106="","",IF(INDEX(EntryTxnType,$P106)=0,"",INDEX(EntryTxnType,$P106)))</f>
        <v/>
      </c>
      <c r="H106" s="29">
        <f>IF($P106="","",IF(INDEX(EntryDep,$P106)=0,"",INDEX(EntryDep,$P106)))</f>
        <v/>
      </c>
      <c r="I106" s="29">
        <f>IF($P106="","",IF(INDEX(EntryWit,$P106)=0,"",INDEX(EntryWit,$P106)))</f>
        <v/>
      </c>
      <c r="J106" s="29">
        <f>IF($B106="","",IF($A106=1,$C$7,IF(J105="",0,J105))+IF($H106="",0,$H106)-IF($I106="",0,$I106))</f>
        <v/>
      </c>
      <c r="K106" s="29">
        <f>IF($P106="","",IF(INDEX(EntryMan,$P106)=0,"",INDEX(EntryMan,$P106)))</f>
        <v/>
      </c>
      <c r="L106" s="28">
        <f>IF($B106="","",IF($K106="","—",IF(ROUND($K106-$J106,0)=0,"√","×")))</f>
        <v/>
      </c>
      <c r="M106" s="28">
        <f>IF($B106="","",IF(COUNTIFS(EntryDates,$B106,CalcTime,$C106,CalcBank,$C$5,EntryParty,$D106,EntryDep,$H106,EntryWit,$I106)&gt;1,"تکرار",""))</f>
        <v/>
      </c>
      <c r="N106" s="28">
        <f>IF($P106="","",IF(INDEX(EntryNotes,$P106)=0,"",INDEX(EntryNotes,$P106)))</f>
        <v/>
      </c>
      <c r="O106" s="28">
        <f>IF($P106="","",IF(INDEX(EntryTxnID,$P106)=0,"",INDEX(EntryTxnID,$P106)))</f>
        <v/>
      </c>
      <c r="P106" s="28">
        <f>IFERROR(MATCH($C$5&amp;"|"&amp;RIGHT("000000"&amp;90,6),CalcRankKey,0),"")</f>
        <v/>
      </c>
    </row>
    <row r="107">
      <c r="A107" s="26">
        <f>IF($B107="","",91)</f>
        <v/>
      </c>
      <c r="B107" s="26">
        <f>IF($P107="","",IF(INDEX(CalcNormDate,$P107)=0,"",INDEX(CalcNormDate,$P107)))</f>
        <v/>
      </c>
      <c r="C107" s="26">
        <f>IF($P107="","",IF(INDEX(CalcTime,$P107)=0,"",INDEX(CalcTime,$P107)))</f>
        <v/>
      </c>
      <c r="D107" s="26">
        <f>IF($P107="","",IF(INDEX(EntryParty,$P107)=0,"",INDEX(EntryParty,$P107)))</f>
        <v/>
      </c>
      <c r="E107" s="26">
        <f>IF($P107="","",IF(INDEX(EntryPartyName,$P107)=0,"",INDEX(EntryPartyName,$P107)))</f>
        <v/>
      </c>
      <c r="F107" s="26">
        <f>IF($P107="","",IF(INDEX(EntryPartyType,$P107)=0,"",INDEX(EntryPartyType,$P107)))</f>
        <v/>
      </c>
      <c r="G107" s="26">
        <f>IF($P107="","",IF(INDEX(EntryTxnType,$P107)=0,"",INDEX(EntryTxnType,$P107)))</f>
        <v/>
      </c>
      <c r="H107" s="27">
        <f>IF($P107="","",IF(INDEX(EntryDep,$P107)=0,"",INDEX(EntryDep,$P107)))</f>
        <v/>
      </c>
      <c r="I107" s="27">
        <f>IF($P107="","",IF(INDEX(EntryWit,$P107)=0,"",INDEX(EntryWit,$P107)))</f>
        <v/>
      </c>
      <c r="J107" s="27">
        <f>IF($B107="","",IF($A107=1,$C$7,IF(J106="",0,J106))+IF($H107="",0,$H107)-IF($I107="",0,$I107))</f>
        <v/>
      </c>
      <c r="K107" s="27">
        <f>IF($P107="","",IF(INDEX(EntryMan,$P107)=0,"",INDEX(EntryMan,$P107)))</f>
        <v/>
      </c>
      <c r="L107" s="26">
        <f>IF($B107="","",IF($K107="","—",IF(ROUND($K107-$J107,0)=0,"√","×")))</f>
        <v/>
      </c>
      <c r="M107" s="26">
        <f>IF($B107="","",IF(COUNTIFS(EntryDates,$B107,CalcTime,$C107,CalcBank,$C$5,EntryParty,$D107,EntryDep,$H107,EntryWit,$I107)&gt;1,"تکرار",""))</f>
        <v/>
      </c>
      <c r="N107" s="26">
        <f>IF($P107="","",IF(INDEX(EntryNotes,$P107)=0,"",INDEX(EntryNotes,$P107)))</f>
        <v/>
      </c>
      <c r="O107" s="26">
        <f>IF($P107="","",IF(INDEX(EntryTxnID,$P107)=0,"",INDEX(EntryTxnID,$P107)))</f>
        <v/>
      </c>
      <c r="P107" s="26">
        <f>IFERROR(MATCH($C$5&amp;"|"&amp;RIGHT("000000"&amp;91,6),CalcRankKey,0),"")</f>
        <v/>
      </c>
    </row>
    <row r="108">
      <c r="A108" s="28">
        <f>IF($B108="","",92)</f>
        <v/>
      </c>
      <c r="B108" s="28">
        <f>IF($P108="","",IF(INDEX(CalcNormDate,$P108)=0,"",INDEX(CalcNormDate,$P108)))</f>
        <v/>
      </c>
      <c r="C108" s="28">
        <f>IF($P108="","",IF(INDEX(CalcTime,$P108)=0,"",INDEX(CalcTime,$P108)))</f>
        <v/>
      </c>
      <c r="D108" s="28">
        <f>IF($P108="","",IF(INDEX(EntryParty,$P108)=0,"",INDEX(EntryParty,$P108)))</f>
        <v/>
      </c>
      <c r="E108" s="28">
        <f>IF($P108="","",IF(INDEX(EntryPartyName,$P108)=0,"",INDEX(EntryPartyName,$P108)))</f>
        <v/>
      </c>
      <c r="F108" s="28">
        <f>IF($P108="","",IF(INDEX(EntryPartyType,$P108)=0,"",INDEX(EntryPartyType,$P108)))</f>
        <v/>
      </c>
      <c r="G108" s="28">
        <f>IF($P108="","",IF(INDEX(EntryTxnType,$P108)=0,"",INDEX(EntryTxnType,$P108)))</f>
        <v/>
      </c>
      <c r="H108" s="29">
        <f>IF($P108="","",IF(INDEX(EntryDep,$P108)=0,"",INDEX(EntryDep,$P108)))</f>
        <v/>
      </c>
      <c r="I108" s="29">
        <f>IF($P108="","",IF(INDEX(EntryWit,$P108)=0,"",INDEX(EntryWit,$P108)))</f>
        <v/>
      </c>
      <c r="J108" s="29">
        <f>IF($B108="","",IF($A108=1,$C$7,IF(J107="",0,J107))+IF($H108="",0,$H108)-IF($I108="",0,$I108))</f>
        <v/>
      </c>
      <c r="K108" s="29">
        <f>IF($P108="","",IF(INDEX(EntryMan,$P108)=0,"",INDEX(EntryMan,$P108)))</f>
        <v/>
      </c>
      <c r="L108" s="28">
        <f>IF($B108="","",IF($K108="","—",IF(ROUND($K108-$J108,0)=0,"√","×")))</f>
        <v/>
      </c>
      <c r="M108" s="28">
        <f>IF($B108="","",IF(COUNTIFS(EntryDates,$B108,CalcTime,$C108,CalcBank,$C$5,EntryParty,$D108,EntryDep,$H108,EntryWit,$I108)&gt;1,"تکرار",""))</f>
        <v/>
      </c>
      <c r="N108" s="28">
        <f>IF($P108="","",IF(INDEX(EntryNotes,$P108)=0,"",INDEX(EntryNotes,$P108)))</f>
        <v/>
      </c>
      <c r="O108" s="28">
        <f>IF($P108="","",IF(INDEX(EntryTxnID,$P108)=0,"",INDEX(EntryTxnID,$P108)))</f>
        <v/>
      </c>
      <c r="P108" s="28">
        <f>IFERROR(MATCH($C$5&amp;"|"&amp;RIGHT("000000"&amp;92,6),CalcRankKey,0),"")</f>
        <v/>
      </c>
    </row>
    <row r="109">
      <c r="A109" s="26">
        <f>IF($B109="","",93)</f>
        <v/>
      </c>
      <c r="B109" s="26">
        <f>IF($P109="","",IF(INDEX(CalcNormDate,$P109)=0,"",INDEX(CalcNormDate,$P109)))</f>
        <v/>
      </c>
      <c r="C109" s="26">
        <f>IF($P109="","",IF(INDEX(CalcTime,$P109)=0,"",INDEX(CalcTime,$P109)))</f>
        <v/>
      </c>
      <c r="D109" s="26">
        <f>IF($P109="","",IF(INDEX(EntryParty,$P109)=0,"",INDEX(EntryParty,$P109)))</f>
        <v/>
      </c>
      <c r="E109" s="26">
        <f>IF($P109="","",IF(INDEX(EntryPartyName,$P109)=0,"",INDEX(EntryPartyName,$P109)))</f>
        <v/>
      </c>
      <c r="F109" s="26">
        <f>IF($P109="","",IF(INDEX(EntryPartyType,$P109)=0,"",INDEX(EntryPartyType,$P109)))</f>
        <v/>
      </c>
      <c r="G109" s="26">
        <f>IF($P109="","",IF(INDEX(EntryTxnType,$P109)=0,"",INDEX(EntryTxnType,$P109)))</f>
        <v/>
      </c>
      <c r="H109" s="27">
        <f>IF($P109="","",IF(INDEX(EntryDep,$P109)=0,"",INDEX(EntryDep,$P109)))</f>
        <v/>
      </c>
      <c r="I109" s="27">
        <f>IF($P109="","",IF(INDEX(EntryWit,$P109)=0,"",INDEX(EntryWit,$P109)))</f>
        <v/>
      </c>
      <c r="J109" s="27">
        <f>IF($B109="","",IF($A109=1,$C$7,IF(J108="",0,J108))+IF($H109="",0,$H109)-IF($I109="",0,$I109))</f>
        <v/>
      </c>
      <c r="K109" s="27">
        <f>IF($P109="","",IF(INDEX(EntryMan,$P109)=0,"",INDEX(EntryMan,$P109)))</f>
        <v/>
      </c>
      <c r="L109" s="26">
        <f>IF($B109="","",IF($K109="","—",IF(ROUND($K109-$J109,0)=0,"√","×")))</f>
        <v/>
      </c>
      <c r="M109" s="26">
        <f>IF($B109="","",IF(COUNTIFS(EntryDates,$B109,CalcTime,$C109,CalcBank,$C$5,EntryParty,$D109,EntryDep,$H109,EntryWit,$I109)&gt;1,"تکرار",""))</f>
        <v/>
      </c>
      <c r="N109" s="26">
        <f>IF($P109="","",IF(INDEX(EntryNotes,$P109)=0,"",INDEX(EntryNotes,$P109)))</f>
        <v/>
      </c>
      <c r="O109" s="26">
        <f>IF($P109="","",IF(INDEX(EntryTxnID,$P109)=0,"",INDEX(EntryTxnID,$P109)))</f>
        <v/>
      </c>
      <c r="P109" s="26">
        <f>IFERROR(MATCH($C$5&amp;"|"&amp;RIGHT("000000"&amp;93,6),CalcRankKey,0),"")</f>
        <v/>
      </c>
    </row>
    <row r="110">
      <c r="A110" s="28">
        <f>IF($B110="","",94)</f>
        <v/>
      </c>
      <c r="B110" s="28">
        <f>IF($P110="","",IF(INDEX(CalcNormDate,$P110)=0,"",INDEX(CalcNormDate,$P110)))</f>
        <v/>
      </c>
      <c r="C110" s="28">
        <f>IF($P110="","",IF(INDEX(CalcTime,$P110)=0,"",INDEX(CalcTime,$P110)))</f>
        <v/>
      </c>
      <c r="D110" s="28">
        <f>IF($P110="","",IF(INDEX(EntryParty,$P110)=0,"",INDEX(EntryParty,$P110)))</f>
        <v/>
      </c>
      <c r="E110" s="28">
        <f>IF($P110="","",IF(INDEX(EntryPartyName,$P110)=0,"",INDEX(EntryPartyName,$P110)))</f>
        <v/>
      </c>
      <c r="F110" s="28">
        <f>IF($P110="","",IF(INDEX(EntryPartyType,$P110)=0,"",INDEX(EntryPartyType,$P110)))</f>
        <v/>
      </c>
      <c r="G110" s="28">
        <f>IF($P110="","",IF(INDEX(EntryTxnType,$P110)=0,"",INDEX(EntryTxnType,$P110)))</f>
        <v/>
      </c>
      <c r="H110" s="29">
        <f>IF($P110="","",IF(INDEX(EntryDep,$P110)=0,"",INDEX(EntryDep,$P110)))</f>
        <v/>
      </c>
      <c r="I110" s="29">
        <f>IF($P110="","",IF(INDEX(EntryWit,$P110)=0,"",INDEX(EntryWit,$P110)))</f>
        <v/>
      </c>
      <c r="J110" s="29">
        <f>IF($B110="","",IF($A110=1,$C$7,IF(J109="",0,J109))+IF($H110="",0,$H110)-IF($I110="",0,$I110))</f>
        <v/>
      </c>
      <c r="K110" s="29">
        <f>IF($P110="","",IF(INDEX(EntryMan,$P110)=0,"",INDEX(EntryMan,$P110)))</f>
        <v/>
      </c>
      <c r="L110" s="28">
        <f>IF($B110="","",IF($K110="","—",IF(ROUND($K110-$J110,0)=0,"√","×")))</f>
        <v/>
      </c>
      <c r="M110" s="28">
        <f>IF($B110="","",IF(COUNTIFS(EntryDates,$B110,CalcTime,$C110,CalcBank,$C$5,EntryParty,$D110,EntryDep,$H110,EntryWit,$I110)&gt;1,"تکرار",""))</f>
        <v/>
      </c>
      <c r="N110" s="28">
        <f>IF($P110="","",IF(INDEX(EntryNotes,$P110)=0,"",INDEX(EntryNotes,$P110)))</f>
        <v/>
      </c>
      <c r="O110" s="28">
        <f>IF($P110="","",IF(INDEX(EntryTxnID,$P110)=0,"",INDEX(EntryTxnID,$P110)))</f>
        <v/>
      </c>
      <c r="P110" s="28">
        <f>IFERROR(MATCH($C$5&amp;"|"&amp;RIGHT("000000"&amp;94,6),CalcRankKey,0),"")</f>
        <v/>
      </c>
    </row>
    <row r="111">
      <c r="A111" s="26">
        <f>IF($B111="","",95)</f>
        <v/>
      </c>
      <c r="B111" s="26">
        <f>IF($P111="","",IF(INDEX(CalcNormDate,$P111)=0,"",INDEX(CalcNormDate,$P111)))</f>
        <v/>
      </c>
      <c r="C111" s="26">
        <f>IF($P111="","",IF(INDEX(CalcTime,$P111)=0,"",INDEX(CalcTime,$P111)))</f>
        <v/>
      </c>
      <c r="D111" s="26">
        <f>IF($P111="","",IF(INDEX(EntryParty,$P111)=0,"",INDEX(EntryParty,$P111)))</f>
        <v/>
      </c>
      <c r="E111" s="26">
        <f>IF($P111="","",IF(INDEX(EntryPartyName,$P111)=0,"",INDEX(EntryPartyName,$P111)))</f>
        <v/>
      </c>
      <c r="F111" s="26">
        <f>IF($P111="","",IF(INDEX(EntryPartyType,$P111)=0,"",INDEX(EntryPartyType,$P111)))</f>
        <v/>
      </c>
      <c r="G111" s="26">
        <f>IF($P111="","",IF(INDEX(EntryTxnType,$P111)=0,"",INDEX(EntryTxnType,$P111)))</f>
        <v/>
      </c>
      <c r="H111" s="27">
        <f>IF($P111="","",IF(INDEX(EntryDep,$P111)=0,"",INDEX(EntryDep,$P111)))</f>
        <v/>
      </c>
      <c r="I111" s="27">
        <f>IF($P111="","",IF(INDEX(EntryWit,$P111)=0,"",INDEX(EntryWit,$P111)))</f>
        <v/>
      </c>
      <c r="J111" s="27">
        <f>IF($B111="","",IF($A111=1,$C$7,IF(J110="",0,J110))+IF($H111="",0,$H111)-IF($I111="",0,$I111))</f>
        <v/>
      </c>
      <c r="K111" s="27">
        <f>IF($P111="","",IF(INDEX(EntryMan,$P111)=0,"",INDEX(EntryMan,$P111)))</f>
        <v/>
      </c>
      <c r="L111" s="26">
        <f>IF($B111="","",IF($K111="","—",IF(ROUND($K111-$J111,0)=0,"√","×")))</f>
        <v/>
      </c>
      <c r="M111" s="26">
        <f>IF($B111="","",IF(COUNTIFS(EntryDates,$B111,CalcTime,$C111,CalcBank,$C$5,EntryParty,$D111,EntryDep,$H111,EntryWit,$I111)&gt;1,"تکرار",""))</f>
        <v/>
      </c>
      <c r="N111" s="26">
        <f>IF($P111="","",IF(INDEX(EntryNotes,$P111)=0,"",INDEX(EntryNotes,$P111)))</f>
        <v/>
      </c>
      <c r="O111" s="26">
        <f>IF($P111="","",IF(INDEX(EntryTxnID,$P111)=0,"",INDEX(EntryTxnID,$P111)))</f>
        <v/>
      </c>
      <c r="P111" s="26">
        <f>IFERROR(MATCH($C$5&amp;"|"&amp;RIGHT("000000"&amp;95,6),CalcRankKey,0),"")</f>
        <v/>
      </c>
    </row>
    <row r="112">
      <c r="A112" s="28">
        <f>IF($B112="","",96)</f>
        <v/>
      </c>
      <c r="B112" s="28">
        <f>IF($P112="","",IF(INDEX(CalcNormDate,$P112)=0,"",INDEX(CalcNormDate,$P112)))</f>
        <v/>
      </c>
      <c r="C112" s="28">
        <f>IF($P112="","",IF(INDEX(CalcTime,$P112)=0,"",INDEX(CalcTime,$P112)))</f>
        <v/>
      </c>
      <c r="D112" s="28">
        <f>IF($P112="","",IF(INDEX(EntryParty,$P112)=0,"",INDEX(EntryParty,$P112)))</f>
        <v/>
      </c>
      <c r="E112" s="28">
        <f>IF($P112="","",IF(INDEX(EntryPartyName,$P112)=0,"",INDEX(EntryPartyName,$P112)))</f>
        <v/>
      </c>
      <c r="F112" s="28">
        <f>IF($P112="","",IF(INDEX(EntryPartyType,$P112)=0,"",INDEX(EntryPartyType,$P112)))</f>
        <v/>
      </c>
      <c r="G112" s="28">
        <f>IF($P112="","",IF(INDEX(EntryTxnType,$P112)=0,"",INDEX(EntryTxnType,$P112)))</f>
        <v/>
      </c>
      <c r="H112" s="29">
        <f>IF($P112="","",IF(INDEX(EntryDep,$P112)=0,"",INDEX(EntryDep,$P112)))</f>
        <v/>
      </c>
      <c r="I112" s="29">
        <f>IF($P112="","",IF(INDEX(EntryWit,$P112)=0,"",INDEX(EntryWit,$P112)))</f>
        <v/>
      </c>
      <c r="J112" s="29">
        <f>IF($B112="","",IF($A112=1,$C$7,IF(J111="",0,J111))+IF($H112="",0,$H112)-IF($I112="",0,$I112))</f>
        <v/>
      </c>
      <c r="K112" s="29">
        <f>IF($P112="","",IF(INDEX(EntryMan,$P112)=0,"",INDEX(EntryMan,$P112)))</f>
        <v/>
      </c>
      <c r="L112" s="28">
        <f>IF($B112="","",IF($K112="","—",IF(ROUND($K112-$J112,0)=0,"√","×")))</f>
        <v/>
      </c>
      <c r="M112" s="28">
        <f>IF($B112="","",IF(COUNTIFS(EntryDates,$B112,CalcTime,$C112,CalcBank,$C$5,EntryParty,$D112,EntryDep,$H112,EntryWit,$I112)&gt;1,"تکرار",""))</f>
        <v/>
      </c>
      <c r="N112" s="28">
        <f>IF($P112="","",IF(INDEX(EntryNotes,$P112)=0,"",INDEX(EntryNotes,$P112)))</f>
        <v/>
      </c>
      <c r="O112" s="28">
        <f>IF($P112="","",IF(INDEX(EntryTxnID,$P112)=0,"",INDEX(EntryTxnID,$P112)))</f>
        <v/>
      </c>
      <c r="P112" s="28">
        <f>IFERROR(MATCH($C$5&amp;"|"&amp;RIGHT("000000"&amp;96,6),CalcRankKey,0),"")</f>
        <v/>
      </c>
    </row>
    <row r="113">
      <c r="A113" s="26">
        <f>IF($B113="","",97)</f>
        <v/>
      </c>
      <c r="B113" s="26">
        <f>IF($P113="","",IF(INDEX(CalcNormDate,$P113)=0,"",INDEX(CalcNormDate,$P113)))</f>
        <v/>
      </c>
      <c r="C113" s="26">
        <f>IF($P113="","",IF(INDEX(CalcTime,$P113)=0,"",INDEX(CalcTime,$P113)))</f>
        <v/>
      </c>
      <c r="D113" s="26">
        <f>IF($P113="","",IF(INDEX(EntryParty,$P113)=0,"",INDEX(EntryParty,$P113)))</f>
        <v/>
      </c>
      <c r="E113" s="26">
        <f>IF($P113="","",IF(INDEX(EntryPartyName,$P113)=0,"",INDEX(EntryPartyName,$P113)))</f>
        <v/>
      </c>
      <c r="F113" s="26">
        <f>IF($P113="","",IF(INDEX(EntryPartyType,$P113)=0,"",INDEX(EntryPartyType,$P113)))</f>
        <v/>
      </c>
      <c r="G113" s="26">
        <f>IF($P113="","",IF(INDEX(EntryTxnType,$P113)=0,"",INDEX(EntryTxnType,$P113)))</f>
        <v/>
      </c>
      <c r="H113" s="27">
        <f>IF($P113="","",IF(INDEX(EntryDep,$P113)=0,"",INDEX(EntryDep,$P113)))</f>
        <v/>
      </c>
      <c r="I113" s="27">
        <f>IF($P113="","",IF(INDEX(EntryWit,$P113)=0,"",INDEX(EntryWit,$P113)))</f>
        <v/>
      </c>
      <c r="J113" s="27">
        <f>IF($B113="","",IF($A113=1,$C$7,IF(J112="",0,J112))+IF($H113="",0,$H113)-IF($I113="",0,$I113))</f>
        <v/>
      </c>
      <c r="K113" s="27">
        <f>IF($P113="","",IF(INDEX(EntryMan,$P113)=0,"",INDEX(EntryMan,$P113)))</f>
        <v/>
      </c>
      <c r="L113" s="26">
        <f>IF($B113="","",IF($K113="","—",IF(ROUND($K113-$J113,0)=0,"√","×")))</f>
        <v/>
      </c>
      <c r="M113" s="26">
        <f>IF($B113="","",IF(COUNTIFS(EntryDates,$B113,CalcTime,$C113,CalcBank,$C$5,EntryParty,$D113,EntryDep,$H113,EntryWit,$I113)&gt;1,"تکرار",""))</f>
        <v/>
      </c>
      <c r="N113" s="26">
        <f>IF($P113="","",IF(INDEX(EntryNotes,$P113)=0,"",INDEX(EntryNotes,$P113)))</f>
        <v/>
      </c>
      <c r="O113" s="26">
        <f>IF($P113="","",IF(INDEX(EntryTxnID,$P113)=0,"",INDEX(EntryTxnID,$P113)))</f>
        <v/>
      </c>
      <c r="P113" s="26">
        <f>IFERROR(MATCH($C$5&amp;"|"&amp;RIGHT("000000"&amp;97,6),CalcRankKey,0),"")</f>
        <v/>
      </c>
    </row>
    <row r="114">
      <c r="A114" s="28">
        <f>IF($B114="","",98)</f>
        <v/>
      </c>
      <c r="B114" s="28">
        <f>IF($P114="","",IF(INDEX(CalcNormDate,$P114)=0,"",INDEX(CalcNormDate,$P114)))</f>
        <v/>
      </c>
      <c r="C114" s="28">
        <f>IF($P114="","",IF(INDEX(CalcTime,$P114)=0,"",INDEX(CalcTime,$P114)))</f>
        <v/>
      </c>
      <c r="D114" s="28">
        <f>IF($P114="","",IF(INDEX(EntryParty,$P114)=0,"",INDEX(EntryParty,$P114)))</f>
        <v/>
      </c>
      <c r="E114" s="28">
        <f>IF($P114="","",IF(INDEX(EntryPartyName,$P114)=0,"",INDEX(EntryPartyName,$P114)))</f>
        <v/>
      </c>
      <c r="F114" s="28">
        <f>IF($P114="","",IF(INDEX(EntryPartyType,$P114)=0,"",INDEX(EntryPartyType,$P114)))</f>
        <v/>
      </c>
      <c r="G114" s="28">
        <f>IF($P114="","",IF(INDEX(EntryTxnType,$P114)=0,"",INDEX(EntryTxnType,$P114)))</f>
        <v/>
      </c>
      <c r="H114" s="29">
        <f>IF($P114="","",IF(INDEX(EntryDep,$P114)=0,"",INDEX(EntryDep,$P114)))</f>
        <v/>
      </c>
      <c r="I114" s="29">
        <f>IF($P114="","",IF(INDEX(EntryWit,$P114)=0,"",INDEX(EntryWit,$P114)))</f>
        <v/>
      </c>
      <c r="J114" s="29">
        <f>IF($B114="","",IF($A114=1,$C$7,IF(J113="",0,J113))+IF($H114="",0,$H114)-IF($I114="",0,$I114))</f>
        <v/>
      </c>
      <c r="K114" s="29">
        <f>IF($P114="","",IF(INDEX(EntryMan,$P114)=0,"",INDEX(EntryMan,$P114)))</f>
        <v/>
      </c>
      <c r="L114" s="28">
        <f>IF($B114="","",IF($K114="","—",IF(ROUND($K114-$J114,0)=0,"√","×")))</f>
        <v/>
      </c>
      <c r="M114" s="28">
        <f>IF($B114="","",IF(COUNTIFS(EntryDates,$B114,CalcTime,$C114,CalcBank,$C$5,EntryParty,$D114,EntryDep,$H114,EntryWit,$I114)&gt;1,"تکرار",""))</f>
        <v/>
      </c>
      <c r="N114" s="28">
        <f>IF($P114="","",IF(INDEX(EntryNotes,$P114)=0,"",INDEX(EntryNotes,$P114)))</f>
        <v/>
      </c>
      <c r="O114" s="28">
        <f>IF($P114="","",IF(INDEX(EntryTxnID,$P114)=0,"",INDEX(EntryTxnID,$P114)))</f>
        <v/>
      </c>
      <c r="P114" s="28">
        <f>IFERROR(MATCH($C$5&amp;"|"&amp;RIGHT("000000"&amp;98,6),CalcRankKey,0),"")</f>
        <v/>
      </c>
    </row>
    <row r="115">
      <c r="A115" s="26">
        <f>IF($B115="","",99)</f>
        <v/>
      </c>
      <c r="B115" s="26">
        <f>IF($P115="","",IF(INDEX(CalcNormDate,$P115)=0,"",INDEX(CalcNormDate,$P115)))</f>
        <v/>
      </c>
      <c r="C115" s="26">
        <f>IF($P115="","",IF(INDEX(CalcTime,$P115)=0,"",INDEX(CalcTime,$P115)))</f>
        <v/>
      </c>
      <c r="D115" s="26">
        <f>IF($P115="","",IF(INDEX(EntryParty,$P115)=0,"",INDEX(EntryParty,$P115)))</f>
        <v/>
      </c>
      <c r="E115" s="26">
        <f>IF($P115="","",IF(INDEX(EntryPartyName,$P115)=0,"",INDEX(EntryPartyName,$P115)))</f>
        <v/>
      </c>
      <c r="F115" s="26">
        <f>IF($P115="","",IF(INDEX(EntryPartyType,$P115)=0,"",INDEX(EntryPartyType,$P115)))</f>
        <v/>
      </c>
      <c r="G115" s="26">
        <f>IF($P115="","",IF(INDEX(EntryTxnType,$P115)=0,"",INDEX(EntryTxnType,$P115)))</f>
        <v/>
      </c>
      <c r="H115" s="27">
        <f>IF($P115="","",IF(INDEX(EntryDep,$P115)=0,"",INDEX(EntryDep,$P115)))</f>
        <v/>
      </c>
      <c r="I115" s="27">
        <f>IF($P115="","",IF(INDEX(EntryWit,$P115)=0,"",INDEX(EntryWit,$P115)))</f>
        <v/>
      </c>
      <c r="J115" s="27">
        <f>IF($B115="","",IF($A115=1,$C$7,IF(J114="",0,J114))+IF($H115="",0,$H115)-IF($I115="",0,$I115))</f>
        <v/>
      </c>
      <c r="K115" s="27">
        <f>IF($P115="","",IF(INDEX(EntryMan,$P115)=0,"",INDEX(EntryMan,$P115)))</f>
        <v/>
      </c>
      <c r="L115" s="26">
        <f>IF($B115="","",IF($K115="","—",IF(ROUND($K115-$J115,0)=0,"√","×")))</f>
        <v/>
      </c>
      <c r="M115" s="26">
        <f>IF($B115="","",IF(COUNTIFS(EntryDates,$B115,CalcTime,$C115,CalcBank,$C$5,EntryParty,$D115,EntryDep,$H115,EntryWit,$I115)&gt;1,"تکرار",""))</f>
        <v/>
      </c>
      <c r="N115" s="26">
        <f>IF($P115="","",IF(INDEX(EntryNotes,$P115)=0,"",INDEX(EntryNotes,$P115)))</f>
        <v/>
      </c>
      <c r="O115" s="26">
        <f>IF($P115="","",IF(INDEX(EntryTxnID,$P115)=0,"",INDEX(EntryTxnID,$P115)))</f>
        <v/>
      </c>
      <c r="P115" s="26">
        <f>IFERROR(MATCH($C$5&amp;"|"&amp;RIGHT("000000"&amp;99,6),CalcRankKey,0),"")</f>
        <v/>
      </c>
    </row>
    <row r="116">
      <c r="A116" s="28">
        <f>IF($B116="","",100)</f>
        <v/>
      </c>
      <c r="B116" s="28">
        <f>IF($P116="","",IF(INDEX(CalcNormDate,$P116)=0,"",INDEX(CalcNormDate,$P116)))</f>
        <v/>
      </c>
      <c r="C116" s="28">
        <f>IF($P116="","",IF(INDEX(CalcTime,$P116)=0,"",INDEX(CalcTime,$P116)))</f>
        <v/>
      </c>
      <c r="D116" s="28">
        <f>IF($P116="","",IF(INDEX(EntryParty,$P116)=0,"",INDEX(EntryParty,$P116)))</f>
        <v/>
      </c>
      <c r="E116" s="28">
        <f>IF($P116="","",IF(INDEX(EntryPartyName,$P116)=0,"",INDEX(EntryPartyName,$P116)))</f>
        <v/>
      </c>
      <c r="F116" s="28">
        <f>IF($P116="","",IF(INDEX(EntryPartyType,$P116)=0,"",INDEX(EntryPartyType,$P116)))</f>
        <v/>
      </c>
      <c r="G116" s="28">
        <f>IF($P116="","",IF(INDEX(EntryTxnType,$P116)=0,"",INDEX(EntryTxnType,$P116)))</f>
        <v/>
      </c>
      <c r="H116" s="29">
        <f>IF($P116="","",IF(INDEX(EntryDep,$P116)=0,"",INDEX(EntryDep,$P116)))</f>
        <v/>
      </c>
      <c r="I116" s="29">
        <f>IF($P116="","",IF(INDEX(EntryWit,$P116)=0,"",INDEX(EntryWit,$P116)))</f>
        <v/>
      </c>
      <c r="J116" s="29">
        <f>IF($B116="","",IF($A116=1,$C$7,IF(J115="",0,J115))+IF($H116="",0,$H116)-IF($I116="",0,$I116))</f>
        <v/>
      </c>
      <c r="K116" s="29">
        <f>IF($P116="","",IF(INDEX(EntryMan,$P116)=0,"",INDEX(EntryMan,$P116)))</f>
        <v/>
      </c>
      <c r="L116" s="28">
        <f>IF($B116="","",IF($K116="","—",IF(ROUND($K116-$J116,0)=0,"√","×")))</f>
        <v/>
      </c>
      <c r="M116" s="28">
        <f>IF($B116="","",IF(COUNTIFS(EntryDates,$B116,CalcTime,$C116,CalcBank,$C$5,EntryParty,$D116,EntryDep,$H116,EntryWit,$I116)&gt;1,"تکرار",""))</f>
        <v/>
      </c>
      <c r="N116" s="28">
        <f>IF($P116="","",IF(INDEX(EntryNotes,$P116)=0,"",INDEX(EntryNotes,$P116)))</f>
        <v/>
      </c>
      <c r="O116" s="28">
        <f>IF($P116="","",IF(INDEX(EntryTxnID,$P116)=0,"",INDEX(EntryTxnID,$P116)))</f>
        <v/>
      </c>
      <c r="P116" s="28">
        <f>IFERROR(MATCH($C$5&amp;"|"&amp;RIGHT("000000"&amp;100,6),CalcRankKey,0),"")</f>
        <v/>
      </c>
    </row>
    <row r="117">
      <c r="A117" s="26">
        <f>IF($B117="","",101)</f>
        <v/>
      </c>
      <c r="B117" s="26">
        <f>IF($P117="","",IF(INDEX(CalcNormDate,$P117)=0,"",INDEX(CalcNormDate,$P117)))</f>
        <v/>
      </c>
      <c r="C117" s="26">
        <f>IF($P117="","",IF(INDEX(CalcTime,$P117)=0,"",INDEX(CalcTime,$P117)))</f>
        <v/>
      </c>
      <c r="D117" s="26">
        <f>IF($P117="","",IF(INDEX(EntryParty,$P117)=0,"",INDEX(EntryParty,$P117)))</f>
        <v/>
      </c>
      <c r="E117" s="26">
        <f>IF($P117="","",IF(INDEX(EntryPartyName,$P117)=0,"",INDEX(EntryPartyName,$P117)))</f>
        <v/>
      </c>
      <c r="F117" s="26">
        <f>IF($P117="","",IF(INDEX(EntryPartyType,$P117)=0,"",INDEX(EntryPartyType,$P117)))</f>
        <v/>
      </c>
      <c r="G117" s="26">
        <f>IF($P117="","",IF(INDEX(EntryTxnType,$P117)=0,"",INDEX(EntryTxnType,$P117)))</f>
        <v/>
      </c>
      <c r="H117" s="27">
        <f>IF($P117="","",IF(INDEX(EntryDep,$P117)=0,"",INDEX(EntryDep,$P117)))</f>
        <v/>
      </c>
      <c r="I117" s="27">
        <f>IF($P117="","",IF(INDEX(EntryWit,$P117)=0,"",INDEX(EntryWit,$P117)))</f>
        <v/>
      </c>
      <c r="J117" s="27">
        <f>IF($B117="","",IF($A117=1,$C$7,IF(J116="",0,J116))+IF($H117="",0,$H117)-IF($I117="",0,$I117))</f>
        <v/>
      </c>
      <c r="K117" s="27">
        <f>IF($P117="","",IF(INDEX(EntryMan,$P117)=0,"",INDEX(EntryMan,$P117)))</f>
        <v/>
      </c>
      <c r="L117" s="26">
        <f>IF($B117="","",IF($K117="","—",IF(ROUND($K117-$J117,0)=0,"√","×")))</f>
        <v/>
      </c>
      <c r="M117" s="26">
        <f>IF($B117="","",IF(COUNTIFS(EntryDates,$B117,CalcTime,$C117,CalcBank,$C$5,EntryParty,$D117,EntryDep,$H117,EntryWit,$I117)&gt;1,"تکرار",""))</f>
        <v/>
      </c>
      <c r="N117" s="26">
        <f>IF($P117="","",IF(INDEX(EntryNotes,$P117)=0,"",INDEX(EntryNotes,$P117)))</f>
        <v/>
      </c>
      <c r="O117" s="26">
        <f>IF($P117="","",IF(INDEX(EntryTxnID,$P117)=0,"",INDEX(EntryTxnID,$P117)))</f>
        <v/>
      </c>
      <c r="P117" s="26">
        <f>IFERROR(MATCH($C$5&amp;"|"&amp;RIGHT("000000"&amp;101,6),CalcRankKey,0),"")</f>
        <v/>
      </c>
    </row>
    <row r="118">
      <c r="A118" s="28">
        <f>IF($B118="","",102)</f>
        <v/>
      </c>
      <c r="B118" s="28">
        <f>IF($P118="","",IF(INDEX(CalcNormDate,$P118)=0,"",INDEX(CalcNormDate,$P118)))</f>
        <v/>
      </c>
      <c r="C118" s="28">
        <f>IF($P118="","",IF(INDEX(CalcTime,$P118)=0,"",INDEX(CalcTime,$P118)))</f>
        <v/>
      </c>
      <c r="D118" s="28">
        <f>IF($P118="","",IF(INDEX(EntryParty,$P118)=0,"",INDEX(EntryParty,$P118)))</f>
        <v/>
      </c>
      <c r="E118" s="28">
        <f>IF($P118="","",IF(INDEX(EntryPartyName,$P118)=0,"",INDEX(EntryPartyName,$P118)))</f>
        <v/>
      </c>
      <c r="F118" s="28">
        <f>IF($P118="","",IF(INDEX(EntryPartyType,$P118)=0,"",INDEX(EntryPartyType,$P118)))</f>
        <v/>
      </c>
      <c r="G118" s="28">
        <f>IF($P118="","",IF(INDEX(EntryTxnType,$P118)=0,"",INDEX(EntryTxnType,$P118)))</f>
        <v/>
      </c>
      <c r="H118" s="29">
        <f>IF($P118="","",IF(INDEX(EntryDep,$P118)=0,"",INDEX(EntryDep,$P118)))</f>
        <v/>
      </c>
      <c r="I118" s="29">
        <f>IF($P118="","",IF(INDEX(EntryWit,$P118)=0,"",INDEX(EntryWit,$P118)))</f>
        <v/>
      </c>
      <c r="J118" s="29">
        <f>IF($B118="","",IF($A118=1,$C$7,IF(J117="",0,J117))+IF($H118="",0,$H118)-IF($I118="",0,$I118))</f>
        <v/>
      </c>
      <c r="K118" s="29">
        <f>IF($P118="","",IF(INDEX(EntryMan,$P118)=0,"",INDEX(EntryMan,$P118)))</f>
        <v/>
      </c>
      <c r="L118" s="28">
        <f>IF($B118="","",IF($K118="","—",IF(ROUND($K118-$J118,0)=0,"√","×")))</f>
        <v/>
      </c>
      <c r="M118" s="28">
        <f>IF($B118="","",IF(COUNTIFS(EntryDates,$B118,CalcTime,$C118,CalcBank,$C$5,EntryParty,$D118,EntryDep,$H118,EntryWit,$I118)&gt;1,"تکرار",""))</f>
        <v/>
      </c>
      <c r="N118" s="28">
        <f>IF($P118="","",IF(INDEX(EntryNotes,$P118)=0,"",INDEX(EntryNotes,$P118)))</f>
        <v/>
      </c>
      <c r="O118" s="28">
        <f>IF($P118="","",IF(INDEX(EntryTxnID,$P118)=0,"",INDEX(EntryTxnID,$P118)))</f>
        <v/>
      </c>
      <c r="P118" s="28">
        <f>IFERROR(MATCH($C$5&amp;"|"&amp;RIGHT("000000"&amp;102,6),CalcRankKey,0),"")</f>
        <v/>
      </c>
    </row>
    <row r="119">
      <c r="A119" s="26">
        <f>IF($B119="","",103)</f>
        <v/>
      </c>
      <c r="B119" s="26">
        <f>IF($P119="","",IF(INDEX(CalcNormDate,$P119)=0,"",INDEX(CalcNormDate,$P119)))</f>
        <v/>
      </c>
      <c r="C119" s="26">
        <f>IF($P119="","",IF(INDEX(CalcTime,$P119)=0,"",INDEX(CalcTime,$P119)))</f>
        <v/>
      </c>
      <c r="D119" s="26">
        <f>IF($P119="","",IF(INDEX(EntryParty,$P119)=0,"",INDEX(EntryParty,$P119)))</f>
        <v/>
      </c>
      <c r="E119" s="26">
        <f>IF($P119="","",IF(INDEX(EntryPartyName,$P119)=0,"",INDEX(EntryPartyName,$P119)))</f>
        <v/>
      </c>
      <c r="F119" s="26">
        <f>IF($P119="","",IF(INDEX(EntryPartyType,$P119)=0,"",INDEX(EntryPartyType,$P119)))</f>
        <v/>
      </c>
      <c r="G119" s="26">
        <f>IF($P119="","",IF(INDEX(EntryTxnType,$P119)=0,"",INDEX(EntryTxnType,$P119)))</f>
        <v/>
      </c>
      <c r="H119" s="27">
        <f>IF($P119="","",IF(INDEX(EntryDep,$P119)=0,"",INDEX(EntryDep,$P119)))</f>
        <v/>
      </c>
      <c r="I119" s="27">
        <f>IF($P119="","",IF(INDEX(EntryWit,$P119)=0,"",INDEX(EntryWit,$P119)))</f>
        <v/>
      </c>
      <c r="J119" s="27">
        <f>IF($B119="","",IF($A119=1,$C$7,IF(J118="",0,J118))+IF($H119="",0,$H119)-IF($I119="",0,$I119))</f>
        <v/>
      </c>
      <c r="K119" s="27">
        <f>IF($P119="","",IF(INDEX(EntryMan,$P119)=0,"",INDEX(EntryMan,$P119)))</f>
        <v/>
      </c>
      <c r="L119" s="26">
        <f>IF($B119="","",IF($K119="","—",IF(ROUND($K119-$J119,0)=0,"√","×")))</f>
        <v/>
      </c>
      <c r="M119" s="26">
        <f>IF($B119="","",IF(COUNTIFS(EntryDates,$B119,CalcTime,$C119,CalcBank,$C$5,EntryParty,$D119,EntryDep,$H119,EntryWit,$I119)&gt;1,"تکرار",""))</f>
        <v/>
      </c>
      <c r="N119" s="26">
        <f>IF($P119="","",IF(INDEX(EntryNotes,$P119)=0,"",INDEX(EntryNotes,$P119)))</f>
        <v/>
      </c>
      <c r="O119" s="26">
        <f>IF($P119="","",IF(INDEX(EntryTxnID,$P119)=0,"",INDEX(EntryTxnID,$P119)))</f>
        <v/>
      </c>
      <c r="P119" s="26">
        <f>IFERROR(MATCH($C$5&amp;"|"&amp;RIGHT("000000"&amp;103,6),CalcRankKey,0),"")</f>
        <v/>
      </c>
    </row>
    <row r="120">
      <c r="A120" s="28">
        <f>IF($B120="","",104)</f>
        <v/>
      </c>
      <c r="B120" s="28">
        <f>IF($P120="","",IF(INDEX(CalcNormDate,$P120)=0,"",INDEX(CalcNormDate,$P120)))</f>
        <v/>
      </c>
      <c r="C120" s="28">
        <f>IF($P120="","",IF(INDEX(CalcTime,$P120)=0,"",INDEX(CalcTime,$P120)))</f>
        <v/>
      </c>
      <c r="D120" s="28">
        <f>IF($P120="","",IF(INDEX(EntryParty,$P120)=0,"",INDEX(EntryParty,$P120)))</f>
        <v/>
      </c>
      <c r="E120" s="28">
        <f>IF($P120="","",IF(INDEX(EntryPartyName,$P120)=0,"",INDEX(EntryPartyName,$P120)))</f>
        <v/>
      </c>
      <c r="F120" s="28">
        <f>IF($P120="","",IF(INDEX(EntryPartyType,$P120)=0,"",INDEX(EntryPartyType,$P120)))</f>
        <v/>
      </c>
      <c r="G120" s="28">
        <f>IF($P120="","",IF(INDEX(EntryTxnType,$P120)=0,"",INDEX(EntryTxnType,$P120)))</f>
        <v/>
      </c>
      <c r="H120" s="29">
        <f>IF($P120="","",IF(INDEX(EntryDep,$P120)=0,"",INDEX(EntryDep,$P120)))</f>
        <v/>
      </c>
      <c r="I120" s="29">
        <f>IF($P120="","",IF(INDEX(EntryWit,$P120)=0,"",INDEX(EntryWit,$P120)))</f>
        <v/>
      </c>
      <c r="J120" s="29">
        <f>IF($B120="","",IF($A120=1,$C$7,IF(J119="",0,J119))+IF($H120="",0,$H120)-IF($I120="",0,$I120))</f>
        <v/>
      </c>
      <c r="K120" s="29">
        <f>IF($P120="","",IF(INDEX(EntryMan,$P120)=0,"",INDEX(EntryMan,$P120)))</f>
        <v/>
      </c>
      <c r="L120" s="28">
        <f>IF($B120="","",IF($K120="","—",IF(ROUND($K120-$J120,0)=0,"√","×")))</f>
        <v/>
      </c>
      <c r="M120" s="28">
        <f>IF($B120="","",IF(COUNTIFS(EntryDates,$B120,CalcTime,$C120,CalcBank,$C$5,EntryParty,$D120,EntryDep,$H120,EntryWit,$I120)&gt;1,"تکرار",""))</f>
        <v/>
      </c>
      <c r="N120" s="28">
        <f>IF($P120="","",IF(INDEX(EntryNotes,$P120)=0,"",INDEX(EntryNotes,$P120)))</f>
        <v/>
      </c>
      <c r="O120" s="28">
        <f>IF($P120="","",IF(INDEX(EntryTxnID,$P120)=0,"",INDEX(EntryTxnID,$P120)))</f>
        <v/>
      </c>
      <c r="P120" s="28">
        <f>IFERROR(MATCH($C$5&amp;"|"&amp;RIGHT("000000"&amp;104,6),CalcRankKey,0),"")</f>
        <v/>
      </c>
    </row>
    <row r="121">
      <c r="A121" s="26">
        <f>IF($B121="","",105)</f>
        <v/>
      </c>
      <c r="B121" s="26">
        <f>IF($P121="","",IF(INDEX(CalcNormDate,$P121)=0,"",INDEX(CalcNormDate,$P121)))</f>
        <v/>
      </c>
      <c r="C121" s="26">
        <f>IF($P121="","",IF(INDEX(CalcTime,$P121)=0,"",INDEX(CalcTime,$P121)))</f>
        <v/>
      </c>
      <c r="D121" s="26">
        <f>IF($P121="","",IF(INDEX(EntryParty,$P121)=0,"",INDEX(EntryParty,$P121)))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IF($P121="","",IF(INDEX(EntryPartyType,$P121)=0,"",INDEX(EntryPartyType,$P121)))</f>
        <v/>
      </c>
      <c r="G121" s="26">
        <f>IF($P121="","",IF(INDEX(EntryTxnType,$P121)=0,"",INDEX(EntryTxnType,$P121)))</f>
        <v/>
      </c>
      <c r="H121" s="27">
        <f>IF($P121="","",IF(INDEX(EntryDep,$P121)=0,"",INDEX(EntryDep,$P121)))</f>
        <v/>
      </c>
      <c r="I121" s="27">
        <f>IF($P121="","",IF(INDEX(EntryWit,$P121)=0,"",INDEX(EntryWit,$P121)))</f>
        <v/>
      </c>
      <c r="J121" s="27">
        <f>IF($B121="","",IF($A121=1,$C$7,IF(J120="",0,J120))+IF($H121="",0,$H121)-IF($I121="",0,$I121))</f>
        <v/>
      </c>
      <c r="K121" s="27">
        <f>IF($P121="","",IF(INDEX(EntryMan,$P121)=0,"",INDEX(EntryMan,$P121)))</f>
        <v/>
      </c>
      <c r="L121" s="26">
        <f>IF($B121="","",IF($K121="","—",IF(ROUND($K121-$J121,0)=0,"√","×")))</f>
        <v/>
      </c>
      <c r="M121" s="26">
        <f>IF($B121="","",IF(COUNTIFS(EntryDates,$B121,CalcTime,$C121,CalcBank,$C$5,EntryParty,$D121,EntryDep,$H121,EntryWit,$I121)&gt;1,"تکرار",""))</f>
        <v/>
      </c>
      <c r="N121" s="26">
        <f>IF($P121="","",IF(INDEX(EntryNotes,$P121)=0,"",INDEX(EntryNotes,$P121)))</f>
        <v/>
      </c>
      <c r="O121" s="26">
        <f>IF($P121="","",IF(INDEX(EntryTxnID,$P121)=0,"",INDEX(EntryTxnID,$P121)))</f>
        <v/>
      </c>
      <c r="P121" s="26">
        <f>IFERROR(MATCH($C$5&amp;"|"&amp;RIGHT("000000"&amp;105,6),CalcRankKey,0),"")</f>
        <v/>
      </c>
    </row>
    <row r="122">
      <c r="A122" s="28">
        <f>IF($B122="","",106)</f>
        <v/>
      </c>
      <c r="B122" s="28">
        <f>IF($P122="","",IF(INDEX(CalcNormDate,$P122)=0,"",INDEX(CalcNormDate,$P122)))</f>
        <v/>
      </c>
      <c r="C122" s="28">
        <f>IF($P122="","",IF(INDEX(CalcTime,$P122)=0,"",INDEX(CalcTime,$P122)))</f>
        <v/>
      </c>
      <c r="D122" s="28">
        <f>IF($P122="","",IF(INDEX(EntryParty,$P122)=0,"",INDEX(EntryParty,$P122)))</f>
        <v/>
      </c>
      <c r="E122" s="28">
        <f>IF($P122="","",IF(INDEX(EntryPartyName,$P122)=0,"",INDEX(EntryPartyName,$P122)))</f>
        <v/>
      </c>
      <c r="F122" s="28">
        <f>IF($P122="","",IF(INDEX(EntryPartyType,$P122)=0,"",INDEX(EntryPartyType,$P122)))</f>
        <v/>
      </c>
      <c r="G122" s="28">
        <f>IF($P122="","",IF(INDEX(EntryTxnType,$P122)=0,"",INDEX(EntryTxnType,$P122)))</f>
        <v/>
      </c>
      <c r="H122" s="29">
        <f>IF($P122="","",IF(INDEX(EntryDep,$P122)=0,"",INDEX(EntryDep,$P122)))</f>
        <v/>
      </c>
      <c r="I122" s="29">
        <f>IF($P122="","",IF(INDEX(EntryWit,$P122)=0,"",INDEX(EntryWit,$P122)))</f>
        <v/>
      </c>
      <c r="J122" s="29">
        <f>IF($B122="","",IF($A122=1,$C$7,IF(J121="",0,J121))+IF($H122="",0,$H122)-IF($I122="",0,$I122))</f>
        <v/>
      </c>
      <c r="K122" s="29">
        <f>IF($P122="","",IF(INDEX(EntryMan,$P122)=0,"",INDEX(EntryMan,$P122)))</f>
        <v/>
      </c>
      <c r="L122" s="28">
        <f>IF($B122="","",IF($K122="","—",IF(ROUND($K122-$J122,0)=0,"√","×")))</f>
        <v/>
      </c>
      <c r="M122" s="28">
        <f>IF($B122="","",IF(COUNTIFS(EntryDates,$B122,CalcTime,$C122,CalcBank,$C$5,EntryParty,$D122,EntryDep,$H122,EntryWit,$I122)&gt;1,"تکرار",""))</f>
        <v/>
      </c>
      <c r="N122" s="28">
        <f>IF($P122="","",IF(INDEX(EntryNotes,$P122)=0,"",INDEX(EntryNotes,$P122)))</f>
        <v/>
      </c>
      <c r="O122" s="28">
        <f>IF($P122="","",IF(INDEX(EntryTxnID,$P122)=0,"",INDEX(EntryTxnID,$P122)))</f>
        <v/>
      </c>
      <c r="P122" s="28">
        <f>IFERROR(MATCH($C$5&amp;"|"&amp;RIGHT("000000"&amp;106,6),CalcRankKey,0),"")</f>
        <v/>
      </c>
    </row>
    <row r="123">
      <c r="A123" s="26">
        <f>IF($B123="","",107)</f>
        <v/>
      </c>
      <c r="B123" s="26">
        <f>IF($P123="","",IF(INDEX(CalcNormDate,$P123)=0,"",INDEX(CalcNormDate,$P123)))</f>
        <v/>
      </c>
      <c r="C123" s="26">
        <f>IF($P123="","",IF(INDEX(CalcTime,$P123)=0,"",INDEX(CalcTime,$P123)))</f>
        <v/>
      </c>
      <c r="D123" s="26">
        <f>IF($P123="","",IF(INDEX(EntryParty,$P123)=0,"",INDEX(EntryParty,$P123)))</f>
        <v/>
      </c>
      <c r="E123" s="26">
        <f>IF($P123="","",IF(INDEX(EntryPartyName,$P123)=0,"",INDEX(EntryPartyName,$P123)))</f>
        <v/>
      </c>
      <c r="F123" s="26">
        <f>IF($P123="","",IF(INDEX(EntryPartyType,$P123)=0,"",INDEX(EntryPartyType,$P123)))</f>
        <v/>
      </c>
      <c r="G123" s="26">
        <f>IF($P123="","",IF(INDEX(EntryTxnType,$P123)=0,"",INDEX(EntryTxnType,$P123)))</f>
        <v/>
      </c>
      <c r="H123" s="27">
        <f>IF($P123="","",IF(INDEX(EntryDep,$P123)=0,"",INDEX(EntryDep,$P123)))</f>
        <v/>
      </c>
      <c r="I123" s="27">
        <f>IF($P123="","",IF(INDEX(EntryWit,$P123)=0,"",INDEX(EntryWit,$P123)))</f>
        <v/>
      </c>
      <c r="J123" s="27">
        <f>IF($B123="","",IF($A123=1,$C$7,IF(J122="",0,J122))+IF($H123="",0,$H123)-IF($I123="",0,$I123))</f>
        <v/>
      </c>
      <c r="K123" s="27">
        <f>IF($P123="","",IF(INDEX(EntryMan,$P123)=0,"",INDEX(EntryMan,$P123)))</f>
        <v/>
      </c>
      <c r="L123" s="26">
        <f>IF($B123="","",IF($K123="","—",IF(ROUND($K123-$J123,0)=0,"√","×")))</f>
        <v/>
      </c>
      <c r="M123" s="26">
        <f>IF($B123="","",IF(COUNTIFS(EntryDates,$B123,CalcTime,$C123,CalcBank,$C$5,EntryParty,$D123,EntryDep,$H123,EntryWit,$I123)&gt;1,"تکرار",""))</f>
        <v/>
      </c>
      <c r="N123" s="26">
        <f>IF($P123="","",IF(INDEX(EntryNotes,$P123)=0,"",INDEX(EntryNotes,$P123)))</f>
        <v/>
      </c>
      <c r="O123" s="26">
        <f>IF($P123="","",IF(INDEX(EntryTxnID,$P123)=0,"",INDEX(EntryTxnID,$P123)))</f>
        <v/>
      </c>
      <c r="P123" s="26">
        <f>IFERROR(MATCH($C$5&amp;"|"&amp;RIGHT("000000"&amp;107,6),CalcRankKey,0),"")</f>
        <v/>
      </c>
    </row>
    <row r="124">
      <c r="A124" s="28">
        <f>IF($B124="","",108)</f>
        <v/>
      </c>
      <c r="B124" s="28">
        <f>IF($P124="","",IF(INDEX(CalcNormDate,$P124)=0,"",INDEX(CalcNormDate,$P124)))</f>
        <v/>
      </c>
      <c r="C124" s="28">
        <f>IF($P124="","",IF(INDEX(CalcTime,$P124)=0,"",INDEX(CalcTime,$P124)))</f>
        <v/>
      </c>
      <c r="D124" s="28">
        <f>IF($P124="","",IF(INDEX(EntryParty,$P124)=0,"",INDEX(EntryParty,$P124)))</f>
        <v/>
      </c>
      <c r="E124" s="28">
        <f>IF($P124="","",IF(INDEX(EntryPartyName,$P124)=0,"",INDEX(EntryPartyName,$P124)))</f>
        <v/>
      </c>
      <c r="F124" s="28">
        <f>IF($P124="","",IF(INDEX(EntryPartyType,$P124)=0,"",INDEX(EntryPartyType,$P124)))</f>
        <v/>
      </c>
      <c r="G124" s="28">
        <f>IF($P124="","",IF(INDEX(EntryTxnType,$P124)=0,"",INDEX(EntryTxnType,$P124)))</f>
        <v/>
      </c>
      <c r="H124" s="29">
        <f>IF($P124="","",IF(INDEX(EntryDep,$P124)=0,"",INDEX(EntryDep,$P124)))</f>
        <v/>
      </c>
      <c r="I124" s="29">
        <f>IF($P124="","",IF(INDEX(EntryWit,$P124)=0,"",INDEX(EntryWit,$P124)))</f>
        <v/>
      </c>
      <c r="J124" s="29">
        <f>IF($B124="","",IF($A124=1,$C$7,IF(J123="",0,J123))+IF($H124="",0,$H124)-IF($I124="",0,$I124))</f>
        <v/>
      </c>
      <c r="K124" s="29">
        <f>IF($P124="","",IF(INDEX(EntryMan,$P124)=0,"",INDEX(EntryMan,$P124)))</f>
        <v/>
      </c>
      <c r="L124" s="28">
        <f>IF($B124="","",IF($K124="","—",IF(ROUND($K124-$J124,0)=0,"√","×")))</f>
        <v/>
      </c>
      <c r="M124" s="28">
        <f>IF($B124="","",IF(COUNTIFS(EntryDates,$B124,CalcTime,$C124,CalcBank,$C$5,EntryParty,$D124,EntryDep,$H124,EntryWit,$I124)&gt;1,"تکرار",""))</f>
        <v/>
      </c>
      <c r="N124" s="28">
        <f>IF($P124="","",IF(INDEX(EntryNotes,$P124)=0,"",INDEX(EntryNotes,$P124)))</f>
        <v/>
      </c>
      <c r="O124" s="28">
        <f>IF($P124="","",IF(INDEX(EntryTxnID,$P124)=0,"",INDEX(EntryTxnID,$P124)))</f>
        <v/>
      </c>
      <c r="P124" s="28">
        <f>IFERROR(MATCH($C$5&amp;"|"&amp;RIGHT("000000"&amp;108,6),CalcRankKey,0),"")</f>
        <v/>
      </c>
    </row>
    <row r="125">
      <c r="A125" s="26">
        <f>IF($B125="","",109)</f>
        <v/>
      </c>
      <c r="B125" s="26">
        <f>IF($P125="","",IF(INDEX(CalcNormDate,$P125)=0,"",INDEX(CalcNormDate,$P125)))</f>
        <v/>
      </c>
      <c r="C125" s="26">
        <f>IF($P125="","",IF(INDEX(CalcTime,$P125)=0,"",INDEX(CalcTime,$P125)))</f>
        <v/>
      </c>
      <c r="D125" s="26">
        <f>IF($P125="","",IF(INDEX(EntryParty,$P125)=0,"",INDEX(EntryParty,$P125)))</f>
        <v/>
      </c>
      <c r="E125" s="26">
        <f>IF($P125="","",IF(INDEX(EntryPartyName,$P125)=0,"",INDEX(EntryPartyName,$P125)))</f>
        <v/>
      </c>
      <c r="F125" s="26">
        <f>IF($P125="","",IF(INDEX(EntryPartyType,$P125)=0,"",INDEX(EntryPartyType,$P125)))</f>
        <v/>
      </c>
      <c r="G125" s="26">
        <f>IF($P125="","",IF(INDEX(EntryTxnType,$P125)=0,"",INDEX(EntryTxnType,$P125)))</f>
        <v/>
      </c>
      <c r="H125" s="27">
        <f>IF($P125="","",IF(INDEX(EntryDep,$P125)=0,"",INDEX(EntryDep,$P125)))</f>
        <v/>
      </c>
      <c r="I125" s="27">
        <f>IF($P125="","",IF(INDEX(EntryWit,$P125)=0,"",INDEX(EntryWit,$P125)))</f>
        <v/>
      </c>
      <c r="J125" s="27">
        <f>IF($B125="","",IF($A125=1,$C$7,IF(J124="",0,J124))+IF($H125="",0,$H125)-IF($I125="",0,$I125))</f>
        <v/>
      </c>
      <c r="K125" s="27">
        <f>IF($P125="","",IF(INDEX(EntryMan,$P125)=0,"",INDEX(EntryMan,$P125)))</f>
        <v/>
      </c>
      <c r="L125" s="26">
        <f>IF($B125="","",IF($K125="","—",IF(ROUND($K125-$J125,0)=0,"√","×")))</f>
        <v/>
      </c>
      <c r="M125" s="26">
        <f>IF($B125="","",IF(COUNTIFS(EntryDates,$B125,CalcTime,$C125,CalcBank,$C$5,EntryParty,$D125,EntryDep,$H125,EntryWit,$I125)&gt;1,"تکرار",""))</f>
        <v/>
      </c>
      <c r="N125" s="26">
        <f>IF($P125="","",IF(INDEX(EntryNotes,$P125)=0,"",INDEX(EntryNotes,$P125)))</f>
        <v/>
      </c>
      <c r="O125" s="26">
        <f>IF($P125="","",IF(INDEX(EntryTxnID,$P125)=0,"",INDEX(EntryTxnID,$P125)))</f>
        <v/>
      </c>
      <c r="P125" s="26">
        <f>IFERROR(MATCH($C$5&amp;"|"&amp;RIGHT("000000"&amp;109,6),CalcRankKey,0),"")</f>
        <v/>
      </c>
    </row>
    <row r="126">
      <c r="A126" s="28">
        <f>IF($B126="","",110)</f>
        <v/>
      </c>
      <c r="B126" s="28">
        <f>IF($P126="","",IF(INDEX(CalcNormDate,$P126)=0,"",INDEX(CalcNormDate,$P126)))</f>
        <v/>
      </c>
      <c r="C126" s="28">
        <f>IF($P126="","",IF(INDEX(CalcTime,$P126)=0,"",INDEX(CalcTime,$P126)))</f>
        <v/>
      </c>
      <c r="D126" s="28">
        <f>IF($P126="","",IF(INDEX(EntryParty,$P126)=0,"",INDEX(EntryParty,$P126)))</f>
        <v/>
      </c>
      <c r="E126" s="28">
        <f>IF($P126="","",IF(INDEX(EntryPartyName,$P126)=0,"",INDEX(EntryPartyName,$P126)))</f>
        <v/>
      </c>
      <c r="F126" s="28">
        <f>IF($P126="","",IF(INDEX(EntryPartyType,$P126)=0,"",INDEX(EntryPartyType,$P126)))</f>
        <v/>
      </c>
      <c r="G126" s="28">
        <f>IF($P126="","",IF(INDEX(EntryTxnType,$P126)=0,"",INDEX(EntryTxnType,$P126)))</f>
        <v/>
      </c>
      <c r="H126" s="29">
        <f>IF($P126="","",IF(INDEX(EntryDep,$P126)=0,"",INDEX(EntryDep,$P126)))</f>
        <v/>
      </c>
      <c r="I126" s="29">
        <f>IF($P126="","",IF(INDEX(EntryWit,$P126)=0,"",INDEX(EntryWit,$P126)))</f>
        <v/>
      </c>
      <c r="J126" s="29">
        <f>IF($B126="","",IF($A126=1,$C$7,IF(J125="",0,J125))+IF($H126="",0,$H126)-IF($I126="",0,$I126))</f>
        <v/>
      </c>
      <c r="K126" s="29">
        <f>IF($P126="","",IF(INDEX(EntryMan,$P126)=0,"",INDEX(EntryMan,$P126)))</f>
        <v/>
      </c>
      <c r="L126" s="28">
        <f>IF($B126="","",IF($K126="","—",IF(ROUND($K126-$J126,0)=0,"√","×")))</f>
        <v/>
      </c>
      <c r="M126" s="28">
        <f>IF($B126="","",IF(COUNTIFS(EntryDates,$B126,CalcTime,$C126,CalcBank,$C$5,EntryParty,$D126,EntryDep,$H126,EntryWit,$I126)&gt;1,"تکرار",""))</f>
        <v/>
      </c>
      <c r="N126" s="28">
        <f>IF($P126="","",IF(INDEX(EntryNotes,$P126)=0,"",INDEX(EntryNotes,$P126)))</f>
        <v/>
      </c>
      <c r="O126" s="28">
        <f>IF($P126="","",IF(INDEX(EntryTxnID,$P126)=0,"",INDEX(EntryTxnID,$P126)))</f>
        <v/>
      </c>
      <c r="P126" s="28">
        <f>IFERROR(MATCH($C$5&amp;"|"&amp;RIGHT("000000"&amp;110,6),CalcRankKey,0),"")</f>
        <v/>
      </c>
    </row>
    <row r="127">
      <c r="A127" s="26">
        <f>IF($B127="","",111)</f>
        <v/>
      </c>
      <c r="B127" s="26">
        <f>IF($P127="","",IF(INDEX(CalcNormDate,$P127)=0,"",INDEX(CalcNormDate,$P127)))</f>
        <v/>
      </c>
      <c r="C127" s="26">
        <f>IF($P127="","",IF(INDEX(CalcTime,$P127)=0,"",INDEX(CalcTime,$P127)))</f>
        <v/>
      </c>
      <c r="D127" s="26">
        <f>IF($P127="","",IF(INDEX(EntryParty,$P127)=0,"",INDEX(EntryParty,$P127)))</f>
        <v/>
      </c>
      <c r="E127" s="26">
        <f>IF($P127="","",IF(INDEX(EntryPartyName,$P127)=0,"",INDEX(EntryPartyName,$P127)))</f>
        <v/>
      </c>
      <c r="F127" s="26">
        <f>IF($P127="","",IF(INDEX(EntryPartyType,$P127)=0,"",INDEX(EntryPartyType,$P127)))</f>
        <v/>
      </c>
      <c r="G127" s="26">
        <f>IF($P127="","",IF(INDEX(EntryTxnType,$P127)=0,"",INDEX(EntryTxnType,$P127)))</f>
        <v/>
      </c>
      <c r="H127" s="27">
        <f>IF($P127="","",IF(INDEX(EntryDep,$P127)=0,"",INDEX(EntryDep,$P127)))</f>
        <v/>
      </c>
      <c r="I127" s="27">
        <f>IF($P127="","",IF(INDEX(EntryWit,$P127)=0,"",INDEX(EntryWit,$P127)))</f>
        <v/>
      </c>
      <c r="J127" s="27">
        <f>IF($B127="","",IF($A127=1,$C$7,IF(J126="",0,J126))+IF($H127="",0,$H127)-IF($I127="",0,$I127))</f>
        <v/>
      </c>
      <c r="K127" s="27">
        <f>IF($P127="","",IF(INDEX(EntryMan,$P127)=0,"",INDEX(EntryMan,$P127)))</f>
        <v/>
      </c>
      <c r="L127" s="26">
        <f>IF($B127="","",IF($K127="","—",IF(ROUND($K127-$J127,0)=0,"√","×")))</f>
        <v/>
      </c>
      <c r="M127" s="26">
        <f>IF($B127="","",IF(COUNTIFS(EntryDates,$B127,CalcTime,$C127,CalcBank,$C$5,EntryParty,$D127,EntryDep,$H127,EntryWit,$I127)&gt;1,"تکرار",""))</f>
        <v/>
      </c>
      <c r="N127" s="26">
        <f>IF($P127="","",IF(INDEX(EntryNotes,$P127)=0,"",INDEX(EntryNotes,$P127)))</f>
        <v/>
      </c>
      <c r="O127" s="26">
        <f>IF($P127="","",IF(INDEX(EntryTxnID,$P127)=0,"",INDEX(EntryTxnID,$P127)))</f>
        <v/>
      </c>
      <c r="P127" s="26">
        <f>IFERROR(MATCH($C$5&amp;"|"&amp;RIGHT("000000"&amp;111,6),CalcRankKey,0),"")</f>
        <v/>
      </c>
    </row>
    <row r="128">
      <c r="A128" s="28">
        <f>IF($B128="","",112)</f>
        <v/>
      </c>
      <c r="B128" s="28">
        <f>IF($P128="","",IF(INDEX(CalcNormDate,$P128)=0,"",INDEX(CalcNormDate,$P128)))</f>
        <v/>
      </c>
      <c r="C128" s="28">
        <f>IF($P128="","",IF(INDEX(CalcTime,$P128)=0,"",INDEX(CalcTime,$P128)))</f>
        <v/>
      </c>
      <c r="D128" s="28">
        <f>IF($P128="","",IF(INDEX(EntryParty,$P128)=0,"",INDEX(EntryParty,$P128)))</f>
        <v/>
      </c>
      <c r="E128" s="28">
        <f>IF($P128="","",IF(INDEX(EntryPartyName,$P128)=0,"",INDEX(EntryPartyName,$P128)))</f>
        <v/>
      </c>
      <c r="F128" s="28">
        <f>IF($P128="","",IF(INDEX(EntryPartyType,$P128)=0,"",INDEX(EntryPartyType,$P128)))</f>
        <v/>
      </c>
      <c r="G128" s="28">
        <f>IF($P128="","",IF(INDEX(EntryTxnType,$P128)=0,"",INDEX(EntryTxnType,$P128)))</f>
        <v/>
      </c>
      <c r="H128" s="29">
        <f>IF($P128="","",IF(INDEX(EntryDep,$P128)=0,"",INDEX(EntryDep,$P128)))</f>
        <v/>
      </c>
      <c r="I128" s="29">
        <f>IF($P128="","",IF(INDEX(EntryWit,$P128)=0,"",INDEX(EntryWit,$P128)))</f>
        <v/>
      </c>
      <c r="J128" s="29">
        <f>IF($B128="","",IF($A128=1,$C$7,IF(J127="",0,J127))+IF($H128="",0,$H128)-IF($I128="",0,$I128))</f>
        <v/>
      </c>
      <c r="K128" s="29">
        <f>IF($P128="","",IF(INDEX(EntryMan,$P128)=0,"",INDEX(EntryMan,$P128)))</f>
        <v/>
      </c>
      <c r="L128" s="28">
        <f>IF($B128="","",IF($K128="","—",IF(ROUND($K128-$J128,0)=0,"√","×")))</f>
        <v/>
      </c>
      <c r="M128" s="28">
        <f>IF($B128="","",IF(COUNTIFS(EntryDates,$B128,CalcTime,$C128,CalcBank,$C$5,EntryParty,$D128,EntryDep,$H128,EntryWit,$I128)&gt;1,"تکرار",""))</f>
        <v/>
      </c>
      <c r="N128" s="28">
        <f>IF($P128="","",IF(INDEX(EntryNotes,$P128)=0,"",INDEX(EntryNotes,$P128)))</f>
        <v/>
      </c>
      <c r="O128" s="28">
        <f>IF($P128="","",IF(INDEX(EntryTxnID,$P128)=0,"",INDEX(EntryTxnID,$P128)))</f>
        <v/>
      </c>
      <c r="P128" s="28">
        <f>IFERROR(MATCH($C$5&amp;"|"&amp;RIGHT("000000"&amp;112,6),CalcRankKey,0),"")</f>
        <v/>
      </c>
    </row>
    <row r="129">
      <c r="A129" s="26">
        <f>IF($B129="","",113)</f>
        <v/>
      </c>
      <c r="B129" s="26">
        <f>IF($P129="","",IF(INDEX(CalcNormDate,$P129)=0,"",INDEX(CalcNormDate,$P129)))</f>
        <v/>
      </c>
      <c r="C129" s="26">
        <f>IF($P129="","",IF(INDEX(CalcTime,$P129)=0,"",INDEX(CalcTime,$P129)))</f>
        <v/>
      </c>
      <c r="D129" s="26">
        <f>IF($P129="","",IF(INDEX(EntryParty,$P129)=0,"",INDEX(EntryParty,$P129)))</f>
        <v/>
      </c>
      <c r="E129" s="26">
        <f>IF($P129="","",IF(INDEX(EntryPartyName,$P129)=0,"",INDEX(EntryPartyName,$P129)))</f>
        <v/>
      </c>
      <c r="F129" s="26">
        <f>IF($P129="","",IF(INDEX(EntryPartyType,$P129)=0,"",INDEX(EntryPartyType,$P129)))</f>
        <v/>
      </c>
      <c r="G129" s="26">
        <f>IF($P129="","",IF(INDEX(EntryTxnType,$P129)=0,"",INDEX(EntryTxnType,$P129)))</f>
        <v/>
      </c>
      <c r="H129" s="27">
        <f>IF($P129="","",IF(INDEX(EntryDep,$P129)=0,"",INDEX(EntryDep,$P129)))</f>
        <v/>
      </c>
      <c r="I129" s="27">
        <f>IF($P129="","",IF(INDEX(EntryWit,$P129)=0,"",INDEX(EntryWit,$P129)))</f>
        <v/>
      </c>
      <c r="J129" s="27">
        <f>IF($B129="","",IF($A129=1,$C$7,IF(J128="",0,J128))+IF($H129="",0,$H129)-IF($I129="",0,$I129))</f>
        <v/>
      </c>
      <c r="K129" s="27">
        <f>IF($P129="","",IF(INDEX(EntryMan,$P129)=0,"",INDEX(EntryMan,$P129)))</f>
        <v/>
      </c>
      <c r="L129" s="26">
        <f>IF($B129="","",IF($K129="","—",IF(ROUND($K129-$J129,0)=0,"√","×")))</f>
        <v/>
      </c>
      <c r="M129" s="26">
        <f>IF($B129="","",IF(COUNTIFS(EntryDates,$B129,CalcTime,$C129,CalcBank,$C$5,EntryParty,$D129,EntryDep,$H129,EntryWit,$I129)&gt;1,"تکرار",""))</f>
        <v/>
      </c>
      <c r="N129" s="26">
        <f>IF($P129="","",IF(INDEX(EntryNotes,$P129)=0,"",INDEX(EntryNotes,$P129)))</f>
        <v/>
      </c>
      <c r="O129" s="26">
        <f>IF($P129="","",IF(INDEX(EntryTxnID,$P129)=0,"",INDEX(EntryTxnID,$P129)))</f>
        <v/>
      </c>
      <c r="P129" s="26">
        <f>IFERROR(MATCH($C$5&amp;"|"&amp;RIGHT("000000"&amp;113,6),CalcRankKey,0),"")</f>
        <v/>
      </c>
    </row>
    <row r="130">
      <c r="A130" s="28">
        <f>IF($B130="","",114)</f>
        <v/>
      </c>
      <c r="B130" s="28">
        <f>IF($P130="","",IF(INDEX(CalcNormDate,$P130)=0,"",INDEX(CalcNormDate,$P130)))</f>
        <v/>
      </c>
      <c r="C130" s="28">
        <f>IF($P130="","",IF(INDEX(CalcTime,$P130)=0,"",INDEX(CalcTime,$P130)))</f>
        <v/>
      </c>
      <c r="D130" s="28">
        <f>IF($P130="","",IF(INDEX(EntryParty,$P130)=0,"",INDEX(EntryParty,$P130)))</f>
        <v/>
      </c>
      <c r="E130" s="28">
        <f>IF($P130="","",IF(INDEX(EntryPartyName,$P130)=0,"",INDEX(EntryPartyName,$P130)))</f>
        <v/>
      </c>
      <c r="F130" s="28">
        <f>IF($P130="","",IF(INDEX(EntryPartyType,$P130)=0,"",INDEX(EntryPartyType,$P130)))</f>
        <v/>
      </c>
      <c r="G130" s="28">
        <f>IF($P130="","",IF(INDEX(EntryTxnType,$P130)=0,"",INDEX(EntryTxnType,$P130)))</f>
        <v/>
      </c>
      <c r="H130" s="29">
        <f>IF($P130="","",IF(INDEX(EntryDep,$P130)=0,"",INDEX(EntryDep,$P130)))</f>
        <v/>
      </c>
      <c r="I130" s="29">
        <f>IF($P130="","",IF(INDEX(EntryWit,$P130)=0,"",INDEX(EntryWit,$P130)))</f>
        <v/>
      </c>
      <c r="J130" s="29">
        <f>IF($B130="","",IF($A130=1,$C$7,IF(J129="",0,J129))+IF($H130="",0,$H130)-IF($I130="",0,$I130))</f>
        <v/>
      </c>
      <c r="K130" s="29">
        <f>IF($P130="","",IF(INDEX(EntryMan,$P130)=0,"",INDEX(EntryMan,$P130)))</f>
        <v/>
      </c>
      <c r="L130" s="28">
        <f>IF($B130="","",IF($K130="","—",IF(ROUND($K130-$J130,0)=0,"√","×")))</f>
        <v/>
      </c>
      <c r="M130" s="28">
        <f>IF($B130="","",IF(COUNTIFS(EntryDates,$B130,CalcTime,$C130,CalcBank,$C$5,EntryParty,$D130,EntryDep,$H130,EntryWit,$I130)&gt;1,"تکرار",""))</f>
        <v/>
      </c>
      <c r="N130" s="28">
        <f>IF($P130="","",IF(INDEX(EntryNotes,$P130)=0,"",INDEX(EntryNotes,$P130)))</f>
        <v/>
      </c>
      <c r="O130" s="28">
        <f>IF($P130="","",IF(INDEX(EntryTxnID,$P130)=0,"",INDEX(EntryTxnID,$P130)))</f>
        <v/>
      </c>
      <c r="P130" s="28">
        <f>IFERROR(MATCH($C$5&amp;"|"&amp;RIGHT("000000"&amp;114,6),CalcRankKey,0),"")</f>
        <v/>
      </c>
    </row>
    <row r="131">
      <c r="A131" s="26">
        <f>IF($B131="","",115)</f>
        <v/>
      </c>
      <c r="B131" s="26">
        <f>IF($P131="","",IF(INDEX(CalcNormDate,$P131)=0,"",INDEX(CalcNormDate,$P131)))</f>
        <v/>
      </c>
      <c r="C131" s="26">
        <f>IF($P131="","",IF(INDEX(CalcTime,$P131)=0,"",INDEX(CalcTime,$P131)))</f>
        <v/>
      </c>
      <c r="D131" s="26">
        <f>IF($P131="","",IF(INDEX(EntryParty,$P131)=0,"",INDEX(EntryParty,$P131)))</f>
        <v/>
      </c>
      <c r="E131" s="26">
        <f>IF($P131="","",IF(INDEX(EntryPartyName,$P131)=0,"",INDEX(EntryPartyName,$P131)))</f>
        <v/>
      </c>
      <c r="F131" s="26">
        <f>IF($P131="","",IF(INDEX(EntryPartyType,$P131)=0,"",INDEX(EntryPartyType,$P131)))</f>
        <v/>
      </c>
      <c r="G131" s="26">
        <f>IF($P131="","",IF(INDEX(EntryTxnType,$P131)=0,"",INDEX(EntryTxnType,$P131)))</f>
        <v/>
      </c>
      <c r="H131" s="27">
        <f>IF($P131="","",IF(INDEX(EntryDep,$P131)=0,"",INDEX(EntryDep,$P131)))</f>
        <v/>
      </c>
      <c r="I131" s="27">
        <f>IF($P131="","",IF(INDEX(EntryWit,$P131)=0,"",INDEX(EntryWit,$P131)))</f>
        <v/>
      </c>
      <c r="J131" s="27">
        <f>IF($B131="","",IF($A131=1,$C$7,IF(J130="",0,J130))+IF($H131="",0,$H131)-IF($I131="",0,$I131))</f>
        <v/>
      </c>
      <c r="K131" s="27">
        <f>IF($P131="","",IF(INDEX(EntryMan,$P131)=0,"",INDEX(EntryMan,$P131)))</f>
        <v/>
      </c>
      <c r="L131" s="26">
        <f>IF($B131="","",IF($K131="","—",IF(ROUND($K131-$J131,0)=0,"√","×")))</f>
        <v/>
      </c>
      <c r="M131" s="26">
        <f>IF($B131="","",IF(COUNTIFS(EntryDates,$B131,CalcTime,$C131,CalcBank,$C$5,EntryParty,$D131,EntryDep,$H131,EntryWit,$I131)&gt;1,"تکرار",""))</f>
        <v/>
      </c>
      <c r="N131" s="26">
        <f>IF($P131="","",IF(INDEX(EntryNotes,$P131)=0,"",INDEX(EntryNotes,$P131)))</f>
        <v/>
      </c>
      <c r="O131" s="26">
        <f>IF($P131="","",IF(INDEX(EntryTxnID,$P131)=0,"",INDEX(EntryTxnID,$P131)))</f>
        <v/>
      </c>
      <c r="P131" s="26">
        <f>IFERROR(MATCH($C$5&amp;"|"&amp;RIGHT("000000"&amp;115,6),CalcRankKey,0),"")</f>
        <v/>
      </c>
    </row>
    <row r="132">
      <c r="A132" s="28">
        <f>IF($B132="","",116)</f>
        <v/>
      </c>
      <c r="B132" s="28">
        <f>IF($P132="","",IF(INDEX(CalcNormDate,$P132)=0,"",INDEX(CalcNormDate,$P132)))</f>
        <v/>
      </c>
      <c r="C132" s="28">
        <f>IF($P132="","",IF(INDEX(CalcTime,$P132)=0,"",INDEX(CalcTime,$P132)))</f>
        <v/>
      </c>
      <c r="D132" s="28">
        <f>IF($P132="","",IF(INDEX(EntryParty,$P132)=0,"",INDEX(EntryParty,$P132)))</f>
        <v/>
      </c>
      <c r="E132" s="28">
        <f>IF($P132="","",IF(INDEX(EntryPartyName,$P132)=0,"",INDEX(EntryPartyName,$P132)))</f>
        <v/>
      </c>
      <c r="F132" s="28">
        <f>IF($P132="","",IF(INDEX(EntryPartyType,$P132)=0,"",INDEX(EntryPartyType,$P132)))</f>
        <v/>
      </c>
      <c r="G132" s="28">
        <f>IF($P132="","",IF(INDEX(EntryTxnType,$P132)=0,"",INDEX(EntryTxnType,$P132)))</f>
        <v/>
      </c>
      <c r="H132" s="29">
        <f>IF($P132="","",IF(INDEX(EntryDep,$P132)=0,"",INDEX(EntryDep,$P132)))</f>
        <v/>
      </c>
      <c r="I132" s="29">
        <f>IF($P132="","",IF(INDEX(EntryWit,$P132)=0,"",INDEX(EntryWit,$P132)))</f>
        <v/>
      </c>
      <c r="J132" s="29">
        <f>IF($B132="","",IF($A132=1,$C$7,IF(J131="",0,J131))+IF($H132="",0,$H132)-IF($I132="",0,$I132))</f>
        <v/>
      </c>
      <c r="K132" s="29">
        <f>IF($P132="","",IF(INDEX(EntryMan,$P132)=0,"",INDEX(EntryMan,$P132)))</f>
        <v/>
      </c>
      <c r="L132" s="28">
        <f>IF($B132="","",IF($K132="","—",IF(ROUND($K132-$J132,0)=0,"√","×")))</f>
        <v/>
      </c>
      <c r="M132" s="28">
        <f>IF($B132="","",IF(COUNTIFS(EntryDates,$B132,CalcTime,$C132,CalcBank,$C$5,EntryParty,$D132,EntryDep,$H132,EntryWit,$I132)&gt;1,"تکرار",""))</f>
        <v/>
      </c>
      <c r="N132" s="28">
        <f>IF($P132="","",IF(INDEX(EntryNotes,$P132)=0,"",INDEX(EntryNotes,$P132)))</f>
        <v/>
      </c>
      <c r="O132" s="28">
        <f>IF($P132="","",IF(INDEX(EntryTxnID,$P132)=0,"",INDEX(EntryTxnID,$P132)))</f>
        <v/>
      </c>
      <c r="P132" s="28">
        <f>IFERROR(MATCH($C$5&amp;"|"&amp;RIGHT("000000"&amp;116,6),CalcRankKey,0),"")</f>
        <v/>
      </c>
    </row>
    <row r="133">
      <c r="A133" s="26">
        <f>IF($B133="","",117)</f>
        <v/>
      </c>
      <c r="B133" s="26">
        <f>IF($P133="","",IF(INDEX(CalcNormDate,$P133)=0,"",INDEX(CalcNormDate,$P133)))</f>
        <v/>
      </c>
      <c r="C133" s="26">
        <f>IF($P133="","",IF(INDEX(CalcTime,$P133)=0,"",INDEX(CalcTime,$P133)))</f>
        <v/>
      </c>
      <c r="D133" s="26">
        <f>IF($P133="","",IF(INDEX(EntryParty,$P133)=0,"",INDEX(EntryParty,$P133)))</f>
        <v/>
      </c>
      <c r="E133" s="26">
        <f>IF($P133="","",IF(INDEX(EntryPartyName,$P133)=0,"",INDEX(EntryPartyName,$P133)))</f>
        <v/>
      </c>
      <c r="F133" s="26">
        <f>IF($P133="","",IF(INDEX(EntryPartyType,$P133)=0,"",INDEX(EntryPartyType,$P133)))</f>
        <v/>
      </c>
      <c r="G133" s="26">
        <f>IF($P133="","",IF(INDEX(EntryTxnType,$P133)=0,"",INDEX(EntryTxnType,$P133)))</f>
        <v/>
      </c>
      <c r="H133" s="27">
        <f>IF($P133="","",IF(INDEX(EntryDep,$P133)=0,"",INDEX(EntryDep,$P133)))</f>
        <v/>
      </c>
      <c r="I133" s="27">
        <f>IF($P133="","",IF(INDEX(EntryWit,$P133)=0,"",INDEX(EntryWit,$P133)))</f>
        <v/>
      </c>
      <c r="J133" s="27">
        <f>IF($B133="","",IF($A133=1,$C$7,IF(J132="",0,J132))+IF($H133="",0,$H133)-IF($I133="",0,$I133))</f>
        <v/>
      </c>
      <c r="K133" s="27">
        <f>IF($P133="","",IF(INDEX(EntryMan,$P133)=0,"",INDEX(EntryMan,$P133)))</f>
        <v/>
      </c>
      <c r="L133" s="26">
        <f>IF($B133="","",IF($K133="","—",IF(ROUND($K133-$J133,0)=0,"√","×")))</f>
        <v/>
      </c>
      <c r="M133" s="26">
        <f>IF($B133="","",IF(COUNTIFS(EntryDates,$B133,CalcTime,$C133,CalcBank,$C$5,EntryParty,$D133,EntryDep,$H133,EntryWit,$I133)&gt;1,"تکرار",""))</f>
        <v/>
      </c>
      <c r="N133" s="26">
        <f>IF($P133="","",IF(INDEX(EntryNotes,$P133)=0,"",INDEX(EntryNotes,$P133)))</f>
        <v/>
      </c>
      <c r="O133" s="26">
        <f>IF($P133="","",IF(INDEX(EntryTxnID,$P133)=0,"",INDEX(EntryTxnID,$P133)))</f>
        <v/>
      </c>
      <c r="P133" s="26">
        <f>IFERROR(MATCH($C$5&amp;"|"&amp;RIGHT("000000"&amp;117,6),CalcRankKey,0),"")</f>
        <v/>
      </c>
    </row>
    <row r="134">
      <c r="A134" s="28">
        <f>IF($B134="","",118)</f>
        <v/>
      </c>
      <c r="B134" s="28">
        <f>IF($P134="","",IF(INDEX(CalcNormDate,$P134)=0,"",INDEX(CalcNormDate,$P134)))</f>
        <v/>
      </c>
      <c r="C134" s="28">
        <f>IF($P134="","",IF(INDEX(CalcTime,$P134)=0,"",INDEX(CalcTime,$P134)))</f>
        <v/>
      </c>
      <c r="D134" s="28">
        <f>IF($P134="","",IF(INDEX(EntryParty,$P134)=0,"",INDEX(EntryParty,$P134)))</f>
        <v/>
      </c>
      <c r="E134" s="28">
        <f>IF($P134="","",IF(INDEX(EntryPartyName,$P134)=0,"",INDEX(EntryPartyName,$P134)))</f>
        <v/>
      </c>
      <c r="F134" s="28">
        <f>IF($P134="","",IF(INDEX(EntryPartyType,$P134)=0,"",INDEX(EntryPartyType,$P134)))</f>
        <v/>
      </c>
      <c r="G134" s="28">
        <f>IF($P134="","",IF(INDEX(EntryTxnType,$P134)=0,"",INDEX(EntryTxnType,$P134)))</f>
        <v/>
      </c>
      <c r="H134" s="29">
        <f>IF($P134="","",IF(INDEX(EntryDep,$P134)=0,"",INDEX(EntryDep,$P134)))</f>
        <v/>
      </c>
      <c r="I134" s="29">
        <f>IF($P134="","",IF(INDEX(EntryWit,$P134)=0,"",INDEX(EntryWit,$P134)))</f>
        <v/>
      </c>
      <c r="J134" s="29">
        <f>IF($B134="","",IF($A134=1,$C$7,IF(J133="",0,J133))+IF($H134="",0,$H134)-IF($I134="",0,$I134))</f>
        <v/>
      </c>
      <c r="K134" s="29">
        <f>IF($P134="","",IF(INDEX(EntryMan,$P134)=0,"",INDEX(EntryMan,$P134)))</f>
        <v/>
      </c>
      <c r="L134" s="28">
        <f>IF($B134="","",IF($K134="","—",IF(ROUND($K134-$J134,0)=0,"√","×")))</f>
        <v/>
      </c>
      <c r="M134" s="28">
        <f>IF($B134="","",IF(COUNTIFS(EntryDates,$B134,CalcTime,$C134,CalcBank,$C$5,EntryParty,$D134,EntryDep,$H134,EntryWit,$I134)&gt;1,"تکرار",""))</f>
        <v/>
      </c>
      <c r="N134" s="28">
        <f>IF($P134="","",IF(INDEX(EntryNotes,$P134)=0,"",INDEX(EntryNotes,$P134)))</f>
        <v/>
      </c>
      <c r="O134" s="28">
        <f>IF($P134="","",IF(INDEX(EntryTxnID,$P134)=0,"",INDEX(EntryTxnID,$P134)))</f>
        <v/>
      </c>
      <c r="P134" s="28">
        <f>IFERROR(MATCH($C$5&amp;"|"&amp;RIGHT("000000"&amp;118,6),CalcRankKey,0),"")</f>
        <v/>
      </c>
    </row>
    <row r="135">
      <c r="A135" s="26">
        <f>IF($B135="","",119)</f>
        <v/>
      </c>
      <c r="B135" s="26">
        <f>IF($P135="","",IF(INDEX(CalcNormDate,$P135)=0,"",INDEX(CalcNormDate,$P135)))</f>
        <v/>
      </c>
      <c r="C135" s="26">
        <f>IF($P135="","",IF(INDEX(CalcTime,$P135)=0,"",INDEX(CalcTime,$P135)))</f>
        <v/>
      </c>
      <c r="D135" s="26">
        <f>IF($P135="","",IF(INDEX(EntryParty,$P135)=0,"",INDEX(EntryParty,$P135)))</f>
        <v/>
      </c>
      <c r="E135" s="26">
        <f>IF($P135="","",IF(INDEX(EntryPartyName,$P135)=0,"",INDEX(EntryPartyName,$P135)))</f>
        <v/>
      </c>
      <c r="F135" s="26">
        <f>IF($P135="","",IF(INDEX(EntryPartyType,$P135)=0,"",INDEX(EntryPartyType,$P135)))</f>
        <v/>
      </c>
      <c r="G135" s="26">
        <f>IF($P135="","",IF(INDEX(EntryTxnType,$P135)=0,"",INDEX(EntryTxnType,$P135)))</f>
        <v/>
      </c>
      <c r="H135" s="27">
        <f>IF($P135="","",IF(INDEX(EntryDep,$P135)=0,"",INDEX(EntryDep,$P135)))</f>
        <v/>
      </c>
      <c r="I135" s="27">
        <f>IF($P135="","",IF(INDEX(EntryWit,$P135)=0,"",INDEX(EntryWit,$P135)))</f>
        <v/>
      </c>
      <c r="J135" s="27">
        <f>IF($B135="","",IF($A135=1,$C$7,IF(J134="",0,J134))+IF($H135="",0,$H135)-IF($I135="",0,$I135))</f>
        <v/>
      </c>
      <c r="K135" s="27">
        <f>IF($P135="","",IF(INDEX(EntryMan,$P135)=0,"",INDEX(EntryMan,$P135)))</f>
        <v/>
      </c>
      <c r="L135" s="26">
        <f>IF($B135="","",IF($K135="","—",IF(ROUND($K135-$J135,0)=0,"√","×")))</f>
        <v/>
      </c>
      <c r="M135" s="26">
        <f>IF($B135="","",IF(COUNTIFS(EntryDates,$B135,CalcTime,$C135,CalcBank,$C$5,EntryParty,$D135,EntryDep,$H135,EntryWit,$I135)&gt;1,"تکرار",""))</f>
        <v/>
      </c>
      <c r="N135" s="26">
        <f>IF($P135="","",IF(INDEX(EntryNotes,$P135)=0,"",INDEX(EntryNotes,$P135)))</f>
        <v/>
      </c>
      <c r="O135" s="26">
        <f>IF($P135="","",IF(INDEX(EntryTxnID,$P135)=0,"",INDEX(EntryTxnID,$P135)))</f>
        <v/>
      </c>
      <c r="P135" s="26">
        <f>IFERROR(MATCH($C$5&amp;"|"&amp;RIGHT("000000"&amp;119,6),CalcRankKey,0),"")</f>
        <v/>
      </c>
    </row>
    <row r="136">
      <c r="A136" s="28">
        <f>IF($B136="","",120)</f>
        <v/>
      </c>
      <c r="B136" s="28">
        <f>IF($P136="","",IF(INDEX(CalcNormDate,$P136)=0,"",INDEX(CalcNormDate,$P136)))</f>
        <v/>
      </c>
      <c r="C136" s="28">
        <f>IF($P136="","",IF(INDEX(CalcTime,$P136)=0,"",INDEX(CalcTime,$P136)))</f>
        <v/>
      </c>
      <c r="D136" s="28">
        <f>IF($P136="","",IF(INDEX(EntryParty,$P136)=0,"",INDEX(EntryParty,$P136)))</f>
        <v/>
      </c>
      <c r="E136" s="28">
        <f>IF($P136="","",IF(INDEX(EntryPartyName,$P136)=0,"",INDEX(EntryPartyName,$P136)))</f>
        <v/>
      </c>
      <c r="F136" s="28">
        <f>IF($P136="","",IF(INDEX(EntryPartyType,$P136)=0,"",INDEX(EntryPartyType,$P136)))</f>
        <v/>
      </c>
      <c r="G136" s="28">
        <f>IF($P136="","",IF(INDEX(EntryTxnType,$P136)=0,"",INDEX(EntryTxnType,$P136)))</f>
        <v/>
      </c>
      <c r="H136" s="29">
        <f>IF($P136="","",IF(INDEX(EntryDep,$P136)=0,"",INDEX(EntryDep,$P136)))</f>
        <v/>
      </c>
      <c r="I136" s="29">
        <f>IF($P136="","",IF(INDEX(EntryWit,$P136)=0,"",INDEX(EntryWit,$P136)))</f>
        <v/>
      </c>
      <c r="J136" s="29">
        <f>IF($B136="","",IF($A136=1,$C$7,IF(J135="",0,J135))+IF($H136="",0,$H136)-IF($I136="",0,$I136))</f>
        <v/>
      </c>
      <c r="K136" s="29">
        <f>IF($P136="","",IF(INDEX(EntryMan,$P136)=0,"",INDEX(EntryMan,$P136)))</f>
        <v/>
      </c>
      <c r="L136" s="28">
        <f>IF($B136="","",IF($K136="","—",IF(ROUND($K136-$J136,0)=0,"√","×")))</f>
        <v/>
      </c>
      <c r="M136" s="28">
        <f>IF($B136="","",IF(COUNTIFS(EntryDates,$B136,CalcTime,$C136,CalcBank,$C$5,EntryParty,$D136,EntryDep,$H136,EntryWit,$I136)&gt;1,"تکرار",""))</f>
        <v/>
      </c>
      <c r="N136" s="28">
        <f>IF($P136="","",IF(INDEX(EntryNotes,$P136)=0,"",INDEX(EntryNotes,$P136)))</f>
        <v/>
      </c>
      <c r="O136" s="28">
        <f>IF($P136="","",IF(INDEX(EntryTxnID,$P136)=0,"",INDEX(EntryTxnID,$P136)))</f>
        <v/>
      </c>
      <c r="P136" s="28">
        <f>IFERROR(MATCH($C$5&amp;"|"&amp;RIGHT("000000"&amp;120,6),CalcRankKey,0),"")</f>
        <v/>
      </c>
    </row>
    <row r="137">
      <c r="A137" s="26">
        <f>IF($B137="","",121)</f>
        <v/>
      </c>
      <c r="B137" s="26">
        <f>IF($P137="","",IF(INDEX(CalcNormDate,$P137)=0,"",INDEX(CalcNormDate,$P137)))</f>
        <v/>
      </c>
      <c r="C137" s="26">
        <f>IF($P137="","",IF(INDEX(CalcTime,$P137)=0,"",INDEX(CalcTime,$P137)))</f>
        <v/>
      </c>
      <c r="D137" s="26">
        <f>IF($P137="","",IF(INDEX(EntryParty,$P137)=0,"",INDEX(EntryParty,$P137)))</f>
        <v/>
      </c>
      <c r="E137" s="26">
        <f>IF($P137="","",IF(INDEX(EntryPartyName,$P137)=0,"",INDEX(EntryPartyName,$P137)))</f>
        <v/>
      </c>
      <c r="F137" s="26">
        <f>IF($P137="","",IF(INDEX(EntryPartyType,$P137)=0,"",INDEX(EntryPartyType,$P137)))</f>
        <v/>
      </c>
      <c r="G137" s="26">
        <f>IF($P137="","",IF(INDEX(EntryTxnType,$P137)=0,"",INDEX(EntryTxnType,$P137)))</f>
        <v/>
      </c>
      <c r="H137" s="27">
        <f>IF($P137="","",IF(INDEX(EntryDep,$P137)=0,"",INDEX(EntryDep,$P137)))</f>
        <v/>
      </c>
      <c r="I137" s="27">
        <f>IF($P137="","",IF(INDEX(EntryWit,$P137)=0,"",INDEX(EntryWit,$P137)))</f>
        <v/>
      </c>
      <c r="J137" s="27">
        <f>IF($B137="","",IF($A137=1,$C$7,IF(J136="",0,J136))+IF($H137="",0,$H137)-IF($I137="",0,$I137))</f>
        <v/>
      </c>
      <c r="K137" s="27">
        <f>IF($P137="","",IF(INDEX(EntryMan,$P137)=0,"",INDEX(EntryMan,$P137)))</f>
        <v/>
      </c>
      <c r="L137" s="26">
        <f>IF($B137="","",IF($K137="","—",IF(ROUND($K137-$J137,0)=0,"√","×")))</f>
        <v/>
      </c>
      <c r="M137" s="26">
        <f>IF($B137="","",IF(COUNTIFS(EntryDates,$B137,CalcTime,$C137,CalcBank,$C$5,EntryParty,$D137,EntryDep,$H137,EntryWit,$I137)&gt;1,"تکرار",""))</f>
        <v/>
      </c>
      <c r="N137" s="26">
        <f>IF($P137="","",IF(INDEX(EntryNotes,$P137)=0,"",INDEX(EntryNotes,$P137)))</f>
        <v/>
      </c>
      <c r="O137" s="26">
        <f>IF($P137="","",IF(INDEX(EntryTxnID,$P137)=0,"",INDEX(EntryTxnID,$P137)))</f>
        <v/>
      </c>
      <c r="P137" s="26">
        <f>IFERROR(MATCH($C$5&amp;"|"&amp;RIGHT("000000"&amp;121,6),CalcRankKey,0),"")</f>
        <v/>
      </c>
    </row>
    <row r="138">
      <c r="A138" s="28">
        <f>IF($B138="","",122)</f>
        <v/>
      </c>
      <c r="B138" s="28">
        <f>IF($P138="","",IF(INDEX(CalcNormDate,$P138)=0,"",INDEX(CalcNormDate,$P138)))</f>
        <v/>
      </c>
      <c r="C138" s="28">
        <f>IF($P138="","",IF(INDEX(CalcTime,$P138)=0,"",INDEX(CalcTime,$P138)))</f>
        <v/>
      </c>
      <c r="D138" s="28">
        <f>IF($P138="","",IF(INDEX(EntryParty,$P138)=0,"",INDEX(EntryParty,$P138)))</f>
        <v/>
      </c>
      <c r="E138" s="28">
        <f>IF($P138="","",IF(INDEX(EntryPartyName,$P138)=0,"",INDEX(EntryPartyName,$P138)))</f>
        <v/>
      </c>
      <c r="F138" s="28">
        <f>IF($P138="","",IF(INDEX(EntryPartyType,$P138)=0,"",INDEX(EntryPartyType,$P138)))</f>
        <v/>
      </c>
      <c r="G138" s="28">
        <f>IF($P138="","",IF(INDEX(EntryTxnType,$P138)=0,"",INDEX(EntryTxnType,$P138)))</f>
        <v/>
      </c>
      <c r="H138" s="29">
        <f>IF($P138="","",IF(INDEX(EntryDep,$P138)=0,"",INDEX(EntryDep,$P138)))</f>
        <v/>
      </c>
      <c r="I138" s="29">
        <f>IF($P138="","",IF(INDEX(EntryWit,$P138)=0,"",INDEX(EntryWit,$P138)))</f>
        <v/>
      </c>
      <c r="J138" s="29">
        <f>IF($B138="","",IF($A138=1,$C$7,IF(J137="",0,J137))+IF($H138="",0,$H138)-IF($I138="",0,$I138))</f>
        <v/>
      </c>
      <c r="K138" s="29">
        <f>IF($P138="","",IF(INDEX(EntryMan,$P138)=0,"",INDEX(EntryMan,$P138)))</f>
        <v/>
      </c>
      <c r="L138" s="28">
        <f>IF($B138="","",IF($K138="","—",IF(ROUND($K138-$J138,0)=0,"√","×")))</f>
        <v/>
      </c>
      <c r="M138" s="28">
        <f>IF($B138="","",IF(COUNTIFS(EntryDates,$B138,CalcTime,$C138,CalcBank,$C$5,EntryParty,$D138,EntryDep,$H138,EntryWit,$I138)&gt;1,"تکرار",""))</f>
        <v/>
      </c>
      <c r="N138" s="28">
        <f>IF($P138="","",IF(INDEX(EntryNotes,$P138)=0,"",INDEX(EntryNotes,$P138)))</f>
        <v/>
      </c>
      <c r="O138" s="28">
        <f>IF($P138="","",IF(INDEX(EntryTxnID,$P138)=0,"",INDEX(EntryTxnID,$P138)))</f>
        <v/>
      </c>
      <c r="P138" s="28">
        <f>IFERROR(MATCH($C$5&amp;"|"&amp;RIGHT("000000"&amp;122,6),CalcRankKey,0),"")</f>
        <v/>
      </c>
    </row>
    <row r="139">
      <c r="A139" s="26">
        <f>IF($B139="","",123)</f>
        <v/>
      </c>
      <c r="B139" s="26">
        <f>IF($P139="","",IF(INDEX(CalcNormDate,$P139)=0,"",INDEX(CalcNormDate,$P139)))</f>
        <v/>
      </c>
      <c r="C139" s="26">
        <f>IF($P139="","",IF(INDEX(CalcTime,$P139)=0,"",INDEX(CalcTime,$P139)))</f>
        <v/>
      </c>
      <c r="D139" s="26">
        <f>IF($P139="","",IF(INDEX(EntryParty,$P139)=0,"",INDEX(EntryParty,$P139)))</f>
        <v/>
      </c>
      <c r="E139" s="26">
        <f>IF($P139="","",IF(INDEX(EntryPartyName,$P139)=0,"",INDEX(EntryPartyName,$P139)))</f>
        <v/>
      </c>
      <c r="F139" s="26">
        <f>IF($P139="","",IF(INDEX(EntryPartyType,$P139)=0,"",INDEX(EntryPartyType,$P139)))</f>
        <v/>
      </c>
      <c r="G139" s="26">
        <f>IF($P139="","",IF(INDEX(EntryTxnType,$P139)=0,"",INDEX(EntryTxnType,$P139)))</f>
        <v/>
      </c>
      <c r="H139" s="27">
        <f>IF($P139="","",IF(INDEX(EntryDep,$P139)=0,"",INDEX(EntryDep,$P139)))</f>
        <v/>
      </c>
      <c r="I139" s="27">
        <f>IF($P139="","",IF(INDEX(EntryWit,$P139)=0,"",INDEX(EntryWit,$P139)))</f>
        <v/>
      </c>
      <c r="J139" s="27">
        <f>IF($B139="","",IF($A139=1,$C$7,IF(J138="",0,J138))+IF($H139="",0,$H139)-IF($I139="",0,$I139))</f>
        <v/>
      </c>
      <c r="K139" s="27">
        <f>IF($P139="","",IF(INDEX(EntryMan,$P139)=0,"",INDEX(EntryMan,$P139)))</f>
        <v/>
      </c>
      <c r="L139" s="26">
        <f>IF($B139="","",IF($K139="","—",IF(ROUND($K139-$J139,0)=0,"√","×")))</f>
        <v/>
      </c>
      <c r="M139" s="26">
        <f>IF($B139="","",IF(COUNTIFS(EntryDates,$B139,CalcTime,$C139,CalcBank,$C$5,EntryParty,$D139,EntryDep,$H139,EntryWit,$I139)&gt;1,"تکرار",""))</f>
        <v/>
      </c>
      <c r="N139" s="26">
        <f>IF($P139="","",IF(INDEX(EntryNotes,$P139)=0,"",INDEX(EntryNotes,$P139)))</f>
        <v/>
      </c>
      <c r="O139" s="26">
        <f>IF($P139="","",IF(INDEX(EntryTxnID,$P139)=0,"",INDEX(EntryTxnID,$P139)))</f>
        <v/>
      </c>
      <c r="P139" s="26">
        <f>IFERROR(MATCH($C$5&amp;"|"&amp;RIGHT("000000"&amp;123,6),CalcRankKey,0),"")</f>
        <v/>
      </c>
    </row>
    <row r="140">
      <c r="A140" s="28">
        <f>IF($B140="","",124)</f>
        <v/>
      </c>
      <c r="B140" s="28">
        <f>IF($P140="","",IF(INDEX(CalcNormDate,$P140)=0,"",INDEX(CalcNormDate,$P140)))</f>
        <v/>
      </c>
      <c r="C140" s="28">
        <f>IF($P140="","",IF(INDEX(CalcTime,$P140)=0,"",INDEX(CalcTime,$P140)))</f>
        <v/>
      </c>
      <c r="D140" s="28">
        <f>IF($P140="","",IF(INDEX(EntryParty,$P140)=0,"",INDEX(EntryParty,$P140)))</f>
        <v/>
      </c>
      <c r="E140" s="28">
        <f>IF($P140="","",IF(INDEX(EntryPartyName,$P140)=0,"",INDEX(EntryPartyName,$P140)))</f>
        <v/>
      </c>
      <c r="F140" s="28">
        <f>IF($P140="","",IF(INDEX(EntryPartyType,$P140)=0,"",INDEX(EntryPartyType,$P140)))</f>
        <v/>
      </c>
      <c r="G140" s="28">
        <f>IF($P140="","",IF(INDEX(EntryTxnType,$P140)=0,"",INDEX(EntryTxnType,$P140)))</f>
        <v/>
      </c>
      <c r="H140" s="29">
        <f>IF($P140="","",IF(INDEX(EntryDep,$P140)=0,"",INDEX(EntryDep,$P140)))</f>
        <v/>
      </c>
      <c r="I140" s="29">
        <f>IF($P140="","",IF(INDEX(EntryWit,$P140)=0,"",INDEX(EntryWit,$P140)))</f>
        <v/>
      </c>
      <c r="J140" s="29">
        <f>IF($B140="","",IF($A140=1,$C$7,IF(J139="",0,J139))+IF($H140="",0,$H140)-IF($I140="",0,$I140))</f>
        <v/>
      </c>
      <c r="K140" s="29">
        <f>IF($P140="","",IF(INDEX(EntryMan,$P140)=0,"",INDEX(EntryMan,$P140)))</f>
        <v/>
      </c>
      <c r="L140" s="28">
        <f>IF($B140="","",IF($K140="","—",IF(ROUND($K140-$J140,0)=0,"√","×")))</f>
        <v/>
      </c>
      <c r="M140" s="28">
        <f>IF($B140="","",IF(COUNTIFS(EntryDates,$B140,CalcTime,$C140,CalcBank,$C$5,EntryParty,$D140,EntryDep,$H140,EntryWit,$I140)&gt;1,"تکرار",""))</f>
        <v/>
      </c>
      <c r="N140" s="28">
        <f>IF($P140="","",IF(INDEX(EntryNotes,$P140)=0,"",INDEX(EntryNotes,$P140)))</f>
        <v/>
      </c>
      <c r="O140" s="28">
        <f>IF($P140="","",IF(INDEX(EntryTxnID,$P140)=0,"",INDEX(EntryTxnID,$P140)))</f>
        <v/>
      </c>
      <c r="P140" s="28">
        <f>IFERROR(MATCH($C$5&amp;"|"&amp;RIGHT("000000"&amp;124,6),CalcRankKey,0),"")</f>
        <v/>
      </c>
    </row>
    <row r="141">
      <c r="A141" s="26">
        <f>IF($B141="","",125)</f>
        <v/>
      </c>
      <c r="B141" s="26">
        <f>IF($P141="","",IF(INDEX(CalcNormDate,$P141)=0,"",INDEX(CalcNormDate,$P141)))</f>
        <v/>
      </c>
      <c r="C141" s="26">
        <f>IF($P141="","",IF(INDEX(CalcTime,$P141)=0,"",INDEX(CalcTime,$P141)))</f>
        <v/>
      </c>
      <c r="D141" s="26">
        <f>IF($P141="","",IF(INDEX(EntryParty,$P141)=0,"",INDEX(EntryParty,$P141)))</f>
        <v/>
      </c>
      <c r="E141" s="26">
        <f>IF($P141="","",IF(INDEX(EntryPartyName,$P141)=0,"",INDEX(EntryPartyName,$P141)))</f>
        <v/>
      </c>
      <c r="F141" s="26">
        <f>IF($P141="","",IF(INDEX(EntryPartyType,$P141)=0,"",INDEX(EntryPartyType,$P141)))</f>
        <v/>
      </c>
      <c r="G141" s="26">
        <f>IF($P141="","",IF(INDEX(EntryTxnType,$P141)=0,"",INDEX(EntryTxnType,$P141)))</f>
        <v/>
      </c>
      <c r="H141" s="27">
        <f>IF($P141="","",IF(INDEX(EntryDep,$P141)=0,"",INDEX(EntryDep,$P141)))</f>
        <v/>
      </c>
      <c r="I141" s="27">
        <f>IF($P141="","",IF(INDEX(EntryWit,$P141)=0,"",INDEX(EntryWit,$P141)))</f>
        <v/>
      </c>
      <c r="J141" s="27">
        <f>IF($B141="","",IF($A141=1,$C$7,IF(J140="",0,J140))+IF($H141="",0,$H141)-IF($I141="",0,$I141))</f>
        <v/>
      </c>
      <c r="K141" s="27">
        <f>IF($P141="","",IF(INDEX(EntryMan,$P141)=0,"",INDEX(EntryMan,$P141)))</f>
        <v/>
      </c>
      <c r="L141" s="26">
        <f>IF($B141="","",IF($K141="","—",IF(ROUND($K141-$J141,0)=0,"√","×")))</f>
        <v/>
      </c>
      <c r="M141" s="26">
        <f>IF($B141="","",IF(COUNTIFS(EntryDates,$B141,CalcTime,$C141,CalcBank,$C$5,EntryParty,$D141,EntryDep,$H141,EntryWit,$I141)&gt;1,"تکرار",""))</f>
        <v/>
      </c>
      <c r="N141" s="26">
        <f>IF($P141="","",IF(INDEX(EntryNotes,$P141)=0,"",INDEX(EntryNotes,$P141)))</f>
        <v/>
      </c>
      <c r="O141" s="26">
        <f>IF($P141="","",IF(INDEX(EntryTxnID,$P141)=0,"",INDEX(EntryTxnID,$P141)))</f>
        <v/>
      </c>
      <c r="P141" s="26">
        <f>IFERROR(MATCH($C$5&amp;"|"&amp;RIGHT("000000"&amp;125,6),CalcRankKey,0),"")</f>
        <v/>
      </c>
    </row>
    <row r="142">
      <c r="A142" s="28">
        <f>IF($B142="","",126)</f>
        <v/>
      </c>
      <c r="B142" s="28">
        <f>IF($P142="","",IF(INDEX(CalcNormDate,$P142)=0,"",INDEX(CalcNormDate,$P142)))</f>
        <v/>
      </c>
      <c r="C142" s="28">
        <f>IF($P142="","",IF(INDEX(CalcTime,$P142)=0,"",INDEX(CalcTime,$P142)))</f>
        <v/>
      </c>
      <c r="D142" s="28">
        <f>IF($P142="","",IF(INDEX(EntryParty,$P142)=0,"",INDEX(EntryParty,$P142)))</f>
        <v/>
      </c>
      <c r="E142" s="28">
        <f>IF($P142="","",IF(INDEX(EntryPartyName,$P142)=0,"",INDEX(EntryPartyName,$P142)))</f>
        <v/>
      </c>
      <c r="F142" s="28">
        <f>IF($P142="","",IF(INDEX(EntryPartyType,$P142)=0,"",INDEX(EntryPartyType,$P142)))</f>
        <v/>
      </c>
      <c r="G142" s="28">
        <f>IF($P142="","",IF(INDEX(EntryTxnType,$P142)=0,"",INDEX(EntryTxnType,$P142)))</f>
        <v/>
      </c>
      <c r="H142" s="29">
        <f>IF($P142="","",IF(INDEX(EntryDep,$P142)=0,"",INDEX(EntryDep,$P142)))</f>
        <v/>
      </c>
      <c r="I142" s="29">
        <f>IF($P142="","",IF(INDEX(EntryWit,$P142)=0,"",INDEX(EntryWit,$P142)))</f>
        <v/>
      </c>
      <c r="J142" s="29">
        <f>IF($B142="","",IF($A142=1,$C$7,IF(J141="",0,J141))+IF($H142="",0,$H142)-IF($I142="",0,$I142))</f>
        <v/>
      </c>
      <c r="K142" s="29">
        <f>IF($P142="","",IF(INDEX(EntryMan,$P142)=0,"",INDEX(EntryMan,$P142)))</f>
        <v/>
      </c>
      <c r="L142" s="28">
        <f>IF($B142="","",IF($K142="","—",IF(ROUND($K142-$J142,0)=0,"√","×")))</f>
        <v/>
      </c>
      <c r="M142" s="28">
        <f>IF($B142="","",IF(COUNTIFS(EntryDates,$B142,CalcTime,$C142,CalcBank,$C$5,EntryParty,$D142,EntryDep,$H142,EntryWit,$I142)&gt;1,"تکرار",""))</f>
        <v/>
      </c>
      <c r="N142" s="28">
        <f>IF($P142="","",IF(INDEX(EntryNotes,$P142)=0,"",INDEX(EntryNotes,$P142)))</f>
        <v/>
      </c>
      <c r="O142" s="28">
        <f>IF($P142="","",IF(INDEX(EntryTxnID,$P142)=0,"",INDEX(EntryTxnID,$P142)))</f>
        <v/>
      </c>
      <c r="P142" s="28">
        <f>IFERROR(MATCH($C$5&amp;"|"&amp;RIGHT("000000"&amp;126,6),CalcRankKey,0),"")</f>
        <v/>
      </c>
    </row>
    <row r="143">
      <c r="A143" s="26">
        <f>IF($B143="","",127)</f>
        <v/>
      </c>
      <c r="B143" s="26">
        <f>IF($P143="","",IF(INDEX(CalcNormDate,$P143)=0,"",INDEX(CalcNormDate,$P143)))</f>
        <v/>
      </c>
      <c r="C143" s="26">
        <f>IF($P143="","",IF(INDEX(CalcTime,$P143)=0,"",INDEX(CalcTime,$P143)))</f>
        <v/>
      </c>
      <c r="D143" s="26">
        <f>IF($P143="","",IF(INDEX(EntryParty,$P143)=0,"",INDEX(EntryParty,$P143)))</f>
        <v/>
      </c>
      <c r="E143" s="26">
        <f>IF($P143="","",IF(INDEX(EntryPartyName,$P143)=0,"",INDEX(EntryPartyName,$P143)))</f>
        <v/>
      </c>
      <c r="F143" s="26">
        <f>IF($P143="","",IF(INDEX(EntryPartyType,$P143)=0,"",INDEX(EntryPartyType,$P143)))</f>
        <v/>
      </c>
      <c r="G143" s="26">
        <f>IF($P143="","",IF(INDEX(EntryTxnType,$P143)=0,"",INDEX(EntryTxnType,$P143)))</f>
        <v/>
      </c>
      <c r="H143" s="27">
        <f>IF($P143="","",IF(INDEX(EntryDep,$P143)=0,"",INDEX(EntryDep,$P143)))</f>
        <v/>
      </c>
      <c r="I143" s="27">
        <f>IF($P143="","",IF(INDEX(EntryWit,$P143)=0,"",INDEX(EntryWit,$P143)))</f>
        <v/>
      </c>
      <c r="J143" s="27">
        <f>IF($B143="","",IF($A143=1,$C$7,IF(J142="",0,J142))+IF($H143="",0,$H143)-IF($I143="",0,$I143))</f>
        <v/>
      </c>
      <c r="K143" s="27">
        <f>IF($P143="","",IF(INDEX(EntryMan,$P143)=0,"",INDEX(EntryMan,$P143)))</f>
        <v/>
      </c>
      <c r="L143" s="26">
        <f>IF($B143="","",IF($K143="","—",IF(ROUND($K143-$J143,0)=0,"√","×")))</f>
        <v/>
      </c>
      <c r="M143" s="26">
        <f>IF($B143="","",IF(COUNTIFS(EntryDates,$B143,CalcTime,$C143,CalcBank,$C$5,EntryParty,$D143,EntryDep,$H143,EntryWit,$I143)&gt;1,"تکرار",""))</f>
        <v/>
      </c>
      <c r="N143" s="26">
        <f>IF($P143="","",IF(INDEX(EntryNotes,$P143)=0,"",INDEX(EntryNotes,$P143)))</f>
        <v/>
      </c>
      <c r="O143" s="26">
        <f>IF($P143="","",IF(INDEX(EntryTxnID,$P143)=0,"",INDEX(EntryTxnID,$P143)))</f>
        <v/>
      </c>
      <c r="P143" s="26">
        <f>IFERROR(MATCH($C$5&amp;"|"&amp;RIGHT("000000"&amp;127,6),CalcRankKey,0),"")</f>
        <v/>
      </c>
    </row>
    <row r="144">
      <c r="A144" s="28">
        <f>IF($B144="","",128)</f>
        <v/>
      </c>
      <c r="B144" s="28">
        <f>IF($P144="","",IF(INDEX(CalcNormDate,$P144)=0,"",INDEX(CalcNormDate,$P144)))</f>
        <v/>
      </c>
      <c r="C144" s="28">
        <f>IF($P144="","",IF(INDEX(CalcTime,$P144)=0,"",INDEX(CalcTime,$P144)))</f>
        <v/>
      </c>
      <c r="D144" s="28">
        <f>IF($P144="","",IF(INDEX(EntryParty,$P144)=0,"",INDEX(EntryParty,$P144)))</f>
        <v/>
      </c>
      <c r="E144" s="28">
        <f>IF($P144="","",IF(INDEX(EntryPartyName,$P144)=0,"",INDEX(EntryPartyName,$P144)))</f>
        <v/>
      </c>
      <c r="F144" s="28">
        <f>IF($P144="","",IF(INDEX(EntryPartyType,$P144)=0,"",INDEX(EntryPartyType,$P144)))</f>
        <v/>
      </c>
      <c r="G144" s="28">
        <f>IF($P144="","",IF(INDEX(EntryTxnType,$P144)=0,"",INDEX(EntryTxnType,$P144)))</f>
        <v/>
      </c>
      <c r="H144" s="29">
        <f>IF($P144="","",IF(INDEX(EntryDep,$P144)=0,"",INDEX(EntryDep,$P144)))</f>
        <v/>
      </c>
      <c r="I144" s="29">
        <f>IF($P144="","",IF(INDEX(EntryWit,$P144)=0,"",INDEX(EntryWit,$P144)))</f>
        <v/>
      </c>
      <c r="J144" s="29">
        <f>IF($B144="","",IF($A144=1,$C$7,IF(J143="",0,J143))+IF($H144="",0,$H144)-IF($I144="",0,$I144))</f>
        <v/>
      </c>
      <c r="K144" s="29">
        <f>IF($P144="","",IF(INDEX(EntryMan,$P144)=0,"",INDEX(EntryMan,$P144)))</f>
        <v/>
      </c>
      <c r="L144" s="28">
        <f>IF($B144="","",IF($K144="","—",IF(ROUND($K144-$J144,0)=0,"√","×")))</f>
        <v/>
      </c>
      <c r="M144" s="28">
        <f>IF($B144="","",IF(COUNTIFS(EntryDates,$B144,CalcTime,$C144,CalcBank,$C$5,EntryParty,$D144,EntryDep,$H144,EntryWit,$I144)&gt;1,"تکرار",""))</f>
        <v/>
      </c>
      <c r="N144" s="28">
        <f>IF($P144="","",IF(INDEX(EntryNotes,$P144)=0,"",INDEX(EntryNotes,$P144)))</f>
        <v/>
      </c>
      <c r="O144" s="28">
        <f>IF($P144="","",IF(INDEX(EntryTxnID,$P144)=0,"",INDEX(EntryTxnID,$P144)))</f>
        <v/>
      </c>
      <c r="P144" s="28">
        <f>IFERROR(MATCH($C$5&amp;"|"&amp;RIGHT("000000"&amp;128,6),CalcRankKey,0),"")</f>
        <v/>
      </c>
    </row>
    <row r="145">
      <c r="A145" s="26">
        <f>IF($B145="","",129)</f>
        <v/>
      </c>
      <c r="B145" s="26">
        <f>IF($P145="","",IF(INDEX(CalcNormDate,$P145)=0,"",INDEX(CalcNormDate,$P145)))</f>
        <v/>
      </c>
      <c r="C145" s="26">
        <f>IF($P145="","",IF(INDEX(CalcTime,$P145)=0,"",INDEX(CalcTime,$P145)))</f>
        <v/>
      </c>
      <c r="D145" s="26">
        <f>IF($P145="","",IF(INDEX(EntryParty,$P145)=0,"",INDEX(EntryParty,$P145)))</f>
        <v/>
      </c>
      <c r="E145" s="26">
        <f>IF($P145="","",IF(INDEX(EntryPartyName,$P145)=0,"",INDEX(EntryPartyName,$P145)))</f>
        <v/>
      </c>
      <c r="F145" s="26">
        <f>IF($P145="","",IF(INDEX(EntryPartyType,$P145)=0,"",INDEX(EntryPartyType,$P145)))</f>
        <v/>
      </c>
      <c r="G145" s="26">
        <f>IF($P145="","",IF(INDEX(EntryTxnType,$P145)=0,"",INDEX(EntryTxnType,$P145)))</f>
        <v/>
      </c>
      <c r="H145" s="27">
        <f>IF($P145="","",IF(INDEX(EntryDep,$P145)=0,"",INDEX(EntryDep,$P145)))</f>
        <v/>
      </c>
      <c r="I145" s="27">
        <f>IF($P145="","",IF(INDEX(EntryWit,$P145)=0,"",INDEX(EntryWit,$P145)))</f>
        <v/>
      </c>
      <c r="J145" s="27">
        <f>IF($B145="","",IF($A145=1,$C$7,IF(J144="",0,J144))+IF($H145="",0,$H145)-IF($I145="",0,$I145))</f>
        <v/>
      </c>
      <c r="K145" s="27">
        <f>IF($P145="","",IF(INDEX(EntryMan,$P145)=0,"",INDEX(EntryMan,$P145)))</f>
        <v/>
      </c>
      <c r="L145" s="26">
        <f>IF($B145="","",IF($K145="","—",IF(ROUND($K145-$J145,0)=0,"√","×")))</f>
        <v/>
      </c>
      <c r="M145" s="26">
        <f>IF($B145="","",IF(COUNTIFS(EntryDates,$B145,CalcTime,$C145,CalcBank,$C$5,EntryParty,$D145,EntryDep,$H145,EntryWit,$I145)&gt;1,"تکرار",""))</f>
        <v/>
      </c>
      <c r="N145" s="26">
        <f>IF($P145="","",IF(INDEX(EntryNotes,$P145)=0,"",INDEX(EntryNotes,$P145)))</f>
        <v/>
      </c>
      <c r="O145" s="26">
        <f>IF($P145="","",IF(INDEX(EntryTxnID,$P145)=0,"",INDEX(EntryTxnID,$P145)))</f>
        <v/>
      </c>
      <c r="P145" s="26">
        <f>IFERROR(MATCH($C$5&amp;"|"&amp;RIGHT("000000"&amp;129,6),CalcRankKey,0),"")</f>
        <v/>
      </c>
    </row>
    <row r="146">
      <c r="A146" s="28">
        <f>IF($B146="","",130)</f>
        <v/>
      </c>
      <c r="B146" s="28">
        <f>IF($P146="","",IF(INDEX(CalcNormDate,$P146)=0,"",INDEX(CalcNormDate,$P146)))</f>
        <v/>
      </c>
      <c r="C146" s="28">
        <f>IF($P146="","",IF(INDEX(CalcTime,$P146)=0,"",INDEX(CalcTime,$P146)))</f>
        <v/>
      </c>
      <c r="D146" s="28">
        <f>IF($P146="","",IF(INDEX(EntryParty,$P146)=0,"",INDEX(EntryParty,$P146)))</f>
        <v/>
      </c>
      <c r="E146" s="28">
        <f>IF($P146="","",IF(INDEX(EntryPartyName,$P146)=0,"",INDEX(EntryPartyName,$P146)))</f>
        <v/>
      </c>
      <c r="F146" s="28">
        <f>IF($P146="","",IF(INDEX(EntryPartyType,$P146)=0,"",INDEX(EntryPartyType,$P146)))</f>
        <v/>
      </c>
      <c r="G146" s="28">
        <f>IF($P146="","",IF(INDEX(EntryTxnType,$P146)=0,"",INDEX(EntryTxnType,$P146)))</f>
        <v/>
      </c>
      <c r="H146" s="29">
        <f>IF($P146="","",IF(INDEX(EntryDep,$P146)=0,"",INDEX(EntryDep,$P146)))</f>
        <v/>
      </c>
      <c r="I146" s="29">
        <f>IF($P146="","",IF(INDEX(EntryWit,$P146)=0,"",INDEX(EntryWit,$P146)))</f>
        <v/>
      </c>
      <c r="J146" s="29">
        <f>IF($B146="","",IF($A146=1,$C$7,IF(J145="",0,J145))+IF($H146="",0,$H146)-IF($I146="",0,$I146))</f>
        <v/>
      </c>
      <c r="K146" s="29">
        <f>IF($P146="","",IF(INDEX(EntryMan,$P146)=0,"",INDEX(EntryMan,$P146)))</f>
        <v/>
      </c>
      <c r="L146" s="28">
        <f>IF($B146="","",IF($K146="","—",IF(ROUND($K146-$J146,0)=0,"√","×")))</f>
        <v/>
      </c>
      <c r="M146" s="28">
        <f>IF($B146="","",IF(COUNTIFS(EntryDates,$B146,CalcTime,$C146,CalcBank,$C$5,EntryParty,$D146,EntryDep,$H146,EntryWit,$I146)&gt;1,"تکرار",""))</f>
        <v/>
      </c>
      <c r="N146" s="28">
        <f>IF($P146="","",IF(INDEX(EntryNotes,$P146)=0,"",INDEX(EntryNotes,$P146)))</f>
        <v/>
      </c>
      <c r="O146" s="28">
        <f>IF($P146="","",IF(INDEX(EntryTxnID,$P146)=0,"",INDEX(EntryTxnID,$P146)))</f>
        <v/>
      </c>
      <c r="P146" s="28">
        <f>IFERROR(MATCH($C$5&amp;"|"&amp;RIGHT("000000"&amp;130,6),CalcRankKey,0),"")</f>
        <v/>
      </c>
    </row>
    <row r="147">
      <c r="A147" s="26">
        <f>IF($B147="","",131)</f>
        <v/>
      </c>
      <c r="B147" s="26">
        <f>IF($P147="","",IF(INDEX(CalcNormDate,$P147)=0,"",INDEX(CalcNormDate,$P147)))</f>
        <v/>
      </c>
      <c r="C147" s="26">
        <f>IF($P147="","",IF(INDEX(CalcTime,$P147)=0,"",INDEX(CalcTime,$P147)))</f>
        <v/>
      </c>
      <c r="D147" s="26">
        <f>IF($P147="","",IF(INDEX(EntryParty,$P147)=0,"",INDEX(EntryParty,$P147)))</f>
        <v/>
      </c>
      <c r="E147" s="26">
        <f>IF($P147="","",IF(INDEX(EntryPartyName,$P147)=0,"",INDEX(EntryPartyName,$P147)))</f>
        <v/>
      </c>
      <c r="F147" s="26">
        <f>IF($P147="","",IF(INDEX(EntryPartyType,$P147)=0,"",INDEX(EntryPartyType,$P147)))</f>
        <v/>
      </c>
      <c r="G147" s="26">
        <f>IF($P147="","",IF(INDEX(EntryTxnType,$P147)=0,"",INDEX(EntryTxnType,$P147)))</f>
        <v/>
      </c>
      <c r="H147" s="27">
        <f>IF($P147="","",IF(INDEX(EntryDep,$P147)=0,"",INDEX(EntryDep,$P147)))</f>
        <v/>
      </c>
      <c r="I147" s="27">
        <f>IF($P147="","",IF(INDEX(EntryWit,$P147)=0,"",INDEX(EntryWit,$P147)))</f>
        <v/>
      </c>
      <c r="J147" s="27">
        <f>IF($B147="","",IF($A147=1,$C$7,IF(J146="",0,J146))+IF($H147="",0,$H147)-IF($I147="",0,$I147))</f>
        <v/>
      </c>
      <c r="K147" s="27">
        <f>IF($P147="","",IF(INDEX(EntryMan,$P147)=0,"",INDEX(EntryMan,$P147)))</f>
        <v/>
      </c>
      <c r="L147" s="26">
        <f>IF($B147="","",IF($K147="","—",IF(ROUND($K147-$J147,0)=0,"√","×")))</f>
        <v/>
      </c>
      <c r="M147" s="26">
        <f>IF($B147="","",IF(COUNTIFS(EntryDates,$B147,CalcTime,$C147,CalcBank,$C$5,EntryParty,$D147,EntryDep,$H147,EntryWit,$I147)&gt;1,"تکرار",""))</f>
        <v/>
      </c>
      <c r="N147" s="26">
        <f>IF($P147="","",IF(INDEX(EntryNotes,$P147)=0,"",INDEX(EntryNotes,$P147)))</f>
        <v/>
      </c>
      <c r="O147" s="26">
        <f>IF($P147="","",IF(INDEX(EntryTxnID,$P147)=0,"",INDEX(EntryTxnID,$P147)))</f>
        <v/>
      </c>
      <c r="P147" s="26">
        <f>IFERROR(MATCH($C$5&amp;"|"&amp;RIGHT("000000"&amp;131,6),CalcRankKey,0),"")</f>
        <v/>
      </c>
    </row>
    <row r="148">
      <c r="A148" s="28">
        <f>IF($B148="","",132)</f>
        <v/>
      </c>
      <c r="B148" s="28">
        <f>IF($P148="","",IF(INDEX(CalcNormDate,$P148)=0,"",INDEX(CalcNormDate,$P148)))</f>
        <v/>
      </c>
      <c r="C148" s="28">
        <f>IF($P148="","",IF(INDEX(CalcTime,$P148)=0,"",INDEX(CalcTime,$P148)))</f>
        <v/>
      </c>
      <c r="D148" s="28">
        <f>IF($P148="","",IF(INDEX(EntryParty,$P148)=0,"",INDEX(EntryParty,$P148)))</f>
        <v/>
      </c>
      <c r="E148" s="28">
        <f>IF($P148="","",IF(INDEX(EntryPartyName,$P148)=0,"",INDEX(EntryPartyName,$P148)))</f>
        <v/>
      </c>
      <c r="F148" s="28">
        <f>IF($P148="","",IF(INDEX(EntryPartyType,$P148)=0,"",INDEX(EntryPartyType,$P148)))</f>
        <v/>
      </c>
      <c r="G148" s="28">
        <f>IF($P148="","",IF(INDEX(EntryTxnType,$P148)=0,"",INDEX(EntryTxnType,$P148)))</f>
        <v/>
      </c>
      <c r="H148" s="29">
        <f>IF($P148="","",IF(INDEX(EntryDep,$P148)=0,"",INDEX(EntryDep,$P148)))</f>
        <v/>
      </c>
      <c r="I148" s="29">
        <f>IF($P148="","",IF(INDEX(EntryWit,$P148)=0,"",INDEX(EntryWit,$P148)))</f>
        <v/>
      </c>
      <c r="J148" s="29">
        <f>IF($B148="","",IF($A148=1,$C$7,IF(J147="",0,J147))+IF($H148="",0,$H148)-IF($I148="",0,$I148))</f>
        <v/>
      </c>
      <c r="K148" s="29">
        <f>IF($P148="","",IF(INDEX(EntryMan,$P148)=0,"",INDEX(EntryMan,$P148)))</f>
        <v/>
      </c>
      <c r="L148" s="28">
        <f>IF($B148="","",IF($K148="","—",IF(ROUND($K148-$J148,0)=0,"√","×")))</f>
        <v/>
      </c>
      <c r="M148" s="28">
        <f>IF($B148="","",IF(COUNTIFS(EntryDates,$B148,CalcTime,$C148,CalcBank,$C$5,EntryParty,$D148,EntryDep,$H148,EntryWit,$I148)&gt;1,"تکرار",""))</f>
        <v/>
      </c>
      <c r="N148" s="28">
        <f>IF($P148="","",IF(INDEX(EntryNotes,$P148)=0,"",INDEX(EntryNotes,$P148)))</f>
        <v/>
      </c>
      <c r="O148" s="28">
        <f>IF($P148="","",IF(INDEX(EntryTxnID,$P148)=0,"",INDEX(EntryTxnID,$P148)))</f>
        <v/>
      </c>
      <c r="P148" s="28">
        <f>IFERROR(MATCH($C$5&amp;"|"&amp;RIGHT("000000"&amp;132,6),CalcRankKey,0),"")</f>
        <v/>
      </c>
    </row>
    <row r="149">
      <c r="A149" s="26">
        <f>IF($B149="","",133)</f>
        <v/>
      </c>
      <c r="B149" s="26">
        <f>IF($P149="","",IF(INDEX(CalcNormDate,$P149)=0,"",INDEX(CalcNormDate,$P149)))</f>
        <v/>
      </c>
      <c r="C149" s="26">
        <f>IF($P149="","",IF(INDEX(CalcTime,$P149)=0,"",INDEX(CalcTime,$P149)))</f>
        <v/>
      </c>
      <c r="D149" s="26">
        <f>IF($P149="","",IF(INDEX(EntryParty,$P149)=0,"",INDEX(EntryParty,$P149)))</f>
        <v/>
      </c>
      <c r="E149" s="26">
        <f>IF($P149="","",IF(INDEX(EntryPartyName,$P149)=0,"",INDEX(EntryPartyName,$P149)))</f>
        <v/>
      </c>
      <c r="F149" s="26">
        <f>IF($P149="","",IF(INDEX(EntryPartyType,$P149)=0,"",INDEX(EntryPartyType,$P149)))</f>
        <v/>
      </c>
      <c r="G149" s="26">
        <f>IF($P149="","",IF(INDEX(EntryTxnType,$P149)=0,"",INDEX(EntryTxnType,$P149)))</f>
        <v/>
      </c>
      <c r="H149" s="27">
        <f>IF($P149="","",IF(INDEX(EntryDep,$P149)=0,"",INDEX(EntryDep,$P149)))</f>
        <v/>
      </c>
      <c r="I149" s="27">
        <f>IF($P149="","",IF(INDEX(EntryWit,$P149)=0,"",INDEX(EntryWit,$P149)))</f>
        <v/>
      </c>
      <c r="J149" s="27">
        <f>IF($B149="","",IF($A149=1,$C$7,IF(J148="",0,J148))+IF($H149="",0,$H149)-IF($I149="",0,$I149))</f>
        <v/>
      </c>
      <c r="K149" s="27">
        <f>IF($P149="","",IF(INDEX(EntryMan,$P149)=0,"",INDEX(EntryMan,$P149)))</f>
        <v/>
      </c>
      <c r="L149" s="26">
        <f>IF($B149="","",IF($K149="","—",IF(ROUND($K149-$J149,0)=0,"√","×")))</f>
        <v/>
      </c>
      <c r="M149" s="26">
        <f>IF($B149="","",IF(COUNTIFS(EntryDates,$B149,CalcTime,$C149,CalcBank,$C$5,EntryParty,$D149,EntryDep,$H149,EntryWit,$I149)&gt;1,"تکرار",""))</f>
        <v/>
      </c>
      <c r="N149" s="26">
        <f>IF($P149="","",IF(INDEX(EntryNotes,$P149)=0,"",INDEX(EntryNotes,$P149)))</f>
        <v/>
      </c>
      <c r="O149" s="26">
        <f>IF($P149="","",IF(INDEX(EntryTxnID,$P149)=0,"",INDEX(EntryTxnID,$P149)))</f>
        <v/>
      </c>
      <c r="P149" s="26">
        <f>IFERROR(MATCH($C$5&amp;"|"&amp;RIGHT("000000"&amp;133,6),CalcRankKey,0),"")</f>
        <v/>
      </c>
    </row>
    <row r="150">
      <c r="A150" s="28">
        <f>IF($B150="","",134)</f>
        <v/>
      </c>
      <c r="B150" s="28">
        <f>IF($P150="","",IF(INDEX(CalcNormDate,$P150)=0,"",INDEX(CalcNormDate,$P150)))</f>
        <v/>
      </c>
      <c r="C150" s="28">
        <f>IF($P150="","",IF(INDEX(CalcTime,$P150)=0,"",INDEX(CalcTime,$P150)))</f>
        <v/>
      </c>
      <c r="D150" s="28">
        <f>IF($P150="","",IF(INDEX(EntryParty,$P150)=0,"",INDEX(EntryParty,$P150)))</f>
        <v/>
      </c>
      <c r="E150" s="28">
        <f>IF($P150="","",IF(INDEX(EntryPartyName,$P150)=0,"",INDEX(EntryPartyName,$P150)))</f>
        <v/>
      </c>
      <c r="F150" s="28">
        <f>IF($P150="","",IF(INDEX(EntryPartyType,$P150)=0,"",INDEX(EntryPartyType,$P150)))</f>
        <v/>
      </c>
      <c r="G150" s="28">
        <f>IF($P150="","",IF(INDEX(EntryTxnType,$P150)=0,"",INDEX(EntryTxnType,$P150)))</f>
        <v/>
      </c>
      <c r="H150" s="29">
        <f>IF($P150="","",IF(INDEX(EntryDep,$P150)=0,"",INDEX(EntryDep,$P150)))</f>
        <v/>
      </c>
      <c r="I150" s="29">
        <f>IF($P150="","",IF(INDEX(EntryWit,$P150)=0,"",INDEX(EntryWit,$P150)))</f>
        <v/>
      </c>
      <c r="J150" s="29">
        <f>IF($B150="","",IF($A150=1,$C$7,IF(J149="",0,J149))+IF($H150="",0,$H150)-IF($I150="",0,$I150))</f>
        <v/>
      </c>
      <c r="K150" s="29">
        <f>IF($P150="","",IF(INDEX(EntryMan,$P150)=0,"",INDEX(EntryMan,$P150)))</f>
        <v/>
      </c>
      <c r="L150" s="28">
        <f>IF($B150="","",IF($K150="","—",IF(ROUND($K150-$J150,0)=0,"√","×")))</f>
        <v/>
      </c>
      <c r="M150" s="28">
        <f>IF($B150="","",IF(COUNTIFS(EntryDates,$B150,CalcTime,$C150,CalcBank,$C$5,EntryParty,$D150,EntryDep,$H150,EntryWit,$I150)&gt;1,"تکرار",""))</f>
        <v/>
      </c>
      <c r="N150" s="28">
        <f>IF($P150="","",IF(INDEX(EntryNotes,$P150)=0,"",INDEX(EntryNotes,$P150)))</f>
        <v/>
      </c>
      <c r="O150" s="28">
        <f>IF($P150="","",IF(INDEX(EntryTxnID,$P150)=0,"",INDEX(EntryTxnID,$P150)))</f>
        <v/>
      </c>
      <c r="P150" s="28">
        <f>IFERROR(MATCH($C$5&amp;"|"&amp;RIGHT("000000"&amp;134,6),CalcRankKey,0),"")</f>
        <v/>
      </c>
    </row>
    <row r="151">
      <c r="A151" s="26">
        <f>IF($B151="","",135)</f>
        <v/>
      </c>
      <c r="B151" s="26">
        <f>IF($P151="","",IF(INDEX(CalcNormDate,$P151)=0,"",INDEX(CalcNormDate,$P151)))</f>
        <v/>
      </c>
      <c r="C151" s="26">
        <f>IF($P151="","",IF(INDEX(CalcTime,$P151)=0,"",INDEX(CalcTime,$P151)))</f>
        <v/>
      </c>
      <c r="D151" s="26">
        <f>IF($P151="","",IF(INDEX(EntryParty,$P151)=0,"",INDEX(EntryParty,$P151)))</f>
        <v/>
      </c>
      <c r="E151" s="26">
        <f>IF($P151="","",IF(INDEX(EntryPartyName,$P151)=0,"",INDEX(EntryPartyName,$P151)))</f>
        <v/>
      </c>
      <c r="F151" s="26">
        <f>IF($P151="","",IF(INDEX(EntryPartyType,$P151)=0,"",INDEX(EntryPartyType,$P151)))</f>
        <v/>
      </c>
      <c r="G151" s="26">
        <f>IF($P151="","",IF(INDEX(EntryTxnType,$P151)=0,"",INDEX(EntryTxnType,$P151)))</f>
        <v/>
      </c>
      <c r="H151" s="27">
        <f>IF($P151="","",IF(INDEX(EntryDep,$P151)=0,"",INDEX(EntryDep,$P151)))</f>
        <v/>
      </c>
      <c r="I151" s="27">
        <f>IF($P151="","",IF(INDEX(EntryWit,$P151)=0,"",INDEX(EntryWit,$P151)))</f>
        <v/>
      </c>
      <c r="J151" s="27">
        <f>IF($B151="","",IF($A151=1,$C$7,IF(J150="",0,J150))+IF($H151="",0,$H151)-IF($I151="",0,$I151))</f>
        <v/>
      </c>
      <c r="K151" s="27">
        <f>IF($P151="","",IF(INDEX(EntryMan,$P151)=0,"",INDEX(EntryMan,$P151)))</f>
        <v/>
      </c>
      <c r="L151" s="26">
        <f>IF($B151="","",IF($K151="","—",IF(ROUND($K151-$J151,0)=0,"√","×")))</f>
        <v/>
      </c>
      <c r="M151" s="26">
        <f>IF($B151="","",IF(COUNTIFS(EntryDates,$B151,CalcTime,$C151,CalcBank,$C$5,EntryParty,$D151,EntryDep,$H151,EntryWit,$I151)&gt;1,"تکرار",""))</f>
        <v/>
      </c>
      <c r="N151" s="26">
        <f>IF($P151="","",IF(INDEX(EntryNotes,$P151)=0,"",INDEX(EntryNotes,$P151)))</f>
        <v/>
      </c>
      <c r="O151" s="26">
        <f>IF($P151="","",IF(INDEX(EntryTxnID,$P151)=0,"",INDEX(EntryTxnID,$P151)))</f>
        <v/>
      </c>
      <c r="P151" s="26">
        <f>IFERROR(MATCH($C$5&amp;"|"&amp;RIGHT("000000"&amp;135,6),CalcRankKey,0),"")</f>
        <v/>
      </c>
    </row>
    <row r="152">
      <c r="A152" s="28">
        <f>IF($B152="","",136)</f>
        <v/>
      </c>
      <c r="B152" s="28">
        <f>IF($P152="","",IF(INDEX(CalcNormDate,$P152)=0,"",INDEX(CalcNormDate,$P152)))</f>
        <v/>
      </c>
      <c r="C152" s="28">
        <f>IF($P152="","",IF(INDEX(CalcTime,$P152)=0,"",INDEX(CalcTime,$P152)))</f>
        <v/>
      </c>
      <c r="D152" s="28">
        <f>IF($P152="","",IF(INDEX(EntryParty,$P152)=0,"",INDEX(EntryParty,$P152)))</f>
        <v/>
      </c>
      <c r="E152" s="28">
        <f>IF($P152="","",IF(INDEX(EntryPartyName,$P152)=0,"",INDEX(EntryPartyName,$P152)))</f>
        <v/>
      </c>
      <c r="F152" s="28">
        <f>IF($P152="","",IF(INDEX(EntryPartyType,$P152)=0,"",INDEX(EntryPartyType,$P152)))</f>
        <v/>
      </c>
      <c r="G152" s="28">
        <f>IF($P152="","",IF(INDEX(EntryTxnType,$P152)=0,"",INDEX(EntryTxnType,$P152)))</f>
        <v/>
      </c>
      <c r="H152" s="29">
        <f>IF($P152="","",IF(INDEX(EntryDep,$P152)=0,"",INDEX(EntryDep,$P152)))</f>
        <v/>
      </c>
      <c r="I152" s="29">
        <f>IF($P152="","",IF(INDEX(EntryWit,$P152)=0,"",INDEX(EntryWit,$P152)))</f>
        <v/>
      </c>
      <c r="J152" s="29">
        <f>IF($B152="","",IF($A152=1,$C$7,IF(J151="",0,J151))+IF($H152="",0,$H152)-IF($I152="",0,$I152))</f>
        <v/>
      </c>
      <c r="K152" s="29">
        <f>IF($P152="","",IF(INDEX(EntryMan,$P152)=0,"",INDEX(EntryMan,$P152)))</f>
        <v/>
      </c>
      <c r="L152" s="28">
        <f>IF($B152="","",IF($K152="","—",IF(ROUND($K152-$J152,0)=0,"√","×")))</f>
        <v/>
      </c>
      <c r="M152" s="28">
        <f>IF($B152="","",IF(COUNTIFS(EntryDates,$B152,CalcTime,$C152,CalcBank,$C$5,EntryParty,$D152,EntryDep,$H152,EntryWit,$I152)&gt;1,"تکرار",""))</f>
        <v/>
      </c>
      <c r="N152" s="28">
        <f>IF($P152="","",IF(INDEX(EntryNotes,$P152)=0,"",INDEX(EntryNotes,$P152)))</f>
        <v/>
      </c>
      <c r="O152" s="28">
        <f>IF($P152="","",IF(INDEX(EntryTxnID,$P152)=0,"",INDEX(EntryTxnID,$P152)))</f>
        <v/>
      </c>
      <c r="P152" s="28">
        <f>IFERROR(MATCH($C$5&amp;"|"&amp;RIGHT("000000"&amp;136,6),CalcRankKey,0),"")</f>
        <v/>
      </c>
    </row>
    <row r="153">
      <c r="A153" s="26">
        <f>IF($B153="","",137)</f>
        <v/>
      </c>
      <c r="B153" s="26">
        <f>IF($P153="","",IF(INDEX(CalcNormDate,$P153)=0,"",INDEX(CalcNormDate,$P153)))</f>
        <v/>
      </c>
      <c r="C153" s="26">
        <f>IF($P153="","",IF(INDEX(CalcTime,$P153)=0,"",INDEX(CalcTime,$P153)))</f>
        <v/>
      </c>
      <c r="D153" s="26">
        <f>IF($P153="","",IF(INDEX(EntryParty,$P153)=0,"",INDEX(EntryParty,$P153)))</f>
        <v/>
      </c>
      <c r="E153" s="26">
        <f>IF($P153="","",IF(INDEX(EntryPartyName,$P153)=0,"",INDEX(EntryPartyName,$P153)))</f>
        <v/>
      </c>
      <c r="F153" s="26">
        <f>IF($P153="","",IF(INDEX(EntryPartyType,$P153)=0,"",INDEX(EntryPartyType,$P153)))</f>
        <v/>
      </c>
      <c r="G153" s="26">
        <f>IF($P153="","",IF(INDEX(EntryTxnType,$P153)=0,"",INDEX(EntryTxnType,$P153)))</f>
        <v/>
      </c>
      <c r="H153" s="27">
        <f>IF($P153="","",IF(INDEX(EntryDep,$P153)=0,"",INDEX(EntryDep,$P153)))</f>
        <v/>
      </c>
      <c r="I153" s="27">
        <f>IF($P153="","",IF(INDEX(EntryWit,$P153)=0,"",INDEX(EntryWit,$P153)))</f>
        <v/>
      </c>
      <c r="J153" s="27">
        <f>IF($B153="","",IF($A153=1,$C$7,IF(J152="",0,J152))+IF($H153="",0,$H153)-IF($I153="",0,$I153))</f>
        <v/>
      </c>
      <c r="K153" s="27">
        <f>IF($P153="","",IF(INDEX(EntryMan,$P153)=0,"",INDEX(EntryMan,$P153)))</f>
        <v/>
      </c>
      <c r="L153" s="26">
        <f>IF($B153="","",IF($K153="","—",IF(ROUND($K153-$J153,0)=0,"√","×")))</f>
        <v/>
      </c>
      <c r="M153" s="26">
        <f>IF($B153="","",IF(COUNTIFS(EntryDates,$B153,CalcTime,$C153,CalcBank,$C$5,EntryParty,$D153,EntryDep,$H153,EntryWit,$I153)&gt;1,"تکرار",""))</f>
        <v/>
      </c>
      <c r="N153" s="26">
        <f>IF($P153="","",IF(INDEX(EntryNotes,$P153)=0,"",INDEX(EntryNotes,$P153)))</f>
        <v/>
      </c>
      <c r="O153" s="26">
        <f>IF($P153="","",IF(INDEX(EntryTxnID,$P153)=0,"",INDEX(EntryTxnID,$P153)))</f>
        <v/>
      </c>
      <c r="P153" s="26">
        <f>IFERROR(MATCH($C$5&amp;"|"&amp;RIGHT("000000"&amp;137,6),CalcRankKey,0),"")</f>
        <v/>
      </c>
    </row>
    <row r="154">
      <c r="A154" s="28">
        <f>IF($B154="","",138)</f>
        <v/>
      </c>
      <c r="B154" s="28">
        <f>IF($P154="","",IF(INDEX(CalcNormDate,$P154)=0,"",INDEX(CalcNormDate,$P154)))</f>
        <v/>
      </c>
      <c r="C154" s="28">
        <f>IF($P154="","",IF(INDEX(CalcTime,$P154)=0,"",INDEX(CalcTime,$P154)))</f>
        <v/>
      </c>
      <c r="D154" s="28">
        <f>IF($P154="","",IF(INDEX(EntryParty,$P154)=0,"",INDEX(EntryParty,$P154)))</f>
        <v/>
      </c>
      <c r="E154" s="28">
        <f>IF($P154="","",IF(INDEX(EntryPartyName,$P154)=0,"",INDEX(EntryPartyName,$P154)))</f>
        <v/>
      </c>
      <c r="F154" s="28">
        <f>IF($P154="","",IF(INDEX(EntryPartyType,$P154)=0,"",INDEX(EntryPartyType,$P154)))</f>
        <v/>
      </c>
      <c r="G154" s="28">
        <f>IF($P154="","",IF(INDEX(EntryTxnType,$P154)=0,"",INDEX(EntryTxnType,$P154)))</f>
        <v/>
      </c>
      <c r="H154" s="29">
        <f>IF($P154="","",IF(INDEX(EntryDep,$P154)=0,"",INDEX(EntryDep,$P154)))</f>
        <v/>
      </c>
      <c r="I154" s="29">
        <f>IF($P154="","",IF(INDEX(EntryWit,$P154)=0,"",INDEX(EntryWit,$P154)))</f>
        <v/>
      </c>
      <c r="J154" s="29">
        <f>IF($B154="","",IF($A154=1,$C$7,IF(J153="",0,J153))+IF($H154="",0,$H154)-IF($I154="",0,$I154))</f>
        <v/>
      </c>
      <c r="K154" s="29">
        <f>IF($P154="","",IF(INDEX(EntryMan,$P154)=0,"",INDEX(EntryMan,$P154)))</f>
        <v/>
      </c>
      <c r="L154" s="28">
        <f>IF($B154="","",IF($K154="","—",IF(ROUND($K154-$J154,0)=0,"√","×")))</f>
        <v/>
      </c>
      <c r="M154" s="28">
        <f>IF($B154="","",IF(COUNTIFS(EntryDates,$B154,CalcTime,$C154,CalcBank,$C$5,EntryParty,$D154,EntryDep,$H154,EntryWit,$I154)&gt;1,"تکرار",""))</f>
        <v/>
      </c>
      <c r="N154" s="28">
        <f>IF($P154="","",IF(INDEX(EntryNotes,$P154)=0,"",INDEX(EntryNotes,$P154)))</f>
        <v/>
      </c>
      <c r="O154" s="28">
        <f>IF($P154="","",IF(INDEX(EntryTxnID,$P154)=0,"",INDEX(EntryTxnID,$P154)))</f>
        <v/>
      </c>
      <c r="P154" s="28">
        <f>IFERROR(MATCH($C$5&amp;"|"&amp;RIGHT("000000"&amp;138,6),CalcRankKey,0),"")</f>
        <v/>
      </c>
    </row>
    <row r="155">
      <c r="A155" s="26">
        <f>IF($B155="","",139)</f>
        <v/>
      </c>
      <c r="B155" s="26">
        <f>IF($P155="","",IF(INDEX(CalcNormDate,$P155)=0,"",INDEX(CalcNormDate,$P155)))</f>
        <v/>
      </c>
      <c r="C155" s="26">
        <f>IF($P155="","",IF(INDEX(CalcTime,$P155)=0,"",INDEX(CalcTime,$P155)))</f>
        <v/>
      </c>
      <c r="D155" s="26">
        <f>IF($P155="","",IF(INDEX(EntryParty,$P155)=0,"",INDEX(EntryParty,$P155)))</f>
        <v/>
      </c>
      <c r="E155" s="26">
        <f>IF($P155="","",IF(INDEX(EntryPartyName,$P155)=0,"",INDEX(EntryPartyName,$P155)))</f>
        <v/>
      </c>
      <c r="F155" s="26">
        <f>IF($P155="","",IF(INDEX(EntryPartyType,$P155)=0,"",INDEX(EntryPartyType,$P155)))</f>
        <v/>
      </c>
      <c r="G155" s="26">
        <f>IF($P155="","",IF(INDEX(EntryTxnType,$P155)=0,"",INDEX(EntryTxnType,$P155)))</f>
        <v/>
      </c>
      <c r="H155" s="27">
        <f>IF($P155="","",IF(INDEX(EntryDep,$P155)=0,"",INDEX(EntryDep,$P155)))</f>
        <v/>
      </c>
      <c r="I155" s="27">
        <f>IF($P155="","",IF(INDEX(EntryWit,$P155)=0,"",INDEX(EntryWit,$P155)))</f>
        <v/>
      </c>
      <c r="J155" s="27">
        <f>IF($B155="","",IF($A155=1,$C$7,IF(J154="",0,J154))+IF($H155="",0,$H155)-IF($I155="",0,$I155))</f>
        <v/>
      </c>
      <c r="K155" s="27">
        <f>IF($P155="","",IF(INDEX(EntryMan,$P155)=0,"",INDEX(EntryMan,$P155)))</f>
        <v/>
      </c>
      <c r="L155" s="26">
        <f>IF($B155="","",IF($K155="","—",IF(ROUND($K155-$J155,0)=0,"√","×")))</f>
        <v/>
      </c>
      <c r="M155" s="26">
        <f>IF($B155="","",IF(COUNTIFS(EntryDates,$B155,CalcTime,$C155,CalcBank,$C$5,EntryParty,$D155,EntryDep,$H155,EntryWit,$I155)&gt;1,"تکرار",""))</f>
        <v/>
      </c>
      <c r="N155" s="26">
        <f>IF($P155="","",IF(INDEX(EntryNotes,$P155)=0,"",INDEX(EntryNotes,$P155)))</f>
        <v/>
      </c>
      <c r="O155" s="26">
        <f>IF($P155="","",IF(INDEX(EntryTxnID,$P155)=0,"",INDEX(EntryTxnID,$P155)))</f>
        <v/>
      </c>
      <c r="P155" s="26">
        <f>IFERROR(MATCH($C$5&amp;"|"&amp;RIGHT("000000"&amp;139,6),CalcRankKey,0),"")</f>
        <v/>
      </c>
    </row>
    <row r="156">
      <c r="A156" s="28">
        <f>IF($B156="","",140)</f>
        <v/>
      </c>
      <c r="B156" s="28">
        <f>IF($P156="","",IF(INDEX(CalcNormDate,$P156)=0,"",INDEX(CalcNormDate,$P156)))</f>
        <v/>
      </c>
      <c r="C156" s="28">
        <f>IF($P156="","",IF(INDEX(CalcTime,$P156)=0,"",INDEX(CalcTime,$P156)))</f>
        <v/>
      </c>
      <c r="D156" s="28">
        <f>IF($P156="","",IF(INDEX(EntryParty,$P156)=0,"",INDEX(EntryParty,$P156)))</f>
        <v/>
      </c>
      <c r="E156" s="28">
        <f>IF($P156="","",IF(INDEX(EntryPartyName,$P156)=0,"",INDEX(EntryPartyName,$P156)))</f>
        <v/>
      </c>
      <c r="F156" s="28">
        <f>IF($P156="","",IF(INDEX(EntryPartyType,$P156)=0,"",INDEX(EntryPartyType,$P156)))</f>
        <v/>
      </c>
      <c r="G156" s="28">
        <f>IF($P156="","",IF(INDEX(EntryTxnType,$P156)=0,"",INDEX(EntryTxnType,$P156)))</f>
        <v/>
      </c>
      <c r="H156" s="29">
        <f>IF($P156="","",IF(INDEX(EntryDep,$P156)=0,"",INDEX(EntryDep,$P156)))</f>
        <v/>
      </c>
      <c r="I156" s="29">
        <f>IF($P156="","",IF(INDEX(EntryWit,$P156)=0,"",INDEX(EntryWit,$P156)))</f>
        <v/>
      </c>
      <c r="J156" s="29">
        <f>IF($B156="","",IF($A156=1,$C$7,IF(J155="",0,J155))+IF($H156="",0,$H156)-IF($I156="",0,$I156))</f>
        <v/>
      </c>
      <c r="K156" s="29">
        <f>IF($P156="","",IF(INDEX(EntryMan,$P156)=0,"",INDEX(EntryMan,$P156)))</f>
        <v/>
      </c>
      <c r="L156" s="28">
        <f>IF($B156="","",IF($K156="","—",IF(ROUND($K156-$J156,0)=0,"√","×")))</f>
        <v/>
      </c>
      <c r="M156" s="28">
        <f>IF($B156="","",IF(COUNTIFS(EntryDates,$B156,CalcTime,$C156,CalcBank,$C$5,EntryParty,$D156,EntryDep,$H156,EntryWit,$I156)&gt;1,"تکرار",""))</f>
        <v/>
      </c>
      <c r="N156" s="28">
        <f>IF($P156="","",IF(INDEX(EntryNotes,$P156)=0,"",INDEX(EntryNotes,$P156)))</f>
        <v/>
      </c>
      <c r="O156" s="28">
        <f>IF($P156="","",IF(INDEX(EntryTxnID,$P156)=0,"",INDEX(EntryTxnID,$P156)))</f>
        <v/>
      </c>
      <c r="P156" s="28">
        <f>IFERROR(MATCH($C$5&amp;"|"&amp;RIGHT("000000"&amp;140,6),CalcRankKey,0),"")</f>
        <v/>
      </c>
    </row>
    <row r="157">
      <c r="A157" s="26">
        <f>IF($B157="","",141)</f>
        <v/>
      </c>
      <c r="B157" s="26">
        <f>IF($P157="","",IF(INDEX(CalcNormDate,$P157)=0,"",INDEX(CalcNormDate,$P157)))</f>
        <v/>
      </c>
      <c r="C157" s="26">
        <f>IF($P157="","",IF(INDEX(CalcTime,$P157)=0,"",INDEX(CalcTime,$P157)))</f>
        <v/>
      </c>
      <c r="D157" s="26">
        <f>IF($P157="","",IF(INDEX(EntryParty,$P157)=0,"",INDEX(EntryParty,$P157)))</f>
        <v/>
      </c>
      <c r="E157" s="26">
        <f>IF($P157="","",IF(INDEX(EntryPartyName,$P157)=0,"",INDEX(EntryPartyName,$P157)))</f>
        <v/>
      </c>
      <c r="F157" s="26">
        <f>IF($P157="","",IF(INDEX(EntryPartyType,$P157)=0,"",INDEX(EntryPartyType,$P157)))</f>
        <v/>
      </c>
      <c r="G157" s="26">
        <f>IF($P157="","",IF(INDEX(EntryTxnType,$P157)=0,"",INDEX(EntryTxnType,$P157)))</f>
        <v/>
      </c>
      <c r="H157" s="27">
        <f>IF($P157="","",IF(INDEX(EntryDep,$P157)=0,"",INDEX(EntryDep,$P157)))</f>
        <v/>
      </c>
      <c r="I157" s="27">
        <f>IF($P157="","",IF(INDEX(EntryWit,$P157)=0,"",INDEX(EntryWit,$P157)))</f>
        <v/>
      </c>
      <c r="J157" s="27">
        <f>IF($B157="","",IF($A157=1,$C$7,IF(J156="",0,J156))+IF($H157="",0,$H157)-IF($I157="",0,$I157))</f>
        <v/>
      </c>
      <c r="K157" s="27">
        <f>IF($P157="","",IF(INDEX(EntryMan,$P157)=0,"",INDEX(EntryMan,$P157)))</f>
        <v/>
      </c>
      <c r="L157" s="26">
        <f>IF($B157="","",IF($K157="","—",IF(ROUND($K157-$J157,0)=0,"√","×")))</f>
        <v/>
      </c>
      <c r="M157" s="26">
        <f>IF($B157="","",IF(COUNTIFS(EntryDates,$B157,CalcTime,$C157,CalcBank,$C$5,EntryParty,$D157,EntryDep,$H157,EntryWit,$I157)&gt;1,"تکرار",""))</f>
        <v/>
      </c>
      <c r="N157" s="26">
        <f>IF($P157="","",IF(INDEX(EntryNotes,$P157)=0,"",INDEX(EntryNotes,$P157)))</f>
        <v/>
      </c>
      <c r="O157" s="26">
        <f>IF($P157="","",IF(INDEX(EntryTxnID,$P157)=0,"",INDEX(EntryTxnID,$P157)))</f>
        <v/>
      </c>
      <c r="P157" s="26">
        <f>IFERROR(MATCH($C$5&amp;"|"&amp;RIGHT("000000"&amp;141,6),CalcRankKey,0),"")</f>
        <v/>
      </c>
    </row>
    <row r="158">
      <c r="A158" s="28">
        <f>IF($B158="","",142)</f>
        <v/>
      </c>
      <c r="B158" s="28">
        <f>IF($P158="","",IF(INDEX(CalcNormDate,$P158)=0,"",INDEX(CalcNormDate,$P158)))</f>
        <v/>
      </c>
      <c r="C158" s="28">
        <f>IF($P158="","",IF(INDEX(CalcTime,$P158)=0,"",INDEX(CalcTime,$P158)))</f>
        <v/>
      </c>
      <c r="D158" s="28">
        <f>IF($P158="","",IF(INDEX(EntryParty,$P158)=0,"",INDEX(EntryParty,$P158)))</f>
        <v/>
      </c>
      <c r="E158" s="28">
        <f>IF($P158="","",IF(INDEX(EntryPartyName,$P158)=0,"",INDEX(EntryPartyName,$P158)))</f>
        <v/>
      </c>
      <c r="F158" s="28">
        <f>IF($P158="","",IF(INDEX(EntryPartyType,$P158)=0,"",INDEX(EntryPartyType,$P158)))</f>
        <v/>
      </c>
      <c r="G158" s="28">
        <f>IF($P158="","",IF(INDEX(EntryTxnType,$P158)=0,"",INDEX(EntryTxnType,$P158)))</f>
        <v/>
      </c>
      <c r="H158" s="29">
        <f>IF($P158="","",IF(INDEX(EntryDep,$P158)=0,"",INDEX(EntryDep,$P158)))</f>
        <v/>
      </c>
      <c r="I158" s="29">
        <f>IF($P158="","",IF(INDEX(EntryWit,$P158)=0,"",INDEX(EntryWit,$P158)))</f>
        <v/>
      </c>
      <c r="J158" s="29">
        <f>IF($B158="","",IF($A158=1,$C$7,IF(J157="",0,J157))+IF($H158="",0,$H158)-IF($I158="",0,$I158))</f>
        <v/>
      </c>
      <c r="K158" s="29">
        <f>IF($P158="","",IF(INDEX(EntryMan,$P158)=0,"",INDEX(EntryMan,$P158)))</f>
        <v/>
      </c>
      <c r="L158" s="28">
        <f>IF($B158="","",IF($K158="","—",IF(ROUND($K158-$J158,0)=0,"√","×")))</f>
        <v/>
      </c>
      <c r="M158" s="28">
        <f>IF($B158="","",IF(COUNTIFS(EntryDates,$B158,CalcTime,$C158,CalcBank,$C$5,EntryParty,$D158,EntryDep,$H158,EntryWit,$I158)&gt;1,"تکرار",""))</f>
        <v/>
      </c>
      <c r="N158" s="28">
        <f>IF($P158="","",IF(INDEX(EntryNotes,$P158)=0,"",INDEX(EntryNotes,$P158)))</f>
        <v/>
      </c>
      <c r="O158" s="28">
        <f>IF($P158="","",IF(INDEX(EntryTxnID,$P158)=0,"",INDEX(EntryTxnID,$P158)))</f>
        <v/>
      </c>
      <c r="P158" s="28">
        <f>IFERROR(MATCH($C$5&amp;"|"&amp;RIGHT("000000"&amp;142,6),CalcRankKey,0),"")</f>
        <v/>
      </c>
    </row>
    <row r="159">
      <c r="A159" s="26">
        <f>IF($B159="","",143)</f>
        <v/>
      </c>
      <c r="B159" s="26">
        <f>IF($P159="","",IF(INDEX(CalcNormDate,$P159)=0,"",INDEX(CalcNormDate,$P159)))</f>
        <v/>
      </c>
      <c r="C159" s="26">
        <f>IF($P159="","",IF(INDEX(CalcTime,$P159)=0,"",INDEX(CalcTime,$P159)))</f>
        <v/>
      </c>
      <c r="D159" s="26">
        <f>IF($P159="","",IF(INDEX(EntryParty,$P159)=0,"",INDEX(EntryParty,$P159)))</f>
        <v/>
      </c>
      <c r="E159" s="26">
        <f>IF($P159="","",IF(INDEX(EntryPartyName,$P159)=0,"",INDEX(EntryPartyName,$P159)))</f>
        <v/>
      </c>
      <c r="F159" s="26">
        <f>IF($P159="","",IF(INDEX(EntryPartyType,$P159)=0,"",INDEX(EntryPartyType,$P159)))</f>
        <v/>
      </c>
      <c r="G159" s="26">
        <f>IF($P159="","",IF(INDEX(EntryTxnType,$P159)=0,"",INDEX(EntryTxnType,$P159)))</f>
        <v/>
      </c>
      <c r="H159" s="27">
        <f>IF($P159="","",IF(INDEX(EntryDep,$P159)=0,"",INDEX(EntryDep,$P159)))</f>
        <v/>
      </c>
      <c r="I159" s="27">
        <f>IF($P159="","",IF(INDEX(EntryWit,$P159)=0,"",INDEX(EntryWit,$P159)))</f>
        <v/>
      </c>
      <c r="J159" s="27">
        <f>IF($B159="","",IF($A159=1,$C$7,IF(J158="",0,J158))+IF($H159="",0,$H159)-IF($I159="",0,$I159))</f>
        <v/>
      </c>
      <c r="K159" s="27">
        <f>IF($P159="","",IF(INDEX(EntryMan,$P159)=0,"",INDEX(EntryMan,$P159)))</f>
        <v/>
      </c>
      <c r="L159" s="26">
        <f>IF($B159="","",IF($K159="","—",IF(ROUND($K159-$J159,0)=0,"√","×")))</f>
        <v/>
      </c>
      <c r="M159" s="26">
        <f>IF($B159="","",IF(COUNTIFS(EntryDates,$B159,CalcTime,$C159,CalcBank,$C$5,EntryParty,$D159,EntryDep,$H159,EntryWit,$I159)&gt;1,"تکرار",""))</f>
        <v/>
      </c>
      <c r="N159" s="26">
        <f>IF($P159="","",IF(INDEX(EntryNotes,$P159)=0,"",INDEX(EntryNotes,$P159)))</f>
        <v/>
      </c>
      <c r="O159" s="26">
        <f>IF($P159="","",IF(INDEX(EntryTxnID,$P159)=0,"",INDEX(EntryTxnID,$P159)))</f>
        <v/>
      </c>
      <c r="P159" s="26">
        <f>IFERROR(MATCH($C$5&amp;"|"&amp;RIGHT("000000"&amp;143,6),CalcRankKey,0),"")</f>
        <v/>
      </c>
    </row>
    <row r="160">
      <c r="A160" s="28">
        <f>IF($B160="","",144)</f>
        <v/>
      </c>
      <c r="B160" s="28">
        <f>IF($P160="","",IF(INDEX(CalcNormDate,$P160)=0,"",INDEX(CalcNormDate,$P160)))</f>
        <v/>
      </c>
      <c r="C160" s="28">
        <f>IF($P160="","",IF(INDEX(CalcTime,$P160)=0,"",INDEX(CalcTime,$P160)))</f>
        <v/>
      </c>
      <c r="D160" s="28">
        <f>IF($P160="","",IF(INDEX(EntryParty,$P160)=0,"",INDEX(EntryParty,$P160)))</f>
        <v/>
      </c>
      <c r="E160" s="28">
        <f>IF($P160="","",IF(INDEX(EntryPartyName,$P160)=0,"",INDEX(EntryPartyName,$P160)))</f>
        <v/>
      </c>
      <c r="F160" s="28">
        <f>IF($P160="","",IF(INDEX(EntryPartyType,$P160)=0,"",INDEX(EntryPartyType,$P160)))</f>
        <v/>
      </c>
      <c r="G160" s="28">
        <f>IF($P160="","",IF(INDEX(EntryTxnType,$P160)=0,"",INDEX(EntryTxnType,$P160)))</f>
        <v/>
      </c>
      <c r="H160" s="29">
        <f>IF($P160="","",IF(INDEX(EntryDep,$P160)=0,"",INDEX(EntryDep,$P160)))</f>
        <v/>
      </c>
      <c r="I160" s="29">
        <f>IF($P160="","",IF(INDEX(EntryWit,$P160)=0,"",INDEX(EntryWit,$P160)))</f>
        <v/>
      </c>
      <c r="J160" s="29">
        <f>IF($B160="","",IF($A160=1,$C$7,IF(J159="",0,J159))+IF($H160="",0,$H160)-IF($I160="",0,$I160))</f>
        <v/>
      </c>
      <c r="K160" s="29">
        <f>IF($P160="","",IF(INDEX(EntryMan,$P160)=0,"",INDEX(EntryMan,$P160)))</f>
        <v/>
      </c>
      <c r="L160" s="28">
        <f>IF($B160="","",IF($K160="","—",IF(ROUND($K160-$J160,0)=0,"√","×")))</f>
        <v/>
      </c>
      <c r="M160" s="28">
        <f>IF($B160="","",IF(COUNTIFS(EntryDates,$B160,CalcTime,$C160,CalcBank,$C$5,EntryParty,$D160,EntryDep,$H160,EntryWit,$I160)&gt;1,"تکرار",""))</f>
        <v/>
      </c>
      <c r="N160" s="28">
        <f>IF($P160="","",IF(INDEX(EntryNotes,$P160)=0,"",INDEX(EntryNotes,$P160)))</f>
        <v/>
      </c>
      <c r="O160" s="28">
        <f>IF($P160="","",IF(INDEX(EntryTxnID,$P160)=0,"",INDEX(EntryTxnID,$P160)))</f>
        <v/>
      </c>
      <c r="P160" s="28">
        <f>IFERROR(MATCH($C$5&amp;"|"&amp;RIGHT("000000"&amp;144,6),CalcRankKey,0),"")</f>
        <v/>
      </c>
    </row>
    <row r="161">
      <c r="A161" s="26">
        <f>IF($B161="","",145)</f>
        <v/>
      </c>
      <c r="B161" s="26">
        <f>IF($P161="","",IF(INDEX(CalcNormDate,$P161)=0,"",INDEX(CalcNormDate,$P161)))</f>
        <v/>
      </c>
      <c r="C161" s="26">
        <f>IF($P161="","",IF(INDEX(CalcTime,$P161)=0,"",INDEX(CalcTime,$P161)))</f>
        <v/>
      </c>
      <c r="D161" s="26">
        <f>IF($P161="","",IF(INDEX(EntryParty,$P161)=0,"",INDEX(EntryParty,$P161)))</f>
        <v/>
      </c>
      <c r="E161" s="26">
        <f>IF($P161="","",IF(INDEX(EntryPartyName,$P161)=0,"",INDEX(EntryPartyName,$P161)))</f>
        <v/>
      </c>
      <c r="F161" s="26">
        <f>IF($P161="","",IF(INDEX(EntryPartyType,$P161)=0,"",INDEX(EntryPartyType,$P161)))</f>
        <v/>
      </c>
      <c r="G161" s="26">
        <f>IF($P161="","",IF(INDEX(EntryTxnType,$P161)=0,"",INDEX(EntryTxnType,$P161)))</f>
        <v/>
      </c>
      <c r="H161" s="27">
        <f>IF($P161="","",IF(INDEX(EntryDep,$P161)=0,"",INDEX(EntryDep,$P161)))</f>
        <v/>
      </c>
      <c r="I161" s="27">
        <f>IF($P161="","",IF(INDEX(EntryWit,$P161)=0,"",INDEX(EntryWit,$P161)))</f>
        <v/>
      </c>
      <c r="J161" s="27">
        <f>IF($B161="","",IF($A161=1,$C$7,IF(J160="",0,J160))+IF($H161="",0,$H161)-IF($I161="",0,$I161))</f>
        <v/>
      </c>
      <c r="K161" s="27">
        <f>IF($P161="","",IF(INDEX(EntryMan,$P161)=0,"",INDEX(EntryMan,$P161)))</f>
        <v/>
      </c>
      <c r="L161" s="26">
        <f>IF($B161="","",IF($K161="","—",IF(ROUND($K161-$J161,0)=0,"√","×")))</f>
        <v/>
      </c>
      <c r="M161" s="26">
        <f>IF($B161="","",IF(COUNTIFS(EntryDates,$B161,CalcTime,$C161,CalcBank,$C$5,EntryParty,$D161,EntryDep,$H161,EntryWit,$I161)&gt;1,"تکرار",""))</f>
        <v/>
      </c>
      <c r="N161" s="26">
        <f>IF($P161="","",IF(INDEX(EntryNotes,$P161)=0,"",INDEX(EntryNotes,$P161)))</f>
        <v/>
      </c>
      <c r="O161" s="26">
        <f>IF($P161="","",IF(INDEX(EntryTxnID,$P161)=0,"",INDEX(EntryTxnID,$P161)))</f>
        <v/>
      </c>
      <c r="P161" s="26">
        <f>IFERROR(MATCH($C$5&amp;"|"&amp;RIGHT("000000"&amp;145,6),CalcRankKey,0),"")</f>
        <v/>
      </c>
    </row>
    <row r="162">
      <c r="A162" s="28">
        <f>IF($B162="","",146)</f>
        <v/>
      </c>
      <c r="B162" s="28">
        <f>IF($P162="","",IF(INDEX(CalcNormDate,$P162)=0,"",INDEX(CalcNormDate,$P162)))</f>
        <v/>
      </c>
      <c r="C162" s="28">
        <f>IF($P162="","",IF(INDEX(CalcTime,$P162)=0,"",INDEX(CalcTime,$P162)))</f>
        <v/>
      </c>
      <c r="D162" s="28">
        <f>IF($P162="","",IF(INDEX(EntryParty,$P162)=0,"",INDEX(EntryParty,$P162)))</f>
        <v/>
      </c>
      <c r="E162" s="28">
        <f>IF($P162="","",IF(INDEX(EntryPartyName,$P162)=0,"",INDEX(EntryPartyName,$P162)))</f>
        <v/>
      </c>
      <c r="F162" s="28">
        <f>IF($P162="","",IF(INDEX(EntryPartyType,$P162)=0,"",INDEX(EntryPartyType,$P162)))</f>
        <v/>
      </c>
      <c r="G162" s="28">
        <f>IF($P162="","",IF(INDEX(EntryTxnType,$P162)=0,"",INDEX(EntryTxnType,$P162)))</f>
        <v/>
      </c>
      <c r="H162" s="29">
        <f>IF($P162="","",IF(INDEX(EntryDep,$P162)=0,"",INDEX(EntryDep,$P162)))</f>
        <v/>
      </c>
      <c r="I162" s="29">
        <f>IF($P162="","",IF(INDEX(EntryWit,$P162)=0,"",INDEX(EntryWit,$P162)))</f>
        <v/>
      </c>
      <c r="J162" s="29">
        <f>IF($B162="","",IF($A162=1,$C$7,IF(J161="",0,J161))+IF($H162="",0,$H162)-IF($I162="",0,$I162))</f>
        <v/>
      </c>
      <c r="K162" s="29">
        <f>IF($P162="","",IF(INDEX(EntryMan,$P162)=0,"",INDEX(EntryMan,$P162)))</f>
        <v/>
      </c>
      <c r="L162" s="28">
        <f>IF($B162="","",IF($K162="","—",IF(ROUND($K162-$J162,0)=0,"√","×")))</f>
        <v/>
      </c>
      <c r="M162" s="28">
        <f>IF($B162="","",IF(COUNTIFS(EntryDates,$B162,CalcTime,$C162,CalcBank,$C$5,EntryParty,$D162,EntryDep,$H162,EntryWit,$I162)&gt;1,"تکرار",""))</f>
        <v/>
      </c>
      <c r="N162" s="28">
        <f>IF($P162="","",IF(INDEX(EntryNotes,$P162)=0,"",INDEX(EntryNotes,$P162)))</f>
        <v/>
      </c>
      <c r="O162" s="28">
        <f>IF($P162="","",IF(INDEX(EntryTxnID,$P162)=0,"",INDEX(EntryTxnID,$P162)))</f>
        <v/>
      </c>
      <c r="P162" s="28">
        <f>IFERROR(MATCH($C$5&amp;"|"&amp;RIGHT("000000"&amp;146,6),CalcRankKey,0),"")</f>
        <v/>
      </c>
    </row>
    <row r="163">
      <c r="A163" s="26">
        <f>IF($B163="","",147)</f>
        <v/>
      </c>
      <c r="B163" s="26">
        <f>IF($P163="","",IF(INDEX(CalcNormDate,$P163)=0,"",INDEX(CalcNormDate,$P163)))</f>
        <v/>
      </c>
      <c r="C163" s="26">
        <f>IF($P163="","",IF(INDEX(CalcTime,$P163)=0,"",INDEX(CalcTime,$P163)))</f>
        <v/>
      </c>
      <c r="D163" s="26">
        <f>IF($P163="","",IF(INDEX(EntryParty,$P163)=0,"",INDEX(EntryParty,$P163)))</f>
        <v/>
      </c>
      <c r="E163" s="26">
        <f>IF($P163="","",IF(INDEX(EntryPartyName,$P163)=0,"",INDEX(EntryPartyName,$P163)))</f>
        <v/>
      </c>
      <c r="F163" s="26">
        <f>IF($P163="","",IF(INDEX(EntryPartyType,$P163)=0,"",INDEX(EntryPartyType,$P163)))</f>
        <v/>
      </c>
      <c r="G163" s="26">
        <f>IF($P163="","",IF(INDEX(EntryTxnType,$P163)=0,"",INDEX(EntryTxnType,$P163)))</f>
        <v/>
      </c>
      <c r="H163" s="27">
        <f>IF($P163="","",IF(INDEX(EntryDep,$P163)=0,"",INDEX(EntryDep,$P163)))</f>
        <v/>
      </c>
      <c r="I163" s="27">
        <f>IF($P163="","",IF(INDEX(EntryWit,$P163)=0,"",INDEX(EntryWit,$P163)))</f>
        <v/>
      </c>
      <c r="J163" s="27">
        <f>IF($B163="","",IF($A163=1,$C$7,IF(J162="",0,J162))+IF($H163="",0,$H163)-IF($I163="",0,$I163))</f>
        <v/>
      </c>
      <c r="K163" s="27">
        <f>IF($P163="","",IF(INDEX(EntryMan,$P163)=0,"",INDEX(EntryMan,$P163)))</f>
        <v/>
      </c>
      <c r="L163" s="26">
        <f>IF($B163="","",IF($K163="","—",IF(ROUND($K163-$J163,0)=0,"√","×")))</f>
        <v/>
      </c>
      <c r="M163" s="26">
        <f>IF($B163="","",IF(COUNTIFS(EntryDates,$B163,CalcTime,$C163,CalcBank,$C$5,EntryParty,$D163,EntryDep,$H163,EntryWit,$I163)&gt;1,"تکرار",""))</f>
        <v/>
      </c>
      <c r="N163" s="26">
        <f>IF($P163="","",IF(INDEX(EntryNotes,$P163)=0,"",INDEX(EntryNotes,$P163)))</f>
        <v/>
      </c>
      <c r="O163" s="26">
        <f>IF($P163="","",IF(INDEX(EntryTxnID,$P163)=0,"",INDEX(EntryTxnID,$P163)))</f>
        <v/>
      </c>
      <c r="P163" s="26">
        <f>IFERROR(MATCH($C$5&amp;"|"&amp;RIGHT("000000"&amp;147,6),CalcRankKey,0),"")</f>
        <v/>
      </c>
    </row>
    <row r="164">
      <c r="A164" s="28">
        <f>IF($B164="","",148)</f>
        <v/>
      </c>
      <c r="B164" s="28">
        <f>IF($P164="","",IF(INDEX(CalcNormDate,$P164)=0,"",INDEX(CalcNormDate,$P164)))</f>
        <v/>
      </c>
      <c r="C164" s="28">
        <f>IF($P164="","",IF(INDEX(CalcTime,$P164)=0,"",INDEX(CalcTime,$P164)))</f>
        <v/>
      </c>
      <c r="D164" s="28">
        <f>IF($P164="","",IF(INDEX(EntryParty,$P164)=0,"",INDEX(EntryParty,$P164)))</f>
        <v/>
      </c>
      <c r="E164" s="28">
        <f>IF($P164="","",IF(INDEX(EntryPartyName,$P164)=0,"",INDEX(EntryPartyName,$P164)))</f>
        <v/>
      </c>
      <c r="F164" s="28">
        <f>IF($P164="","",IF(INDEX(EntryPartyType,$P164)=0,"",INDEX(EntryPartyType,$P164)))</f>
        <v/>
      </c>
      <c r="G164" s="28">
        <f>IF($P164="","",IF(INDEX(EntryTxnType,$P164)=0,"",INDEX(EntryTxnType,$P164)))</f>
        <v/>
      </c>
      <c r="H164" s="29">
        <f>IF($P164="","",IF(INDEX(EntryDep,$P164)=0,"",INDEX(EntryDep,$P164)))</f>
        <v/>
      </c>
      <c r="I164" s="29">
        <f>IF($P164="","",IF(INDEX(EntryWit,$P164)=0,"",INDEX(EntryWit,$P164)))</f>
        <v/>
      </c>
      <c r="J164" s="29">
        <f>IF($B164="","",IF($A164=1,$C$7,IF(J163="",0,J163))+IF($H164="",0,$H164)-IF($I164="",0,$I164))</f>
        <v/>
      </c>
      <c r="K164" s="29">
        <f>IF($P164="","",IF(INDEX(EntryMan,$P164)=0,"",INDEX(EntryMan,$P164)))</f>
        <v/>
      </c>
      <c r="L164" s="28">
        <f>IF($B164="","",IF($K164="","—",IF(ROUND($K164-$J164,0)=0,"√","×")))</f>
        <v/>
      </c>
      <c r="M164" s="28">
        <f>IF($B164="","",IF(COUNTIFS(EntryDates,$B164,CalcTime,$C164,CalcBank,$C$5,EntryParty,$D164,EntryDep,$H164,EntryWit,$I164)&gt;1,"تکرار",""))</f>
        <v/>
      </c>
      <c r="N164" s="28">
        <f>IF($P164="","",IF(INDEX(EntryNotes,$P164)=0,"",INDEX(EntryNotes,$P164)))</f>
        <v/>
      </c>
      <c r="O164" s="28">
        <f>IF($P164="","",IF(INDEX(EntryTxnID,$P164)=0,"",INDEX(EntryTxnID,$P164)))</f>
        <v/>
      </c>
      <c r="P164" s="28">
        <f>IFERROR(MATCH($C$5&amp;"|"&amp;RIGHT("000000"&amp;148,6),CalcRankKey,0),"")</f>
        <v/>
      </c>
    </row>
    <row r="165">
      <c r="A165" s="26">
        <f>IF($B165="","",149)</f>
        <v/>
      </c>
      <c r="B165" s="26">
        <f>IF($P165="","",IF(INDEX(CalcNormDate,$P165)=0,"",INDEX(CalcNormDate,$P165)))</f>
        <v/>
      </c>
      <c r="C165" s="26">
        <f>IF($P165="","",IF(INDEX(CalcTime,$P165)=0,"",INDEX(CalcTime,$P165)))</f>
        <v/>
      </c>
      <c r="D165" s="26">
        <f>IF($P165="","",IF(INDEX(EntryParty,$P165)=0,"",INDEX(EntryParty,$P165)))</f>
        <v/>
      </c>
      <c r="E165" s="26">
        <f>IF($P165="","",IF(INDEX(EntryPartyName,$P165)=0,"",INDEX(EntryPartyName,$P165)))</f>
        <v/>
      </c>
      <c r="F165" s="26">
        <f>IF($P165="","",IF(INDEX(EntryPartyType,$P165)=0,"",INDEX(EntryPartyType,$P165)))</f>
        <v/>
      </c>
      <c r="G165" s="26">
        <f>IF($P165="","",IF(INDEX(EntryTxnType,$P165)=0,"",INDEX(EntryTxnType,$P165)))</f>
        <v/>
      </c>
      <c r="H165" s="27">
        <f>IF($P165="","",IF(INDEX(EntryDep,$P165)=0,"",INDEX(EntryDep,$P165)))</f>
        <v/>
      </c>
      <c r="I165" s="27">
        <f>IF($P165="","",IF(INDEX(EntryWit,$P165)=0,"",INDEX(EntryWit,$P165)))</f>
        <v/>
      </c>
      <c r="J165" s="27">
        <f>IF($B165="","",IF($A165=1,$C$7,IF(J164="",0,J164))+IF($H165="",0,$H165)-IF($I165="",0,$I165))</f>
        <v/>
      </c>
      <c r="K165" s="27">
        <f>IF($P165="","",IF(INDEX(EntryMan,$P165)=0,"",INDEX(EntryMan,$P165)))</f>
        <v/>
      </c>
      <c r="L165" s="26">
        <f>IF($B165="","",IF($K165="","—",IF(ROUND($K165-$J165,0)=0,"√","×")))</f>
        <v/>
      </c>
      <c r="M165" s="26">
        <f>IF($B165="","",IF(COUNTIFS(EntryDates,$B165,CalcTime,$C165,CalcBank,$C$5,EntryParty,$D165,EntryDep,$H165,EntryWit,$I165)&gt;1,"تکرار",""))</f>
        <v/>
      </c>
      <c r="N165" s="26">
        <f>IF($P165="","",IF(INDEX(EntryNotes,$P165)=0,"",INDEX(EntryNotes,$P165)))</f>
        <v/>
      </c>
      <c r="O165" s="26">
        <f>IF($P165="","",IF(INDEX(EntryTxnID,$P165)=0,"",INDEX(EntryTxnID,$P165)))</f>
        <v/>
      </c>
      <c r="P165" s="26">
        <f>IFERROR(MATCH($C$5&amp;"|"&amp;RIGHT("000000"&amp;149,6),CalcRankKey,0),"")</f>
        <v/>
      </c>
    </row>
    <row r="166">
      <c r="A166" s="28">
        <f>IF($B166="","",150)</f>
        <v/>
      </c>
      <c r="B166" s="28">
        <f>IF($P166="","",IF(INDEX(CalcNormDate,$P166)=0,"",INDEX(CalcNormDate,$P166)))</f>
        <v/>
      </c>
      <c r="C166" s="28">
        <f>IF($P166="","",IF(INDEX(CalcTime,$P166)=0,"",INDEX(CalcTime,$P166)))</f>
        <v/>
      </c>
      <c r="D166" s="28">
        <f>IF($P166="","",IF(INDEX(EntryParty,$P166)=0,"",INDEX(EntryParty,$P166)))</f>
        <v/>
      </c>
      <c r="E166" s="28">
        <f>IF($P166="","",IF(INDEX(EntryPartyName,$P166)=0,"",INDEX(EntryPartyName,$P166)))</f>
        <v/>
      </c>
      <c r="F166" s="28">
        <f>IF($P166="","",IF(INDEX(EntryPartyType,$P166)=0,"",INDEX(EntryPartyType,$P166)))</f>
        <v/>
      </c>
      <c r="G166" s="28">
        <f>IF($P166="","",IF(INDEX(EntryTxnType,$P166)=0,"",INDEX(EntryTxnType,$P166)))</f>
        <v/>
      </c>
      <c r="H166" s="29">
        <f>IF($P166="","",IF(INDEX(EntryDep,$P166)=0,"",INDEX(EntryDep,$P166)))</f>
        <v/>
      </c>
      <c r="I166" s="29">
        <f>IF($P166="","",IF(INDEX(EntryWit,$P166)=0,"",INDEX(EntryWit,$P166)))</f>
        <v/>
      </c>
      <c r="J166" s="29">
        <f>IF($B166="","",IF($A166=1,$C$7,IF(J165="",0,J165))+IF($H166="",0,$H166)-IF($I166="",0,$I166))</f>
        <v/>
      </c>
      <c r="K166" s="29">
        <f>IF($P166="","",IF(INDEX(EntryMan,$P166)=0,"",INDEX(EntryMan,$P166)))</f>
        <v/>
      </c>
      <c r="L166" s="28">
        <f>IF($B166="","",IF($K166="","—",IF(ROUND($K166-$J166,0)=0,"√","×")))</f>
        <v/>
      </c>
      <c r="M166" s="28">
        <f>IF($B166="","",IF(COUNTIFS(EntryDates,$B166,CalcTime,$C166,CalcBank,$C$5,EntryParty,$D166,EntryDep,$H166,EntryWit,$I166)&gt;1,"تکرار",""))</f>
        <v/>
      </c>
      <c r="N166" s="28">
        <f>IF($P166="","",IF(INDEX(EntryNotes,$P166)=0,"",INDEX(EntryNotes,$P166)))</f>
        <v/>
      </c>
      <c r="O166" s="28">
        <f>IF($P166="","",IF(INDEX(EntryTxnID,$P166)=0,"",INDEX(EntryTxnID,$P166)))</f>
        <v/>
      </c>
      <c r="P166" s="28">
        <f>IFERROR(MATCH($C$5&amp;"|"&amp;RIGHT("000000"&amp;150,6),CalcRankKey,0),"")</f>
        <v/>
      </c>
    </row>
    <row r="167">
      <c r="A167" s="26">
        <f>IF($B167="","",151)</f>
        <v/>
      </c>
      <c r="B167" s="26">
        <f>IF($P167="","",IF(INDEX(CalcNormDate,$P167)=0,"",INDEX(CalcNormDate,$P167)))</f>
        <v/>
      </c>
      <c r="C167" s="26">
        <f>IF($P167="","",IF(INDEX(CalcTime,$P167)=0,"",INDEX(CalcTime,$P167)))</f>
        <v/>
      </c>
      <c r="D167" s="26">
        <f>IF($P167="","",IF(INDEX(EntryParty,$P167)=0,"",INDEX(EntryParty,$P167)))</f>
        <v/>
      </c>
      <c r="E167" s="26">
        <f>IF($P167="","",IF(INDEX(EntryPartyName,$P167)=0,"",INDEX(EntryPartyName,$P167)))</f>
        <v/>
      </c>
      <c r="F167" s="26">
        <f>IF($P167="","",IF(INDEX(EntryPartyType,$P167)=0,"",INDEX(EntryPartyType,$P167)))</f>
        <v/>
      </c>
      <c r="G167" s="26">
        <f>IF($P167="","",IF(INDEX(EntryTxnType,$P167)=0,"",INDEX(EntryTxnType,$P167)))</f>
        <v/>
      </c>
      <c r="H167" s="27">
        <f>IF($P167="","",IF(INDEX(EntryDep,$P167)=0,"",INDEX(EntryDep,$P167)))</f>
        <v/>
      </c>
      <c r="I167" s="27">
        <f>IF($P167="","",IF(INDEX(EntryWit,$P167)=0,"",INDEX(EntryWit,$P167)))</f>
        <v/>
      </c>
      <c r="J167" s="27">
        <f>IF($B167="","",IF($A167=1,$C$7,IF(J166="",0,J166))+IF($H167="",0,$H167)-IF($I167="",0,$I167))</f>
        <v/>
      </c>
      <c r="K167" s="27">
        <f>IF($P167="","",IF(INDEX(EntryMan,$P167)=0,"",INDEX(EntryMan,$P167)))</f>
        <v/>
      </c>
      <c r="L167" s="26">
        <f>IF($B167="","",IF($K167="","—",IF(ROUND($K167-$J167,0)=0,"√","×")))</f>
        <v/>
      </c>
      <c r="M167" s="26">
        <f>IF($B167="","",IF(COUNTIFS(EntryDates,$B167,CalcTime,$C167,CalcBank,$C$5,EntryParty,$D167,EntryDep,$H167,EntryWit,$I167)&gt;1,"تکرار",""))</f>
        <v/>
      </c>
      <c r="N167" s="26">
        <f>IF($P167="","",IF(INDEX(EntryNotes,$P167)=0,"",INDEX(EntryNotes,$P167)))</f>
        <v/>
      </c>
      <c r="O167" s="26">
        <f>IF($P167="","",IF(INDEX(EntryTxnID,$P167)=0,"",INDEX(EntryTxnID,$P167)))</f>
        <v/>
      </c>
      <c r="P167" s="26">
        <f>IFERROR(MATCH($C$5&amp;"|"&amp;RIGHT("000000"&amp;151,6),CalcRankKey,0),"")</f>
        <v/>
      </c>
    </row>
    <row r="168">
      <c r="A168" s="28">
        <f>IF($B168="","",152)</f>
        <v/>
      </c>
      <c r="B168" s="28">
        <f>IF($P168="","",IF(INDEX(CalcNormDate,$P168)=0,"",INDEX(CalcNormDate,$P168)))</f>
        <v/>
      </c>
      <c r="C168" s="28">
        <f>IF($P168="","",IF(INDEX(CalcTime,$P168)=0,"",INDEX(CalcTime,$P168)))</f>
        <v/>
      </c>
      <c r="D168" s="28">
        <f>IF($P168="","",IF(INDEX(EntryParty,$P168)=0,"",INDEX(EntryParty,$P168)))</f>
        <v/>
      </c>
      <c r="E168" s="28">
        <f>IF($P168="","",IF(INDEX(EntryPartyName,$P168)=0,"",INDEX(EntryPartyName,$P168)))</f>
        <v/>
      </c>
      <c r="F168" s="28">
        <f>IF($P168="","",IF(INDEX(EntryPartyType,$P168)=0,"",INDEX(EntryPartyType,$P168)))</f>
        <v/>
      </c>
      <c r="G168" s="28">
        <f>IF($P168="","",IF(INDEX(EntryTxnType,$P168)=0,"",INDEX(EntryTxnType,$P168)))</f>
        <v/>
      </c>
      <c r="H168" s="29">
        <f>IF($P168="","",IF(INDEX(EntryDep,$P168)=0,"",INDEX(EntryDep,$P168)))</f>
        <v/>
      </c>
      <c r="I168" s="29">
        <f>IF($P168="","",IF(INDEX(EntryWit,$P168)=0,"",INDEX(EntryWit,$P168)))</f>
        <v/>
      </c>
      <c r="J168" s="29">
        <f>IF($B168="","",IF($A168=1,$C$7,IF(J167="",0,J167))+IF($H168="",0,$H168)-IF($I168="",0,$I168))</f>
        <v/>
      </c>
      <c r="K168" s="29">
        <f>IF($P168="","",IF(INDEX(EntryMan,$P168)=0,"",INDEX(EntryMan,$P168)))</f>
        <v/>
      </c>
      <c r="L168" s="28">
        <f>IF($B168="","",IF($K168="","—",IF(ROUND($K168-$J168,0)=0,"√","×")))</f>
        <v/>
      </c>
      <c r="M168" s="28">
        <f>IF($B168="","",IF(COUNTIFS(EntryDates,$B168,CalcTime,$C168,CalcBank,$C$5,EntryParty,$D168,EntryDep,$H168,EntryWit,$I168)&gt;1,"تکرار",""))</f>
        <v/>
      </c>
      <c r="N168" s="28">
        <f>IF($P168="","",IF(INDEX(EntryNotes,$P168)=0,"",INDEX(EntryNotes,$P168)))</f>
        <v/>
      </c>
      <c r="O168" s="28">
        <f>IF($P168="","",IF(INDEX(EntryTxnID,$P168)=0,"",INDEX(EntryTxnID,$P168)))</f>
        <v/>
      </c>
      <c r="P168" s="28">
        <f>IFERROR(MATCH($C$5&amp;"|"&amp;RIGHT("000000"&amp;152,6),CalcRankKey,0),"")</f>
        <v/>
      </c>
    </row>
    <row r="169">
      <c r="A169" s="26">
        <f>IF($B169="","",153)</f>
        <v/>
      </c>
      <c r="B169" s="26">
        <f>IF($P169="","",IF(INDEX(CalcNormDate,$P169)=0,"",INDEX(CalcNormDate,$P169)))</f>
        <v/>
      </c>
      <c r="C169" s="26">
        <f>IF($P169="","",IF(INDEX(CalcTime,$P169)=0,"",INDEX(CalcTime,$P169)))</f>
        <v/>
      </c>
      <c r="D169" s="26">
        <f>IF($P169="","",IF(INDEX(EntryParty,$P169)=0,"",INDEX(EntryParty,$P169)))</f>
        <v/>
      </c>
      <c r="E169" s="26">
        <f>IF($P169="","",IF(INDEX(EntryPartyName,$P169)=0,"",INDEX(EntryPartyName,$P169)))</f>
        <v/>
      </c>
      <c r="F169" s="26">
        <f>IF($P169="","",IF(INDEX(EntryPartyType,$P169)=0,"",INDEX(EntryPartyType,$P169)))</f>
        <v/>
      </c>
      <c r="G169" s="26">
        <f>IF($P169="","",IF(INDEX(EntryTxnType,$P169)=0,"",INDEX(EntryTxnType,$P169)))</f>
        <v/>
      </c>
      <c r="H169" s="27">
        <f>IF($P169="","",IF(INDEX(EntryDep,$P169)=0,"",INDEX(EntryDep,$P169)))</f>
        <v/>
      </c>
      <c r="I169" s="27">
        <f>IF($P169="","",IF(INDEX(EntryWit,$P169)=0,"",INDEX(EntryWit,$P169)))</f>
        <v/>
      </c>
      <c r="J169" s="27">
        <f>IF($B169="","",IF($A169=1,$C$7,IF(J168="",0,J168))+IF($H169="",0,$H169)-IF($I169="",0,$I169))</f>
        <v/>
      </c>
      <c r="K169" s="27">
        <f>IF($P169="","",IF(INDEX(EntryMan,$P169)=0,"",INDEX(EntryMan,$P169)))</f>
        <v/>
      </c>
      <c r="L169" s="26">
        <f>IF($B169="","",IF($K169="","—",IF(ROUND($K169-$J169,0)=0,"√","×")))</f>
        <v/>
      </c>
      <c r="M169" s="26">
        <f>IF($B169="","",IF(COUNTIFS(EntryDates,$B169,CalcTime,$C169,CalcBank,$C$5,EntryParty,$D169,EntryDep,$H169,EntryWit,$I169)&gt;1,"تکرار",""))</f>
        <v/>
      </c>
      <c r="N169" s="26">
        <f>IF($P169="","",IF(INDEX(EntryNotes,$P169)=0,"",INDEX(EntryNotes,$P169)))</f>
        <v/>
      </c>
      <c r="O169" s="26">
        <f>IF($P169="","",IF(INDEX(EntryTxnID,$P169)=0,"",INDEX(EntryTxnID,$P169)))</f>
        <v/>
      </c>
      <c r="P169" s="26">
        <f>IFERROR(MATCH($C$5&amp;"|"&amp;RIGHT("000000"&amp;153,6),CalcRankKey,0),"")</f>
        <v/>
      </c>
    </row>
    <row r="170">
      <c r="A170" s="28">
        <f>IF($B170="","",154)</f>
        <v/>
      </c>
      <c r="B170" s="28">
        <f>IF($P170="","",IF(INDEX(CalcNormDate,$P170)=0,"",INDEX(CalcNormDate,$P170)))</f>
        <v/>
      </c>
      <c r="C170" s="28">
        <f>IF($P170="","",IF(INDEX(CalcTime,$P170)=0,"",INDEX(CalcTime,$P170)))</f>
        <v/>
      </c>
      <c r="D170" s="28">
        <f>IF($P170="","",IF(INDEX(EntryParty,$P170)=0,"",INDEX(EntryParty,$P170)))</f>
        <v/>
      </c>
      <c r="E170" s="28">
        <f>IF($P170="","",IF(INDEX(EntryPartyName,$P170)=0,"",INDEX(EntryPartyName,$P170)))</f>
        <v/>
      </c>
      <c r="F170" s="28">
        <f>IF($P170="","",IF(INDEX(EntryPartyType,$P170)=0,"",INDEX(EntryPartyType,$P170)))</f>
        <v/>
      </c>
      <c r="G170" s="28">
        <f>IF($P170="","",IF(INDEX(EntryTxnType,$P170)=0,"",INDEX(EntryTxnType,$P170)))</f>
        <v/>
      </c>
      <c r="H170" s="29">
        <f>IF($P170="","",IF(INDEX(EntryDep,$P170)=0,"",INDEX(EntryDep,$P170)))</f>
        <v/>
      </c>
      <c r="I170" s="29">
        <f>IF($P170="","",IF(INDEX(EntryWit,$P170)=0,"",INDEX(EntryWit,$P170)))</f>
        <v/>
      </c>
      <c r="J170" s="29">
        <f>IF($B170="","",IF($A170=1,$C$7,IF(J169="",0,J169))+IF($H170="",0,$H170)-IF($I170="",0,$I170))</f>
        <v/>
      </c>
      <c r="K170" s="29">
        <f>IF($P170="","",IF(INDEX(EntryMan,$P170)=0,"",INDEX(EntryMan,$P170)))</f>
        <v/>
      </c>
      <c r="L170" s="28">
        <f>IF($B170="","",IF($K170="","—",IF(ROUND($K170-$J170,0)=0,"√","×")))</f>
        <v/>
      </c>
      <c r="M170" s="28">
        <f>IF($B170="","",IF(COUNTIFS(EntryDates,$B170,CalcTime,$C170,CalcBank,$C$5,EntryParty,$D170,EntryDep,$H170,EntryWit,$I170)&gt;1,"تکرار",""))</f>
        <v/>
      </c>
      <c r="N170" s="28">
        <f>IF($P170="","",IF(INDEX(EntryNotes,$P170)=0,"",INDEX(EntryNotes,$P170)))</f>
        <v/>
      </c>
      <c r="O170" s="28">
        <f>IF($P170="","",IF(INDEX(EntryTxnID,$P170)=0,"",INDEX(EntryTxnID,$P170)))</f>
        <v/>
      </c>
      <c r="P170" s="28">
        <f>IFERROR(MATCH($C$5&amp;"|"&amp;RIGHT("000000"&amp;154,6),CalcRankKey,0),"")</f>
        <v/>
      </c>
    </row>
    <row r="171">
      <c r="A171" s="26">
        <f>IF($B171="","",155)</f>
        <v/>
      </c>
      <c r="B171" s="26">
        <f>IF($P171="","",IF(INDEX(CalcNormDate,$P171)=0,"",INDEX(CalcNormDate,$P171)))</f>
        <v/>
      </c>
      <c r="C171" s="26">
        <f>IF($P171="","",IF(INDEX(CalcTime,$P171)=0,"",INDEX(CalcTime,$P171)))</f>
        <v/>
      </c>
      <c r="D171" s="26">
        <f>IF($P171="","",IF(INDEX(EntryParty,$P171)=0,"",INDEX(EntryParty,$P171)))</f>
        <v/>
      </c>
      <c r="E171" s="26">
        <f>IF($P171="","",IF(INDEX(EntryPartyName,$P171)=0,"",INDEX(EntryPartyName,$P171)))</f>
        <v/>
      </c>
      <c r="F171" s="26">
        <f>IF($P171="","",IF(INDEX(EntryPartyType,$P171)=0,"",INDEX(EntryPartyType,$P171)))</f>
        <v/>
      </c>
      <c r="G171" s="26">
        <f>IF($P171="","",IF(INDEX(EntryTxnType,$P171)=0,"",INDEX(EntryTxnType,$P171)))</f>
        <v/>
      </c>
      <c r="H171" s="27">
        <f>IF($P171="","",IF(INDEX(EntryDep,$P171)=0,"",INDEX(EntryDep,$P171)))</f>
        <v/>
      </c>
      <c r="I171" s="27">
        <f>IF($P171="","",IF(INDEX(EntryWit,$P171)=0,"",INDEX(EntryWit,$P171)))</f>
        <v/>
      </c>
      <c r="J171" s="27">
        <f>IF($B171="","",IF($A171=1,$C$7,IF(J170="",0,J170))+IF($H171="",0,$H171)-IF($I171="",0,$I171))</f>
        <v/>
      </c>
      <c r="K171" s="27">
        <f>IF($P171="","",IF(INDEX(EntryMan,$P171)=0,"",INDEX(EntryMan,$P171)))</f>
        <v/>
      </c>
      <c r="L171" s="26">
        <f>IF($B171="","",IF($K171="","—",IF(ROUND($K171-$J171,0)=0,"√","×")))</f>
        <v/>
      </c>
      <c r="M171" s="26">
        <f>IF($B171="","",IF(COUNTIFS(EntryDates,$B171,CalcTime,$C171,CalcBank,$C$5,EntryParty,$D171,EntryDep,$H171,EntryWit,$I171)&gt;1,"تکرار",""))</f>
        <v/>
      </c>
      <c r="N171" s="26">
        <f>IF($P171="","",IF(INDEX(EntryNotes,$P171)=0,"",INDEX(EntryNotes,$P171)))</f>
        <v/>
      </c>
      <c r="O171" s="26">
        <f>IF($P171="","",IF(INDEX(EntryTxnID,$P171)=0,"",INDEX(EntryTxnID,$P171)))</f>
        <v/>
      </c>
      <c r="P171" s="26">
        <f>IFERROR(MATCH($C$5&amp;"|"&amp;RIGHT("000000"&amp;155,6),CalcRankKey,0),"")</f>
        <v/>
      </c>
    </row>
    <row r="172">
      <c r="A172" s="28">
        <f>IF($B172="","",156)</f>
        <v/>
      </c>
      <c r="B172" s="28">
        <f>IF($P172="","",IF(INDEX(CalcNormDate,$P172)=0,"",INDEX(CalcNormDate,$P172)))</f>
        <v/>
      </c>
      <c r="C172" s="28">
        <f>IF($P172="","",IF(INDEX(CalcTime,$P172)=0,"",INDEX(CalcTime,$P172)))</f>
        <v/>
      </c>
      <c r="D172" s="28">
        <f>IF($P172="","",IF(INDEX(EntryParty,$P172)=0,"",INDEX(EntryParty,$P172)))</f>
        <v/>
      </c>
      <c r="E172" s="28">
        <f>IF($P172="","",IF(INDEX(EntryPartyName,$P172)=0,"",INDEX(EntryPartyName,$P172)))</f>
        <v/>
      </c>
      <c r="F172" s="28">
        <f>IF($P172="","",IF(INDEX(EntryPartyType,$P172)=0,"",INDEX(EntryPartyType,$P172)))</f>
        <v/>
      </c>
      <c r="G172" s="28">
        <f>IF($P172="","",IF(INDEX(EntryTxnType,$P172)=0,"",INDEX(EntryTxnType,$P172)))</f>
        <v/>
      </c>
      <c r="H172" s="29">
        <f>IF($P172="","",IF(INDEX(EntryDep,$P172)=0,"",INDEX(EntryDep,$P172)))</f>
        <v/>
      </c>
      <c r="I172" s="29">
        <f>IF($P172="","",IF(INDEX(EntryWit,$P172)=0,"",INDEX(EntryWit,$P172)))</f>
        <v/>
      </c>
      <c r="J172" s="29">
        <f>IF($B172="","",IF($A172=1,$C$7,IF(J171="",0,J171))+IF($H172="",0,$H172)-IF($I172="",0,$I172))</f>
        <v/>
      </c>
      <c r="K172" s="29">
        <f>IF($P172="","",IF(INDEX(EntryMan,$P172)=0,"",INDEX(EntryMan,$P172)))</f>
        <v/>
      </c>
      <c r="L172" s="28">
        <f>IF($B172="","",IF($K172="","—",IF(ROUND($K172-$J172,0)=0,"√","×")))</f>
        <v/>
      </c>
      <c r="M172" s="28">
        <f>IF($B172="","",IF(COUNTIFS(EntryDates,$B172,CalcTime,$C172,CalcBank,$C$5,EntryParty,$D172,EntryDep,$H172,EntryWit,$I172)&gt;1,"تکرار",""))</f>
        <v/>
      </c>
      <c r="N172" s="28">
        <f>IF($P172="","",IF(INDEX(EntryNotes,$P172)=0,"",INDEX(EntryNotes,$P172)))</f>
        <v/>
      </c>
      <c r="O172" s="28">
        <f>IF($P172="","",IF(INDEX(EntryTxnID,$P172)=0,"",INDEX(EntryTxnID,$P172)))</f>
        <v/>
      </c>
      <c r="P172" s="28">
        <f>IFERROR(MATCH($C$5&amp;"|"&amp;RIGHT("000000"&amp;156,6),CalcRankKey,0),"")</f>
        <v/>
      </c>
    </row>
    <row r="173">
      <c r="A173" s="26">
        <f>IF($B173="","",157)</f>
        <v/>
      </c>
      <c r="B173" s="26">
        <f>IF($P173="","",IF(INDEX(CalcNormDate,$P173)=0,"",INDEX(CalcNormDate,$P173)))</f>
        <v/>
      </c>
      <c r="C173" s="26">
        <f>IF($P173="","",IF(INDEX(CalcTime,$P173)=0,"",INDEX(CalcTime,$P173)))</f>
        <v/>
      </c>
      <c r="D173" s="26">
        <f>IF($P173="","",IF(INDEX(EntryParty,$P173)=0,"",INDEX(EntryParty,$P173)))</f>
        <v/>
      </c>
      <c r="E173" s="26">
        <f>IF($P173="","",IF(INDEX(EntryPartyName,$P173)=0,"",INDEX(EntryPartyName,$P173)))</f>
        <v/>
      </c>
      <c r="F173" s="26">
        <f>IF($P173="","",IF(INDEX(EntryPartyType,$P173)=0,"",INDEX(EntryPartyType,$P173)))</f>
        <v/>
      </c>
      <c r="G173" s="26">
        <f>IF($P173="","",IF(INDEX(EntryTxnType,$P173)=0,"",INDEX(EntryTxnType,$P173)))</f>
        <v/>
      </c>
      <c r="H173" s="27">
        <f>IF($P173="","",IF(INDEX(EntryDep,$P173)=0,"",INDEX(EntryDep,$P173)))</f>
        <v/>
      </c>
      <c r="I173" s="27">
        <f>IF($P173="","",IF(INDEX(EntryWit,$P173)=0,"",INDEX(EntryWit,$P173)))</f>
        <v/>
      </c>
      <c r="J173" s="27">
        <f>IF($B173="","",IF($A173=1,$C$7,IF(J172="",0,J172))+IF($H173="",0,$H173)-IF($I173="",0,$I173))</f>
        <v/>
      </c>
      <c r="K173" s="27">
        <f>IF($P173="","",IF(INDEX(EntryMan,$P173)=0,"",INDEX(EntryMan,$P173)))</f>
        <v/>
      </c>
      <c r="L173" s="26">
        <f>IF($B173="","",IF($K173="","—",IF(ROUND($K173-$J173,0)=0,"√","×")))</f>
        <v/>
      </c>
      <c r="M173" s="26">
        <f>IF($B173="","",IF(COUNTIFS(EntryDates,$B173,CalcTime,$C173,CalcBank,$C$5,EntryParty,$D173,EntryDep,$H173,EntryWit,$I173)&gt;1,"تکرار",""))</f>
        <v/>
      </c>
      <c r="N173" s="26">
        <f>IF($P173="","",IF(INDEX(EntryNotes,$P173)=0,"",INDEX(EntryNotes,$P173)))</f>
        <v/>
      </c>
      <c r="O173" s="26">
        <f>IF($P173="","",IF(INDEX(EntryTxnID,$P173)=0,"",INDEX(EntryTxnID,$P173)))</f>
        <v/>
      </c>
      <c r="P173" s="26">
        <f>IFERROR(MATCH($C$5&amp;"|"&amp;RIGHT("000000"&amp;157,6),CalcRankKey,0),"")</f>
        <v/>
      </c>
    </row>
    <row r="174">
      <c r="A174" s="28">
        <f>IF($B174="","",158)</f>
        <v/>
      </c>
      <c r="B174" s="28">
        <f>IF($P174="","",IF(INDEX(CalcNormDate,$P174)=0,"",INDEX(CalcNormDate,$P174)))</f>
        <v/>
      </c>
      <c r="C174" s="28">
        <f>IF($P174="","",IF(INDEX(CalcTime,$P174)=0,"",INDEX(CalcTime,$P174)))</f>
        <v/>
      </c>
      <c r="D174" s="28">
        <f>IF($P174="","",IF(INDEX(EntryParty,$P174)=0,"",INDEX(EntryParty,$P174)))</f>
        <v/>
      </c>
      <c r="E174" s="28">
        <f>IF($P174="","",IF(INDEX(EntryPartyName,$P174)=0,"",INDEX(EntryPartyName,$P174)))</f>
        <v/>
      </c>
      <c r="F174" s="28">
        <f>IF($P174="","",IF(INDEX(EntryPartyType,$P174)=0,"",INDEX(EntryPartyType,$P174)))</f>
        <v/>
      </c>
      <c r="G174" s="28">
        <f>IF($P174="","",IF(INDEX(EntryTxnType,$P174)=0,"",INDEX(EntryTxnType,$P174)))</f>
        <v/>
      </c>
      <c r="H174" s="29">
        <f>IF($P174="","",IF(INDEX(EntryDep,$P174)=0,"",INDEX(EntryDep,$P174)))</f>
        <v/>
      </c>
      <c r="I174" s="29">
        <f>IF($P174="","",IF(INDEX(EntryWit,$P174)=0,"",INDEX(EntryWit,$P174)))</f>
        <v/>
      </c>
      <c r="J174" s="29">
        <f>IF($B174="","",IF($A174=1,$C$7,IF(J173="",0,J173))+IF($H174="",0,$H174)-IF($I174="",0,$I174))</f>
        <v/>
      </c>
      <c r="K174" s="29">
        <f>IF($P174="","",IF(INDEX(EntryMan,$P174)=0,"",INDEX(EntryMan,$P174)))</f>
        <v/>
      </c>
      <c r="L174" s="28">
        <f>IF($B174="","",IF($K174="","—",IF(ROUND($K174-$J174,0)=0,"√","×")))</f>
        <v/>
      </c>
      <c r="M174" s="28">
        <f>IF($B174="","",IF(COUNTIFS(EntryDates,$B174,CalcTime,$C174,CalcBank,$C$5,EntryParty,$D174,EntryDep,$H174,EntryWit,$I174)&gt;1,"تکرار",""))</f>
        <v/>
      </c>
      <c r="N174" s="28">
        <f>IF($P174="","",IF(INDEX(EntryNotes,$P174)=0,"",INDEX(EntryNotes,$P174)))</f>
        <v/>
      </c>
      <c r="O174" s="28">
        <f>IF($P174="","",IF(INDEX(EntryTxnID,$P174)=0,"",INDEX(EntryTxnID,$P174)))</f>
        <v/>
      </c>
      <c r="P174" s="28">
        <f>IFERROR(MATCH($C$5&amp;"|"&amp;RIGHT("000000"&amp;158,6),CalcRankKey,0),"")</f>
        <v/>
      </c>
    </row>
    <row r="175">
      <c r="A175" s="26">
        <f>IF($B175="","",159)</f>
        <v/>
      </c>
      <c r="B175" s="26">
        <f>IF($P175="","",IF(INDEX(CalcNormDate,$P175)=0,"",INDEX(CalcNormDate,$P175)))</f>
        <v/>
      </c>
      <c r="C175" s="26">
        <f>IF($P175="","",IF(INDEX(CalcTime,$P175)=0,"",INDEX(CalcTime,$P175)))</f>
        <v/>
      </c>
      <c r="D175" s="26">
        <f>IF($P175="","",IF(INDEX(EntryParty,$P175)=0,"",INDEX(EntryParty,$P175)))</f>
        <v/>
      </c>
      <c r="E175" s="26">
        <f>IF($P175="","",IF(INDEX(EntryPartyName,$P175)=0,"",INDEX(EntryPartyName,$P175)))</f>
        <v/>
      </c>
      <c r="F175" s="26">
        <f>IF($P175="","",IF(INDEX(EntryPartyType,$P175)=0,"",INDEX(EntryPartyType,$P175)))</f>
        <v/>
      </c>
      <c r="G175" s="26">
        <f>IF($P175="","",IF(INDEX(EntryTxnType,$P175)=0,"",INDEX(EntryTxnType,$P175)))</f>
        <v/>
      </c>
      <c r="H175" s="27">
        <f>IF($P175="","",IF(INDEX(EntryDep,$P175)=0,"",INDEX(EntryDep,$P175)))</f>
        <v/>
      </c>
      <c r="I175" s="27">
        <f>IF($P175="","",IF(INDEX(EntryWit,$P175)=0,"",INDEX(EntryWit,$P175)))</f>
        <v/>
      </c>
      <c r="J175" s="27">
        <f>IF($B175="","",IF($A175=1,$C$7,IF(J174="",0,J174))+IF($H175="",0,$H175)-IF($I175="",0,$I175))</f>
        <v/>
      </c>
      <c r="K175" s="27">
        <f>IF($P175="","",IF(INDEX(EntryMan,$P175)=0,"",INDEX(EntryMan,$P175)))</f>
        <v/>
      </c>
      <c r="L175" s="26">
        <f>IF($B175="","",IF($K175="","—",IF(ROUND($K175-$J175,0)=0,"√","×")))</f>
        <v/>
      </c>
      <c r="M175" s="26">
        <f>IF($B175="","",IF(COUNTIFS(EntryDates,$B175,CalcTime,$C175,CalcBank,$C$5,EntryParty,$D175,EntryDep,$H175,EntryWit,$I175)&gt;1,"تکرار",""))</f>
        <v/>
      </c>
      <c r="N175" s="26">
        <f>IF($P175="","",IF(INDEX(EntryNotes,$P175)=0,"",INDEX(EntryNotes,$P175)))</f>
        <v/>
      </c>
      <c r="O175" s="26">
        <f>IF($P175="","",IF(INDEX(EntryTxnID,$P175)=0,"",INDEX(EntryTxnID,$P175)))</f>
        <v/>
      </c>
      <c r="P175" s="26">
        <f>IFERROR(MATCH($C$5&amp;"|"&amp;RIGHT("000000"&amp;159,6),CalcRankKey,0),"")</f>
        <v/>
      </c>
    </row>
    <row r="176">
      <c r="A176" s="28">
        <f>IF($B176="","",160)</f>
        <v/>
      </c>
      <c r="B176" s="28">
        <f>IF($P176="","",IF(INDEX(CalcNormDate,$P176)=0,"",INDEX(CalcNormDate,$P176)))</f>
        <v/>
      </c>
      <c r="C176" s="28">
        <f>IF($P176="","",IF(INDEX(CalcTime,$P176)=0,"",INDEX(CalcTime,$P176)))</f>
        <v/>
      </c>
      <c r="D176" s="28">
        <f>IF($P176="","",IF(INDEX(EntryParty,$P176)=0,"",INDEX(EntryParty,$P176)))</f>
        <v/>
      </c>
      <c r="E176" s="28">
        <f>IF($P176="","",IF(INDEX(EntryPartyName,$P176)=0,"",INDEX(EntryPartyName,$P176)))</f>
        <v/>
      </c>
      <c r="F176" s="28">
        <f>IF($P176="","",IF(INDEX(EntryPartyType,$P176)=0,"",INDEX(EntryPartyType,$P176)))</f>
        <v/>
      </c>
      <c r="G176" s="28">
        <f>IF($P176="","",IF(INDEX(EntryTxnType,$P176)=0,"",INDEX(EntryTxnType,$P176)))</f>
        <v/>
      </c>
      <c r="H176" s="29">
        <f>IF($P176="","",IF(INDEX(EntryDep,$P176)=0,"",INDEX(EntryDep,$P176)))</f>
        <v/>
      </c>
      <c r="I176" s="29">
        <f>IF($P176="","",IF(INDEX(EntryWit,$P176)=0,"",INDEX(EntryWit,$P176)))</f>
        <v/>
      </c>
      <c r="J176" s="29">
        <f>IF($B176="","",IF($A176=1,$C$7,IF(J175="",0,J175))+IF($H176="",0,$H176)-IF($I176="",0,$I176))</f>
        <v/>
      </c>
      <c r="K176" s="29">
        <f>IF($P176="","",IF(INDEX(EntryMan,$P176)=0,"",INDEX(EntryMan,$P176)))</f>
        <v/>
      </c>
      <c r="L176" s="28">
        <f>IF($B176="","",IF($K176="","—",IF(ROUND($K176-$J176,0)=0,"√","×")))</f>
        <v/>
      </c>
      <c r="M176" s="28">
        <f>IF($B176="","",IF(COUNTIFS(EntryDates,$B176,CalcTime,$C176,CalcBank,$C$5,EntryParty,$D176,EntryDep,$H176,EntryWit,$I176)&gt;1,"تکرار",""))</f>
        <v/>
      </c>
      <c r="N176" s="28">
        <f>IF($P176="","",IF(INDEX(EntryNotes,$P176)=0,"",INDEX(EntryNotes,$P176)))</f>
        <v/>
      </c>
      <c r="O176" s="28">
        <f>IF($P176="","",IF(INDEX(EntryTxnID,$P176)=0,"",INDEX(EntryTxnID,$P176)))</f>
        <v/>
      </c>
      <c r="P176" s="28">
        <f>IFERROR(MATCH($C$5&amp;"|"&amp;RIGHT("000000"&amp;160,6),CalcRankKey,0),"")</f>
        <v/>
      </c>
    </row>
    <row r="177">
      <c r="A177" s="26">
        <f>IF($B177="","",161)</f>
        <v/>
      </c>
      <c r="B177" s="26">
        <f>IF($P177="","",IF(INDEX(CalcNormDate,$P177)=0,"",INDEX(CalcNormDate,$P177)))</f>
        <v/>
      </c>
      <c r="C177" s="26">
        <f>IF($P177="","",IF(INDEX(CalcTime,$P177)=0,"",INDEX(CalcTime,$P177)))</f>
        <v/>
      </c>
      <c r="D177" s="26">
        <f>IF($P177="","",IF(INDEX(EntryParty,$P177)=0,"",INDEX(EntryParty,$P177)))</f>
        <v/>
      </c>
      <c r="E177" s="26">
        <f>IF($P177="","",IF(INDEX(EntryPartyName,$P177)=0,"",INDEX(EntryPartyName,$P177)))</f>
        <v/>
      </c>
      <c r="F177" s="26">
        <f>IF($P177="","",IF(INDEX(EntryPartyType,$P177)=0,"",INDEX(EntryPartyType,$P177)))</f>
        <v/>
      </c>
      <c r="G177" s="26">
        <f>IF($P177="","",IF(INDEX(EntryTxnType,$P177)=0,"",INDEX(EntryTxnType,$P177)))</f>
        <v/>
      </c>
      <c r="H177" s="27">
        <f>IF($P177="","",IF(INDEX(EntryDep,$P177)=0,"",INDEX(EntryDep,$P177)))</f>
        <v/>
      </c>
      <c r="I177" s="27">
        <f>IF($P177="","",IF(INDEX(EntryWit,$P177)=0,"",INDEX(EntryWit,$P177)))</f>
        <v/>
      </c>
      <c r="J177" s="27">
        <f>IF($B177="","",IF($A177=1,$C$7,IF(J176="",0,J176))+IF($H177="",0,$H177)-IF($I177="",0,$I177))</f>
        <v/>
      </c>
      <c r="K177" s="27">
        <f>IF($P177="","",IF(INDEX(EntryMan,$P177)=0,"",INDEX(EntryMan,$P177)))</f>
        <v/>
      </c>
      <c r="L177" s="26">
        <f>IF($B177="","",IF($K177="","—",IF(ROUND($K177-$J177,0)=0,"√","×")))</f>
        <v/>
      </c>
      <c r="M177" s="26">
        <f>IF($B177="","",IF(COUNTIFS(EntryDates,$B177,CalcTime,$C177,CalcBank,$C$5,EntryParty,$D177,EntryDep,$H177,EntryWit,$I177)&gt;1,"تکرار",""))</f>
        <v/>
      </c>
      <c r="N177" s="26">
        <f>IF($P177="","",IF(INDEX(EntryNotes,$P177)=0,"",INDEX(EntryNotes,$P177)))</f>
        <v/>
      </c>
      <c r="O177" s="26">
        <f>IF($P177="","",IF(INDEX(EntryTxnID,$P177)=0,"",INDEX(EntryTxnID,$P177)))</f>
        <v/>
      </c>
      <c r="P177" s="26">
        <f>IFERROR(MATCH($C$5&amp;"|"&amp;RIGHT("000000"&amp;161,6),CalcRankKey,0),"")</f>
        <v/>
      </c>
    </row>
    <row r="178">
      <c r="A178" s="28">
        <f>IF($B178="","",162)</f>
        <v/>
      </c>
      <c r="B178" s="28">
        <f>IF($P178="","",IF(INDEX(CalcNormDate,$P178)=0,"",INDEX(CalcNormDate,$P178)))</f>
        <v/>
      </c>
      <c r="C178" s="28">
        <f>IF($P178="","",IF(INDEX(CalcTime,$P178)=0,"",INDEX(CalcTime,$P178)))</f>
        <v/>
      </c>
      <c r="D178" s="28">
        <f>IF($P178="","",IF(INDEX(EntryParty,$P178)=0,"",INDEX(EntryParty,$P178)))</f>
        <v/>
      </c>
      <c r="E178" s="28">
        <f>IF($P178="","",IF(INDEX(EntryPartyName,$P178)=0,"",INDEX(EntryPartyName,$P178)))</f>
        <v/>
      </c>
      <c r="F178" s="28">
        <f>IF($P178="","",IF(INDEX(EntryPartyType,$P178)=0,"",INDEX(EntryPartyType,$P178)))</f>
        <v/>
      </c>
      <c r="G178" s="28">
        <f>IF($P178="","",IF(INDEX(EntryTxnType,$P178)=0,"",INDEX(EntryTxnType,$P178)))</f>
        <v/>
      </c>
      <c r="H178" s="29">
        <f>IF($P178="","",IF(INDEX(EntryDep,$P178)=0,"",INDEX(EntryDep,$P178)))</f>
        <v/>
      </c>
      <c r="I178" s="29">
        <f>IF($P178="","",IF(INDEX(EntryWit,$P178)=0,"",INDEX(EntryWit,$P178)))</f>
        <v/>
      </c>
      <c r="J178" s="29">
        <f>IF($B178="","",IF($A178=1,$C$7,IF(J177="",0,J177))+IF($H178="",0,$H178)-IF($I178="",0,$I178))</f>
        <v/>
      </c>
      <c r="K178" s="29">
        <f>IF($P178="","",IF(INDEX(EntryMan,$P178)=0,"",INDEX(EntryMan,$P178)))</f>
        <v/>
      </c>
      <c r="L178" s="28">
        <f>IF($B178="","",IF($K178="","—",IF(ROUND($K178-$J178,0)=0,"√","×")))</f>
        <v/>
      </c>
      <c r="M178" s="28">
        <f>IF($B178="","",IF(COUNTIFS(EntryDates,$B178,CalcTime,$C178,CalcBank,$C$5,EntryParty,$D178,EntryDep,$H178,EntryWit,$I178)&gt;1,"تکرار",""))</f>
        <v/>
      </c>
      <c r="N178" s="28">
        <f>IF($P178="","",IF(INDEX(EntryNotes,$P178)=0,"",INDEX(EntryNotes,$P178)))</f>
        <v/>
      </c>
      <c r="O178" s="28">
        <f>IF($P178="","",IF(INDEX(EntryTxnID,$P178)=0,"",INDEX(EntryTxnID,$P178)))</f>
        <v/>
      </c>
      <c r="P178" s="28">
        <f>IFERROR(MATCH($C$5&amp;"|"&amp;RIGHT("000000"&amp;162,6),CalcRankKey,0),"")</f>
        <v/>
      </c>
    </row>
    <row r="179">
      <c r="A179" s="26">
        <f>IF($B179="","",163)</f>
        <v/>
      </c>
      <c r="B179" s="26">
        <f>IF($P179="","",IF(INDEX(CalcNormDate,$P179)=0,"",INDEX(CalcNormDate,$P179)))</f>
        <v/>
      </c>
      <c r="C179" s="26">
        <f>IF($P179="","",IF(INDEX(CalcTime,$P179)=0,"",INDEX(CalcTime,$P179)))</f>
        <v/>
      </c>
      <c r="D179" s="26">
        <f>IF($P179="","",IF(INDEX(EntryParty,$P179)=0,"",INDEX(EntryParty,$P179)))</f>
        <v/>
      </c>
      <c r="E179" s="26">
        <f>IF($P179="","",IF(INDEX(EntryPartyName,$P179)=0,"",INDEX(EntryPartyName,$P179)))</f>
        <v/>
      </c>
      <c r="F179" s="26">
        <f>IF($P179="","",IF(INDEX(EntryPartyType,$P179)=0,"",INDEX(EntryPartyType,$P179)))</f>
        <v/>
      </c>
      <c r="G179" s="26">
        <f>IF($P179="","",IF(INDEX(EntryTxnType,$P179)=0,"",INDEX(EntryTxnType,$P179)))</f>
        <v/>
      </c>
      <c r="H179" s="27">
        <f>IF($P179="","",IF(INDEX(EntryDep,$P179)=0,"",INDEX(EntryDep,$P179)))</f>
        <v/>
      </c>
      <c r="I179" s="27">
        <f>IF($P179="","",IF(INDEX(EntryWit,$P179)=0,"",INDEX(EntryWit,$P179)))</f>
        <v/>
      </c>
      <c r="J179" s="27">
        <f>IF($B179="","",IF($A179=1,$C$7,IF(J178="",0,J178))+IF($H179="",0,$H179)-IF($I179="",0,$I179))</f>
        <v/>
      </c>
      <c r="K179" s="27">
        <f>IF($P179="","",IF(INDEX(EntryMan,$P179)=0,"",INDEX(EntryMan,$P179)))</f>
        <v/>
      </c>
      <c r="L179" s="26">
        <f>IF($B179="","",IF($K179="","—",IF(ROUND($K179-$J179,0)=0,"√","×")))</f>
        <v/>
      </c>
      <c r="M179" s="26">
        <f>IF($B179="","",IF(COUNTIFS(EntryDates,$B179,CalcTime,$C179,CalcBank,$C$5,EntryParty,$D179,EntryDep,$H179,EntryWit,$I179)&gt;1,"تکرار",""))</f>
        <v/>
      </c>
      <c r="N179" s="26">
        <f>IF($P179="","",IF(INDEX(EntryNotes,$P179)=0,"",INDEX(EntryNotes,$P179)))</f>
        <v/>
      </c>
      <c r="O179" s="26">
        <f>IF($P179="","",IF(INDEX(EntryTxnID,$P179)=0,"",INDEX(EntryTxnID,$P179)))</f>
        <v/>
      </c>
      <c r="P179" s="26">
        <f>IFERROR(MATCH($C$5&amp;"|"&amp;RIGHT("000000"&amp;163,6),CalcRankKey,0),"")</f>
        <v/>
      </c>
    </row>
    <row r="180">
      <c r="A180" s="28">
        <f>IF($B180="","",164)</f>
        <v/>
      </c>
      <c r="B180" s="28">
        <f>IF($P180="","",IF(INDEX(CalcNormDate,$P180)=0,"",INDEX(CalcNormDate,$P180)))</f>
        <v/>
      </c>
      <c r="C180" s="28">
        <f>IF($P180="","",IF(INDEX(CalcTime,$P180)=0,"",INDEX(CalcTime,$P180)))</f>
        <v/>
      </c>
      <c r="D180" s="28">
        <f>IF($P180="","",IF(INDEX(EntryParty,$P180)=0,"",INDEX(EntryParty,$P180)))</f>
        <v/>
      </c>
      <c r="E180" s="28">
        <f>IF($P180="","",IF(INDEX(EntryPartyName,$P180)=0,"",INDEX(EntryPartyName,$P180)))</f>
        <v/>
      </c>
      <c r="F180" s="28">
        <f>IF($P180="","",IF(INDEX(EntryPartyType,$P180)=0,"",INDEX(EntryPartyType,$P180)))</f>
        <v/>
      </c>
      <c r="G180" s="28">
        <f>IF($P180="","",IF(INDEX(EntryTxnType,$P180)=0,"",INDEX(EntryTxnType,$P180)))</f>
        <v/>
      </c>
      <c r="H180" s="29">
        <f>IF($P180="","",IF(INDEX(EntryDep,$P180)=0,"",INDEX(EntryDep,$P180)))</f>
        <v/>
      </c>
      <c r="I180" s="29">
        <f>IF($P180="","",IF(INDEX(EntryWit,$P180)=0,"",INDEX(EntryWit,$P180)))</f>
        <v/>
      </c>
      <c r="J180" s="29">
        <f>IF($B180="","",IF($A180=1,$C$7,IF(J179="",0,J179))+IF($H180="",0,$H180)-IF($I180="",0,$I180))</f>
        <v/>
      </c>
      <c r="K180" s="29">
        <f>IF($P180="","",IF(INDEX(EntryMan,$P180)=0,"",INDEX(EntryMan,$P180)))</f>
        <v/>
      </c>
      <c r="L180" s="28">
        <f>IF($B180="","",IF($K180="","—",IF(ROUND($K180-$J180,0)=0,"√","×")))</f>
        <v/>
      </c>
      <c r="M180" s="28">
        <f>IF($B180="","",IF(COUNTIFS(EntryDates,$B180,CalcTime,$C180,CalcBank,$C$5,EntryParty,$D180,EntryDep,$H180,EntryWit,$I180)&gt;1,"تکرار",""))</f>
        <v/>
      </c>
      <c r="N180" s="28">
        <f>IF($P180="","",IF(INDEX(EntryNotes,$P180)=0,"",INDEX(EntryNotes,$P180)))</f>
        <v/>
      </c>
      <c r="O180" s="28">
        <f>IF($P180="","",IF(INDEX(EntryTxnID,$P180)=0,"",INDEX(EntryTxnID,$P180)))</f>
        <v/>
      </c>
      <c r="P180" s="28">
        <f>IFERROR(MATCH($C$5&amp;"|"&amp;RIGHT("000000"&amp;164,6),CalcRankKey,0),"")</f>
        <v/>
      </c>
    </row>
    <row r="181">
      <c r="A181" s="26">
        <f>IF($B181="","",165)</f>
        <v/>
      </c>
      <c r="B181" s="26">
        <f>IF($P181="","",IF(INDEX(CalcNormDate,$P181)=0,"",INDEX(CalcNormDate,$P181)))</f>
        <v/>
      </c>
      <c r="C181" s="26">
        <f>IF($P181="","",IF(INDEX(CalcTime,$P181)=0,"",INDEX(CalcTime,$P181)))</f>
        <v/>
      </c>
      <c r="D181" s="26">
        <f>IF($P181="","",IF(INDEX(EntryParty,$P181)=0,"",INDEX(EntryParty,$P181)))</f>
        <v/>
      </c>
      <c r="E181" s="26">
        <f>IF($P181="","",IF(INDEX(EntryPartyName,$P181)=0,"",INDEX(EntryPartyName,$P181)))</f>
        <v/>
      </c>
      <c r="F181" s="26">
        <f>IF($P181="","",IF(INDEX(EntryPartyType,$P181)=0,"",INDEX(EntryPartyType,$P181)))</f>
        <v/>
      </c>
      <c r="G181" s="26">
        <f>IF($P181="","",IF(INDEX(EntryTxnType,$P181)=0,"",INDEX(EntryTxnType,$P181)))</f>
        <v/>
      </c>
      <c r="H181" s="27">
        <f>IF($P181="","",IF(INDEX(EntryDep,$P181)=0,"",INDEX(EntryDep,$P181)))</f>
        <v/>
      </c>
      <c r="I181" s="27">
        <f>IF($P181="","",IF(INDEX(EntryWit,$P181)=0,"",INDEX(EntryWit,$P181)))</f>
        <v/>
      </c>
      <c r="J181" s="27">
        <f>IF($B181="","",IF($A181=1,$C$7,IF(J180="",0,J180))+IF($H181="",0,$H181)-IF($I181="",0,$I181))</f>
        <v/>
      </c>
      <c r="K181" s="27">
        <f>IF($P181="","",IF(INDEX(EntryMan,$P181)=0,"",INDEX(EntryMan,$P181)))</f>
        <v/>
      </c>
      <c r="L181" s="26">
        <f>IF($B181="","",IF($K181="","—",IF(ROUND($K181-$J181,0)=0,"√","×")))</f>
        <v/>
      </c>
      <c r="M181" s="26">
        <f>IF($B181="","",IF(COUNTIFS(EntryDates,$B181,CalcTime,$C181,CalcBank,$C$5,EntryParty,$D181,EntryDep,$H181,EntryWit,$I181)&gt;1,"تکرار",""))</f>
        <v/>
      </c>
      <c r="N181" s="26">
        <f>IF($P181="","",IF(INDEX(EntryNotes,$P181)=0,"",INDEX(EntryNotes,$P181)))</f>
        <v/>
      </c>
      <c r="O181" s="26">
        <f>IF($P181="","",IF(INDEX(EntryTxnID,$P181)=0,"",INDEX(EntryTxnID,$P181)))</f>
        <v/>
      </c>
      <c r="P181" s="26">
        <f>IFERROR(MATCH($C$5&amp;"|"&amp;RIGHT("000000"&amp;165,6),CalcRankKey,0),"")</f>
        <v/>
      </c>
    </row>
    <row r="182">
      <c r="A182" s="28">
        <f>IF($B182="","",166)</f>
        <v/>
      </c>
      <c r="B182" s="28">
        <f>IF($P182="","",IF(INDEX(CalcNormDate,$P182)=0,"",INDEX(CalcNormDate,$P182)))</f>
        <v/>
      </c>
      <c r="C182" s="28">
        <f>IF($P182="","",IF(INDEX(CalcTime,$P182)=0,"",INDEX(CalcTime,$P182)))</f>
        <v/>
      </c>
      <c r="D182" s="28">
        <f>IF($P182="","",IF(INDEX(EntryParty,$P182)=0,"",INDEX(EntryParty,$P182)))</f>
        <v/>
      </c>
      <c r="E182" s="28">
        <f>IF($P182="","",IF(INDEX(EntryPartyName,$P182)=0,"",INDEX(EntryPartyName,$P182)))</f>
        <v/>
      </c>
      <c r="F182" s="28">
        <f>IF($P182="","",IF(INDEX(EntryPartyType,$P182)=0,"",INDEX(EntryPartyType,$P182)))</f>
        <v/>
      </c>
      <c r="G182" s="28">
        <f>IF($P182="","",IF(INDEX(EntryTxnType,$P182)=0,"",INDEX(EntryTxnType,$P182)))</f>
        <v/>
      </c>
      <c r="H182" s="29">
        <f>IF($P182="","",IF(INDEX(EntryDep,$P182)=0,"",INDEX(EntryDep,$P182)))</f>
        <v/>
      </c>
      <c r="I182" s="29">
        <f>IF($P182="","",IF(INDEX(EntryWit,$P182)=0,"",INDEX(EntryWit,$P182)))</f>
        <v/>
      </c>
      <c r="J182" s="29">
        <f>IF($B182="","",IF($A182=1,$C$7,IF(J181="",0,J181))+IF($H182="",0,$H182)-IF($I182="",0,$I182))</f>
        <v/>
      </c>
      <c r="K182" s="29">
        <f>IF($P182="","",IF(INDEX(EntryMan,$P182)=0,"",INDEX(EntryMan,$P182)))</f>
        <v/>
      </c>
      <c r="L182" s="28">
        <f>IF($B182="","",IF($K182="","—",IF(ROUND($K182-$J182,0)=0,"√","×")))</f>
        <v/>
      </c>
      <c r="M182" s="28">
        <f>IF($B182="","",IF(COUNTIFS(EntryDates,$B182,CalcTime,$C182,CalcBank,$C$5,EntryParty,$D182,EntryDep,$H182,EntryWit,$I182)&gt;1,"تکرار",""))</f>
        <v/>
      </c>
      <c r="N182" s="28">
        <f>IF($P182="","",IF(INDEX(EntryNotes,$P182)=0,"",INDEX(EntryNotes,$P182)))</f>
        <v/>
      </c>
      <c r="O182" s="28">
        <f>IF($P182="","",IF(INDEX(EntryTxnID,$P182)=0,"",INDEX(EntryTxnID,$P182)))</f>
        <v/>
      </c>
      <c r="P182" s="28">
        <f>IFERROR(MATCH($C$5&amp;"|"&amp;RIGHT("000000"&amp;166,6),CalcRankKey,0),"")</f>
        <v/>
      </c>
    </row>
    <row r="183">
      <c r="A183" s="26">
        <f>IF($B183="","",167)</f>
        <v/>
      </c>
      <c r="B183" s="26">
        <f>IF($P183="","",IF(INDEX(CalcNormDate,$P183)=0,"",INDEX(CalcNormDate,$P183)))</f>
        <v/>
      </c>
      <c r="C183" s="26">
        <f>IF($P183="","",IF(INDEX(CalcTime,$P183)=0,"",INDEX(CalcTime,$P183)))</f>
        <v/>
      </c>
      <c r="D183" s="26">
        <f>IF($P183="","",IF(INDEX(EntryParty,$P183)=0,"",INDEX(EntryParty,$P183)))</f>
        <v/>
      </c>
      <c r="E183" s="26">
        <f>IF($P183="","",IF(INDEX(EntryPartyName,$P183)=0,"",INDEX(EntryPartyName,$P183)))</f>
        <v/>
      </c>
      <c r="F183" s="26">
        <f>IF($P183="","",IF(INDEX(EntryPartyType,$P183)=0,"",INDEX(EntryPartyType,$P183)))</f>
        <v/>
      </c>
      <c r="G183" s="26">
        <f>IF($P183="","",IF(INDEX(EntryTxnType,$P183)=0,"",INDEX(EntryTxnType,$P183)))</f>
        <v/>
      </c>
      <c r="H183" s="27">
        <f>IF($P183="","",IF(INDEX(EntryDep,$P183)=0,"",INDEX(EntryDep,$P183)))</f>
        <v/>
      </c>
      <c r="I183" s="27">
        <f>IF($P183="","",IF(INDEX(EntryWit,$P183)=0,"",INDEX(EntryWit,$P183)))</f>
        <v/>
      </c>
      <c r="J183" s="27">
        <f>IF($B183="","",IF($A183=1,$C$7,IF(J182="",0,J182))+IF($H183="",0,$H183)-IF($I183="",0,$I183))</f>
        <v/>
      </c>
      <c r="K183" s="27">
        <f>IF($P183="","",IF(INDEX(EntryMan,$P183)=0,"",INDEX(EntryMan,$P183)))</f>
        <v/>
      </c>
      <c r="L183" s="26">
        <f>IF($B183="","",IF($K183="","—",IF(ROUND($K183-$J183,0)=0,"√","×")))</f>
        <v/>
      </c>
      <c r="M183" s="26">
        <f>IF($B183="","",IF(COUNTIFS(EntryDates,$B183,CalcTime,$C183,CalcBank,$C$5,EntryParty,$D183,EntryDep,$H183,EntryWit,$I183)&gt;1,"تکرار",""))</f>
        <v/>
      </c>
      <c r="N183" s="26">
        <f>IF($P183="","",IF(INDEX(EntryNotes,$P183)=0,"",INDEX(EntryNotes,$P183)))</f>
        <v/>
      </c>
      <c r="O183" s="26">
        <f>IF($P183="","",IF(INDEX(EntryTxnID,$P183)=0,"",INDEX(EntryTxnID,$P183)))</f>
        <v/>
      </c>
      <c r="P183" s="26">
        <f>IFERROR(MATCH($C$5&amp;"|"&amp;RIGHT("000000"&amp;167,6),CalcRankKey,0),"")</f>
        <v/>
      </c>
    </row>
    <row r="184">
      <c r="A184" s="28">
        <f>IF($B184="","",168)</f>
        <v/>
      </c>
      <c r="B184" s="28">
        <f>IF($P184="","",IF(INDEX(CalcNormDate,$P184)=0,"",INDEX(CalcNormDate,$P184)))</f>
        <v/>
      </c>
      <c r="C184" s="28">
        <f>IF($P184="","",IF(INDEX(CalcTime,$P184)=0,"",INDEX(CalcTime,$P184)))</f>
        <v/>
      </c>
      <c r="D184" s="28">
        <f>IF($P184="","",IF(INDEX(EntryParty,$P184)=0,"",INDEX(EntryParty,$P184)))</f>
        <v/>
      </c>
      <c r="E184" s="28">
        <f>IF($P184="","",IF(INDEX(EntryPartyName,$P184)=0,"",INDEX(EntryPartyName,$P184)))</f>
        <v/>
      </c>
      <c r="F184" s="28">
        <f>IF($P184="","",IF(INDEX(EntryPartyType,$P184)=0,"",INDEX(EntryPartyType,$P184)))</f>
        <v/>
      </c>
      <c r="G184" s="28">
        <f>IF($P184="","",IF(INDEX(EntryTxnType,$P184)=0,"",INDEX(EntryTxnType,$P184)))</f>
        <v/>
      </c>
      <c r="H184" s="29">
        <f>IF($P184="","",IF(INDEX(EntryDep,$P184)=0,"",INDEX(EntryDep,$P184)))</f>
        <v/>
      </c>
      <c r="I184" s="29">
        <f>IF($P184="","",IF(INDEX(EntryWit,$P184)=0,"",INDEX(EntryWit,$P184)))</f>
        <v/>
      </c>
      <c r="J184" s="29">
        <f>IF($B184="","",IF($A184=1,$C$7,IF(J183="",0,J183))+IF($H184="",0,$H184)-IF($I184="",0,$I184))</f>
        <v/>
      </c>
      <c r="K184" s="29">
        <f>IF($P184="","",IF(INDEX(EntryMan,$P184)=0,"",INDEX(EntryMan,$P184)))</f>
        <v/>
      </c>
      <c r="L184" s="28">
        <f>IF($B184="","",IF($K184="","—",IF(ROUND($K184-$J184,0)=0,"√","×")))</f>
        <v/>
      </c>
      <c r="M184" s="28">
        <f>IF($B184="","",IF(COUNTIFS(EntryDates,$B184,CalcTime,$C184,CalcBank,$C$5,EntryParty,$D184,EntryDep,$H184,EntryWit,$I184)&gt;1,"تکرار",""))</f>
        <v/>
      </c>
      <c r="N184" s="28">
        <f>IF($P184="","",IF(INDEX(EntryNotes,$P184)=0,"",INDEX(EntryNotes,$P184)))</f>
        <v/>
      </c>
      <c r="O184" s="28">
        <f>IF($P184="","",IF(INDEX(EntryTxnID,$P184)=0,"",INDEX(EntryTxnID,$P184)))</f>
        <v/>
      </c>
      <c r="P184" s="28">
        <f>IFERROR(MATCH($C$5&amp;"|"&amp;RIGHT("000000"&amp;168,6),CalcRankKey,0),"")</f>
        <v/>
      </c>
    </row>
    <row r="185">
      <c r="A185" s="26">
        <f>IF($B185="","",169)</f>
        <v/>
      </c>
      <c r="B185" s="26">
        <f>IF($P185="","",IF(INDEX(CalcNormDate,$P185)=0,"",INDEX(CalcNormDate,$P185)))</f>
        <v/>
      </c>
      <c r="C185" s="26">
        <f>IF($P185="","",IF(INDEX(CalcTime,$P185)=0,"",INDEX(CalcTime,$P185)))</f>
        <v/>
      </c>
      <c r="D185" s="26">
        <f>IF($P185="","",IF(INDEX(EntryParty,$P185)=0,"",INDEX(EntryParty,$P185)))</f>
        <v/>
      </c>
      <c r="E185" s="26">
        <f>IF($P185="","",IF(INDEX(EntryPartyName,$P185)=0,"",INDEX(EntryPartyName,$P185)))</f>
        <v/>
      </c>
      <c r="F185" s="26">
        <f>IF($P185="","",IF(INDEX(EntryPartyType,$P185)=0,"",INDEX(EntryPartyType,$P185)))</f>
        <v/>
      </c>
      <c r="G185" s="26">
        <f>IF($P185="","",IF(INDEX(EntryTxnType,$P185)=0,"",INDEX(EntryTxnType,$P185)))</f>
        <v/>
      </c>
      <c r="H185" s="27">
        <f>IF($P185="","",IF(INDEX(EntryDep,$P185)=0,"",INDEX(EntryDep,$P185)))</f>
        <v/>
      </c>
      <c r="I185" s="27">
        <f>IF($P185="","",IF(INDEX(EntryWit,$P185)=0,"",INDEX(EntryWit,$P185)))</f>
        <v/>
      </c>
      <c r="J185" s="27">
        <f>IF($B185="","",IF($A185=1,$C$7,IF(J184="",0,J184))+IF($H185="",0,$H185)-IF($I185="",0,$I185))</f>
        <v/>
      </c>
      <c r="K185" s="27">
        <f>IF($P185="","",IF(INDEX(EntryMan,$P185)=0,"",INDEX(EntryMan,$P185)))</f>
        <v/>
      </c>
      <c r="L185" s="26">
        <f>IF($B185="","",IF($K185="","—",IF(ROUND($K185-$J185,0)=0,"√","×")))</f>
        <v/>
      </c>
      <c r="M185" s="26">
        <f>IF($B185="","",IF(COUNTIFS(EntryDates,$B185,CalcTime,$C185,CalcBank,$C$5,EntryParty,$D185,EntryDep,$H185,EntryWit,$I185)&gt;1,"تکرار",""))</f>
        <v/>
      </c>
      <c r="N185" s="26">
        <f>IF($P185="","",IF(INDEX(EntryNotes,$P185)=0,"",INDEX(EntryNotes,$P185)))</f>
        <v/>
      </c>
      <c r="O185" s="26">
        <f>IF($P185="","",IF(INDEX(EntryTxnID,$P185)=0,"",INDEX(EntryTxnID,$P185)))</f>
        <v/>
      </c>
      <c r="P185" s="26">
        <f>IFERROR(MATCH($C$5&amp;"|"&amp;RIGHT("000000"&amp;169,6),CalcRankKey,0),"")</f>
        <v/>
      </c>
    </row>
    <row r="186">
      <c r="A186" s="28">
        <f>IF($B186="","",170)</f>
        <v/>
      </c>
      <c r="B186" s="28">
        <f>IF($P186="","",IF(INDEX(CalcNormDate,$P186)=0,"",INDEX(CalcNormDate,$P186)))</f>
        <v/>
      </c>
      <c r="C186" s="28">
        <f>IF($P186="","",IF(INDEX(CalcTime,$P186)=0,"",INDEX(CalcTime,$P186)))</f>
        <v/>
      </c>
      <c r="D186" s="28">
        <f>IF($P186="","",IF(INDEX(EntryParty,$P186)=0,"",INDEX(EntryParty,$P186)))</f>
        <v/>
      </c>
      <c r="E186" s="28">
        <f>IF($P186="","",IF(INDEX(EntryPartyName,$P186)=0,"",INDEX(EntryPartyName,$P186)))</f>
        <v/>
      </c>
      <c r="F186" s="28">
        <f>IF($P186="","",IF(INDEX(EntryPartyType,$P186)=0,"",INDEX(EntryPartyType,$P186)))</f>
        <v/>
      </c>
      <c r="G186" s="28">
        <f>IF($P186="","",IF(INDEX(EntryTxnType,$P186)=0,"",INDEX(EntryTxnType,$P186)))</f>
        <v/>
      </c>
      <c r="H186" s="29">
        <f>IF($P186="","",IF(INDEX(EntryDep,$P186)=0,"",INDEX(EntryDep,$P186)))</f>
        <v/>
      </c>
      <c r="I186" s="29">
        <f>IF($P186="","",IF(INDEX(EntryWit,$P186)=0,"",INDEX(EntryWit,$P186)))</f>
        <v/>
      </c>
      <c r="J186" s="29">
        <f>IF($B186="","",IF($A186=1,$C$7,IF(J185="",0,J185))+IF($H186="",0,$H186)-IF($I186="",0,$I186))</f>
        <v/>
      </c>
      <c r="K186" s="29">
        <f>IF($P186="","",IF(INDEX(EntryMan,$P186)=0,"",INDEX(EntryMan,$P186)))</f>
        <v/>
      </c>
      <c r="L186" s="28">
        <f>IF($B186="","",IF($K186="","—",IF(ROUND($K186-$J186,0)=0,"√","×")))</f>
        <v/>
      </c>
      <c r="M186" s="28">
        <f>IF($B186="","",IF(COUNTIFS(EntryDates,$B186,CalcTime,$C186,CalcBank,$C$5,EntryParty,$D186,EntryDep,$H186,EntryWit,$I186)&gt;1,"تکرار",""))</f>
        <v/>
      </c>
      <c r="N186" s="28">
        <f>IF($P186="","",IF(INDEX(EntryNotes,$P186)=0,"",INDEX(EntryNotes,$P186)))</f>
        <v/>
      </c>
      <c r="O186" s="28">
        <f>IF($P186="","",IF(INDEX(EntryTxnID,$P186)=0,"",INDEX(EntryTxnID,$P186)))</f>
        <v/>
      </c>
      <c r="P186" s="28">
        <f>IFERROR(MATCH($C$5&amp;"|"&amp;RIGHT("000000"&amp;170,6),CalcRankKey,0),"")</f>
        <v/>
      </c>
    </row>
    <row r="187">
      <c r="A187" s="26">
        <f>IF($B187="","",171)</f>
        <v/>
      </c>
      <c r="B187" s="26">
        <f>IF($P187="","",IF(INDEX(CalcNormDate,$P187)=0,"",INDEX(CalcNormDate,$P187)))</f>
        <v/>
      </c>
      <c r="C187" s="26">
        <f>IF($P187="","",IF(INDEX(CalcTime,$P187)=0,"",INDEX(CalcTime,$P187)))</f>
        <v/>
      </c>
      <c r="D187" s="26">
        <f>IF($P187="","",IF(INDEX(EntryParty,$P187)=0,"",INDEX(EntryParty,$P187)))</f>
        <v/>
      </c>
      <c r="E187" s="26">
        <f>IF($P187="","",IF(INDEX(EntryPartyName,$P187)=0,"",INDEX(EntryPartyName,$P187)))</f>
        <v/>
      </c>
      <c r="F187" s="26">
        <f>IF($P187="","",IF(INDEX(EntryPartyType,$P187)=0,"",INDEX(EntryPartyType,$P187)))</f>
        <v/>
      </c>
      <c r="G187" s="26">
        <f>IF($P187="","",IF(INDEX(EntryTxnType,$P187)=0,"",INDEX(EntryTxnType,$P187)))</f>
        <v/>
      </c>
      <c r="H187" s="27">
        <f>IF($P187="","",IF(INDEX(EntryDep,$P187)=0,"",INDEX(EntryDep,$P187)))</f>
        <v/>
      </c>
      <c r="I187" s="27">
        <f>IF($P187="","",IF(INDEX(EntryWit,$P187)=0,"",INDEX(EntryWit,$P187)))</f>
        <v/>
      </c>
      <c r="J187" s="27">
        <f>IF($B187="","",IF($A187=1,$C$7,IF(J186="",0,J186))+IF($H187="",0,$H187)-IF($I187="",0,$I187))</f>
        <v/>
      </c>
      <c r="K187" s="27">
        <f>IF($P187="","",IF(INDEX(EntryMan,$P187)=0,"",INDEX(EntryMan,$P187)))</f>
        <v/>
      </c>
      <c r="L187" s="26">
        <f>IF($B187="","",IF($K187="","—",IF(ROUND($K187-$J187,0)=0,"√","×")))</f>
        <v/>
      </c>
      <c r="M187" s="26">
        <f>IF($B187="","",IF(COUNTIFS(EntryDates,$B187,CalcTime,$C187,CalcBank,$C$5,EntryParty,$D187,EntryDep,$H187,EntryWit,$I187)&gt;1,"تکرار",""))</f>
        <v/>
      </c>
      <c r="N187" s="26">
        <f>IF($P187="","",IF(INDEX(EntryNotes,$P187)=0,"",INDEX(EntryNotes,$P187)))</f>
        <v/>
      </c>
      <c r="O187" s="26">
        <f>IF($P187="","",IF(INDEX(EntryTxnID,$P187)=0,"",INDEX(EntryTxnID,$P187)))</f>
        <v/>
      </c>
      <c r="P187" s="26">
        <f>IFERROR(MATCH($C$5&amp;"|"&amp;RIGHT("000000"&amp;171,6),CalcRankKey,0),"")</f>
        <v/>
      </c>
    </row>
    <row r="188">
      <c r="A188" s="28">
        <f>IF($B188="","",172)</f>
        <v/>
      </c>
      <c r="B188" s="28">
        <f>IF($P188="","",IF(INDEX(CalcNormDate,$P188)=0,"",INDEX(CalcNormDate,$P188)))</f>
        <v/>
      </c>
      <c r="C188" s="28">
        <f>IF($P188="","",IF(INDEX(CalcTime,$P188)=0,"",INDEX(CalcTime,$P188)))</f>
        <v/>
      </c>
      <c r="D188" s="28">
        <f>IF($P188="","",IF(INDEX(EntryParty,$P188)=0,"",INDEX(EntryParty,$P188)))</f>
        <v/>
      </c>
      <c r="E188" s="28">
        <f>IF($P188="","",IF(INDEX(EntryPartyName,$P188)=0,"",INDEX(EntryPartyName,$P188)))</f>
        <v/>
      </c>
      <c r="F188" s="28">
        <f>IF($P188="","",IF(INDEX(EntryPartyType,$P188)=0,"",INDEX(EntryPartyType,$P188)))</f>
        <v/>
      </c>
      <c r="G188" s="28">
        <f>IF($P188="","",IF(INDEX(EntryTxnType,$P188)=0,"",INDEX(EntryTxnType,$P188)))</f>
        <v/>
      </c>
      <c r="H188" s="29">
        <f>IF($P188="","",IF(INDEX(EntryDep,$P188)=0,"",INDEX(EntryDep,$P188)))</f>
        <v/>
      </c>
      <c r="I188" s="29">
        <f>IF($P188="","",IF(INDEX(EntryWit,$P188)=0,"",INDEX(EntryWit,$P188)))</f>
        <v/>
      </c>
      <c r="J188" s="29">
        <f>IF($B188="","",IF($A188=1,$C$7,IF(J187="",0,J187))+IF($H188="",0,$H188)-IF($I188="",0,$I188))</f>
        <v/>
      </c>
      <c r="K188" s="29">
        <f>IF($P188="","",IF(INDEX(EntryMan,$P188)=0,"",INDEX(EntryMan,$P188)))</f>
        <v/>
      </c>
      <c r="L188" s="28">
        <f>IF($B188="","",IF($K188="","—",IF(ROUND($K188-$J188,0)=0,"√","×")))</f>
        <v/>
      </c>
      <c r="M188" s="28">
        <f>IF($B188="","",IF(COUNTIFS(EntryDates,$B188,CalcTime,$C188,CalcBank,$C$5,EntryParty,$D188,EntryDep,$H188,EntryWit,$I188)&gt;1,"تکرار",""))</f>
        <v/>
      </c>
      <c r="N188" s="28">
        <f>IF($P188="","",IF(INDEX(EntryNotes,$P188)=0,"",INDEX(EntryNotes,$P188)))</f>
        <v/>
      </c>
      <c r="O188" s="28">
        <f>IF($P188="","",IF(INDEX(EntryTxnID,$P188)=0,"",INDEX(EntryTxnID,$P188)))</f>
        <v/>
      </c>
      <c r="P188" s="28">
        <f>IFERROR(MATCH($C$5&amp;"|"&amp;RIGHT("000000"&amp;172,6),CalcRankKey,0),"")</f>
        <v/>
      </c>
    </row>
    <row r="189">
      <c r="A189" s="26">
        <f>IF($B189="","",173)</f>
        <v/>
      </c>
      <c r="B189" s="26">
        <f>IF($P189="","",IF(INDEX(CalcNormDate,$P189)=0,"",INDEX(CalcNormDate,$P189)))</f>
        <v/>
      </c>
      <c r="C189" s="26">
        <f>IF($P189="","",IF(INDEX(CalcTime,$P189)=0,"",INDEX(CalcTime,$P189)))</f>
        <v/>
      </c>
      <c r="D189" s="26">
        <f>IF($P189="","",IF(INDEX(EntryParty,$P189)=0,"",INDEX(EntryParty,$P189)))</f>
        <v/>
      </c>
      <c r="E189" s="26">
        <f>IF($P189="","",IF(INDEX(EntryPartyName,$P189)=0,"",INDEX(EntryPartyName,$P189)))</f>
        <v/>
      </c>
      <c r="F189" s="26">
        <f>IF($P189="","",IF(INDEX(EntryPartyType,$P189)=0,"",INDEX(EntryPartyType,$P189)))</f>
        <v/>
      </c>
      <c r="G189" s="26">
        <f>IF($P189="","",IF(INDEX(EntryTxnType,$P189)=0,"",INDEX(EntryTxnType,$P189)))</f>
        <v/>
      </c>
      <c r="H189" s="27">
        <f>IF($P189="","",IF(INDEX(EntryDep,$P189)=0,"",INDEX(EntryDep,$P189)))</f>
        <v/>
      </c>
      <c r="I189" s="27">
        <f>IF($P189="","",IF(INDEX(EntryWit,$P189)=0,"",INDEX(EntryWit,$P189)))</f>
        <v/>
      </c>
      <c r="J189" s="27">
        <f>IF($B189="","",IF($A189=1,$C$7,IF(J188="",0,J188))+IF($H189="",0,$H189)-IF($I189="",0,$I189))</f>
        <v/>
      </c>
      <c r="K189" s="27">
        <f>IF($P189="","",IF(INDEX(EntryMan,$P189)=0,"",INDEX(EntryMan,$P189)))</f>
        <v/>
      </c>
      <c r="L189" s="26">
        <f>IF($B189="","",IF($K189="","—",IF(ROUND($K189-$J189,0)=0,"√","×")))</f>
        <v/>
      </c>
      <c r="M189" s="26">
        <f>IF($B189="","",IF(COUNTIFS(EntryDates,$B189,CalcTime,$C189,CalcBank,$C$5,EntryParty,$D189,EntryDep,$H189,EntryWit,$I189)&gt;1,"تکرار",""))</f>
        <v/>
      </c>
      <c r="N189" s="26">
        <f>IF($P189="","",IF(INDEX(EntryNotes,$P189)=0,"",INDEX(EntryNotes,$P189)))</f>
        <v/>
      </c>
      <c r="O189" s="26">
        <f>IF($P189="","",IF(INDEX(EntryTxnID,$P189)=0,"",INDEX(EntryTxnID,$P189)))</f>
        <v/>
      </c>
      <c r="P189" s="26">
        <f>IFERROR(MATCH($C$5&amp;"|"&amp;RIGHT("000000"&amp;173,6),CalcRankKey,0),"")</f>
        <v/>
      </c>
    </row>
    <row r="190">
      <c r="A190" s="28">
        <f>IF($B190="","",174)</f>
        <v/>
      </c>
      <c r="B190" s="28">
        <f>IF($P190="","",IF(INDEX(CalcNormDate,$P190)=0,"",INDEX(CalcNormDate,$P190)))</f>
        <v/>
      </c>
      <c r="C190" s="28">
        <f>IF($P190="","",IF(INDEX(CalcTime,$P190)=0,"",INDEX(CalcTime,$P190)))</f>
        <v/>
      </c>
      <c r="D190" s="28">
        <f>IF($P190="","",IF(INDEX(EntryParty,$P190)=0,"",INDEX(EntryParty,$P190)))</f>
        <v/>
      </c>
      <c r="E190" s="28">
        <f>IF($P190="","",IF(INDEX(EntryPartyName,$P190)=0,"",INDEX(EntryPartyName,$P190)))</f>
        <v/>
      </c>
      <c r="F190" s="28">
        <f>IF($P190="","",IF(INDEX(EntryPartyType,$P190)=0,"",INDEX(EntryPartyType,$P190)))</f>
        <v/>
      </c>
      <c r="G190" s="28">
        <f>IF($P190="","",IF(INDEX(EntryTxnType,$P190)=0,"",INDEX(EntryTxnType,$P190)))</f>
        <v/>
      </c>
      <c r="H190" s="29">
        <f>IF($P190="","",IF(INDEX(EntryDep,$P190)=0,"",INDEX(EntryDep,$P190)))</f>
        <v/>
      </c>
      <c r="I190" s="29">
        <f>IF($P190="","",IF(INDEX(EntryWit,$P190)=0,"",INDEX(EntryWit,$P190)))</f>
        <v/>
      </c>
      <c r="J190" s="29">
        <f>IF($B190="","",IF($A190=1,$C$7,IF(J189="",0,J189))+IF($H190="",0,$H190)-IF($I190="",0,$I190))</f>
        <v/>
      </c>
      <c r="K190" s="29">
        <f>IF($P190="","",IF(INDEX(EntryMan,$P190)=0,"",INDEX(EntryMan,$P190)))</f>
        <v/>
      </c>
      <c r="L190" s="28">
        <f>IF($B190="","",IF($K190="","—",IF(ROUND($K190-$J190,0)=0,"√","×")))</f>
        <v/>
      </c>
      <c r="M190" s="28">
        <f>IF($B190="","",IF(COUNTIFS(EntryDates,$B190,CalcTime,$C190,CalcBank,$C$5,EntryParty,$D190,EntryDep,$H190,EntryWit,$I190)&gt;1,"تکرار",""))</f>
        <v/>
      </c>
      <c r="N190" s="28">
        <f>IF($P190="","",IF(INDEX(EntryNotes,$P190)=0,"",INDEX(EntryNotes,$P190)))</f>
        <v/>
      </c>
      <c r="O190" s="28">
        <f>IF($P190="","",IF(INDEX(EntryTxnID,$P190)=0,"",INDEX(EntryTxnID,$P190)))</f>
        <v/>
      </c>
      <c r="P190" s="28">
        <f>IFERROR(MATCH($C$5&amp;"|"&amp;RIGHT("000000"&amp;174,6),CalcRankKey,0),"")</f>
        <v/>
      </c>
    </row>
    <row r="191">
      <c r="A191" s="26">
        <f>IF($B191="","",175)</f>
        <v/>
      </c>
      <c r="B191" s="26">
        <f>IF($P191="","",IF(INDEX(CalcNormDate,$P191)=0,"",INDEX(CalcNormDate,$P191)))</f>
        <v/>
      </c>
      <c r="C191" s="26">
        <f>IF($P191="","",IF(INDEX(CalcTime,$P191)=0,"",INDEX(CalcTime,$P191)))</f>
        <v/>
      </c>
      <c r="D191" s="26">
        <f>IF($P191="","",IF(INDEX(EntryParty,$P191)=0,"",INDEX(EntryParty,$P191)))</f>
        <v/>
      </c>
      <c r="E191" s="26">
        <f>IF($P191="","",IF(INDEX(EntryPartyName,$P191)=0,"",INDEX(EntryPartyName,$P191)))</f>
        <v/>
      </c>
      <c r="F191" s="26">
        <f>IF($P191="","",IF(INDEX(EntryPartyType,$P191)=0,"",INDEX(EntryPartyType,$P191)))</f>
        <v/>
      </c>
      <c r="G191" s="26">
        <f>IF($P191="","",IF(INDEX(EntryTxnType,$P191)=0,"",INDEX(EntryTxnType,$P191)))</f>
        <v/>
      </c>
      <c r="H191" s="27">
        <f>IF($P191="","",IF(INDEX(EntryDep,$P191)=0,"",INDEX(EntryDep,$P191)))</f>
        <v/>
      </c>
      <c r="I191" s="27">
        <f>IF($P191="","",IF(INDEX(EntryWit,$P191)=0,"",INDEX(EntryWit,$P191)))</f>
        <v/>
      </c>
      <c r="J191" s="27">
        <f>IF($B191="","",IF($A191=1,$C$7,IF(J190="",0,J190))+IF($H191="",0,$H191)-IF($I191="",0,$I191))</f>
        <v/>
      </c>
      <c r="K191" s="27">
        <f>IF($P191="","",IF(INDEX(EntryMan,$P191)=0,"",INDEX(EntryMan,$P191)))</f>
        <v/>
      </c>
      <c r="L191" s="26">
        <f>IF($B191="","",IF($K191="","—",IF(ROUND($K191-$J191,0)=0,"√","×")))</f>
        <v/>
      </c>
      <c r="M191" s="26">
        <f>IF($B191="","",IF(COUNTIFS(EntryDates,$B191,CalcTime,$C191,CalcBank,$C$5,EntryParty,$D191,EntryDep,$H191,EntryWit,$I191)&gt;1,"تکرار",""))</f>
        <v/>
      </c>
      <c r="N191" s="26">
        <f>IF($P191="","",IF(INDEX(EntryNotes,$P191)=0,"",INDEX(EntryNotes,$P191)))</f>
        <v/>
      </c>
      <c r="O191" s="26">
        <f>IF($P191="","",IF(INDEX(EntryTxnID,$P191)=0,"",INDEX(EntryTxnID,$P191)))</f>
        <v/>
      </c>
      <c r="P191" s="26">
        <f>IFERROR(MATCH($C$5&amp;"|"&amp;RIGHT("000000"&amp;175,6),CalcRankKey,0),"")</f>
        <v/>
      </c>
    </row>
    <row r="192">
      <c r="A192" s="28">
        <f>IF($B192="","",176)</f>
        <v/>
      </c>
      <c r="B192" s="28">
        <f>IF($P192="","",IF(INDEX(CalcNormDate,$P192)=0,"",INDEX(CalcNormDate,$P192)))</f>
        <v/>
      </c>
      <c r="C192" s="28">
        <f>IF($P192="","",IF(INDEX(CalcTime,$P192)=0,"",INDEX(CalcTime,$P192)))</f>
        <v/>
      </c>
      <c r="D192" s="28">
        <f>IF($P192="","",IF(INDEX(EntryParty,$P192)=0,"",INDEX(EntryParty,$P192)))</f>
        <v/>
      </c>
      <c r="E192" s="28">
        <f>IF($P192="","",IF(INDEX(EntryPartyName,$P192)=0,"",INDEX(EntryPartyName,$P192)))</f>
        <v/>
      </c>
      <c r="F192" s="28">
        <f>IF($P192="","",IF(INDEX(EntryPartyType,$P192)=0,"",INDEX(EntryPartyType,$P192)))</f>
        <v/>
      </c>
      <c r="G192" s="28">
        <f>IF($P192="","",IF(INDEX(EntryTxnType,$P192)=0,"",INDEX(EntryTxnType,$P192)))</f>
        <v/>
      </c>
      <c r="H192" s="29">
        <f>IF($P192="","",IF(INDEX(EntryDep,$P192)=0,"",INDEX(EntryDep,$P192)))</f>
        <v/>
      </c>
      <c r="I192" s="29">
        <f>IF($P192="","",IF(INDEX(EntryWit,$P192)=0,"",INDEX(EntryWit,$P192)))</f>
        <v/>
      </c>
      <c r="J192" s="29">
        <f>IF($B192="","",IF($A192=1,$C$7,IF(J191="",0,J191))+IF($H192="",0,$H192)-IF($I192="",0,$I192))</f>
        <v/>
      </c>
      <c r="K192" s="29">
        <f>IF($P192="","",IF(INDEX(EntryMan,$P192)=0,"",INDEX(EntryMan,$P192)))</f>
        <v/>
      </c>
      <c r="L192" s="28">
        <f>IF($B192="","",IF($K192="","—",IF(ROUND($K192-$J192,0)=0,"√","×")))</f>
        <v/>
      </c>
      <c r="M192" s="28">
        <f>IF($B192="","",IF(COUNTIFS(EntryDates,$B192,CalcTime,$C192,CalcBank,$C$5,EntryParty,$D192,EntryDep,$H192,EntryWit,$I192)&gt;1,"تکرار",""))</f>
        <v/>
      </c>
      <c r="N192" s="28">
        <f>IF($P192="","",IF(INDEX(EntryNotes,$P192)=0,"",INDEX(EntryNotes,$P192)))</f>
        <v/>
      </c>
      <c r="O192" s="28">
        <f>IF($P192="","",IF(INDEX(EntryTxnID,$P192)=0,"",INDEX(EntryTxnID,$P192)))</f>
        <v/>
      </c>
      <c r="P192" s="28">
        <f>IFERROR(MATCH($C$5&amp;"|"&amp;RIGHT("000000"&amp;176,6),CalcRankKey,0),"")</f>
        <v/>
      </c>
    </row>
    <row r="193">
      <c r="A193" s="26">
        <f>IF($B193="","",177)</f>
        <v/>
      </c>
      <c r="B193" s="26">
        <f>IF($P193="","",IF(INDEX(CalcNormDate,$P193)=0,"",INDEX(CalcNormDate,$P193)))</f>
        <v/>
      </c>
      <c r="C193" s="26">
        <f>IF($P193="","",IF(INDEX(CalcTime,$P193)=0,"",INDEX(CalcTime,$P193)))</f>
        <v/>
      </c>
      <c r="D193" s="26">
        <f>IF($P193="","",IF(INDEX(EntryParty,$P193)=0,"",INDEX(EntryParty,$P193)))</f>
        <v/>
      </c>
      <c r="E193" s="26">
        <f>IF($P193="","",IF(INDEX(EntryPartyName,$P193)=0,"",INDEX(EntryPartyName,$P193)))</f>
        <v/>
      </c>
      <c r="F193" s="26">
        <f>IF($P193="","",IF(INDEX(EntryPartyType,$P193)=0,"",INDEX(EntryPartyType,$P193)))</f>
        <v/>
      </c>
      <c r="G193" s="26">
        <f>IF($P193="","",IF(INDEX(EntryTxnType,$P193)=0,"",INDEX(EntryTxnType,$P193)))</f>
        <v/>
      </c>
      <c r="H193" s="27">
        <f>IF($P193="","",IF(INDEX(EntryDep,$P193)=0,"",INDEX(EntryDep,$P193)))</f>
        <v/>
      </c>
      <c r="I193" s="27">
        <f>IF($P193="","",IF(INDEX(EntryWit,$P193)=0,"",INDEX(EntryWit,$P193)))</f>
        <v/>
      </c>
      <c r="J193" s="27">
        <f>IF($B193="","",IF($A193=1,$C$7,IF(J192="",0,J192))+IF($H193="",0,$H193)-IF($I193="",0,$I193))</f>
        <v/>
      </c>
      <c r="K193" s="27">
        <f>IF($P193="","",IF(INDEX(EntryMan,$P193)=0,"",INDEX(EntryMan,$P193)))</f>
        <v/>
      </c>
      <c r="L193" s="26">
        <f>IF($B193="","",IF($K193="","—",IF(ROUND($K193-$J193,0)=0,"√","×")))</f>
        <v/>
      </c>
      <c r="M193" s="26">
        <f>IF($B193="","",IF(COUNTIFS(EntryDates,$B193,CalcTime,$C193,CalcBank,$C$5,EntryParty,$D193,EntryDep,$H193,EntryWit,$I193)&gt;1,"تکرار",""))</f>
        <v/>
      </c>
      <c r="N193" s="26">
        <f>IF($P193="","",IF(INDEX(EntryNotes,$P193)=0,"",INDEX(EntryNotes,$P193)))</f>
        <v/>
      </c>
      <c r="O193" s="26">
        <f>IF($P193="","",IF(INDEX(EntryTxnID,$P193)=0,"",INDEX(EntryTxnID,$P193)))</f>
        <v/>
      </c>
      <c r="P193" s="26">
        <f>IFERROR(MATCH($C$5&amp;"|"&amp;RIGHT("000000"&amp;177,6),CalcRankKey,0),"")</f>
        <v/>
      </c>
    </row>
    <row r="194">
      <c r="A194" s="28">
        <f>IF($B194="","",178)</f>
        <v/>
      </c>
      <c r="B194" s="28">
        <f>IF($P194="","",IF(INDEX(CalcNormDate,$P194)=0,"",INDEX(CalcNormDate,$P194)))</f>
        <v/>
      </c>
      <c r="C194" s="28">
        <f>IF($P194="","",IF(INDEX(CalcTime,$P194)=0,"",INDEX(CalcTime,$P194)))</f>
        <v/>
      </c>
      <c r="D194" s="28">
        <f>IF($P194="","",IF(INDEX(EntryParty,$P194)=0,"",INDEX(EntryParty,$P194)))</f>
        <v/>
      </c>
      <c r="E194" s="28">
        <f>IF($P194="","",IF(INDEX(EntryPartyName,$P194)=0,"",INDEX(EntryPartyName,$P194)))</f>
        <v/>
      </c>
      <c r="F194" s="28">
        <f>IF($P194="","",IF(INDEX(EntryPartyType,$P194)=0,"",INDEX(EntryPartyType,$P194)))</f>
        <v/>
      </c>
      <c r="G194" s="28">
        <f>IF($P194="","",IF(INDEX(EntryTxnType,$P194)=0,"",INDEX(EntryTxnType,$P194)))</f>
        <v/>
      </c>
      <c r="H194" s="29">
        <f>IF($P194="","",IF(INDEX(EntryDep,$P194)=0,"",INDEX(EntryDep,$P194)))</f>
        <v/>
      </c>
      <c r="I194" s="29">
        <f>IF($P194="","",IF(INDEX(EntryWit,$P194)=0,"",INDEX(EntryWit,$P194)))</f>
        <v/>
      </c>
      <c r="J194" s="29">
        <f>IF($B194="","",IF($A194=1,$C$7,IF(J193="",0,J193))+IF($H194="",0,$H194)-IF($I194="",0,$I194))</f>
        <v/>
      </c>
      <c r="K194" s="29">
        <f>IF($P194="","",IF(INDEX(EntryMan,$P194)=0,"",INDEX(EntryMan,$P194)))</f>
        <v/>
      </c>
      <c r="L194" s="28">
        <f>IF($B194="","",IF($K194="","—",IF(ROUND($K194-$J194,0)=0,"√","×")))</f>
        <v/>
      </c>
      <c r="M194" s="28">
        <f>IF($B194="","",IF(COUNTIFS(EntryDates,$B194,CalcTime,$C194,CalcBank,$C$5,EntryParty,$D194,EntryDep,$H194,EntryWit,$I194)&gt;1,"تکرار",""))</f>
        <v/>
      </c>
      <c r="N194" s="28">
        <f>IF($P194="","",IF(INDEX(EntryNotes,$P194)=0,"",INDEX(EntryNotes,$P194)))</f>
        <v/>
      </c>
      <c r="O194" s="28">
        <f>IF($P194="","",IF(INDEX(EntryTxnID,$P194)=0,"",INDEX(EntryTxnID,$P194)))</f>
        <v/>
      </c>
      <c r="P194" s="28">
        <f>IFERROR(MATCH($C$5&amp;"|"&amp;RIGHT("000000"&amp;178,6),CalcRankKey,0),"")</f>
        <v/>
      </c>
    </row>
    <row r="195">
      <c r="A195" s="26">
        <f>IF($B195="","",179)</f>
        <v/>
      </c>
      <c r="B195" s="26">
        <f>IF($P195="","",IF(INDEX(CalcNormDate,$P195)=0,"",INDEX(CalcNormDate,$P195)))</f>
        <v/>
      </c>
      <c r="C195" s="26">
        <f>IF($P195="","",IF(INDEX(CalcTime,$P195)=0,"",INDEX(CalcTime,$P195)))</f>
        <v/>
      </c>
      <c r="D195" s="26">
        <f>IF($P195="","",IF(INDEX(EntryParty,$P195)=0,"",INDEX(EntryParty,$P195)))</f>
        <v/>
      </c>
      <c r="E195" s="26">
        <f>IF($P195="","",IF(INDEX(EntryPartyName,$P195)=0,"",INDEX(EntryPartyName,$P195)))</f>
        <v/>
      </c>
      <c r="F195" s="26">
        <f>IF($P195="","",IF(INDEX(EntryPartyType,$P195)=0,"",INDEX(EntryPartyType,$P195)))</f>
        <v/>
      </c>
      <c r="G195" s="26">
        <f>IF($P195="","",IF(INDEX(EntryTxnType,$P195)=0,"",INDEX(EntryTxnType,$P195)))</f>
        <v/>
      </c>
      <c r="H195" s="27">
        <f>IF($P195="","",IF(INDEX(EntryDep,$P195)=0,"",INDEX(EntryDep,$P195)))</f>
        <v/>
      </c>
      <c r="I195" s="27">
        <f>IF($P195="","",IF(INDEX(EntryWit,$P195)=0,"",INDEX(EntryWit,$P195)))</f>
        <v/>
      </c>
      <c r="J195" s="27">
        <f>IF($B195="","",IF($A195=1,$C$7,IF(J194="",0,J194))+IF($H195="",0,$H195)-IF($I195="",0,$I195))</f>
        <v/>
      </c>
      <c r="K195" s="27">
        <f>IF($P195="","",IF(INDEX(EntryMan,$P195)=0,"",INDEX(EntryMan,$P195)))</f>
        <v/>
      </c>
      <c r="L195" s="26">
        <f>IF($B195="","",IF($K195="","—",IF(ROUND($K195-$J195,0)=0,"√","×")))</f>
        <v/>
      </c>
      <c r="M195" s="26">
        <f>IF($B195="","",IF(COUNTIFS(EntryDates,$B195,CalcTime,$C195,CalcBank,$C$5,EntryParty,$D195,EntryDep,$H195,EntryWit,$I195)&gt;1,"تکرار",""))</f>
        <v/>
      </c>
      <c r="N195" s="26">
        <f>IF($P195="","",IF(INDEX(EntryNotes,$P195)=0,"",INDEX(EntryNotes,$P195)))</f>
        <v/>
      </c>
      <c r="O195" s="26">
        <f>IF($P195="","",IF(INDEX(EntryTxnID,$P195)=0,"",INDEX(EntryTxnID,$P195)))</f>
        <v/>
      </c>
      <c r="P195" s="26">
        <f>IFERROR(MATCH($C$5&amp;"|"&amp;RIGHT("000000"&amp;179,6),CalcRankKey,0),"")</f>
        <v/>
      </c>
    </row>
    <row r="196">
      <c r="A196" s="28">
        <f>IF($B196="","",180)</f>
        <v/>
      </c>
      <c r="B196" s="28">
        <f>IF($P196="","",IF(INDEX(CalcNormDate,$P196)=0,"",INDEX(CalcNormDate,$P196)))</f>
        <v/>
      </c>
      <c r="C196" s="28">
        <f>IF($P196="","",IF(INDEX(CalcTime,$P196)=0,"",INDEX(CalcTime,$P196)))</f>
        <v/>
      </c>
      <c r="D196" s="28">
        <f>IF($P196="","",IF(INDEX(EntryParty,$P196)=0,"",INDEX(EntryParty,$P196)))</f>
        <v/>
      </c>
      <c r="E196" s="28">
        <f>IF($P196="","",IF(INDEX(EntryPartyName,$P196)=0,"",INDEX(EntryPartyName,$P196)))</f>
        <v/>
      </c>
      <c r="F196" s="28">
        <f>IF($P196="","",IF(INDEX(EntryPartyType,$P196)=0,"",INDEX(EntryPartyType,$P196)))</f>
        <v/>
      </c>
      <c r="G196" s="28">
        <f>IF($P196="","",IF(INDEX(EntryTxnType,$P196)=0,"",INDEX(EntryTxnType,$P196)))</f>
        <v/>
      </c>
      <c r="H196" s="29">
        <f>IF($P196="","",IF(INDEX(EntryDep,$P196)=0,"",INDEX(EntryDep,$P196)))</f>
        <v/>
      </c>
      <c r="I196" s="29">
        <f>IF($P196="","",IF(INDEX(EntryWit,$P196)=0,"",INDEX(EntryWit,$P196)))</f>
        <v/>
      </c>
      <c r="J196" s="29">
        <f>IF($B196="","",IF($A196=1,$C$7,IF(J195="",0,J195))+IF($H196="",0,$H196)-IF($I196="",0,$I196))</f>
        <v/>
      </c>
      <c r="K196" s="29">
        <f>IF($P196="","",IF(INDEX(EntryMan,$P196)=0,"",INDEX(EntryMan,$P196)))</f>
        <v/>
      </c>
      <c r="L196" s="28">
        <f>IF($B196="","",IF($K196="","—",IF(ROUND($K196-$J196,0)=0,"√","×")))</f>
        <v/>
      </c>
      <c r="M196" s="28">
        <f>IF($B196="","",IF(COUNTIFS(EntryDates,$B196,CalcTime,$C196,CalcBank,$C$5,EntryParty,$D196,EntryDep,$H196,EntryWit,$I196)&gt;1,"تکرار",""))</f>
        <v/>
      </c>
      <c r="N196" s="28">
        <f>IF($P196="","",IF(INDEX(EntryNotes,$P196)=0,"",INDEX(EntryNotes,$P196)))</f>
        <v/>
      </c>
      <c r="O196" s="28">
        <f>IF($P196="","",IF(INDEX(EntryTxnID,$P196)=0,"",INDEX(EntryTxnID,$P196)))</f>
        <v/>
      </c>
      <c r="P196" s="28">
        <f>IFERROR(MATCH($C$5&amp;"|"&amp;RIGHT("000000"&amp;180,6),CalcRankKey,0),"")</f>
        <v/>
      </c>
    </row>
    <row r="197">
      <c r="A197" s="26">
        <f>IF($B197="","",181)</f>
        <v/>
      </c>
      <c r="B197" s="26">
        <f>IF($P197="","",IF(INDEX(CalcNormDate,$P197)=0,"",INDEX(CalcNormDate,$P197)))</f>
        <v/>
      </c>
      <c r="C197" s="26">
        <f>IF($P197="","",IF(INDEX(CalcTime,$P197)=0,"",INDEX(CalcTime,$P197)))</f>
        <v/>
      </c>
      <c r="D197" s="26">
        <f>IF($P197="","",IF(INDEX(EntryParty,$P197)=0,"",INDEX(EntryParty,$P197)))</f>
        <v/>
      </c>
      <c r="E197" s="26">
        <f>IF($P197="","",IF(INDEX(EntryPartyName,$P197)=0,"",INDEX(EntryPartyName,$P197)))</f>
        <v/>
      </c>
      <c r="F197" s="26">
        <f>IF($P197="","",IF(INDEX(EntryPartyType,$P197)=0,"",INDEX(EntryPartyType,$P197)))</f>
        <v/>
      </c>
      <c r="G197" s="26">
        <f>IF($P197="","",IF(INDEX(EntryTxnType,$P197)=0,"",INDEX(EntryTxnType,$P197)))</f>
        <v/>
      </c>
      <c r="H197" s="27">
        <f>IF($P197="","",IF(INDEX(EntryDep,$P197)=0,"",INDEX(EntryDep,$P197)))</f>
        <v/>
      </c>
      <c r="I197" s="27">
        <f>IF($P197="","",IF(INDEX(EntryWit,$P197)=0,"",INDEX(EntryWit,$P197)))</f>
        <v/>
      </c>
      <c r="J197" s="27">
        <f>IF($B197="","",IF($A197=1,$C$7,IF(J196="",0,J196))+IF($H197="",0,$H197)-IF($I197="",0,$I197))</f>
        <v/>
      </c>
      <c r="K197" s="27">
        <f>IF($P197="","",IF(INDEX(EntryMan,$P197)=0,"",INDEX(EntryMan,$P197)))</f>
        <v/>
      </c>
      <c r="L197" s="26">
        <f>IF($B197="","",IF($K197="","—",IF(ROUND($K197-$J197,0)=0,"√","×")))</f>
        <v/>
      </c>
      <c r="M197" s="26">
        <f>IF($B197="","",IF(COUNTIFS(EntryDates,$B197,CalcTime,$C197,CalcBank,$C$5,EntryParty,$D197,EntryDep,$H197,EntryWit,$I197)&gt;1,"تکرار",""))</f>
        <v/>
      </c>
      <c r="N197" s="26">
        <f>IF($P197="","",IF(INDEX(EntryNotes,$P197)=0,"",INDEX(EntryNotes,$P197)))</f>
        <v/>
      </c>
      <c r="O197" s="26">
        <f>IF($P197="","",IF(INDEX(EntryTxnID,$P197)=0,"",INDEX(EntryTxnID,$P197)))</f>
        <v/>
      </c>
      <c r="P197" s="26">
        <f>IFERROR(MATCH($C$5&amp;"|"&amp;RIGHT("000000"&amp;181,6),CalcRankKey,0),"")</f>
        <v/>
      </c>
    </row>
    <row r="198">
      <c r="A198" s="28">
        <f>IF($B198="","",182)</f>
        <v/>
      </c>
      <c r="B198" s="28">
        <f>IF($P198="","",IF(INDEX(CalcNormDate,$P198)=0,"",INDEX(CalcNormDate,$P198)))</f>
        <v/>
      </c>
      <c r="C198" s="28">
        <f>IF($P198="","",IF(INDEX(CalcTime,$P198)=0,"",INDEX(CalcTime,$P198)))</f>
        <v/>
      </c>
      <c r="D198" s="28">
        <f>IF($P198="","",IF(INDEX(EntryParty,$P198)=0,"",INDEX(EntryParty,$P198)))</f>
        <v/>
      </c>
      <c r="E198" s="28">
        <f>IF($P198="","",IF(INDEX(EntryPartyName,$P198)=0,"",INDEX(EntryPartyName,$P198)))</f>
        <v/>
      </c>
      <c r="F198" s="28">
        <f>IF($P198="","",IF(INDEX(EntryPartyType,$P198)=0,"",INDEX(EntryPartyType,$P198)))</f>
        <v/>
      </c>
      <c r="G198" s="28">
        <f>IF($P198="","",IF(INDEX(EntryTxnType,$P198)=0,"",INDEX(EntryTxnType,$P198)))</f>
        <v/>
      </c>
      <c r="H198" s="29">
        <f>IF($P198="","",IF(INDEX(EntryDep,$P198)=0,"",INDEX(EntryDep,$P198)))</f>
        <v/>
      </c>
      <c r="I198" s="29">
        <f>IF($P198="","",IF(INDEX(EntryWit,$P198)=0,"",INDEX(EntryWit,$P198)))</f>
        <v/>
      </c>
      <c r="J198" s="29">
        <f>IF($B198="","",IF($A198=1,$C$7,IF(J197="",0,J197))+IF($H198="",0,$H198)-IF($I198="",0,$I198))</f>
        <v/>
      </c>
      <c r="K198" s="29">
        <f>IF($P198="","",IF(INDEX(EntryMan,$P198)=0,"",INDEX(EntryMan,$P198)))</f>
        <v/>
      </c>
      <c r="L198" s="28">
        <f>IF($B198="","",IF($K198="","—",IF(ROUND($K198-$J198,0)=0,"√","×")))</f>
        <v/>
      </c>
      <c r="M198" s="28">
        <f>IF($B198="","",IF(COUNTIFS(EntryDates,$B198,CalcTime,$C198,CalcBank,$C$5,EntryParty,$D198,EntryDep,$H198,EntryWit,$I198)&gt;1,"تکرار",""))</f>
        <v/>
      </c>
      <c r="N198" s="28">
        <f>IF($P198="","",IF(INDEX(EntryNotes,$P198)=0,"",INDEX(EntryNotes,$P198)))</f>
        <v/>
      </c>
      <c r="O198" s="28">
        <f>IF($P198="","",IF(INDEX(EntryTxnID,$P198)=0,"",INDEX(EntryTxnID,$P198)))</f>
        <v/>
      </c>
      <c r="P198" s="28">
        <f>IFERROR(MATCH($C$5&amp;"|"&amp;RIGHT("000000"&amp;182,6),CalcRankKey,0),"")</f>
        <v/>
      </c>
    </row>
    <row r="199">
      <c r="A199" s="26">
        <f>IF($B199="","",183)</f>
        <v/>
      </c>
      <c r="B199" s="26">
        <f>IF($P199="","",IF(INDEX(CalcNormDate,$P199)=0,"",INDEX(CalcNormDate,$P199)))</f>
        <v/>
      </c>
      <c r="C199" s="26">
        <f>IF($P199="","",IF(INDEX(CalcTime,$P199)=0,"",INDEX(CalcTime,$P199)))</f>
        <v/>
      </c>
      <c r="D199" s="26">
        <f>IF($P199="","",IF(INDEX(EntryParty,$P199)=0,"",INDEX(EntryParty,$P199)))</f>
        <v/>
      </c>
      <c r="E199" s="26">
        <f>IF($P199="","",IF(INDEX(EntryPartyName,$P199)=0,"",INDEX(EntryPartyName,$P199)))</f>
        <v/>
      </c>
      <c r="F199" s="26">
        <f>IF($P199="","",IF(INDEX(EntryPartyType,$P199)=0,"",INDEX(EntryPartyType,$P199)))</f>
        <v/>
      </c>
      <c r="G199" s="26">
        <f>IF($P199="","",IF(INDEX(EntryTxnType,$P199)=0,"",INDEX(EntryTxnType,$P199)))</f>
        <v/>
      </c>
      <c r="H199" s="27">
        <f>IF($P199="","",IF(INDEX(EntryDep,$P199)=0,"",INDEX(EntryDep,$P199)))</f>
        <v/>
      </c>
      <c r="I199" s="27">
        <f>IF($P199="","",IF(INDEX(EntryWit,$P199)=0,"",INDEX(EntryWit,$P199)))</f>
        <v/>
      </c>
      <c r="J199" s="27">
        <f>IF($B199="","",IF($A199=1,$C$7,IF(J198="",0,J198))+IF($H199="",0,$H199)-IF($I199="",0,$I199))</f>
        <v/>
      </c>
      <c r="K199" s="27">
        <f>IF($P199="","",IF(INDEX(EntryMan,$P199)=0,"",INDEX(EntryMan,$P199)))</f>
        <v/>
      </c>
      <c r="L199" s="26">
        <f>IF($B199="","",IF($K199="","—",IF(ROUND($K199-$J199,0)=0,"√","×")))</f>
        <v/>
      </c>
      <c r="M199" s="26">
        <f>IF($B199="","",IF(COUNTIFS(EntryDates,$B199,CalcTime,$C199,CalcBank,$C$5,EntryParty,$D199,EntryDep,$H199,EntryWit,$I199)&gt;1,"تکرار",""))</f>
        <v/>
      </c>
      <c r="N199" s="26">
        <f>IF($P199="","",IF(INDEX(EntryNotes,$P199)=0,"",INDEX(EntryNotes,$P199)))</f>
        <v/>
      </c>
      <c r="O199" s="26">
        <f>IF($P199="","",IF(INDEX(EntryTxnID,$P199)=0,"",INDEX(EntryTxnID,$P199)))</f>
        <v/>
      </c>
      <c r="P199" s="26">
        <f>IFERROR(MATCH($C$5&amp;"|"&amp;RIGHT("000000"&amp;183,6),CalcRankKey,0),"")</f>
        <v/>
      </c>
    </row>
    <row r="200">
      <c r="A200" s="28">
        <f>IF($B200="","",184)</f>
        <v/>
      </c>
      <c r="B200" s="28">
        <f>IF($P200="","",IF(INDEX(CalcNormDate,$P200)=0,"",INDEX(CalcNormDate,$P200)))</f>
        <v/>
      </c>
      <c r="C200" s="28">
        <f>IF($P200="","",IF(INDEX(CalcTime,$P200)=0,"",INDEX(CalcTime,$P200)))</f>
        <v/>
      </c>
      <c r="D200" s="28">
        <f>IF($P200="","",IF(INDEX(EntryParty,$P200)=0,"",INDEX(EntryParty,$P200)))</f>
        <v/>
      </c>
      <c r="E200" s="28">
        <f>IF($P200="","",IF(INDEX(EntryPartyName,$P200)=0,"",INDEX(EntryPartyName,$P200)))</f>
        <v/>
      </c>
      <c r="F200" s="28">
        <f>IF($P200="","",IF(INDEX(EntryPartyType,$P200)=0,"",INDEX(EntryPartyType,$P200)))</f>
        <v/>
      </c>
      <c r="G200" s="28">
        <f>IF($P200="","",IF(INDEX(EntryTxnType,$P200)=0,"",INDEX(EntryTxnType,$P200)))</f>
        <v/>
      </c>
      <c r="H200" s="29">
        <f>IF($P200="","",IF(INDEX(EntryDep,$P200)=0,"",INDEX(EntryDep,$P200)))</f>
        <v/>
      </c>
      <c r="I200" s="29">
        <f>IF($P200="","",IF(INDEX(EntryWit,$P200)=0,"",INDEX(EntryWit,$P200)))</f>
        <v/>
      </c>
      <c r="J200" s="29">
        <f>IF($B200="","",IF($A200=1,$C$7,IF(J199="",0,J199))+IF($H200="",0,$H200)-IF($I200="",0,$I200))</f>
        <v/>
      </c>
      <c r="K200" s="29">
        <f>IF($P200="","",IF(INDEX(EntryMan,$P200)=0,"",INDEX(EntryMan,$P200)))</f>
        <v/>
      </c>
      <c r="L200" s="28">
        <f>IF($B200="","",IF($K200="","—",IF(ROUND($K200-$J200,0)=0,"√","×")))</f>
        <v/>
      </c>
      <c r="M200" s="28">
        <f>IF($B200="","",IF(COUNTIFS(EntryDates,$B200,CalcTime,$C200,CalcBank,$C$5,EntryParty,$D200,EntryDep,$H200,EntryWit,$I200)&gt;1,"تکرار",""))</f>
        <v/>
      </c>
      <c r="N200" s="28">
        <f>IF($P200="","",IF(INDEX(EntryNotes,$P200)=0,"",INDEX(EntryNotes,$P200)))</f>
        <v/>
      </c>
      <c r="O200" s="28">
        <f>IF($P200="","",IF(INDEX(EntryTxnID,$P200)=0,"",INDEX(EntryTxnID,$P200)))</f>
        <v/>
      </c>
      <c r="P200" s="28">
        <f>IFERROR(MATCH($C$5&amp;"|"&amp;RIGHT("000000"&amp;184,6),CalcRankKey,0),"")</f>
        <v/>
      </c>
    </row>
    <row r="201">
      <c r="A201" s="26">
        <f>IF($B201="","",185)</f>
        <v/>
      </c>
      <c r="B201" s="26">
        <f>IF($P201="","",IF(INDEX(CalcNormDate,$P201)=0,"",INDEX(CalcNormDate,$P201)))</f>
        <v/>
      </c>
      <c r="C201" s="26">
        <f>IF($P201="","",IF(INDEX(CalcTime,$P201)=0,"",INDEX(CalcTime,$P201)))</f>
        <v/>
      </c>
      <c r="D201" s="26">
        <f>IF($P201="","",IF(INDEX(EntryParty,$P201)=0,"",INDEX(EntryParty,$P201)))</f>
        <v/>
      </c>
      <c r="E201" s="26">
        <f>IF($P201="","",IF(INDEX(EntryPartyName,$P201)=0,"",INDEX(EntryPartyName,$P201)))</f>
        <v/>
      </c>
      <c r="F201" s="26">
        <f>IF($P201="","",IF(INDEX(EntryPartyType,$P201)=0,"",INDEX(EntryPartyType,$P201)))</f>
        <v/>
      </c>
      <c r="G201" s="26">
        <f>IF($P201="","",IF(INDEX(EntryTxnType,$P201)=0,"",INDEX(EntryTxnType,$P201)))</f>
        <v/>
      </c>
      <c r="H201" s="27">
        <f>IF($P201="","",IF(INDEX(EntryDep,$P201)=0,"",INDEX(EntryDep,$P201)))</f>
        <v/>
      </c>
      <c r="I201" s="27">
        <f>IF($P201="","",IF(INDEX(EntryWit,$P201)=0,"",INDEX(EntryWit,$P201)))</f>
        <v/>
      </c>
      <c r="J201" s="27">
        <f>IF($B201="","",IF($A201=1,$C$7,IF(J200="",0,J200))+IF($H201="",0,$H201)-IF($I201="",0,$I201))</f>
        <v/>
      </c>
      <c r="K201" s="27">
        <f>IF($P201="","",IF(INDEX(EntryMan,$P201)=0,"",INDEX(EntryMan,$P201)))</f>
        <v/>
      </c>
      <c r="L201" s="26">
        <f>IF($B201="","",IF($K201="","—",IF(ROUND($K201-$J201,0)=0,"√","×")))</f>
        <v/>
      </c>
      <c r="M201" s="26">
        <f>IF($B201="","",IF(COUNTIFS(EntryDates,$B201,CalcTime,$C201,CalcBank,$C$5,EntryParty,$D201,EntryDep,$H201,EntryWit,$I201)&gt;1,"تکرار",""))</f>
        <v/>
      </c>
      <c r="N201" s="26">
        <f>IF($P201="","",IF(INDEX(EntryNotes,$P201)=0,"",INDEX(EntryNotes,$P201)))</f>
        <v/>
      </c>
      <c r="O201" s="26">
        <f>IF($P201="","",IF(INDEX(EntryTxnID,$P201)=0,"",INDEX(EntryTxnID,$P201)))</f>
        <v/>
      </c>
      <c r="P201" s="26">
        <f>IFERROR(MATCH($C$5&amp;"|"&amp;RIGHT("000000"&amp;185,6),CalcRankKey,0),"")</f>
        <v/>
      </c>
    </row>
    <row r="202">
      <c r="A202" s="28">
        <f>IF($B202="","",186)</f>
        <v/>
      </c>
      <c r="B202" s="28">
        <f>IF($P202="","",IF(INDEX(CalcNormDate,$P202)=0,"",INDEX(CalcNormDate,$P202)))</f>
        <v/>
      </c>
      <c r="C202" s="28">
        <f>IF($P202="","",IF(INDEX(CalcTime,$P202)=0,"",INDEX(CalcTime,$P202)))</f>
        <v/>
      </c>
      <c r="D202" s="28">
        <f>IF($P202="","",IF(INDEX(EntryParty,$P202)=0,"",INDEX(EntryParty,$P202)))</f>
        <v/>
      </c>
      <c r="E202" s="28">
        <f>IF($P202="","",IF(INDEX(EntryPartyName,$P202)=0,"",INDEX(EntryPartyName,$P202)))</f>
        <v/>
      </c>
      <c r="F202" s="28">
        <f>IF($P202="","",IF(INDEX(EntryPartyType,$P202)=0,"",INDEX(EntryPartyType,$P202)))</f>
        <v/>
      </c>
      <c r="G202" s="28">
        <f>IF($P202="","",IF(INDEX(EntryTxnType,$P202)=0,"",INDEX(EntryTxnType,$P202)))</f>
        <v/>
      </c>
      <c r="H202" s="29">
        <f>IF($P202="","",IF(INDEX(EntryDep,$P202)=0,"",INDEX(EntryDep,$P202)))</f>
        <v/>
      </c>
      <c r="I202" s="29">
        <f>IF($P202="","",IF(INDEX(EntryWit,$P202)=0,"",INDEX(EntryWit,$P202)))</f>
        <v/>
      </c>
      <c r="J202" s="29">
        <f>IF($B202="","",IF($A202=1,$C$7,IF(J201="",0,J201))+IF($H202="",0,$H202)-IF($I202="",0,$I202))</f>
        <v/>
      </c>
      <c r="K202" s="29">
        <f>IF($P202="","",IF(INDEX(EntryMan,$P202)=0,"",INDEX(EntryMan,$P202)))</f>
        <v/>
      </c>
      <c r="L202" s="28">
        <f>IF($B202="","",IF($K202="","—",IF(ROUND($K202-$J202,0)=0,"√","×")))</f>
        <v/>
      </c>
      <c r="M202" s="28">
        <f>IF($B202="","",IF(COUNTIFS(EntryDates,$B202,CalcTime,$C202,CalcBank,$C$5,EntryParty,$D202,EntryDep,$H202,EntryWit,$I202)&gt;1,"تکرار",""))</f>
        <v/>
      </c>
      <c r="N202" s="28">
        <f>IF($P202="","",IF(INDEX(EntryNotes,$P202)=0,"",INDEX(EntryNotes,$P202)))</f>
        <v/>
      </c>
      <c r="O202" s="28">
        <f>IF($P202="","",IF(INDEX(EntryTxnID,$P202)=0,"",INDEX(EntryTxnID,$P202)))</f>
        <v/>
      </c>
      <c r="P202" s="28">
        <f>IFERROR(MATCH($C$5&amp;"|"&amp;RIGHT("000000"&amp;186,6),CalcRankKey,0),"")</f>
        <v/>
      </c>
    </row>
    <row r="203">
      <c r="A203" s="26">
        <f>IF($B203="","",187)</f>
        <v/>
      </c>
      <c r="B203" s="26">
        <f>IF($P203="","",IF(INDEX(CalcNormDate,$P203)=0,"",INDEX(CalcNormDate,$P203)))</f>
        <v/>
      </c>
      <c r="C203" s="26">
        <f>IF($P203="","",IF(INDEX(CalcTime,$P203)=0,"",INDEX(CalcTime,$P203)))</f>
        <v/>
      </c>
      <c r="D203" s="26">
        <f>IF($P203="","",IF(INDEX(EntryParty,$P203)=0,"",INDEX(EntryParty,$P203)))</f>
        <v/>
      </c>
      <c r="E203" s="26">
        <f>IF($P203="","",IF(INDEX(EntryPartyName,$P203)=0,"",INDEX(EntryPartyName,$P203)))</f>
        <v/>
      </c>
      <c r="F203" s="26">
        <f>IF($P203="","",IF(INDEX(EntryPartyType,$P203)=0,"",INDEX(EntryPartyType,$P203)))</f>
        <v/>
      </c>
      <c r="G203" s="26">
        <f>IF($P203="","",IF(INDEX(EntryTxnType,$P203)=0,"",INDEX(EntryTxnType,$P203)))</f>
        <v/>
      </c>
      <c r="H203" s="27">
        <f>IF($P203="","",IF(INDEX(EntryDep,$P203)=0,"",INDEX(EntryDep,$P203)))</f>
        <v/>
      </c>
      <c r="I203" s="27">
        <f>IF($P203="","",IF(INDEX(EntryWit,$P203)=0,"",INDEX(EntryWit,$P203)))</f>
        <v/>
      </c>
      <c r="J203" s="27">
        <f>IF($B203="","",IF($A203=1,$C$7,IF(J202="",0,J202))+IF($H203="",0,$H203)-IF($I203="",0,$I203))</f>
        <v/>
      </c>
      <c r="K203" s="27">
        <f>IF($P203="","",IF(INDEX(EntryMan,$P203)=0,"",INDEX(EntryMan,$P203)))</f>
        <v/>
      </c>
      <c r="L203" s="26">
        <f>IF($B203="","",IF($K203="","—",IF(ROUND($K203-$J203,0)=0,"√","×")))</f>
        <v/>
      </c>
      <c r="M203" s="26">
        <f>IF($B203="","",IF(COUNTIFS(EntryDates,$B203,CalcTime,$C203,CalcBank,$C$5,EntryParty,$D203,EntryDep,$H203,EntryWit,$I203)&gt;1,"تکرار",""))</f>
        <v/>
      </c>
      <c r="N203" s="26">
        <f>IF($P203="","",IF(INDEX(EntryNotes,$P203)=0,"",INDEX(EntryNotes,$P203)))</f>
        <v/>
      </c>
      <c r="O203" s="26">
        <f>IF($P203="","",IF(INDEX(EntryTxnID,$P203)=0,"",INDEX(EntryTxnID,$P203)))</f>
        <v/>
      </c>
      <c r="P203" s="26">
        <f>IFERROR(MATCH($C$5&amp;"|"&amp;RIGHT("000000"&amp;187,6),CalcRankKey,0),"")</f>
        <v/>
      </c>
    </row>
    <row r="204">
      <c r="A204" s="28">
        <f>IF($B204="","",188)</f>
        <v/>
      </c>
      <c r="B204" s="28">
        <f>IF($P204="","",IF(INDEX(CalcNormDate,$P204)=0,"",INDEX(CalcNormDate,$P204)))</f>
        <v/>
      </c>
      <c r="C204" s="28">
        <f>IF($P204="","",IF(INDEX(CalcTime,$P204)=0,"",INDEX(CalcTime,$P204)))</f>
        <v/>
      </c>
      <c r="D204" s="28">
        <f>IF($P204="","",IF(INDEX(EntryParty,$P204)=0,"",INDEX(EntryParty,$P204)))</f>
        <v/>
      </c>
      <c r="E204" s="28">
        <f>IF($P204="","",IF(INDEX(EntryPartyName,$P204)=0,"",INDEX(EntryPartyName,$P204)))</f>
        <v/>
      </c>
      <c r="F204" s="28">
        <f>IF($P204="","",IF(INDEX(EntryPartyType,$P204)=0,"",INDEX(EntryPartyType,$P204)))</f>
        <v/>
      </c>
      <c r="G204" s="28">
        <f>IF($P204="","",IF(INDEX(EntryTxnType,$P204)=0,"",INDEX(EntryTxnType,$P204)))</f>
        <v/>
      </c>
      <c r="H204" s="29">
        <f>IF($P204="","",IF(INDEX(EntryDep,$P204)=0,"",INDEX(EntryDep,$P204)))</f>
        <v/>
      </c>
      <c r="I204" s="29">
        <f>IF($P204="","",IF(INDEX(EntryWit,$P204)=0,"",INDEX(EntryWit,$P204)))</f>
        <v/>
      </c>
      <c r="J204" s="29">
        <f>IF($B204="","",IF($A204=1,$C$7,IF(J203="",0,J203))+IF($H204="",0,$H204)-IF($I204="",0,$I204))</f>
        <v/>
      </c>
      <c r="K204" s="29">
        <f>IF($P204="","",IF(INDEX(EntryMan,$P204)=0,"",INDEX(EntryMan,$P204)))</f>
        <v/>
      </c>
      <c r="L204" s="28">
        <f>IF($B204="","",IF($K204="","—",IF(ROUND($K204-$J204,0)=0,"√","×")))</f>
        <v/>
      </c>
      <c r="M204" s="28">
        <f>IF($B204="","",IF(COUNTIFS(EntryDates,$B204,CalcTime,$C204,CalcBank,$C$5,EntryParty,$D204,EntryDep,$H204,EntryWit,$I204)&gt;1,"تکرار",""))</f>
        <v/>
      </c>
      <c r="N204" s="28">
        <f>IF($P204="","",IF(INDEX(EntryNotes,$P204)=0,"",INDEX(EntryNotes,$P204)))</f>
        <v/>
      </c>
      <c r="O204" s="28">
        <f>IF($P204="","",IF(INDEX(EntryTxnID,$P204)=0,"",INDEX(EntryTxnID,$P204)))</f>
        <v/>
      </c>
      <c r="P204" s="28">
        <f>IFERROR(MATCH($C$5&amp;"|"&amp;RIGHT("000000"&amp;188,6),CalcRankKey,0),"")</f>
        <v/>
      </c>
    </row>
    <row r="205">
      <c r="A205" s="26">
        <f>IF($B205="","",189)</f>
        <v/>
      </c>
      <c r="B205" s="26">
        <f>IF($P205="","",IF(INDEX(CalcNormDate,$P205)=0,"",INDEX(CalcNormDate,$P205)))</f>
        <v/>
      </c>
      <c r="C205" s="26">
        <f>IF($P205="","",IF(INDEX(CalcTime,$P205)=0,"",INDEX(CalcTime,$P205)))</f>
        <v/>
      </c>
      <c r="D205" s="26">
        <f>IF($P205="","",IF(INDEX(EntryParty,$P205)=0,"",INDEX(EntryParty,$P205)))</f>
        <v/>
      </c>
      <c r="E205" s="26">
        <f>IF($P205="","",IF(INDEX(EntryPartyName,$P205)=0,"",INDEX(EntryPartyName,$P205)))</f>
        <v/>
      </c>
      <c r="F205" s="26">
        <f>IF($P205="","",IF(INDEX(EntryPartyType,$P205)=0,"",INDEX(EntryPartyType,$P205)))</f>
        <v/>
      </c>
      <c r="G205" s="26">
        <f>IF($P205="","",IF(INDEX(EntryTxnType,$P205)=0,"",INDEX(EntryTxnType,$P205)))</f>
        <v/>
      </c>
      <c r="H205" s="27">
        <f>IF($P205="","",IF(INDEX(EntryDep,$P205)=0,"",INDEX(EntryDep,$P205)))</f>
        <v/>
      </c>
      <c r="I205" s="27">
        <f>IF($P205="","",IF(INDEX(EntryWit,$P205)=0,"",INDEX(EntryWit,$P205)))</f>
        <v/>
      </c>
      <c r="J205" s="27">
        <f>IF($B205="","",IF($A205=1,$C$7,IF(J204="",0,J204))+IF($H205="",0,$H205)-IF($I205="",0,$I205))</f>
        <v/>
      </c>
      <c r="K205" s="27">
        <f>IF($P205="","",IF(INDEX(EntryMan,$P205)=0,"",INDEX(EntryMan,$P205)))</f>
        <v/>
      </c>
      <c r="L205" s="26">
        <f>IF($B205="","",IF($K205="","—",IF(ROUND($K205-$J205,0)=0,"√","×")))</f>
        <v/>
      </c>
      <c r="M205" s="26">
        <f>IF($B205="","",IF(COUNTIFS(EntryDates,$B205,CalcTime,$C205,CalcBank,$C$5,EntryParty,$D205,EntryDep,$H205,EntryWit,$I205)&gt;1,"تکرار",""))</f>
        <v/>
      </c>
      <c r="N205" s="26">
        <f>IF($P205="","",IF(INDEX(EntryNotes,$P205)=0,"",INDEX(EntryNotes,$P205)))</f>
        <v/>
      </c>
      <c r="O205" s="26">
        <f>IF($P205="","",IF(INDEX(EntryTxnID,$P205)=0,"",INDEX(EntryTxnID,$P205)))</f>
        <v/>
      </c>
      <c r="P205" s="26">
        <f>IFERROR(MATCH($C$5&amp;"|"&amp;RIGHT("000000"&amp;189,6),CalcRankKey,0),"")</f>
        <v/>
      </c>
    </row>
    <row r="206">
      <c r="A206" s="28">
        <f>IF($B206="","",190)</f>
        <v/>
      </c>
      <c r="B206" s="28">
        <f>IF($P206="","",IF(INDEX(CalcNormDate,$P206)=0,"",INDEX(CalcNormDate,$P206)))</f>
        <v/>
      </c>
      <c r="C206" s="28">
        <f>IF($P206="","",IF(INDEX(CalcTime,$P206)=0,"",INDEX(CalcTime,$P206)))</f>
        <v/>
      </c>
      <c r="D206" s="28">
        <f>IF($P206="","",IF(INDEX(EntryParty,$P206)=0,"",INDEX(EntryParty,$P206)))</f>
        <v/>
      </c>
      <c r="E206" s="28">
        <f>IF($P206="","",IF(INDEX(EntryPartyName,$P206)=0,"",INDEX(EntryPartyName,$P206)))</f>
        <v/>
      </c>
      <c r="F206" s="28">
        <f>IF($P206="","",IF(INDEX(EntryPartyType,$P206)=0,"",INDEX(EntryPartyType,$P206)))</f>
        <v/>
      </c>
      <c r="G206" s="28">
        <f>IF($P206="","",IF(INDEX(EntryTxnType,$P206)=0,"",INDEX(EntryTxnType,$P206)))</f>
        <v/>
      </c>
      <c r="H206" s="29">
        <f>IF($P206="","",IF(INDEX(EntryDep,$P206)=0,"",INDEX(EntryDep,$P206)))</f>
        <v/>
      </c>
      <c r="I206" s="29">
        <f>IF($P206="","",IF(INDEX(EntryWit,$P206)=0,"",INDEX(EntryWit,$P206)))</f>
        <v/>
      </c>
      <c r="J206" s="29">
        <f>IF($B206="","",IF($A206=1,$C$7,IF(J205="",0,J205))+IF($H206="",0,$H206)-IF($I206="",0,$I206))</f>
        <v/>
      </c>
      <c r="K206" s="29">
        <f>IF($P206="","",IF(INDEX(EntryMan,$P206)=0,"",INDEX(EntryMan,$P206)))</f>
        <v/>
      </c>
      <c r="L206" s="28">
        <f>IF($B206="","",IF($K206="","—",IF(ROUND($K206-$J206,0)=0,"√","×")))</f>
        <v/>
      </c>
      <c r="M206" s="28">
        <f>IF($B206="","",IF(COUNTIFS(EntryDates,$B206,CalcTime,$C206,CalcBank,$C$5,EntryParty,$D206,EntryDep,$H206,EntryWit,$I206)&gt;1,"تکرار",""))</f>
        <v/>
      </c>
      <c r="N206" s="28">
        <f>IF($P206="","",IF(INDEX(EntryNotes,$P206)=0,"",INDEX(EntryNotes,$P206)))</f>
        <v/>
      </c>
      <c r="O206" s="28">
        <f>IF($P206="","",IF(INDEX(EntryTxnID,$P206)=0,"",INDEX(EntryTxnID,$P206)))</f>
        <v/>
      </c>
      <c r="P206" s="28">
        <f>IFERROR(MATCH($C$5&amp;"|"&amp;RIGHT("000000"&amp;190,6),CalcRankKey,0),"")</f>
        <v/>
      </c>
    </row>
    <row r="207">
      <c r="A207" s="26">
        <f>IF($B207="","",191)</f>
        <v/>
      </c>
      <c r="B207" s="26">
        <f>IF($P207="","",IF(INDEX(CalcNormDate,$P207)=0,"",INDEX(CalcNormDate,$P207)))</f>
        <v/>
      </c>
      <c r="C207" s="26">
        <f>IF($P207="","",IF(INDEX(CalcTime,$P207)=0,"",INDEX(CalcTime,$P207)))</f>
        <v/>
      </c>
      <c r="D207" s="26">
        <f>IF($P207="","",IF(INDEX(EntryParty,$P207)=0,"",INDEX(EntryParty,$P207)))</f>
        <v/>
      </c>
      <c r="E207" s="26">
        <f>IF($P207="","",IF(INDEX(EntryPartyName,$P207)=0,"",INDEX(EntryPartyName,$P207)))</f>
        <v/>
      </c>
      <c r="F207" s="26">
        <f>IF($P207="","",IF(INDEX(EntryPartyType,$P207)=0,"",INDEX(EntryPartyType,$P207)))</f>
        <v/>
      </c>
      <c r="G207" s="26">
        <f>IF($P207="","",IF(INDEX(EntryTxnType,$P207)=0,"",INDEX(EntryTxnType,$P207)))</f>
        <v/>
      </c>
      <c r="H207" s="27">
        <f>IF($P207="","",IF(INDEX(EntryDep,$P207)=0,"",INDEX(EntryDep,$P207)))</f>
        <v/>
      </c>
      <c r="I207" s="27">
        <f>IF($P207="","",IF(INDEX(EntryWit,$P207)=0,"",INDEX(EntryWit,$P207)))</f>
        <v/>
      </c>
      <c r="J207" s="27">
        <f>IF($B207="","",IF($A207=1,$C$7,IF(J206="",0,J206))+IF($H207="",0,$H207)-IF($I207="",0,$I207))</f>
        <v/>
      </c>
      <c r="K207" s="27">
        <f>IF($P207="","",IF(INDEX(EntryMan,$P207)=0,"",INDEX(EntryMan,$P207)))</f>
        <v/>
      </c>
      <c r="L207" s="26">
        <f>IF($B207="","",IF($K207="","—",IF(ROUND($K207-$J207,0)=0,"√","×")))</f>
        <v/>
      </c>
      <c r="M207" s="26">
        <f>IF($B207="","",IF(COUNTIFS(EntryDates,$B207,CalcTime,$C207,CalcBank,$C$5,EntryParty,$D207,EntryDep,$H207,EntryWit,$I207)&gt;1,"تکرار",""))</f>
        <v/>
      </c>
      <c r="N207" s="26">
        <f>IF($P207="","",IF(INDEX(EntryNotes,$P207)=0,"",INDEX(EntryNotes,$P207)))</f>
        <v/>
      </c>
      <c r="O207" s="26">
        <f>IF($P207="","",IF(INDEX(EntryTxnID,$P207)=0,"",INDEX(EntryTxnID,$P207)))</f>
        <v/>
      </c>
      <c r="P207" s="26">
        <f>IFERROR(MATCH($C$5&amp;"|"&amp;RIGHT("000000"&amp;191,6),CalcRankKey,0),"")</f>
        <v/>
      </c>
    </row>
    <row r="208">
      <c r="A208" s="28">
        <f>IF($B208="","",192)</f>
        <v/>
      </c>
      <c r="B208" s="28">
        <f>IF($P208="","",IF(INDEX(CalcNormDate,$P208)=0,"",INDEX(CalcNormDate,$P208)))</f>
        <v/>
      </c>
      <c r="C208" s="28">
        <f>IF($P208="","",IF(INDEX(CalcTime,$P208)=0,"",INDEX(CalcTime,$P208)))</f>
        <v/>
      </c>
      <c r="D208" s="28">
        <f>IF($P208="","",IF(INDEX(EntryParty,$P208)=0,"",INDEX(EntryParty,$P208)))</f>
        <v/>
      </c>
      <c r="E208" s="28">
        <f>IF($P208="","",IF(INDEX(EntryPartyName,$P208)=0,"",INDEX(EntryPartyName,$P208)))</f>
        <v/>
      </c>
      <c r="F208" s="28">
        <f>IF($P208="","",IF(INDEX(EntryPartyType,$P208)=0,"",INDEX(EntryPartyType,$P208)))</f>
        <v/>
      </c>
      <c r="G208" s="28">
        <f>IF($P208="","",IF(INDEX(EntryTxnType,$P208)=0,"",INDEX(EntryTxnType,$P208)))</f>
        <v/>
      </c>
      <c r="H208" s="29">
        <f>IF($P208="","",IF(INDEX(EntryDep,$P208)=0,"",INDEX(EntryDep,$P208)))</f>
        <v/>
      </c>
      <c r="I208" s="29">
        <f>IF($P208="","",IF(INDEX(EntryWit,$P208)=0,"",INDEX(EntryWit,$P208)))</f>
        <v/>
      </c>
      <c r="J208" s="29">
        <f>IF($B208="","",IF($A208=1,$C$7,IF(J207="",0,J207))+IF($H208="",0,$H208)-IF($I208="",0,$I208))</f>
        <v/>
      </c>
      <c r="K208" s="29">
        <f>IF($P208="","",IF(INDEX(EntryMan,$P208)=0,"",INDEX(EntryMan,$P208)))</f>
        <v/>
      </c>
      <c r="L208" s="28">
        <f>IF($B208="","",IF($K208="","—",IF(ROUND($K208-$J208,0)=0,"√","×")))</f>
        <v/>
      </c>
      <c r="M208" s="28">
        <f>IF($B208="","",IF(COUNTIFS(EntryDates,$B208,CalcTime,$C208,CalcBank,$C$5,EntryParty,$D208,EntryDep,$H208,EntryWit,$I208)&gt;1,"تکرار",""))</f>
        <v/>
      </c>
      <c r="N208" s="28">
        <f>IF($P208="","",IF(INDEX(EntryNotes,$P208)=0,"",INDEX(EntryNotes,$P208)))</f>
        <v/>
      </c>
      <c r="O208" s="28">
        <f>IF($P208="","",IF(INDEX(EntryTxnID,$P208)=0,"",INDEX(EntryTxnID,$P208)))</f>
        <v/>
      </c>
      <c r="P208" s="28">
        <f>IFERROR(MATCH($C$5&amp;"|"&amp;RIGHT("000000"&amp;192,6),CalcRankKey,0),"")</f>
        <v/>
      </c>
    </row>
    <row r="209">
      <c r="A209" s="26">
        <f>IF($B209="","",193)</f>
        <v/>
      </c>
      <c r="B209" s="26">
        <f>IF($P209="","",IF(INDEX(CalcNormDate,$P209)=0,"",INDEX(CalcNormDate,$P209)))</f>
        <v/>
      </c>
      <c r="C209" s="26">
        <f>IF($P209="","",IF(INDEX(CalcTime,$P209)=0,"",INDEX(CalcTime,$P209)))</f>
        <v/>
      </c>
      <c r="D209" s="26">
        <f>IF($P209="","",IF(INDEX(EntryParty,$P209)=0,"",INDEX(EntryParty,$P209)))</f>
        <v/>
      </c>
      <c r="E209" s="26">
        <f>IF($P209="","",IF(INDEX(EntryPartyName,$P209)=0,"",INDEX(EntryPartyName,$P209)))</f>
        <v/>
      </c>
      <c r="F209" s="26">
        <f>IF($P209="","",IF(INDEX(EntryPartyType,$P209)=0,"",INDEX(EntryPartyType,$P209)))</f>
        <v/>
      </c>
      <c r="G209" s="26">
        <f>IF($P209="","",IF(INDEX(EntryTxnType,$P209)=0,"",INDEX(EntryTxnType,$P209)))</f>
        <v/>
      </c>
      <c r="H209" s="27">
        <f>IF($P209="","",IF(INDEX(EntryDep,$P209)=0,"",INDEX(EntryDep,$P209)))</f>
        <v/>
      </c>
      <c r="I209" s="27">
        <f>IF($P209="","",IF(INDEX(EntryWit,$P209)=0,"",INDEX(EntryWit,$P209)))</f>
        <v/>
      </c>
      <c r="J209" s="27">
        <f>IF($B209="","",IF($A209=1,$C$7,IF(J208="",0,J208))+IF($H209="",0,$H209)-IF($I209="",0,$I209))</f>
        <v/>
      </c>
      <c r="K209" s="27">
        <f>IF($P209="","",IF(INDEX(EntryMan,$P209)=0,"",INDEX(EntryMan,$P209)))</f>
        <v/>
      </c>
      <c r="L209" s="26">
        <f>IF($B209="","",IF($K209="","—",IF(ROUND($K209-$J209,0)=0,"√","×")))</f>
        <v/>
      </c>
      <c r="M209" s="26">
        <f>IF($B209="","",IF(COUNTIFS(EntryDates,$B209,CalcTime,$C209,CalcBank,$C$5,EntryParty,$D209,EntryDep,$H209,EntryWit,$I209)&gt;1,"تکرار",""))</f>
        <v/>
      </c>
      <c r="N209" s="26">
        <f>IF($P209="","",IF(INDEX(EntryNotes,$P209)=0,"",INDEX(EntryNotes,$P209)))</f>
        <v/>
      </c>
      <c r="O209" s="26">
        <f>IF($P209="","",IF(INDEX(EntryTxnID,$P209)=0,"",INDEX(EntryTxnID,$P209)))</f>
        <v/>
      </c>
      <c r="P209" s="26">
        <f>IFERROR(MATCH($C$5&amp;"|"&amp;RIGHT("000000"&amp;193,6),CalcRankKey,0),"")</f>
        <v/>
      </c>
    </row>
    <row r="210">
      <c r="A210" s="28">
        <f>IF($B210="","",194)</f>
        <v/>
      </c>
      <c r="B210" s="28">
        <f>IF($P210="","",IF(INDEX(CalcNormDate,$P210)=0,"",INDEX(CalcNormDate,$P210)))</f>
        <v/>
      </c>
      <c r="C210" s="28">
        <f>IF($P210="","",IF(INDEX(CalcTime,$P210)=0,"",INDEX(CalcTime,$P210)))</f>
        <v/>
      </c>
      <c r="D210" s="28">
        <f>IF($P210="","",IF(INDEX(EntryParty,$P210)=0,"",INDEX(EntryParty,$P210)))</f>
        <v/>
      </c>
      <c r="E210" s="28">
        <f>IF($P210="","",IF(INDEX(EntryPartyName,$P210)=0,"",INDEX(EntryPartyName,$P210)))</f>
        <v/>
      </c>
      <c r="F210" s="28">
        <f>IF($P210="","",IF(INDEX(EntryPartyType,$P210)=0,"",INDEX(EntryPartyType,$P210)))</f>
        <v/>
      </c>
      <c r="G210" s="28">
        <f>IF($P210="","",IF(INDEX(EntryTxnType,$P210)=0,"",INDEX(EntryTxnType,$P210)))</f>
        <v/>
      </c>
      <c r="H210" s="29">
        <f>IF($P210="","",IF(INDEX(EntryDep,$P210)=0,"",INDEX(EntryDep,$P210)))</f>
        <v/>
      </c>
      <c r="I210" s="29">
        <f>IF($P210="","",IF(INDEX(EntryWit,$P210)=0,"",INDEX(EntryWit,$P210)))</f>
        <v/>
      </c>
      <c r="J210" s="29">
        <f>IF($B210="","",IF($A210=1,$C$7,IF(J209="",0,J209))+IF($H210="",0,$H210)-IF($I210="",0,$I210))</f>
        <v/>
      </c>
      <c r="K210" s="29">
        <f>IF($P210="","",IF(INDEX(EntryMan,$P210)=0,"",INDEX(EntryMan,$P210)))</f>
        <v/>
      </c>
      <c r="L210" s="28">
        <f>IF($B210="","",IF($K210="","—",IF(ROUND($K210-$J210,0)=0,"√","×")))</f>
        <v/>
      </c>
      <c r="M210" s="28">
        <f>IF($B210="","",IF(COUNTIFS(EntryDates,$B210,CalcTime,$C210,CalcBank,$C$5,EntryParty,$D210,EntryDep,$H210,EntryWit,$I210)&gt;1,"تکرار",""))</f>
        <v/>
      </c>
      <c r="N210" s="28">
        <f>IF($P210="","",IF(INDEX(EntryNotes,$P210)=0,"",INDEX(EntryNotes,$P210)))</f>
        <v/>
      </c>
      <c r="O210" s="28">
        <f>IF($P210="","",IF(INDEX(EntryTxnID,$P210)=0,"",INDEX(EntryTxnID,$P210)))</f>
        <v/>
      </c>
      <c r="P210" s="28">
        <f>IFERROR(MATCH($C$5&amp;"|"&amp;RIGHT("000000"&amp;194,6),CalcRankKey,0),"")</f>
        <v/>
      </c>
    </row>
    <row r="211">
      <c r="A211" s="26">
        <f>IF($B211="","",195)</f>
        <v/>
      </c>
      <c r="B211" s="26">
        <f>IF($P211="","",IF(INDEX(CalcNormDate,$P211)=0,"",INDEX(CalcNormDate,$P211)))</f>
        <v/>
      </c>
      <c r="C211" s="26">
        <f>IF($P211="","",IF(INDEX(CalcTime,$P211)=0,"",INDEX(CalcTime,$P211)))</f>
        <v/>
      </c>
      <c r="D211" s="26">
        <f>IF($P211="","",IF(INDEX(EntryParty,$P211)=0,"",INDEX(EntryParty,$P211)))</f>
        <v/>
      </c>
      <c r="E211" s="26">
        <f>IF($P211="","",IF(INDEX(EntryPartyName,$P211)=0,"",INDEX(EntryPartyName,$P211)))</f>
        <v/>
      </c>
      <c r="F211" s="26">
        <f>IF($P211="","",IF(INDEX(EntryPartyType,$P211)=0,"",INDEX(EntryPartyType,$P211)))</f>
        <v/>
      </c>
      <c r="G211" s="26">
        <f>IF($P211="","",IF(INDEX(EntryTxnType,$P211)=0,"",INDEX(EntryTxnType,$P211)))</f>
        <v/>
      </c>
      <c r="H211" s="27">
        <f>IF($P211="","",IF(INDEX(EntryDep,$P211)=0,"",INDEX(EntryDep,$P211)))</f>
        <v/>
      </c>
      <c r="I211" s="27">
        <f>IF($P211="","",IF(INDEX(EntryWit,$P211)=0,"",INDEX(EntryWit,$P211)))</f>
        <v/>
      </c>
      <c r="J211" s="27">
        <f>IF($B211="","",IF($A211=1,$C$7,IF(J210="",0,J210))+IF($H211="",0,$H211)-IF($I211="",0,$I211))</f>
        <v/>
      </c>
      <c r="K211" s="27">
        <f>IF($P211="","",IF(INDEX(EntryMan,$P211)=0,"",INDEX(EntryMan,$P211)))</f>
        <v/>
      </c>
      <c r="L211" s="26">
        <f>IF($B211="","",IF($K211="","—",IF(ROUND($K211-$J211,0)=0,"√","×")))</f>
        <v/>
      </c>
      <c r="M211" s="26">
        <f>IF($B211="","",IF(COUNTIFS(EntryDates,$B211,CalcTime,$C211,CalcBank,$C$5,EntryParty,$D211,EntryDep,$H211,EntryWit,$I211)&gt;1,"تکرار",""))</f>
        <v/>
      </c>
      <c r="N211" s="26">
        <f>IF($P211="","",IF(INDEX(EntryNotes,$P211)=0,"",INDEX(EntryNotes,$P211)))</f>
        <v/>
      </c>
      <c r="O211" s="26">
        <f>IF($P211="","",IF(INDEX(EntryTxnID,$P211)=0,"",INDEX(EntryTxnID,$P211)))</f>
        <v/>
      </c>
      <c r="P211" s="26">
        <f>IFERROR(MATCH($C$5&amp;"|"&amp;RIGHT("000000"&amp;195,6),CalcRankKey,0),"")</f>
        <v/>
      </c>
    </row>
    <row r="212">
      <c r="A212" s="28">
        <f>IF($B212="","",196)</f>
        <v/>
      </c>
      <c r="B212" s="28">
        <f>IF($P212="","",IF(INDEX(CalcNormDate,$P212)=0,"",INDEX(CalcNormDate,$P212)))</f>
        <v/>
      </c>
      <c r="C212" s="28">
        <f>IF($P212="","",IF(INDEX(CalcTime,$P212)=0,"",INDEX(CalcTime,$P212)))</f>
        <v/>
      </c>
      <c r="D212" s="28">
        <f>IF($P212="","",IF(INDEX(EntryParty,$P212)=0,"",INDEX(EntryParty,$P212)))</f>
        <v/>
      </c>
      <c r="E212" s="28">
        <f>IF($P212="","",IF(INDEX(EntryPartyName,$P212)=0,"",INDEX(EntryPartyName,$P212)))</f>
        <v/>
      </c>
      <c r="F212" s="28">
        <f>IF($P212="","",IF(INDEX(EntryPartyType,$P212)=0,"",INDEX(EntryPartyType,$P212)))</f>
        <v/>
      </c>
      <c r="G212" s="28">
        <f>IF($P212="","",IF(INDEX(EntryTxnType,$P212)=0,"",INDEX(EntryTxnType,$P212)))</f>
        <v/>
      </c>
      <c r="H212" s="29">
        <f>IF($P212="","",IF(INDEX(EntryDep,$P212)=0,"",INDEX(EntryDep,$P212)))</f>
        <v/>
      </c>
      <c r="I212" s="29">
        <f>IF($P212="","",IF(INDEX(EntryWit,$P212)=0,"",INDEX(EntryWit,$P212)))</f>
        <v/>
      </c>
      <c r="J212" s="29">
        <f>IF($B212="","",IF($A212=1,$C$7,IF(J211="",0,J211))+IF($H212="",0,$H212)-IF($I212="",0,$I212))</f>
        <v/>
      </c>
      <c r="K212" s="29">
        <f>IF($P212="","",IF(INDEX(EntryMan,$P212)=0,"",INDEX(EntryMan,$P212)))</f>
        <v/>
      </c>
      <c r="L212" s="28">
        <f>IF($B212="","",IF($K212="","—",IF(ROUND($K212-$J212,0)=0,"√","×")))</f>
        <v/>
      </c>
      <c r="M212" s="28">
        <f>IF($B212="","",IF(COUNTIFS(EntryDates,$B212,CalcTime,$C212,CalcBank,$C$5,EntryParty,$D212,EntryDep,$H212,EntryWit,$I212)&gt;1,"تکرار",""))</f>
        <v/>
      </c>
      <c r="N212" s="28">
        <f>IF($P212="","",IF(INDEX(EntryNotes,$P212)=0,"",INDEX(EntryNotes,$P212)))</f>
        <v/>
      </c>
      <c r="O212" s="28">
        <f>IF($P212="","",IF(INDEX(EntryTxnID,$P212)=0,"",INDEX(EntryTxnID,$P212)))</f>
        <v/>
      </c>
      <c r="P212" s="28">
        <f>IFERROR(MATCH($C$5&amp;"|"&amp;RIGHT("000000"&amp;196,6),CalcRankKey,0),"")</f>
        <v/>
      </c>
    </row>
    <row r="213">
      <c r="A213" s="26">
        <f>IF($B213="","",197)</f>
        <v/>
      </c>
      <c r="B213" s="26">
        <f>IF($P213="","",IF(INDEX(CalcNormDate,$P213)=0,"",INDEX(CalcNormDate,$P213)))</f>
        <v/>
      </c>
      <c r="C213" s="26">
        <f>IF($P213="","",IF(INDEX(CalcTime,$P213)=0,"",INDEX(CalcTime,$P213)))</f>
        <v/>
      </c>
      <c r="D213" s="26">
        <f>IF($P213="","",IF(INDEX(EntryParty,$P213)=0,"",INDEX(EntryParty,$P213)))</f>
        <v/>
      </c>
      <c r="E213" s="26">
        <f>IF($P213="","",IF(INDEX(EntryPartyName,$P213)=0,"",INDEX(EntryPartyName,$P213)))</f>
        <v/>
      </c>
      <c r="F213" s="26">
        <f>IF($P213="","",IF(INDEX(EntryPartyType,$P213)=0,"",INDEX(EntryPartyType,$P213)))</f>
        <v/>
      </c>
      <c r="G213" s="26">
        <f>IF($P213="","",IF(INDEX(EntryTxnType,$P213)=0,"",INDEX(EntryTxnType,$P213)))</f>
        <v/>
      </c>
      <c r="H213" s="27">
        <f>IF($P213="","",IF(INDEX(EntryDep,$P213)=0,"",INDEX(EntryDep,$P213)))</f>
        <v/>
      </c>
      <c r="I213" s="27">
        <f>IF($P213="","",IF(INDEX(EntryWit,$P213)=0,"",INDEX(EntryWit,$P213)))</f>
        <v/>
      </c>
      <c r="J213" s="27">
        <f>IF($B213="","",IF($A213=1,$C$7,IF(J212="",0,J212))+IF($H213="",0,$H213)-IF($I213="",0,$I213))</f>
        <v/>
      </c>
      <c r="K213" s="27">
        <f>IF($P213="","",IF(INDEX(EntryMan,$P213)=0,"",INDEX(EntryMan,$P213)))</f>
        <v/>
      </c>
      <c r="L213" s="26">
        <f>IF($B213="","",IF($K213="","—",IF(ROUND($K213-$J213,0)=0,"√","×")))</f>
        <v/>
      </c>
      <c r="M213" s="26">
        <f>IF($B213="","",IF(COUNTIFS(EntryDates,$B213,CalcTime,$C213,CalcBank,$C$5,EntryParty,$D213,EntryDep,$H213,EntryWit,$I213)&gt;1,"تکرار",""))</f>
        <v/>
      </c>
      <c r="N213" s="26">
        <f>IF($P213="","",IF(INDEX(EntryNotes,$P213)=0,"",INDEX(EntryNotes,$P213)))</f>
        <v/>
      </c>
      <c r="O213" s="26">
        <f>IF($P213="","",IF(INDEX(EntryTxnID,$P213)=0,"",INDEX(EntryTxnID,$P213)))</f>
        <v/>
      </c>
      <c r="P213" s="26">
        <f>IFERROR(MATCH($C$5&amp;"|"&amp;RIGHT("000000"&amp;197,6),CalcRankKey,0),"")</f>
        <v/>
      </c>
    </row>
    <row r="214">
      <c r="A214" s="28">
        <f>IF($B214="","",198)</f>
        <v/>
      </c>
      <c r="B214" s="28">
        <f>IF($P214="","",IF(INDEX(CalcNormDate,$P214)=0,"",INDEX(CalcNormDate,$P214)))</f>
        <v/>
      </c>
      <c r="C214" s="28">
        <f>IF($P214="","",IF(INDEX(CalcTime,$P214)=0,"",INDEX(CalcTime,$P214)))</f>
        <v/>
      </c>
      <c r="D214" s="28">
        <f>IF($P214="","",IF(INDEX(EntryParty,$P214)=0,"",INDEX(EntryParty,$P214)))</f>
        <v/>
      </c>
      <c r="E214" s="28">
        <f>IF($P214="","",IF(INDEX(EntryPartyName,$P214)=0,"",INDEX(EntryPartyName,$P214)))</f>
        <v/>
      </c>
      <c r="F214" s="28">
        <f>IF($P214="","",IF(INDEX(EntryPartyType,$P214)=0,"",INDEX(EntryPartyType,$P214)))</f>
        <v/>
      </c>
      <c r="G214" s="28">
        <f>IF($P214="","",IF(INDEX(EntryTxnType,$P214)=0,"",INDEX(EntryTxnType,$P214)))</f>
        <v/>
      </c>
      <c r="H214" s="29">
        <f>IF($P214="","",IF(INDEX(EntryDep,$P214)=0,"",INDEX(EntryDep,$P214)))</f>
        <v/>
      </c>
      <c r="I214" s="29">
        <f>IF($P214="","",IF(INDEX(EntryWit,$P214)=0,"",INDEX(EntryWit,$P214)))</f>
        <v/>
      </c>
      <c r="J214" s="29">
        <f>IF($B214="","",IF($A214=1,$C$7,IF(J213="",0,J213))+IF($H214="",0,$H214)-IF($I214="",0,$I214))</f>
        <v/>
      </c>
      <c r="K214" s="29">
        <f>IF($P214="","",IF(INDEX(EntryMan,$P214)=0,"",INDEX(EntryMan,$P214)))</f>
        <v/>
      </c>
      <c r="L214" s="28">
        <f>IF($B214="","",IF($K214="","—",IF(ROUND($K214-$J214,0)=0,"√","×")))</f>
        <v/>
      </c>
      <c r="M214" s="28">
        <f>IF($B214="","",IF(COUNTIFS(EntryDates,$B214,CalcTime,$C214,CalcBank,$C$5,EntryParty,$D214,EntryDep,$H214,EntryWit,$I214)&gt;1,"تکرار",""))</f>
        <v/>
      </c>
      <c r="N214" s="28">
        <f>IF($P214="","",IF(INDEX(EntryNotes,$P214)=0,"",INDEX(EntryNotes,$P214)))</f>
        <v/>
      </c>
      <c r="O214" s="28">
        <f>IF($P214="","",IF(INDEX(EntryTxnID,$P214)=0,"",INDEX(EntryTxnID,$P214)))</f>
        <v/>
      </c>
      <c r="P214" s="28">
        <f>IFERROR(MATCH($C$5&amp;"|"&amp;RIGHT("000000"&amp;198,6),CalcRankKey,0),"")</f>
        <v/>
      </c>
    </row>
    <row r="215">
      <c r="A215" s="26">
        <f>IF($B215="","",199)</f>
        <v/>
      </c>
      <c r="B215" s="26">
        <f>IF($P215="","",IF(INDEX(CalcNormDate,$P215)=0,"",INDEX(CalcNormDate,$P215)))</f>
        <v/>
      </c>
      <c r="C215" s="26">
        <f>IF($P215="","",IF(INDEX(CalcTime,$P215)=0,"",INDEX(CalcTime,$P215)))</f>
        <v/>
      </c>
      <c r="D215" s="26">
        <f>IF($P215="","",IF(INDEX(EntryParty,$P215)=0,"",INDEX(EntryParty,$P215)))</f>
        <v/>
      </c>
      <c r="E215" s="26">
        <f>IF($P215="","",IF(INDEX(EntryPartyName,$P215)=0,"",INDEX(EntryPartyName,$P215)))</f>
        <v/>
      </c>
      <c r="F215" s="26">
        <f>IF($P215="","",IF(INDEX(EntryPartyType,$P215)=0,"",INDEX(EntryPartyType,$P215)))</f>
        <v/>
      </c>
      <c r="G215" s="26">
        <f>IF($P215="","",IF(INDEX(EntryTxnType,$P215)=0,"",INDEX(EntryTxnType,$P215)))</f>
        <v/>
      </c>
      <c r="H215" s="27">
        <f>IF($P215="","",IF(INDEX(EntryDep,$P215)=0,"",INDEX(EntryDep,$P215)))</f>
        <v/>
      </c>
      <c r="I215" s="27">
        <f>IF($P215="","",IF(INDEX(EntryWit,$P215)=0,"",INDEX(EntryWit,$P215)))</f>
        <v/>
      </c>
      <c r="J215" s="27">
        <f>IF($B215="","",IF($A215=1,$C$7,IF(J214="",0,J214))+IF($H215="",0,$H215)-IF($I215="",0,$I215))</f>
        <v/>
      </c>
      <c r="K215" s="27">
        <f>IF($P215="","",IF(INDEX(EntryMan,$P215)=0,"",INDEX(EntryMan,$P215)))</f>
        <v/>
      </c>
      <c r="L215" s="26">
        <f>IF($B215="","",IF($K215="","—",IF(ROUND($K215-$J215,0)=0,"√","×")))</f>
        <v/>
      </c>
      <c r="M215" s="26">
        <f>IF($B215="","",IF(COUNTIFS(EntryDates,$B215,CalcTime,$C215,CalcBank,$C$5,EntryParty,$D215,EntryDep,$H215,EntryWit,$I215)&gt;1,"تکرار",""))</f>
        <v/>
      </c>
      <c r="N215" s="26">
        <f>IF($P215="","",IF(INDEX(EntryNotes,$P215)=0,"",INDEX(EntryNotes,$P215)))</f>
        <v/>
      </c>
      <c r="O215" s="26">
        <f>IF($P215="","",IF(INDEX(EntryTxnID,$P215)=0,"",INDEX(EntryTxnID,$P215)))</f>
        <v/>
      </c>
      <c r="P215" s="26">
        <f>IFERROR(MATCH($C$5&amp;"|"&amp;RIGHT("000000"&amp;199,6),CalcRankKey,0),"")</f>
        <v/>
      </c>
    </row>
    <row r="216">
      <c r="A216" s="28">
        <f>IF($B216="","",200)</f>
        <v/>
      </c>
      <c r="B216" s="28">
        <f>IF($P216="","",IF(INDEX(CalcNormDate,$P216)=0,"",INDEX(CalcNormDate,$P216)))</f>
        <v/>
      </c>
      <c r="C216" s="28">
        <f>IF($P216="","",IF(INDEX(CalcTime,$P216)=0,"",INDEX(CalcTime,$P216)))</f>
        <v/>
      </c>
      <c r="D216" s="28">
        <f>IF($P216="","",IF(INDEX(EntryParty,$P216)=0,"",INDEX(EntryParty,$P216)))</f>
        <v/>
      </c>
      <c r="E216" s="28">
        <f>IF($P216="","",IF(INDEX(EntryPartyName,$P216)=0,"",INDEX(EntryPartyName,$P216)))</f>
        <v/>
      </c>
      <c r="F216" s="28">
        <f>IF($P216="","",IF(INDEX(EntryPartyType,$P216)=0,"",INDEX(EntryPartyType,$P216)))</f>
        <v/>
      </c>
      <c r="G216" s="28">
        <f>IF($P216="","",IF(INDEX(EntryTxnType,$P216)=0,"",INDEX(EntryTxnType,$P216)))</f>
        <v/>
      </c>
      <c r="H216" s="29">
        <f>IF($P216="","",IF(INDEX(EntryDep,$P216)=0,"",INDEX(EntryDep,$P216)))</f>
        <v/>
      </c>
      <c r="I216" s="29">
        <f>IF($P216="","",IF(INDEX(EntryWit,$P216)=0,"",INDEX(EntryWit,$P216)))</f>
        <v/>
      </c>
      <c r="J216" s="29">
        <f>IF($B216="","",IF($A216=1,$C$7,IF(J215="",0,J215))+IF($H216="",0,$H216)-IF($I216="",0,$I216))</f>
        <v/>
      </c>
      <c r="K216" s="29">
        <f>IF($P216="","",IF(INDEX(EntryMan,$P216)=0,"",INDEX(EntryMan,$P216)))</f>
        <v/>
      </c>
      <c r="L216" s="28">
        <f>IF($B216="","",IF($K216="","—",IF(ROUND($K216-$J216,0)=0,"√","×")))</f>
        <v/>
      </c>
      <c r="M216" s="28">
        <f>IF($B216="","",IF(COUNTIFS(EntryDates,$B216,CalcTime,$C216,CalcBank,$C$5,EntryParty,$D216,EntryDep,$H216,EntryWit,$I216)&gt;1,"تکرار",""))</f>
        <v/>
      </c>
      <c r="N216" s="28">
        <f>IF($P216="","",IF(INDEX(EntryNotes,$P216)=0,"",INDEX(EntryNotes,$P216)))</f>
        <v/>
      </c>
      <c r="O216" s="28">
        <f>IF($P216="","",IF(INDEX(EntryTxnID,$P216)=0,"",INDEX(EntryTxnID,$P216)))</f>
        <v/>
      </c>
      <c r="P216" s="28">
        <f>IFERROR(MATCH($C$5&amp;"|"&amp;RIGHT("000000"&amp;200,6),CalcRankKey,0),"")</f>
        <v/>
      </c>
    </row>
    <row r="217">
      <c r="A217" s="26">
        <f>IF($B217="","",201)</f>
        <v/>
      </c>
      <c r="B217" s="26">
        <f>IF($P217="","",IF(INDEX(CalcNormDate,$P217)=0,"",INDEX(CalcNormDate,$P217)))</f>
        <v/>
      </c>
      <c r="C217" s="26">
        <f>IF($P217="","",IF(INDEX(CalcTime,$P217)=0,"",INDEX(CalcTime,$P217)))</f>
        <v/>
      </c>
      <c r="D217" s="26">
        <f>IF($P217="","",IF(INDEX(EntryParty,$P217)=0,"",INDEX(EntryParty,$P217)))</f>
        <v/>
      </c>
      <c r="E217" s="26">
        <f>IF($P217="","",IF(INDEX(EntryPartyName,$P217)=0,"",INDEX(EntryPartyName,$P217)))</f>
        <v/>
      </c>
      <c r="F217" s="26">
        <f>IF($P217="","",IF(INDEX(EntryPartyType,$P217)=0,"",INDEX(EntryPartyType,$P217)))</f>
        <v/>
      </c>
      <c r="G217" s="26">
        <f>IF($P217="","",IF(INDEX(EntryTxnType,$P217)=0,"",INDEX(EntryTxnType,$P217)))</f>
        <v/>
      </c>
      <c r="H217" s="27">
        <f>IF($P217="","",IF(INDEX(EntryDep,$P217)=0,"",INDEX(EntryDep,$P217)))</f>
        <v/>
      </c>
      <c r="I217" s="27">
        <f>IF($P217="","",IF(INDEX(EntryWit,$P217)=0,"",INDEX(EntryWit,$P217)))</f>
        <v/>
      </c>
      <c r="J217" s="27">
        <f>IF($B217="","",IF($A217=1,$C$7,IF(J216="",0,J216))+IF($H217="",0,$H217)-IF($I217="",0,$I217))</f>
        <v/>
      </c>
      <c r="K217" s="27">
        <f>IF($P217="","",IF(INDEX(EntryMan,$P217)=0,"",INDEX(EntryMan,$P217)))</f>
        <v/>
      </c>
      <c r="L217" s="26">
        <f>IF($B217="","",IF($K217="","—",IF(ROUND($K217-$J217,0)=0,"√","×")))</f>
        <v/>
      </c>
      <c r="M217" s="26">
        <f>IF($B217="","",IF(COUNTIFS(EntryDates,$B217,CalcTime,$C217,CalcBank,$C$5,EntryParty,$D217,EntryDep,$H217,EntryWit,$I217)&gt;1,"تکرار",""))</f>
        <v/>
      </c>
      <c r="N217" s="26">
        <f>IF($P217="","",IF(INDEX(EntryNotes,$P217)=0,"",INDEX(EntryNotes,$P217)))</f>
        <v/>
      </c>
      <c r="O217" s="26">
        <f>IF($P217="","",IF(INDEX(EntryTxnID,$P217)=0,"",INDEX(EntryTxnID,$P217)))</f>
        <v/>
      </c>
      <c r="P217" s="26">
        <f>IFERROR(MATCH($C$5&amp;"|"&amp;RIGHT("000000"&amp;201,6),CalcRankKey,0),"")</f>
        <v/>
      </c>
    </row>
    <row r="218">
      <c r="A218" s="28">
        <f>IF($B218="","",202)</f>
        <v/>
      </c>
      <c r="B218" s="28">
        <f>IF($P218="","",IF(INDEX(CalcNormDate,$P218)=0,"",INDEX(CalcNormDate,$P218)))</f>
        <v/>
      </c>
      <c r="C218" s="28">
        <f>IF($P218="","",IF(INDEX(CalcTime,$P218)=0,"",INDEX(CalcTime,$P218)))</f>
        <v/>
      </c>
      <c r="D218" s="28">
        <f>IF($P218="","",IF(INDEX(EntryParty,$P218)=0,"",INDEX(EntryParty,$P218)))</f>
        <v/>
      </c>
      <c r="E218" s="28">
        <f>IF($P218="","",IF(INDEX(EntryPartyName,$P218)=0,"",INDEX(EntryPartyName,$P218)))</f>
        <v/>
      </c>
      <c r="F218" s="28">
        <f>IF($P218="","",IF(INDEX(EntryPartyType,$P218)=0,"",INDEX(EntryPartyType,$P218)))</f>
        <v/>
      </c>
      <c r="G218" s="28">
        <f>IF($P218="","",IF(INDEX(EntryTxnType,$P218)=0,"",INDEX(EntryTxnType,$P218)))</f>
        <v/>
      </c>
      <c r="H218" s="29">
        <f>IF($P218="","",IF(INDEX(EntryDep,$P218)=0,"",INDEX(EntryDep,$P218)))</f>
        <v/>
      </c>
      <c r="I218" s="29">
        <f>IF($P218="","",IF(INDEX(EntryWit,$P218)=0,"",INDEX(EntryWit,$P218)))</f>
        <v/>
      </c>
      <c r="J218" s="29">
        <f>IF($B218="","",IF($A218=1,$C$7,IF(J217="",0,J217))+IF($H218="",0,$H218)-IF($I218="",0,$I218))</f>
        <v/>
      </c>
      <c r="K218" s="29">
        <f>IF($P218="","",IF(INDEX(EntryMan,$P218)=0,"",INDEX(EntryMan,$P218)))</f>
        <v/>
      </c>
      <c r="L218" s="28">
        <f>IF($B218="","",IF($K218="","—",IF(ROUND($K218-$J218,0)=0,"√","×")))</f>
        <v/>
      </c>
      <c r="M218" s="28">
        <f>IF($B218="","",IF(COUNTIFS(EntryDates,$B218,CalcTime,$C218,CalcBank,$C$5,EntryParty,$D218,EntryDep,$H218,EntryWit,$I218)&gt;1,"تکرار",""))</f>
        <v/>
      </c>
      <c r="N218" s="28">
        <f>IF($P218="","",IF(INDEX(EntryNotes,$P218)=0,"",INDEX(EntryNotes,$P218)))</f>
        <v/>
      </c>
      <c r="O218" s="28">
        <f>IF($P218="","",IF(INDEX(EntryTxnID,$P218)=0,"",INDEX(EntryTxnID,$P218)))</f>
        <v/>
      </c>
      <c r="P218" s="28">
        <f>IFERROR(MATCH($C$5&amp;"|"&amp;RIGHT("000000"&amp;202,6),CalcRankKey,0),"")</f>
        <v/>
      </c>
    </row>
    <row r="219">
      <c r="A219" s="26">
        <f>IF($B219="","",203)</f>
        <v/>
      </c>
      <c r="B219" s="26">
        <f>IF($P219="","",IF(INDEX(CalcNormDate,$P219)=0,"",INDEX(CalcNormDate,$P219)))</f>
        <v/>
      </c>
      <c r="C219" s="26">
        <f>IF($P219="","",IF(INDEX(CalcTime,$P219)=0,"",INDEX(CalcTime,$P219)))</f>
        <v/>
      </c>
      <c r="D219" s="26">
        <f>IF($P219="","",IF(INDEX(EntryParty,$P219)=0,"",INDEX(EntryParty,$P219)))</f>
        <v/>
      </c>
      <c r="E219" s="26">
        <f>IF($P219="","",IF(INDEX(EntryPartyName,$P219)=0,"",INDEX(EntryPartyName,$P219)))</f>
        <v/>
      </c>
      <c r="F219" s="26">
        <f>IF($P219="","",IF(INDEX(EntryPartyType,$P219)=0,"",INDEX(EntryPartyType,$P219)))</f>
        <v/>
      </c>
      <c r="G219" s="26">
        <f>IF($P219="","",IF(INDEX(EntryTxnType,$P219)=0,"",INDEX(EntryTxnType,$P219)))</f>
        <v/>
      </c>
      <c r="H219" s="27">
        <f>IF($P219="","",IF(INDEX(EntryDep,$P219)=0,"",INDEX(EntryDep,$P219)))</f>
        <v/>
      </c>
      <c r="I219" s="27">
        <f>IF($P219="","",IF(INDEX(EntryWit,$P219)=0,"",INDEX(EntryWit,$P219)))</f>
        <v/>
      </c>
      <c r="J219" s="27">
        <f>IF($B219="","",IF($A219=1,$C$7,IF(J218="",0,J218))+IF($H219="",0,$H219)-IF($I219="",0,$I219))</f>
        <v/>
      </c>
      <c r="K219" s="27">
        <f>IF($P219="","",IF(INDEX(EntryMan,$P219)=0,"",INDEX(EntryMan,$P219)))</f>
        <v/>
      </c>
      <c r="L219" s="26">
        <f>IF($B219="","",IF($K219="","—",IF(ROUND($K219-$J219,0)=0,"√","×")))</f>
        <v/>
      </c>
      <c r="M219" s="26">
        <f>IF($B219="","",IF(COUNTIFS(EntryDates,$B219,CalcTime,$C219,CalcBank,$C$5,EntryParty,$D219,EntryDep,$H219,EntryWit,$I219)&gt;1,"تکرار",""))</f>
        <v/>
      </c>
      <c r="N219" s="26">
        <f>IF($P219="","",IF(INDEX(EntryNotes,$P219)=0,"",INDEX(EntryNotes,$P219)))</f>
        <v/>
      </c>
      <c r="O219" s="26">
        <f>IF($P219="","",IF(INDEX(EntryTxnID,$P219)=0,"",INDEX(EntryTxnID,$P219)))</f>
        <v/>
      </c>
      <c r="P219" s="26">
        <f>IFERROR(MATCH($C$5&amp;"|"&amp;RIGHT("000000"&amp;203,6),CalcRankKey,0),"")</f>
        <v/>
      </c>
    </row>
    <row r="220">
      <c r="A220" s="28">
        <f>IF($B220="","",204)</f>
        <v/>
      </c>
      <c r="B220" s="28">
        <f>IF($P220="","",IF(INDEX(CalcNormDate,$P220)=0,"",INDEX(CalcNormDate,$P220)))</f>
        <v/>
      </c>
      <c r="C220" s="28">
        <f>IF($P220="","",IF(INDEX(CalcTime,$P220)=0,"",INDEX(CalcTime,$P220)))</f>
        <v/>
      </c>
      <c r="D220" s="28">
        <f>IF($P220="","",IF(INDEX(EntryParty,$P220)=0,"",INDEX(EntryParty,$P220)))</f>
        <v/>
      </c>
      <c r="E220" s="28">
        <f>IF($P220="","",IF(INDEX(EntryPartyName,$P220)=0,"",INDEX(EntryPartyName,$P220)))</f>
        <v/>
      </c>
      <c r="F220" s="28">
        <f>IF($P220="","",IF(INDEX(EntryPartyType,$P220)=0,"",INDEX(EntryPartyType,$P220)))</f>
        <v/>
      </c>
      <c r="G220" s="28">
        <f>IF($P220="","",IF(INDEX(EntryTxnType,$P220)=0,"",INDEX(EntryTxnType,$P220)))</f>
        <v/>
      </c>
      <c r="H220" s="29">
        <f>IF($P220="","",IF(INDEX(EntryDep,$P220)=0,"",INDEX(EntryDep,$P220)))</f>
        <v/>
      </c>
      <c r="I220" s="29">
        <f>IF($P220="","",IF(INDEX(EntryWit,$P220)=0,"",INDEX(EntryWit,$P220)))</f>
        <v/>
      </c>
      <c r="J220" s="29">
        <f>IF($B220="","",IF($A220=1,$C$7,IF(J219="",0,J219))+IF($H220="",0,$H220)-IF($I220="",0,$I220))</f>
        <v/>
      </c>
      <c r="K220" s="29">
        <f>IF($P220="","",IF(INDEX(EntryMan,$P220)=0,"",INDEX(EntryMan,$P220)))</f>
        <v/>
      </c>
      <c r="L220" s="28">
        <f>IF($B220="","",IF($K220="","—",IF(ROUND($K220-$J220,0)=0,"√","×")))</f>
        <v/>
      </c>
      <c r="M220" s="28">
        <f>IF($B220="","",IF(COUNTIFS(EntryDates,$B220,CalcTime,$C220,CalcBank,$C$5,EntryParty,$D220,EntryDep,$H220,EntryWit,$I220)&gt;1,"تکرار",""))</f>
        <v/>
      </c>
      <c r="N220" s="28">
        <f>IF($P220="","",IF(INDEX(EntryNotes,$P220)=0,"",INDEX(EntryNotes,$P220)))</f>
        <v/>
      </c>
      <c r="O220" s="28">
        <f>IF($P220="","",IF(INDEX(EntryTxnID,$P220)=0,"",INDEX(EntryTxnID,$P220)))</f>
        <v/>
      </c>
      <c r="P220" s="28">
        <f>IFERROR(MATCH($C$5&amp;"|"&amp;RIGHT("000000"&amp;204,6),CalcRankKey,0),"")</f>
        <v/>
      </c>
    </row>
    <row r="221">
      <c r="A221" s="26">
        <f>IF($B221="","",205)</f>
        <v/>
      </c>
      <c r="B221" s="26">
        <f>IF($P221="","",IF(INDEX(CalcNormDate,$P221)=0,"",INDEX(CalcNormDate,$P221)))</f>
        <v/>
      </c>
      <c r="C221" s="26">
        <f>IF($P221="","",IF(INDEX(CalcTime,$P221)=0,"",INDEX(CalcTime,$P221)))</f>
        <v/>
      </c>
      <c r="D221" s="26">
        <f>IF($P221="","",IF(INDEX(EntryParty,$P221)=0,"",INDEX(EntryParty,$P221)))</f>
        <v/>
      </c>
      <c r="E221" s="26">
        <f>IF($P221="","",IF(INDEX(EntryPartyName,$P221)=0,"",INDEX(EntryPartyName,$P221)))</f>
        <v/>
      </c>
      <c r="F221" s="26">
        <f>IF($P221="","",IF(INDEX(EntryPartyType,$P221)=0,"",INDEX(EntryPartyType,$P221)))</f>
        <v/>
      </c>
      <c r="G221" s="26">
        <f>IF($P221="","",IF(INDEX(EntryTxnType,$P221)=0,"",INDEX(EntryTxnType,$P221)))</f>
        <v/>
      </c>
      <c r="H221" s="27">
        <f>IF($P221="","",IF(INDEX(EntryDep,$P221)=0,"",INDEX(EntryDep,$P221)))</f>
        <v/>
      </c>
      <c r="I221" s="27">
        <f>IF($P221="","",IF(INDEX(EntryWit,$P221)=0,"",INDEX(EntryWit,$P221)))</f>
        <v/>
      </c>
      <c r="J221" s="27">
        <f>IF($B221="","",IF($A221=1,$C$7,IF(J220="",0,J220))+IF($H221="",0,$H221)-IF($I221="",0,$I221))</f>
        <v/>
      </c>
      <c r="K221" s="27">
        <f>IF($P221="","",IF(INDEX(EntryMan,$P221)=0,"",INDEX(EntryMan,$P221)))</f>
        <v/>
      </c>
      <c r="L221" s="26">
        <f>IF($B221="","",IF($K221="","—",IF(ROUND($K221-$J221,0)=0,"√","×")))</f>
        <v/>
      </c>
      <c r="M221" s="26">
        <f>IF($B221="","",IF(COUNTIFS(EntryDates,$B221,CalcTime,$C221,CalcBank,$C$5,EntryParty,$D221,EntryDep,$H221,EntryWit,$I221)&gt;1,"تکرار",""))</f>
        <v/>
      </c>
      <c r="N221" s="26">
        <f>IF($P221="","",IF(INDEX(EntryNotes,$P221)=0,"",INDEX(EntryNotes,$P221)))</f>
        <v/>
      </c>
      <c r="O221" s="26">
        <f>IF($P221="","",IF(INDEX(EntryTxnID,$P221)=0,"",INDEX(EntryTxnID,$P221)))</f>
        <v/>
      </c>
      <c r="P221" s="26">
        <f>IFERROR(MATCH($C$5&amp;"|"&amp;RIGHT("000000"&amp;205,6),CalcRankKey,0),"")</f>
        <v/>
      </c>
    </row>
    <row r="222">
      <c r="A222" s="28">
        <f>IF($B222="","",206)</f>
        <v/>
      </c>
      <c r="B222" s="28">
        <f>IF($P222="","",IF(INDEX(CalcNormDate,$P222)=0,"",INDEX(CalcNormDate,$P222)))</f>
        <v/>
      </c>
      <c r="C222" s="28">
        <f>IF($P222="","",IF(INDEX(CalcTime,$P222)=0,"",INDEX(CalcTime,$P222)))</f>
        <v/>
      </c>
      <c r="D222" s="28">
        <f>IF($P222="","",IF(INDEX(EntryParty,$P222)=0,"",INDEX(EntryParty,$P222)))</f>
        <v/>
      </c>
      <c r="E222" s="28">
        <f>IF($P222="","",IF(INDEX(EntryPartyName,$P222)=0,"",INDEX(EntryPartyName,$P222)))</f>
        <v/>
      </c>
      <c r="F222" s="28">
        <f>IF($P222="","",IF(INDEX(EntryPartyType,$P222)=0,"",INDEX(EntryPartyType,$P222)))</f>
        <v/>
      </c>
      <c r="G222" s="28">
        <f>IF($P222="","",IF(INDEX(EntryTxnType,$P222)=0,"",INDEX(EntryTxnType,$P222)))</f>
        <v/>
      </c>
      <c r="H222" s="29">
        <f>IF($P222="","",IF(INDEX(EntryDep,$P222)=0,"",INDEX(EntryDep,$P222)))</f>
        <v/>
      </c>
      <c r="I222" s="29">
        <f>IF($P222="","",IF(INDEX(EntryWit,$P222)=0,"",INDEX(EntryWit,$P222)))</f>
        <v/>
      </c>
      <c r="J222" s="29">
        <f>IF($B222="","",IF($A222=1,$C$7,IF(J221="",0,J221))+IF($H222="",0,$H222)-IF($I222="",0,$I222))</f>
        <v/>
      </c>
      <c r="K222" s="29">
        <f>IF($P222="","",IF(INDEX(EntryMan,$P222)=0,"",INDEX(EntryMan,$P222)))</f>
        <v/>
      </c>
      <c r="L222" s="28">
        <f>IF($B222="","",IF($K222="","—",IF(ROUND($K222-$J222,0)=0,"√","×")))</f>
        <v/>
      </c>
      <c r="M222" s="28">
        <f>IF($B222="","",IF(COUNTIFS(EntryDates,$B222,CalcTime,$C222,CalcBank,$C$5,EntryParty,$D222,EntryDep,$H222,EntryWit,$I222)&gt;1,"تکرار",""))</f>
        <v/>
      </c>
      <c r="N222" s="28">
        <f>IF($P222="","",IF(INDEX(EntryNotes,$P222)=0,"",INDEX(EntryNotes,$P222)))</f>
        <v/>
      </c>
      <c r="O222" s="28">
        <f>IF($P222="","",IF(INDEX(EntryTxnID,$P222)=0,"",INDEX(EntryTxnID,$P222)))</f>
        <v/>
      </c>
      <c r="P222" s="28">
        <f>IFERROR(MATCH($C$5&amp;"|"&amp;RIGHT("000000"&amp;206,6),CalcRankKey,0),"")</f>
        <v/>
      </c>
    </row>
    <row r="223">
      <c r="A223" s="26">
        <f>IF($B223="","",207)</f>
        <v/>
      </c>
      <c r="B223" s="26">
        <f>IF($P223="","",IF(INDEX(CalcNormDate,$P223)=0,"",INDEX(CalcNormDate,$P223)))</f>
        <v/>
      </c>
      <c r="C223" s="26">
        <f>IF($P223="","",IF(INDEX(CalcTime,$P223)=0,"",INDEX(CalcTime,$P223)))</f>
        <v/>
      </c>
      <c r="D223" s="26">
        <f>IF($P223="","",IF(INDEX(EntryParty,$P223)=0,"",INDEX(EntryParty,$P223)))</f>
        <v/>
      </c>
      <c r="E223" s="26">
        <f>IF($P223="","",IF(INDEX(EntryPartyName,$P223)=0,"",INDEX(EntryPartyName,$P223)))</f>
        <v/>
      </c>
      <c r="F223" s="26">
        <f>IF($P223="","",IF(INDEX(EntryPartyType,$P223)=0,"",INDEX(EntryPartyType,$P223)))</f>
        <v/>
      </c>
      <c r="G223" s="26">
        <f>IF($P223="","",IF(INDEX(EntryTxnType,$P223)=0,"",INDEX(EntryTxnType,$P223)))</f>
        <v/>
      </c>
      <c r="H223" s="27">
        <f>IF($P223="","",IF(INDEX(EntryDep,$P223)=0,"",INDEX(EntryDep,$P223)))</f>
        <v/>
      </c>
      <c r="I223" s="27">
        <f>IF($P223="","",IF(INDEX(EntryWit,$P223)=0,"",INDEX(EntryWit,$P223)))</f>
        <v/>
      </c>
      <c r="J223" s="27">
        <f>IF($B223="","",IF($A223=1,$C$7,IF(J222="",0,J222))+IF($H223="",0,$H223)-IF($I223="",0,$I223))</f>
        <v/>
      </c>
      <c r="K223" s="27">
        <f>IF($P223="","",IF(INDEX(EntryMan,$P223)=0,"",INDEX(EntryMan,$P223)))</f>
        <v/>
      </c>
      <c r="L223" s="26">
        <f>IF($B223="","",IF($K223="","—",IF(ROUND($K223-$J223,0)=0,"√","×")))</f>
        <v/>
      </c>
      <c r="M223" s="26">
        <f>IF($B223="","",IF(COUNTIFS(EntryDates,$B223,CalcTime,$C223,CalcBank,$C$5,EntryParty,$D223,EntryDep,$H223,EntryWit,$I223)&gt;1,"تکرار",""))</f>
        <v/>
      </c>
      <c r="N223" s="26">
        <f>IF($P223="","",IF(INDEX(EntryNotes,$P223)=0,"",INDEX(EntryNotes,$P223)))</f>
        <v/>
      </c>
      <c r="O223" s="26">
        <f>IF($P223="","",IF(INDEX(EntryTxnID,$P223)=0,"",INDEX(EntryTxnID,$P223)))</f>
        <v/>
      </c>
      <c r="P223" s="26">
        <f>IFERROR(MATCH($C$5&amp;"|"&amp;RIGHT("000000"&amp;207,6),CalcRankKey,0),"")</f>
        <v/>
      </c>
    </row>
    <row r="224">
      <c r="A224" s="28">
        <f>IF($B224="","",208)</f>
        <v/>
      </c>
      <c r="B224" s="28">
        <f>IF($P224="","",IF(INDEX(CalcNormDate,$P224)=0,"",INDEX(CalcNormDate,$P224)))</f>
        <v/>
      </c>
      <c r="C224" s="28">
        <f>IF($P224="","",IF(INDEX(CalcTime,$P224)=0,"",INDEX(CalcTime,$P224)))</f>
        <v/>
      </c>
      <c r="D224" s="28">
        <f>IF($P224="","",IF(INDEX(EntryParty,$P224)=0,"",INDEX(EntryParty,$P224)))</f>
        <v/>
      </c>
      <c r="E224" s="28">
        <f>IF($P224="","",IF(INDEX(EntryPartyName,$P224)=0,"",INDEX(EntryPartyName,$P224)))</f>
        <v/>
      </c>
      <c r="F224" s="28">
        <f>IF($P224="","",IF(INDEX(EntryPartyType,$P224)=0,"",INDEX(EntryPartyType,$P224)))</f>
        <v/>
      </c>
      <c r="G224" s="28">
        <f>IF($P224="","",IF(INDEX(EntryTxnType,$P224)=0,"",INDEX(EntryTxnType,$P224)))</f>
        <v/>
      </c>
      <c r="H224" s="29">
        <f>IF($P224="","",IF(INDEX(EntryDep,$P224)=0,"",INDEX(EntryDep,$P224)))</f>
        <v/>
      </c>
      <c r="I224" s="29">
        <f>IF($P224="","",IF(INDEX(EntryWit,$P224)=0,"",INDEX(EntryWit,$P224)))</f>
        <v/>
      </c>
      <c r="J224" s="29">
        <f>IF($B224="","",IF($A224=1,$C$7,IF(J223="",0,J223))+IF($H224="",0,$H224)-IF($I224="",0,$I224))</f>
        <v/>
      </c>
      <c r="K224" s="29">
        <f>IF($P224="","",IF(INDEX(EntryMan,$P224)=0,"",INDEX(EntryMan,$P224)))</f>
        <v/>
      </c>
      <c r="L224" s="28">
        <f>IF($B224="","",IF($K224="","—",IF(ROUND($K224-$J224,0)=0,"√","×")))</f>
        <v/>
      </c>
      <c r="M224" s="28">
        <f>IF($B224="","",IF(COUNTIFS(EntryDates,$B224,CalcTime,$C224,CalcBank,$C$5,EntryParty,$D224,EntryDep,$H224,EntryWit,$I224)&gt;1,"تکرار",""))</f>
        <v/>
      </c>
      <c r="N224" s="28">
        <f>IF($P224="","",IF(INDEX(EntryNotes,$P224)=0,"",INDEX(EntryNotes,$P224)))</f>
        <v/>
      </c>
      <c r="O224" s="28">
        <f>IF($P224="","",IF(INDEX(EntryTxnID,$P224)=0,"",INDEX(EntryTxnID,$P224)))</f>
        <v/>
      </c>
      <c r="P224" s="28">
        <f>IFERROR(MATCH($C$5&amp;"|"&amp;RIGHT("000000"&amp;208,6),CalcRankKey,0),"")</f>
        <v/>
      </c>
    </row>
    <row r="225">
      <c r="A225" s="26">
        <f>IF($B225="","",209)</f>
        <v/>
      </c>
      <c r="B225" s="26">
        <f>IF($P225="","",IF(INDEX(CalcNormDate,$P225)=0,"",INDEX(CalcNormDate,$P225)))</f>
        <v/>
      </c>
      <c r="C225" s="26">
        <f>IF($P225="","",IF(INDEX(CalcTime,$P225)=0,"",INDEX(CalcTime,$P225)))</f>
        <v/>
      </c>
      <c r="D225" s="26">
        <f>IF($P225="","",IF(INDEX(EntryParty,$P225)=0,"",INDEX(EntryParty,$P225)))</f>
        <v/>
      </c>
      <c r="E225" s="26">
        <f>IF($P225="","",IF(INDEX(EntryPartyName,$P225)=0,"",INDEX(EntryPartyName,$P225)))</f>
        <v/>
      </c>
      <c r="F225" s="26">
        <f>IF($P225="","",IF(INDEX(EntryPartyType,$P225)=0,"",INDEX(EntryPartyType,$P225)))</f>
        <v/>
      </c>
      <c r="G225" s="26">
        <f>IF($P225="","",IF(INDEX(EntryTxnType,$P225)=0,"",INDEX(EntryTxnType,$P225)))</f>
        <v/>
      </c>
      <c r="H225" s="27">
        <f>IF($P225="","",IF(INDEX(EntryDep,$P225)=0,"",INDEX(EntryDep,$P225)))</f>
        <v/>
      </c>
      <c r="I225" s="27">
        <f>IF($P225="","",IF(INDEX(EntryWit,$P225)=0,"",INDEX(EntryWit,$P225)))</f>
        <v/>
      </c>
      <c r="J225" s="27">
        <f>IF($B225="","",IF($A225=1,$C$7,IF(J224="",0,J224))+IF($H225="",0,$H225)-IF($I225="",0,$I225))</f>
        <v/>
      </c>
      <c r="K225" s="27">
        <f>IF($P225="","",IF(INDEX(EntryMan,$P225)=0,"",INDEX(EntryMan,$P225)))</f>
        <v/>
      </c>
      <c r="L225" s="26">
        <f>IF($B225="","",IF($K225="","—",IF(ROUND($K225-$J225,0)=0,"√","×")))</f>
        <v/>
      </c>
      <c r="M225" s="26">
        <f>IF($B225="","",IF(COUNTIFS(EntryDates,$B225,CalcTime,$C225,CalcBank,$C$5,EntryParty,$D225,EntryDep,$H225,EntryWit,$I225)&gt;1,"تکرار",""))</f>
        <v/>
      </c>
      <c r="N225" s="26">
        <f>IF($P225="","",IF(INDEX(EntryNotes,$P225)=0,"",INDEX(EntryNotes,$P225)))</f>
        <v/>
      </c>
      <c r="O225" s="26">
        <f>IF($P225="","",IF(INDEX(EntryTxnID,$P225)=0,"",INDEX(EntryTxnID,$P225)))</f>
        <v/>
      </c>
      <c r="P225" s="26">
        <f>IFERROR(MATCH($C$5&amp;"|"&amp;RIGHT("000000"&amp;209,6),CalcRankKey,0),"")</f>
        <v/>
      </c>
    </row>
    <row r="226">
      <c r="A226" s="28">
        <f>IF($B226="","",210)</f>
        <v/>
      </c>
      <c r="B226" s="28">
        <f>IF($P226="","",IF(INDEX(CalcNormDate,$P226)=0,"",INDEX(CalcNormDate,$P226)))</f>
        <v/>
      </c>
      <c r="C226" s="28">
        <f>IF($P226="","",IF(INDEX(CalcTime,$P226)=0,"",INDEX(CalcTime,$P226)))</f>
        <v/>
      </c>
      <c r="D226" s="28">
        <f>IF($P226="","",IF(INDEX(EntryParty,$P226)=0,"",INDEX(EntryParty,$P226)))</f>
        <v/>
      </c>
      <c r="E226" s="28">
        <f>IF($P226="","",IF(INDEX(EntryPartyName,$P226)=0,"",INDEX(EntryPartyName,$P226)))</f>
        <v/>
      </c>
      <c r="F226" s="28">
        <f>IF($P226="","",IF(INDEX(EntryPartyType,$P226)=0,"",INDEX(EntryPartyType,$P226)))</f>
        <v/>
      </c>
      <c r="G226" s="28">
        <f>IF($P226="","",IF(INDEX(EntryTxnType,$P226)=0,"",INDEX(EntryTxnType,$P226)))</f>
        <v/>
      </c>
      <c r="H226" s="29">
        <f>IF($P226="","",IF(INDEX(EntryDep,$P226)=0,"",INDEX(EntryDep,$P226)))</f>
        <v/>
      </c>
      <c r="I226" s="29">
        <f>IF($P226="","",IF(INDEX(EntryWit,$P226)=0,"",INDEX(EntryWit,$P226)))</f>
        <v/>
      </c>
      <c r="J226" s="29">
        <f>IF($B226="","",IF($A226=1,$C$7,IF(J225="",0,J225))+IF($H226="",0,$H226)-IF($I226="",0,$I226))</f>
        <v/>
      </c>
      <c r="K226" s="29">
        <f>IF($P226="","",IF(INDEX(EntryMan,$P226)=0,"",INDEX(EntryMan,$P226)))</f>
        <v/>
      </c>
      <c r="L226" s="28">
        <f>IF($B226="","",IF($K226="","—",IF(ROUND($K226-$J226,0)=0,"√","×")))</f>
        <v/>
      </c>
      <c r="M226" s="28">
        <f>IF($B226="","",IF(COUNTIFS(EntryDates,$B226,CalcTime,$C226,CalcBank,$C$5,EntryParty,$D226,EntryDep,$H226,EntryWit,$I226)&gt;1,"تکرار",""))</f>
        <v/>
      </c>
      <c r="N226" s="28">
        <f>IF($P226="","",IF(INDEX(EntryNotes,$P226)=0,"",INDEX(EntryNotes,$P226)))</f>
        <v/>
      </c>
      <c r="O226" s="28">
        <f>IF($P226="","",IF(INDEX(EntryTxnID,$P226)=0,"",INDEX(EntryTxnID,$P226)))</f>
        <v/>
      </c>
      <c r="P226" s="28">
        <f>IFERROR(MATCH($C$5&amp;"|"&amp;RIGHT("000000"&amp;210,6),CalcRankKey,0),"")</f>
        <v/>
      </c>
    </row>
    <row r="227">
      <c r="A227" s="26">
        <f>IF($B227="","",211)</f>
        <v/>
      </c>
      <c r="B227" s="26">
        <f>IF($P227="","",IF(INDEX(CalcNormDate,$P227)=0,"",INDEX(CalcNormDate,$P227)))</f>
        <v/>
      </c>
      <c r="C227" s="26">
        <f>IF($P227="","",IF(INDEX(CalcTime,$P227)=0,"",INDEX(CalcTime,$P227)))</f>
        <v/>
      </c>
      <c r="D227" s="26">
        <f>IF($P227="","",IF(INDEX(EntryParty,$P227)=0,"",INDEX(EntryParty,$P227)))</f>
        <v/>
      </c>
      <c r="E227" s="26">
        <f>IF($P227="","",IF(INDEX(EntryPartyName,$P227)=0,"",INDEX(EntryPartyName,$P227)))</f>
        <v/>
      </c>
      <c r="F227" s="26">
        <f>IF($P227="","",IF(INDEX(EntryPartyType,$P227)=0,"",INDEX(EntryPartyType,$P227)))</f>
        <v/>
      </c>
      <c r="G227" s="26">
        <f>IF($P227="","",IF(INDEX(EntryTxnType,$P227)=0,"",INDEX(EntryTxnType,$P227)))</f>
        <v/>
      </c>
      <c r="H227" s="27">
        <f>IF($P227="","",IF(INDEX(EntryDep,$P227)=0,"",INDEX(EntryDep,$P227)))</f>
        <v/>
      </c>
      <c r="I227" s="27">
        <f>IF($P227="","",IF(INDEX(EntryWit,$P227)=0,"",INDEX(EntryWit,$P227)))</f>
        <v/>
      </c>
      <c r="J227" s="27">
        <f>IF($B227="","",IF($A227=1,$C$7,IF(J226="",0,J226))+IF($H227="",0,$H227)-IF($I227="",0,$I227))</f>
        <v/>
      </c>
      <c r="K227" s="27">
        <f>IF($P227="","",IF(INDEX(EntryMan,$P227)=0,"",INDEX(EntryMan,$P227)))</f>
        <v/>
      </c>
      <c r="L227" s="26">
        <f>IF($B227="","",IF($K227="","—",IF(ROUND($K227-$J227,0)=0,"√","×")))</f>
        <v/>
      </c>
      <c r="M227" s="26">
        <f>IF($B227="","",IF(COUNTIFS(EntryDates,$B227,CalcTime,$C227,CalcBank,$C$5,EntryParty,$D227,EntryDep,$H227,EntryWit,$I227)&gt;1,"تکرار",""))</f>
        <v/>
      </c>
      <c r="N227" s="26">
        <f>IF($P227="","",IF(INDEX(EntryNotes,$P227)=0,"",INDEX(EntryNotes,$P227)))</f>
        <v/>
      </c>
      <c r="O227" s="26">
        <f>IF($P227="","",IF(INDEX(EntryTxnID,$P227)=0,"",INDEX(EntryTxnID,$P227)))</f>
        <v/>
      </c>
      <c r="P227" s="26">
        <f>IFERROR(MATCH($C$5&amp;"|"&amp;RIGHT("000000"&amp;211,6),CalcRankKey,0),"")</f>
        <v/>
      </c>
    </row>
    <row r="228">
      <c r="A228" s="28">
        <f>IF($B228="","",212)</f>
        <v/>
      </c>
      <c r="B228" s="28">
        <f>IF($P228="","",IF(INDEX(CalcNormDate,$P228)=0,"",INDEX(CalcNormDate,$P228)))</f>
        <v/>
      </c>
      <c r="C228" s="28">
        <f>IF($P228="","",IF(INDEX(CalcTime,$P228)=0,"",INDEX(CalcTime,$P228)))</f>
        <v/>
      </c>
      <c r="D228" s="28">
        <f>IF($P228="","",IF(INDEX(EntryParty,$P228)=0,"",INDEX(EntryParty,$P228)))</f>
        <v/>
      </c>
      <c r="E228" s="28">
        <f>IF($P228="","",IF(INDEX(EntryPartyName,$P228)=0,"",INDEX(EntryPartyName,$P228)))</f>
        <v/>
      </c>
      <c r="F228" s="28">
        <f>IF($P228="","",IF(INDEX(EntryPartyType,$P228)=0,"",INDEX(EntryPartyType,$P228)))</f>
        <v/>
      </c>
      <c r="G228" s="28">
        <f>IF($P228="","",IF(INDEX(EntryTxnType,$P228)=0,"",INDEX(EntryTxnType,$P228)))</f>
        <v/>
      </c>
      <c r="H228" s="29">
        <f>IF($P228="","",IF(INDEX(EntryDep,$P228)=0,"",INDEX(EntryDep,$P228)))</f>
        <v/>
      </c>
      <c r="I228" s="29">
        <f>IF($P228="","",IF(INDEX(EntryWit,$P228)=0,"",INDEX(EntryWit,$P228)))</f>
        <v/>
      </c>
      <c r="J228" s="29">
        <f>IF($B228="","",IF($A228=1,$C$7,IF(J227="",0,J227))+IF($H228="",0,$H228)-IF($I228="",0,$I228))</f>
        <v/>
      </c>
      <c r="K228" s="29">
        <f>IF($P228="","",IF(INDEX(EntryMan,$P228)=0,"",INDEX(EntryMan,$P228)))</f>
        <v/>
      </c>
      <c r="L228" s="28">
        <f>IF($B228="","",IF($K228="","—",IF(ROUND($K228-$J228,0)=0,"√","×")))</f>
        <v/>
      </c>
      <c r="M228" s="28">
        <f>IF($B228="","",IF(COUNTIFS(EntryDates,$B228,CalcTime,$C228,CalcBank,$C$5,EntryParty,$D228,EntryDep,$H228,EntryWit,$I228)&gt;1,"تکرار",""))</f>
        <v/>
      </c>
      <c r="N228" s="28">
        <f>IF($P228="","",IF(INDEX(EntryNotes,$P228)=0,"",INDEX(EntryNotes,$P228)))</f>
        <v/>
      </c>
      <c r="O228" s="28">
        <f>IF($P228="","",IF(INDEX(EntryTxnID,$P228)=0,"",INDEX(EntryTxnID,$P228)))</f>
        <v/>
      </c>
      <c r="P228" s="28">
        <f>IFERROR(MATCH($C$5&amp;"|"&amp;RIGHT("000000"&amp;212,6),CalcRankKey,0),"")</f>
        <v/>
      </c>
    </row>
    <row r="229">
      <c r="A229" s="26">
        <f>IF($B229="","",213)</f>
        <v/>
      </c>
      <c r="B229" s="26">
        <f>IF($P229="","",IF(INDEX(CalcNormDate,$P229)=0,"",INDEX(CalcNormDate,$P229)))</f>
        <v/>
      </c>
      <c r="C229" s="26">
        <f>IF($P229="","",IF(INDEX(CalcTime,$P229)=0,"",INDEX(CalcTime,$P229)))</f>
        <v/>
      </c>
      <c r="D229" s="26">
        <f>IF($P229="","",IF(INDEX(EntryParty,$P229)=0,"",INDEX(EntryParty,$P229)))</f>
        <v/>
      </c>
      <c r="E229" s="26">
        <f>IF($P229="","",IF(INDEX(EntryPartyName,$P229)=0,"",INDEX(EntryPartyName,$P229)))</f>
        <v/>
      </c>
      <c r="F229" s="26">
        <f>IF($P229="","",IF(INDEX(EntryPartyType,$P229)=0,"",INDEX(EntryPartyType,$P229)))</f>
        <v/>
      </c>
      <c r="G229" s="26">
        <f>IF($P229="","",IF(INDEX(EntryTxnType,$P229)=0,"",INDEX(EntryTxnType,$P229)))</f>
        <v/>
      </c>
      <c r="H229" s="27">
        <f>IF($P229="","",IF(INDEX(EntryDep,$P229)=0,"",INDEX(EntryDep,$P229)))</f>
        <v/>
      </c>
      <c r="I229" s="27">
        <f>IF($P229="","",IF(INDEX(EntryWit,$P229)=0,"",INDEX(EntryWit,$P229)))</f>
        <v/>
      </c>
      <c r="J229" s="27">
        <f>IF($B229="","",IF($A229=1,$C$7,IF(J228="",0,J228))+IF($H229="",0,$H229)-IF($I229="",0,$I229))</f>
        <v/>
      </c>
      <c r="K229" s="27">
        <f>IF($P229="","",IF(INDEX(EntryMan,$P229)=0,"",INDEX(EntryMan,$P229)))</f>
        <v/>
      </c>
      <c r="L229" s="26">
        <f>IF($B229="","",IF($K229="","—",IF(ROUND($K229-$J229,0)=0,"√","×")))</f>
        <v/>
      </c>
      <c r="M229" s="26">
        <f>IF($B229="","",IF(COUNTIFS(EntryDates,$B229,CalcTime,$C229,CalcBank,$C$5,EntryParty,$D229,EntryDep,$H229,EntryWit,$I229)&gt;1,"تکرار",""))</f>
        <v/>
      </c>
      <c r="N229" s="26">
        <f>IF($P229="","",IF(INDEX(EntryNotes,$P229)=0,"",INDEX(EntryNotes,$P229)))</f>
        <v/>
      </c>
      <c r="O229" s="26">
        <f>IF($P229="","",IF(INDEX(EntryTxnID,$P229)=0,"",INDEX(EntryTxnID,$P229)))</f>
        <v/>
      </c>
      <c r="P229" s="26">
        <f>IFERROR(MATCH($C$5&amp;"|"&amp;RIGHT("000000"&amp;213,6),CalcRankKey,0),"")</f>
        <v/>
      </c>
    </row>
    <row r="230">
      <c r="A230" s="28">
        <f>IF($B230="","",214)</f>
        <v/>
      </c>
      <c r="B230" s="28">
        <f>IF($P230="","",IF(INDEX(CalcNormDate,$P230)=0,"",INDEX(CalcNormDate,$P230)))</f>
        <v/>
      </c>
      <c r="C230" s="28">
        <f>IF($P230="","",IF(INDEX(CalcTime,$P230)=0,"",INDEX(CalcTime,$P230)))</f>
        <v/>
      </c>
      <c r="D230" s="28">
        <f>IF($P230="","",IF(INDEX(EntryParty,$P230)=0,"",INDEX(EntryParty,$P230)))</f>
        <v/>
      </c>
      <c r="E230" s="28">
        <f>IF($P230="","",IF(INDEX(EntryPartyName,$P230)=0,"",INDEX(EntryPartyName,$P230)))</f>
        <v/>
      </c>
      <c r="F230" s="28">
        <f>IF($P230="","",IF(INDEX(EntryPartyType,$P230)=0,"",INDEX(EntryPartyType,$P230)))</f>
        <v/>
      </c>
      <c r="G230" s="28">
        <f>IF($P230="","",IF(INDEX(EntryTxnType,$P230)=0,"",INDEX(EntryTxnType,$P230)))</f>
        <v/>
      </c>
      <c r="H230" s="29">
        <f>IF($P230="","",IF(INDEX(EntryDep,$P230)=0,"",INDEX(EntryDep,$P230)))</f>
        <v/>
      </c>
      <c r="I230" s="29">
        <f>IF($P230="","",IF(INDEX(EntryWit,$P230)=0,"",INDEX(EntryWit,$P230)))</f>
        <v/>
      </c>
      <c r="J230" s="29">
        <f>IF($B230="","",IF($A230=1,$C$7,IF(J229="",0,J229))+IF($H230="",0,$H230)-IF($I230="",0,$I230))</f>
        <v/>
      </c>
      <c r="K230" s="29">
        <f>IF($P230="","",IF(INDEX(EntryMan,$P230)=0,"",INDEX(EntryMan,$P230)))</f>
        <v/>
      </c>
      <c r="L230" s="28">
        <f>IF($B230="","",IF($K230="","—",IF(ROUND($K230-$J230,0)=0,"√","×")))</f>
        <v/>
      </c>
      <c r="M230" s="28">
        <f>IF($B230="","",IF(COUNTIFS(EntryDates,$B230,CalcTime,$C230,CalcBank,$C$5,EntryParty,$D230,EntryDep,$H230,EntryWit,$I230)&gt;1,"تکرار",""))</f>
        <v/>
      </c>
      <c r="N230" s="28">
        <f>IF($P230="","",IF(INDEX(EntryNotes,$P230)=0,"",INDEX(EntryNotes,$P230)))</f>
        <v/>
      </c>
      <c r="O230" s="28">
        <f>IF($P230="","",IF(INDEX(EntryTxnID,$P230)=0,"",INDEX(EntryTxnID,$P230)))</f>
        <v/>
      </c>
      <c r="P230" s="28">
        <f>IFERROR(MATCH($C$5&amp;"|"&amp;RIGHT("000000"&amp;214,6),CalcRankKey,0),"")</f>
        <v/>
      </c>
    </row>
    <row r="231">
      <c r="A231" s="26">
        <f>IF($B231="","",215)</f>
        <v/>
      </c>
      <c r="B231" s="26">
        <f>IF($P231="","",IF(INDEX(CalcNormDate,$P231)=0,"",INDEX(CalcNormDate,$P231)))</f>
        <v/>
      </c>
      <c r="C231" s="26">
        <f>IF($P231="","",IF(INDEX(CalcTime,$P231)=0,"",INDEX(CalcTime,$P231)))</f>
        <v/>
      </c>
      <c r="D231" s="26">
        <f>IF($P231="","",IF(INDEX(EntryParty,$P231)=0,"",INDEX(EntryParty,$P231)))</f>
        <v/>
      </c>
      <c r="E231" s="26">
        <f>IF($P231="","",IF(INDEX(EntryPartyName,$P231)=0,"",INDEX(EntryPartyName,$P231)))</f>
        <v/>
      </c>
      <c r="F231" s="26">
        <f>IF($P231="","",IF(INDEX(EntryPartyType,$P231)=0,"",INDEX(EntryPartyType,$P231)))</f>
        <v/>
      </c>
      <c r="G231" s="26">
        <f>IF($P231="","",IF(INDEX(EntryTxnType,$P231)=0,"",INDEX(EntryTxnType,$P231)))</f>
        <v/>
      </c>
      <c r="H231" s="27">
        <f>IF($P231="","",IF(INDEX(EntryDep,$P231)=0,"",INDEX(EntryDep,$P231)))</f>
        <v/>
      </c>
      <c r="I231" s="27">
        <f>IF($P231="","",IF(INDEX(EntryWit,$P231)=0,"",INDEX(EntryWit,$P231)))</f>
        <v/>
      </c>
      <c r="J231" s="27">
        <f>IF($B231="","",IF($A231=1,$C$7,IF(J230="",0,J230))+IF($H231="",0,$H231)-IF($I231="",0,$I231))</f>
        <v/>
      </c>
      <c r="K231" s="27">
        <f>IF($P231="","",IF(INDEX(EntryMan,$P231)=0,"",INDEX(EntryMan,$P231)))</f>
        <v/>
      </c>
      <c r="L231" s="26">
        <f>IF($B231="","",IF($K231="","—",IF(ROUND($K231-$J231,0)=0,"√","×")))</f>
        <v/>
      </c>
      <c r="M231" s="26">
        <f>IF($B231="","",IF(COUNTIFS(EntryDates,$B231,CalcTime,$C231,CalcBank,$C$5,EntryParty,$D231,EntryDep,$H231,EntryWit,$I231)&gt;1,"تکرار",""))</f>
        <v/>
      </c>
      <c r="N231" s="26">
        <f>IF($P231="","",IF(INDEX(EntryNotes,$P231)=0,"",INDEX(EntryNotes,$P231)))</f>
        <v/>
      </c>
      <c r="O231" s="26">
        <f>IF($P231="","",IF(INDEX(EntryTxnID,$P231)=0,"",INDEX(EntryTxnID,$P231)))</f>
        <v/>
      </c>
      <c r="P231" s="26">
        <f>IFERROR(MATCH($C$5&amp;"|"&amp;RIGHT("000000"&amp;215,6),CalcRankKey,0),"")</f>
        <v/>
      </c>
    </row>
    <row r="232">
      <c r="A232" s="28">
        <f>IF($B232="","",216)</f>
        <v/>
      </c>
      <c r="B232" s="28">
        <f>IF($P232="","",IF(INDEX(CalcNormDate,$P232)=0,"",INDEX(CalcNormDate,$P232)))</f>
        <v/>
      </c>
      <c r="C232" s="28">
        <f>IF($P232="","",IF(INDEX(CalcTime,$P232)=0,"",INDEX(CalcTime,$P232)))</f>
        <v/>
      </c>
      <c r="D232" s="28">
        <f>IF($P232="","",IF(INDEX(EntryParty,$P232)=0,"",INDEX(EntryParty,$P232)))</f>
        <v/>
      </c>
      <c r="E232" s="28">
        <f>IF($P232="","",IF(INDEX(EntryPartyName,$P232)=0,"",INDEX(EntryPartyName,$P232)))</f>
        <v/>
      </c>
      <c r="F232" s="28">
        <f>IF($P232="","",IF(INDEX(EntryPartyType,$P232)=0,"",INDEX(EntryPartyType,$P232)))</f>
        <v/>
      </c>
      <c r="G232" s="28">
        <f>IF($P232="","",IF(INDEX(EntryTxnType,$P232)=0,"",INDEX(EntryTxnType,$P232)))</f>
        <v/>
      </c>
      <c r="H232" s="29">
        <f>IF($P232="","",IF(INDEX(EntryDep,$P232)=0,"",INDEX(EntryDep,$P232)))</f>
        <v/>
      </c>
      <c r="I232" s="29">
        <f>IF($P232="","",IF(INDEX(EntryWit,$P232)=0,"",INDEX(EntryWit,$P232)))</f>
        <v/>
      </c>
      <c r="J232" s="29">
        <f>IF($B232="","",IF($A232=1,$C$7,IF(J231="",0,J231))+IF($H232="",0,$H232)-IF($I232="",0,$I232))</f>
        <v/>
      </c>
      <c r="K232" s="29">
        <f>IF($P232="","",IF(INDEX(EntryMan,$P232)=0,"",INDEX(EntryMan,$P232)))</f>
        <v/>
      </c>
      <c r="L232" s="28">
        <f>IF($B232="","",IF($K232="","—",IF(ROUND($K232-$J232,0)=0,"√","×")))</f>
        <v/>
      </c>
      <c r="M232" s="28">
        <f>IF($B232="","",IF(COUNTIFS(EntryDates,$B232,CalcTime,$C232,CalcBank,$C$5,EntryParty,$D232,EntryDep,$H232,EntryWit,$I232)&gt;1,"تکرار",""))</f>
        <v/>
      </c>
      <c r="N232" s="28">
        <f>IF($P232="","",IF(INDEX(EntryNotes,$P232)=0,"",INDEX(EntryNotes,$P232)))</f>
        <v/>
      </c>
      <c r="O232" s="28">
        <f>IF($P232="","",IF(INDEX(EntryTxnID,$P232)=0,"",INDEX(EntryTxnID,$P232)))</f>
        <v/>
      </c>
      <c r="P232" s="28">
        <f>IFERROR(MATCH($C$5&amp;"|"&amp;RIGHT("000000"&amp;216,6),CalcRankKey,0),"")</f>
        <v/>
      </c>
    </row>
    <row r="233">
      <c r="A233" s="26">
        <f>IF($B233="","",217)</f>
        <v/>
      </c>
      <c r="B233" s="26">
        <f>IF($P233="","",IF(INDEX(CalcNormDate,$P233)=0,"",INDEX(CalcNormDate,$P233)))</f>
        <v/>
      </c>
      <c r="C233" s="26">
        <f>IF($P233="","",IF(INDEX(CalcTime,$P233)=0,"",INDEX(CalcTime,$P233)))</f>
        <v/>
      </c>
      <c r="D233" s="26">
        <f>IF($P233="","",IF(INDEX(EntryParty,$P233)=0,"",INDEX(EntryParty,$P233)))</f>
        <v/>
      </c>
      <c r="E233" s="26">
        <f>IF($P233="","",IF(INDEX(EntryPartyName,$P233)=0,"",INDEX(EntryPartyName,$P233)))</f>
        <v/>
      </c>
      <c r="F233" s="26">
        <f>IF($P233="","",IF(INDEX(EntryPartyType,$P233)=0,"",INDEX(EntryPartyType,$P233)))</f>
        <v/>
      </c>
      <c r="G233" s="26">
        <f>IF($P233="","",IF(INDEX(EntryTxnType,$P233)=0,"",INDEX(EntryTxnType,$P233)))</f>
        <v/>
      </c>
      <c r="H233" s="27">
        <f>IF($P233="","",IF(INDEX(EntryDep,$P233)=0,"",INDEX(EntryDep,$P233)))</f>
        <v/>
      </c>
      <c r="I233" s="27">
        <f>IF($P233="","",IF(INDEX(EntryWit,$P233)=0,"",INDEX(EntryWit,$P233)))</f>
        <v/>
      </c>
      <c r="J233" s="27">
        <f>IF($B233="","",IF($A233=1,$C$7,IF(J232="",0,J232))+IF($H233="",0,$H233)-IF($I233="",0,$I233))</f>
        <v/>
      </c>
      <c r="K233" s="27">
        <f>IF($P233="","",IF(INDEX(EntryMan,$P233)=0,"",INDEX(EntryMan,$P233)))</f>
        <v/>
      </c>
      <c r="L233" s="26">
        <f>IF($B233="","",IF($K233="","—",IF(ROUND($K233-$J233,0)=0,"√","×")))</f>
        <v/>
      </c>
      <c r="M233" s="26">
        <f>IF($B233="","",IF(COUNTIFS(EntryDates,$B233,CalcTime,$C233,CalcBank,$C$5,EntryParty,$D233,EntryDep,$H233,EntryWit,$I233)&gt;1,"تکرار",""))</f>
        <v/>
      </c>
      <c r="N233" s="26">
        <f>IF($P233="","",IF(INDEX(EntryNotes,$P233)=0,"",INDEX(EntryNotes,$P233)))</f>
        <v/>
      </c>
      <c r="O233" s="26">
        <f>IF($P233="","",IF(INDEX(EntryTxnID,$P233)=0,"",INDEX(EntryTxnID,$P233)))</f>
        <v/>
      </c>
      <c r="P233" s="26">
        <f>IFERROR(MATCH($C$5&amp;"|"&amp;RIGHT("000000"&amp;217,6),CalcRankKey,0),"")</f>
        <v/>
      </c>
    </row>
    <row r="234">
      <c r="A234" s="28">
        <f>IF($B234="","",218)</f>
        <v/>
      </c>
      <c r="B234" s="28">
        <f>IF($P234="","",IF(INDEX(CalcNormDate,$P234)=0,"",INDEX(CalcNormDate,$P234)))</f>
        <v/>
      </c>
      <c r="C234" s="28">
        <f>IF($P234="","",IF(INDEX(CalcTime,$P234)=0,"",INDEX(CalcTime,$P234)))</f>
        <v/>
      </c>
      <c r="D234" s="28">
        <f>IF($P234="","",IF(INDEX(EntryParty,$P234)=0,"",INDEX(EntryParty,$P234)))</f>
        <v/>
      </c>
      <c r="E234" s="28">
        <f>IF($P234="","",IF(INDEX(EntryPartyName,$P234)=0,"",INDEX(EntryPartyName,$P234)))</f>
        <v/>
      </c>
      <c r="F234" s="28">
        <f>IF($P234="","",IF(INDEX(EntryPartyType,$P234)=0,"",INDEX(EntryPartyType,$P234)))</f>
        <v/>
      </c>
      <c r="G234" s="28">
        <f>IF($P234="","",IF(INDEX(EntryTxnType,$P234)=0,"",INDEX(EntryTxnType,$P234)))</f>
        <v/>
      </c>
      <c r="H234" s="29">
        <f>IF($P234="","",IF(INDEX(EntryDep,$P234)=0,"",INDEX(EntryDep,$P234)))</f>
        <v/>
      </c>
      <c r="I234" s="29">
        <f>IF($P234="","",IF(INDEX(EntryWit,$P234)=0,"",INDEX(EntryWit,$P234)))</f>
        <v/>
      </c>
      <c r="J234" s="29">
        <f>IF($B234="","",IF($A234=1,$C$7,IF(J233="",0,J233))+IF($H234="",0,$H234)-IF($I234="",0,$I234))</f>
        <v/>
      </c>
      <c r="K234" s="29">
        <f>IF($P234="","",IF(INDEX(EntryMan,$P234)=0,"",INDEX(EntryMan,$P234)))</f>
        <v/>
      </c>
      <c r="L234" s="28">
        <f>IF($B234="","",IF($K234="","—",IF(ROUND($K234-$J234,0)=0,"√","×")))</f>
        <v/>
      </c>
      <c r="M234" s="28">
        <f>IF($B234="","",IF(COUNTIFS(EntryDates,$B234,CalcTime,$C234,CalcBank,$C$5,EntryParty,$D234,EntryDep,$H234,EntryWit,$I234)&gt;1,"تکرار",""))</f>
        <v/>
      </c>
      <c r="N234" s="28">
        <f>IF($P234="","",IF(INDEX(EntryNotes,$P234)=0,"",INDEX(EntryNotes,$P234)))</f>
        <v/>
      </c>
      <c r="O234" s="28">
        <f>IF($P234="","",IF(INDEX(EntryTxnID,$P234)=0,"",INDEX(EntryTxnID,$P234)))</f>
        <v/>
      </c>
      <c r="P234" s="28">
        <f>IFERROR(MATCH($C$5&amp;"|"&amp;RIGHT("000000"&amp;218,6),CalcRankKey,0),"")</f>
        <v/>
      </c>
    </row>
    <row r="235">
      <c r="A235" s="26">
        <f>IF($B235="","",219)</f>
        <v/>
      </c>
      <c r="B235" s="26">
        <f>IF($P235="","",IF(INDEX(CalcNormDate,$P235)=0,"",INDEX(CalcNormDate,$P235)))</f>
        <v/>
      </c>
      <c r="C235" s="26">
        <f>IF($P235="","",IF(INDEX(CalcTime,$P235)=0,"",INDEX(CalcTime,$P235)))</f>
        <v/>
      </c>
      <c r="D235" s="26">
        <f>IF($P235="","",IF(INDEX(EntryParty,$P235)=0,"",INDEX(EntryParty,$P235)))</f>
        <v/>
      </c>
      <c r="E235" s="26">
        <f>IF($P235="","",IF(INDEX(EntryPartyName,$P235)=0,"",INDEX(EntryPartyName,$P235)))</f>
        <v/>
      </c>
      <c r="F235" s="26">
        <f>IF($P235="","",IF(INDEX(EntryPartyType,$P235)=0,"",INDEX(EntryPartyType,$P235)))</f>
        <v/>
      </c>
      <c r="G235" s="26">
        <f>IF($P235="","",IF(INDEX(EntryTxnType,$P235)=0,"",INDEX(EntryTxnType,$P235)))</f>
        <v/>
      </c>
      <c r="H235" s="27">
        <f>IF($P235="","",IF(INDEX(EntryDep,$P235)=0,"",INDEX(EntryDep,$P235)))</f>
        <v/>
      </c>
      <c r="I235" s="27">
        <f>IF($P235="","",IF(INDEX(EntryWit,$P235)=0,"",INDEX(EntryWit,$P235)))</f>
        <v/>
      </c>
      <c r="J235" s="27">
        <f>IF($B235="","",IF($A235=1,$C$7,IF(J234="",0,J234))+IF($H235="",0,$H235)-IF($I235="",0,$I235))</f>
        <v/>
      </c>
      <c r="K235" s="27">
        <f>IF($P235="","",IF(INDEX(EntryMan,$P235)=0,"",INDEX(EntryMan,$P235)))</f>
        <v/>
      </c>
      <c r="L235" s="26">
        <f>IF($B235="","",IF($K235="","—",IF(ROUND($K235-$J235,0)=0,"√","×")))</f>
        <v/>
      </c>
      <c r="M235" s="26">
        <f>IF($B235="","",IF(COUNTIFS(EntryDates,$B235,CalcTime,$C235,CalcBank,$C$5,EntryParty,$D235,EntryDep,$H235,EntryWit,$I235)&gt;1,"تکرار",""))</f>
        <v/>
      </c>
      <c r="N235" s="26">
        <f>IF($P235="","",IF(INDEX(EntryNotes,$P235)=0,"",INDEX(EntryNotes,$P235)))</f>
        <v/>
      </c>
      <c r="O235" s="26">
        <f>IF($P235="","",IF(INDEX(EntryTxnID,$P235)=0,"",INDEX(EntryTxnID,$P235)))</f>
        <v/>
      </c>
      <c r="P235" s="26">
        <f>IFERROR(MATCH($C$5&amp;"|"&amp;RIGHT("000000"&amp;219,6),CalcRankKey,0),"")</f>
        <v/>
      </c>
    </row>
    <row r="236">
      <c r="A236" s="28">
        <f>IF($B236="","",220)</f>
        <v/>
      </c>
      <c r="B236" s="28">
        <f>IF($P236="","",IF(INDEX(CalcNormDate,$P236)=0,"",INDEX(CalcNormDate,$P236)))</f>
        <v/>
      </c>
      <c r="C236" s="28">
        <f>IF($P236="","",IF(INDEX(CalcTime,$P236)=0,"",INDEX(CalcTime,$P236)))</f>
        <v/>
      </c>
      <c r="D236" s="28">
        <f>IF($P236="","",IF(INDEX(EntryParty,$P236)=0,"",INDEX(EntryParty,$P236)))</f>
        <v/>
      </c>
      <c r="E236" s="28">
        <f>IF($P236="","",IF(INDEX(EntryPartyName,$P236)=0,"",INDEX(EntryPartyName,$P236)))</f>
        <v/>
      </c>
      <c r="F236" s="28">
        <f>IF($P236="","",IF(INDEX(EntryPartyType,$P236)=0,"",INDEX(EntryPartyType,$P236)))</f>
        <v/>
      </c>
      <c r="G236" s="28">
        <f>IF($P236="","",IF(INDEX(EntryTxnType,$P236)=0,"",INDEX(EntryTxnType,$P236)))</f>
        <v/>
      </c>
      <c r="H236" s="29">
        <f>IF($P236="","",IF(INDEX(EntryDep,$P236)=0,"",INDEX(EntryDep,$P236)))</f>
        <v/>
      </c>
      <c r="I236" s="29">
        <f>IF($P236="","",IF(INDEX(EntryWit,$P236)=0,"",INDEX(EntryWit,$P236)))</f>
        <v/>
      </c>
      <c r="J236" s="29">
        <f>IF($B236="","",IF($A236=1,$C$7,IF(J235="",0,J235))+IF($H236="",0,$H236)-IF($I236="",0,$I236))</f>
        <v/>
      </c>
      <c r="K236" s="29">
        <f>IF($P236="","",IF(INDEX(EntryMan,$P236)=0,"",INDEX(EntryMan,$P236)))</f>
        <v/>
      </c>
      <c r="L236" s="28">
        <f>IF($B236="","",IF($K236="","—",IF(ROUND($K236-$J236,0)=0,"√","×")))</f>
        <v/>
      </c>
      <c r="M236" s="28">
        <f>IF($B236="","",IF(COUNTIFS(EntryDates,$B236,CalcTime,$C236,CalcBank,$C$5,EntryParty,$D236,EntryDep,$H236,EntryWit,$I236)&gt;1,"تکرار",""))</f>
        <v/>
      </c>
      <c r="N236" s="28">
        <f>IF($P236="","",IF(INDEX(EntryNotes,$P236)=0,"",INDEX(EntryNotes,$P236)))</f>
        <v/>
      </c>
      <c r="O236" s="28">
        <f>IF($P236="","",IF(INDEX(EntryTxnID,$P236)=0,"",INDEX(EntryTxnID,$P236)))</f>
        <v/>
      </c>
      <c r="P236" s="28">
        <f>IFERROR(MATCH($C$5&amp;"|"&amp;RIGHT("000000"&amp;220,6),CalcRankKey,0),"")</f>
        <v/>
      </c>
    </row>
    <row r="237">
      <c r="A237" s="26">
        <f>IF($B237="","",221)</f>
        <v/>
      </c>
      <c r="B237" s="26">
        <f>IF($P237="","",IF(INDEX(CalcNormDate,$P237)=0,"",INDEX(CalcNormDate,$P237)))</f>
        <v/>
      </c>
      <c r="C237" s="26">
        <f>IF($P237="","",IF(INDEX(CalcTime,$P237)=0,"",INDEX(CalcTime,$P237)))</f>
        <v/>
      </c>
      <c r="D237" s="26">
        <f>IF($P237="","",IF(INDEX(EntryParty,$P237)=0,"",INDEX(EntryParty,$P237)))</f>
        <v/>
      </c>
      <c r="E237" s="26">
        <f>IF($P237="","",IF(INDEX(EntryPartyName,$P237)=0,"",INDEX(EntryPartyName,$P237)))</f>
        <v/>
      </c>
      <c r="F237" s="26">
        <f>IF($P237="","",IF(INDEX(EntryPartyType,$P237)=0,"",INDEX(EntryPartyType,$P237)))</f>
        <v/>
      </c>
      <c r="G237" s="26">
        <f>IF($P237="","",IF(INDEX(EntryTxnType,$P237)=0,"",INDEX(EntryTxnType,$P237)))</f>
        <v/>
      </c>
      <c r="H237" s="27">
        <f>IF($P237="","",IF(INDEX(EntryDep,$P237)=0,"",INDEX(EntryDep,$P237)))</f>
        <v/>
      </c>
      <c r="I237" s="27">
        <f>IF($P237="","",IF(INDEX(EntryWit,$P237)=0,"",INDEX(EntryWit,$P237)))</f>
        <v/>
      </c>
      <c r="J237" s="27">
        <f>IF($B237="","",IF($A237=1,$C$7,IF(J236="",0,J236))+IF($H237="",0,$H237)-IF($I237="",0,$I237))</f>
        <v/>
      </c>
      <c r="K237" s="27">
        <f>IF($P237="","",IF(INDEX(EntryMan,$P237)=0,"",INDEX(EntryMan,$P237)))</f>
        <v/>
      </c>
      <c r="L237" s="26">
        <f>IF($B237="","",IF($K237="","—",IF(ROUND($K237-$J237,0)=0,"√","×")))</f>
        <v/>
      </c>
      <c r="M237" s="26">
        <f>IF($B237="","",IF(COUNTIFS(EntryDates,$B237,CalcTime,$C237,CalcBank,$C$5,EntryParty,$D237,EntryDep,$H237,EntryWit,$I237)&gt;1,"تکرار",""))</f>
        <v/>
      </c>
      <c r="N237" s="26">
        <f>IF($P237="","",IF(INDEX(EntryNotes,$P237)=0,"",INDEX(EntryNotes,$P237)))</f>
        <v/>
      </c>
      <c r="O237" s="26">
        <f>IF($P237="","",IF(INDEX(EntryTxnID,$P237)=0,"",INDEX(EntryTxnID,$P237)))</f>
        <v/>
      </c>
      <c r="P237" s="26">
        <f>IFERROR(MATCH($C$5&amp;"|"&amp;RIGHT("000000"&amp;221,6),CalcRankKey,0),"")</f>
        <v/>
      </c>
    </row>
    <row r="238">
      <c r="A238" s="28">
        <f>IF($B238="","",222)</f>
        <v/>
      </c>
      <c r="B238" s="28">
        <f>IF($P238="","",IF(INDEX(CalcNormDate,$P238)=0,"",INDEX(CalcNormDate,$P238)))</f>
        <v/>
      </c>
      <c r="C238" s="28">
        <f>IF($P238="","",IF(INDEX(CalcTime,$P238)=0,"",INDEX(CalcTime,$P238)))</f>
        <v/>
      </c>
      <c r="D238" s="28">
        <f>IF($P238="","",IF(INDEX(EntryParty,$P238)=0,"",INDEX(EntryParty,$P238)))</f>
        <v/>
      </c>
      <c r="E238" s="28">
        <f>IF($P238="","",IF(INDEX(EntryPartyName,$P238)=0,"",INDEX(EntryPartyName,$P238)))</f>
        <v/>
      </c>
      <c r="F238" s="28">
        <f>IF($P238="","",IF(INDEX(EntryPartyType,$P238)=0,"",INDEX(EntryPartyType,$P238)))</f>
        <v/>
      </c>
      <c r="G238" s="28">
        <f>IF($P238="","",IF(INDEX(EntryTxnType,$P238)=0,"",INDEX(EntryTxnType,$P238)))</f>
        <v/>
      </c>
      <c r="H238" s="29">
        <f>IF($P238="","",IF(INDEX(EntryDep,$P238)=0,"",INDEX(EntryDep,$P238)))</f>
        <v/>
      </c>
      <c r="I238" s="29">
        <f>IF($P238="","",IF(INDEX(EntryWit,$P238)=0,"",INDEX(EntryWit,$P238)))</f>
        <v/>
      </c>
      <c r="J238" s="29">
        <f>IF($B238="","",IF($A238=1,$C$7,IF(J237="",0,J237))+IF($H238="",0,$H238)-IF($I238="",0,$I238))</f>
        <v/>
      </c>
      <c r="K238" s="29">
        <f>IF($P238="","",IF(INDEX(EntryMan,$P238)=0,"",INDEX(EntryMan,$P238)))</f>
        <v/>
      </c>
      <c r="L238" s="28">
        <f>IF($B238="","",IF($K238="","—",IF(ROUND($K238-$J238,0)=0,"√","×")))</f>
        <v/>
      </c>
      <c r="M238" s="28">
        <f>IF($B238="","",IF(COUNTIFS(EntryDates,$B238,CalcTime,$C238,CalcBank,$C$5,EntryParty,$D238,EntryDep,$H238,EntryWit,$I238)&gt;1,"تکرار",""))</f>
        <v/>
      </c>
      <c r="N238" s="28">
        <f>IF($P238="","",IF(INDEX(EntryNotes,$P238)=0,"",INDEX(EntryNotes,$P238)))</f>
        <v/>
      </c>
      <c r="O238" s="28">
        <f>IF($P238="","",IF(INDEX(EntryTxnID,$P238)=0,"",INDEX(EntryTxnID,$P238)))</f>
        <v/>
      </c>
      <c r="P238" s="28">
        <f>IFERROR(MATCH($C$5&amp;"|"&amp;RIGHT("000000"&amp;222,6),CalcRankKey,0),"")</f>
        <v/>
      </c>
    </row>
    <row r="239">
      <c r="A239" s="26">
        <f>IF($B239="","",223)</f>
        <v/>
      </c>
      <c r="B239" s="26">
        <f>IF($P239="","",IF(INDEX(CalcNormDate,$P239)=0,"",INDEX(CalcNormDate,$P239)))</f>
        <v/>
      </c>
      <c r="C239" s="26">
        <f>IF($P239="","",IF(INDEX(CalcTime,$P239)=0,"",INDEX(CalcTime,$P239)))</f>
        <v/>
      </c>
      <c r="D239" s="26">
        <f>IF($P239="","",IF(INDEX(EntryParty,$P239)=0,"",INDEX(EntryParty,$P239)))</f>
        <v/>
      </c>
      <c r="E239" s="26">
        <f>IF($P239="","",IF(INDEX(EntryPartyName,$P239)=0,"",INDEX(EntryPartyName,$P239)))</f>
        <v/>
      </c>
      <c r="F239" s="26">
        <f>IF($P239="","",IF(INDEX(EntryPartyType,$P239)=0,"",INDEX(EntryPartyType,$P239)))</f>
        <v/>
      </c>
      <c r="G239" s="26">
        <f>IF($P239="","",IF(INDEX(EntryTxnType,$P239)=0,"",INDEX(EntryTxnType,$P239)))</f>
        <v/>
      </c>
      <c r="H239" s="27">
        <f>IF($P239="","",IF(INDEX(EntryDep,$P239)=0,"",INDEX(EntryDep,$P239)))</f>
        <v/>
      </c>
      <c r="I239" s="27">
        <f>IF($P239="","",IF(INDEX(EntryWit,$P239)=0,"",INDEX(EntryWit,$P239)))</f>
        <v/>
      </c>
      <c r="J239" s="27">
        <f>IF($B239="","",IF($A239=1,$C$7,IF(J238="",0,J238))+IF($H239="",0,$H239)-IF($I239="",0,$I239))</f>
        <v/>
      </c>
      <c r="K239" s="27">
        <f>IF($P239="","",IF(INDEX(EntryMan,$P239)=0,"",INDEX(EntryMan,$P239)))</f>
        <v/>
      </c>
      <c r="L239" s="26">
        <f>IF($B239="","",IF($K239="","—",IF(ROUND($K239-$J239,0)=0,"√","×")))</f>
        <v/>
      </c>
      <c r="M239" s="26">
        <f>IF($B239="","",IF(COUNTIFS(EntryDates,$B239,CalcTime,$C239,CalcBank,$C$5,EntryParty,$D239,EntryDep,$H239,EntryWit,$I239)&gt;1,"تکرار",""))</f>
        <v/>
      </c>
      <c r="N239" s="26">
        <f>IF($P239="","",IF(INDEX(EntryNotes,$P239)=0,"",INDEX(EntryNotes,$P239)))</f>
        <v/>
      </c>
      <c r="O239" s="26">
        <f>IF($P239="","",IF(INDEX(EntryTxnID,$P239)=0,"",INDEX(EntryTxnID,$P239)))</f>
        <v/>
      </c>
      <c r="P239" s="26">
        <f>IFERROR(MATCH($C$5&amp;"|"&amp;RIGHT("000000"&amp;223,6),CalcRankKey,0),"")</f>
        <v/>
      </c>
    </row>
    <row r="240">
      <c r="A240" s="28">
        <f>IF($B240="","",224)</f>
        <v/>
      </c>
      <c r="B240" s="28">
        <f>IF($P240="","",IF(INDEX(CalcNormDate,$P240)=0,"",INDEX(CalcNormDate,$P240)))</f>
        <v/>
      </c>
      <c r="C240" s="28">
        <f>IF($P240="","",IF(INDEX(CalcTime,$P240)=0,"",INDEX(CalcTime,$P240)))</f>
        <v/>
      </c>
      <c r="D240" s="28">
        <f>IF($P240="","",IF(INDEX(EntryParty,$P240)=0,"",INDEX(EntryParty,$P240)))</f>
        <v/>
      </c>
      <c r="E240" s="28">
        <f>IF($P240="","",IF(INDEX(EntryPartyName,$P240)=0,"",INDEX(EntryPartyName,$P240)))</f>
        <v/>
      </c>
      <c r="F240" s="28">
        <f>IF($P240="","",IF(INDEX(EntryPartyType,$P240)=0,"",INDEX(EntryPartyType,$P240)))</f>
        <v/>
      </c>
      <c r="G240" s="28">
        <f>IF($P240="","",IF(INDEX(EntryTxnType,$P240)=0,"",INDEX(EntryTxnType,$P240)))</f>
        <v/>
      </c>
      <c r="H240" s="29">
        <f>IF($P240="","",IF(INDEX(EntryDep,$P240)=0,"",INDEX(EntryDep,$P240)))</f>
        <v/>
      </c>
      <c r="I240" s="29">
        <f>IF($P240="","",IF(INDEX(EntryWit,$P240)=0,"",INDEX(EntryWit,$P240)))</f>
        <v/>
      </c>
      <c r="J240" s="29">
        <f>IF($B240="","",IF($A240=1,$C$7,IF(J239="",0,J239))+IF($H240="",0,$H240)-IF($I240="",0,$I240))</f>
        <v/>
      </c>
      <c r="K240" s="29">
        <f>IF($P240="","",IF(INDEX(EntryMan,$P240)=0,"",INDEX(EntryMan,$P240)))</f>
        <v/>
      </c>
      <c r="L240" s="28">
        <f>IF($B240="","",IF($K240="","—",IF(ROUND($K240-$J240,0)=0,"√","×")))</f>
        <v/>
      </c>
      <c r="M240" s="28">
        <f>IF($B240="","",IF(COUNTIFS(EntryDates,$B240,CalcTime,$C240,CalcBank,$C$5,EntryParty,$D240,EntryDep,$H240,EntryWit,$I240)&gt;1,"تکرار",""))</f>
        <v/>
      </c>
      <c r="N240" s="28">
        <f>IF($P240="","",IF(INDEX(EntryNotes,$P240)=0,"",INDEX(EntryNotes,$P240)))</f>
        <v/>
      </c>
      <c r="O240" s="28">
        <f>IF($P240="","",IF(INDEX(EntryTxnID,$P240)=0,"",INDEX(EntryTxnID,$P240)))</f>
        <v/>
      </c>
      <c r="P240" s="28">
        <f>IFERROR(MATCH($C$5&amp;"|"&amp;RIGHT("000000"&amp;224,6),CalcRankKey,0),"")</f>
        <v/>
      </c>
    </row>
    <row r="241">
      <c r="A241" s="26">
        <f>IF($B241="","",225)</f>
        <v/>
      </c>
      <c r="B241" s="26">
        <f>IF($P241="","",IF(INDEX(CalcNormDate,$P241)=0,"",INDEX(CalcNormDate,$P241)))</f>
        <v/>
      </c>
      <c r="C241" s="26">
        <f>IF($P241="","",IF(INDEX(CalcTime,$P241)=0,"",INDEX(CalcTime,$P241)))</f>
        <v/>
      </c>
      <c r="D241" s="26">
        <f>IF($P241="","",IF(INDEX(EntryParty,$P241)=0,"",INDEX(EntryParty,$P241)))</f>
        <v/>
      </c>
      <c r="E241" s="26">
        <f>IF($P241="","",IF(INDEX(EntryPartyName,$P241)=0,"",INDEX(EntryPartyName,$P241)))</f>
        <v/>
      </c>
      <c r="F241" s="26">
        <f>IF($P241="","",IF(INDEX(EntryPartyType,$P241)=0,"",INDEX(EntryPartyType,$P241)))</f>
        <v/>
      </c>
      <c r="G241" s="26">
        <f>IF($P241="","",IF(INDEX(EntryTxnType,$P241)=0,"",INDEX(EntryTxnType,$P241)))</f>
        <v/>
      </c>
      <c r="H241" s="27">
        <f>IF($P241="","",IF(INDEX(EntryDep,$P241)=0,"",INDEX(EntryDep,$P241)))</f>
        <v/>
      </c>
      <c r="I241" s="27">
        <f>IF($P241="","",IF(INDEX(EntryWit,$P241)=0,"",INDEX(EntryWit,$P241)))</f>
        <v/>
      </c>
      <c r="J241" s="27">
        <f>IF($B241="","",IF($A241=1,$C$7,IF(J240="",0,J240))+IF($H241="",0,$H241)-IF($I241="",0,$I241))</f>
        <v/>
      </c>
      <c r="K241" s="27">
        <f>IF($P241="","",IF(INDEX(EntryMan,$P241)=0,"",INDEX(EntryMan,$P241)))</f>
        <v/>
      </c>
      <c r="L241" s="26">
        <f>IF($B241="","",IF($K241="","—",IF(ROUND($K241-$J241,0)=0,"√","×")))</f>
        <v/>
      </c>
      <c r="M241" s="26">
        <f>IF($B241="","",IF(COUNTIFS(EntryDates,$B241,CalcTime,$C241,CalcBank,$C$5,EntryParty,$D241,EntryDep,$H241,EntryWit,$I241)&gt;1,"تکرار",""))</f>
        <v/>
      </c>
      <c r="N241" s="26">
        <f>IF($P241="","",IF(INDEX(EntryNotes,$P241)=0,"",INDEX(EntryNotes,$P241)))</f>
        <v/>
      </c>
      <c r="O241" s="26">
        <f>IF($P241="","",IF(INDEX(EntryTxnID,$P241)=0,"",INDEX(EntryTxnID,$P241)))</f>
        <v/>
      </c>
      <c r="P241" s="26">
        <f>IFERROR(MATCH($C$5&amp;"|"&amp;RIGHT("000000"&amp;225,6),CalcRankKey,0),"")</f>
        <v/>
      </c>
    </row>
    <row r="242">
      <c r="A242" s="28">
        <f>IF($B242="","",226)</f>
        <v/>
      </c>
      <c r="B242" s="28">
        <f>IF($P242="","",IF(INDEX(CalcNormDate,$P242)=0,"",INDEX(CalcNormDate,$P242)))</f>
        <v/>
      </c>
      <c r="C242" s="28">
        <f>IF($P242="","",IF(INDEX(CalcTime,$P242)=0,"",INDEX(CalcTime,$P242)))</f>
        <v/>
      </c>
      <c r="D242" s="28">
        <f>IF($P242="","",IF(INDEX(EntryParty,$P242)=0,"",INDEX(EntryParty,$P242)))</f>
        <v/>
      </c>
      <c r="E242" s="28">
        <f>IF($P242="","",IF(INDEX(EntryPartyName,$P242)=0,"",INDEX(EntryPartyName,$P242)))</f>
        <v/>
      </c>
      <c r="F242" s="28">
        <f>IF($P242="","",IF(INDEX(EntryPartyType,$P242)=0,"",INDEX(EntryPartyType,$P242)))</f>
        <v/>
      </c>
      <c r="G242" s="28">
        <f>IF($P242="","",IF(INDEX(EntryTxnType,$P242)=0,"",INDEX(EntryTxnType,$P242)))</f>
        <v/>
      </c>
      <c r="H242" s="29">
        <f>IF($P242="","",IF(INDEX(EntryDep,$P242)=0,"",INDEX(EntryDep,$P242)))</f>
        <v/>
      </c>
      <c r="I242" s="29">
        <f>IF($P242="","",IF(INDEX(EntryWit,$P242)=0,"",INDEX(EntryWit,$P242)))</f>
        <v/>
      </c>
      <c r="J242" s="29">
        <f>IF($B242="","",IF($A242=1,$C$7,IF(J241="",0,J241))+IF($H242="",0,$H242)-IF($I242="",0,$I242))</f>
        <v/>
      </c>
      <c r="K242" s="29">
        <f>IF($P242="","",IF(INDEX(EntryMan,$P242)=0,"",INDEX(EntryMan,$P242)))</f>
        <v/>
      </c>
      <c r="L242" s="28">
        <f>IF($B242="","",IF($K242="","—",IF(ROUND($K242-$J242,0)=0,"√","×")))</f>
        <v/>
      </c>
      <c r="M242" s="28">
        <f>IF($B242="","",IF(COUNTIFS(EntryDates,$B242,CalcTime,$C242,CalcBank,$C$5,EntryParty,$D242,EntryDep,$H242,EntryWit,$I242)&gt;1,"تکرار",""))</f>
        <v/>
      </c>
      <c r="N242" s="28">
        <f>IF($P242="","",IF(INDEX(EntryNotes,$P242)=0,"",INDEX(EntryNotes,$P242)))</f>
        <v/>
      </c>
      <c r="O242" s="28">
        <f>IF($P242="","",IF(INDEX(EntryTxnID,$P242)=0,"",INDEX(EntryTxnID,$P242)))</f>
        <v/>
      </c>
      <c r="P242" s="28">
        <f>IFERROR(MATCH($C$5&amp;"|"&amp;RIGHT("000000"&amp;226,6),CalcRankKey,0),"")</f>
        <v/>
      </c>
    </row>
    <row r="243">
      <c r="A243" s="26">
        <f>IF($B243="","",227)</f>
        <v/>
      </c>
      <c r="B243" s="26">
        <f>IF($P243="","",IF(INDEX(CalcNormDate,$P243)=0,"",INDEX(CalcNormDate,$P243)))</f>
        <v/>
      </c>
      <c r="C243" s="26">
        <f>IF($P243="","",IF(INDEX(CalcTime,$P243)=0,"",INDEX(CalcTime,$P243)))</f>
        <v/>
      </c>
      <c r="D243" s="26">
        <f>IF($P243="","",IF(INDEX(EntryParty,$P243)=0,"",INDEX(EntryParty,$P243)))</f>
        <v/>
      </c>
      <c r="E243" s="26">
        <f>IF($P243="","",IF(INDEX(EntryPartyName,$P243)=0,"",INDEX(EntryPartyName,$P243)))</f>
        <v/>
      </c>
      <c r="F243" s="26">
        <f>IF($P243="","",IF(INDEX(EntryPartyType,$P243)=0,"",INDEX(EntryPartyType,$P243)))</f>
        <v/>
      </c>
      <c r="G243" s="26">
        <f>IF($P243="","",IF(INDEX(EntryTxnType,$P243)=0,"",INDEX(EntryTxnType,$P243)))</f>
        <v/>
      </c>
      <c r="H243" s="27">
        <f>IF($P243="","",IF(INDEX(EntryDep,$P243)=0,"",INDEX(EntryDep,$P243)))</f>
        <v/>
      </c>
      <c r="I243" s="27">
        <f>IF($P243="","",IF(INDEX(EntryWit,$P243)=0,"",INDEX(EntryWit,$P243)))</f>
        <v/>
      </c>
      <c r="J243" s="27">
        <f>IF($B243="","",IF($A243=1,$C$7,IF(J242="",0,J242))+IF($H243="",0,$H243)-IF($I243="",0,$I243))</f>
        <v/>
      </c>
      <c r="K243" s="27">
        <f>IF($P243="","",IF(INDEX(EntryMan,$P243)=0,"",INDEX(EntryMan,$P243)))</f>
        <v/>
      </c>
      <c r="L243" s="26">
        <f>IF($B243="","",IF($K243="","—",IF(ROUND($K243-$J243,0)=0,"√","×")))</f>
        <v/>
      </c>
      <c r="M243" s="26">
        <f>IF($B243="","",IF(COUNTIFS(EntryDates,$B243,CalcTime,$C243,CalcBank,$C$5,EntryParty,$D243,EntryDep,$H243,EntryWit,$I243)&gt;1,"تکرار",""))</f>
        <v/>
      </c>
      <c r="N243" s="26">
        <f>IF($P243="","",IF(INDEX(EntryNotes,$P243)=0,"",INDEX(EntryNotes,$P243)))</f>
        <v/>
      </c>
      <c r="O243" s="26">
        <f>IF($P243="","",IF(INDEX(EntryTxnID,$P243)=0,"",INDEX(EntryTxnID,$P243)))</f>
        <v/>
      </c>
      <c r="P243" s="26">
        <f>IFERROR(MATCH($C$5&amp;"|"&amp;RIGHT("000000"&amp;227,6),CalcRankKey,0),"")</f>
        <v/>
      </c>
    </row>
    <row r="244">
      <c r="A244" s="28">
        <f>IF($B244="","",228)</f>
        <v/>
      </c>
      <c r="B244" s="28">
        <f>IF($P244="","",IF(INDEX(CalcNormDate,$P244)=0,"",INDEX(CalcNormDate,$P244)))</f>
        <v/>
      </c>
      <c r="C244" s="28">
        <f>IF($P244="","",IF(INDEX(CalcTime,$P244)=0,"",INDEX(CalcTime,$P244)))</f>
        <v/>
      </c>
      <c r="D244" s="28">
        <f>IF($P244="","",IF(INDEX(EntryParty,$P244)=0,"",INDEX(EntryParty,$P244)))</f>
        <v/>
      </c>
      <c r="E244" s="28">
        <f>IF($P244="","",IF(INDEX(EntryPartyName,$P244)=0,"",INDEX(EntryPartyName,$P244)))</f>
        <v/>
      </c>
      <c r="F244" s="28">
        <f>IF($P244="","",IF(INDEX(EntryPartyType,$P244)=0,"",INDEX(EntryPartyType,$P244)))</f>
        <v/>
      </c>
      <c r="G244" s="28">
        <f>IF($P244="","",IF(INDEX(EntryTxnType,$P244)=0,"",INDEX(EntryTxnType,$P244)))</f>
        <v/>
      </c>
      <c r="H244" s="29">
        <f>IF($P244="","",IF(INDEX(EntryDep,$P244)=0,"",INDEX(EntryDep,$P244)))</f>
        <v/>
      </c>
      <c r="I244" s="29">
        <f>IF($P244="","",IF(INDEX(EntryWit,$P244)=0,"",INDEX(EntryWit,$P244)))</f>
        <v/>
      </c>
      <c r="J244" s="29">
        <f>IF($B244="","",IF($A244=1,$C$7,IF(J243="",0,J243))+IF($H244="",0,$H244)-IF($I244="",0,$I244))</f>
        <v/>
      </c>
      <c r="K244" s="29">
        <f>IF($P244="","",IF(INDEX(EntryMan,$P244)=0,"",INDEX(EntryMan,$P244)))</f>
        <v/>
      </c>
      <c r="L244" s="28">
        <f>IF($B244="","",IF($K244="","—",IF(ROUND($K244-$J244,0)=0,"√","×")))</f>
        <v/>
      </c>
      <c r="M244" s="28">
        <f>IF($B244="","",IF(COUNTIFS(EntryDates,$B244,CalcTime,$C244,CalcBank,$C$5,EntryParty,$D244,EntryDep,$H244,EntryWit,$I244)&gt;1,"تکرار",""))</f>
        <v/>
      </c>
      <c r="N244" s="28">
        <f>IF($P244="","",IF(INDEX(EntryNotes,$P244)=0,"",INDEX(EntryNotes,$P244)))</f>
        <v/>
      </c>
      <c r="O244" s="28">
        <f>IF($P244="","",IF(INDEX(EntryTxnID,$P244)=0,"",INDEX(EntryTxnID,$P244)))</f>
        <v/>
      </c>
      <c r="P244" s="28">
        <f>IFERROR(MATCH($C$5&amp;"|"&amp;RIGHT("000000"&amp;228,6),CalcRankKey,0),"")</f>
        <v/>
      </c>
    </row>
    <row r="245">
      <c r="A245" s="26">
        <f>IF($B245="","",229)</f>
        <v/>
      </c>
      <c r="B245" s="26">
        <f>IF($P245="","",IF(INDEX(CalcNormDate,$P245)=0,"",INDEX(CalcNormDate,$P245)))</f>
        <v/>
      </c>
      <c r="C245" s="26">
        <f>IF($P245="","",IF(INDEX(CalcTime,$P245)=0,"",INDEX(CalcTime,$P245)))</f>
        <v/>
      </c>
      <c r="D245" s="26">
        <f>IF($P245="","",IF(INDEX(EntryParty,$P245)=0,"",INDEX(EntryParty,$P245)))</f>
        <v/>
      </c>
      <c r="E245" s="26">
        <f>IF($P245="","",IF(INDEX(EntryPartyName,$P245)=0,"",INDEX(EntryPartyName,$P245)))</f>
        <v/>
      </c>
      <c r="F245" s="26">
        <f>IF($P245="","",IF(INDEX(EntryPartyType,$P245)=0,"",INDEX(EntryPartyType,$P245)))</f>
        <v/>
      </c>
      <c r="G245" s="26">
        <f>IF($P245="","",IF(INDEX(EntryTxnType,$P245)=0,"",INDEX(EntryTxnType,$P245)))</f>
        <v/>
      </c>
      <c r="H245" s="27">
        <f>IF($P245="","",IF(INDEX(EntryDep,$P245)=0,"",INDEX(EntryDep,$P245)))</f>
        <v/>
      </c>
      <c r="I245" s="27">
        <f>IF($P245="","",IF(INDEX(EntryWit,$P245)=0,"",INDEX(EntryWit,$P245)))</f>
        <v/>
      </c>
      <c r="J245" s="27">
        <f>IF($B245="","",IF($A245=1,$C$7,IF(J244="",0,J244))+IF($H245="",0,$H245)-IF($I245="",0,$I245))</f>
        <v/>
      </c>
      <c r="K245" s="27">
        <f>IF($P245="","",IF(INDEX(EntryMan,$P245)=0,"",INDEX(EntryMan,$P245)))</f>
        <v/>
      </c>
      <c r="L245" s="26">
        <f>IF($B245="","",IF($K245="","—",IF(ROUND($K245-$J245,0)=0,"√","×")))</f>
        <v/>
      </c>
      <c r="M245" s="26">
        <f>IF($B245="","",IF(COUNTIFS(EntryDates,$B245,CalcTime,$C245,CalcBank,$C$5,EntryParty,$D245,EntryDep,$H245,EntryWit,$I245)&gt;1,"تکرار",""))</f>
        <v/>
      </c>
      <c r="N245" s="26">
        <f>IF($P245="","",IF(INDEX(EntryNotes,$P245)=0,"",INDEX(EntryNotes,$P245)))</f>
        <v/>
      </c>
      <c r="O245" s="26">
        <f>IF($P245="","",IF(INDEX(EntryTxnID,$P245)=0,"",INDEX(EntryTxnID,$P245)))</f>
        <v/>
      </c>
      <c r="P245" s="26">
        <f>IFERROR(MATCH($C$5&amp;"|"&amp;RIGHT("000000"&amp;229,6),CalcRankKey,0),"")</f>
        <v/>
      </c>
    </row>
    <row r="246">
      <c r="A246" s="28">
        <f>IF($B246="","",230)</f>
        <v/>
      </c>
      <c r="B246" s="28">
        <f>IF($P246="","",IF(INDEX(CalcNormDate,$P246)=0,"",INDEX(CalcNormDate,$P246)))</f>
        <v/>
      </c>
      <c r="C246" s="28">
        <f>IF($P246="","",IF(INDEX(CalcTime,$P246)=0,"",INDEX(CalcTime,$P246)))</f>
        <v/>
      </c>
      <c r="D246" s="28">
        <f>IF($P246="","",IF(INDEX(EntryParty,$P246)=0,"",INDEX(EntryParty,$P246)))</f>
        <v/>
      </c>
      <c r="E246" s="28">
        <f>IF($P246="","",IF(INDEX(EntryPartyName,$P246)=0,"",INDEX(EntryPartyName,$P246)))</f>
        <v/>
      </c>
      <c r="F246" s="28">
        <f>IF($P246="","",IF(INDEX(EntryPartyType,$P246)=0,"",INDEX(EntryPartyType,$P246)))</f>
        <v/>
      </c>
      <c r="G246" s="28">
        <f>IF($P246="","",IF(INDEX(EntryTxnType,$P246)=0,"",INDEX(EntryTxnType,$P246)))</f>
        <v/>
      </c>
      <c r="H246" s="29">
        <f>IF($P246="","",IF(INDEX(EntryDep,$P246)=0,"",INDEX(EntryDep,$P246)))</f>
        <v/>
      </c>
      <c r="I246" s="29">
        <f>IF($P246="","",IF(INDEX(EntryWit,$P246)=0,"",INDEX(EntryWit,$P246)))</f>
        <v/>
      </c>
      <c r="J246" s="29">
        <f>IF($B246="","",IF($A246=1,$C$7,IF(J245="",0,J245))+IF($H246="",0,$H246)-IF($I246="",0,$I246))</f>
        <v/>
      </c>
      <c r="K246" s="29">
        <f>IF($P246="","",IF(INDEX(EntryMan,$P246)=0,"",INDEX(EntryMan,$P246)))</f>
        <v/>
      </c>
      <c r="L246" s="28">
        <f>IF($B246="","",IF($K246="","—",IF(ROUND($K246-$J246,0)=0,"√","×")))</f>
        <v/>
      </c>
      <c r="M246" s="28">
        <f>IF($B246="","",IF(COUNTIFS(EntryDates,$B246,CalcTime,$C246,CalcBank,$C$5,EntryParty,$D246,EntryDep,$H246,EntryWit,$I246)&gt;1,"تکرار",""))</f>
        <v/>
      </c>
      <c r="N246" s="28">
        <f>IF($P246="","",IF(INDEX(EntryNotes,$P246)=0,"",INDEX(EntryNotes,$P246)))</f>
        <v/>
      </c>
      <c r="O246" s="28">
        <f>IF($P246="","",IF(INDEX(EntryTxnID,$P246)=0,"",INDEX(EntryTxnID,$P246)))</f>
        <v/>
      </c>
      <c r="P246" s="28">
        <f>IFERROR(MATCH($C$5&amp;"|"&amp;RIGHT("000000"&amp;230,6),CalcRankKey,0),"")</f>
        <v/>
      </c>
    </row>
    <row r="247">
      <c r="A247" s="26">
        <f>IF($B247="","",231)</f>
        <v/>
      </c>
      <c r="B247" s="26">
        <f>IF($P247="","",IF(INDEX(CalcNormDate,$P247)=0,"",INDEX(CalcNormDate,$P247)))</f>
        <v/>
      </c>
      <c r="C247" s="26">
        <f>IF($P247="","",IF(INDEX(CalcTime,$P247)=0,"",INDEX(CalcTime,$P247)))</f>
        <v/>
      </c>
      <c r="D247" s="26">
        <f>IF($P247="","",IF(INDEX(EntryParty,$P247)=0,"",INDEX(EntryParty,$P247)))</f>
        <v/>
      </c>
      <c r="E247" s="26">
        <f>IF($P247="","",IF(INDEX(EntryPartyName,$P247)=0,"",INDEX(EntryPartyName,$P247)))</f>
        <v/>
      </c>
      <c r="F247" s="26">
        <f>IF($P247="","",IF(INDEX(EntryPartyType,$P247)=0,"",INDEX(EntryPartyType,$P247)))</f>
        <v/>
      </c>
      <c r="G247" s="26">
        <f>IF($P247="","",IF(INDEX(EntryTxnType,$P247)=0,"",INDEX(EntryTxnType,$P247)))</f>
        <v/>
      </c>
      <c r="H247" s="27">
        <f>IF($P247="","",IF(INDEX(EntryDep,$P247)=0,"",INDEX(EntryDep,$P247)))</f>
        <v/>
      </c>
      <c r="I247" s="27">
        <f>IF($P247="","",IF(INDEX(EntryWit,$P247)=0,"",INDEX(EntryWit,$P247)))</f>
        <v/>
      </c>
      <c r="J247" s="27">
        <f>IF($B247="","",IF($A247=1,$C$7,IF(J246="",0,J246))+IF($H247="",0,$H247)-IF($I247="",0,$I247))</f>
        <v/>
      </c>
      <c r="K247" s="27">
        <f>IF($P247="","",IF(INDEX(EntryMan,$P247)=0,"",INDEX(EntryMan,$P247)))</f>
        <v/>
      </c>
      <c r="L247" s="26">
        <f>IF($B247="","",IF($K247="","—",IF(ROUND($K247-$J247,0)=0,"√","×")))</f>
        <v/>
      </c>
      <c r="M247" s="26">
        <f>IF($B247="","",IF(COUNTIFS(EntryDates,$B247,CalcTime,$C247,CalcBank,$C$5,EntryParty,$D247,EntryDep,$H247,EntryWit,$I247)&gt;1,"تکرار",""))</f>
        <v/>
      </c>
      <c r="N247" s="26">
        <f>IF($P247="","",IF(INDEX(EntryNotes,$P247)=0,"",INDEX(EntryNotes,$P247)))</f>
        <v/>
      </c>
      <c r="O247" s="26">
        <f>IF($P247="","",IF(INDEX(EntryTxnID,$P247)=0,"",INDEX(EntryTxnID,$P247)))</f>
        <v/>
      </c>
      <c r="P247" s="26">
        <f>IFERROR(MATCH($C$5&amp;"|"&amp;RIGHT("000000"&amp;231,6),CalcRankKey,0),"")</f>
        <v/>
      </c>
    </row>
    <row r="248">
      <c r="A248" s="28">
        <f>IF($B248="","",232)</f>
        <v/>
      </c>
      <c r="B248" s="28">
        <f>IF($P248="","",IF(INDEX(CalcNormDate,$P248)=0,"",INDEX(CalcNormDate,$P248)))</f>
        <v/>
      </c>
      <c r="C248" s="28">
        <f>IF($P248="","",IF(INDEX(CalcTime,$P248)=0,"",INDEX(CalcTime,$P248)))</f>
        <v/>
      </c>
      <c r="D248" s="28">
        <f>IF($P248="","",IF(INDEX(EntryParty,$P248)=0,"",INDEX(EntryParty,$P248)))</f>
        <v/>
      </c>
      <c r="E248" s="28">
        <f>IF($P248="","",IF(INDEX(EntryPartyName,$P248)=0,"",INDEX(EntryPartyName,$P248)))</f>
        <v/>
      </c>
      <c r="F248" s="28">
        <f>IF($P248="","",IF(INDEX(EntryPartyType,$P248)=0,"",INDEX(EntryPartyType,$P248)))</f>
        <v/>
      </c>
      <c r="G248" s="28">
        <f>IF($P248="","",IF(INDEX(EntryTxnType,$P248)=0,"",INDEX(EntryTxnType,$P248)))</f>
        <v/>
      </c>
      <c r="H248" s="29">
        <f>IF($P248="","",IF(INDEX(EntryDep,$P248)=0,"",INDEX(EntryDep,$P248)))</f>
        <v/>
      </c>
      <c r="I248" s="29">
        <f>IF($P248="","",IF(INDEX(EntryWit,$P248)=0,"",INDEX(EntryWit,$P248)))</f>
        <v/>
      </c>
      <c r="J248" s="29">
        <f>IF($B248="","",IF($A248=1,$C$7,IF(J247="",0,J247))+IF($H248="",0,$H248)-IF($I248="",0,$I248))</f>
        <v/>
      </c>
      <c r="K248" s="29">
        <f>IF($P248="","",IF(INDEX(EntryMan,$P248)=0,"",INDEX(EntryMan,$P248)))</f>
        <v/>
      </c>
      <c r="L248" s="28">
        <f>IF($B248="","",IF($K248="","—",IF(ROUND($K248-$J248,0)=0,"√","×")))</f>
        <v/>
      </c>
      <c r="M248" s="28">
        <f>IF($B248="","",IF(COUNTIFS(EntryDates,$B248,CalcTime,$C248,CalcBank,$C$5,EntryParty,$D248,EntryDep,$H248,EntryWit,$I248)&gt;1,"تکرار",""))</f>
        <v/>
      </c>
      <c r="N248" s="28">
        <f>IF($P248="","",IF(INDEX(EntryNotes,$P248)=0,"",INDEX(EntryNotes,$P248)))</f>
        <v/>
      </c>
      <c r="O248" s="28">
        <f>IF($P248="","",IF(INDEX(EntryTxnID,$P248)=0,"",INDEX(EntryTxnID,$P248)))</f>
        <v/>
      </c>
      <c r="P248" s="28">
        <f>IFERROR(MATCH($C$5&amp;"|"&amp;RIGHT("000000"&amp;232,6),CalcRankKey,0),"")</f>
        <v/>
      </c>
    </row>
    <row r="249">
      <c r="A249" s="26">
        <f>IF($B249="","",233)</f>
        <v/>
      </c>
      <c r="B249" s="26">
        <f>IF($P249="","",IF(INDEX(CalcNormDate,$P249)=0,"",INDEX(CalcNormDate,$P249)))</f>
        <v/>
      </c>
      <c r="C249" s="26">
        <f>IF($P249="","",IF(INDEX(CalcTime,$P249)=0,"",INDEX(CalcTime,$P249)))</f>
        <v/>
      </c>
      <c r="D249" s="26">
        <f>IF($P249="","",IF(INDEX(EntryParty,$P249)=0,"",INDEX(EntryParty,$P249)))</f>
        <v/>
      </c>
      <c r="E249" s="26">
        <f>IF($P249="","",IF(INDEX(EntryPartyName,$P249)=0,"",INDEX(EntryPartyName,$P249)))</f>
        <v/>
      </c>
      <c r="F249" s="26">
        <f>IF($P249="","",IF(INDEX(EntryPartyType,$P249)=0,"",INDEX(EntryPartyType,$P249)))</f>
        <v/>
      </c>
      <c r="G249" s="26">
        <f>IF($P249="","",IF(INDEX(EntryTxnType,$P249)=0,"",INDEX(EntryTxnType,$P249)))</f>
        <v/>
      </c>
      <c r="H249" s="27">
        <f>IF($P249="","",IF(INDEX(EntryDep,$P249)=0,"",INDEX(EntryDep,$P249)))</f>
        <v/>
      </c>
      <c r="I249" s="27">
        <f>IF($P249="","",IF(INDEX(EntryWit,$P249)=0,"",INDEX(EntryWit,$P249)))</f>
        <v/>
      </c>
      <c r="J249" s="27">
        <f>IF($B249="","",IF($A249=1,$C$7,IF(J248="",0,J248))+IF($H249="",0,$H249)-IF($I249="",0,$I249))</f>
        <v/>
      </c>
      <c r="K249" s="27">
        <f>IF($P249="","",IF(INDEX(EntryMan,$P249)=0,"",INDEX(EntryMan,$P249)))</f>
        <v/>
      </c>
      <c r="L249" s="26">
        <f>IF($B249="","",IF($K249="","—",IF(ROUND($K249-$J249,0)=0,"√","×")))</f>
        <v/>
      </c>
      <c r="M249" s="26">
        <f>IF($B249="","",IF(COUNTIFS(EntryDates,$B249,CalcTime,$C249,CalcBank,$C$5,EntryParty,$D249,EntryDep,$H249,EntryWit,$I249)&gt;1,"تکرار",""))</f>
        <v/>
      </c>
      <c r="N249" s="26">
        <f>IF($P249="","",IF(INDEX(EntryNotes,$P249)=0,"",INDEX(EntryNotes,$P249)))</f>
        <v/>
      </c>
      <c r="O249" s="26">
        <f>IF($P249="","",IF(INDEX(EntryTxnID,$P249)=0,"",INDEX(EntryTxnID,$P249)))</f>
        <v/>
      </c>
      <c r="P249" s="26">
        <f>IFERROR(MATCH($C$5&amp;"|"&amp;RIGHT("000000"&amp;233,6),CalcRankKey,0),"")</f>
        <v/>
      </c>
    </row>
    <row r="250">
      <c r="A250" s="28">
        <f>IF($B250="","",234)</f>
        <v/>
      </c>
      <c r="B250" s="28">
        <f>IF($P250="","",IF(INDEX(CalcNormDate,$P250)=0,"",INDEX(CalcNormDate,$P250)))</f>
        <v/>
      </c>
      <c r="C250" s="28">
        <f>IF($P250="","",IF(INDEX(CalcTime,$P250)=0,"",INDEX(CalcTime,$P250)))</f>
        <v/>
      </c>
      <c r="D250" s="28">
        <f>IF($P250="","",IF(INDEX(EntryParty,$P250)=0,"",INDEX(EntryParty,$P250)))</f>
        <v/>
      </c>
      <c r="E250" s="28">
        <f>IF($P250="","",IF(INDEX(EntryPartyName,$P250)=0,"",INDEX(EntryPartyName,$P250)))</f>
        <v/>
      </c>
      <c r="F250" s="28">
        <f>IF($P250="","",IF(INDEX(EntryPartyType,$P250)=0,"",INDEX(EntryPartyType,$P250)))</f>
        <v/>
      </c>
      <c r="G250" s="28">
        <f>IF($P250="","",IF(INDEX(EntryTxnType,$P250)=0,"",INDEX(EntryTxnType,$P250)))</f>
        <v/>
      </c>
      <c r="H250" s="29">
        <f>IF($P250="","",IF(INDEX(EntryDep,$P250)=0,"",INDEX(EntryDep,$P250)))</f>
        <v/>
      </c>
      <c r="I250" s="29">
        <f>IF($P250="","",IF(INDEX(EntryWit,$P250)=0,"",INDEX(EntryWit,$P250)))</f>
        <v/>
      </c>
      <c r="J250" s="29">
        <f>IF($B250="","",IF($A250=1,$C$7,IF(J249="",0,J249))+IF($H250="",0,$H250)-IF($I250="",0,$I250))</f>
        <v/>
      </c>
      <c r="K250" s="29">
        <f>IF($P250="","",IF(INDEX(EntryMan,$P250)=0,"",INDEX(EntryMan,$P250)))</f>
        <v/>
      </c>
      <c r="L250" s="28">
        <f>IF($B250="","",IF($K250="","—",IF(ROUND($K250-$J250,0)=0,"√","×")))</f>
        <v/>
      </c>
      <c r="M250" s="28">
        <f>IF($B250="","",IF(COUNTIFS(EntryDates,$B250,CalcTime,$C250,CalcBank,$C$5,EntryParty,$D250,EntryDep,$H250,EntryWit,$I250)&gt;1,"تکرار",""))</f>
        <v/>
      </c>
      <c r="N250" s="28">
        <f>IF($P250="","",IF(INDEX(EntryNotes,$P250)=0,"",INDEX(EntryNotes,$P250)))</f>
        <v/>
      </c>
      <c r="O250" s="28">
        <f>IF($P250="","",IF(INDEX(EntryTxnID,$P250)=0,"",INDEX(EntryTxnID,$P250)))</f>
        <v/>
      </c>
      <c r="P250" s="28">
        <f>IFERROR(MATCH($C$5&amp;"|"&amp;RIGHT("000000"&amp;234,6),CalcRankKey,0),"")</f>
        <v/>
      </c>
    </row>
    <row r="251">
      <c r="A251" s="26">
        <f>IF($B251="","",235)</f>
        <v/>
      </c>
      <c r="B251" s="26">
        <f>IF($P251="","",IF(INDEX(CalcNormDate,$P251)=0,"",INDEX(CalcNormDate,$P251)))</f>
        <v/>
      </c>
      <c r="C251" s="26">
        <f>IF($P251="","",IF(INDEX(CalcTime,$P251)=0,"",INDEX(CalcTime,$P251)))</f>
        <v/>
      </c>
      <c r="D251" s="26">
        <f>IF($P251="","",IF(INDEX(EntryParty,$P251)=0,"",INDEX(EntryParty,$P251)))</f>
        <v/>
      </c>
      <c r="E251" s="26">
        <f>IF($P251="","",IF(INDEX(EntryPartyName,$P251)=0,"",INDEX(EntryPartyName,$P251)))</f>
        <v/>
      </c>
      <c r="F251" s="26">
        <f>IF($P251="","",IF(INDEX(EntryPartyType,$P251)=0,"",INDEX(EntryPartyType,$P251)))</f>
        <v/>
      </c>
      <c r="G251" s="26">
        <f>IF($P251="","",IF(INDEX(EntryTxnType,$P251)=0,"",INDEX(EntryTxnType,$P251)))</f>
        <v/>
      </c>
      <c r="H251" s="27">
        <f>IF($P251="","",IF(INDEX(EntryDep,$P251)=0,"",INDEX(EntryDep,$P251)))</f>
        <v/>
      </c>
      <c r="I251" s="27">
        <f>IF($P251="","",IF(INDEX(EntryWit,$P251)=0,"",INDEX(EntryWit,$P251)))</f>
        <v/>
      </c>
      <c r="J251" s="27">
        <f>IF($B251="","",IF($A251=1,$C$7,IF(J250="",0,J250))+IF($H251="",0,$H251)-IF($I251="",0,$I251))</f>
        <v/>
      </c>
      <c r="K251" s="27">
        <f>IF($P251="","",IF(INDEX(EntryMan,$P251)=0,"",INDEX(EntryMan,$P251)))</f>
        <v/>
      </c>
      <c r="L251" s="26">
        <f>IF($B251="","",IF($K251="","—",IF(ROUND($K251-$J251,0)=0,"√","×")))</f>
        <v/>
      </c>
      <c r="M251" s="26">
        <f>IF($B251="","",IF(COUNTIFS(EntryDates,$B251,CalcTime,$C251,CalcBank,$C$5,EntryParty,$D251,EntryDep,$H251,EntryWit,$I251)&gt;1,"تکرار",""))</f>
        <v/>
      </c>
      <c r="N251" s="26">
        <f>IF($P251="","",IF(INDEX(EntryNotes,$P251)=0,"",INDEX(EntryNotes,$P251)))</f>
        <v/>
      </c>
      <c r="O251" s="26">
        <f>IF($P251="","",IF(INDEX(EntryTxnID,$P251)=0,"",INDEX(EntryTxnID,$P251)))</f>
        <v/>
      </c>
      <c r="P251" s="26">
        <f>IFERROR(MATCH($C$5&amp;"|"&amp;RIGHT("000000"&amp;235,6),CalcRankKey,0),"")</f>
        <v/>
      </c>
    </row>
    <row r="252">
      <c r="A252" s="28">
        <f>IF($B252="","",236)</f>
        <v/>
      </c>
      <c r="B252" s="28">
        <f>IF($P252="","",IF(INDEX(CalcNormDate,$P252)=0,"",INDEX(CalcNormDate,$P252)))</f>
        <v/>
      </c>
      <c r="C252" s="28">
        <f>IF($P252="","",IF(INDEX(CalcTime,$P252)=0,"",INDEX(CalcTime,$P252)))</f>
        <v/>
      </c>
      <c r="D252" s="28">
        <f>IF($P252="","",IF(INDEX(EntryParty,$P252)=0,"",INDEX(EntryParty,$P252)))</f>
        <v/>
      </c>
      <c r="E252" s="28">
        <f>IF($P252="","",IF(INDEX(EntryPartyName,$P252)=0,"",INDEX(EntryPartyName,$P252)))</f>
        <v/>
      </c>
      <c r="F252" s="28">
        <f>IF($P252="","",IF(INDEX(EntryPartyType,$P252)=0,"",INDEX(EntryPartyType,$P252)))</f>
        <v/>
      </c>
      <c r="G252" s="28">
        <f>IF($P252="","",IF(INDEX(EntryTxnType,$P252)=0,"",INDEX(EntryTxnType,$P252)))</f>
        <v/>
      </c>
      <c r="H252" s="29">
        <f>IF($P252="","",IF(INDEX(EntryDep,$P252)=0,"",INDEX(EntryDep,$P252)))</f>
        <v/>
      </c>
      <c r="I252" s="29">
        <f>IF($P252="","",IF(INDEX(EntryWit,$P252)=0,"",INDEX(EntryWit,$P252)))</f>
        <v/>
      </c>
      <c r="J252" s="29">
        <f>IF($B252="","",IF($A252=1,$C$7,IF(J251="",0,J251))+IF($H252="",0,$H252)-IF($I252="",0,$I252))</f>
        <v/>
      </c>
      <c r="K252" s="29">
        <f>IF($P252="","",IF(INDEX(EntryMan,$P252)=0,"",INDEX(EntryMan,$P252)))</f>
        <v/>
      </c>
      <c r="L252" s="28">
        <f>IF($B252="","",IF($K252="","—",IF(ROUND($K252-$J252,0)=0,"√","×")))</f>
        <v/>
      </c>
      <c r="M252" s="28">
        <f>IF($B252="","",IF(COUNTIFS(EntryDates,$B252,CalcTime,$C252,CalcBank,$C$5,EntryParty,$D252,EntryDep,$H252,EntryWit,$I252)&gt;1,"تکرار",""))</f>
        <v/>
      </c>
      <c r="N252" s="28">
        <f>IF($P252="","",IF(INDEX(EntryNotes,$P252)=0,"",INDEX(EntryNotes,$P252)))</f>
        <v/>
      </c>
      <c r="O252" s="28">
        <f>IF($P252="","",IF(INDEX(EntryTxnID,$P252)=0,"",INDEX(EntryTxnID,$P252)))</f>
        <v/>
      </c>
      <c r="P252" s="28">
        <f>IFERROR(MATCH($C$5&amp;"|"&amp;RIGHT("000000"&amp;236,6),CalcRankKey,0),"")</f>
        <v/>
      </c>
    </row>
    <row r="253">
      <c r="A253" s="26">
        <f>IF($B253="","",237)</f>
        <v/>
      </c>
      <c r="B253" s="26">
        <f>IF($P253="","",IF(INDEX(CalcNormDate,$P253)=0,"",INDEX(CalcNormDate,$P253)))</f>
        <v/>
      </c>
      <c r="C253" s="26">
        <f>IF($P253="","",IF(INDEX(CalcTime,$P253)=0,"",INDEX(CalcTime,$P253)))</f>
        <v/>
      </c>
      <c r="D253" s="26">
        <f>IF($P253="","",IF(INDEX(EntryParty,$P253)=0,"",INDEX(EntryParty,$P253)))</f>
        <v/>
      </c>
      <c r="E253" s="26">
        <f>IF($P253="","",IF(INDEX(EntryPartyName,$P253)=0,"",INDEX(EntryPartyName,$P253)))</f>
        <v/>
      </c>
      <c r="F253" s="26">
        <f>IF($P253="","",IF(INDEX(EntryPartyType,$P253)=0,"",INDEX(EntryPartyType,$P253)))</f>
        <v/>
      </c>
      <c r="G253" s="26">
        <f>IF($P253="","",IF(INDEX(EntryTxnType,$P253)=0,"",INDEX(EntryTxnType,$P253)))</f>
        <v/>
      </c>
      <c r="H253" s="27">
        <f>IF($P253="","",IF(INDEX(EntryDep,$P253)=0,"",INDEX(EntryDep,$P253)))</f>
        <v/>
      </c>
      <c r="I253" s="27">
        <f>IF($P253="","",IF(INDEX(EntryWit,$P253)=0,"",INDEX(EntryWit,$P253)))</f>
        <v/>
      </c>
      <c r="J253" s="27">
        <f>IF($B253="","",IF($A253=1,$C$7,IF(J252="",0,J252))+IF($H253="",0,$H253)-IF($I253="",0,$I253))</f>
        <v/>
      </c>
      <c r="K253" s="27">
        <f>IF($P253="","",IF(INDEX(EntryMan,$P253)=0,"",INDEX(EntryMan,$P253)))</f>
        <v/>
      </c>
      <c r="L253" s="26">
        <f>IF($B253="","",IF($K253="","—",IF(ROUND($K253-$J253,0)=0,"√","×")))</f>
        <v/>
      </c>
      <c r="M253" s="26">
        <f>IF($B253="","",IF(COUNTIFS(EntryDates,$B253,CalcTime,$C253,CalcBank,$C$5,EntryParty,$D253,EntryDep,$H253,EntryWit,$I253)&gt;1,"تکرار",""))</f>
        <v/>
      </c>
      <c r="N253" s="26">
        <f>IF($P253="","",IF(INDEX(EntryNotes,$P253)=0,"",INDEX(EntryNotes,$P253)))</f>
        <v/>
      </c>
      <c r="O253" s="26">
        <f>IF($P253="","",IF(INDEX(EntryTxnID,$P253)=0,"",INDEX(EntryTxnID,$P253)))</f>
        <v/>
      </c>
      <c r="P253" s="26">
        <f>IFERROR(MATCH($C$5&amp;"|"&amp;RIGHT("000000"&amp;237,6),CalcRankKey,0),"")</f>
        <v/>
      </c>
    </row>
    <row r="254">
      <c r="A254" s="28">
        <f>IF($B254="","",238)</f>
        <v/>
      </c>
      <c r="B254" s="28">
        <f>IF($P254="","",IF(INDEX(CalcNormDate,$P254)=0,"",INDEX(CalcNormDate,$P254)))</f>
        <v/>
      </c>
      <c r="C254" s="28">
        <f>IF($P254="","",IF(INDEX(CalcTime,$P254)=0,"",INDEX(CalcTime,$P254)))</f>
        <v/>
      </c>
      <c r="D254" s="28">
        <f>IF($P254="","",IF(INDEX(EntryParty,$P254)=0,"",INDEX(EntryParty,$P254)))</f>
        <v/>
      </c>
      <c r="E254" s="28">
        <f>IF($P254="","",IF(INDEX(EntryPartyName,$P254)=0,"",INDEX(EntryPartyName,$P254)))</f>
        <v/>
      </c>
      <c r="F254" s="28">
        <f>IF($P254="","",IF(INDEX(EntryPartyType,$P254)=0,"",INDEX(EntryPartyType,$P254)))</f>
        <v/>
      </c>
      <c r="G254" s="28">
        <f>IF($P254="","",IF(INDEX(EntryTxnType,$P254)=0,"",INDEX(EntryTxnType,$P254)))</f>
        <v/>
      </c>
      <c r="H254" s="29">
        <f>IF($P254="","",IF(INDEX(EntryDep,$P254)=0,"",INDEX(EntryDep,$P254)))</f>
        <v/>
      </c>
      <c r="I254" s="29">
        <f>IF($P254="","",IF(INDEX(EntryWit,$P254)=0,"",INDEX(EntryWit,$P254)))</f>
        <v/>
      </c>
      <c r="J254" s="29">
        <f>IF($B254="","",IF($A254=1,$C$7,IF(J253="",0,J253))+IF($H254="",0,$H254)-IF($I254="",0,$I254))</f>
        <v/>
      </c>
      <c r="K254" s="29">
        <f>IF($P254="","",IF(INDEX(EntryMan,$P254)=0,"",INDEX(EntryMan,$P254)))</f>
        <v/>
      </c>
      <c r="L254" s="28">
        <f>IF($B254="","",IF($K254="","—",IF(ROUND($K254-$J254,0)=0,"√","×")))</f>
        <v/>
      </c>
      <c r="M254" s="28">
        <f>IF($B254="","",IF(COUNTIFS(EntryDates,$B254,CalcTime,$C254,CalcBank,$C$5,EntryParty,$D254,EntryDep,$H254,EntryWit,$I254)&gt;1,"تکرار",""))</f>
        <v/>
      </c>
      <c r="N254" s="28">
        <f>IF($P254="","",IF(INDEX(EntryNotes,$P254)=0,"",INDEX(EntryNotes,$P254)))</f>
        <v/>
      </c>
      <c r="O254" s="28">
        <f>IF($P254="","",IF(INDEX(EntryTxnID,$P254)=0,"",INDEX(EntryTxnID,$P254)))</f>
        <v/>
      </c>
      <c r="P254" s="28">
        <f>IFERROR(MATCH($C$5&amp;"|"&amp;RIGHT("000000"&amp;238,6),CalcRankKey,0),"")</f>
        <v/>
      </c>
    </row>
    <row r="255">
      <c r="A255" s="26">
        <f>IF($B255="","",239)</f>
        <v/>
      </c>
      <c r="B255" s="26">
        <f>IF($P255="","",IF(INDEX(CalcNormDate,$P255)=0,"",INDEX(CalcNormDate,$P255)))</f>
        <v/>
      </c>
      <c r="C255" s="26">
        <f>IF($P255="","",IF(INDEX(CalcTime,$P255)=0,"",INDEX(CalcTime,$P255)))</f>
        <v/>
      </c>
      <c r="D255" s="26">
        <f>IF($P255="","",IF(INDEX(EntryParty,$P255)=0,"",INDEX(EntryParty,$P255)))</f>
        <v/>
      </c>
      <c r="E255" s="26">
        <f>IF($P255="","",IF(INDEX(EntryPartyName,$P255)=0,"",INDEX(EntryPartyName,$P255)))</f>
        <v/>
      </c>
      <c r="F255" s="26">
        <f>IF($P255="","",IF(INDEX(EntryPartyType,$P255)=0,"",INDEX(EntryPartyType,$P255)))</f>
        <v/>
      </c>
      <c r="G255" s="26">
        <f>IF($P255="","",IF(INDEX(EntryTxnType,$P255)=0,"",INDEX(EntryTxnType,$P255)))</f>
        <v/>
      </c>
      <c r="H255" s="27">
        <f>IF($P255="","",IF(INDEX(EntryDep,$P255)=0,"",INDEX(EntryDep,$P255)))</f>
        <v/>
      </c>
      <c r="I255" s="27">
        <f>IF($P255="","",IF(INDEX(EntryWit,$P255)=0,"",INDEX(EntryWit,$P255)))</f>
        <v/>
      </c>
      <c r="J255" s="27">
        <f>IF($B255="","",IF($A255=1,$C$7,IF(J254="",0,J254))+IF($H255="",0,$H255)-IF($I255="",0,$I255))</f>
        <v/>
      </c>
      <c r="K255" s="27">
        <f>IF($P255="","",IF(INDEX(EntryMan,$P255)=0,"",INDEX(EntryMan,$P255)))</f>
        <v/>
      </c>
      <c r="L255" s="26">
        <f>IF($B255="","",IF($K255="","—",IF(ROUND($K255-$J255,0)=0,"√","×")))</f>
        <v/>
      </c>
      <c r="M255" s="26">
        <f>IF($B255="","",IF(COUNTIFS(EntryDates,$B255,CalcTime,$C255,CalcBank,$C$5,EntryParty,$D255,EntryDep,$H255,EntryWit,$I255)&gt;1,"تکرار",""))</f>
        <v/>
      </c>
      <c r="N255" s="26">
        <f>IF($P255="","",IF(INDEX(EntryNotes,$P255)=0,"",INDEX(EntryNotes,$P255)))</f>
        <v/>
      </c>
      <c r="O255" s="26">
        <f>IF($P255="","",IF(INDEX(EntryTxnID,$P255)=0,"",INDEX(EntryTxnID,$P255)))</f>
        <v/>
      </c>
      <c r="P255" s="26">
        <f>IFERROR(MATCH($C$5&amp;"|"&amp;RIGHT("000000"&amp;239,6),CalcRankKey,0),"")</f>
        <v/>
      </c>
    </row>
    <row r="256">
      <c r="A256" s="28">
        <f>IF($B256="","",240)</f>
        <v/>
      </c>
      <c r="B256" s="28">
        <f>IF($P256="","",IF(INDEX(CalcNormDate,$P256)=0,"",INDEX(CalcNormDate,$P256)))</f>
        <v/>
      </c>
      <c r="C256" s="28">
        <f>IF($P256="","",IF(INDEX(CalcTime,$P256)=0,"",INDEX(CalcTime,$P256)))</f>
        <v/>
      </c>
      <c r="D256" s="28">
        <f>IF($P256="","",IF(INDEX(EntryParty,$P256)=0,"",INDEX(EntryParty,$P256)))</f>
        <v/>
      </c>
      <c r="E256" s="28">
        <f>IF($P256="","",IF(INDEX(EntryPartyName,$P256)=0,"",INDEX(EntryPartyName,$P256)))</f>
        <v/>
      </c>
      <c r="F256" s="28">
        <f>IF($P256="","",IF(INDEX(EntryPartyType,$P256)=0,"",INDEX(EntryPartyType,$P256)))</f>
        <v/>
      </c>
      <c r="G256" s="28">
        <f>IF($P256="","",IF(INDEX(EntryTxnType,$P256)=0,"",INDEX(EntryTxnType,$P256)))</f>
        <v/>
      </c>
      <c r="H256" s="29">
        <f>IF($P256="","",IF(INDEX(EntryDep,$P256)=0,"",INDEX(EntryDep,$P256)))</f>
        <v/>
      </c>
      <c r="I256" s="29">
        <f>IF($P256="","",IF(INDEX(EntryWit,$P256)=0,"",INDEX(EntryWit,$P256)))</f>
        <v/>
      </c>
      <c r="J256" s="29">
        <f>IF($B256="","",IF($A256=1,$C$7,IF(J255="",0,J255))+IF($H256="",0,$H256)-IF($I256="",0,$I256))</f>
        <v/>
      </c>
      <c r="K256" s="29">
        <f>IF($P256="","",IF(INDEX(EntryMan,$P256)=0,"",INDEX(EntryMan,$P256)))</f>
        <v/>
      </c>
      <c r="L256" s="28">
        <f>IF($B256="","",IF($K256="","—",IF(ROUND($K256-$J256,0)=0,"√","×")))</f>
        <v/>
      </c>
      <c r="M256" s="28">
        <f>IF($B256="","",IF(COUNTIFS(EntryDates,$B256,CalcTime,$C256,CalcBank,$C$5,EntryParty,$D256,EntryDep,$H256,EntryWit,$I256)&gt;1,"تکرار",""))</f>
        <v/>
      </c>
      <c r="N256" s="28">
        <f>IF($P256="","",IF(INDEX(EntryNotes,$P256)=0,"",INDEX(EntryNotes,$P256)))</f>
        <v/>
      </c>
      <c r="O256" s="28">
        <f>IF($P256="","",IF(INDEX(EntryTxnID,$P256)=0,"",INDEX(EntryTxnID,$P256)))</f>
        <v/>
      </c>
      <c r="P256" s="28">
        <f>IFERROR(MATCH($C$5&amp;"|"&amp;RIGHT("000000"&amp;240,6),CalcRankKey,0),"")</f>
        <v/>
      </c>
    </row>
    <row r="257">
      <c r="A257" s="26">
        <f>IF($B257="","",241)</f>
        <v/>
      </c>
      <c r="B257" s="26">
        <f>IF($P257="","",IF(INDEX(CalcNormDate,$P257)=0,"",INDEX(CalcNormDate,$P257)))</f>
        <v/>
      </c>
      <c r="C257" s="26">
        <f>IF($P257="","",IF(INDEX(CalcTime,$P257)=0,"",INDEX(CalcTime,$P257)))</f>
        <v/>
      </c>
      <c r="D257" s="26">
        <f>IF($P257="","",IF(INDEX(EntryParty,$P257)=0,"",INDEX(EntryParty,$P257)))</f>
        <v/>
      </c>
      <c r="E257" s="26">
        <f>IF($P257="","",IF(INDEX(EntryPartyName,$P257)=0,"",INDEX(EntryPartyName,$P257)))</f>
        <v/>
      </c>
      <c r="F257" s="26">
        <f>IF($P257="","",IF(INDEX(EntryPartyType,$P257)=0,"",INDEX(EntryPartyType,$P257)))</f>
        <v/>
      </c>
      <c r="G257" s="26">
        <f>IF($P257="","",IF(INDEX(EntryTxnType,$P257)=0,"",INDEX(EntryTxnType,$P257)))</f>
        <v/>
      </c>
      <c r="H257" s="27">
        <f>IF($P257="","",IF(INDEX(EntryDep,$P257)=0,"",INDEX(EntryDep,$P257)))</f>
        <v/>
      </c>
      <c r="I257" s="27">
        <f>IF($P257="","",IF(INDEX(EntryWit,$P257)=0,"",INDEX(EntryWit,$P257)))</f>
        <v/>
      </c>
      <c r="J257" s="27">
        <f>IF($B257="","",IF($A257=1,$C$7,IF(J256="",0,J256))+IF($H257="",0,$H257)-IF($I257="",0,$I257))</f>
        <v/>
      </c>
      <c r="K257" s="27">
        <f>IF($P257="","",IF(INDEX(EntryMan,$P257)=0,"",INDEX(EntryMan,$P257)))</f>
        <v/>
      </c>
      <c r="L257" s="26">
        <f>IF($B257="","",IF($K257="","—",IF(ROUND($K257-$J257,0)=0,"√","×")))</f>
        <v/>
      </c>
      <c r="M257" s="26">
        <f>IF($B257="","",IF(COUNTIFS(EntryDates,$B257,CalcTime,$C257,CalcBank,$C$5,EntryParty,$D257,EntryDep,$H257,EntryWit,$I257)&gt;1,"تکرار",""))</f>
        <v/>
      </c>
      <c r="N257" s="26">
        <f>IF($P257="","",IF(INDEX(EntryNotes,$P257)=0,"",INDEX(EntryNotes,$P257)))</f>
        <v/>
      </c>
      <c r="O257" s="26">
        <f>IF($P257="","",IF(INDEX(EntryTxnID,$P257)=0,"",INDEX(EntryTxnID,$P257)))</f>
        <v/>
      </c>
      <c r="P257" s="26">
        <f>IFERROR(MATCH($C$5&amp;"|"&amp;RIGHT("000000"&amp;241,6),CalcRankKey,0),"")</f>
        <v/>
      </c>
    </row>
    <row r="258">
      <c r="A258" s="28">
        <f>IF($B258="","",242)</f>
        <v/>
      </c>
      <c r="B258" s="28">
        <f>IF($P258="","",IF(INDEX(CalcNormDate,$P258)=0,"",INDEX(CalcNormDate,$P258)))</f>
        <v/>
      </c>
      <c r="C258" s="28">
        <f>IF($P258="","",IF(INDEX(CalcTime,$P258)=0,"",INDEX(CalcTime,$P258)))</f>
        <v/>
      </c>
      <c r="D258" s="28">
        <f>IF($P258="","",IF(INDEX(EntryParty,$P258)=0,"",INDEX(EntryParty,$P258)))</f>
        <v/>
      </c>
      <c r="E258" s="28">
        <f>IF($P258="","",IF(INDEX(EntryPartyName,$P258)=0,"",INDEX(EntryPartyName,$P258)))</f>
        <v/>
      </c>
      <c r="F258" s="28">
        <f>IF($P258="","",IF(INDEX(EntryPartyType,$P258)=0,"",INDEX(EntryPartyType,$P258)))</f>
        <v/>
      </c>
      <c r="G258" s="28">
        <f>IF($P258="","",IF(INDEX(EntryTxnType,$P258)=0,"",INDEX(EntryTxnType,$P258)))</f>
        <v/>
      </c>
      <c r="H258" s="29">
        <f>IF($P258="","",IF(INDEX(EntryDep,$P258)=0,"",INDEX(EntryDep,$P258)))</f>
        <v/>
      </c>
      <c r="I258" s="29">
        <f>IF($P258="","",IF(INDEX(EntryWit,$P258)=0,"",INDEX(EntryWit,$P258)))</f>
        <v/>
      </c>
      <c r="J258" s="29">
        <f>IF($B258="","",IF($A258=1,$C$7,IF(J257="",0,J257))+IF($H258="",0,$H258)-IF($I258="",0,$I258))</f>
        <v/>
      </c>
      <c r="K258" s="29">
        <f>IF($P258="","",IF(INDEX(EntryMan,$P258)=0,"",INDEX(EntryMan,$P258)))</f>
        <v/>
      </c>
      <c r="L258" s="28">
        <f>IF($B258="","",IF($K258="","—",IF(ROUND($K258-$J258,0)=0,"√","×")))</f>
        <v/>
      </c>
      <c r="M258" s="28">
        <f>IF($B258="","",IF(COUNTIFS(EntryDates,$B258,CalcTime,$C258,CalcBank,$C$5,EntryParty,$D258,EntryDep,$H258,EntryWit,$I258)&gt;1,"تکرار",""))</f>
        <v/>
      </c>
      <c r="N258" s="28">
        <f>IF($P258="","",IF(INDEX(EntryNotes,$P258)=0,"",INDEX(EntryNotes,$P258)))</f>
        <v/>
      </c>
      <c r="O258" s="28">
        <f>IF($P258="","",IF(INDEX(EntryTxnID,$P258)=0,"",INDEX(EntryTxnID,$P258)))</f>
        <v/>
      </c>
      <c r="P258" s="28">
        <f>IFERROR(MATCH($C$5&amp;"|"&amp;RIGHT("000000"&amp;242,6),CalcRankKey,0),"")</f>
        <v/>
      </c>
    </row>
    <row r="259">
      <c r="A259" s="26">
        <f>IF($B259="","",243)</f>
        <v/>
      </c>
      <c r="B259" s="26">
        <f>IF($P259="","",IF(INDEX(CalcNormDate,$P259)=0,"",INDEX(CalcNormDate,$P259)))</f>
        <v/>
      </c>
      <c r="C259" s="26">
        <f>IF($P259="","",IF(INDEX(CalcTime,$P259)=0,"",INDEX(CalcTime,$P259)))</f>
        <v/>
      </c>
      <c r="D259" s="26">
        <f>IF($P259="","",IF(INDEX(EntryParty,$P259)=0,"",INDEX(EntryParty,$P259)))</f>
        <v/>
      </c>
      <c r="E259" s="26">
        <f>IF($P259="","",IF(INDEX(EntryPartyName,$P259)=0,"",INDEX(EntryPartyName,$P259)))</f>
        <v/>
      </c>
      <c r="F259" s="26">
        <f>IF($P259="","",IF(INDEX(EntryPartyType,$P259)=0,"",INDEX(EntryPartyType,$P259)))</f>
        <v/>
      </c>
      <c r="G259" s="26">
        <f>IF($P259="","",IF(INDEX(EntryTxnType,$P259)=0,"",INDEX(EntryTxnType,$P259)))</f>
        <v/>
      </c>
      <c r="H259" s="27">
        <f>IF($P259="","",IF(INDEX(EntryDep,$P259)=0,"",INDEX(EntryDep,$P259)))</f>
        <v/>
      </c>
      <c r="I259" s="27">
        <f>IF($P259="","",IF(INDEX(EntryWit,$P259)=0,"",INDEX(EntryWit,$P259)))</f>
        <v/>
      </c>
      <c r="J259" s="27">
        <f>IF($B259="","",IF($A259=1,$C$7,IF(J258="",0,J258))+IF($H259="",0,$H259)-IF($I259="",0,$I259))</f>
        <v/>
      </c>
      <c r="K259" s="27">
        <f>IF($P259="","",IF(INDEX(EntryMan,$P259)=0,"",INDEX(EntryMan,$P259)))</f>
        <v/>
      </c>
      <c r="L259" s="26">
        <f>IF($B259="","",IF($K259="","—",IF(ROUND($K259-$J259,0)=0,"√","×")))</f>
        <v/>
      </c>
      <c r="M259" s="26">
        <f>IF($B259="","",IF(COUNTIFS(EntryDates,$B259,CalcTime,$C259,CalcBank,$C$5,EntryParty,$D259,EntryDep,$H259,EntryWit,$I259)&gt;1,"تکرار",""))</f>
        <v/>
      </c>
      <c r="N259" s="26">
        <f>IF($P259="","",IF(INDEX(EntryNotes,$P259)=0,"",INDEX(EntryNotes,$P259)))</f>
        <v/>
      </c>
      <c r="O259" s="26">
        <f>IF($P259="","",IF(INDEX(EntryTxnID,$P259)=0,"",INDEX(EntryTxnID,$P259)))</f>
        <v/>
      </c>
      <c r="P259" s="26">
        <f>IFERROR(MATCH($C$5&amp;"|"&amp;RIGHT("000000"&amp;243,6),CalcRankKey,0),"")</f>
        <v/>
      </c>
    </row>
    <row r="260">
      <c r="A260" s="28">
        <f>IF($B260="","",244)</f>
        <v/>
      </c>
      <c r="B260" s="28">
        <f>IF($P260="","",IF(INDEX(CalcNormDate,$P260)=0,"",INDEX(CalcNormDate,$P260)))</f>
        <v/>
      </c>
      <c r="C260" s="28">
        <f>IF($P260="","",IF(INDEX(CalcTime,$P260)=0,"",INDEX(CalcTime,$P260)))</f>
        <v/>
      </c>
      <c r="D260" s="28">
        <f>IF($P260="","",IF(INDEX(EntryParty,$P260)=0,"",INDEX(EntryParty,$P260)))</f>
        <v/>
      </c>
      <c r="E260" s="28">
        <f>IF($P260="","",IF(INDEX(EntryPartyName,$P260)=0,"",INDEX(EntryPartyName,$P260)))</f>
        <v/>
      </c>
      <c r="F260" s="28">
        <f>IF($P260="","",IF(INDEX(EntryPartyType,$P260)=0,"",INDEX(EntryPartyType,$P260)))</f>
        <v/>
      </c>
      <c r="G260" s="28">
        <f>IF($P260="","",IF(INDEX(EntryTxnType,$P260)=0,"",INDEX(EntryTxnType,$P260)))</f>
        <v/>
      </c>
      <c r="H260" s="29">
        <f>IF($P260="","",IF(INDEX(EntryDep,$P260)=0,"",INDEX(EntryDep,$P260)))</f>
        <v/>
      </c>
      <c r="I260" s="29">
        <f>IF($P260="","",IF(INDEX(EntryWit,$P260)=0,"",INDEX(EntryWit,$P260)))</f>
        <v/>
      </c>
      <c r="J260" s="29">
        <f>IF($B260="","",IF($A260=1,$C$7,IF(J259="",0,J259))+IF($H260="",0,$H260)-IF($I260="",0,$I260))</f>
        <v/>
      </c>
      <c r="K260" s="29">
        <f>IF($P260="","",IF(INDEX(EntryMan,$P260)=0,"",INDEX(EntryMan,$P260)))</f>
        <v/>
      </c>
      <c r="L260" s="28">
        <f>IF($B260="","",IF($K260="","—",IF(ROUND($K260-$J260,0)=0,"√","×")))</f>
        <v/>
      </c>
      <c r="M260" s="28">
        <f>IF($B260="","",IF(COUNTIFS(EntryDates,$B260,CalcTime,$C260,CalcBank,$C$5,EntryParty,$D260,EntryDep,$H260,EntryWit,$I260)&gt;1,"تکرار",""))</f>
        <v/>
      </c>
      <c r="N260" s="28">
        <f>IF($P260="","",IF(INDEX(EntryNotes,$P260)=0,"",INDEX(EntryNotes,$P260)))</f>
        <v/>
      </c>
      <c r="O260" s="28">
        <f>IF($P260="","",IF(INDEX(EntryTxnID,$P260)=0,"",INDEX(EntryTxnID,$P260)))</f>
        <v/>
      </c>
      <c r="P260" s="28">
        <f>IFERROR(MATCH($C$5&amp;"|"&amp;RIGHT("000000"&amp;244,6),CalcRankKey,0),"")</f>
        <v/>
      </c>
    </row>
    <row r="261">
      <c r="A261" s="26">
        <f>IF($B261="","",245)</f>
        <v/>
      </c>
      <c r="B261" s="26">
        <f>IF($P261="","",IF(INDEX(CalcNormDate,$P261)=0,"",INDEX(CalcNormDate,$P261)))</f>
        <v/>
      </c>
      <c r="C261" s="26">
        <f>IF($P261="","",IF(INDEX(CalcTime,$P261)=0,"",INDEX(CalcTime,$P261)))</f>
        <v/>
      </c>
      <c r="D261" s="26">
        <f>IF($P261="","",IF(INDEX(EntryParty,$P261)=0,"",INDEX(EntryParty,$P261)))</f>
        <v/>
      </c>
      <c r="E261" s="26">
        <f>IF($P261="","",IF(INDEX(EntryPartyName,$P261)=0,"",INDEX(EntryPartyName,$P261)))</f>
        <v/>
      </c>
      <c r="F261" s="26">
        <f>IF($P261="","",IF(INDEX(EntryPartyType,$P261)=0,"",INDEX(EntryPartyType,$P261)))</f>
        <v/>
      </c>
      <c r="G261" s="26">
        <f>IF($P261="","",IF(INDEX(EntryTxnType,$P261)=0,"",INDEX(EntryTxnType,$P261)))</f>
        <v/>
      </c>
      <c r="H261" s="27">
        <f>IF($P261="","",IF(INDEX(EntryDep,$P261)=0,"",INDEX(EntryDep,$P261)))</f>
        <v/>
      </c>
      <c r="I261" s="27">
        <f>IF($P261="","",IF(INDEX(EntryWit,$P261)=0,"",INDEX(EntryWit,$P261)))</f>
        <v/>
      </c>
      <c r="J261" s="27">
        <f>IF($B261="","",IF($A261=1,$C$7,IF(J260="",0,J260))+IF($H261="",0,$H261)-IF($I261="",0,$I261))</f>
        <v/>
      </c>
      <c r="K261" s="27">
        <f>IF($P261="","",IF(INDEX(EntryMan,$P261)=0,"",INDEX(EntryMan,$P261)))</f>
        <v/>
      </c>
      <c r="L261" s="26">
        <f>IF($B261="","",IF($K261="","—",IF(ROUND($K261-$J261,0)=0,"√","×")))</f>
        <v/>
      </c>
      <c r="M261" s="26">
        <f>IF($B261="","",IF(COUNTIFS(EntryDates,$B261,CalcTime,$C261,CalcBank,$C$5,EntryParty,$D261,EntryDep,$H261,EntryWit,$I261)&gt;1,"تکرار",""))</f>
        <v/>
      </c>
      <c r="N261" s="26">
        <f>IF($P261="","",IF(INDEX(EntryNotes,$P261)=0,"",INDEX(EntryNotes,$P261)))</f>
        <v/>
      </c>
      <c r="O261" s="26">
        <f>IF($P261="","",IF(INDEX(EntryTxnID,$P261)=0,"",INDEX(EntryTxnID,$P261)))</f>
        <v/>
      </c>
      <c r="P261" s="26">
        <f>IFERROR(MATCH($C$5&amp;"|"&amp;RIGHT("000000"&amp;245,6),CalcRankKey,0),"")</f>
        <v/>
      </c>
    </row>
    <row r="262">
      <c r="A262" s="28">
        <f>IF($B262="","",246)</f>
        <v/>
      </c>
      <c r="B262" s="28">
        <f>IF($P262="","",IF(INDEX(CalcNormDate,$P262)=0,"",INDEX(CalcNormDate,$P262)))</f>
        <v/>
      </c>
      <c r="C262" s="28">
        <f>IF($P262="","",IF(INDEX(CalcTime,$P262)=0,"",INDEX(CalcTime,$P262)))</f>
        <v/>
      </c>
      <c r="D262" s="28">
        <f>IF($P262="","",IF(INDEX(EntryParty,$P262)=0,"",INDEX(EntryParty,$P262)))</f>
        <v/>
      </c>
      <c r="E262" s="28">
        <f>IF($P262="","",IF(INDEX(EntryPartyName,$P262)=0,"",INDEX(EntryPartyName,$P262)))</f>
        <v/>
      </c>
      <c r="F262" s="28">
        <f>IF($P262="","",IF(INDEX(EntryPartyType,$P262)=0,"",INDEX(EntryPartyType,$P262)))</f>
        <v/>
      </c>
      <c r="G262" s="28">
        <f>IF($P262="","",IF(INDEX(EntryTxnType,$P262)=0,"",INDEX(EntryTxnType,$P262)))</f>
        <v/>
      </c>
      <c r="H262" s="29">
        <f>IF($P262="","",IF(INDEX(EntryDep,$P262)=0,"",INDEX(EntryDep,$P262)))</f>
        <v/>
      </c>
      <c r="I262" s="29">
        <f>IF($P262="","",IF(INDEX(EntryWit,$P262)=0,"",INDEX(EntryWit,$P262)))</f>
        <v/>
      </c>
      <c r="J262" s="29">
        <f>IF($B262="","",IF($A262=1,$C$7,IF(J261="",0,J261))+IF($H262="",0,$H262)-IF($I262="",0,$I262))</f>
        <v/>
      </c>
      <c r="K262" s="29">
        <f>IF($P262="","",IF(INDEX(EntryMan,$P262)=0,"",INDEX(EntryMan,$P262)))</f>
        <v/>
      </c>
      <c r="L262" s="28">
        <f>IF($B262="","",IF($K262="","—",IF(ROUND($K262-$J262,0)=0,"√","×")))</f>
        <v/>
      </c>
      <c r="M262" s="28">
        <f>IF($B262="","",IF(COUNTIFS(EntryDates,$B262,CalcTime,$C262,CalcBank,$C$5,EntryParty,$D262,EntryDep,$H262,EntryWit,$I262)&gt;1,"تکرار",""))</f>
        <v/>
      </c>
      <c r="N262" s="28">
        <f>IF($P262="","",IF(INDEX(EntryNotes,$P262)=0,"",INDEX(EntryNotes,$P262)))</f>
        <v/>
      </c>
      <c r="O262" s="28">
        <f>IF($P262="","",IF(INDEX(EntryTxnID,$P262)=0,"",INDEX(EntryTxnID,$P262)))</f>
        <v/>
      </c>
      <c r="P262" s="28">
        <f>IFERROR(MATCH($C$5&amp;"|"&amp;RIGHT("000000"&amp;246,6),CalcRankKey,0),"")</f>
        <v/>
      </c>
    </row>
    <row r="263">
      <c r="A263" s="26">
        <f>IF($B263="","",247)</f>
        <v/>
      </c>
      <c r="B263" s="26">
        <f>IF($P263="","",IF(INDEX(CalcNormDate,$P263)=0,"",INDEX(CalcNormDate,$P263)))</f>
        <v/>
      </c>
      <c r="C263" s="26">
        <f>IF($P263="","",IF(INDEX(CalcTime,$P263)=0,"",INDEX(CalcTime,$P263)))</f>
        <v/>
      </c>
      <c r="D263" s="26">
        <f>IF($P263="","",IF(INDEX(EntryParty,$P263)=0,"",INDEX(EntryParty,$P263)))</f>
        <v/>
      </c>
      <c r="E263" s="26">
        <f>IF($P263="","",IF(INDEX(EntryPartyName,$P263)=0,"",INDEX(EntryPartyName,$P263)))</f>
        <v/>
      </c>
      <c r="F263" s="26">
        <f>IF($P263="","",IF(INDEX(EntryPartyType,$P263)=0,"",INDEX(EntryPartyType,$P263)))</f>
        <v/>
      </c>
      <c r="G263" s="26">
        <f>IF($P263="","",IF(INDEX(EntryTxnType,$P263)=0,"",INDEX(EntryTxnType,$P263)))</f>
        <v/>
      </c>
      <c r="H263" s="27">
        <f>IF($P263="","",IF(INDEX(EntryDep,$P263)=0,"",INDEX(EntryDep,$P263)))</f>
        <v/>
      </c>
      <c r="I263" s="27">
        <f>IF($P263="","",IF(INDEX(EntryWit,$P263)=0,"",INDEX(EntryWit,$P263)))</f>
        <v/>
      </c>
      <c r="J263" s="27">
        <f>IF($B263="","",IF($A263=1,$C$7,IF(J262="",0,J262))+IF($H263="",0,$H263)-IF($I263="",0,$I263))</f>
        <v/>
      </c>
      <c r="K263" s="27">
        <f>IF($P263="","",IF(INDEX(EntryMan,$P263)=0,"",INDEX(EntryMan,$P263)))</f>
        <v/>
      </c>
      <c r="L263" s="26">
        <f>IF($B263="","",IF($K263="","—",IF(ROUND($K263-$J263,0)=0,"√","×")))</f>
        <v/>
      </c>
      <c r="M263" s="26">
        <f>IF($B263="","",IF(COUNTIFS(EntryDates,$B263,CalcTime,$C263,CalcBank,$C$5,EntryParty,$D263,EntryDep,$H263,EntryWit,$I263)&gt;1,"تکرار",""))</f>
        <v/>
      </c>
      <c r="N263" s="26">
        <f>IF($P263="","",IF(INDEX(EntryNotes,$P263)=0,"",INDEX(EntryNotes,$P263)))</f>
        <v/>
      </c>
      <c r="O263" s="26">
        <f>IF($P263="","",IF(INDEX(EntryTxnID,$P263)=0,"",INDEX(EntryTxnID,$P263)))</f>
        <v/>
      </c>
      <c r="P263" s="26">
        <f>IFERROR(MATCH($C$5&amp;"|"&amp;RIGHT("000000"&amp;247,6),CalcRankKey,0),"")</f>
        <v/>
      </c>
    </row>
    <row r="264">
      <c r="A264" s="28">
        <f>IF($B264="","",248)</f>
        <v/>
      </c>
      <c r="B264" s="28">
        <f>IF($P264="","",IF(INDEX(CalcNormDate,$P264)=0,"",INDEX(CalcNormDate,$P264)))</f>
        <v/>
      </c>
      <c r="C264" s="28">
        <f>IF($P264="","",IF(INDEX(CalcTime,$P264)=0,"",INDEX(CalcTime,$P264)))</f>
        <v/>
      </c>
      <c r="D264" s="28">
        <f>IF($P264="","",IF(INDEX(EntryParty,$P264)=0,"",INDEX(EntryParty,$P264)))</f>
        <v/>
      </c>
      <c r="E264" s="28">
        <f>IF($P264="","",IF(INDEX(EntryPartyName,$P264)=0,"",INDEX(EntryPartyName,$P264)))</f>
        <v/>
      </c>
      <c r="F264" s="28">
        <f>IF($P264="","",IF(INDEX(EntryPartyType,$P264)=0,"",INDEX(EntryPartyType,$P264)))</f>
        <v/>
      </c>
      <c r="G264" s="28">
        <f>IF($P264="","",IF(INDEX(EntryTxnType,$P264)=0,"",INDEX(EntryTxnType,$P264)))</f>
        <v/>
      </c>
      <c r="H264" s="29">
        <f>IF($P264="","",IF(INDEX(EntryDep,$P264)=0,"",INDEX(EntryDep,$P264)))</f>
        <v/>
      </c>
      <c r="I264" s="29">
        <f>IF($P264="","",IF(INDEX(EntryWit,$P264)=0,"",INDEX(EntryWit,$P264)))</f>
        <v/>
      </c>
      <c r="J264" s="29">
        <f>IF($B264="","",IF($A264=1,$C$7,IF(J263="",0,J263))+IF($H264="",0,$H264)-IF($I264="",0,$I264))</f>
        <v/>
      </c>
      <c r="K264" s="29">
        <f>IF($P264="","",IF(INDEX(EntryMan,$P264)=0,"",INDEX(EntryMan,$P264)))</f>
        <v/>
      </c>
      <c r="L264" s="28">
        <f>IF($B264="","",IF($K264="","—",IF(ROUND($K264-$J264,0)=0,"√","×")))</f>
        <v/>
      </c>
      <c r="M264" s="28">
        <f>IF($B264="","",IF(COUNTIFS(EntryDates,$B264,CalcTime,$C264,CalcBank,$C$5,EntryParty,$D264,EntryDep,$H264,EntryWit,$I264)&gt;1,"تکرار",""))</f>
        <v/>
      </c>
      <c r="N264" s="28">
        <f>IF($P264="","",IF(INDEX(EntryNotes,$P264)=0,"",INDEX(EntryNotes,$P264)))</f>
        <v/>
      </c>
      <c r="O264" s="28">
        <f>IF($P264="","",IF(INDEX(EntryTxnID,$P264)=0,"",INDEX(EntryTxnID,$P264)))</f>
        <v/>
      </c>
      <c r="P264" s="28">
        <f>IFERROR(MATCH($C$5&amp;"|"&amp;RIGHT("000000"&amp;248,6),CalcRankKey,0),"")</f>
        <v/>
      </c>
    </row>
    <row r="265">
      <c r="A265" s="26">
        <f>IF($B265="","",249)</f>
        <v/>
      </c>
      <c r="B265" s="26">
        <f>IF($P265="","",IF(INDEX(CalcNormDate,$P265)=0,"",INDEX(CalcNormDate,$P265)))</f>
        <v/>
      </c>
      <c r="C265" s="26">
        <f>IF($P265="","",IF(INDEX(CalcTime,$P265)=0,"",INDEX(CalcTime,$P265)))</f>
        <v/>
      </c>
      <c r="D265" s="26">
        <f>IF($P265="","",IF(INDEX(EntryParty,$P265)=0,"",INDEX(EntryParty,$P265)))</f>
        <v/>
      </c>
      <c r="E265" s="26">
        <f>IF($P265="","",IF(INDEX(EntryPartyName,$P265)=0,"",INDEX(EntryPartyName,$P265)))</f>
        <v/>
      </c>
      <c r="F265" s="26">
        <f>IF($P265="","",IF(INDEX(EntryPartyType,$P265)=0,"",INDEX(EntryPartyType,$P265)))</f>
        <v/>
      </c>
      <c r="G265" s="26">
        <f>IF($P265="","",IF(INDEX(EntryTxnType,$P265)=0,"",INDEX(EntryTxnType,$P265)))</f>
        <v/>
      </c>
      <c r="H265" s="27">
        <f>IF($P265="","",IF(INDEX(EntryDep,$P265)=0,"",INDEX(EntryDep,$P265)))</f>
        <v/>
      </c>
      <c r="I265" s="27">
        <f>IF($P265="","",IF(INDEX(EntryWit,$P265)=0,"",INDEX(EntryWit,$P265)))</f>
        <v/>
      </c>
      <c r="J265" s="27">
        <f>IF($B265="","",IF($A265=1,$C$7,IF(J264="",0,J264))+IF($H265="",0,$H265)-IF($I265="",0,$I265))</f>
        <v/>
      </c>
      <c r="K265" s="27">
        <f>IF($P265="","",IF(INDEX(EntryMan,$P265)=0,"",INDEX(EntryMan,$P265)))</f>
        <v/>
      </c>
      <c r="L265" s="26">
        <f>IF($B265="","",IF($K265="","—",IF(ROUND($K265-$J265,0)=0,"√","×")))</f>
        <v/>
      </c>
      <c r="M265" s="26">
        <f>IF($B265="","",IF(COUNTIFS(EntryDates,$B265,CalcTime,$C265,CalcBank,$C$5,EntryParty,$D265,EntryDep,$H265,EntryWit,$I265)&gt;1,"تکرار",""))</f>
        <v/>
      </c>
      <c r="N265" s="26">
        <f>IF($P265="","",IF(INDEX(EntryNotes,$P265)=0,"",INDEX(EntryNotes,$P265)))</f>
        <v/>
      </c>
      <c r="O265" s="26">
        <f>IF($P265="","",IF(INDEX(EntryTxnID,$P265)=0,"",INDEX(EntryTxnID,$P265)))</f>
        <v/>
      </c>
      <c r="P265" s="26">
        <f>IFERROR(MATCH($C$5&amp;"|"&amp;RIGHT("000000"&amp;249,6),CalcRankKey,0),"")</f>
        <v/>
      </c>
    </row>
    <row r="266">
      <c r="A266" s="28">
        <f>IF($B266="","",250)</f>
        <v/>
      </c>
      <c r="B266" s="28">
        <f>IF($P266="","",IF(INDEX(CalcNormDate,$P266)=0,"",INDEX(CalcNormDate,$P266)))</f>
        <v/>
      </c>
      <c r="C266" s="28">
        <f>IF($P266="","",IF(INDEX(CalcTime,$P266)=0,"",INDEX(CalcTime,$P266)))</f>
        <v/>
      </c>
      <c r="D266" s="28">
        <f>IF($P266="","",IF(INDEX(EntryParty,$P266)=0,"",INDEX(EntryParty,$P266)))</f>
        <v/>
      </c>
      <c r="E266" s="28">
        <f>IF($P266="","",IF(INDEX(EntryPartyName,$P266)=0,"",INDEX(EntryPartyName,$P266)))</f>
        <v/>
      </c>
      <c r="F266" s="28">
        <f>IF($P266="","",IF(INDEX(EntryPartyType,$P266)=0,"",INDEX(EntryPartyType,$P266)))</f>
        <v/>
      </c>
      <c r="G266" s="28">
        <f>IF($P266="","",IF(INDEX(EntryTxnType,$P266)=0,"",INDEX(EntryTxnType,$P266)))</f>
        <v/>
      </c>
      <c r="H266" s="29">
        <f>IF($P266="","",IF(INDEX(EntryDep,$P266)=0,"",INDEX(EntryDep,$P266)))</f>
        <v/>
      </c>
      <c r="I266" s="29">
        <f>IF($P266="","",IF(INDEX(EntryWit,$P266)=0,"",INDEX(EntryWit,$P266)))</f>
        <v/>
      </c>
      <c r="J266" s="29">
        <f>IF($B266="","",IF($A266=1,$C$7,IF(J265="",0,J265))+IF($H266="",0,$H266)-IF($I266="",0,$I266))</f>
        <v/>
      </c>
      <c r="K266" s="29">
        <f>IF($P266="","",IF(INDEX(EntryMan,$P266)=0,"",INDEX(EntryMan,$P266)))</f>
        <v/>
      </c>
      <c r="L266" s="28">
        <f>IF($B266="","",IF($K266="","—",IF(ROUND($K266-$J266,0)=0,"√","×")))</f>
        <v/>
      </c>
      <c r="M266" s="28">
        <f>IF($B266="","",IF(COUNTIFS(EntryDates,$B266,CalcTime,$C266,CalcBank,$C$5,EntryParty,$D266,EntryDep,$H266,EntryWit,$I266)&gt;1,"تکرار",""))</f>
        <v/>
      </c>
      <c r="N266" s="28">
        <f>IF($P266="","",IF(INDEX(EntryNotes,$P266)=0,"",INDEX(EntryNotes,$P266)))</f>
        <v/>
      </c>
      <c r="O266" s="28">
        <f>IF($P266="","",IF(INDEX(EntryTxnID,$P266)=0,"",INDEX(EntryTxnID,$P266)))</f>
        <v/>
      </c>
      <c r="P266" s="28">
        <f>IFERROR(MATCH($C$5&amp;"|"&amp;RIGHT("000000"&amp;250,6),CalcRankKey,0),"")</f>
        <v/>
      </c>
    </row>
    <row r="267">
      <c r="A267" s="26">
        <f>IF($B267="","",251)</f>
        <v/>
      </c>
      <c r="B267" s="26">
        <f>IF($P267="","",IF(INDEX(CalcNormDate,$P267)=0,"",INDEX(CalcNormDate,$P267)))</f>
        <v/>
      </c>
      <c r="C267" s="26">
        <f>IF($P267="","",IF(INDEX(CalcTime,$P267)=0,"",INDEX(CalcTime,$P267)))</f>
        <v/>
      </c>
      <c r="D267" s="26">
        <f>IF($P267="","",IF(INDEX(EntryParty,$P267)=0,"",INDEX(EntryParty,$P267)))</f>
        <v/>
      </c>
      <c r="E267" s="26">
        <f>IF($P267="","",IF(INDEX(EntryPartyName,$P267)=0,"",INDEX(EntryPartyName,$P267)))</f>
        <v/>
      </c>
      <c r="F267" s="26">
        <f>IF($P267="","",IF(INDEX(EntryPartyType,$P267)=0,"",INDEX(EntryPartyType,$P267)))</f>
        <v/>
      </c>
      <c r="G267" s="26">
        <f>IF($P267="","",IF(INDEX(EntryTxnType,$P267)=0,"",INDEX(EntryTxnType,$P267)))</f>
        <v/>
      </c>
      <c r="H267" s="27">
        <f>IF($P267="","",IF(INDEX(EntryDep,$P267)=0,"",INDEX(EntryDep,$P267)))</f>
        <v/>
      </c>
      <c r="I267" s="27">
        <f>IF($P267="","",IF(INDEX(EntryWit,$P267)=0,"",INDEX(EntryWit,$P267)))</f>
        <v/>
      </c>
      <c r="J267" s="27">
        <f>IF($B267="","",IF($A267=1,$C$7,IF(J266="",0,J266))+IF($H267="",0,$H267)-IF($I267="",0,$I267))</f>
        <v/>
      </c>
      <c r="K267" s="27">
        <f>IF($P267="","",IF(INDEX(EntryMan,$P267)=0,"",INDEX(EntryMan,$P267)))</f>
        <v/>
      </c>
      <c r="L267" s="26">
        <f>IF($B267="","",IF($K267="","—",IF(ROUND($K267-$J267,0)=0,"√","×")))</f>
        <v/>
      </c>
      <c r="M267" s="26">
        <f>IF($B267="","",IF(COUNTIFS(EntryDates,$B267,CalcTime,$C267,CalcBank,$C$5,EntryParty,$D267,EntryDep,$H267,EntryWit,$I267)&gt;1,"تکرار",""))</f>
        <v/>
      </c>
      <c r="N267" s="26">
        <f>IF($P267="","",IF(INDEX(EntryNotes,$P267)=0,"",INDEX(EntryNotes,$P267)))</f>
        <v/>
      </c>
      <c r="O267" s="26">
        <f>IF($P267="","",IF(INDEX(EntryTxnID,$P267)=0,"",INDEX(EntryTxnID,$P267)))</f>
        <v/>
      </c>
      <c r="P267" s="26">
        <f>IFERROR(MATCH($C$5&amp;"|"&amp;RIGHT("000000"&amp;251,6),CalcRankKey,0),"")</f>
        <v/>
      </c>
    </row>
    <row r="268">
      <c r="A268" s="28">
        <f>IF($B268="","",252)</f>
        <v/>
      </c>
      <c r="B268" s="28">
        <f>IF($P268="","",IF(INDEX(CalcNormDate,$P268)=0,"",INDEX(CalcNormDate,$P268)))</f>
        <v/>
      </c>
      <c r="C268" s="28">
        <f>IF($P268="","",IF(INDEX(CalcTime,$P268)=0,"",INDEX(CalcTime,$P268)))</f>
        <v/>
      </c>
      <c r="D268" s="28">
        <f>IF($P268="","",IF(INDEX(EntryParty,$P268)=0,"",INDEX(EntryParty,$P268)))</f>
        <v/>
      </c>
      <c r="E268" s="28">
        <f>IF($P268="","",IF(INDEX(EntryPartyName,$P268)=0,"",INDEX(EntryPartyName,$P268)))</f>
        <v/>
      </c>
      <c r="F268" s="28">
        <f>IF($P268="","",IF(INDEX(EntryPartyType,$P268)=0,"",INDEX(EntryPartyType,$P268)))</f>
        <v/>
      </c>
      <c r="G268" s="28">
        <f>IF($P268="","",IF(INDEX(EntryTxnType,$P268)=0,"",INDEX(EntryTxnType,$P268)))</f>
        <v/>
      </c>
      <c r="H268" s="29">
        <f>IF($P268="","",IF(INDEX(EntryDep,$P268)=0,"",INDEX(EntryDep,$P268)))</f>
        <v/>
      </c>
      <c r="I268" s="29">
        <f>IF($P268="","",IF(INDEX(EntryWit,$P268)=0,"",INDEX(EntryWit,$P268)))</f>
        <v/>
      </c>
      <c r="J268" s="29">
        <f>IF($B268="","",IF($A268=1,$C$7,IF(J267="",0,J267))+IF($H268="",0,$H268)-IF($I268="",0,$I268))</f>
        <v/>
      </c>
      <c r="K268" s="29">
        <f>IF($P268="","",IF(INDEX(EntryMan,$P268)=0,"",INDEX(EntryMan,$P268)))</f>
        <v/>
      </c>
      <c r="L268" s="28">
        <f>IF($B268="","",IF($K268="","—",IF(ROUND($K268-$J268,0)=0,"√","×")))</f>
        <v/>
      </c>
      <c r="M268" s="28">
        <f>IF($B268="","",IF(COUNTIFS(EntryDates,$B268,CalcTime,$C268,CalcBank,$C$5,EntryParty,$D268,EntryDep,$H268,EntryWit,$I268)&gt;1,"تکرار",""))</f>
        <v/>
      </c>
      <c r="N268" s="28">
        <f>IF($P268="","",IF(INDEX(EntryNotes,$P268)=0,"",INDEX(EntryNotes,$P268)))</f>
        <v/>
      </c>
      <c r="O268" s="28">
        <f>IF($P268="","",IF(INDEX(EntryTxnID,$P268)=0,"",INDEX(EntryTxnID,$P268)))</f>
        <v/>
      </c>
      <c r="P268" s="28">
        <f>IFERROR(MATCH($C$5&amp;"|"&amp;RIGHT("000000"&amp;252,6),CalcRankKey,0),"")</f>
        <v/>
      </c>
    </row>
    <row r="269">
      <c r="A269" s="26">
        <f>IF($B269="","",253)</f>
        <v/>
      </c>
      <c r="B269" s="26">
        <f>IF($P269="","",IF(INDEX(CalcNormDate,$P269)=0,"",INDEX(CalcNormDate,$P269)))</f>
        <v/>
      </c>
      <c r="C269" s="26">
        <f>IF($P269="","",IF(INDEX(CalcTime,$P269)=0,"",INDEX(CalcTime,$P269)))</f>
        <v/>
      </c>
      <c r="D269" s="26">
        <f>IF($P269="","",IF(INDEX(EntryParty,$P269)=0,"",INDEX(EntryParty,$P269)))</f>
        <v/>
      </c>
      <c r="E269" s="26">
        <f>IF($P269="","",IF(INDEX(EntryPartyName,$P269)=0,"",INDEX(EntryPartyName,$P269)))</f>
        <v/>
      </c>
      <c r="F269" s="26">
        <f>IF($P269="","",IF(INDEX(EntryPartyType,$P269)=0,"",INDEX(EntryPartyType,$P269)))</f>
        <v/>
      </c>
      <c r="G269" s="26">
        <f>IF($P269="","",IF(INDEX(EntryTxnType,$P269)=0,"",INDEX(EntryTxnType,$P269)))</f>
        <v/>
      </c>
      <c r="H269" s="27">
        <f>IF($P269="","",IF(INDEX(EntryDep,$P269)=0,"",INDEX(EntryDep,$P269)))</f>
        <v/>
      </c>
      <c r="I269" s="27">
        <f>IF($P269="","",IF(INDEX(EntryWit,$P269)=0,"",INDEX(EntryWit,$P269)))</f>
        <v/>
      </c>
      <c r="J269" s="27">
        <f>IF($B269="","",IF($A269=1,$C$7,IF(J268="",0,J268))+IF($H269="",0,$H269)-IF($I269="",0,$I269))</f>
        <v/>
      </c>
      <c r="K269" s="27">
        <f>IF($P269="","",IF(INDEX(EntryMan,$P269)=0,"",INDEX(EntryMan,$P269)))</f>
        <v/>
      </c>
      <c r="L269" s="26">
        <f>IF($B269="","",IF($K269="","—",IF(ROUND($K269-$J269,0)=0,"√","×")))</f>
        <v/>
      </c>
      <c r="M269" s="26">
        <f>IF($B269="","",IF(COUNTIFS(EntryDates,$B269,CalcTime,$C269,CalcBank,$C$5,EntryParty,$D269,EntryDep,$H269,EntryWit,$I269)&gt;1,"تکرار",""))</f>
        <v/>
      </c>
      <c r="N269" s="26">
        <f>IF($P269="","",IF(INDEX(EntryNotes,$P269)=0,"",INDEX(EntryNotes,$P269)))</f>
        <v/>
      </c>
      <c r="O269" s="26">
        <f>IF($P269="","",IF(INDEX(EntryTxnID,$P269)=0,"",INDEX(EntryTxnID,$P269)))</f>
        <v/>
      </c>
      <c r="P269" s="26">
        <f>IFERROR(MATCH($C$5&amp;"|"&amp;RIGHT("000000"&amp;253,6),CalcRankKey,0),"")</f>
        <v/>
      </c>
    </row>
    <row r="270">
      <c r="A270" s="28">
        <f>IF($B270="","",254)</f>
        <v/>
      </c>
      <c r="B270" s="28">
        <f>IF($P270="","",IF(INDEX(CalcNormDate,$P270)=0,"",INDEX(CalcNormDate,$P270)))</f>
        <v/>
      </c>
      <c r="C270" s="28">
        <f>IF($P270="","",IF(INDEX(CalcTime,$P270)=0,"",INDEX(CalcTime,$P270)))</f>
        <v/>
      </c>
      <c r="D270" s="28">
        <f>IF($P270="","",IF(INDEX(EntryParty,$P270)=0,"",INDEX(EntryParty,$P270)))</f>
        <v/>
      </c>
      <c r="E270" s="28">
        <f>IF($P270="","",IF(INDEX(EntryPartyName,$P270)=0,"",INDEX(EntryPartyName,$P270)))</f>
        <v/>
      </c>
      <c r="F270" s="28">
        <f>IF($P270="","",IF(INDEX(EntryPartyType,$P270)=0,"",INDEX(EntryPartyType,$P270)))</f>
        <v/>
      </c>
      <c r="G270" s="28">
        <f>IF($P270="","",IF(INDEX(EntryTxnType,$P270)=0,"",INDEX(EntryTxnType,$P270)))</f>
        <v/>
      </c>
      <c r="H270" s="29">
        <f>IF($P270="","",IF(INDEX(EntryDep,$P270)=0,"",INDEX(EntryDep,$P270)))</f>
        <v/>
      </c>
      <c r="I270" s="29">
        <f>IF($P270="","",IF(INDEX(EntryWit,$P270)=0,"",INDEX(EntryWit,$P270)))</f>
        <v/>
      </c>
      <c r="J270" s="29">
        <f>IF($B270="","",IF($A270=1,$C$7,IF(J269="",0,J269))+IF($H270="",0,$H270)-IF($I270="",0,$I270))</f>
        <v/>
      </c>
      <c r="K270" s="29">
        <f>IF($P270="","",IF(INDEX(EntryMan,$P270)=0,"",INDEX(EntryMan,$P270)))</f>
        <v/>
      </c>
      <c r="L270" s="28">
        <f>IF($B270="","",IF($K270="","—",IF(ROUND($K270-$J270,0)=0,"√","×")))</f>
        <v/>
      </c>
      <c r="M270" s="28">
        <f>IF($B270="","",IF(COUNTIFS(EntryDates,$B270,CalcTime,$C270,CalcBank,$C$5,EntryParty,$D270,EntryDep,$H270,EntryWit,$I270)&gt;1,"تکرار",""))</f>
        <v/>
      </c>
      <c r="N270" s="28">
        <f>IF($P270="","",IF(INDEX(EntryNotes,$P270)=0,"",INDEX(EntryNotes,$P270)))</f>
        <v/>
      </c>
      <c r="O270" s="28">
        <f>IF($P270="","",IF(INDEX(EntryTxnID,$P270)=0,"",INDEX(EntryTxnID,$P270)))</f>
        <v/>
      </c>
      <c r="P270" s="28">
        <f>IFERROR(MATCH($C$5&amp;"|"&amp;RIGHT("000000"&amp;254,6),CalcRankKey,0),"")</f>
        <v/>
      </c>
    </row>
    <row r="271">
      <c r="A271" s="26">
        <f>IF($B271="","",255)</f>
        <v/>
      </c>
      <c r="B271" s="26">
        <f>IF($P271="","",IF(INDEX(CalcNormDate,$P271)=0,"",INDEX(CalcNormDate,$P271)))</f>
        <v/>
      </c>
      <c r="C271" s="26">
        <f>IF($P271="","",IF(INDEX(CalcTime,$P271)=0,"",INDEX(CalcTime,$P271)))</f>
        <v/>
      </c>
      <c r="D271" s="26">
        <f>IF($P271="","",IF(INDEX(EntryParty,$P271)=0,"",INDEX(EntryParty,$P271)))</f>
        <v/>
      </c>
      <c r="E271" s="26">
        <f>IF($P271="","",IF(INDEX(EntryPartyName,$P271)=0,"",INDEX(EntryPartyName,$P271)))</f>
        <v/>
      </c>
      <c r="F271" s="26">
        <f>IF($P271="","",IF(INDEX(EntryPartyType,$P271)=0,"",INDEX(EntryPartyType,$P271)))</f>
        <v/>
      </c>
      <c r="G271" s="26">
        <f>IF($P271="","",IF(INDEX(EntryTxnType,$P271)=0,"",INDEX(EntryTxnType,$P271)))</f>
        <v/>
      </c>
      <c r="H271" s="27">
        <f>IF($P271="","",IF(INDEX(EntryDep,$P271)=0,"",INDEX(EntryDep,$P271)))</f>
        <v/>
      </c>
      <c r="I271" s="27">
        <f>IF($P271="","",IF(INDEX(EntryWit,$P271)=0,"",INDEX(EntryWit,$P271)))</f>
        <v/>
      </c>
      <c r="J271" s="27">
        <f>IF($B271="","",IF($A271=1,$C$7,IF(J270="",0,J270))+IF($H271="",0,$H271)-IF($I271="",0,$I271))</f>
        <v/>
      </c>
      <c r="K271" s="27">
        <f>IF($P271="","",IF(INDEX(EntryMan,$P271)=0,"",INDEX(EntryMan,$P271)))</f>
        <v/>
      </c>
      <c r="L271" s="26">
        <f>IF($B271="","",IF($K271="","—",IF(ROUND($K271-$J271,0)=0,"√","×")))</f>
        <v/>
      </c>
      <c r="M271" s="26">
        <f>IF($B271="","",IF(COUNTIFS(EntryDates,$B271,CalcTime,$C271,CalcBank,$C$5,EntryParty,$D271,EntryDep,$H271,EntryWit,$I271)&gt;1,"تکرار",""))</f>
        <v/>
      </c>
      <c r="N271" s="26">
        <f>IF($P271="","",IF(INDEX(EntryNotes,$P271)=0,"",INDEX(EntryNotes,$P271)))</f>
        <v/>
      </c>
      <c r="O271" s="26">
        <f>IF($P271="","",IF(INDEX(EntryTxnID,$P271)=0,"",INDEX(EntryTxnID,$P271)))</f>
        <v/>
      </c>
      <c r="P271" s="26">
        <f>IFERROR(MATCH($C$5&amp;"|"&amp;RIGHT("000000"&amp;255,6),CalcRankKey,0),"")</f>
        <v/>
      </c>
    </row>
    <row r="272">
      <c r="A272" s="28">
        <f>IF($B272="","",256)</f>
        <v/>
      </c>
      <c r="B272" s="28">
        <f>IF($P272="","",IF(INDEX(CalcNormDate,$P272)=0,"",INDEX(CalcNormDate,$P272)))</f>
        <v/>
      </c>
      <c r="C272" s="28">
        <f>IF($P272="","",IF(INDEX(CalcTime,$P272)=0,"",INDEX(CalcTime,$P272)))</f>
        <v/>
      </c>
      <c r="D272" s="28">
        <f>IF($P272="","",IF(INDEX(EntryParty,$P272)=0,"",INDEX(EntryParty,$P272)))</f>
        <v/>
      </c>
      <c r="E272" s="28">
        <f>IF($P272="","",IF(INDEX(EntryPartyName,$P272)=0,"",INDEX(EntryPartyName,$P272)))</f>
        <v/>
      </c>
      <c r="F272" s="28">
        <f>IF($P272="","",IF(INDEX(EntryPartyType,$P272)=0,"",INDEX(EntryPartyType,$P272)))</f>
        <v/>
      </c>
      <c r="G272" s="28">
        <f>IF($P272="","",IF(INDEX(EntryTxnType,$P272)=0,"",INDEX(EntryTxnType,$P272)))</f>
        <v/>
      </c>
      <c r="H272" s="29">
        <f>IF($P272="","",IF(INDEX(EntryDep,$P272)=0,"",INDEX(EntryDep,$P272)))</f>
        <v/>
      </c>
      <c r="I272" s="29">
        <f>IF($P272="","",IF(INDEX(EntryWit,$P272)=0,"",INDEX(EntryWit,$P272)))</f>
        <v/>
      </c>
      <c r="J272" s="29">
        <f>IF($B272="","",IF($A272=1,$C$7,IF(J271="",0,J271))+IF($H272="",0,$H272)-IF($I272="",0,$I272))</f>
        <v/>
      </c>
      <c r="K272" s="29">
        <f>IF($P272="","",IF(INDEX(EntryMan,$P272)=0,"",INDEX(EntryMan,$P272)))</f>
        <v/>
      </c>
      <c r="L272" s="28">
        <f>IF($B272="","",IF($K272="","—",IF(ROUND($K272-$J272,0)=0,"√","×")))</f>
        <v/>
      </c>
      <c r="M272" s="28">
        <f>IF($B272="","",IF(COUNTIFS(EntryDates,$B272,CalcTime,$C272,CalcBank,$C$5,EntryParty,$D272,EntryDep,$H272,EntryWit,$I272)&gt;1,"تکرار",""))</f>
        <v/>
      </c>
      <c r="N272" s="28">
        <f>IF($P272="","",IF(INDEX(EntryNotes,$P272)=0,"",INDEX(EntryNotes,$P272)))</f>
        <v/>
      </c>
      <c r="O272" s="28">
        <f>IF($P272="","",IF(INDEX(EntryTxnID,$P272)=0,"",INDEX(EntryTxnID,$P272)))</f>
        <v/>
      </c>
      <c r="P272" s="28">
        <f>IFERROR(MATCH($C$5&amp;"|"&amp;RIGHT("000000"&amp;256,6),CalcRankKey,0),"")</f>
        <v/>
      </c>
    </row>
    <row r="273">
      <c r="A273" s="26">
        <f>IF($B273="","",257)</f>
        <v/>
      </c>
      <c r="B273" s="26">
        <f>IF($P273="","",IF(INDEX(CalcNormDate,$P273)=0,"",INDEX(CalcNormDate,$P273)))</f>
        <v/>
      </c>
      <c r="C273" s="26">
        <f>IF($P273="","",IF(INDEX(CalcTime,$P273)=0,"",INDEX(CalcTime,$P273)))</f>
        <v/>
      </c>
      <c r="D273" s="26">
        <f>IF($P273="","",IF(INDEX(EntryParty,$P273)=0,"",INDEX(EntryParty,$P273)))</f>
        <v/>
      </c>
      <c r="E273" s="26">
        <f>IF($P273="","",IF(INDEX(EntryPartyName,$P273)=0,"",INDEX(EntryPartyName,$P273)))</f>
        <v/>
      </c>
      <c r="F273" s="26">
        <f>IF($P273="","",IF(INDEX(EntryPartyType,$P273)=0,"",INDEX(EntryPartyType,$P273)))</f>
        <v/>
      </c>
      <c r="G273" s="26">
        <f>IF($P273="","",IF(INDEX(EntryTxnType,$P273)=0,"",INDEX(EntryTxnType,$P273)))</f>
        <v/>
      </c>
      <c r="H273" s="27">
        <f>IF($P273="","",IF(INDEX(EntryDep,$P273)=0,"",INDEX(EntryDep,$P273)))</f>
        <v/>
      </c>
      <c r="I273" s="27">
        <f>IF($P273="","",IF(INDEX(EntryWit,$P273)=0,"",INDEX(EntryWit,$P273)))</f>
        <v/>
      </c>
      <c r="J273" s="27">
        <f>IF($B273="","",IF($A273=1,$C$7,IF(J272="",0,J272))+IF($H273="",0,$H273)-IF($I273="",0,$I273))</f>
        <v/>
      </c>
      <c r="K273" s="27">
        <f>IF($P273="","",IF(INDEX(EntryMan,$P273)=0,"",INDEX(EntryMan,$P273)))</f>
        <v/>
      </c>
      <c r="L273" s="26">
        <f>IF($B273="","",IF($K273="","—",IF(ROUND($K273-$J273,0)=0,"√","×")))</f>
        <v/>
      </c>
      <c r="M273" s="26">
        <f>IF($B273="","",IF(COUNTIFS(EntryDates,$B273,CalcTime,$C273,CalcBank,$C$5,EntryParty,$D273,EntryDep,$H273,EntryWit,$I273)&gt;1,"تکرار",""))</f>
        <v/>
      </c>
      <c r="N273" s="26">
        <f>IF($P273="","",IF(INDEX(EntryNotes,$P273)=0,"",INDEX(EntryNotes,$P273)))</f>
        <v/>
      </c>
      <c r="O273" s="26">
        <f>IF($P273="","",IF(INDEX(EntryTxnID,$P273)=0,"",INDEX(EntryTxnID,$P273)))</f>
        <v/>
      </c>
      <c r="P273" s="26">
        <f>IFERROR(MATCH($C$5&amp;"|"&amp;RIGHT("000000"&amp;257,6),CalcRankKey,0),"")</f>
        <v/>
      </c>
    </row>
    <row r="274">
      <c r="A274" s="28">
        <f>IF($B274="","",258)</f>
        <v/>
      </c>
      <c r="B274" s="28">
        <f>IF($P274="","",IF(INDEX(CalcNormDate,$P274)=0,"",INDEX(CalcNormDate,$P274)))</f>
        <v/>
      </c>
      <c r="C274" s="28">
        <f>IF($P274="","",IF(INDEX(CalcTime,$P274)=0,"",INDEX(CalcTime,$P274)))</f>
        <v/>
      </c>
      <c r="D274" s="28">
        <f>IF($P274="","",IF(INDEX(EntryParty,$P274)=0,"",INDEX(EntryParty,$P274)))</f>
        <v/>
      </c>
      <c r="E274" s="28">
        <f>IF($P274="","",IF(INDEX(EntryPartyName,$P274)=0,"",INDEX(EntryPartyName,$P274)))</f>
        <v/>
      </c>
      <c r="F274" s="28">
        <f>IF($P274="","",IF(INDEX(EntryPartyType,$P274)=0,"",INDEX(EntryPartyType,$P274)))</f>
        <v/>
      </c>
      <c r="G274" s="28">
        <f>IF($P274="","",IF(INDEX(EntryTxnType,$P274)=0,"",INDEX(EntryTxnType,$P274)))</f>
        <v/>
      </c>
      <c r="H274" s="29">
        <f>IF($P274="","",IF(INDEX(EntryDep,$P274)=0,"",INDEX(EntryDep,$P274)))</f>
        <v/>
      </c>
      <c r="I274" s="29">
        <f>IF($P274="","",IF(INDEX(EntryWit,$P274)=0,"",INDEX(EntryWit,$P274)))</f>
        <v/>
      </c>
      <c r="J274" s="29">
        <f>IF($B274="","",IF($A274=1,$C$7,IF(J273="",0,J273))+IF($H274="",0,$H274)-IF($I274="",0,$I274))</f>
        <v/>
      </c>
      <c r="K274" s="29">
        <f>IF($P274="","",IF(INDEX(EntryMan,$P274)=0,"",INDEX(EntryMan,$P274)))</f>
        <v/>
      </c>
      <c r="L274" s="28">
        <f>IF($B274="","",IF($K274="","—",IF(ROUND($K274-$J274,0)=0,"√","×")))</f>
        <v/>
      </c>
      <c r="M274" s="28">
        <f>IF($B274="","",IF(COUNTIFS(EntryDates,$B274,CalcTime,$C274,CalcBank,$C$5,EntryParty,$D274,EntryDep,$H274,EntryWit,$I274)&gt;1,"تکرار",""))</f>
        <v/>
      </c>
      <c r="N274" s="28">
        <f>IF($P274="","",IF(INDEX(EntryNotes,$P274)=0,"",INDEX(EntryNotes,$P274)))</f>
        <v/>
      </c>
      <c r="O274" s="28">
        <f>IF($P274="","",IF(INDEX(EntryTxnID,$P274)=0,"",INDEX(EntryTxnID,$P274)))</f>
        <v/>
      </c>
      <c r="P274" s="28">
        <f>IFERROR(MATCH($C$5&amp;"|"&amp;RIGHT("000000"&amp;258,6),CalcRankKey,0),"")</f>
        <v/>
      </c>
    </row>
    <row r="275">
      <c r="A275" s="26">
        <f>IF($B275="","",259)</f>
        <v/>
      </c>
      <c r="B275" s="26">
        <f>IF($P275="","",IF(INDEX(CalcNormDate,$P275)=0,"",INDEX(CalcNormDate,$P275)))</f>
        <v/>
      </c>
      <c r="C275" s="26">
        <f>IF($P275="","",IF(INDEX(CalcTime,$P275)=0,"",INDEX(CalcTime,$P275)))</f>
        <v/>
      </c>
      <c r="D275" s="26">
        <f>IF($P275="","",IF(INDEX(EntryParty,$P275)=0,"",INDEX(EntryParty,$P275)))</f>
        <v/>
      </c>
      <c r="E275" s="26">
        <f>IF($P275="","",IF(INDEX(EntryPartyName,$P275)=0,"",INDEX(EntryPartyName,$P275)))</f>
        <v/>
      </c>
      <c r="F275" s="26">
        <f>IF($P275="","",IF(INDEX(EntryPartyType,$P275)=0,"",INDEX(EntryPartyType,$P275)))</f>
        <v/>
      </c>
      <c r="G275" s="26">
        <f>IF($P275="","",IF(INDEX(EntryTxnType,$P275)=0,"",INDEX(EntryTxnType,$P275)))</f>
        <v/>
      </c>
      <c r="H275" s="27">
        <f>IF($P275="","",IF(INDEX(EntryDep,$P275)=0,"",INDEX(EntryDep,$P275)))</f>
        <v/>
      </c>
      <c r="I275" s="27">
        <f>IF($P275="","",IF(INDEX(EntryWit,$P275)=0,"",INDEX(EntryWit,$P275)))</f>
        <v/>
      </c>
      <c r="J275" s="27">
        <f>IF($B275="","",IF($A275=1,$C$7,IF(J274="",0,J274))+IF($H275="",0,$H275)-IF($I275="",0,$I275))</f>
        <v/>
      </c>
      <c r="K275" s="27">
        <f>IF($P275="","",IF(INDEX(EntryMan,$P275)=0,"",INDEX(EntryMan,$P275)))</f>
        <v/>
      </c>
      <c r="L275" s="26">
        <f>IF($B275="","",IF($K275="","—",IF(ROUND($K275-$J275,0)=0,"√","×")))</f>
        <v/>
      </c>
      <c r="M275" s="26">
        <f>IF($B275="","",IF(COUNTIFS(EntryDates,$B275,CalcTime,$C275,CalcBank,$C$5,EntryParty,$D275,EntryDep,$H275,EntryWit,$I275)&gt;1,"تکرار",""))</f>
        <v/>
      </c>
      <c r="N275" s="26">
        <f>IF($P275="","",IF(INDEX(EntryNotes,$P275)=0,"",INDEX(EntryNotes,$P275)))</f>
        <v/>
      </c>
      <c r="O275" s="26">
        <f>IF($P275="","",IF(INDEX(EntryTxnID,$P275)=0,"",INDEX(EntryTxnID,$P275)))</f>
        <v/>
      </c>
      <c r="P275" s="26">
        <f>IFERROR(MATCH($C$5&amp;"|"&amp;RIGHT("000000"&amp;259,6),CalcRankKey,0),"")</f>
        <v/>
      </c>
    </row>
    <row r="276">
      <c r="A276" s="28">
        <f>IF($B276="","",260)</f>
        <v/>
      </c>
      <c r="B276" s="28">
        <f>IF($P276="","",IF(INDEX(CalcNormDate,$P276)=0,"",INDEX(CalcNormDate,$P276)))</f>
        <v/>
      </c>
      <c r="C276" s="28">
        <f>IF($P276="","",IF(INDEX(CalcTime,$P276)=0,"",INDEX(CalcTime,$P276)))</f>
        <v/>
      </c>
      <c r="D276" s="28">
        <f>IF($P276="","",IF(INDEX(EntryParty,$P276)=0,"",INDEX(EntryParty,$P276)))</f>
        <v/>
      </c>
      <c r="E276" s="28">
        <f>IF($P276="","",IF(INDEX(EntryPartyName,$P276)=0,"",INDEX(EntryPartyName,$P276)))</f>
        <v/>
      </c>
      <c r="F276" s="28">
        <f>IF($P276="","",IF(INDEX(EntryPartyType,$P276)=0,"",INDEX(EntryPartyType,$P276)))</f>
        <v/>
      </c>
      <c r="G276" s="28">
        <f>IF($P276="","",IF(INDEX(EntryTxnType,$P276)=0,"",INDEX(EntryTxnType,$P276)))</f>
        <v/>
      </c>
      <c r="H276" s="29">
        <f>IF($P276="","",IF(INDEX(EntryDep,$P276)=0,"",INDEX(EntryDep,$P276)))</f>
        <v/>
      </c>
      <c r="I276" s="29">
        <f>IF($P276="","",IF(INDEX(EntryWit,$P276)=0,"",INDEX(EntryWit,$P276)))</f>
        <v/>
      </c>
      <c r="J276" s="29">
        <f>IF($B276="","",IF($A276=1,$C$7,IF(J275="",0,J275))+IF($H276="",0,$H276)-IF($I276="",0,$I276))</f>
        <v/>
      </c>
      <c r="K276" s="29">
        <f>IF($P276="","",IF(INDEX(EntryMan,$P276)=0,"",INDEX(EntryMan,$P276)))</f>
        <v/>
      </c>
      <c r="L276" s="28">
        <f>IF($B276="","",IF($K276="","—",IF(ROUND($K276-$J276,0)=0,"√","×")))</f>
        <v/>
      </c>
      <c r="M276" s="28">
        <f>IF($B276="","",IF(COUNTIFS(EntryDates,$B276,CalcTime,$C276,CalcBank,$C$5,EntryParty,$D276,EntryDep,$H276,EntryWit,$I276)&gt;1,"تکرار",""))</f>
        <v/>
      </c>
      <c r="N276" s="28">
        <f>IF($P276="","",IF(INDEX(EntryNotes,$P276)=0,"",INDEX(EntryNotes,$P276)))</f>
        <v/>
      </c>
      <c r="O276" s="28">
        <f>IF($P276="","",IF(INDEX(EntryTxnID,$P276)=0,"",INDEX(EntryTxnID,$P276)))</f>
        <v/>
      </c>
      <c r="P276" s="28">
        <f>IFERROR(MATCH($C$5&amp;"|"&amp;RIGHT("000000"&amp;260,6),CalcRankKey,0),"")</f>
        <v/>
      </c>
    </row>
    <row r="277">
      <c r="A277" s="26">
        <f>IF($B277="","",261)</f>
        <v/>
      </c>
      <c r="B277" s="26">
        <f>IF($P277="","",IF(INDEX(CalcNormDate,$P277)=0,"",INDEX(CalcNormDate,$P277)))</f>
        <v/>
      </c>
      <c r="C277" s="26">
        <f>IF($P277="","",IF(INDEX(CalcTime,$P277)=0,"",INDEX(CalcTime,$P277)))</f>
        <v/>
      </c>
      <c r="D277" s="26">
        <f>IF($P277="","",IF(INDEX(EntryParty,$P277)=0,"",INDEX(EntryParty,$P277)))</f>
        <v/>
      </c>
      <c r="E277" s="26">
        <f>IF($P277="","",IF(INDEX(EntryPartyName,$P277)=0,"",INDEX(EntryPartyName,$P277)))</f>
        <v/>
      </c>
      <c r="F277" s="26">
        <f>IF($P277="","",IF(INDEX(EntryPartyType,$P277)=0,"",INDEX(EntryPartyType,$P277)))</f>
        <v/>
      </c>
      <c r="G277" s="26">
        <f>IF($P277="","",IF(INDEX(EntryTxnType,$P277)=0,"",INDEX(EntryTxnType,$P277)))</f>
        <v/>
      </c>
      <c r="H277" s="27">
        <f>IF($P277="","",IF(INDEX(EntryDep,$P277)=0,"",INDEX(EntryDep,$P277)))</f>
        <v/>
      </c>
      <c r="I277" s="27">
        <f>IF($P277="","",IF(INDEX(EntryWit,$P277)=0,"",INDEX(EntryWit,$P277)))</f>
        <v/>
      </c>
      <c r="J277" s="27">
        <f>IF($B277="","",IF($A277=1,$C$7,IF(J276="",0,J276))+IF($H277="",0,$H277)-IF($I277="",0,$I277))</f>
        <v/>
      </c>
      <c r="K277" s="27">
        <f>IF($P277="","",IF(INDEX(EntryMan,$P277)=0,"",INDEX(EntryMan,$P277)))</f>
        <v/>
      </c>
      <c r="L277" s="26">
        <f>IF($B277="","",IF($K277="","—",IF(ROUND($K277-$J277,0)=0,"√","×")))</f>
        <v/>
      </c>
      <c r="M277" s="26">
        <f>IF($B277="","",IF(COUNTIFS(EntryDates,$B277,CalcTime,$C277,CalcBank,$C$5,EntryParty,$D277,EntryDep,$H277,EntryWit,$I277)&gt;1,"تکرار",""))</f>
        <v/>
      </c>
      <c r="N277" s="26">
        <f>IF($P277="","",IF(INDEX(EntryNotes,$P277)=0,"",INDEX(EntryNotes,$P277)))</f>
        <v/>
      </c>
      <c r="O277" s="26">
        <f>IF($P277="","",IF(INDEX(EntryTxnID,$P277)=0,"",INDEX(EntryTxnID,$P277)))</f>
        <v/>
      </c>
      <c r="P277" s="26">
        <f>IFERROR(MATCH($C$5&amp;"|"&amp;RIGHT("000000"&amp;261,6),CalcRankKey,0),"")</f>
        <v/>
      </c>
    </row>
    <row r="278">
      <c r="A278" s="28">
        <f>IF($B278="","",262)</f>
        <v/>
      </c>
      <c r="B278" s="28">
        <f>IF($P278="","",IF(INDEX(CalcNormDate,$P278)=0,"",INDEX(CalcNormDate,$P278)))</f>
        <v/>
      </c>
      <c r="C278" s="28">
        <f>IF($P278="","",IF(INDEX(CalcTime,$P278)=0,"",INDEX(CalcTime,$P278)))</f>
        <v/>
      </c>
      <c r="D278" s="28">
        <f>IF($P278="","",IF(INDEX(EntryParty,$P278)=0,"",INDEX(EntryParty,$P278)))</f>
        <v/>
      </c>
      <c r="E278" s="28">
        <f>IF($P278="","",IF(INDEX(EntryPartyName,$P278)=0,"",INDEX(EntryPartyName,$P278)))</f>
        <v/>
      </c>
      <c r="F278" s="28">
        <f>IF($P278="","",IF(INDEX(EntryPartyType,$P278)=0,"",INDEX(EntryPartyType,$P278)))</f>
        <v/>
      </c>
      <c r="G278" s="28">
        <f>IF($P278="","",IF(INDEX(EntryTxnType,$P278)=0,"",INDEX(EntryTxnType,$P278)))</f>
        <v/>
      </c>
      <c r="H278" s="29">
        <f>IF($P278="","",IF(INDEX(EntryDep,$P278)=0,"",INDEX(EntryDep,$P278)))</f>
        <v/>
      </c>
      <c r="I278" s="29">
        <f>IF($P278="","",IF(INDEX(EntryWit,$P278)=0,"",INDEX(EntryWit,$P278)))</f>
        <v/>
      </c>
      <c r="J278" s="29">
        <f>IF($B278="","",IF($A278=1,$C$7,IF(J277="",0,J277))+IF($H278="",0,$H278)-IF($I278="",0,$I278))</f>
        <v/>
      </c>
      <c r="K278" s="29">
        <f>IF($P278="","",IF(INDEX(EntryMan,$P278)=0,"",INDEX(EntryMan,$P278)))</f>
        <v/>
      </c>
      <c r="L278" s="28">
        <f>IF($B278="","",IF($K278="","—",IF(ROUND($K278-$J278,0)=0,"√","×")))</f>
        <v/>
      </c>
      <c r="M278" s="28">
        <f>IF($B278="","",IF(COUNTIFS(EntryDates,$B278,CalcTime,$C278,CalcBank,$C$5,EntryParty,$D278,EntryDep,$H278,EntryWit,$I278)&gt;1,"تکرار",""))</f>
        <v/>
      </c>
      <c r="N278" s="28">
        <f>IF($P278="","",IF(INDEX(EntryNotes,$P278)=0,"",INDEX(EntryNotes,$P278)))</f>
        <v/>
      </c>
      <c r="O278" s="28">
        <f>IF($P278="","",IF(INDEX(EntryTxnID,$P278)=0,"",INDEX(EntryTxnID,$P278)))</f>
        <v/>
      </c>
      <c r="P278" s="28">
        <f>IFERROR(MATCH($C$5&amp;"|"&amp;RIGHT("000000"&amp;262,6),CalcRankKey,0),"")</f>
        <v/>
      </c>
    </row>
    <row r="279">
      <c r="A279" s="26">
        <f>IF($B279="","",263)</f>
        <v/>
      </c>
      <c r="B279" s="26">
        <f>IF($P279="","",IF(INDEX(CalcNormDate,$P279)=0,"",INDEX(CalcNormDate,$P279)))</f>
        <v/>
      </c>
      <c r="C279" s="26">
        <f>IF($P279="","",IF(INDEX(CalcTime,$P279)=0,"",INDEX(CalcTime,$P279)))</f>
        <v/>
      </c>
      <c r="D279" s="26">
        <f>IF($P279="","",IF(INDEX(EntryParty,$P279)=0,"",INDEX(EntryParty,$P279)))</f>
        <v/>
      </c>
      <c r="E279" s="26">
        <f>IF($P279="","",IF(INDEX(EntryPartyName,$P279)=0,"",INDEX(EntryPartyName,$P279)))</f>
        <v/>
      </c>
      <c r="F279" s="26">
        <f>IF($P279="","",IF(INDEX(EntryPartyType,$P279)=0,"",INDEX(EntryPartyType,$P279)))</f>
        <v/>
      </c>
      <c r="G279" s="26">
        <f>IF($P279="","",IF(INDEX(EntryTxnType,$P279)=0,"",INDEX(EntryTxnType,$P279)))</f>
        <v/>
      </c>
      <c r="H279" s="27">
        <f>IF($P279="","",IF(INDEX(EntryDep,$P279)=0,"",INDEX(EntryDep,$P279)))</f>
        <v/>
      </c>
      <c r="I279" s="27">
        <f>IF($P279="","",IF(INDEX(EntryWit,$P279)=0,"",INDEX(EntryWit,$P279)))</f>
        <v/>
      </c>
      <c r="J279" s="27">
        <f>IF($B279="","",IF($A279=1,$C$7,IF(J278="",0,J278))+IF($H279="",0,$H279)-IF($I279="",0,$I279))</f>
        <v/>
      </c>
      <c r="K279" s="27">
        <f>IF($P279="","",IF(INDEX(EntryMan,$P279)=0,"",INDEX(EntryMan,$P279)))</f>
        <v/>
      </c>
      <c r="L279" s="26">
        <f>IF($B279="","",IF($K279="","—",IF(ROUND($K279-$J279,0)=0,"√","×")))</f>
        <v/>
      </c>
      <c r="M279" s="26">
        <f>IF($B279="","",IF(COUNTIFS(EntryDates,$B279,CalcTime,$C279,CalcBank,$C$5,EntryParty,$D279,EntryDep,$H279,EntryWit,$I279)&gt;1,"تکرار",""))</f>
        <v/>
      </c>
      <c r="N279" s="26">
        <f>IF($P279="","",IF(INDEX(EntryNotes,$P279)=0,"",INDEX(EntryNotes,$P279)))</f>
        <v/>
      </c>
      <c r="O279" s="26">
        <f>IF($P279="","",IF(INDEX(EntryTxnID,$P279)=0,"",INDEX(EntryTxnID,$P279)))</f>
        <v/>
      </c>
      <c r="P279" s="26">
        <f>IFERROR(MATCH($C$5&amp;"|"&amp;RIGHT("000000"&amp;263,6),CalcRankKey,0),"")</f>
        <v/>
      </c>
    </row>
    <row r="280">
      <c r="A280" s="28">
        <f>IF($B280="","",264)</f>
        <v/>
      </c>
      <c r="B280" s="28">
        <f>IF($P280="","",IF(INDEX(CalcNormDate,$P280)=0,"",INDEX(CalcNormDate,$P280)))</f>
        <v/>
      </c>
      <c r="C280" s="28">
        <f>IF($P280="","",IF(INDEX(CalcTime,$P280)=0,"",INDEX(CalcTime,$P280)))</f>
        <v/>
      </c>
      <c r="D280" s="28">
        <f>IF($P280="","",IF(INDEX(EntryParty,$P280)=0,"",INDEX(EntryParty,$P280)))</f>
        <v/>
      </c>
      <c r="E280" s="28">
        <f>IF($P280="","",IF(INDEX(EntryPartyName,$P280)=0,"",INDEX(EntryPartyName,$P280)))</f>
        <v/>
      </c>
      <c r="F280" s="28">
        <f>IF($P280="","",IF(INDEX(EntryPartyType,$P280)=0,"",INDEX(EntryPartyType,$P280)))</f>
        <v/>
      </c>
      <c r="G280" s="28">
        <f>IF($P280="","",IF(INDEX(EntryTxnType,$P280)=0,"",INDEX(EntryTxnType,$P280)))</f>
        <v/>
      </c>
      <c r="H280" s="29">
        <f>IF($P280="","",IF(INDEX(EntryDep,$P280)=0,"",INDEX(EntryDep,$P280)))</f>
        <v/>
      </c>
      <c r="I280" s="29">
        <f>IF($P280="","",IF(INDEX(EntryWit,$P280)=0,"",INDEX(EntryWit,$P280)))</f>
        <v/>
      </c>
      <c r="J280" s="29">
        <f>IF($B280="","",IF($A280=1,$C$7,IF(J279="",0,J279))+IF($H280="",0,$H280)-IF($I280="",0,$I280))</f>
        <v/>
      </c>
      <c r="K280" s="29">
        <f>IF($P280="","",IF(INDEX(EntryMan,$P280)=0,"",INDEX(EntryMan,$P280)))</f>
        <v/>
      </c>
      <c r="L280" s="28">
        <f>IF($B280="","",IF($K280="","—",IF(ROUND($K280-$J280,0)=0,"√","×")))</f>
        <v/>
      </c>
      <c r="M280" s="28">
        <f>IF($B280="","",IF(COUNTIFS(EntryDates,$B280,CalcTime,$C280,CalcBank,$C$5,EntryParty,$D280,EntryDep,$H280,EntryWit,$I280)&gt;1,"تکرار",""))</f>
        <v/>
      </c>
      <c r="N280" s="28">
        <f>IF($P280="","",IF(INDEX(EntryNotes,$P280)=0,"",INDEX(EntryNotes,$P280)))</f>
        <v/>
      </c>
      <c r="O280" s="28">
        <f>IF($P280="","",IF(INDEX(EntryTxnID,$P280)=0,"",INDEX(EntryTxnID,$P280)))</f>
        <v/>
      </c>
      <c r="P280" s="28">
        <f>IFERROR(MATCH($C$5&amp;"|"&amp;RIGHT("000000"&amp;264,6),CalcRankKey,0),"")</f>
        <v/>
      </c>
    </row>
    <row r="281">
      <c r="A281" s="26">
        <f>IF($B281="","",265)</f>
        <v/>
      </c>
      <c r="B281" s="26">
        <f>IF($P281="","",IF(INDEX(CalcNormDate,$P281)=0,"",INDEX(CalcNormDate,$P281)))</f>
        <v/>
      </c>
      <c r="C281" s="26">
        <f>IF($P281="","",IF(INDEX(CalcTime,$P281)=0,"",INDEX(CalcTime,$P281)))</f>
        <v/>
      </c>
      <c r="D281" s="26">
        <f>IF($P281="","",IF(INDEX(EntryParty,$P281)=0,"",INDEX(EntryParty,$P281)))</f>
        <v/>
      </c>
      <c r="E281" s="26">
        <f>IF($P281="","",IF(INDEX(EntryPartyName,$P281)=0,"",INDEX(EntryPartyName,$P281)))</f>
        <v/>
      </c>
      <c r="F281" s="26">
        <f>IF($P281="","",IF(INDEX(EntryPartyType,$P281)=0,"",INDEX(EntryPartyType,$P281)))</f>
        <v/>
      </c>
      <c r="G281" s="26">
        <f>IF($P281="","",IF(INDEX(EntryTxnType,$P281)=0,"",INDEX(EntryTxnType,$P281)))</f>
        <v/>
      </c>
      <c r="H281" s="27">
        <f>IF($P281="","",IF(INDEX(EntryDep,$P281)=0,"",INDEX(EntryDep,$P281)))</f>
        <v/>
      </c>
      <c r="I281" s="27">
        <f>IF($P281="","",IF(INDEX(EntryWit,$P281)=0,"",INDEX(EntryWit,$P281)))</f>
        <v/>
      </c>
      <c r="J281" s="27">
        <f>IF($B281="","",IF($A281=1,$C$7,IF(J280="",0,J280))+IF($H281="",0,$H281)-IF($I281="",0,$I281))</f>
        <v/>
      </c>
      <c r="K281" s="27">
        <f>IF($P281="","",IF(INDEX(EntryMan,$P281)=0,"",INDEX(EntryMan,$P281)))</f>
        <v/>
      </c>
      <c r="L281" s="26">
        <f>IF($B281="","",IF($K281="","—",IF(ROUND($K281-$J281,0)=0,"√","×")))</f>
        <v/>
      </c>
      <c r="M281" s="26">
        <f>IF($B281="","",IF(COUNTIFS(EntryDates,$B281,CalcTime,$C281,CalcBank,$C$5,EntryParty,$D281,EntryDep,$H281,EntryWit,$I281)&gt;1,"تکرار",""))</f>
        <v/>
      </c>
      <c r="N281" s="26">
        <f>IF($P281="","",IF(INDEX(EntryNotes,$P281)=0,"",INDEX(EntryNotes,$P281)))</f>
        <v/>
      </c>
      <c r="O281" s="26">
        <f>IF($P281="","",IF(INDEX(EntryTxnID,$P281)=0,"",INDEX(EntryTxnID,$P281)))</f>
        <v/>
      </c>
      <c r="P281" s="26">
        <f>IFERROR(MATCH($C$5&amp;"|"&amp;RIGHT("000000"&amp;265,6),CalcRankKey,0),"")</f>
        <v/>
      </c>
    </row>
    <row r="282">
      <c r="A282" s="28">
        <f>IF($B282="","",266)</f>
        <v/>
      </c>
      <c r="B282" s="28">
        <f>IF($P282="","",IF(INDEX(CalcNormDate,$P282)=0,"",INDEX(CalcNormDate,$P282)))</f>
        <v/>
      </c>
      <c r="C282" s="28">
        <f>IF($P282="","",IF(INDEX(CalcTime,$P282)=0,"",INDEX(CalcTime,$P282)))</f>
        <v/>
      </c>
      <c r="D282" s="28">
        <f>IF($P282="","",IF(INDEX(EntryParty,$P282)=0,"",INDEX(EntryParty,$P282)))</f>
        <v/>
      </c>
      <c r="E282" s="28">
        <f>IF($P282="","",IF(INDEX(EntryPartyName,$P282)=0,"",INDEX(EntryPartyName,$P282)))</f>
        <v/>
      </c>
      <c r="F282" s="28">
        <f>IF($P282="","",IF(INDEX(EntryPartyType,$P282)=0,"",INDEX(EntryPartyType,$P282)))</f>
        <v/>
      </c>
      <c r="G282" s="28">
        <f>IF($P282="","",IF(INDEX(EntryTxnType,$P282)=0,"",INDEX(EntryTxnType,$P282)))</f>
        <v/>
      </c>
      <c r="H282" s="29">
        <f>IF($P282="","",IF(INDEX(EntryDep,$P282)=0,"",INDEX(EntryDep,$P282)))</f>
        <v/>
      </c>
      <c r="I282" s="29">
        <f>IF($P282="","",IF(INDEX(EntryWit,$P282)=0,"",INDEX(EntryWit,$P282)))</f>
        <v/>
      </c>
      <c r="J282" s="29">
        <f>IF($B282="","",IF($A282=1,$C$7,IF(J281="",0,J281))+IF($H282="",0,$H282)-IF($I282="",0,$I282))</f>
        <v/>
      </c>
      <c r="K282" s="29">
        <f>IF($P282="","",IF(INDEX(EntryMan,$P282)=0,"",INDEX(EntryMan,$P282)))</f>
        <v/>
      </c>
      <c r="L282" s="28">
        <f>IF($B282="","",IF($K282="","—",IF(ROUND($K282-$J282,0)=0,"√","×")))</f>
        <v/>
      </c>
      <c r="M282" s="28">
        <f>IF($B282="","",IF(COUNTIFS(EntryDates,$B282,CalcTime,$C282,CalcBank,$C$5,EntryParty,$D282,EntryDep,$H282,EntryWit,$I282)&gt;1,"تکرار",""))</f>
        <v/>
      </c>
      <c r="N282" s="28">
        <f>IF($P282="","",IF(INDEX(EntryNotes,$P282)=0,"",INDEX(EntryNotes,$P282)))</f>
        <v/>
      </c>
      <c r="O282" s="28">
        <f>IF($P282="","",IF(INDEX(EntryTxnID,$P282)=0,"",INDEX(EntryTxnID,$P282)))</f>
        <v/>
      </c>
      <c r="P282" s="28">
        <f>IFERROR(MATCH($C$5&amp;"|"&amp;RIGHT("000000"&amp;266,6),CalcRankKey,0),"")</f>
        <v/>
      </c>
    </row>
    <row r="283">
      <c r="A283" s="26">
        <f>IF($B283="","",267)</f>
        <v/>
      </c>
      <c r="B283" s="26">
        <f>IF($P283="","",IF(INDEX(CalcNormDate,$P283)=0,"",INDEX(CalcNormDate,$P283)))</f>
        <v/>
      </c>
      <c r="C283" s="26">
        <f>IF($P283="","",IF(INDEX(CalcTime,$P283)=0,"",INDEX(CalcTime,$P283)))</f>
        <v/>
      </c>
      <c r="D283" s="26">
        <f>IF($P283="","",IF(INDEX(EntryParty,$P283)=0,"",INDEX(EntryParty,$P283)))</f>
        <v/>
      </c>
      <c r="E283" s="26">
        <f>IF($P283="","",IF(INDEX(EntryPartyName,$P283)=0,"",INDEX(EntryPartyName,$P283)))</f>
        <v/>
      </c>
      <c r="F283" s="26">
        <f>IF($P283="","",IF(INDEX(EntryPartyType,$P283)=0,"",INDEX(EntryPartyType,$P283)))</f>
        <v/>
      </c>
      <c r="G283" s="26">
        <f>IF($P283="","",IF(INDEX(EntryTxnType,$P283)=0,"",INDEX(EntryTxnType,$P283)))</f>
        <v/>
      </c>
      <c r="H283" s="27">
        <f>IF($P283="","",IF(INDEX(EntryDep,$P283)=0,"",INDEX(EntryDep,$P283)))</f>
        <v/>
      </c>
      <c r="I283" s="27">
        <f>IF($P283="","",IF(INDEX(EntryWit,$P283)=0,"",INDEX(EntryWit,$P283)))</f>
        <v/>
      </c>
      <c r="J283" s="27">
        <f>IF($B283="","",IF($A283=1,$C$7,IF(J282="",0,J282))+IF($H283="",0,$H283)-IF($I283="",0,$I283))</f>
        <v/>
      </c>
      <c r="K283" s="27">
        <f>IF($P283="","",IF(INDEX(EntryMan,$P283)=0,"",INDEX(EntryMan,$P283)))</f>
        <v/>
      </c>
      <c r="L283" s="26">
        <f>IF($B283="","",IF($K283="","—",IF(ROUND($K283-$J283,0)=0,"√","×")))</f>
        <v/>
      </c>
      <c r="M283" s="26">
        <f>IF($B283="","",IF(COUNTIFS(EntryDates,$B283,CalcTime,$C283,CalcBank,$C$5,EntryParty,$D283,EntryDep,$H283,EntryWit,$I283)&gt;1,"تکرار",""))</f>
        <v/>
      </c>
      <c r="N283" s="26">
        <f>IF($P283="","",IF(INDEX(EntryNotes,$P283)=0,"",INDEX(EntryNotes,$P283)))</f>
        <v/>
      </c>
      <c r="O283" s="26">
        <f>IF($P283="","",IF(INDEX(EntryTxnID,$P283)=0,"",INDEX(EntryTxnID,$P283)))</f>
        <v/>
      </c>
      <c r="P283" s="26">
        <f>IFERROR(MATCH($C$5&amp;"|"&amp;RIGHT("000000"&amp;267,6),CalcRankKey,0),"")</f>
        <v/>
      </c>
    </row>
    <row r="284">
      <c r="A284" s="28">
        <f>IF($B284="","",268)</f>
        <v/>
      </c>
      <c r="B284" s="28">
        <f>IF($P284="","",IF(INDEX(CalcNormDate,$P284)=0,"",INDEX(CalcNormDate,$P284)))</f>
        <v/>
      </c>
      <c r="C284" s="28">
        <f>IF($P284="","",IF(INDEX(CalcTime,$P284)=0,"",INDEX(CalcTime,$P284)))</f>
        <v/>
      </c>
      <c r="D284" s="28">
        <f>IF($P284="","",IF(INDEX(EntryParty,$P284)=0,"",INDEX(EntryParty,$P284)))</f>
        <v/>
      </c>
      <c r="E284" s="28">
        <f>IF($P284="","",IF(INDEX(EntryPartyName,$P284)=0,"",INDEX(EntryPartyName,$P284)))</f>
        <v/>
      </c>
      <c r="F284" s="28">
        <f>IF($P284="","",IF(INDEX(EntryPartyType,$P284)=0,"",INDEX(EntryPartyType,$P284)))</f>
        <v/>
      </c>
      <c r="G284" s="28">
        <f>IF($P284="","",IF(INDEX(EntryTxnType,$P284)=0,"",INDEX(EntryTxnType,$P284)))</f>
        <v/>
      </c>
      <c r="H284" s="29">
        <f>IF($P284="","",IF(INDEX(EntryDep,$P284)=0,"",INDEX(EntryDep,$P284)))</f>
        <v/>
      </c>
      <c r="I284" s="29">
        <f>IF($P284="","",IF(INDEX(EntryWit,$P284)=0,"",INDEX(EntryWit,$P284)))</f>
        <v/>
      </c>
      <c r="J284" s="29">
        <f>IF($B284="","",IF($A284=1,$C$7,IF(J283="",0,J283))+IF($H284="",0,$H284)-IF($I284="",0,$I284))</f>
        <v/>
      </c>
      <c r="K284" s="29">
        <f>IF($P284="","",IF(INDEX(EntryMan,$P284)=0,"",INDEX(EntryMan,$P284)))</f>
        <v/>
      </c>
      <c r="L284" s="28">
        <f>IF($B284="","",IF($K284="","—",IF(ROUND($K284-$J284,0)=0,"√","×")))</f>
        <v/>
      </c>
      <c r="M284" s="28">
        <f>IF($B284="","",IF(COUNTIFS(EntryDates,$B284,CalcTime,$C284,CalcBank,$C$5,EntryParty,$D284,EntryDep,$H284,EntryWit,$I284)&gt;1,"تکرار",""))</f>
        <v/>
      </c>
      <c r="N284" s="28">
        <f>IF($P284="","",IF(INDEX(EntryNotes,$P284)=0,"",INDEX(EntryNotes,$P284)))</f>
        <v/>
      </c>
      <c r="O284" s="28">
        <f>IF($P284="","",IF(INDEX(EntryTxnID,$P284)=0,"",INDEX(EntryTxnID,$P284)))</f>
        <v/>
      </c>
      <c r="P284" s="28">
        <f>IFERROR(MATCH($C$5&amp;"|"&amp;RIGHT("000000"&amp;268,6),CalcRankKey,0),"")</f>
        <v/>
      </c>
    </row>
    <row r="285">
      <c r="A285" s="26">
        <f>IF($B285="","",269)</f>
        <v/>
      </c>
      <c r="B285" s="26">
        <f>IF($P285="","",IF(INDEX(CalcNormDate,$P285)=0,"",INDEX(CalcNormDate,$P285)))</f>
        <v/>
      </c>
      <c r="C285" s="26">
        <f>IF($P285="","",IF(INDEX(CalcTime,$P285)=0,"",INDEX(CalcTime,$P285)))</f>
        <v/>
      </c>
      <c r="D285" s="26">
        <f>IF($P285="","",IF(INDEX(EntryParty,$P285)=0,"",INDEX(EntryParty,$P285)))</f>
        <v/>
      </c>
      <c r="E285" s="26">
        <f>IF($P285="","",IF(INDEX(EntryPartyName,$P285)=0,"",INDEX(EntryPartyName,$P285)))</f>
        <v/>
      </c>
      <c r="F285" s="26">
        <f>IF($P285="","",IF(INDEX(EntryPartyType,$P285)=0,"",INDEX(EntryPartyType,$P285)))</f>
        <v/>
      </c>
      <c r="G285" s="26">
        <f>IF($P285="","",IF(INDEX(EntryTxnType,$P285)=0,"",INDEX(EntryTxnType,$P285)))</f>
        <v/>
      </c>
      <c r="H285" s="27">
        <f>IF($P285="","",IF(INDEX(EntryDep,$P285)=0,"",INDEX(EntryDep,$P285)))</f>
        <v/>
      </c>
      <c r="I285" s="27">
        <f>IF($P285="","",IF(INDEX(EntryWit,$P285)=0,"",INDEX(EntryWit,$P285)))</f>
        <v/>
      </c>
      <c r="J285" s="27">
        <f>IF($B285="","",IF($A285=1,$C$7,IF(J284="",0,J284))+IF($H285="",0,$H285)-IF($I285="",0,$I285))</f>
        <v/>
      </c>
      <c r="K285" s="27">
        <f>IF($P285="","",IF(INDEX(EntryMan,$P285)=0,"",INDEX(EntryMan,$P285)))</f>
        <v/>
      </c>
      <c r="L285" s="26">
        <f>IF($B285="","",IF($K285="","—",IF(ROUND($K285-$J285,0)=0,"√","×")))</f>
        <v/>
      </c>
      <c r="M285" s="26">
        <f>IF($B285="","",IF(COUNTIFS(EntryDates,$B285,CalcTime,$C285,CalcBank,$C$5,EntryParty,$D285,EntryDep,$H285,EntryWit,$I285)&gt;1,"تکرار",""))</f>
        <v/>
      </c>
      <c r="N285" s="26">
        <f>IF($P285="","",IF(INDEX(EntryNotes,$P285)=0,"",INDEX(EntryNotes,$P285)))</f>
        <v/>
      </c>
      <c r="O285" s="26">
        <f>IF($P285="","",IF(INDEX(EntryTxnID,$P285)=0,"",INDEX(EntryTxnID,$P285)))</f>
        <v/>
      </c>
      <c r="P285" s="26">
        <f>IFERROR(MATCH($C$5&amp;"|"&amp;RIGHT("000000"&amp;269,6),CalcRankKey,0),"")</f>
        <v/>
      </c>
    </row>
    <row r="286">
      <c r="A286" s="28">
        <f>IF($B286="","",270)</f>
        <v/>
      </c>
      <c r="B286" s="28">
        <f>IF($P286="","",IF(INDEX(CalcNormDate,$P286)=0,"",INDEX(CalcNormDate,$P286)))</f>
        <v/>
      </c>
      <c r="C286" s="28">
        <f>IF($P286="","",IF(INDEX(CalcTime,$P286)=0,"",INDEX(CalcTime,$P286)))</f>
        <v/>
      </c>
      <c r="D286" s="28">
        <f>IF($P286="","",IF(INDEX(EntryParty,$P286)=0,"",INDEX(EntryParty,$P286)))</f>
        <v/>
      </c>
      <c r="E286" s="28">
        <f>IF($P286="","",IF(INDEX(EntryPartyName,$P286)=0,"",INDEX(EntryPartyName,$P286)))</f>
        <v/>
      </c>
      <c r="F286" s="28">
        <f>IF($P286="","",IF(INDEX(EntryPartyType,$P286)=0,"",INDEX(EntryPartyType,$P286)))</f>
        <v/>
      </c>
      <c r="G286" s="28">
        <f>IF($P286="","",IF(INDEX(EntryTxnType,$P286)=0,"",INDEX(EntryTxnType,$P286)))</f>
        <v/>
      </c>
      <c r="H286" s="29">
        <f>IF($P286="","",IF(INDEX(EntryDep,$P286)=0,"",INDEX(EntryDep,$P286)))</f>
        <v/>
      </c>
      <c r="I286" s="29">
        <f>IF($P286="","",IF(INDEX(EntryWit,$P286)=0,"",INDEX(EntryWit,$P286)))</f>
        <v/>
      </c>
      <c r="J286" s="29">
        <f>IF($B286="","",IF($A286=1,$C$7,IF(J285="",0,J285))+IF($H286="",0,$H286)-IF($I286="",0,$I286))</f>
        <v/>
      </c>
      <c r="K286" s="29">
        <f>IF($P286="","",IF(INDEX(EntryMan,$P286)=0,"",INDEX(EntryMan,$P286)))</f>
        <v/>
      </c>
      <c r="L286" s="28">
        <f>IF($B286="","",IF($K286="","—",IF(ROUND($K286-$J286,0)=0,"√","×")))</f>
        <v/>
      </c>
      <c r="M286" s="28">
        <f>IF($B286="","",IF(COUNTIFS(EntryDates,$B286,CalcTime,$C286,CalcBank,$C$5,EntryParty,$D286,EntryDep,$H286,EntryWit,$I286)&gt;1,"تکرار",""))</f>
        <v/>
      </c>
      <c r="N286" s="28">
        <f>IF($P286="","",IF(INDEX(EntryNotes,$P286)=0,"",INDEX(EntryNotes,$P286)))</f>
        <v/>
      </c>
      <c r="O286" s="28">
        <f>IF($P286="","",IF(INDEX(EntryTxnID,$P286)=0,"",INDEX(EntryTxnID,$P286)))</f>
        <v/>
      </c>
      <c r="P286" s="28">
        <f>IFERROR(MATCH($C$5&amp;"|"&amp;RIGHT("000000"&amp;270,6),CalcRankKey,0),"")</f>
        <v/>
      </c>
    </row>
    <row r="287">
      <c r="A287" s="26">
        <f>IF($B287="","",271)</f>
        <v/>
      </c>
      <c r="B287" s="26">
        <f>IF($P287="","",IF(INDEX(CalcNormDate,$P287)=0,"",INDEX(CalcNormDate,$P287)))</f>
        <v/>
      </c>
      <c r="C287" s="26">
        <f>IF($P287="","",IF(INDEX(CalcTime,$P287)=0,"",INDEX(CalcTime,$P287)))</f>
        <v/>
      </c>
      <c r="D287" s="26">
        <f>IF($P287="","",IF(INDEX(EntryParty,$P287)=0,"",INDEX(EntryParty,$P287)))</f>
        <v/>
      </c>
      <c r="E287" s="26">
        <f>IF($P287="","",IF(INDEX(EntryPartyName,$P287)=0,"",INDEX(EntryPartyName,$P287)))</f>
        <v/>
      </c>
      <c r="F287" s="26">
        <f>IF($P287="","",IF(INDEX(EntryPartyType,$P287)=0,"",INDEX(EntryPartyType,$P287)))</f>
        <v/>
      </c>
      <c r="G287" s="26">
        <f>IF($P287="","",IF(INDEX(EntryTxnType,$P287)=0,"",INDEX(EntryTxnType,$P287)))</f>
        <v/>
      </c>
      <c r="H287" s="27">
        <f>IF($P287="","",IF(INDEX(EntryDep,$P287)=0,"",INDEX(EntryDep,$P287)))</f>
        <v/>
      </c>
      <c r="I287" s="27">
        <f>IF($P287="","",IF(INDEX(EntryWit,$P287)=0,"",INDEX(EntryWit,$P287)))</f>
        <v/>
      </c>
      <c r="J287" s="27">
        <f>IF($B287="","",IF($A287=1,$C$7,IF(J286="",0,J286))+IF($H287="",0,$H287)-IF($I287="",0,$I287))</f>
        <v/>
      </c>
      <c r="K287" s="27">
        <f>IF($P287="","",IF(INDEX(EntryMan,$P287)=0,"",INDEX(EntryMan,$P287)))</f>
        <v/>
      </c>
      <c r="L287" s="26">
        <f>IF($B287="","",IF($K287="","—",IF(ROUND($K287-$J287,0)=0,"√","×")))</f>
        <v/>
      </c>
      <c r="M287" s="26">
        <f>IF($B287="","",IF(COUNTIFS(EntryDates,$B287,CalcTime,$C287,CalcBank,$C$5,EntryParty,$D287,EntryDep,$H287,EntryWit,$I287)&gt;1,"تکرار",""))</f>
        <v/>
      </c>
      <c r="N287" s="26">
        <f>IF($P287="","",IF(INDEX(EntryNotes,$P287)=0,"",INDEX(EntryNotes,$P287)))</f>
        <v/>
      </c>
      <c r="O287" s="26">
        <f>IF($P287="","",IF(INDEX(EntryTxnID,$P287)=0,"",INDEX(EntryTxnID,$P287)))</f>
        <v/>
      </c>
      <c r="P287" s="26">
        <f>IFERROR(MATCH($C$5&amp;"|"&amp;RIGHT("000000"&amp;271,6),CalcRankKey,0),"")</f>
        <v/>
      </c>
    </row>
    <row r="288">
      <c r="A288" s="28">
        <f>IF($B288="","",272)</f>
        <v/>
      </c>
      <c r="B288" s="28">
        <f>IF($P288="","",IF(INDEX(CalcNormDate,$P288)=0,"",INDEX(CalcNormDate,$P288)))</f>
        <v/>
      </c>
      <c r="C288" s="28">
        <f>IF($P288="","",IF(INDEX(CalcTime,$P288)=0,"",INDEX(CalcTime,$P288)))</f>
        <v/>
      </c>
      <c r="D288" s="28">
        <f>IF($P288="","",IF(INDEX(EntryParty,$P288)=0,"",INDEX(EntryParty,$P288)))</f>
        <v/>
      </c>
      <c r="E288" s="28">
        <f>IF($P288="","",IF(INDEX(EntryPartyName,$P288)=0,"",INDEX(EntryPartyName,$P288)))</f>
        <v/>
      </c>
      <c r="F288" s="28">
        <f>IF($P288="","",IF(INDEX(EntryPartyType,$P288)=0,"",INDEX(EntryPartyType,$P288)))</f>
        <v/>
      </c>
      <c r="G288" s="28">
        <f>IF($P288="","",IF(INDEX(EntryTxnType,$P288)=0,"",INDEX(EntryTxnType,$P288)))</f>
        <v/>
      </c>
      <c r="H288" s="29">
        <f>IF($P288="","",IF(INDEX(EntryDep,$P288)=0,"",INDEX(EntryDep,$P288)))</f>
        <v/>
      </c>
      <c r="I288" s="29">
        <f>IF($P288="","",IF(INDEX(EntryWit,$P288)=0,"",INDEX(EntryWit,$P288)))</f>
        <v/>
      </c>
      <c r="J288" s="29">
        <f>IF($B288="","",IF($A288=1,$C$7,IF(J287="",0,J287))+IF($H288="",0,$H288)-IF($I288="",0,$I288))</f>
        <v/>
      </c>
      <c r="K288" s="29">
        <f>IF($P288="","",IF(INDEX(EntryMan,$P288)=0,"",INDEX(EntryMan,$P288)))</f>
        <v/>
      </c>
      <c r="L288" s="28">
        <f>IF($B288="","",IF($K288="","—",IF(ROUND($K288-$J288,0)=0,"√","×")))</f>
        <v/>
      </c>
      <c r="M288" s="28">
        <f>IF($B288="","",IF(COUNTIFS(EntryDates,$B288,CalcTime,$C288,CalcBank,$C$5,EntryParty,$D288,EntryDep,$H288,EntryWit,$I288)&gt;1,"تکرار",""))</f>
        <v/>
      </c>
      <c r="N288" s="28">
        <f>IF($P288="","",IF(INDEX(EntryNotes,$P288)=0,"",INDEX(EntryNotes,$P288)))</f>
        <v/>
      </c>
      <c r="O288" s="28">
        <f>IF($P288="","",IF(INDEX(EntryTxnID,$P288)=0,"",INDEX(EntryTxnID,$P288)))</f>
        <v/>
      </c>
      <c r="P288" s="28">
        <f>IFERROR(MATCH($C$5&amp;"|"&amp;RIGHT("000000"&amp;272,6),CalcRankKey,0),"")</f>
        <v/>
      </c>
    </row>
    <row r="289">
      <c r="A289" s="26">
        <f>IF($B289="","",273)</f>
        <v/>
      </c>
      <c r="B289" s="26">
        <f>IF($P289="","",IF(INDEX(CalcNormDate,$P289)=0,"",INDEX(CalcNormDate,$P289)))</f>
        <v/>
      </c>
      <c r="C289" s="26">
        <f>IF($P289="","",IF(INDEX(CalcTime,$P289)=0,"",INDEX(CalcTime,$P289)))</f>
        <v/>
      </c>
      <c r="D289" s="26">
        <f>IF($P289="","",IF(INDEX(EntryParty,$P289)=0,"",INDEX(EntryParty,$P289)))</f>
        <v/>
      </c>
      <c r="E289" s="26">
        <f>IF($P289="","",IF(INDEX(EntryPartyName,$P289)=0,"",INDEX(EntryPartyName,$P289)))</f>
        <v/>
      </c>
      <c r="F289" s="26">
        <f>IF($P289="","",IF(INDEX(EntryPartyType,$P289)=0,"",INDEX(EntryPartyType,$P289)))</f>
        <v/>
      </c>
      <c r="G289" s="26">
        <f>IF($P289="","",IF(INDEX(EntryTxnType,$P289)=0,"",INDEX(EntryTxnType,$P289)))</f>
        <v/>
      </c>
      <c r="H289" s="27">
        <f>IF($P289="","",IF(INDEX(EntryDep,$P289)=0,"",INDEX(EntryDep,$P289)))</f>
        <v/>
      </c>
      <c r="I289" s="27">
        <f>IF($P289="","",IF(INDEX(EntryWit,$P289)=0,"",INDEX(EntryWit,$P289)))</f>
        <v/>
      </c>
      <c r="J289" s="27">
        <f>IF($B289="","",IF($A289=1,$C$7,IF(J288="",0,J288))+IF($H289="",0,$H289)-IF($I289="",0,$I289))</f>
        <v/>
      </c>
      <c r="K289" s="27">
        <f>IF($P289="","",IF(INDEX(EntryMan,$P289)=0,"",INDEX(EntryMan,$P289)))</f>
        <v/>
      </c>
      <c r="L289" s="26">
        <f>IF($B289="","",IF($K289="","—",IF(ROUND($K289-$J289,0)=0,"√","×")))</f>
        <v/>
      </c>
      <c r="M289" s="26">
        <f>IF($B289="","",IF(COUNTIFS(EntryDates,$B289,CalcTime,$C289,CalcBank,$C$5,EntryParty,$D289,EntryDep,$H289,EntryWit,$I289)&gt;1,"تکرار",""))</f>
        <v/>
      </c>
      <c r="N289" s="26">
        <f>IF($P289="","",IF(INDEX(EntryNotes,$P289)=0,"",INDEX(EntryNotes,$P289)))</f>
        <v/>
      </c>
      <c r="O289" s="26">
        <f>IF($P289="","",IF(INDEX(EntryTxnID,$P289)=0,"",INDEX(EntryTxnID,$P289)))</f>
        <v/>
      </c>
      <c r="P289" s="26">
        <f>IFERROR(MATCH($C$5&amp;"|"&amp;RIGHT("000000"&amp;273,6),CalcRankKey,0),"")</f>
        <v/>
      </c>
    </row>
    <row r="290">
      <c r="A290" s="28">
        <f>IF($B290="","",274)</f>
        <v/>
      </c>
      <c r="B290" s="28">
        <f>IF($P290="","",IF(INDEX(CalcNormDate,$P290)=0,"",INDEX(CalcNormDate,$P290)))</f>
        <v/>
      </c>
      <c r="C290" s="28">
        <f>IF($P290="","",IF(INDEX(CalcTime,$P290)=0,"",INDEX(CalcTime,$P290)))</f>
        <v/>
      </c>
      <c r="D290" s="28">
        <f>IF($P290="","",IF(INDEX(EntryParty,$P290)=0,"",INDEX(EntryParty,$P290)))</f>
        <v/>
      </c>
      <c r="E290" s="28">
        <f>IF($P290="","",IF(INDEX(EntryPartyName,$P290)=0,"",INDEX(EntryPartyName,$P290)))</f>
        <v/>
      </c>
      <c r="F290" s="28">
        <f>IF($P290="","",IF(INDEX(EntryPartyType,$P290)=0,"",INDEX(EntryPartyType,$P290)))</f>
        <v/>
      </c>
      <c r="G290" s="28">
        <f>IF($P290="","",IF(INDEX(EntryTxnType,$P290)=0,"",INDEX(EntryTxnType,$P290)))</f>
        <v/>
      </c>
      <c r="H290" s="29">
        <f>IF($P290="","",IF(INDEX(EntryDep,$P290)=0,"",INDEX(EntryDep,$P290)))</f>
        <v/>
      </c>
      <c r="I290" s="29">
        <f>IF($P290="","",IF(INDEX(EntryWit,$P290)=0,"",INDEX(EntryWit,$P290)))</f>
        <v/>
      </c>
      <c r="J290" s="29">
        <f>IF($B290="","",IF($A290=1,$C$7,IF(J289="",0,J289))+IF($H290="",0,$H290)-IF($I290="",0,$I290))</f>
        <v/>
      </c>
      <c r="K290" s="29">
        <f>IF($P290="","",IF(INDEX(EntryMan,$P290)=0,"",INDEX(EntryMan,$P290)))</f>
        <v/>
      </c>
      <c r="L290" s="28">
        <f>IF($B290="","",IF($K290="","—",IF(ROUND($K290-$J290,0)=0,"√","×")))</f>
        <v/>
      </c>
      <c r="M290" s="28">
        <f>IF($B290="","",IF(COUNTIFS(EntryDates,$B290,CalcTime,$C290,CalcBank,$C$5,EntryParty,$D290,EntryDep,$H290,EntryWit,$I290)&gt;1,"تکرار",""))</f>
        <v/>
      </c>
      <c r="N290" s="28">
        <f>IF($P290="","",IF(INDEX(EntryNotes,$P290)=0,"",INDEX(EntryNotes,$P290)))</f>
        <v/>
      </c>
      <c r="O290" s="28">
        <f>IF($P290="","",IF(INDEX(EntryTxnID,$P290)=0,"",INDEX(EntryTxnID,$P290)))</f>
        <v/>
      </c>
      <c r="P290" s="28">
        <f>IFERROR(MATCH($C$5&amp;"|"&amp;RIGHT("000000"&amp;274,6),CalcRankKey,0),"")</f>
        <v/>
      </c>
    </row>
    <row r="291">
      <c r="A291" s="26">
        <f>IF($B291="","",275)</f>
        <v/>
      </c>
      <c r="B291" s="26">
        <f>IF($P291="","",IF(INDEX(CalcNormDate,$P291)=0,"",INDEX(CalcNormDate,$P291)))</f>
        <v/>
      </c>
      <c r="C291" s="26">
        <f>IF($P291="","",IF(INDEX(CalcTime,$P291)=0,"",INDEX(CalcTime,$P291)))</f>
        <v/>
      </c>
      <c r="D291" s="26">
        <f>IF($P291="","",IF(INDEX(EntryParty,$P291)=0,"",INDEX(EntryParty,$P291)))</f>
        <v/>
      </c>
      <c r="E291" s="26">
        <f>IF($P291="","",IF(INDEX(EntryPartyName,$P291)=0,"",INDEX(EntryPartyName,$P291)))</f>
        <v/>
      </c>
      <c r="F291" s="26">
        <f>IF($P291="","",IF(INDEX(EntryPartyType,$P291)=0,"",INDEX(EntryPartyType,$P291)))</f>
        <v/>
      </c>
      <c r="G291" s="26">
        <f>IF($P291="","",IF(INDEX(EntryTxnType,$P291)=0,"",INDEX(EntryTxnType,$P291)))</f>
        <v/>
      </c>
      <c r="H291" s="27">
        <f>IF($P291="","",IF(INDEX(EntryDep,$P291)=0,"",INDEX(EntryDep,$P291)))</f>
        <v/>
      </c>
      <c r="I291" s="27">
        <f>IF($P291="","",IF(INDEX(EntryWit,$P291)=0,"",INDEX(EntryWit,$P291)))</f>
        <v/>
      </c>
      <c r="J291" s="27">
        <f>IF($B291="","",IF($A291=1,$C$7,IF(J290="",0,J290))+IF($H291="",0,$H291)-IF($I291="",0,$I291))</f>
        <v/>
      </c>
      <c r="K291" s="27">
        <f>IF($P291="","",IF(INDEX(EntryMan,$P291)=0,"",INDEX(EntryMan,$P291)))</f>
        <v/>
      </c>
      <c r="L291" s="26">
        <f>IF($B291="","",IF($K291="","—",IF(ROUND($K291-$J291,0)=0,"√","×")))</f>
        <v/>
      </c>
      <c r="M291" s="26">
        <f>IF($B291="","",IF(COUNTIFS(EntryDates,$B291,CalcTime,$C291,CalcBank,$C$5,EntryParty,$D291,EntryDep,$H291,EntryWit,$I291)&gt;1,"تکرار",""))</f>
        <v/>
      </c>
      <c r="N291" s="26">
        <f>IF($P291="","",IF(INDEX(EntryNotes,$P291)=0,"",INDEX(EntryNotes,$P291)))</f>
        <v/>
      </c>
      <c r="O291" s="26">
        <f>IF($P291="","",IF(INDEX(EntryTxnID,$P291)=0,"",INDEX(EntryTxnID,$P291)))</f>
        <v/>
      </c>
      <c r="P291" s="26">
        <f>IFERROR(MATCH($C$5&amp;"|"&amp;RIGHT("000000"&amp;275,6),CalcRankKey,0),"")</f>
        <v/>
      </c>
    </row>
    <row r="292">
      <c r="A292" s="28">
        <f>IF($B292="","",276)</f>
        <v/>
      </c>
      <c r="B292" s="28">
        <f>IF($P292="","",IF(INDEX(CalcNormDate,$P292)=0,"",INDEX(CalcNormDate,$P292)))</f>
        <v/>
      </c>
      <c r="C292" s="28">
        <f>IF($P292="","",IF(INDEX(CalcTime,$P292)=0,"",INDEX(CalcTime,$P292)))</f>
        <v/>
      </c>
      <c r="D292" s="28">
        <f>IF($P292="","",IF(INDEX(EntryParty,$P292)=0,"",INDEX(EntryParty,$P292)))</f>
        <v/>
      </c>
      <c r="E292" s="28">
        <f>IF($P292="","",IF(INDEX(EntryPartyName,$P292)=0,"",INDEX(EntryPartyName,$P292)))</f>
        <v/>
      </c>
      <c r="F292" s="28">
        <f>IF($P292="","",IF(INDEX(EntryPartyType,$P292)=0,"",INDEX(EntryPartyType,$P292)))</f>
        <v/>
      </c>
      <c r="G292" s="28">
        <f>IF($P292="","",IF(INDEX(EntryTxnType,$P292)=0,"",INDEX(EntryTxnType,$P292)))</f>
        <v/>
      </c>
      <c r="H292" s="29">
        <f>IF($P292="","",IF(INDEX(EntryDep,$P292)=0,"",INDEX(EntryDep,$P292)))</f>
        <v/>
      </c>
      <c r="I292" s="29">
        <f>IF($P292="","",IF(INDEX(EntryWit,$P292)=0,"",INDEX(EntryWit,$P292)))</f>
        <v/>
      </c>
      <c r="J292" s="29">
        <f>IF($B292="","",IF($A292=1,$C$7,IF(J291="",0,J291))+IF($H292="",0,$H292)-IF($I292="",0,$I292))</f>
        <v/>
      </c>
      <c r="K292" s="29">
        <f>IF($P292="","",IF(INDEX(EntryMan,$P292)=0,"",INDEX(EntryMan,$P292)))</f>
        <v/>
      </c>
      <c r="L292" s="28">
        <f>IF($B292="","",IF($K292="","—",IF(ROUND($K292-$J292,0)=0,"√","×")))</f>
        <v/>
      </c>
      <c r="M292" s="28">
        <f>IF($B292="","",IF(COUNTIFS(EntryDates,$B292,CalcTime,$C292,CalcBank,$C$5,EntryParty,$D292,EntryDep,$H292,EntryWit,$I292)&gt;1,"تکرار",""))</f>
        <v/>
      </c>
      <c r="N292" s="28">
        <f>IF($P292="","",IF(INDEX(EntryNotes,$P292)=0,"",INDEX(EntryNotes,$P292)))</f>
        <v/>
      </c>
      <c r="O292" s="28">
        <f>IF($P292="","",IF(INDEX(EntryTxnID,$P292)=0,"",INDEX(EntryTxnID,$P292)))</f>
        <v/>
      </c>
      <c r="P292" s="28">
        <f>IFERROR(MATCH($C$5&amp;"|"&amp;RIGHT("000000"&amp;276,6),CalcRankKey,0),"")</f>
        <v/>
      </c>
    </row>
    <row r="293">
      <c r="A293" s="26">
        <f>IF($B293="","",277)</f>
        <v/>
      </c>
      <c r="B293" s="26">
        <f>IF($P293="","",IF(INDEX(CalcNormDate,$P293)=0,"",INDEX(CalcNormDate,$P293)))</f>
        <v/>
      </c>
      <c r="C293" s="26">
        <f>IF($P293="","",IF(INDEX(CalcTime,$P293)=0,"",INDEX(CalcTime,$P293)))</f>
        <v/>
      </c>
      <c r="D293" s="26">
        <f>IF($P293="","",IF(INDEX(EntryParty,$P293)=0,"",INDEX(EntryParty,$P293)))</f>
        <v/>
      </c>
      <c r="E293" s="26">
        <f>IF($P293="","",IF(INDEX(EntryPartyName,$P293)=0,"",INDEX(EntryPartyName,$P293)))</f>
        <v/>
      </c>
      <c r="F293" s="26">
        <f>IF($P293="","",IF(INDEX(EntryPartyType,$P293)=0,"",INDEX(EntryPartyType,$P293)))</f>
        <v/>
      </c>
      <c r="G293" s="26">
        <f>IF($P293="","",IF(INDEX(EntryTxnType,$P293)=0,"",INDEX(EntryTxnType,$P293)))</f>
        <v/>
      </c>
      <c r="H293" s="27">
        <f>IF($P293="","",IF(INDEX(EntryDep,$P293)=0,"",INDEX(EntryDep,$P293)))</f>
        <v/>
      </c>
      <c r="I293" s="27">
        <f>IF($P293="","",IF(INDEX(EntryWit,$P293)=0,"",INDEX(EntryWit,$P293)))</f>
        <v/>
      </c>
      <c r="J293" s="27">
        <f>IF($B293="","",IF($A293=1,$C$7,IF(J292="",0,J292))+IF($H293="",0,$H293)-IF($I293="",0,$I293))</f>
        <v/>
      </c>
      <c r="K293" s="27">
        <f>IF($P293="","",IF(INDEX(EntryMan,$P293)=0,"",INDEX(EntryMan,$P293)))</f>
        <v/>
      </c>
      <c r="L293" s="26">
        <f>IF($B293="","",IF($K293="","—",IF(ROUND($K293-$J293,0)=0,"√","×")))</f>
        <v/>
      </c>
      <c r="M293" s="26">
        <f>IF($B293="","",IF(COUNTIFS(EntryDates,$B293,CalcTime,$C293,CalcBank,$C$5,EntryParty,$D293,EntryDep,$H293,EntryWit,$I293)&gt;1,"تکرار",""))</f>
        <v/>
      </c>
      <c r="N293" s="26">
        <f>IF($P293="","",IF(INDEX(EntryNotes,$P293)=0,"",INDEX(EntryNotes,$P293)))</f>
        <v/>
      </c>
      <c r="O293" s="26">
        <f>IF($P293="","",IF(INDEX(EntryTxnID,$P293)=0,"",INDEX(EntryTxnID,$P293)))</f>
        <v/>
      </c>
      <c r="P293" s="26">
        <f>IFERROR(MATCH($C$5&amp;"|"&amp;RIGHT("000000"&amp;277,6),CalcRankKey,0),"")</f>
        <v/>
      </c>
    </row>
    <row r="294">
      <c r="A294" s="28">
        <f>IF($B294="","",278)</f>
        <v/>
      </c>
      <c r="B294" s="28">
        <f>IF($P294="","",IF(INDEX(CalcNormDate,$P294)=0,"",INDEX(CalcNormDate,$P294)))</f>
        <v/>
      </c>
      <c r="C294" s="28">
        <f>IF($P294="","",IF(INDEX(CalcTime,$P294)=0,"",INDEX(CalcTime,$P294)))</f>
        <v/>
      </c>
      <c r="D294" s="28">
        <f>IF($P294="","",IF(INDEX(EntryParty,$P294)=0,"",INDEX(EntryParty,$P294)))</f>
        <v/>
      </c>
      <c r="E294" s="28">
        <f>IF($P294="","",IF(INDEX(EntryPartyName,$P294)=0,"",INDEX(EntryPartyName,$P294)))</f>
        <v/>
      </c>
      <c r="F294" s="28">
        <f>IF($P294="","",IF(INDEX(EntryPartyType,$P294)=0,"",INDEX(EntryPartyType,$P294)))</f>
        <v/>
      </c>
      <c r="G294" s="28">
        <f>IF($P294="","",IF(INDEX(EntryTxnType,$P294)=0,"",INDEX(EntryTxnType,$P294)))</f>
        <v/>
      </c>
      <c r="H294" s="29">
        <f>IF($P294="","",IF(INDEX(EntryDep,$P294)=0,"",INDEX(EntryDep,$P294)))</f>
        <v/>
      </c>
      <c r="I294" s="29">
        <f>IF($P294="","",IF(INDEX(EntryWit,$P294)=0,"",INDEX(EntryWit,$P294)))</f>
        <v/>
      </c>
      <c r="J294" s="29">
        <f>IF($B294="","",IF($A294=1,$C$7,IF(J293="",0,J293))+IF($H294="",0,$H294)-IF($I294="",0,$I294))</f>
        <v/>
      </c>
      <c r="K294" s="29">
        <f>IF($P294="","",IF(INDEX(EntryMan,$P294)=0,"",INDEX(EntryMan,$P294)))</f>
        <v/>
      </c>
      <c r="L294" s="28">
        <f>IF($B294="","",IF($K294="","—",IF(ROUND($K294-$J294,0)=0,"√","×")))</f>
        <v/>
      </c>
      <c r="M294" s="28">
        <f>IF($B294="","",IF(COUNTIFS(EntryDates,$B294,CalcTime,$C294,CalcBank,$C$5,EntryParty,$D294,EntryDep,$H294,EntryWit,$I294)&gt;1,"تکرار",""))</f>
        <v/>
      </c>
      <c r="N294" s="28">
        <f>IF($P294="","",IF(INDEX(EntryNotes,$P294)=0,"",INDEX(EntryNotes,$P294)))</f>
        <v/>
      </c>
      <c r="O294" s="28">
        <f>IF($P294="","",IF(INDEX(EntryTxnID,$P294)=0,"",INDEX(EntryTxnID,$P294)))</f>
        <v/>
      </c>
      <c r="P294" s="28">
        <f>IFERROR(MATCH($C$5&amp;"|"&amp;RIGHT("000000"&amp;278,6),CalcRankKey,0),"")</f>
        <v/>
      </c>
    </row>
    <row r="295">
      <c r="A295" s="26">
        <f>IF($B295="","",279)</f>
        <v/>
      </c>
      <c r="B295" s="26">
        <f>IF($P295="","",IF(INDEX(CalcNormDate,$P295)=0,"",INDEX(CalcNormDate,$P295)))</f>
        <v/>
      </c>
      <c r="C295" s="26">
        <f>IF($P295="","",IF(INDEX(CalcTime,$P295)=0,"",INDEX(CalcTime,$P295)))</f>
        <v/>
      </c>
      <c r="D295" s="26">
        <f>IF($P295="","",IF(INDEX(EntryParty,$P295)=0,"",INDEX(EntryParty,$P295)))</f>
        <v/>
      </c>
      <c r="E295" s="26">
        <f>IF($P295="","",IF(INDEX(EntryPartyName,$P295)=0,"",INDEX(EntryPartyName,$P295)))</f>
        <v/>
      </c>
      <c r="F295" s="26">
        <f>IF($P295="","",IF(INDEX(EntryPartyType,$P295)=0,"",INDEX(EntryPartyType,$P295)))</f>
        <v/>
      </c>
      <c r="G295" s="26">
        <f>IF($P295="","",IF(INDEX(EntryTxnType,$P295)=0,"",INDEX(EntryTxnType,$P295)))</f>
        <v/>
      </c>
      <c r="H295" s="27">
        <f>IF($P295="","",IF(INDEX(EntryDep,$P295)=0,"",INDEX(EntryDep,$P295)))</f>
        <v/>
      </c>
      <c r="I295" s="27">
        <f>IF($P295="","",IF(INDEX(EntryWit,$P295)=0,"",INDEX(EntryWit,$P295)))</f>
        <v/>
      </c>
      <c r="J295" s="27">
        <f>IF($B295="","",IF($A295=1,$C$7,IF(J294="",0,J294))+IF($H295="",0,$H295)-IF($I295="",0,$I295))</f>
        <v/>
      </c>
      <c r="K295" s="27">
        <f>IF($P295="","",IF(INDEX(EntryMan,$P295)=0,"",INDEX(EntryMan,$P295)))</f>
        <v/>
      </c>
      <c r="L295" s="26">
        <f>IF($B295="","",IF($K295="","—",IF(ROUND($K295-$J295,0)=0,"√","×")))</f>
        <v/>
      </c>
      <c r="M295" s="26">
        <f>IF($B295="","",IF(COUNTIFS(EntryDates,$B295,CalcTime,$C295,CalcBank,$C$5,EntryParty,$D295,EntryDep,$H295,EntryWit,$I295)&gt;1,"تکرار",""))</f>
        <v/>
      </c>
      <c r="N295" s="26">
        <f>IF($P295="","",IF(INDEX(EntryNotes,$P295)=0,"",INDEX(EntryNotes,$P295)))</f>
        <v/>
      </c>
      <c r="O295" s="26">
        <f>IF($P295="","",IF(INDEX(EntryTxnID,$P295)=0,"",INDEX(EntryTxnID,$P295)))</f>
        <v/>
      </c>
      <c r="P295" s="26">
        <f>IFERROR(MATCH($C$5&amp;"|"&amp;RIGHT("000000"&amp;279,6),CalcRankKey,0),"")</f>
        <v/>
      </c>
    </row>
    <row r="296">
      <c r="A296" s="28">
        <f>IF($B296="","",280)</f>
        <v/>
      </c>
      <c r="B296" s="28">
        <f>IF($P296="","",IF(INDEX(CalcNormDate,$P296)=0,"",INDEX(CalcNormDate,$P296)))</f>
        <v/>
      </c>
      <c r="C296" s="28">
        <f>IF($P296="","",IF(INDEX(CalcTime,$P296)=0,"",INDEX(CalcTime,$P296)))</f>
        <v/>
      </c>
      <c r="D296" s="28">
        <f>IF($P296="","",IF(INDEX(EntryParty,$P296)=0,"",INDEX(EntryParty,$P296)))</f>
        <v/>
      </c>
      <c r="E296" s="28">
        <f>IF($P296="","",IF(INDEX(EntryPartyName,$P296)=0,"",INDEX(EntryPartyName,$P296)))</f>
        <v/>
      </c>
      <c r="F296" s="28">
        <f>IF($P296="","",IF(INDEX(EntryPartyType,$P296)=0,"",INDEX(EntryPartyType,$P296)))</f>
        <v/>
      </c>
      <c r="G296" s="28">
        <f>IF($P296="","",IF(INDEX(EntryTxnType,$P296)=0,"",INDEX(EntryTxnType,$P296)))</f>
        <v/>
      </c>
      <c r="H296" s="29">
        <f>IF($P296="","",IF(INDEX(EntryDep,$P296)=0,"",INDEX(EntryDep,$P296)))</f>
        <v/>
      </c>
      <c r="I296" s="29">
        <f>IF($P296="","",IF(INDEX(EntryWit,$P296)=0,"",INDEX(EntryWit,$P296)))</f>
        <v/>
      </c>
      <c r="J296" s="29">
        <f>IF($B296="","",IF($A296=1,$C$7,IF(J295="",0,J295))+IF($H296="",0,$H296)-IF($I296="",0,$I296))</f>
        <v/>
      </c>
      <c r="K296" s="29">
        <f>IF($P296="","",IF(INDEX(EntryMan,$P296)=0,"",INDEX(EntryMan,$P296)))</f>
        <v/>
      </c>
      <c r="L296" s="28">
        <f>IF($B296="","",IF($K296="","—",IF(ROUND($K296-$J296,0)=0,"√","×")))</f>
        <v/>
      </c>
      <c r="M296" s="28">
        <f>IF($B296="","",IF(COUNTIFS(EntryDates,$B296,CalcTime,$C296,CalcBank,$C$5,EntryParty,$D296,EntryDep,$H296,EntryWit,$I296)&gt;1,"تکرار",""))</f>
        <v/>
      </c>
      <c r="N296" s="28">
        <f>IF($P296="","",IF(INDEX(EntryNotes,$P296)=0,"",INDEX(EntryNotes,$P296)))</f>
        <v/>
      </c>
      <c r="O296" s="28">
        <f>IF($P296="","",IF(INDEX(EntryTxnID,$P296)=0,"",INDEX(EntryTxnID,$P296)))</f>
        <v/>
      </c>
      <c r="P296" s="28">
        <f>IFERROR(MATCH($C$5&amp;"|"&amp;RIGHT("000000"&amp;280,6),CalcRankKey,0),"")</f>
        <v/>
      </c>
    </row>
    <row r="297">
      <c r="A297" s="26">
        <f>IF($B297="","",281)</f>
        <v/>
      </c>
      <c r="B297" s="26">
        <f>IF($P297="","",IF(INDEX(CalcNormDate,$P297)=0,"",INDEX(CalcNormDate,$P297)))</f>
        <v/>
      </c>
      <c r="C297" s="26">
        <f>IF($P297="","",IF(INDEX(CalcTime,$P297)=0,"",INDEX(CalcTime,$P297)))</f>
        <v/>
      </c>
      <c r="D297" s="26">
        <f>IF($P297="","",IF(INDEX(EntryParty,$P297)=0,"",INDEX(EntryParty,$P297)))</f>
        <v/>
      </c>
      <c r="E297" s="26">
        <f>IF($P297="","",IF(INDEX(EntryPartyName,$P297)=0,"",INDEX(EntryPartyName,$P297)))</f>
        <v/>
      </c>
      <c r="F297" s="26">
        <f>IF($P297="","",IF(INDEX(EntryPartyType,$P297)=0,"",INDEX(EntryPartyType,$P297)))</f>
        <v/>
      </c>
      <c r="G297" s="26">
        <f>IF($P297="","",IF(INDEX(EntryTxnType,$P297)=0,"",INDEX(EntryTxnType,$P297)))</f>
        <v/>
      </c>
      <c r="H297" s="27">
        <f>IF($P297="","",IF(INDEX(EntryDep,$P297)=0,"",INDEX(EntryDep,$P297)))</f>
        <v/>
      </c>
      <c r="I297" s="27">
        <f>IF($P297="","",IF(INDEX(EntryWit,$P297)=0,"",INDEX(EntryWit,$P297)))</f>
        <v/>
      </c>
      <c r="J297" s="27">
        <f>IF($B297="","",IF($A297=1,$C$7,IF(J296="",0,J296))+IF($H297="",0,$H297)-IF($I297="",0,$I297))</f>
        <v/>
      </c>
      <c r="K297" s="27">
        <f>IF($P297="","",IF(INDEX(EntryMan,$P297)=0,"",INDEX(EntryMan,$P297)))</f>
        <v/>
      </c>
      <c r="L297" s="26">
        <f>IF($B297="","",IF($K297="","—",IF(ROUND($K297-$J297,0)=0,"√","×")))</f>
        <v/>
      </c>
      <c r="M297" s="26">
        <f>IF($B297="","",IF(COUNTIFS(EntryDates,$B297,CalcTime,$C297,CalcBank,$C$5,EntryParty,$D297,EntryDep,$H297,EntryWit,$I297)&gt;1,"تکرار",""))</f>
        <v/>
      </c>
      <c r="N297" s="26">
        <f>IF($P297="","",IF(INDEX(EntryNotes,$P297)=0,"",INDEX(EntryNotes,$P297)))</f>
        <v/>
      </c>
      <c r="O297" s="26">
        <f>IF($P297="","",IF(INDEX(EntryTxnID,$P297)=0,"",INDEX(EntryTxnID,$P297)))</f>
        <v/>
      </c>
      <c r="P297" s="26">
        <f>IFERROR(MATCH($C$5&amp;"|"&amp;RIGHT("000000"&amp;281,6),CalcRankKey,0),"")</f>
        <v/>
      </c>
    </row>
    <row r="298">
      <c r="A298" s="28">
        <f>IF($B298="","",282)</f>
        <v/>
      </c>
      <c r="B298" s="28">
        <f>IF($P298="","",IF(INDEX(CalcNormDate,$P298)=0,"",INDEX(CalcNormDate,$P298)))</f>
        <v/>
      </c>
      <c r="C298" s="28">
        <f>IF($P298="","",IF(INDEX(CalcTime,$P298)=0,"",INDEX(CalcTime,$P298)))</f>
        <v/>
      </c>
      <c r="D298" s="28">
        <f>IF($P298="","",IF(INDEX(EntryParty,$P298)=0,"",INDEX(EntryParty,$P298)))</f>
        <v/>
      </c>
      <c r="E298" s="28">
        <f>IF($P298="","",IF(INDEX(EntryPartyName,$P298)=0,"",INDEX(EntryPartyName,$P298)))</f>
        <v/>
      </c>
      <c r="F298" s="28">
        <f>IF($P298="","",IF(INDEX(EntryPartyType,$P298)=0,"",INDEX(EntryPartyType,$P298)))</f>
        <v/>
      </c>
      <c r="G298" s="28">
        <f>IF($P298="","",IF(INDEX(EntryTxnType,$P298)=0,"",INDEX(EntryTxnType,$P298)))</f>
        <v/>
      </c>
      <c r="H298" s="29">
        <f>IF($P298="","",IF(INDEX(EntryDep,$P298)=0,"",INDEX(EntryDep,$P298)))</f>
        <v/>
      </c>
      <c r="I298" s="29">
        <f>IF($P298="","",IF(INDEX(EntryWit,$P298)=0,"",INDEX(EntryWit,$P298)))</f>
        <v/>
      </c>
      <c r="J298" s="29">
        <f>IF($B298="","",IF($A298=1,$C$7,IF(J297="",0,J297))+IF($H298="",0,$H298)-IF($I298="",0,$I298))</f>
        <v/>
      </c>
      <c r="K298" s="29">
        <f>IF($P298="","",IF(INDEX(EntryMan,$P298)=0,"",INDEX(EntryMan,$P298)))</f>
        <v/>
      </c>
      <c r="L298" s="28">
        <f>IF($B298="","",IF($K298="","—",IF(ROUND($K298-$J298,0)=0,"√","×")))</f>
        <v/>
      </c>
      <c r="M298" s="28">
        <f>IF($B298="","",IF(COUNTIFS(EntryDates,$B298,CalcTime,$C298,CalcBank,$C$5,EntryParty,$D298,EntryDep,$H298,EntryWit,$I298)&gt;1,"تکرار",""))</f>
        <v/>
      </c>
      <c r="N298" s="28">
        <f>IF($P298="","",IF(INDEX(EntryNotes,$P298)=0,"",INDEX(EntryNotes,$P298)))</f>
        <v/>
      </c>
      <c r="O298" s="28">
        <f>IF($P298="","",IF(INDEX(EntryTxnID,$P298)=0,"",INDEX(EntryTxnID,$P298)))</f>
        <v/>
      </c>
      <c r="P298" s="28">
        <f>IFERROR(MATCH($C$5&amp;"|"&amp;RIGHT("000000"&amp;282,6),CalcRankKey,0),"")</f>
        <v/>
      </c>
    </row>
    <row r="299">
      <c r="A299" s="26">
        <f>IF($B299="","",283)</f>
        <v/>
      </c>
      <c r="B299" s="26">
        <f>IF($P299="","",IF(INDEX(CalcNormDate,$P299)=0,"",INDEX(CalcNormDate,$P299)))</f>
        <v/>
      </c>
      <c r="C299" s="26">
        <f>IF($P299="","",IF(INDEX(CalcTime,$P299)=0,"",INDEX(CalcTime,$P299)))</f>
        <v/>
      </c>
      <c r="D299" s="26">
        <f>IF($P299="","",IF(INDEX(EntryParty,$P299)=0,"",INDEX(EntryParty,$P299)))</f>
        <v/>
      </c>
      <c r="E299" s="26">
        <f>IF($P299="","",IF(INDEX(EntryPartyName,$P299)=0,"",INDEX(EntryPartyName,$P299)))</f>
        <v/>
      </c>
      <c r="F299" s="26">
        <f>IF($P299="","",IF(INDEX(EntryPartyType,$P299)=0,"",INDEX(EntryPartyType,$P299)))</f>
        <v/>
      </c>
      <c r="G299" s="26">
        <f>IF($P299="","",IF(INDEX(EntryTxnType,$P299)=0,"",INDEX(EntryTxnType,$P299)))</f>
        <v/>
      </c>
      <c r="H299" s="27">
        <f>IF($P299="","",IF(INDEX(EntryDep,$P299)=0,"",INDEX(EntryDep,$P299)))</f>
        <v/>
      </c>
      <c r="I299" s="27">
        <f>IF($P299="","",IF(INDEX(EntryWit,$P299)=0,"",INDEX(EntryWit,$P299)))</f>
        <v/>
      </c>
      <c r="J299" s="27">
        <f>IF($B299="","",IF($A299=1,$C$7,IF(J298="",0,J298))+IF($H299="",0,$H299)-IF($I299="",0,$I299))</f>
        <v/>
      </c>
      <c r="K299" s="27">
        <f>IF($P299="","",IF(INDEX(EntryMan,$P299)=0,"",INDEX(EntryMan,$P299)))</f>
        <v/>
      </c>
      <c r="L299" s="26">
        <f>IF($B299="","",IF($K299="","—",IF(ROUND($K299-$J299,0)=0,"√","×")))</f>
        <v/>
      </c>
      <c r="M299" s="26">
        <f>IF($B299="","",IF(COUNTIFS(EntryDates,$B299,CalcTime,$C299,CalcBank,$C$5,EntryParty,$D299,EntryDep,$H299,EntryWit,$I299)&gt;1,"تکرار",""))</f>
        <v/>
      </c>
      <c r="N299" s="26">
        <f>IF($P299="","",IF(INDEX(EntryNotes,$P299)=0,"",INDEX(EntryNotes,$P299)))</f>
        <v/>
      </c>
      <c r="O299" s="26">
        <f>IF($P299="","",IF(INDEX(EntryTxnID,$P299)=0,"",INDEX(EntryTxnID,$P299)))</f>
        <v/>
      </c>
      <c r="P299" s="26">
        <f>IFERROR(MATCH($C$5&amp;"|"&amp;RIGHT("000000"&amp;283,6),CalcRankKey,0),"")</f>
        <v/>
      </c>
    </row>
    <row r="300">
      <c r="A300" s="28">
        <f>IF($B300="","",284)</f>
        <v/>
      </c>
      <c r="B300" s="28">
        <f>IF($P300="","",IF(INDEX(CalcNormDate,$P300)=0,"",INDEX(CalcNormDate,$P300)))</f>
        <v/>
      </c>
      <c r="C300" s="28">
        <f>IF($P300="","",IF(INDEX(CalcTime,$P300)=0,"",INDEX(CalcTime,$P300)))</f>
        <v/>
      </c>
      <c r="D300" s="28">
        <f>IF($P300="","",IF(INDEX(EntryParty,$P300)=0,"",INDEX(EntryParty,$P300)))</f>
        <v/>
      </c>
      <c r="E300" s="28">
        <f>IF($P300="","",IF(INDEX(EntryPartyName,$P300)=0,"",INDEX(EntryPartyName,$P300)))</f>
        <v/>
      </c>
      <c r="F300" s="28">
        <f>IF($P300="","",IF(INDEX(EntryPartyType,$P300)=0,"",INDEX(EntryPartyType,$P300)))</f>
        <v/>
      </c>
      <c r="G300" s="28">
        <f>IF($P300="","",IF(INDEX(EntryTxnType,$P300)=0,"",INDEX(EntryTxnType,$P300)))</f>
        <v/>
      </c>
      <c r="H300" s="29">
        <f>IF($P300="","",IF(INDEX(EntryDep,$P300)=0,"",INDEX(EntryDep,$P300)))</f>
        <v/>
      </c>
      <c r="I300" s="29">
        <f>IF($P300="","",IF(INDEX(EntryWit,$P300)=0,"",INDEX(EntryWit,$P300)))</f>
        <v/>
      </c>
      <c r="J300" s="29">
        <f>IF($B300="","",IF($A300=1,$C$7,IF(J299="",0,J299))+IF($H300="",0,$H300)-IF($I300="",0,$I300))</f>
        <v/>
      </c>
      <c r="K300" s="29">
        <f>IF($P300="","",IF(INDEX(EntryMan,$P300)=0,"",INDEX(EntryMan,$P300)))</f>
        <v/>
      </c>
      <c r="L300" s="28">
        <f>IF($B300="","",IF($K300="","—",IF(ROUND($K300-$J300,0)=0,"√","×")))</f>
        <v/>
      </c>
      <c r="M300" s="28">
        <f>IF($B300="","",IF(COUNTIFS(EntryDates,$B300,CalcTime,$C300,CalcBank,$C$5,EntryParty,$D300,EntryDep,$H300,EntryWit,$I300)&gt;1,"تکرار",""))</f>
        <v/>
      </c>
      <c r="N300" s="28">
        <f>IF($P300="","",IF(INDEX(EntryNotes,$P300)=0,"",INDEX(EntryNotes,$P300)))</f>
        <v/>
      </c>
      <c r="O300" s="28">
        <f>IF($P300="","",IF(INDEX(EntryTxnID,$P300)=0,"",INDEX(EntryTxnID,$P300)))</f>
        <v/>
      </c>
      <c r="P300" s="28">
        <f>IFERROR(MATCH($C$5&amp;"|"&amp;RIGHT("000000"&amp;284,6),CalcRankKey,0),"")</f>
        <v/>
      </c>
    </row>
    <row r="301">
      <c r="A301" s="26">
        <f>IF($B301="","",285)</f>
        <v/>
      </c>
      <c r="B301" s="26">
        <f>IF($P301="","",IF(INDEX(CalcNormDate,$P301)=0,"",INDEX(CalcNormDate,$P301)))</f>
        <v/>
      </c>
      <c r="C301" s="26">
        <f>IF($P301="","",IF(INDEX(CalcTime,$P301)=0,"",INDEX(CalcTime,$P301)))</f>
        <v/>
      </c>
      <c r="D301" s="26">
        <f>IF($P301="","",IF(INDEX(EntryParty,$P301)=0,"",INDEX(EntryParty,$P301)))</f>
        <v/>
      </c>
      <c r="E301" s="26">
        <f>IF($P301="","",IF(INDEX(EntryPartyName,$P301)=0,"",INDEX(EntryPartyName,$P301)))</f>
        <v/>
      </c>
      <c r="F301" s="26">
        <f>IF($P301="","",IF(INDEX(EntryPartyType,$P301)=0,"",INDEX(EntryPartyType,$P301)))</f>
        <v/>
      </c>
      <c r="G301" s="26">
        <f>IF($P301="","",IF(INDEX(EntryTxnType,$P301)=0,"",INDEX(EntryTxnType,$P301)))</f>
        <v/>
      </c>
      <c r="H301" s="27">
        <f>IF($P301="","",IF(INDEX(EntryDep,$P301)=0,"",INDEX(EntryDep,$P301)))</f>
        <v/>
      </c>
      <c r="I301" s="27">
        <f>IF($P301="","",IF(INDEX(EntryWit,$P301)=0,"",INDEX(EntryWit,$P301)))</f>
        <v/>
      </c>
      <c r="J301" s="27">
        <f>IF($B301="","",IF($A301=1,$C$7,IF(J300="",0,J300))+IF($H301="",0,$H301)-IF($I301="",0,$I301))</f>
        <v/>
      </c>
      <c r="K301" s="27">
        <f>IF($P301="","",IF(INDEX(EntryMan,$P301)=0,"",INDEX(EntryMan,$P301)))</f>
        <v/>
      </c>
      <c r="L301" s="26">
        <f>IF($B301="","",IF($K301="","—",IF(ROUND($K301-$J301,0)=0,"√","×")))</f>
        <v/>
      </c>
      <c r="M301" s="26">
        <f>IF($B301="","",IF(COUNTIFS(EntryDates,$B301,CalcTime,$C301,CalcBank,$C$5,EntryParty,$D301,EntryDep,$H301,EntryWit,$I301)&gt;1,"تکرار",""))</f>
        <v/>
      </c>
      <c r="N301" s="26">
        <f>IF($P301="","",IF(INDEX(EntryNotes,$P301)=0,"",INDEX(EntryNotes,$P301)))</f>
        <v/>
      </c>
      <c r="O301" s="26">
        <f>IF($P301="","",IF(INDEX(EntryTxnID,$P301)=0,"",INDEX(EntryTxnID,$P301)))</f>
        <v/>
      </c>
      <c r="P301" s="26">
        <f>IFERROR(MATCH($C$5&amp;"|"&amp;RIGHT("000000"&amp;285,6),CalcRankKey,0),"")</f>
        <v/>
      </c>
    </row>
    <row r="302">
      <c r="A302" s="28">
        <f>IF($B302="","",286)</f>
        <v/>
      </c>
      <c r="B302" s="28">
        <f>IF($P302="","",IF(INDEX(CalcNormDate,$P302)=0,"",INDEX(CalcNormDate,$P302)))</f>
        <v/>
      </c>
      <c r="C302" s="28">
        <f>IF($P302="","",IF(INDEX(CalcTime,$P302)=0,"",INDEX(CalcTime,$P302)))</f>
        <v/>
      </c>
      <c r="D302" s="28">
        <f>IF($P302="","",IF(INDEX(EntryParty,$P302)=0,"",INDEX(EntryParty,$P302)))</f>
        <v/>
      </c>
      <c r="E302" s="28">
        <f>IF($P302="","",IF(INDEX(EntryPartyName,$P302)=0,"",INDEX(EntryPartyName,$P302)))</f>
        <v/>
      </c>
      <c r="F302" s="28">
        <f>IF($P302="","",IF(INDEX(EntryPartyType,$P302)=0,"",INDEX(EntryPartyType,$P302)))</f>
        <v/>
      </c>
      <c r="G302" s="28">
        <f>IF($P302="","",IF(INDEX(EntryTxnType,$P302)=0,"",INDEX(EntryTxnType,$P302)))</f>
        <v/>
      </c>
      <c r="H302" s="29">
        <f>IF($P302="","",IF(INDEX(EntryDep,$P302)=0,"",INDEX(EntryDep,$P302)))</f>
        <v/>
      </c>
      <c r="I302" s="29">
        <f>IF($P302="","",IF(INDEX(EntryWit,$P302)=0,"",INDEX(EntryWit,$P302)))</f>
        <v/>
      </c>
      <c r="J302" s="29">
        <f>IF($B302="","",IF($A302=1,$C$7,IF(J301="",0,J301))+IF($H302="",0,$H302)-IF($I302="",0,$I302))</f>
        <v/>
      </c>
      <c r="K302" s="29">
        <f>IF($P302="","",IF(INDEX(EntryMan,$P302)=0,"",INDEX(EntryMan,$P302)))</f>
        <v/>
      </c>
      <c r="L302" s="28">
        <f>IF($B302="","",IF($K302="","—",IF(ROUND($K302-$J302,0)=0,"√","×")))</f>
        <v/>
      </c>
      <c r="M302" s="28">
        <f>IF($B302="","",IF(COUNTIFS(EntryDates,$B302,CalcTime,$C302,CalcBank,$C$5,EntryParty,$D302,EntryDep,$H302,EntryWit,$I302)&gt;1,"تکرار",""))</f>
        <v/>
      </c>
      <c r="N302" s="28">
        <f>IF($P302="","",IF(INDEX(EntryNotes,$P302)=0,"",INDEX(EntryNotes,$P302)))</f>
        <v/>
      </c>
      <c r="O302" s="28">
        <f>IF($P302="","",IF(INDEX(EntryTxnID,$P302)=0,"",INDEX(EntryTxnID,$P302)))</f>
        <v/>
      </c>
      <c r="P302" s="28">
        <f>IFERROR(MATCH($C$5&amp;"|"&amp;RIGHT("000000"&amp;286,6),CalcRankKey,0),"")</f>
        <v/>
      </c>
    </row>
    <row r="303">
      <c r="A303" s="26">
        <f>IF($B303="","",287)</f>
        <v/>
      </c>
      <c r="B303" s="26">
        <f>IF($P303="","",IF(INDEX(CalcNormDate,$P303)=0,"",INDEX(CalcNormDate,$P303)))</f>
        <v/>
      </c>
      <c r="C303" s="26">
        <f>IF($P303="","",IF(INDEX(CalcTime,$P303)=0,"",INDEX(CalcTime,$P303)))</f>
        <v/>
      </c>
      <c r="D303" s="26">
        <f>IF($P303="","",IF(INDEX(EntryParty,$P303)=0,"",INDEX(EntryParty,$P303)))</f>
        <v/>
      </c>
      <c r="E303" s="26">
        <f>IF($P303="","",IF(INDEX(EntryPartyName,$P303)=0,"",INDEX(EntryPartyName,$P303)))</f>
        <v/>
      </c>
      <c r="F303" s="26">
        <f>IF($P303="","",IF(INDEX(EntryPartyType,$P303)=0,"",INDEX(EntryPartyType,$P303)))</f>
        <v/>
      </c>
      <c r="G303" s="26">
        <f>IF($P303="","",IF(INDEX(EntryTxnType,$P303)=0,"",INDEX(EntryTxnType,$P303)))</f>
        <v/>
      </c>
      <c r="H303" s="27">
        <f>IF($P303="","",IF(INDEX(EntryDep,$P303)=0,"",INDEX(EntryDep,$P303)))</f>
        <v/>
      </c>
      <c r="I303" s="27">
        <f>IF($P303="","",IF(INDEX(EntryWit,$P303)=0,"",INDEX(EntryWit,$P303)))</f>
        <v/>
      </c>
      <c r="J303" s="27">
        <f>IF($B303="","",IF($A303=1,$C$7,IF(J302="",0,J302))+IF($H303="",0,$H303)-IF($I303="",0,$I303))</f>
        <v/>
      </c>
      <c r="K303" s="27">
        <f>IF($P303="","",IF(INDEX(EntryMan,$P303)=0,"",INDEX(EntryMan,$P303)))</f>
        <v/>
      </c>
      <c r="L303" s="26">
        <f>IF($B303="","",IF($K303="","—",IF(ROUND($K303-$J303,0)=0,"√","×")))</f>
        <v/>
      </c>
      <c r="M303" s="26">
        <f>IF($B303="","",IF(COUNTIFS(EntryDates,$B303,CalcTime,$C303,CalcBank,$C$5,EntryParty,$D303,EntryDep,$H303,EntryWit,$I303)&gt;1,"تکرار",""))</f>
        <v/>
      </c>
      <c r="N303" s="26">
        <f>IF($P303="","",IF(INDEX(EntryNotes,$P303)=0,"",INDEX(EntryNotes,$P303)))</f>
        <v/>
      </c>
      <c r="O303" s="26">
        <f>IF($P303="","",IF(INDEX(EntryTxnID,$P303)=0,"",INDEX(EntryTxnID,$P303)))</f>
        <v/>
      </c>
      <c r="P303" s="26">
        <f>IFERROR(MATCH($C$5&amp;"|"&amp;RIGHT("000000"&amp;287,6),CalcRankKey,0),"")</f>
        <v/>
      </c>
    </row>
    <row r="304">
      <c r="A304" s="28">
        <f>IF($B304="","",288)</f>
        <v/>
      </c>
      <c r="B304" s="28">
        <f>IF($P304="","",IF(INDEX(CalcNormDate,$P304)=0,"",INDEX(CalcNormDate,$P304)))</f>
        <v/>
      </c>
      <c r="C304" s="28">
        <f>IF($P304="","",IF(INDEX(CalcTime,$P304)=0,"",INDEX(CalcTime,$P304)))</f>
        <v/>
      </c>
      <c r="D304" s="28">
        <f>IF($P304="","",IF(INDEX(EntryParty,$P304)=0,"",INDEX(EntryParty,$P304)))</f>
        <v/>
      </c>
      <c r="E304" s="28">
        <f>IF($P304="","",IF(INDEX(EntryPartyName,$P304)=0,"",INDEX(EntryPartyName,$P304)))</f>
        <v/>
      </c>
      <c r="F304" s="28">
        <f>IF($P304="","",IF(INDEX(EntryPartyType,$P304)=0,"",INDEX(EntryPartyType,$P304)))</f>
        <v/>
      </c>
      <c r="G304" s="28">
        <f>IF($P304="","",IF(INDEX(EntryTxnType,$P304)=0,"",INDEX(EntryTxnType,$P304)))</f>
        <v/>
      </c>
      <c r="H304" s="29">
        <f>IF($P304="","",IF(INDEX(EntryDep,$P304)=0,"",INDEX(EntryDep,$P304)))</f>
        <v/>
      </c>
      <c r="I304" s="29">
        <f>IF($P304="","",IF(INDEX(EntryWit,$P304)=0,"",INDEX(EntryWit,$P304)))</f>
        <v/>
      </c>
      <c r="J304" s="29">
        <f>IF($B304="","",IF($A304=1,$C$7,IF(J303="",0,J303))+IF($H304="",0,$H304)-IF($I304="",0,$I304))</f>
        <v/>
      </c>
      <c r="K304" s="29">
        <f>IF($P304="","",IF(INDEX(EntryMan,$P304)=0,"",INDEX(EntryMan,$P304)))</f>
        <v/>
      </c>
      <c r="L304" s="28">
        <f>IF($B304="","",IF($K304="","—",IF(ROUND($K304-$J304,0)=0,"√","×")))</f>
        <v/>
      </c>
      <c r="M304" s="28">
        <f>IF($B304="","",IF(COUNTIFS(EntryDates,$B304,CalcTime,$C304,CalcBank,$C$5,EntryParty,$D304,EntryDep,$H304,EntryWit,$I304)&gt;1,"تکرار",""))</f>
        <v/>
      </c>
      <c r="N304" s="28">
        <f>IF($P304="","",IF(INDEX(EntryNotes,$P304)=0,"",INDEX(EntryNotes,$P304)))</f>
        <v/>
      </c>
      <c r="O304" s="28">
        <f>IF($P304="","",IF(INDEX(EntryTxnID,$P304)=0,"",INDEX(EntryTxnID,$P304)))</f>
        <v/>
      </c>
      <c r="P304" s="28">
        <f>IFERROR(MATCH($C$5&amp;"|"&amp;RIGHT("000000"&amp;288,6),CalcRankKey,0),"")</f>
        <v/>
      </c>
    </row>
    <row r="305">
      <c r="A305" s="26">
        <f>IF($B305="","",289)</f>
        <v/>
      </c>
      <c r="B305" s="26">
        <f>IF($P305="","",IF(INDEX(CalcNormDate,$P305)=0,"",INDEX(CalcNormDate,$P305)))</f>
        <v/>
      </c>
      <c r="C305" s="26">
        <f>IF($P305="","",IF(INDEX(CalcTime,$P305)=0,"",INDEX(CalcTime,$P305)))</f>
        <v/>
      </c>
      <c r="D305" s="26">
        <f>IF($P305="","",IF(INDEX(EntryParty,$P305)=0,"",INDEX(EntryParty,$P305)))</f>
        <v/>
      </c>
      <c r="E305" s="26">
        <f>IF($P305="","",IF(INDEX(EntryPartyName,$P305)=0,"",INDEX(EntryPartyName,$P305)))</f>
        <v/>
      </c>
      <c r="F305" s="26">
        <f>IF($P305="","",IF(INDEX(EntryPartyType,$P305)=0,"",INDEX(EntryPartyType,$P305)))</f>
        <v/>
      </c>
      <c r="G305" s="26">
        <f>IF($P305="","",IF(INDEX(EntryTxnType,$P305)=0,"",INDEX(EntryTxnType,$P305)))</f>
        <v/>
      </c>
      <c r="H305" s="27">
        <f>IF($P305="","",IF(INDEX(EntryDep,$P305)=0,"",INDEX(EntryDep,$P305)))</f>
        <v/>
      </c>
      <c r="I305" s="27">
        <f>IF($P305="","",IF(INDEX(EntryWit,$P305)=0,"",INDEX(EntryWit,$P305)))</f>
        <v/>
      </c>
      <c r="J305" s="27">
        <f>IF($B305="","",IF($A305=1,$C$7,IF(J304="",0,J304))+IF($H305="",0,$H305)-IF($I305="",0,$I305))</f>
        <v/>
      </c>
      <c r="K305" s="27">
        <f>IF($P305="","",IF(INDEX(EntryMan,$P305)=0,"",INDEX(EntryMan,$P305)))</f>
        <v/>
      </c>
      <c r="L305" s="26">
        <f>IF($B305="","",IF($K305="","—",IF(ROUND($K305-$J305,0)=0,"√","×")))</f>
        <v/>
      </c>
      <c r="M305" s="26">
        <f>IF($B305="","",IF(COUNTIFS(EntryDates,$B305,CalcTime,$C305,CalcBank,$C$5,EntryParty,$D305,EntryDep,$H305,EntryWit,$I305)&gt;1,"تکرار",""))</f>
        <v/>
      </c>
      <c r="N305" s="26">
        <f>IF($P305="","",IF(INDEX(EntryNotes,$P305)=0,"",INDEX(EntryNotes,$P305)))</f>
        <v/>
      </c>
      <c r="O305" s="26">
        <f>IF($P305="","",IF(INDEX(EntryTxnID,$P305)=0,"",INDEX(EntryTxnID,$P305)))</f>
        <v/>
      </c>
      <c r="P305" s="26">
        <f>IFERROR(MATCH($C$5&amp;"|"&amp;RIGHT("000000"&amp;289,6),CalcRankKey,0),"")</f>
        <v/>
      </c>
    </row>
    <row r="306">
      <c r="A306" s="28">
        <f>IF($B306="","",290)</f>
        <v/>
      </c>
      <c r="B306" s="28">
        <f>IF($P306="","",IF(INDEX(CalcNormDate,$P306)=0,"",INDEX(CalcNormDate,$P306)))</f>
        <v/>
      </c>
      <c r="C306" s="28">
        <f>IF($P306="","",IF(INDEX(CalcTime,$P306)=0,"",INDEX(CalcTime,$P306)))</f>
        <v/>
      </c>
      <c r="D306" s="28">
        <f>IF($P306="","",IF(INDEX(EntryParty,$P306)=0,"",INDEX(EntryParty,$P306)))</f>
        <v/>
      </c>
      <c r="E306" s="28">
        <f>IF($P306="","",IF(INDEX(EntryPartyName,$P306)=0,"",INDEX(EntryPartyName,$P306)))</f>
        <v/>
      </c>
      <c r="F306" s="28">
        <f>IF($P306="","",IF(INDEX(EntryPartyType,$P306)=0,"",INDEX(EntryPartyType,$P306)))</f>
        <v/>
      </c>
      <c r="G306" s="28">
        <f>IF($P306="","",IF(INDEX(EntryTxnType,$P306)=0,"",INDEX(EntryTxnType,$P306)))</f>
        <v/>
      </c>
      <c r="H306" s="29">
        <f>IF($P306="","",IF(INDEX(EntryDep,$P306)=0,"",INDEX(EntryDep,$P306)))</f>
        <v/>
      </c>
      <c r="I306" s="29">
        <f>IF($P306="","",IF(INDEX(EntryWit,$P306)=0,"",INDEX(EntryWit,$P306)))</f>
        <v/>
      </c>
      <c r="J306" s="29">
        <f>IF($B306="","",IF($A306=1,$C$7,IF(J305="",0,J305))+IF($H306="",0,$H306)-IF($I306="",0,$I306))</f>
        <v/>
      </c>
      <c r="K306" s="29">
        <f>IF($P306="","",IF(INDEX(EntryMan,$P306)=0,"",INDEX(EntryMan,$P306)))</f>
        <v/>
      </c>
      <c r="L306" s="28">
        <f>IF($B306="","",IF($K306="","—",IF(ROUND($K306-$J306,0)=0,"√","×")))</f>
        <v/>
      </c>
      <c r="M306" s="28">
        <f>IF($B306="","",IF(COUNTIFS(EntryDates,$B306,CalcTime,$C306,CalcBank,$C$5,EntryParty,$D306,EntryDep,$H306,EntryWit,$I306)&gt;1,"تکرار",""))</f>
        <v/>
      </c>
      <c r="N306" s="28">
        <f>IF($P306="","",IF(INDEX(EntryNotes,$P306)=0,"",INDEX(EntryNotes,$P306)))</f>
        <v/>
      </c>
      <c r="O306" s="28">
        <f>IF($P306="","",IF(INDEX(EntryTxnID,$P306)=0,"",INDEX(EntryTxnID,$P306)))</f>
        <v/>
      </c>
      <c r="P306" s="28">
        <f>IFERROR(MATCH($C$5&amp;"|"&amp;RIGHT("000000"&amp;290,6),CalcRankKey,0),"")</f>
        <v/>
      </c>
    </row>
    <row r="307">
      <c r="A307" s="26">
        <f>IF($B307="","",291)</f>
        <v/>
      </c>
      <c r="B307" s="26">
        <f>IF($P307="","",IF(INDEX(CalcNormDate,$P307)=0,"",INDEX(CalcNormDate,$P307)))</f>
        <v/>
      </c>
      <c r="C307" s="26">
        <f>IF($P307="","",IF(INDEX(CalcTime,$P307)=0,"",INDEX(CalcTime,$P307)))</f>
        <v/>
      </c>
      <c r="D307" s="26">
        <f>IF($P307="","",IF(INDEX(EntryParty,$P307)=0,"",INDEX(EntryParty,$P307)))</f>
        <v/>
      </c>
      <c r="E307" s="26">
        <f>IF($P307="","",IF(INDEX(EntryPartyName,$P307)=0,"",INDEX(EntryPartyName,$P307)))</f>
        <v/>
      </c>
      <c r="F307" s="26">
        <f>IF($P307="","",IF(INDEX(EntryPartyType,$P307)=0,"",INDEX(EntryPartyType,$P307)))</f>
        <v/>
      </c>
      <c r="G307" s="26">
        <f>IF($P307="","",IF(INDEX(EntryTxnType,$P307)=0,"",INDEX(EntryTxnType,$P307)))</f>
        <v/>
      </c>
      <c r="H307" s="27">
        <f>IF($P307="","",IF(INDEX(EntryDep,$P307)=0,"",INDEX(EntryDep,$P307)))</f>
        <v/>
      </c>
      <c r="I307" s="27">
        <f>IF($P307="","",IF(INDEX(EntryWit,$P307)=0,"",INDEX(EntryWit,$P307)))</f>
        <v/>
      </c>
      <c r="J307" s="27">
        <f>IF($B307="","",IF($A307=1,$C$7,IF(J306="",0,J306))+IF($H307="",0,$H307)-IF($I307="",0,$I307))</f>
        <v/>
      </c>
      <c r="K307" s="27">
        <f>IF($P307="","",IF(INDEX(EntryMan,$P307)=0,"",INDEX(EntryMan,$P307)))</f>
        <v/>
      </c>
      <c r="L307" s="26">
        <f>IF($B307="","",IF($K307="","—",IF(ROUND($K307-$J307,0)=0,"√","×")))</f>
        <v/>
      </c>
      <c r="M307" s="26">
        <f>IF($B307="","",IF(COUNTIFS(EntryDates,$B307,CalcTime,$C307,CalcBank,$C$5,EntryParty,$D307,EntryDep,$H307,EntryWit,$I307)&gt;1,"تکرار",""))</f>
        <v/>
      </c>
      <c r="N307" s="26">
        <f>IF($P307="","",IF(INDEX(EntryNotes,$P307)=0,"",INDEX(EntryNotes,$P307)))</f>
        <v/>
      </c>
      <c r="O307" s="26">
        <f>IF($P307="","",IF(INDEX(EntryTxnID,$P307)=0,"",INDEX(EntryTxnID,$P307)))</f>
        <v/>
      </c>
      <c r="P307" s="26">
        <f>IFERROR(MATCH($C$5&amp;"|"&amp;RIGHT("000000"&amp;291,6),CalcRankKey,0),"")</f>
        <v/>
      </c>
    </row>
    <row r="308">
      <c r="A308" s="28">
        <f>IF($B308="","",292)</f>
        <v/>
      </c>
      <c r="B308" s="28">
        <f>IF($P308="","",IF(INDEX(CalcNormDate,$P308)=0,"",INDEX(CalcNormDate,$P308)))</f>
        <v/>
      </c>
      <c r="C308" s="28">
        <f>IF($P308="","",IF(INDEX(CalcTime,$P308)=0,"",INDEX(CalcTime,$P308)))</f>
        <v/>
      </c>
      <c r="D308" s="28">
        <f>IF($P308="","",IF(INDEX(EntryParty,$P308)=0,"",INDEX(EntryParty,$P308)))</f>
        <v/>
      </c>
      <c r="E308" s="28">
        <f>IF($P308="","",IF(INDEX(EntryPartyName,$P308)=0,"",INDEX(EntryPartyName,$P308)))</f>
        <v/>
      </c>
      <c r="F308" s="28">
        <f>IF($P308="","",IF(INDEX(EntryPartyType,$P308)=0,"",INDEX(EntryPartyType,$P308)))</f>
        <v/>
      </c>
      <c r="G308" s="28">
        <f>IF($P308="","",IF(INDEX(EntryTxnType,$P308)=0,"",INDEX(EntryTxnType,$P308)))</f>
        <v/>
      </c>
      <c r="H308" s="29">
        <f>IF($P308="","",IF(INDEX(EntryDep,$P308)=0,"",INDEX(EntryDep,$P308)))</f>
        <v/>
      </c>
      <c r="I308" s="29">
        <f>IF($P308="","",IF(INDEX(EntryWit,$P308)=0,"",INDEX(EntryWit,$P308)))</f>
        <v/>
      </c>
      <c r="J308" s="29">
        <f>IF($B308="","",IF($A308=1,$C$7,IF(J307="",0,J307))+IF($H308="",0,$H308)-IF($I308="",0,$I308))</f>
        <v/>
      </c>
      <c r="K308" s="29">
        <f>IF($P308="","",IF(INDEX(EntryMan,$P308)=0,"",INDEX(EntryMan,$P308)))</f>
        <v/>
      </c>
      <c r="L308" s="28">
        <f>IF($B308="","",IF($K308="","—",IF(ROUND($K308-$J308,0)=0,"√","×")))</f>
        <v/>
      </c>
      <c r="M308" s="28">
        <f>IF($B308="","",IF(COUNTIFS(EntryDates,$B308,CalcTime,$C308,CalcBank,$C$5,EntryParty,$D308,EntryDep,$H308,EntryWit,$I308)&gt;1,"تکرار",""))</f>
        <v/>
      </c>
      <c r="N308" s="28">
        <f>IF($P308="","",IF(INDEX(EntryNotes,$P308)=0,"",INDEX(EntryNotes,$P308)))</f>
        <v/>
      </c>
      <c r="O308" s="28">
        <f>IF($P308="","",IF(INDEX(EntryTxnID,$P308)=0,"",INDEX(EntryTxnID,$P308)))</f>
        <v/>
      </c>
      <c r="P308" s="28">
        <f>IFERROR(MATCH($C$5&amp;"|"&amp;RIGHT("000000"&amp;292,6),CalcRankKey,0),"")</f>
        <v/>
      </c>
    </row>
    <row r="309">
      <c r="A309" s="26">
        <f>IF($B309="","",293)</f>
        <v/>
      </c>
      <c r="B309" s="26">
        <f>IF($P309="","",IF(INDEX(CalcNormDate,$P309)=0,"",INDEX(CalcNormDate,$P309)))</f>
        <v/>
      </c>
      <c r="C309" s="26">
        <f>IF($P309="","",IF(INDEX(CalcTime,$P309)=0,"",INDEX(CalcTime,$P309)))</f>
        <v/>
      </c>
      <c r="D309" s="26">
        <f>IF($P309="","",IF(INDEX(EntryParty,$P309)=0,"",INDEX(EntryParty,$P309)))</f>
        <v/>
      </c>
      <c r="E309" s="26">
        <f>IF($P309="","",IF(INDEX(EntryPartyName,$P309)=0,"",INDEX(EntryPartyName,$P309)))</f>
        <v/>
      </c>
      <c r="F309" s="26">
        <f>IF($P309="","",IF(INDEX(EntryPartyType,$P309)=0,"",INDEX(EntryPartyType,$P309)))</f>
        <v/>
      </c>
      <c r="G309" s="26">
        <f>IF($P309="","",IF(INDEX(EntryTxnType,$P309)=0,"",INDEX(EntryTxnType,$P309)))</f>
        <v/>
      </c>
      <c r="H309" s="27">
        <f>IF($P309="","",IF(INDEX(EntryDep,$P309)=0,"",INDEX(EntryDep,$P309)))</f>
        <v/>
      </c>
      <c r="I309" s="27">
        <f>IF($P309="","",IF(INDEX(EntryWit,$P309)=0,"",INDEX(EntryWit,$P309)))</f>
        <v/>
      </c>
      <c r="J309" s="27">
        <f>IF($B309="","",IF($A309=1,$C$7,IF(J308="",0,J308))+IF($H309="",0,$H309)-IF($I309="",0,$I309))</f>
        <v/>
      </c>
      <c r="K309" s="27">
        <f>IF($P309="","",IF(INDEX(EntryMan,$P309)=0,"",INDEX(EntryMan,$P309)))</f>
        <v/>
      </c>
      <c r="L309" s="26">
        <f>IF($B309="","",IF($K309="","—",IF(ROUND($K309-$J309,0)=0,"√","×")))</f>
        <v/>
      </c>
      <c r="M309" s="26">
        <f>IF($B309="","",IF(COUNTIFS(EntryDates,$B309,CalcTime,$C309,CalcBank,$C$5,EntryParty,$D309,EntryDep,$H309,EntryWit,$I309)&gt;1,"تکرار",""))</f>
        <v/>
      </c>
      <c r="N309" s="26">
        <f>IF($P309="","",IF(INDEX(EntryNotes,$P309)=0,"",INDEX(EntryNotes,$P309)))</f>
        <v/>
      </c>
      <c r="O309" s="26">
        <f>IF($P309="","",IF(INDEX(EntryTxnID,$P309)=0,"",INDEX(EntryTxnID,$P309)))</f>
        <v/>
      </c>
      <c r="P309" s="26">
        <f>IFERROR(MATCH($C$5&amp;"|"&amp;RIGHT("000000"&amp;293,6),CalcRankKey,0),"")</f>
        <v/>
      </c>
    </row>
    <row r="310">
      <c r="A310" s="28">
        <f>IF($B310="","",294)</f>
        <v/>
      </c>
      <c r="B310" s="28">
        <f>IF($P310="","",IF(INDEX(CalcNormDate,$P310)=0,"",INDEX(CalcNormDate,$P310)))</f>
        <v/>
      </c>
      <c r="C310" s="28">
        <f>IF($P310="","",IF(INDEX(CalcTime,$P310)=0,"",INDEX(CalcTime,$P310)))</f>
        <v/>
      </c>
      <c r="D310" s="28">
        <f>IF($P310="","",IF(INDEX(EntryParty,$P310)=0,"",INDEX(EntryParty,$P310)))</f>
        <v/>
      </c>
      <c r="E310" s="28">
        <f>IF($P310="","",IF(INDEX(EntryPartyName,$P310)=0,"",INDEX(EntryPartyName,$P310)))</f>
        <v/>
      </c>
      <c r="F310" s="28">
        <f>IF($P310="","",IF(INDEX(EntryPartyType,$P310)=0,"",INDEX(EntryPartyType,$P310)))</f>
        <v/>
      </c>
      <c r="G310" s="28">
        <f>IF($P310="","",IF(INDEX(EntryTxnType,$P310)=0,"",INDEX(EntryTxnType,$P310)))</f>
        <v/>
      </c>
      <c r="H310" s="29">
        <f>IF($P310="","",IF(INDEX(EntryDep,$P310)=0,"",INDEX(EntryDep,$P310)))</f>
        <v/>
      </c>
      <c r="I310" s="29">
        <f>IF($P310="","",IF(INDEX(EntryWit,$P310)=0,"",INDEX(EntryWit,$P310)))</f>
        <v/>
      </c>
      <c r="J310" s="29">
        <f>IF($B310="","",IF($A310=1,$C$7,IF(J309="",0,J309))+IF($H310="",0,$H310)-IF($I310="",0,$I310))</f>
        <v/>
      </c>
      <c r="K310" s="29">
        <f>IF($P310="","",IF(INDEX(EntryMan,$P310)=0,"",INDEX(EntryMan,$P310)))</f>
        <v/>
      </c>
      <c r="L310" s="28">
        <f>IF($B310="","",IF($K310="","—",IF(ROUND($K310-$J310,0)=0,"√","×")))</f>
        <v/>
      </c>
      <c r="M310" s="28">
        <f>IF($B310="","",IF(COUNTIFS(EntryDates,$B310,CalcTime,$C310,CalcBank,$C$5,EntryParty,$D310,EntryDep,$H310,EntryWit,$I310)&gt;1,"تکرار",""))</f>
        <v/>
      </c>
      <c r="N310" s="28">
        <f>IF($P310="","",IF(INDEX(EntryNotes,$P310)=0,"",INDEX(EntryNotes,$P310)))</f>
        <v/>
      </c>
      <c r="O310" s="28">
        <f>IF($P310="","",IF(INDEX(EntryTxnID,$P310)=0,"",INDEX(EntryTxnID,$P310)))</f>
        <v/>
      </c>
      <c r="P310" s="28">
        <f>IFERROR(MATCH($C$5&amp;"|"&amp;RIGHT("000000"&amp;294,6),CalcRankKey,0),"")</f>
        <v/>
      </c>
    </row>
    <row r="311">
      <c r="A311" s="26">
        <f>IF($B311="","",295)</f>
        <v/>
      </c>
      <c r="B311" s="26">
        <f>IF($P311="","",IF(INDEX(CalcNormDate,$P311)=0,"",INDEX(CalcNormDate,$P311)))</f>
        <v/>
      </c>
      <c r="C311" s="26">
        <f>IF($P311="","",IF(INDEX(CalcTime,$P311)=0,"",INDEX(CalcTime,$P311)))</f>
        <v/>
      </c>
      <c r="D311" s="26">
        <f>IF($P311="","",IF(INDEX(EntryParty,$P311)=0,"",INDEX(EntryParty,$P311)))</f>
        <v/>
      </c>
      <c r="E311" s="26">
        <f>IF($P311="","",IF(INDEX(EntryPartyName,$P311)=0,"",INDEX(EntryPartyName,$P311)))</f>
        <v/>
      </c>
      <c r="F311" s="26">
        <f>IF($P311="","",IF(INDEX(EntryPartyType,$P311)=0,"",INDEX(EntryPartyType,$P311)))</f>
        <v/>
      </c>
      <c r="G311" s="26">
        <f>IF($P311="","",IF(INDEX(EntryTxnType,$P311)=0,"",INDEX(EntryTxnType,$P311)))</f>
        <v/>
      </c>
      <c r="H311" s="27">
        <f>IF($P311="","",IF(INDEX(EntryDep,$P311)=0,"",INDEX(EntryDep,$P311)))</f>
        <v/>
      </c>
      <c r="I311" s="27">
        <f>IF($P311="","",IF(INDEX(EntryWit,$P311)=0,"",INDEX(EntryWit,$P311)))</f>
        <v/>
      </c>
      <c r="J311" s="27">
        <f>IF($B311="","",IF($A311=1,$C$7,IF(J310="",0,J310))+IF($H311="",0,$H311)-IF($I311="",0,$I311))</f>
        <v/>
      </c>
      <c r="K311" s="27">
        <f>IF($P311="","",IF(INDEX(EntryMan,$P311)=0,"",INDEX(EntryMan,$P311)))</f>
        <v/>
      </c>
      <c r="L311" s="26">
        <f>IF($B311="","",IF($K311="","—",IF(ROUND($K311-$J311,0)=0,"√","×")))</f>
        <v/>
      </c>
      <c r="M311" s="26">
        <f>IF($B311="","",IF(COUNTIFS(EntryDates,$B311,CalcTime,$C311,CalcBank,$C$5,EntryParty,$D311,EntryDep,$H311,EntryWit,$I311)&gt;1,"تکرار",""))</f>
        <v/>
      </c>
      <c r="N311" s="26">
        <f>IF($P311="","",IF(INDEX(EntryNotes,$P311)=0,"",INDEX(EntryNotes,$P311)))</f>
        <v/>
      </c>
      <c r="O311" s="26">
        <f>IF($P311="","",IF(INDEX(EntryTxnID,$P311)=0,"",INDEX(EntryTxnID,$P311)))</f>
        <v/>
      </c>
      <c r="P311" s="26">
        <f>IFERROR(MATCH($C$5&amp;"|"&amp;RIGHT("000000"&amp;295,6),CalcRankKey,0),"")</f>
        <v/>
      </c>
    </row>
    <row r="312">
      <c r="A312" s="28">
        <f>IF($B312="","",296)</f>
        <v/>
      </c>
      <c r="B312" s="28">
        <f>IF($P312="","",IF(INDEX(CalcNormDate,$P312)=0,"",INDEX(CalcNormDate,$P312)))</f>
        <v/>
      </c>
      <c r="C312" s="28">
        <f>IF($P312="","",IF(INDEX(CalcTime,$P312)=0,"",INDEX(CalcTime,$P312)))</f>
        <v/>
      </c>
      <c r="D312" s="28">
        <f>IF($P312="","",IF(INDEX(EntryParty,$P312)=0,"",INDEX(EntryParty,$P312)))</f>
        <v/>
      </c>
      <c r="E312" s="28">
        <f>IF($P312="","",IF(INDEX(EntryPartyName,$P312)=0,"",INDEX(EntryPartyName,$P312)))</f>
        <v/>
      </c>
      <c r="F312" s="28">
        <f>IF($P312="","",IF(INDEX(EntryPartyType,$P312)=0,"",INDEX(EntryPartyType,$P312)))</f>
        <v/>
      </c>
      <c r="G312" s="28">
        <f>IF($P312="","",IF(INDEX(EntryTxnType,$P312)=0,"",INDEX(EntryTxnType,$P312)))</f>
        <v/>
      </c>
      <c r="H312" s="29">
        <f>IF($P312="","",IF(INDEX(EntryDep,$P312)=0,"",INDEX(EntryDep,$P312)))</f>
        <v/>
      </c>
      <c r="I312" s="29">
        <f>IF($P312="","",IF(INDEX(EntryWit,$P312)=0,"",INDEX(EntryWit,$P312)))</f>
        <v/>
      </c>
      <c r="J312" s="29">
        <f>IF($B312="","",IF($A312=1,$C$7,IF(J311="",0,J311))+IF($H312="",0,$H312)-IF($I312="",0,$I312))</f>
        <v/>
      </c>
      <c r="K312" s="29">
        <f>IF($P312="","",IF(INDEX(EntryMan,$P312)=0,"",INDEX(EntryMan,$P312)))</f>
        <v/>
      </c>
      <c r="L312" s="28">
        <f>IF($B312="","",IF($K312="","—",IF(ROUND($K312-$J312,0)=0,"√","×")))</f>
        <v/>
      </c>
      <c r="M312" s="28">
        <f>IF($B312="","",IF(COUNTIFS(EntryDates,$B312,CalcTime,$C312,CalcBank,$C$5,EntryParty,$D312,EntryDep,$H312,EntryWit,$I312)&gt;1,"تکرار",""))</f>
        <v/>
      </c>
      <c r="N312" s="28">
        <f>IF($P312="","",IF(INDEX(EntryNotes,$P312)=0,"",INDEX(EntryNotes,$P312)))</f>
        <v/>
      </c>
      <c r="O312" s="28">
        <f>IF($P312="","",IF(INDEX(EntryTxnID,$P312)=0,"",INDEX(EntryTxnID,$P312)))</f>
        <v/>
      </c>
      <c r="P312" s="28">
        <f>IFERROR(MATCH($C$5&amp;"|"&amp;RIGHT("000000"&amp;296,6),CalcRankKey,0),"")</f>
        <v/>
      </c>
    </row>
    <row r="313">
      <c r="A313" s="26">
        <f>IF($B313="","",297)</f>
        <v/>
      </c>
      <c r="B313" s="26">
        <f>IF($P313="","",IF(INDEX(CalcNormDate,$P313)=0,"",INDEX(CalcNormDate,$P313)))</f>
        <v/>
      </c>
      <c r="C313" s="26">
        <f>IF($P313="","",IF(INDEX(CalcTime,$P313)=0,"",INDEX(CalcTime,$P313)))</f>
        <v/>
      </c>
      <c r="D313" s="26">
        <f>IF($P313="","",IF(INDEX(EntryParty,$P313)=0,"",INDEX(EntryParty,$P313)))</f>
        <v/>
      </c>
      <c r="E313" s="26">
        <f>IF($P313="","",IF(INDEX(EntryPartyName,$P313)=0,"",INDEX(EntryPartyName,$P313)))</f>
        <v/>
      </c>
      <c r="F313" s="26">
        <f>IF($P313="","",IF(INDEX(EntryPartyType,$P313)=0,"",INDEX(EntryPartyType,$P313)))</f>
        <v/>
      </c>
      <c r="G313" s="26">
        <f>IF($P313="","",IF(INDEX(EntryTxnType,$P313)=0,"",INDEX(EntryTxnType,$P313)))</f>
        <v/>
      </c>
      <c r="H313" s="27">
        <f>IF($P313="","",IF(INDEX(EntryDep,$P313)=0,"",INDEX(EntryDep,$P313)))</f>
        <v/>
      </c>
      <c r="I313" s="27">
        <f>IF($P313="","",IF(INDEX(EntryWit,$P313)=0,"",INDEX(EntryWit,$P313)))</f>
        <v/>
      </c>
      <c r="J313" s="27">
        <f>IF($B313="","",IF($A313=1,$C$7,IF(J312="",0,J312))+IF($H313="",0,$H313)-IF($I313="",0,$I313))</f>
        <v/>
      </c>
      <c r="K313" s="27">
        <f>IF($P313="","",IF(INDEX(EntryMan,$P313)=0,"",INDEX(EntryMan,$P313)))</f>
        <v/>
      </c>
      <c r="L313" s="26">
        <f>IF($B313="","",IF($K313="","—",IF(ROUND($K313-$J313,0)=0,"√","×")))</f>
        <v/>
      </c>
      <c r="M313" s="26">
        <f>IF($B313="","",IF(COUNTIFS(EntryDates,$B313,CalcTime,$C313,CalcBank,$C$5,EntryParty,$D313,EntryDep,$H313,EntryWit,$I313)&gt;1,"تکرار",""))</f>
        <v/>
      </c>
      <c r="N313" s="26">
        <f>IF($P313="","",IF(INDEX(EntryNotes,$P313)=0,"",INDEX(EntryNotes,$P313)))</f>
        <v/>
      </c>
      <c r="O313" s="26">
        <f>IF($P313="","",IF(INDEX(EntryTxnID,$P313)=0,"",INDEX(EntryTxnID,$P313)))</f>
        <v/>
      </c>
      <c r="P313" s="26">
        <f>IFERROR(MATCH($C$5&amp;"|"&amp;RIGHT("000000"&amp;297,6),CalcRankKey,0),"")</f>
        <v/>
      </c>
    </row>
    <row r="314">
      <c r="A314" s="28">
        <f>IF($B314="","",298)</f>
        <v/>
      </c>
      <c r="B314" s="28">
        <f>IF($P314="","",IF(INDEX(CalcNormDate,$P314)=0,"",INDEX(CalcNormDate,$P314)))</f>
        <v/>
      </c>
      <c r="C314" s="28">
        <f>IF($P314="","",IF(INDEX(CalcTime,$P314)=0,"",INDEX(CalcTime,$P314)))</f>
        <v/>
      </c>
      <c r="D314" s="28">
        <f>IF($P314="","",IF(INDEX(EntryParty,$P314)=0,"",INDEX(EntryParty,$P314)))</f>
        <v/>
      </c>
      <c r="E314" s="28">
        <f>IF($P314="","",IF(INDEX(EntryPartyName,$P314)=0,"",INDEX(EntryPartyName,$P314)))</f>
        <v/>
      </c>
      <c r="F314" s="28">
        <f>IF($P314="","",IF(INDEX(EntryPartyType,$P314)=0,"",INDEX(EntryPartyType,$P314)))</f>
        <v/>
      </c>
      <c r="G314" s="28">
        <f>IF($P314="","",IF(INDEX(EntryTxnType,$P314)=0,"",INDEX(EntryTxnType,$P314)))</f>
        <v/>
      </c>
      <c r="H314" s="29">
        <f>IF($P314="","",IF(INDEX(EntryDep,$P314)=0,"",INDEX(EntryDep,$P314)))</f>
        <v/>
      </c>
      <c r="I314" s="29">
        <f>IF($P314="","",IF(INDEX(EntryWit,$P314)=0,"",INDEX(EntryWit,$P314)))</f>
        <v/>
      </c>
      <c r="J314" s="29">
        <f>IF($B314="","",IF($A314=1,$C$7,IF(J313="",0,J313))+IF($H314="",0,$H314)-IF($I314="",0,$I314))</f>
        <v/>
      </c>
      <c r="K314" s="29">
        <f>IF($P314="","",IF(INDEX(EntryMan,$P314)=0,"",INDEX(EntryMan,$P314)))</f>
        <v/>
      </c>
      <c r="L314" s="28">
        <f>IF($B314="","",IF($K314="","—",IF(ROUND($K314-$J314,0)=0,"√","×")))</f>
        <v/>
      </c>
      <c r="M314" s="28">
        <f>IF($B314="","",IF(COUNTIFS(EntryDates,$B314,CalcTime,$C314,CalcBank,$C$5,EntryParty,$D314,EntryDep,$H314,EntryWit,$I314)&gt;1,"تکرار",""))</f>
        <v/>
      </c>
      <c r="N314" s="28">
        <f>IF($P314="","",IF(INDEX(EntryNotes,$P314)=0,"",INDEX(EntryNotes,$P314)))</f>
        <v/>
      </c>
      <c r="O314" s="28">
        <f>IF($P314="","",IF(INDEX(EntryTxnID,$P314)=0,"",INDEX(EntryTxnID,$P314)))</f>
        <v/>
      </c>
      <c r="P314" s="28">
        <f>IFERROR(MATCH($C$5&amp;"|"&amp;RIGHT("000000"&amp;298,6),CalcRankKey,0),"")</f>
        <v/>
      </c>
    </row>
    <row r="315">
      <c r="A315" s="26">
        <f>IF($B315="","",299)</f>
        <v/>
      </c>
      <c r="B315" s="26">
        <f>IF($P315="","",IF(INDEX(CalcNormDate,$P315)=0,"",INDEX(CalcNormDate,$P315)))</f>
        <v/>
      </c>
      <c r="C315" s="26">
        <f>IF($P315="","",IF(INDEX(CalcTime,$P315)=0,"",INDEX(CalcTime,$P315)))</f>
        <v/>
      </c>
      <c r="D315" s="26">
        <f>IF($P315="","",IF(INDEX(EntryParty,$P315)=0,"",INDEX(EntryParty,$P315)))</f>
        <v/>
      </c>
      <c r="E315" s="26">
        <f>IF($P315="","",IF(INDEX(EntryPartyName,$P315)=0,"",INDEX(EntryPartyName,$P315)))</f>
        <v/>
      </c>
      <c r="F315" s="26">
        <f>IF($P315="","",IF(INDEX(EntryPartyType,$P315)=0,"",INDEX(EntryPartyType,$P315)))</f>
        <v/>
      </c>
      <c r="G315" s="26">
        <f>IF($P315="","",IF(INDEX(EntryTxnType,$P315)=0,"",INDEX(EntryTxnType,$P315)))</f>
        <v/>
      </c>
      <c r="H315" s="27">
        <f>IF($P315="","",IF(INDEX(EntryDep,$P315)=0,"",INDEX(EntryDep,$P315)))</f>
        <v/>
      </c>
      <c r="I315" s="27">
        <f>IF($P315="","",IF(INDEX(EntryWit,$P315)=0,"",INDEX(EntryWit,$P315)))</f>
        <v/>
      </c>
      <c r="J315" s="27">
        <f>IF($B315="","",IF($A315=1,$C$7,IF(J314="",0,J314))+IF($H315="",0,$H315)-IF($I315="",0,$I315))</f>
        <v/>
      </c>
      <c r="K315" s="27">
        <f>IF($P315="","",IF(INDEX(EntryMan,$P315)=0,"",INDEX(EntryMan,$P315)))</f>
        <v/>
      </c>
      <c r="L315" s="26">
        <f>IF($B315="","",IF($K315="","—",IF(ROUND($K315-$J315,0)=0,"√","×")))</f>
        <v/>
      </c>
      <c r="M315" s="26">
        <f>IF($B315="","",IF(COUNTIFS(EntryDates,$B315,CalcTime,$C315,CalcBank,$C$5,EntryParty,$D315,EntryDep,$H315,EntryWit,$I315)&gt;1,"تکرار",""))</f>
        <v/>
      </c>
      <c r="N315" s="26">
        <f>IF($P315="","",IF(INDEX(EntryNotes,$P315)=0,"",INDEX(EntryNotes,$P315)))</f>
        <v/>
      </c>
      <c r="O315" s="26">
        <f>IF($P315="","",IF(INDEX(EntryTxnID,$P315)=0,"",INDEX(EntryTxnID,$P315)))</f>
        <v/>
      </c>
      <c r="P315" s="26">
        <f>IFERROR(MATCH($C$5&amp;"|"&amp;RIGHT("000000"&amp;299,6),CalcRankKey,0),"")</f>
        <v/>
      </c>
    </row>
    <row r="316">
      <c r="A316" s="28">
        <f>IF($B316="","",300)</f>
        <v/>
      </c>
      <c r="B316" s="28">
        <f>IF($P316="","",IF(INDEX(CalcNormDate,$P316)=0,"",INDEX(CalcNormDate,$P316)))</f>
        <v/>
      </c>
      <c r="C316" s="28">
        <f>IF($P316="","",IF(INDEX(CalcTime,$P316)=0,"",INDEX(CalcTime,$P316)))</f>
        <v/>
      </c>
      <c r="D316" s="28">
        <f>IF($P316="","",IF(INDEX(EntryParty,$P316)=0,"",INDEX(EntryParty,$P316)))</f>
        <v/>
      </c>
      <c r="E316" s="28">
        <f>IF($P316="","",IF(INDEX(EntryPartyName,$P316)=0,"",INDEX(EntryPartyName,$P316)))</f>
        <v/>
      </c>
      <c r="F316" s="28">
        <f>IF($P316="","",IF(INDEX(EntryPartyType,$P316)=0,"",INDEX(EntryPartyType,$P316)))</f>
        <v/>
      </c>
      <c r="G316" s="28">
        <f>IF($P316="","",IF(INDEX(EntryTxnType,$P316)=0,"",INDEX(EntryTxnType,$P316)))</f>
        <v/>
      </c>
      <c r="H316" s="29">
        <f>IF($P316="","",IF(INDEX(EntryDep,$P316)=0,"",INDEX(EntryDep,$P316)))</f>
        <v/>
      </c>
      <c r="I316" s="29">
        <f>IF($P316="","",IF(INDEX(EntryWit,$P316)=0,"",INDEX(EntryWit,$P316)))</f>
        <v/>
      </c>
      <c r="J316" s="29">
        <f>IF($B316="","",IF($A316=1,$C$7,IF(J315="",0,J315))+IF($H316="",0,$H316)-IF($I316="",0,$I316))</f>
        <v/>
      </c>
      <c r="K316" s="29">
        <f>IF($P316="","",IF(INDEX(EntryMan,$P316)=0,"",INDEX(EntryMan,$P316)))</f>
        <v/>
      </c>
      <c r="L316" s="28">
        <f>IF($B316="","",IF($K316="","—",IF(ROUND($K316-$J316,0)=0,"√","×")))</f>
        <v/>
      </c>
      <c r="M316" s="28">
        <f>IF($B316="","",IF(COUNTIFS(EntryDates,$B316,CalcTime,$C316,CalcBank,$C$5,EntryParty,$D316,EntryDep,$H316,EntryWit,$I316)&gt;1,"تکرار",""))</f>
        <v/>
      </c>
      <c r="N316" s="28">
        <f>IF($P316="","",IF(INDEX(EntryNotes,$P316)=0,"",INDEX(EntryNotes,$P316)))</f>
        <v/>
      </c>
      <c r="O316" s="28">
        <f>IF($P316="","",IF(INDEX(EntryTxnID,$P316)=0,"",INDEX(EntryTxnID,$P316)))</f>
        <v/>
      </c>
      <c r="P316" s="28">
        <f>IFERROR(MATCH($C$5&amp;"|"&amp;RIGHT("000000"&amp;300,6),CalcRankKey,0),"")</f>
        <v/>
      </c>
    </row>
    <row r="317">
      <c r="A317" s="26">
        <f>IF($B317="","",301)</f>
        <v/>
      </c>
      <c r="B317" s="26">
        <f>IF($P317="","",IF(INDEX(CalcNormDate,$P317)=0,"",INDEX(CalcNormDate,$P317)))</f>
        <v/>
      </c>
      <c r="C317" s="26">
        <f>IF($P317="","",IF(INDEX(CalcTime,$P317)=0,"",INDEX(CalcTime,$P317)))</f>
        <v/>
      </c>
      <c r="D317" s="26">
        <f>IF($P317="","",IF(INDEX(EntryParty,$P317)=0,"",INDEX(EntryParty,$P317)))</f>
        <v/>
      </c>
      <c r="E317" s="26">
        <f>IF($P317="","",IF(INDEX(EntryPartyName,$P317)=0,"",INDEX(EntryPartyName,$P317)))</f>
        <v/>
      </c>
      <c r="F317" s="26">
        <f>IF($P317="","",IF(INDEX(EntryPartyType,$P317)=0,"",INDEX(EntryPartyType,$P317)))</f>
        <v/>
      </c>
      <c r="G317" s="26">
        <f>IF($P317="","",IF(INDEX(EntryTxnType,$P317)=0,"",INDEX(EntryTxnType,$P317)))</f>
        <v/>
      </c>
      <c r="H317" s="27">
        <f>IF($P317="","",IF(INDEX(EntryDep,$P317)=0,"",INDEX(EntryDep,$P317)))</f>
        <v/>
      </c>
      <c r="I317" s="27">
        <f>IF($P317="","",IF(INDEX(EntryWit,$P317)=0,"",INDEX(EntryWit,$P317)))</f>
        <v/>
      </c>
      <c r="J317" s="27">
        <f>IF($B317="","",IF($A317=1,$C$7,IF(J316="",0,J316))+IF($H317="",0,$H317)-IF($I317="",0,$I317))</f>
        <v/>
      </c>
      <c r="K317" s="27">
        <f>IF($P317="","",IF(INDEX(EntryMan,$P317)=0,"",INDEX(EntryMan,$P317)))</f>
        <v/>
      </c>
      <c r="L317" s="26">
        <f>IF($B317="","",IF($K317="","—",IF(ROUND($K317-$J317,0)=0,"√","×")))</f>
        <v/>
      </c>
      <c r="M317" s="26">
        <f>IF($B317="","",IF(COUNTIFS(EntryDates,$B317,CalcTime,$C317,CalcBank,$C$5,EntryParty,$D317,EntryDep,$H317,EntryWit,$I317)&gt;1,"تکرار",""))</f>
        <v/>
      </c>
      <c r="N317" s="26">
        <f>IF($P317="","",IF(INDEX(EntryNotes,$P317)=0,"",INDEX(EntryNotes,$P317)))</f>
        <v/>
      </c>
      <c r="O317" s="26">
        <f>IF($P317="","",IF(INDEX(EntryTxnID,$P317)=0,"",INDEX(EntryTxnID,$P317)))</f>
        <v/>
      </c>
      <c r="P317" s="26">
        <f>IFERROR(MATCH($C$5&amp;"|"&amp;RIGHT("000000"&amp;301,6),CalcRankKey,0),"")</f>
        <v/>
      </c>
    </row>
    <row r="318">
      <c r="A318" s="28">
        <f>IF($B318="","",302)</f>
        <v/>
      </c>
      <c r="B318" s="28">
        <f>IF($P318="","",IF(INDEX(CalcNormDate,$P318)=0,"",INDEX(CalcNormDate,$P318)))</f>
        <v/>
      </c>
      <c r="C318" s="28">
        <f>IF($P318="","",IF(INDEX(CalcTime,$P318)=0,"",INDEX(CalcTime,$P318)))</f>
        <v/>
      </c>
      <c r="D318" s="28">
        <f>IF($P318="","",IF(INDEX(EntryParty,$P318)=0,"",INDEX(EntryParty,$P318)))</f>
        <v/>
      </c>
      <c r="E318" s="28">
        <f>IF($P318="","",IF(INDEX(EntryPartyName,$P318)=0,"",INDEX(EntryPartyName,$P318)))</f>
        <v/>
      </c>
      <c r="F318" s="28">
        <f>IF($P318="","",IF(INDEX(EntryPartyType,$P318)=0,"",INDEX(EntryPartyType,$P318)))</f>
        <v/>
      </c>
      <c r="G318" s="28">
        <f>IF($P318="","",IF(INDEX(EntryTxnType,$P318)=0,"",INDEX(EntryTxnType,$P318)))</f>
        <v/>
      </c>
      <c r="H318" s="29">
        <f>IF($P318="","",IF(INDEX(EntryDep,$P318)=0,"",INDEX(EntryDep,$P318)))</f>
        <v/>
      </c>
      <c r="I318" s="29">
        <f>IF($P318="","",IF(INDEX(EntryWit,$P318)=0,"",INDEX(EntryWit,$P318)))</f>
        <v/>
      </c>
      <c r="J318" s="29">
        <f>IF($B318="","",IF($A318=1,$C$7,IF(J317="",0,J317))+IF($H318="",0,$H318)-IF($I318="",0,$I318))</f>
        <v/>
      </c>
      <c r="K318" s="29">
        <f>IF($P318="","",IF(INDEX(EntryMan,$P318)=0,"",INDEX(EntryMan,$P318)))</f>
        <v/>
      </c>
      <c r="L318" s="28">
        <f>IF($B318="","",IF($K318="","—",IF(ROUND($K318-$J318,0)=0,"√","×")))</f>
        <v/>
      </c>
      <c r="M318" s="28">
        <f>IF($B318="","",IF(COUNTIFS(EntryDates,$B318,CalcTime,$C318,CalcBank,$C$5,EntryParty,$D318,EntryDep,$H318,EntryWit,$I318)&gt;1,"تکرار",""))</f>
        <v/>
      </c>
      <c r="N318" s="28">
        <f>IF($P318="","",IF(INDEX(EntryNotes,$P318)=0,"",INDEX(EntryNotes,$P318)))</f>
        <v/>
      </c>
      <c r="O318" s="28">
        <f>IF($P318="","",IF(INDEX(EntryTxnID,$P318)=0,"",INDEX(EntryTxnID,$P318)))</f>
        <v/>
      </c>
      <c r="P318" s="28">
        <f>IFERROR(MATCH($C$5&amp;"|"&amp;RIGHT("000000"&amp;302,6),CalcRankKey,0),"")</f>
        <v/>
      </c>
    </row>
    <row r="319">
      <c r="A319" s="26">
        <f>IF($B319="","",303)</f>
        <v/>
      </c>
      <c r="B319" s="26">
        <f>IF($P319="","",IF(INDEX(CalcNormDate,$P319)=0,"",INDEX(CalcNormDate,$P319)))</f>
        <v/>
      </c>
      <c r="C319" s="26">
        <f>IF($P319="","",IF(INDEX(CalcTime,$P319)=0,"",INDEX(CalcTime,$P319)))</f>
        <v/>
      </c>
      <c r="D319" s="26">
        <f>IF($P319="","",IF(INDEX(EntryParty,$P319)=0,"",INDEX(EntryParty,$P319)))</f>
        <v/>
      </c>
      <c r="E319" s="26">
        <f>IF($P319="","",IF(INDEX(EntryPartyName,$P319)=0,"",INDEX(EntryPartyName,$P319)))</f>
        <v/>
      </c>
      <c r="F319" s="26">
        <f>IF($P319="","",IF(INDEX(EntryPartyType,$P319)=0,"",INDEX(EntryPartyType,$P319)))</f>
        <v/>
      </c>
      <c r="G319" s="26">
        <f>IF($P319="","",IF(INDEX(EntryTxnType,$P319)=0,"",INDEX(EntryTxnType,$P319)))</f>
        <v/>
      </c>
      <c r="H319" s="27">
        <f>IF($P319="","",IF(INDEX(EntryDep,$P319)=0,"",INDEX(EntryDep,$P319)))</f>
        <v/>
      </c>
      <c r="I319" s="27">
        <f>IF($P319="","",IF(INDEX(EntryWit,$P319)=0,"",INDEX(EntryWit,$P319)))</f>
        <v/>
      </c>
      <c r="J319" s="27">
        <f>IF($B319="","",IF($A319=1,$C$7,IF(J318="",0,J318))+IF($H319="",0,$H319)-IF($I319="",0,$I319))</f>
        <v/>
      </c>
      <c r="K319" s="27">
        <f>IF($P319="","",IF(INDEX(EntryMan,$P319)=0,"",INDEX(EntryMan,$P319)))</f>
        <v/>
      </c>
      <c r="L319" s="26">
        <f>IF($B319="","",IF($K319="","—",IF(ROUND($K319-$J319,0)=0,"√","×")))</f>
        <v/>
      </c>
      <c r="M319" s="26">
        <f>IF($B319="","",IF(COUNTIFS(EntryDates,$B319,CalcTime,$C319,CalcBank,$C$5,EntryParty,$D319,EntryDep,$H319,EntryWit,$I319)&gt;1,"تکرار",""))</f>
        <v/>
      </c>
      <c r="N319" s="26">
        <f>IF($P319="","",IF(INDEX(EntryNotes,$P319)=0,"",INDEX(EntryNotes,$P319)))</f>
        <v/>
      </c>
      <c r="O319" s="26">
        <f>IF($P319="","",IF(INDEX(EntryTxnID,$P319)=0,"",INDEX(EntryTxnID,$P319)))</f>
        <v/>
      </c>
      <c r="P319" s="26">
        <f>IFERROR(MATCH($C$5&amp;"|"&amp;RIGHT("000000"&amp;303,6),CalcRankKey,0),"")</f>
        <v/>
      </c>
    </row>
    <row r="320">
      <c r="A320" s="28">
        <f>IF($B320="","",304)</f>
        <v/>
      </c>
      <c r="B320" s="28">
        <f>IF($P320="","",IF(INDEX(CalcNormDate,$P320)=0,"",INDEX(CalcNormDate,$P320)))</f>
        <v/>
      </c>
      <c r="C320" s="28">
        <f>IF($P320="","",IF(INDEX(CalcTime,$P320)=0,"",INDEX(CalcTime,$P320)))</f>
        <v/>
      </c>
      <c r="D320" s="28">
        <f>IF($P320="","",IF(INDEX(EntryParty,$P320)=0,"",INDEX(EntryParty,$P320)))</f>
        <v/>
      </c>
      <c r="E320" s="28">
        <f>IF($P320="","",IF(INDEX(EntryPartyName,$P320)=0,"",INDEX(EntryPartyName,$P320)))</f>
        <v/>
      </c>
      <c r="F320" s="28">
        <f>IF($P320="","",IF(INDEX(EntryPartyType,$P320)=0,"",INDEX(EntryPartyType,$P320)))</f>
        <v/>
      </c>
      <c r="G320" s="28">
        <f>IF($P320="","",IF(INDEX(EntryTxnType,$P320)=0,"",INDEX(EntryTxnType,$P320)))</f>
        <v/>
      </c>
      <c r="H320" s="29">
        <f>IF($P320="","",IF(INDEX(EntryDep,$P320)=0,"",INDEX(EntryDep,$P320)))</f>
        <v/>
      </c>
      <c r="I320" s="29">
        <f>IF($P320="","",IF(INDEX(EntryWit,$P320)=0,"",INDEX(EntryWit,$P320)))</f>
        <v/>
      </c>
      <c r="J320" s="29">
        <f>IF($B320="","",IF($A320=1,$C$7,IF(J319="",0,J319))+IF($H320="",0,$H320)-IF($I320="",0,$I320))</f>
        <v/>
      </c>
      <c r="K320" s="29">
        <f>IF($P320="","",IF(INDEX(EntryMan,$P320)=0,"",INDEX(EntryMan,$P320)))</f>
        <v/>
      </c>
      <c r="L320" s="28">
        <f>IF($B320="","",IF($K320="","—",IF(ROUND($K320-$J320,0)=0,"√","×")))</f>
        <v/>
      </c>
      <c r="M320" s="28">
        <f>IF($B320="","",IF(COUNTIFS(EntryDates,$B320,CalcTime,$C320,CalcBank,$C$5,EntryParty,$D320,EntryDep,$H320,EntryWit,$I320)&gt;1,"تکرار",""))</f>
        <v/>
      </c>
      <c r="N320" s="28">
        <f>IF($P320="","",IF(INDEX(EntryNotes,$P320)=0,"",INDEX(EntryNotes,$P320)))</f>
        <v/>
      </c>
      <c r="O320" s="28">
        <f>IF($P320="","",IF(INDEX(EntryTxnID,$P320)=0,"",INDEX(EntryTxnID,$P320)))</f>
        <v/>
      </c>
      <c r="P320" s="28">
        <f>IFERROR(MATCH($C$5&amp;"|"&amp;RIGHT("000000"&amp;304,6),CalcRankKey,0),"")</f>
        <v/>
      </c>
    </row>
    <row r="321">
      <c r="A321" s="26">
        <f>IF($B321="","",305)</f>
        <v/>
      </c>
      <c r="B321" s="26">
        <f>IF($P321="","",IF(INDEX(CalcNormDate,$P321)=0,"",INDEX(CalcNormDate,$P321)))</f>
        <v/>
      </c>
      <c r="C321" s="26">
        <f>IF($P321="","",IF(INDEX(CalcTime,$P321)=0,"",INDEX(CalcTime,$P321)))</f>
        <v/>
      </c>
      <c r="D321" s="26">
        <f>IF($P321="","",IF(INDEX(EntryParty,$P321)=0,"",INDEX(EntryParty,$P321)))</f>
        <v/>
      </c>
      <c r="E321" s="26">
        <f>IF($P321="","",IF(INDEX(EntryPartyName,$P321)=0,"",INDEX(EntryPartyName,$P321)))</f>
        <v/>
      </c>
      <c r="F321" s="26">
        <f>IF($P321="","",IF(INDEX(EntryPartyType,$P321)=0,"",INDEX(EntryPartyType,$P321)))</f>
        <v/>
      </c>
      <c r="G321" s="26">
        <f>IF($P321="","",IF(INDEX(EntryTxnType,$P321)=0,"",INDEX(EntryTxnType,$P321)))</f>
        <v/>
      </c>
      <c r="H321" s="27">
        <f>IF($P321="","",IF(INDEX(EntryDep,$P321)=0,"",INDEX(EntryDep,$P321)))</f>
        <v/>
      </c>
      <c r="I321" s="27">
        <f>IF($P321="","",IF(INDEX(EntryWit,$P321)=0,"",INDEX(EntryWit,$P321)))</f>
        <v/>
      </c>
      <c r="J321" s="27">
        <f>IF($B321="","",IF($A321=1,$C$7,IF(J320="",0,J320))+IF($H321="",0,$H321)-IF($I321="",0,$I321))</f>
        <v/>
      </c>
      <c r="K321" s="27">
        <f>IF($P321="","",IF(INDEX(EntryMan,$P321)=0,"",INDEX(EntryMan,$P321)))</f>
        <v/>
      </c>
      <c r="L321" s="26">
        <f>IF($B321="","",IF($K321="","—",IF(ROUND($K321-$J321,0)=0,"√","×")))</f>
        <v/>
      </c>
      <c r="M321" s="26">
        <f>IF($B321="","",IF(COUNTIFS(EntryDates,$B321,CalcTime,$C321,CalcBank,$C$5,EntryParty,$D321,EntryDep,$H321,EntryWit,$I321)&gt;1,"تکرار",""))</f>
        <v/>
      </c>
      <c r="N321" s="26">
        <f>IF($P321="","",IF(INDEX(EntryNotes,$P321)=0,"",INDEX(EntryNotes,$P321)))</f>
        <v/>
      </c>
      <c r="O321" s="26">
        <f>IF($P321="","",IF(INDEX(EntryTxnID,$P321)=0,"",INDEX(EntryTxnID,$P321)))</f>
        <v/>
      </c>
      <c r="P321" s="26">
        <f>IFERROR(MATCH($C$5&amp;"|"&amp;RIGHT("000000"&amp;305,6),CalcRankKey,0),"")</f>
        <v/>
      </c>
    </row>
    <row r="322">
      <c r="A322" s="28">
        <f>IF($B322="","",306)</f>
        <v/>
      </c>
      <c r="B322" s="28">
        <f>IF($P322="","",IF(INDEX(CalcNormDate,$P322)=0,"",INDEX(CalcNormDate,$P322)))</f>
        <v/>
      </c>
      <c r="C322" s="28">
        <f>IF($P322="","",IF(INDEX(CalcTime,$P322)=0,"",INDEX(CalcTime,$P322)))</f>
        <v/>
      </c>
      <c r="D322" s="28">
        <f>IF($P322="","",IF(INDEX(EntryParty,$P322)=0,"",INDEX(EntryParty,$P322)))</f>
        <v/>
      </c>
      <c r="E322" s="28">
        <f>IF($P322="","",IF(INDEX(EntryPartyName,$P322)=0,"",INDEX(EntryPartyName,$P322)))</f>
        <v/>
      </c>
      <c r="F322" s="28">
        <f>IF($P322="","",IF(INDEX(EntryPartyType,$P322)=0,"",INDEX(EntryPartyType,$P322)))</f>
        <v/>
      </c>
      <c r="G322" s="28">
        <f>IF($P322="","",IF(INDEX(EntryTxnType,$P322)=0,"",INDEX(EntryTxnType,$P322)))</f>
        <v/>
      </c>
      <c r="H322" s="29">
        <f>IF($P322="","",IF(INDEX(EntryDep,$P322)=0,"",INDEX(EntryDep,$P322)))</f>
        <v/>
      </c>
      <c r="I322" s="29">
        <f>IF($P322="","",IF(INDEX(EntryWit,$P322)=0,"",INDEX(EntryWit,$P322)))</f>
        <v/>
      </c>
      <c r="J322" s="29">
        <f>IF($B322="","",IF($A322=1,$C$7,IF(J321="",0,J321))+IF($H322="",0,$H322)-IF($I322="",0,$I322))</f>
        <v/>
      </c>
      <c r="K322" s="29">
        <f>IF($P322="","",IF(INDEX(EntryMan,$P322)=0,"",INDEX(EntryMan,$P322)))</f>
        <v/>
      </c>
      <c r="L322" s="28">
        <f>IF($B322="","",IF($K322="","—",IF(ROUND($K322-$J322,0)=0,"√","×")))</f>
        <v/>
      </c>
      <c r="M322" s="28">
        <f>IF($B322="","",IF(COUNTIFS(EntryDates,$B322,CalcTime,$C322,CalcBank,$C$5,EntryParty,$D322,EntryDep,$H322,EntryWit,$I322)&gt;1,"تکرار",""))</f>
        <v/>
      </c>
      <c r="N322" s="28">
        <f>IF($P322="","",IF(INDEX(EntryNotes,$P322)=0,"",INDEX(EntryNotes,$P322)))</f>
        <v/>
      </c>
      <c r="O322" s="28">
        <f>IF($P322="","",IF(INDEX(EntryTxnID,$P322)=0,"",INDEX(EntryTxnID,$P322)))</f>
        <v/>
      </c>
      <c r="P322" s="28">
        <f>IFERROR(MATCH($C$5&amp;"|"&amp;RIGHT("000000"&amp;306,6),CalcRankKey,0),"")</f>
        <v/>
      </c>
    </row>
    <row r="323">
      <c r="A323" s="26">
        <f>IF($B323="","",307)</f>
        <v/>
      </c>
      <c r="B323" s="26">
        <f>IF($P323="","",IF(INDEX(CalcNormDate,$P323)=0,"",INDEX(CalcNormDate,$P323)))</f>
        <v/>
      </c>
      <c r="C323" s="26">
        <f>IF($P323="","",IF(INDEX(CalcTime,$P323)=0,"",INDEX(CalcTime,$P323)))</f>
        <v/>
      </c>
      <c r="D323" s="26">
        <f>IF($P323="","",IF(INDEX(EntryParty,$P323)=0,"",INDEX(EntryParty,$P323)))</f>
        <v/>
      </c>
      <c r="E323" s="26">
        <f>IF($P323="","",IF(INDEX(EntryPartyName,$P323)=0,"",INDEX(EntryPartyName,$P323)))</f>
        <v/>
      </c>
      <c r="F323" s="26">
        <f>IF($P323="","",IF(INDEX(EntryPartyType,$P323)=0,"",INDEX(EntryPartyType,$P323)))</f>
        <v/>
      </c>
      <c r="G323" s="26">
        <f>IF($P323="","",IF(INDEX(EntryTxnType,$P323)=0,"",INDEX(EntryTxnType,$P323)))</f>
        <v/>
      </c>
      <c r="H323" s="27">
        <f>IF($P323="","",IF(INDEX(EntryDep,$P323)=0,"",INDEX(EntryDep,$P323)))</f>
        <v/>
      </c>
      <c r="I323" s="27">
        <f>IF($P323="","",IF(INDEX(EntryWit,$P323)=0,"",INDEX(EntryWit,$P323)))</f>
        <v/>
      </c>
      <c r="J323" s="27">
        <f>IF($B323="","",IF($A323=1,$C$7,IF(J322="",0,J322))+IF($H323="",0,$H323)-IF($I323="",0,$I323))</f>
        <v/>
      </c>
      <c r="K323" s="27">
        <f>IF($P323="","",IF(INDEX(EntryMan,$P323)=0,"",INDEX(EntryMan,$P323)))</f>
        <v/>
      </c>
      <c r="L323" s="26">
        <f>IF($B323="","",IF($K323="","—",IF(ROUND($K323-$J323,0)=0,"√","×")))</f>
        <v/>
      </c>
      <c r="M323" s="26">
        <f>IF($B323="","",IF(COUNTIFS(EntryDates,$B323,CalcTime,$C323,CalcBank,$C$5,EntryParty,$D323,EntryDep,$H323,EntryWit,$I323)&gt;1,"تکرار",""))</f>
        <v/>
      </c>
      <c r="N323" s="26">
        <f>IF($P323="","",IF(INDEX(EntryNotes,$P323)=0,"",INDEX(EntryNotes,$P323)))</f>
        <v/>
      </c>
      <c r="O323" s="26">
        <f>IF($P323="","",IF(INDEX(EntryTxnID,$P323)=0,"",INDEX(EntryTxnID,$P323)))</f>
        <v/>
      </c>
      <c r="P323" s="26">
        <f>IFERROR(MATCH($C$5&amp;"|"&amp;RIGHT("000000"&amp;307,6),CalcRankKey,0),"")</f>
        <v/>
      </c>
    </row>
    <row r="324">
      <c r="A324" s="28">
        <f>IF($B324="","",308)</f>
        <v/>
      </c>
      <c r="B324" s="28">
        <f>IF($P324="","",IF(INDEX(CalcNormDate,$P324)=0,"",INDEX(CalcNormDate,$P324)))</f>
        <v/>
      </c>
      <c r="C324" s="28">
        <f>IF($P324="","",IF(INDEX(CalcTime,$P324)=0,"",INDEX(CalcTime,$P324)))</f>
        <v/>
      </c>
      <c r="D324" s="28">
        <f>IF($P324="","",IF(INDEX(EntryParty,$P324)=0,"",INDEX(EntryParty,$P324)))</f>
        <v/>
      </c>
      <c r="E324" s="28">
        <f>IF($P324="","",IF(INDEX(EntryPartyName,$P324)=0,"",INDEX(EntryPartyName,$P324)))</f>
        <v/>
      </c>
      <c r="F324" s="28">
        <f>IF($P324="","",IF(INDEX(EntryPartyType,$P324)=0,"",INDEX(EntryPartyType,$P324)))</f>
        <v/>
      </c>
      <c r="G324" s="28">
        <f>IF($P324="","",IF(INDEX(EntryTxnType,$P324)=0,"",INDEX(EntryTxnType,$P324)))</f>
        <v/>
      </c>
      <c r="H324" s="29">
        <f>IF($P324="","",IF(INDEX(EntryDep,$P324)=0,"",INDEX(EntryDep,$P324)))</f>
        <v/>
      </c>
      <c r="I324" s="29">
        <f>IF($P324="","",IF(INDEX(EntryWit,$P324)=0,"",INDEX(EntryWit,$P324)))</f>
        <v/>
      </c>
      <c r="J324" s="29">
        <f>IF($B324="","",IF($A324=1,$C$7,IF(J323="",0,J323))+IF($H324="",0,$H324)-IF($I324="",0,$I324))</f>
        <v/>
      </c>
      <c r="K324" s="29">
        <f>IF($P324="","",IF(INDEX(EntryMan,$P324)=0,"",INDEX(EntryMan,$P324)))</f>
        <v/>
      </c>
      <c r="L324" s="28">
        <f>IF($B324="","",IF($K324="","—",IF(ROUND($K324-$J324,0)=0,"√","×")))</f>
        <v/>
      </c>
      <c r="M324" s="28">
        <f>IF($B324="","",IF(COUNTIFS(EntryDates,$B324,CalcTime,$C324,CalcBank,$C$5,EntryParty,$D324,EntryDep,$H324,EntryWit,$I324)&gt;1,"تکرار",""))</f>
        <v/>
      </c>
      <c r="N324" s="28">
        <f>IF($P324="","",IF(INDEX(EntryNotes,$P324)=0,"",INDEX(EntryNotes,$P324)))</f>
        <v/>
      </c>
      <c r="O324" s="28">
        <f>IF($P324="","",IF(INDEX(EntryTxnID,$P324)=0,"",INDEX(EntryTxnID,$P324)))</f>
        <v/>
      </c>
      <c r="P324" s="28">
        <f>IFERROR(MATCH($C$5&amp;"|"&amp;RIGHT("000000"&amp;308,6),CalcRankKey,0),"")</f>
        <v/>
      </c>
    </row>
    <row r="325">
      <c r="A325" s="26">
        <f>IF($B325="","",309)</f>
        <v/>
      </c>
      <c r="B325" s="26">
        <f>IF($P325="","",IF(INDEX(CalcNormDate,$P325)=0,"",INDEX(CalcNormDate,$P325)))</f>
        <v/>
      </c>
      <c r="C325" s="26">
        <f>IF($P325="","",IF(INDEX(CalcTime,$P325)=0,"",INDEX(CalcTime,$P325)))</f>
        <v/>
      </c>
      <c r="D325" s="26">
        <f>IF($P325="","",IF(INDEX(EntryParty,$P325)=0,"",INDEX(EntryParty,$P325)))</f>
        <v/>
      </c>
      <c r="E325" s="26">
        <f>IF($P325="","",IF(INDEX(EntryPartyName,$P325)=0,"",INDEX(EntryPartyName,$P325)))</f>
        <v/>
      </c>
      <c r="F325" s="26">
        <f>IF($P325="","",IF(INDEX(EntryPartyType,$P325)=0,"",INDEX(EntryPartyType,$P325)))</f>
        <v/>
      </c>
      <c r="G325" s="26">
        <f>IF($P325="","",IF(INDEX(EntryTxnType,$P325)=0,"",INDEX(EntryTxnType,$P325)))</f>
        <v/>
      </c>
      <c r="H325" s="27">
        <f>IF($P325="","",IF(INDEX(EntryDep,$P325)=0,"",INDEX(EntryDep,$P325)))</f>
        <v/>
      </c>
      <c r="I325" s="27">
        <f>IF($P325="","",IF(INDEX(EntryWit,$P325)=0,"",INDEX(EntryWit,$P325)))</f>
        <v/>
      </c>
      <c r="J325" s="27">
        <f>IF($B325="","",IF($A325=1,$C$7,IF(J324="",0,J324))+IF($H325="",0,$H325)-IF($I325="",0,$I325))</f>
        <v/>
      </c>
      <c r="K325" s="27">
        <f>IF($P325="","",IF(INDEX(EntryMan,$P325)=0,"",INDEX(EntryMan,$P325)))</f>
        <v/>
      </c>
      <c r="L325" s="26">
        <f>IF($B325="","",IF($K325="","—",IF(ROUND($K325-$J325,0)=0,"√","×")))</f>
        <v/>
      </c>
      <c r="M325" s="26">
        <f>IF($B325="","",IF(COUNTIFS(EntryDates,$B325,CalcTime,$C325,CalcBank,$C$5,EntryParty,$D325,EntryDep,$H325,EntryWit,$I325)&gt;1,"تکرار",""))</f>
        <v/>
      </c>
      <c r="N325" s="26">
        <f>IF($P325="","",IF(INDEX(EntryNotes,$P325)=0,"",INDEX(EntryNotes,$P325)))</f>
        <v/>
      </c>
      <c r="O325" s="26">
        <f>IF($P325="","",IF(INDEX(EntryTxnID,$P325)=0,"",INDEX(EntryTxnID,$P325)))</f>
        <v/>
      </c>
      <c r="P325" s="26">
        <f>IFERROR(MATCH($C$5&amp;"|"&amp;RIGHT("000000"&amp;309,6),CalcRankKey,0),"")</f>
        <v/>
      </c>
    </row>
    <row r="326">
      <c r="A326" s="28">
        <f>IF($B326="","",310)</f>
        <v/>
      </c>
      <c r="B326" s="28">
        <f>IF($P326="","",IF(INDEX(CalcNormDate,$P326)=0,"",INDEX(CalcNormDate,$P326)))</f>
        <v/>
      </c>
      <c r="C326" s="28">
        <f>IF($P326="","",IF(INDEX(CalcTime,$P326)=0,"",INDEX(CalcTime,$P326)))</f>
        <v/>
      </c>
      <c r="D326" s="28">
        <f>IF($P326="","",IF(INDEX(EntryParty,$P326)=0,"",INDEX(EntryParty,$P326)))</f>
        <v/>
      </c>
      <c r="E326" s="28">
        <f>IF($P326="","",IF(INDEX(EntryPartyName,$P326)=0,"",INDEX(EntryPartyName,$P326)))</f>
        <v/>
      </c>
      <c r="F326" s="28">
        <f>IF($P326="","",IF(INDEX(EntryPartyType,$P326)=0,"",INDEX(EntryPartyType,$P326)))</f>
        <v/>
      </c>
      <c r="G326" s="28">
        <f>IF($P326="","",IF(INDEX(EntryTxnType,$P326)=0,"",INDEX(EntryTxnType,$P326)))</f>
        <v/>
      </c>
      <c r="H326" s="29">
        <f>IF($P326="","",IF(INDEX(EntryDep,$P326)=0,"",INDEX(EntryDep,$P326)))</f>
        <v/>
      </c>
      <c r="I326" s="29">
        <f>IF($P326="","",IF(INDEX(EntryWit,$P326)=0,"",INDEX(EntryWit,$P326)))</f>
        <v/>
      </c>
      <c r="J326" s="29">
        <f>IF($B326="","",IF($A326=1,$C$7,IF(J325="",0,J325))+IF($H326="",0,$H326)-IF($I326="",0,$I326))</f>
        <v/>
      </c>
      <c r="K326" s="29">
        <f>IF($P326="","",IF(INDEX(EntryMan,$P326)=0,"",INDEX(EntryMan,$P326)))</f>
        <v/>
      </c>
      <c r="L326" s="28">
        <f>IF($B326="","",IF($K326="","—",IF(ROUND($K326-$J326,0)=0,"√","×")))</f>
        <v/>
      </c>
      <c r="M326" s="28">
        <f>IF($B326="","",IF(COUNTIFS(EntryDates,$B326,CalcTime,$C326,CalcBank,$C$5,EntryParty,$D326,EntryDep,$H326,EntryWit,$I326)&gt;1,"تکرار",""))</f>
        <v/>
      </c>
      <c r="N326" s="28">
        <f>IF($P326="","",IF(INDEX(EntryNotes,$P326)=0,"",INDEX(EntryNotes,$P326)))</f>
        <v/>
      </c>
      <c r="O326" s="28">
        <f>IF($P326="","",IF(INDEX(EntryTxnID,$P326)=0,"",INDEX(EntryTxnID,$P326)))</f>
        <v/>
      </c>
      <c r="P326" s="28">
        <f>IFERROR(MATCH($C$5&amp;"|"&amp;RIGHT("000000"&amp;310,6),CalcRankKey,0),"")</f>
        <v/>
      </c>
    </row>
    <row r="327">
      <c r="A327" s="26">
        <f>IF($B327="","",311)</f>
        <v/>
      </c>
      <c r="B327" s="26">
        <f>IF($P327="","",IF(INDEX(CalcNormDate,$P327)=0,"",INDEX(CalcNormDate,$P327)))</f>
        <v/>
      </c>
      <c r="C327" s="26">
        <f>IF($P327="","",IF(INDEX(CalcTime,$P327)=0,"",INDEX(CalcTime,$P327)))</f>
        <v/>
      </c>
      <c r="D327" s="26">
        <f>IF($P327="","",IF(INDEX(EntryParty,$P327)=0,"",INDEX(EntryParty,$P327)))</f>
        <v/>
      </c>
      <c r="E327" s="26">
        <f>IF($P327="","",IF(INDEX(EntryPartyName,$P327)=0,"",INDEX(EntryPartyName,$P327)))</f>
        <v/>
      </c>
      <c r="F327" s="26">
        <f>IF($P327="","",IF(INDEX(EntryPartyType,$P327)=0,"",INDEX(EntryPartyType,$P327)))</f>
        <v/>
      </c>
      <c r="G327" s="26">
        <f>IF($P327="","",IF(INDEX(EntryTxnType,$P327)=0,"",INDEX(EntryTxnType,$P327)))</f>
        <v/>
      </c>
      <c r="H327" s="27">
        <f>IF($P327="","",IF(INDEX(EntryDep,$P327)=0,"",INDEX(EntryDep,$P327)))</f>
        <v/>
      </c>
      <c r="I327" s="27">
        <f>IF($P327="","",IF(INDEX(EntryWit,$P327)=0,"",INDEX(EntryWit,$P327)))</f>
        <v/>
      </c>
      <c r="J327" s="27">
        <f>IF($B327="","",IF($A327=1,$C$7,IF(J326="",0,J326))+IF($H327="",0,$H327)-IF($I327="",0,$I327))</f>
        <v/>
      </c>
      <c r="K327" s="27">
        <f>IF($P327="","",IF(INDEX(EntryMan,$P327)=0,"",INDEX(EntryMan,$P327)))</f>
        <v/>
      </c>
      <c r="L327" s="26">
        <f>IF($B327="","",IF($K327="","—",IF(ROUND($K327-$J327,0)=0,"√","×")))</f>
        <v/>
      </c>
      <c r="M327" s="26">
        <f>IF($B327="","",IF(COUNTIFS(EntryDates,$B327,CalcTime,$C327,CalcBank,$C$5,EntryParty,$D327,EntryDep,$H327,EntryWit,$I327)&gt;1,"تکرار",""))</f>
        <v/>
      </c>
      <c r="N327" s="26">
        <f>IF($P327="","",IF(INDEX(EntryNotes,$P327)=0,"",INDEX(EntryNotes,$P327)))</f>
        <v/>
      </c>
      <c r="O327" s="26">
        <f>IF($P327="","",IF(INDEX(EntryTxnID,$P327)=0,"",INDEX(EntryTxnID,$P327)))</f>
        <v/>
      </c>
      <c r="P327" s="26">
        <f>IFERROR(MATCH($C$5&amp;"|"&amp;RIGHT("000000"&amp;311,6),CalcRankKey,0),"")</f>
        <v/>
      </c>
    </row>
    <row r="328">
      <c r="A328" s="28">
        <f>IF($B328="","",312)</f>
        <v/>
      </c>
      <c r="B328" s="28">
        <f>IF($P328="","",IF(INDEX(CalcNormDate,$P328)=0,"",INDEX(CalcNormDate,$P328)))</f>
        <v/>
      </c>
      <c r="C328" s="28">
        <f>IF($P328="","",IF(INDEX(CalcTime,$P328)=0,"",INDEX(CalcTime,$P328)))</f>
        <v/>
      </c>
      <c r="D328" s="28">
        <f>IF($P328="","",IF(INDEX(EntryParty,$P328)=0,"",INDEX(EntryParty,$P328)))</f>
        <v/>
      </c>
      <c r="E328" s="28">
        <f>IF($P328="","",IF(INDEX(EntryPartyName,$P328)=0,"",INDEX(EntryPartyName,$P328)))</f>
        <v/>
      </c>
      <c r="F328" s="28">
        <f>IF($P328="","",IF(INDEX(EntryPartyType,$P328)=0,"",INDEX(EntryPartyType,$P328)))</f>
        <v/>
      </c>
      <c r="G328" s="28">
        <f>IF($P328="","",IF(INDEX(EntryTxnType,$P328)=0,"",INDEX(EntryTxnType,$P328)))</f>
        <v/>
      </c>
      <c r="H328" s="29">
        <f>IF($P328="","",IF(INDEX(EntryDep,$P328)=0,"",INDEX(EntryDep,$P328)))</f>
        <v/>
      </c>
      <c r="I328" s="29">
        <f>IF($P328="","",IF(INDEX(EntryWit,$P328)=0,"",INDEX(EntryWit,$P328)))</f>
        <v/>
      </c>
      <c r="J328" s="29">
        <f>IF($B328="","",IF($A328=1,$C$7,IF(J327="",0,J327))+IF($H328="",0,$H328)-IF($I328="",0,$I328))</f>
        <v/>
      </c>
      <c r="K328" s="29">
        <f>IF($P328="","",IF(INDEX(EntryMan,$P328)=0,"",INDEX(EntryMan,$P328)))</f>
        <v/>
      </c>
      <c r="L328" s="28">
        <f>IF($B328="","",IF($K328="","—",IF(ROUND($K328-$J328,0)=0,"√","×")))</f>
        <v/>
      </c>
      <c r="M328" s="28">
        <f>IF($B328="","",IF(COUNTIFS(EntryDates,$B328,CalcTime,$C328,CalcBank,$C$5,EntryParty,$D328,EntryDep,$H328,EntryWit,$I328)&gt;1,"تکرار",""))</f>
        <v/>
      </c>
      <c r="N328" s="28">
        <f>IF($P328="","",IF(INDEX(EntryNotes,$P328)=0,"",INDEX(EntryNotes,$P328)))</f>
        <v/>
      </c>
      <c r="O328" s="28">
        <f>IF($P328="","",IF(INDEX(EntryTxnID,$P328)=0,"",INDEX(EntryTxnID,$P328)))</f>
        <v/>
      </c>
      <c r="P328" s="28">
        <f>IFERROR(MATCH($C$5&amp;"|"&amp;RIGHT("000000"&amp;312,6),CalcRankKey,0),"")</f>
        <v/>
      </c>
    </row>
    <row r="329">
      <c r="A329" s="26">
        <f>IF($B329="","",313)</f>
        <v/>
      </c>
      <c r="B329" s="26">
        <f>IF($P329="","",IF(INDEX(CalcNormDate,$P329)=0,"",INDEX(CalcNormDate,$P329)))</f>
        <v/>
      </c>
      <c r="C329" s="26">
        <f>IF($P329="","",IF(INDEX(CalcTime,$P329)=0,"",INDEX(CalcTime,$P329)))</f>
        <v/>
      </c>
      <c r="D329" s="26">
        <f>IF($P329="","",IF(INDEX(EntryParty,$P329)=0,"",INDEX(EntryParty,$P329)))</f>
        <v/>
      </c>
      <c r="E329" s="26">
        <f>IF($P329="","",IF(INDEX(EntryPartyName,$P329)=0,"",INDEX(EntryPartyName,$P329)))</f>
        <v/>
      </c>
      <c r="F329" s="26">
        <f>IF($P329="","",IF(INDEX(EntryPartyType,$P329)=0,"",INDEX(EntryPartyType,$P329)))</f>
        <v/>
      </c>
      <c r="G329" s="26">
        <f>IF($P329="","",IF(INDEX(EntryTxnType,$P329)=0,"",INDEX(EntryTxnType,$P329)))</f>
        <v/>
      </c>
      <c r="H329" s="27">
        <f>IF($P329="","",IF(INDEX(EntryDep,$P329)=0,"",INDEX(EntryDep,$P329)))</f>
        <v/>
      </c>
      <c r="I329" s="27">
        <f>IF($P329="","",IF(INDEX(EntryWit,$P329)=0,"",INDEX(EntryWit,$P329)))</f>
        <v/>
      </c>
      <c r="J329" s="27">
        <f>IF($B329="","",IF($A329=1,$C$7,IF(J328="",0,J328))+IF($H329="",0,$H329)-IF($I329="",0,$I329))</f>
        <v/>
      </c>
      <c r="K329" s="27">
        <f>IF($P329="","",IF(INDEX(EntryMan,$P329)=0,"",INDEX(EntryMan,$P329)))</f>
        <v/>
      </c>
      <c r="L329" s="26">
        <f>IF($B329="","",IF($K329="","—",IF(ROUND($K329-$J329,0)=0,"√","×")))</f>
        <v/>
      </c>
      <c r="M329" s="26">
        <f>IF($B329="","",IF(COUNTIFS(EntryDates,$B329,CalcTime,$C329,CalcBank,$C$5,EntryParty,$D329,EntryDep,$H329,EntryWit,$I329)&gt;1,"تکرار",""))</f>
        <v/>
      </c>
      <c r="N329" s="26">
        <f>IF($P329="","",IF(INDEX(EntryNotes,$P329)=0,"",INDEX(EntryNotes,$P329)))</f>
        <v/>
      </c>
      <c r="O329" s="26">
        <f>IF($P329="","",IF(INDEX(EntryTxnID,$P329)=0,"",INDEX(EntryTxnID,$P329)))</f>
        <v/>
      </c>
      <c r="P329" s="26">
        <f>IFERROR(MATCH($C$5&amp;"|"&amp;RIGHT("000000"&amp;313,6),CalcRankKey,0),"")</f>
        <v/>
      </c>
    </row>
    <row r="330">
      <c r="A330" s="28">
        <f>IF($B330="","",314)</f>
        <v/>
      </c>
      <c r="B330" s="28">
        <f>IF($P330="","",IF(INDEX(CalcNormDate,$P330)=0,"",INDEX(CalcNormDate,$P330)))</f>
        <v/>
      </c>
      <c r="C330" s="28">
        <f>IF($P330="","",IF(INDEX(CalcTime,$P330)=0,"",INDEX(CalcTime,$P330)))</f>
        <v/>
      </c>
      <c r="D330" s="28">
        <f>IF($P330="","",IF(INDEX(EntryParty,$P330)=0,"",INDEX(EntryParty,$P330)))</f>
        <v/>
      </c>
      <c r="E330" s="28">
        <f>IF($P330="","",IF(INDEX(EntryPartyName,$P330)=0,"",INDEX(EntryPartyName,$P330)))</f>
        <v/>
      </c>
      <c r="F330" s="28">
        <f>IF($P330="","",IF(INDEX(EntryPartyType,$P330)=0,"",INDEX(EntryPartyType,$P330)))</f>
        <v/>
      </c>
      <c r="G330" s="28">
        <f>IF($P330="","",IF(INDEX(EntryTxnType,$P330)=0,"",INDEX(EntryTxnType,$P330)))</f>
        <v/>
      </c>
      <c r="H330" s="29">
        <f>IF($P330="","",IF(INDEX(EntryDep,$P330)=0,"",INDEX(EntryDep,$P330)))</f>
        <v/>
      </c>
      <c r="I330" s="29">
        <f>IF($P330="","",IF(INDEX(EntryWit,$P330)=0,"",INDEX(EntryWit,$P330)))</f>
        <v/>
      </c>
      <c r="J330" s="29">
        <f>IF($B330="","",IF($A330=1,$C$7,IF(J329="",0,J329))+IF($H330="",0,$H330)-IF($I330="",0,$I330))</f>
        <v/>
      </c>
      <c r="K330" s="29">
        <f>IF($P330="","",IF(INDEX(EntryMan,$P330)=0,"",INDEX(EntryMan,$P330)))</f>
        <v/>
      </c>
      <c r="L330" s="28">
        <f>IF($B330="","",IF($K330="","—",IF(ROUND($K330-$J330,0)=0,"√","×")))</f>
        <v/>
      </c>
      <c r="M330" s="28">
        <f>IF($B330="","",IF(COUNTIFS(EntryDates,$B330,CalcTime,$C330,CalcBank,$C$5,EntryParty,$D330,EntryDep,$H330,EntryWit,$I330)&gt;1,"تکرار",""))</f>
        <v/>
      </c>
      <c r="N330" s="28">
        <f>IF($P330="","",IF(INDEX(EntryNotes,$P330)=0,"",INDEX(EntryNotes,$P330)))</f>
        <v/>
      </c>
      <c r="O330" s="28">
        <f>IF($P330="","",IF(INDEX(EntryTxnID,$P330)=0,"",INDEX(EntryTxnID,$P330)))</f>
        <v/>
      </c>
      <c r="P330" s="28">
        <f>IFERROR(MATCH($C$5&amp;"|"&amp;RIGHT("000000"&amp;314,6),CalcRankKey,0),"")</f>
        <v/>
      </c>
    </row>
    <row r="331">
      <c r="A331" s="26">
        <f>IF($B331="","",315)</f>
        <v/>
      </c>
      <c r="B331" s="26">
        <f>IF($P331="","",IF(INDEX(CalcNormDate,$P331)=0,"",INDEX(CalcNormDate,$P331)))</f>
        <v/>
      </c>
      <c r="C331" s="26">
        <f>IF($P331="","",IF(INDEX(CalcTime,$P331)=0,"",INDEX(CalcTime,$P331)))</f>
        <v/>
      </c>
      <c r="D331" s="26">
        <f>IF($P331="","",IF(INDEX(EntryParty,$P331)=0,"",INDEX(EntryParty,$P331)))</f>
        <v/>
      </c>
      <c r="E331" s="26">
        <f>IF($P331="","",IF(INDEX(EntryPartyName,$P331)=0,"",INDEX(EntryPartyName,$P331)))</f>
        <v/>
      </c>
      <c r="F331" s="26">
        <f>IF($P331="","",IF(INDEX(EntryPartyType,$P331)=0,"",INDEX(EntryPartyType,$P331)))</f>
        <v/>
      </c>
      <c r="G331" s="26">
        <f>IF($P331="","",IF(INDEX(EntryTxnType,$P331)=0,"",INDEX(EntryTxnType,$P331)))</f>
        <v/>
      </c>
      <c r="H331" s="27">
        <f>IF($P331="","",IF(INDEX(EntryDep,$P331)=0,"",INDEX(EntryDep,$P331)))</f>
        <v/>
      </c>
      <c r="I331" s="27">
        <f>IF($P331="","",IF(INDEX(EntryWit,$P331)=0,"",INDEX(EntryWit,$P331)))</f>
        <v/>
      </c>
      <c r="J331" s="27">
        <f>IF($B331="","",IF($A331=1,$C$7,IF(J330="",0,J330))+IF($H331="",0,$H331)-IF($I331="",0,$I331))</f>
        <v/>
      </c>
      <c r="K331" s="27">
        <f>IF($P331="","",IF(INDEX(EntryMan,$P331)=0,"",INDEX(EntryMan,$P331)))</f>
        <v/>
      </c>
      <c r="L331" s="26">
        <f>IF($B331="","",IF($K331="","—",IF(ROUND($K331-$J331,0)=0,"√","×")))</f>
        <v/>
      </c>
      <c r="M331" s="26">
        <f>IF($B331="","",IF(COUNTIFS(EntryDates,$B331,CalcTime,$C331,CalcBank,$C$5,EntryParty,$D331,EntryDep,$H331,EntryWit,$I331)&gt;1,"تکرار",""))</f>
        <v/>
      </c>
      <c r="N331" s="26">
        <f>IF($P331="","",IF(INDEX(EntryNotes,$P331)=0,"",INDEX(EntryNotes,$P331)))</f>
        <v/>
      </c>
      <c r="O331" s="26">
        <f>IF($P331="","",IF(INDEX(EntryTxnID,$P331)=0,"",INDEX(EntryTxnID,$P331)))</f>
        <v/>
      </c>
      <c r="P331" s="26">
        <f>IFERROR(MATCH($C$5&amp;"|"&amp;RIGHT("000000"&amp;315,6),CalcRankKey,0),"")</f>
        <v/>
      </c>
    </row>
    <row r="332">
      <c r="A332" s="28">
        <f>IF($B332="","",316)</f>
        <v/>
      </c>
      <c r="B332" s="28">
        <f>IF($P332="","",IF(INDEX(CalcNormDate,$P332)=0,"",INDEX(CalcNormDate,$P332)))</f>
        <v/>
      </c>
      <c r="C332" s="28">
        <f>IF($P332="","",IF(INDEX(CalcTime,$P332)=0,"",INDEX(CalcTime,$P332)))</f>
        <v/>
      </c>
      <c r="D332" s="28">
        <f>IF($P332="","",IF(INDEX(EntryParty,$P332)=0,"",INDEX(EntryParty,$P332)))</f>
        <v/>
      </c>
      <c r="E332" s="28">
        <f>IF($P332="","",IF(INDEX(EntryPartyName,$P332)=0,"",INDEX(EntryPartyName,$P332)))</f>
        <v/>
      </c>
      <c r="F332" s="28">
        <f>IF($P332="","",IF(INDEX(EntryPartyType,$P332)=0,"",INDEX(EntryPartyType,$P332)))</f>
        <v/>
      </c>
      <c r="G332" s="28">
        <f>IF($P332="","",IF(INDEX(EntryTxnType,$P332)=0,"",INDEX(EntryTxnType,$P332)))</f>
        <v/>
      </c>
      <c r="H332" s="29">
        <f>IF($P332="","",IF(INDEX(EntryDep,$P332)=0,"",INDEX(EntryDep,$P332)))</f>
        <v/>
      </c>
      <c r="I332" s="29">
        <f>IF($P332="","",IF(INDEX(EntryWit,$P332)=0,"",INDEX(EntryWit,$P332)))</f>
        <v/>
      </c>
      <c r="J332" s="29">
        <f>IF($B332="","",IF($A332=1,$C$7,IF(J331="",0,J331))+IF($H332="",0,$H332)-IF($I332="",0,$I332))</f>
        <v/>
      </c>
      <c r="K332" s="29">
        <f>IF($P332="","",IF(INDEX(EntryMan,$P332)=0,"",INDEX(EntryMan,$P332)))</f>
        <v/>
      </c>
      <c r="L332" s="28">
        <f>IF($B332="","",IF($K332="","—",IF(ROUND($K332-$J332,0)=0,"√","×")))</f>
        <v/>
      </c>
      <c r="M332" s="28">
        <f>IF($B332="","",IF(COUNTIFS(EntryDates,$B332,CalcTime,$C332,CalcBank,$C$5,EntryParty,$D332,EntryDep,$H332,EntryWit,$I332)&gt;1,"تکرار",""))</f>
        <v/>
      </c>
      <c r="N332" s="28">
        <f>IF($P332="","",IF(INDEX(EntryNotes,$P332)=0,"",INDEX(EntryNotes,$P332)))</f>
        <v/>
      </c>
      <c r="O332" s="28">
        <f>IF($P332="","",IF(INDEX(EntryTxnID,$P332)=0,"",INDEX(EntryTxnID,$P332)))</f>
        <v/>
      </c>
      <c r="P332" s="28">
        <f>IFERROR(MATCH($C$5&amp;"|"&amp;RIGHT("000000"&amp;316,6),CalcRankKey,0),"")</f>
        <v/>
      </c>
    </row>
    <row r="333">
      <c r="A333" s="26">
        <f>IF($B333="","",317)</f>
        <v/>
      </c>
      <c r="B333" s="26">
        <f>IF($P333="","",IF(INDEX(CalcNormDate,$P333)=0,"",INDEX(CalcNormDate,$P333)))</f>
        <v/>
      </c>
      <c r="C333" s="26">
        <f>IF($P333="","",IF(INDEX(CalcTime,$P333)=0,"",INDEX(CalcTime,$P333)))</f>
        <v/>
      </c>
      <c r="D333" s="26">
        <f>IF($P333="","",IF(INDEX(EntryParty,$P333)=0,"",INDEX(EntryParty,$P333)))</f>
        <v/>
      </c>
      <c r="E333" s="26">
        <f>IF($P333="","",IF(INDEX(EntryPartyName,$P333)=0,"",INDEX(EntryPartyName,$P333)))</f>
        <v/>
      </c>
      <c r="F333" s="26">
        <f>IF($P333="","",IF(INDEX(EntryPartyType,$P333)=0,"",INDEX(EntryPartyType,$P333)))</f>
        <v/>
      </c>
      <c r="G333" s="26">
        <f>IF($P333="","",IF(INDEX(EntryTxnType,$P333)=0,"",INDEX(EntryTxnType,$P333)))</f>
        <v/>
      </c>
      <c r="H333" s="27">
        <f>IF($P333="","",IF(INDEX(EntryDep,$P333)=0,"",INDEX(EntryDep,$P333)))</f>
        <v/>
      </c>
      <c r="I333" s="27">
        <f>IF($P333="","",IF(INDEX(EntryWit,$P333)=0,"",INDEX(EntryWit,$P333)))</f>
        <v/>
      </c>
      <c r="J333" s="27">
        <f>IF($B333="","",IF($A333=1,$C$7,IF(J332="",0,J332))+IF($H333="",0,$H333)-IF($I333="",0,$I333))</f>
        <v/>
      </c>
      <c r="K333" s="27">
        <f>IF($P333="","",IF(INDEX(EntryMan,$P333)=0,"",INDEX(EntryMan,$P333)))</f>
        <v/>
      </c>
      <c r="L333" s="26">
        <f>IF($B333="","",IF($K333="","—",IF(ROUND($K333-$J333,0)=0,"√","×")))</f>
        <v/>
      </c>
      <c r="M333" s="26">
        <f>IF($B333="","",IF(COUNTIFS(EntryDates,$B333,CalcTime,$C333,CalcBank,$C$5,EntryParty,$D333,EntryDep,$H333,EntryWit,$I333)&gt;1,"تکرار",""))</f>
        <v/>
      </c>
      <c r="N333" s="26">
        <f>IF($P333="","",IF(INDEX(EntryNotes,$P333)=0,"",INDEX(EntryNotes,$P333)))</f>
        <v/>
      </c>
      <c r="O333" s="26">
        <f>IF($P333="","",IF(INDEX(EntryTxnID,$P333)=0,"",INDEX(EntryTxnID,$P333)))</f>
        <v/>
      </c>
      <c r="P333" s="26">
        <f>IFERROR(MATCH($C$5&amp;"|"&amp;RIGHT("000000"&amp;317,6),CalcRankKey,0),"")</f>
        <v/>
      </c>
    </row>
    <row r="334">
      <c r="A334" s="28">
        <f>IF($B334="","",318)</f>
        <v/>
      </c>
      <c r="B334" s="28">
        <f>IF($P334="","",IF(INDEX(CalcNormDate,$P334)=0,"",INDEX(CalcNormDate,$P334)))</f>
        <v/>
      </c>
      <c r="C334" s="28">
        <f>IF($P334="","",IF(INDEX(CalcTime,$P334)=0,"",INDEX(CalcTime,$P334)))</f>
        <v/>
      </c>
      <c r="D334" s="28">
        <f>IF($P334="","",IF(INDEX(EntryParty,$P334)=0,"",INDEX(EntryParty,$P334)))</f>
        <v/>
      </c>
      <c r="E334" s="28">
        <f>IF($P334="","",IF(INDEX(EntryPartyName,$P334)=0,"",INDEX(EntryPartyName,$P334)))</f>
        <v/>
      </c>
      <c r="F334" s="28">
        <f>IF($P334="","",IF(INDEX(EntryPartyType,$P334)=0,"",INDEX(EntryPartyType,$P334)))</f>
        <v/>
      </c>
      <c r="G334" s="28">
        <f>IF($P334="","",IF(INDEX(EntryTxnType,$P334)=0,"",INDEX(EntryTxnType,$P334)))</f>
        <v/>
      </c>
      <c r="H334" s="29">
        <f>IF($P334="","",IF(INDEX(EntryDep,$P334)=0,"",INDEX(EntryDep,$P334)))</f>
        <v/>
      </c>
      <c r="I334" s="29">
        <f>IF($P334="","",IF(INDEX(EntryWit,$P334)=0,"",INDEX(EntryWit,$P334)))</f>
        <v/>
      </c>
      <c r="J334" s="29">
        <f>IF($B334="","",IF($A334=1,$C$7,IF(J333="",0,J333))+IF($H334="",0,$H334)-IF($I334="",0,$I334))</f>
        <v/>
      </c>
      <c r="K334" s="29">
        <f>IF($P334="","",IF(INDEX(EntryMan,$P334)=0,"",INDEX(EntryMan,$P334)))</f>
        <v/>
      </c>
      <c r="L334" s="28">
        <f>IF($B334="","",IF($K334="","—",IF(ROUND($K334-$J334,0)=0,"√","×")))</f>
        <v/>
      </c>
      <c r="M334" s="28">
        <f>IF($B334="","",IF(COUNTIFS(EntryDates,$B334,CalcTime,$C334,CalcBank,$C$5,EntryParty,$D334,EntryDep,$H334,EntryWit,$I334)&gt;1,"تکرار",""))</f>
        <v/>
      </c>
      <c r="N334" s="28">
        <f>IF($P334="","",IF(INDEX(EntryNotes,$P334)=0,"",INDEX(EntryNotes,$P334)))</f>
        <v/>
      </c>
      <c r="O334" s="28">
        <f>IF($P334="","",IF(INDEX(EntryTxnID,$P334)=0,"",INDEX(EntryTxnID,$P334)))</f>
        <v/>
      </c>
      <c r="P334" s="28">
        <f>IFERROR(MATCH($C$5&amp;"|"&amp;RIGHT("000000"&amp;318,6),CalcRankKey,0),"")</f>
        <v/>
      </c>
    </row>
    <row r="335">
      <c r="A335" s="26">
        <f>IF($B335="","",319)</f>
        <v/>
      </c>
      <c r="B335" s="26">
        <f>IF($P335="","",IF(INDEX(CalcNormDate,$P335)=0,"",INDEX(CalcNormDate,$P335)))</f>
        <v/>
      </c>
      <c r="C335" s="26">
        <f>IF($P335="","",IF(INDEX(CalcTime,$P335)=0,"",INDEX(CalcTime,$P335)))</f>
        <v/>
      </c>
      <c r="D335" s="26">
        <f>IF($P335="","",IF(INDEX(EntryParty,$P335)=0,"",INDEX(EntryParty,$P335)))</f>
        <v/>
      </c>
      <c r="E335" s="26">
        <f>IF($P335="","",IF(INDEX(EntryPartyName,$P335)=0,"",INDEX(EntryPartyName,$P335)))</f>
        <v/>
      </c>
      <c r="F335" s="26">
        <f>IF($P335="","",IF(INDEX(EntryPartyType,$P335)=0,"",INDEX(EntryPartyType,$P335)))</f>
        <v/>
      </c>
      <c r="G335" s="26">
        <f>IF($P335="","",IF(INDEX(EntryTxnType,$P335)=0,"",INDEX(EntryTxnType,$P335)))</f>
        <v/>
      </c>
      <c r="H335" s="27">
        <f>IF($P335="","",IF(INDEX(EntryDep,$P335)=0,"",INDEX(EntryDep,$P335)))</f>
        <v/>
      </c>
      <c r="I335" s="27">
        <f>IF($P335="","",IF(INDEX(EntryWit,$P335)=0,"",INDEX(EntryWit,$P335)))</f>
        <v/>
      </c>
      <c r="J335" s="27">
        <f>IF($B335="","",IF($A335=1,$C$7,IF(J334="",0,J334))+IF($H335="",0,$H335)-IF($I335="",0,$I335))</f>
        <v/>
      </c>
      <c r="K335" s="27">
        <f>IF($P335="","",IF(INDEX(EntryMan,$P335)=0,"",INDEX(EntryMan,$P335)))</f>
        <v/>
      </c>
      <c r="L335" s="26">
        <f>IF($B335="","",IF($K335="","—",IF(ROUND($K335-$J335,0)=0,"√","×")))</f>
        <v/>
      </c>
      <c r="M335" s="26">
        <f>IF($B335="","",IF(COUNTIFS(EntryDates,$B335,CalcTime,$C335,CalcBank,$C$5,EntryParty,$D335,EntryDep,$H335,EntryWit,$I335)&gt;1,"تکرار",""))</f>
        <v/>
      </c>
      <c r="N335" s="26">
        <f>IF($P335="","",IF(INDEX(EntryNotes,$P335)=0,"",INDEX(EntryNotes,$P335)))</f>
        <v/>
      </c>
      <c r="O335" s="26">
        <f>IF($P335="","",IF(INDEX(EntryTxnID,$P335)=0,"",INDEX(EntryTxnID,$P335)))</f>
        <v/>
      </c>
      <c r="P335" s="26">
        <f>IFERROR(MATCH($C$5&amp;"|"&amp;RIGHT("000000"&amp;319,6),CalcRankKey,0),"")</f>
        <v/>
      </c>
    </row>
    <row r="336">
      <c r="A336" s="28">
        <f>IF($B336="","",320)</f>
        <v/>
      </c>
      <c r="B336" s="28">
        <f>IF($P336="","",IF(INDEX(CalcNormDate,$P336)=0,"",INDEX(CalcNormDate,$P336)))</f>
        <v/>
      </c>
      <c r="C336" s="28">
        <f>IF($P336="","",IF(INDEX(CalcTime,$P336)=0,"",INDEX(CalcTime,$P336)))</f>
        <v/>
      </c>
      <c r="D336" s="28">
        <f>IF($P336="","",IF(INDEX(EntryParty,$P336)=0,"",INDEX(EntryParty,$P336)))</f>
        <v/>
      </c>
      <c r="E336" s="28">
        <f>IF($P336="","",IF(INDEX(EntryPartyName,$P336)=0,"",INDEX(EntryPartyName,$P336)))</f>
        <v/>
      </c>
      <c r="F336" s="28">
        <f>IF($P336="","",IF(INDEX(EntryPartyType,$P336)=0,"",INDEX(EntryPartyType,$P336)))</f>
        <v/>
      </c>
      <c r="G336" s="28">
        <f>IF($P336="","",IF(INDEX(EntryTxnType,$P336)=0,"",INDEX(EntryTxnType,$P336)))</f>
        <v/>
      </c>
      <c r="H336" s="29">
        <f>IF($P336="","",IF(INDEX(EntryDep,$P336)=0,"",INDEX(EntryDep,$P336)))</f>
        <v/>
      </c>
      <c r="I336" s="29">
        <f>IF($P336="","",IF(INDEX(EntryWit,$P336)=0,"",INDEX(EntryWit,$P336)))</f>
        <v/>
      </c>
      <c r="J336" s="29">
        <f>IF($B336="","",IF($A336=1,$C$7,IF(J335="",0,J335))+IF($H336="",0,$H336)-IF($I336="",0,$I336))</f>
        <v/>
      </c>
      <c r="K336" s="29">
        <f>IF($P336="","",IF(INDEX(EntryMan,$P336)=0,"",INDEX(EntryMan,$P336)))</f>
        <v/>
      </c>
      <c r="L336" s="28">
        <f>IF($B336="","",IF($K336="","—",IF(ROUND($K336-$J336,0)=0,"√","×")))</f>
        <v/>
      </c>
      <c r="M336" s="28">
        <f>IF($B336="","",IF(COUNTIFS(EntryDates,$B336,CalcTime,$C336,CalcBank,$C$5,EntryParty,$D336,EntryDep,$H336,EntryWit,$I336)&gt;1,"تکرار",""))</f>
        <v/>
      </c>
      <c r="N336" s="28">
        <f>IF($P336="","",IF(INDEX(EntryNotes,$P336)=0,"",INDEX(EntryNotes,$P336)))</f>
        <v/>
      </c>
      <c r="O336" s="28">
        <f>IF($P336="","",IF(INDEX(EntryTxnID,$P336)=0,"",INDEX(EntryTxnID,$P336)))</f>
        <v/>
      </c>
      <c r="P336" s="28">
        <f>IFERROR(MATCH($C$5&amp;"|"&amp;RIGHT("000000"&amp;320,6),CalcRankKey,0),"")</f>
        <v/>
      </c>
    </row>
    <row r="337">
      <c r="A337" s="26">
        <f>IF($B337="","",321)</f>
        <v/>
      </c>
      <c r="B337" s="26">
        <f>IF($P337="","",IF(INDEX(CalcNormDate,$P337)=0,"",INDEX(CalcNormDate,$P337)))</f>
        <v/>
      </c>
      <c r="C337" s="26">
        <f>IF($P337="","",IF(INDEX(CalcTime,$P337)=0,"",INDEX(CalcTime,$P337)))</f>
        <v/>
      </c>
      <c r="D337" s="26">
        <f>IF($P337="","",IF(INDEX(EntryParty,$P337)=0,"",INDEX(EntryParty,$P337)))</f>
        <v/>
      </c>
      <c r="E337" s="26">
        <f>IF($P337="","",IF(INDEX(EntryPartyName,$P337)=0,"",INDEX(EntryPartyName,$P337)))</f>
        <v/>
      </c>
      <c r="F337" s="26">
        <f>IF($P337="","",IF(INDEX(EntryPartyType,$P337)=0,"",INDEX(EntryPartyType,$P337)))</f>
        <v/>
      </c>
      <c r="G337" s="26">
        <f>IF($P337="","",IF(INDEX(EntryTxnType,$P337)=0,"",INDEX(EntryTxnType,$P337)))</f>
        <v/>
      </c>
      <c r="H337" s="27">
        <f>IF($P337="","",IF(INDEX(EntryDep,$P337)=0,"",INDEX(EntryDep,$P337)))</f>
        <v/>
      </c>
      <c r="I337" s="27">
        <f>IF($P337="","",IF(INDEX(EntryWit,$P337)=0,"",INDEX(EntryWit,$P337)))</f>
        <v/>
      </c>
      <c r="J337" s="27">
        <f>IF($B337="","",IF($A337=1,$C$7,IF(J336="",0,J336))+IF($H337="",0,$H337)-IF($I337="",0,$I337))</f>
        <v/>
      </c>
      <c r="K337" s="27">
        <f>IF($P337="","",IF(INDEX(EntryMan,$P337)=0,"",INDEX(EntryMan,$P337)))</f>
        <v/>
      </c>
      <c r="L337" s="26">
        <f>IF($B337="","",IF($K337="","—",IF(ROUND($K337-$J337,0)=0,"√","×")))</f>
        <v/>
      </c>
      <c r="M337" s="26">
        <f>IF($B337="","",IF(COUNTIFS(EntryDates,$B337,CalcTime,$C337,CalcBank,$C$5,EntryParty,$D337,EntryDep,$H337,EntryWit,$I337)&gt;1,"تکرار",""))</f>
        <v/>
      </c>
      <c r="N337" s="26">
        <f>IF($P337="","",IF(INDEX(EntryNotes,$P337)=0,"",INDEX(EntryNotes,$P337)))</f>
        <v/>
      </c>
      <c r="O337" s="26">
        <f>IF($P337="","",IF(INDEX(EntryTxnID,$P337)=0,"",INDEX(EntryTxnID,$P337)))</f>
        <v/>
      </c>
      <c r="P337" s="26">
        <f>IFERROR(MATCH($C$5&amp;"|"&amp;RIGHT("000000"&amp;321,6),CalcRankKey,0),"")</f>
        <v/>
      </c>
    </row>
    <row r="338">
      <c r="A338" s="28">
        <f>IF($B338="","",322)</f>
        <v/>
      </c>
      <c r="B338" s="28">
        <f>IF($P338="","",IF(INDEX(CalcNormDate,$P338)=0,"",INDEX(CalcNormDate,$P338)))</f>
        <v/>
      </c>
      <c r="C338" s="28">
        <f>IF($P338="","",IF(INDEX(CalcTime,$P338)=0,"",INDEX(CalcTime,$P338)))</f>
        <v/>
      </c>
      <c r="D338" s="28">
        <f>IF($P338="","",IF(INDEX(EntryParty,$P338)=0,"",INDEX(EntryParty,$P338)))</f>
        <v/>
      </c>
      <c r="E338" s="28">
        <f>IF($P338="","",IF(INDEX(EntryPartyName,$P338)=0,"",INDEX(EntryPartyName,$P338)))</f>
        <v/>
      </c>
      <c r="F338" s="28">
        <f>IF($P338="","",IF(INDEX(EntryPartyType,$P338)=0,"",INDEX(EntryPartyType,$P338)))</f>
        <v/>
      </c>
      <c r="G338" s="28">
        <f>IF($P338="","",IF(INDEX(EntryTxnType,$P338)=0,"",INDEX(EntryTxnType,$P338)))</f>
        <v/>
      </c>
      <c r="H338" s="29">
        <f>IF($P338="","",IF(INDEX(EntryDep,$P338)=0,"",INDEX(EntryDep,$P338)))</f>
        <v/>
      </c>
      <c r="I338" s="29">
        <f>IF($P338="","",IF(INDEX(EntryWit,$P338)=0,"",INDEX(EntryWit,$P338)))</f>
        <v/>
      </c>
      <c r="J338" s="29">
        <f>IF($B338="","",IF($A338=1,$C$7,IF(J337="",0,J337))+IF($H338="",0,$H338)-IF($I338="",0,$I338))</f>
        <v/>
      </c>
      <c r="K338" s="29">
        <f>IF($P338="","",IF(INDEX(EntryMan,$P338)=0,"",INDEX(EntryMan,$P338)))</f>
        <v/>
      </c>
      <c r="L338" s="28">
        <f>IF($B338="","",IF($K338="","—",IF(ROUND($K338-$J338,0)=0,"√","×")))</f>
        <v/>
      </c>
      <c r="M338" s="28">
        <f>IF($B338="","",IF(COUNTIFS(EntryDates,$B338,CalcTime,$C338,CalcBank,$C$5,EntryParty,$D338,EntryDep,$H338,EntryWit,$I338)&gt;1,"تکرار",""))</f>
        <v/>
      </c>
      <c r="N338" s="28">
        <f>IF($P338="","",IF(INDEX(EntryNotes,$P338)=0,"",INDEX(EntryNotes,$P338)))</f>
        <v/>
      </c>
      <c r="O338" s="28">
        <f>IF($P338="","",IF(INDEX(EntryTxnID,$P338)=0,"",INDEX(EntryTxnID,$P338)))</f>
        <v/>
      </c>
      <c r="P338" s="28">
        <f>IFERROR(MATCH($C$5&amp;"|"&amp;RIGHT("000000"&amp;322,6),CalcRankKey,0),"")</f>
        <v/>
      </c>
    </row>
    <row r="339">
      <c r="A339" s="26">
        <f>IF($B339="","",323)</f>
        <v/>
      </c>
      <c r="B339" s="26">
        <f>IF($P339="","",IF(INDEX(CalcNormDate,$P339)=0,"",INDEX(CalcNormDate,$P339)))</f>
        <v/>
      </c>
      <c r="C339" s="26">
        <f>IF($P339="","",IF(INDEX(CalcTime,$P339)=0,"",INDEX(CalcTime,$P339)))</f>
        <v/>
      </c>
      <c r="D339" s="26">
        <f>IF($P339="","",IF(INDEX(EntryParty,$P339)=0,"",INDEX(EntryParty,$P339)))</f>
        <v/>
      </c>
      <c r="E339" s="26">
        <f>IF($P339="","",IF(INDEX(EntryPartyName,$P339)=0,"",INDEX(EntryPartyName,$P339)))</f>
        <v/>
      </c>
      <c r="F339" s="26">
        <f>IF($P339="","",IF(INDEX(EntryPartyType,$P339)=0,"",INDEX(EntryPartyType,$P339)))</f>
        <v/>
      </c>
      <c r="G339" s="26">
        <f>IF($P339="","",IF(INDEX(EntryTxnType,$P339)=0,"",INDEX(EntryTxnType,$P339)))</f>
        <v/>
      </c>
      <c r="H339" s="27">
        <f>IF($P339="","",IF(INDEX(EntryDep,$P339)=0,"",INDEX(EntryDep,$P339)))</f>
        <v/>
      </c>
      <c r="I339" s="27">
        <f>IF($P339="","",IF(INDEX(EntryWit,$P339)=0,"",INDEX(EntryWit,$P339)))</f>
        <v/>
      </c>
      <c r="J339" s="27">
        <f>IF($B339="","",IF($A339=1,$C$7,IF(J338="",0,J338))+IF($H339="",0,$H339)-IF($I339="",0,$I339))</f>
        <v/>
      </c>
      <c r="K339" s="27">
        <f>IF($P339="","",IF(INDEX(EntryMan,$P339)=0,"",INDEX(EntryMan,$P339)))</f>
        <v/>
      </c>
      <c r="L339" s="26">
        <f>IF($B339="","",IF($K339="","—",IF(ROUND($K339-$J339,0)=0,"√","×")))</f>
        <v/>
      </c>
      <c r="M339" s="26">
        <f>IF($B339="","",IF(COUNTIFS(EntryDates,$B339,CalcTime,$C339,CalcBank,$C$5,EntryParty,$D339,EntryDep,$H339,EntryWit,$I339)&gt;1,"تکرار",""))</f>
        <v/>
      </c>
      <c r="N339" s="26">
        <f>IF($P339="","",IF(INDEX(EntryNotes,$P339)=0,"",INDEX(EntryNotes,$P339)))</f>
        <v/>
      </c>
      <c r="O339" s="26">
        <f>IF($P339="","",IF(INDEX(EntryTxnID,$P339)=0,"",INDEX(EntryTxnID,$P339)))</f>
        <v/>
      </c>
      <c r="P339" s="26">
        <f>IFERROR(MATCH($C$5&amp;"|"&amp;RIGHT("000000"&amp;323,6),CalcRankKey,0),"")</f>
        <v/>
      </c>
    </row>
    <row r="340">
      <c r="A340" s="28">
        <f>IF($B340="","",324)</f>
        <v/>
      </c>
      <c r="B340" s="28">
        <f>IF($P340="","",IF(INDEX(CalcNormDate,$P340)=0,"",INDEX(CalcNormDate,$P340)))</f>
        <v/>
      </c>
      <c r="C340" s="28">
        <f>IF($P340="","",IF(INDEX(CalcTime,$P340)=0,"",INDEX(CalcTime,$P340)))</f>
        <v/>
      </c>
      <c r="D340" s="28">
        <f>IF($P340="","",IF(INDEX(EntryParty,$P340)=0,"",INDEX(EntryParty,$P340)))</f>
        <v/>
      </c>
      <c r="E340" s="28">
        <f>IF($P340="","",IF(INDEX(EntryPartyName,$P340)=0,"",INDEX(EntryPartyName,$P340)))</f>
        <v/>
      </c>
      <c r="F340" s="28">
        <f>IF($P340="","",IF(INDEX(EntryPartyType,$P340)=0,"",INDEX(EntryPartyType,$P340)))</f>
        <v/>
      </c>
      <c r="G340" s="28">
        <f>IF($P340="","",IF(INDEX(EntryTxnType,$P340)=0,"",INDEX(EntryTxnType,$P340)))</f>
        <v/>
      </c>
      <c r="H340" s="29">
        <f>IF($P340="","",IF(INDEX(EntryDep,$P340)=0,"",INDEX(EntryDep,$P340)))</f>
        <v/>
      </c>
      <c r="I340" s="29">
        <f>IF($P340="","",IF(INDEX(EntryWit,$P340)=0,"",INDEX(EntryWit,$P340)))</f>
        <v/>
      </c>
      <c r="J340" s="29">
        <f>IF($B340="","",IF($A340=1,$C$7,IF(J339="",0,J339))+IF($H340="",0,$H340)-IF($I340="",0,$I340))</f>
        <v/>
      </c>
      <c r="K340" s="29">
        <f>IF($P340="","",IF(INDEX(EntryMan,$P340)=0,"",INDEX(EntryMan,$P340)))</f>
        <v/>
      </c>
      <c r="L340" s="28">
        <f>IF($B340="","",IF($K340="","—",IF(ROUND($K340-$J340,0)=0,"√","×")))</f>
        <v/>
      </c>
      <c r="M340" s="28">
        <f>IF($B340="","",IF(COUNTIFS(EntryDates,$B340,CalcTime,$C340,CalcBank,$C$5,EntryParty,$D340,EntryDep,$H340,EntryWit,$I340)&gt;1,"تکرار",""))</f>
        <v/>
      </c>
      <c r="N340" s="28">
        <f>IF($P340="","",IF(INDEX(EntryNotes,$P340)=0,"",INDEX(EntryNotes,$P340)))</f>
        <v/>
      </c>
      <c r="O340" s="28">
        <f>IF($P340="","",IF(INDEX(EntryTxnID,$P340)=0,"",INDEX(EntryTxnID,$P340)))</f>
        <v/>
      </c>
      <c r="P340" s="28">
        <f>IFERROR(MATCH($C$5&amp;"|"&amp;RIGHT("000000"&amp;324,6),CalcRankKey,0),"")</f>
        <v/>
      </c>
    </row>
    <row r="341">
      <c r="A341" s="26">
        <f>IF($B341="","",325)</f>
        <v/>
      </c>
      <c r="B341" s="26">
        <f>IF($P341="","",IF(INDEX(CalcNormDate,$P341)=0,"",INDEX(CalcNormDate,$P341)))</f>
        <v/>
      </c>
      <c r="C341" s="26">
        <f>IF($P341="","",IF(INDEX(CalcTime,$P341)=0,"",INDEX(CalcTime,$P341)))</f>
        <v/>
      </c>
      <c r="D341" s="26">
        <f>IF($P341="","",IF(INDEX(EntryParty,$P341)=0,"",INDEX(EntryParty,$P341)))</f>
        <v/>
      </c>
      <c r="E341" s="26">
        <f>IF($P341="","",IF(INDEX(EntryPartyName,$P341)=0,"",INDEX(EntryPartyName,$P341)))</f>
        <v/>
      </c>
      <c r="F341" s="26">
        <f>IF($P341="","",IF(INDEX(EntryPartyType,$P341)=0,"",INDEX(EntryPartyType,$P341)))</f>
        <v/>
      </c>
      <c r="G341" s="26">
        <f>IF($P341="","",IF(INDEX(EntryTxnType,$P341)=0,"",INDEX(EntryTxnType,$P341)))</f>
        <v/>
      </c>
      <c r="H341" s="27">
        <f>IF($P341="","",IF(INDEX(EntryDep,$P341)=0,"",INDEX(EntryDep,$P341)))</f>
        <v/>
      </c>
      <c r="I341" s="27">
        <f>IF($P341="","",IF(INDEX(EntryWit,$P341)=0,"",INDEX(EntryWit,$P341)))</f>
        <v/>
      </c>
      <c r="J341" s="27">
        <f>IF($B341="","",IF($A341=1,$C$7,IF(J340="",0,J340))+IF($H341="",0,$H341)-IF($I341="",0,$I341))</f>
        <v/>
      </c>
      <c r="K341" s="27">
        <f>IF($P341="","",IF(INDEX(EntryMan,$P341)=0,"",INDEX(EntryMan,$P341)))</f>
        <v/>
      </c>
      <c r="L341" s="26">
        <f>IF($B341="","",IF($K341="","—",IF(ROUND($K341-$J341,0)=0,"√","×")))</f>
        <v/>
      </c>
      <c r="M341" s="26">
        <f>IF($B341="","",IF(COUNTIFS(EntryDates,$B341,CalcTime,$C341,CalcBank,$C$5,EntryParty,$D341,EntryDep,$H341,EntryWit,$I341)&gt;1,"تکرار",""))</f>
        <v/>
      </c>
      <c r="N341" s="26">
        <f>IF($P341="","",IF(INDEX(EntryNotes,$P341)=0,"",INDEX(EntryNotes,$P341)))</f>
        <v/>
      </c>
      <c r="O341" s="26">
        <f>IF($P341="","",IF(INDEX(EntryTxnID,$P341)=0,"",INDEX(EntryTxnID,$P341)))</f>
        <v/>
      </c>
      <c r="P341" s="26">
        <f>IFERROR(MATCH($C$5&amp;"|"&amp;RIGHT("000000"&amp;325,6),CalcRankKey,0),"")</f>
        <v/>
      </c>
    </row>
    <row r="342">
      <c r="A342" s="28">
        <f>IF($B342="","",326)</f>
        <v/>
      </c>
      <c r="B342" s="28">
        <f>IF($P342="","",IF(INDEX(CalcNormDate,$P342)=0,"",INDEX(CalcNormDate,$P342)))</f>
        <v/>
      </c>
      <c r="C342" s="28">
        <f>IF($P342="","",IF(INDEX(CalcTime,$P342)=0,"",INDEX(CalcTime,$P342)))</f>
        <v/>
      </c>
      <c r="D342" s="28">
        <f>IF($P342="","",IF(INDEX(EntryParty,$P342)=0,"",INDEX(EntryParty,$P342)))</f>
        <v/>
      </c>
      <c r="E342" s="28">
        <f>IF($P342="","",IF(INDEX(EntryPartyName,$P342)=0,"",INDEX(EntryPartyName,$P342)))</f>
        <v/>
      </c>
      <c r="F342" s="28">
        <f>IF($P342="","",IF(INDEX(EntryPartyType,$P342)=0,"",INDEX(EntryPartyType,$P342)))</f>
        <v/>
      </c>
      <c r="G342" s="28">
        <f>IF($P342="","",IF(INDEX(EntryTxnType,$P342)=0,"",INDEX(EntryTxnType,$P342)))</f>
        <v/>
      </c>
      <c r="H342" s="29">
        <f>IF($P342="","",IF(INDEX(EntryDep,$P342)=0,"",INDEX(EntryDep,$P342)))</f>
        <v/>
      </c>
      <c r="I342" s="29">
        <f>IF($P342="","",IF(INDEX(EntryWit,$P342)=0,"",INDEX(EntryWit,$P342)))</f>
        <v/>
      </c>
      <c r="J342" s="29">
        <f>IF($B342="","",IF($A342=1,$C$7,IF(J341="",0,J341))+IF($H342="",0,$H342)-IF($I342="",0,$I342))</f>
        <v/>
      </c>
      <c r="K342" s="29">
        <f>IF($P342="","",IF(INDEX(EntryMan,$P342)=0,"",INDEX(EntryMan,$P342)))</f>
        <v/>
      </c>
      <c r="L342" s="28">
        <f>IF($B342="","",IF($K342="","—",IF(ROUND($K342-$J342,0)=0,"√","×")))</f>
        <v/>
      </c>
      <c r="M342" s="28">
        <f>IF($B342="","",IF(COUNTIFS(EntryDates,$B342,CalcTime,$C342,CalcBank,$C$5,EntryParty,$D342,EntryDep,$H342,EntryWit,$I342)&gt;1,"تکرار",""))</f>
        <v/>
      </c>
      <c r="N342" s="28">
        <f>IF($P342="","",IF(INDEX(EntryNotes,$P342)=0,"",INDEX(EntryNotes,$P342)))</f>
        <v/>
      </c>
      <c r="O342" s="28">
        <f>IF($P342="","",IF(INDEX(EntryTxnID,$P342)=0,"",INDEX(EntryTxnID,$P342)))</f>
        <v/>
      </c>
      <c r="P342" s="28">
        <f>IFERROR(MATCH($C$5&amp;"|"&amp;RIGHT("000000"&amp;326,6),CalcRankKey,0),"")</f>
        <v/>
      </c>
    </row>
    <row r="343">
      <c r="A343" s="26">
        <f>IF($B343="","",327)</f>
        <v/>
      </c>
      <c r="B343" s="26">
        <f>IF($P343="","",IF(INDEX(CalcNormDate,$P343)=0,"",INDEX(CalcNormDate,$P343)))</f>
        <v/>
      </c>
      <c r="C343" s="26">
        <f>IF($P343="","",IF(INDEX(CalcTime,$P343)=0,"",INDEX(CalcTime,$P343)))</f>
        <v/>
      </c>
      <c r="D343" s="26">
        <f>IF($P343="","",IF(INDEX(EntryParty,$P343)=0,"",INDEX(EntryParty,$P343)))</f>
        <v/>
      </c>
      <c r="E343" s="26">
        <f>IF($P343="","",IF(INDEX(EntryPartyName,$P343)=0,"",INDEX(EntryPartyName,$P343)))</f>
        <v/>
      </c>
      <c r="F343" s="26">
        <f>IF($P343="","",IF(INDEX(EntryPartyType,$P343)=0,"",INDEX(EntryPartyType,$P343)))</f>
        <v/>
      </c>
      <c r="G343" s="26">
        <f>IF($P343="","",IF(INDEX(EntryTxnType,$P343)=0,"",INDEX(EntryTxnType,$P343)))</f>
        <v/>
      </c>
      <c r="H343" s="27">
        <f>IF($P343="","",IF(INDEX(EntryDep,$P343)=0,"",INDEX(EntryDep,$P343)))</f>
        <v/>
      </c>
      <c r="I343" s="27">
        <f>IF($P343="","",IF(INDEX(EntryWit,$P343)=0,"",INDEX(EntryWit,$P343)))</f>
        <v/>
      </c>
      <c r="J343" s="27">
        <f>IF($B343="","",IF($A343=1,$C$7,IF(J342="",0,J342))+IF($H343="",0,$H343)-IF($I343="",0,$I343))</f>
        <v/>
      </c>
      <c r="K343" s="27">
        <f>IF($P343="","",IF(INDEX(EntryMan,$P343)=0,"",INDEX(EntryMan,$P343)))</f>
        <v/>
      </c>
      <c r="L343" s="26">
        <f>IF($B343="","",IF($K343="","—",IF(ROUND($K343-$J343,0)=0,"√","×")))</f>
        <v/>
      </c>
      <c r="M343" s="26">
        <f>IF($B343="","",IF(COUNTIFS(EntryDates,$B343,CalcTime,$C343,CalcBank,$C$5,EntryParty,$D343,EntryDep,$H343,EntryWit,$I343)&gt;1,"تکرار",""))</f>
        <v/>
      </c>
      <c r="N343" s="26">
        <f>IF($P343="","",IF(INDEX(EntryNotes,$P343)=0,"",INDEX(EntryNotes,$P343)))</f>
        <v/>
      </c>
      <c r="O343" s="26">
        <f>IF($P343="","",IF(INDEX(EntryTxnID,$P343)=0,"",INDEX(EntryTxnID,$P343)))</f>
        <v/>
      </c>
      <c r="P343" s="26">
        <f>IFERROR(MATCH($C$5&amp;"|"&amp;RIGHT("000000"&amp;327,6),CalcRankKey,0),"")</f>
        <v/>
      </c>
    </row>
    <row r="344">
      <c r="A344" s="28">
        <f>IF($B344="","",328)</f>
        <v/>
      </c>
      <c r="B344" s="28">
        <f>IF($P344="","",IF(INDEX(CalcNormDate,$P344)=0,"",INDEX(CalcNormDate,$P344)))</f>
        <v/>
      </c>
      <c r="C344" s="28">
        <f>IF($P344="","",IF(INDEX(CalcTime,$P344)=0,"",INDEX(CalcTime,$P344)))</f>
        <v/>
      </c>
      <c r="D344" s="28">
        <f>IF($P344="","",IF(INDEX(EntryParty,$P344)=0,"",INDEX(EntryParty,$P344)))</f>
        <v/>
      </c>
      <c r="E344" s="28">
        <f>IF($P344="","",IF(INDEX(EntryPartyName,$P344)=0,"",INDEX(EntryPartyName,$P344)))</f>
        <v/>
      </c>
      <c r="F344" s="28">
        <f>IF($P344="","",IF(INDEX(EntryPartyType,$P344)=0,"",INDEX(EntryPartyType,$P344)))</f>
        <v/>
      </c>
      <c r="G344" s="28">
        <f>IF($P344="","",IF(INDEX(EntryTxnType,$P344)=0,"",INDEX(EntryTxnType,$P344)))</f>
        <v/>
      </c>
      <c r="H344" s="29">
        <f>IF($P344="","",IF(INDEX(EntryDep,$P344)=0,"",INDEX(EntryDep,$P344)))</f>
        <v/>
      </c>
      <c r="I344" s="29">
        <f>IF($P344="","",IF(INDEX(EntryWit,$P344)=0,"",INDEX(EntryWit,$P344)))</f>
        <v/>
      </c>
      <c r="J344" s="29">
        <f>IF($B344="","",IF($A344=1,$C$7,IF(J343="",0,J343))+IF($H344="",0,$H344)-IF($I344="",0,$I344))</f>
        <v/>
      </c>
      <c r="K344" s="29">
        <f>IF($P344="","",IF(INDEX(EntryMan,$P344)=0,"",INDEX(EntryMan,$P344)))</f>
        <v/>
      </c>
      <c r="L344" s="28">
        <f>IF($B344="","",IF($K344="","—",IF(ROUND($K344-$J344,0)=0,"√","×")))</f>
        <v/>
      </c>
      <c r="M344" s="28">
        <f>IF($B344="","",IF(COUNTIFS(EntryDates,$B344,CalcTime,$C344,CalcBank,$C$5,EntryParty,$D344,EntryDep,$H344,EntryWit,$I344)&gt;1,"تکرار",""))</f>
        <v/>
      </c>
      <c r="N344" s="28">
        <f>IF($P344="","",IF(INDEX(EntryNotes,$P344)=0,"",INDEX(EntryNotes,$P344)))</f>
        <v/>
      </c>
      <c r="O344" s="28">
        <f>IF($P344="","",IF(INDEX(EntryTxnID,$P344)=0,"",INDEX(EntryTxnID,$P344)))</f>
        <v/>
      </c>
      <c r="P344" s="28">
        <f>IFERROR(MATCH($C$5&amp;"|"&amp;RIGHT("000000"&amp;328,6),CalcRankKey,0),"")</f>
        <v/>
      </c>
    </row>
    <row r="345">
      <c r="A345" s="26">
        <f>IF($B345="","",329)</f>
        <v/>
      </c>
      <c r="B345" s="26">
        <f>IF($P345="","",IF(INDEX(CalcNormDate,$P345)=0,"",INDEX(CalcNormDate,$P345)))</f>
        <v/>
      </c>
      <c r="C345" s="26">
        <f>IF($P345="","",IF(INDEX(CalcTime,$P345)=0,"",INDEX(CalcTime,$P345)))</f>
        <v/>
      </c>
      <c r="D345" s="26">
        <f>IF($P345="","",IF(INDEX(EntryParty,$P345)=0,"",INDEX(EntryParty,$P345)))</f>
        <v/>
      </c>
      <c r="E345" s="26">
        <f>IF($P345="","",IF(INDEX(EntryPartyName,$P345)=0,"",INDEX(EntryPartyName,$P345)))</f>
        <v/>
      </c>
      <c r="F345" s="26">
        <f>IF($P345="","",IF(INDEX(EntryPartyType,$P345)=0,"",INDEX(EntryPartyType,$P345)))</f>
        <v/>
      </c>
      <c r="G345" s="26">
        <f>IF($P345="","",IF(INDEX(EntryTxnType,$P345)=0,"",INDEX(EntryTxnType,$P345)))</f>
        <v/>
      </c>
      <c r="H345" s="27">
        <f>IF($P345="","",IF(INDEX(EntryDep,$P345)=0,"",INDEX(EntryDep,$P345)))</f>
        <v/>
      </c>
      <c r="I345" s="27">
        <f>IF($P345="","",IF(INDEX(EntryWit,$P345)=0,"",INDEX(EntryWit,$P345)))</f>
        <v/>
      </c>
      <c r="J345" s="27">
        <f>IF($B345="","",IF($A345=1,$C$7,IF(J344="",0,J344))+IF($H345="",0,$H345)-IF($I345="",0,$I345))</f>
        <v/>
      </c>
      <c r="K345" s="27">
        <f>IF($P345="","",IF(INDEX(EntryMan,$P345)=0,"",INDEX(EntryMan,$P345)))</f>
        <v/>
      </c>
      <c r="L345" s="26">
        <f>IF($B345="","",IF($K345="","—",IF(ROUND($K345-$J345,0)=0,"√","×")))</f>
        <v/>
      </c>
      <c r="M345" s="26">
        <f>IF($B345="","",IF(COUNTIFS(EntryDates,$B345,CalcTime,$C345,CalcBank,$C$5,EntryParty,$D345,EntryDep,$H345,EntryWit,$I345)&gt;1,"تکرار",""))</f>
        <v/>
      </c>
      <c r="N345" s="26">
        <f>IF($P345="","",IF(INDEX(EntryNotes,$P345)=0,"",INDEX(EntryNotes,$P345)))</f>
        <v/>
      </c>
      <c r="O345" s="26">
        <f>IF($P345="","",IF(INDEX(EntryTxnID,$P345)=0,"",INDEX(EntryTxnID,$P345)))</f>
        <v/>
      </c>
      <c r="P345" s="26">
        <f>IFERROR(MATCH($C$5&amp;"|"&amp;RIGHT("000000"&amp;329,6),CalcRankKey,0),"")</f>
        <v/>
      </c>
    </row>
    <row r="346">
      <c r="A346" s="28">
        <f>IF($B346="","",330)</f>
        <v/>
      </c>
      <c r="B346" s="28">
        <f>IF($P346="","",IF(INDEX(CalcNormDate,$P346)=0,"",INDEX(CalcNormDate,$P346)))</f>
        <v/>
      </c>
      <c r="C346" s="28">
        <f>IF($P346="","",IF(INDEX(CalcTime,$P346)=0,"",INDEX(CalcTime,$P346)))</f>
        <v/>
      </c>
      <c r="D346" s="28">
        <f>IF($P346="","",IF(INDEX(EntryParty,$P346)=0,"",INDEX(EntryParty,$P346)))</f>
        <v/>
      </c>
      <c r="E346" s="28">
        <f>IF($P346="","",IF(INDEX(EntryPartyName,$P346)=0,"",INDEX(EntryPartyName,$P346)))</f>
        <v/>
      </c>
      <c r="F346" s="28">
        <f>IF($P346="","",IF(INDEX(EntryPartyType,$P346)=0,"",INDEX(EntryPartyType,$P346)))</f>
        <v/>
      </c>
      <c r="G346" s="28">
        <f>IF($P346="","",IF(INDEX(EntryTxnType,$P346)=0,"",INDEX(EntryTxnType,$P346)))</f>
        <v/>
      </c>
      <c r="H346" s="29">
        <f>IF($P346="","",IF(INDEX(EntryDep,$P346)=0,"",INDEX(EntryDep,$P346)))</f>
        <v/>
      </c>
      <c r="I346" s="29">
        <f>IF($P346="","",IF(INDEX(EntryWit,$P346)=0,"",INDEX(EntryWit,$P346)))</f>
        <v/>
      </c>
      <c r="J346" s="29">
        <f>IF($B346="","",IF($A346=1,$C$7,IF(J345="",0,J345))+IF($H346="",0,$H346)-IF($I346="",0,$I346))</f>
        <v/>
      </c>
      <c r="K346" s="29">
        <f>IF($P346="","",IF(INDEX(EntryMan,$P346)=0,"",INDEX(EntryMan,$P346)))</f>
        <v/>
      </c>
      <c r="L346" s="28">
        <f>IF($B346="","",IF($K346="","—",IF(ROUND($K346-$J346,0)=0,"√","×")))</f>
        <v/>
      </c>
      <c r="M346" s="28">
        <f>IF($B346="","",IF(COUNTIFS(EntryDates,$B346,CalcTime,$C346,CalcBank,$C$5,EntryParty,$D346,EntryDep,$H346,EntryWit,$I346)&gt;1,"تکرار",""))</f>
        <v/>
      </c>
      <c r="N346" s="28">
        <f>IF($P346="","",IF(INDEX(EntryNotes,$P346)=0,"",INDEX(EntryNotes,$P346)))</f>
        <v/>
      </c>
      <c r="O346" s="28">
        <f>IF($P346="","",IF(INDEX(EntryTxnID,$P346)=0,"",INDEX(EntryTxnID,$P346)))</f>
        <v/>
      </c>
      <c r="P346" s="28">
        <f>IFERROR(MATCH($C$5&amp;"|"&amp;RIGHT("000000"&amp;330,6),CalcRankKey,0),"")</f>
        <v/>
      </c>
    </row>
    <row r="347">
      <c r="A347" s="26">
        <f>IF($B347="","",331)</f>
        <v/>
      </c>
      <c r="B347" s="26">
        <f>IF($P347="","",IF(INDEX(CalcNormDate,$P347)=0,"",INDEX(CalcNormDate,$P347)))</f>
        <v/>
      </c>
      <c r="C347" s="26">
        <f>IF($P347="","",IF(INDEX(CalcTime,$P347)=0,"",INDEX(CalcTime,$P347)))</f>
        <v/>
      </c>
      <c r="D347" s="26">
        <f>IF($P347="","",IF(INDEX(EntryParty,$P347)=0,"",INDEX(EntryParty,$P347)))</f>
        <v/>
      </c>
      <c r="E347" s="26">
        <f>IF($P347="","",IF(INDEX(EntryPartyName,$P347)=0,"",INDEX(EntryPartyName,$P347)))</f>
        <v/>
      </c>
      <c r="F347" s="26">
        <f>IF($P347="","",IF(INDEX(EntryPartyType,$P347)=0,"",INDEX(EntryPartyType,$P347)))</f>
        <v/>
      </c>
      <c r="G347" s="26">
        <f>IF($P347="","",IF(INDEX(EntryTxnType,$P347)=0,"",INDEX(EntryTxnType,$P347)))</f>
        <v/>
      </c>
      <c r="H347" s="27">
        <f>IF($P347="","",IF(INDEX(EntryDep,$P347)=0,"",INDEX(EntryDep,$P347)))</f>
        <v/>
      </c>
      <c r="I347" s="27">
        <f>IF($P347="","",IF(INDEX(EntryWit,$P347)=0,"",INDEX(EntryWit,$P347)))</f>
        <v/>
      </c>
      <c r="J347" s="27">
        <f>IF($B347="","",IF($A347=1,$C$7,IF(J346="",0,J346))+IF($H347="",0,$H347)-IF($I347="",0,$I347))</f>
        <v/>
      </c>
      <c r="K347" s="27">
        <f>IF($P347="","",IF(INDEX(EntryMan,$P347)=0,"",INDEX(EntryMan,$P347)))</f>
        <v/>
      </c>
      <c r="L347" s="26">
        <f>IF($B347="","",IF($K347="","—",IF(ROUND($K347-$J347,0)=0,"√","×")))</f>
        <v/>
      </c>
      <c r="M347" s="26">
        <f>IF($B347="","",IF(COUNTIFS(EntryDates,$B347,CalcTime,$C347,CalcBank,$C$5,EntryParty,$D347,EntryDep,$H347,EntryWit,$I347)&gt;1,"تکرار",""))</f>
        <v/>
      </c>
      <c r="N347" s="26">
        <f>IF($P347="","",IF(INDEX(EntryNotes,$P347)=0,"",INDEX(EntryNotes,$P347)))</f>
        <v/>
      </c>
      <c r="O347" s="26">
        <f>IF($P347="","",IF(INDEX(EntryTxnID,$P347)=0,"",INDEX(EntryTxnID,$P347)))</f>
        <v/>
      </c>
      <c r="P347" s="26">
        <f>IFERROR(MATCH($C$5&amp;"|"&amp;RIGHT("000000"&amp;331,6),CalcRankKey,0),"")</f>
        <v/>
      </c>
    </row>
    <row r="348">
      <c r="A348" s="28">
        <f>IF($B348="","",332)</f>
        <v/>
      </c>
      <c r="B348" s="28">
        <f>IF($P348="","",IF(INDEX(CalcNormDate,$P348)=0,"",INDEX(CalcNormDate,$P348)))</f>
        <v/>
      </c>
      <c r="C348" s="28">
        <f>IF($P348="","",IF(INDEX(CalcTime,$P348)=0,"",INDEX(CalcTime,$P348)))</f>
        <v/>
      </c>
      <c r="D348" s="28">
        <f>IF($P348="","",IF(INDEX(EntryParty,$P348)=0,"",INDEX(EntryParty,$P348)))</f>
        <v/>
      </c>
      <c r="E348" s="28">
        <f>IF($P348="","",IF(INDEX(EntryPartyName,$P348)=0,"",INDEX(EntryPartyName,$P348)))</f>
        <v/>
      </c>
      <c r="F348" s="28">
        <f>IF($P348="","",IF(INDEX(EntryPartyType,$P348)=0,"",INDEX(EntryPartyType,$P348)))</f>
        <v/>
      </c>
      <c r="G348" s="28">
        <f>IF($P348="","",IF(INDEX(EntryTxnType,$P348)=0,"",INDEX(EntryTxnType,$P348)))</f>
        <v/>
      </c>
      <c r="H348" s="29">
        <f>IF($P348="","",IF(INDEX(EntryDep,$P348)=0,"",INDEX(EntryDep,$P348)))</f>
        <v/>
      </c>
      <c r="I348" s="29">
        <f>IF($P348="","",IF(INDEX(EntryWit,$P348)=0,"",INDEX(EntryWit,$P348)))</f>
        <v/>
      </c>
      <c r="J348" s="29">
        <f>IF($B348="","",IF($A348=1,$C$7,IF(J347="",0,J347))+IF($H348="",0,$H348)-IF($I348="",0,$I348))</f>
        <v/>
      </c>
      <c r="K348" s="29">
        <f>IF($P348="","",IF(INDEX(EntryMan,$P348)=0,"",INDEX(EntryMan,$P348)))</f>
        <v/>
      </c>
      <c r="L348" s="28">
        <f>IF($B348="","",IF($K348="","—",IF(ROUND($K348-$J348,0)=0,"√","×")))</f>
        <v/>
      </c>
      <c r="M348" s="28">
        <f>IF($B348="","",IF(COUNTIFS(EntryDates,$B348,CalcTime,$C348,CalcBank,$C$5,EntryParty,$D348,EntryDep,$H348,EntryWit,$I348)&gt;1,"تکرار",""))</f>
        <v/>
      </c>
      <c r="N348" s="28">
        <f>IF($P348="","",IF(INDEX(EntryNotes,$P348)=0,"",INDEX(EntryNotes,$P348)))</f>
        <v/>
      </c>
      <c r="O348" s="28">
        <f>IF($P348="","",IF(INDEX(EntryTxnID,$P348)=0,"",INDEX(EntryTxnID,$P348)))</f>
        <v/>
      </c>
      <c r="P348" s="28">
        <f>IFERROR(MATCH($C$5&amp;"|"&amp;RIGHT("000000"&amp;332,6),CalcRankKey,0),"")</f>
        <v/>
      </c>
    </row>
    <row r="349">
      <c r="A349" s="26">
        <f>IF($B349="","",333)</f>
        <v/>
      </c>
      <c r="B349" s="26">
        <f>IF($P349="","",IF(INDEX(CalcNormDate,$P349)=0,"",INDEX(CalcNormDate,$P349)))</f>
        <v/>
      </c>
      <c r="C349" s="26">
        <f>IF($P349="","",IF(INDEX(CalcTime,$P349)=0,"",INDEX(CalcTime,$P349)))</f>
        <v/>
      </c>
      <c r="D349" s="26">
        <f>IF($P349="","",IF(INDEX(EntryParty,$P349)=0,"",INDEX(EntryParty,$P349)))</f>
        <v/>
      </c>
      <c r="E349" s="26">
        <f>IF($P349="","",IF(INDEX(EntryPartyName,$P349)=0,"",INDEX(EntryPartyName,$P349)))</f>
        <v/>
      </c>
      <c r="F349" s="26">
        <f>IF($P349="","",IF(INDEX(EntryPartyType,$P349)=0,"",INDEX(EntryPartyType,$P349)))</f>
        <v/>
      </c>
      <c r="G349" s="26">
        <f>IF($P349="","",IF(INDEX(EntryTxnType,$P349)=0,"",INDEX(EntryTxnType,$P349)))</f>
        <v/>
      </c>
      <c r="H349" s="27">
        <f>IF($P349="","",IF(INDEX(EntryDep,$P349)=0,"",INDEX(EntryDep,$P349)))</f>
        <v/>
      </c>
      <c r="I349" s="27">
        <f>IF($P349="","",IF(INDEX(EntryWit,$P349)=0,"",INDEX(EntryWit,$P349)))</f>
        <v/>
      </c>
      <c r="J349" s="27">
        <f>IF($B349="","",IF($A349=1,$C$7,IF(J348="",0,J348))+IF($H349="",0,$H349)-IF($I349="",0,$I349))</f>
        <v/>
      </c>
      <c r="K349" s="27">
        <f>IF($P349="","",IF(INDEX(EntryMan,$P349)=0,"",INDEX(EntryMan,$P349)))</f>
        <v/>
      </c>
      <c r="L349" s="26">
        <f>IF($B349="","",IF($K349="","—",IF(ROUND($K349-$J349,0)=0,"√","×")))</f>
        <v/>
      </c>
      <c r="M349" s="26">
        <f>IF($B349="","",IF(COUNTIFS(EntryDates,$B349,CalcTime,$C349,CalcBank,$C$5,EntryParty,$D349,EntryDep,$H349,EntryWit,$I349)&gt;1,"تکرار",""))</f>
        <v/>
      </c>
      <c r="N349" s="26">
        <f>IF($P349="","",IF(INDEX(EntryNotes,$P349)=0,"",INDEX(EntryNotes,$P349)))</f>
        <v/>
      </c>
      <c r="O349" s="26">
        <f>IF($P349="","",IF(INDEX(EntryTxnID,$P349)=0,"",INDEX(EntryTxnID,$P349)))</f>
        <v/>
      </c>
      <c r="P349" s="26">
        <f>IFERROR(MATCH($C$5&amp;"|"&amp;RIGHT("000000"&amp;333,6),CalcRankKey,0),"")</f>
        <v/>
      </c>
    </row>
    <row r="350">
      <c r="A350" s="28">
        <f>IF($B350="","",334)</f>
        <v/>
      </c>
      <c r="B350" s="28">
        <f>IF($P350="","",IF(INDEX(CalcNormDate,$P350)=0,"",INDEX(CalcNormDate,$P350)))</f>
        <v/>
      </c>
      <c r="C350" s="28">
        <f>IF($P350="","",IF(INDEX(CalcTime,$P350)=0,"",INDEX(CalcTime,$P350)))</f>
        <v/>
      </c>
      <c r="D350" s="28">
        <f>IF($P350="","",IF(INDEX(EntryParty,$P350)=0,"",INDEX(EntryParty,$P350)))</f>
        <v/>
      </c>
      <c r="E350" s="28">
        <f>IF($P350="","",IF(INDEX(EntryPartyName,$P350)=0,"",INDEX(EntryPartyName,$P350)))</f>
        <v/>
      </c>
      <c r="F350" s="28">
        <f>IF($P350="","",IF(INDEX(EntryPartyType,$P350)=0,"",INDEX(EntryPartyType,$P350)))</f>
        <v/>
      </c>
      <c r="G350" s="28">
        <f>IF($P350="","",IF(INDEX(EntryTxnType,$P350)=0,"",INDEX(EntryTxnType,$P350)))</f>
        <v/>
      </c>
      <c r="H350" s="29">
        <f>IF($P350="","",IF(INDEX(EntryDep,$P350)=0,"",INDEX(EntryDep,$P350)))</f>
        <v/>
      </c>
      <c r="I350" s="29">
        <f>IF($P350="","",IF(INDEX(EntryWit,$P350)=0,"",INDEX(EntryWit,$P350)))</f>
        <v/>
      </c>
      <c r="J350" s="29">
        <f>IF($B350="","",IF($A350=1,$C$7,IF(J349="",0,J349))+IF($H350="",0,$H350)-IF($I350="",0,$I350))</f>
        <v/>
      </c>
      <c r="K350" s="29">
        <f>IF($P350="","",IF(INDEX(EntryMan,$P350)=0,"",INDEX(EntryMan,$P350)))</f>
        <v/>
      </c>
      <c r="L350" s="28">
        <f>IF($B350="","",IF($K350="","—",IF(ROUND($K350-$J350,0)=0,"√","×")))</f>
        <v/>
      </c>
      <c r="M350" s="28">
        <f>IF($B350="","",IF(COUNTIFS(EntryDates,$B350,CalcTime,$C350,CalcBank,$C$5,EntryParty,$D350,EntryDep,$H350,EntryWit,$I350)&gt;1,"تکرار",""))</f>
        <v/>
      </c>
      <c r="N350" s="28">
        <f>IF($P350="","",IF(INDEX(EntryNotes,$P350)=0,"",INDEX(EntryNotes,$P350)))</f>
        <v/>
      </c>
      <c r="O350" s="28">
        <f>IF($P350="","",IF(INDEX(EntryTxnID,$P350)=0,"",INDEX(EntryTxnID,$P350)))</f>
        <v/>
      </c>
      <c r="P350" s="28">
        <f>IFERROR(MATCH($C$5&amp;"|"&amp;RIGHT("000000"&amp;334,6),CalcRankKey,0),"")</f>
        <v/>
      </c>
    </row>
    <row r="351">
      <c r="A351" s="26">
        <f>IF($B351="","",335)</f>
        <v/>
      </c>
      <c r="B351" s="26">
        <f>IF($P351="","",IF(INDEX(CalcNormDate,$P351)=0,"",INDEX(CalcNormDate,$P351)))</f>
        <v/>
      </c>
      <c r="C351" s="26">
        <f>IF($P351="","",IF(INDEX(CalcTime,$P351)=0,"",INDEX(CalcTime,$P351)))</f>
        <v/>
      </c>
      <c r="D351" s="26">
        <f>IF($P351="","",IF(INDEX(EntryParty,$P351)=0,"",INDEX(EntryParty,$P351)))</f>
        <v/>
      </c>
      <c r="E351" s="26">
        <f>IF($P351="","",IF(INDEX(EntryPartyName,$P351)=0,"",INDEX(EntryPartyName,$P351)))</f>
        <v/>
      </c>
      <c r="F351" s="26">
        <f>IF($P351="","",IF(INDEX(EntryPartyType,$P351)=0,"",INDEX(EntryPartyType,$P351)))</f>
        <v/>
      </c>
      <c r="G351" s="26">
        <f>IF($P351="","",IF(INDEX(EntryTxnType,$P351)=0,"",INDEX(EntryTxnType,$P351)))</f>
        <v/>
      </c>
      <c r="H351" s="27">
        <f>IF($P351="","",IF(INDEX(EntryDep,$P351)=0,"",INDEX(EntryDep,$P351)))</f>
        <v/>
      </c>
      <c r="I351" s="27">
        <f>IF($P351="","",IF(INDEX(EntryWit,$P351)=0,"",INDEX(EntryWit,$P351)))</f>
        <v/>
      </c>
      <c r="J351" s="27">
        <f>IF($B351="","",IF($A351=1,$C$7,IF(J350="",0,J350))+IF($H351="",0,$H351)-IF($I351="",0,$I351))</f>
        <v/>
      </c>
      <c r="K351" s="27">
        <f>IF($P351="","",IF(INDEX(EntryMan,$P351)=0,"",INDEX(EntryMan,$P351)))</f>
        <v/>
      </c>
      <c r="L351" s="26">
        <f>IF($B351="","",IF($K351="","—",IF(ROUND($K351-$J351,0)=0,"√","×")))</f>
        <v/>
      </c>
      <c r="M351" s="26">
        <f>IF($B351="","",IF(COUNTIFS(EntryDates,$B351,CalcTime,$C351,CalcBank,$C$5,EntryParty,$D351,EntryDep,$H351,EntryWit,$I351)&gt;1,"تکرار",""))</f>
        <v/>
      </c>
      <c r="N351" s="26">
        <f>IF($P351="","",IF(INDEX(EntryNotes,$P351)=0,"",INDEX(EntryNotes,$P351)))</f>
        <v/>
      </c>
      <c r="O351" s="26">
        <f>IF($P351="","",IF(INDEX(EntryTxnID,$P351)=0,"",INDEX(EntryTxnID,$P351)))</f>
        <v/>
      </c>
      <c r="P351" s="26">
        <f>IFERROR(MATCH($C$5&amp;"|"&amp;RIGHT("000000"&amp;335,6),CalcRankKey,0),"")</f>
        <v/>
      </c>
    </row>
    <row r="352">
      <c r="A352" s="28">
        <f>IF($B352="","",336)</f>
        <v/>
      </c>
      <c r="B352" s="28">
        <f>IF($P352="","",IF(INDEX(CalcNormDate,$P352)=0,"",INDEX(CalcNormDate,$P352)))</f>
        <v/>
      </c>
      <c r="C352" s="28">
        <f>IF($P352="","",IF(INDEX(CalcTime,$P352)=0,"",INDEX(CalcTime,$P352)))</f>
        <v/>
      </c>
      <c r="D352" s="28">
        <f>IF($P352="","",IF(INDEX(EntryParty,$P352)=0,"",INDEX(EntryParty,$P352)))</f>
        <v/>
      </c>
      <c r="E352" s="28">
        <f>IF($P352="","",IF(INDEX(EntryPartyName,$P352)=0,"",INDEX(EntryPartyName,$P352)))</f>
        <v/>
      </c>
      <c r="F352" s="28">
        <f>IF($P352="","",IF(INDEX(EntryPartyType,$P352)=0,"",INDEX(EntryPartyType,$P352)))</f>
        <v/>
      </c>
      <c r="G352" s="28">
        <f>IF($P352="","",IF(INDEX(EntryTxnType,$P352)=0,"",INDEX(EntryTxnType,$P352)))</f>
        <v/>
      </c>
      <c r="H352" s="29">
        <f>IF($P352="","",IF(INDEX(EntryDep,$P352)=0,"",INDEX(EntryDep,$P352)))</f>
        <v/>
      </c>
      <c r="I352" s="29">
        <f>IF($P352="","",IF(INDEX(EntryWit,$P352)=0,"",INDEX(EntryWit,$P352)))</f>
        <v/>
      </c>
      <c r="J352" s="29">
        <f>IF($B352="","",IF($A352=1,$C$7,IF(J351="",0,J351))+IF($H352="",0,$H352)-IF($I352="",0,$I352))</f>
        <v/>
      </c>
      <c r="K352" s="29">
        <f>IF($P352="","",IF(INDEX(EntryMan,$P352)=0,"",INDEX(EntryMan,$P352)))</f>
        <v/>
      </c>
      <c r="L352" s="28">
        <f>IF($B352="","",IF($K352="","—",IF(ROUND($K352-$J352,0)=0,"√","×")))</f>
        <v/>
      </c>
      <c r="M352" s="28">
        <f>IF($B352="","",IF(COUNTIFS(EntryDates,$B352,CalcTime,$C352,CalcBank,$C$5,EntryParty,$D352,EntryDep,$H352,EntryWit,$I352)&gt;1,"تکرار",""))</f>
        <v/>
      </c>
      <c r="N352" s="28">
        <f>IF($P352="","",IF(INDEX(EntryNotes,$P352)=0,"",INDEX(EntryNotes,$P352)))</f>
        <v/>
      </c>
      <c r="O352" s="28">
        <f>IF($P352="","",IF(INDEX(EntryTxnID,$P352)=0,"",INDEX(EntryTxnID,$P352)))</f>
        <v/>
      </c>
      <c r="P352" s="28">
        <f>IFERROR(MATCH($C$5&amp;"|"&amp;RIGHT("000000"&amp;336,6),CalcRankKey,0),"")</f>
        <v/>
      </c>
    </row>
    <row r="353">
      <c r="A353" s="26">
        <f>IF($B353="","",337)</f>
        <v/>
      </c>
      <c r="B353" s="26">
        <f>IF($P353="","",IF(INDEX(CalcNormDate,$P353)=0,"",INDEX(CalcNormDate,$P353)))</f>
        <v/>
      </c>
      <c r="C353" s="26">
        <f>IF($P353="","",IF(INDEX(CalcTime,$P353)=0,"",INDEX(CalcTime,$P353)))</f>
        <v/>
      </c>
      <c r="D353" s="26">
        <f>IF($P353="","",IF(INDEX(EntryParty,$P353)=0,"",INDEX(EntryParty,$P353)))</f>
        <v/>
      </c>
      <c r="E353" s="26">
        <f>IF($P353="","",IF(INDEX(EntryPartyName,$P353)=0,"",INDEX(EntryPartyName,$P353)))</f>
        <v/>
      </c>
      <c r="F353" s="26">
        <f>IF($P353="","",IF(INDEX(EntryPartyType,$P353)=0,"",INDEX(EntryPartyType,$P353)))</f>
        <v/>
      </c>
      <c r="G353" s="26">
        <f>IF($P353="","",IF(INDEX(EntryTxnType,$P353)=0,"",INDEX(EntryTxnType,$P353)))</f>
        <v/>
      </c>
      <c r="H353" s="27">
        <f>IF($P353="","",IF(INDEX(EntryDep,$P353)=0,"",INDEX(EntryDep,$P353)))</f>
        <v/>
      </c>
      <c r="I353" s="27">
        <f>IF($P353="","",IF(INDEX(EntryWit,$P353)=0,"",INDEX(EntryWit,$P353)))</f>
        <v/>
      </c>
      <c r="J353" s="27">
        <f>IF($B353="","",IF($A353=1,$C$7,IF(J352="",0,J352))+IF($H353="",0,$H353)-IF($I353="",0,$I353))</f>
        <v/>
      </c>
      <c r="K353" s="27">
        <f>IF($P353="","",IF(INDEX(EntryMan,$P353)=0,"",INDEX(EntryMan,$P353)))</f>
        <v/>
      </c>
      <c r="L353" s="26">
        <f>IF($B353="","",IF($K353="","—",IF(ROUND($K353-$J353,0)=0,"√","×")))</f>
        <v/>
      </c>
      <c r="M353" s="26">
        <f>IF($B353="","",IF(COUNTIFS(EntryDates,$B353,CalcTime,$C353,CalcBank,$C$5,EntryParty,$D353,EntryDep,$H353,EntryWit,$I353)&gt;1,"تکرار",""))</f>
        <v/>
      </c>
      <c r="N353" s="26">
        <f>IF($P353="","",IF(INDEX(EntryNotes,$P353)=0,"",INDEX(EntryNotes,$P353)))</f>
        <v/>
      </c>
      <c r="O353" s="26">
        <f>IF($P353="","",IF(INDEX(EntryTxnID,$P353)=0,"",INDEX(EntryTxnID,$P353)))</f>
        <v/>
      </c>
      <c r="P353" s="26">
        <f>IFERROR(MATCH($C$5&amp;"|"&amp;RIGHT("000000"&amp;337,6),CalcRankKey,0),"")</f>
        <v/>
      </c>
    </row>
    <row r="354">
      <c r="A354" s="28">
        <f>IF($B354="","",338)</f>
        <v/>
      </c>
      <c r="B354" s="28">
        <f>IF($P354="","",IF(INDEX(CalcNormDate,$P354)=0,"",INDEX(CalcNormDate,$P354)))</f>
        <v/>
      </c>
      <c r="C354" s="28">
        <f>IF($P354="","",IF(INDEX(CalcTime,$P354)=0,"",INDEX(CalcTime,$P354)))</f>
        <v/>
      </c>
      <c r="D354" s="28">
        <f>IF($P354="","",IF(INDEX(EntryParty,$P354)=0,"",INDEX(EntryParty,$P354)))</f>
        <v/>
      </c>
      <c r="E354" s="28">
        <f>IF($P354="","",IF(INDEX(EntryPartyName,$P354)=0,"",INDEX(EntryPartyName,$P354)))</f>
        <v/>
      </c>
      <c r="F354" s="28">
        <f>IF($P354="","",IF(INDEX(EntryPartyType,$P354)=0,"",INDEX(EntryPartyType,$P354)))</f>
        <v/>
      </c>
      <c r="G354" s="28">
        <f>IF($P354="","",IF(INDEX(EntryTxnType,$P354)=0,"",INDEX(EntryTxnType,$P354)))</f>
        <v/>
      </c>
      <c r="H354" s="29">
        <f>IF($P354="","",IF(INDEX(EntryDep,$P354)=0,"",INDEX(EntryDep,$P354)))</f>
        <v/>
      </c>
      <c r="I354" s="29">
        <f>IF($P354="","",IF(INDEX(EntryWit,$P354)=0,"",INDEX(EntryWit,$P354)))</f>
        <v/>
      </c>
      <c r="J354" s="29">
        <f>IF($B354="","",IF($A354=1,$C$7,IF(J353="",0,J353))+IF($H354="",0,$H354)-IF($I354="",0,$I354))</f>
        <v/>
      </c>
      <c r="K354" s="29">
        <f>IF($P354="","",IF(INDEX(EntryMan,$P354)=0,"",INDEX(EntryMan,$P354)))</f>
        <v/>
      </c>
      <c r="L354" s="28">
        <f>IF($B354="","",IF($K354="","—",IF(ROUND($K354-$J354,0)=0,"√","×")))</f>
        <v/>
      </c>
      <c r="M354" s="28">
        <f>IF($B354="","",IF(COUNTIFS(EntryDates,$B354,CalcTime,$C354,CalcBank,$C$5,EntryParty,$D354,EntryDep,$H354,EntryWit,$I354)&gt;1,"تکرار",""))</f>
        <v/>
      </c>
      <c r="N354" s="28">
        <f>IF($P354="","",IF(INDEX(EntryNotes,$P354)=0,"",INDEX(EntryNotes,$P354)))</f>
        <v/>
      </c>
      <c r="O354" s="28">
        <f>IF($P354="","",IF(INDEX(EntryTxnID,$P354)=0,"",INDEX(EntryTxnID,$P354)))</f>
        <v/>
      </c>
      <c r="P354" s="28">
        <f>IFERROR(MATCH($C$5&amp;"|"&amp;RIGHT("000000"&amp;338,6),CalcRankKey,0),"")</f>
        <v/>
      </c>
    </row>
    <row r="355">
      <c r="A355" s="26">
        <f>IF($B355="","",339)</f>
        <v/>
      </c>
      <c r="B355" s="26">
        <f>IF($P355="","",IF(INDEX(CalcNormDate,$P355)=0,"",INDEX(CalcNormDate,$P355)))</f>
        <v/>
      </c>
      <c r="C355" s="26">
        <f>IF($P355="","",IF(INDEX(CalcTime,$P355)=0,"",INDEX(CalcTime,$P355)))</f>
        <v/>
      </c>
      <c r="D355" s="26">
        <f>IF($P355="","",IF(INDEX(EntryParty,$P355)=0,"",INDEX(EntryParty,$P355)))</f>
        <v/>
      </c>
      <c r="E355" s="26">
        <f>IF($P355="","",IF(INDEX(EntryPartyName,$P355)=0,"",INDEX(EntryPartyName,$P355)))</f>
        <v/>
      </c>
      <c r="F355" s="26">
        <f>IF($P355="","",IF(INDEX(EntryPartyType,$P355)=0,"",INDEX(EntryPartyType,$P355)))</f>
        <v/>
      </c>
      <c r="G355" s="26">
        <f>IF($P355="","",IF(INDEX(EntryTxnType,$P355)=0,"",INDEX(EntryTxnType,$P355)))</f>
        <v/>
      </c>
      <c r="H355" s="27">
        <f>IF($P355="","",IF(INDEX(EntryDep,$P355)=0,"",INDEX(EntryDep,$P355)))</f>
        <v/>
      </c>
      <c r="I355" s="27">
        <f>IF($P355="","",IF(INDEX(EntryWit,$P355)=0,"",INDEX(EntryWit,$P355)))</f>
        <v/>
      </c>
      <c r="J355" s="27">
        <f>IF($B355="","",IF($A355=1,$C$7,IF(J354="",0,J354))+IF($H355="",0,$H355)-IF($I355="",0,$I355))</f>
        <v/>
      </c>
      <c r="K355" s="27">
        <f>IF($P355="","",IF(INDEX(EntryMan,$P355)=0,"",INDEX(EntryMan,$P355)))</f>
        <v/>
      </c>
      <c r="L355" s="26">
        <f>IF($B355="","",IF($K355="","—",IF(ROUND($K355-$J355,0)=0,"√","×")))</f>
        <v/>
      </c>
      <c r="M355" s="26">
        <f>IF($B355="","",IF(COUNTIFS(EntryDates,$B355,CalcTime,$C355,CalcBank,$C$5,EntryParty,$D355,EntryDep,$H355,EntryWit,$I355)&gt;1,"تکرار",""))</f>
        <v/>
      </c>
      <c r="N355" s="26">
        <f>IF($P355="","",IF(INDEX(EntryNotes,$P355)=0,"",INDEX(EntryNotes,$P355)))</f>
        <v/>
      </c>
      <c r="O355" s="26">
        <f>IF($P355="","",IF(INDEX(EntryTxnID,$P355)=0,"",INDEX(EntryTxnID,$P355)))</f>
        <v/>
      </c>
      <c r="P355" s="26">
        <f>IFERROR(MATCH($C$5&amp;"|"&amp;RIGHT("000000"&amp;339,6),CalcRankKey,0),"")</f>
        <v/>
      </c>
    </row>
    <row r="356">
      <c r="A356" s="28">
        <f>IF($B356="","",340)</f>
        <v/>
      </c>
      <c r="B356" s="28">
        <f>IF($P356="","",IF(INDEX(CalcNormDate,$P356)=0,"",INDEX(CalcNormDate,$P356)))</f>
        <v/>
      </c>
      <c r="C356" s="28">
        <f>IF($P356="","",IF(INDEX(CalcTime,$P356)=0,"",INDEX(CalcTime,$P356)))</f>
        <v/>
      </c>
      <c r="D356" s="28">
        <f>IF($P356="","",IF(INDEX(EntryParty,$P356)=0,"",INDEX(EntryParty,$P356)))</f>
        <v/>
      </c>
      <c r="E356" s="28">
        <f>IF($P356="","",IF(INDEX(EntryPartyName,$P356)=0,"",INDEX(EntryPartyName,$P356)))</f>
        <v/>
      </c>
      <c r="F356" s="28">
        <f>IF($P356="","",IF(INDEX(EntryPartyType,$P356)=0,"",INDEX(EntryPartyType,$P356)))</f>
        <v/>
      </c>
      <c r="G356" s="28">
        <f>IF($P356="","",IF(INDEX(EntryTxnType,$P356)=0,"",INDEX(EntryTxnType,$P356)))</f>
        <v/>
      </c>
      <c r="H356" s="29">
        <f>IF($P356="","",IF(INDEX(EntryDep,$P356)=0,"",INDEX(EntryDep,$P356)))</f>
        <v/>
      </c>
      <c r="I356" s="29">
        <f>IF($P356="","",IF(INDEX(EntryWit,$P356)=0,"",INDEX(EntryWit,$P356)))</f>
        <v/>
      </c>
      <c r="J356" s="29">
        <f>IF($B356="","",IF($A356=1,$C$7,IF(J355="",0,J355))+IF($H356="",0,$H356)-IF($I356="",0,$I356))</f>
        <v/>
      </c>
      <c r="K356" s="29">
        <f>IF($P356="","",IF(INDEX(EntryMan,$P356)=0,"",INDEX(EntryMan,$P356)))</f>
        <v/>
      </c>
      <c r="L356" s="28">
        <f>IF($B356="","",IF($K356="","—",IF(ROUND($K356-$J356,0)=0,"√","×")))</f>
        <v/>
      </c>
      <c r="M356" s="28">
        <f>IF($B356="","",IF(COUNTIFS(EntryDates,$B356,CalcTime,$C356,CalcBank,$C$5,EntryParty,$D356,EntryDep,$H356,EntryWit,$I356)&gt;1,"تکرار",""))</f>
        <v/>
      </c>
      <c r="N356" s="28">
        <f>IF($P356="","",IF(INDEX(EntryNotes,$P356)=0,"",INDEX(EntryNotes,$P356)))</f>
        <v/>
      </c>
      <c r="O356" s="28">
        <f>IF($P356="","",IF(INDEX(EntryTxnID,$P356)=0,"",INDEX(EntryTxnID,$P356)))</f>
        <v/>
      </c>
      <c r="P356" s="28">
        <f>IFERROR(MATCH($C$5&amp;"|"&amp;RIGHT("000000"&amp;340,6),CalcRankKey,0),"")</f>
        <v/>
      </c>
    </row>
    <row r="357">
      <c r="A357" s="26">
        <f>IF($B357="","",341)</f>
        <v/>
      </c>
      <c r="B357" s="26">
        <f>IF($P357="","",IF(INDEX(CalcNormDate,$P357)=0,"",INDEX(CalcNormDate,$P357)))</f>
        <v/>
      </c>
      <c r="C357" s="26">
        <f>IF($P357="","",IF(INDEX(CalcTime,$P357)=0,"",INDEX(CalcTime,$P357)))</f>
        <v/>
      </c>
      <c r="D357" s="26">
        <f>IF($P357="","",IF(INDEX(EntryParty,$P357)=0,"",INDEX(EntryParty,$P357)))</f>
        <v/>
      </c>
      <c r="E357" s="26">
        <f>IF($P357="","",IF(INDEX(EntryPartyName,$P357)=0,"",INDEX(EntryPartyName,$P357)))</f>
        <v/>
      </c>
      <c r="F357" s="26">
        <f>IF($P357="","",IF(INDEX(EntryPartyType,$P357)=0,"",INDEX(EntryPartyType,$P357)))</f>
        <v/>
      </c>
      <c r="G357" s="26">
        <f>IF($P357="","",IF(INDEX(EntryTxnType,$P357)=0,"",INDEX(EntryTxnType,$P357)))</f>
        <v/>
      </c>
      <c r="H357" s="27">
        <f>IF($P357="","",IF(INDEX(EntryDep,$P357)=0,"",INDEX(EntryDep,$P357)))</f>
        <v/>
      </c>
      <c r="I357" s="27">
        <f>IF($P357="","",IF(INDEX(EntryWit,$P357)=0,"",INDEX(EntryWit,$P357)))</f>
        <v/>
      </c>
      <c r="J357" s="27">
        <f>IF($B357="","",IF($A357=1,$C$7,IF(J356="",0,J356))+IF($H357="",0,$H357)-IF($I357="",0,$I357))</f>
        <v/>
      </c>
      <c r="K357" s="27">
        <f>IF($P357="","",IF(INDEX(EntryMan,$P357)=0,"",INDEX(EntryMan,$P357)))</f>
        <v/>
      </c>
      <c r="L357" s="26">
        <f>IF($B357="","",IF($K357="","—",IF(ROUND($K357-$J357,0)=0,"√","×")))</f>
        <v/>
      </c>
      <c r="M357" s="26">
        <f>IF($B357="","",IF(COUNTIFS(EntryDates,$B357,CalcTime,$C357,CalcBank,$C$5,EntryParty,$D357,EntryDep,$H357,EntryWit,$I357)&gt;1,"تکرار",""))</f>
        <v/>
      </c>
      <c r="N357" s="26">
        <f>IF($P357="","",IF(INDEX(EntryNotes,$P357)=0,"",INDEX(EntryNotes,$P357)))</f>
        <v/>
      </c>
      <c r="O357" s="26">
        <f>IF($P357="","",IF(INDEX(EntryTxnID,$P357)=0,"",INDEX(EntryTxnID,$P357)))</f>
        <v/>
      </c>
      <c r="P357" s="26">
        <f>IFERROR(MATCH($C$5&amp;"|"&amp;RIGHT("000000"&amp;341,6),CalcRankKey,0),"")</f>
        <v/>
      </c>
    </row>
    <row r="358">
      <c r="A358" s="28">
        <f>IF($B358="","",342)</f>
        <v/>
      </c>
      <c r="B358" s="28">
        <f>IF($P358="","",IF(INDEX(CalcNormDate,$P358)=0,"",INDEX(CalcNormDate,$P358)))</f>
        <v/>
      </c>
      <c r="C358" s="28">
        <f>IF($P358="","",IF(INDEX(CalcTime,$P358)=0,"",INDEX(CalcTime,$P358)))</f>
        <v/>
      </c>
      <c r="D358" s="28">
        <f>IF($P358="","",IF(INDEX(EntryParty,$P358)=0,"",INDEX(EntryParty,$P358)))</f>
        <v/>
      </c>
      <c r="E358" s="28">
        <f>IF($P358="","",IF(INDEX(EntryPartyName,$P358)=0,"",INDEX(EntryPartyName,$P358)))</f>
        <v/>
      </c>
      <c r="F358" s="28">
        <f>IF($P358="","",IF(INDEX(EntryPartyType,$P358)=0,"",INDEX(EntryPartyType,$P358)))</f>
        <v/>
      </c>
      <c r="G358" s="28">
        <f>IF($P358="","",IF(INDEX(EntryTxnType,$P358)=0,"",INDEX(EntryTxnType,$P358)))</f>
        <v/>
      </c>
      <c r="H358" s="29">
        <f>IF($P358="","",IF(INDEX(EntryDep,$P358)=0,"",INDEX(EntryDep,$P358)))</f>
        <v/>
      </c>
      <c r="I358" s="29">
        <f>IF($P358="","",IF(INDEX(EntryWit,$P358)=0,"",INDEX(EntryWit,$P358)))</f>
        <v/>
      </c>
      <c r="J358" s="29">
        <f>IF($B358="","",IF($A358=1,$C$7,IF(J357="",0,J357))+IF($H358="",0,$H358)-IF($I358="",0,$I358))</f>
        <v/>
      </c>
      <c r="K358" s="29">
        <f>IF($P358="","",IF(INDEX(EntryMan,$P358)=0,"",INDEX(EntryMan,$P358)))</f>
        <v/>
      </c>
      <c r="L358" s="28">
        <f>IF($B358="","",IF($K358="","—",IF(ROUND($K358-$J358,0)=0,"√","×")))</f>
        <v/>
      </c>
      <c r="M358" s="28">
        <f>IF($B358="","",IF(COUNTIFS(EntryDates,$B358,CalcTime,$C358,CalcBank,$C$5,EntryParty,$D358,EntryDep,$H358,EntryWit,$I358)&gt;1,"تکرار",""))</f>
        <v/>
      </c>
      <c r="N358" s="28">
        <f>IF($P358="","",IF(INDEX(EntryNotes,$P358)=0,"",INDEX(EntryNotes,$P358)))</f>
        <v/>
      </c>
      <c r="O358" s="28">
        <f>IF($P358="","",IF(INDEX(EntryTxnID,$P358)=0,"",INDEX(EntryTxnID,$P358)))</f>
        <v/>
      </c>
      <c r="P358" s="28">
        <f>IFERROR(MATCH($C$5&amp;"|"&amp;RIGHT("000000"&amp;342,6),CalcRankKey,0),"")</f>
        <v/>
      </c>
    </row>
    <row r="359">
      <c r="A359" s="26">
        <f>IF($B359="","",343)</f>
        <v/>
      </c>
      <c r="B359" s="26">
        <f>IF($P359="","",IF(INDEX(CalcNormDate,$P359)=0,"",INDEX(CalcNormDate,$P359)))</f>
        <v/>
      </c>
      <c r="C359" s="26">
        <f>IF($P359="","",IF(INDEX(CalcTime,$P359)=0,"",INDEX(CalcTime,$P359)))</f>
        <v/>
      </c>
      <c r="D359" s="26">
        <f>IF($P359="","",IF(INDEX(EntryParty,$P359)=0,"",INDEX(EntryParty,$P359)))</f>
        <v/>
      </c>
      <c r="E359" s="26">
        <f>IF($P359="","",IF(INDEX(EntryPartyName,$P359)=0,"",INDEX(EntryPartyName,$P359)))</f>
        <v/>
      </c>
      <c r="F359" s="26">
        <f>IF($P359="","",IF(INDEX(EntryPartyType,$P359)=0,"",INDEX(EntryPartyType,$P359)))</f>
        <v/>
      </c>
      <c r="G359" s="26">
        <f>IF($P359="","",IF(INDEX(EntryTxnType,$P359)=0,"",INDEX(EntryTxnType,$P359)))</f>
        <v/>
      </c>
      <c r="H359" s="27">
        <f>IF($P359="","",IF(INDEX(EntryDep,$P359)=0,"",INDEX(EntryDep,$P359)))</f>
        <v/>
      </c>
      <c r="I359" s="27">
        <f>IF($P359="","",IF(INDEX(EntryWit,$P359)=0,"",INDEX(EntryWit,$P359)))</f>
        <v/>
      </c>
      <c r="J359" s="27">
        <f>IF($B359="","",IF($A359=1,$C$7,IF(J358="",0,J358))+IF($H359="",0,$H359)-IF($I359="",0,$I359))</f>
        <v/>
      </c>
      <c r="K359" s="27">
        <f>IF($P359="","",IF(INDEX(EntryMan,$P359)=0,"",INDEX(EntryMan,$P359)))</f>
        <v/>
      </c>
      <c r="L359" s="26">
        <f>IF($B359="","",IF($K359="","—",IF(ROUND($K359-$J359,0)=0,"√","×")))</f>
        <v/>
      </c>
      <c r="M359" s="26">
        <f>IF($B359="","",IF(COUNTIFS(EntryDates,$B359,CalcTime,$C359,CalcBank,$C$5,EntryParty,$D359,EntryDep,$H359,EntryWit,$I359)&gt;1,"تکرار",""))</f>
        <v/>
      </c>
      <c r="N359" s="26">
        <f>IF($P359="","",IF(INDEX(EntryNotes,$P359)=0,"",INDEX(EntryNotes,$P359)))</f>
        <v/>
      </c>
      <c r="O359" s="26">
        <f>IF($P359="","",IF(INDEX(EntryTxnID,$P359)=0,"",INDEX(EntryTxnID,$P359)))</f>
        <v/>
      </c>
      <c r="P359" s="26">
        <f>IFERROR(MATCH($C$5&amp;"|"&amp;RIGHT("000000"&amp;343,6),CalcRankKey,0),"")</f>
        <v/>
      </c>
    </row>
    <row r="360">
      <c r="A360" s="28">
        <f>IF($B360="","",344)</f>
        <v/>
      </c>
      <c r="B360" s="28">
        <f>IF($P360="","",IF(INDEX(CalcNormDate,$P360)=0,"",INDEX(CalcNormDate,$P360)))</f>
        <v/>
      </c>
      <c r="C360" s="28">
        <f>IF($P360="","",IF(INDEX(CalcTime,$P360)=0,"",INDEX(CalcTime,$P360)))</f>
        <v/>
      </c>
      <c r="D360" s="28">
        <f>IF($P360="","",IF(INDEX(EntryParty,$P360)=0,"",INDEX(EntryParty,$P360)))</f>
        <v/>
      </c>
      <c r="E360" s="28">
        <f>IF($P360="","",IF(INDEX(EntryPartyName,$P360)=0,"",INDEX(EntryPartyName,$P360)))</f>
        <v/>
      </c>
      <c r="F360" s="28">
        <f>IF($P360="","",IF(INDEX(EntryPartyType,$P360)=0,"",INDEX(EntryPartyType,$P360)))</f>
        <v/>
      </c>
      <c r="G360" s="28">
        <f>IF($P360="","",IF(INDEX(EntryTxnType,$P360)=0,"",INDEX(EntryTxnType,$P360)))</f>
        <v/>
      </c>
      <c r="H360" s="29">
        <f>IF($P360="","",IF(INDEX(EntryDep,$P360)=0,"",INDEX(EntryDep,$P360)))</f>
        <v/>
      </c>
      <c r="I360" s="29">
        <f>IF($P360="","",IF(INDEX(EntryWit,$P360)=0,"",INDEX(EntryWit,$P360)))</f>
        <v/>
      </c>
      <c r="J360" s="29">
        <f>IF($B360="","",IF($A360=1,$C$7,IF(J359="",0,J359))+IF($H360="",0,$H360)-IF($I360="",0,$I360))</f>
        <v/>
      </c>
      <c r="K360" s="29">
        <f>IF($P360="","",IF(INDEX(EntryMan,$P360)=0,"",INDEX(EntryMan,$P360)))</f>
        <v/>
      </c>
      <c r="L360" s="28">
        <f>IF($B360="","",IF($K360="","—",IF(ROUND($K360-$J360,0)=0,"√","×")))</f>
        <v/>
      </c>
      <c r="M360" s="28">
        <f>IF($B360="","",IF(COUNTIFS(EntryDates,$B360,CalcTime,$C360,CalcBank,$C$5,EntryParty,$D360,EntryDep,$H360,EntryWit,$I360)&gt;1,"تکرار",""))</f>
        <v/>
      </c>
      <c r="N360" s="28">
        <f>IF($P360="","",IF(INDEX(EntryNotes,$P360)=0,"",INDEX(EntryNotes,$P360)))</f>
        <v/>
      </c>
      <c r="O360" s="28">
        <f>IF($P360="","",IF(INDEX(EntryTxnID,$P360)=0,"",INDEX(EntryTxnID,$P360)))</f>
        <v/>
      </c>
      <c r="P360" s="28">
        <f>IFERROR(MATCH($C$5&amp;"|"&amp;RIGHT("000000"&amp;344,6),CalcRankKey,0),"")</f>
        <v/>
      </c>
    </row>
    <row r="361">
      <c r="A361" s="26">
        <f>IF($B361="","",345)</f>
        <v/>
      </c>
      <c r="B361" s="26">
        <f>IF($P361="","",IF(INDEX(CalcNormDate,$P361)=0,"",INDEX(CalcNormDate,$P361)))</f>
        <v/>
      </c>
      <c r="C361" s="26">
        <f>IF($P361="","",IF(INDEX(CalcTime,$P361)=0,"",INDEX(CalcTime,$P361)))</f>
        <v/>
      </c>
      <c r="D361" s="26">
        <f>IF($P361="","",IF(INDEX(EntryParty,$P361)=0,"",INDEX(EntryParty,$P361)))</f>
        <v/>
      </c>
      <c r="E361" s="26">
        <f>IF($P361="","",IF(INDEX(EntryPartyName,$P361)=0,"",INDEX(EntryPartyName,$P361)))</f>
        <v/>
      </c>
      <c r="F361" s="26">
        <f>IF($P361="","",IF(INDEX(EntryPartyType,$P361)=0,"",INDEX(EntryPartyType,$P361)))</f>
        <v/>
      </c>
      <c r="G361" s="26">
        <f>IF($P361="","",IF(INDEX(EntryTxnType,$P361)=0,"",INDEX(EntryTxnType,$P361)))</f>
        <v/>
      </c>
      <c r="H361" s="27">
        <f>IF($P361="","",IF(INDEX(EntryDep,$P361)=0,"",INDEX(EntryDep,$P361)))</f>
        <v/>
      </c>
      <c r="I361" s="27">
        <f>IF($P361="","",IF(INDEX(EntryWit,$P361)=0,"",INDEX(EntryWit,$P361)))</f>
        <v/>
      </c>
      <c r="J361" s="27">
        <f>IF($B361="","",IF($A361=1,$C$7,IF(J360="",0,J360))+IF($H361="",0,$H361)-IF($I361="",0,$I361))</f>
        <v/>
      </c>
      <c r="K361" s="27">
        <f>IF($P361="","",IF(INDEX(EntryMan,$P361)=0,"",INDEX(EntryMan,$P361)))</f>
        <v/>
      </c>
      <c r="L361" s="26">
        <f>IF($B361="","",IF($K361="","—",IF(ROUND($K361-$J361,0)=0,"√","×")))</f>
        <v/>
      </c>
      <c r="M361" s="26">
        <f>IF($B361="","",IF(COUNTIFS(EntryDates,$B361,CalcTime,$C361,CalcBank,$C$5,EntryParty,$D361,EntryDep,$H361,EntryWit,$I361)&gt;1,"تکرار",""))</f>
        <v/>
      </c>
      <c r="N361" s="26">
        <f>IF($P361="","",IF(INDEX(EntryNotes,$P361)=0,"",INDEX(EntryNotes,$P361)))</f>
        <v/>
      </c>
      <c r="O361" s="26">
        <f>IF($P361="","",IF(INDEX(EntryTxnID,$P361)=0,"",INDEX(EntryTxnID,$P361)))</f>
        <v/>
      </c>
      <c r="P361" s="26">
        <f>IFERROR(MATCH($C$5&amp;"|"&amp;RIGHT("000000"&amp;345,6),CalcRankKey,0),"")</f>
        <v/>
      </c>
    </row>
    <row r="362">
      <c r="A362" s="28">
        <f>IF($B362="","",346)</f>
        <v/>
      </c>
      <c r="B362" s="28">
        <f>IF($P362="","",IF(INDEX(CalcNormDate,$P362)=0,"",INDEX(CalcNormDate,$P362)))</f>
        <v/>
      </c>
      <c r="C362" s="28">
        <f>IF($P362="","",IF(INDEX(CalcTime,$P362)=0,"",INDEX(CalcTime,$P362)))</f>
        <v/>
      </c>
      <c r="D362" s="28">
        <f>IF($P362="","",IF(INDEX(EntryParty,$P362)=0,"",INDEX(EntryParty,$P362)))</f>
        <v/>
      </c>
      <c r="E362" s="28">
        <f>IF($P362="","",IF(INDEX(EntryPartyName,$P362)=0,"",INDEX(EntryPartyName,$P362)))</f>
        <v/>
      </c>
      <c r="F362" s="28">
        <f>IF($P362="","",IF(INDEX(EntryPartyType,$P362)=0,"",INDEX(EntryPartyType,$P362)))</f>
        <v/>
      </c>
      <c r="G362" s="28">
        <f>IF($P362="","",IF(INDEX(EntryTxnType,$P362)=0,"",INDEX(EntryTxnType,$P362)))</f>
        <v/>
      </c>
      <c r="H362" s="29">
        <f>IF($P362="","",IF(INDEX(EntryDep,$P362)=0,"",INDEX(EntryDep,$P362)))</f>
        <v/>
      </c>
      <c r="I362" s="29">
        <f>IF($P362="","",IF(INDEX(EntryWit,$P362)=0,"",INDEX(EntryWit,$P362)))</f>
        <v/>
      </c>
      <c r="J362" s="29">
        <f>IF($B362="","",IF($A362=1,$C$7,IF(J361="",0,J361))+IF($H362="",0,$H362)-IF($I362="",0,$I362))</f>
        <v/>
      </c>
      <c r="K362" s="29">
        <f>IF($P362="","",IF(INDEX(EntryMan,$P362)=0,"",INDEX(EntryMan,$P362)))</f>
        <v/>
      </c>
      <c r="L362" s="28">
        <f>IF($B362="","",IF($K362="","—",IF(ROUND($K362-$J362,0)=0,"√","×")))</f>
        <v/>
      </c>
      <c r="M362" s="28">
        <f>IF($B362="","",IF(COUNTIFS(EntryDates,$B362,CalcTime,$C362,CalcBank,$C$5,EntryParty,$D362,EntryDep,$H362,EntryWit,$I362)&gt;1,"تکرار",""))</f>
        <v/>
      </c>
      <c r="N362" s="28">
        <f>IF($P362="","",IF(INDEX(EntryNotes,$P362)=0,"",INDEX(EntryNotes,$P362)))</f>
        <v/>
      </c>
      <c r="O362" s="28">
        <f>IF($P362="","",IF(INDEX(EntryTxnID,$P362)=0,"",INDEX(EntryTxnID,$P362)))</f>
        <v/>
      </c>
      <c r="P362" s="28">
        <f>IFERROR(MATCH($C$5&amp;"|"&amp;RIGHT("000000"&amp;346,6),CalcRankKey,0),"")</f>
        <v/>
      </c>
    </row>
    <row r="363">
      <c r="A363" s="26">
        <f>IF($B363="","",347)</f>
        <v/>
      </c>
      <c r="B363" s="26">
        <f>IF($P363="","",IF(INDEX(CalcNormDate,$P363)=0,"",INDEX(CalcNormDate,$P363)))</f>
        <v/>
      </c>
      <c r="C363" s="26">
        <f>IF($P363="","",IF(INDEX(CalcTime,$P363)=0,"",INDEX(CalcTime,$P363)))</f>
        <v/>
      </c>
      <c r="D363" s="26">
        <f>IF($P363="","",IF(INDEX(EntryParty,$P363)=0,"",INDEX(EntryParty,$P363)))</f>
        <v/>
      </c>
      <c r="E363" s="26">
        <f>IF($P363="","",IF(INDEX(EntryPartyName,$P363)=0,"",INDEX(EntryPartyName,$P363)))</f>
        <v/>
      </c>
      <c r="F363" s="26">
        <f>IF($P363="","",IF(INDEX(EntryPartyType,$P363)=0,"",INDEX(EntryPartyType,$P363)))</f>
        <v/>
      </c>
      <c r="G363" s="26">
        <f>IF($P363="","",IF(INDEX(EntryTxnType,$P363)=0,"",INDEX(EntryTxnType,$P363)))</f>
        <v/>
      </c>
      <c r="H363" s="27">
        <f>IF($P363="","",IF(INDEX(EntryDep,$P363)=0,"",INDEX(EntryDep,$P363)))</f>
        <v/>
      </c>
      <c r="I363" s="27">
        <f>IF($P363="","",IF(INDEX(EntryWit,$P363)=0,"",INDEX(EntryWit,$P363)))</f>
        <v/>
      </c>
      <c r="J363" s="27">
        <f>IF($B363="","",IF($A363=1,$C$7,IF(J362="",0,J362))+IF($H363="",0,$H363)-IF($I363="",0,$I363))</f>
        <v/>
      </c>
      <c r="K363" s="27">
        <f>IF($P363="","",IF(INDEX(EntryMan,$P363)=0,"",INDEX(EntryMan,$P363)))</f>
        <v/>
      </c>
      <c r="L363" s="26">
        <f>IF($B363="","",IF($K363="","—",IF(ROUND($K363-$J363,0)=0,"√","×")))</f>
        <v/>
      </c>
      <c r="M363" s="26">
        <f>IF($B363="","",IF(COUNTIFS(EntryDates,$B363,CalcTime,$C363,CalcBank,$C$5,EntryParty,$D363,EntryDep,$H363,EntryWit,$I363)&gt;1,"تکرار",""))</f>
        <v/>
      </c>
      <c r="N363" s="26">
        <f>IF($P363="","",IF(INDEX(EntryNotes,$P363)=0,"",INDEX(EntryNotes,$P363)))</f>
        <v/>
      </c>
      <c r="O363" s="26">
        <f>IF($P363="","",IF(INDEX(EntryTxnID,$P363)=0,"",INDEX(EntryTxnID,$P363)))</f>
        <v/>
      </c>
      <c r="P363" s="26">
        <f>IFERROR(MATCH($C$5&amp;"|"&amp;RIGHT("000000"&amp;347,6),CalcRankKey,0),"")</f>
        <v/>
      </c>
    </row>
    <row r="364">
      <c r="A364" s="28">
        <f>IF($B364="","",348)</f>
        <v/>
      </c>
      <c r="B364" s="28">
        <f>IF($P364="","",IF(INDEX(CalcNormDate,$P364)=0,"",INDEX(CalcNormDate,$P364)))</f>
        <v/>
      </c>
      <c r="C364" s="28">
        <f>IF($P364="","",IF(INDEX(CalcTime,$P364)=0,"",INDEX(CalcTime,$P364)))</f>
        <v/>
      </c>
      <c r="D364" s="28">
        <f>IF($P364="","",IF(INDEX(EntryParty,$P364)=0,"",INDEX(EntryParty,$P364)))</f>
        <v/>
      </c>
      <c r="E364" s="28">
        <f>IF($P364="","",IF(INDEX(EntryPartyName,$P364)=0,"",INDEX(EntryPartyName,$P364)))</f>
        <v/>
      </c>
      <c r="F364" s="28">
        <f>IF($P364="","",IF(INDEX(EntryPartyType,$P364)=0,"",INDEX(EntryPartyType,$P364)))</f>
        <v/>
      </c>
      <c r="G364" s="28">
        <f>IF($P364="","",IF(INDEX(EntryTxnType,$P364)=0,"",INDEX(EntryTxnType,$P364)))</f>
        <v/>
      </c>
      <c r="H364" s="29">
        <f>IF($P364="","",IF(INDEX(EntryDep,$P364)=0,"",INDEX(EntryDep,$P364)))</f>
        <v/>
      </c>
      <c r="I364" s="29">
        <f>IF($P364="","",IF(INDEX(EntryWit,$P364)=0,"",INDEX(EntryWit,$P364)))</f>
        <v/>
      </c>
      <c r="J364" s="29">
        <f>IF($B364="","",IF($A364=1,$C$7,IF(J363="",0,J363))+IF($H364="",0,$H364)-IF($I364="",0,$I364))</f>
        <v/>
      </c>
      <c r="K364" s="29">
        <f>IF($P364="","",IF(INDEX(EntryMan,$P364)=0,"",INDEX(EntryMan,$P364)))</f>
        <v/>
      </c>
      <c r="L364" s="28">
        <f>IF($B364="","",IF($K364="","—",IF(ROUND($K364-$J364,0)=0,"√","×")))</f>
        <v/>
      </c>
      <c r="M364" s="28">
        <f>IF($B364="","",IF(COUNTIFS(EntryDates,$B364,CalcTime,$C364,CalcBank,$C$5,EntryParty,$D364,EntryDep,$H364,EntryWit,$I364)&gt;1,"تکرار",""))</f>
        <v/>
      </c>
      <c r="N364" s="28">
        <f>IF($P364="","",IF(INDEX(EntryNotes,$P364)=0,"",INDEX(EntryNotes,$P364)))</f>
        <v/>
      </c>
      <c r="O364" s="28">
        <f>IF($P364="","",IF(INDEX(EntryTxnID,$P364)=0,"",INDEX(EntryTxnID,$P364)))</f>
        <v/>
      </c>
      <c r="P364" s="28">
        <f>IFERROR(MATCH($C$5&amp;"|"&amp;RIGHT("000000"&amp;348,6),CalcRankKey,0),"")</f>
        <v/>
      </c>
    </row>
    <row r="365">
      <c r="A365" s="26">
        <f>IF($B365="","",349)</f>
        <v/>
      </c>
      <c r="B365" s="26">
        <f>IF($P365="","",IF(INDEX(CalcNormDate,$P365)=0,"",INDEX(CalcNormDate,$P365)))</f>
        <v/>
      </c>
      <c r="C365" s="26">
        <f>IF($P365="","",IF(INDEX(CalcTime,$P365)=0,"",INDEX(CalcTime,$P365)))</f>
        <v/>
      </c>
      <c r="D365" s="26">
        <f>IF($P365="","",IF(INDEX(EntryParty,$P365)=0,"",INDEX(EntryParty,$P365)))</f>
        <v/>
      </c>
      <c r="E365" s="26">
        <f>IF($P365="","",IF(INDEX(EntryPartyName,$P365)=0,"",INDEX(EntryPartyName,$P365)))</f>
        <v/>
      </c>
      <c r="F365" s="26">
        <f>IF($P365="","",IF(INDEX(EntryPartyType,$P365)=0,"",INDEX(EntryPartyType,$P365)))</f>
        <v/>
      </c>
      <c r="G365" s="26">
        <f>IF($P365="","",IF(INDEX(EntryTxnType,$P365)=0,"",INDEX(EntryTxnType,$P365)))</f>
        <v/>
      </c>
      <c r="H365" s="27">
        <f>IF($P365="","",IF(INDEX(EntryDep,$P365)=0,"",INDEX(EntryDep,$P365)))</f>
        <v/>
      </c>
      <c r="I365" s="27">
        <f>IF($P365="","",IF(INDEX(EntryWit,$P365)=0,"",INDEX(EntryWit,$P365)))</f>
        <v/>
      </c>
      <c r="J365" s="27">
        <f>IF($B365="","",IF($A365=1,$C$7,IF(J364="",0,J364))+IF($H365="",0,$H365)-IF($I365="",0,$I365))</f>
        <v/>
      </c>
      <c r="K365" s="27">
        <f>IF($P365="","",IF(INDEX(EntryMan,$P365)=0,"",INDEX(EntryMan,$P365)))</f>
        <v/>
      </c>
      <c r="L365" s="26">
        <f>IF($B365="","",IF($K365="","—",IF(ROUND($K365-$J365,0)=0,"√","×")))</f>
        <v/>
      </c>
      <c r="M365" s="26">
        <f>IF($B365="","",IF(COUNTIFS(EntryDates,$B365,CalcTime,$C365,CalcBank,$C$5,EntryParty,$D365,EntryDep,$H365,EntryWit,$I365)&gt;1,"تکرار",""))</f>
        <v/>
      </c>
      <c r="N365" s="26">
        <f>IF($P365="","",IF(INDEX(EntryNotes,$P365)=0,"",INDEX(EntryNotes,$P365)))</f>
        <v/>
      </c>
      <c r="O365" s="26">
        <f>IF($P365="","",IF(INDEX(EntryTxnID,$P365)=0,"",INDEX(EntryTxnID,$P365)))</f>
        <v/>
      </c>
      <c r="P365" s="26">
        <f>IFERROR(MATCH($C$5&amp;"|"&amp;RIGHT("000000"&amp;349,6),CalcRankKey,0),"")</f>
        <v/>
      </c>
    </row>
    <row r="366">
      <c r="A366" s="28">
        <f>IF($B366="","",350)</f>
        <v/>
      </c>
      <c r="B366" s="28">
        <f>IF($P366="","",IF(INDEX(CalcNormDate,$P366)=0,"",INDEX(CalcNormDate,$P366)))</f>
        <v/>
      </c>
      <c r="C366" s="28">
        <f>IF($P366="","",IF(INDEX(CalcTime,$P366)=0,"",INDEX(CalcTime,$P366)))</f>
        <v/>
      </c>
      <c r="D366" s="28">
        <f>IF($P366="","",IF(INDEX(EntryParty,$P366)=0,"",INDEX(EntryParty,$P366)))</f>
        <v/>
      </c>
      <c r="E366" s="28">
        <f>IF($P366="","",IF(INDEX(EntryPartyName,$P366)=0,"",INDEX(EntryPartyName,$P366)))</f>
        <v/>
      </c>
      <c r="F366" s="28">
        <f>IF($P366="","",IF(INDEX(EntryPartyType,$P366)=0,"",INDEX(EntryPartyType,$P366)))</f>
        <v/>
      </c>
      <c r="G366" s="28">
        <f>IF($P366="","",IF(INDEX(EntryTxnType,$P366)=0,"",INDEX(EntryTxnType,$P366)))</f>
        <v/>
      </c>
      <c r="H366" s="29">
        <f>IF($P366="","",IF(INDEX(EntryDep,$P366)=0,"",INDEX(EntryDep,$P366)))</f>
        <v/>
      </c>
      <c r="I366" s="29">
        <f>IF($P366="","",IF(INDEX(EntryWit,$P366)=0,"",INDEX(EntryWit,$P366)))</f>
        <v/>
      </c>
      <c r="J366" s="29">
        <f>IF($B366="","",IF($A366=1,$C$7,IF(J365="",0,J365))+IF($H366="",0,$H366)-IF($I366="",0,$I366))</f>
        <v/>
      </c>
      <c r="K366" s="29">
        <f>IF($P366="","",IF(INDEX(EntryMan,$P366)=0,"",INDEX(EntryMan,$P366)))</f>
        <v/>
      </c>
      <c r="L366" s="28">
        <f>IF($B366="","",IF($K366="","—",IF(ROUND($K366-$J366,0)=0,"√","×")))</f>
        <v/>
      </c>
      <c r="M366" s="28">
        <f>IF($B366="","",IF(COUNTIFS(EntryDates,$B366,CalcTime,$C366,CalcBank,$C$5,EntryParty,$D366,EntryDep,$H366,EntryWit,$I366)&gt;1,"تکرار",""))</f>
        <v/>
      </c>
      <c r="N366" s="28">
        <f>IF($P366="","",IF(INDEX(EntryNotes,$P366)=0,"",INDEX(EntryNotes,$P366)))</f>
        <v/>
      </c>
      <c r="O366" s="28">
        <f>IF($P366="","",IF(INDEX(EntryTxnID,$P366)=0,"",INDEX(EntryTxnID,$P366)))</f>
        <v/>
      </c>
      <c r="P366" s="28">
        <f>IFERROR(MATCH($C$5&amp;"|"&amp;RIGHT("000000"&amp;350,6),CalcRankKey,0),"")</f>
        <v/>
      </c>
    </row>
    <row r="367">
      <c r="A367" s="26">
        <f>IF($B367="","",351)</f>
        <v/>
      </c>
      <c r="B367" s="26">
        <f>IF($P367="","",IF(INDEX(CalcNormDate,$P367)=0,"",INDEX(CalcNormDate,$P367)))</f>
        <v/>
      </c>
      <c r="C367" s="26">
        <f>IF($P367="","",IF(INDEX(CalcTime,$P367)=0,"",INDEX(CalcTime,$P367)))</f>
        <v/>
      </c>
      <c r="D367" s="26">
        <f>IF($P367="","",IF(INDEX(EntryParty,$P367)=0,"",INDEX(EntryParty,$P367)))</f>
        <v/>
      </c>
      <c r="E367" s="26">
        <f>IF($P367="","",IF(INDEX(EntryPartyName,$P367)=0,"",INDEX(EntryPartyName,$P367)))</f>
        <v/>
      </c>
      <c r="F367" s="26">
        <f>IF($P367="","",IF(INDEX(EntryPartyType,$P367)=0,"",INDEX(EntryPartyType,$P367)))</f>
        <v/>
      </c>
      <c r="G367" s="26">
        <f>IF($P367="","",IF(INDEX(EntryTxnType,$P367)=0,"",INDEX(EntryTxnType,$P367)))</f>
        <v/>
      </c>
      <c r="H367" s="27">
        <f>IF($P367="","",IF(INDEX(EntryDep,$P367)=0,"",INDEX(EntryDep,$P367)))</f>
        <v/>
      </c>
      <c r="I367" s="27">
        <f>IF($P367="","",IF(INDEX(EntryWit,$P367)=0,"",INDEX(EntryWit,$P367)))</f>
        <v/>
      </c>
      <c r="J367" s="27">
        <f>IF($B367="","",IF($A367=1,$C$7,IF(J366="",0,J366))+IF($H367="",0,$H367)-IF($I367="",0,$I367))</f>
        <v/>
      </c>
      <c r="K367" s="27">
        <f>IF($P367="","",IF(INDEX(EntryMan,$P367)=0,"",INDEX(EntryMan,$P367)))</f>
        <v/>
      </c>
      <c r="L367" s="26">
        <f>IF($B367="","",IF($K367="","—",IF(ROUND($K367-$J367,0)=0,"√","×")))</f>
        <v/>
      </c>
      <c r="M367" s="26">
        <f>IF($B367="","",IF(COUNTIFS(EntryDates,$B367,CalcTime,$C367,CalcBank,$C$5,EntryParty,$D367,EntryDep,$H367,EntryWit,$I367)&gt;1,"تکرار",""))</f>
        <v/>
      </c>
      <c r="N367" s="26">
        <f>IF($P367="","",IF(INDEX(EntryNotes,$P367)=0,"",INDEX(EntryNotes,$P367)))</f>
        <v/>
      </c>
      <c r="O367" s="26">
        <f>IF($P367="","",IF(INDEX(EntryTxnID,$P367)=0,"",INDEX(EntryTxnID,$P367)))</f>
        <v/>
      </c>
      <c r="P367" s="26">
        <f>IFERROR(MATCH($C$5&amp;"|"&amp;RIGHT("000000"&amp;351,6),CalcRankKey,0),"")</f>
        <v/>
      </c>
    </row>
    <row r="368">
      <c r="A368" s="28">
        <f>IF($B368="","",352)</f>
        <v/>
      </c>
      <c r="B368" s="28">
        <f>IF($P368="","",IF(INDEX(CalcNormDate,$P368)=0,"",INDEX(CalcNormDate,$P368)))</f>
        <v/>
      </c>
      <c r="C368" s="28">
        <f>IF($P368="","",IF(INDEX(CalcTime,$P368)=0,"",INDEX(CalcTime,$P368)))</f>
        <v/>
      </c>
      <c r="D368" s="28">
        <f>IF($P368="","",IF(INDEX(EntryParty,$P368)=0,"",INDEX(EntryParty,$P368)))</f>
        <v/>
      </c>
      <c r="E368" s="28">
        <f>IF($P368="","",IF(INDEX(EntryPartyName,$P368)=0,"",INDEX(EntryPartyName,$P368)))</f>
        <v/>
      </c>
      <c r="F368" s="28">
        <f>IF($P368="","",IF(INDEX(EntryPartyType,$P368)=0,"",INDEX(EntryPartyType,$P368)))</f>
        <v/>
      </c>
      <c r="G368" s="28">
        <f>IF($P368="","",IF(INDEX(EntryTxnType,$P368)=0,"",INDEX(EntryTxnType,$P368)))</f>
        <v/>
      </c>
      <c r="H368" s="29">
        <f>IF($P368="","",IF(INDEX(EntryDep,$P368)=0,"",INDEX(EntryDep,$P368)))</f>
        <v/>
      </c>
      <c r="I368" s="29">
        <f>IF($P368="","",IF(INDEX(EntryWit,$P368)=0,"",INDEX(EntryWit,$P368)))</f>
        <v/>
      </c>
      <c r="J368" s="29">
        <f>IF($B368="","",IF($A368=1,$C$7,IF(J367="",0,J367))+IF($H368="",0,$H368)-IF($I368="",0,$I368))</f>
        <v/>
      </c>
      <c r="K368" s="29">
        <f>IF($P368="","",IF(INDEX(EntryMan,$P368)=0,"",INDEX(EntryMan,$P368)))</f>
        <v/>
      </c>
      <c r="L368" s="28">
        <f>IF($B368="","",IF($K368="","—",IF(ROUND($K368-$J368,0)=0,"√","×")))</f>
        <v/>
      </c>
      <c r="M368" s="28">
        <f>IF($B368="","",IF(COUNTIFS(EntryDates,$B368,CalcTime,$C368,CalcBank,$C$5,EntryParty,$D368,EntryDep,$H368,EntryWit,$I368)&gt;1,"تکرار",""))</f>
        <v/>
      </c>
      <c r="N368" s="28">
        <f>IF($P368="","",IF(INDEX(EntryNotes,$P368)=0,"",INDEX(EntryNotes,$P368)))</f>
        <v/>
      </c>
      <c r="O368" s="28">
        <f>IF($P368="","",IF(INDEX(EntryTxnID,$P368)=0,"",INDEX(EntryTxnID,$P368)))</f>
        <v/>
      </c>
      <c r="P368" s="28">
        <f>IFERROR(MATCH($C$5&amp;"|"&amp;RIGHT("000000"&amp;352,6),CalcRankKey,0),"")</f>
        <v/>
      </c>
    </row>
    <row r="369">
      <c r="A369" s="26">
        <f>IF($B369="","",353)</f>
        <v/>
      </c>
      <c r="B369" s="26">
        <f>IF($P369="","",IF(INDEX(CalcNormDate,$P369)=0,"",INDEX(CalcNormDate,$P369)))</f>
        <v/>
      </c>
      <c r="C369" s="26">
        <f>IF($P369="","",IF(INDEX(CalcTime,$P369)=0,"",INDEX(CalcTime,$P369)))</f>
        <v/>
      </c>
      <c r="D369" s="26">
        <f>IF($P369="","",IF(INDEX(EntryParty,$P369)=0,"",INDEX(EntryParty,$P369)))</f>
        <v/>
      </c>
      <c r="E369" s="26">
        <f>IF($P369="","",IF(INDEX(EntryPartyName,$P369)=0,"",INDEX(EntryPartyName,$P369)))</f>
        <v/>
      </c>
      <c r="F369" s="26">
        <f>IF($P369="","",IF(INDEX(EntryPartyType,$P369)=0,"",INDEX(EntryPartyType,$P369)))</f>
        <v/>
      </c>
      <c r="G369" s="26">
        <f>IF($P369="","",IF(INDEX(EntryTxnType,$P369)=0,"",INDEX(EntryTxnType,$P369)))</f>
        <v/>
      </c>
      <c r="H369" s="27">
        <f>IF($P369="","",IF(INDEX(EntryDep,$P369)=0,"",INDEX(EntryDep,$P369)))</f>
        <v/>
      </c>
      <c r="I369" s="27">
        <f>IF($P369="","",IF(INDEX(EntryWit,$P369)=0,"",INDEX(EntryWit,$P369)))</f>
        <v/>
      </c>
      <c r="J369" s="27">
        <f>IF($B369="","",IF($A369=1,$C$7,IF(J368="",0,J368))+IF($H369="",0,$H369)-IF($I369="",0,$I369))</f>
        <v/>
      </c>
      <c r="K369" s="27">
        <f>IF($P369="","",IF(INDEX(EntryMan,$P369)=0,"",INDEX(EntryMan,$P369)))</f>
        <v/>
      </c>
      <c r="L369" s="26">
        <f>IF($B369="","",IF($K369="","—",IF(ROUND($K369-$J369,0)=0,"√","×")))</f>
        <v/>
      </c>
      <c r="M369" s="26">
        <f>IF($B369="","",IF(COUNTIFS(EntryDates,$B369,CalcTime,$C369,CalcBank,$C$5,EntryParty,$D369,EntryDep,$H369,EntryWit,$I369)&gt;1,"تکرار",""))</f>
        <v/>
      </c>
      <c r="N369" s="26">
        <f>IF($P369="","",IF(INDEX(EntryNotes,$P369)=0,"",INDEX(EntryNotes,$P369)))</f>
        <v/>
      </c>
      <c r="O369" s="26">
        <f>IF($P369="","",IF(INDEX(EntryTxnID,$P369)=0,"",INDEX(EntryTxnID,$P369)))</f>
        <v/>
      </c>
      <c r="P369" s="26">
        <f>IFERROR(MATCH($C$5&amp;"|"&amp;RIGHT("000000"&amp;353,6),CalcRankKey,0),"")</f>
        <v/>
      </c>
    </row>
    <row r="370">
      <c r="A370" s="28">
        <f>IF($B370="","",354)</f>
        <v/>
      </c>
      <c r="B370" s="28">
        <f>IF($P370="","",IF(INDEX(CalcNormDate,$P370)=0,"",INDEX(CalcNormDate,$P370)))</f>
        <v/>
      </c>
      <c r="C370" s="28">
        <f>IF($P370="","",IF(INDEX(CalcTime,$P370)=0,"",INDEX(CalcTime,$P370)))</f>
        <v/>
      </c>
      <c r="D370" s="28">
        <f>IF($P370="","",IF(INDEX(EntryParty,$P370)=0,"",INDEX(EntryParty,$P370)))</f>
        <v/>
      </c>
      <c r="E370" s="28">
        <f>IF($P370="","",IF(INDEX(EntryPartyName,$P370)=0,"",INDEX(EntryPartyName,$P370)))</f>
        <v/>
      </c>
      <c r="F370" s="28">
        <f>IF($P370="","",IF(INDEX(EntryPartyType,$P370)=0,"",INDEX(EntryPartyType,$P370)))</f>
        <v/>
      </c>
      <c r="G370" s="28">
        <f>IF($P370="","",IF(INDEX(EntryTxnType,$P370)=0,"",INDEX(EntryTxnType,$P370)))</f>
        <v/>
      </c>
      <c r="H370" s="29">
        <f>IF($P370="","",IF(INDEX(EntryDep,$P370)=0,"",INDEX(EntryDep,$P370)))</f>
        <v/>
      </c>
      <c r="I370" s="29">
        <f>IF($P370="","",IF(INDEX(EntryWit,$P370)=0,"",INDEX(EntryWit,$P370)))</f>
        <v/>
      </c>
      <c r="J370" s="29">
        <f>IF($B370="","",IF($A370=1,$C$7,IF(J369="",0,J369))+IF($H370="",0,$H370)-IF($I370="",0,$I370))</f>
        <v/>
      </c>
      <c r="K370" s="29">
        <f>IF($P370="","",IF(INDEX(EntryMan,$P370)=0,"",INDEX(EntryMan,$P370)))</f>
        <v/>
      </c>
      <c r="L370" s="28">
        <f>IF($B370="","",IF($K370="","—",IF(ROUND($K370-$J370,0)=0,"√","×")))</f>
        <v/>
      </c>
      <c r="M370" s="28">
        <f>IF($B370="","",IF(COUNTIFS(EntryDates,$B370,CalcTime,$C370,CalcBank,$C$5,EntryParty,$D370,EntryDep,$H370,EntryWit,$I370)&gt;1,"تکرار",""))</f>
        <v/>
      </c>
      <c r="N370" s="28">
        <f>IF($P370="","",IF(INDEX(EntryNotes,$P370)=0,"",INDEX(EntryNotes,$P370)))</f>
        <v/>
      </c>
      <c r="O370" s="28">
        <f>IF($P370="","",IF(INDEX(EntryTxnID,$P370)=0,"",INDEX(EntryTxnID,$P370)))</f>
        <v/>
      </c>
      <c r="P370" s="28">
        <f>IFERROR(MATCH($C$5&amp;"|"&amp;RIGHT("000000"&amp;354,6),CalcRankKey,0),"")</f>
        <v/>
      </c>
    </row>
    <row r="371">
      <c r="A371" s="26">
        <f>IF($B371="","",355)</f>
        <v/>
      </c>
      <c r="B371" s="26">
        <f>IF($P371="","",IF(INDEX(CalcNormDate,$P371)=0,"",INDEX(CalcNormDate,$P371)))</f>
        <v/>
      </c>
      <c r="C371" s="26">
        <f>IF($P371="","",IF(INDEX(CalcTime,$P371)=0,"",INDEX(CalcTime,$P371)))</f>
        <v/>
      </c>
      <c r="D371" s="26">
        <f>IF($P371="","",IF(INDEX(EntryParty,$P371)=0,"",INDEX(EntryParty,$P371)))</f>
        <v/>
      </c>
      <c r="E371" s="26">
        <f>IF($P371="","",IF(INDEX(EntryPartyName,$P371)=0,"",INDEX(EntryPartyName,$P371)))</f>
        <v/>
      </c>
      <c r="F371" s="26">
        <f>IF($P371="","",IF(INDEX(EntryPartyType,$P371)=0,"",INDEX(EntryPartyType,$P371)))</f>
        <v/>
      </c>
      <c r="G371" s="26">
        <f>IF($P371="","",IF(INDEX(EntryTxnType,$P371)=0,"",INDEX(EntryTxnType,$P371)))</f>
        <v/>
      </c>
      <c r="H371" s="27">
        <f>IF($P371="","",IF(INDEX(EntryDep,$P371)=0,"",INDEX(EntryDep,$P371)))</f>
        <v/>
      </c>
      <c r="I371" s="27">
        <f>IF($P371="","",IF(INDEX(EntryWit,$P371)=0,"",INDEX(EntryWit,$P371)))</f>
        <v/>
      </c>
      <c r="J371" s="27">
        <f>IF($B371="","",IF($A371=1,$C$7,IF(J370="",0,J370))+IF($H371="",0,$H371)-IF($I371="",0,$I371))</f>
        <v/>
      </c>
      <c r="K371" s="27">
        <f>IF($P371="","",IF(INDEX(EntryMan,$P371)=0,"",INDEX(EntryMan,$P371)))</f>
        <v/>
      </c>
      <c r="L371" s="26">
        <f>IF($B371="","",IF($K371="","—",IF(ROUND($K371-$J371,0)=0,"√","×")))</f>
        <v/>
      </c>
      <c r="M371" s="26">
        <f>IF($B371="","",IF(COUNTIFS(EntryDates,$B371,CalcTime,$C371,CalcBank,$C$5,EntryParty,$D371,EntryDep,$H371,EntryWit,$I371)&gt;1,"تکرار",""))</f>
        <v/>
      </c>
      <c r="N371" s="26">
        <f>IF($P371="","",IF(INDEX(EntryNotes,$P371)=0,"",INDEX(EntryNotes,$P371)))</f>
        <v/>
      </c>
      <c r="O371" s="26">
        <f>IF($P371="","",IF(INDEX(EntryTxnID,$P371)=0,"",INDEX(EntryTxnID,$P371)))</f>
        <v/>
      </c>
      <c r="P371" s="26">
        <f>IFERROR(MATCH($C$5&amp;"|"&amp;RIGHT("000000"&amp;355,6),CalcRankKey,0),"")</f>
        <v/>
      </c>
    </row>
    <row r="372">
      <c r="A372" s="28">
        <f>IF($B372="","",356)</f>
        <v/>
      </c>
      <c r="B372" s="28">
        <f>IF($P372="","",IF(INDEX(CalcNormDate,$P372)=0,"",INDEX(CalcNormDate,$P372)))</f>
        <v/>
      </c>
      <c r="C372" s="28">
        <f>IF($P372="","",IF(INDEX(CalcTime,$P372)=0,"",INDEX(CalcTime,$P372)))</f>
        <v/>
      </c>
      <c r="D372" s="28">
        <f>IF($P372="","",IF(INDEX(EntryParty,$P372)=0,"",INDEX(EntryParty,$P372)))</f>
        <v/>
      </c>
      <c r="E372" s="28">
        <f>IF($P372="","",IF(INDEX(EntryPartyName,$P372)=0,"",INDEX(EntryPartyName,$P372)))</f>
        <v/>
      </c>
      <c r="F372" s="28">
        <f>IF($P372="","",IF(INDEX(EntryPartyType,$P372)=0,"",INDEX(EntryPartyType,$P372)))</f>
        <v/>
      </c>
      <c r="G372" s="28">
        <f>IF($P372="","",IF(INDEX(EntryTxnType,$P372)=0,"",INDEX(EntryTxnType,$P372)))</f>
        <v/>
      </c>
      <c r="H372" s="29">
        <f>IF($P372="","",IF(INDEX(EntryDep,$P372)=0,"",INDEX(EntryDep,$P372)))</f>
        <v/>
      </c>
      <c r="I372" s="29">
        <f>IF($P372="","",IF(INDEX(EntryWit,$P372)=0,"",INDEX(EntryWit,$P372)))</f>
        <v/>
      </c>
      <c r="J372" s="29">
        <f>IF($B372="","",IF($A372=1,$C$7,IF(J371="",0,J371))+IF($H372="",0,$H372)-IF($I372="",0,$I372))</f>
        <v/>
      </c>
      <c r="K372" s="29">
        <f>IF($P372="","",IF(INDEX(EntryMan,$P372)=0,"",INDEX(EntryMan,$P372)))</f>
        <v/>
      </c>
      <c r="L372" s="28">
        <f>IF($B372="","",IF($K372="","—",IF(ROUND($K372-$J372,0)=0,"√","×")))</f>
        <v/>
      </c>
      <c r="M372" s="28">
        <f>IF($B372="","",IF(COUNTIFS(EntryDates,$B372,CalcTime,$C372,CalcBank,$C$5,EntryParty,$D372,EntryDep,$H372,EntryWit,$I372)&gt;1,"تکرار",""))</f>
        <v/>
      </c>
      <c r="N372" s="28">
        <f>IF($P372="","",IF(INDEX(EntryNotes,$P372)=0,"",INDEX(EntryNotes,$P372)))</f>
        <v/>
      </c>
      <c r="O372" s="28">
        <f>IF($P372="","",IF(INDEX(EntryTxnID,$P372)=0,"",INDEX(EntryTxnID,$P372)))</f>
        <v/>
      </c>
      <c r="P372" s="28">
        <f>IFERROR(MATCH($C$5&amp;"|"&amp;RIGHT("000000"&amp;356,6),CalcRankKey,0),"")</f>
        <v/>
      </c>
    </row>
    <row r="373">
      <c r="A373" s="26">
        <f>IF($B373="","",357)</f>
        <v/>
      </c>
      <c r="B373" s="26">
        <f>IF($P373="","",IF(INDEX(CalcNormDate,$P373)=0,"",INDEX(CalcNormDate,$P373)))</f>
        <v/>
      </c>
      <c r="C373" s="26">
        <f>IF($P373="","",IF(INDEX(CalcTime,$P373)=0,"",INDEX(CalcTime,$P373)))</f>
        <v/>
      </c>
      <c r="D373" s="26">
        <f>IF($P373="","",IF(INDEX(EntryParty,$P373)=0,"",INDEX(EntryParty,$P373)))</f>
        <v/>
      </c>
      <c r="E373" s="26">
        <f>IF($P373="","",IF(INDEX(EntryPartyName,$P373)=0,"",INDEX(EntryPartyName,$P373)))</f>
        <v/>
      </c>
      <c r="F373" s="26">
        <f>IF($P373="","",IF(INDEX(EntryPartyType,$P373)=0,"",INDEX(EntryPartyType,$P373)))</f>
        <v/>
      </c>
      <c r="G373" s="26">
        <f>IF($P373="","",IF(INDEX(EntryTxnType,$P373)=0,"",INDEX(EntryTxnType,$P373)))</f>
        <v/>
      </c>
      <c r="H373" s="27">
        <f>IF($P373="","",IF(INDEX(EntryDep,$P373)=0,"",INDEX(EntryDep,$P373)))</f>
        <v/>
      </c>
      <c r="I373" s="27">
        <f>IF($P373="","",IF(INDEX(EntryWit,$P373)=0,"",INDEX(EntryWit,$P373)))</f>
        <v/>
      </c>
      <c r="J373" s="27">
        <f>IF($B373="","",IF($A373=1,$C$7,IF(J372="",0,J372))+IF($H373="",0,$H373)-IF($I373="",0,$I373))</f>
        <v/>
      </c>
      <c r="K373" s="27">
        <f>IF($P373="","",IF(INDEX(EntryMan,$P373)=0,"",INDEX(EntryMan,$P373)))</f>
        <v/>
      </c>
      <c r="L373" s="26">
        <f>IF($B373="","",IF($K373="","—",IF(ROUND($K373-$J373,0)=0,"√","×")))</f>
        <v/>
      </c>
      <c r="M373" s="26">
        <f>IF($B373="","",IF(COUNTIFS(EntryDates,$B373,CalcTime,$C373,CalcBank,$C$5,EntryParty,$D373,EntryDep,$H373,EntryWit,$I373)&gt;1,"تکرار",""))</f>
        <v/>
      </c>
      <c r="N373" s="26">
        <f>IF($P373="","",IF(INDEX(EntryNotes,$P373)=0,"",INDEX(EntryNotes,$P373)))</f>
        <v/>
      </c>
      <c r="O373" s="26">
        <f>IF($P373="","",IF(INDEX(EntryTxnID,$P373)=0,"",INDEX(EntryTxnID,$P373)))</f>
        <v/>
      </c>
      <c r="P373" s="26">
        <f>IFERROR(MATCH($C$5&amp;"|"&amp;RIGHT("000000"&amp;357,6),CalcRankKey,0),"")</f>
        <v/>
      </c>
    </row>
    <row r="374">
      <c r="A374" s="28">
        <f>IF($B374="","",358)</f>
        <v/>
      </c>
      <c r="B374" s="28">
        <f>IF($P374="","",IF(INDEX(CalcNormDate,$P374)=0,"",INDEX(CalcNormDate,$P374)))</f>
        <v/>
      </c>
      <c r="C374" s="28">
        <f>IF($P374="","",IF(INDEX(CalcTime,$P374)=0,"",INDEX(CalcTime,$P374)))</f>
        <v/>
      </c>
      <c r="D374" s="28">
        <f>IF($P374="","",IF(INDEX(EntryParty,$P374)=0,"",INDEX(EntryParty,$P374)))</f>
        <v/>
      </c>
      <c r="E374" s="28">
        <f>IF($P374="","",IF(INDEX(EntryPartyName,$P374)=0,"",INDEX(EntryPartyName,$P374)))</f>
        <v/>
      </c>
      <c r="F374" s="28">
        <f>IF($P374="","",IF(INDEX(EntryPartyType,$P374)=0,"",INDEX(EntryPartyType,$P374)))</f>
        <v/>
      </c>
      <c r="G374" s="28">
        <f>IF($P374="","",IF(INDEX(EntryTxnType,$P374)=0,"",INDEX(EntryTxnType,$P374)))</f>
        <v/>
      </c>
      <c r="H374" s="29">
        <f>IF($P374="","",IF(INDEX(EntryDep,$P374)=0,"",INDEX(EntryDep,$P374)))</f>
        <v/>
      </c>
      <c r="I374" s="29">
        <f>IF($P374="","",IF(INDEX(EntryWit,$P374)=0,"",INDEX(EntryWit,$P374)))</f>
        <v/>
      </c>
      <c r="J374" s="29">
        <f>IF($B374="","",IF($A374=1,$C$7,IF(J373="",0,J373))+IF($H374="",0,$H374)-IF($I374="",0,$I374))</f>
        <v/>
      </c>
      <c r="K374" s="29">
        <f>IF($P374="","",IF(INDEX(EntryMan,$P374)=0,"",INDEX(EntryMan,$P374)))</f>
        <v/>
      </c>
      <c r="L374" s="28">
        <f>IF($B374="","",IF($K374="","—",IF(ROUND($K374-$J374,0)=0,"√","×")))</f>
        <v/>
      </c>
      <c r="M374" s="28">
        <f>IF($B374="","",IF(COUNTIFS(EntryDates,$B374,CalcTime,$C374,CalcBank,$C$5,EntryParty,$D374,EntryDep,$H374,EntryWit,$I374)&gt;1,"تکرار",""))</f>
        <v/>
      </c>
      <c r="N374" s="28">
        <f>IF($P374="","",IF(INDEX(EntryNotes,$P374)=0,"",INDEX(EntryNotes,$P374)))</f>
        <v/>
      </c>
      <c r="O374" s="28">
        <f>IF($P374="","",IF(INDEX(EntryTxnID,$P374)=0,"",INDEX(EntryTxnID,$P374)))</f>
        <v/>
      </c>
      <c r="P374" s="28">
        <f>IFERROR(MATCH($C$5&amp;"|"&amp;RIGHT("000000"&amp;358,6),CalcRankKey,0),"")</f>
        <v/>
      </c>
    </row>
    <row r="375">
      <c r="A375" s="26">
        <f>IF($B375="","",359)</f>
        <v/>
      </c>
      <c r="B375" s="26">
        <f>IF($P375="","",IF(INDEX(CalcNormDate,$P375)=0,"",INDEX(CalcNormDate,$P375)))</f>
        <v/>
      </c>
      <c r="C375" s="26">
        <f>IF($P375="","",IF(INDEX(CalcTime,$P375)=0,"",INDEX(CalcTime,$P375)))</f>
        <v/>
      </c>
      <c r="D375" s="26">
        <f>IF($P375="","",IF(INDEX(EntryParty,$P375)=0,"",INDEX(EntryParty,$P375)))</f>
        <v/>
      </c>
      <c r="E375" s="26">
        <f>IF($P375="","",IF(INDEX(EntryPartyName,$P375)=0,"",INDEX(EntryPartyName,$P375)))</f>
        <v/>
      </c>
      <c r="F375" s="26">
        <f>IF($P375="","",IF(INDEX(EntryPartyType,$P375)=0,"",INDEX(EntryPartyType,$P375)))</f>
        <v/>
      </c>
      <c r="G375" s="26">
        <f>IF($P375="","",IF(INDEX(EntryTxnType,$P375)=0,"",INDEX(EntryTxnType,$P375)))</f>
        <v/>
      </c>
      <c r="H375" s="27">
        <f>IF($P375="","",IF(INDEX(EntryDep,$P375)=0,"",INDEX(EntryDep,$P375)))</f>
        <v/>
      </c>
      <c r="I375" s="27">
        <f>IF($P375="","",IF(INDEX(EntryWit,$P375)=0,"",INDEX(EntryWit,$P375)))</f>
        <v/>
      </c>
      <c r="J375" s="27">
        <f>IF($B375="","",IF($A375=1,$C$7,IF(J374="",0,J374))+IF($H375="",0,$H375)-IF($I375="",0,$I375))</f>
        <v/>
      </c>
      <c r="K375" s="27">
        <f>IF($P375="","",IF(INDEX(EntryMan,$P375)=0,"",INDEX(EntryMan,$P375)))</f>
        <v/>
      </c>
      <c r="L375" s="26">
        <f>IF($B375="","",IF($K375="","—",IF(ROUND($K375-$J375,0)=0,"√","×")))</f>
        <v/>
      </c>
      <c r="M375" s="26">
        <f>IF($B375="","",IF(COUNTIFS(EntryDates,$B375,CalcTime,$C375,CalcBank,$C$5,EntryParty,$D375,EntryDep,$H375,EntryWit,$I375)&gt;1,"تکرار",""))</f>
        <v/>
      </c>
      <c r="N375" s="26">
        <f>IF($P375="","",IF(INDEX(EntryNotes,$P375)=0,"",INDEX(EntryNotes,$P375)))</f>
        <v/>
      </c>
      <c r="O375" s="26">
        <f>IF($P375="","",IF(INDEX(EntryTxnID,$P375)=0,"",INDEX(EntryTxnID,$P375)))</f>
        <v/>
      </c>
      <c r="P375" s="26">
        <f>IFERROR(MATCH($C$5&amp;"|"&amp;RIGHT("000000"&amp;359,6),CalcRankKey,0),"")</f>
        <v/>
      </c>
    </row>
    <row r="376">
      <c r="A376" s="28">
        <f>IF($B376="","",360)</f>
        <v/>
      </c>
      <c r="B376" s="28">
        <f>IF($P376="","",IF(INDEX(CalcNormDate,$P376)=0,"",INDEX(CalcNormDate,$P376)))</f>
        <v/>
      </c>
      <c r="C376" s="28">
        <f>IF($P376="","",IF(INDEX(CalcTime,$P376)=0,"",INDEX(CalcTime,$P376)))</f>
        <v/>
      </c>
      <c r="D376" s="28">
        <f>IF($P376="","",IF(INDEX(EntryParty,$P376)=0,"",INDEX(EntryParty,$P376)))</f>
        <v/>
      </c>
      <c r="E376" s="28">
        <f>IF($P376="","",IF(INDEX(EntryPartyName,$P376)=0,"",INDEX(EntryPartyName,$P376)))</f>
        <v/>
      </c>
      <c r="F376" s="28">
        <f>IF($P376="","",IF(INDEX(EntryPartyType,$P376)=0,"",INDEX(EntryPartyType,$P376)))</f>
        <v/>
      </c>
      <c r="G376" s="28">
        <f>IF($P376="","",IF(INDEX(EntryTxnType,$P376)=0,"",INDEX(EntryTxnType,$P376)))</f>
        <v/>
      </c>
      <c r="H376" s="29">
        <f>IF($P376="","",IF(INDEX(EntryDep,$P376)=0,"",INDEX(EntryDep,$P376)))</f>
        <v/>
      </c>
      <c r="I376" s="29">
        <f>IF($P376="","",IF(INDEX(EntryWit,$P376)=0,"",INDEX(EntryWit,$P376)))</f>
        <v/>
      </c>
      <c r="J376" s="29">
        <f>IF($B376="","",IF($A376=1,$C$7,IF(J375="",0,J375))+IF($H376="",0,$H376)-IF($I376="",0,$I376))</f>
        <v/>
      </c>
      <c r="K376" s="29">
        <f>IF($P376="","",IF(INDEX(EntryMan,$P376)=0,"",INDEX(EntryMan,$P376)))</f>
        <v/>
      </c>
      <c r="L376" s="28">
        <f>IF($B376="","",IF($K376="","—",IF(ROUND($K376-$J376,0)=0,"√","×")))</f>
        <v/>
      </c>
      <c r="M376" s="28">
        <f>IF($B376="","",IF(COUNTIFS(EntryDates,$B376,CalcTime,$C376,CalcBank,$C$5,EntryParty,$D376,EntryDep,$H376,EntryWit,$I376)&gt;1,"تکرار",""))</f>
        <v/>
      </c>
      <c r="N376" s="28">
        <f>IF($P376="","",IF(INDEX(EntryNotes,$P376)=0,"",INDEX(EntryNotes,$P376)))</f>
        <v/>
      </c>
      <c r="O376" s="28">
        <f>IF($P376="","",IF(INDEX(EntryTxnID,$P376)=0,"",INDEX(EntryTxnID,$P376)))</f>
        <v/>
      </c>
      <c r="P376" s="28">
        <f>IFERROR(MATCH($C$5&amp;"|"&amp;RIGHT("000000"&amp;360,6),CalcRankKey,0),"")</f>
        <v/>
      </c>
    </row>
    <row r="377">
      <c r="A377" s="26">
        <f>IF($B377="","",361)</f>
        <v/>
      </c>
      <c r="B377" s="26">
        <f>IF($P377="","",IF(INDEX(CalcNormDate,$P377)=0,"",INDEX(CalcNormDate,$P377)))</f>
        <v/>
      </c>
      <c r="C377" s="26">
        <f>IF($P377="","",IF(INDEX(CalcTime,$P377)=0,"",INDEX(CalcTime,$P377)))</f>
        <v/>
      </c>
      <c r="D377" s="26">
        <f>IF($P377="","",IF(INDEX(EntryParty,$P377)=0,"",INDEX(EntryParty,$P377)))</f>
        <v/>
      </c>
      <c r="E377" s="26">
        <f>IF($P377="","",IF(INDEX(EntryPartyName,$P377)=0,"",INDEX(EntryPartyName,$P377)))</f>
        <v/>
      </c>
      <c r="F377" s="26">
        <f>IF($P377="","",IF(INDEX(EntryPartyType,$P377)=0,"",INDEX(EntryPartyType,$P377)))</f>
        <v/>
      </c>
      <c r="G377" s="26">
        <f>IF($P377="","",IF(INDEX(EntryTxnType,$P377)=0,"",INDEX(EntryTxnType,$P377)))</f>
        <v/>
      </c>
      <c r="H377" s="27">
        <f>IF($P377="","",IF(INDEX(EntryDep,$P377)=0,"",INDEX(EntryDep,$P377)))</f>
        <v/>
      </c>
      <c r="I377" s="27">
        <f>IF($P377="","",IF(INDEX(EntryWit,$P377)=0,"",INDEX(EntryWit,$P377)))</f>
        <v/>
      </c>
      <c r="J377" s="27">
        <f>IF($B377="","",IF($A377=1,$C$7,IF(J376="",0,J376))+IF($H377="",0,$H377)-IF($I377="",0,$I377))</f>
        <v/>
      </c>
      <c r="K377" s="27">
        <f>IF($P377="","",IF(INDEX(EntryMan,$P377)=0,"",INDEX(EntryMan,$P377)))</f>
        <v/>
      </c>
      <c r="L377" s="26">
        <f>IF($B377="","",IF($K377="","—",IF(ROUND($K377-$J377,0)=0,"√","×")))</f>
        <v/>
      </c>
      <c r="M377" s="26">
        <f>IF($B377="","",IF(COUNTIFS(EntryDates,$B377,CalcTime,$C377,CalcBank,$C$5,EntryParty,$D377,EntryDep,$H377,EntryWit,$I377)&gt;1,"تکرار",""))</f>
        <v/>
      </c>
      <c r="N377" s="26">
        <f>IF($P377="","",IF(INDEX(EntryNotes,$P377)=0,"",INDEX(EntryNotes,$P377)))</f>
        <v/>
      </c>
      <c r="O377" s="26">
        <f>IF($P377="","",IF(INDEX(EntryTxnID,$P377)=0,"",INDEX(EntryTxnID,$P377)))</f>
        <v/>
      </c>
      <c r="P377" s="26">
        <f>IFERROR(MATCH($C$5&amp;"|"&amp;RIGHT("000000"&amp;361,6),CalcRankKey,0),"")</f>
        <v/>
      </c>
    </row>
    <row r="378">
      <c r="A378" s="28">
        <f>IF($B378="","",362)</f>
        <v/>
      </c>
      <c r="B378" s="28">
        <f>IF($P378="","",IF(INDEX(CalcNormDate,$P378)=0,"",INDEX(CalcNormDate,$P378)))</f>
        <v/>
      </c>
      <c r="C378" s="28">
        <f>IF($P378="","",IF(INDEX(CalcTime,$P378)=0,"",INDEX(CalcTime,$P378)))</f>
        <v/>
      </c>
      <c r="D378" s="28">
        <f>IF($P378="","",IF(INDEX(EntryParty,$P378)=0,"",INDEX(EntryParty,$P378)))</f>
        <v/>
      </c>
      <c r="E378" s="28">
        <f>IF($P378="","",IF(INDEX(EntryPartyName,$P378)=0,"",INDEX(EntryPartyName,$P378)))</f>
        <v/>
      </c>
      <c r="F378" s="28">
        <f>IF($P378="","",IF(INDEX(EntryPartyType,$P378)=0,"",INDEX(EntryPartyType,$P378)))</f>
        <v/>
      </c>
      <c r="G378" s="28">
        <f>IF($P378="","",IF(INDEX(EntryTxnType,$P378)=0,"",INDEX(EntryTxnType,$P378)))</f>
        <v/>
      </c>
      <c r="H378" s="29">
        <f>IF($P378="","",IF(INDEX(EntryDep,$P378)=0,"",INDEX(EntryDep,$P378)))</f>
        <v/>
      </c>
      <c r="I378" s="29">
        <f>IF($P378="","",IF(INDEX(EntryWit,$P378)=0,"",INDEX(EntryWit,$P378)))</f>
        <v/>
      </c>
      <c r="J378" s="29">
        <f>IF($B378="","",IF($A378=1,$C$7,IF(J377="",0,J377))+IF($H378="",0,$H378)-IF($I378="",0,$I378))</f>
        <v/>
      </c>
      <c r="K378" s="29">
        <f>IF($P378="","",IF(INDEX(EntryMan,$P378)=0,"",INDEX(EntryMan,$P378)))</f>
        <v/>
      </c>
      <c r="L378" s="28">
        <f>IF($B378="","",IF($K378="","—",IF(ROUND($K378-$J378,0)=0,"√","×")))</f>
        <v/>
      </c>
      <c r="M378" s="28">
        <f>IF($B378="","",IF(COUNTIFS(EntryDates,$B378,CalcTime,$C378,CalcBank,$C$5,EntryParty,$D378,EntryDep,$H378,EntryWit,$I378)&gt;1,"تکرار",""))</f>
        <v/>
      </c>
      <c r="N378" s="28">
        <f>IF($P378="","",IF(INDEX(EntryNotes,$P378)=0,"",INDEX(EntryNotes,$P378)))</f>
        <v/>
      </c>
      <c r="O378" s="28">
        <f>IF($P378="","",IF(INDEX(EntryTxnID,$P378)=0,"",INDEX(EntryTxnID,$P378)))</f>
        <v/>
      </c>
      <c r="P378" s="28">
        <f>IFERROR(MATCH($C$5&amp;"|"&amp;RIGHT("000000"&amp;362,6),CalcRankKey,0),"")</f>
        <v/>
      </c>
    </row>
    <row r="379">
      <c r="A379" s="26">
        <f>IF($B379="","",363)</f>
        <v/>
      </c>
      <c r="B379" s="26">
        <f>IF($P379="","",IF(INDEX(CalcNormDate,$P379)=0,"",INDEX(CalcNormDate,$P379)))</f>
        <v/>
      </c>
      <c r="C379" s="26">
        <f>IF($P379="","",IF(INDEX(CalcTime,$P379)=0,"",INDEX(CalcTime,$P379)))</f>
        <v/>
      </c>
      <c r="D379" s="26">
        <f>IF($P379="","",IF(INDEX(EntryParty,$P379)=0,"",INDEX(EntryParty,$P379)))</f>
        <v/>
      </c>
      <c r="E379" s="26">
        <f>IF($P379="","",IF(INDEX(EntryPartyName,$P379)=0,"",INDEX(EntryPartyName,$P379)))</f>
        <v/>
      </c>
      <c r="F379" s="26">
        <f>IF($P379="","",IF(INDEX(EntryPartyType,$P379)=0,"",INDEX(EntryPartyType,$P379)))</f>
        <v/>
      </c>
      <c r="G379" s="26">
        <f>IF($P379="","",IF(INDEX(EntryTxnType,$P379)=0,"",INDEX(EntryTxnType,$P379)))</f>
        <v/>
      </c>
      <c r="H379" s="27">
        <f>IF($P379="","",IF(INDEX(EntryDep,$P379)=0,"",INDEX(EntryDep,$P379)))</f>
        <v/>
      </c>
      <c r="I379" s="27">
        <f>IF($P379="","",IF(INDEX(EntryWit,$P379)=0,"",INDEX(EntryWit,$P379)))</f>
        <v/>
      </c>
      <c r="J379" s="27">
        <f>IF($B379="","",IF($A379=1,$C$7,IF(J378="",0,J378))+IF($H379="",0,$H379)-IF($I379="",0,$I379))</f>
        <v/>
      </c>
      <c r="K379" s="27">
        <f>IF($P379="","",IF(INDEX(EntryMan,$P379)=0,"",INDEX(EntryMan,$P379)))</f>
        <v/>
      </c>
      <c r="L379" s="26">
        <f>IF($B379="","",IF($K379="","—",IF(ROUND($K379-$J379,0)=0,"√","×")))</f>
        <v/>
      </c>
      <c r="M379" s="26">
        <f>IF($B379="","",IF(COUNTIFS(EntryDates,$B379,CalcTime,$C379,CalcBank,$C$5,EntryParty,$D379,EntryDep,$H379,EntryWit,$I379)&gt;1,"تکرار",""))</f>
        <v/>
      </c>
      <c r="N379" s="26">
        <f>IF($P379="","",IF(INDEX(EntryNotes,$P379)=0,"",INDEX(EntryNotes,$P379)))</f>
        <v/>
      </c>
      <c r="O379" s="26">
        <f>IF($P379="","",IF(INDEX(EntryTxnID,$P379)=0,"",INDEX(EntryTxnID,$P379)))</f>
        <v/>
      </c>
      <c r="P379" s="26">
        <f>IFERROR(MATCH($C$5&amp;"|"&amp;RIGHT("000000"&amp;363,6),CalcRankKey,0),"")</f>
        <v/>
      </c>
    </row>
    <row r="380">
      <c r="A380" s="28">
        <f>IF($B380="","",364)</f>
        <v/>
      </c>
      <c r="B380" s="28">
        <f>IF($P380="","",IF(INDEX(CalcNormDate,$P380)=0,"",INDEX(CalcNormDate,$P380)))</f>
        <v/>
      </c>
      <c r="C380" s="28">
        <f>IF($P380="","",IF(INDEX(CalcTime,$P380)=0,"",INDEX(CalcTime,$P380)))</f>
        <v/>
      </c>
      <c r="D380" s="28">
        <f>IF($P380="","",IF(INDEX(EntryParty,$P380)=0,"",INDEX(EntryParty,$P380)))</f>
        <v/>
      </c>
      <c r="E380" s="28">
        <f>IF($P380="","",IF(INDEX(EntryPartyName,$P380)=0,"",INDEX(EntryPartyName,$P380)))</f>
        <v/>
      </c>
      <c r="F380" s="28">
        <f>IF($P380="","",IF(INDEX(EntryPartyType,$P380)=0,"",INDEX(EntryPartyType,$P380)))</f>
        <v/>
      </c>
      <c r="G380" s="28">
        <f>IF($P380="","",IF(INDEX(EntryTxnType,$P380)=0,"",INDEX(EntryTxnType,$P380)))</f>
        <v/>
      </c>
      <c r="H380" s="29">
        <f>IF($P380="","",IF(INDEX(EntryDep,$P380)=0,"",INDEX(EntryDep,$P380)))</f>
        <v/>
      </c>
      <c r="I380" s="29">
        <f>IF($P380="","",IF(INDEX(EntryWit,$P380)=0,"",INDEX(EntryWit,$P380)))</f>
        <v/>
      </c>
      <c r="J380" s="29">
        <f>IF($B380="","",IF($A380=1,$C$7,IF(J379="",0,J379))+IF($H380="",0,$H380)-IF($I380="",0,$I380))</f>
        <v/>
      </c>
      <c r="K380" s="29">
        <f>IF($P380="","",IF(INDEX(EntryMan,$P380)=0,"",INDEX(EntryMan,$P380)))</f>
        <v/>
      </c>
      <c r="L380" s="28">
        <f>IF($B380="","",IF($K380="","—",IF(ROUND($K380-$J380,0)=0,"√","×")))</f>
        <v/>
      </c>
      <c r="M380" s="28">
        <f>IF($B380="","",IF(COUNTIFS(EntryDates,$B380,CalcTime,$C380,CalcBank,$C$5,EntryParty,$D380,EntryDep,$H380,EntryWit,$I380)&gt;1,"تکرار",""))</f>
        <v/>
      </c>
      <c r="N380" s="28">
        <f>IF($P380="","",IF(INDEX(EntryNotes,$P380)=0,"",INDEX(EntryNotes,$P380)))</f>
        <v/>
      </c>
      <c r="O380" s="28">
        <f>IF($P380="","",IF(INDEX(EntryTxnID,$P380)=0,"",INDEX(EntryTxnID,$P380)))</f>
        <v/>
      </c>
      <c r="P380" s="28">
        <f>IFERROR(MATCH($C$5&amp;"|"&amp;RIGHT("000000"&amp;364,6),CalcRankKey,0),"")</f>
        <v/>
      </c>
    </row>
    <row r="381">
      <c r="A381" s="26">
        <f>IF($B381="","",365)</f>
        <v/>
      </c>
      <c r="B381" s="26">
        <f>IF($P381="","",IF(INDEX(CalcNormDate,$P381)=0,"",INDEX(CalcNormDate,$P381)))</f>
        <v/>
      </c>
      <c r="C381" s="26">
        <f>IF($P381="","",IF(INDEX(CalcTime,$P381)=0,"",INDEX(CalcTime,$P381)))</f>
        <v/>
      </c>
      <c r="D381" s="26">
        <f>IF($P381="","",IF(INDEX(EntryParty,$P381)=0,"",INDEX(EntryParty,$P381)))</f>
        <v/>
      </c>
      <c r="E381" s="26">
        <f>IF($P381="","",IF(INDEX(EntryPartyName,$P381)=0,"",INDEX(EntryPartyName,$P381)))</f>
        <v/>
      </c>
      <c r="F381" s="26">
        <f>IF($P381="","",IF(INDEX(EntryPartyType,$P381)=0,"",INDEX(EntryPartyType,$P381)))</f>
        <v/>
      </c>
      <c r="G381" s="26">
        <f>IF($P381="","",IF(INDEX(EntryTxnType,$P381)=0,"",INDEX(EntryTxnType,$P381)))</f>
        <v/>
      </c>
      <c r="H381" s="27">
        <f>IF($P381="","",IF(INDEX(EntryDep,$P381)=0,"",INDEX(EntryDep,$P381)))</f>
        <v/>
      </c>
      <c r="I381" s="27">
        <f>IF($P381="","",IF(INDEX(EntryWit,$P381)=0,"",INDEX(EntryWit,$P381)))</f>
        <v/>
      </c>
      <c r="J381" s="27">
        <f>IF($B381="","",IF($A381=1,$C$7,IF(J380="",0,J380))+IF($H381="",0,$H381)-IF($I381="",0,$I381))</f>
        <v/>
      </c>
      <c r="K381" s="27">
        <f>IF($P381="","",IF(INDEX(EntryMan,$P381)=0,"",INDEX(EntryMan,$P381)))</f>
        <v/>
      </c>
      <c r="L381" s="26">
        <f>IF($B381="","",IF($K381="","—",IF(ROUND($K381-$J381,0)=0,"√","×")))</f>
        <v/>
      </c>
      <c r="M381" s="26">
        <f>IF($B381="","",IF(COUNTIFS(EntryDates,$B381,CalcTime,$C381,CalcBank,$C$5,EntryParty,$D381,EntryDep,$H381,EntryWit,$I381)&gt;1,"تکرار",""))</f>
        <v/>
      </c>
      <c r="N381" s="26">
        <f>IF($P381="","",IF(INDEX(EntryNotes,$P381)=0,"",INDEX(EntryNotes,$P381)))</f>
        <v/>
      </c>
      <c r="O381" s="26">
        <f>IF($P381="","",IF(INDEX(EntryTxnID,$P381)=0,"",INDEX(EntryTxnID,$P381)))</f>
        <v/>
      </c>
      <c r="P381" s="26">
        <f>IFERROR(MATCH($C$5&amp;"|"&amp;RIGHT("000000"&amp;365,6),CalcRankKey,0),"")</f>
        <v/>
      </c>
    </row>
    <row r="382">
      <c r="A382" s="28">
        <f>IF($B382="","",366)</f>
        <v/>
      </c>
      <c r="B382" s="28">
        <f>IF($P382="","",IF(INDEX(CalcNormDate,$P382)=0,"",INDEX(CalcNormDate,$P382)))</f>
        <v/>
      </c>
      <c r="C382" s="28">
        <f>IF($P382="","",IF(INDEX(CalcTime,$P382)=0,"",INDEX(CalcTime,$P382)))</f>
        <v/>
      </c>
      <c r="D382" s="28">
        <f>IF($P382="","",IF(INDEX(EntryParty,$P382)=0,"",INDEX(EntryParty,$P382)))</f>
        <v/>
      </c>
      <c r="E382" s="28">
        <f>IF($P382="","",IF(INDEX(EntryPartyName,$P382)=0,"",INDEX(EntryPartyName,$P382)))</f>
        <v/>
      </c>
      <c r="F382" s="28">
        <f>IF($P382="","",IF(INDEX(EntryPartyType,$P382)=0,"",INDEX(EntryPartyType,$P382)))</f>
        <v/>
      </c>
      <c r="G382" s="28">
        <f>IF($P382="","",IF(INDEX(EntryTxnType,$P382)=0,"",INDEX(EntryTxnType,$P382)))</f>
        <v/>
      </c>
      <c r="H382" s="29">
        <f>IF($P382="","",IF(INDEX(EntryDep,$P382)=0,"",INDEX(EntryDep,$P382)))</f>
        <v/>
      </c>
      <c r="I382" s="29">
        <f>IF($P382="","",IF(INDEX(EntryWit,$P382)=0,"",INDEX(EntryWit,$P382)))</f>
        <v/>
      </c>
      <c r="J382" s="29">
        <f>IF($B382="","",IF($A382=1,$C$7,IF(J381="",0,J381))+IF($H382="",0,$H382)-IF($I382="",0,$I382))</f>
        <v/>
      </c>
      <c r="K382" s="29">
        <f>IF($P382="","",IF(INDEX(EntryMan,$P382)=0,"",INDEX(EntryMan,$P382)))</f>
        <v/>
      </c>
      <c r="L382" s="28">
        <f>IF($B382="","",IF($K382="","—",IF(ROUND($K382-$J382,0)=0,"√","×")))</f>
        <v/>
      </c>
      <c r="M382" s="28">
        <f>IF($B382="","",IF(COUNTIFS(EntryDates,$B382,CalcTime,$C382,CalcBank,$C$5,EntryParty,$D382,EntryDep,$H382,EntryWit,$I382)&gt;1,"تکرار",""))</f>
        <v/>
      </c>
      <c r="N382" s="28">
        <f>IF($P382="","",IF(INDEX(EntryNotes,$P382)=0,"",INDEX(EntryNotes,$P382)))</f>
        <v/>
      </c>
      <c r="O382" s="28">
        <f>IF($P382="","",IF(INDEX(EntryTxnID,$P382)=0,"",INDEX(EntryTxnID,$P382)))</f>
        <v/>
      </c>
      <c r="P382" s="28">
        <f>IFERROR(MATCH($C$5&amp;"|"&amp;RIGHT("000000"&amp;366,6),CalcRankKey,0),"")</f>
        <v/>
      </c>
    </row>
    <row r="383">
      <c r="A383" s="26">
        <f>IF($B383="","",367)</f>
        <v/>
      </c>
      <c r="B383" s="26">
        <f>IF($P383="","",IF(INDEX(CalcNormDate,$P383)=0,"",INDEX(CalcNormDate,$P383)))</f>
        <v/>
      </c>
      <c r="C383" s="26">
        <f>IF($P383="","",IF(INDEX(CalcTime,$P383)=0,"",INDEX(CalcTime,$P383)))</f>
        <v/>
      </c>
      <c r="D383" s="26">
        <f>IF($P383="","",IF(INDEX(EntryParty,$P383)=0,"",INDEX(EntryParty,$P383)))</f>
        <v/>
      </c>
      <c r="E383" s="26">
        <f>IF($P383="","",IF(INDEX(EntryPartyName,$P383)=0,"",INDEX(EntryPartyName,$P383)))</f>
        <v/>
      </c>
      <c r="F383" s="26">
        <f>IF($P383="","",IF(INDEX(EntryPartyType,$P383)=0,"",INDEX(EntryPartyType,$P383)))</f>
        <v/>
      </c>
      <c r="G383" s="26">
        <f>IF($P383="","",IF(INDEX(EntryTxnType,$P383)=0,"",INDEX(EntryTxnType,$P383)))</f>
        <v/>
      </c>
      <c r="H383" s="27">
        <f>IF($P383="","",IF(INDEX(EntryDep,$P383)=0,"",INDEX(EntryDep,$P383)))</f>
        <v/>
      </c>
      <c r="I383" s="27">
        <f>IF($P383="","",IF(INDEX(EntryWit,$P383)=0,"",INDEX(EntryWit,$P383)))</f>
        <v/>
      </c>
      <c r="J383" s="27">
        <f>IF($B383="","",IF($A383=1,$C$7,IF(J382="",0,J382))+IF($H383="",0,$H383)-IF($I383="",0,$I383))</f>
        <v/>
      </c>
      <c r="K383" s="27">
        <f>IF($P383="","",IF(INDEX(EntryMan,$P383)=0,"",INDEX(EntryMan,$P383)))</f>
        <v/>
      </c>
      <c r="L383" s="26">
        <f>IF($B383="","",IF($K383="","—",IF(ROUND($K383-$J383,0)=0,"√","×")))</f>
        <v/>
      </c>
      <c r="M383" s="26">
        <f>IF($B383="","",IF(COUNTIFS(EntryDates,$B383,CalcTime,$C383,CalcBank,$C$5,EntryParty,$D383,EntryDep,$H383,EntryWit,$I383)&gt;1,"تکرار",""))</f>
        <v/>
      </c>
      <c r="N383" s="26">
        <f>IF($P383="","",IF(INDEX(EntryNotes,$P383)=0,"",INDEX(EntryNotes,$P383)))</f>
        <v/>
      </c>
      <c r="O383" s="26">
        <f>IF($P383="","",IF(INDEX(EntryTxnID,$P383)=0,"",INDEX(EntryTxnID,$P383)))</f>
        <v/>
      </c>
      <c r="P383" s="26">
        <f>IFERROR(MATCH($C$5&amp;"|"&amp;RIGHT("000000"&amp;367,6),CalcRankKey,0),"")</f>
        <v/>
      </c>
    </row>
    <row r="384">
      <c r="A384" s="28">
        <f>IF($B384="","",368)</f>
        <v/>
      </c>
      <c r="B384" s="28">
        <f>IF($P384="","",IF(INDEX(CalcNormDate,$P384)=0,"",INDEX(CalcNormDate,$P384)))</f>
        <v/>
      </c>
      <c r="C384" s="28">
        <f>IF($P384="","",IF(INDEX(CalcTime,$P384)=0,"",INDEX(CalcTime,$P384)))</f>
        <v/>
      </c>
      <c r="D384" s="28">
        <f>IF($P384="","",IF(INDEX(EntryParty,$P384)=0,"",INDEX(EntryParty,$P384)))</f>
        <v/>
      </c>
      <c r="E384" s="28">
        <f>IF($P384="","",IF(INDEX(EntryPartyName,$P384)=0,"",INDEX(EntryPartyName,$P384)))</f>
        <v/>
      </c>
      <c r="F384" s="28">
        <f>IF($P384="","",IF(INDEX(EntryPartyType,$P384)=0,"",INDEX(EntryPartyType,$P384)))</f>
        <v/>
      </c>
      <c r="G384" s="28">
        <f>IF($P384="","",IF(INDEX(EntryTxnType,$P384)=0,"",INDEX(EntryTxnType,$P384)))</f>
        <v/>
      </c>
      <c r="H384" s="29">
        <f>IF($P384="","",IF(INDEX(EntryDep,$P384)=0,"",INDEX(EntryDep,$P384)))</f>
        <v/>
      </c>
      <c r="I384" s="29">
        <f>IF($P384="","",IF(INDEX(EntryWit,$P384)=0,"",INDEX(EntryWit,$P384)))</f>
        <v/>
      </c>
      <c r="J384" s="29">
        <f>IF($B384="","",IF($A384=1,$C$7,IF(J383="",0,J383))+IF($H384="",0,$H384)-IF($I384="",0,$I384))</f>
        <v/>
      </c>
      <c r="K384" s="29">
        <f>IF($P384="","",IF(INDEX(EntryMan,$P384)=0,"",INDEX(EntryMan,$P384)))</f>
        <v/>
      </c>
      <c r="L384" s="28">
        <f>IF($B384="","",IF($K384="","—",IF(ROUND($K384-$J384,0)=0,"√","×")))</f>
        <v/>
      </c>
      <c r="M384" s="28">
        <f>IF($B384="","",IF(COUNTIFS(EntryDates,$B384,CalcTime,$C384,CalcBank,$C$5,EntryParty,$D384,EntryDep,$H384,EntryWit,$I384)&gt;1,"تکرار",""))</f>
        <v/>
      </c>
      <c r="N384" s="28">
        <f>IF($P384="","",IF(INDEX(EntryNotes,$P384)=0,"",INDEX(EntryNotes,$P384)))</f>
        <v/>
      </c>
      <c r="O384" s="28">
        <f>IF($P384="","",IF(INDEX(EntryTxnID,$P384)=0,"",INDEX(EntryTxnID,$P384)))</f>
        <v/>
      </c>
      <c r="P384" s="28">
        <f>IFERROR(MATCH($C$5&amp;"|"&amp;RIGHT("000000"&amp;368,6),CalcRankKey,0),"")</f>
        <v/>
      </c>
    </row>
    <row r="385">
      <c r="A385" s="26">
        <f>IF($B385="","",369)</f>
        <v/>
      </c>
      <c r="B385" s="26">
        <f>IF($P385="","",IF(INDEX(CalcNormDate,$P385)=0,"",INDEX(CalcNormDate,$P385)))</f>
        <v/>
      </c>
      <c r="C385" s="26">
        <f>IF($P385="","",IF(INDEX(CalcTime,$P385)=0,"",INDEX(CalcTime,$P385)))</f>
        <v/>
      </c>
      <c r="D385" s="26">
        <f>IF($P385="","",IF(INDEX(EntryParty,$P385)=0,"",INDEX(EntryParty,$P385)))</f>
        <v/>
      </c>
      <c r="E385" s="26">
        <f>IF($P385="","",IF(INDEX(EntryPartyName,$P385)=0,"",INDEX(EntryPartyName,$P385)))</f>
        <v/>
      </c>
      <c r="F385" s="26">
        <f>IF($P385="","",IF(INDEX(EntryPartyType,$P385)=0,"",INDEX(EntryPartyType,$P385)))</f>
        <v/>
      </c>
      <c r="G385" s="26">
        <f>IF($P385="","",IF(INDEX(EntryTxnType,$P385)=0,"",INDEX(EntryTxnType,$P385)))</f>
        <v/>
      </c>
      <c r="H385" s="27">
        <f>IF($P385="","",IF(INDEX(EntryDep,$P385)=0,"",INDEX(EntryDep,$P385)))</f>
        <v/>
      </c>
      <c r="I385" s="27">
        <f>IF($P385="","",IF(INDEX(EntryWit,$P385)=0,"",INDEX(EntryWit,$P385)))</f>
        <v/>
      </c>
      <c r="J385" s="27">
        <f>IF($B385="","",IF($A385=1,$C$7,IF(J384="",0,J384))+IF($H385="",0,$H385)-IF($I385="",0,$I385))</f>
        <v/>
      </c>
      <c r="K385" s="27">
        <f>IF($P385="","",IF(INDEX(EntryMan,$P385)=0,"",INDEX(EntryMan,$P385)))</f>
        <v/>
      </c>
      <c r="L385" s="26">
        <f>IF($B385="","",IF($K385="","—",IF(ROUND($K385-$J385,0)=0,"√","×")))</f>
        <v/>
      </c>
      <c r="M385" s="26">
        <f>IF($B385="","",IF(COUNTIFS(EntryDates,$B385,CalcTime,$C385,CalcBank,$C$5,EntryParty,$D385,EntryDep,$H385,EntryWit,$I385)&gt;1,"تکرار",""))</f>
        <v/>
      </c>
      <c r="N385" s="26">
        <f>IF($P385="","",IF(INDEX(EntryNotes,$P385)=0,"",INDEX(EntryNotes,$P385)))</f>
        <v/>
      </c>
      <c r="O385" s="26">
        <f>IF($P385="","",IF(INDEX(EntryTxnID,$P385)=0,"",INDEX(EntryTxnID,$P385)))</f>
        <v/>
      </c>
      <c r="P385" s="26">
        <f>IFERROR(MATCH($C$5&amp;"|"&amp;RIGHT("000000"&amp;369,6),CalcRankKey,0),"")</f>
        <v/>
      </c>
    </row>
    <row r="386">
      <c r="A386" s="28">
        <f>IF($B386="","",370)</f>
        <v/>
      </c>
      <c r="B386" s="28">
        <f>IF($P386="","",IF(INDEX(CalcNormDate,$P386)=0,"",INDEX(CalcNormDate,$P386)))</f>
        <v/>
      </c>
      <c r="C386" s="28">
        <f>IF($P386="","",IF(INDEX(CalcTime,$P386)=0,"",INDEX(CalcTime,$P386)))</f>
        <v/>
      </c>
      <c r="D386" s="28">
        <f>IF($P386="","",IF(INDEX(EntryParty,$P386)=0,"",INDEX(EntryParty,$P386)))</f>
        <v/>
      </c>
      <c r="E386" s="28">
        <f>IF($P386="","",IF(INDEX(EntryPartyName,$P386)=0,"",INDEX(EntryPartyName,$P386)))</f>
        <v/>
      </c>
      <c r="F386" s="28">
        <f>IF($P386="","",IF(INDEX(EntryPartyType,$P386)=0,"",INDEX(EntryPartyType,$P386)))</f>
        <v/>
      </c>
      <c r="G386" s="28">
        <f>IF($P386="","",IF(INDEX(EntryTxnType,$P386)=0,"",INDEX(EntryTxnType,$P386)))</f>
        <v/>
      </c>
      <c r="H386" s="29">
        <f>IF($P386="","",IF(INDEX(EntryDep,$P386)=0,"",INDEX(EntryDep,$P386)))</f>
        <v/>
      </c>
      <c r="I386" s="29">
        <f>IF($P386="","",IF(INDEX(EntryWit,$P386)=0,"",INDEX(EntryWit,$P386)))</f>
        <v/>
      </c>
      <c r="J386" s="29">
        <f>IF($B386="","",IF($A386=1,$C$7,IF(J385="",0,J385))+IF($H386="",0,$H386)-IF($I386="",0,$I386))</f>
        <v/>
      </c>
      <c r="K386" s="29">
        <f>IF($P386="","",IF(INDEX(EntryMan,$P386)=0,"",INDEX(EntryMan,$P386)))</f>
        <v/>
      </c>
      <c r="L386" s="28">
        <f>IF($B386="","",IF($K386="","—",IF(ROUND($K386-$J386,0)=0,"√","×")))</f>
        <v/>
      </c>
      <c r="M386" s="28">
        <f>IF($B386="","",IF(COUNTIFS(EntryDates,$B386,CalcTime,$C386,CalcBank,$C$5,EntryParty,$D386,EntryDep,$H386,EntryWit,$I386)&gt;1,"تکرار",""))</f>
        <v/>
      </c>
      <c r="N386" s="28">
        <f>IF($P386="","",IF(INDEX(EntryNotes,$P386)=0,"",INDEX(EntryNotes,$P386)))</f>
        <v/>
      </c>
      <c r="O386" s="28">
        <f>IF($P386="","",IF(INDEX(EntryTxnID,$P386)=0,"",INDEX(EntryTxnID,$P386)))</f>
        <v/>
      </c>
      <c r="P386" s="28">
        <f>IFERROR(MATCH($C$5&amp;"|"&amp;RIGHT("000000"&amp;370,6),CalcRankKey,0),"")</f>
        <v/>
      </c>
    </row>
    <row r="387">
      <c r="A387" s="26">
        <f>IF($B387="","",371)</f>
        <v/>
      </c>
      <c r="B387" s="26">
        <f>IF($P387="","",IF(INDEX(CalcNormDate,$P387)=0,"",INDEX(CalcNormDate,$P387)))</f>
        <v/>
      </c>
      <c r="C387" s="26">
        <f>IF($P387="","",IF(INDEX(CalcTime,$P387)=0,"",INDEX(CalcTime,$P387)))</f>
        <v/>
      </c>
      <c r="D387" s="26">
        <f>IF($P387="","",IF(INDEX(EntryParty,$P387)=0,"",INDEX(EntryParty,$P387)))</f>
        <v/>
      </c>
      <c r="E387" s="26">
        <f>IF($P387="","",IF(INDEX(EntryPartyName,$P387)=0,"",INDEX(EntryPartyName,$P387)))</f>
        <v/>
      </c>
      <c r="F387" s="26">
        <f>IF($P387="","",IF(INDEX(EntryPartyType,$P387)=0,"",INDEX(EntryPartyType,$P387)))</f>
        <v/>
      </c>
      <c r="G387" s="26">
        <f>IF($P387="","",IF(INDEX(EntryTxnType,$P387)=0,"",INDEX(EntryTxnType,$P387)))</f>
        <v/>
      </c>
      <c r="H387" s="27">
        <f>IF($P387="","",IF(INDEX(EntryDep,$P387)=0,"",INDEX(EntryDep,$P387)))</f>
        <v/>
      </c>
      <c r="I387" s="27">
        <f>IF($P387="","",IF(INDEX(EntryWit,$P387)=0,"",INDEX(EntryWit,$P387)))</f>
        <v/>
      </c>
      <c r="J387" s="27">
        <f>IF($B387="","",IF($A387=1,$C$7,IF(J386="",0,J386))+IF($H387="",0,$H387)-IF($I387="",0,$I387))</f>
        <v/>
      </c>
      <c r="K387" s="27">
        <f>IF($P387="","",IF(INDEX(EntryMan,$P387)=0,"",INDEX(EntryMan,$P387)))</f>
        <v/>
      </c>
      <c r="L387" s="26">
        <f>IF($B387="","",IF($K387="","—",IF(ROUND($K387-$J387,0)=0,"√","×")))</f>
        <v/>
      </c>
      <c r="M387" s="26">
        <f>IF($B387="","",IF(COUNTIFS(EntryDates,$B387,CalcTime,$C387,CalcBank,$C$5,EntryParty,$D387,EntryDep,$H387,EntryWit,$I387)&gt;1,"تکرار",""))</f>
        <v/>
      </c>
      <c r="N387" s="26">
        <f>IF($P387="","",IF(INDEX(EntryNotes,$P387)=0,"",INDEX(EntryNotes,$P387)))</f>
        <v/>
      </c>
      <c r="O387" s="26">
        <f>IF($P387="","",IF(INDEX(EntryTxnID,$P387)=0,"",INDEX(EntryTxnID,$P387)))</f>
        <v/>
      </c>
      <c r="P387" s="26">
        <f>IFERROR(MATCH($C$5&amp;"|"&amp;RIGHT("000000"&amp;371,6),CalcRankKey,0),"")</f>
        <v/>
      </c>
    </row>
    <row r="388">
      <c r="A388" s="28">
        <f>IF($B388="","",372)</f>
        <v/>
      </c>
      <c r="B388" s="28">
        <f>IF($P388="","",IF(INDEX(CalcNormDate,$P388)=0,"",INDEX(CalcNormDate,$P388)))</f>
        <v/>
      </c>
      <c r="C388" s="28">
        <f>IF($P388="","",IF(INDEX(CalcTime,$P388)=0,"",INDEX(CalcTime,$P388)))</f>
        <v/>
      </c>
      <c r="D388" s="28">
        <f>IF($P388="","",IF(INDEX(EntryParty,$P388)=0,"",INDEX(EntryParty,$P388)))</f>
        <v/>
      </c>
      <c r="E388" s="28">
        <f>IF($P388="","",IF(INDEX(EntryPartyName,$P388)=0,"",INDEX(EntryPartyName,$P388)))</f>
        <v/>
      </c>
      <c r="F388" s="28">
        <f>IF($P388="","",IF(INDEX(EntryPartyType,$P388)=0,"",INDEX(EntryPartyType,$P388)))</f>
        <v/>
      </c>
      <c r="G388" s="28">
        <f>IF($P388="","",IF(INDEX(EntryTxnType,$P388)=0,"",INDEX(EntryTxnType,$P388)))</f>
        <v/>
      </c>
      <c r="H388" s="29">
        <f>IF($P388="","",IF(INDEX(EntryDep,$P388)=0,"",INDEX(EntryDep,$P388)))</f>
        <v/>
      </c>
      <c r="I388" s="29">
        <f>IF($P388="","",IF(INDEX(EntryWit,$P388)=0,"",INDEX(EntryWit,$P388)))</f>
        <v/>
      </c>
      <c r="J388" s="29">
        <f>IF($B388="","",IF($A388=1,$C$7,IF(J387="",0,J387))+IF($H388="",0,$H388)-IF($I388="",0,$I388))</f>
        <v/>
      </c>
      <c r="K388" s="29">
        <f>IF($P388="","",IF(INDEX(EntryMan,$P388)=0,"",INDEX(EntryMan,$P388)))</f>
        <v/>
      </c>
      <c r="L388" s="28">
        <f>IF($B388="","",IF($K388="","—",IF(ROUND($K388-$J388,0)=0,"√","×")))</f>
        <v/>
      </c>
      <c r="M388" s="28">
        <f>IF($B388="","",IF(COUNTIFS(EntryDates,$B388,CalcTime,$C388,CalcBank,$C$5,EntryParty,$D388,EntryDep,$H388,EntryWit,$I388)&gt;1,"تکرار",""))</f>
        <v/>
      </c>
      <c r="N388" s="28">
        <f>IF($P388="","",IF(INDEX(EntryNotes,$P388)=0,"",INDEX(EntryNotes,$P388)))</f>
        <v/>
      </c>
      <c r="O388" s="28">
        <f>IF($P388="","",IF(INDEX(EntryTxnID,$P388)=0,"",INDEX(EntryTxnID,$P388)))</f>
        <v/>
      </c>
      <c r="P388" s="28">
        <f>IFERROR(MATCH($C$5&amp;"|"&amp;RIGHT("000000"&amp;372,6),CalcRankKey,0),"")</f>
        <v/>
      </c>
    </row>
    <row r="389">
      <c r="A389" s="26">
        <f>IF($B389="","",373)</f>
        <v/>
      </c>
      <c r="B389" s="26">
        <f>IF($P389="","",IF(INDEX(CalcNormDate,$P389)=0,"",INDEX(CalcNormDate,$P389)))</f>
        <v/>
      </c>
      <c r="C389" s="26">
        <f>IF($P389="","",IF(INDEX(CalcTime,$P389)=0,"",INDEX(CalcTime,$P389)))</f>
        <v/>
      </c>
      <c r="D389" s="26">
        <f>IF($P389="","",IF(INDEX(EntryParty,$P389)=0,"",INDEX(EntryParty,$P389)))</f>
        <v/>
      </c>
      <c r="E389" s="26">
        <f>IF($P389="","",IF(INDEX(EntryPartyName,$P389)=0,"",INDEX(EntryPartyName,$P389)))</f>
        <v/>
      </c>
      <c r="F389" s="26">
        <f>IF($P389="","",IF(INDEX(EntryPartyType,$P389)=0,"",INDEX(EntryPartyType,$P389)))</f>
        <v/>
      </c>
      <c r="G389" s="26">
        <f>IF($P389="","",IF(INDEX(EntryTxnType,$P389)=0,"",INDEX(EntryTxnType,$P389)))</f>
        <v/>
      </c>
      <c r="H389" s="27">
        <f>IF($P389="","",IF(INDEX(EntryDep,$P389)=0,"",INDEX(EntryDep,$P389)))</f>
        <v/>
      </c>
      <c r="I389" s="27">
        <f>IF($P389="","",IF(INDEX(EntryWit,$P389)=0,"",INDEX(EntryWit,$P389)))</f>
        <v/>
      </c>
      <c r="J389" s="27">
        <f>IF($B389="","",IF($A389=1,$C$7,IF(J388="",0,J388))+IF($H389="",0,$H389)-IF($I389="",0,$I389))</f>
        <v/>
      </c>
      <c r="K389" s="27">
        <f>IF($P389="","",IF(INDEX(EntryMan,$P389)=0,"",INDEX(EntryMan,$P389)))</f>
        <v/>
      </c>
      <c r="L389" s="26">
        <f>IF($B389="","",IF($K389="","—",IF(ROUND($K389-$J389,0)=0,"√","×")))</f>
        <v/>
      </c>
      <c r="M389" s="26">
        <f>IF($B389="","",IF(COUNTIFS(EntryDates,$B389,CalcTime,$C389,CalcBank,$C$5,EntryParty,$D389,EntryDep,$H389,EntryWit,$I389)&gt;1,"تکرار",""))</f>
        <v/>
      </c>
      <c r="N389" s="26">
        <f>IF($P389="","",IF(INDEX(EntryNotes,$P389)=0,"",INDEX(EntryNotes,$P389)))</f>
        <v/>
      </c>
      <c r="O389" s="26">
        <f>IF($P389="","",IF(INDEX(EntryTxnID,$P389)=0,"",INDEX(EntryTxnID,$P389)))</f>
        <v/>
      </c>
      <c r="P389" s="26">
        <f>IFERROR(MATCH($C$5&amp;"|"&amp;RIGHT("000000"&amp;373,6),CalcRankKey,0),"")</f>
        <v/>
      </c>
    </row>
    <row r="390">
      <c r="A390" s="28">
        <f>IF($B390="","",374)</f>
        <v/>
      </c>
      <c r="B390" s="28">
        <f>IF($P390="","",IF(INDEX(CalcNormDate,$P390)=0,"",INDEX(CalcNormDate,$P390)))</f>
        <v/>
      </c>
      <c r="C390" s="28">
        <f>IF($P390="","",IF(INDEX(CalcTime,$P390)=0,"",INDEX(CalcTime,$P390)))</f>
        <v/>
      </c>
      <c r="D390" s="28">
        <f>IF($P390="","",IF(INDEX(EntryParty,$P390)=0,"",INDEX(EntryParty,$P390)))</f>
        <v/>
      </c>
      <c r="E390" s="28">
        <f>IF($P390="","",IF(INDEX(EntryPartyName,$P390)=0,"",INDEX(EntryPartyName,$P390)))</f>
        <v/>
      </c>
      <c r="F390" s="28">
        <f>IF($P390="","",IF(INDEX(EntryPartyType,$P390)=0,"",INDEX(EntryPartyType,$P390)))</f>
        <v/>
      </c>
      <c r="G390" s="28">
        <f>IF($P390="","",IF(INDEX(EntryTxnType,$P390)=0,"",INDEX(EntryTxnType,$P390)))</f>
        <v/>
      </c>
      <c r="H390" s="29">
        <f>IF($P390="","",IF(INDEX(EntryDep,$P390)=0,"",INDEX(EntryDep,$P390)))</f>
        <v/>
      </c>
      <c r="I390" s="29">
        <f>IF($P390="","",IF(INDEX(EntryWit,$P390)=0,"",INDEX(EntryWit,$P390)))</f>
        <v/>
      </c>
      <c r="J390" s="29">
        <f>IF($B390="","",IF($A390=1,$C$7,IF(J389="",0,J389))+IF($H390="",0,$H390)-IF($I390="",0,$I390))</f>
        <v/>
      </c>
      <c r="K390" s="29">
        <f>IF($P390="","",IF(INDEX(EntryMan,$P390)=0,"",INDEX(EntryMan,$P390)))</f>
        <v/>
      </c>
      <c r="L390" s="28">
        <f>IF($B390="","",IF($K390="","—",IF(ROUND($K390-$J390,0)=0,"√","×")))</f>
        <v/>
      </c>
      <c r="M390" s="28">
        <f>IF($B390="","",IF(COUNTIFS(EntryDates,$B390,CalcTime,$C390,CalcBank,$C$5,EntryParty,$D390,EntryDep,$H390,EntryWit,$I390)&gt;1,"تکرار",""))</f>
        <v/>
      </c>
      <c r="N390" s="28">
        <f>IF($P390="","",IF(INDEX(EntryNotes,$P390)=0,"",INDEX(EntryNotes,$P390)))</f>
        <v/>
      </c>
      <c r="O390" s="28">
        <f>IF($P390="","",IF(INDEX(EntryTxnID,$P390)=0,"",INDEX(EntryTxnID,$P390)))</f>
        <v/>
      </c>
      <c r="P390" s="28">
        <f>IFERROR(MATCH($C$5&amp;"|"&amp;RIGHT("000000"&amp;374,6),CalcRankKey,0),"")</f>
        <v/>
      </c>
    </row>
    <row r="391">
      <c r="A391" s="26">
        <f>IF($B391="","",375)</f>
        <v/>
      </c>
      <c r="B391" s="26">
        <f>IF($P391="","",IF(INDEX(CalcNormDate,$P391)=0,"",INDEX(CalcNormDate,$P391)))</f>
        <v/>
      </c>
      <c r="C391" s="26">
        <f>IF($P391="","",IF(INDEX(CalcTime,$P391)=0,"",INDEX(CalcTime,$P391)))</f>
        <v/>
      </c>
      <c r="D391" s="26">
        <f>IF($P391="","",IF(INDEX(EntryParty,$P391)=0,"",INDEX(EntryParty,$P391)))</f>
        <v/>
      </c>
      <c r="E391" s="26">
        <f>IF($P391="","",IF(INDEX(EntryPartyName,$P391)=0,"",INDEX(EntryPartyName,$P391)))</f>
        <v/>
      </c>
      <c r="F391" s="26">
        <f>IF($P391="","",IF(INDEX(EntryPartyType,$P391)=0,"",INDEX(EntryPartyType,$P391)))</f>
        <v/>
      </c>
      <c r="G391" s="26">
        <f>IF($P391="","",IF(INDEX(EntryTxnType,$P391)=0,"",INDEX(EntryTxnType,$P391)))</f>
        <v/>
      </c>
      <c r="H391" s="27">
        <f>IF($P391="","",IF(INDEX(EntryDep,$P391)=0,"",INDEX(EntryDep,$P391)))</f>
        <v/>
      </c>
      <c r="I391" s="27">
        <f>IF($P391="","",IF(INDEX(EntryWit,$P391)=0,"",INDEX(EntryWit,$P391)))</f>
        <v/>
      </c>
      <c r="J391" s="27">
        <f>IF($B391="","",IF($A391=1,$C$7,IF(J390="",0,J390))+IF($H391="",0,$H391)-IF($I391="",0,$I391))</f>
        <v/>
      </c>
      <c r="K391" s="27">
        <f>IF($P391="","",IF(INDEX(EntryMan,$P391)=0,"",INDEX(EntryMan,$P391)))</f>
        <v/>
      </c>
      <c r="L391" s="26">
        <f>IF($B391="","",IF($K391="","—",IF(ROUND($K391-$J391,0)=0,"√","×")))</f>
        <v/>
      </c>
      <c r="M391" s="26">
        <f>IF($B391="","",IF(COUNTIFS(EntryDates,$B391,CalcTime,$C391,CalcBank,$C$5,EntryParty,$D391,EntryDep,$H391,EntryWit,$I391)&gt;1,"تکرار",""))</f>
        <v/>
      </c>
      <c r="N391" s="26">
        <f>IF($P391="","",IF(INDEX(EntryNotes,$P391)=0,"",INDEX(EntryNotes,$P391)))</f>
        <v/>
      </c>
      <c r="O391" s="26">
        <f>IF($P391="","",IF(INDEX(EntryTxnID,$P391)=0,"",INDEX(EntryTxnID,$P391)))</f>
        <v/>
      </c>
      <c r="P391" s="26">
        <f>IFERROR(MATCH($C$5&amp;"|"&amp;RIGHT("000000"&amp;375,6),CalcRankKey,0),"")</f>
        <v/>
      </c>
    </row>
    <row r="392">
      <c r="A392" s="28">
        <f>IF($B392="","",376)</f>
        <v/>
      </c>
      <c r="B392" s="28">
        <f>IF($P392="","",IF(INDEX(CalcNormDate,$P392)=0,"",INDEX(CalcNormDate,$P392)))</f>
        <v/>
      </c>
      <c r="C392" s="28">
        <f>IF($P392="","",IF(INDEX(CalcTime,$P392)=0,"",INDEX(CalcTime,$P392)))</f>
        <v/>
      </c>
      <c r="D392" s="28">
        <f>IF($P392="","",IF(INDEX(EntryParty,$P392)=0,"",INDEX(EntryParty,$P392)))</f>
        <v/>
      </c>
      <c r="E392" s="28">
        <f>IF($P392="","",IF(INDEX(EntryPartyName,$P392)=0,"",INDEX(EntryPartyName,$P392)))</f>
        <v/>
      </c>
      <c r="F392" s="28">
        <f>IF($P392="","",IF(INDEX(EntryPartyType,$P392)=0,"",INDEX(EntryPartyType,$P392)))</f>
        <v/>
      </c>
      <c r="G392" s="28">
        <f>IF($P392="","",IF(INDEX(EntryTxnType,$P392)=0,"",INDEX(EntryTxnType,$P392)))</f>
        <v/>
      </c>
      <c r="H392" s="29">
        <f>IF($P392="","",IF(INDEX(EntryDep,$P392)=0,"",INDEX(EntryDep,$P392)))</f>
        <v/>
      </c>
      <c r="I392" s="29">
        <f>IF($P392="","",IF(INDEX(EntryWit,$P392)=0,"",INDEX(EntryWit,$P392)))</f>
        <v/>
      </c>
      <c r="J392" s="29">
        <f>IF($B392="","",IF($A392=1,$C$7,IF(J391="",0,J391))+IF($H392="",0,$H392)-IF($I392="",0,$I392))</f>
        <v/>
      </c>
      <c r="K392" s="29">
        <f>IF($P392="","",IF(INDEX(EntryMan,$P392)=0,"",INDEX(EntryMan,$P392)))</f>
        <v/>
      </c>
      <c r="L392" s="28">
        <f>IF($B392="","",IF($K392="","—",IF(ROUND($K392-$J392,0)=0,"√","×")))</f>
        <v/>
      </c>
      <c r="M392" s="28">
        <f>IF($B392="","",IF(COUNTIFS(EntryDates,$B392,CalcTime,$C392,CalcBank,$C$5,EntryParty,$D392,EntryDep,$H392,EntryWit,$I392)&gt;1,"تکرار",""))</f>
        <v/>
      </c>
      <c r="N392" s="28">
        <f>IF($P392="","",IF(INDEX(EntryNotes,$P392)=0,"",INDEX(EntryNotes,$P392)))</f>
        <v/>
      </c>
      <c r="O392" s="28">
        <f>IF($P392="","",IF(INDEX(EntryTxnID,$P392)=0,"",INDEX(EntryTxnID,$P392)))</f>
        <v/>
      </c>
      <c r="P392" s="28">
        <f>IFERROR(MATCH($C$5&amp;"|"&amp;RIGHT("000000"&amp;376,6),CalcRankKey,0),"")</f>
        <v/>
      </c>
    </row>
    <row r="393">
      <c r="A393" s="26">
        <f>IF($B393="","",377)</f>
        <v/>
      </c>
      <c r="B393" s="26">
        <f>IF($P393="","",IF(INDEX(CalcNormDate,$P393)=0,"",INDEX(CalcNormDate,$P393)))</f>
        <v/>
      </c>
      <c r="C393" s="26">
        <f>IF($P393="","",IF(INDEX(CalcTime,$P393)=0,"",INDEX(CalcTime,$P393)))</f>
        <v/>
      </c>
      <c r="D393" s="26">
        <f>IF($P393="","",IF(INDEX(EntryParty,$P393)=0,"",INDEX(EntryParty,$P393)))</f>
        <v/>
      </c>
      <c r="E393" s="26">
        <f>IF($P393="","",IF(INDEX(EntryPartyName,$P393)=0,"",INDEX(EntryPartyName,$P393)))</f>
        <v/>
      </c>
      <c r="F393" s="26">
        <f>IF($P393="","",IF(INDEX(EntryPartyType,$P393)=0,"",INDEX(EntryPartyType,$P393)))</f>
        <v/>
      </c>
      <c r="G393" s="26">
        <f>IF($P393="","",IF(INDEX(EntryTxnType,$P393)=0,"",INDEX(EntryTxnType,$P393)))</f>
        <v/>
      </c>
      <c r="H393" s="27">
        <f>IF($P393="","",IF(INDEX(EntryDep,$P393)=0,"",INDEX(EntryDep,$P393)))</f>
        <v/>
      </c>
      <c r="I393" s="27">
        <f>IF($P393="","",IF(INDEX(EntryWit,$P393)=0,"",INDEX(EntryWit,$P393)))</f>
        <v/>
      </c>
      <c r="J393" s="27">
        <f>IF($B393="","",IF($A393=1,$C$7,IF(J392="",0,J392))+IF($H393="",0,$H393)-IF($I393="",0,$I393))</f>
        <v/>
      </c>
      <c r="K393" s="27">
        <f>IF($P393="","",IF(INDEX(EntryMan,$P393)=0,"",INDEX(EntryMan,$P393)))</f>
        <v/>
      </c>
      <c r="L393" s="26">
        <f>IF($B393="","",IF($K393="","—",IF(ROUND($K393-$J393,0)=0,"√","×")))</f>
        <v/>
      </c>
      <c r="M393" s="26">
        <f>IF($B393="","",IF(COUNTIFS(EntryDates,$B393,CalcTime,$C393,CalcBank,$C$5,EntryParty,$D393,EntryDep,$H393,EntryWit,$I393)&gt;1,"تکرار",""))</f>
        <v/>
      </c>
      <c r="N393" s="26">
        <f>IF($P393="","",IF(INDEX(EntryNotes,$P393)=0,"",INDEX(EntryNotes,$P393)))</f>
        <v/>
      </c>
      <c r="O393" s="26">
        <f>IF($P393="","",IF(INDEX(EntryTxnID,$P393)=0,"",INDEX(EntryTxnID,$P393)))</f>
        <v/>
      </c>
      <c r="P393" s="26">
        <f>IFERROR(MATCH($C$5&amp;"|"&amp;RIGHT("000000"&amp;377,6),CalcRankKey,0),"")</f>
        <v/>
      </c>
    </row>
    <row r="394">
      <c r="A394" s="28">
        <f>IF($B394="","",378)</f>
        <v/>
      </c>
      <c r="B394" s="28">
        <f>IF($P394="","",IF(INDEX(CalcNormDate,$P394)=0,"",INDEX(CalcNormDate,$P394)))</f>
        <v/>
      </c>
      <c r="C394" s="28">
        <f>IF($P394="","",IF(INDEX(CalcTime,$P394)=0,"",INDEX(CalcTime,$P394)))</f>
        <v/>
      </c>
      <c r="D394" s="28">
        <f>IF($P394="","",IF(INDEX(EntryParty,$P394)=0,"",INDEX(EntryParty,$P394)))</f>
        <v/>
      </c>
      <c r="E394" s="28">
        <f>IF($P394="","",IF(INDEX(EntryPartyName,$P394)=0,"",INDEX(EntryPartyName,$P394)))</f>
        <v/>
      </c>
      <c r="F394" s="28">
        <f>IF($P394="","",IF(INDEX(EntryPartyType,$P394)=0,"",INDEX(EntryPartyType,$P394)))</f>
        <v/>
      </c>
      <c r="G394" s="28">
        <f>IF($P394="","",IF(INDEX(EntryTxnType,$P394)=0,"",INDEX(EntryTxnType,$P394)))</f>
        <v/>
      </c>
      <c r="H394" s="29">
        <f>IF($P394="","",IF(INDEX(EntryDep,$P394)=0,"",INDEX(EntryDep,$P394)))</f>
        <v/>
      </c>
      <c r="I394" s="29">
        <f>IF($P394="","",IF(INDEX(EntryWit,$P394)=0,"",INDEX(EntryWit,$P394)))</f>
        <v/>
      </c>
      <c r="J394" s="29">
        <f>IF($B394="","",IF($A394=1,$C$7,IF(J393="",0,J393))+IF($H394="",0,$H394)-IF($I394="",0,$I394))</f>
        <v/>
      </c>
      <c r="K394" s="29">
        <f>IF($P394="","",IF(INDEX(EntryMan,$P394)=0,"",INDEX(EntryMan,$P394)))</f>
        <v/>
      </c>
      <c r="L394" s="28">
        <f>IF($B394="","",IF($K394="","—",IF(ROUND($K394-$J394,0)=0,"√","×")))</f>
        <v/>
      </c>
      <c r="M394" s="28">
        <f>IF($B394="","",IF(COUNTIFS(EntryDates,$B394,CalcTime,$C394,CalcBank,$C$5,EntryParty,$D394,EntryDep,$H394,EntryWit,$I394)&gt;1,"تکرار",""))</f>
        <v/>
      </c>
      <c r="N394" s="28">
        <f>IF($P394="","",IF(INDEX(EntryNotes,$P394)=0,"",INDEX(EntryNotes,$P394)))</f>
        <v/>
      </c>
      <c r="O394" s="28">
        <f>IF($P394="","",IF(INDEX(EntryTxnID,$P394)=0,"",INDEX(EntryTxnID,$P394)))</f>
        <v/>
      </c>
      <c r="P394" s="28">
        <f>IFERROR(MATCH($C$5&amp;"|"&amp;RIGHT("000000"&amp;378,6),CalcRankKey,0),"")</f>
        <v/>
      </c>
    </row>
    <row r="395">
      <c r="A395" s="26">
        <f>IF($B395="","",379)</f>
        <v/>
      </c>
      <c r="B395" s="26">
        <f>IF($P395="","",IF(INDEX(CalcNormDate,$P395)=0,"",INDEX(CalcNormDate,$P395)))</f>
        <v/>
      </c>
      <c r="C395" s="26">
        <f>IF($P395="","",IF(INDEX(CalcTime,$P395)=0,"",INDEX(CalcTime,$P395)))</f>
        <v/>
      </c>
      <c r="D395" s="26">
        <f>IF($P395="","",IF(INDEX(EntryParty,$P395)=0,"",INDEX(EntryParty,$P395)))</f>
        <v/>
      </c>
      <c r="E395" s="26">
        <f>IF($P395="","",IF(INDEX(EntryPartyName,$P395)=0,"",INDEX(EntryPartyName,$P395)))</f>
        <v/>
      </c>
      <c r="F395" s="26">
        <f>IF($P395="","",IF(INDEX(EntryPartyType,$P395)=0,"",INDEX(EntryPartyType,$P395)))</f>
        <v/>
      </c>
      <c r="G395" s="26">
        <f>IF($P395="","",IF(INDEX(EntryTxnType,$P395)=0,"",INDEX(EntryTxnType,$P395)))</f>
        <v/>
      </c>
      <c r="H395" s="27">
        <f>IF($P395="","",IF(INDEX(EntryDep,$P395)=0,"",INDEX(EntryDep,$P395)))</f>
        <v/>
      </c>
      <c r="I395" s="27">
        <f>IF($P395="","",IF(INDEX(EntryWit,$P395)=0,"",INDEX(EntryWit,$P395)))</f>
        <v/>
      </c>
      <c r="J395" s="27">
        <f>IF($B395="","",IF($A395=1,$C$7,IF(J394="",0,J394))+IF($H395="",0,$H395)-IF($I395="",0,$I395))</f>
        <v/>
      </c>
      <c r="K395" s="27">
        <f>IF($P395="","",IF(INDEX(EntryMan,$P395)=0,"",INDEX(EntryMan,$P395)))</f>
        <v/>
      </c>
      <c r="L395" s="26">
        <f>IF($B395="","",IF($K395="","—",IF(ROUND($K395-$J395,0)=0,"√","×")))</f>
        <v/>
      </c>
      <c r="M395" s="26">
        <f>IF($B395="","",IF(COUNTIFS(EntryDates,$B395,CalcTime,$C395,CalcBank,$C$5,EntryParty,$D395,EntryDep,$H395,EntryWit,$I395)&gt;1,"تکرار",""))</f>
        <v/>
      </c>
      <c r="N395" s="26">
        <f>IF($P395="","",IF(INDEX(EntryNotes,$P395)=0,"",INDEX(EntryNotes,$P395)))</f>
        <v/>
      </c>
      <c r="O395" s="26">
        <f>IF($P395="","",IF(INDEX(EntryTxnID,$P395)=0,"",INDEX(EntryTxnID,$P395)))</f>
        <v/>
      </c>
      <c r="P395" s="26">
        <f>IFERROR(MATCH($C$5&amp;"|"&amp;RIGHT("000000"&amp;379,6),CalcRankKey,0),"")</f>
        <v/>
      </c>
    </row>
    <row r="396">
      <c r="A396" s="28">
        <f>IF($B396="","",380)</f>
        <v/>
      </c>
      <c r="B396" s="28">
        <f>IF($P396="","",IF(INDEX(CalcNormDate,$P396)=0,"",INDEX(CalcNormDate,$P396)))</f>
        <v/>
      </c>
      <c r="C396" s="28">
        <f>IF($P396="","",IF(INDEX(CalcTime,$P396)=0,"",INDEX(CalcTime,$P396)))</f>
        <v/>
      </c>
      <c r="D396" s="28">
        <f>IF($P396="","",IF(INDEX(EntryParty,$P396)=0,"",INDEX(EntryParty,$P396)))</f>
        <v/>
      </c>
      <c r="E396" s="28">
        <f>IF($P396="","",IF(INDEX(EntryPartyName,$P396)=0,"",INDEX(EntryPartyName,$P396)))</f>
        <v/>
      </c>
      <c r="F396" s="28">
        <f>IF($P396="","",IF(INDEX(EntryPartyType,$P396)=0,"",INDEX(EntryPartyType,$P396)))</f>
        <v/>
      </c>
      <c r="G396" s="28">
        <f>IF($P396="","",IF(INDEX(EntryTxnType,$P396)=0,"",INDEX(EntryTxnType,$P396)))</f>
        <v/>
      </c>
      <c r="H396" s="29">
        <f>IF($P396="","",IF(INDEX(EntryDep,$P396)=0,"",INDEX(EntryDep,$P396)))</f>
        <v/>
      </c>
      <c r="I396" s="29">
        <f>IF($P396="","",IF(INDEX(EntryWit,$P396)=0,"",INDEX(EntryWit,$P396)))</f>
        <v/>
      </c>
      <c r="J396" s="29">
        <f>IF($B396="","",IF($A396=1,$C$7,IF(J395="",0,J395))+IF($H396="",0,$H396)-IF($I396="",0,$I396))</f>
        <v/>
      </c>
      <c r="K396" s="29">
        <f>IF($P396="","",IF(INDEX(EntryMan,$P396)=0,"",INDEX(EntryMan,$P396)))</f>
        <v/>
      </c>
      <c r="L396" s="28">
        <f>IF($B396="","",IF($K396="","—",IF(ROUND($K396-$J396,0)=0,"√","×")))</f>
        <v/>
      </c>
      <c r="M396" s="28">
        <f>IF($B396="","",IF(COUNTIFS(EntryDates,$B396,CalcTime,$C396,CalcBank,$C$5,EntryParty,$D396,EntryDep,$H396,EntryWit,$I396)&gt;1,"تکرار",""))</f>
        <v/>
      </c>
      <c r="N396" s="28">
        <f>IF($P396="","",IF(INDEX(EntryNotes,$P396)=0,"",INDEX(EntryNotes,$P396)))</f>
        <v/>
      </c>
      <c r="O396" s="28">
        <f>IF($P396="","",IF(INDEX(EntryTxnID,$P396)=0,"",INDEX(EntryTxnID,$P396)))</f>
        <v/>
      </c>
      <c r="P396" s="28">
        <f>IFERROR(MATCH($C$5&amp;"|"&amp;RIGHT("000000"&amp;380,6),CalcRankKey,0),"")</f>
        <v/>
      </c>
    </row>
    <row r="397">
      <c r="A397" s="26">
        <f>IF($B397="","",381)</f>
        <v/>
      </c>
      <c r="B397" s="26">
        <f>IF($P397="","",IF(INDEX(CalcNormDate,$P397)=0,"",INDEX(CalcNormDate,$P397)))</f>
        <v/>
      </c>
      <c r="C397" s="26">
        <f>IF($P397="","",IF(INDEX(CalcTime,$P397)=0,"",INDEX(CalcTime,$P397)))</f>
        <v/>
      </c>
      <c r="D397" s="26">
        <f>IF($P397="","",IF(INDEX(EntryParty,$P397)=0,"",INDEX(EntryParty,$P397)))</f>
        <v/>
      </c>
      <c r="E397" s="26">
        <f>IF($P397="","",IF(INDEX(EntryPartyName,$P397)=0,"",INDEX(EntryPartyName,$P397)))</f>
        <v/>
      </c>
      <c r="F397" s="26">
        <f>IF($P397="","",IF(INDEX(EntryPartyType,$P397)=0,"",INDEX(EntryPartyType,$P397)))</f>
        <v/>
      </c>
      <c r="G397" s="26">
        <f>IF($P397="","",IF(INDEX(EntryTxnType,$P397)=0,"",INDEX(EntryTxnType,$P397)))</f>
        <v/>
      </c>
      <c r="H397" s="27">
        <f>IF($P397="","",IF(INDEX(EntryDep,$P397)=0,"",INDEX(EntryDep,$P397)))</f>
        <v/>
      </c>
      <c r="I397" s="27">
        <f>IF($P397="","",IF(INDEX(EntryWit,$P397)=0,"",INDEX(EntryWit,$P397)))</f>
        <v/>
      </c>
      <c r="J397" s="27">
        <f>IF($B397="","",IF($A397=1,$C$7,IF(J396="",0,J396))+IF($H397="",0,$H397)-IF($I397="",0,$I397))</f>
        <v/>
      </c>
      <c r="K397" s="27">
        <f>IF($P397="","",IF(INDEX(EntryMan,$P397)=0,"",INDEX(EntryMan,$P397)))</f>
        <v/>
      </c>
      <c r="L397" s="26">
        <f>IF($B397="","",IF($K397="","—",IF(ROUND($K397-$J397,0)=0,"√","×")))</f>
        <v/>
      </c>
      <c r="M397" s="26">
        <f>IF($B397="","",IF(COUNTIFS(EntryDates,$B397,CalcTime,$C397,CalcBank,$C$5,EntryParty,$D397,EntryDep,$H397,EntryWit,$I397)&gt;1,"تکرار",""))</f>
        <v/>
      </c>
      <c r="N397" s="26">
        <f>IF($P397="","",IF(INDEX(EntryNotes,$P397)=0,"",INDEX(EntryNotes,$P397)))</f>
        <v/>
      </c>
      <c r="O397" s="26">
        <f>IF($P397="","",IF(INDEX(EntryTxnID,$P397)=0,"",INDEX(EntryTxnID,$P397)))</f>
        <v/>
      </c>
      <c r="P397" s="26">
        <f>IFERROR(MATCH($C$5&amp;"|"&amp;RIGHT("000000"&amp;381,6),CalcRankKey,0),"")</f>
        <v/>
      </c>
    </row>
    <row r="398">
      <c r="A398" s="28">
        <f>IF($B398="","",382)</f>
        <v/>
      </c>
      <c r="B398" s="28">
        <f>IF($P398="","",IF(INDEX(CalcNormDate,$P398)=0,"",INDEX(CalcNormDate,$P398)))</f>
        <v/>
      </c>
      <c r="C398" s="28">
        <f>IF($P398="","",IF(INDEX(CalcTime,$P398)=0,"",INDEX(CalcTime,$P398)))</f>
        <v/>
      </c>
      <c r="D398" s="28">
        <f>IF($P398="","",IF(INDEX(EntryParty,$P398)=0,"",INDEX(EntryParty,$P398)))</f>
        <v/>
      </c>
      <c r="E398" s="28">
        <f>IF($P398="","",IF(INDEX(EntryPartyName,$P398)=0,"",INDEX(EntryPartyName,$P398)))</f>
        <v/>
      </c>
      <c r="F398" s="28">
        <f>IF($P398="","",IF(INDEX(EntryPartyType,$P398)=0,"",INDEX(EntryPartyType,$P398)))</f>
        <v/>
      </c>
      <c r="G398" s="28">
        <f>IF($P398="","",IF(INDEX(EntryTxnType,$P398)=0,"",INDEX(EntryTxnType,$P398)))</f>
        <v/>
      </c>
      <c r="H398" s="29">
        <f>IF($P398="","",IF(INDEX(EntryDep,$P398)=0,"",INDEX(EntryDep,$P398)))</f>
        <v/>
      </c>
      <c r="I398" s="29">
        <f>IF($P398="","",IF(INDEX(EntryWit,$P398)=0,"",INDEX(EntryWit,$P398)))</f>
        <v/>
      </c>
      <c r="J398" s="29">
        <f>IF($B398="","",IF($A398=1,$C$7,IF(J397="",0,J397))+IF($H398="",0,$H398)-IF($I398="",0,$I398))</f>
        <v/>
      </c>
      <c r="K398" s="29">
        <f>IF($P398="","",IF(INDEX(EntryMan,$P398)=0,"",INDEX(EntryMan,$P398)))</f>
        <v/>
      </c>
      <c r="L398" s="28">
        <f>IF($B398="","",IF($K398="","—",IF(ROUND($K398-$J398,0)=0,"√","×")))</f>
        <v/>
      </c>
      <c r="M398" s="28">
        <f>IF($B398="","",IF(COUNTIFS(EntryDates,$B398,CalcTime,$C398,CalcBank,$C$5,EntryParty,$D398,EntryDep,$H398,EntryWit,$I398)&gt;1,"تکرار",""))</f>
        <v/>
      </c>
      <c r="N398" s="28">
        <f>IF($P398="","",IF(INDEX(EntryNotes,$P398)=0,"",INDEX(EntryNotes,$P398)))</f>
        <v/>
      </c>
      <c r="O398" s="28">
        <f>IF($P398="","",IF(INDEX(EntryTxnID,$P398)=0,"",INDEX(EntryTxnID,$P398)))</f>
        <v/>
      </c>
      <c r="P398" s="28">
        <f>IFERROR(MATCH($C$5&amp;"|"&amp;RIGHT("000000"&amp;382,6),CalcRankKey,0),"")</f>
        <v/>
      </c>
    </row>
    <row r="399">
      <c r="A399" s="26">
        <f>IF($B399="","",383)</f>
        <v/>
      </c>
      <c r="B399" s="26">
        <f>IF($P399="","",IF(INDEX(CalcNormDate,$P399)=0,"",INDEX(CalcNormDate,$P399)))</f>
        <v/>
      </c>
      <c r="C399" s="26">
        <f>IF($P399="","",IF(INDEX(CalcTime,$P399)=0,"",INDEX(CalcTime,$P399)))</f>
        <v/>
      </c>
      <c r="D399" s="26">
        <f>IF($P399="","",IF(INDEX(EntryParty,$P399)=0,"",INDEX(EntryParty,$P399)))</f>
        <v/>
      </c>
      <c r="E399" s="26">
        <f>IF($P399="","",IF(INDEX(EntryPartyName,$P399)=0,"",INDEX(EntryPartyName,$P399)))</f>
        <v/>
      </c>
      <c r="F399" s="26">
        <f>IF($P399="","",IF(INDEX(EntryPartyType,$P399)=0,"",INDEX(EntryPartyType,$P399)))</f>
        <v/>
      </c>
      <c r="G399" s="26">
        <f>IF($P399="","",IF(INDEX(EntryTxnType,$P399)=0,"",INDEX(EntryTxnType,$P399)))</f>
        <v/>
      </c>
      <c r="H399" s="27">
        <f>IF($P399="","",IF(INDEX(EntryDep,$P399)=0,"",INDEX(EntryDep,$P399)))</f>
        <v/>
      </c>
      <c r="I399" s="27">
        <f>IF($P399="","",IF(INDEX(EntryWit,$P399)=0,"",INDEX(EntryWit,$P399)))</f>
        <v/>
      </c>
      <c r="J399" s="27">
        <f>IF($B399="","",IF($A399=1,$C$7,IF(J398="",0,J398))+IF($H399="",0,$H399)-IF($I399="",0,$I399))</f>
        <v/>
      </c>
      <c r="K399" s="27">
        <f>IF($P399="","",IF(INDEX(EntryMan,$P399)=0,"",INDEX(EntryMan,$P399)))</f>
        <v/>
      </c>
      <c r="L399" s="26">
        <f>IF($B399="","",IF($K399="","—",IF(ROUND($K399-$J399,0)=0,"√","×")))</f>
        <v/>
      </c>
      <c r="M399" s="26">
        <f>IF($B399="","",IF(COUNTIFS(EntryDates,$B399,CalcTime,$C399,CalcBank,$C$5,EntryParty,$D399,EntryDep,$H399,EntryWit,$I399)&gt;1,"تکرار",""))</f>
        <v/>
      </c>
      <c r="N399" s="26">
        <f>IF($P399="","",IF(INDEX(EntryNotes,$P399)=0,"",INDEX(EntryNotes,$P399)))</f>
        <v/>
      </c>
      <c r="O399" s="26">
        <f>IF($P399="","",IF(INDEX(EntryTxnID,$P399)=0,"",INDEX(EntryTxnID,$P399)))</f>
        <v/>
      </c>
      <c r="P399" s="26">
        <f>IFERROR(MATCH($C$5&amp;"|"&amp;RIGHT("000000"&amp;383,6),CalcRankKey,0),"")</f>
        <v/>
      </c>
    </row>
    <row r="400">
      <c r="A400" s="28">
        <f>IF($B400="","",384)</f>
        <v/>
      </c>
      <c r="B400" s="28">
        <f>IF($P400="","",IF(INDEX(CalcNormDate,$P400)=0,"",INDEX(CalcNormDate,$P400)))</f>
        <v/>
      </c>
      <c r="C400" s="28">
        <f>IF($P400="","",IF(INDEX(CalcTime,$P400)=0,"",INDEX(CalcTime,$P400)))</f>
        <v/>
      </c>
      <c r="D400" s="28">
        <f>IF($P400="","",IF(INDEX(EntryParty,$P400)=0,"",INDEX(EntryParty,$P400)))</f>
        <v/>
      </c>
      <c r="E400" s="28">
        <f>IF($P400="","",IF(INDEX(EntryPartyName,$P400)=0,"",INDEX(EntryPartyName,$P400)))</f>
        <v/>
      </c>
      <c r="F400" s="28">
        <f>IF($P400="","",IF(INDEX(EntryPartyType,$P400)=0,"",INDEX(EntryPartyType,$P400)))</f>
        <v/>
      </c>
      <c r="G400" s="28">
        <f>IF($P400="","",IF(INDEX(EntryTxnType,$P400)=0,"",INDEX(EntryTxnType,$P400)))</f>
        <v/>
      </c>
      <c r="H400" s="29">
        <f>IF($P400="","",IF(INDEX(EntryDep,$P400)=0,"",INDEX(EntryDep,$P400)))</f>
        <v/>
      </c>
      <c r="I400" s="29">
        <f>IF($P400="","",IF(INDEX(EntryWit,$P400)=0,"",INDEX(EntryWit,$P400)))</f>
        <v/>
      </c>
      <c r="J400" s="29">
        <f>IF($B400="","",IF($A400=1,$C$7,IF(J399="",0,J399))+IF($H400="",0,$H400)-IF($I400="",0,$I400))</f>
        <v/>
      </c>
      <c r="K400" s="29">
        <f>IF($P400="","",IF(INDEX(EntryMan,$P400)=0,"",INDEX(EntryMan,$P400)))</f>
        <v/>
      </c>
      <c r="L400" s="28">
        <f>IF($B400="","",IF($K400="","—",IF(ROUND($K400-$J400,0)=0,"√","×")))</f>
        <v/>
      </c>
      <c r="M400" s="28">
        <f>IF($B400="","",IF(COUNTIFS(EntryDates,$B400,CalcTime,$C400,CalcBank,$C$5,EntryParty,$D400,EntryDep,$H400,EntryWit,$I400)&gt;1,"تکرار",""))</f>
        <v/>
      </c>
      <c r="N400" s="28">
        <f>IF($P400="","",IF(INDEX(EntryNotes,$P400)=0,"",INDEX(EntryNotes,$P400)))</f>
        <v/>
      </c>
      <c r="O400" s="28">
        <f>IF($P400="","",IF(INDEX(EntryTxnID,$P400)=0,"",INDEX(EntryTxnID,$P400)))</f>
        <v/>
      </c>
      <c r="P400" s="28">
        <f>IFERROR(MATCH($C$5&amp;"|"&amp;RIGHT("000000"&amp;384,6),CalcRankKey,0),"")</f>
        <v/>
      </c>
    </row>
    <row r="401">
      <c r="A401" s="26">
        <f>IF($B401="","",385)</f>
        <v/>
      </c>
      <c r="B401" s="26">
        <f>IF($P401="","",IF(INDEX(CalcNormDate,$P401)=0,"",INDEX(CalcNormDate,$P401)))</f>
        <v/>
      </c>
      <c r="C401" s="26">
        <f>IF($P401="","",IF(INDEX(CalcTime,$P401)=0,"",INDEX(CalcTime,$P401)))</f>
        <v/>
      </c>
      <c r="D401" s="26">
        <f>IF($P401="","",IF(INDEX(EntryParty,$P401)=0,"",INDEX(EntryParty,$P401)))</f>
        <v/>
      </c>
      <c r="E401" s="26">
        <f>IF($P401="","",IF(INDEX(EntryPartyName,$P401)=0,"",INDEX(EntryPartyName,$P401)))</f>
        <v/>
      </c>
      <c r="F401" s="26">
        <f>IF($P401="","",IF(INDEX(EntryPartyType,$P401)=0,"",INDEX(EntryPartyType,$P401)))</f>
        <v/>
      </c>
      <c r="G401" s="26">
        <f>IF($P401="","",IF(INDEX(EntryTxnType,$P401)=0,"",INDEX(EntryTxnType,$P401)))</f>
        <v/>
      </c>
      <c r="H401" s="27">
        <f>IF($P401="","",IF(INDEX(EntryDep,$P401)=0,"",INDEX(EntryDep,$P401)))</f>
        <v/>
      </c>
      <c r="I401" s="27">
        <f>IF($P401="","",IF(INDEX(EntryWit,$P401)=0,"",INDEX(EntryWit,$P401)))</f>
        <v/>
      </c>
      <c r="J401" s="27">
        <f>IF($B401="","",IF($A401=1,$C$7,IF(J400="",0,J400))+IF($H401="",0,$H401)-IF($I401="",0,$I401))</f>
        <v/>
      </c>
      <c r="K401" s="27">
        <f>IF($P401="","",IF(INDEX(EntryMan,$P401)=0,"",INDEX(EntryMan,$P401)))</f>
        <v/>
      </c>
      <c r="L401" s="26">
        <f>IF($B401="","",IF($K401="","—",IF(ROUND($K401-$J401,0)=0,"√","×")))</f>
        <v/>
      </c>
      <c r="M401" s="26">
        <f>IF($B401="","",IF(COUNTIFS(EntryDates,$B401,CalcTime,$C401,CalcBank,$C$5,EntryParty,$D401,EntryDep,$H401,EntryWit,$I401)&gt;1,"تکرار",""))</f>
        <v/>
      </c>
      <c r="N401" s="26">
        <f>IF($P401="","",IF(INDEX(EntryNotes,$P401)=0,"",INDEX(EntryNotes,$P401)))</f>
        <v/>
      </c>
      <c r="O401" s="26">
        <f>IF($P401="","",IF(INDEX(EntryTxnID,$P401)=0,"",INDEX(EntryTxnID,$P401)))</f>
        <v/>
      </c>
      <c r="P401" s="26">
        <f>IFERROR(MATCH($C$5&amp;"|"&amp;RIGHT("000000"&amp;385,6),CalcRankKey,0),"")</f>
        <v/>
      </c>
    </row>
    <row r="402">
      <c r="A402" s="28">
        <f>IF($B402="","",386)</f>
        <v/>
      </c>
      <c r="B402" s="28">
        <f>IF($P402="","",IF(INDEX(CalcNormDate,$P402)=0,"",INDEX(CalcNormDate,$P402)))</f>
        <v/>
      </c>
      <c r="C402" s="28">
        <f>IF($P402="","",IF(INDEX(CalcTime,$P402)=0,"",INDEX(CalcTime,$P402)))</f>
        <v/>
      </c>
      <c r="D402" s="28">
        <f>IF($P402="","",IF(INDEX(EntryParty,$P402)=0,"",INDEX(EntryParty,$P402)))</f>
        <v/>
      </c>
      <c r="E402" s="28">
        <f>IF($P402="","",IF(INDEX(EntryPartyName,$P402)=0,"",INDEX(EntryPartyName,$P402)))</f>
        <v/>
      </c>
      <c r="F402" s="28">
        <f>IF($P402="","",IF(INDEX(EntryPartyType,$P402)=0,"",INDEX(EntryPartyType,$P402)))</f>
        <v/>
      </c>
      <c r="G402" s="28">
        <f>IF($P402="","",IF(INDEX(EntryTxnType,$P402)=0,"",INDEX(EntryTxnType,$P402)))</f>
        <v/>
      </c>
      <c r="H402" s="29">
        <f>IF($P402="","",IF(INDEX(EntryDep,$P402)=0,"",INDEX(EntryDep,$P402)))</f>
        <v/>
      </c>
      <c r="I402" s="29">
        <f>IF($P402="","",IF(INDEX(EntryWit,$P402)=0,"",INDEX(EntryWit,$P402)))</f>
        <v/>
      </c>
      <c r="J402" s="29">
        <f>IF($B402="","",IF($A402=1,$C$7,IF(J401="",0,J401))+IF($H402="",0,$H402)-IF($I402="",0,$I402))</f>
        <v/>
      </c>
      <c r="K402" s="29">
        <f>IF($P402="","",IF(INDEX(EntryMan,$P402)=0,"",INDEX(EntryMan,$P402)))</f>
        <v/>
      </c>
      <c r="L402" s="28">
        <f>IF($B402="","",IF($K402="","—",IF(ROUND($K402-$J402,0)=0,"√","×")))</f>
        <v/>
      </c>
      <c r="M402" s="28">
        <f>IF($B402="","",IF(COUNTIFS(EntryDates,$B402,CalcTime,$C402,CalcBank,$C$5,EntryParty,$D402,EntryDep,$H402,EntryWit,$I402)&gt;1,"تکرار",""))</f>
        <v/>
      </c>
      <c r="N402" s="28">
        <f>IF($P402="","",IF(INDEX(EntryNotes,$P402)=0,"",INDEX(EntryNotes,$P402)))</f>
        <v/>
      </c>
      <c r="O402" s="28">
        <f>IF($P402="","",IF(INDEX(EntryTxnID,$P402)=0,"",INDEX(EntryTxnID,$P402)))</f>
        <v/>
      </c>
      <c r="P402" s="28">
        <f>IFERROR(MATCH($C$5&amp;"|"&amp;RIGHT("000000"&amp;386,6),CalcRankKey,0),"")</f>
        <v/>
      </c>
    </row>
    <row r="403">
      <c r="A403" s="26">
        <f>IF($B403="","",387)</f>
        <v/>
      </c>
      <c r="B403" s="26">
        <f>IF($P403="","",IF(INDEX(CalcNormDate,$P403)=0,"",INDEX(CalcNormDate,$P403)))</f>
        <v/>
      </c>
      <c r="C403" s="26">
        <f>IF($P403="","",IF(INDEX(CalcTime,$P403)=0,"",INDEX(CalcTime,$P403)))</f>
        <v/>
      </c>
      <c r="D403" s="26">
        <f>IF($P403="","",IF(INDEX(EntryParty,$P403)=0,"",INDEX(EntryParty,$P403)))</f>
        <v/>
      </c>
      <c r="E403" s="26">
        <f>IF($P403="","",IF(INDEX(EntryPartyName,$P403)=0,"",INDEX(EntryPartyName,$P403)))</f>
        <v/>
      </c>
      <c r="F403" s="26">
        <f>IF($P403="","",IF(INDEX(EntryPartyType,$P403)=0,"",INDEX(EntryPartyType,$P403)))</f>
        <v/>
      </c>
      <c r="G403" s="26">
        <f>IF($P403="","",IF(INDEX(EntryTxnType,$P403)=0,"",INDEX(EntryTxnType,$P403)))</f>
        <v/>
      </c>
      <c r="H403" s="27">
        <f>IF($P403="","",IF(INDEX(EntryDep,$P403)=0,"",INDEX(EntryDep,$P403)))</f>
        <v/>
      </c>
      <c r="I403" s="27">
        <f>IF($P403="","",IF(INDEX(EntryWit,$P403)=0,"",INDEX(EntryWit,$P403)))</f>
        <v/>
      </c>
      <c r="J403" s="27">
        <f>IF($B403="","",IF($A403=1,$C$7,IF(J402="",0,J402))+IF($H403="",0,$H403)-IF($I403="",0,$I403))</f>
        <v/>
      </c>
      <c r="K403" s="27">
        <f>IF($P403="","",IF(INDEX(EntryMan,$P403)=0,"",INDEX(EntryMan,$P403)))</f>
        <v/>
      </c>
      <c r="L403" s="26">
        <f>IF($B403="","",IF($K403="","—",IF(ROUND($K403-$J403,0)=0,"√","×")))</f>
        <v/>
      </c>
      <c r="M403" s="26">
        <f>IF($B403="","",IF(COUNTIFS(EntryDates,$B403,CalcTime,$C403,CalcBank,$C$5,EntryParty,$D403,EntryDep,$H403,EntryWit,$I403)&gt;1,"تکرار",""))</f>
        <v/>
      </c>
      <c r="N403" s="26">
        <f>IF($P403="","",IF(INDEX(EntryNotes,$P403)=0,"",INDEX(EntryNotes,$P403)))</f>
        <v/>
      </c>
      <c r="O403" s="26">
        <f>IF($P403="","",IF(INDEX(EntryTxnID,$P403)=0,"",INDEX(EntryTxnID,$P403)))</f>
        <v/>
      </c>
      <c r="P403" s="26">
        <f>IFERROR(MATCH($C$5&amp;"|"&amp;RIGHT("000000"&amp;387,6),CalcRankKey,0),"")</f>
        <v/>
      </c>
    </row>
    <row r="404">
      <c r="A404" s="28">
        <f>IF($B404="","",388)</f>
        <v/>
      </c>
      <c r="B404" s="28">
        <f>IF($P404="","",IF(INDEX(CalcNormDate,$P404)=0,"",INDEX(CalcNormDate,$P404)))</f>
        <v/>
      </c>
      <c r="C404" s="28">
        <f>IF($P404="","",IF(INDEX(CalcTime,$P404)=0,"",INDEX(CalcTime,$P404)))</f>
        <v/>
      </c>
      <c r="D404" s="28">
        <f>IF($P404="","",IF(INDEX(EntryParty,$P404)=0,"",INDEX(EntryParty,$P404)))</f>
        <v/>
      </c>
      <c r="E404" s="28">
        <f>IF($P404="","",IF(INDEX(EntryPartyName,$P404)=0,"",INDEX(EntryPartyName,$P404)))</f>
        <v/>
      </c>
      <c r="F404" s="28">
        <f>IF($P404="","",IF(INDEX(EntryPartyType,$P404)=0,"",INDEX(EntryPartyType,$P404)))</f>
        <v/>
      </c>
      <c r="G404" s="28">
        <f>IF($P404="","",IF(INDEX(EntryTxnType,$P404)=0,"",INDEX(EntryTxnType,$P404)))</f>
        <v/>
      </c>
      <c r="H404" s="29">
        <f>IF($P404="","",IF(INDEX(EntryDep,$P404)=0,"",INDEX(EntryDep,$P404)))</f>
        <v/>
      </c>
      <c r="I404" s="29">
        <f>IF($P404="","",IF(INDEX(EntryWit,$P404)=0,"",INDEX(EntryWit,$P404)))</f>
        <v/>
      </c>
      <c r="J404" s="29">
        <f>IF($B404="","",IF($A404=1,$C$7,IF(J403="",0,J403))+IF($H404="",0,$H404)-IF($I404="",0,$I404))</f>
        <v/>
      </c>
      <c r="K404" s="29">
        <f>IF($P404="","",IF(INDEX(EntryMan,$P404)=0,"",INDEX(EntryMan,$P404)))</f>
        <v/>
      </c>
      <c r="L404" s="28">
        <f>IF($B404="","",IF($K404="","—",IF(ROUND($K404-$J404,0)=0,"√","×")))</f>
        <v/>
      </c>
      <c r="M404" s="28">
        <f>IF($B404="","",IF(COUNTIFS(EntryDates,$B404,CalcTime,$C404,CalcBank,$C$5,EntryParty,$D404,EntryDep,$H404,EntryWit,$I404)&gt;1,"تکرار",""))</f>
        <v/>
      </c>
      <c r="N404" s="28">
        <f>IF($P404="","",IF(INDEX(EntryNotes,$P404)=0,"",INDEX(EntryNotes,$P404)))</f>
        <v/>
      </c>
      <c r="O404" s="28">
        <f>IF($P404="","",IF(INDEX(EntryTxnID,$P404)=0,"",INDEX(EntryTxnID,$P404)))</f>
        <v/>
      </c>
      <c r="P404" s="28">
        <f>IFERROR(MATCH($C$5&amp;"|"&amp;RIGHT("000000"&amp;388,6),CalcRankKey,0),"")</f>
        <v/>
      </c>
    </row>
    <row r="405">
      <c r="A405" s="26">
        <f>IF($B405="","",389)</f>
        <v/>
      </c>
      <c r="B405" s="26">
        <f>IF($P405="","",IF(INDEX(CalcNormDate,$P405)=0,"",INDEX(CalcNormDate,$P405)))</f>
        <v/>
      </c>
      <c r="C405" s="26">
        <f>IF($P405="","",IF(INDEX(CalcTime,$P405)=0,"",INDEX(CalcTime,$P405)))</f>
        <v/>
      </c>
      <c r="D405" s="26">
        <f>IF($P405="","",IF(INDEX(EntryParty,$P405)=0,"",INDEX(EntryParty,$P405)))</f>
        <v/>
      </c>
      <c r="E405" s="26">
        <f>IF($P405="","",IF(INDEX(EntryPartyName,$P405)=0,"",INDEX(EntryPartyName,$P405)))</f>
        <v/>
      </c>
      <c r="F405" s="26">
        <f>IF($P405="","",IF(INDEX(EntryPartyType,$P405)=0,"",INDEX(EntryPartyType,$P405)))</f>
        <v/>
      </c>
      <c r="G405" s="26">
        <f>IF($P405="","",IF(INDEX(EntryTxnType,$P405)=0,"",INDEX(EntryTxnType,$P405)))</f>
        <v/>
      </c>
      <c r="H405" s="27">
        <f>IF($P405="","",IF(INDEX(EntryDep,$P405)=0,"",INDEX(EntryDep,$P405)))</f>
        <v/>
      </c>
      <c r="I405" s="27">
        <f>IF($P405="","",IF(INDEX(EntryWit,$P405)=0,"",INDEX(EntryWit,$P405)))</f>
        <v/>
      </c>
      <c r="J405" s="27">
        <f>IF($B405="","",IF($A405=1,$C$7,IF(J404="",0,J404))+IF($H405="",0,$H405)-IF($I405="",0,$I405))</f>
        <v/>
      </c>
      <c r="K405" s="27">
        <f>IF($P405="","",IF(INDEX(EntryMan,$P405)=0,"",INDEX(EntryMan,$P405)))</f>
        <v/>
      </c>
      <c r="L405" s="26">
        <f>IF($B405="","",IF($K405="","—",IF(ROUND($K405-$J405,0)=0,"√","×")))</f>
        <v/>
      </c>
      <c r="M405" s="26">
        <f>IF($B405="","",IF(COUNTIFS(EntryDates,$B405,CalcTime,$C405,CalcBank,$C$5,EntryParty,$D405,EntryDep,$H405,EntryWit,$I405)&gt;1,"تکرار",""))</f>
        <v/>
      </c>
      <c r="N405" s="26">
        <f>IF($P405="","",IF(INDEX(EntryNotes,$P405)=0,"",INDEX(EntryNotes,$P405)))</f>
        <v/>
      </c>
      <c r="O405" s="26">
        <f>IF($P405="","",IF(INDEX(EntryTxnID,$P405)=0,"",INDEX(EntryTxnID,$P405)))</f>
        <v/>
      </c>
      <c r="P405" s="26">
        <f>IFERROR(MATCH($C$5&amp;"|"&amp;RIGHT("000000"&amp;389,6),CalcRankKey,0),"")</f>
        <v/>
      </c>
    </row>
    <row r="406">
      <c r="A406" s="28">
        <f>IF($B406="","",390)</f>
        <v/>
      </c>
      <c r="B406" s="28">
        <f>IF($P406="","",IF(INDEX(CalcNormDate,$P406)=0,"",INDEX(CalcNormDate,$P406)))</f>
        <v/>
      </c>
      <c r="C406" s="28">
        <f>IF($P406="","",IF(INDEX(CalcTime,$P406)=0,"",INDEX(CalcTime,$P406)))</f>
        <v/>
      </c>
      <c r="D406" s="28">
        <f>IF($P406="","",IF(INDEX(EntryParty,$P406)=0,"",INDEX(EntryParty,$P406)))</f>
        <v/>
      </c>
      <c r="E406" s="28">
        <f>IF($P406="","",IF(INDEX(EntryPartyName,$P406)=0,"",INDEX(EntryPartyName,$P406)))</f>
        <v/>
      </c>
      <c r="F406" s="28">
        <f>IF($P406="","",IF(INDEX(EntryPartyType,$P406)=0,"",INDEX(EntryPartyType,$P406)))</f>
        <v/>
      </c>
      <c r="G406" s="28">
        <f>IF($P406="","",IF(INDEX(EntryTxnType,$P406)=0,"",INDEX(EntryTxnType,$P406)))</f>
        <v/>
      </c>
      <c r="H406" s="29">
        <f>IF($P406="","",IF(INDEX(EntryDep,$P406)=0,"",INDEX(EntryDep,$P406)))</f>
        <v/>
      </c>
      <c r="I406" s="29">
        <f>IF($P406="","",IF(INDEX(EntryWit,$P406)=0,"",INDEX(EntryWit,$P406)))</f>
        <v/>
      </c>
      <c r="J406" s="29">
        <f>IF($B406="","",IF($A406=1,$C$7,IF(J405="",0,J405))+IF($H406="",0,$H406)-IF($I406="",0,$I406))</f>
        <v/>
      </c>
      <c r="K406" s="29">
        <f>IF($P406="","",IF(INDEX(EntryMan,$P406)=0,"",INDEX(EntryMan,$P406)))</f>
        <v/>
      </c>
      <c r="L406" s="28">
        <f>IF($B406="","",IF($K406="","—",IF(ROUND($K406-$J406,0)=0,"√","×")))</f>
        <v/>
      </c>
      <c r="M406" s="28">
        <f>IF($B406="","",IF(COUNTIFS(EntryDates,$B406,CalcTime,$C406,CalcBank,$C$5,EntryParty,$D406,EntryDep,$H406,EntryWit,$I406)&gt;1,"تکرار",""))</f>
        <v/>
      </c>
      <c r="N406" s="28">
        <f>IF($P406="","",IF(INDEX(EntryNotes,$P406)=0,"",INDEX(EntryNotes,$P406)))</f>
        <v/>
      </c>
      <c r="O406" s="28">
        <f>IF($P406="","",IF(INDEX(EntryTxnID,$P406)=0,"",INDEX(EntryTxnID,$P406)))</f>
        <v/>
      </c>
      <c r="P406" s="28">
        <f>IFERROR(MATCH($C$5&amp;"|"&amp;RIGHT("000000"&amp;390,6),CalcRankKey,0),"")</f>
        <v/>
      </c>
    </row>
    <row r="407">
      <c r="A407" s="26">
        <f>IF($B407="","",391)</f>
        <v/>
      </c>
      <c r="B407" s="26">
        <f>IF($P407="","",IF(INDEX(CalcNormDate,$P407)=0,"",INDEX(CalcNormDate,$P407)))</f>
        <v/>
      </c>
      <c r="C407" s="26">
        <f>IF($P407="","",IF(INDEX(CalcTime,$P407)=0,"",INDEX(CalcTime,$P407)))</f>
        <v/>
      </c>
      <c r="D407" s="26">
        <f>IF($P407="","",IF(INDEX(EntryParty,$P407)=0,"",INDEX(EntryParty,$P407)))</f>
        <v/>
      </c>
      <c r="E407" s="26">
        <f>IF($P407="","",IF(INDEX(EntryPartyName,$P407)=0,"",INDEX(EntryPartyName,$P407)))</f>
        <v/>
      </c>
      <c r="F407" s="26">
        <f>IF($P407="","",IF(INDEX(EntryPartyType,$P407)=0,"",INDEX(EntryPartyType,$P407)))</f>
        <v/>
      </c>
      <c r="G407" s="26">
        <f>IF($P407="","",IF(INDEX(EntryTxnType,$P407)=0,"",INDEX(EntryTxnType,$P407)))</f>
        <v/>
      </c>
      <c r="H407" s="27">
        <f>IF($P407="","",IF(INDEX(EntryDep,$P407)=0,"",INDEX(EntryDep,$P407)))</f>
        <v/>
      </c>
      <c r="I407" s="27">
        <f>IF($P407="","",IF(INDEX(EntryWit,$P407)=0,"",INDEX(EntryWit,$P407)))</f>
        <v/>
      </c>
      <c r="J407" s="27">
        <f>IF($B407="","",IF($A407=1,$C$7,IF(J406="",0,J406))+IF($H407="",0,$H407)-IF($I407="",0,$I407))</f>
        <v/>
      </c>
      <c r="K407" s="27">
        <f>IF($P407="","",IF(INDEX(EntryMan,$P407)=0,"",INDEX(EntryMan,$P407)))</f>
        <v/>
      </c>
      <c r="L407" s="26">
        <f>IF($B407="","",IF($K407="","—",IF(ROUND($K407-$J407,0)=0,"√","×")))</f>
        <v/>
      </c>
      <c r="M407" s="26">
        <f>IF($B407="","",IF(COUNTIFS(EntryDates,$B407,CalcTime,$C407,CalcBank,$C$5,EntryParty,$D407,EntryDep,$H407,EntryWit,$I407)&gt;1,"تکرار",""))</f>
        <v/>
      </c>
      <c r="N407" s="26">
        <f>IF($P407="","",IF(INDEX(EntryNotes,$P407)=0,"",INDEX(EntryNotes,$P407)))</f>
        <v/>
      </c>
      <c r="O407" s="26">
        <f>IF($P407="","",IF(INDEX(EntryTxnID,$P407)=0,"",INDEX(EntryTxnID,$P407)))</f>
        <v/>
      </c>
      <c r="P407" s="26">
        <f>IFERROR(MATCH($C$5&amp;"|"&amp;RIGHT("000000"&amp;391,6),CalcRankKey,0),"")</f>
        <v/>
      </c>
    </row>
    <row r="408">
      <c r="A408" s="28">
        <f>IF($B408="","",392)</f>
        <v/>
      </c>
      <c r="B408" s="28">
        <f>IF($P408="","",IF(INDEX(CalcNormDate,$P408)=0,"",INDEX(CalcNormDate,$P408)))</f>
        <v/>
      </c>
      <c r="C408" s="28">
        <f>IF($P408="","",IF(INDEX(CalcTime,$P408)=0,"",INDEX(CalcTime,$P408)))</f>
        <v/>
      </c>
      <c r="D408" s="28">
        <f>IF($P408="","",IF(INDEX(EntryParty,$P408)=0,"",INDEX(EntryParty,$P408)))</f>
        <v/>
      </c>
      <c r="E408" s="28">
        <f>IF($P408="","",IF(INDEX(EntryPartyName,$P408)=0,"",INDEX(EntryPartyName,$P408)))</f>
        <v/>
      </c>
      <c r="F408" s="28">
        <f>IF($P408="","",IF(INDEX(EntryPartyType,$P408)=0,"",INDEX(EntryPartyType,$P408)))</f>
        <v/>
      </c>
      <c r="G408" s="28">
        <f>IF($P408="","",IF(INDEX(EntryTxnType,$P408)=0,"",INDEX(EntryTxnType,$P408)))</f>
        <v/>
      </c>
      <c r="H408" s="29">
        <f>IF($P408="","",IF(INDEX(EntryDep,$P408)=0,"",INDEX(EntryDep,$P408)))</f>
        <v/>
      </c>
      <c r="I408" s="29">
        <f>IF($P408="","",IF(INDEX(EntryWit,$P408)=0,"",INDEX(EntryWit,$P408)))</f>
        <v/>
      </c>
      <c r="J408" s="29">
        <f>IF($B408="","",IF($A408=1,$C$7,IF(J407="",0,J407))+IF($H408="",0,$H408)-IF($I408="",0,$I408))</f>
        <v/>
      </c>
      <c r="K408" s="29">
        <f>IF($P408="","",IF(INDEX(EntryMan,$P408)=0,"",INDEX(EntryMan,$P408)))</f>
        <v/>
      </c>
      <c r="L408" s="28">
        <f>IF($B408="","",IF($K408="","—",IF(ROUND($K408-$J408,0)=0,"√","×")))</f>
        <v/>
      </c>
      <c r="M408" s="28">
        <f>IF($B408="","",IF(COUNTIFS(EntryDates,$B408,CalcTime,$C408,CalcBank,$C$5,EntryParty,$D408,EntryDep,$H408,EntryWit,$I408)&gt;1,"تکرار",""))</f>
        <v/>
      </c>
      <c r="N408" s="28">
        <f>IF($P408="","",IF(INDEX(EntryNotes,$P408)=0,"",INDEX(EntryNotes,$P408)))</f>
        <v/>
      </c>
      <c r="O408" s="28">
        <f>IF($P408="","",IF(INDEX(EntryTxnID,$P408)=0,"",INDEX(EntryTxnID,$P408)))</f>
        <v/>
      </c>
      <c r="P408" s="28">
        <f>IFERROR(MATCH($C$5&amp;"|"&amp;RIGHT("000000"&amp;392,6),CalcRankKey,0),"")</f>
        <v/>
      </c>
    </row>
    <row r="409">
      <c r="A409" s="26">
        <f>IF($B409="","",393)</f>
        <v/>
      </c>
      <c r="B409" s="26">
        <f>IF($P409="","",IF(INDEX(CalcNormDate,$P409)=0,"",INDEX(CalcNormDate,$P409)))</f>
        <v/>
      </c>
      <c r="C409" s="26">
        <f>IF($P409="","",IF(INDEX(CalcTime,$P409)=0,"",INDEX(CalcTime,$P409)))</f>
        <v/>
      </c>
      <c r="D409" s="26">
        <f>IF($P409="","",IF(INDEX(EntryParty,$P409)=0,"",INDEX(EntryParty,$P409)))</f>
        <v/>
      </c>
      <c r="E409" s="26">
        <f>IF($P409="","",IF(INDEX(EntryPartyName,$P409)=0,"",INDEX(EntryPartyName,$P409)))</f>
        <v/>
      </c>
      <c r="F409" s="26">
        <f>IF($P409="","",IF(INDEX(EntryPartyType,$P409)=0,"",INDEX(EntryPartyType,$P409)))</f>
        <v/>
      </c>
      <c r="G409" s="26">
        <f>IF($P409="","",IF(INDEX(EntryTxnType,$P409)=0,"",INDEX(EntryTxnType,$P409)))</f>
        <v/>
      </c>
      <c r="H409" s="27">
        <f>IF($P409="","",IF(INDEX(EntryDep,$P409)=0,"",INDEX(EntryDep,$P409)))</f>
        <v/>
      </c>
      <c r="I409" s="27">
        <f>IF($P409="","",IF(INDEX(EntryWit,$P409)=0,"",INDEX(EntryWit,$P409)))</f>
        <v/>
      </c>
      <c r="J409" s="27">
        <f>IF($B409="","",IF($A409=1,$C$7,IF(J408="",0,J408))+IF($H409="",0,$H409)-IF($I409="",0,$I409))</f>
        <v/>
      </c>
      <c r="K409" s="27">
        <f>IF($P409="","",IF(INDEX(EntryMan,$P409)=0,"",INDEX(EntryMan,$P409)))</f>
        <v/>
      </c>
      <c r="L409" s="26">
        <f>IF($B409="","",IF($K409="","—",IF(ROUND($K409-$J409,0)=0,"√","×")))</f>
        <v/>
      </c>
      <c r="M409" s="26">
        <f>IF($B409="","",IF(COUNTIFS(EntryDates,$B409,CalcTime,$C409,CalcBank,$C$5,EntryParty,$D409,EntryDep,$H409,EntryWit,$I409)&gt;1,"تکرار",""))</f>
        <v/>
      </c>
      <c r="N409" s="26">
        <f>IF($P409="","",IF(INDEX(EntryNotes,$P409)=0,"",INDEX(EntryNotes,$P409)))</f>
        <v/>
      </c>
      <c r="O409" s="26">
        <f>IF($P409="","",IF(INDEX(EntryTxnID,$P409)=0,"",INDEX(EntryTxnID,$P409)))</f>
        <v/>
      </c>
      <c r="P409" s="26">
        <f>IFERROR(MATCH($C$5&amp;"|"&amp;RIGHT("000000"&amp;393,6),CalcRankKey,0),"")</f>
        <v/>
      </c>
    </row>
    <row r="410">
      <c r="A410" s="28">
        <f>IF($B410="","",394)</f>
        <v/>
      </c>
      <c r="B410" s="28">
        <f>IF($P410="","",IF(INDEX(CalcNormDate,$P410)=0,"",INDEX(CalcNormDate,$P410)))</f>
        <v/>
      </c>
      <c r="C410" s="28">
        <f>IF($P410="","",IF(INDEX(CalcTime,$P410)=0,"",INDEX(CalcTime,$P410)))</f>
        <v/>
      </c>
      <c r="D410" s="28">
        <f>IF($P410="","",IF(INDEX(EntryParty,$P410)=0,"",INDEX(EntryParty,$P410)))</f>
        <v/>
      </c>
      <c r="E410" s="28">
        <f>IF($P410="","",IF(INDEX(EntryPartyName,$P410)=0,"",INDEX(EntryPartyName,$P410)))</f>
        <v/>
      </c>
      <c r="F410" s="28">
        <f>IF($P410="","",IF(INDEX(EntryPartyType,$P410)=0,"",INDEX(EntryPartyType,$P410)))</f>
        <v/>
      </c>
      <c r="G410" s="28">
        <f>IF($P410="","",IF(INDEX(EntryTxnType,$P410)=0,"",INDEX(EntryTxnType,$P410)))</f>
        <v/>
      </c>
      <c r="H410" s="29">
        <f>IF($P410="","",IF(INDEX(EntryDep,$P410)=0,"",INDEX(EntryDep,$P410)))</f>
        <v/>
      </c>
      <c r="I410" s="29">
        <f>IF($P410="","",IF(INDEX(EntryWit,$P410)=0,"",INDEX(EntryWit,$P410)))</f>
        <v/>
      </c>
      <c r="J410" s="29">
        <f>IF($B410="","",IF($A410=1,$C$7,IF(J409="",0,J409))+IF($H410="",0,$H410)-IF($I410="",0,$I410))</f>
        <v/>
      </c>
      <c r="K410" s="29">
        <f>IF($P410="","",IF(INDEX(EntryMan,$P410)=0,"",INDEX(EntryMan,$P410)))</f>
        <v/>
      </c>
      <c r="L410" s="28">
        <f>IF($B410="","",IF($K410="","—",IF(ROUND($K410-$J410,0)=0,"√","×")))</f>
        <v/>
      </c>
      <c r="M410" s="28">
        <f>IF($B410="","",IF(COUNTIFS(EntryDates,$B410,CalcTime,$C410,CalcBank,$C$5,EntryParty,$D410,EntryDep,$H410,EntryWit,$I410)&gt;1,"تکرار",""))</f>
        <v/>
      </c>
      <c r="N410" s="28">
        <f>IF($P410="","",IF(INDEX(EntryNotes,$P410)=0,"",INDEX(EntryNotes,$P410)))</f>
        <v/>
      </c>
      <c r="O410" s="28">
        <f>IF($P410="","",IF(INDEX(EntryTxnID,$P410)=0,"",INDEX(EntryTxnID,$P410)))</f>
        <v/>
      </c>
      <c r="P410" s="28">
        <f>IFERROR(MATCH($C$5&amp;"|"&amp;RIGHT("000000"&amp;394,6),CalcRankKey,0),"")</f>
        <v/>
      </c>
    </row>
    <row r="411">
      <c r="A411" s="26">
        <f>IF($B411="","",395)</f>
        <v/>
      </c>
      <c r="B411" s="26">
        <f>IF($P411="","",IF(INDEX(CalcNormDate,$P411)=0,"",INDEX(CalcNormDate,$P411)))</f>
        <v/>
      </c>
      <c r="C411" s="26">
        <f>IF($P411="","",IF(INDEX(CalcTime,$P411)=0,"",INDEX(CalcTime,$P411)))</f>
        <v/>
      </c>
      <c r="D411" s="26">
        <f>IF($P411="","",IF(INDEX(EntryParty,$P411)=0,"",INDEX(EntryParty,$P411)))</f>
        <v/>
      </c>
      <c r="E411" s="26">
        <f>IF($P411="","",IF(INDEX(EntryPartyName,$P411)=0,"",INDEX(EntryPartyName,$P411)))</f>
        <v/>
      </c>
      <c r="F411" s="26">
        <f>IF($P411="","",IF(INDEX(EntryPartyType,$P411)=0,"",INDEX(EntryPartyType,$P411)))</f>
        <v/>
      </c>
      <c r="G411" s="26">
        <f>IF($P411="","",IF(INDEX(EntryTxnType,$P411)=0,"",INDEX(EntryTxnType,$P411)))</f>
        <v/>
      </c>
      <c r="H411" s="27">
        <f>IF($P411="","",IF(INDEX(EntryDep,$P411)=0,"",INDEX(EntryDep,$P411)))</f>
        <v/>
      </c>
      <c r="I411" s="27">
        <f>IF($P411="","",IF(INDEX(EntryWit,$P411)=0,"",INDEX(EntryWit,$P411)))</f>
        <v/>
      </c>
      <c r="J411" s="27">
        <f>IF($B411="","",IF($A411=1,$C$7,IF(J410="",0,J410))+IF($H411="",0,$H411)-IF($I411="",0,$I411))</f>
        <v/>
      </c>
      <c r="K411" s="27">
        <f>IF($P411="","",IF(INDEX(EntryMan,$P411)=0,"",INDEX(EntryMan,$P411)))</f>
        <v/>
      </c>
      <c r="L411" s="26">
        <f>IF($B411="","",IF($K411="","—",IF(ROUND($K411-$J411,0)=0,"√","×")))</f>
        <v/>
      </c>
      <c r="M411" s="26">
        <f>IF($B411="","",IF(COUNTIFS(EntryDates,$B411,CalcTime,$C411,CalcBank,$C$5,EntryParty,$D411,EntryDep,$H411,EntryWit,$I411)&gt;1,"تکرار",""))</f>
        <v/>
      </c>
      <c r="N411" s="26">
        <f>IF($P411="","",IF(INDEX(EntryNotes,$P411)=0,"",INDEX(EntryNotes,$P411)))</f>
        <v/>
      </c>
      <c r="O411" s="26">
        <f>IF($P411="","",IF(INDEX(EntryTxnID,$P411)=0,"",INDEX(EntryTxnID,$P411)))</f>
        <v/>
      </c>
      <c r="P411" s="26">
        <f>IFERROR(MATCH($C$5&amp;"|"&amp;RIGHT("000000"&amp;395,6),CalcRankKey,0),"")</f>
        <v/>
      </c>
    </row>
    <row r="412">
      <c r="A412" s="28">
        <f>IF($B412="","",396)</f>
        <v/>
      </c>
      <c r="B412" s="28">
        <f>IF($P412="","",IF(INDEX(CalcNormDate,$P412)=0,"",INDEX(CalcNormDate,$P412)))</f>
        <v/>
      </c>
      <c r="C412" s="28">
        <f>IF($P412="","",IF(INDEX(CalcTime,$P412)=0,"",INDEX(CalcTime,$P412)))</f>
        <v/>
      </c>
      <c r="D412" s="28">
        <f>IF($P412="","",IF(INDEX(EntryParty,$P412)=0,"",INDEX(EntryParty,$P412)))</f>
        <v/>
      </c>
      <c r="E412" s="28">
        <f>IF($P412="","",IF(INDEX(EntryPartyName,$P412)=0,"",INDEX(EntryPartyName,$P412)))</f>
        <v/>
      </c>
      <c r="F412" s="28">
        <f>IF($P412="","",IF(INDEX(EntryPartyType,$P412)=0,"",INDEX(EntryPartyType,$P412)))</f>
        <v/>
      </c>
      <c r="G412" s="28">
        <f>IF($P412="","",IF(INDEX(EntryTxnType,$P412)=0,"",INDEX(EntryTxnType,$P412)))</f>
        <v/>
      </c>
      <c r="H412" s="29">
        <f>IF($P412="","",IF(INDEX(EntryDep,$P412)=0,"",INDEX(EntryDep,$P412)))</f>
        <v/>
      </c>
      <c r="I412" s="29">
        <f>IF($P412="","",IF(INDEX(EntryWit,$P412)=0,"",INDEX(EntryWit,$P412)))</f>
        <v/>
      </c>
      <c r="J412" s="29">
        <f>IF($B412="","",IF($A412=1,$C$7,IF(J411="",0,J411))+IF($H412="",0,$H412)-IF($I412="",0,$I412))</f>
        <v/>
      </c>
      <c r="K412" s="29">
        <f>IF($P412="","",IF(INDEX(EntryMan,$P412)=0,"",INDEX(EntryMan,$P412)))</f>
        <v/>
      </c>
      <c r="L412" s="28">
        <f>IF($B412="","",IF($K412="","—",IF(ROUND($K412-$J412,0)=0,"√","×")))</f>
        <v/>
      </c>
      <c r="M412" s="28">
        <f>IF($B412="","",IF(COUNTIFS(EntryDates,$B412,CalcTime,$C412,CalcBank,$C$5,EntryParty,$D412,EntryDep,$H412,EntryWit,$I412)&gt;1,"تکرار",""))</f>
        <v/>
      </c>
      <c r="N412" s="28">
        <f>IF($P412="","",IF(INDEX(EntryNotes,$P412)=0,"",INDEX(EntryNotes,$P412)))</f>
        <v/>
      </c>
      <c r="O412" s="28">
        <f>IF($P412="","",IF(INDEX(EntryTxnID,$P412)=0,"",INDEX(EntryTxnID,$P412)))</f>
        <v/>
      </c>
      <c r="P412" s="28">
        <f>IFERROR(MATCH($C$5&amp;"|"&amp;RIGHT("000000"&amp;396,6),CalcRankKey,0),"")</f>
        <v/>
      </c>
    </row>
    <row r="413">
      <c r="A413" s="26">
        <f>IF($B413="","",397)</f>
        <v/>
      </c>
      <c r="B413" s="26">
        <f>IF($P413="","",IF(INDEX(CalcNormDate,$P413)=0,"",INDEX(CalcNormDate,$P413)))</f>
        <v/>
      </c>
      <c r="C413" s="26">
        <f>IF($P413="","",IF(INDEX(CalcTime,$P413)=0,"",INDEX(CalcTime,$P413)))</f>
        <v/>
      </c>
      <c r="D413" s="26">
        <f>IF($P413="","",IF(INDEX(EntryParty,$P413)=0,"",INDEX(EntryParty,$P413)))</f>
        <v/>
      </c>
      <c r="E413" s="26">
        <f>IF($P413="","",IF(INDEX(EntryPartyName,$P413)=0,"",INDEX(EntryPartyName,$P413)))</f>
        <v/>
      </c>
      <c r="F413" s="26">
        <f>IF($P413="","",IF(INDEX(EntryPartyType,$P413)=0,"",INDEX(EntryPartyType,$P413)))</f>
        <v/>
      </c>
      <c r="G413" s="26">
        <f>IF($P413="","",IF(INDEX(EntryTxnType,$P413)=0,"",INDEX(EntryTxnType,$P413)))</f>
        <v/>
      </c>
      <c r="H413" s="27">
        <f>IF($P413="","",IF(INDEX(EntryDep,$P413)=0,"",INDEX(EntryDep,$P413)))</f>
        <v/>
      </c>
      <c r="I413" s="27">
        <f>IF($P413="","",IF(INDEX(EntryWit,$P413)=0,"",INDEX(EntryWit,$P413)))</f>
        <v/>
      </c>
      <c r="J413" s="27">
        <f>IF($B413="","",IF($A413=1,$C$7,IF(J412="",0,J412))+IF($H413="",0,$H413)-IF($I413="",0,$I413))</f>
        <v/>
      </c>
      <c r="K413" s="27">
        <f>IF($P413="","",IF(INDEX(EntryMan,$P413)=0,"",INDEX(EntryMan,$P413)))</f>
        <v/>
      </c>
      <c r="L413" s="26">
        <f>IF($B413="","",IF($K413="","—",IF(ROUND($K413-$J413,0)=0,"√","×")))</f>
        <v/>
      </c>
      <c r="M413" s="26">
        <f>IF($B413="","",IF(COUNTIFS(EntryDates,$B413,CalcTime,$C413,CalcBank,$C$5,EntryParty,$D413,EntryDep,$H413,EntryWit,$I413)&gt;1,"تکرار",""))</f>
        <v/>
      </c>
      <c r="N413" s="26">
        <f>IF($P413="","",IF(INDEX(EntryNotes,$P413)=0,"",INDEX(EntryNotes,$P413)))</f>
        <v/>
      </c>
      <c r="O413" s="26">
        <f>IF($P413="","",IF(INDEX(EntryTxnID,$P413)=0,"",INDEX(EntryTxnID,$P413)))</f>
        <v/>
      </c>
      <c r="P413" s="26">
        <f>IFERROR(MATCH($C$5&amp;"|"&amp;RIGHT("000000"&amp;397,6),CalcRankKey,0),"")</f>
        <v/>
      </c>
    </row>
    <row r="414">
      <c r="A414" s="28">
        <f>IF($B414="","",398)</f>
        <v/>
      </c>
      <c r="B414" s="28">
        <f>IF($P414="","",IF(INDEX(CalcNormDate,$P414)=0,"",INDEX(CalcNormDate,$P414)))</f>
        <v/>
      </c>
      <c r="C414" s="28">
        <f>IF($P414="","",IF(INDEX(CalcTime,$P414)=0,"",INDEX(CalcTime,$P414)))</f>
        <v/>
      </c>
      <c r="D414" s="28">
        <f>IF($P414="","",IF(INDEX(EntryParty,$P414)=0,"",INDEX(EntryParty,$P414)))</f>
        <v/>
      </c>
      <c r="E414" s="28">
        <f>IF($P414="","",IF(INDEX(EntryPartyName,$P414)=0,"",INDEX(EntryPartyName,$P414)))</f>
        <v/>
      </c>
      <c r="F414" s="28">
        <f>IF($P414="","",IF(INDEX(EntryPartyType,$P414)=0,"",INDEX(EntryPartyType,$P414)))</f>
        <v/>
      </c>
      <c r="G414" s="28">
        <f>IF($P414="","",IF(INDEX(EntryTxnType,$P414)=0,"",INDEX(EntryTxnType,$P414)))</f>
        <v/>
      </c>
      <c r="H414" s="29">
        <f>IF($P414="","",IF(INDEX(EntryDep,$P414)=0,"",INDEX(EntryDep,$P414)))</f>
        <v/>
      </c>
      <c r="I414" s="29">
        <f>IF($P414="","",IF(INDEX(EntryWit,$P414)=0,"",INDEX(EntryWit,$P414)))</f>
        <v/>
      </c>
      <c r="J414" s="29">
        <f>IF($B414="","",IF($A414=1,$C$7,IF(J413="",0,J413))+IF($H414="",0,$H414)-IF($I414="",0,$I414))</f>
        <v/>
      </c>
      <c r="K414" s="29">
        <f>IF($P414="","",IF(INDEX(EntryMan,$P414)=0,"",INDEX(EntryMan,$P414)))</f>
        <v/>
      </c>
      <c r="L414" s="28">
        <f>IF($B414="","",IF($K414="","—",IF(ROUND($K414-$J414,0)=0,"√","×")))</f>
        <v/>
      </c>
      <c r="M414" s="28">
        <f>IF($B414="","",IF(COUNTIFS(EntryDates,$B414,CalcTime,$C414,CalcBank,$C$5,EntryParty,$D414,EntryDep,$H414,EntryWit,$I414)&gt;1,"تکرار",""))</f>
        <v/>
      </c>
      <c r="N414" s="28">
        <f>IF($P414="","",IF(INDEX(EntryNotes,$P414)=0,"",INDEX(EntryNotes,$P414)))</f>
        <v/>
      </c>
      <c r="O414" s="28">
        <f>IF($P414="","",IF(INDEX(EntryTxnID,$P414)=0,"",INDEX(EntryTxnID,$P414)))</f>
        <v/>
      </c>
      <c r="P414" s="28">
        <f>IFERROR(MATCH($C$5&amp;"|"&amp;RIGHT("000000"&amp;398,6),CalcRankKey,0),"")</f>
        <v/>
      </c>
    </row>
    <row r="415">
      <c r="A415" s="26">
        <f>IF($B415="","",399)</f>
        <v/>
      </c>
      <c r="B415" s="26">
        <f>IF($P415="","",IF(INDEX(CalcNormDate,$P415)=0,"",INDEX(CalcNormDate,$P415)))</f>
        <v/>
      </c>
      <c r="C415" s="26">
        <f>IF($P415="","",IF(INDEX(CalcTime,$P415)=0,"",INDEX(CalcTime,$P415)))</f>
        <v/>
      </c>
      <c r="D415" s="26">
        <f>IF($P415="","",IF(INDEX(EntryParty,$P415)=0,"",INDEX(EntryParty,$P415)))</f>
        <v/>
      </c>
      <c r="E415" s="26">
        <f>IF($P415="","",IF(INDEX(EntryPartyName,$P415)=0,"",INDEX(EntryPartyName,$P415)))</f>
        <v/>
      </c>
      <c r="F415" s="26">
        <f>IF($P415="","",IF(INDEX(EntryPartyType,$P415)=0,"",INDEX(EntryPartyType,$P415)))</f>
        <v/>
      </c>
      <c r="G415" s="26">
        <f>IF($P415="","",IF(INDEX(EntryTxnType,$P415)=0,"",INDEX(EntryTxnType,$P415)))</f>
        <v/>
      </c>
      <c r="H415" s="27">
        <f>IF($P415="","",IF(INDEX(EntryDep,$P415)=0,"",INDEX(EntryDep,$P415)))</f>
        <v/>
      </c>
      <c r="I415" s="27">
        <f>IF($P415="","",IF(INDEX(EntryWit,$P415)=0,"",INDEX(EntryWit,$P415)))</f>
        <v/>
      </c>
      <c r="J415" s="27">
        <f>IF($B415="","",IF($A415=1,$C$7,IF(J414="",0,J414))+IF($H415="",0,$H415)-IF($I415="",0,$I415))</f>
        <v/>
      </c>
      <c r="K415" s="27">
        <f>IF($P415="","",IF(INDEX(EntryMan,$P415)=0,"",INDEX(EntryMan,$P415)))</f>
        <v/>
      </c>
      <c r="L415" s="26">
        <f>IF($B415="","",IF($K415="","—",IF(ROUND($K415-$J415,0)=0,"√","×")))</f>
        <v/>
      </c>
      <c r="M415" s="26">
        <f>IF($B415="","",IF(COUNTIFS(EntryDates,$B415,CalcTime,$C415,CalcBank,$C$5,EntryParty,$D415,EntryDep,$H415,EntryWit,$I415)&gt;1,"تکرار",""))</f>
        <v/>
      </c>
      <c r="N415" s="26">
        <f>IF($P415="","",IF(INDEX(EntryNotes,$P415)=0,"",INDEX(EntryNotes,$P415)))</f>
        <v/>
      </c>
      <c r="O415" s="26">
        <f>IF($P415="","",IF(INDEX(EntryTxnID,$P415)=0,"",INDEX(EntryTxnID,$P415)))</f>
        <v/>
      </c>
      <c r="P415" s="26">
        <f>IFERROR(MATCH($C$5&amp;"|"&amp;RIGHT("000000"&amp;399,6),CalcRankKey,0),"")</f>
        <v/>
      </c>
    </row>
    <row r="416">
      <c r="A416" s="28">
        <f>IF($B416="","",400)</f>
        <v/>
      </c>
      <c r="B416" s="28">
        <f>IF($P416="","",IF(INDEX(CalcNormDate,$P416)=0,"",INDEX(CalcNormDate,$P416)))</f>
        <v/>
      </c>
      <c r="C416" s="28">
        <f>IF($P416="","",IF(INDEX(CalcTime,$P416)=0,"",INDEX(CalcTime,$P416)))</f>
        <v/>
      </c>
      <c r="D416" s="28">
        <f>IF($P416="","",IF(INDEX(EntryParty,$P416)=0,"",INDEX(EntryParty,$P416)))</f>
        <v/>
      </c>
      <c r="E416" s="28">
        <f>IF($P416="","",IF(INDEX(EntryPartyName,$P416)=0,"",INDEX(EntryPartyName,$P416)))</f>
        <v/>
      </c>
      <c r="F416" s="28">
        <f>IF($P416="","",IF(INDEX(EntryPartyType,$P416)=0,"",INDEX(EntryPartyType,$P416)))</f>
        <v/>
      </c>
      <c r="G416" s="28">
        <f>IF($P416="","",IF(INDEX(EntryTxnType,$P416)=0,"",INDEX(EntryTxnType,$P416)))</f>
        <v/>
      </c>
      <c r="H416" s="29">
        <f>IF($P416="","",IF(INDEX(EntryDep,$P416)=0,"",INDEX(EntryDep,$P416)))</f>
        <v/>
      </c>
      <c r="I416" s="29">
        <f>IF($P416="","",IF(INDEX(EntryWit,$P416)=0,"",INDEX(EntryWit,$P416)))</f>
        <v/>
      </c>
      <c r="J416" s="29">
        <f>IF($B416="","",IF($A416=1,$C$7,IF(J415="",0,J415))+IF($H416="",0,$H416)-IF($I416="",0,$I416))</f>
        <v/>
      </c>
      <c r="K416" s="29">
        <f>IF($P416="","",IF(INDEX(EntryMan,$P416)=0,"",INDEX(EntryMan,$P416)))</f>
        <v/>
      </c>
      <c r="L416" s="28">
        <f>IF($B416="","",IF($K416="","—",IF(ROUND($K416-$J416,0)=0,"√","×")))</f>
        <v/>
      </c>
      <c r="M416" s="28">
        <f>IF($B416="","",IF(COUNTIFS(EntryDates,$B416,CalcTime,$C416,CalcBank,$C$5,EntryParty,$D416,EntryDep,$H416,EntryWit,$I416)&gt;1,"تکرار",""))</f>
        <v/>
      </c>
      <c r="N416" s="28">
        <f>IF($P416="","",IF(INDEX(EntryNotes,$P416)=0,"",INDEX(EntryNotes,$P416)))</f>
        <v/>
      </c>
      <c r="O416" s="28">
        <f>IF($P416="","",IF(INDEX(EntryTxnID,$P416)=0,"",INDEX(EntryTxnID,$P416)))</f>
        <v/>
      </c>
      <c r="P416" s="28">
        <f>IFERROR(MATCH($C$5&amp;"|"&amp;RIGHT("000000"&amp;400,6),CalcRankKey,0),"")</f>
        <v/>
      </c>
    </row>
    <row r="417">
      <c r="A417" s="26">
        <f>IF($B417="","",401)</f>
        <v/>
      </c>
      <c r="B417" s="26">
        <f>IF($P417="","",IF(INDEX(CalcNormDate,$P417)=0,"",INDEX(CalcNormDate,$P417)))</f>
        <v/>
      </c>
      <c r="C417" s="26">
        <f>IF($P417="","",IF(INDEX(CalcTime,$P417)=0,"",INDEX(CalcTime,$P417)))</f>
        <v/>
      </c>
      <c r="D417" s="26">
        <f>IF($P417="","",IF(INDEX(EntryParty,$P417)=0,"",INDEX(EntryParty,$P417)))</f>
        <v/>
      </c>
      <c r="E417" s="26">
        <f>IF($P417="","",IF(INDEX(EntryPartyName,$P417)=0,"",INDEX(EntryPartyName,$P417)))</f>
        <v/>
      </c>
      <c r="F417" s="26">
        <f>IF($P417="","",IF(INDEX(EntryPartyType,$P417)=0,"",INDEX(EntryPartyType,$P417)))</f>
        <v/>
      </c>
      <c r="G417" s="26">
        <f>IF($P417="","",IF(INDEX(EntryTxnType,$P417)=0,"",INDEX(EntryTxnType,$P417)))</f>
        <v/>
      </c>
      <c r="H417" s="27">
        <f>IF($P417="","",IF(INDEX(EntryDep,$P417)=0,"",INDEX(EntryDep,$P417)))</f>
        <v/>
      </c>
      <c r="I417" s="27">
        <f>IF($P417="","",IF(INDEX(EntryWit,$P417)=0,"",INDEX(EntryWit,$P417)))</f>
        <v/>
      </c>
      <c r="J417" s="27">
        <f>IF($B417="","",IF($A417=1,$C$7,IF(J416="",0,J416))+IF($H417="",0,$H417)-IF($I417="",0,$I417))</f>
        <v/>
      </c>
      <c r="K417" s="27">
        <f>IF($P417="","",IF(INDEX(EntryMan,$P417)=0,"",INDEX(EntryMan,$P417)))</f>
        <v/>
      </c>
      <c r="L417" s="26">
        <f>IF($B417="","",IF($K417="","—",IF(ROUND($K417-$J417,0)=0,"√","×")))</f>
        <v/>
      </c>
      <c r="M417" s="26">
        <f>IF($B417="","",IF(COUNTIFS(EntryDates,$B417,CalcTime,$C417,CalcBank,$C$5,EntryParty,$D417,EntryDep,$H417,EntryWit,$I417)&gt;1,"تکرار",""))</f>
        <v/>
      </c>
      <c r="N417" s="26">
        <f>IF($P417="","",IF(INDEX(EntryNotes,$P417)=0,"",INDEX(EntryNotes,$P417)))</f>
        <v/>
      </c>
      <c r="O417" s="26">
        <f>IF($P417="","",IF(INDEX(EntryTxnID,$P417)=0,"",INDEX(EntryTxnID,$P417)))</f>
        <v/>
      </c>
      <c r="P417" s="26">
        <f>IFERROR(MATCH($C$5&amp;"|"&amp;RIGHT("000000"&amp;401,6),CalcRankKey,0),"")</f>
        <v/>
      </c>
    </row>
    <row r="418">
      <c r="A418" s="28">
        <f>IF($B418="","",402)</f>
        <v/>
      </c>
      <c r="B418" s="28">
        <f>IF($P418="","",IF(INDEX(CalcNormDate,$P418)=0,"",INDEX(CalcNormDate,$P418)))</f>
        <v/>
      </c>
      <c r="C418" s="28">
        <f>IF($P418="","",IF(INDEX(CalcTime,$P418)=0,"",INDEX(CalcTime,$P418)))</f>
        <v/>
      </c>
      <c r="D418" s="28">
        <f>IF($P418="","",IF(INDEX(EntryParty,$P418)=0,"",INDEX(EntryParty,$P418)))</f>
        <v/>
      </c>
      <c r="E418" s="28">
        <f>IF($P418="","",IF(INDEX(EntryPartyName,$P418)=0,"",INDEX(EntryPartyName,$P418)))</f>
        <v/>
      </c>
      <c r="F418" s="28">
        <f>IF($P418="","",IF(INDEX(EntryPartyType,$P418)=0,"",INDEX(EntryPartyType,$P418)))</f>
        <v/>
      </c>
      <c r="G418" s="28">
        <f>IF($P418="","",IF(INDEX(EntryTxnType,$P418)=0,"",INDEX(EntryTxnType,$P418)))</f>
        <v/>
      </c>
      <c r="H418" s="29">
        <f>IF($P418="","",IF(INDEX(EntryDep,$P418)=0,"",INDEX(EntryDep,$P418)))</f>
        <v/>
      </c>
      <c r="I418" s="29">
        <f>IF($P418="","",IF(INDEX(EntryWit,$P418)=0,"",INDEX(EntryWit,$P418)))</f>
        <v/>
      </c>
      <c r="J418" s="29">
        <f>IF($B418="","",IF($A418=1,$C$7,IF(J417="",0,J417))+IF($H418="",0,$H418)-IF($I418="",0,$I418))</f>
        <v/>
      </c>
      <c r="K418" s="29">
        <f>IF($P418="","",IF(INDEX(EntryMan,$P418)=0,"",INDEX(EntryMan,$P418)))</f>
        <v/>
      </c>
      <c r="L418" s="28">
        <f>IF($B418="","",IF($K418="","—",IF(ROUND($K418-$J418,0)=0,"√","×")))</f>
        <v/>
      </c>
      <c r="M418" s="28">
        <f>IF($B418="","",IF(COUNTIFS(EntryDates,$B418,CalcTime,$C418,CalcBank,$C$5,EntryParty,$D418,EntryDep,$H418,EntryWit,$I418)&gt;1,"تکرار",""))</f>
        <v/>
      </c>
      <c r="N418" s="28">
        <f>IF($P418="","",IF(INDEX(EntryNotes,$P418)=0,"",INDEX(EntryNotes,$P418)))</f>
        <v/>
      </c>
      <c r="O418" s="28">
        <f>IF($P418="","",IF(INDEX(EntryTxnID,$P418)=0,"",INDEX(EntryTxnID,$P418)))</f>
        <v/>
      </c>
      <c r="P418" s="28">
        <f>IFERROR(MATCH($C$5&amp;"|"&amp;RIGHT("000000"&amp;402,6),CalcRankKey,0),"")</f>
        <v/>
      </c>
    </row>
    <row r="419">
      <c r="A419" s="26">
        <f>IF($B419="","",403)</f>
        <v/>
      </c>
      <c r="B419" s="26">
        <f>IF($P419="","",IF(INDEX(CalcNormDate,$P419)=0,"",INDEX(CalcNormDate,$P419)))</f>
        <v/>
      </c>
      <c r="C419" s="26">
        <f>IF($P419="","",IF(INDEX(CalcTime,$P419)=0,"",INDEX(CalcTime,$P419)))</f>
        <v/>
      </c>
      <c r="D419" s="26">
        <f>IF($P419="","",IF(INDEX(EntryParty,$P419)=0,"",INDEX(EntryParty,$P419)))</f>
        <v/>
      </c>
      <c r="E419" s="26">
        <f>IF($P419="","",IF(INDEX(EntryPartyName,$P419)=0,"",INDEX(EntryPartyName,$P419)))</f>
        <v/>
      </c>
      <c r="F419" s="26">
        <f>IF($P419="","",IF(INDEX(EntryPartyType,$P419)=0,"",INDEX(EntryPartyType,$P419)))</f>
        <v/>
      </c>
      <c r="G419" s="26">
        <f>IF($P419="","",IF(INDEX(EntryTxnType,$P419)=0,"",INDEX(EntryTxnType,$P419)))</f>
        <v/>
      </c>
      <c r="H419" s="27">
        <f>IF($P419="","",IF(INDEX(EntryDep,$P419)=0,"",INDEX(EntryDep,$P419)))</f>
        <v/>
      </c>
      <c r="I419" s="27">
        <f>IF($P419="","",IF(INDEX(EntryWit,$P419)=0,"",INDEX(EntryWit,$P419)))</f>
        <v/>
      </c>
      <c r="J419" s="27">
        <f>IF($B419="","",IF($A419=1,$C$7,IF(J418="",0,J418))+IF($H419="",0,$H419)-IF($I419="",0,$I419))</f>
        <v/>
      </c>
      <c r="K419" s="27">
        <f>IF($P419="","",IF(INDEX(EntryMan,$P419)=0,"",INDEX(EntryMan,$P419)))</f>
        <v/>
      </c>
      <c r="L419" s="26">
        <f>IF($B419="","",IF($K419="","—",IF(ROUND($K419-$J419,0)=0,"√","×")))</f>
        <v/>
      </c>
      <c r="M419" s="26">
        <f>IF($B419="","",IF(COUNTIFS(EntryDates,$B419,CalcTime,$C419,CalcBank,$C$5,EntryParty,$D419,EntryDep,$H419,EntryWit,$I419)&gt;1,"تکرار",""))</f>
        <v/>
      </c>
      <c r="N419" s="26">
        <f>IF($P419="","",IF(INDEX(EntryNotes,$P419)=0,"",INDEX(EntryNotes,$P419)))</f>
        <v/>
      </c>
      <c r="O419" s="26">
        <f>IF($P419="","",IF(INDEX(EntryTxnID,$P419)=0,"",INDEX(EntryTxnID,$P419)))</f>
        <v/>
      </c>
      <c r="P419" s="26">
        <f>IFERROR(MATCH($C$5&amp;"|"&amp;RIGHT("000000"&amp;403,6),CalcRankKey,0),"")</f>
        <v/>
      </c>
    </row>
    <row r="420">
      <c r="A420" s="28">
        <f>IF($B420="","",404)</f>
        <v/>
      </c>
      <c r="B420" s="28">
        <f>IF($P420="","",IF(INDEX(CalcNormDate,$P420)=0,"",INDEX(CalcNormDate,$P420)))</f>
        <v/>
      </c>
      <c r="C420" s="28">
        <f>IF($P420="","",IF(INDEX(CalcTime,$P420)=0,"",INDEX(CalcTime,$P420)))</f>
        <v/>
      </c>
      <c r="D420" s="28">
        <f>IF($P420="","",IF(INDEX(EntryParty,$P420)=0,"",INDEX(EntryParty,$P420)))</f>
        <v/>
      </c>
      <c r="E420" s="28">
        <f>IF($P420="","",IF(INDEX(EntryPartyName,$P420)=0,"",INDEX(EntryPartyName,$P420)))</f>
        <v/>
      </c>
      <c r="F420" s="28">
        <f>IF($P420="","",IF(INDEX(EntryPartyType,$P420)=0,"",INDEX(EntryPartyType,$P420)))</f>
        <v/>
      </c>
      <c r="G420" s="28">
        <f>IF($P420="","",IF(INDEX(EntryTxnType,$P420)=0,"",INDEX(EntryTxnType,$P420)))</f>
        <v/>
      </c>
      <c r="H420" s="29">
        <f>IF($P420="","",IF(INDEX(EntryDep,$P420)=0,"",INDEX(EntryDep,$P420)))</f>
        <v/>
      </c>
      <c r="I420" s="29">
        <f>IF($P420="","",IF(INDEX(EntryWit,$P420)=0,"",INDEX(EntryWit,$P420)))</f>
        <v/>
      </c>
      <c r="J420" s="29">
        <f>IF($B420="","",IF($A420=1,$C$7,IF(J419="",0,J419))+IF($H420="",0,$H420)-IF($I420="",0,$I420))</f>
        <v/>
      </c>
      <c r="K420" s="29">
        <f>IF($P420="","",IF(INDEX(EntryMan,$P420)=0,"",INDEX(EntryMan,$P420)))</f>
        <v/>
      </c>
      <c r="L420" s="28">
        <f>IF($B420="","",IF($K420="","—",IF(ROUND($K420-$J420,0)=0,"√","×")))</f>
        <v/>
      </c>
      <c r="M420" s="28">
        <f>IF($B420="","",IF(COUNTIFS(EntryDates,$B420,CalcTime,$C420,CalcBank,$C$5,EntryParty,$D420,EntryDep,$H420,EntryWit,$I420)&gt;1,"تکرار",""))</f>
        <v/>
      </c>
      <c r="N420" s="28">
        <f>IF($P420="","",IF(INDEX(EntryNotes,$P420)=0,"",INDEX(EntryNotes,$P420)))</f>
        <v/>
      </c>
      <c r="O420" s="28">
        <f>IF($P420="","",IF(INDEX(EntryTxnID,$P420)=0,"",INDEX(EntryTxnID,$P420)))</f>
        <v/>
      </c>
      <c r="P420" s="28">
        <f>IFERROR(MATCH($C$5&amp;"|"&amp;RIGHT("000000"&amp;404,6),CalcRankKey,0),"")</f>
        <v/>
      </c>
    </row>
    <row r="421">
      <c r="A421" s="26">
        <f>IF($B421="","",405)</f>
        <v/>
      </c>
      <c r="B421" s="26">
        <f>IF($P421="","",IF(INDEX(CalcNormDate,$P421)=0,"",INDEX(CalcNormDate,$P421)))</f>
        <v/>
      </c>
      <c r="C421" s="26">
        <f>IF($P421="","",IF(INDEX(CalcTime,$P421)=0,"",INDEX(CalcTime,$P421)))</f>
        <v/>
      </c>
      <c r="D421" s="26">
        <f>IF($P421="","",IF(INDEX(EntryParty,$P421)=0,"",INDEX(EntryParty,$P421)))</f>
        <v/>
      </c>
      <c r="E421" s="26">
        <f>IF($P421="","",IF(INDEX(EntryPartyName,$P421)=0,"",INDEX(EntryPartyName,$P421)))</f>
        <v/>
      </c>
      <c r="F421" s="26">
        <f>IF($P421="","",IF(INDEX(EntryPartyType,$P421)=0,"",INDEX(EntryPartyType,$P421)))</f>
        <v/>
      </c>
      <c r="G421" s="26">
        <f>IF($P421="","",IF(INDEX(EntryTxnType,$P421)=0,"",INDEX(EntryTxnType,$P421)))</f>
        <v/>
      </c>
      <c r="H421" s="27">
        <f>IF($P421="","",IF(INDEX(EntryDep,$P421)=0,"",INDEX(EntryDep,$P421)))</f>
        <v/>
      </c>
      <c r="I421" s="27">
        <f>IF($P421="","",IF(INDEX(EntryWit,$P421)=0,"",INDEX(EntryWit,$P421)))</f>
        <v/>
      </c>
      <c r="J421" s="27">
        <f>IF($B421="","",IF($A421=1,$C$7,IF(J420="",0,J420))+IF($H421="",0,$H421)-IF($I421="",0,$I421))</f>
        <v/>
      </c>
      <c r="K421" s="27">
        <f>IF($P421="","",IF(INDEX(EntryMan,$P421)=0,"",INDEX(EntryMan,$P421)))</f>
        <v/>
      </c>
      <c r="L421" s="26">
        <f>IF($B421="","",IF($K421="","—",IF(ROUND($K421-$J421,0)=0,"√","×")))</f>
        <v/>
      </c>
      <c r="M421" s="26">
        <f>IF($B421="","",IF(COUNTIFS(EntryDates,$B421,CalcTime,$C421,CalcBank,$C$5,EntryParty,$D421,EntryDep,$H421,EntryWit,$I421)&gt;1,"تکرار",""))</f>
        <v/>
      </c>
      <c r="N421" s="26">
        <f>IF($P421="","",IF(INDEX(EntryNotes,$P421)=0,"",INDEX(EntryNotes,$P421)))</f>
        <v/>
      </c>
      <c r="O421" s="26">
        <f>IF($P421="","",IF(INDEX(EntryTxnID,$P421)=0,"",INDEX(EntryTxnID,$P421)))</f>
        <v/>
      </c>
      <c r="P421" s="26">
        <f>IFERROR(MATCH($C$5&amp;"|"&amp;RIGHT("000000"&amp;405,6),CalcRankKey,0),"")</f>
        <v/>
      </c>
    </row>
    <row r="422">
      <c r="A422" s="28">
        <f>IF($B422="","",406)</f>
        <v/>
      </c>
      <c r="B422" s="28">
        <f>IF($P422="","",IF(INDEX(CalcNormDate,$P422)=0,"",INDEX(CalcNormDate,$P422)))</f>
        <v/>
      </c>
      <c r="C422" s="28">
        <f>IF($P422="","",IF(INDEX(CalcTime,$P422)=0,"",INDEX(CalcTime,$P422)))</f>
        <v/>
      </c>
      <c r="D422" s="28">
        <f>IF($P422="","",IF(INDEX(EntryParty,$P422)=0,"",INDEX(EntryParty,$P422)))</f>
        <v/>
      </c>
      <c r="E422" s="28">
        <f>IF($P422="","",IF(INDEX(EntryPartyName,$P422)=0,"",INDEX(EntryPartyName,$P422)))</f>
        <v/>
      </c>
      <c r="F422" s="28">
        <f>IF($P422="","",IF(INDEX(EntryPartyType,$P422)=0,"",INDEX(EntryPartyType,$P422)))</f>
        <v/>
      </c>
      <c r="G422" s="28">
        <f>IF($P422="","",IF(INDEX(EntryTxnType,$P422)=0,"",INDEX(EntryTxnType,$P422)))</f>
        <v/>
      </c>
      <c r="H422" s="29">
        <f>IF($P422="","",IF(INDEX(EntryDep,$P422)=0,"",INDEX(EntryDep,$P422)))</f>
        <v/>
      </c>
      <c r="I422" s="29">
        <f>IF($P422="","",IF(INDEX(EntryWit,$P422)=0,"",INDEX(EntryWit,$P422)))</f>
        <v/>
      </c>
      <c r="J422" s="29">
        <f>IF($B422="","",IF($A422=1,$C$7,IF(J421="",0,J421))+IF($H422="",0,$H422)-IF($I422="",0,$I422))</f>
        <v/>
      </c>
      <c r="K422" s="29">
        <f>IF($P422="","",IF(INDEX(EntryMan,$P422)=0,"",INDEX(EntryMan,$P422)))</f>
        <v/>
      </c>
      <c r="L422" s="28">
        <f>IF($B422="","",IF($K422="","—",IF(ROUND($K422-$J422,0)=0,"√","×")))</f>
        <v/>
      </c>
      <c r="M422" s="28">
        <f>IF($B422="","",IF(COUNTIFS(EntryDates,$B422,CalcTime,$C422,CalcBank,$C$5,EntryParty,$D422,EntryDep,$H422,EntryWit,$I422)&gt;1,"تکرار",""))</f>
        <v/>
      </c>
      <c r="N422" s="28">
        <f>IF($P422="","",IF(INDEX(EntryNotes,$P422)=0,"",INDEX(EntryNotes,$P422)))</f>
        <v/>
      </c>
      <c r="O422" s="28">
        <f>IF($P422="","",IF(INDEX(EntryTxnID,$P422)=0,"",INDEX(EntryTxnID,$P422)))</f>
        <v/>
      </c>
      <c r="P422" s="28">
        <f>IFERROR(MATCH($C$5&amp;"|"&amp;RIGHT("000000"&amp;406,6),CalcRankKey,0),"")</f>
        <v/>
      </c>
    </row>
    <row r="423">
      <c r="A423" s="26">
        <f>IF($B423="","",407)</f>
        <v/>
      </c>
      <c r="B423" s="26">
        <f>IF($P423="","",IF(INDEX(CalcNormDate,$P423)=0,"",INDEX(CalcNormDate,$P423)))</f>
        <v/>
      </c>
      <c r="C423" s="26">
        <f>IF($P423="","",IF(INDEX(CalcTime,$P423)=0,"",INDEX(CalcTime,$P423)))</f>
        <v/>
      </c>
      <c r="D423" s="26">
        <f>IF($P423="","",IF(INDEX(EntryParty,$P423)=0,"",INDEX(EntryParty,$P423)))</f>
        <v/>
      </c>
      <c r="E423" s="26">
        <f>IF($P423="","",IF(INDEX(EntryPartyName,$P423)=0,"",INDEX(EntryPartyName,$P423)))</f>
        <v/>
      </c>
      <c r="F423" s="26">
        <f>IF($P423="","",IF(INDEX(EntryPartyType,$P423)=0,"",INDEX(EntryPartyType,$P423)))</f>
        <v/>
      </c>
      <c r="G423" s="26">
        <f>IF($P423="","",IF(INDEX(EntryTxnType,$P423)=0,"",INDEX(EntryTxnType,$P423)))</f>
        <v/>
      </c>
      <c r="H423" s="27">
        <f>IF($P423="","",IF(INDEX(EntryDep,$P423)=0,"",INDEX(EntryDep,$P423)))</f>
        <v/>
      </c>
      <c r="I423" s="27">
        <f>IF($P423="","",IF(INDEX(EntryWit,$P423)=0,"",INDEX(EntryWit,$P423)))</f>
        <v/>
      </c>
      <c r="J423" s="27">
        <f>IF($B423="","",IF($A423=1,$C$7,IF(J422="",0,J422))+IF($H423="",0,$H423)-IF($I423="",0,$I423))</f>
        <v/>
      </c>
      <c r="K423" s="27">
        <f>IF($P423="","",IF(INDEX(EntryMan,$P423)=0,"",INDEX(EntryMan,$P423)))</f>
        <v/>
      </c>
      <c r="L423" s="26">
        <f>IF($B423="","",IF($K423="","—",IF(ROUND($K423-$J423,0)=0,"√","×")))</f>
        <v/>
      </c>
      <c r="M423" s="26">
        <f>IF($B423="","",IF(COUNTIFS(EntryDates,$B423,CalcTime,$C423,CalcBank,$C$5,EntryParty,$D423,EntryDep,$H423,EntryWit,$I423)&gt;1,"تکرار",""))</f>
        <v/>
      </c>
      <c r="N423" s="26">
        <f>IF($P423="","",IF(INDEX(EntryNotes,$P423)=0,"",INDEX(EntryNotes,$P423)))</f>
        <v/>
      </c>
      <c r="O423" s="26">
        <f>IF($P423="","",IF(INDEX(EntryTxnID,$P423)=0,"",INDEX(EntryTxnID,$P423)))</f>
        <v/>
      </c>
      <c r="P423" s="26">
        <f>IFERROR(MATCH($C$5&amp;"|"&amp;RIGHT("000000"&amp;407,6),CalcRankKey,0),"")</f>
        <v/>
      </c>
    </row>
    <row r="424">
      <c r="A424" s="28">
        <f>IF($B424="","",408)</f>
        <v/>
      </c>
      <c r="B424" s="28">
        <f>IF($P424="","",IF(INDEX(CalcNormDate,$P424)=0,"",INDEX(CalcNormDate,$P424)))</f>
        <v/>
      </c>
      <c r="C424" s="28">
        <f>IF($P424="","",IF(INDEX(CalcTime,$P424)=0,"",INDEX(CalcTime,$P424)))</f>
        <v/>
      </c>
      <c r="D424" s="28">
        <f>IF($P424="","",IF(INDEX(EntryParty,$P424)=0,"",INDEX(EntryParty,$P424)))</f>
        <v/>
      </c>
      <c r="E424" s="28">
        <f>IF($P424="","",IF(INDEX(EntryPartyName,$P424)=0,"",INDEX(EntryPartyName,$P424)))</f>
        <v/>
      </c>
      <c r="F424" s="28">
        <f>IF($P424="","",IF(INDEX(EntryPartyType,$P424)=0,"",INDEX(EntryPartyType,$P424)))</f>
        <v/>
      </c>
      <c r="G424" s="28">
        <f>IF($P424="","",IF(INDEX(EntryTxnType,$P424)=0,"",INDEX(EntryTxnType,$P424)))</f>
        <v/>
      </c>
      <c r="H424" s="29">
        <f>IF($P424="","",IF(INDEX(EntryDep,$P424)=0,"",INDEX(EntryDep,$P424)))</f>
        <v/>
      </c>
      <c r="I424" s="29">
        <f>IF($P424="","",IF(INDEX(EntryWit,$P424)=0,"",INDEX(EntryWit,$P424)))</f>
        <v/>
      </c>
      <c r="J424" s="29">
        <f>IF($B424="","",IF($A424=1,$C$7,IF(J423="",0,J423))+IF($H424="",0,$H424)-IF($I424="",0,$I424))</f>
        <v/>
      </c>
      <c r="K424" s="29">
        <f>IF($P424="","",IF(INDEX(EntryMan,$P424)=0,"",INDEX(EntryMan,$P424)))</f>
        <v/>
      </c>
      <c r="L424" s="28">
        <f>IF($B424="","",IF($K424="","—",IF(ROUND($K424-$J424,0)=0,"√","×")))</f>
        <v/>
      </c>
      <c r="M424" s="28">
        <f>IF($B424="","",IF(COUNTIFS(EntryDates,$B424,CalcTime,$C424,CalcBank,$C$5,EntryParty,$D424,EntryDep,$H424,EntryWit,$I424)&gt;1,"تکرار",""))</f>
        <v/>
      </c>
      <c r="N424" s="28">
        <f>IF($P424="","",IF(INDEX(EntryNotes,$P424)=0,"",INDEX(EntryNotes,$P424)))</f>
        <v/>
      </c>
      <c r="O424" s="28">
        <f>IF($P424="","",IF(INDEX(EntryTxnID,$P424)=0,"",INDEX(EntryTxnID,$P424)))</f>
        <v/>
      </c>
      <c r="P424" s="28">
        <f>IFERROR(MATCH($C$5&amp;"|"&amp;RIGHT("000000"&amp;408,6),CalcRankKey,0),"")</f>
        <v/>
      </c>
    </row>
    <row r="425">
      <c r="A425" s="26">
        <f>IF($B425="","",409)</f>
        <v/>
      </c>
      <c r="B425" s="26">
        <f>IF($P425="","",IF(INDEX(CalcNormDate,$P425)=0,"",INDEX(CalcNormDate,$P425)))</f>
        <v/>
      </c>
      <c r="C425" s="26">
        <f>IF($P425="","",IF(INDEX(CalcTime,$P425)=0,"",INDEX(CalcTime,$P425)))</f>
        <v/>
      </c>
      <c r="D425" s="26">
        <f>IF($P425="","",IF(INDEX(EntryParty,$P425)=0,"",INDEX(EntryParty,$P425)))</f>
        <v/>
      </c>
      <c r="E425" s="26">
        <f>IF($P425="","",IF(INDEX(EntryPartyName,$P425)=0,"",INDEX(EntryPartyName,$P425)))</f>
        <v/>
      </c>
      <c r="F425" s="26">
        <f>IF($P425="","",IF(INDEX(EntryPartyType,$P425)=0,"",INDEX(EntryPartyType,$P425)))</f>
        <v/>
      </c>
      <c r="G425" s="26">
        <f>IF($P425="","",IF(INDEX(EntryTxnType,$P425)=0,"",INDEX(EntryTxnType,$P425)))</f>
        <v/>
      </c>
      <c r="H425" s="27">
        <f>IF($P425="","",IF(INDEX(EntryDep,$P425)=0,"",INDEX(EntryDep,$P425)))</f>
        <v/>
      </c>
      <c r="I425" s="27">
        <f>IF($P425="","",IF(INDEX(EntryWit,$P425)=0,"",INDEX(EntryWit,$P425)))</f>
        <v/>
      </c>
      <c r="J425" s="27">
        <f>IF($B425="","",IF($A425=1,$C$7,IF(J424="",0,J424))+IF($H425="",0,$H425)-IF($I425="",0,$I425))</f>
        <v/>
      </c>
      <c r="K425" s="27">
        <f>IF($P425="","",IF(INDEX(EntryMan,$P425)=0,"",INDEX(EntryMan,$P425)))</f>
        <v/>
      </c>
      <c r="L425" s="26">
        <f>IF($B425="","",IF($K425="","—",IF(ROUND($K425-$J425,0)=0,"√","×")))</f>
        <v/>
      </c>
      <c r="M425" s="26">
        <f>IF($B425="","",IF(COUNTIFS(EntryDates,$B425,CalcTime,$C425,CalcBank,$C$5,EntryParty,$D425,EntryDep,$H425,EntryWit,$I425)&gt;1,"تکرار",""))</f>
        <v/>
      </c>
      <c r="N425" s="26">
        <f>IF($P425="","",IF(INDEX(EntryNotes,$P425)=0,"",INDEX(EntryNotes,$P425)))</f>
        <v/>
      </c>
      <c r="O425" s="26">
        <f>IF($P425="","",IF(INDEX(EntryTxnID,$P425)=0,"",INDEX(EntryTxnID,$P425)))</f>
        <v/>
      </c>
      <c r="P425" s="26">
        <f>IFERROR(MATCH($C$5&amp;"|"&amp;RIGHT("000000"&amp;409,6),CalcRankKey,0),"")</f>
        <v/>
      </c>
    </row>
    <row r="426">
      <c r="A426" s="28">
        <f>IF($B426="","",410)</f>
        <v/>
      </c>
      <c r="B426" s="28">
        <f>IF($P426="","",IF(INDEX(CalcNormDate,$P426)=0,"",INDEX(CalcNormDate,$P426)))</f>
        <v/>
      </c>
      <c r="C426" s="28">
        <f>IF($P426="","",IF(INDEX(CalcTime,$P426)=0,"",INDEX(CalcTime,$P426)))</f>
        <v/>
      </c>
      <c r="D426" s="28">
        <f>IF($P426="","",IF(INDEX(EntryParty,$P426)=0,"",INDEX(EntryParty,$P426)))</f>
        <v/>
      </c>
      <c r="E426" s="28">
        <f>IF($P426="","",IF(INDEX(EntryPartyName,$P426)=0,"",INDEX(EntryPartyName,$P426)))</f>
        <v/>
      </c>
      <c r="F426" s="28">
        <f>IF($P426="","",IF(INDEX(EntryPartyType,$P426)=0,"",INDEX(EntryPartyType,$P426)))</f>
        <v/>
      </c>
      <c r="G426" s="28">
        <f>IF($P426="","",IF(INDEX(EntryTxnType,$P426)=0,"",INDEX(EntryTxnType,$P426)))</f>
        <v/>
      </c>
      <c r="H426" s="29">
        <f>IF($P426="","",IF(INDEX(EntryDep,$P426)=0,"",INDEX(EntryDep,$P426)))</f>
        <v/>
      </c>
      <c r="I426" s="29">
        <f>IF($P426="","",IF(INDEX(EntryWit,$P426)=0,"",INDEX(EntryWit,$P426)))</f>
        <v/>
      </c>
      <c r="J426" s="29">
        <f>IF($B426="","",IF($A426=1,$C$7,IF(J425="",0,J425))+IF($H426="",0,$H426)-IF($I426="",0,$I426))</f>
        <v/>
      </c>
      <c r="K426" s="29">
        <f>IF($P426="","",IF(INDEX(EntryMan,$P426)=0,"",INDEX(EntryMan,$P426)))</f>
        <v/>
      </c>
      <c r="L426" s="28">
        <f>IF($B426="","",IF($K426="","—",IF(ROUND($K426-$J426,0)=0,"√","×")))</f>
        <v/>
      </c>
      <c r="M426" s="28">
        <f>IF($B426="","",IF(COUNTIFS(EntryDates,$B426,CalcTime,$C426,CalcBank,$C$5,EntryParty,$D426,EntryDep,$H426,EntryWit,$I426)&gt;1,"تکرار",""))</f>
        <v/>
      </c>
      <c r="N426" s="28">
        <f>IF($P426="","",IF(INDEX(EntryNotes,$P426)=0,"",INDEX(EntryNotes,$P426)))</f>
        <v/>
      </c>
      <c r="O426" s="28">
        <f>IF($P426="","",IF(INDEX(EntryTxnID,$P426)=0,"",INDEX(EntryTxnID,$P426)))</f>
        <v/>
      </c>
      <c r="P426" s="28">
        <f>IFERROR(MATCH($C$5&amp;"|"&amp;RIGHT("000000"&amp;410,6),CalcRankKey,0),"")</f>
        <v/>
      </c>
    </row>
    <row r="427">
      <c r="A427" s="26">
        <f>IF($B427="","",411)</f>
        <v/>
      </c>
      <c r="B427" s="26">
        <f>IF($P427="","",IF(INDEX(CalcNormDate,$P427)=0,"",INDEX(CalcNormDate,$P427)))</f>
        <v/>
      </c>
      <c r="C427" s="26">
        <f>IF($P427="","",IF(INDEX(CalcTime,$P427)=0,"",INDEX(CalcTime,$P427)))</f>
        <v/>
      </c>
      <c r="D427" s="26">
        <f>IF($P427="","",IF(INDEX(EntryParty,$P427)=0,"",INDEX(EntryParty,$P427)))</f>
        <v/>
      </c>
      <c r="E427" s="26">
        <f>IF($P427="","",IF(INDEX(EntryPartyName,$P427)=0,"",INDEX(EntryPartyName,$P427)))</f>
        <v/>
      </c>
      <c r="F427" s="26">
        <f>IF($P427="","",IF(INDEX(EntryPartyType,$P427)=0,"",INDEX(EntryPartyType,$P427)))</f>
        <v/>
      </c>
      <c r="G427" s="26">
        <f>IF($P427="","",IF(INDEX(EntryTxnType,$P427)=0,"",INDEX(EntryTxnType,$P427)))</f>
        <v/>
      </c>
      <c r="H427" s="27">
        <f>IF($P427="","",IF(INDEX(EntryDep,$P427)=0,"",INDEX(EntryDep,$P427)))</f>
        <v/>
      </c>
      <c r="I427" s="27">
        <f>IF($P427="","",IF(INDEX(EntryWit,$P427)=0,"",INDEX(EntryWit,$P427)))</f>
        <v/>
      </c>
      <c r="J427" s="27">
        <f>IF($B427="","",IF($A427=1,$C$7,IF(J426="",0,J426))+IF($H427="",0,$H427)-IF($I427="",0,$I427))</f>
        <v/>
      </c>
      <c r="K427" s="27">
        <f>IF($P427="","",IF(INDEX(EntryMan,$P427)=0,"",INDEX(EntryMan,$P427)))</f>
        <v/>
      </c>
      <c r="L427" s="26">
        <f>IF($B427="","",IF($K427="","—",IF(ROUND($K427-$J427,0)=0,"√","×")))</f>
        <v/>
      </c>
      <c r="M427" s="26">
        <f>IF($B427="","",IF(COUNTIFS(EntryDates,$B427,CalcTime,$C427,CalcBank,$C$5,EntryParty,$D427,EntryDep,$H427,EntryWit,$I427)&gt;1,"تکرار",""))</f>
        <v/>
      </c>
      <c r="N427" s="26">
        <f>IF($P427="","",IF(INDEX(EntryNotes,$P427)=0,"",INDEX(EntryNotes,$P427)))</f>
        <v/>
      </c>
      <c r="O427" s="26">
        <f>IF($P427="","",IF(INDEX(EntryTxnID,$P427)=0,"",INDEX(EntryTxnID,$P427)))</f>
        <v/>
      </c>
      <c r="P427" s="26">
        <f>IFERROR(MATCH($C$5&amp;"|"&amp;RIGHT("000000"&amp;411,6),CalcRankKey,0),"")</f>
        <v/>
      </c>
    </row>
    <row r="428">
      <c r="A428" s="28">
        <f>IF($B428="","",412)</f>
        <v/>
      </c>
      <c r="B428" s="28">
        <f>IF($P428="","",IF(INDEX(CalcNormDate,$P428)=0,"",INDEX(CalcNormDate,$P428)))</f>
        <v/>
      </c>
      <c r="C428" s="28">
        <f>IF($P428="","",IF(INDEX(CalcTime,$P428)=0,"",INDEX(CalcTime,$P428)))</f>
        <v/>
      </c>
      <c r="D428" s="28">
        <f>IF($P428="","",IF(INDEX(EntryParty,$P428)=0,"",INDEX(EntryParty,$P428)))</f>
        <v/>
      </c>
      <c r="E428" s="28">
        <f>IF($P428="","",IF(INDEX(EntryPartyName,$P428)=0,"",INDEX(EntryPartyName,$P428)))</f>
        <v/>
      </c>
      <c r="F428" s="28">
        <f>IF($P428="","",IF(INDEX(EntryPartyType,$P428)=0,"",INDEX(EntryPartyType,$P428)))</f>
        <v/>
      </c>
      <c r="G428" s="28">
        <f>IF($P428="","",IF(INDEX(EntryTxnType,$P428)=0,"",INDEX(EntryTxnType,$P428)))</f>
        <v/>
      </c>
      <c r="H428" s="29">
        <f>IF($P428="","",IF(INDEX(EntryDep,$P428)=0,"",INDEX(EntryDep,$P428)))</f>
        <v/>
      </c>
      <c r="I428" s="29">
        <f>IF($P428="","",IF(INDEX(EntryWit,$P428)=0,"",INDEX(EntryWit,$P428)))</f>
        <v/>
      </c>
      <c r="J428" s="29">
        <f>IF($B428="","",IF($A428=1,$C$7,IF(J427="",0,J427))+IF($H428="",0,$H428)-IF($I428="",0,$I428))</f>
        <v/>
      </c>
      <c r="K428" s="29">
        <f>IF($P428="","",IF(INDEX(EntryMan,$P428)=0,"",INDEX(EntryMan,$P428)))</f>
        <v/>
      </c>
      <c r="L428" s="28">
        <f>IF($B428="","",IF($K428="","—",IF(ROUND($K428-$J428,0)=0,"√","×")))</f>
        <v/>
      </c>
      <c r="M428" s="28">
        <f>IF($B428="","",IF(COUNTIFS(EntryDates,$B428,CalcTime,$C428,CalcBank,$C$5,EntryParty,$D428,EntryDep,$H428,EntryWit,$I428)&gt;1,"تکرار",""))</f>
        <v/>
      </c>
      <c r="N428" s="28">
        <f>IF($P428="","",IF(INDEX(EntryNotes,$P428)=0,"",INDEX(EntryNotes,$P428)))</f>
        <v/>
      </c>
      <c r="O428" s="28">
        <f>IF($P428="","",IF(INDEX(EntryTxnID,$P428)=0,"",INDEX(EntryTxnID,$P428)))</f>
        <v/>
      </c>
      <c r="P428" s="28">
        <f>IFERROR(MATCH($C$5&amp;"|"&amp;RIGHT("000000"&amp;412,6),CalcRankKey,0),"")</f>
        <v/>
      </c>
    </row>
    <row r="429">
      <c r="A429" s="26">
        <f>IF($B429="","",413)</f>
        <v/>
      </c>
      <c r="B429" s="26">
        <f>IF($P429="","",IF(INDEX(CalcNormDate,$P429)=0,"",INDEX(CalcNormDate,$P429)))</f>
        <v/>
      </c>
      <c r="C429" s="26">
        <f>IF($P429="","",IF(INDEX(CalcTime,$P429)=0,"",INDEX(CalcTime,$P429)))</f>
        <v/>
      </c>
      <c r="D429" s="26">
        <f>IF($P429="","",IF(INDEX(EntryParty,$P429)=0,"",INDEX(EntryParty,$P429)))</f>
        <v/>
      </c>
      <c r="E429" s="26">
        <f>IF($P429="","",IF(INDEX(EntryPartyName,$P429)=0,"",INDEX(EntryPartyName,$P429)))</f>
        <v/>
      </c>
      <c r="F429" s="26">
        <f>IF($P429="","",IF(INDEX(EntryPartyType,$P429)=0,"",INDEX(EntryPartyType,$P429)))</f>
        <v/>
      </c>
      <c r="G429" s="26">
        <f>IF($P429="","",IF(INDEX(EntryTxnType,$P429)=0,"",INDEX(EntryTxnType,$P429)))</f>
        <v/>
      </c>
      <c r="H429" s="27">
        <f>IF($P429="","",IF(INDEX(EntryDep,$P429)=0,"",INDEX(EntryDep,$P429)))</f>
        <v/>
      </c>
      <c r="I429" s="27">
        <f>IF($P429="","",IF(INDEX(EntryWit,$P429)=0,"",INDEX(EntryWit,$P429)))</f>
        <v/>
      </c>
      <c r="J429" s="27">
        <f>IF($B429="","",IF($A429=1,$C$7,IF(J428="",0,J428))+IF($H429="",0,$H429)-IF($I429="",0,$I429))</f>
        <v/>
      </c>
      <c r="K429" s="27">
        <f>IF($P429="","",IF(INDEX(EntryMan,$P429)=0,"",INDEX(EntryMan,$P429)))</f>
        <v/>
      </c>
      <c r="L429" s="26">
        <f>IF($B429="","",IF($K429="","—",IF(ROUND($K429-$J429,0)=0,"√","×")))</f>
        <v/>
      </c>
      <c r="M429" s="26">
        <f>IF($B429="","",IF(COUNTIFS(EntryDates,$B429,CalcTime,$C429,CalcBank,$C$5,EntryParty,$D429,EntryDep,$H429,EntryWit,$I429)&gt;1,"تکرار",""))</f>
        <v/>
      </c>
      <c r="N429" s="26">
        <f>IF($P429="","",IF(INDEX(EntryNotes,$P429)=0,"",INDEX(EntryNotes,$P429)))</f>
        <v/>
      </c>
      <c r="O429" s="26">
        <f>IF($P429="","",IF(INDEX(EntryTxnID,$P429)=0,"",INDEX(EntryTxnID,$P429)))</f>
        <v/>
      </c>
      <c r="P429" s="26">
        <f>IFERROR(MATCH($C$5&amp;"|"&amp;RIGHT("000000"&amp;413,6),CalcRankKey,0),"")</f>
        <v/>
      </c>
    </row>
    <row r="430">
      <c r="A430" s="28">
        <f>IF($B430="","",414)</f>
        <v/>
      </c>
      <c r="B430" s="28">
        <f>IF($P430="","",IF(INDEX(CalcNormDate,$P430)=0,"",INDEX(CalcNormDate,$P430)))</f>
        <v/>
      </c>
      <c r="C430" s="28">
        <f>IF($P430="","",IF(INDEX(CalcTime,$P430)=0,"",INDEX(CalcTime,$P430)))</f>
        <v/>
      </c>
      <c r="D430" s="28">
        <f>IF($P430="","",IF(INDEX(EntryParty,$P430)=0,"",INDEX(EntryParty,$P430)))</f>
        <v/>
      </c>
      <c r="E430" s="28">
        <f>IF($P430="","",IF(INDEX(EntryPartyName,$P430)=0,"",INDEX(EntryPartyName,$P430)))</f>
        <v/>
      </c>
      <c r="F430" s="28">
        <f>IF($P430="","",IF(INDEX(EntryPartyType,$P430)=0,"",INDEX(EntryPartyType,$P430)))</f>
        <v/>
      </c>
      <c r="G430" s="28">
        <f>IF($P430="","",IF(INDEX(EntryTxnType,$P430)=0,"",INDEX(EntryTxnType,$P430)))</f>
        <v/>
      </c>
      <c r="H430" s="29">
        <f>IF($P430="","",IF(INDEX(EntryDep,$P430)=0,"",INDEX(EntryDep,$P430)))</f>
        <v/>
      </c>
      <c r="I430" s="29">
        <f>IF($P430="","",IF(INDEX(EntryWit,$P430)=0,"",INDEX(EntryWit,$P430)))</f>
        <v/>
      </c>
      <c r="J430" s="29">
        <f>IF($B430="","",IF($A430=1,$C$7,IF(J429="",0,J429))+IF($H430="",0,$H430)-IF($I430="",0,$I430))</f>
        <v/>
      </c>
      <c r="K430" s="29">
        <f>IF($P430="","",IF(INDEX(EntryMan,$P430)=0,"",INDEX(EntryMan,$P430)))</f>
        <v/>
      </c>
      <c r="L430" s="28">
        <f>IF($B430="","",IF($K430="","—",IF(ROUND($K430-$J430,0)=0,"√","×")))</f>
        <v/>
      </c>
      <c r="M430" s="28">
        <f>IF($B430="","",IF(COUNTIFS(EntryDates,$B430,CalcTime,$C430,CalcBank,$C$5,EntryParty,$D430,EntryDep,$H430,EntryWit,$I430)&gt;1,"تکرار",""))</f>
        <v/>
      </c>
      <c r="N430" s="28">
        <f>IF($P430="","",IF(INDEX(EntryNotes,$P430)=0,"",INDEX(EntryNotes,$P430)))</f>
        <v/>
      </c>
      <c r="O430" s="28">
        <f>IF($P430="","",IF(INDEX(EntryTxnID,$P430)=0,"",INDEX(EntryTxnID,$P430)))</f>
        <v/>
      </c>
      <c r="P430" s="28">
        <f>IFERROR(MATCH($C$5&amp;"|"&amp;RIGHT("000000"&amp;414,6),CalcRankKey,0),"")</f>
        <v/>
      </c>
    </row>
    <row r="431">
      <c r="A431" s="26">
        <f>IF($B431="","",415)</f>
        <v/>
      </c>
      <c r="B431" s="26">
        <f>IF($P431="","",IF(INDEX(CalcNormDate,$P431)=0,"",INDEX(CalcNormDate,$P431)))</f>
        <v/>
      </c>
      <c r="C431" s="26">
        <f>IF($P431="","",IF(INDEX(CalcTime,$P431)=0,"",INDEX(CalcTime,$P431)))</f>
        <v/>
      </c>
      <c r="D431" s="26">
        <f>IF($P431="","",IF(INDEX(EntryParty,$P431)=0,"",INDEX(EntryParty,$P431)))</f>
        <v/>
      </c>
      <c r="E431" s="26">
        <f>IF($P431="","",IF(INDEX(EntryPartyName,$P431)=0,"",INDEX(EntryPartyName,$P431)))</f>
        <v/>
      </c>
      <c r="F431" s="26">
        <f>IF($P431="","",IF(INDEX(EntryPartyType,$P431)=0,"",INDEX(EntryPartyType,$P431)))</f>
        <v/>
      </c>
      <c r="G431" s="26">
        <f>IF($P431="","",IF(INDEX(EntryTxnType,$P431)=0,"",INDEX(EntryTxnType,$P431)))</f>
        <v/>
      </c>
      <c r="H431" s="27">
        <f>IF($P431="","",IF(INDEX(EntryDep,$P431)=0,"",INDEX(EntryDep,$P431)))</f>
        <v/>
      </c>
      <c r="I431" s="27">
        <f>IF($P431="","",IF(INDEX(EntryWit,$P431)=0,"",INDEX(EntryWit,$P431)))</f>
        <v/>
      </c>
      <c r="J431" s="27">
        <f>IF($B431="","",IF($A431=1,$C$7,IF(J430="",0,J430))+IF($H431="",0,$H431)-IF($I431="",0,$I431))</f>
        <v/>
      </c>
      <c r="K431" s="27">
        <f>IF($P431="","",IF(INDEX(EntryMan,$P431)=0,"",INDEX(EntryMan,$P431)))</f>
        <v/>
      </c>
      <c r="L431" s="26">
        <f>IF($B431="","",IF($K431="","—",IF(ROUND($K431-$J431,0)=0,"√","×")))</f>
        <v/>
      </c>
      <c r="M431" s="26">
        <f>IF($B431="","",IF(COUNTIFS(EntryDates,$B431,CalcTime,$C431,CalcBank,$C$5,EntryParty,$D431,EntryDep,$H431,EntryWit,$I431)&gt;1,"تکرار",""))</f>
        <v/>
      </c>
      <c r="N431" s="26">
        <f>IF($P431="","",IF(INDEX(EntryNotes,$P431)=0,"",INDEX(EntryNotes,$P431)))</f>
        <v/>
      </c>
      <c r="O431" s="26">
        <f>IF($P431="","",IF(INDEX(EntryTxnID,$P431)=0,"",INDEX(EntryTxnID,$P431)))</f>
        <v/>
      </c>
      <c r="P431" s="26">
        <f>IFERROR(MATCH($C$5&amp;"|"&amp;RIGHT("000000"&amp;415,6),CalcRankKey,0),"")</f>
        <v/>
      </c>
    </row>
    <row r="432">
      <c r="A432" s="28">
        <f>IF($B432="","",416)</f>
        <v/>
      </c>
      <c r="B432" s="28">
        <f>IF($P432="","",IF(INDEX(CalcNormDate,$P432)=0,"",INDEX(CalcNormDate,$P432)))</f>
        <v/>
      </c>
      <c r="C432" s="28">
        <f>IF($P432="","",IF(INDEX(CalcTime,$P432)=0,"",INDEX(CalcTime,$P432)))</f>
        <v/>
      </c>
      <c r="D432" s="28">
        <f>IF($P432="","",IF(INDEX(EntryParty,$P432)=0,"",INDEX(EntryParty,$P432)))</f>
        <v/>
      </c>
      <c r="E432" s="28">
        <f>IF($P432="","",IF(INDEX(EntryPartyName,$P432)=0,"",INDEX(EntryPartyName,$P432)))</f>
        <v/>
      </c>
      <c r="F432" s="28">
        <f>IF($P432="","",IF(INDEX(EntryPartyType,$P432)=0,"",INDEX(EntryPartyType,$P432)))</f>
        <v/>
      </c>
      <c r="G432" s="28">
        <f>IF($P432="","",IF(INDEX(EntryTxnType,$P432)=0,"",INDEX(EntryTxnType,$P432)))</f>
        <v/>
      </c>
      <c r="H432" s="29">
        <f>IF($P432="","",IF(INDEX(EntryDep,$P432)=0,"",INDEX(EntryDep,$P432)))</f>
        <v/>
      </c>
      <c r="I432" s="29">
        <f>IF($P432="","",IF(INDEX(EntryWit,$P432)=0,"",INDEX(EntryWit,$P432)))</f>
        <v/>
      </c>
      <c r="J432" s="29">
        <f>IF($B432="","",IF($A432=1,$C$7,IF(J431="",0,J431))+IF($H432="",0,$H432)-IF($I432="",0,$I432))</f>
        <v/>
      </c>
      <c r="K432" s="29">
        <f>IF($P432="","",IF(INDEX(EntryMan,$P432)=0,"",INDEX(EntryMan,$P432)))</f>
        <v/>
      </c>
      <c r="L432" s="28">
        <f>IF($B432="","",IF($K432="","—",IF(ROUND($K432-$J432,0)=0,"√","×")))</f>
        <v/>
      </c>
      <c r="M432" s="28">
        <f>IF($B432="","",IF(COUNTIFS(EntryDates,$B432,CalcTime,$C432,CalcBank,$C$5,EntryParty,$D432,EntryDep,$H432,EntryWit,$I432)&gt;1,"تکرار",""))</f>
        <v/>
      </c>
      <c r="N432" s="28">
        <f>IF($P432="","",IF(INDEX(EntryNotes,$P432)=0,"",INDEX(EntryNotes,$P432)))</f>
        <v/>
      </c>
      <c r="O432" s="28">
        <f>IF($P432="","",IF(INDEX(EntryTxnID,$P432)=0,"",INDEX(EntryTxnID,$P432)))</f>
        <v/>
      </c>
      <c r="P432" s="28">
        <f>IFERROR(MATCH($C$5&amp;"|"&amp;RIGHT("000000"&amp;416,6),CalcRankKey,0),"")</f>
        <v/>
      </c>
    </row>
    <row r="433">
      <c r="A433" s="26">
        <f>IF($B433="","",417)</f>
        <v/>
      </c>
      <c r="B433" s="26">
        <f>IF($P433="","",IF(INDEX(CalcNormDate,$P433)=0,"",INDEX(CalcNormDate,$P433)))</f>
        <v/>
      </c>
      <c r="C433" s="26">
        <f>IF($P433="","",IF(INDEX(CalcTime,$P433)=0,"",INDEX(CalcTime,$P433)))</f>
        <v/>
      </c>
      <c r="D433" s="26">
        <f>IF($P433="","",IF(INDEX(EntryParty,$P433)=0,"",INDEX(EntryParty,$P433)))</f>
        <v/>
      </c>
      <c r="E433" s="26">
        <f>IF($P433="","",IF(INDEX(EntryPartyName,$P433)=0,"",INDEX(EntryPartyName,$P433)))</f>
        <v/>
      </c>
      <c r="F433" s="26">
        <f>IF($P433="","",IF(INDEX(EntryPartyType,$P433)=0,"",INDEX(EntryPartyType,$P433)))</f>
        <v/>
      </c>
      <c r="G433" s="26">
        <f>IF($P433="","",IF(INDEX(EntryTxnType,$P433)=0,"",INDEX(EntryTxnType,$P433)))</f>
        <v/>
      </c>
      <c r="H433" s="27">
        <f>IF($P433="","",IF(INDEX(EntryDep,$P433)=0,"",INDEX(EntryDep,$P433)))</f>
        <v/>
      </c>
      <c r="I433" s="27">
        <f>IF($P433="","",IF(INDEX(EntryWit,$P433)=0,"",INDEX(EntryWit,$P433)))</f>
        <v/>
      </c>
      <c r="J433" s="27">
        <f>IF($B433="","",IF($A433=1,$C$7,IF(J432="",0,J432))+IF($H433="",0,$H433)-IF($I433="",0,$I433))</f>
        <v/>
      </c>
      <c r="K433" s="27">
        <f>IF($P433="","",IF(INDEX(EntryMan,$P433)=0,"",INDEX(EntryMan,$P433)))</f>
        <v/>
      </c>
      <c r="L433" s="26">
        <f>IF($B433="","",IF($K433="","—",IF(ROUND($K433-$J433,0)=0,"√","×")))</f>
        <v/>
      </c>
      <c r="M433" s="26">
        <f>IF($B433="","",IF(COUNTIFS(EntryDates,$B433,CalcTime,$C433,CalcBank,$C$5,EntryParty,$D433,EntryDep,$H433,EntryWit,$I433)&gt;1,"تکرار",""))</f>
        <v/>
      </c>
      <c r="N433" s="26">
        <f>IF($P433="","",IF(INDEX(EntryNotes,$P433)=0,"",INDEX(EntryNotes,$P433)))</f>
        <v/>
      </c>
      <c r="O433" s="26">
        <f>IF($P433="","",IF(INDEX(EntryTxnID,$P433)=0,"",INDEX(EntryTxnID,$P433)))</f>
        <v/>
      </c>
      <c r="P433" s="26">
        <f>IFERROR(MATCH($C$5&amp;"|"&amp;RIGHT("000000"&amp;417,6),CalcRankKey,0),"")</f>
        <v/>
      </c>
    </row>
    <row r="434">
      <c r="A434" s="28">
        <f>IF($B434="","",418)</f>
        <v/>
      </c>
      <c r="B434" s="28">
        <f>IF($P434="","",IF(INDEX(CalcNormDate,$P434)=0,"",INDEX(CalcNormDate,$P434)))</f>
        <v/>
      </c>
      <c r="C434" s="28">
        <f>IF($P434="","",IF(INDEX(CalcTime,$P434)=0,"",INDEX(CalcTime,$P434)))</f>
        <v/>
      </c>
      <c r="D434" s="28">
        <f>IF($P434="","",IF(INDEX(EntryParty,$P434)=0,"",INDEX(EntryParty,$P434)))</f>
        <v/>
      </c>
      <c r="E434" s="28">
        <f>IF($P434="","",IF(INDEX(EntryPartyName,$P434)=0,"",INDEX(EntryPartyName,$P434)))</f>
        <v/>
      </c>
      <c r="F434" s="28">
        <f>IF($P434="","",IF(INDEX(EntryPartyType,$P434)=0,"",INDEX(EntryPartyType,$P434)))</f>
        <v/>
      </c>
      <c r="G434" s="28">
        <f>IF($P434="","",IF(INDEX(EntryTxnType,$P434)=0,"",INDEX(EntryTxnType,$P434)))</f>
        <v/>
      </c>
      <c r="H434" s="29">
        <f>IF($P434="","",IF(INDEX(EntryDep,$P434)=0,"",INDEX(EntryDep,$P434)))</f>
        <v/>
      </c>
      <c r="I434" s="29">
        <f>IF($P434="","",IF(INDEX(EntryWit,$P434)=0,"",INDEX(EntryWit,$P434)))</f>
        <v/>
      </c>
      <c r="J434" s="29">
        <f>IF($B434="","",IF($A434=1,$C$7,IF(J433="",0,J433))+IF($H434="",0,$H434)-IF($I434="",0,$I434))</f>
        <v/>
      </c>
      <c r="K434" s="29">
        <f>IF($P434="","",IF(INDEX(EntryMan,$P434)=0,"",INDEX(EntryMan,$P434)))</f>
        <v/>
      </c>
      <c r="L434" s="28">
        <f>IF($B434="","",IF($K434="","—",IF(ROUND($K434-$J434,0)=0,"√","×")))</f>
        <v/>
      </c>
      <c r="M434" s="28">
        <f>IF($B434="","",IF(COUNTIFS(EntryDates,$B434,CalcTime,$C434,CalcBank,$C$5,EntryParty,$D434,EntryDep,$H434,EntryWit,$I434)&gt;1,"تکرار",""))</f>
        <v/>
      </c>
      <c r="N434" s="28">
        <f>IF($P434="","",IF(INDEX(EntryNotes,$P434)=0,"",INDEX(EntryNotes,$P434)))</f>
        <v/>
      </c>
      <c r="O434" s="28">
        <f>IF($P434="","",IF(INDEX(EntryTxnID,$P434)=0,"",INDEX(EntryTxnID,$P434)))</f>
        <v/>
      </c>
      <c r="P434" s="28">
        <f>IFERROR(MATCH($C$5&amp;"|"&amp;RIGHT("000000"&amp;418,6),CalcRankKey,0),"")</f>
        <v/>
      </c>
    </row>
    <row r="435">
      <c r="A435" s="26">
        <f>IF($B435="","",419)</f>
        <v/>
      </c>
      <c r="B435" s="26">
        <f>IF($P435="","",IF(INDEX(CalcNormDate,$P435)=0,"",INDEX(CalcNormDate,$P435)))</f>
        <v/>
      </c>
      <c r="C435" s="26">
        <f>IF($P435="","",IF(INDEX(CalcTime,$P435)=0,"",INDEX(CalcTime,$P435)))</f>
        <v/>
      </c>
      <c r="D435" s="26">
        <f>IF($P435="","",IF(INDEX(EntryParty,$P435)=0,"",INDEX(EntryParty,$P435)))</f>
        <v/>
      </c>
      <c r="E435" s="26">
        <f>IF($P435="","",IF(INDEX(EntryPartyName,$P435)=0,"",INDEX(EntryPartyName,$P435)))</f>
        <v/>
      </c>
      <c r="F435" s="26">
        <f>IF($P435="","",IF(INDEX(EntryPartyType,$P435)=0,"",INDEX(EntryPartyType,$P435)))</f>
        <v/>
      </c>
      <c r="G435" s="26">
        <f>IF($P435="","",IF(INDEX(EntryTxnType,$P435)=0,"",INDEX(EntryTxnType,$P435)))</f>
        <v/>
      </c>
      <c r="H435" s="27">
        <f>IF($P435="","",IF(INDEX(EntryDep,$P435)=0,"",INDEX(EntryDep,$P435)))</f>
        <v/>
      </c>
      <c r="I435" s="27">
        <f>IF($P435="","",IF(INDEX(EntryWit,$P435)=0,"",INDEX(EntryWit,$P435)))</f>
        <v/>
      </c>
      <c r="J435" s="27">
        <f>IF($B435="","",IF($A435=1,$C$7,IF(J434="",0,J434))+IF($H435="",0,$H435)-IF($I435="",0,$I435))</f>
        <v/>
      </c>
      <c r="K435" s="27">
        <f>IF($P435="","",IF(INDEX(EntryMan,$P435)=0,"",INDEX(EntryMan,$P435)))</f>
        <v/>
      </c>
      <c r="L435" s="26">
        <f>IF($B435="","",IF($K435="","—",IF(ROUND($K435-$J435,0)=0,"√","×")))</f>
        <v/>
      </c>
      <c r="M435" s="26">
        <f>IF($B435="","",IF(COUNTIFS(EntryDates,$B435,CalcTime,$C435,CalcBank,$C$5,EntryParty,$D435,EntryDep,$H435,EntryWit,$I435)&gt;1,"تکرار",""))</f>
        <v/>
      </c>
      <c r="N435" s="26">
        <f>IF($P435="","",IF(INDEX(EntryNotes,$P435)=0,"",INDEX(EntryNotes,$P435)))</f>
        <v/>
      </c>
      <c r="O435" s="26">
        <f>IF($P435="","",IF(INDEX(EntryTxnID,$P435)=0,"",INDEX(EntryTxnID,$P435)))</f>
        <v/>
      </c>
      <c r="P435" s="26">
        <f>IFERROR(MATCH($C$5&amp;"|"&amp;RIGHT("000000"&amp;419,6),CalcRankKey,0),"")</f>
        <v/>
      </c>
    </row>
    <row r="436">
      <c r="A436" s="28">
        <f>IF($B436="","",420)</f>
        <v/>
      </c>
      <c r="B436" s="28">
        <f>IF($P436="","",IF(INDEX(CalcNormDate,$P436)=0,"",INDEX(CalcNormDate,$P436)))</f>
        <v/>
      </c>
      <c r="C436" s="28">
        <f>IF($P436="","",IF(INDEX(CalcTime,$P436)=0,"",INDEX(CalcTime,$P436)))</f>
        <v/>
      </c>
      <c r="D436" s="28">
        <f>IF($P436="","",IF(INDEX(EntryParty,$P436)=0,"",INDEX(EntryParty,$P436)))</f>
        <v/>
      </c>
      <c r="E436" s="28">
        <f>IF($P436="","",IF(INDEX(EntryPartyName,$P436)=0,"",INDEX(EntryPartyName,$P436)))</f>
        <v/>
      </c>
      <c r="F436" s="28">
        <f>IF($P436="","",IF(INDEX(EntryPartyType,$P436)=0,"",INDEX(EntryPartyType,$P436)))</f>
        <v/>
      </c>
      <c r="G436" s="28">
        <f>IF($P436="","",IF(INDEX(EntryTxnType,$P436)=0,"",INDEX(EntryTxnType,$P436)))</f>
        <v/>
      </c>
      <c r="H436" s="29">
        <f>IF($P436="","",IF(INDEX(EntryDep,$P436)=0,"",INDEX(EntryDep,$P436)))</f>
        <v/>
      </c>
      <c r="I436" s="29">
        <f>IF($P436="","",IF(INDEX(EntryWit,$P436)=0,"",INDEX(EntryWit,$P436)))</f>
        <v/>
      </c>
      <c r="J436" s="29">
        <f>IF($B436="","",IF($A436=1,$C$7,IF(J435="",0,J435))+IF($H436="",0,$H436)-IF($I436="",0,$I436))</f>
        <v/>
      </c>
      <c r="K436" s="29">
        <f>IF($P436="","",IF(INDEX(EntryMan,$P436)=0,"",INDEX(EntryMan,$P436)))</f>
        <v/>
      </c>
      <c r="L436" s="28">
        <f>IF($B436="","",IF($K436="","—",IF(ROUND($K436-$J436,0)=0,"√","×")))</f>
        <v/>
      </c>
      <c r="M436" s="28">
        <f>IF($B436="","",IF(COUNTIFS(EntryDates,$B436,CalcTime,$C436,CalcBank,$C$5,EntryParty,$D436,EntryDep,$H436,EntryWit,$I436)&gt;1,"تکرار",""))</f>
        <v/>
      </c>
      <c r="N436" s="28">
        <f>IF($P436="","",IF(INDEX(EntryNotes,$P436)=0,"",INDEX(EntryNotes,$P436)))</f>
        <v/>
      </c>
      <c r="O436" s="28">
        <f>IF($P436="","",IF(INDEX(EntryTxnID,$P436)=0,"",INDEX(EntryTxnID,$P436)))</f>
        <v/>
      </c>
      <c r="P436" s="28">
        <f>IFERROR(MATCH($C$5&amp;"|"&amp;RIGHT("000000"&amp;420,6),CalcRankKey,0),"")</f>
        <v/>
      </c>
    </row>
    <row r="437">
      <c r="A437" s="26">
        <f>IF($B437="","",421)</f>
        <v/>
      </c>
      <c r="B437" s="26">
        <f>IF($P437="","",IF(INDEX(CalcNormDate,$P437)=0,"",INDEX(CalcNormDate,$P437)))</f>
        <v/>
      </c>
      <c r="C437" s="26">
        <f>IF($P437="","",IF(INDEX(CalcTime,$P437)=0,"",INDEX(CalcTime,$P437)))</f>
        <v/>
      </c>
      <c r="D437" s="26">
        <f>IF($P437="","",IF(INDEX(EntryParty,$P437)=0,"",INDEX(EntryParty,$P437)))</f>
        <v/>
      </c>
      <c r="E437" s="26">
        <f>IF($P437="","",IF(INDEX(EntryPartyName,$P437)=0,"",INDEX(EntryPartyName,$P437)))</f>
        <v/>
      </c>
      <c r="F437" s="26">
        <f>IF($P437="","",IF(INDEX(EntryPartyType,$P437)=0,"",INDEX(EntryPartyType,$P437)))</f>
        <v/>
      </c>
      <c r="G437" s="26">
        <f>IF($P437="","",IF(INDEX(EntryTxnType,$P437)=0,"",INDEX(EntryTxnType,$P437)))</f>
        <v/>
      </c>
      <c r="H437" s="27">
        <f>IF($P437="","",IF(INDEX(EntryDep,$P437)=0,"",INDEX(EntryDep,$P437)))</f>
        <v/>
      </c>
      <c r="I437" s="27">
        <f>IF($P437="","",IF(INDEX(EntryWit,$P437)=0,"",INDEX(EntryWit,$P437)))</f>
        <v/>
      </c>
      <c r="J437" s="27">
        <f>IF($B437="","",IF($A437=1,$C$7,IF(J436="",0,J436))+IF($H437="",0,$H437)-IF($I437="",0,$I437))</f>
        <v/>
      </c>
      <c r="K437" s="27">
        <f>IF($P437="","",IF(INDEX(EntryMan,$P437)=0,"",INDEX(EntryMan,$P437)))</f>
        <v/>
      </c>
      <c r="L437" s="26">
        <f>IF($B437="","",IF($K437="","—",IF(ROUND($K437-$J437,0)=0,"√","×")))</f>
        <v/>
      </c>
      <c r="M437" s="26">
        <f>IF($B437="","",IF(COUNTIFS(EntryDates,$B437,CalcTime,$C437,CalcBank,$C$5,EntryParty,$D437,EntryDep,$H437,EntryWit,$I437)&gt;1,"تکرار",""))</f>
        <v/>
      </c>
      <c r="N437" s="26">
        <f>IF($P437="","",IF(INDEX(EntryNotes,$P437)=0,"",INDEX(EntryNotes,$P437)))</f>
        <v/>
      </c>
      <c r="O437" s="26">
        <f>IF($P437="","",IF(INDEX(EntryTxnID,$P437)=0,"",INDEX(EntryTxnID,$P437)))</f>
        <v/>
      </c>
      <c r="P437" s="26">
        <f>IFERROR(MATCH($C$5&amp;"|"&amp;RIGHT("000000"&amp;421,6),CalcRankKey,0),"")</f>
        <v/>
      </c>
    </row>
    <row r="438">
      <c r="A438" s="28">
        <f>IF($B438="","",422)</f>
        <v/>
      </c>
      <c r="B438" s="28">
        <f>IF($P438="","",IF(INDEX(CalcNormDate,$P438)=0,"",INDEX(CalcNormDate,$P438)))</f>
        <v/>
      </c>
      <c r="C438" s="28">
        <f>IF($P438="","",IF(INDEX(CalcTime,$P438)=0,"",INDEX(CalcTime,$P438)))</f>
        <v/>
      </c>
      <c r="D438" s="28">
        <f>IF($P438="","",IF(INDEX(EntryParty,$P438)=0,"",INDEX(EntryParty,$P438)))</f>
        <v/>
      </c>
      <c r="E438" s="28">
        <f>IF($P438="","",IF(INDEX(EntryPartyName,$P438)=0,"",INDEX(EntryPartyName,$P438)))</f>
        <v/>
      </c>
      <c r="F438" s="28">
        <f>IF($P438="","",IF(INDEX(EntryPartyType,$P438)=0,"",INDEX(EntryPartyType,$P438)))</f>
        <v/>
      </c>
      <c r="G438" s="28">
        <f>IF($P438="","",IF(INDEX(EntryTxnType,$P438)=0,"",INDEX(EntryTxnType,$P438)))</f>
        <v/>
      </c>
      <c r="H438" s="29">
        <f>IF($P438="","",IF(INDEX(EntryDep,$P438)=0,"",INDEX(EntryDep,$P438)))</f>
        <v/>
      </c>
      <c r="I438" s="29">
        <f>IF($P438="","",IF(INDEX(EntryWit,$P438)=0,"",INDEX(EntryWit,$P438)))</f>
        <v/>
      </c>
      <c r="J438" s="29">
        <f>IF($B438="","",IF($A438=1,$C$7,IF(J437="",0,J437))+IF($H438="",0,$H438)-IF($I438="",0,$I438))</f>
        <v/>
      </c>
      <c r="K438" s="29">
        <f>IF($P438="","",IF(INDEX(EntryMan,$P438)=0,"",INDEX(EntryMan,$P438)))</f>
        <v/>
      </c>
      <c r="L438" s="28">
        <f>IF($B438="","",IF($K438="","—",IF(ROUND($K438-$J438,0)=0,"√","×")))</f>
        <v/>
      </c>
      <c r="M438" s="28">
        <f>IF($B438="","",IF(COUNTIFS(EntryDates,$B438,CalcTime,$C438,CalcBank,$C$5,EntryParty,$D438,EntryDep,$H438,EntryWit,$I438)&gt;1,"تکرار",""))</f>
        <v/>
      </c>
      <c r="N438" s="28">
        <f>IF($P438="","",IF(INDEX(EntryNotes,$P438)=0,"",INDEX(EntryNotes,$P438)))</f>
        <v/>
      </c>
      <c r="O438" s="28">
        <f>IF($P438="","",IF(INDEX(EntryTxnID,$P438)=0,"",INDEX(EntryTxnID,$P438)))</f>
        <v/>
      </c>
      <c r="P438" s="28">
        <f>IFERROR(MATCH($C$5&amp;"|"&amp;RIGHT("000000"&amp;422,6),CalcRankKey,0),"")</f>
        <v/>
      </c>
    </row>
    <row r="439">
      <c r="A439" s="26">
        <f>IF($B439="","",423)</f>
        <v/>
      </c>
      <c r="B439" s="26">
        <f>IF($P439="","",IF(INDEX(CalcNormDate,$P439)=0,"",INDEX(CalcNormDate,$P439)))</f>
        <v/>
      </c>
      <c r="C439" s="26">
        <f>IF($P439="","",IF(INDEX(CalcTime,$P439)=0,"",INDEX(CalcTime,$P439)))</f>
        <v/>
      </c>
      <c r="D439" s="26">
        <f>IF($P439="","",IF(INDEX(EntryParty,$P439)=0,"",INDEX(EntryParty,$P439)))</f>
        <v/>
      </c>
      <c r="E439" s="26">
        <f>IF($P439="","",IF(INDEX(EntryPartyName,$P439)=0,"",INDEX(EntryPartyName,$P439)))</f>
        <v/>
      </c>
      <c r="F439" s="26">
        <f>IF($P439="","",IF(INDEX(EntryPartyType,$P439)=0,"",INDEX(EntryPartyType,$P439)))</f>
        <v/>
      </c>
      <c r="G439" s="26">
        <f>IF($P439="","",IF(INDEX(EntryTxnType,$P439)=0,"",INDEX(EntryTxnType,$P439)))</f>
        <v/>
      </c>
      <c r="H439" s="27">
        <f>IF($P439="","",IF(INDEX(EntryDep,$P439)=0,"",INDEX(EntryDep,$P439)))</f>
        <v/>
      </c>
      <c r="I439" s="27">
        <f>IF($P439="","",IF(INDEX(EntryWit,$P439)=0,"",INDEX(EntryWit,$P439)))</f>
        <v/>
      </c>
      <c r="J439" s="27">
        <f>IF($B439="","",IF($A439=1,$C$7,IF(J438="",0,J438))+IF($H439="",0,$H439)-IF($I439="",0,$I439))</f>
        <v/>
      </c>
      <c r="K439" s="27">
        <f>IF($P439="","",IF(INDEX(EntryMan,$P439)=0,"",INDEX(EntryMan,$P439)))</f>
        <v/>
      </c>
      <c r="L439" s="26">
        <f>IF($B439="","",IF($K439="","—",IF(ROUND($K439-$J439,0)=0,"√","×")))</f>
        <v/>
      </c>
      <c r="M439" s="26">
        <f>IF($B439="","",IF(COUNTIFS(EntryDates,$B439,CalcTime,$C439,CalcBank,$C$5,EntryParty,$D439,EntryDep,$H439,EntryWit,$I439)&gt;1,"تکرار",""))</f>
        <v/>
      </c>
      <c r="N439" s="26">
        <f>IF($P439="","",IF(INDEX(EntryNotes,$P439)=0,"",INDEX(EntryNotes,$P439)))</f>
        <v/>
      </c>
      <c r="O439" s="26">
        <f>IF($P439="","",IF(INDEX(EntryTxnID,$P439)=0,"",INDEX(EntryTxnID,$P439)))</f>
        <v/>
      </c>
      <c r="P439" s="26">
        <f>IFERROR(MATCH($C$5&amp;"|"&amp;RIGHT("000000"&amp;423,6),CalcRankKey,0),"")</f>
        <v/>
      </c>
    </row>
    <row r="440">
      <c r="A440" s="28">
        <f>IF($B440="","",424)</f>
        <v/>
      </c>
      <c r="B440" s="28">
        <f>IF($P440="","",IF(INDEX(CalcNormDate,$P440)=0,"",INDEX(CalcNormDate,$P440)))</f>
        <v/>
      </c>
      <c r="C440" s="28">
        <f>IF($P440="","",IF(INDEX(CalcTime,$P440)=0,"",INDEX(CalcTime,$P440)))</f>
        <v/>
      </c>
      <c r="D440" s="28">
        <f>IF($P440="","",IF(INDEX(EntryParty,$P440)=0,"",INDEX(EntryParty,$P440)))</f>
        <v/>
      </c>
      <c r="E440" s="28">
        <f>IF($P440="","",IF(INDEX(EntryPartyName,$P440)=0,"",INDEX(EntryPartyName,$P440)))</f>
        <v/>
      </c>
      <c r="F440" s="28">
        <f>IF($P440="","",IF(INDEX(EntryPartyType,$P440)=0,"",INDEX(EntryPartyType,$P440)))</f>
        <v/>
      </c>
      <c r="G440" s="28">
        <f>IF($P440="","",IF(INDEX(EntryTxnType,$P440)=0,"",INDEX(EntryTxnType,$P440)))</f>
        <v/>
      </c>
      <c r="H440" s="29">
        <f>IF($P440="","",IF(INDEX(EntryDep,$P440)=0,"",INDEX(EntryDep,$P440)))</f>
        <v/>
      </c>
      <c r="I440" s="29">
        <f>IF($P440="","",IF(INDEX(EntryWit,$P440)=0,"",INDEX(EntryWit,$P440)))</f>
        <v/>
      </c>
      <c r="J440" s="29">
        <f>IF($B440="","",IF($A440=1,$C$7,IF(J439="",0,J439))+IF($H440="",0,$H440)-IF($I440="",0,$I440))</f>
        <v/>
      </c>
      <c r="K440" s="29">
        <f>IF($P440="","",IF(INDEX(EntryMan,$P440)=0,"",INDEX(EntryMan,$P440)))</f>
        <v/>
      </c>
      <c r="L440" s="28">
        <f>IF($B440="","",IF($K440="","—",IF(ROUND($K440-$J440,0)=0,"√","×")))</f>
        <v/>
      </c>
      <c r="M440" s="28">
        <f>IF($B440="","",IF(COUNTIFS(EntryDates,$B440,CalcTime,$C440,CalcBank,$C$5,EntryParty,$D440,EntryDep,$H440,EntryWit,$I440)&gt;1,"تکرار",""))</f>
        <v/>
      </c>
      <c r="N440" s="28">
        <f>IF($P440="","",IF(INDEX(EntryNotes,$P440)=0,"",INDEX(EntryNotes,$P440)))</f>
        <v/>
      </c>
      <c r="O440" s="28">
        <f>IF($P440="","",IF(INDEX(EntryTxnID,$P440)=0,"",INDEX(EntryTxnID,$P440)))</f>
        <v/>
      </c>
      <c r="P440" s="28">
        <f>IFERROR(MATCH($C$5&amp;"|"&amp;RIGHT("000000"&amp;424,6),CalcRankKey,0),"")</f>
        <v/>
      </c>
    </row>
    <row r="441">
      <c r="A441" s="26">
        <f>IF($B441="","",425)</f>
        <v/>
      </c>
      <c r="B441" s="26">
        <f>IF($P441="","",IF(INDEX(CalcNormDate,$P441)=0,"",INDEX(CalcNormDate,$P441)))</f>
        <v/>
      </c>
      <c r="C441" s="26">
        <f>IF($P441="","",IF(INDEX(CalcTime,$P441)=0,"",INDEX(CalcTime,$P441)))</f>
        <v/>
      </c>
      <c r="D441" s="26">
        <f>IF($P441="","",IF(INDEX(EntryParty,$P441)=0,"",INDEX(EntryParty,$P441)))</f>
        <v/>
      </c>
      <c r="E441" s="26">
        <f>IF($P441="","",IF(INDEX(EntryPartyName,$P441)=0,"",INDEX(EntryPartyName,$P441)))</f>
        <v/>
      </c>
      <c r="F441" s="26">
        <f>IF($P441="","",IF(INDEX(EntryPartyType,$P441)=0,"",INDEX(EntryPartyType,$P441)))</f>
        <v/>
      </c>
      <c r="G441" s="26">
        <f>IF($P441="","",IF(INDEX(EntryTxnType,$P441)=0,"",INDEX(EntryTxnType,$P441)))</f>
        <v/>
      </c>
      <c r="H441" s="27">
        <f>IF($P441="","",IF(INDEX(EntryDep,$P441)=0,"",INDEX(EntryDep,$P441)))</f>
        <v/>
      </c>
      <c r="I441" s="27">
        <f>IF($P441="","",IF(INDEX(EntryWit,$P441)=0,"",INDEX(EntryWit,$P441)))</f>
        <v/>
      </c>
      <c r="J441" s="27">
        <f>IF($B441="","",IF($A441=1,$C$7,IF(J440="",0,J440))+IF($H441="",0,$H441)-IF($I441="",0,$I441))</f>
        <v/>
      </c>
      <c r="K441" s="27">
        <f>IF($P441="","",IF(INDEX(EntryMan,$P441)=0,"",INDEX(EntryMan,$P441)))</f>
        <v/>
      </c>
      <c r="L441" s="26">
        <f>IF($B441="","",IF($K441="","—",IF(ROUND($K441-$J441,0)=0,"√","×")))</f>
        <v/>
      </c>
      <c r="M441" s="26">
        <f>IF($B441="","",IF(COUNTIFS(EntryDates,$B441,CalcTime,$C441,CalcBank,$C$5,EntryParty,$D441,EntryDep,$H441,EntryWit,$I441)&gt;1,"تکرار",""))</f>
        <v/>
      </c>
      <c r="N441" s="26">
        <f>IF($P441="","",IF(INDEX(EntryNotes,$P441)=0,"",INDEX(EntryNotes,$P441)))</f>
        <v/>
      </c>
      <c r="O441" s="26">
        <f>IF($P441="","",IF(INDEX(EntryTxnID,$P441)=0,"",INDEX(EntryTxnID,$P441)))</f>
        <v/>
      </c>
      <c r="P441" s="26">
        <f>IFERROR(MATCH($C$5&amp;"|"&amp;RIGHT("000000"&amp;425,6),CalcRankKey,0),"")</f>
        <v/>
      </c>
    </row>
    <row r="442">
      <c r="A442" s="28">
        <f>IF($B442="","",426)</f>
        <v/>
      </c>
      <c r="B442" s="28">
        <f>IF($P442="","",IF(INDEX(CalcNormDate,$P442)=0,"",INDEX(CalcNormDate,$P442)))</f>
        <v/>
      </c>
      <c r="C442" s="28">
        <f>IF($P442="","",IF(INDEX(CalcTime,$P442)=0,"",INDEX(CalcTime,$P442)))</f>
        <v/>
      </c>
      <c r="D442" s="28">
        <f>IF($P442="","",IF(INDEX(EntryParty,$P442)=0,"",INDEX(EntryParty,$P442)))</f>
        <v/>
      </c>
      <c r="E442" s="28">
        <f>IF($P442="","",IF(INDEX(EntryPartyName,$P442)=0,"",INDEX(EntryPartyName,$P442)))</f>
        <v/>
      </c>
      <c r="F442" s="28">
        <f>IF($P442="","",IF(INDEX(EntryPartyType,$P442)=0,"",INDEX(EntryPartyType,$P442)))</f>
        <v/>
      </c>
      <c r="G442" s="28">
        <f>IF($P442="","",IF(INDEX(EntryTxnType,$P442)=0,"",INDEX(EntryTxnType,$P442)))</f>
        <v/>
      </c>
      <c r="H442" s="29">
        <f>IF($P442="","",IF(INDEX(EntryDep,$P442)=0,"",INDEX(EntryDep,$P442)))</f>
        <v/>
      </c>
      <c r="I442" s="29">
        <f>IF($P442="","",IF(INDEX(EntryWit,$P442)=0,"",INDEX(EntryWit,$P442)))</f>
        <v/>
      </c>
      <c r="J442" s="29">
        <f>IF($B442="","",IF($A442=1,$C$7,IF(J441="",0,J441))+IF($H442="",0,$H442)-IF($I442="",0,$I442))</f>
        <v/>
      </c>
      <c r="K442" s="29">
        <f>IF($P442="","",IF(INDEX(EntryMan,$P442)=0,"",INDEX(EntryMan,$P442)))</f>
        <v/>
      </c>
      <c r="L442" s="28">
        <f>IF($B442="","",IF($K442="","—",IF(ROUND($K442-$J442,0)=0,"√","×")))</f>
        <v/>
      </c>
      <c r="M442" s="28">
        <f>IF($B442="","",IF(COUNTIFS(EntryDates,$B442,CalcTime,$C442,CalcBank,$C$5,EntryParty,$D442,EntryDep,$H442,EntryWit,$I442)&gt;1,"تکرار",""))</f>
        <v/>
      </c>
      <c r="N442" s="28">
        <f>IF($P442="","",IF(INDEX(EntryNotes,$P442)=0,"",INDEX(EntryNotes,$P442)))</f>
        <v/>
      </c>
      <c r="O442" s="28">
        <f>IF($P442="","",IF(INDEX(EntryTxnID,$P442)=0,"",INDEX(EntryTxnID,$P442)))</f>
        <v/>
      </c>
      <c r="P442" s="28">
        <f>IFERROR(MATCH($C$5&amp;"|"&amp;RIGHT("000000"&amp;426,6),CalcRankKey,0),"")</f>
        <v/>
      </c>
    </row>
    <row r="443">
      <c r="A443" s="26">
        <f>IF($B443="","",427)</f>
        <v/>
      </c>
      <c r="B443" s="26">
        <f>IF($P443="","",IF(INDEX(CalcNormDate,$P443)=0,"",INDEX(CalcNormDate,$P443)))</f>
        <v/>
      </c>
      <c r="C443" s="26">
        <f>IF($P443="","",IF(INDEX(CalcTime,$P443)=0,"",INDEX(CalcTime,$P443)))</f>
        <v/>
      </c>
      <c r="D443" s="26">
        <f>IF($P443="","",IF(INDEX(EntryParty,$P443)=0,"",INDEX(EntryParty,$P443)))</f>
        <v/>
      </c>
      <c r="E443" s="26">
        <f>IF($P443="","",IF(INDEX(EntryPartyName,$P443)=0,"",INDEX(EntryPartyName,$P443)))</f>
        <v/>
      </c>
      <c r="F443" s="26">
        <f>IF($P443="","",IF(INDEX(EntryPartyType,$P443)=0,"",INDEX(EntryPartyType,$P443)))</f>
        <v/>
      </c>
      <c r="G443" s="26">
        <f>IF($P443="","",IF(INDEX(EntryTxnType,$P443)=0,"",INDEX(EntryTxnType,$P443)))</f>
        <v/>
      </c>
      <c r="H443" s="27">
        <f>IF($P443="","",IF(INDEX(EntryDep,$P443)=0,"",INDEX(EntryDep,$P443)))</f>
        <v/>
      </c>
      <c r="I443" s="27">
        <f>IF($P443="","",IF(INDEX(EntryWit,$P443)=0,"",INDEX(EntryWit,$P443)))</f>
        <v/>
      </c>
      <c r="J443" s="27">
        <f>IF($B443="","",IF($A443=1,$C$7,IF(J442="",0,J442))+IF($H443="",0,$H443)-IF($I443="",0,$I443))</f>
        <v/>
      </c>
      <c r="K443" s="27">
        <f>IF($P443="","",IF(INDEX(EntryMan,$P443)=0,"",INDEX(EntryMan,$P443)))</f>
        <v/>
      </c>
      <c r="L443" s="26">
        <f>IF($B443="","",IF($K443="","—",IF(ROUND($K443-$J443,0)=0,"√","×")))</f>
        <v/>
      </c>
      <c r="M443" s="26">
        <f>IF($B443="","",IF(COUNTIFS(EntryDates,$B443,CalcTime,$C443,CalcBank,$C$5,EntryParty,$D443,EntryDep,$H443,EntryWit,$I443)&gt;1,"تکرار",""))</f>
        <v/>
      </c>
      <c r="N443" s="26">
        <f>IF($P443="","",IF(INDEX(EntryNotes,$P443)=0,"",INDEX(EntryNotes,$P443)))</f>
        <v/>
      </c>
      <c r="O443" s="26">
        <f>IF($P443="","",IF(INDEX(EntryTxnID,$P443)=0,"",INDEX(EntryTxnID,$P443)))</f>
        <v/>
      </c>
      <c r="P443" s="26">
        <f>IFERROR(MATCH($C$5&amp;"|"&amp;RIGHT("000000"&amp;427,6),CalcRankKey,0),"")</f>
        <v/>
      </c>
    </row>
    <row r="444">
      <c r="A444" s="28">
        <f>IF($B444="","",428)</f>
        <v/>
      </c>
      <c r="B444" s="28">
        <f>IF($P444="","",IF(INDEX(CalcNormDate,$P444)=0,"",INDEX(CalcNormDate,$P444)))</f>
        <v/>
      </c>
      <c r="C444" s="28">
        <f>IF($P444="","",IF(INDEX(CalcTime,$P444)=0,"",INDEX(CalcTime,$P444)))</f>
        <v/>
      </c>
      <c r="D444" s="28">
        <f>IF($P444="","",IF(INDEX(EntryParty,$P444)=0,"",INDEX(EntryParty,$P444)))</f>
        <v/>
      </c>
      <c r="E444" s="28">
        <f>IF($P444="","",IF(INDEX(EntryPartyName,$P444)=0,"",INDEX(EntryPartyName,$P444)))</f>
        <v/>
      </c>
      <c r="F444" s="28">
        <f>IF($P444="","",IF(INDEX(EntryPartyType,$P444)=0,"",INDEX(EntryPartyType,$P444)))</f>
        <v/>
      </c>
      <c r="G444" s="28">
        <f>IF($P444="","",IF(INDEX(EntryTxnType,$P444)=0,"",INDEX(EntryTxnType,$P444)))</f>
        <v/>
      </c>
      <c r="H444" s="29">
        <f>IF($P444="","",IF(INDEX(EntryDep,$P444)=0,"",INDEX(EntryDep,$P444)))</f>
        <v/>
      </c>
      <c r="I444" s="29">
        <f>IF($P444="","",IF(INDEX(EntryWit,$P444)=0,"",INDEX(EntryWit,$P444)))</f>
        <v/>
      </c>
      <c r="J444" s="29">
        <f>IF($B444="","",IF($A444=1,$C$7,IF(J443="",0,J443))+IF($H444="",0,$H444)-IF($I444="",0,$I444))</f>
        <v/>
      </c>
      <c r="K444" s="29">
        <f>IF($P444="","",IF(INDEX(EntryMan,$P444)=0,"",INDEX(EntryMan,$P444)))</f>
        <v/>
      </c>
      <c r="L444" s="28">
        <f>IF($B444="","",IF($K444="","—",IF(ROUND($K444-$J444,0)=0,"√","×")))</f>
        <v/>
      </c>
      <c r="M444" s="28">
        <f>IF($B444="","",IF(COUNTIFS(EntryDates,$B444,CalcTime,$C444,CalcBank,$C$5,EntryParty,$D444,EntryDep,$H444,EntryWit,$I444)&gt;1,"تکرار",""))</f>
        <v/>
      </c>
      <c r="N444" s="28">
        <f>IF($P444="","",IF(INDEX(EntryNotes,$P444)=0,"",INDEX(EntryNotes,$P444)))</f>
        <v/>
      </c>
      <c r="O444" s="28">
        <f>IF($P444="","",IF(INDEX(EntryTxnID,$P444)=0,"",INDEX(EntryTxnID,$P444)))</f>
        <v/>
      </c>
      <c r="P444" s="28">
        <f>IFERROR(MATCH($C$5&amp;"|"&amp;RIGHT("000000"&amp;428,6),CalcRankKey,0),"")</f>
        <v/>
      </c>
    </row>
    <row r="445">
      <c r="A445" s="26">
        <f>IF($B445="","",429)</f>
        <v/>
      </c>
      <c r="B445" s="26">
        <f>IF($P445="","",IF(INDEX(CalcNormDate,$P445)=0,"",INDEX(CalcNormDate,$P445)))</f>
        <v/>
      </c>
      <c r="C445" s="26">
        <f>IF($P445="","",IF(INDEX(CalcTime,$P445)=0,"",INDEX(CalcTime,$P445)))</f>
        <v/>
      </c>
      <c r="D445" s="26">
        <f>IF($P445="","",IF(INDEX(EntryParty,$P445)=0,"",INDEX(EntryParty,$P445)))</f>
        <v/>
      </c>
      <c r="E445" s="26">
        <f>IF($P445="","",IF(INDEX(EntryPartyName,$P445)=0,"",INDEX(EntryPartyName,$P445)))</f>
        <v/>
      </c>
      <c r="F445" s="26">
        <f>IF($P445="","",IF(INDEX(EntryPartyType,$P445)=0,"",INDEX(EntryPartyType,$P445)))</f>
        <v/>
      </c>
      <c r="G445" s="26">
        <f>IF($P445="","",IF(INDEX(EntryTxnType,$P445)=0,"",INDEX(EntryTxnType,$P445)))</f>
        <v/>
      </c>
      <c r="H445" s="27">
        <f>IF($P445="","",IF(INDEX(EntryDep,$P445)=0,"",INDEX(EntryDep,$P445)))</f>
        <v/>
      </c>
      <c r="I445" s="27">
        <f>IF($P445="","",IF(INDEX(EntryWit,$P445)=0,"",INDEX(EntryWit,$P445)))</f>
        <v/>
      </c>
      <c r="J445" s="27">
        <f>IF($B445="","",IF($A445=1,$C$7,IF(J444="",0,J444))+IF($H445="",0,$H445)-IF($I445="",0,$I445))</f>
        <v/>
      </c>
      <c r="K445" s="27">
        <f>IF($P445="","",IF(INDEX(EntryMan,$P445)=0,"",INDEX(EntryMan,$P445)))</f>
        <v/>
      </c>
      <c r="L445" s="26">
        <f>IF($B445="","",IF($K445="","—",IF(ROUND($K445-$J445,0)=0,"√","×")))</f>
        <v/>
      </c>
      <c r="M445" s="26">
        <f>IF($B445="","",IF(COUNTIFS(EntryDates,$B445,CalcTime,$C445,CalcBank,$C$5,EntryParty,$D445,EntryDep,$H445,EntryWit,$I445)&gt;1,"تکرار",""))</f>
        <v/>
      </c>
      <c r="N445" s="26">
        <f>IF($P445="","",IF(INDEX(EntryNotes,$P445)=0,"",INDEX(EntryNotes,$P445)))</f>
        <v/>
      </c>
      <c r="O445" s="26">
        <f>IF($P445="","",IF(INDEX(EntryTxnID,$P445)=0,"",INDEX(EntryTxnID,$P445)))</f>
        <v/>
      </c>
      <c r="P445" s="26">
        <f>IFERROR(MATCH($C$5&amp;"|"&amp;RIGHT("000000"&amp;429,6),CalcRankKey,0),"")</f>
        <v/>
      </c>
    </row>
    <row r="446">
      <c r="A446" s="28">
        <f>IF($B446="","",430)</f>
        <v/>
      </c>
      <c r="B446" s="28">
        <f>IF($P446="","",IF(INDEX(CalcNormDate,$P446)=0,"",INDEX(CalcNormDate,$P446)))</f>
        <v/>
      </c>
      <c r="C446" s="28">
        <f>IF($P446="","",IF(INDEX(CalcTime,$P446)=0,"",INDEX(CalcTime,$P446)))</f>
        <v/>
      </c>
      <c r="D446" s="28">
        <f>IF($P446="","",IF(INDEX(EntryParty,$P446)=0,"",INDEX(EntryParty,$P446)))</f>
        <v/>
      </c>
      <c r="E446" s="28">
        <f>IF($P446="","",IF(INDEX(EntryPartyName,$P446)=0,"",INDEX(EntryPartyName,$P446)))</f>
        <v/>
      </c>
      <c r="F446" s="28">
        <f>IF($P446="","",IF(INDEX(EntryPartyType,$P446)=0,"",INDEX(EntryPartyType,$P446)))</f>
        <v/>
      </c>
      <c r="G446" s="28">
        <f>IF($P446="","",IF(INDEX(EntryTxnType,$P446)=0,"",INDEX(EntryTxnType,$P446)))</f>
        <v/>
      </c>
      <c r="H446" s="29">
        <f>IF($P446="","",IF(INDEX(EntryDep,$P446)=0,"",INDEX(EntryDep,$P446)))</f>
        <v/>
      </c>
      <c r="I446" s="29">
        <f>IF($P446="","",IF(INDEX(EntryWit,$P446)=0,"",INDEX(EntryWit,$P446)))</f>
        <v/>
      </c>
      <c r="J446" s="29">
        <f>IF($B446="","",IF($A446=1,$C$7,IF(J445="",0,J445))+IF($H446="",0,$H446)-IF($I446="",0,$I446))</f>
        <v/>
      </c>
      <c r="K446" s="29">
        <f>IF($P446="","",IF(INDEX(EntryMan,$P446)=0,"",INDEX(EntryMan,$P446)))</f>
        <v/>
      </c>
      <c r="L446" s="28">
        <f>IF($B446="","",IF($K446="","—",IF(ROUND($K446-$J446,0)=0,"√","×")))</f>
        <v/>
      </c>
      <c r="M446" s="28">
        <f>IF($B446="","",IF(COUNTIFS(EntryDates,$B446,CalcTime,$C446,CalcBank,$C$5,EntryParty,$D446,EntryDep,$H446,EntryWit,$I446)&gt;1,"تکرار",""))</f>
        <v/>
      </c>
      <c r="N446" s="28">
        <f>IF($P446="","",IF(INDEX(EntryNotes,$P446)=0,"",INDEX(EntryNotes,$P446)))</f>
        <v/>
      </c>
      <c r="O446" s="28">
        <f>IF($P446="","",IF(INDEX(EntryTxnID,$P446)=0,"",INDEX(EntryTxnID,$P446)))</f>
        <v/>
      </c>
      <c r="P446" s="28">
        <f>IFERROR(MATCH($C$5&amp;"|"&amp;RIGHT("000000"&amp;430,6),CalcRankKey,0),"")</f>
        <v/>
      </c>
    </row>
    <row r="447">
      <c r="A447" s="26">
        <f>IF($B447="","",431)</f>
        <v/>
      </c>
      <c r="B447" s="26">
        <f>IF($P447="","",IF(INDEX(CalcNormDate,$P447)=0,"",INDEX(CalcNormDate,$P447)))</f>
        <v/>
      </c>
      <c r="C447" s="26">
        <f>IF($P447="","",IF(INDEX(CalcTime,$P447)=0,"",INDEX(CalcTime,$P447)))</f>
        <v/>
      </c>
      <c r="D447" s="26">
        <f>IF($P447="","",IF(INDEX(EntryParty,$P447)=0,"",INDEX(EntryParty,$P447)))</f>
        <v/>
      </c>
      <c r="E447" s="26">
        <f>IF($P447="","",IF(INDEX(EntryPartyName,$P447)=0,"",INDEX(EntryPartyName,$P447)))</f>
        <v/>
      </c>
      <c r="F447" s="26">
        <f>IF($P447="","",IF(INDEX(EntryPartyType,$P447)=0,"",INDEX(EntryPartyType,$P447)))</f>
        <v/>
      </c>
      <c r="G447" s="26">
        <f>IF($P447="","",IF(INDEX(EntryTxnType,$P447)=0,"",INDEX(EntryTxnType,$P447)))</f>
        <v/>
      </c>
      <c r="H447" s="27">
        <f>IF($P447="","",IF(INDEX(EntryDep,$P447)=0,"",INDEX(EntryDep,$P447)))</f>
        <v/>
      </c>
      <c r="I447" s="27">
        <f>IF($P447="","",IF(INDEX(EntryWit,$P447)=0,"",INDEX(EntryWit,$P447)))</f>
        <v/>
      </c>
      <c r="J447" s="27">
        <f>IF($B447="","",IF($A447=1,$C$7,IF(J446="",0,J446))+IF($H447="",0,$H447)-IF($I447="",0,$I447))</f>
        <v/>
      </c>
      <c r="K447" s="27">
        <f>IF($P447="","",IF(INDEX(EntryMan,$P447)=0,"",INDEX(EntryMan,$P447)))</f>
        <v/>
      </c>
      <c r="L447" s="26">
        <f>IF($B447="","",IF($K447="","—",IF(ROUND($K447-$J447,0)=0,"√","×")))</f>
        <v/>
      </c>
      <c r="M447" s="26">
        <f>IF($B447="","",IF(COUNTIFS(EntryDates,$B447,CalcTime,$C447,CalcBank,$C$5,EntryParty,$D447,EntryDep,$H447,EntryWit,$I447)&gt;1,"تکرار",""))</f>
        <v/>
      </c>
      <c r="N447" s="26">
        <f>IF($P447="","",IF(INDEX(EntryNotes,$P447)=0,"",INDEX(EntryNotes,$P447)))</f>
        <v/>
      </c>
      <c r="O447" s="26">
        <f>IF($P447="","",IF(INDEX(EntryTxnID,$P447)=0,"",INDEX(EntryTxnID,$P447)))</f>
        <v/>
      </c>
      <c r="P447" s="26">
        <f>IFERROR(MATCH($C$5&amp;"|"&amp;RIGHT("000000"&amp;431,6),CalcRankKey,0),"")</f>
        <v/>
      </c>
    </row>
    <row r="448">
      <c r="A448" s="28">
        <f>IF($B448="","",432)</f>
        <v/>
      </c>
      <c r="B448" s="28">
        <f>IF($P448="","",IF(INDEX(CalcNormDate,$P448)=0,"",INDEX(CalcNormDate,$P448)))</f>
        <v/>
      </c>
      <c r="C448" s="28">
        <f>IF($P448="","",IF(INDEX(CalcTime,$P448)=0,"",INDEX(CalcTime,$P448)))</f>
        <v/>
      </c>
      <c r="D448" s="28">
        <f>IF($P448="","",IF(INDEX(EntryParty,$P448)=0,"",INDEX(EntryParty,$P448)))</f>
        <v/>
      </c>
      <c r="E448" s="28">
        <f>IF($P448="","",IF(INDEX(EntryPartyName,$P448)=0,"",INDEX(EntryPartyName,$P448)))</f>
        <v/>
      </c>
      <c r="F448" s="28">
        <f>IF($P448="","",IF(INDEX(EntryPartyType,$P448)=0,"",INDEX(EntryPartyType,$P448)))</f>
        <v/>
      </c>
      <c r="G448" s="28">
        <f>IF($P448="","",IF(INDEX(EntryTxnType,$P448)=0,"",INDEX(EntryTxnType,$P448)))</f>
        <v/>
      </c>
      <c r="H448" s="29">
        <f>IF($P448="","",IF(INDEX(EntryDep,$P448)=0,"",INDEX(EntryDep,$P448)))</f>
        <v/>
      </c>
      <c r="I448" s="29">
        <f>IF($P448="","",IF(INDEX(EntryWit,$P448)=0,"",INDEX(EntryWit,$P448)))</f>
        <v/>
      </c>
      <c r="J448" s="29">
        <f>IF($B448="","",IF($A448=1,$C$7,IF(J447="",0,J447))+IF($H448="",0,$H448)-IF($I448="",0,$I448))</f>
        <v/>
      </c>
      <c r="K448" s="29">
        <f>IF($P448="","",IF(INDEX(EntryMan,$P448)=0,"",INDEX(EntryMan,$P448)))</f>
        <v/>
      </c>
      <c r="L448" s="28">
        <f>IF($B448="","",IF($K448="","—",IF(ROUND($K448-$J448,0)=0,"√","×")))</f>
        <v/>
      </c>
      <c r="M448" s="28">
        <f>IF($B448="","",IF(COUNTIFS(EntryDates,$B448,CalcTime,$C448,CalcBank,$C$5,EntryParty,$D448,EntryDep,$H448,EntryWit,$I448)&gt;1,"تکرار",""))</f>
        <v/>
      </c>
      <c r="N448" s="28">
        <f>IF($P448="","",IF(INDEX(EntryNotes,$P448)=0,"",INDEX(EntryNotes,$P448)))</f>
        <v/>
      </c>
      <c r="O448" s="28">
        <f>IF($P448="","",IF(INDEX(EntryTxnID,$P448)=0,"",INDEX(EntryTxnID,$P448)))</f>
        <v/>
      </c>
      <c r="P448" s="28">
        <f>IFERROR(MATCH($C$5&amp;"|"&amp;RIGHT("000000"&amp;432,6),CalcRankKey,0),"")</f>
        <v/>
      </c>
    </row>
    <row r="449">
      <c r="A449" s="26">
        <f>IF($B449="","",433)</f>
        <v/>
      </c>
      <c r="B449" s="26">
        <f>IF($P449="","",IF(INDEX(CalcNormDate,$P449)=0,"",INDEX(CalcNormDate,$P449)))</f>
        <v/>
      </c>
      <c r="C449" s="26">
        <f>IF($P449="","",IF(INDEX(CalcTime,$P449)=0,"",INDEX(CalcTime,$P449)))</f>
        <v/>
      </c>
      <c r="D449" s="26">
        <f>IF($P449="","",IF(INDEX(EntryParty,$P449)=0,"",INDEX(EntryParty,$P449)))</f>
        <v/>
      </c>
      <c r="E449" s="26">
        <f>IF($P449="","",IF(INDEX(EntryPartyName,$P449)=0,"",INDEX(EntryPartyName,$P449)))</f>
        <v/>
      </c>
      <c r="F449" s="26">
        <f>IF($P449="","",IF(INDEX(EntryPartyType,$P449)=0,"",INDEX(EntryPartyType,$P449)))</f>
        <v/>
      </c>
      <c r="G449" s="26">
        <f>IF($P449="","",IF(INDEX(EntryTxnType,$P449)=0,"",INDEX(EntryTxnType,$P449)))</f>
        <v/>
      </c>
      <c r="H449" s="27">
        <f>IF($P449="","",IF(INDEX(EntryDep,$P449)=0,"",INDEX(EntryDep,$P449)))</f>
        <v/>
      </c>
      <c r="I449" s="27">
        <f>IF($P449="","",IF(INDEX(EntryWit,$P449)=0,"",INDEX(EntryWit,$P449)))</f>
        <v/>
      </c>
      <c r="J449" s="27">
        <f>IF($B449="","",IF($A449=1,$C$7,IF(J448="",0,J448))+IF($H449="",0,$H449)-IF($I449="",0,$I449))</f>
        <v/>
      </c>
      <c r="K449" s="27">
        <f>IF($P449="","",IF(INDEX(EntryMan,$P449)=0,"",INDEX(EntryMan,$P449)))</f>
        <v/>
      </c>
      <c r="L449" s="26">
        <f>IF($B449="","",IF($K449="","—",IF(ROUND($K449-$J449,0)=0,"√","×")))</f>
        <v/>
      </c>
      <c r="M449" s="26">
        <f>IF($B449="","",IF(COUNTIFS(EntryDates,$B449,CalcTime,$C449,CalcBank,$C$5,EntryParty,$D449,EntryDep,$H449,EntryWit,$I449)&gt;1,"تکرار",""))</f>
        <v/>
      </c>
      <c r="N449" s="26">
        <f>IF($P449="","",IF(INDEX(EntryNotes,$P449)=0,"",INDEX(EntryNotes,$P449)))</f>
        <v/>
      </c>
      <c r="O449" s="26">
        <f>IF($P449="","",IF(INDEX(EntryTxnID,$P449)=0,"",INDEX(EntryTxnID,$P449)))</f>
        <v/>
      </c>
      <c r="P449" s="26">
        <f>IFERROR(MATCH($C$5&amp;"|"&amp;RIGHT("000000"&amp;433,6),CalcRankKey,0),"")</f>
        <v/>
      </c>
    </row>
    <row r="450">
      <c r="A450" s="28">
        <f>IF($B450="","",434)</f>
        <v/>
      </c>
      <c r="B450" s="28">
        <f>IF($P450="","",IF(INDEX(CalcNormDate,$P450)=0,"",INDEX(CalcNormDate,$P450)))</f>
        <v/>
      </c>
      <c r="C450" s="28">
        <f>IF($P450="","",IF(INDEX(CalcTime,$P450)=0,"",INDEX(CalcTime,$P450)))</f>
        <v/>
      </c>
      <c r="D450" s="28">
        <f>IF($P450="","",IF(INDEX(EntryParty,$P450)=0,"",INDEX(EntryParty,$P450)))</f>
        <v/>
      </c>
      <c r="E450" s="28">
        <f>IF($P450="","",IF(INDEX(EntryPartyName,$P450)=0,"",INDEX(EntryPartyName,$P450)))</f>
        <v/>
      </c>
      <c r="F450" s="28">
        <f>IF($P450="","",IF(INDEX(EntryPartyType,$P450)=0,"",INDEX(EntryPartyType,$P450)))</f>
        <v/>
      </c>
      <c r="G450" s="28">
        <f>IF($P450="","",IF(INDEX(EntryTxnType,$P450)=0,"",INDEX(EntryTxnType,$P450)))</f>
        <v/>
      </c>
      <c r="H450" s="29">
        <f>IF($P450="","",IF(INDEX(EntryDep,$P450)=0,"",INDEX(EntryDep,$P450)))</f>
        <v/>
      </c>
      <c r="I450" s="29">
        <f>IF($P450="","",IF(INDEX(EntryWit,$P450)=0,"",INDEX(EntryWit,$P450)))</f>
        <v/>
      </c>
      <c r="J450" s="29">
        <f>IF($B450="","",IF($A450=1,$C$7,IF(J449="",0,J449))+IF($H450="",0,$H450)-IF($I450="",0,$I450))</f>
        <v/>
      </c>
      <c r="K450" s="29">
        <f>IF($P450="","",IF(INDEX(EntryMan,$P450)=0,"",INDEX(EntryMan,$P450)))</f>
        <v/>
      </c>
      <c r="L450" s="28">
        <f>IF($B450="","",IF($K450="","—",IF(ROUND($K450-$J450,0)=0,"√","×")))</f>
        <v/>
      </c>
      <c r="M450" s="28">
        <f>IF($B450="","",IF(COUNTIFS(EntryDates,$B450,CalcTime,$C450,CalcBank,$C$5,EntryParty,$D450,EntryDep,$H450,EntryWit,$I450)&gt;1,"تکرار",""))</f>
        <v/>
      </c>
      <c r="N450" s="28">
        <f>IF($P450="","",IF(INDEX(EntryNotes,$P450)=0,"",INDEX(EntryNotes,$P450)))</f>
        <v/>
      </c>
      <c r="O450" s="28">
        <f>IF($P450="","",IF(INDEX(EntryTxnID,$P450)=0,"",INDEX(EntryTxnID,$P450)))</f>
        <v/>
      </c>
      <c r="P450" s="28">
        <f>IFERROR(MATCH($C$5&amp;"|"&amp;RIGHT("000000"&amp;434,6),CalcRankKey,0),"")</f>
        <v/>
      </c>
    </row>
    <row r="451">
      <c r="A451" s="26">
        <f>IF($B451="","",435)</f>
        <v/>
      </c>
      <c r="B451" s="26">
        <f>IF($P451="","",IF(INDEX(CalcNormDate,$P451)=0,"",INDEX(CalcNormDate,$P451)))</f>
        <v/>
      </c>
      <c r="C451" s="26">
        <f>IF($P451="","",IF(INDEX(CalcTime,$P451)=0,"",INDEX(CalcTime,$P451)))</f>
        <v/>
      </c>
      <c r="D451" s="26">
        <f>IF($P451="","",IF(INDEX(EntryParty,$P451)=0,"",INDEX(EntryParty,$P451)))</f>
        <v/>
      </c>
      <c r="E451" s="26">
        <f>IF($P451="","",IF(INDEX(EntryPartyName,$P451)=0,"",INDEX(EntryPartyName,$P451)))</f>
        <v/>
      </c>
      <c r="F451" s="26">
        <f>IF($P451="","",IF(INDEX(EntryPartyType,$P451)=0,"",INDEX(EntryPartyType,$P451)))</f>
        <v/>
      </c>
      <c r="G451" s="26">
        <f>IF($P451="","",IF(INDEX(EntryTxnType,$P451)=0,"",INDEX(EntryTxnType,$P451)))</f>
        <v/>
      </c>
      <c r="H451" s="27">
        <f>IF($P451="","",IF(INDEX(EntryDep,$P451)=0,"",INDEX(EntryDep,$P451)))</f>
        <v/>
      </c>
      <c r="I451" s="27">
        <f>IF($P451="","",IF(INDEX(EntryWit,$P451)=0,"",INDEX(EntryWit,$P451)))</f>
        <v/>
      </c>
      <c r="J451" s="27">
        <f>IF($B451="","",IF($A451=1,$C$7,IF(J450="",0,J450))+IF($H451="",0,$H451)-IF($I451="",0,$I451))</f>
        <v/>
      </c>
      <c r="K451" s="27">
        <f>IF($P451="","",IF(INDEX(EntryMan,$P451)=0,"",INDEX(EntryMan,$P451)))</f>
        <v/>
      </c>
      <c r="L451" s="26">
        <f>IF($B451="","",IF($K451="","—",IF(ROUND($K451-$J451,0)=0,"√","×")))</f>
        <v/>
      </c>
      <c r="M451" s="26">
        <f>IF($B451="","",IF(COUNTIFS(EntryDates,$B451,CalcTime,$C451,CalcBank,$C$5,EntryParty,$D451,EntryDep,$H451,EntryWit,$I451)&gt;1,"تکرار",""))</f>
        <v/>
      </c>
      <c r="N451" s="26">
        <f>IF($P451="","",IF(INDEX(EntryNotes,$P451)=0,"",INDEX(EntryNotes,$P451)))</f>
        <v/>
      </c>
      <c r="O451" s="26">
        <f>IF($P451="","",IF(INDEX(EntryTxnID,$P451)=0,"",INDEX(EntryTxnID,$P451)))</f>
        <v/>
      </c>
      <c r="P451" s="26">
        <f>IFERROR(MATCH($C$5&amp;"|"&amp;RIGHT("000000"&amp;435,6),CalcRankKey,0),"")</f>
        <v/>
      </c>
    </row>
    <row r="452">
      <c r="A452" s="28">
        <f>IF($B452="","",436)</f>
        <v/>
      </c>
      <c r="B452" s="28">
        <f>IF($P452="","",IF(INDEX(CalcNormDate,$P452)=0,"",INDEX(CalcNormDate,$P452)))</f>
        <v/>
      </c>
      <c r="C452" s="28">
        <f>IF($P452="","",IF(INDEX(CalcTime,$P452)=0,"",INDEX(CalcTime,$P452)))</f>
        <v/>
      </c>
      <c r="D452" s="28">
        <f>IF($P452="","",IF(INDEX(EntryParty,$P452)=0,"",INDEX(EntryParty,$P452)))</f>
        <v/>
      </c>
      <c r="E452" s="28">
        <f>IF($P452="","",IF(INDEX(EntryPartyName,$P452)=0,"",INDEX(EntryPartyName,$P452)))</f>
        <v/>
      </c>
      <c r="F452" s="28">
        <f>IF($P452="","",IF(INDEX(EntryPartyType,$P452)=0,"",INDEX(EntryPartyType,$P452)))</f>
        <v/>
      </c>
      <c r="G452" s="28">
        <f>IF($P452="","",IF(INDEX(EntryTxnType,$P452)=0,"",INDEX(EntryTxnType,$P452)))</f>
        <v/>
      </c>
      <c r="H452" s="29">
        <f>IF($P452="","",IF(INDEX(EntryDep,$P452)=0,"",INDEX(EntryDep,$P452)))</f>
        <v/>
      </c>
      <c r="I452" s="29">
        <f>IF($P452="","",IF(INDEX(EntryWit,$P452)=0,"",INDEX(EntryWit,$P452)))</f>
        <v/>
      </c>
      <c r="J452" s="29">
        <f>IF($B452="","",IF($A452=1,$C$7,IF(J451="",0,J451))+IF($H452="",0,$H452)-IF($I452="",0,$I452))</f>
        <v/>
      </c>
      <c r="K452" s="29">
        <f>IF($P452="","",IF(INDEX(EntryMan,$P452)=0,"",INDEX(EntryMan,$P452)))</f>
        <v/>
      </c>
      <c r="L452" s="28">
        <f>IF($B452="","",IF($K452="","—",IF(ROUND($K452-$J452,0)=0,"√","×")))</f>
        <v/>
      </c>
      <c r="M452" s="28">
        <f>IF($B452="","",IF(COUNTIFS(EntryDates,$B452,CalcTime,$C452,CalcBank,$C$5,EntryParty,$D452,EntryDep,$H452,EntryWit,$I452)&gt;1,"تکرار",""))</f>
        <v/>
      </c>
      <c r="N452" s="28">
        <f>IF($P452="","",IF(INDEX(EntryNotes,$P452)=0,"",INDEX(EntryNotes,$P452)))</f>
        <v/>
      </c>
      <c r="O452" s="28">
        <f>IF($P452="","",IF(INDEX(EntryTxnID,$P452)=0,"",INDEX(EntryTxnID,$P452)))</f>
        <v/>
      </c>
      <c r="P452" s="28">
        <f>IFERROR(MATCH($C$5&amp;"|"&amp;RIGHT("000000"&amp;436,6),CalcRankKey,0),"")</f>
        <v/>
      </c>
    </row>
    <row r="453">
      <c r="A453" s="26">
        <f>IF($B453="","",437)</f>
        <v/>
      </c>
      <c r="B453" s="26">
        <f>IF($P453="","",IF(INDEX(CalcNormDate,$P453)=0,"",INDEX(CalcNormDate,$P453)))</f>
        <v/>
      </c>
      <c r="C453" s="26">
        <f>IF($P453="","",IF(INDEX(CalcTime,$P453)=0,"",INDEX(CalcTime,$P453)))</f>
        <v/>
      </c>
      <c r="D453" s="26">
        <f>IF($P453="","",IF(INDEX(EntryParty,$P453)=0,"",INDEX(EntryParty,$P453)))</f>
        <v/>
      </c>
      <c r="E453" s="26">
        <f>IF($P453="","",IF(INDEX(EntryPartyName,$P453)=0,"",INDEX(EntryPartyName,$P453)))</f>
        <v/>
      </c>
      <c r="F453" s="26">
        <f>IF($P453="","",IF(INDEX(EntryPartyType,$P453)=0,"",INDEX(EntryPartyType,$P453)))</f>
        <v/>
      </c>
      <c r="G453" s="26">
        <f>IF($P453="","",IF(INDEX(EntryTxnType,$P453)=0,"",INDEX(EntryTxnType,$P453)))</f>
        <v/>
      </c>
      <c r="H453" s="27">
        <f>IF($P453="","",IF(INDEX(EntryDep,$P453)=0,"",INDEX(EntryDep,$P453)))</f>
        <v/>
      </c>
      <c r="I453" s="27">
        <f>IF($P453="","",IF(INDEX(EntryWit,$P453)=0,"",INDEX(EntryWit,$P453)))</f>
        <v/>
      </c>
      <c r="J453" s="27">
        <f>IF($B453="","",IF($A453=1,$C$7,IF(J452="",0,J452))+IF($H453="",0,$H453)-IF($I453="",0,$I453))</f>
        <v/>
      </c>
      <c r="K453" s="27">
        <f>IF($P453="","",IF(INDEX(EntryMan,$P453)=0,"",INDEX(EntryMan,$P453)))</f>
        <v/>
      </c>
      <c r="L453" s="26">
        <f>IF($B453="","",IF($K453="","—",IF(ROUND($K453-$J453,0)=0,"√","×")))</f>
        <v/>
      </c>
      <c r="M453" s="26">
        <f>IF($B453="","",IF(COUNTIFS(EntryDates,$B453,CalcTime,$C453,CalcBank,$C$5,EntryParty,$D453,EntryDep,$H453,EntryWit,$I453)&gt;1,"تکرار",""))</f>
        <v/>
      </c>
      <c r="N453" s="26">
        <f>IF($P453="","",IF(INDEX(EntryNotes,$P453)=0,"",INDEX(EntryNotes,$P453)))</f>
        <v/>
      </c>
      <c r="O453" s="26">
        <f>IF($P453="","",IF(INDEX(EntryTxnID,$P453)=0,"",INDEX(EntryTxnID,$P453)))</f>
        <v/>
      </c>
      <c r="P453" s="26">
        <f>IFERROR(MATCH($C$5&amp;"|"&amp;RIGHT("000000"&amp;437,6),CalcRankKey,0),"")</f>
        <v/>
      </c>
    </row>
    <row r="454">
      <c r="A454" s="28">
        <f>IF($B454="","",438)</f>
        <v/>
      </c>
      <c r="B454" s="28">
        <f>IF($P454="","",IF(INDEX(CalcNormDate,$P454)=0,"",INDEX(CalcNormDate,$P454)))</f>
        <v/>
      </c>
      <c r="C454" s="28">
        <f>IF($P454="","",IF(INDEX(CalcTime,$P454)=0,"",INDEX(CalcTime,$P454)))</f>
        <v/>
      </c>
      <c r="D454" s="28">
        <f>IF($P454="","",IF(INDEX(EntryParty,$P454)=0,"",INDEX(EntryParty,$P454)))</f>
        <v/>
      </c>
      <c r="E454" s="28">
        <f>IF($P454="","",IF(INDEX(EntryPartyName,$P454)=0,"",INDEX(EntryPartyName,$P454)))</f>
        <v/>
      </c>
      <c r="F454" s="28">
        <f>IF($P454="","",IF(INDEX(EntryPartyType,$P454)=0,"",INDEX(EntryPartyType,$P454)))</f>
        <v/>
      </c>
      <c r="G454" s="28">
        <f>IF($P454="","",IF(INDEX(EntryTxnType,$P454)=0,"",INDEX(EntryTxnType,$P454)))</f>
        <v/>
      </c>
      <c r="H454" s="29">
        <f>IF($P454="","",IF(INDEX(EntryDep,$P454)=0,"",INDEX(EntryDep,$P454)))</f>
        <v/>
      </c>
      <c r="I454" s="29">
        <f>IF($P454="","",IF(INDEX(EntryWit,$P454)=0,"",INDEX(EntryWit,$P454)))</f>
        <v/>
      </c>
      <c r="J454" s="29">
        <f>IF($B454="","",IF($A454=1,$C$7,IF(J453="",0,J453))+IF($H454="",0,$H454)-IF($I454="",0,$I454))</f>
        <v/>
      </c>
      <c r="K454" s="29">
        <f>IF($P454="","",IF(INDEX(EntryMan,$P454)=0,"",INDEX(EntryMan,$P454)))</f>
        <v/>
      </c>
      <c r="L454" s="28">
        <f>IF($B454="","",IF($K454="","—",IF(ROUND($K454-$J454,0)=0,"√","×")))</f>
        <v/>
      </c>
      <c r="M454" s="28">
        <f>IF($B454="","",IF(COUNTIFS(EntryDates,$B454,CalcTime,$C454,CalcBank,$C$5,EntryParty,$D454,EntryDep,$H454,EntryWit,$I454)&gt;1,"تکرار",""))</f>
        <v/>
      </c>
      <c r="N454" s="28">
        <f>IF($P454="","",IF(INDEX(EntryNotes,$P454)=0,"",INDEX(EntryNotes,$P454)))</f>
        <v/>
      </c>
      <c r="O454" s="28">
        <f>IF($P454="","",IF(INDEX(EntryTxnID,$P454)=0,"",INDEX(EntryTxnID,$P454)))</f>
        <v/>
      </c>
      <c r="P454" s="28">
        <f>IFERROR(MATCH($C$5&amp;"|"&amp;RIGHT("000000"&amp;438,6),CalcRankKey,0),"")</f>
        <v/>
      </c>
    </row>
    <row r="455">
      <c r="A455" s="26">
        <f>IF($B455="","",439)</f>
        <v/>
      </c>
      <c r="B455" s="26">
        <f>IF($P455="","",IF(INDEX(CalcNormDate,$P455)=0,"",INDEX(CalcNormDate,$P455)))</f>
        <v/>
      </c>
      <c r="C455" s="26">
        <f>IF($P455="","",IF(INDEX(CalcTime,$P455)=0,"",INDEX(CalcTime,$P455)))</f>
        <v/>
      </c>
      <c r="D455" s="26">
        <f>IF($P455="","",IF(INDEX(EntryParty,$P455)=0,"",INDEX(EntryParty,$P455)))</f>
        <v/>
      </c>
      <c r="E455" s="26">
        <f>IF($P455="","",IF(INDEX(EntryPartyName,$P455)=0,"",INDEX(EntryPartyName,$P455)))</f>
        <v/>
      </c>
      <c r="F455" s="26">
        <f>IF($P455="","",IF(INDEX(EntryPartyType,$P455)=0,"",INDEX(EntryPartyType,$P455)))</f>
        <v/>
      </c>
      <c r="G455" s="26">
        <f>IF($P455="","",IF(INDEX(EntryTxnType,$P455)=0,"",INDEX(EntryTxnType,$P455)))</f>
        <v/>
      </c>
      <c r="H455" s="27">
        <f>IF($P455="","",IF(INDEX(EntryDep,$P455)=0,"",INDEX(EntryDep,$P455)))</f>
        <v/>
      </c>
      <c r="I455" s="27">
        <f>IF($P455="","",IF(INDEX(EntryWit,$P455)=0,"",INDEX(EntryWit,$P455)))</f>
        <v/>
      </c>
      <c r="J455" s="27">
        <f>IF($B455="","",IF($A455=1,$C$7,IF(J454="",0,J454))+IF($H455="",0,$H455)-IF($I455="",0,$I455))</f>
        <v/>
      </c>
      <c r="K455" s="27">
        <f>IF($P455="","",IF(INDEX(EntryMan,$P455)=0,"",INDEX(EntryMan,$P455)))</f>
        <v/>
      </c>
      <c r="L455" s="26">
        <f>IF($B455="","",IF($K455="","—",IF(ROUND($K455-$J455,0)=0,"√","×")))</f>
        <v/>
      </c>
      <c r="M455" s="26">
        <f>IF($B455="","",IF(COUNTIFS(EntryDates,$B455,CalcTime,$C455,CalcBank,$C$5,EntryParty,$D455,EntryDep,$H455,EntryWit,$I455)&gt;1,"تکرار",""))</f>
        <v/>
      </c>
      <c r="N455" s="26">
        <f>IF($P455="","",IF(INDEX(EntryNotes,$P455)=0,"",INDEX(EntryNotes,$P455)))</f>
        <v/>
      </c>
      <c r="O455" s="26">
        <f>IF($P455="","",IF(INDEX(EntryTxnID,$P455)=0,"",INDEX(EntryTxnID,$P455)))</f>
        <v/>
      </c>
      <c r="P455" s="26">
        <f>IFERROR(MATCH($C$5&amp;"|"&amp;RIGHT("000000"&amp;439,6),CalcRankKey,0),"")</f>
        <v/>
      </c>
    </row>
    <row r="456">
      <c r="A456" s="28">
        <f>IF($B456="","",440)</f>
        <v/>
      </c>
      <c r="B456" s="28">
        <f>IF($P456="","",IF(INDEX(CalcNormDate,$P456)=0,"",INDEX(CalcNormDate,$P456)))</f>
        <v/>
      </c>
      <c r="C456" s="28">
        <f>IF($P456="","",IF(INDEX(CalcTime,$P456)=0,"",INDEX(CalcTime,$P456)))</f>
        <v/>
      </c>
      <c r="D456" s="28">
        <f>IF($P456="","",IF(INDEX(EntryParty,$P456)=0,"",INDEX(EntryParty,$P456)))</f>
        <v/>
      </c>
      <c r="E456" s="28">
        <f>IF($P456="","",IF(INDEX(EntryPartyName,$P456)=0,"",INDEX(EntryPartyName,$P456)))</f>
        <v/>
      </c>
      <c r="F456" s="28">
        <f>IF($P456="","",IF(INDEX(EntryPartyType,$P456)=0,"",INDEX(EntryPartyType,$P456)))</f>
        <v/>
      </c>
      <c r="G456" s="28">
        <f>IF($P456="","",IF(INDEX(EntryTxnType,$P456)=0,"",INDEX(EntryTxnType,$P456)))</f>
        <v/>
      </c>
      <c r="H456" s="29">
        <f>IF($P456="","",IF(INDEX(EntryDep,$P456)=0,"",INDEX(EntryDep,$P456)))</f>
        <v/>
      </c>
      <c r="I456" s="29">
        <f>IF($P456="","",IF(INDEX(EntryWit,$P456)=0,"",INDEX(EntryWit,$P456)))</f>
        <v/>
      </c>
      <c r="J456" s="29">
        <f>IF($B456="","",IF($A456=1,$C$7,IF(J455="",0,J455))+IF($H456="",0,$H456)-IF($I456="",0,$I456))</f>
        <v/>
      </c>
      <c r="K456" s="29">
        <f>IF($P456="","",IF(INDEX(EntryMan,$P456)=0,"",INDEX(EntryMan,$P456)))</f>
        <v/>
      </c>
      <c r="L456" s="28">
        <f>IF($B456="","",IF($K456="","—",IF(ROUND($K456-$J456,0)=0,"√","×")))</f>
        <v/>
      </c>
      <c r="M456" s="28">
        <f>IF($B456="","",IF(COUNTIFS(EntryDates,$B456,CalcTime,$C456,CalcBank,$C$5,EntryParty,$D456,EntryDep,$H456,EntryWit,$I456)&gt;1,"تکرار",""))</f>
        <v/>
      </c>
      <c r="N456" s="28">
        <f>IF($P456="","",IF(INDEX(EntryNotes,$P456)=0,"",INDEX(EntryNotes,$P456)))</f>
        <v/>
      </c>
      <c r="O456" s="28">
        <f>IF($P456="","",IF(INDEX(EntryTxnID,$P456)=0,"",INDEX(EntryTxnID,$P456)))</f>
        <v/>
      </c>
      <c r="P456" s="28">
        <f>IFERROR(MATCH($C$5&amp;"|"&amp;RIGHT("000000"&amp;440,6),CalcRankKey,0),"")</f>
        <v/>
      </c>
    </row>
    <row r="457">
      <c r="A457" s="26">
        <f>IF($B457="","",441)</f>
        <v/>
      </c>
      <c r="B457" s="26">
        <f>IF($P457="","",IF(INDEX(CalcNormDate,$P457)=0,"",INDEX(CalcNormDate,$P457)))</f>
        <v/>
      </c>
      <c r="C457" s="26">
        <f>IF($P457="","",IF(INDEX(CalcTime,$P457)=0,"",INDEX(CalcTime,$P457)))</f>
        <v/>
      </c>
      <c r="D457" s="26">
        <f>IF($P457="","",IF(INDEX(EntryParty,$P457)=0,"",INDEX(EntryParty,$P457)))</f>
        <v/>
      </c>
      <c r="E457" s="26">
        <f>IF($P457="","",IF(INDEX(EntryPartyName,$P457)=0,"",INDEX(EntryPartyName,$P457)))</f>
        <v/>
      </c>
      <c r="F457" s="26">
        <f>IF($P457="","",IF(INDEX(EntryPartyType,$P457)=0,"",INDEX(EntryPartyType,$P457)))</f>
        <v/>
      </c>
      <c r="G457" s="26">
        <f>IF($P457="","",IF(INDEX(EntryTxnType,$P457)=0,"",INDEX(EntryTxnType,$P457)))</f>
        <v/>
      </c>
      <c r="H457" s="27">
        <f>IF($P457="","",IF(INDEX(EntryDep,$P457)=0,"",INDEX(EntryDep,$P457)))</f>
        <v/>
      </c>
      <c r="I457" s="27">
        <f>IF($P457="","",IF(INDEX(EntryWit,$P457)=0,"",INDEX(EntryWit,$P457)))</f>
        <v/>
      </c>
      <c r="J457" s="27">
        <f>IF($B457="","",IF($A457=1,$C$7,IF(J456="",0,J456))+IF($H457="",0,$H457)-IF($I457="",0,$I457))</f>
        <v/>
      </c>
      <c r="K457" s="27">
        <f>IF($P457="","",IF(INDEX(EntryMan,$P457)=0,"",INDEX(EntryMan,$P457)))</f>
        <v/>
      </c>
      <c r="L457" s="26">
        <f>IF($B457="","",IF($K457="","—",IF(ROUND($K457-$J457,0)=0,"√","×")))</f>
        <v/>
      </c>
      <c r="M457" s="26">
        <f>IF($B457="","",IF(COUNTIFS(EntryDates,$B457,CalcTime,$C457,CalcBank,$C$5,EntryParty,$D457,EntryDep,$H457,EntryWit,$I457)&gt;1,"تکرار",""))</f>
        <v/>
      </c>
      <c r="N457" s="26">
        <f>IF($P457="","",IF(INDEX(EntryNotes,$P457)=0,"",INDEX(EntryNotes,$P457)))</f>
        <v/>
      </c>
      <c r="O457" s="26">
        <f>IF($P457="","",IF(INDEX(EntryTxnID,$P457)=0,"",INDEX(EntryTxnID,$P457)))</f>
        <v/>
      </c>
      <c r="P457" s="26">
        <f>IFERROR(MATCH($C$5&amp;"|"&amp;RIGHT("000000"&amp;441,6),CalcRankKey,0),"")</f>
        <v/>
      </c>
    </row>
    <row r="458">
      <c r="A458" s="28">
        <f>IF($B458="","",442)</f>
        <v/>
      </c>
      <c r="B458" s="28">
        <f>IF($P458="","",IF(INDEX(CalcNormDate,$P458)=0,"",INDEX(CalcNormDate,$P458)))</f>
        <v/>
      </c>
      <c r="C458" s="28">
        <f>IF($P458="","",IF(INDEX(CalcTime,$P458)=0,"",INDEX(CalcTime,$P458)))</f>
        <v/>
      </c>
      <c r="D458" s="28">
        <f>IF($P458="","",IF(INDEX(EntryParty,$P458)=0,"",INDEX(EntryParty,$P458)))</f>
        <v/>
      </c>
      <c r="E458" s="28">
        <f>IF($P458="","",IF(INDEX(EntryPartyName,$P458)=0,"",INDEX(EntryPartyName,$P458)))</f>
        <v/>
      </c>
      <c r="F458" s="28">
        <f>IF($P458="","",IF(INDEX(EntryPartyType,$P458)=0,"",INDEX(EntryPartyType,$P458)))</f>
        <v/>
      </c>
      <c r="G458" s="28">
        <f>IF($P458="","",IF(INDEX(EntryTxnType,$P458)=0,"",INDEX(EntryTxnType,$P458)))</f>
        <v/>
      </c>
      <c r="H458" s="29">
        <f>IF($P458="","",IF(INDEX(EntryDep,$P458)=0,"",INDEX(EntryDep,$P458)))</f>
        <v/>
      </c>
      <c r="I458" s="29">
        <f>IF($P458="","",IF(INDEX(EntryWit,$P458)=0,"",INDEX(EntryWit,$P458)))</f>
        <v/>
      </c>
      <c r="J458" s="29">
        <f>IF($B458="","",IF($A458=1,$C$7,IF(J457="",0,J457))+IF($H458="",0,$H458)-IF($I458="",0,$I458))</f>
        <v/>
      </c>
      <c r="K458" s="29">
        <f>IF($P458="","",IF(INDEX(EntryMan,$P458)=0,"",INDEX(EntryMan,$P458)))</f>
        <v/>
      </c>
      <c r="L458" s="28">
        <f>IF($B458="","",IF($K458="","—",IF(ROUND($K458-$J458,0)=0,"√","×")))</f>
        <v/>
      </c>
      <c r="M458" s="28">
        <f>IF($B458="","",IF(COUNTIFS(EntryDates,$B458,CalcTime,$C458,CalcBank,$C$5,EntryParty,$D458,EntryDep,$H458,EntryWit,$I458)&gt;1,"تکرار",""))</f>
        <v/>
      </c>
      <c r="N458" s="28">
        <f>IF($P458="","",IF(INDEX(EntryNotes,$P458)=0,"",INDEX(EntryNotes,$P458)))</f>
        <v/>
      </c>
      <c r="O458" s="28">
        <f>IF($P458="","",IF(INDEX(EntryTxnID,$P458)=0,"",INDEX(EntryTxnID,$P458)))</f>
        <v/>
      </c>
      <c r="P458" s="28">
        <f>IFERROR(MATCH($C$5&amp;"|"&amp;RIGHT("000000"&amp;442,6),CalcRankKey,0),"")</f>
        <v/>
      </c>
    </row>
    <row r="459">
      <c r="A459" s="26">
        <f>IF($B459="","",443)</f>
        <v/>
      </c>
      <c r="B459" s="26">
        <f>IF($P459="","",IF(INDEX(CalcNormDate,$P459)=0,"",INDEX(CalcNormDate,$P459)))</f>
        <v/>
      </c>
      <c r="C459" s="26">
        <f>IF($P459="","",IF(INDEX(CalcTime,$P459)=0,"",INDEX(CalcTime,$P459)))</f>
        <v/>
      </c>
      <c r="D459" s="26">
        <f>IF($P459="","",IF(INDEX(EntryParty,$P459)=0,"",INDEX(EntryParty,$P459)))</f>
        <v/>
      </c>
      <c r="E459" s="26">
        <f>IF($P459="","",IF(INDEX(EntryPartyName,$P459)=0,"",INDEX(EntryPartyName,$P459)))</f>
        <v/>
      </c>
      <c r="F459" s="26">
        <f>IF($P459="","",IF(INDEX(EntryPartyType,$P459)=0,"",INDEX(EntryPartyType,$P459)))</f>
        <v/>
      </c>
      <c r="G459" s="26">
        <f>IF($P459="","",IF(INDEX(EntryTxnType,$P459)=0,"",INDEX(EntryTxnType,$P459)))</f>
        <v/>
      </c>
      <c r="H459" s="27">
        <f>IF($P459="","",IF(INDEX(EntryDep,$P459)=0,"",INDEX(EntryDep,$P459)))</f>
        <v/>
      </c>
      <c r="I459" s="27">
        <f>IF($P459="","",IF(INDEX(EntryWit,$P459)=0,"",INDEX(EntryWit,$P459)))</f>
        <v/>
      </c>
      <c r="J459" s="27">
        <f>IF($B459="","",IF($A459=1,$C$7,IF(J458="",0,J458))+IF($H459="",0,$H459)-IF($I459="",0,$I459))</f>
        <v/>
      </c>
      <c r="K459" s="27">
        <f>IF($P459="","",IF(INDEX(EntryMan,$P459)=0,"",INDEX(EntryMan,$P459)))</f>
        <v/>
      </c>
      <c r="L459" s="26">
        <f>IF($B459="","",IF($K459="","—",IF(ROUND($K459-$J459,0)=0,"√","×")))</f>
        <v/>
      </c>
      <c r="M459" s="26">
        <f>IF($B459="","",IF(COUNTIFS(EntryDates,$B459,CalcTime,$C459,CalcBank,$C$5,EntryParty,$D459,EntryDep,$H459,EntryWit,$I459)&gt;1,"تکرار",""))</f>
        <v/>
      </c>
      <c r="N459" s="26">
        <f>IF($P459="","",IF(INDEX(EntryNotes,$P459)=0,"",INDEX(EntryNotes,$P459)))</f>
        <v/>
      </c>
      <c r="O459" s="26">
        <f>IF($P459="","",IF(INDEX(EntryTxnID,$P459)=0,"",INDEX(EntryTxnID,$P459)))</f>
        <v/>
      </c>
      <c r="P459" s="26">
        <f>IFERROR(MATCH($C$5&amp;"|"&amp;RIGHT("000000"&amp;443,6),CalcRankKey,0),"")</f>
        <v/>
      </c>
    </row>
    <row r="460">
      <c r="A460" s="28">
        <f>IF($B460="","",444)</f>
        <v/>
      </c>
      <c r="B460" s="28">
        <f>IF($P460="","",IF(INDEX(CalcNormDate,$P460)=0,"",INDEX(CalcNormDate,$P460)))</f>
        <v/>
      </c>
      <c r="C460" s="28">
        <f>IF($P460="","",IF(INDEX(CalcTime,$P460)=0,"",INDEX(CalcTime,$P460)))</f>
        <v/>
      </c>
      <c r="D460" s="28">
        <f>IF($P460="","",IF(INDEX(EntryParty,$P460)=0,"",INDEX(EntryParty,$P460)))</f>
        <v/>
      </c>
      <c r="E460" s="28">
        <f>IF($P460="","",IF(INDEX(EntryPartyName,$P460)=0,"",INDEX(EntryPartyName,$P460)))</f>
        <v/>
      </c>
      <c r="F460" s="28">
        <f>IF($P460="","",IF(INDEX(EntryPartyType,$P460)=0,"",INDEX(EntryPartyType,$P460)))</f>
        <v/>
      </c>
      <c r="G460" s="28">
        <f>IF($P460="","",IF(INDEX(EntryTxnType,$P460)=0,"",INDEX(EntryTxnType,$P460)))</f>
        <v/>
      </c>
      <c r="H460" s="29">
        <f>IF($P460="","",IF(INDEX(EntryDep,$P460)=0,"",INDEX(EntryDep,$P460)))</f>
        <v/>
      </c>
      <c r="I460" s="29">
        <f>IF($P460="","",IF(INDEX(EntryWit,$P460)=0,"",INDEX(EntryWit,$P460)))</f>
        <v/>
      </c>
      <c r="J460" s="29">
        <f>IF($B460="","",IF($A460=1,$C$7,IF(J459="",0,J459))+IF($H460="",0,$H460)-IF($I460="",0,$I460))</f>
        <v/>
      </c>
      <c r="K460" s="29">
        <f>IF($P460="","",IF(INDEX(EntryMan,$P460)=0,"",INDEX(EntryMan,$P460)))</f>
        <v/>
      </c>
      <c r="L460" s="28">
        <f>IF($B460="","",IF($K460="","—",IF(ROUND($K460-$J460,0)=0,"√","×")))</f>
        <v/>
      </c>
      <c r="M460" s="28">
        <f>IF($B460="","",IF(COUNTIFS(EntryDates,$B460,CalcTime,$C460,CalcBank,$C$5,EntryParty,$D460,EntryDep,$H460,EntryWit,$I460)&gt;1,"تکرار",""))</f>
        <v/>
      </c>
      <c r="N460" s="28">
        <f>IF($P460="","",IF(INDEX(EntryNotes,$P460)=0,"",INDEX(EntryNotes,$P460)))</f>
        <v/>
      </c>
      <c r="O460" s="28">
        <f>IF($P460="","",IF(INDEX(EntryTxnID,$P460)=0,"",INDEX(EntryTxnID,$P460)))</f>
        <v/>
      </c>
      <c r="P460" s="28">
        <f>IFERROR(MATCH($C$5&amp;"|"&amp;RIGHT("000000"&amp;444,6),CalcRankKey,0),"")</f>
        <v/>
      </c>
    </row>
    <row r="461">
      <c r="A461" s="26">
        <f>IF($B461="","",445)</f>
        <v/>
      </c>
      <c r="B461" s="26">
        <f>IF($P461="","",IF(INDEX(CalcNormDate,$P461)=0,"",INDEX(CalcNormDate,$P461)))</f>
        <v/>
      </c>
      <c r="C461" s="26">
        <f>IF($P461="","",IF(INDEX(CalcTime,$P461)=0,"",INDEX(CalcTime,$P461)))</f>
        <v/>
      </c>
      <c r="D461" s="26">
        <f>IF($P461="","",IF(INDEX(EntryParty,$P461)=0,"",INDEX(EntryParty,$P461)))</f>
        <v/>
      </c>
      <c r="E461" s="26">
        <f>IF($P461="","",IF(INDEX(EntryPartyName,$P461)=0,"",INDEX(EntryPartyName,$P461)))</f>
        <v/>
      </c>
      <c r="F461" s="26">
        <f>IF($P461="","",IF(INDEX(EntryPartyType,$P461)=0,"",INDEX(EntryPartyType,$P461)))</f>
        <v/>
      </c>
      <c r="G461" s="26">
        <f>IF($P461="","",IF(INDEX(EntryTxnType,$P461)=0,"",INDEX(EntryTxnType,$P461)))</f>
        <v/>
      </c>
      <c r="H461" s="27">
        <f>IF($P461="","",IF(INDEX(EntryDep,$P461)=0,"",INDEX(EntryDep,$P461)))</f>
        <v/>
      </c>
      <c r="I461" s="27">
        <f>IF($P461="","",IF(INDEX(EntryWit,$P461)=0,"",INDEX(EntryWit,$P461)))</f>
        <v/>
      </c>
      <c r="J461" s="27">
        <f>IF($B461="","",IF($A461=1,$C$7,IF(J460="",0,J460))+IF($H461="",0,$H461)-IF($I461="",0,$I461))</f>
        <v/>
      </c>
      <c r="K461" s="27">
        <f>IF($P461="","",IF(INDEX(EntryMan,$P461)=0,"",INDEX(EntryMan,$P461)))</f>
        <v/>
      </c>
      <c r="L461" s="26">
        <f>IF($B461="","",IF($K461="","—",IF(ROUND($K461-$J461,0)=0,"√","×")))</f>
        <v/>
      </c>
      <c r="M461" s="26">
        <f>IF($B461="","",IF(COUNTIFS(EntryDates,$B461,CalcTime,$C461,CalcBank,$C$5,EntryParty,$D461,EntryDep,$H461,EntryWit,$I461)&gt;1,"تکرار",""))</f>
        <v/>
      </c>
      <c r="N461" s="26">
        <f>IF($P461="","",IF(INDEX(EntryNotes,$P461)=0,"",INDEX(EntryNotes,$P461)))</f>
        <v/>
      </c>
      <c r="O461" s="26">
        <f>IF($P461="","",IF(INDEX(EntryTxnID,$P461)=0,"",INDEX(EntryTxnID,$P461)))</f>
        <v/>
      </c>
      <c r="P461" s="26">
        <f>IFERROR(MATCH($C$5&amp;"|"&amp;RIGHT("000000"&amp;445,6),CalcRankKey,0),"")</f>
        <v/>
      </c>
    </row>
    <row r="462">
      <c r="A462" s="28">
        <f>IF($B462="","",446)</f>
        <v/>
      </c>
      <c r="B462" s="28">
        <f>IF($P462="","",IF(INDEX(CalcNormDate,$P462)=0,"",INDEX(CalcNormDate,$P462)))</f>
        <v/>
      </c>
      <c r="C462" s="28">
        <f>IF($P462="","",IF(INDEX(CalcTime,$P462)=0,"",INDEX(CalcTime,$P462)))</f>
        <v/>
      </c>
      <c r="D462" s="28">
        <f>IF($P462="","",IF(INDEX(EntryParty,$P462)=0,"",INDEX(EntryParty,$P462)))</f>
        <v/>
      </c>
      <c r="E462" s="28">
        <f>IF($P462="","",IF(INDEX(EntryPartyName,$P462)=0,"",INDEX(EntryPartyName,$P462)))</f>
        <v/>
      </c>
      <c r="F462" s="28">
        <f>IF($P462="","",IF(INDEX(EntryPartyType,$P462)=0,"",INDEX(EntryPartyType,$P462)))</f>
        <v/>
      </c>
      <c r="G462" s="28">
        <f>IF($P462="","",IF(INDEX(EntryTxnType,$P462)=0,"",INDEX(EntryTxnType,$P462)))</f>
        <v/>
      </c>
      <c r="H462" s="29">
        <f>IF($P462="","",IF(INDEX(EntryDep,$P462)=0,"",INDEX(EntryDep,$P462)))</f>
        <v/>
      </c>
      <c r="I462" s="29">
        <f>IF($P462="","",IF(INDEX(EntryWit,$P462)=0,"",INDEX(EntryWit,$P462)))</f>
        <v/>
      </c>
      <c r="J462" s="29">
        <f>IF($B462="","",IF($A462=1,$C$7,IF(J461="",0,J461))+IF($H462="",0,$H462)-IF($I462="",0,$I462))</f>
        <v/>
      </c>
      <c r="K462" s="29">
        <f>IF($P462="","",IF(INDEX(EntryMan,$P462)=0,"",INDEX(EntryMan,$P462)))</f>
        <v/>
      </c>
      <c r="L462" s="28">
        <f>IF($B462="","",IF($K462="","—",IF(ROUND($K462-$J462,0)=0,"√","×")))</f>
        <v/>
      </c>
      <c r="M462" s="28">
        <f>IF($B462="","",IF(COUNTIFS(EntryDates,$B462,CalcTime,$C462,CalcBank,$C$5,EntryParty,$D462,EntryDep,$H462,EntryWit,$I462)&gt;1,"تکرار",""))</f>
        <v/>
      </c>
      <c r="N462" s="28">
        <f>IF($P462="","",IF(INDEX(EntryNotes,$P462)=0,"",INDEX(EntryNotes,$P462)))</f>
        <v/>
      </c>
      <c r="O462" s="28">
        <f>IF($P462="","",IF(INDEX(EntryTxnID,$P462)=0,"",INDEX(EntryTxnID,$P462)))</f>
        <v/>
      </c>
      <c r="P462" s="28">
        <f>IFERROR(MATCH($C$5&amp;"|"&amp;RIGHT("000000"&amp;446,6),CalcRankKey,0),"")</f>
        <v/>
      </c>
    </row>
    <row r="463">
      <c r="A463" s="26">
        <f>IF($B463="","",447)</f>
        <v/>
      </c>
      <c r="B463" s="26">
        <f>IF($P463="","",IF(INDEX(CalcNormDate,$P463)=0,"",INDEX(CalcNormDate,$P463)))</f>
        <v/>
      </c>
      <c r="C463" s="26">
        <f>IF($P463="","",IF(INDEX(CalcTime,$P463)=0,"",INDEX(CalcTime,$P463)))</f>
        <v/>
      </c>
      <c r="D463" s="26">
        <f>IF($P463="","",IF(INDEX(EntryParty,$P463)=0,"",INDEX(EntryParty,$P463)))</f>
        <v/>
      </c>
      <c r="E463" s="26">
        <f>IF($P463="","",IF(INDEX(EntryPartyName,$P463)=0,"",INDEX(EntryPartyName,$P463)))</f>
        <v/>
      </c>
      <c r="F463" s="26">
        <f>IF($P463="","",IF(INDEX(EntryPartyType,$P463)=0,"",INDEX(EntryPartyType,$P463)))</f>
        <v/>
      </c>
      <c r="G463" s="26">
        <f>IF($P463="","",IF(INDEX(EntryTxnType,$P463)=0,"",INDEX(EntryTxnType,$P463)))</f>
        <v/>
      </c>
      <c r="H463" s="27">
        <f>IF($P463="","",IF(INDEX(EntryDep,$P463)=0,"",INDEX(EntryDep,$P463)))</f>
        <v/>
      </c>
      <c r="I463" s="27">
        <f>IF($P463="","",IF(INDEX(EntryWit,$P463)=0,"",INDEX(EntryWit,$P463)))</f>
        <v/>
      </c>
      <c r="J463" s="27">
        <f>IF($B463="","",IF($A463=1,$C$7,IF(J462="",0,J462))+IF($H463="",0,$H463)-IF($I463="",0,$I463))</f>
        <v/>
      </c>
      <c r="K463" s="27">
        <f>IF($P463="","",IF(INDEX(EntryMan,$P463)=0,"",INDEX(EntryMan,$P463)))</f>
        <v/>
      </c>
      <c r="L463" s="26">
        <f>IF($B463="","",IF($K463="","—",IF(ROUND($K463-$J463,0)=0,"√","×")))</f>
        <v/>
      </c>
      <c r="M463" s="26">
        <f>IF($B463="","",IF(COUNTIFS(EntryDates,$B463,CalcTime,$C463,CalcBank,$C$5,EntryParty,$D463,EntryDep,$H463,EntryWit,$I463)&gt;1,"تکرار",""))</f>
        <v/>
      </c>
      <c r="N463" s="26">
        <f>IF($P463="","",IF(INDEX(EntryNotes,$P463)=0,"",INDEX(EntryNotes,$P463)))</f>
        <v/>
      </c>
      <c r="O463" s="26">
        <f>IF($P463="","",IF(INDEX(EntryTxnID,$P463)=0,"",INDEX(EntryTxnID,$P463)))</f>
        <v/>
      </c>
      <c r="P463" s="26">
        <f>IFERROR(MATCH($C$5&amp;"|"&amp;RIGHT("000000"&amp;447,6),CalcRankKey,0),"")</f>
        <v/>
      </c>
    </row>
    <row r="464">
      <c r="A464" s="28">
        <f>IF($B464="","",448)</f>
        <v/>
      </c>
      <c r="B464" s="28">
        <f>IF($P464="","",IF(INDEX(CalcNormDate,$P464)=0,"",INDEX(CalcNormDate,$P464)))</f>
        <v/>
      </c>
      <c r="C464" s="28">
        <f>IF($P464="","",IF(INDEX(CalcTime,$P464)=0,"",INDEX(CalcTime,$P464)))</f>
        <v/>
      </c>
      <c r="D464" s="28">
        <f>IF($P464="","",IF(INDEX(EntryParty,$P464)=0,"",INDEX(EntryParty,$P464)))</f>
        <v/>
      </c>
      <c r="E464" s="28">
        <f>IF($P464="","",IF(INDEX(EntryPartyName,$P464)=0,"",INDEX(EntryPartyName,$P464)))</f>
        <v/>
      </c>
      <c r="F464" s="28">
        <f>IF($P464="","",IF(INDEX(EntryPartyType,$P464)=0,"",INDEX(EntryPartyType,$P464)))</f>
        <v/>
      </c>
      <c r="G464" s="28">
        <f>IF($P464="","",IF(INDEX(EntryTxnType,$P464)=0,"",INDEX(EntryTxnType,$P464)))</f>
        <v/>
      </c>
      <c r="H464" s="29">
        <f>IF($P464="","",IF(INDEX(EntryDep,$P464)=0,"",INDEX(EntryDep,$P464)))</f>
        <v/>
      </c>
      <c r="I464" s="29">
        <f>IF($P464="","",IF(INDEX(EntryWit,$P464)=0,"",INDEX(EntryWit,$P464)))</f>
        <v/>
      </c>
      <c r="J464" s="29">
        <f>IF($B464="","",IF($A464=1,$C$7,IF(J463="",0,J463))+IF($H464="",0,$H464)-IF($I464="",0,$I464))</f>
        <v/>
      </c>
      <c r="K464" s="29">
        <f>IF($P464="","",IF(INDEX(EntryMan,$P464)=0,"",INDEX(EntryMan,$P464)))</f>
        <v/>
      </c>
      <c r="L464" s="28">
        <f>IF($B464="","",IF($K464="","—",IF(ROUND($K464-$J464,0)=0,"√","×")))</f>
        <v/>
      </c>
      <c r="M464" s="28">
        <f>IF($B464="","",IF(COUNTIFS(EntryDates,$B464,CalcTime,$C464,CalcBank,$C$5,EntryParty,$D464,EntryDep,$H464,EntryWit,$I464)&gt;1,"تکرار",""))</f>
        <v/>
      </c>
      <c r="N464" s="28">
        <f>IF($P464="","",IF(INDEX(EntryNotes,$P464)=0,"",INDEX(EntryNotes,$P464)))</f>
        <v/>
      </c>
      <c r="O464" s="28">
        <f>IF($P464="","",IF(INDEX(EntryTxnID,$P464)=0,"",INDEX(EntryTxnID,$P464)))</f>
        <v/>
      </c>
      <c r="P464" s="28">
        <f>IFERROR(MATCH($C$5&amp;"|"&amp;RIGHT("000000"&amp;448,6),CalcRankKey,0),"")</f>
        <v/>
      </c>
    </row>
    <row r="465">
      <c r="A465" s="26">
        <f>IF($B465="","",449)</f>
        <v/>
      </c>
      <c r="B465" s="26">
        <f>IF($P465="","",IF(INDEX(CalcNormDate,$P465)=0,"",INDEX(CalcNormDate,$P465)))</f>
        <v/>
      </c>
      <c r="C465" s="26">
        <f>IF($P465="","",IF(INDEX(CalcTime,$P465)=0,"",INDEX(CalcTime,$P465)))</f>
        <v/>
      </c>
      <c r="D465" s="26">
        <f>IF($P465="","",IF(INDEX(EntryParty,$P465)=0,"",INDEX(EntryParty,$P465)))</f>
        <v/>
      </c>
      <c r="E465" s="26">
        <f>IF($P465="","",IF(INDEX(EntryPartyName,$P465)=0,"",INDEX(EntryPartyName,$P465)))</f>
        <v/>
      </c>
      <c r="F465" s="26">
        <f>IF($P465="","",IF(INDEX(EntryPartyType,$P465)=0,"",INDEX(EntryPartyType,$P465)))</f>
        <v/>
      </c>
      <c r="G465" s="26">
        <f>IF($P465="","",IF(INDEX(EntryTxnType,$P465)=0,"",INDEX(EntryTxnType,$P465)))</f>
        <v/>
      </c>
      <c r="H465" s="27">
        <f>IF($P465="","",IF(INDEX(EntryDep,$P465)=0,"",INDEX(EntryDep,$P465)))</f>
        <v/>
      </c>
      <c r="I465" s="27">
        <f>IF($P465="","",IF(INDEX(EntryWit,$P465)=0,"",INDEX(EntryWit,$P465)))</f>
        <v/>
      </c>
      <c r="J465" s="27">
        <f>IF($B465="","",IF($A465=1,$C$7,IF(J464="",0,J464))+IF($H465="",0,$H465)-IF($I465="",0,$I465))</f>
        <v/>
      </c>
      <c r="K465" s="27">
        <f>IF($P465="","",IF(INDEX(EntryMan,$P465)=0,"",INDEX(EntryMan,$P465)))</f>
        <v/>
      </c>
      <c r="L465" s="26">
        <f>IF($B465="","",IF($K465="","—",IF(ROUND($K465-$J465,0)=0,"√","×")))</f>
        <v/>
      </c>
      <c r="M465" s="26">
        <f>IF($B465="","",IF(COUNTIFS(EntryDates,$B465,CalcTime,$C465,CalcBank,$C$5,EntryParty,$D465,EntryDep,$H465,EntryWit,$I465)&gt;1,"تکرار",""))</f>
        <v/>
      </c>
      <c r="N465" s="26">
        <f>IF($P465="","",IF(INDEX(EntryNotes,$P465)=0,"",INDEX(EntryNotes,$P465)))</f>
        <v/>
      </c>
      <c r="O465" s="26">
        <f>IF($P465="","",IF(INDEX(EntryTxnID,$P465)=0,"",INDEX(EntryTxnID,$P465)))</f>
        <v/>
      </c>
      <c r="P465" s="26">
        <f>IFERROR(MATCH($C$5&amp;"|"&amp;RIGHT("000000"&amp;449,6),CalcRankKey,0),"")</f>
        <v/>
      </c>
    </row>
    <row r="466">
      <c r="A466" s="28">
        <f>IF($B466="","",450)</f>
        <v/>
      </c>
      <c r="B466" s="28">
        <f>IF($P466="","",IF(INDEX(CalcNormDate,$P466)=0,"",INDEX(CalcNormDate,$P466)))</f>
        <v/>
      </c>
      <c r="C466" s="28">
        <f>IF($P466="","",IF(INDEX(CalcTime,$P466)=0,"",INDEX(CalcTime,$P466)))</f>
        <v/>
      </c>
      <c r="D466" s="28">
        <f>IF($P466="","",IF(INDEX(EntryParty,$P466)=0,"",INDEX(EntryParty,$P466)))</f>
        <v/>
      </c>
      <c r="E466" s="28">
        <f>IF($P466="","",IF(INDEX(EntryPartyName,$P466)=0,"",INDEX(EntryPartyName,$P466)))</f>
        <v/>
      </c>
      <c r="F466" s="28">
        <f>IF($P466="","",IF(INDEX(EntryPartyType,$P466)=0,"",INDEX(EntryPartyType,$P466)))</f>
        <v/>
      </c>
      <c r="G466" s="28">
        <f>IF($P466="","",IF(INDEX(EntryTxnType,$P466)=0,"",INDEX(EntryTxnType,$P466)))</f>
        <v/>
      </c>
      <c r="H466" s="29">
        <f>IF($P466="","",IF(INDEX(EntryDep,$P466)=0,"",INDEX(EntryDep,$P466)))</f>
        <v/>
      </c>
      <c r="I466" s="29">
        <f>IF($P466="","",IF(INDEX(EntryWit,$P466)=0,"",INDEX(EntryWit,$P466)))</f>
        <v/>
      </c>
      <c r="J466" s="29">
        <f>IF($B466="","",IF($A466=1,$C$7,IF(J465="",0,J465))+IF($H466="",0,$H466)-IF($I466="",0,$I466))</f>
        <v/>
      </c>
      <c r="K466" s="29">
        <f>IF($P466="","",IF(INDEX(EntryMan,$P466)=0,"",INDEX(EntryMan,$P466)))</f>
        <v/>
      </c>
      <c r="L466" s="28">
        <f>IF($B466="","",IF($K466="","—",IF(ROUND($K466-$J466,0)=0,"√","×")))</f>
        <v/>
      </c>
      <c r="M466" s="28">
        <f>IF($B466="","",IF(COUNTIFS(EntryDates,$B466,CalcTime,$C466,CalcBank,$C$5,EntryParty,$D466,EntryDep,$H466,EntryWit,$I466)&gt;1,"تکرار",""))</f>
        <v/>
      </c>
      <c r="N466" s="28">
        <f>IF($P466="","",IF(INDEX(EntryNotes,$P466)=0,"",INDEX(EntryNotes,$P466)))</f>
        <v/>
      </c>
      <c r="O466" s="28">
        <f>IF($P466="","",IF(INDEX(EntryTxnID,$P466)=0,"",INDEX(EntryTxnID,$P466)))</f>
        <v/>
      </c>
      <c r="P466" s="28">
        <f>IFERROR(MATCH($C$5&amp;"|"&amp;RIGHT("000000"&amp;450,6),CalcRankKey,0),"")</f>
        <v/>
      </c>
    </row>
    <row r="467">
      <c r="A467" s="26">
        <f>IF($B467="","",451)</f>
        <v/>
      </c>
      <c r="B467" s="26">
        <f>IF($P467="","",IF(INDEX(CalcNormDate,$P467)=0,"",INDEX(CalcNormDate,$P467)))</f>
        <v/>
      </c>
      <c r="C467" s="26">
        <f>IF($P467="","",IF(INDEX(CalcTime,$P467)=0,"",INDEX(CalcTime,$P467)))</f>
        <v/>
      </c>
      <c r="D467" s="26">
        <f>IF($P467="","",IF(INDEX(EntryParty,$P467)=0,"",INDEX(EntryParty,$P467)))</f>
        <v/>
      </c>
      <c r="E467" s="26">
        <f>IF($P467="","",IF(INDEX(EntryPartyName,$P467)=0,"",INDEX(EntryPartyName,$P467)))</f>
        <v/>
      </c>
      <c r="F467" s="26">
        <f>IF($P467="","",IF(INDEX(EntryPartyType,$P467)=0,"",INDEX(EntryPartyType,$P467)))</f>
        <v/>
      </c>
      <c r="G467" s="26">
        <f>IF($P467="","",IF(INDEX(EntryTxnType,$P467)=0,"",INDEX(EntryTxnType,$P467)))</f>
        <v/>
      </c>
      <c r="H467" s="27">
        <f>IF($P467="","",IF(INDEX(EntryDep,$P467)=0,"",INDEX(EntryDep,$P467)))</f>
        <v/>
      </c>
      <c r="I467" s="27">
        <f>IF($P467="","",IF(INDEX(EntryWit,$P467)=0,"",INDEX(EntryWit,$P467)))</f>
        <v/>
      </c>
      <c r="J467" s="27">
        <f>IF($B467="","",IF($A467=1,$C$7,IF(J466="",0,J466))+IF($H467="",0,$H467)-IF($I467="",0,$I467))</f>
        <v/>
      </c>
      <c r="K467" s="27">
        <f>IF($P467="","",IF(INDEX(EntryMan,$P467)=0,"",INDEX(EntryMan,$P467)))</f>
        <v/>
      </c>
      <c r="L467" s="26">
        <f>IF($B467="","",IF($K467="","—",IF(ROUND($K467-$J467,0)=0,"√","×")))</f>
        <v/>
      </c>
      <c r="M467" s="26">
        <f>IF($B467="","",IF(COUNTIFS(EntryDates,$B467,CalcTime,$C467,CalcBank,$C$5,EntryParty,$D467,EntryDep,$H467,EntryWit,$I467)&gt;1,"تکرار",""))</f>
        <v/>
      </c>
      <c r="N467" s="26">
        <f>IF($P467="","",IF(INDEX(EntryNotes,$P467)=0,"",INDEX(EntryNotes,$P467)))</f>
        <v/>
      </c>
      <c r="O467" s="26">
        <f>IF($P467="","",IF(INDEX(EntryTxnID,$P467)=0,"",INDEX(EntryTxnID,$P467)))</f>
        <v/>
      </c>
      <c r="P467" s="26">
        <f>IFERROR(MATCH($C$5&amp;"|"&amp;RIGHT("000000"&amp;451,6),CalcRankKey,0),"")</f>
        <v/>
      </c>
    </row>
    <row r="468">
      <c r="A468" s="28">
        <f>IF($B468="","",452)</f>
        <v/>
      </c>
      <c r="B468" s="28">
        <f>IF($P468="","",IF(INDEX(CalcNormDate,$P468)=0,"",INDEX(CalcNormDate,$P468)))</f>
        <v/>
      </c>
      <c r="C468" s="28">
        <f>IF($P468="","",IF(INDEX(CalcTime,$P468)=0,"",INDEX(CalcTime,$P468)))</f>
        <v/>
      </c>
      <c r="D468" s="28">
        <f>IF($P468="","",IF(INDEX(EntryParty,$P468)=0,"",INDEX(EntryParty,$P468)))</f>
        <v/>
      </c>
      <c r="E468" s="28">
        <f>IF($P468="","",IF(INDEX(EntryPartyName,$P468)=0,"",INDEX(EntryPartyName,$P468)))</f>
        <v/>
      </c>
      <c r="F468" s="28">
        <f>IF($P468="","",IF(INDEX(EntryPartyType,$P468)=0,"",INDEX(EntryPartyType,$P468)))</f>
        <v/>
      </c>
      <c r="G468" s="28">
        <f>IF($P468="","",IF(INDEX(EntryTxnType,$P468)=0,"",INDEX(EntryTxnType,$P468)))</f>
        <v/>
      </c>
      <c r="H468" s="29">
        <f>IF($P468="","",IF(INDEX(EntryDep,$P468)=0,"",INDEX(EntryDep,$P468)))</f>
        <v/>
      </c>
      <c r="I468" s="29">
        <f>IF($P468="","",IF(INDEX(EntryWit,$P468)=0,"",INDEX(EntryWit,$P468)))</f>
        <v/>
      </c>
      <c r="J468" s="29">
        <f>IF($B468="","",IF($A468=1,$C$7,IF(J467="",0,J467))+IF($H468="",0,$H468)-IF($I468="",0,$I468))</f>
        <v/>
      </c>
      <c r="K468" s="29">
        <f>IF($P468="","",IF(INDEX(EntryMan,$P468)=0,"",INDEX(EntryMan,$P468)))</f>
        <v/>
      </c>
      <c r="L468" s="28">
        <f>IF($B468="","",IF($K468="","—",IF(ROUND($K468-$J468,0)=0,"√","×")))</f>
        <v/>
      </c>
      <c r="M468" s="28">
        <f>IF($B468="","",IF(COUNTIFS(EntryDates,$B468,CalcTime,$C468,CalcBank,$C$5,EntryParty,$D468,EntryDep,$H468,EntryWit,$I468)&gt;1,"تکرار",""))</f>
        <v/>
      </c>
      <c r="N468" s="28">
        <f>IF($P468="","",IF(INDEX(EntryNotes,$P468)=0,"",INDEX(EntryNotes,$P468)))</f>
        <v/>
      </c>
      <c r="O468" s="28">
        <f>IF($P468="","",IF(INDEX(EntryTxnID,$P468)=0,"",INDEX(EntryTxnID,$P468)))</f>
        <v/>
      </c>
      <c r="P468" s="28">
        <f>IFERROR(MATCH($C$5&amp;"|"&amp;RIGHT("000000"&amp;452,6),CalcRankKey,0),"")</f>
        <v/>
      </c>
    </row>
    <row r="469">
      <c r="A469" s="26">
        <f>IF($B469="","",453)</f>
        <v/>
      </c>
      <c r="B469" s="26">
        <f>IF($P469="","",IF(INDEX(CalcNormDate,$P469)=0,"",INDEX(CalcNormDate,$P469)))</f>
        <v/>
      </c>
      <c r="C469" s="26">
        <f>IF($P469="","",IF(INDEX(CalcTime,$P469)=0,"",INDEX(CalcTime,$P469)))</f>
        <v/>
      </c>
      <c r="D469" s="26">
        <f>IF($P469="","",IF(INDEX(EntryParty,$P469)=0,"",INDEX(EntryParty,$P469)))</f>
        <v/>
      </c>
      <c r="E469" s="26">
        <f>IF($P469="","",IF(INDEX(EntryPartyName,$P469)=0,"",INDEX(EntryPartyName,$P469)))</f>
        <v/>
      </c>
      <c r="F469" s="26">
        <f>IF($P469="","",IF(INDEX(EntryPartyType,$P469)=0,"",INDEX(EntryPartyType,$P469)))</f>
        <v/>
      </c>
      <c r="G469" s="26">
        <f>IF($P469="","",IF(INDEX(EntryTxnType,$P469)=0,"",INDEX(EntryTxnType,$P469)))</f>
        <v/>
      </c>
      <c r="H469" s="27">
        <f>IF($P469="","",IF(INDEX(EntryDep,$P469)=0,"",INDEX(EntryDep,$P469)))</f>
        <v/>
      </c>
      <c r="I469" s="27">
        <f>IF($P469="","",IF(INDEX(EntryWit,$P469)=0,"",INDEX(EntryWit,$P469)))</f>
        <v/>
      </c>
      <c r="J469" s="27">
        <f>IF($B469="","",IF($A469=1,$C$7,IF(J468="",0,J468))+IF($H469="",0,$H469)-IF($I469="",0,$I469))</f>
        <v/>
      </c>
      <c r="K469" s="27">
        <f>IF($P469="","",IF(INDEX(EntryMan,$P469)=0,"",INDEX(EntryMan,$P469)))</f>
        <v/>
      </c>
      <c r="L469" s="26">
        <f>IF($B469="","",IF($K469="","—",IF(ROUND($K469-$J469,0)=0,"√","×")))</f>
        <v/>
      </c>
      <c r="M469" s="26">
        <f>IF($B469="","",IF(COUNTIFS(EntryDates,$B469,CalcTime,$C469,CalcBank,$C$5,EntryParty,$D469,EntryDep,$H469,EntryWit,$I469)&gt;1,"تکرار",""))</f>
        <v/>
      </c>
      <c r="N469" s="26">
        <f>IF($P469="","",IF(INDEX(EntryNotes,$P469)=0,"",INDEX(EntryNotes,$P469)))</f>
        <v/>
      </c>
      <c r="O469" s="26">
        <f>IF($P469="","",IF(INDEX(EntryTxnID,$P469)=0,"",INDEX(EntryTxnID,$P469)))</f>
        <v/>
      </c>
      <c r="P469" s="26">
        <f>IFERROR(MATCH($C$5&amp;"|"&amp;RIGHT("000000"&amp;453,6),CalcRankKey,0),"")</f>
        <v/>
      </c>
    </row>
    <row r="470">
      <c r="A470" s="28">
        <f>IF($B470="","",454)</f>
        <v/>
      </c>
      <c r="B470" s="28">
        <f>IF($P470="","",IF(INDEX(CalcNormDate,$P470)=0,"",INDEX(CalcNormDate,$P470)))</f>
        <v/>
      </c>
      <c r="C470" s="28">
        <f>IF($P470="","",IF(INDEX(CalcTime,$P470)=0,"",INDEX(CalcTime,$P470)))</f>
        <v/>
      </c>
      <c r="D470" s="28">
        <f>IF($P470="","",IF(INDEX(EntryParty,$P470)=0,"",INDEX(EntryParty,$P470)))</f>
        <v/>
      </c>
      <c r="E470" s="28">
        <f>IF($P470="","",IF(INDEX(EntryPartyName,$P470)=0,"",INDEX(EntryPartyName,$P470)))</f>
        <v/>
      </c>
      <c r="F470" s="28">
        <f>IF($P470="","",IF(INDEX(EntryPartyType,$P470)=0,"",INDEX(EntryPartyType,$P470)))</f>
        <v/>
      </c>
      <c r="G470" s="28">
        <f>IF($P470="","",IF(INDEX(EntryTxnType,$P470)=0,"",INDEX(EntryTxnType,$P470)))</f>
        <v/>
      </c>
      <c r="H470" s="29">
        <f>IF($P470="","",IF(INDEX(EntryDep,$P470)=0,"",INDEX(EntryDep,$P470)))</f>
        <v/>
      </c>
      <c r="I470" s="29">
        <f>IF($P470="","",IF(INDEX(EntryWit,$P470)=0,"",INDEX(EntryWit,$P470)))</f>
        <v/>
      </c>
      <c r="J470" s="29">
        <f>IF($B470="","",IF($A470=1,$C$7,IF(J469="",0,J469))+IF($H470="",0,$H470)-IF($I470="",0,$I470))</f>
        <v/>
      </c>
      <c r="K470" s="29">
        <f>IF($P470="","",IF(INDEX(EntryMan,$P470)=0,"",INDEX(EntryMan,$P470)))</f>
        <v/>
      </c>
      <c r="L470" s="28">
        <f>IF($B470="","",IF($K470="","—",IF(ROUND($K470-$J470,0)=0,"√","×")))</f>
        <v/>
      </c>
      <c r="M470" s="28">
        <f>IF($B470="","",IF(COUNTIFS(EntryDates,$B470,CalcTime,$C470,CalcBank,$C$5,EntryParty,$D470,EntryDep,$H470,EntryWit,$I470)&gt;1,"تکرار",""))</f>
        <v/>
      </c>
      <c r="N470" s="28">
        <f>IF($P470="","",IF(INDEX(EntryNotes,$P470)=0,"",INDEX(EntryNotes,$P470)))</f>
        <v/>
      </c>
      <c r="O470" s="28">
        <f>IF($P470="","",IF(INDEX(EntryTxnID,$P470)=0,"",INDEX(EntryTxnID,$P470)))</f>
        <v/>
      </c>
      <c r="P470" s="28">
        <f>IFERROR(MATCH($C$5&amp;"|"&amp;RIGHT("000000"&amp;454,6),CalcRankKey,0),"")</f>
        <v/>
      </c>
    </row>
    <row r="471">
      <c r="A471" s="26">
        <f>IF($B471="","",455)</f>
        <v/>
      </c>
      <c r="B471" s="26">
        <f>IF($P471="","",IF(INDEX(CalcNormDate,$P471)=0,"",INDEX(CalcNormDate,$P471)))</f>
        <v/>
      </c>
      <c r="C471" s="26">
        <f>IF($P471="","",IF(INDEX(CalcTime,$P471)=0,"",INDEX(CalcTime,$P471)))</f>
        <v/>
      </c>
      <c r="D471" s="26">
        <f>IF($P471="","",IF(INDEX(EntryParty,$P471)=0,"",INDEX(EntryParty,$P471)))</f>
        <v/>
      </c>
      <c r="E471" s="26">
        <f>IF($P471="","",IF(INDEX(EntryPartyName,$P471)=0,"",INDEX(EntryPartyName,$P471)))</f>
        <v/>
      </c>
      <c r="F471" s="26">
        <f>IF($P471="","",IF(INDEX(EntryPartyType,$P471)=0,"",INDEX(EntryPartyType,$P471)))</f>
        <v/>
      </c>
      <c r="G471" s="26">
        <f>IF($P471="","",IF(INDEX(EntryTxnType,$P471)=0,"",INDEX(EntryTxnType,$P471)))</f>
        <v/>
      </c>
      <c r="H471" s="27">
        <f>IF($P471="","",IF(INDEX(EntryDep,$P471)=0,"",INDEX(EntryDep,$P471)))</f>
        <v/>
      </c>
      <c r="I471" s="27">
        <f>IF($P471="","",IF(INDEX(EntryWit,$P471)=0,"",INDEX(EntryWit,$P471)))</f>
        <v/>
      </c>
      <c r="J471" s="27">
        <f>IF($B471="","",IF($A471=1,$C$7,IF(J470="",0,J470))+IF($H471="",0,$H471)-IF($I471="",0,$I471))</f>
        <v/>
      </c>
      <c r="K471" s="27">
        <f>IF($P471="","",IF(INDEX(EntryMan,$P471)=0,"",INDEX(EntryMan,$P471)))</f>
        <v/>
      </c>
      <c r="L471" s="26">
        <f>IF($B471="","",IF($K471="","—",IF(ROUND($K471-$J471,0)=0,"√","×")))</f>
        <v/>
      </c>
      <c r="M471" s="26">
        <f>IF($B471="","",IF(COUNTIFS(EntryDates,$B471,CalcTime,$C471,CalcBank,$C$5,EntryParty,$D471,EntryDep,$H471,EntryWit,$I471)&gt;1,"تکرار",""))</f>
        <v/>
      </c>
      <c r="N471" s="26">
        <f>IF($P471="","",IF(INDEX(EntryNotes,$P471)=0,"",INDEX(EntryNotes,$P471)))</f>
        <v/>
      </c>
      <c r="O471" s="26">
        <f>IF($P471="","",IF(INDEX(EntryTxnID,$P471)=0,"",INDEX(EntryTxnID,$P471)))</f>
        <v/>
      </c>
      <c r="P471" s="26">
        <f>IFERROR(MATCH($C$5&amp;"|"&amp;RIGHT("000000"&amp;455,6),CalcRankKey,0),"")</f>
        <v/>
      </c>
    </row>
    <row r="472">
      <c r="A472" s="28">
        <f>IF($B472="","",456)</f>
        <v/>
      </c>
      <c r="B472" s="28">
        <f>IF($P472="","",IF(INDEX(CalcNormDate,$P472)=0,"",INDEX(CalcNormDate,$P472)))</f>
        <v/>
      </c>
      <c r="C472" s="28">
        <f>IF($P472="","",IF(INDEX(CalcTime,$P472)=0,"",INDEX(CalcTime,$P472)))</f>
        <v/>
      </c>
      <c r="D472" s="28">
        <f>IF($P472="","",IF(INDEX(EntryParty,$P472)=0,"",INDEX(EntryParty,$P472)))</f>
        <v/>
      </c>
      <c r="E472" s="28">
        <f>IF($P472="","",IF(INDEX(EntryPartyName,$P472)=0,"",INDEX(EntryPartyName,$P472)))</f>
        <v/>
      </c>
      <c r="F472" s="28">
        <f>IF($P472="","",IF(INDEX(EntryPartyType,$P472)=0,"",INDEX(EntryPartyType,$P472)))</f>
        <v/>
      </c>
      <c r="G472" s="28">
        <f>IF($P472="","",IF(INDEX(EntryTxnType,$P472)=0,"",INDEX(EntryTxnType,$P472)))</f>
        <v/>
      </c>
      <c r="H472" s="29">
        <f>IF($P472="","",IF(INDEX(EntryDep,$P472)=0,"",INDEX(EntryDep,$P472)))</f>
        <v/>
      </c>
      <c r="I472" s="29">
        <f>IF($P472="","",IF(INDEX(EntryWit,$P472)=0,"",INDEX(EntryWit,$P472)))</f>
        <v/>
      </c>
      <c r="J472" s="29">
        <f>IF($B472="","",IF($A472=1,$C$7,IF(J471="",0,J471))+IF($H472="",0,$H472)-IF($I472="",0,$I472))</f>
        <v/>
      </c>
      <c r="K472" s="29">
        <f>IF($P472="","",IF(INDEX(EntryMan,$P472)=0,"",INDEX(EntryMan,$P472)))</f>
        <v/>
      </c>
      <c r="L472" s="28">
        <f>IF($B472="","",IF($K472="","—",IF(ROUND($K472-$J472,0)=0,"√","×")))</f>
        <v/>
      </c>
      <c r="M472" s="28">
        <f>IF($B472="","",IF(COUNTIFS(EntryDates,$B472,CalcTime,$C472,CalcBank,$C$5,EntryParty,$D472,EntryDep,$H472,EntryWit,$I472)&gt;1,"تکرار",""))</f>
        <v/>
      </c>
      <c r="N472" s="28">
        <f>IF($P472="","",IF(INDEX(EntryNotes,$P472)=0,"",INDEX(EntryNotes,$P472)))</f>
        <v/>
      </c>
      <c r="O472" s="28">
        <f>IF($P472="","",IF(INDEX(EntryTxnID,$P472)=0,"",INDEX(EntryTxnID,$P472)))</f>
        <v/>
      </c>
      <c r="P472" s="28">
        <f>IFERROR(MATCH($C$5&amp;"|"&amp;RIGHT("000000"&amp;456,6),CalcRankKey,0),"")</f>
        <v/>
      </c>
    </row>
    <row r="473">
      <c r="A473" s="26">
        <f>IF($B473="","",457)</f>
        <v/>
      </c>
      <c r="B473" s="26">
        <f>IF($P473="","",IF(INDEX(CalcNormDate,$P473)=0,"",INDEX(CalcNormDate,$P473)))</f>
        <v/>
      </c>
      <c r="C473" s="26">
        <f>IF($P473="","",IF(INDEX(CalcTime,$P473)=0,"",INDEX(CalcTime,$P473)))</f>
        <v/>
      </c>
      <c r="D473" s="26">
        <f>IF($P473="","",IF(INDEX(EntryParty,$P473)=0,"",INDEX(EntryParty,$P473)))</f>
        <v/>
      </c>
      <c r="E473" s="26">
        <f>IF($P473="","",IF(INDEX(EntryPartyName,$P473)=0,"",INDEX(EntryPartyName,$P473)))</f>
        <v/>
      </c>
      <c r="F473" s="26">
        <f>IF($P473="","",IF(INDEX(EntryPartyType,$P473)=0,"",INDEX(EntryPartyType,$P473)))</f>
        <v/>
      </c>
      <c r="G473" s="26">
        <f>IF($P473="","",IF(INDEX(EntryTxnType,$P473)=0,"",INDEX(EntryTxnType,$P473)))</f>
        <v/>
      </c>
      <c r="H473" s="27">
        <f>IF($P473="","",IF(INDEX(EntryDep,$P473)=0,"",INDEX(EntryDep,$P473)))</f>
        <v/>
      </c>
      <c r="I473" s="27">
        <f>IF($P473="","",IF(INDEX(EntryWit,$P473)=0,"",INDEX(EntryWit,$P473)))</f>
        <v/>
      </c>
      <c r="J473" s="27">
        <f>IF($B473="","",IF($A473=1,$C$7,IF(J472="",0,J472))+IF($H473="",0,$H473)-IF($I473="",0,$I473))</f>
        <v/>
      </c>
      <c r="K473" s="27">
        <f>IF($P473="","",IF(INDEX(EntryMan,$P473)=0,"",INDEX(EntryMan,$P473)))</f>
        <v/>
      </c>
      <c r="L473" s="26">
        <f>IF($B473="","",IF($K473="","—",IF(ROUND($K473-$J473,0)=0,"√","×")))</f>
        <v/>
      </c>
      <c r="M473" s="26">
        <f>IF($B473="","",IF(COUNTIFS(EntryDates,$B473,CalcTime,$C473,CalcBank,$C$5,EntryParty,$D473,EntryDep,$H473,EntryWit,$I473)&gt;1,"تکرار",""))</f>
        <v/>
      </c>
      <c r="N473" s="26">
        <f>IF($P473="","",IF(INDEX(EntryNotes,$P473)=0,"",INDEX(EntryNotes,$P473)))</f>
        <v/>
      </c>
      <c r="O473" s="26">
        <f>IF($P473="","",IF(INDEX(EntryTxnID,$P473)=0,"",INDEX(EntryTxnID,$P473)))</f>
        <v/>
      </c>
      <c r="P473" s="26">
        <f>IFERROR(MATCH($C$5&amp;"|"&amp;RIGHT("000000"&amp;457,6),CalcRankKey,0),"")</f>
        <v/>
      </c>
    </row>
    <row r="474">
      <c r="A474" s="28">
        <f>IF($B474="","",458)</f>
        <v/>
      </c>
      <c r="B474" s="28">
        <f>IF($P474="","",IF(INDEX(CalcNormDate,$P474)=0,"",INDEX(CalcNormDate,$P474)))</f>
        <v/>
      </c>
      <c r="C474" s="28">
        <f>IF($P474="","",IF(INDEX(CalcTime,$P474)=0,"",INDEX(CalcTime,$P474)))</f>
        <v/>
      </c>
      <c r="D474" s="28">
        <f>IF($P474="","",IF(INDEX(EntryParty,$P474)=0,"",INDEX(EntryParty,$P474)))</f>
        <v/>
      </c>
      <c r="E474" s="28">
        <f>IF($P474="","",IF(INDEX(EntryPartyName,$P474)=0,"",INDEX(EntryPartyName,$P474)))</f>
        <v/>
      </c>
      <c r="F474" s="28">
        <f>IF($P474="","",IF(INDEX(EntryPartyType,$P474)=0,"",INDEX(EntryPartyType,$P474)))</f>
        <v/>
      </c>
      <c r="G474" s="28">
        <f>IF($P474="","",IF(INDEX(EntryTxnType,$P474)=0,"",INDEX(EntryTxnType,$P474)))</f>
        <v/>
      </c>
      <c r="H474" s="29">
        <f>IF($P474="","",IF(INDEX(EntryDep,$P474)=0,"",INDEX(EntryDep,$P474)))</f>
        <v/>
      </c>
      <c r="I474" s="29">
        <f>IF($P474="","",IF(INDEX(EntryWit,$P474)=0,"",INDEX(EntryWit,$P474)))</f>
        <v/>
      </c>
      <c r="J474" s="29">
        <f>IF($B474="","",IF($A474=1,$C$7,IF(J473="",0,J473))+IF($H474="",0,$H474)-IF($I474="",0,$I474))</f>
        <v/>
      </c>
      <c r="K474" s="29">
        <f>IF($P474="","",IF(INDEX(EntryMan,$P474)=0,"",INDEX(EntryMan,$P474)))</f>
        <v/>
      </c>
      <c r="L474" s="28">
        <f>IF($B474="","",IF($K474="","—",IF(ROUND($K474-$J474,0)=0,"√","×")))</f>
        <v/>
      </c>
      <c r="M474" s="28">
        <f>IF($B474="","",IF(COUNTIFS(EntryDates,$B474,CalcTime,$C474,CalcBank,$C$5,EntryParty,$D474,EntryDep,$H474,EntryWit,$I474)&gt;1,"تکرار",""))</f>
        <v/>
      </c>
      <c r="N474" s="28">
        <f>IF($P474="","",IF(INDEX(EntryNotes,$P474)=0,"",INDEX(EntryNotes,$P474)))</f>
        <v/>
      </c>
      <c r="O474" s="28">
        <f>IF($P474="","",IF(INDEX(EntryTxnID,$P474)=0,"",INDEX(EntryTxnID,$P474)))</f>
        <v/>
      </c>
      <c r="P474" s="28">
        <f>IFERROR(MATCH($C$5&amp;"|"&amp;RIGHT("000000"&amp;458,6),CalcRankKey,0),"")</f>
        <v/>
      </c>
    </row>
    <row r="475">
      <c r="A475" s="26">
        <f>IF($B475="","",459)</f>
        <v/>
      </c>
      <c r="B475" s="26">
        <f>IF($P475="","",IF(INDEX(CalcNormDate,$P475)=0,"",INDEX(CalcNormDate,$P475)))</f>
        <v/>
      </c>
      <c r="C475" s="26">
        <f>IF($P475="","",IF(INDEX(CalcTime,$P475)=0,"",INDEX(CalcTime,$P475)))</f>
        <v/>
      </c>
      <c r="D475" s="26">
        <f>IF($P475="","",IF(INDEX(EntryParty,$P475)=0,"",INDEX(EntryParty,$P475)))</f>
        <v/>
      </c>
      <c r="E475" s="26">
        <f>IF($P475="","",IF(INDEX(EntryPartyName,$P475)=0,"",INDEX(EntryPartyName,$P475)))</f>
        <v/>
      </c>
      <c r="F475" s="26">
        <f>IF($P475="","",IF(INDEX(EntryPartyType,$P475)=0,"",INDEX(EntryPartyType,$P475)))</f>
        <v/>
      </c>
      <c r="G475" s="26">
        <f>IF($P475="","",IF(INDEX(EntryTxnType,$P475)=0,"",INDEX(EntryTxnType,$P475)))</f>
        <v/>
      </c>
      <c r="H475" s="27">
        <f>IF($P475="","",IF(INDEX(EntryDep,$P475)=0,"",INDEX(EntryDep,$P475)))</f>
        <v/>
      </c>
      <c r="I475" s="27">
        <f>IF($P475="","",IF(INDEX(EntryWit,$P475)=0,"",INDEX(EntryWit,$P475)))</f>
        <v/>
      </c>
      <c r="J475" s="27">
        <f>IF($B475="","",IF($A475=1,$C$7,IF(J474="",0,J474))+IF($H475="",0,$H475)-IF($I475="",0,$I475))</f>
        <v/>
      </c>
      <c r="K475" s="27">
        <f>IF($P475="","",IF(INDEX(EntryMan,$P475)=0,"",INDEX(EntryMan,$P475)))</f>
        <v/>
      </c>
      <c r="L475" s="26">
        <f>IF($B475="","",IF($K475="","—",IF(ROUND($K475-$J475,0)=0,"√","×")))</f>
        <v/>
      </c>
      <c r="M475" s="26">
        <f>IF($B475="","",IF(COUNTIFS(EntryDates,$B475,CalcTime,$C475,CalcBank,$C$5,EntryParty,$D475,EntryDep,$H475,EntryWit,$I475)&gt;1,"تکرار",""))</f>
        <v/>
      </c>
      <c r="N475" s="26">
        <f>IF($P475="","",IF(INDEX(EntryNotes,$P475)=0,"",INDEX(EntryNotes,$P475)))</f>
        <v/>
      </c>
      <c r="O475" s="26">
        <f>IF($P475="","",IF(INDEX(EntryTxnID,$P475)=0,"",INDEX(EntryTxnID,$P475)))</f>
        <v/>
      </c>
      <c r="P475" s="26">
        <f>IFERROR(MATCH($C$5&amp;"|"&amp;RIGHT("000000"&amp;459,6),CalcRankKey,0),"")</f>
        <v/>
      </c>
    </row>
    <row r="476">
      <c r="A476" s="28">
        <f>IF($B476="","",460)</f>
        <v/>
      </c>
      <c r="B476" s="28">
        <f>IF($P476="","",IF(INDEX(CalcNormDate,$P476)=0,"",INDEX(CalcNormDate,$P476)))</f>
        <v/>
      </c>
      <c r="C476" s="28">
        <f>IF($P476="","",IF(INDEX(CalcTime,$P476)=0,"",INDEX(CalcTime,$P476)))</f>
        <v/>
      </c>
      <c r="D476" s="28">
        <f>IF($P476="","",IF(INDEX(EntryParty,$P476)=0,"",INDEX(EntryParty,$P476)))</f>
        <v/>
      </c>
      <c r="E476" s="28">
        <f>IF($P476="","",IF(INDEX(EntryPartyName,$P476)=0,"",INDEX(EntryPartyName,$P476)))</f>
        <v/>
      </c>
      <c r="F476" s="28">
        <f>IF($P476="","",IF(INDEX(EntryPartyType,$P476)=0,"",INDEX(EntryPartyType,$P476)))</f>
        <v/>
      </c>
      <c r="G476" s="28">
        <f>IF($P476="","",IF(INDEX(EntryTxnType,$P476)=0,"",INDEX(EntryTxnType,$P476)))</f>
        <v/>
      </c>
      <c r="H476" s="29">
        <f>IF($P476="","",IF(INDEX(EntryDep,$P476)=0,"",INDEX(EntryDep,$P476)))</f>
        <v/>
      </c>
      <c r="I476" s="29">
        <f>IF($P476="","",IF(INDEX(EntryWit,$P476)=0,"",INDEX(EntryWit,$P476)))</f>
        <v/>
      </c>
      <c r="J476" s="29">
        <f>IF($B476="","",IF($A476=1,$C$7,IF(J475="",0,J475))+IF($H476="",0,$H476)-IF($I476="",0,$I476))</f>
        <v/>
      </c>
      <c r="K476" s="29">
        <f>IF($P476="","",IF(INDEX(EntryMan,$P476)=0,"",INDEX(EntryMan,$P476)))</f>
        <v/>
      </c>
      <c r="L476" s="28">
        <f>IF($B476="","",IF($K476="","—",IF(ROUND($K476-$J476,0)=0,"√","×")))</f>
        <v/>
      </c>
      <c r="M476" s="28">
        <f>IF($B476="","",IF(COUNTIFS(EntryDates,$B476,CalcTime,$C476,CalcBank,$C$5,EntryParty,$D476,EntryDep,$H476,EntryWit,$I476)&gt;1,"تکرار",""))</f>
        <v/>
      </c>
      <c r="N476" s="28">
        <f>IF($P476="","",IF(INDEX(EntryNotes,$P476)=0,"",INDEX(EntryNotes,$P476)))</f>
        <v/>
      </c>
      <c r="O476" s="28">
        <f>IF($P476="","",IF(INDEX(EntryTxnID,$P476)=0,"",INDEX(EntryTxnID,$P476)))</f>
        <v/>
      </c>
      <c r="P476" s="28">
        <f>IFERROR(MATCH($C$5&amp;"|"&amp;RIGHT("000000"&amp;460,6),CalcRankKey,0),"")</f>
        <v/>
      </c>
    </row>
    <row r="477">
      <c r="A477" s="26">
        <f>IF($B477="","",461)</f>
        <v/>
      </c>
      <c r="B477" s="26">
        <f>IF($P477="","",IF(INDEX(CalcNormDate,$P477)=0,"",INDEX(CalcNormDate,$P477)))</f>
        <v/>
      </c>
      <c r="C477" s="26">
        <f>IF($P477="","",IF(INDEX(CalcTime,$P477)=0,"",INDEX(CalcTime,$P477)))</f>
        <v/>
      </c>
      <c r="D477" s="26">
        <f>IF($P477="","",IF(INDEX(EntryParty,$P477)=0,"",INDEX(EntryParty,$P477)))</f>
        <v/>
      </c>
      <c r="E477" s="26">
        <f>IF($P477="","",IF(INDEX(EntryPartyName,$P477)=0,"",INDEX(EntryPartyName,$P477)))</f>
        <v/>
      </c>
      <c r="F477" s="26">
        <f>IF($P477="","",IF(INDEX(EntryPartyType,$P477)=0,"",INDEX(EntryPartyType,$P477)))</f>
        <v/>
      </c>
      <c r="G477" s="26">
        <f>IF($P477="","",IF(INDEX(EntryTxnType,$P477)=0,"",INDEX(EntryTxnType,$P477)))</f>
        <v/>
      </c>
      <c r="H477" s="27">
        <f>IF($P477="","",IF(INDEX(EntryDep,$P477)=0,"",INDEX(EntryDep,$P477)))</f>
        <v/>
      </c>
      <c r="I477" s="27">
        <f>IF($P477="","",IF(INDEX(EntryWit,$P477)=0,"",INDEX(EntryWit,$P477)))</f>
        <v/>
      </c>
      <c r="J477" s="27">
        <f>IF($B477="","",IF($A477=1,$C$7,IF(J476="",0,J476))+IF($H477="",0,$H477)-IF($I477="",0,$I477))</f>
        <v/>
      </c>
      <c r="K477" s="27">
        <f>IF($P477="","",IF(INDEX(EntryMan,$P477)=0,"",INDEX(EntryMan,$P477)))</f>
        <v/>
      </c>
      <c r="L477" s="26">
        <f>IF($B477="","",IF($K477="","—",IF(ROUND($K477-$J477,0)=0,"√","×")))</f>
        <v/>
      </c>
      <c r="M477" s="26">
        <f>IF($B477="","",IF(COUNTIFS(EntryDates,$B477,CalcTime,$C477,CalcBank,$C$5,EntryParty,$D477,EntryDep,$H477,EntryWit,$I477)&gt;1,"تکرار",""))</f>
        <v/>
      </c>
      <c r="N477" s="26">
        <f>IF($P477="","",IF(INDEX(EntryNotes,$P477)=0,"",INDEX(EntryNotes,$P477)))</f>
        <v/>
      </c>
      <c r="O477" s="26">
        <f>IF($P477="","",IF(INDEX(EntryTxnID,$P477)=0,"",INDEX(EntryTxnID,$P477)))</f>
        <v/>
      </c>
      <c r="P477" s="26">
        <f>IFERROR(MATCH($C$5&amp;"|"&amp;RIGHT("000000"&amp;461,6),CalcRankKey,0),"")</f>
        <v/>
      </c>
    </row>
    <row r="478">
      <c r="A478" s="28">
        <f>IF($B478="","",462)</f>
        <v/>
      </c>
      <c r="B478" s="28">
        <f>IF($P478="","",IF(INDEX(CalcNormDate,$P478)=0,"",INDEX(CalcNormDate,$P478)))</f>
        <v/>
      </c>
      <c r="C478" s="28">
        <f>IF($P478="","",IF(INDEX(CalcTime,$P478)=0,"",INDEX(CalcTime,$P478)))</f>
        <v/>
      </c>
      <c r="D478" s="28">
        <f>IF($P478="","",IF(INDEX(EntryParty,$P478)=0,"",INDEX(EntryParty,$P478)))</f>
        <v/>
      </c>
      <c r="E478" s="28">
        <f>IF($P478="","",IF(INDEX(EntryPartyName,$P478)=0,"",INDEX(EntryPartyName,$P478)))</f>
        <v/>
      </c>
      <c r="F478" s="28">
        <f>IF($P478="","",IF(INDEX(EntryPartyType,$P478)=0,"",INDEX(EntryPartyType,$P478)))</f>
        <v/>
      </c>
      <c r="G478" s="28">
        <f>IF($P478="","",IF(INDEX(EntryTxnType,$P478)=0,"",INDEX(EntryTxnType,$P478)))</f>
        <v/>
      </c>
      <c r="H478" s="29">
        <f>IF($P478="","",IF(INDEX(EntryDep,$P478)=0,"",INDEX(EntryDep,$P478)))</f>
        <v/>
      </c>
      <c r="I478" s="29">
        <f>IF($P478="","",IF(INDEX(EntryWit,$P478)=0,"",INDEX(EntryWit,$P478)))</f>
        <v/>
      </c>
      <c r="J478" s="29">
        <f>IF($B478="","",IF($A478=1,$C$7,IF(J477="",0,J477))+IF($H478="",0,$H478)-IF($I478="",0,$I478))</f>
        <v/>
      </c>
      <c r="K478" s="29">
        <f>IF($P478="","",IF(INDEX(EntryMan,$P478)=0,"",INDEX(EntryMan,$P478)))</f>
        <v/>
      </c>
      <c r="L478" s="28">
        <f>IF($B478="","",IF($K478="","—",IF(ROUND($K478-$J478,0)=0,"√","×")))</f>
        <v/>
      </c>
      <c r="M478" s="28">
        <f>IF($B478="","",IF(COUNTIFS(EntryDates,$B478,CalcTime,$C478,CalcBank,$C$5,EntryParty,$D478,EntryDep,$H478,EntryWit,$I478)&gt;1,"تکرار",""))</f>
        <v/>
      </c>
      <c r="N478" s="28">
        <f>IF($P478="","",IF(INDEX(EntryNotes,$P478)=0,"",INDEX(EntryNotes,$P478)))</f>
        <v/>
      </c>
      <c r="O478" s="28">
        <f>IF($P478="","",IF(INDEX(EntryTxnID,$P478)=0,"",INDEX(EntryTxnID,$P478)))</f>
        <v/>
      </c>
      <c r="P478" s="28">
        <f>IFERROR(MATCH($C$5&amp;"|"&amp;RIGHT("000000"&amp;462,6),CalcRankKey,0),"")</f>
        <v/>
      </c>
    </row>
    <row r="479">
      <c r="A479" s="26">
        <f>IF($B479="","",463)</f>
        <v/>
      </c>
      <c r="B479" s="26">
        <f>IF($P479="","",IF(INDEX(CalcNormDate,$P479)=0,"",INDEX(CalcNormDate,$P479)))</f>
        <v/>
      </c>
      <c r="C479" s="26">
        <f>IF($P479="","",IF(INDEX(CalcTime,$P479)=0,"",INDEX(CalcTime,$P479)))</f>
        <v/>
      </c>
      <c r="D479" s="26">
        <f>IF($P479="","",IF(INDEX(EntryParty,$P479)=0,"",INDEX(EntryParty,$P479)))</f>
        <v/>
      </c>
      <c r="E479" s="26">
        <f>IF($P479="","",IF(INDEX(EntryPartyName,$P479)=0,"",INDEX(EntryPartyName,$P479)))</f>
        <v/>
      </c>
      <c r="F479" s="26">
        <f>IF($P479="","",IF(INDEX(EntryPartyType,$P479)=0,"",INDEX(EntryPartyType,$P479)))</f>
        <v/>
      </c>
      <c r="G479" s="26">
        <f>IF($P479="","",IF(INDEX(EntryTxnType,$P479)=0,"",INDEX(EntryTxnType,$P479)))</f>
        <v/>
      </c>
      <c r="H479" s="27">
        <f>IF($P479="","",IF(INDEX(EntryDep,$P479)=0,"",INDEX(EntryDep,$P479)))</f>
        <v/>
      </c>
      <c r="I479" s="27">
        <f>IF($P479="","",IF(INDEX(EntryWit,$P479)=0,"",INDEX(EntryWit,$P479)))</f>
        <v/>
      </c>
      <c r="J479" s="27">
        <f>IF($B479="","",IF($A479=1,$C$7,IF(J478="",0,J478))+IF($H479="",0,$H479)-IF($I479="",0,$I479))</f>
        <v/>
      </c>
      <c r="K479" s="27">
        <f>IF($P479="","",IF(INDEX(EntryMan,$P479)=0,"",INDEX(EntryMan,$P479)))</f>
        <v/>
      </c>
      <c r="L479" s="26">
        <f>IF($B479="","",IF($K479="","—",IF(ROUND($K479-$J479,0)=0,"√","×")))</f>
        <v/>
      </c>
      <c r="M479" s="26">
        <f>IF($B479="","",IF(COUNTIFS(EntryDates,$B479,CalcTime,$C479,CalcBank,$C$5,EntryParty,$D479,EntryDep,$H479,EntryWit,$I479)&gt;1,"تکرار",""))</f>
        <v/>
      </c>
      <c r="N479" s="26">
        <f>IF($P479="","",IF(INDEX(EntryNotes,$P479)=0,"",INDEX(EntryNotes,$P479)))</f>
        <v/>
      </c>
      <c r="O479" s="26">
        <f>IF($P479="","",IF(INDEX(EntryTxnID,$P479)=0,"",INDEX(EntryTxnID,$P479)))</f>
        <v/>
      </c>
      <c r="P479" s="26">
        <f>IFERROR(MATCH($C$5&amp;"|"&amp;RIGHT("000000"&amp;463,6),CalcRankKey,0),"")</f>
        <v/>
      </c>
    </row>
    <row r="480">
      <c r="A480" s="28">
        <f>IF($B480="","",464)</f>
        <v/>
      </c>
      <c r="B480" s="28">
        <f>IF($P480="","",IF(INDEX(CalcNormDate,$P480)=0,"",INDEX(CalcNormDate,$P480)))</f>
        <v/>
      </c>
      <c r="C480" s="28">
        <f>IF($P480="","",IF(INDEX(CalcTime,$P480)=0,"",INDEX(CalcTime,$P480)))</f>
        <v/>
      </c>
      <c r="D480" s="28">
        <f>IF($P480="","",IF(INDEX(EntryParty,$P480)=0,"",INDEX(EntryParty,$P480)))</f>
        <v/>
      </c>
      <c r="E480" s="28">
        <f>IF($P480="","",IF(INDEX(EntryPartyName,$P480)=0,"",INDEX(EntryPartyName,$P480)))</f>
        <v/>
      </c>
      <c r="F480" s="28">
        <f>IF($P480="","",IF(INDEX(EntryPartyType,$P480)=0,"",INDEX(EntryPartyType,$P480)))</f>
        <v/>
      </c>
      <c r="G480" s="28">
        <f>IF($P480="","",IF(INDEX(EntryTxnType,$P480)=0,"",INDEX(EntryTxnType,$P480)))</f>
        <v/>
      </c>
      <c r="H480" s="29">
        <f>IF($P480="","",IF(INDEX(EntryDep,$P480)=0,"",INDEX(EntryDep,$P480)))</f>
        <v/>
      </c>
      <c r="I480" s="29">
        <f>IF($P480="","",IF(INDEX(EntryWit,$P480)=0,"",INDEX(EntryWit,$P480)))</f>
        <v/>
      </c>
      <c r="J480" s="29">
        <f>IF($B480="","",IF($A480=1,$C$7,IF(J479="",0,J479))+IF($H480="",0,$H480)-IF($I480="",0,$I480))</f>
        <v/>
      </c>
      <c r="K480" s="29">
        <f>IF($P480="","",IF(INDEX(EntryMan,$P480)=0,"",INDEX(EntryMan,$P480)))</f>
        <v/>
      </c>
      <c r="L480" s="28">
        <f>IF($B480="","",IF($K480="","—",IF(ROUND($K480-$J480,0)=0,"√","×")))</f>
        <v/>
      </c>
      <c r="M480" s="28">
        <f>IF($B480="","",IF(COUNTIFS(EntryDates,$B480,CalcTime,$C480,CalcBank,$C$5,EntryParty,$D480,EntryDep,$H480,EntryWit,$I480)&gt;1,"تکرار",""))</f>
        <v/>
      </c>
      <c r="N480" s="28">
        <f>IF($P480="","",IF(INDEX(EntryNotes,$P480)=0,"",INDEX(EntryNotes,$P480)))</f>
        <v/>
      </c>
      <c r="O480" s="28">
        <f>IF($P480="","",IF(INDEX(EntryTxnID,$P480)=0,"",INDEX(EntryTxnID,$P480)))</f>
        <v/>
      </c>
      <c r="P480" s="28">
        <f>IFERROR(MATCH($C$5&amp;"|"&amp;RIGHT("000000"&amp;464,6),CalcRankKey,0),"")</f>
        <v/>
      </c>
    </row>
    <row r="481">
      <c r="A481" s="26">
        <f>IF($B481="","",465)</f>
        <v/>
      </c>
      <c r="B481" s="26">
        <f>IF($P481="","",IF(INDEX(CalcNormDate,$P481)=0,"",INDEX(CalcNormDate,$P481)))</f>
        <v/>
      </c>
      <c r="C481" s="26">
        <f>IF($P481="","",IF(INDEX(CalcTime,$P481)=0,"",INDEX(CalcTime,$P481)))</f>
        <v/>
      </c>
      <c r="D481" s="26">
        <f>IF($P481="","",IF(INDEX(EntryParty,$P481)=0,"",INDEX(EntryParty,$P481)))</f>
        <v/>
      </c>
      <c r="E481" s="26">
        <f>IF($P481="","",IF(INDEX(EntryPartyName,$P481)=0,"",INDEX(EntryPartyName,$P481)))</f>
        <v/>
      </c>
      <c r="F481" s="26">
        <f>IF($P481="","",IF(INDEX(EntryPartyType,$P481)=0,"",INDEX(EntryPartyType,$P481)))</f>
        <v/>
      </c>
      <c r="G481" s="26">
        <f>IF($P481="","",IF(INDEX(EntryTxnType,$P481)=0,"",INDEX(EntryTxnType,$P481)))</f>
        <v/>
      </c>
      <c r="H481" s="27">
        <f>IF($P481="","",IF(INDEX(EntryDep,$P481)=0,"",INDEX(EntryDep,$P481)))</f>
        <v/>
      </c>
      <c r="I481" s="27">
        <f>IF($P481="","",IF(INDEX(EntryWit,$P481)=0,"",INDEX(EntryWit,$P481)))</f>
        <v/>
      </c>
      <c r="J481" s="27">
        <f>IF($B481="","",IF($A481=1,$C$7,IF(J480="",0,J480))+IF($H481="",0,$H481)-IF($I481="",0,$I481))</f>
        <v/>
      </c>
      <c r="K481" s="27">
        <f>IF($P481="","",IF(INDEX(EntryMan,$P481)=0,"",INDEX(EntryMan,$P481)))</f>
        <v/>
      </c>
      <c r="L481" s="26">
        <f>IF($B481="","",IF($K481="","—",IF(ROUND($K481-$J481,0)=0,"√","×")))</f>
        <v/>
      </c>
      <c r="M481" s="26">
        <f>IF($B481="","",IF(COUNTIFS(EntryDates,$B481,CalcTime,$C481,CalcBank,$C$5,EntryParty,$D481,EntryDep,$H481,EntryWit,$I481)&gt;1,"تکرار",""))</f>
        <v/>
      </c>
      <c r="N481" s="26">
        <f>IF($P481="","",IF(INDEX(EntryNotes,$P481)=0,"",INDEX(EntryNotes,$P481)))</f>
        <v/>
      </c>
      <c r="O481" s="26">
        <f>IF($P481="","",IF(INDEX(EntryTxnID,$P481)=0,"",INDEX(EntryTxnID,$P481)))</f>
        <v/>
      </c>
      <c r="P481" s="26">
        <f>IFERROR(MATCH($C$5&amp;"|"&amp;RIGHT("000000"&amp;465,6),CalcRankKey,0),"")</f>
        <v/>
      </c>
    </row>
    <row r="482">
      <c r="A482" s="28">
        <f>IF($B482="","",466)</f>
        <v/>
      </c>
      <c r="B482" s="28">
        <f>IF($P482="","",IF(INDEX(CalcNormDate,$P482)=0,"",INDEX(CalcNormDate,$P482)))</f>
        <v/>
      </c>
      <c r="C482" s="28">
        <f>IF($P482="","",IF(INDEX(CalcTime,$P482)=0,"",INDEX(CalcTime,$P482)))</f>
        <v/>
      </c>
      <c r="D482" s="28">
        <f>IF($P482="","",IF(INDEX(EntryParty,$P482)=0,"",INDEX(EntryParty,$P482)))</f>
        <v/>
      </c>
      <c r="E482" s="28">
        <f>IF($P482="","",IF(INDEX(EntryPartyName,$P482)=0,"",INDEX(EntryPartyName,$P482)))</f>
        <v/>
      </c>
      <c r="F482" s="28">
        <f>IF($P482="","",IF(INDEX(EntryPartyType,$P482)=0,"",INDEX(EntryPartyType,$P482)))</f>
        <v/>
      </c>
      <c r="G482" s="28">
        <f>IF($P482="","",IF(INDEX(EntryTxnType,$P482)=0,"",INDEX(EntryTxnType,$P482)))</f>
        <v/>
      </c>
      <c r="H482" s="29">
        <f>IF($P482="","",IF(INDEX(EntryDep,$P482)=0,"",INDEX(EntryDep,$P482)))</f>
        <v/>
      </c>
      <c r="I482" s="29">
        <f>IF($P482="","",IF(INDEX(EntryWit,$P482)=0,"",INDEX(EntryWit,$P482)))</f>
        <v/>
      </c>
      <c r="J482" s="29">
        <f>IF($B482="","",IF($A482=1,$C$7,IF(J481="",0,J481))+IF($H482="",0,$H482)-IF($I482="",0,$I482))</f>
        <v/>
      </c>
      <c r="K482" s="29">
        <f>IF($P482="","",IF(INDEX(EntryMan,$P482)=0,"",INDEX(EntryMan,$P482)))</f>
        <v/>
      </c>
      <c r="L482" s="28">
        <f>IF($B482="","",IF($K482="","—",IF(ROUND($K482-$J482,0)=0,"√","×")))</f>
        <v/>
      </c>
      <c r="M482" s="28">
        <f>IF($B482="","",IF(COUNTIFS(EntryDates,$B482,CalcTime,$C482,CalcBank,$C$5,EntryParty,$D482,EntryDep,$H482,EntryWit,$I482)&gt;1,"تکرار",""))</f>
        <v/>
      </c>
      <c r="N482" s="28">
        <f>IF($P482="","",IF(INDEX(EntryNotes,$P482)=0,"",INDEX(EntryNotes,$P482)))</f>
        <v/>
      </c>
      <c r="O482" s="28">
        <f>IF($P482="","",IF(INDEX(EntryTxnID,$P482)=0,"",INDEX(EntryTxnID,$P482)))</f>
        <v/>
      </c>
      <c r="P482" s="28">
        <f>IFERROR(MATCH($C$5&amp;"|"&amp;RIGHT("000000"&amp;466,6),CalcRankKey,0),"")</f>
        <v/>
      </c>
    </row>
    <row r="483">
      <c r="A483" s="26">
        <f>IF($B483="","",467)</f>
        <v/>
      </c>
      <c r="B483" s="26">
        <f>IF($P483="","",IF(INDEX(CalcNormDate,$P483)=0,"",INDEX(CalcNormDate,$P483)))</f>
        <v/>
      </c>
      <c r="C483" s="26">
        <f>IF($P483="","",IF(INDEX(CalcTime,$P483)=0,"",INDEX(CalcTime,$P483)))</f>
        <v/>
      </c>
      <c r="D483" s="26">
        <f>IF($P483="","",IF(INDEX(EntryParty,$P483)=0,"",INDEX(EntryParty,$P483)))</f>
        <v/>
      </c>
      <c r="E483" s="26">
        <f>IF($P483="","",IF(INDEX(EntryPartyName,$P483)=0,"",INDEX(EntryPartyName,$P483)))</f>
        <v/>
      </c>
      <c r="F483" s="26">
        <f>IF($P483="","",IF(INDEX(EntryPartyType,$P483)=0,"",INDEX(EntryPartyType,$P483)))</f>
        <v/>
      </c>
      <c r="G483" s="26">
        <f>IF($P483="","",IF(INDEX(EntryTxnType,$P483)=0,"",INDEX(EntryTxnType,$P483)))</f>
        <v/>
      </c>
      <c r="H483" s="27">
        <f>IF($P483="","",IF(INDEX(EntryDep,$P483)=0,"",INDEX(EntryDep,$P483)))</f>
        <v/>
      </c>
      <c r="I483" s="27">
        <f>IF($P483="","",IF(INDEX(EntryWit,$P483)=0,"",INDEX(EntryWit,$P483)))</f>
        <v/>
      </c>
      <c r="J483" s="27">
        <f>IF($B483="","",IF($A483=1,$C$7,IF(J482="",0,J482))+IF($H483="",0,$H483)-IF($I483="",0,$I483))</f>
        <v/>
      </c>
      <c r="K483" s="27">
        <f>IF($P483="","",IF(INDEX(EntryMan,$P483)=0,"",INDEX(EntryMan,$P483)))</f>
        <v/>
      </c>
      <c r="L483" s="26">
        <f>IF($B483="","",IF($K483="","—",IF(ROUND($K483-$J483,0)=0,"√","×")))</f>
        <v/>
      </c>
      <c r="M483" s="26">
        <f>IF($B483="","",IF(COUNTIFS(EntryDates,$B483,CalcTime,$C483,CalcBank,$C$5,EntryParty,$D483,EntryDep,$H483,EntryWit,$I483)&gt;1,"تکرار",""))</f>
        <v/>
      </c>
      <c r="N483" s="26">
        <f>IF($P483="","",IF(INDEX(EntryNotes,$P483)=0,"",INDEX(EntryNotes,$P483)))</f>
        <v/>
      </c>
      <c r="O483" s="26">
        <f>IF($P483="","",IF(INDEX(EntryTxnID,$P483)=0,"",INDEX(EntryTxnID,$P483)))</f>
        <v/>
      </c>
      <c r="P483" s="26">
        <f>IFERROR(MATCH($C$5&amp;"|"&amp;RIGHT("000000"&amp;467,6),CalcRankKey,0),"")</f>
        <v/>
      </c>
    </row>
    <row r="484">
      <c r="A484" s="28">
        <f>IF($B484="","",468)</f>
        <v/>
      </c>
      <c r="B484" s="28">
        <f>IF($P484="","",IF(INDEX(CalcNormDate,$P484)=0,"",INDEX(CalcNormDate,$P484)))</f>
        <v/>
      </c>
      <c r="C484" s="28">
        <f>IF($P484="","",IF(INDEX(CalcTime,$P484)=0,"",INDEX(CalcTime,$P484)))</f>
        <v/>
      </c>
      <c r="D484" s="28">
        <f>IF($P484="","",IF(INDEX(EntryParty,$P484)=0,"",INDEX(EntryParty,$P484)))</f>
        <v/>
      </c>
      <c r="E484" s="28">
        <f>IF($P484="","",IF(INDEX(EntryPartyName,$P484)=0,"",INDEX(EntryPartyName,$P484)))</f>
        <v/>
      </c>
      <c r="F484" s="28">
        <f>IF($P484="","",IF(INDEX(EntryPartyType,$P484)=0,"",INDEX(EntryPartyType,$P484)))</f>
        <v/>
      </c>
      <c r="G484" s="28">
        <f>IF($P484="","",IF(INDEX(EntryTxnType,$P484)=0,"",INDEX(EntryTxnType,$P484)))</f>
        <v/>
      </c>
      <c r="H484" s="29">
        <f>IF($P484="","",IF(INDEX(EntryDep,$P484)=0,"",INDEX(EntryDep,$P484)))</f>
        <v/>
      </c>
      <c r="I484" s="29">
        <f>IF($P484="","",IF(INDEX(EntryWit,$P484)=0,"",INDEX(EntryWit,$P484)))</f>
        <v/>
      </c>
      <c r="J484" s="29">
        <f>IF($B484="","",IF($A484=1,$C$7,IF(J483="",0,J483))+IF($H484="",0,$H484)-IF($I484="",0,$I484))</f>
        <v/>
      </c>
      <c r="K484" s="29">
        <f>IF($P484="","",IF(INDEX(EntryMan,$P484)=0,"",INDEX(EntryMan,$P484)))</f>
        <v/>
      </c>
      <c r="L484" s="28">
        <f>IF($B484="","",IF($K484="","—",IF(ROUND($K484-$J484,0)=0,"√","×")))</f>
        <v/>
      </c>
      <c r="M484" s="28">
        <f>IF($B484="","",IF(COUNTIFS(EntryDates,$B484,CalcTime,$C484,CalcBank,$C$5,EntryParty,$D484,EntryDep,$H484,EntryWit,$I484)&gt;1,"تکرار",""))</f>
        <v/>
      </c>
      <c r="N484" s="28">
        <f>IF($P484="","",IF(INDEX(EntryNotes,$P484)=0,"",INDEX(EntryNotes,$P484)))</f>
        <v/>
      </c>
      <c r="O484" s="28">
        <f>IF($P484="","",IF(INDEX(EntryTxnID,$P484)=0,"",INDEX(EntryTxnID,$P484)))</f>
        <v/>
      </c>
      <c r="P484" s="28">
        <f>IFERROR(MATCH($C$5&amp;"|"&amp;RIGHT("000000"&amp;468,6),CalcRankKey,0),"")</f>
        <v/>
      </c>
    </row>
    <row r="485">
      <c r="A485" s="26">
        <f>IF($B485="","",469)</f>
        <v/>
      </c>
      <c r="B485" s="26">
        <f>IF($P485="","",IF(INDEX(CalcNormDate,$P485)=0,"",INDEX(CalcNormDate,$P485)))</f>
        <v/>
      </c>
      <c r="C485" s="26">
        <f>IF($P485="","",IF(INDEX(CalcTime,$P485)=0,"",INDEX(CalcTime,$P485)))</f>
        <v/>
      </c>
      <c r="D485" s="26">
        <f>IF($P485="","",IF(INDEX(EntryParty,$P485)=0,"",INDEX(EntryParty,$P485)))</f>
        <v/>
      </c>
      <c r="E485" s="26">
        <f>IF($P485="","",IF(INDEX(EntryPartyName,$P485)=0,"",INDEX(EntryPartyName,$P485)))</f>
        <v/>
      </c>
      <c r="F485" s="26">
        <f>IF($P485="","",IF(INDEX(EntryPartyType,$P485)=0,"",INDEX(EntryPartyType,$P485)))</f>
        <v/>
      </c>
      <c r="G485" s="26">
        <f>IF($P485="","",IF(INDEX(EntryTxnType,$P485)=0,"",INDEX(EntryTxnType,$P485)))</f>
        <v/>
      </c>
      <c r="H485" s="27">
        <f>IF($P485="","",IF(INDEX(EntryDep,$P485)=0,"",INDEX(EntryDep,$P485)))</f>
        <v/>
      </c>
      <c r="I485" s="27">
        <f>IF($P485="","",IF(INDEX(EntryWit,$P485)=0,"",INDEX(EntryWit,$P485)))</f>
        <v/>
      </c>
      <c r="J485" s="27">
        <f>IF($B485="","",IF($A485=1,$C$7,IF(J484="",0,J484))+IF($H485="",0,$H485)-IF($I485="",0,$I485))</f>
        <v/>
      </c>
      <c r="K485" s="27">
        <f>IF($P485="","",IF(INDEX(EntryMan,$P485)=0,"",INDEX(EntryMan,$P485)))</f>
        <v/>
      </c>
      <c r="L485" s="26">
        <f>IF($B485="","",IF($K485="","—",IF(ROUND($K485-$J485,0)=0,"√","×")))</f>
        <v/>
      </c>
      <c r="M485" s="26">
        <f>IF($B485="","",IF(COUNTIFS(EntryDates,$B485,CalcTime,$C485,CalcBank,$C$5,EntryParty,$D485,EntryDep,$H485,EntryWit,$I485)&gt;1,"تکرار",""))</f>
        <v/>
      </c>
      <c r="N485" s="26">
        <f>IF($P485="","",IF(INDEX(EntryNotes,$P485)=0,"",INDEX(EntryNotes,$P485)))</f>
        <v/>
      </c>
      <c r="O485" s="26">
        <f>IF($P485="","",IF(INDEX(EntryTxnID,$P485)=0,"",INDEX(EntryTxnID,$P485)))</f>
        <v/>
      </c>
      <c r="P485" s="26">
        <f>IFERROR(MATCH($C$5&amp;"|"&amp;RIGHT("000000"&amp;469,6),CalcRankKey,0),"")</f>
        <v/>
      </c>
    </row>
    <row r="486">
      <c r="A486" s="28">
        <f>IF($B486="","",470)</f>
        <v/>
      </c>
      <c r="B486" s="28">
        <f>IF($P486="","",IF(INDEX(CalcNormDate,$P486)=0,"",INDEX(CalcNormDate,$P486)))</f>
        <v/>
      </c>
      <c r="C486" s="28">
        <f>IF($P486="","",IF(INDEX(CalcTime,$P486)=0,"",INDEX(CalcTime,$P486)))</f>
        <v/>
      </c>
      <c r="D486" s="28">
        <f>IF($P486="","",IF(INDEX(EntryParty,$P486)=0,"",INDEX(EntryParty,$P486)))</f>
        <v/>
      </c>
      <c r="E486" s="28">
        <f>IF($P486="","",IF(INDEX(EntryPartyName,$P486)=0,"",INDEX(EntryPartyName,$P486)))</f>
        <v/>
      </c>
      <c r="F486" s="28">
        <f>IF($P486="","",IF(INDEX(EntryPartyType,$P486)=0,"",INDEX(EntryPartyType,$P486)))</f>
        <v/>
      </c>
      <c r="G486" s="28">
        <f>IF($P486="","",IF(INDEX(EntryTxnType,$P486)=0,"",INDEX(EntryTxnType,$P486)))</f>
        <v/>
      </c>
      <c r="H486" s="29">
        <f>IF($P486="","",IF(INDEX(EntryDep,$P486)=0,"",INDEX(EntryDep,$P486)))</f>
        <v/>
      </c>
      <c r="I486" s="29">
        <f>IF($P486="","",IF(INDEX(EntryWit,$P486)=0,"",INDEX(EntryWit,$P486)))</f>
        <v/>
      </c>
      <c r="J486" s="29">
        <f>IF($B486="","",IF($A486=1,$C$7,IF(J485="",0,J485))+IF($H486="",0,$H486)-IF($I486="",0,$I486))</f>
        <v/>
      </c>
      <c r="K486" s="29">
        <f>IF($P486="","",IF(INDEX(EntryMan,$P486)=0,"",INDEX(EntryMan,$P486)))</f>
        <v/>
      </c>
      <c r="L486" s="28">
        <f>IF($B486="","",IF($K486="","—",IF(ROUND($K486-$J486,0)=0,"√","×")))</f>
        <v/>
      </c>
      <c r="M486" s="28">
        <f>IF($B486="","",IF(COUNTIFS(EntryDates,$B486,CalcTime,$C486,CalcBank,$C$5,EntryParty,$D486,EntryDep,$H486,EntryWit,$I486)&gt;1,"تکرار",""))</f>
        <v/>
      </c>
      <c r="N486" s="28">
        <f>IF($P486="","",IF(INDEX(EntryNotes,$P486)=0,"",INDEX(EntryNotes,$P486)))</f>
        <v/>
      </c>
      <c r="O486" s="28">
        <f>IF($P486="","",IF(INDEX(EntryTxnID,$P486)=0,"",INDEX(EntryTxnID,$P486)))</f>
        <v/>
      </c>
      <c r="P486" s="28">
        <f>IFERROR(MATCH($C$5&amp;"|"&amp;RIGHT("000000"&amp;470,6),CalcRankKey,0),"")</f>
        <v/>
      </c>
    </row>
    <row r="487">
      <c r="A487" s="26">
        <f>IF($B487="","",471)</f>
        <v/>
      </c>
      <c r="B487" s="26">
        <f>IF($P487="","",IF(INDEX(CalcNormDate,$P487)=0,"",INDEX(CalcNormDate,$P487)))</f>
        <v/>
      </c>
      <c r="C487" s="26">
        <f>IF($P487="","",IF(INDEX(CalcTime,$P487)=0,"",INDEX(CalcTime,$P487)))</f>
        <v/>
      </c>
      <c r="D487" s="26">
        <f>IF($P487="","",IF(INDEX(EntryParty,$P487)=0,"",INDEX(EntryParty,$P487)))</f>
        <v/>
      </c>
      <c r="E487" s="26">
        <f>IF($P487="","",IF(INDEX(EntryPartyName,$P487)=0,"",INDEX(EntryPartyName,$P487)))</f>
        <v/>
      </c>
      <c r="F487" s="26">
        <f>IF($P487="","",IF(INDEX(EntryPartyType,$P487)=0,"",INDEX(EntryPartyType,$P487)))</f>
        <v/>
      </c>
      <c r="G487" s="26">
        <f>IF($P487="","",IF(INDEX(EntryTxnType,$P487)=0,"",INDEX(EntryTxnType,$P487)))</f>
        <v/>
      </c>
      <c r="H487" s="27">
        <f>IF($P487="","",IF(INDEX(EntryDep,$P487)=0,"",INDEX(EntryDep,$P487)))</f>
        <v/>
      </c>
      <c r="I487" s="27">
        <f>IF($P487="","",IF(INDEX(EntryWit,$P487)=0,"",INDEX(EntryWit,$P487)))</f>
        <v/>
      </c>
      <c r="J487" s="27">
        <f>IF($B487="","",IF($A487=1,$C$7,IF(J486="",0,J486))+IF($H487="",0,$H487)-IF($I487="",0,$I487))</f>
        <v/>
      </c>
      <c r="K487" s="27">
        <f>IF($P487="","",IF(INDEX(EntryMan,$P487)=0,"",INDEX(EntryMan,$P487)))</f>
        <v/>
      </c>
      <c r="L487" s="26">
        <f>IF($B487="","",IF($K487="","—",IF(ROUND($K487-$J487,0)=0,"√","×")))</f>
        <v/>
      </c>
      <c r="M487" s="26">
        <f>IF($B487="","",IF(COUNTIFS(EntryDates,$B487,CalcTime,$C487,CalcBank,$C$5,EntryParty,$D487,EntryDep,$H487,EntryWit,$I487)&gt;1,"تکرار",""))</f>
        <v/>
      </c>
      <c r="N487" s="26">
        <f>IF($P487="","",IF(INDEX(EntryNotes,$P487)=0,"",INDEX(EntryNotes,$P487)))</f>
        <v/>
      </c>
      <c r="O487" s="26">
        <f>IF($P487="","",IF(INDEX(EntryTxnID,$P487)=0,"",INDEX(EntryTxnID,$P487)))</f>
        <v/>
      </c>
      <c r="P487" s="26">
        <f>IFERROR(MATCH($C$5&amp;"|"&amp;RIGHT("000000"&amp;471,6),CalcRankKey,0),"")</f>
        <v/>
      </c>
    </row>
    <row r="488">
      <c r="A488" s="28">
        <f>IF($B488="","",472)</f>
        <v/>
      </c>
      <c r="B488" s="28">
        <f>IF($P488="","",IF(INDEX(CalcNormDate,$P488)=0,"",INDEX(CalcNormDate,$P488)))</f>
        <v/>
      </c>
      <c r="C488" s="28">
        <f>IF($P488="","",IF(INDEX(CalcTime,$P488)=0,"",INDEX(CalcTime,$P488)))</f>
        <v/>
      </c>
      <c r="D488" s="28">
        <f>IF($P488="","",IF(INDEX(EntryParty,$P488)=0,"",INDEX(EntryParty,$P488)))</f>
        <v/>
      </c>
      <c r="E488" s="28">
        <f>IF($P488="","",IF(INDEX(EntryPartyName,$P488)=0,"",INDEX(EntryPartyName,$P488)))</f>
        <v/>
      </c>
      <c r="F488" s="28">
        <f>IF($P488="","",IF(INDEX(EntryPartyType,$P488)=0,"",INDEX(EntryPartyType,$P488)))</f>
        <v/>
      </c>
      <c r="G488" s="28">
        <f>IF($P488="","",IF(INDEX(EntryTxnType,$P488)=0,"",INDEX(EntryTxnType,$P488)))</f>
        <v/>
      </c>
      <c r="H488" s="29">
        <f>IF($P488="","",IF(INDEX(EntryDep,$P488)=0,"",INDEX(EntryDep,$P488)))</f>
        <v/>
      </c>
      <c r="I488" s="29">
        <f>IF($P488="","",IF(INDEX(EntryWit,$P488)=0,"",INDEX(EntryWit,$P488)))</f>
        <v/>
      </c>
      <c r="J488" s="29">
        <f>IF($B488="","",IF($A488=1,$C$7,IF(J487="",0,J487))+IF($H488="",0,$H488)-IF($I488="",0,$I488))</f>
        <v/>
      </c>
      <c r="K488" s="29">
        <f>IF($P488="","",IF(INDEX(EntryMan,$P488)=0,"",INDEX(EntryMan,$P488)))</f>
        <v/>
      </c>
      <c r="L488" s="28">
        <f>IF($B488="","",IF($K488="","—",IF(ROUND($K488-$J488,0)=0,"√","×")))</f>
        <v/>
      </c>
      <c r="M488" s="28">
        <f>IF($B488="","",IF(COUNTIFS(EntryDates,$B488,CalcTime,$C488,CalcBank,$C$5,EntryParty,$D488,EntryDep,$H488,EntryWit,$I488)&gt;1,"تکرار",""))</f>
        <v/>
      </c>
      <c r="N488" s="28">
        <f>IF($P488="","",IF(INDEX(EntryNotes,$P488)=0,"",INDEX(EntryNotes,$P488)))</f>
        <v/>
      </c>
      <c r="O488" s="28">
        <f>IF($P488="","",IF(INDEX(EntryTxnID,$P488)=0,"",INDEX(EntryTxnID,$P488)))</f>
        <v/>
      </c>
      <c r="P488" s="28">
        <f>IFERROR(MATCH($C$5&amp;"|"&amp;RIGHT("000000"&amp;472,6),CalcRankKey,0),"")</f>
        <v/>
      </c>
    </row>
    <row r="489">
      <c r="A489" s="26">
        <f>IF($B489="","",473)</f>
        <v/>
      </c>
      <c r="B489" s="26">
        <f>IF($P489="","",IF(INDEX(CalcNormDate,$P489)=0,"",INDEX(CalcNormDate,$P489)))</f>
        <v/>
      </c>
      <c r="C489" s="26">
        <f>IF($P489="","",IF(INDEX(CalcTime,$P489)=0,"",INDEX(CalcTime,$P489)))</f>
        <v/>
      </c>
      <c r="D489" s="26">
        <f>IF($P489="","",IF(INDEX(EntryParty,$P489)=0,"",INDEX(EntryParty,$P489)))</f>
        <v/>
      </c>
      <c r="E489" s="26">
        <f>IF($P489="","",IF(INDEX(EntryPartyName,$P489)=0,"",INDEX(EntryPartyName,$P489)))</f>
        <v/>
      </c>
      <c r="F489" s="26">
        <f>IF($P489="","",IF(INDEX(EntryPartyType,$P489)=0,"",INDEX(EntryPartyType,$P489)))</f>
        <v/>
      </c>
      <c r="G489" s="26">
        <f>IF($P489="","",IF(INDEX(EntryTxnType,$P489)=0,"",INDEX(EntryTxnType,$P489)))</f>
        <v/>
      </c>
      <c r="H489" s="27">
        <f>IF($P489="","",IF(INDEX(EntryDep,$P489)=0,"",INDEX(EntryDep,$P489)))</f>
        <v/>
      </c>
      <c r="I489" s="27">
        <f>IF($P489="","",IF(INDEX(EntryWit,$P489)=0,"",INDEX(EntryWit,$P489)))</f>
        <v/>
      </c>
      <c r="J489" s="27">
        <f>IF($B489="","",IF($A489=1,$C$7,IF(J488="",0,J488))+IF($H489="",0,$H489)-IF($I489="",0,$I489))</f>
        <v/>
      </c>
      <c r="K489" s="27">
        <f>IF($P489="","",IF(INDEX(EntryMan,$P489)=0,"",INDEX(EntryMan,$P489)))</f>
        <v/>
      </c>
      <c r="L489" s="26">
        <f>IF($B489="","",IF($K489="","—",IF(ROUND($K489-$J489,0)=0,"√","×")))</f>
        <v/>
      </c>
      <c r="M489" s="26">
        <f>IF($B489="","",IF(COUNTIFS(EntryDates,$B489,CalcTime,$C489,CalcBank,$C$5,EntryParty,$D489,EntryDep,$H489,EntryWit,$I489)&gt;1,"تکرار",""))</f>
        <v/>
      </c>
      <c r="N489" s="26">
        <f>IF($P489="","",IF(INDEX(EntryNotes,$P489)=0,"",INDEX(EntryNotes,$P489)))</f>
        <v/>
      </c>
      <c r="O489" s="26">
        <f>IF($P489="","",IF(INDEX(EntryTxnID,$P489)=0,"",INDEX(EntryTxnID,$P489)))</f>
        <v/>
      </c>
      <c r="P489" s="26">
        <f>IFERROR(MATCH($C$5&amp;"|"&amp;RIGHT("000000"&amp;473,6),CalcRankKey,0),"")</f>
        <v/>
      </c>
    </row>
    <row r="490">
      <c r="A490" s="28">
        <f>IF($B490="","",474)</f>
        <v/>
      </c>
      <c r="B490" s="28">
        <f>IF($P490="","",IF(INDEX(CalcNormDate,$P490)=0,"",INDEX(CalcNormDate,$P490)))</f>
        <v/>
      </c>
      <c r="C490" s="28">
        <f>IF($P490="","",IF(INDEX(CalcTime,$P490)=0,"",INDEX(CalcTime,$P490)))</f>
        <v/>
      </c>
      <c r="D490" s="28">
        <f>IF($P490="","",IF(INDEX(EntryParty,$P490)=0,"",INDEX(EntryParty,$P490)))</f>
        <v/>
      </c>
      <c r="E490" s="28">
        <f>IF($P490="","",IF(INDEX(EntryPartyName,$P490)=0,"",INDEX(EntryPartyName,$P490)))</f>
        <v/>
      </c>
      <c r="F490" s="28">
        <f>IF($P490="","",IF(INDEX(EntryPartyType,$P490)=0,"",INDEX(EntryPartyType,$P490)))</f>
        <v/>
      </c>
      <c r="G490" s="28">
        <f>IF($P490="","",IF(INDEX(EntryTxnType,$P490)=0,"",INDEX(EntryTxnType,$P490)))</f>
        <v/>
      </c>
      <c r="H490" s="29">
        <f>IF($P490="","",IF(INDEX(EntryDep,$P490)=0,"",INDEX(EntryDep,$P490)))</f>
        <v/>
      </c>
      <c r="I490" s="29">
        <f>IF($P490="","",IF(INDEX(EntryWit,$P490)=0,"",INDEX(EntryWit,$P490)))</f>
        <v/>
      </c>
      <c r="J490" s="29">
        <f>IF($B490="","",IF($A490=1,$C$7,IF(J489="",0,J489))+IF($H490="",0,$H490)-IF($I490="",0,$I490))</f>
        <v/>
      </c>
      <c r="K490" s="29">
        <f>IF($P490="","",IF(INDEX(EntryMan,$P490)=0,"",INDEX(EntryMan,$P490)))</f>
        <v/>
      </c>
      <c r="L490" s="28">
        <f>IF($B490="","",IF($K490="","—",IF(ROUND($K490-$J490,0)=0,"√","×")))</f>
        <v/>
      </c>
      <c r="M490" s="28">
        <f>IF($B490="","",IF(COUNTIFS(EntryDates,$B490,CalcTime,$C490,CalcBank,$C$5,EntryParty,$D490,EntryDep,$H490,EntryWit,$I490)&gt;1,"تکرار",""))</f>
        <v/>
      </c>
      <c r="N490" s="28">
        <f>IF($P490="","",IF(INDEX(EntryNotes,$P490)=0,"",INDEX(EntryNotes,$P490)))</f>
        <v/>
      </c>
      <c r="O490" s="28">
        <f>IF($P490="","",IF(INDEX(EntryTxnID,$P490)=0,"",INDEX(EntryTxnID,$P490)))</f>
        <v/>
      </c>
      <c r="P490" s="28">
        <f>IFERROR(MATCH($C$5&amp;"|"&amp;RIGHT("000000"&amp;474,6),CalcRankKey,0),"")</f>
        <v/>
      </c>
    </row>
    <row r="491">
      <c r="A491" s="26">
        <f>IF($B491="","",475)</f>
        <v/>
      </c>
      <c r="B491" s="26">
        <f>IF($P491="","",IF(INDEX(CalcNormDate,$P491)=0,"",INDEX(CalcNormDate,$P491)))</f>
        <v/>
      </c>
      <c r="C491" s="26">
        <f>IF($P491="","",IF(INDEX(CalcTime,$P491)=0,"",INDEX(CalcTime,$P491)))</f>
        <v/>
      </c>
      <c r="D491" s="26">
        <f>IF($P491="","",IF(INDEX(EntryParty,$P491)=0,"",INDEX(EntryParty,$P491)))</f>
        <v/>
      </c>
      <c r="E491" s="26">
        <f>IF($P491="","",IF(INDEX(EntryPartyName,$P491)=0,"",INDEX(EntryPartyName,$P491)))</f>
        <v/>
      </c>
      <c r="F491" s="26">
        <f>IF($P491="","",IF(INDEX(EntryPartyType,$P491)=0,"",INDEX(EntryPartyType,$P491)))</f>
        <v/>
      </c>
      <c r="G491" s="26">
        <f>IF($P491="","",IF(INDEX(EntryTxnType,$P491)=0,"",INDEX(EntryTxnType,$P491)))</f>
        <v/>
      </c>
      <c r="H491" s="27">
        <f>IF($P491="","",IF(INDEX(EntryDep,$P491)=0,"",INDEX(EntryDep,$P491)))</f>
        <v/>
      </c>
      <c r="I491" s="27">
        <f>IF($P491="","",IF(INDEX(EntryWit,$P491)=0,"",INDEX(EntryWit,$P491)))</f>
        <v/>
      </c>
      <c r="J491" s="27">
        <f>IF($B491="","",IF($A491=1,$C$7,IF(J490="",0,J490))+IF($H491="",0,$H491)-IF($I491="",0,$I491))</f>
        <v/>
      </c>
      <c r="K491" s="27">
        <f>IF($P491="","",IF(INDEX(EntryMan,$P491)=0,"",INDEX(EntryMan,$P491)))</f>
        <v/>
      </c>
      <c r="L491" s="26">
        <f>IF($B491="","",IF($K491="","—",IF(ROUND($K491-$J491,0)=0,"√","×")))</f>
        <v/>
      </c>
      <c r="M491" s="26">
        <f>IF($B491="","",IF(COUNTIFS(EntryDates,$B491,CalcTime,$C491,CalcBank,$C$5,EntryParty,$D491,EntryDep,$H491,EntryWit,$I491)&gt;1,"تکرار",""))</f>
        <v/>
      </c>
      <c r="N491" s="26">
        <f>IF($P491="","",IF(INDEX(EntryNotes,$P491)=0,"",INDEX(EntryNotes,$P491)))</f>
        <v/>
      </c>
      <c r="O491" s="26">
        <f>IF($P491="","",IF(INDEX(EntryTxnID,$P491)=0,"",INDEX(EntryTxnID,$P491)))</f>
        <v/>
      </c>
      <c r="P491" s="26">
        <f>IFERROR(MATCH($C$5&amp;"|"&amp;RIGHT("000000"&amp;475,6),CalcRankKey,0),"")</f>
        <v/>
      </c>
    </row>
    <row r="492">
      <c r="A492" s="28">
        <f>IF($B492="","",476)</f>
        <v/>
      </c>
      <c r="B492" s="28">
        <f>IF($P492="","",IF(INDEX(CalcNormDate,$P492)=0,"",INDEX(CalcNormDate,$P492)))</f>
        <v/>
      </c>
      <c r="C492" s="28">
        <f>IF($P492="","",IF(INDEX(CalcTime,$P492)=0,"",INDEX(CalcTime,$P492)))</f>
        <v/>
      </c>
      <c r="D492" s="28">
        <f>IF($P492="","",IF(INDEX(EntryParty,$P492)=0,"",INDEX(EntryParty,$P492)))</f>
        <v/>
      </c>
      <c r="E492" s="28">
        <f>IF($P492="","",IF(INDEX(EntryPartyName,$P492)=0,"",INDEX(EntryPartyName,$P492)))</f>
        <v/>
      </c>
      <c r="F492" s="28">
        <f>IF($P492="","",IF(INDEX(EntryPartyType,$P492)=0,"",INDEX(EntryPartyType,$P492)))</f>
        <v/>
      </c>
      <c r="G492" s="28">
        <f>IF($P492="","",IF(INDEX(EntryTxnType,$P492)=0,"",INDEX(EntryTxnType,$P492)))</f>
        <v/>
      </c>
      <c r="H492" s="29">
        <f>IF($P492="","",IF(INDEX(EntryDep,$P492)=0,"",INDEX(EntryDep,$P492)))</f>
        <v/>
      </c>
      <c r="I492" s="29">
        <f>IF($P492="","",IF(INDEX(EntryWit,$P492)=0,"",INDEX(EntryWit,$P492)))</f>
        <v/>
      </c>
      <c r="J492" s="29">
        <f>IF($B492="","",IF($A492=1,$C$7,IF(J491="",0,J491))+IF($H492="",0,$H492)-IF($I492="",0,$I492))</f>
        <v/>
      </c>
      <c r="K492" s="29">
        <f>IF($P492="","",IF(INDEX(EntryMan,$P492)=0,"",INDEX(EntryMan,$P492)))</f>
        <v/>
      </c>
      <c r="L492" s="28">
        <f>IF($B492="","",IF($K492="","—",IF(ROUND($K492-$J492,0)=0,"√","×")))</f>
        <v/>
      </c>
      <c r="M492" s="28">
        <f>IF($B492="","",IF(COUNTIFS(EntryDates,$B492,CalcTime,$C492,CalcBank,$C$5,EntryParty,$D492,EntryDep,$H492,EntryWit,$I492)&gt;1,"تکرار",""))</f>
        <v/>
      </c>
      <c r="N492" s="28">
        <f>IF($P492="","",IF(INDEX(EntryNotes,$P492)=0,"",INDEX(EntryNotes,$P492)))</f>
        <v/>
      </c>
      <c r="O492" s="28">
        <f>IF($P492="","",IF(INDEX(EntryTxnID,$P492)=0,"",INDEX(EntryTxnID,$P492)))</f>
        <v/>
      </c>
      <c r="P492" s="28">
        <f>IFERROR(MATCH($C$5&amp;"|"&amp;RIGHT("000000"&amp;476,6),CalcRankKey,0),"")</f>
        <v/>
      </c>
    </row>
    <row r="493">
      <c r="A493" s="26">
        <f>IF($B493="","",477)</f>
        <v/>
      </c>
      <c r="B493" s="26">
        <f>IF($P493="","",IF(INDEX(CalcNormDate,$P493)=0,"",INDEX(CalcNormDate,$P493)))</f>
        <v/>
      </c>
      <c r="C493" s="26">
        <f>IF($P493="","",IF(INDEX(CalcTime,$P493)=0,"",INDEX(CalcTime,$P493)))</f>
        <v/>
      </c>
      <c r="D493" s="26">
        <f>IF($P493="","",IF(INDEX(EntryParty,$P493)=0,"",INDEX(EntryParty,$P493)))</f>
        <v/>
      </c>
      <c r="E493" s="26">
        <f>IF($P493="","",IF(INDEX(EntryPartyName,$P493)=0,"",INDEX(EntryPartyName,$P493)))</f>
        <v/>
      </c>
      <c r="F493" s="26">
        <f>IF($P493="","",IF(INDEX(EntryPartyType,$P493)=0,"",INDEX(EntryPartyType,$P493)))</f>
        <v/>
      </c>
      <c r="G493" s="26">
        <f>IF($P493="","",IF(INDEX(EntryTxnType,$P493)=0,"",INDEX(EntryTxnType,$P493)))</f>
        <v/>
      </c>
      <c r="H493" s="27">
        <f>IF($P493="","",IF(INDEX(EntryDep,$P493)=0,"",INDEX(EntryDep,$P493)))</f>
        <v/>
      </c>
      <c r="I493" s="27">
        <f>IF($P493="","",IF(INDEX(EntryWit,$P493)=0,"",INDEX(EntryWit,$P493)))</f>
        <v/>
      </c>
      <c r="J493" s="27">
        <f>IF($B493="","",IF($A493=1,$C$7,IF(J492="",0,J492))+IF($H493="",0,$H493)-IF($I493="",0,$I493))</f>
        <v/>
      </c>
      <c r="K493" s="27">
        <f>IF($P493="","",IF(INDEX(EntryMan,$P493)=0,"",INDEX(EntryMan,$P493)))</f>
        <v/>
      </c>
      <c r="L493" s="26">
        <f>IF($B493="","",IF($K493="","—",IF(ROUND($K493-$J493,0)=0,"√","×")))</f>
        <v/>
      </c>
      <c r="M493" s="26">
        <f>IF($B493="","",IF(COUNTIFS(EntryDates,$B493,CalcTime,$C493,CalcBank,$C$5,EntryParty,$D493,EntryDep,$H493,EntryWit,$I493)&gt;1,"تکرار",""))</f>
        <v/>
      </c>
      <c r="N493" s="26">
        <f>IF($P493="","",IF(INDEX(EntryNotes,$P493)=0,"",INDEX(EntryNotes,$P493)))</f>
        <v/>
      </c>
      <c r="O493" s="26">
        <f>IF($P493="","",IF(INDEX(EntryTxnID,$P493)=0,"",INDEX(EntryTxnID,$P493)))</f>
        <v/>
      </c>
      <c r="P493" s="26">
        <f>IFERROR(MATCH($C$5&amp;"|"&amp;RIGHT("000000"&amp;477,6),CalcRankKey,0),"")</f>
        <v/>
      </c>
    </row>
    <row r="494">
      <c r="A494" s="28">
        <f>IF($B494="","",478)</f>
        <v/>
      </c>
      <c r="B494" s="28">
        <f>IF($P494="","",IF(INDEX(CalcNormDate,$P494)=0,"",INDEX(CalcNormDate,$P494)))</f>
        <v/>
      </c>
      <c r="C494" s="28">
        <f>IF($P494="","",IF(INDEX(CalcTime,$P494)=0,"",INDEX(CalcTime,$P494)))</f>
        <v/>
      </c>
      <c r="D494" s="28">
        <f>IF($P494="","",IF(INDEX(EntryParty,$P494)=0,"",INDEX(EntryParty,$P494)))</f>
        <v/>
      </c>
      <c r="E494" s="28">
        <f>IF($P494="","",IF(INDEX(EntryPartyName,$P494)=0,"",INDEX(EntryPartyName,$P494)))</f>
        <v/>
      </c>
      <c r="F494" s="28">
        <f>IF($P494="","",IF(INDEX(EntryPartyType,$P494)=0,"",INDEX(EntryPartyType,$P494)))</f>
        <v/>
      </c>
      <c r="G494" s="28">
        <f>IF($P494="","",IF(INDEX(EntryTxnType,$P494)=0,"",INDEX(EntryTxnType,$P494)))</f>
        <v/>
      </c>
      <c r="H494" s="29">
        <f>IF($P494="","",IF(INDEX(EntryDep,$P494)=0,"",INDEX(EntryDep,$P494)))</f>
        <v/>
      </c>
      <c r="I494" s="29">
        <f>IF($P494="","",IF(INDEX(EntryWit,$P494)=0,"",INDEX(EntryWit,$P494)))</f>
        <v/>
      </c>
      <c r="J494" s="29">
        <f>IF($B494="","",IF($A494=1,$C$7,IF(J493="",0,J493))+IF($H494="",0,$H494)-IF($I494="",0,$I494))</f>
        <v/>
      </c>
      <c r="K494" s="29">
        <f>IF($P494="","",IF(INDEX(EntryMan,$P494)=0,"",INDEX(EntryMan,$P494)))</f>
        <v/>
      </c>
      <c r="L494" s="28">
        <f>IF($B494="","",IF($K494="","—",IF(ROUND($K494-$J494,0)=0,"√","×")))</f>
        <v/>
      </c>
      <c r="M494" s="28">
        <f>IF($B494="","",IF(COUNTIFS(EntryDates,$B494,CalcTime,$C494,CalcBank,$C$5,EntryParty,$D494,EntryDep,$H494,EntryWit,$I494)&gt;1,"تکرار",""))</f>
        <v/>
      </c>
      <c r="N494" s="28">
        <f>IF($P494="","",IF(INDEX(EntryNotes,$P494)=0,"",INDEX(EntryNotes,$P494)))</f>
        <v/>
      </c>
      <c r="O494" s="28">
        <f>IF($P494="","",IF(INDEX(EntryTxnID,$P494)=0,"",INDEX(EntryTxnID,$P494)))</f>
        <v/>
      </c>
      <c r="P494" s="28">
        <f>IFERROR(MATCH($C$5&amp;"|"&amp;RIGHT("000000"&amp;478,6),CalcRankKey,0),"")</f>
        <v/>
      </c>
    </row>
    <row r="495">
      <c r="A495" s="26">
        <f>IF($B495="","",479)</f>
        <v/>
      </c>
      <c r="B495" s="26">
        <f>IF($P495="","",IF(INDEX(CalcNormDate,$P495)=0,"",INDEX(CalcNormDate,$P495)))</f>
        <v/>
      </c>
      <c r="C495" s="26">
        <f>IF($P495="","",IF(INDEX(CalcTime,$P495)=0,"",INDEX(CalcTime,$P495)))</f>
        <v/>
      </c>
      <c r="D495" s="26">
        <f>IF($P495="","",IF(INDEX(EntryParty,$P495)=0,"",INDEX(EntryParty,$P495)))</f>
        <v/>
      </c>
      <c r="E495" s="26">
        <f>IF($P495="","",IF(INDEX(EntryPartyName,$P495)=0,"",INDEX(EntryPartyName,$P495)))</f>
        <v/>
      </c>
      <c r="F495" s="26">
        <f>IF($P495="","",IF(INDEX(EntryPartyType,$P495)=0,"",INDEX(EntryPartyType,$P495)))</f>
        <v/>
      </c>
      <c r="G495" s="26">
        <f>IF($P495="","",IF(INDEX(EntryTxnType,$P495)=0,"",INDEX(EntryTxnType,$P495)))</f>
        <v/>
      </c>
      <c r="H495" s="27">
        <f>IF($P495="","",IF(INDEX(EntryDep,$P495)=0,"",INDEX(EntryDep,$P495)))</f>
        <v/>
      </c>
      <c r="I495" s="27">
        <f>IF($P495="","",IF(INDEX(EntryWit,$P495)=0,"",INDEX(EntryWit,$P495)))</f>
        <v/>
      </c>
      <c r="J495" s="27">
        <f>IF($B495="","",IF($A495=1,$C$7,IF(J494="",0,J494))+IF($H495="",0,$H495)-IF($I495="",0,$I495))</f>
        <v/>
      </c>
      <c r="K495" s="27">
        <f>IF($P495="","",IF(INDEX(EntryMan,$P495)=0,"",INDEX(EntryMan,$P495)))</f>
        <v/>
      </c>
      <c r="L495" s="26">
        <f>IF($B495="","",IF($K495="","—",IF(ROUND($K495-$J495,0)=0,"√","×")))</f>
        <v/>
      </c>
      <c r="M495" s="26">
        <f>IF($B495="","",IF(COUNTIFS(EntryDates,$B495,CalcTime,$C495,CalcBank,$C$5,EntryParty,$D495,EntryDep,$H495,EntryWit,$I495)&gt;1,"تکرار",""))</f>
        <v/>
      </c>
      <c r="N495" s="26">
        <f>IF($P495="","",IF(INDEX(EntryNotes,$P495)=0,"",INDEX(EntryNotes,$P495)))</f>
        <v/>
      </c>
      <c r="O495" s="26">
        <f>IF($P495="","",IF(INDEX(EntryTxnID,$P495)=0,"",INDEX(EntryTxnID,$P495)))</f>
        <v/>
      </c>
      <c r="P495" s="26">
        <f>IFERROR(MATCH($C$5&amp;"|"&amp;RIGHT("000000"&amp;479,6),CalcRankKey,0),"")</f>
        <v/>
      </c>
    </row>
    <row r="496">
      <c r="A496" s="28">
        <f>IF($B496="","",480)</f>
        <v/>
      </c>
      <c r="B496" s="28">
        <f>IF($P496="","",IF(INDEX(CalcNormDate,$P496)=0,"",INDEX(CalcNormDate,$P496)))</f>
        <v/>
      </c>
      <c r="C496" s="28">
        <f>IF($P496="","",IF(INDEX(CalcTime,$P496)=0,"",INDEX(CalcTime,$P496)))</f>
        <v/>
      </c>
      <c r="D496" s="28">
        <f>IF($P496="","",IF(INDEX(EntryParty,$P496)=0,"",INDEX(EntryParty,$P496)))</f>
        <v/>
      </c>
      <c r="E496" s="28">
        <f>IF($P496="","",IF(INDEX(EntryPartyName,$P496)=0,"",INDEX(EntryPartyName,$P496)))</f>
        <v/>
      </c>
      <c r="F496" s="28">
        <f>IF($P496="","",IF(INDEX(EntryPartyType,$P496)=0,"",INDEX(EntryPartyType,$P496)))</f>
        <v/>
      </c>
      <c r="G496" s="28">
        <f>IF($P496="","",IF(INDEX(EntryTxnType,$P496)=0,"",INDEX(EntryTxnType,$P496)))</f>
        <v/>
      </c>
      <c r="H496" s="29">
        <f>IF($P496="","",IF(INDEX(EntryDep,$P496)=0,"",INDEX(EntryDep,$P496)))</f>
        <v/>
      </c>
      <c r="I496" s="29">
        <f>IF($P496="","",IF(INDEX(EntryWit,$P496)=0,"",INDEX(EntryWit,$P496)))</f>
        <v/>
      </c>
      <c r="J496" s="29">
        <f>IF($B496="","",IF($A496=1,$C$7,IF(J495="",0,J495))+IF($H496="",0,$H496)-IF($I496="",0,$I496))</f>
        <v/>
      </c>
      <c r="K496" s="29">
        <f>IF($P496="","",IF(INDEX(EntryMan,$P496)=0,"",INDEX(EntryMan,$P496)))</f>
        <v/>
      </c>
      <c r="L496" s="28">
        <f>IF($B496="","",IF($K496="","—",IF(ROUND($K496-$J496,0)=0,"√","×")))</f>
        <v/>
      </c>
      <c r="M496" s="28">
        <f>IF($B496="","",IF(COUNTIFS(EntryDates,$B496,CalcTime,$C496,CalcBank,$C$5,EntryParty,$D496,EntryDep,$H496,EntryWit,$I496)&gt;1,"تکرار",""))</f>
        <v/>
      </c>
      <c r="N496" s="28">
        <f>IF($P496="","",IF(INDEX(EntryNotes,$P496)=0,"",INDEX(EntryNotes,$P496)))</f>
        <v/>
      </c>
      <c r="O496" s="28">
        <f>IF($P496="","",IF(INDEX(EntryTxnID,$P496)=0,"",INDEX(EntryTxnID,$P496)))</f>
        <v/>
      </c>
      <c r="P496" s="28">
        <f>IFERROR(MATCH($C$5&amp;"|"&amp;RIGHT("000000"&amp;480,6),CalcRankKey,0),"")</f>
        <v/>
      </c>
    </row>
    <row r="497">
      <c r="A497" s="26">
        <f>IF($B497="","",481)</f>
        <v/>
      </c>
      <c r="B497" s="26">
        <f>IF($P497="","",IF(INDEX(CalcNormDate,$P497)=0,"",INDEX(CalcNormDate,$P497)))</f>
        <v/>
      </c>
      <c r="C497" s="26">
        <f>IF($P497="","",IF(INDEX(CalcTime,$P497)=0,"",INDEX(CalcTime,$P497)))</f>
        <v/>
      </c>
      <c r="D497" s="26">
        <f>IF($P497="","",IF(INDEX(EntryParty,$P497)=0,"",INDEX(EntryParty,$P497)))</f>
        <v/>
      </c>
      <c r="E497" s="26">
        <f>IF($P497="","",IF(INDEX(EntryPartyName,$P497)=0,"",INDEX(EntryPartyName,$P497)))</f>
        <v/>
      </c>
      <c r="F497" s="26">
        <f>IF($P497="","",IF(INDEX(EntryPartyType,$P497)=0,"",INDEX(EntryPartyType,$P497)))</f>
        <v/>
      </c>
      <c r="G497" s="26">
        <f>IF($P497="","",IF(INDEX(EntryTxnType,$P497)=0,"",INDEX(EntryTxnType,$P497)))</f>
        <v/>
      </c>
      <c r="H497" s="27">
        <f>IF($P497="","",IF(INDEX(EntryDep,$P497)=0,"",INDEX(EntryDep,$P497)))</f>
        <v/>
      </c>
      <c r="I497" s="27">
        <f>IF($P497="","",IF(INDEX(EntryWit,$P497)=0,"",INDEX(EntryWit,$P497)))</f>
        <v/>
      </c>
      <c r="J497" s="27">
        <f>IF($B497="","",IF($A497=1,$C$7,IF(J496="",0,J496))+IF($H497="",0,$H497)-IF($I497="",0,$I497))</f>
        <v/>
      </c>
      <c r="K497" s="27">
        <f>IF($P497="","",IF(INDEX(EntryMan,$P497)=0,"",INDEX(EntryMan,$P497)))</f>
        <v/>
      </c>
      <c r="L497" s="26">
        <f>IF($B497="","",IF($K497="","—",IF(ROUND($K497-$J497,0)=0,"√","×")))</f>
        <v/>
      </c>
      <c r="M497" s="26">
        <f>IF($B497="","",IF(COUNTIFS(EntryDates,$B497,CalcTime,$C497,CalcBank,$C$5,EntryParty,$D497,EntryDep,$H497,EntryWit,$I497)&gt;1,"تکرار",""))</f>
        <v/>
      </c>
      <c r="N497" s="26">
        <f>IF($P497="","",IF(INDEX(EntryNotes,$P497)=0,"",INDEX(EntryNotes,$P497)))</f>
        <v/>
      </c>
      <c r="O497" s="26">
        <f>IF($P497="","",IF(INDEX(EntryTxnID,$P497)=0,"",INDEX(EntryTxnID,$P497)))</f>
        <v/>
      </c>
      <c r="P497" s="26">
        <f>IFERROR(MATCH($C$5&amp;"|"&amp;RIGHT("000000"&amp;481,6),CalcRankKey,0),"")</f>
        <v/>
      </c>
    </row>
    <row r="498">
      <c r="A498" s="28">
        <f>IF($B498="","",482)</f>
        <v/>
      </c>
      <c r="B498" s="28">
        <f>IF($P498="","",IF(INDEX(CalcNormDate,$P498)=0,"",INDEX(CalcNormDate,$P498)))</f>
        <v/>
      </c>
      <c r="C498" s="28">
        <f>IF($P498="","",IF(INDEX(CalcTime,$P498)=0,"",INDEX(CalcTime,$P498)))</f>
        <v/>
      </c>
      <c r="D498" s="28">
        <f>IF($P498="","",IF(INDEX(EntryParty,$P498)=0,"",INDEX(EntryParty,$P498)))</f>
        <v/>
      </c>
      <c r="E498" s="28">
        <f>IF($P498="","",IF(INDEX(EntryPartyName,$P498)=0,"",INDEX(EntryPartyName,$P498)))</f>
        <v/>
      </c>
      <c r="F498" s="28">
        <f>IF($P498="","",IF(INDEX(EntryPartyType,$P498)=0,"",INDEX(EntryPartyType,$P498)))</f>
        <v/>
      </c>
      <c r="G498" s="28">
        <f>IF($P498="","",IF(INDEX(EntryTxnType,$P498)=0,"",INDEX(EntryTxnType,$P498)))</f>
        <v/>
      </c>
      <c r="H498" s="29">
        <f>IF($P498="","",IF(INDEX(EntryDep,$P498)=0,"",INDEX(EntryDep,$P498)))</f>
        <v/>
      </c>
      <c r="I498" s="29">
        <f>IF($P498="","",IF(INDEX(EntryWit,$P498)=0,"",INDEX(EntryWit,$P498)))</f>
        <v/>
      </c>
      <c r="J498" s="29">
        <f>IF($B498="","",IF($A498=1,$C$7,IF(J497="",0,J497))+IF($H498="",0,$H498)-IF($I498="",0,$I498))</f>
        <v/>
      </c>
      <c r="K498" s="29">
        <f>IF($P498="","",IF(INDEX(EntryMan,$P498)=0,"",INDEX(EntryMan,$P498)))</f>
        <v/>
      </c>
      <c r="L498" s="28">
        <f>IF($B498="","",IF($K498="","—",IF(ROUND($K498-$J498,0)=0,"√","×")))</f>
        <v/>
      </c>
      <c r="M498" s="28">
        <f>IF($B498="","",IF(COUNTIFS(EntryDates,$B498,CalcTime,$C498,CalcBank,$C$5,EntryParty,$D498,EntryDep,$H498,EntryWit,$I498)&gt;1,"تکرار",""))</f>
        <v/>
      </c>
      <c r="N498" s="28">
        <f>IF($P498="","",IF(INDEX(EntryNotes,$P498)=0,"",INDEX(EntryNotes,$P498)))</f>
        <v/>
      </c>
      <c r="O498" s="28">
        <f>IF($P498="","",IF(INDEX(EntryTxnID,$P498)=0,"",INDEX(EntryTxnID,$P498)))</f>
        <v/>
      </c>
      <c r="P498" s="28">
        <f>IFERROR(MATCH($C$5&amp;"|"&amp;RIGHT("000000"&amp;482,6),CalcRankKey,0),"")</f>
        <v/>
      </c>
    </row>
    <row r="499">
      <c r="A499" s="26">
        <f>IF($B499="","",483)</f>
        <v/>
      </c>
      <c r="B499" s="26">
        <f>IF($P499="","",IF(INDEX(CalcNormDate,$P499)=0,"",INDEX(CalcNormDate,$P499)))</f>
        <v/>
      </c>
      <c r="C499" s="26">
        <f>IF($P499="","",IF(INDEX(CalcTime,$P499)=0,"",INDEX(CalcTime,$P499)))</f>
        <v/>
      </c>
      <c r="D499" s="26">
        <f>IF($P499="","",IF(INDEX(EntryParty,$P499)=0,"",INDEX(EntryParty,$P499)))</f>
        <v/>
      </c>
      <c r="E499" s="26">
        <f>IF($P499="","",IF(INDEX(EntryPartyName,$P499)=0,"",INDEX(EntryPartyName,$P499)))</f>
        <v/>
      </c>
      <c r="F499" s="26">
        <f>IF($P499="","",IF(INDEX(EntryPartyType,$P499)=0,"",INDEX(EntryPartyType,$P499)))</f>
        <v/>
      </c>
      <c r="G499" s="26">
        <f>IF($P499="","",IF(INDEX(EntryTxnType,$P499)=0,"",INDEX(EntryTxnType,$P499)))</f>
        <v/>
      </c>
      <c r="H499" s="27">
        <f>IF($P499="","",IF(INDEX(EntryDep,$P499)=0,"",INDEX(EntryDep,$P499)))</f>
        <v/>
      </c>
      <c r="I499" s="27">
        <f>IF($P499="","",IF(INDEX(EntryWit,$P499)=0,"",INDEX(EntryWit,$P499)))</f>
        <v/>
      </c>
      <c r="J499" s="27">
        <f>IF($B499="","",IF($A499=1,$C$7,IF(J498="",0,J498))+IF($H499="",0,$H499)-IF($I499="",0,$I499))</f>
        <v/>
      </c>
      <c r="K499" s="27">
        <f>IF($P499="","",IF(INDEX(EntryMan,$P499)=0,"",INDEX(EntryMan,$P499)))</f>
        <v/>
      </c>
      <c r="L499" s="26">
        <f>IF($B499="","",IF($K499="","—",IF(ROUND($K499-$J499,0)=0,"√","×")))</f>
        <v/>
      </c>
      <c r="M499" s="26">
        <f>IF($B499="","",IF(COUNTIFS(EntryDates,$B499,CalcTime,$C499,CalcBank,$C$5,EntryParty,$D499,EntryDep,$H499,EntryWit,$I499)&gt;1,"تکرار",""))</f>
        <v/>
      </c>
      <c r="N499" s="26">
        <f>IF($P499="","",IF(INDEX(EntryNotes,$P499)=0,"",INDEX(EntryNotes,$P499)))</f>
        <v/>
      </c>
      <c r="O499" s="26">
        <f>IF($P499="","",IF(INDEX(EntryTxnID,$P499)=0,"",INDEX(EntryTxnID,$P499)))</f>
        <v/>
      </c>
      <c r="P499" s="26">
        <f>IFERROR(MATCH($C$5&amp;"|"&amp;RIGHT("000000"&amp;483,6),CalcRankKey,0),"")</f>
        <v/>
      </c>
    </row>
    <row r="500">
      <c r="A500" s="28">
        <f>IF($B500="","",484)</f>
        <v/>
      </c>
      <c r="B500" s="28">
        <f>IF($P500="","",IF(INDEX(CalcNormDate,$P500)=0,"",INDEX(CalcNormDate,$P500)))</f>
        <v/>
      </c>
      <c r="C500" s="28">
        <f>IF($P500="","",IF(INDEX(CalcTime,$P500)=0,"",INDEX(CalcTime,$P500)))</f>
        <v/>
      </c>
      <c r="D500" s="28">
        <f>IF($P500="","",IF(INDEX(EntryParty,$P500)=0,"",INDEX(EntryParty,$P500)))</f>
        <v/>
      </c>
      <c r="E500" s="28">
        <f>IF($P500="","",IF(INDEX(EntryPartyName,$P500)=0,"",INDEX(EntryPartyName,$P500)))</f>
        <v/>
      </c>
      <c r="F500" s="28">
        <f>IF($P500="","",IF(INDEX(EntryPartyType,$P500)=0,"",INDEX(EntryPartyType,$P500)))</f>
        <v/>
      </c>
      <c r="G500" s="28">
        <f>IF($P500="","",IF(INDEX(EntryTxnType,$P500)=0,"",INDEX(EntryTxnType,$P500)))</f>
        <v/>
      </c>
      <c r="H500" s="29">
        <f>IF($P500="","",IF(INDEX(EntryDep,$P500)=0,"",INDEX(EntryDep,$P500)))</f>
        <v/>
      </c>
      <c r="I500" s="29">
        <f>IF($P500="","",IF(INDEX(EntryWit,$P500)=0,"",INDEX(EntryWit,$P500)))</f>
        <v/>
      </c>
      <c r="J500" s="29">
        <f>IF($B500="","",IF($A500=1,$C$7,IF(J499="",0,J499))+IF($H500="",0,$H500)-IF($I500="",0,$I500))</f>
        <v/>
      </c>
      <c r="K500" s="29">
        <f>IF($P500="","",IF(INDEX(EntryMan,$P500)=0,"",INDEX(EntryMan,$P500)))</f>
        <v/>
      </c>
      <c r="L500" s="28">
        <f>IF($B500="","",IF($K500="","—",IF(ROUND($K500-$J500,0)=0,"√","×")))</f>
        <v/>
      </c>
      <c r="M500" s="28">
        <f>IF($B500="","",IF(COUNTIFS(EntryDates,$B500,CalcTime,$C500,CalcBank,$C$5,EntryParty,$D500,EntryDep,$H500,EntryWit,$I500)&gt;1,"تکرار",""))</f>
        <v/>
      </c>
      <c r="N500" s="28">
        <f>IF($P500="","",IF(INDEX(EntryNotes,$P500)=0,"",INDEX(EntryNotes,$P500)))</f>
        <v/>
      </c>
      <c r="O500" s="28">
        <f>IF($P500="","",IF(INDEX(EntryTxnID,$P500)=0,"",INDEX(EntryTxnID,$P500)))</f>
        <v/>
      </c>
      <c r="P500" s="28">
        <f>IFERROR(MATCH($C$5&amp;"|"&amp;RIGHT("000000"&amp;484,6),CalcRankKey,0),"")</f>
        <v/>
      </c>
    </row>
    <row r="501">
      <c r="A501" s="26">
        <f>IF($B501="","",485)</f>
        <v/>
      </c>
      <c r="B501" s="26">
        <f>IF($P501="","",IF(INDEX(CalcNormDate,$P501)=0,"",INDEX(CalcNormDate,$P501)))</f>
        <v/>
      </c>
      <c r="C501" s="26">
        <f>IF($P501="","",IF(INDEX(CalcTime,$P501)=0,"",INDEX(CalcTime,$P501)))</f>
        <v/>
      </c>
      <c r="D501" s="26">
        <f>IF($P501="","",IF(INDEX(EntryParty,$P501)=0,"",INDEX(EntryParty,$P501)))</f>
        <v/>
      </c>
      <c r="E501" s="26">
        <f>IF($P501="","",IF(INDEX(EntryPartyName,$P501)=0,"",INDEX(EntryPartyName,$P501)))</f>
        <v/>
      </c>
      <c r="F501" s="26">
        <f>IF($P501="","",IF(INDEX(EntryPartyType,$P501)=0,"",INDEX(EntryPartyType,$P501)))</f>
        <v/>
      </c>
      <c r="G501" s="26">
        <f>IF($P501="","",IF(INDEX(EntryTxnType,$P501)=0,"",INDEX(EntryTxnType,$P501)))</f>
        <v/>
      </c>
      <c r="H501" s="27">
        <f>IF($P501="","",IF(INDEX(EntryDep,$P501)=0,"",INDEX(EntryDep,$P501)))</f>
        <v/>
      </c>
      <c r="I501" s="27">
        <f>IF($P501="","",IF(INDEX(EntryWit,$P501)=0,"",INDEX(EntryWit,$P501)))</f>
        <v/>
      </c>
      <c r="J501" s="27">
        <f>IF($B501="","",IF($A501=1,$C$7,IF(J500="",0,J500))+IF($H501="",0,$H501)-IF($I501="",0,$I501))</f>
        <v/>
      </c>
      <c r="K501" s="27">
        <f>IF($P501="","",IF(INDEX(EntryMan,$P501)=0,"",INDEX(EntryMan,$P501)))</f>
        <v/>
      </c>
      <c r="L501" s="26">
        <f>IF($B501="","",IF($K501="","—",IF(ROUND($K501-$J501,0)=0,"√","×")))</f>
        <v/>
      </c>
      <c r="M501" s="26">
        <f>IF($B501="","",IF(COUNTIFS(EntryDates,$B501,CalcTime,$C501,CalcBank,$C$5,EntryParty,$D501,EntryDep,$H501,EntryWit,$I501)&gt;1,"تکرار",""))</f>
        <v/>
      </c>
      <c r="N501" s="26">
        <f>IF($P501="","",IF(INDEX(EntryNotes,$P501)=0,"",INDEX(EntryNotes,$P501)))</f>
        <v/>
      </c>
      <c r="O501" s="26">
        <f>IF($P501="","",IF(INDEX(EntryTxnID,$P501)=0,"",INDEX(EntryTxnID,$P501)))</f>
        <v/>
      </c>
      <c r="P501" s="26">
        <f>IFERROR(MATCH($C$5&amp;"|"&amp;RIGHT("000000"&amp;485,6),CalcRankKey,0),"")</f>
        <v/>
      </c>
    </row>
    <row r="502">
      <c r="A502" s="28">
        <f>IF($B502="","",486)</f>
        <v/>
      </c>
      <c r="B502" s="28">
        <f>IF($P502="","",IF(INDEX(CalcNormDate,$P502)=0,"",INDEX(CalcNormDate,$P502)))</f>
        <v/>
      </c>
      <c r="C502" s="28">
        <f>IF($P502="","",IF(INDEX(CalcTime,$P502)=0,"",INDEX(CalcTime,$P502)))</f>
        <v/>
      </c>
      <c r="D502" s="28">
        <f>IF($P502="","",IF(INDEX(EntryParty,$P502)=0,"",INDEX(EntryParty,$P502)))</f>
        <v/>
      </c>
      <c r="E502" s="28">
        <f>IF($P502="","",IF(INDEX(EntryPartyName,$P502)=0,"",INDEX(EntryPartyName,$P502)))</f>
        <v/>
      </c>
      <c r="F502" s="28">
        <f>IF($P502="","",IF(INDEX(EntryPartyType,$P502)=0,"",INDEX(EntryPartyType,$P502)))</f>
        <v/>
      </c>
      <c r="G502" s="28">
        <f>IF($P502="","",IF(INDEX(EntryTxnType,$P502)=0,"",INDEX(EntryTxnType,$P502)))</f>
        <v/>
      </c>
      <c r="H502" s="29">
        <f>IF($P502="","",IF(INDEX(EntryDep,$P502)=0,"",INDEX(EntryDep,$P502)))</f>
        <v/>
      </c>
      <c r="I502" s="29">
        <f>IF($P502="","",IF(INDEX(EntryWit,$P502)=0,"",INDEX(EntryWit,$P502)))</f>
        <v/>
      </c>
      <c r="J502" s="29">
        <f>IF($B502="","",IF($A502=1,$C$7,IF(J501="",0,J501))+IF($H502="",0,$H502)-IF($I502="",0,$I502))</f>
        <v/>
      </c>
      <c r="K502" s="29">
        <f>IF($P502="","",IF(INDEX(EntryMan,$P502)=0,"",INDEX(EntryMan,$P502)))</f>
        <v/>
      </c>
      <c r="L502" s="28">
        <f>IF($B502="","",IF($K502="","—",IF(ROUND($K502-$J502,0)=0,"√","×")))</f>
        <v/>
      </c>
      <c r="M502" s="28">
        <f>IF($B502="","",IF(COUNTIFS(EntryDates,$B502,CalcTime,$C502,CalcBank,$C$5,EntryParty,$D502,EntryDep,$H502,EntryWit,$I502)&gt;1,"تکرار",""))</f>
        <v/>
      </c>
      <c r="N502" s="28">
        <f>IF($P502="","",IF(INDEX(EntryNotes,$P502)=0,"",INDEX(EntryNotes,$P502)))</f>
        <v/>
      </c>
      <c r="O502" s="28">
        <f>IF($P502="","",IF(INDEX(EntryTxnID,$P502)=0,"",INDEX(EntryTxnID,$P502)))</f>
        <v/>
      </c>
      <c r="P502" s="28">
        <f>IFERROR(MATCH($C$5&amp;"|"&amp;RIGHT("000000"&amp;486,6),CalcRankKey,0),"")</f>
        <v/>
      </c>
    </row>
    <row r="503">
      <c r="A503" s="26">
        <f>IF($B503="","",487)</f>
        <v/>
      </c>
      <c r="B503" s="26">
        <f>IF($P503="","",IF(INDEX(CalcNormDate,$P503)=0,"",INDEX(CalcNormDate,$P503)))</f>
        <v/>
      </c>
      <c r="C503" s="26">
        <f>IF($P503="","",IF(INDEX(CalcTime,$P503)=0,"",INDEX(CalcTime,$P503)))</f>
        <v/>
      </c>
      <c r="D503" s="26">
        <f>IF($P503="","",IF(INDEX(EntryParty,$P503)=0,"",INDEX(EntryParty,$P503)))</f>
        <v/>
      </c>
      <c r="E503" s="26">
        <f>IF($P503="","",IF(INDEX(EntryPartyName,$P503)=0,"",INDEX(EntryPartyName,$P503)))</f>
        <v/>
      </c>
      <c r="F503" s="26">
        <f>IF($P503="","",IF(INDEX(EntryPartyType,$P503)=0,"",INDEX(EntryPartyType,$P503)))</f>
        <v/>
      </c>
      <c r="G503" s="26">
        <f>IF($P503="","",IF(INDEX(EntryTxnType,$P503)=0,"",INDEX(EntryTxnType,$P503)))</f>
        <v/>
      </c>
      <c r="H503" s="27">
        <f>IF($P503="","",IF(INDEX(EntryDep,$P503)=0,"",INDEX(EntryDep,$P503)))</f>
        <v/>
      </c>
      <c r="I503" s="27">
        <f>IF($P503="","",IF(INDEX(EntryWit,$P503)=0,"",INDEX(EntryWit,$P503)))</f>
        <v/>
      </c>
      <c r="J503" s="27">
        <f>IF($B503="","",IF($A503=1,$C$7,IF(J502="",0,J502))+IF($H503="",0,$H503)-IF($I503="",0,$I503))</f>
        <v/>
      </c>
      <c r="K503" s="27">
        <f>IF($P503="","",IF(INDEX(EntryMan,$P503)=0,"",INDEX(EntryMan,$P503)))</f>
        <v/>
      </c>
      <c r="L503" s="26">
        <f>IF($B503="","",IF($K503="","—",IF(ROUND($K503-$J503,0)=0,"√","×")))</f>
        <v/>
      </c>
      <c r="M503" s="26">
        <f>IF($B503="","",IF(COUNTIFS(EntryDates,$B503,CalcTime,$C503,CalcBank,$C$5,EntryParty,$D503,EntryDep,$H503,EntryWit,$I503)&gt;1,"تکرار",""))</f>
        <v/>
      </c>
      <c r="N503" s="26">
        <f>IF($P503="","",IF(INDEX(EntryNotes,$P503)=0,"",INDEX(EntryNotes,$P503)))</f>
        <v/>
      </c>
      <c r="O503" s="26">
        <f>IF($P503="","",IF(INDEX(EntryTxnID,$P503)=0,"",INDEX(EntryTxnID,$P503)))</f>
        <v/>
      </c>
      <c r="P503" s="26">
        <f>IFERROR(MATCH($C$5&amp;"|"&amp;RIGHT("000000"&amp;487,6),CalcRankKey,0),"")</f>
        <v/>
      </c>
    </row>
    <row r="504">
      <c r="A504" s="28">
        <f>IF($B504="","",488)</f>
        <v/>
      </c>
      <c r="B504" s="28">
        <f>IF($P504="","",IF(INDEX(CalcNormDate,$P504)=0,"",INDEX(CalcNormDate,$P504)))</f>
        <v/>
      </c>
      <c r="C504" s="28">
        <f>IF($P504="","",IF(INDEX(CalcTime,$P504)=0,"",INDEX(CalcTime,$P504)))</f>
        <v/>
      </c>
      <c r="D504" s="28">
        <f>IF($P504="","",IF(INDEX(EntryParty,$P504)=0,"",INDEX(EntryParty,$P504)))</f>
        <v/>
      </c>
      <c r="E504" s="28">
        <f>IF($P504="","",IF(INDEX(EntryPartyName,$P504)=0,"",INDEX(EntryPartyName,$P504)))</f>
        <v/>
      </c>
      <c r="F504" s="28">
        <f>IF($P504="","",IF(INDEX(EntryPartyType,$P504)=0,"",INDEX(EntryPartyType,$P504)))</f>
        <v/>
      </c>
      <c r="G504" s="28">
        <f>IF($P504="","",IF(INDEX(EntryTxnType,$P504)=0,"",INDEX(EntryTxnType,$P504)))</f>
        <v/>
      </c>
      <c r="H504" s="29">
        <f>IF($P504="","",IF(INDEX(EntryDep,$P504)=0,"",INDEX(EntryDep,$P504)))</f>
        <v/>
      </c>
      <c r="I504" s="29">
        <f>IF($P504="","",IF(INDEX(EntryWit,$P504)=0,"",INDEX(EntryWit,$P504)))</f>
        <v/>
      </c>
      <c r="J504" s="29">
        <f>IF($B504="","",IF($A504=1,$C$7,IF(J503="",0,J503))+IF($H504="",0,$H504)-IF($I504="",0,$I504))</f>
        <v/>
      </c>
      <c r="K504" s="29">
        <f>IF($P504="","",IF(INDEX(EntryMan,$P504)=0,"",INDEX(EntryMan,$P504)))</f>
        <v/>
      </c>
      <c r="L504" s="28">
        <f>IF($B504="","",IF($K504="","—",IF(ROUND($K504-$J504,0)=0,"√","×")))</f>
        <v/>
      </c>
      <c r="M504" s="28">
        <f>IF($B504="","",IF(COUNTIFS(EntryDates,$B504,CalcTime,$C504,CalcBank,$C$5,EntryParty,$D504,EntryDep,$H504,EntryWit,$I504)&gt;1,"تکرار",""))</f>
        <v/>
      </c>
      <c r="N504" s="28">
        <f>IF($P504="","",IF(INDEX(EntryNotes,$P504)=0,"",INDEX(EntryNotes,$P504)))</f>
        <v/>
      </c>
      <c r="O504" s="28">
        <f>IF($P504="","",IF(INDEX(EntryTxnID,$P504)=0,"",INDEX(EntryTxnID,$P504)))</f>
        <v/>
      </c>
      <c r="P504" s="28">
        <f>IFERROR(MATCH($C$5&amp;"|"&amp;RIGHT("000000"&amp;488,6),CalcRankKey,0),"")</f>
        <v/>
      </c>
    </row>
    <row r="505">
      <c r="A505" s="26">
        <f>IF($B505="","",489)</f>
        <v/>
      </c>
      <c r="B505" s="26">
        <f>IF($P505="","",IF(INDEX(CalcNormDate,$P505)=0,"",INDEX(CalcNormDate,$P505)))</f>
        <v/>
      </c>
      <c r="C505" s="26">
        <f>IF($P505="","",IF(INDEX(CalcTime,$P505)=0,"",INDEX(CalcTime,$P505)))</f>
        <v/>
      </c>
      <c r="D505" s="26">
        <f>IF($P505="","",IF(INDEX(EntryParty,$P505)=0,"",INDEX(EntryParty,$P505)))</f>
        <v/>
      </c>
      <c r="E505" s="26">
        <f>IF($P505="","",IF(INDEX(EntryPartyName,$P505)=0,"",INDEX(EntryPartyName,$P505)))</f>
        <v/>
      </c>
      <c r="F505" s="26">
        <f>IF($P505="","",IF(INDEX(EntryPartyType,$P505)=0,"",INDEX(EntryPartyType,$P505)))</f>
        <v/>
      </c>
      <c r="G505" s="26">
        <f>IF($P505="","",IF(INDEX(EntryTxnType,$P505)=0,"",INDEX(EntryTxnType,$P505)))</f>
        <v/>
      </c>
      <c r="H505" s="27">
        <f>IF($P505="","",IF(INDEX(EntryDep,$P505)=0,"",INDEX(EntryDep,$P505)))</f>
        <v/>
      </c>
      <c r="I505" s="27">
        <f>IF($P505="","",IF(INDEX(EntryWit,$P505)=0,"",INDEX(EntryWit,$P505)))</f>
        <v/>
      </c>
      <c r="J505" s="27">
        <f>IF($B505="","",IF($A505=1,$C$7,IF(J504="",0,J504))+IF($H505="",0,$H505)-IF($I505="",0,$I505))</f>
        <v/>
      </c>
      <c r="K505" s="27">
        <f>IF($P505="","",IF(INDEX(EntryMan,$P505)=0,"",INDEX(EntryMan,$P505)))</f>
        <v/>
      </c>
      <c r="L505" s="26">
        <f>IF($B505="","",IF($K505="","—",IF(ROUND($K505-$J505,0)=0,"√","×")))</f>
        <v/>
      </c>
      <c r="M505" s="26">
        <f>IF($B505="","",IF(COUNTIFS(EntryDates,$B505,CalcTime,$C505,CalcBank,$C$5,EntryParty,$D505,EntryDep,$H505,EntryWit,$I505)&gt;1,"تکرار",""))</f>
        <v/>
      </c>
      <c r="N505" s="26">
        <f>IF($P505="","",IF(INDEX(EntryNotes,$P505)=0,"",INDEX(EntryNotes,$P505)))</f>
        <v/>
      </c>
      <c r="O505" s="26">
        <f>IF($P505="","",IF(INDEX(EntryTxnID,$P505)=0,"",INDEX(EntryTxnID,$P505)))</f>
        <v/>
      </c>
      <c r="P505" s="26">
        <f>IFERROR(MATCH($C$5&amp;"|"&amp;RIGHT("000000"&amp;489,6),CalcRankKey,0),"")</f>
        <v/>
      </c>
    </row>
    <row r="506">
      <c r="A506" s="28">
        <f>IF($B506="","",490)</f>
        <v/>
      </c>
      <c r="B506" s="28">
        <f>IF($P506="","",IF(INDEX(CalcNormDate,$P506)=0,"",INDEX(CalcNormDate,$P506)))</f>
        <v/>
      </c>
      <c r="C506" s="28">
        <f>IF($P506="","",IF(INDEX(CalcTime,$P506)=0,"",INDEX(CalcTime,$P506)))</f>
        <v/>
      </c>
      <c r="D506" s="28">
        <f>IF($P506="","",IF(INDEX(EntryParty,$P506)=0,"",INDEX(EntryParty,$P506)))</f>
        <v/>
      </c>
      <c r="E506" s="28">
        <f>IF($P506="","",IF(INDEX(EntryPartyName,$P506)=0,"",INDEX(EntryPartyName,$P506)))</f>
        <v/>
      </c>
      <c r="F506" s="28">
        <f>IF($P506="","",IF(INDEX(EntryPartyType,$P506)=0,"",INDEX(EntryPartyType,$P506)))</f>
        <v/>
      </c>
      <c r="G506" s="28">
        <f>IF($P506="","",IF(INDEX(EntryTxnType,$P506)=0,"",INDEX(EntryTxnType,$P506)))</f>
        <v/>
      </c>
      <c r="H506" s="29">
        <f>IF($P506="","",IF(INDEX(EntryDep,$P506)=0,"",INDEX(EntryDep,$P506)))</f>
        <v/>
      </c>
      <c r="I506" s="29">
        <f>IF($P506="","",IF(INDEX(EntryWit,$P506)=0,"",INDEX(EntryWit,$P506)))</f>
        <v/>
      </c>
      <c r="J506" s="29">
        <f>IF($B506="","",IF($A506=1,$C$7,IF(J505="",0,J505))+IF($H506="",0,$H506)-IF($I506="",0,$I506))</f>
        <v/>
      </c>
      <c r="K506" s="29">
        <f>IF($P506="","",IF(INDEX(EntryMan,$P506)=0,"",INDEX(EntryMan,$P506)))</f>
        <v/>
      </c>
      <c r="L506" s="28">
        <f>IF($B506="","",IF($K506="","—",IF(ROUND($K506-$J506,0)=0,"√","×")))</f>
        <v/>
      </c>
      <c r="M506" s="28">
        <f>IF($B506="","",IF(COUNTIFS(EntryDates,$B506,CalcTime,$C506,CalcBank,$C$5,EntryParty,$D506,EntryDep,$H506,EntryWit,$I506)&gt;1,"تکرار",""))</f>
        <v/>
      </c>
      <c r="N506" s="28">
        <f>IF($P506="","",IF(INDEX(EntryNotes,$P506)=0,"",INDEX(EntryNotes,$P506)))</f>
        <v/>
      </c>
      <c r="O506" s="28">
        <f>IF($P506="","",IF(INDEX(EntryTxnID,$P506)=0,"",INDEX(EntryTxnID,$P506)))</f>
        <v/>
      </c>
      <c r="P506" s="28">
        <f>IFERROR(MATCH($C$5&amp;"|"&amp;RIGHT("000000"&amp;490,6),CalcRankKey,0),"")</f>
        <v/>
      </c>
    </row>
    <row r="507">
      <c r="A507" s="26">
        <f>IF($B507="","",491)</f>
        <v/>
      </c>
      <c r="B507" s="26">
        <f>IF($P507="","",IF(INDEX(CalcNormDate,$P507)=0,"",INDEX(CalcNormDate,$P507)))</f>
        <v/>
      </c>
      <c r="C507" s="26">
        <f>IF($P507="","",IF(INDEX(CalcTime,$P507)=0,"",INDEX(CalcTime,$P507)))</f>
        <v/>
      </c>
      <c r="D507" s="26">
        <f>IF($P507="","",IF(INDEX(EntryParty,$P507)=0,"",INDEX(EntryParty,$P507)))</f>
        <v/>
      </c>
      <c r="E507" s="26">
        <f>IF($P507="","",IF(INDEX(EntryPartyName,$P507)=0,"",INDEX(EntryPartyName,$P507)))</f>
        <v/>
      </c>
      <c r="F507" s="26">
        <f>IF($P507="","",IF(INDEX(EntryPartyType,$P507)=0,"",INDEX(EntryPartyType,$P507)))</f>
        <v/>
      </c>
      <c r="G507" s="26">
        <f>IF($P507="","",IF(INDEX(EntryTxnType,$P507)=0,"",INDEX(EntryTxnType,$P507)))</f>
        <v/>
      </c>
      <c r="H507" s="27">
        <f>IF($P507="","",IF(INDEX(EntryDep,$P507)=0,"",INDEX(EntryDep,$P507)))</f>
        <v/>
      </c>
      <c r="I507" s="27">
        <f>IF($P507="","",IF(INDEX(EntryWit,$P507)=0,"",INDEX(EntryWit,$P507)))</f>
        <v/>
      </c>
      <c r="J507" s="27">
        <f>IF($B507="","",IF($A507=1,$C$7,IF(J506="",0,J506))+IF($H507="",0,$H507)-IF($I507="",0,$I507))</f>
        <v/>
      </c>
      <c r="K507" s="27">
        <f>IF($P507="","",IF(INDEX(EntryMan,$P507)=0,"",INDEX(EntryMan,$P507)))</f>
        <v/>
      </c>
      <c r="L507" s="26">
        <f>IF($B507="","",IF($K507="","—",IF(ROUND($K507-$J507,0)=0,"√","×")))</f>
        <v/>
      </c>
      <c r="M507" s="26">
        <f>IF($B507="","",IF(COUNTIFS(EntryDates,$B507,CalcTime,$C507,CalcBank,$C$5,EntryParty,$D507,EntryDep,$H507,EntryWit,$I507)&gt;1,"تکرار",""))</f>
        <v/>
      </c>
      <c r="N507" s="26">
        <f>IF($P507="","",IF(INDEX(EntryNotes,$P507)=0,"",INDEX(EntryNotes,$P507)))</f>
        <v/>
      </c>
      <c r="O507" s="26">
        <f>IF($P507="","",IF(INDEX(EntryTxnID,$P507)=0,"",INDEX(EntryTxnID,$P507)))</f>
        <v/>
      </c>
      <c r="P507" s="26">
        <f>IFERROR(MATCH($C$5&amp;"|"&amp;RIGHT("000000"&amp;491,6),CalcRankKey,0),"")</f>
        <v/>
      </c>
    </row>
    <row r="508">
      <c r="A508" s="28">
        <f>IF($B508="","",492)</f>
        <v/>
      </c>
      <c r="B508" s="28">
        <f>IF($P508="","",IF(INDEX(CalcNormDate,$P508)=0,"",INDEX(CalcNormDate,$P508)))</f>
        <v/>
      </c>
      <c r="C508" s="28">
        <f>IF($P508="","",IF(INDEX(CalcTime,$P508)=0,"",INDEX(CalcTime,$P508)))</f>
        <v/>
      </c>
      <c r="D508" s="28">
        <f>IF($P508="","",IF(INDEX(EntryParty,$P508)=0,"",INDEX(EntryParty,$P508)))</f>
        <v/>
      </c>
      <c r="E508" s="28">
        <f>IF($P508="","",IF(INDEX(EntryPartyName,$P508)=0,"",INDEX(EntryPartyName,$P508)))</f>
        <v/>
      </c>
      <c r="F508" s="28">
        <f>IF($P508="","",IF(INDEX(EntryPartyType,$P508)=0,"",INDEX(EntryPartyType,$P508)))</f>
        <v/>
      </c>
      <c r="G508" s="28">
        <f>IF($P508="","",IF(INDEX(EntryTxnType,$P508)=0,"",INDEX(EntryTxnType,$P508)))</f>
        <v/>
      </c>
      <c r="H508" s="29">
        <f>IF($P508="","",IF(INDEX(EntryDep,$P508)=0,"",INDEX(EntryDep,$P508)))</f>
        <v/>
      </c>
      <c r="I508" s="29">
        <f>IF($P508="","",IF(INDEX(EntryWit,$P508)=0,"",INDEX(EntryWit,$P508)))</f>
        <v/>
      </c>
      <c r="J508" s="29">
        <f>IF($B508="","",IF($A508=1,$C$7,IF(J507="",0,J507))+IF($H508="",0,$H508)-IF($I508="",0,$I508))</f>
        <v/>
      </c>
      <c r="K508" s="29">
        <f>IF($P508="","",IF(INDEX(EntryMan,$P508)=0,"",INDEX(EntryMan,$P508)))</f>
        <v/>
      </c>
      <c r="L508" s="28">
        <f>IF($B508="","",IF($K508="","—",IF(ROUND($K508-$J508,0)=0,"√","×")))</f>
        <v/>
      </c>
      <c r="M508" s="28">
        <f>IF($B508="","",IF(COUNTIFS(EntryDates,$B508,CalcTime,$C508,CalcBank,$C$5,EntryParty,$D508,EntryDep,$H508,EntryWit,$I508)&gt;1,"تکرار",""))</f>
        <v/>
      </c>
      <c r="N508" s="28">
        <f>IF($P508="","",IF(INDEX(EntryNotes,$P508)=0,"",INDEX(EntryNotes,$P508)))</f>
        <v/>
      </c>
      <c r="O508" s="28">
        <f>IF($P508="","",IF(INDEX(EntryTxnID,$P508)=0,"",INDEX(EntryTxnID,$P508)))</f>
        <v/>
      </c>
      <c r="P508" s="28">
        <f>IFERROR(MATCH($C$5&amp;"|"&amp;RIGHT("000000"&amp;492,6),CalcRankKey,0),"")</f>
        <v/>
      </c>
    </row>
    <row r="509">
      <c r="A509" s="26">
        <f>IF($B509="","",493)</f>
        <v/>
      </c>
      <c r="B509" s="26">
        <f>IF($P509="","",IF(INDEX(CalcNormDate,$P509)=0,"",INDEX(CalcNormDate,$P509)))</f>
        <v/>
      </c>
      <c r="C509" s="26">
        <f>IF($P509="","",IF(INDEX(CalcTime,$P509)=0,"",INDEX(CalcTime,$P509)))</f>
        <v/>
      </c>
      <c r="D509" s="26">
        <f>IF($P509="","",IF(INDEX(EntryParty,$P509)=0,"",INDEX(EntryParty,$P509)))</f>
        <v/>
      </c>
      <c r="E509" s="26">
        <f>IF($P509="","",IF(INDEX(EntryPartyName,$P509)=0,"",INDEX(EntryPartyName,$P509)))</f>
        <v/>
      </c>
      <c r="F509" s="26">
        <f>IF($P509="","",IF(INDEX(EntryPartyType,$P509)=0,"",INDEX(EntryPartyType,$P509)))</f>
        <v/>
      </c>
      <c r="G509" s="26">
        <f>IF($P509="","",IF(INDEX(EntryTxnType,$P509)=0,"",INDEX(EntryTxnType,$P509)))</f>
        <v/>
      </c>
      <c r="H509" s="27">
        <f>IF($P509="","",IF(INDEX(EntryDep,$P509)=0,"",INDEX(EntryDep,$P509)))</f>
        <v/>
      </c>
      <c r="I509" s="27">
        <f>IF($P509="","",IF(INDEX(EntryWit,$P509)=0,"",INDEX(EntryWit,$P509)))</f>
        <v/>
      </c>
      <c r="J509" s="27">
        <f>IF($B509="","",IF($A509=1,$C$7,IF(J508="",0,J508))+IF($H509="",0,$H509)-IF($I509="",0,$I509))</f>
        <v/>
      </c>
      <c r="K509" s="27">
        <f>IF($P509="","",IF(INDEX(EntryMan,$P509)=0,"",INDEX(EntryMan,$P509)))</f>
        <v/>
      </c>
      <c r="L509" s="26">
        <f>IF($B509="","",IF($K509="","—",IF(ROUND($K509-$J509,0)=0,"√","×")))</f>
        <v/>
      </c>
      <c r="M509" s="26">
        <f>IF($B509="","",IF(COUNTIFS(EntryDates,$B509,CalcTime,$C509,CalcBank,$C$5,EntryParty,$D509,EntryDep,$H509,EntryWit,$I509)&gt;1,"تکرار",""))</f>
        <v/>
      </c>
      <c r="N509" s="26">
        <f>IF($P509="","",IF(INDEX(EntryNotes,$P509)=0,"",INDEX(EntryNotes,$P509)))</f>
        <v/>
      </c>
      <c r="O509" s="26">
        <f>IF($P509="","",IF(INDEX(EntryTxnID,$P509)=0,"",INDEX(EntryTxnID,$P509)))</f>
        <v/>
      </c>
      <c r="P509" s="26">
        <f>IFERROR(MATCH($C$5&amp;"|"&amp;RIGHT("000000"&amp;493,6),CalcRankKey,0),"")</f>
        <v/>
      </c>
    </row>
    <row r="510">
      <c r="A510" s="28">
        <f>IF($B510="","",494)</f>
        <v/>
      </c>
      <c r="B510" s="28">
        <f>IF($P510="","",IF(INDEX(CalcNormDate,$P510)=0,"",INDEX(CalcNormDate,$P510)))</f>
        <v/>
      </c>
      <c r="C510" s="28">
        <f>IF($P510="","",IF(INDEX(CalcTime,$P510)=0,"",INDEX(CalcTime,$P510)))</f>
        <v/>
      </c>
      <c r="D510" s="28">
        <f>IF($P510="","",IF(INDEX(EntryParty,$P510)=0,"",INDEX(EntryParty,$P510)))</f>
        <v/>
      </c>
      <c r="E510" s="28">
        <f>IF($P510="","",IF(INDEX(EntryPartyName,$P510)=0,"",INDEX(EntryPartyName,$P510)))</f>
        <v/>
      </c>
      <c r="F510" s="28">
        <f>IF($P510="","",IF(INDEX(EntryPartyType,$P510)=0,"",INDEX(EntryPartyType,$P510)))</f>
        <v/>
      </c>
      <c r="G510" s="28">
        <f>IF($P510="","",IF(INDEX(EntryTxnType,$P510)=0,"",INDEX(EntryTxnType,$P510)))</f>
        <v/>
      </c>
      <c r="H510" s="29">
        <f>IF($P510="","",IF(INDEX(EntryDep,$P510)=0,"",INDEX(EntryDep,$P510)))</f>
        <v/>
      </c>
      <c r="I510" s="29">
        <f>IF($P510="","",IF(INDEX(EntryWit,$P510)=0,"",INDEX(EntryWit,$P510)))</f>
        <v/>
      </c>
      <c r="J510" s="29">
        <f>IF($B510="","",IF($A510=1,$C$7,IF(J509="",0,J509))+IF($H510="",0,$H510)-IF($I510="",0,$I510))</f>
        <v/>
      </c>
      <c r="K510" s="29">
        <f>IF($P510="","",IF(INDEX(EntryMan,$P510)=0,"",INDEX(EntryMan,$P510)))</f>
        <v/>
      </c>
      <c r="L510" s="28">
        <f>IF($B510="","",IF($K510="","—",IF(ROUND($K510-$J510,0)=0,"√","×")))</f>
        <v/>
      </c>
      <c r="M510" s="28">
        <f>IF($B510="","",IF(COUNTIFS(EntryDates,$B510,CalcTime,$C510,CalcBank,$C$5,EntryParty,$D510,EntryDep,$H510,EntryWit,$I510)&gt;1,"تکرار",""))</f>
        <v/>
      </c>
      <c r="N510" s="28">
        <f>IF($P510="","",IF(INDEX(EntryNotes,$P510)=0,"",INDEX(EntryNotes,$P510)))</f>
        <v/>
      </c>
      <c r="O510" s="28">
        <f>IF($P510="","",IF(INDEX(EntryTxnID,$P510)=0,"",INDEX(EntryTxnID,$P510)))</f>
        <v/>
      </c>
      <c r="P510" s="28">
        <f>IFERROR(MATCH($C$5&amp;"|"&amp;RIGHT("000000"&amp;494,6),CalcRankKey,0),"")</f>
        <v/>
      </c>
    </row>
    <row r="511">
      <c r="A511" s="26">
        <f>IF($B511="","",495)</f>
        <v/>
      </c>
      <c r="B511" s="26">
        <f>IF($P511="","",IF(INDEX(CalcNormDate,$P511)=0,"",INDEX(CalcNormDate,$P511)))</f>
        <v/>
      </c>
      <c r="C511" s="26">
        <f>IF($P511="","",IF(INDEX(CalcTime,$P511)=0,"",INDEX(CalcTime,$P511)))</f>
        <v/>
      </c>
      <c r="D511" s="26">
        <f>IF($P511="","",IF(INDEX(EntryParty,$P511)=0,"",INDEX(EntryParty,$P511)))</f>
        <v/>
      </c>
      <c r="E511" s="26">
        <f>IF($P511="","",IF(INDEX(EntryPartyName,$P511)=0,"",INDEX(EntryPartyName,$P511)))</f>
        <v/>
      </c>
      <c r="F511" s="26">
        <f>IF($P511="","",IF(INDEX(EntryPartyType,$P511)=0,"",INDEX(EntryPartyType,$P511)))</f>
        <v/>
      </c>
      <c r="G511" s="26">
        <f>IF($P511="","",IF(INDEX(EntryTxnType,$P511)=0,"",INDEX(EntryTxnType,$P511)))</f>
        <v/>
      </c>
      <c r="H511" s="27">
        <f>IF($P511="","",IF(INDEX(EntryDep,$P511)=0,"",INDEX(EntryDep,$P511)))</f>
        <v/>
      </c>
      <c r="I511" s="27">
        <f>IF($P511="","",IF(INDEX(EntryWit,$P511)=0,"",INDEX(EntryWit,$P511)))</f>
        <v/>
      </c>
      <c r="J511" s="27">
        <f>IF($B511="","",IF($A511=1,$C$7,IF(J510="",0,J510))+IF($H511="",0,$H511)-IF($I511="",0,$I511))</f>
        <v/>
      </c>
      <c r="K511" s="27">
        <f>IF($P511="","",IF(INDEX(EntryMan,$P511)=0,"",INDEX(EntryMan,$P511)))</f>
        <v/>
      </c>
      <c r="L511" s="26">
        <f>IF($B511="","",IF($K511="","—",IF(ROUND($K511-$J511,0)=0,"√","×")))</f>
        <v/>
      </c>
      <c r="M511" s="26">
        <f>IF($B511="","",IF(COUNTIFS(EntryDates,$B511,CalcTime,$C511,CalcBank,$C$5,EntryParty,$D511,EntryDep,$H511,EntryWit,$I511)&gt;1,"تکرار",""))</f>
        <v/>
      </c>
      <c r="N511" s="26">
        <f>IF($P511="","",IF(INDEX(EntryNotes,$P511)=0,"",INDEX(EntryNotes,$P511)))</f>
        <v/>
      </c>
      <c r="O511" s="26">
        <f>IF($P511="","",IF(INDEX(EntryTxnID,$P511)=0,"",INDEX(EntryTxnID,$P511)))</f>
        <v/>
      </c>
      <c r="P511" s="26">
        <f>IFERROR(MATCH($C$5&amp;"|"&amp;RIGHT("000000"&amp;495,6),CalcRankKey,0),"")</f>
        <v/>
      </c>
    </row>
    <row r="512">
      <c r="A512" s="28">
        <f>IF($B512="","",496)</f>
        <v/>
      </c>
      <c r="B512" s="28">
        <f>IF($P512="","",IF(INDEX(CalcNormDate,$P512)=0,"",INDEX(CalcNormDate,$P512)))</f>
        <v/>
      </c>
      <c r="C512" s="28">
        <f>IF($P512="","",IF(INDEX(CalcTime,$P512)=0,"",INDEX(CalcTime,$P512)))</f>
        <v/>
      </c>
      <c r="D512" s="28">
        <f>IF($P512="","",IF(INDEX(EntryParty,$P512)=0,"",INDEX(EntryParty,$P512)))</f>
        <v/>
      </c>
      <c r="E512" s="28">
        <f>IF($P512="","",IF(INDEX(EntryPartyName,$P512)=0,"",INDEX(EntryPartyName,$P512)))</f>
        <v/>
      </c>
      <c r="F512" s="28">
        <f>IF($P512="","",IF(INDEX(EntryPartyType,$P512)=0,"",INDEX(EntryPartyType,$P512)))</f>
        <v/>
      </c>
      <c r="G512" s="28">
        <f>IF($P512="","",IF(INDEX(EntryTxnType,$P512)=0,"",INDEX(EntryTxnType,$P512)))</f>
        <v/>
      </c>
      <c r="H512" s="29">
        <f>IF($P512="","",IF(INDEX(EntryDep,$P512)=0,"",INDEX(EntryDep,$P512)))</f>
        <v/>
      </c>
      <c r="I512" s="29">
        <f>IF($P512="","",IF(INDEX(EntryWit,$P512)=0,"",INDEX(EntryWit,$P512)))</f>
        <v/>
      </c>
      <c r="J512" s="29">
        <f>IF($B512="","",IF($A512=1,$C$7,IF(J511="",0,J511))+IF($H512="",0,$H512)-IF($I512="",0,$I512))</f>
        <v/>
      </c>
      <c r="K512" s="29">
        <f>IF($P512="","",IF(INDEX(EntryMan,$P512)=0,"",INDEX(EntryMan,$P512)))</f>
        <v/>
      </c>
      <c r="L512" s="28">
        <f>IF($B512="","",IF($K512="","—",IF(ROUND($K512-$J512,0)=0,"√","×")))</f>
        <v/>
      </c>
      <c r="M512" s="28">
        <f>IF($B512="","",IF(COUNTIFS(EntryDates,$B512,CalcTime,$C512,CalcBank,$C$5,EntryParty,$D512,EntryDep,$H512,EntryWit,$I512)&gt;1,"تکرار",""))</f>
        <v/>
      </c>
      <c r="N512" s="28">
        <f>IF($P512="","",IF(INDEX(EntryNotes,$P512)=0,"",INDEX(EntryNotes,$P512)))</f>
        <v/>
      </c>
      <c r="O512" s="28">
        <f>IF($P512="","",IF(INDEX(EntryTxnID,$P512)=0,"",INDEX(EntryTxnID,$P512)))</f>
        <v/>
      </c>
      <c r="P512" s="28">
        <f>IFERROR(MATCH($C$5&amp;"|"&amp;RIGHT("000000"&amp;496,6),CalcRankKey,0),"")</f>
        <v/>
      </c>
    </row>
    <row r="513">
      <c r="A513" s="26">
        <f>IF($B513="","",497)</f>
        <v/>
      </c>
      <c r="B513" s="26">
        <f>IF($P513="","",IF(INDEX(CalcNormDate,$P513)=0,"",INDEX(CalcNormDate,$P513)))</f>
        <v/>
      </c>
      <c r="C513" s="26">
        <f>IF($P513="","",IF(INDEX(CalcTime,$P513)=0,"",INDEX(CalcTime,$P513)))</f>
        <v/>
      </c>
      <c r="D513" s="26">
        <f>IF($P513="","",IF(INDEX(EntryParty,$P513)=0,"",INDEX(EntryParty,$P513)))</f>
        <v/>
      </c>
      <c r="E513" s="26">
        <f>IF($P513="","",IF(INDEX(EntryPartyName,$P513)=0,"",INDEX(EntryPartyName,$P513)))</f>
        <v/>
      </c>
      <c r="F513" s="26">
        <f>IF($P513="","",IF(INDEX(EntryPartyType,$P513)=0,"",INDEX(EntryPartyType,$P513)))</f>
        <v/>
      </c>
      <c r="G513" s="26">
        <f>IF($P513="","",IF(INDEX(EntryTxnType,$P513)=0,"",INDEX(EntryTxnType,$P513)))</f>
        <v/>
      </c>
      <c r="H513" s="27">
        <f>IF($P513="","",IF(INDEX(EntryDep,$P513)=0,"",INDEX(EntryDep,$P513)))</f>
        <v/>
      </c>
      <c r="I513" s="27">
        <f>IF($P513="","",IF(INDEX(EntryWit,$P513)=0,"",INDEX(EntryWit,$P513)))</f>
        <v/>
      </c>
      <c r="J513" s="27">
        <f>IF($B513="","",IF($A513=1,$C$7,IF(J512="",0,J512))+IF($H513="",0,$H513)-IF($I513="",0,$I513))</f>
        <v/>
      </c>
      <c r="K513" s="27">
        <f>IF($P513="","",IF(INDEX(EntryMan,$P513)=0,"",INDEX(EntryMan,$P513)))</f>
        <v/>
      </c>
      <c r="L513" s="26">
        <f>IF($B513="","",IF($K513="","—",IF(ROUND($K513-$J513,0)=0,"√","×")))</f>
        <v/>
      </c>
      <c r="M513" s="26">
        <f>IF($B513="","",IF(COUNTIFS(EntryDates,$B513,CalcTime,$C513,CalcBank,$C$5,EntryParty,$D513,EntryDep,$H513,EntryWit,$I513)&gt;1,"تکرار",""))</f>
        <v/>
      </c>
      <c r="N513" s="26">
        <f>IF($P513="","",IF(INDEX(EntryNotes,$P513)=0,"",INDEX(EntryNotes,$P513)))</f>
        <v/>
      </c>
      <c r="O513" s="26">
        <f>IF($P513="","",IF(INDEX(EntryTxnID,$P513)=0,"",INDEX(EntryTxnID,$P513)))</f>
        <v/>
      </c>
      <c r="P513" s="26">
        <f>IFERROR(MATCH($C$5&amp;"|"&amp;RIGHT("000000"&amp;497,6),CalcRankKey,0),"")</f>
        <v/>
      </c>
    </row>
    <row r="514">
      <c r="A514" s="28">
        <f>IF($B514="","",498)</f>
        <v/>
      </c>
      <c r="B514" s="28">
        <f>IF($P514="","",IF(INDEX(CalcNormDate,$P514)=0,"",INDEX(CalcNormDate,$P514)))</f>
        <v/>
      </c>
      <c r="C514" s="28">
        <f>IF($P514="","",IF(INDEX(CalcTime,$P514)=0,"",INDEX(CalcTime,$P514)))</f>
        <v/>
      </c>
      <c r="D514" s="28">
        <f>IF($P514="","",IF(INDEX(EntryParty,$P514)=0,"",INDEX(EntryParty,$P514)))</f>
        <v/>
      </c>
      <c r="E514" s="28">
        <f>IF($P514="","",IF(INDEX(EntryPartyName,$P514)=0,"",INDEX(EntryPartyName,$P514)))</f>
        <v/>
      </c>
      <c r="F514" s="28">
        <f>IF($P514="","",IF(INDEX(EntryPartyType,$P514)=0,"",INDEX(EntryPartyType,$P514)))</f>
        <v/>
      </c>
      <c r="G514" s="28">
        <f>IF($P514="","",IF(INDEX(EntryTxnType,$P514)=0,"",INDEX(EntryTxnType,$P514)))</f>
        <v/>
      </c>
      <c r="H514" s="29">
        <f>IF($P514="","",IF(INDEX(EntryDep,$P514)=0,"",INDEX(EntryDep,$P514)))</f>
        <v/>
      </c>
      <c r="I514" s="29">
        <f>IF($P514="","",IF(INDEX(EntryWit,$P514)=0,"",INDEX(EntryWit,$P514)))</f>
        <v/>
      </c>
      <c r="J514" s="29">
        <f>IF($B514="","",IF($A514=1,$C$7,IF(J513="",0,J513))+IF($H514="",0,$H514)-IF($I514="",0,$I514))</f>
        <v/>
      </c>
      <c r="K514" s="29">
        <f>IF($P514="","",IF(INDEX(EntryMan,$P514)=0,"",INDEX(EntryMan,$P514)))</f>
        <v/>
      </c>
      <c r="L514" s="28">
        <f>IF($B514="","",IF($K514="","—",IF(ROUND($K514-$J514,0)=0,"√","×")))</f>
        <v/>
      </c>
      <c r="M514" s="28">
        <f>IF($B514="","",IF(COUNTIFS(EntryDates,$B514,CalcTime,$C514,CalcBank,$C$5,EntryParty,$D514,EntryDep,$H514,EntryWit,$I514)&gt;1,"تکرار",""))</f>
        <v/>
      </c>
      <c r="N514" s="28">
        <f>IF($P514="","",IF(INDEX(EntryNotes,$P514)=0,"",INDEX(EntryNotes,$P514)))</f>
        <v/>
      </c>
      <c r="O514" s="28">
        <f>IF($P514="","",IF(INDEX(EntryTxnID,$P514)=0,"",INDEX(EntryTxnID,$P514)))</f>
        <v/>
      </c>
      <c r="P514" s="28">
        <f>IFERROR(MATCH($C$5&amp;"|"&amp;RIGHT("000000"&amp;498,6),CalcRankKey,0),"")</f>
        <v/>
      </c>
    </row>
    <row r="515">
      <c r="A515" s="26">
        <f>IF($B515="","",499)</f>
        <v/>
      </c>
      <c r="B515" s="26">
        <f>IF($P515="","",IF(INDEX(CalcNormDate,$P515)=0,"",INDEX(CalcNormDate,$P515)))</f>
        <v/>
      </c>
      <c r="C515" s="26">
        <f>IF($P515="","",IF(INDEX(CalcTime,$P515)=0,"",INDEX(CalcTime,$P515)))</f>
        <v/>
      </c>
      <c r="D515" s="26">
        <f>IF($P515="","",IF(INDEX(EntryParty,$P515)=0,"",INDEX(EntryParty,$P515)))</f>
        <v/>
      </c>
      <c r="E515" s="26">
        <f>IF($P515="","",IF(INDEX(EntryPartyName,$P515)=0,"",INDEX(EntryPartyName,$P515)))</f>
        <v/>
      </c>
      <c r="F515" s="26">
        <f>IF($P515="","",IF(INDEX(EntryPartyType,$P515)=0,"",INDEX(EntryPartyType,$P515)))</f>
        <v/>
      </c>
      <c r="G515" s="26">
        <f>IF($P515="","",IF(INDEX(EntryTxnType,$P515)=0,"",INDEX(EntryTxnType,$P515)))</f>
        <v/>
      </c>
      <c r="H515" s="27">
        <f>IF($P515="","",IF(INDEX(EntryDep,$P515)=0,"",INDEX(EntryDep,$P515)))</f>
        <v/>
      </c>
      <c r="I515" s="27">
        <f>IF($P515="","",IF(INDEX(EntryWit,$P515)=0,"",INDEX(EntryWit,$P515)))</f>
        <v/>
      </c>
      <c r="J515" s="27">
        <f>IF($B515="","",IF($A515=1,$C$7,IF(J514="",0,J514))+IF($H515="",0,$H515)-IF($I515="",0,$I515))</f>
        <v/>
      </c>
      <c r="K515" s="27">
        <f>IF($P515="","",IF(INDEX(EntryMan,$P515)=0,"",INDEX(EntryMan,$P515)))</f>
        <v/>
      </c>
      <c r="L515" s="26">
        <f>IF($B515="","",IF($K515="","—",IF(ROUND($K515-$J515,0)=0,"√","×")))</f>
        <v/>
      </c>
      <c r="M515" s="26">
        <f>IF($B515="","",IF(COUNTIFS(EntryDates,$B515,CalcTime,$C515,CalcBank,$C$5,EntryParty,$D515,EntryDep,$H515,EntryWit,$I515)&gt;1,"تکرار",""))</f>
        <v/>
      </c>
      <c r="N515" s="26">
        <f>IF($P515="","",IF(INDEX(EntryNotes,$P515)=0,"",INDEX(EntryNotes,$P515)))</f>
        <v/>
      </c>
      <c r="O515" s="26">
        <f>IF($P515="","",IF(INDEX(EntryTxnID,$P515)=0,"",INDEX(EntryTxnID,$P515)))</f>
        <v/>
      </c>
      <c r="P515" s="26">
        <f>IFERROR(MATCH($C$5&amp;"|"&amp;RIGHT("000000"&amp;499,6),CalcRankKey,0),"")</f>
        <v/>
      </c>
    </row>
    <row r="516">
      <c r="A516" s="28">
        <f>IF($B516="","",500)</f>
        <v/>
      </c>
      <c r="B516" s="28">
        <f>IF($P516="","",IF(INDEX(CalcNormDate,$P516)=0,"",INDEX(CalcNormDate,$P516)))</f>
        <v/>
      </c>
      <c r="C516" s="28">
        <f>IF($P516="","",IF(INDEX(CalcTime,$P516)=0,"",INDEX(CalcTime,$P516)))</f>
        <v/>
      </c>
      <c r="D516" s="28">
        <f>IF($P516="","",IF(INDEX(EntryParty,$P516)=0,"",INDEX(EntryParty,$P516)))</f>
        <v/>
      </c>
      <c r="E516" s="28">
        <f>IF($P516="","",IF(INDEX(EntryPartyName,$P516)=0,"",INDEX(EntryPartyName,$P516)))</f>
        <v/>
      </c>
      <c r="F516" s="28">
        <f>IF($P516="","",IF(INDEX(EntryPartyType,$P516)=0,"",INDEX(EntryPartyType,$P516)))</f>
        <v/>
      </c>
      <c r="G516" s="28">
        <f>IF($P516="","",IF(INDEX(EntryTxnType,$P516)=0,"",INDEX(EntryTxnType,$P516)))</f>
        <v/>
      </c>
      <c r="H516" s="29">
        <f>IF($P516="","",IF(INDEX(EntryDep,$P516)=0,"",INDEX(EntryDep,$P516)))</f>
        <v/>
      </c>
      <c r="I516" s="29">
        <f>IF($P516="","",IF(INDEX(EntryWit,$P516)=0,"",INDEX(EntryWit,$P516)))</f>
        <v/>
      </c>
      <c r="J516" s="29">
        <f>IF($B516="","",IF($A516=1,$C$7,IF(J515="",0,J515))+IF($H516="",0,$H516)-IF($I516="",0,$I516))</f>
        <v/>
      </c>
      <c r="K516" s="29">
        <f>IF($P516="","",IF(INDEX(EntryMan,$P516)=0,"",INDEX(EntryMan,$P516)))</f>
        <v/>
      </c>
      <c r="L516" s="28">
        <f>IF($B516="","",IF($K516="","—",IF(ROUND($K516-$J516,0)=0,"√","×")))</f>
        <v/>
      </c>
      <c r="M516" s="28">
        <f>IF($B516="","",IF(COUNTIFS(EntryDates,$B516,CalcTime,$C516,CalcBank,$C$5,EntryParty,$D516,EntryDep,$H516,EntryWit,$I516)&gt;1,"تکرار",""))</f>
        <v/>
      </c>
      <c r="N516" s="28">
        <f>IF($P516="","",IF(INDEX(EntryNotes,$P516)=0,"",INDEX(EntryNotes,$P516)))</f>
        <v/>
      </c>
      <c r="O516" s="28">
        <f>IF($P516="","",IF(INDEX(EntryTxnID,$P516)=0,"",INDEX(EntryTxnID,$P516)))</f>
        <v/>
      </c>
      <c r="P516" s="28">
        <f>IFERROR(MATCH($C$5&amp;"|"&amp;RIGHT("000000"&amp;500,6),CalcRankKey,0),"")</f>
        <v/>
      </c>
    </row>
  </sheetData>
  <mergeCells count="43">
    <mergeCell ref="E12:F12"/>
    <mergeCell ref="G12:H12"/>
    <mergeCell ref="O12"/>
    <mergeCell ref="H10:I10"/>
    <mergeCell ref="I4:O4"/>
    <mergeCell ref="A6:B6"/>
    <mergeCell ref="H9:I9"/>
    <mergeCell ref="J7:O7"/>
    <mergeCell ref="O13"/>
    <mergeCell ref="A2:O2"/>
    <mergeCell ref="A7:B7"/>
    <mergeCell ref="H6:I6"/>
    <mergeCell ref="C8:E8"/>
    <mergeCell ref="E13:F13"/>
    <mergeCell ref="G13:H13"/>
    <mergeCell ref="C7:E7"/>
    <mergeCell ref="A9:E10"/>
    <mergeCell ref="A12:B12"/>
    <mergeCell ref="M13:N13"/>
    <mergeCell ref="C12:D12"/>
    <mergeCell ref="A3:H3"/>
    <mergeCell ref="I12:J12"/>
    <mergeCell ref="K12:L12"/>
    <mergeCell ref="M12:N12"/>
    <mergeCell ref="H7:I7"/>
    <mergeCell ref="A5:B5"/>
    <mergeCell ref="J8:O8"/>
    <mergeCell ref="A8:B8"/>
    <mergeCell ref="C6:E6"/>
    <mergeCell ref="A4:H4"/>
    <mergeCell ref="J5:O5"/>
    <mergeCell ref="C5:E5"/>
    <mergeCell ref="J10:O10"/>
    <mergeCell ref="I3:O3"/>
    <mergeCell ref="A1:O1"/>
    <mergeCell ref="A13:B13"/>
    <mergeCell ref="H5:I5"/>
    <mergeCell ref="J9:O9"/>
    <mergeCell ref="C13:D13"/>
    <mergeCell ref="H8:I8"/>
    <mergeCell ref="I13:J13"/>
    <mergeCell ref="K13:L13"/>
    <mergeCell ref="J6:O6"/>
  </mergeCells>
  <conditionalFormatting sqref="L17:L516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3">
      <formula>"—"</formula>
    </cfRule>
  </conditionalFormatting>
  <conditionalFormatting sqref="M17:M516">
    <cfRule type="cellIs" priority="4" operator="equal" dxfId="4">
      <formula>"تکرار"</formula>
    </cfRule>
  </conditionalFormatting>
  <conditionalFormatting sqref="J17:J516">
    <cfRule type="cellIs" priority="5" operator="lessThan" dxfId="5">
      <formula>0</formula>
    </cfRule>
  </conditionalFormatting>
  <conditionalFormatting sqref="H17:H516">
    <cfRule type="dataBar" priority="6">
      <dataBar showValue="1">
        <cfvo type="num" val="0"/>
        <cfvo type="max"/>
        <color rgb="0081C784"/>
      </dataBar>
    </cfRule>
  </conditionalFormatting>
  <conditionalFormatting sqref="I17:I516">
    <cfRule type="dataBar" priority="7">
      <dataBar showValue="1">
        <cfvo type="num" val="0"/>
        <cfvo type="max"/>
        <color rgb="00FF8A65"/>
      </dataBar>
    </cfRule>
  </conditionalFormatting>
  <conditionalFormatting sqref="A4:H4">
    <cfRule type="expression" priority="8" dxfId="6">
      <formula>LEN($A$4)&gt;0</formula>
    </cfRule>
  </conditionalFormatting>
  <conditionalFormatting sqref="I13">
    <cfRule type="expression" priority="9" dxfId="7">
      <formula>ISNUMBER(SEARCH("×",$I$13))</formula>
    </cfRule>
    <cfRule type="expression" priority="10" dxfId="8">
      <formula>ISNUMBER(SEARCH("√",$I$13))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بانکی — BANK07&amp;R&amp;"Tahoma"&amp;8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P5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.5" customWidth="1" min="3" max="3"/>
    <col width="10" customWidth="1" min="4" max="4"/>
    <col width="2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0" customWidth="1" min="13" max="13"/>
    <col width="27" customWidth="1" min="14" max="14"/>
    <col width="11" customWidth="1" min="15" max="15"/>
    <col hidden="1" width="6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15">
        <f>IFERROR("صورت حساب بانکی — "&amp;IF(VLOOKUP("BANK08",BankTbl,2,0)="","(بدون عنوان)",VLOOKUP("BANK08",BankTbl,2,0)),"صورت حساب بانکی")</f>
        <v/>
      </c>
      <c r="B3" s="15" t="n"/>
      <c r="C3" s="15" t="n"/>
      <c r="D3" s="15" t="n"/>
      <c r="E3" s="15" t="n"/>
      <c r="F3" s="15" t="n"/>
      <c r="G3" s="15" t="n"/>
      <c r="H3" s="15" t="n"/>
      <c r="I3" s="16">
        <f>"کد حساب: BANK08"</f>
        <v/>
      </c>
      <c r="J3" s="16" t="n"/>
      <c r="K3" s="16" t="n"/>
      <c r="L3" s="16" t="n"/>
      <c r="M3" s="16" t="n"/>
      <c r="N3" s="16" t="n"/>
      <c r="O3" s="16" t="n"/>
    </row>
    <row r="4" ht="14" customHeight="1">
      <c r="A4" s="17">
        <f>IF(COUNTIFS(CalcBank,"BANK08")&gt;500,"× ظرفیت 500 ردیف این برگه پر شده — آخرین ردیف را به پایین کپی کنید","")</f>
        <v/>
      </c>
      <c r="B4" s="17" t="n"/>
      <c r="C4" s="17" t="n"/>
      <c r="D4" s="17" t="n"/>
      <c r="E4" s="17" t="n"/>
      <c r="F4" s="17" t="n"/>
      <c r="G4" s="17" t="n"/>
      <c r="H4" s="17" t="n"/>
      <c r="I4" s="18" t="inlineStr">
        <is>
          <t>مشخصات رسمی زیر، دستی وارد می‌شود (زردرنگ).</t>
        </is>
      </c>
      <c r="J4" s="18" t="n"/>
      <c r="K4" s="18" t="n"/>
      <c r="L4" s="18" t="n"/>
      <c r="M4" s="18" t="n"/>
      <c r="N4" s="18" t="n"/>
      <c r="O4" s="18" t="n"/>
    </row>
    <row r="5" ht="18" customHeight="1">
      <c r="A5" s="19" t="inlineStr">
        <is>
          <t>کد حساب:</t>
        </is>
      </c>
      <c r="B5" s="19" t="n"/>
      <c r="C5" s="20" t="inlineStr">
        <is>
          <t>BANK08</t>
        </is>
      </c>
      <c r="D5" s="20" t="n"/>
      <c r="E5" s="20" t="n"/>
      <c r="H5" s="19" t="inlineStr">
        <is>
          <t>نام رسمی بانک:</t>
        </is>
      </c>
      <c r="I5" s="19" t="n"/>
      <c r="J5" s="21" t="n"/>
      <c r="K5" s="21" t="n"/>
      <c r="L5" s="21" t="n"/>
      <c r="M5" s="21" t="n"/>
      <c r="N5" s="21" t="n"/>
      <c r="O5" s="21" t="n"/>
    </row>
    <row r="6" ht="18" customHeight="1">
      <c r="A6" s="19" t="inlineStr">
        <is>
          <t>عنوان نمایشی:</t>
        </is>
      </c>
      <c r="B6" s="19" t="n"/>
      <c r="C6" s="22">
        <f>IFERROR(IF(VLOOKUP("BANK08",BankTbl,2,0)="","(بدون عنوان)",VLOOKUP("BANK08",BankTbl,2,0)),"—")</f>
        <v/>
      </c>
      <c r="D6" s="22" t="n"/>
      <c r="E6" s="22" t="n"/>
      <c r="H6" s="19" t="inlineStr">
        <is>
          <t>شعبه:</t>
        </is>
      </c>
      <c r="I6" s="19" t="n"/>
      <c r="J6" s="21" t="n"/>
      <c r="K6" s="21" t="n"/>
      <c r="L6" s="21" t="n"/>
      <c r="M6" s="21" t="n"/>
      <c r="N6" s="21" t="n"/>
      <c r="O6" s="21" t="n"/>
    </row>
    <row r="7" ht="18" customHeight="1">
      <c r="A7" s="19" t="inlineStr">
        <is>
          <t>مانده اولیه (ریال):</t>
        </is>
      </c>
      <c r="B7" s="19" t="n"/>
      <c r="C7" s="23">
        <f>IFERROR(VLOOKUP("BANK08",BankTbl,3,0),0)</f>
        <v/>
      </c>
      <c r="D7" s="23" t="n"/>
      <c r="E7" s="23" t="n"/>
      <c r="H7" s="19" t="inlineStr">
        <is>
          <t>شماره حساب:</t>
        </is>
      </c>
      <c r="I7" s="19" t="n"/>
      <c r="J7" s="24" t="n"/>
      <c r="K7" s="24" t="n"/>
      <c r="L7" s="24" t="n"/>
      <c r="M7" s="24" t="n"/>
      <c r="N7" s="24" t="n"/>
      <c r="O7" s="24" t="n"/>
    </row>
    <row r="8" ht="18" customHeight="1">
      <c r="A8" s="19" t="inlineStr">
        <is>
          <t>وضعیت فعال:</t>
        </is>
      </c>
      <c r="B8" s="19" t="n"/>
      <c r="C8" s="10">
        <f>IFERROR(IF(VLOOKUP("BANK08",BankTbl,4,0)=0,"—",VLOOKUP("BANK08",BankTbl,4,0)),"—")</f>
        <v/>
      </c>
      <c r="D8" s="10" t="n"/>
      <c r="E8" s="10" t="n"/>
      <c r="H8" s="19" t="inlineStr">
        <is>
          <t>شماره شبا (۲۴ رقم):</t>
        </is>
      </c>
      <c r="I8" s="19" t="n"/>
      <c r="J8" s="24" t="n"/>
      <c r="K8" s="24" t="n"/>
      <c r="L8" s="24" t="n"/>
      <c r="M8" s="24" t="n"/>
      <c r="N8" s="24" t="n"/>
      <c r="O8" s="24" t="n"/>
    </row>
    <row r="9" ht="18" customHeight="1">
      <c r="A9" s="25" t="inlineStr">
        <is>
          <t>این چهار سلول از فایل مادر خوانده می‌شوند؛ برای تغییر: Mazandasht_INFO.xlsx ← شیت Banks. مشخصات رسمی (زردرنگ) دستی وارد می‌شود.</t>
        </is>
      </c>
      <c r="B9" s="25" t="n"/>
      <c r="C9" s="25" t="n"/>
      <c r="D9" s="25" t="n"/>
      <c r="E9" s="25" t="n"/>
      <c r="H9" s="19" t="inlineStr">
        <is>
          <t>صاحب حساب:</t>
        </is>
      </c>
      <c r="I9" s="19" t="n"/>
      <c r="J9" s="21" t="n"/>
      <c r="K9" s="21" t="n"/>
      <c r="L9" s="21" t="n"/>
      <c r="M9" s="21" t="n"/>
      <c r="N9" s="21" t="n"/>
      <c r="O9" s="21" t="n"/>
    </row>
    <row r="10" ht="18" customHeight="1">
      <c r="A10" s="25" t="n"/>
      <c r="B10" s="25" t="n"/>
      <c r="C10" s="25" t="n"/>
      <c r="D10" s="25" t="n"/>
      <c r="E10" s="25" t="n"/>
      <c r="H10" s="19" t="inlineStr">
        <is>
          <t>تلفن شعبه:</t>
        </is>
      </c>
      <c r="I10" s="19" t="n"/>
      <c r="J10" s="21" t="n"/>
      <c r="K10" s="21" t="n"/>
      <c r="L10" s="21" t="n"/>
      <c r="M10" s="21" t="n"/>
      <c r="N10" s="21" t="n"/>
      <c r="O10" s="21" t="n"/>
    </row>
    <row r="12" ht="13" customHeight="1">
      <c r="A12" s="5" t="inlineStr">
        <is>
          <t>جمع واریز (ریال)</t>
        </is>
      </c>
      <c r="B12" s="5" t="n"/>
      <c r="C12" s="5" t="inlineStr">
        <is>
          <t>جمع برداشت (ریال)</t>
        </is>
      </c>
      <c r="D12" s="5" t="n"/>
      <c r="E12" s="5" t="inlineStr">
        <is>
          <t>مانده نهایی سیستم</t>
        </is>
      </c>
      <c r="F12" s="5" t="n"/>
      <c r="G12" s="5" t="inlineStr">
        <is>
          <t>آخرین موجودی بانک</t>
        </is>
      </c>
      <c r="H12" s="5" t="n"/>
      <c r="I12" s="5" t="inlineStr">
        <is>
          <t>وضعیت مغایرت</t>
        </is>
      </c>
      <c r="J12" s="5" t="n"/>
      <c r="K12" s="5" t="inlineStr">
        <is>
          <t>تعداد تراکنش</t>
        </is>
      </c>
      <c r="L12" s="5" t="n"/>
      <c r="M12" s="5" t="inlineStr">
        <is>
          <t>ردیف تکراری</t>
        </is>
      </c>
      <c r="N12" s="5" t="n"/>
      <c r="O12" s="5" t="inlineStr">
        <is>
          <t>آخرین تاریخ</t>
        </is>
      </c>
    </row>
    <row r="13" ht="22" customHeight="1">
      <c r="A13" s="7">
        <f>SUM($H$17:$H$516)</f>
        <v/>
      </c>
      <c r="B13" s="7" t="n"/>
      <c r="C13" s="7">
        <f>SUM($I$17:$I$516)</f>
        <v/>
      </c>
      <c r="D13" s="7" t="n"/>
      <c r="E13" s="7">
        <f>IFERROR(LOOKUP(9.99E+307,$J$17:$J$516),$C$7)</f>
        <v/>
      </c>
      <c r="F13" s="7" t="n"/>
      <c r="G13" s="7">
        <f>IFERROR(LOOKUP(9.99E+307,$K$17:$K$516),"—")</f>
        <v/>
      </c>
      <c r="H13" s="7" t="n"/>
      <c r="I13" s="7">
        <f>IF(NOT(ISNUMBER($G$13)),"— بدون کنترل",IF(ROUND($G$13-$E$13,0)=0,"√ منطبق","× مغایرت ("&amp;TEXT(ROUND($G$13-$E$13,0),"#,##0")&amp;" ریال)"))</f>
        <v/>
      </c>
      <c r="J13" s="7" t="n"/>
      <c r="K13" s="7">
        <f>COUNT($A$17:$A$516)</f>
        <v/>
      </c>
      <c r="L13" s="7" t="n"/>
      <c r="M13" s="7">
        <f>COUNTIF($M$17:$M$516,"تکرار")</f>
        <v/>
      </c>
      <c r="N13" s="7" t="n"/>
      <c r="O13" s="7">
        <f>IF(COUNT($A$17:$A$516)=0,"—",INDEX($B$17:$B$516,COUNT($A$17:$A$516)))</f>
        <v/>
      </c>
    </row>
    <row r="14" ht="6" customHeight="1"/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ساعت</t>
        </is>
      </c>
      <c r="D15" s="8" t="inlineStr">
        <is>
          <t>کد طرف</t>
        </is>
      </c>
      <c r="E15" s="8" t="inlineStr">
        <is>
          <t>طرف حساب</t>
        </is>
      </c>
      <c r="F15" s="8" t="inlineStr">
        <is>
          <t>نوع طرف حساب</t>
        </is>
      </c>
      <c r="G15" s="8" t="inlineStr">
        <is>
          <t>نوع تراکنش</t>
        </is>
      </c>
      <c r="H15" s="8" t="inlineStr">
        <is>
          <t>واریز (ریال)</t>
        </is>
      </c>
      <c r="I15" s="8" t="inlineStr">
        <is>
          <t>برداشت (ریال)</t>
        </is>
      </c>
      <c r="J15" s="8" t="inlineStr">
        <is>
          <t>مانده سیستم (ریال)</t>
        </is>
      </c>
      <c r="K15" s="8" t="inlineStr">
        <is>
          <t>موجودی بانک (ریال)</t>
        </is>
      </c>
      <c r="L15" s="8" t="inlineStr">
        <is>
          <t>وضعیت</t>
        </is>
      </c>
      <c r="M15" s="8" t="inlineStr">
        <is>
          <t>کنترل تکرار</t>
        </is>
      </c>
      <c r="N15" s="8" t="inlineStr">
        <is>
          <t>توضیحات</t>
        </is>
      </c>
      <c r="O15" s="8" t="inlineStr">
        <is>
          <t>شناسه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Time</t>
        </is>
      </c>
      <c r="D16" s="9" t="inlineStr">
        <is>
          <t>Party Code</t>
        </is>
      </c>
      <c r="E16" s="9" t="inlineStr">
        <is>
          <t>Party</t>
        </is>
      </c>
      <c r="F16" s="9" t="inlineStr">
        <is>
          <t>Party Type</t>
        </is>
      </c>
      <c r="G16" s="9" t="inlineStr">
        <is>
          <t>Txn Type</t>
        </is>
      </c>
      <c r="H16" s="9" t="inlineStr">
        <is>
          <t>Deposit</t>
        </is>
      </c>
      <c r="I16" s="9" t="inlineStr">
        <is>
          <t>Withdrawal</t>
        </is>
      </c>
      <c r="J16" s="9" t="inlineStr">
        <is>
          <t>System Balance</t>
        </is>
      </c>
      <c r="K16" s="9" t="inlineStr">
        <is>
          <t>Bank Balance</t>
        </is>
      </c>
      <c r="L16" s="9" t="inlineStr">
        <is>
          <t>Status</t>
        </is>
      </c>
      <c r="M16" s="9" t="inlineStr">
        <is>
          <t>Dup Check</t>
        </is>
      </c>
      <c r="N16" s="9" t="inlineStr">
        <is>
          <t>Notes</t>
        </is>
      </c>
      <c r="O16" s="9" t="inlineStr">
        <is>
          <t>TxnID</t>
        </is>
      </c>
    </row>
    <row r="17">
      <c r="A17" s="26">
        <f>IF($B17="","",1)</f>
        <v/>
      </c>
      <c r="B17" s="26">
        <f>IF($P17="","",IF(INDEX(CalcNormDate,$P17)=0,"",INDEX(CalcNormDate,$P17)))</f>
        <v/>
      </c>
      <c r="C17" s="26">
        <f>IF($P17="","",IF(INDEX(CalcTime,$P17)=0,"",INDEX(CalcTime,$P17)))</f>
        <v/>
      </c>
      <c r="D17" s="26">
        <f>IF($P17="","",IF(INDEX(EntryParty,$P17)=0,"",INDEX(EntryParty,$P17)))</f>
        <v/>
      </c>
      <c r="E17" s="26">
        <f>IF($P17="","",IF(INDEX(EntryPartyName,$P17)=0,"",INDEX(EntryPartyName,$P17)))</f>
        <v/>
      </c>
      <c r="F17" s="26">
        <f>IF($P17="","",IF(INDEX(EntryPartyType,$P17)=0,"",INDEX(EntryPartyType,$P17)))</f>
        <v/>
      </c>
      <c r="G17" s="26">
        <f>IF($P17="","",IF(INDEX(EntryTxnType,$P17)=0,"",INDEX(EntryTxnType,$P17)))</f>
        <v/>
      </c>
      <c r="H17" s="27">
        <f>IF($P17="","",IF(INDEX(EntryDep,$P17)=0,"",INDEX(EntryDep,$P17)))</f>
        <v/>
      </c>
      <c r="I17" s="27">
        <f>IF($P17="","",IF(INDEX(EntryWit,$P17)=0,"",INDEX(EntryWit,$P17)))</f>
        <v/>
      </c>
      <c r="J17" s="27">
        <f>IF($B17="","",IF($A17=1,$C$7,IF(J16="",0,J16))+IF($H17="",0,$H17)-IF($I17="",0,$I17))</f>
        <v/>
      </c>
      <c r="K17" s="27">
        <f>IF($P17="","",IF(INDEX(EntryMan,$P17)=0,"",INDEX(EntryMan,$P17)))</f>
        <v/>
      </c>
      <c r="L17" s="26">
        <f>IF($B17="","",IF($K17="","—",IF(ROUND($K17-$J17,0)=0,"√","×")))</f>
        <v/>
      </c>
      <c r="M17" s="26">
        <f>IF($B17="","",IF(COUNTIFS(EntryDates,$B17,CalcTime,$C17,CalcBank,$C$5,EntryParty,$D17,EntryDep,$H17,EntryWit,$I17)&gt;1,"تکرار",""))</f>
        <v/>
      </c>
      <c r="N17" s="26">
        <f>IF($P17="","",IF(INDEX(EntryNotes,$P17)=0,"",INDEX(EntryNotes,$P17)))</f>
        <v/>
      </c>
      <c r="O17" s="26">
        <f>IF($P17="","",IF(INDEX(EntryTxnID,$P17)=0,"",INDEX(EntryTxnID,$P17)))</f>
        <v/>
      </c>
      <c r="P17" s="26">
        <f>IFERROR(MATCH($C$5&amp;"|"&amp;RIGHT("000000"&amp;1,6),CalcRankKey,0),"")</f>
        <v/>
      </c>
    </row>
    <row r="18">
      <c r="A18" s="28">
        <f>IF($B18="","",2)</f>
        <v/>
      </c>
      <c r="B18" s="28">
        <f>IF($P18="","",IF(INDEX(CalcNormDate,$P18)=0,"",INDEX(CalcNormDate,$P18)))</f>
        <v/>
      </c>
      <c r="C18" s="28">
        <f>IF($P18="","",IF(INDEX(CalcTime,$P18)=0,"",INDEX(CalcTime,$P18)))</f>
        <v/>
      </c>
      <c r="D18" s="28">
        <f>IF($P18="","",IF(INDEX(EntryParty,$P18)=0,"",INDEX(EntryParty,$P18)))</f>
        <v/>
      </c>
      <c r="E18" s="28">
        <f>IF($P18="","",IF(INDEX(EntryPartyName,$P18)=0,"",INDEX(EntryPartyName,$P18)))</f>
        <v/>
      </c>
      <c r="F18" s="28">
        <f>IF($P18="","",IF(INDEX(EntryPartyType,$P18)=0,"",INDEX(EntryPartyType,$P18)))</f>
        <v/>
      </c>
      <c r="G18" s="28">
        <f>IF($P18="","",IF(INDEX(EntryTxnType,$P18)=0,"",INDEX(EntryTxnType,$P18)))</f>
        <v/>
      </c>
      <c r="H18" s="29">
        <f>IF($P18="","",IF(INDEX(EntryDep,$P18)=0,"",INDEX(EntryDep,$P18)))</f>
        <v/>
      </c>
      <c r="I18" s="29">
        <f>IF($P18="","",IF(INDEX(EntryWit,$P18)=0,"",INDEX(EntryWit,$P18)))</f>
        <v/>
      </c>
      <c r="J18" s="29">
        <f>IF($B18="","",IF($A18=1,$C$7,IF(J17="",0,J17))+IF($H18="",0,$H18)-IF($I18="",0,$I18))</f>
        <v/>
      </c>
      <c r="K18" s="29">
        <f>IF($P18="","",IF(INDEX(EntryMan,$P18)=0,"",INDEX(EntryMan,$P18)))</f>
        <v/>
      </c>
      <c r="L18" s="28">
        <f>IF($B18="","",IF($K18="","—",IF(ROUND($K18-$J18,0)=0,"√","×")))</f>
        <v/>
      </c>
      <c r="M18" s="28">
        <f>IF($B18="","",IF(COUNTIFS(EntryDates,$B18,CalcTime,$C18,CalcBank,$C$5,EntryParty,$D18,EntryDep,$H18,EntryWit,$I18)&gt;1,"تکرار",""))</f>
        <v/>
      </c>
      <c r="N18" s="28">
        <f>IF($P18="","",IF(INDEX(EntryNotes,$P18)=0,"",INDEX(EntryNotes,$P18)))</f>
        <v/>
      </c>
      <c r="O18" s="28">
        <f>IF($P18="","",IF(INDEX(EntryTxnID,$P18)=0,"",INDEX(EntryTxnID,$P18)))</f>
        <v/>
      </c>
      <c r="P18" s="28">
        <f>IFERROR(MATCH($C$5&amp;"|"&amp;RIGHT("000000"&amp;2,6),CalcRankKey,0),"")</f>
        <v/>
      </c>
    </row>
    <row r="19">
      <c r="A19" s="26">
        <f>IF($B19="","",3)</f>
        <v/>
      </c>
      <c r="B19" s="26">
        <f>IF($P19="","",IF(INDEX(CalcNormDate,$P19)=0,"",INDEX(CalcNormDate,$P19)))</f>
        <v/>
      </c>
      <c r="C19" s="26">
        <f>IF($P19="","",IF(INDEX(CalcTime,$P19)=0,"",INDEX(CalcTime,$P19)))</f>
        <v/>
      </c>
      <c r="D19" s="26">
        <f>IF($P19="","",IF(INDEX(EntryParty,$P19)=0,"",INDEX(EntryParty,$P19)))</f>
        <v/>
      </c>
      <c r="E19" s="26">
        <f>IF($P19="","",IF(INDEX(EntryPartyName,$P19)=0,"",INDEX(EntryPartyName,$P19)))</f>
        <v/>
      </c>
      <c r="F19" s="26">
        <f>IF($P19="","",IF(INDEX(EntryPartyType,$P19)=0,"",INDEX(EntryPartyType,$P19)))</f>
        <v/>
      </c>
      <c r="G19" s="26">
        <f>IF($P19="","",IF(INDEX(EntryTxnType,$P19)=0,"",INDEX(EntryTxnType,$P19)))</f>
        <v/>
      </c>
      <c r="H19" s="27">
        <f>IF($P19="","",IF(INDEX(EntryDep,$P19)=0,"",INDEX(EntryDep,$P19)))</f>
        <v/>
      </c>
      <c r="I19" s="27">
        <f>IF($P19="","",IF(INDEX(EntryWit,$P19)=0,"",INDEX(EntryWit,$P19)))</f>
        <v/>
      </c>
      <c r="J19" s="27">
        <f>IF($B19="","",IF($A19=1,$C$7,IF(J18="",0,J18))+IF($H19="",0,$H19)-IF($I19="",0,$I19))</f>
        <v/>
      </c>
      <c r="K19" s="27">
        <f>IF($P19="","",IF(INDEX(EntryMan,$P19)=0,"",INDEX(EntryMan,$P19)))</f>
        <v/>
      </c>
      <c r="L19" s="26">
        <f>IF($B19="","",IF($K19="","—",IF(ROUND($K19-$J19,0)=0,"√","×")))</f>
        <v/>
      </c>
      <c r="M19" s="26">
        <f>IF($B19="","",IF(COUNTIFS(EntryDates,$B19,CalcTime,$C19,CalcBank,$C$5,EntryParty,$D19,EntryDep,$H19,EntryWit,$I19)&gt;1,"تکرار",""))</f>
        <v/>
      </c>
      <c r="N19" s="26">
        <f>IF($P19="","",IF(INDEX(EntryNotes,$P19)=0,"",INDEX(EntryNotes,$P19)))</f>
        <v/>
      </c>
      <c r="O19" s="26">
        <f>IF($P19="","",IF(INDEX(EntryTxnID,$P19)=0,"",INDEX(EntryTxnID,$P19)))</f>
        <v/>
      </c>
      <c r="P19" s="26">
        <f>IFERROR(MATCH($C$5&amp;"|"&amp;RIGHT("000000"&amp;3,6),CalcRankKey,0),"")</f>
        <v/>
      </c>
    </row>
    <row r="20">
      <c r="A20" s="28">
        <f>IF($B20="","",4)</f>
        <v/>
      </c>
      <c r="B20" s="28">
        <f>IF($P20="","",IF(INDEX(CalcNormDate,$P20)=0,"",INDEX(CalcNormDate,$P20)))</f>
        <v/>
      </c>
      <c r="C20" s="28">
        <f>IF($P20="","",IF(INDEX(CalcTime,$P20)=0,"",INDEX(CalcTime,$P20)))</f>
        <v/>
      </c>
      <c r="D20" s="28">
        <f>IF($P20="","",IF(INDEX(EntryParty,$P20)=0,"",INDEX(EntryParty,$P20)))</f>
        <v/>
      </c>
      <c r="E20" s="28">
        <f>IF($P20="","",IF(INDEX(EntryPartyName,$P20)=0,"",INDEX(EntryPartyName,$P20)))</f>
        <v/>
      </c>
      <c r="F20" s="28">
        <f>IF($P20="","",IF(INDEX(EntryPartyType,$P20)=0,"",INDEX(EntryPartyType,$P20)))</f>
        <v/>
      </c>
      <c r="G20" s="28">
        <f>IF($P20="","",IF(INDEX(EntryTxnType,$P20)=0,"",INDEX(EntryTxnType,$P20)))</f>
        <v/>
      </c>
      <c r="H20" s="29">
        <f>IF($P20="","",IF(INDEX(EntryDep,$P20)=0,"",INDEX(EntryDep,$P20)))</f>
        <v/>
      </c>
      <c r="I20" s="29">
        <f>IF($P20="","",IF(INDEX(EntryWit,$P20)=0,"",INDEX(EntryWit,$P20)))</f>
        <v/>
      </c>
      <c r="J20" s="29">
        <f>IF($B20="","",IF($A20=1,$C$7,IF(J19="",0,J19))+IF($H20="",0,$H20)-IF($I20="",0,$I20))</f>
        <v/>
      </c>
      <c r="K20" s="29">
        <f>IF($P20="","",IF(INDEX(EntryMan,$P20)=0,"",INDEX(EntryMan,$P20)))</f>
        <v/>
      </c>
      <c r="L20" s="28">
        <f>IF($B20="","",IF($K20="","—",IF(ROUND($K20-$J20,0)=0,"√","×")))</f>
        <v/>
      </c>
      <c r="M20" s="28">
        <f>IF($B20="","",IF(COUNTIFS(EntryDates,$B20,CalcTime,$C20,CalcBank,$C$5,EntryParty,$D20,EntryDep,$H20,EntryWit,$I20)&gt;1,"تکرار",""))</f>
        <v/>
      </c>
      <c r="N20" s="28">
        <f>IF($P20="","",IF(INDEX(EntryNotes,$P20)=0,"",INDEX(EntryNotes,$P20)))</f>
        <v/>
      </c>
      <c r="O20" s="28">
        <f>IF($P20="","",IF(INDEX(EntryTxnID,$P20)=0,"",INDEX(EntryTxnID,$P20)))</f>
        <v/>
      </c>
      <c r="P20" s="28">
        <f>IFERROR(MATCH($C$5&amp;"|"&amp;RIGHT("000000"&amp;4,6),CalcRankKey,0),"")</f>
        <v/>
      </c>
    </row>
    <row r="21">
      <c r="A21" s="26">
        <f>IF($B21="","",5)</f>
        <v/>
      </c>
      <c r="B21" s="26">
        <f>IF($P21="","",IF(INDEX(CalcNormDate,$P21)=0,"",INDEX(CalcNormDate,$P21)))</f>
        <v/>
      </c>
      <c r="C21" s="26">
        <f>IF($P21="","",IF(INDEX(CalcTime,$P21)=0,"",INDEX(CalcTime,$P21)))</f>
        <v/>
      </c>
      <c r="D21" s="26">
        <f>IF($P21="","",IF(INDEX(EntryParty,$P21)=0,"",INDEX(EntryParty,$P21)))</f>
        <v/>
      </c>
      <c r="E21" s="26">
        <f>IF($P21="","",IF(INDEX(EntryPartyName,$P21)=0,"",INDEX(EntryPartyName,$P21)))</f>
        <v/>
      </c>
      <c r="F21" s="26">
        <f>IF($P21="","",IF(INDEX(EntryPartyType,$P21)=0,"",INDEX(EntryPartyType,$P21)))</f>
        <v/>
      </c>
      <c r="G21" s="26">
        <f>IF($P21="","",IF(INDEX(EntryTxnType,$P21)=0,"",INDEX(EntryTxnType,$P21)))</f>
        <v/>
      </c>
      <c r="H21" s="27">
        <f>IF($P21="","",IF(INDEX(EntryDep,$P21)=0,"",INDEX(EntryDep,$P21)))</f>
        <v/>
      </c>
      <c r="I21" s="27">
        <f>IF($P21="","",IF(INDEX(EntryWit,$P21)=0,"",INDEX(EntryWit,$P21)))</f>
        <v/>
      </c>
      <c r="J21" s="27">
        <f>IF($B21="","",IF($A21=1,$C$7,IF(J20="",0,J20))+IF($H21="",0,$H21)-IF($I21="",0,$I21))</f>
        <v/>
      </c>
      <c r="K21" s="27">
        <f>IF($P21="","",IF(INDEX(EntryMan,$P21)=0,"",INDEX(EntryMan,$P21)))</f>
        <v/>
      </c>
      <c r="L21" s="26">
        <f>IF($B21="","",IF($K21="","—",IF(ROUND($K21-$J21,0)=0,"√","×")))</f>
        <v/>
      </c>
      <c r="M21" s="26">
        <f>IF($B21="","",IF(COUNTIFS(EntryDates,$B21,CalcTime,$C21,CalcBank,$C$5,EntryParty,$D21,EntryDep,$H21,EntryWit,$I21)&gt;1,"تکرار",""))</f>
        <v/>
      </c>
      <c r="N21" s="26">
        <f>IF($P21="","",IF(INDEX(EntryNotes,$P21)=0,"",INDEX(EntryNotes,$P21)))</f>
        <v/>
      </c>
      <c r="O21" s="26">
        <f>IF($P21="","",IF(INDEX(EntryTxnID,$P21)=0,"",INDEX(EntryTxnID,$P21)))</f>
        <v/>
      </c>
      <c r="P21" s="26">
        <f>IFERROR(MATCH($C$5&amp;"|"&amp;RIGHT("000000"&amp;5,6),CalcRankKey,0),"")</f>
        <v/>
      </c>
    </row>
    <row r="22">
      <c r="A22" s="28">
        <f>IF($B22="","",6)</f>
        <v/>
      </c>
      <c r="B22" s="28">
        <f>IF($P22="","",IF(INDEX(CalcNormDate,$P22)=0,"",INDEX(CalcNormDate,$P22)))</f>
        <v/>
      </c>
      <c r="C22" s="28">
        <f>IF($P22="","",IF(INDEX(CalcTime,$P22)=0,"",INDEX(CalcTime,$P22)))</f>
        <v/>
      </c>
      <c r="D22" s="28">
        <f>IF($P22="","",IF(INDEX(EntryParty,$P22)=0,"",INDEX(EntryParty,$P22)))</f>
        <v/>
      </c>
      <c r="E22" s="28">
        <f>IF($P22="","",IF(INDEX(EntryPartyName,$P22)=0,"",INDEX(EntryPartyName,$P22)))</f>
        <v/>
      </c>
      <c r="F22" s="28">
        <f>IF($P22="","",IF(INDEX(EntryPartyType,$P22)=0,"",INDEX(EntryPartyType,$P22)))</f>
        <v/>
      </c>
      <c r="G22" s="28">
        <f>IF($P22="","",IF(INDEX(EntryTxnType,$P22)=0,"",INDEX(EntryTxnType,$P22)))</f>
        <v/>
      </c>
      <c r="H22" s="29">
        <f>IF($P22="","",IF(INDEX(EntryDep,$P22)=0,"",INDEX(EntryDep,$P22)))</f>
        <v/>
      </c>
      <c r="I22" s="29">
        <f>IF($P22="","",IF(INDEX(EntryWit,$P22)=0,"",INDEX(EntryWit,$P22)))</f>
        <v/>
      </c>
      <c r="J22" s="29">
        <f>IF($B22="","",IF($A22=1,$C$7,IF(J21="",0,J21))+IF($H22="",0,$H22)-IF($I22="",0,$I22))</f>
        <v/>
      </c>
      <c r="K22" s="29">
        <f>IF($P22="","",IF(INDEX(EntryMan,$P22)=0,"",INDEX(EntryMan,$P22)))</f>
        <v/>
      </c>
      <c r="L22" s="28">
        <f>IF($B22="","",IF($K22="","—",IF(ROUND($K22-$J22,0)=0,"√","×")))</f>
        <v/>
      </c>
      <c r="M22" s="28">
        <f>IF($B22="","",IF(COUNTIFS(EntryDates,$B22,CalcTime,$C22,CalcBank,$C$5,EntryParty,$D22,EntryDep,$H22,EntryWit,$I22)&gt;1,"تکرار",""))</f>
        <v/>
      </c>
      <c r="N22" s="28">
        <f>IF($P22="","",IF(INDEX(EntryNotes,$P22)=0,"",INDEX(EntryNotes,$P22)))</f>
        <v/>
      </c>
      <c r="O22" s="28">
        <f>IF($P22="","",IF(INDEX(EntryTxnID,$P22)=0,"",INDEX(EntryTxnID,$P22)))</f>
        <v/>
      </c>
      <c r="P22" s="28">
        <f>IFERROR(MATCH($C$5&amp;"|"&amp;RIGHT("000000"&amp;6,6),CalcRankKey,0),"")</f>
        <v/>
      </c>
    </row>
    <row r="23">
      <c r="A23" s="26">
        <f>IF($B23="","",7)</f>
        <v/>
      </c>
      <c r="B23" s="26">
        <f>IF($P23="","",IF(INDEX(CalcNormDate,$P23)=0,"",INDEX(CalcNormDate,$P23)))</f>
        <v/>
      </c>
      <c r="C23" s="26">
        <f>IF($P23="","",IF(INDEX(CalcTime,$P23)=0,"",INDEX(CalcTime,$P23)))</f>
        <v/>
      </c>
      <c r="D23" s="26">
        <f>IF($P23="","",IF(INDEX(EntryParty,$P23)=0,"",INDEX(EntryParty,$P23)))</f>
        <v/>
      </c>
      <c r="E23" s="26">
        <f>IF($P23="","",IF(INDEX(EntryPartyName,$P23)=0,"",INDEX(EntryPartyName,$P23)))</f>
        <v/>
      </c>
      <c r="F23" s="26">
        <f>IF($P23="","",IF(INDEX(EntryPartyType,$P23)=0,"",INDEX(EntryPartyType,$P23)))</f>
        <v/>
      </c>
      <c r="G23" s="26">
        <f>IF($P23="","",IF(INDEX(EntryTxnType,$P23)=0,"",INDEX(EntryTxnType,$P23)))</f>
        <v/>
      </c>
      <c r="H23" s="27">
        <f>IF($P23="","",IF(INDEX(EntryDep,$P23)=0,"",INDEX(EntryDep,$P23)))</f>
        <v/>
      </c>
      <c r="I23" s="27">
        <f>IF($P23="","",IF(INDEX(EntryWit,$P23)=0,"",INDEX(EntryWit,$P23)))</f>
        <v/>
      </c>
      <c r="J23" s="27">
        <f>IF($B23="","",IF($A23=1,$C$7,IF(J22="",0,J22))+IF($H23="",0,$H23)-IF($I23="",0,$I23))</f>
        <v/>
      </c>
      <c r="K23" s="27">
        <f>IF($P23="","",IF(INDEX(EntryMan,$P23)=0,"",INDEX(EntryMan,$P23)))</f>
        <v/>
      </c>
      <c r="L23" s="26">
        <f>IF($B23="","",IF($K23="","—",IF(ROUND($K23-$J23,0)=0,"√","×")))</f>
        <v/>
      </c>
      <c r="M23" s="26">
        <f>IF($B23="","",IF(COUNTIFS(EntryDates,$B23,CalcTime,$C23,CalcBank,$C$5,EntryParty,$D23,EntryDep,$H23,EntryWit,$I23)&gt;1,"تکرار",""))</f>
        <v/>
      </c>
      <c r="N23" s="26">
        <f>IF($P23="","",IF(INDEX(EntryNotes,$P23)=0,"",INDEX(EntryNotes,$P23)))</f>
        <v/>
      </c>
      <c r="O23" s="26">
        <f>IF($P23="","",IF(INDEX(EntryTxnID,$P23)=0,"",INDEX(EntryTxnID,$P23)))</f>
        <v/>
      </c>
      <c r="P23" s="26">
        <f>IFERROR(MATCH($C$5&amp;"|"&amp;RIGHT("000000"&amp;7,6),CalcRankKey,0),"")</f>
        <v/>
      </c>
    </row>
    <row r="24">
      <c r="A24" s="28">
        <f>IF($B24="","",8)</f>
        <v/>
      </c>
      <c r="B24" s="28">
        <f>IF($P24="","",IF(INDEX(CalcNormDate,$P24)=0,"",INDEX(CalcNormDate,$P24)))</f>
        <v/>
      </c>
      <c r="C24" s="28">
        <f>IF($P24="","",IF(INDEX(CalcTime,$P24)=0,"",INDEX(CalcTime,$P24)))</f>
        <v/>
      </c>
      <c r="D24" s="28">
        <f>IF($P24="","",IF(INDEX(EntryParty,$P24)=0,"",INDEX(EntryParty,$P24)))</f>
        <v/>
      </c>
      <c r="E24" s="28">
        <f>IF($P24="","",IF(INDEX(EntryPartyName,$P24)=0,"",INDEX(EntryPartyName,$P24)))</f>
        <v/>
      </c>
      <c r="F24" s="28">
        <f>IF($P24="","",IF(INDEX(EntryPartyType,$P24)=0,"",INDEX(EntryPartyType,$P24)))</f>
        <v/>
      </c>
      <c r="G24" s="28">
        <f>IF($P24="","",IF(INDEX(EntryTxnType,$P24)=0,"",INDEX(EntryTxnType,$P24)))</f>
        <v/>
      </c>
      <c r="H24" s="29">
        <f>IF($P24="","",IF(INDEX(EntryDep,$P24)=0,"",INDEX(EntryDep,$P24)))</f>
        <v/>
      </c>
      <c r="I24" s="29">
        <f>IF($P24="","",IF(INDEX(EntryWit,$P24)=0,"",INDEX(EntryWit,$P24)))</f>
        <v/>
      </c>
      <c r="J24" s="29">
        <f>IF($B24="","",IF($A24=1,$C$7,IF(J23="",0,J23))+IF($H24="",0,$H24)-IF($I24="",0,$I24))</f>
        <v/>
      </c>
      <c r="K24" s="29">
        <f>IF($P24="","",IF(INDEX(EntryMan,$P24)=0,"",INDEX(EntryMan,$P24)))</f>
        <v/>
      </c>
      <c r="L24" s="28">
        <f>IF($B24="","",IF($K24="","—",IF(ROUND($K24-$J24,0)=0,"√","×")))</f>
        <v/>
      </c>
      <c r="M24" s="28">
        <f>IF($B24="","",IF(COUNTIFS(EntryDates,$B24,CalcTime,$C24,CalcBank,$C$5,EntryParty,$D24,EntryDep,$H24,EntryWit,$I24)&gt;1,"تکرار",""))</f>
        <v/>
      </c>
      <c r="N24" s="28">
        <f>IF($P24="","",IF(INDEX(EntryNotes,$P24)=0,"",INDEX(EntryNotes,$P24)))</f>
        <v/>
      </c>
      <c r="O24" s="28">
        <f>IF($P24="","",IF(INDEX(EntryTxnID,$P24)=0,"",INDEX(EntryTxnID,$P24)))</f>
        <v/>
      </c>
      <c r="P24" s="28">
        <f>IFERROR(MATCH($C$5&amp;"|"&amp;RIGHT("000000"&amp;8,6),CalcRankKey,0),"")</f>
        <v/>
      </c>
    </row>
    <row r="25">
      <c r="A25" s="26">
        <f>IF($B25="","",9)</f>
        <v/>
      </c>
      <c r="B25" s="26">
        <f>IF($P25="","",IF(INDEX(CalcNormDate,$P25)=0,"",INDEX(CalcNormDate,$P25)))</f>
        <v/>
      </c>
      <c r="C25" s="26">
        <f>IF($P25="","",IF(INDEX(CalcTime,$P25)=0,"",INDEX(CalcTime,$P25)))</f>
        <v/>
      </c>
      <c r="D25" s="26">
        <f>IF($P25="","",IF(INDEX(EntryParty,$P25)=0,"",INDEX(EntryParty,$P25)))</f>
        <v/>
      </c>
      <c r="E25" s="26">
        <f>IF($P25="","",IF(INDEX(EntryPartyName,$P25)=0,"",INDEX(EntryPartyName,$P25)))</f>
        <v/>
      </c>
      <c r="F25" s="26">
        <f>IF($P25="","",IF(INDEX(EntryPartyType,$P25)=0,"",INDEX(EntryPartyType,$P25)))</f>
        <v/>
      </c>
      <c r="G25" s="26">
        <f>IF($P25="","",IF(INDEX(EntryTxnType,$P25)=0,"",INDEX(EntryTxnType,$P25)))</f>
        <v/>
      </c>
      <c r="H25" s="27">
        <f>IF($P25="","",IF(INDEX(EntryDep,$P25)=0,"",INDEX(EntryDep,$P25)))</f>
        <v/>
      </c>
      <c r="I25" s="27">
        <f>IF($P25="","",IF(INDEX(EntryWit,$P25)=0,"",INDEX(EntryWit,$P25)))</f>
        <v/>
      </c>
      <c r="J25" s="27">
        <f>IF($B25="","",IF($A25=1,$C$7,IF(J24="",0,J24))+IF($H25="",0,$H25)-IF($I25="",0,$I25))</f>
        <v/>
      </c>
      <c r="K25" s="27">
        <f>IF($P25="","",IF(INDEX(EntryMan,$P25)=0,"",INDEX(EntryMan,$P25)))</f>
        <v/>
      </c>
      <c r="L25" s="26">
        <f>IF($B25="","",IF($K25="","—",IF(ROUND($K25-$J25,0)=0,"√","×")))</f>
        <v/>
      </c>
      <c r="M25" s="26">
        <f>IF($B25="","",IF(COUNTIFS(EntryDates,$B25,CalcTime,$C25,CalcBank,$C$5,EntryParty,$D25,EntryDep,$H25,EntryWit,$I25)&gt;1,"تکرار",""))</f>
        <v/>
      </c>
      <c r="N25" s="26">
        <f>IF($P25="","",IF(INDEX(EntryNotes,$P25)=0,"",INDEX(EntryNotes,$P25)))</f>
        <v/>
      </c>
      <c r="O25" s="26">
        <f>IF($P25="","",IF(INDEX(EntryTxnID,$P25)=0,"",INDEX(EntryTxnID,$P25)))</f>
        <v/>
      </c>
      <c r="P25" s="26">
        <f>IFERROR(MATCH($C$5&amp;"|"&amp;RIGHT("000000"&amp;9,6),CalcRankKey,0),"")</f>
        <v/>
      </c>
    </row>
    <row r="26">
      <c r="A26" s="28">
        <f>IF($B26="","",10)</f>
        <v/>
      </c>
      <c r="B26" s="28">
        <f>IF($P26="","",IF(INDEX(CalcNormDate,$P26)=0,"",INDEX(CalcNormDate,$P26)))</f>
        <v/>
      </c>
      <c r="C26" s="28">
        <f>IF($P26="","",IF(INDEX(CalcTime,$P26)=0,"",INDEX(CalcTime,$P26)))</f>
        <v/>
      </c>
      <c r="D26" s="28">
        <f>IF($P26="","",IF(INDEX(EntryParty,$P26)=0,"",INDEX(EntryParty,$P26)))</f>
        <v/>
      </c>
      <c r="E26" s="28">
        <f>IF($P26="","",IF(INDEX(EntryPartyName,$P26)=0,"",INDEX(EntryPartyName,$P26)))</f>
        <v/>
      </c>
      <c r="F26" s="28">
        <f>IF($P26="","",IF(INDEX(EntryPartyType,$P26)=0,"",INDEX(EntryPartyType,$P26)))</f>
        <v/>
      </c>
      <c r="G26" s="28">
        <f>IF($P26="","",IF(INDEX(EntryTxnType,$P26)=0,"",INDEX(EntryTxnType,$P26)))</f>
        <v/>
      </c>
      <c r="H26" s="29">
        <f>IF($P26="","",IF(INDEX(EntryDep,$P26)=0,"",INDEX(EntryDep,$P26)))</f>
        <v/>
      </c>
      <c r="I26" s="29">
        <f>IF($P26="","",IF(INDEX(EntryWit,$P26)=0,"",INDEX(EntryWit,$P26)))</f>
        <v/>
      </c>
      <c r="J26" s="29">
        <f>IF($B26="","",IF($A26=1,$C$7,IF(J25="",0,J25))+IF($H26="",0,$H26)-IF($I26="",0,$I26))</f>
        <v/>
      </c>
      <c r="K26" s="29">
        <f>IF($P26="","",IF(INDEX(EntryMan,$P26)=0,"",INDEX(EntryMan,$P26)))</f>
        <v/>
      </c>
      <c r="L26" s="28">
        <f>IF($B26="","",IF($K26="","—",IF(ROUND($K26-$J26,0)=0,"√","×")))</f>
        <v/>
      </c>
      <c r="M26" s="28">
        <f>IF($B26="","",IF(COUNTIFS(EntryDates,$B26,CalcTime,$C26,CalcBank,$C$5,EntryParty,$D26,EntryDep,$H26,EntryWit,$I26)&gt;1,"تکرار",""))</f>
        <v/>
      </c>
      <c r="N26" s="28">
        <f>IF($P26="","",IF(INDEX(EntryNotes,$P26)=0,"",INDEX(EntryNotes,$P26)))</f>
        <v/>
      </c>
      <c r="O26" s="28">
        <f>IF($P26="","",IF(INDEX(EntryTxnID,$P26)=0,"",INDEX(EntryTxnID,$P26)))</f>
        <v/>
      </c>
      <c r="P26" s="28">
        <f>IFERROR(MATCH($C$5&amp;"|"&amp;RIGHT("000000"&amp;10,6),CalcRankKey,0),"")</f>
        <v/>
      </c>
    </row>
    <row r="27">
      <c r="A27" s="26">
        <f>IF($B27="","",11)</f>
        <v/>
      </c>
      <c r="B27" s="26">
        <f>IF($P27="","",IF(INDEX(CalcNormDate,$P27)=0,"",INDEX(CalcNormDate,$P27)))</f>
        <v/>
      </c>
      <c r="C27" s="26">
        <f>IF($P27="","",IF(INDEX(CalcTime,$P27)=0,"",INDEX(CalcTime,$P27)))</f>
        <v/>
      </c>
      <c r="D27" s="26">
        <f>IF($P27="","",IF(INDEX(EntryParty,$P27)=0,"",INDEX(EntryParty,$P27)))</f>
        <v/>
      </c>
      <c r="E27" s="26">
        <f>IF($P27="","",IF(INDEX(EntryPartyName,$P27)=0,"",INDEX(EntryPartyName,$P27)))</f>
        <v/>
      </c>
      <c r="F27" s="26">
        <f>IF($P27="","",IF(INDEX(EntryPartyType,$P27)=0,"",INDEX(EntryPartyType,$P27)))</f>
        <v/>
      </c>
      <c r="G27" s="26">
        <f>IF($P27="","",IF(INDEX(EntryTxnType,$P27)=0,"",INDEX(EntryTxnType,$P27)))</f>
        <v/>
      </c>
      <c r="H27" s="27">
        <f>IF($P27="","",IF(INDEX(EntryDep,$P27)=0,"",INDEX(EntryDep,$P27)))</f>
        <v/>
      </c>
      <c r="I27" s="27">
        <f>IF($P27="","",IF(INDEX(EntryWit,$P27)=0,"",INDEX(EntryWit,$P27)))</f>
        <v/>
      </c>
      <c r="J27" s="27">
        <f>IF($B27="","",IF($A27=1,$C$7,IF(J26="",0,J26))+IF($H27="",0,$H27)-IF($I27="",0,$I27))</f>
        <v/>
      </c>
      <c r="K27" s="27">
        <f>IF($P27="","",IF(INDEX(EntryMan,$P27)=0,"",INDEX(EntryMan,$P27)))</f>
        <v/>
      </c>
      <c r="L27" s="26">
        <f>IF($B27="","",IF($K27="","—",IF(ROUND($K27-$J27,0)=0,"√","×")))</f>
        <v/>
      </c>
      <c r="M27" s="26">
        <f>IF($B27="","",IF(COUNTIFS(EntryDates,$B27,CalcTime,$C27,CalcBank,$C$5,EntryParty,$D27,EntryDep,$H27,EntryWit,$I27)&gt;1,"تکرار",""))</f>
        <v/>
      </c>
      <c r="N27" s="26">
        <f>IF($P27="","",IF(INDEX(EntryNotes,$P27)=0,"",INDEX(EntryNotes,$P27)))</f>
        <v/>
      </c>
      <c r="O27" s="26">
        <f>IF($P27="","",IF(INDEX(EntryTxnID,$P27)=0,"",INDEX(EntryTxnID,$P27)))</f>
        <v/>
      </c>
      <c r="P27" s="26">
        <f>IFERROR(MATCH($C$5&amp;"|"&amp;RIGHT("000000"&amp;11,6),CalcRankKey,0),"")</f>
        <v/>
      </c>
    </row>
    <row r="28">
      <c r="A28" s="28">
        <f>IF($B28="","",12)</f>
        <v/>
      </c>
      <c r="B28" s="28">
        <f>IF($P28="","",IF(INDEX(CalcNormDate,$P28)=0,"",INDEX(CalcNormDate,$P28)))</f>
        <v/>
      </c>
      <c r="C28" s="28">
        <f>IF($P28="","",IF(INDEX(CalcTime,$P28)=0,"",INDEX(CalcTime,$P28)))</f>
        <v/>
      </c>
      <c r="D28" s="28">
        <f>IF($P28="","",IF(INDEX(EntryParty,$P28)=0,"",INDEX(EntryParty,$P28)))</f>
        <v/>
      </c>
      <c r="E28" s="28">
        <f>IF($P28="","",IF(INDEX(EntryPartyName,$P28)=0,"",INDEX(EntryPartyName,$P28)))</f>
        <v/>
      </c>
      <c r="F28" s="28">
        <f>IF($P28="","",IF(INDEX(EntryPartyType,$P28)=0,"",INDEX(EntryPartyType,$P28)))</f>
        <v/>
      </c>
      <c r="G28" s="28">
        <f>IF($P28="","",IF(INDEX(EntryTxnType,$P28)=0,"",INDEX(EntryTxnType,$P28)))</f>
        <v/>
      </c>
      <c r="H28" s="29">
        <f>IF($P28="","",IF(INDEX(EntryDep,$P28)=0,"",INDEX(EntryDep,$P28)))</f>
        <v/>
      </c>
      <c r="I28" s="29">
        <f>IF($P28="","",IF(INDEX(EntryWit,$P28)=0,"",INDEX(EntryWit,$P28)))</f>
        <v/>
      </c>
      <c r="J28" s="29">
        <f>IF($B28="","",IF($A28=1,$C$7,IF(J27="",0,J27))+IF($H28="",0,$H28)-IF($I28="",0,$I28))</f>
        <v/>
      </c>
      <c r="K28" s="29">
        <f>IF($P28="","",IF(INDEX(EntryMan,$P28)=0,"",INDEX(EntryMan,$P28)))</f>
        <v/>
      </c>
      <c r="L28" s="28">
        <f>IF($B28="","",IF($K28="","—",IF(ROUND($K28-$J28,0)=0,"√","×")))</f>
        <v/>
      </c>
      <c r="M28" s="28">
        <f>IF($B28="","",IF(COUNTIFS(EntryDates,$B28,CalcTime,$C28,CalcBank,$C$5,EntryParty,$D28,EntryDep,$H28,EntryWit,$I28)&gt;1,"تکرار",""))</f>
        <v/>
      </c>
      <c r="N28" s="28">
        <f>IF($P28="","",IF(INDEX(EntryNotes,$P28)=0,"",INDEX(EntryNotes,$P28)))</f>
        <v/>
      </c>
      <c r="O28" s="28">
        <f>IF($P28="","",IF(INDEX(EntryTxnID,$P28)=0,"",INDEX(EntryTxnID,$P28)))</f>
        <v/>
      </c>
      <c r="P28" s="28">
        <f>IFERROR(MATCH($C$5&amp;"|"&amp;RIGHT("000000"&amp;12,6),CalcRankKey,0),"")</f>
        <v/>
      </c>
    </row>
    <row r="29">
      <c r="A29" s="26">
        <f>IF($B29="","",13)</f>
        <v/>
      </c>
      <c r="B29" s="26">
        <f>IF($P29="","",IF(INDEX(CalcNormDate,$P29)=0,"",INDEX(CalcNormDate,$P29)))</f>
        <v/>
      </c>
      <c r="C29" s="26">
        <f>IF($P29="","",IF(INDEX(CalcTime,$P29)=0,"",INDEX(CalcTime,$P29)))</f>
        <v/>
      </c>
      <c r="D29" s="26">
        <f>IF($P29="","",IF(INDEX(EntryParty,$P29)=0,"",INDEX(EntryParty,$P29)))</f>
        <v/>
      </c>
      <c r="E29" s="26">
        <f>IF($P29="","",IF(INDEX(EntryPartyName,$P29)=0,"",INDEX(EntryPartyName,$P29)))</f>
        <v/>
      </c>
      <c r="F29" s="26">
        <f>IF($P29="","",IF(INDEX(EntryPartyType,$P29)=0,"",INDEX(EntryPartyType,$P29)))</f>
        <v/>
      </c>
      <c r="G29" s="26">
        <f>IF($P29="","",IF(INDEX(EntryTxnType,$P29)=0,"",INDEX(EntryTxnType,$P29)))</f>
        <v/>
      </c>
      <c r="H29" s="27">
        <f>IF($P29="","",IF(INDEX(EntryDep,$P29)=0,"",INDEX(EntryDep,$P29)))</f>
        <v/>
      </c>
      <c r="I29" s="27">
        <f>IF($P29="","",IF(INDEX(EntryWit,$P29)=0,"",INDEX(EntryWit,$P29)))</f>
        <v/>
      </c>
      <c r="J29" s="27">
        <f>IF($B29="","",IF($A29=1,$C$7,IF(J28="",0,J28))+IF($H29="",0,$H29)-IF($I29="",0,$I29))</f>
        <v/>
      </c>
      <c r="K29" s="27">
        <f>IF($P29="","",IF(INDEX(EntryMan,$P29)=0,"",INDEX(EntryMan,$P29)))</f>
        <v/>
      </c>
      <c r="L29" s="26">
        <f>IF($B29="","",IF($K29="","—",IF(ROUND($K29-$J29,0)=0,"√","×")))</f>
        <v/>
      </c>
      <c r="M29" s="26">
        <f>IF($B29="","",IF(COUNTIFS(EntryDates,$B29,CalcTime,$C29,CalcBank,$C$5,EntryParty,$D29,EntryDep,$H29,EntryWit,$I29)&gt;1,"تکرار",""))</f>
        <v/>
      </c>
      <c r="N29" s="26">
        <f>IF($P29="","",IF(INDEX(EntryNotes,$P29)=0,"",INDEX(EntryNotes,$P29)))</f>
        <v/>
      </c>
      <c r="O29" s="26">
        <f>IF($P29="","",IF(INDEX(EntryTxnID,$P29)=0,"",INDEX(EntryTxnID,$P29)))</f>
        <v/>
      </c>
      <c r="P29" s="26">
        <f>IFERROR(MATCH($C$5&amp;"|"&amp;RIGHT("000000"&amp;13,6),CalcRankKey,0),"")</f>
        <v/>
      </c>
    </row>
    <row r="30">
      <c r="A30" s="28">
        <f>IF($B30="","",14)</f>
        <v/>
      </c>
      <c r="B30" s="28">
        <f>IF($P30="","",IF(INDEX(CalcNormDate,$P30)=0,"",INDEX(CalcNormDate,$P30)))</f>
        <v/>
      </c>
      <c r="C30" s="28">
        <f>IF($P30="","",IF(INDEX(CalcTime,$P30)=0,"",INDEX(CalcTime,$P30)))</f>
        <v/>
      </c>
      <c r="D30" s="28">
        <f>IF($P30="","",IF(INDEX(EntryParty,$P30)=0,"",INDEX(EntryParty,$P30)))</f>
        <v/>
      </c>
      <c r="E30" s="28">
        <f>IF($P30="","",IF(INDEX(EntryPartyName,$P30)=0,"",INDEX(EntryPartyName,$P30)))</f>
        <v/>
      </c>
      <c r="F30" s="28">
        <f>IF($P30="","",IF(INDEX(EntryPartyType,$P30)=0,"",INDEX(EntryPartyType,$P30)))</f>
        <v/>
      </c>
      <c r="G30" s="28">
        <f>IF($P30="","",IF(INDEX(EntryTxnType,$P30)=0,"",INDEX(EntryTxnType,$P30)))</f>
        <v/>
      </c>
      <c r="H30" s="29">
        <f>IF($P30="","",IF(INDEX(EntryDep,$P30)=0,"",INDEX(EntryDep,$P30)))</f>
        <v/>
      </c>
      <c r="I30" s="29">
        <f>IF($P30="","",IF(INDEX(EntryWit,$P30)=0,"",INDEX(EntryWit,$P30)))</f>
        <v/>
      </c>
      <c r="J30" s="29">
        <f>IF($B30="","",IF($A30=1,$C$7,IF(J29="",0,J29))+IF($H30="",0,$H30)-IF($I30="",0,$I30))</f>
        <v/>
      </c>
      <c r="K30" s="29">
        <f>IF($P30="","",IF(INDEX(EntryMan,$P30)=0,"",INDEX(EntryMan,$P30)))</f>
        <v/>
      </c>
      <c r="L30" s="28">
        <f>IF($B30="","",IF($K30="","—",IF(ROUND($K30-$J30,0)=0,"√","×")))</f>
        <v/>
      </c>
      <c r="M30" s="28">
        <f>IF($B30="","",IF(COUNTIFS(EntryDates,$B30,CalcTime,$C30,CalcBank,$C$5,EntryParty,$D30,EntryDep,$H30,EntryWit,$I30)&gt;1,"تکرار",""))</f>
        <v/>
      </c>
      <c r="N30" s="28">
        <f>IF($P30="","",IF(INDEX(EntryNotes,$P30)=0,"",INDEX(EntryNotes,$P30)))</f>
        <v/>
      </c>
      <c r="O30" s="28">
        <f>IF($P30="","",IF(INDEX(EntryTxnID,$P30)=0,"",INDEX(EntryTxnID,$P30)))</f>
        <v/>
      </c>
      <c r="P30" s="28">
        <f>IFERROR(MATCH($C$5&amp;"|"&amp;RIGHT("000000"&amp;14,6),CalcRankKey,0),"")</f>
        <v/>
      </c>
    </row>
    <row r="31">
      <c r="A31" s="26">
        <f>IF($B31="","",15)</f>
        <v/>
      </c>
      <c r="B31" s="26">
        <f>IF($P31="","",IF(INDEX(CalcNormDate,$P31)=0,"",INDEX(CalcNormDate,$P31)))</f>
        <v/>
      </c>
      <c r="C31" s="26">
        <f>IF($P31="","",IF(INDEX(CalcTime,$P31)=0,"",INDEX(CalcTime,$P31)))</f>
        <v/>
      </c>
      <c r="D31" s="26">
        <f>IF($P31="","",IF(INDEX(EntryParty,$P31)=0,"",INDEX(EntryParty,$P31)))</f>
        <v/>
      </c>
      <c r="E31" s="26">
        <f>IF($P31="","",IF(INDEX(EntryPartyName,$P31)=0,"",INDEX(EntryPartyName,$P31)))</f>
        <v/>
      </c>
      <c r="F31" s="26">
        <f>IF($P31="","",IF(INDEX(EntryPartyType,$P31)=0,"",INDEX(EntryPartyType,$P31)))</f>
        <v/>
      </c>
      <c r="G31" s="26">
        <f>IF($P31="","",IF(INDEX(EntryTxnType,$P31)=0,"",INDEX(EntryTxnType,$P31)))</f>
        <v/>
      </c>
      <c r="H31" s="27">
        <f>IF($P31="","",IF(INDEX(EntryDep,$P31)=0,"",INDEX(EntryDep,$P31)))</f>
        <v/>
      </c>
      <c r="I31" s="27">
        <f>IF($P31="","",IF(INDEX(EntryWit,$P31)=0,"",INDEX(EntryWit,$P31)))</f>
        <v/>
      </c>
      <c r="J31" s="27">
        <f>IF($B31="","",IF($A31=1,$C$7,IF(J30="",0,J30))+IF($H31="",0,$H31)-IF($I31="",0,$I31))</f>
        <v/>
      </c>
      <c r="K31" s="27">
        <f>IF($P31="","",IF(INDEX(EntryMan,$P31)=0,"",INDEX(EntryMan,$P31)))</f>
        <v/>
      </c>
      <c r="L31" s="26">
        <f>IF($B31="","",IF($K31="","—",IF(ROUND($K31-$J31,0)=0,"√","×")))</f>
        <v/>
      </c>
      <c r="M31" s="26">
        <f>IF($B31="","",IF(COUNTIFS(EntryDates,$B31,CalcTime,$C31,CalcBank,$C$5,EntryParty,$D31,EntryDep,$H31,EntryWit,$I31)&gt;1,"تکرار",""))</f>
        <v/>
      </c>
      <c r="N31" s="26">
        <f>IF($P31="","",IF(INDEX(EntryNotes,$P31)=0,"",INDEX(EntryNotes,$P31)))</f>
        <v/>
      </c>
      <c r="O31" s="26">
        <f>IF($P31="","",IF(INDEX(EntryTxnID,$P31)=0,"",INDEX(EntryTxnID,$P31)))</f>
        <v/>
      </c>
      <c r="P31" s="26">
        <f>IFERROR(MATCH($C$5&amp;"|"&amp;RIGHT("000000"&amp;15,6),CalcRankKey,0),"")</f>
        <v/>
      </c>
    </row>
    <row r="32">
      <c r="A32" s="28">
        <f>IF($B32="","",16)</f>
        <v/>
      </c>
      <c r="B32" s="28">
        <f>IF($P32="","",IF(INDEX(CalcNormDate,$P32)=0,"",INDEX(CalcNormDate,$P32)))</f>
        <v/>
      </c>
      <c r="C32" s="28">
        <f>IF($P32="","",IF(INDEX(CalcTime,$P32)=0,"",INDEX(CalcTime,$P32)))</f>
        <v/>
      </c>
      <c r="D32" s="28">
        <f>IF($P32="","",IF(INDEX(EntryParty,$P32)=0,"",INDEX(EntryParty,$P32)))</f>
        <v/>
      </c>
      <c r="E32" s="28">
        <f>IF($P32="","",IF(INDEX(EntryPartyName,$P32)=0,"",INDEX(EntryPartyName,$P32)))</f>
        <v/>
      </c>
      <c r="F32" s="28">
        <f>IF($P32="","",IF(INDEX(EntryPartyType,$P32)=0,"",INDEX(EntryPartyType,$P32)))</f>
        <v/>
      </c>
      <c r="G32" s="28">
        <f>IF($P32="","",IF(INDEX(EntryTxnType,$P32)=0,"",INDEX(EntryTxnType,$P32)))</f>
        <v/>
      </c>
      <c r="H32" s="29">
        <f>IF($P32="","",IF(INDEX(EntryDep,$P32)=0,"",INDEX(EntryDep,$P32)))</f>
        <v/>
      </c>
      <c r="I32" s="29">
        <f>IF($P32="","",IF(INDEX(EntryWit,$P32)=0,"",INDEX(EntryWit,$P32)))</f>
        <v/>
      </c>
      <c r="J32" s="29">
        <f>IF($B32="","",IF($A32=1,$C$7,IF(J31="",0,J31))+IF($H32="",0,$H32)-IF($I32="",0,$I32))</f>
        <v/>
      </c>
      <c r="K32" s="29">
        <f>IF($P32="","",IF(INDEX(EntryMan,$P32)=0,"",INDEX(EntryMan,$P32)))</f>
        <v/>
      </c>
      <c r="L32" s="28">
        <f>IF($B32="","",IF($K32="","—",IF(ROUND($K32-$J32,0)=0,"√","×")))</f>
        <v/>
      </c>
      <c r="M32" s="28">
        <f>IF($B32="","",IF(COUNTIFS(EntryDates,$B32,CalcTime,$C32,CalcBank,$C$5,EntryParty,$D32,EntryDep,$H32,EntryWit,$I32)&gt;1,"تکرار",""))</f>
        <v/>
      </c>
      <c r="N32" s="28">
        <f>IF($P32="","",IF(INDEX(EntryNotes,$P32)=0,"",INDEX(EntryNotes,$P32)))</f>
        <v/>
      </c>
      <c r="O32" s="28">
        <f>IF($P32="","",IF(INDEX(EntryTxnID,$P32)=0,"",INDEX(EntryTxnID,$P32)))</f>
        <v/>
      </c>
      <c r="P32" s="28">
        <f>IFERROR(MATCH($C$5&amp;"|"&amp;RIGHT("000000"&amp;16,6),CalcRankKey,0),"")</f>
        <v/>
      </c>
    </row>
    <row r="33">
      <c r="A33" s="26">
        <f>IF($B33="","",17)</f>
        <v/>
      </c>
      <c r="B33" s="26">
        <f>IF($P33="","",IF(INDEX(CalcNormDate,$P33)=0,"",INDEX(CalcNormDate,$P33)))</f>
        <v/>
      </c>
      <c r="C33" s="26">
        <f>IF($P33="","",IF(INDEX(CalcTime,$P33)=0,"",INDEX(CalcTime,$P33)))</f>
        <v/>
      </c>
      <c r="D33" s="26">
        <f>IF($P33="","",IF(INDEX(EntryParty,$P33)=0,"",INDEX(EntryParty,$P33)))</f>
        <v/>
      </c>
      <c r="E33" s="26">
        <f>IF($P33="","",IF(INDEX(EntryPartyName,$P33)=0,"",INDEX(EntryPartyName,$P33)))</f>
        <v/>
      </c>
      <c r="F33" s="26">
        <f>IF($P33="","",IF(INDEX(EntryPartyType,$P33)=0,"",INDEX(EntryPartyType,$P33)))</f>
        <v/>
      </c>
      <c r="G33" s="26">
        <f>IF($P33="","",IF(INDEX(EntryTxnType,$P33)=0,"",INDEX(EntryTxnType,$P33)))</f>
        <v/>
      </c>
      <c r="H33" s="27">
        <f>IF($P33="","",IF(INDEX(EntryDep,$P33)=0,"",INDEX(EntryDep,$P33)))</f>
        <v/>
      </c>
      <c r="I33" s="27">
        <f>IF($P33="","",IF(INDEX(EntryWit,$P33)=0,"",INDEX(EntryWit,$P33)))</f>
        <v/>
      </c>
      <c r="J33" s="27">
        <f>IF($B33="","",IF($A33=1,$C$7,IF(J32="",0,J32))+IF($H33="",0,$H33)-IF($I33="",0,$I33))</f>
        <v/>
      </c>
      <c r="K33" s="27">
        <f>IF($P33="","",IF(INDEX(EntryMan,$P33)=0,"",INDEX(EntryMan,$P33)))</f>
        <v/>
      </c>
      <c r="L33" s="26">
        <f>IF($B33="","",IF($K33="","—",IF(ROUND($K33-$J33,0)=0,"√","×")))</f>
        <v/>
      </c>
      <c r="M33" s="26">
        <f>IF($B33="","",IF(COUNTIFS(EntryDates,$B33,CalcTime,$C33,CalcBank,$C$5,EntryParty,$D33,EntryDep,$H33,EntryWit,$I33)&gt;1,"تکرار",""))</f>
        <v/>
      </c>
      <c r="N33" s="26">
        <f>IF($P33="","",IF(INDEX(EntryNotes,$P33)=0,"",INDEX(EntryNotes,$P33)))</f>
        <v/>
      </c>
      <c r="O33" s="26">
        <f>IF($P33="","",IF(INDEX(EntryTxnID,$P33)=0,"",INDEX(EntryTxnID,$P33)))</f>
        <v/>
      </c>
      <c r="P33" s="26">
        <f>IFERROR(MATCH($C$5&amp;"|"&amp;RIGHT("000000"&amp;17,6),CalcRankKey,0),"")</f>
        <v/>
      </c>
    </row>
    <row r="34">
      <c r="A34" s="28">
        <f>IF($B34="","",18)</f>
        <v/>
      </c>
      <c r="B34" s="28">
        <f>IF($P34="","",IF(INDEX(CalcNormDate,$P34)=0,"",INDEX(CalcNormDate,$P34)))</f>
        <v/>
      </c>
      <c r="C34" s="28">
        <f>IF($P34="","",IF(INDEX(CalcTime,$P34)=0,"",INDEX(CalcTime,$P34)))</f>
        <v/>
      </c>
      <c r="D34" s="28">
        <f>IF($P34="","",IF(INDEX(EntryParty,$P34)=0,"",INDEX(EntryParty,$P34)))</f>
        <v/>
      </c>
      <c r="E34" s="28">
        <f>IF($P34="","",IF(INDEX(EntryPartyName,$P34)=0,"",INDEX(EntryPartyName,$P34)))</f>
        <v/>
      </c>
      <c r="F34" s="28">
        <f>IF($P34="","",IF(INDEX(EntryPartyType,$P34)=0,"",INDEX(EntryPartyType,$P34)))</f>
        <v/>
      </c>
      <c r="G34" s="28">
        <f>IF($P34="","",IF(INDEX(EntryTxnType,$P34)=0,"",INDEX(EntryTxnType,$P34)))</f>
        <v/>
      </c>
      <c r="H34" s="29">
        <f>IF($P34="","",IF(INDEX(EntryDep,$P34)=0,"",INDEX(EntryDep,$P34)))</f>
        <v/>
      </c>
      <c r="I34" s="29">
        <f>IF($P34="","",IF(INDEX(EntryWit,$P34)=0,"",INDEX(EntryWit,$P34)))</f>
        <v/>
      </c>
      <c r="J34" s="29">
        <f>IF($B34="","",IF($A34=1,$C$7,IF(J33="",0,J33))+IF($H34="",0,$H34)-IF($I34="",0,$I34))</f>
        <v/>
      </c>
      <c r="K34" s="29">
        <f>IF($P34="","",IF(INDEX(EntryMan,$P34)=0,"",INDEX(EntryMan,$P34)))</f>
        <v/>
      </c>
      <c r="L34" s="28">
        <f>IF($B34="","",IF($K34="","—",IF(ROUND($K34-$J34,0)=0,"√","×")))</f>
        <v/>
      </c>
      <c r="M34" s="28">
        <f>IF($B34="","",IF(COUNTIFS(EntryDates,$B34,CalcTime,$C34,CalcBank,$C$5,EntryParty,$D34,EntryDep,$H34,EntryWit,$I34)&gt;1,"تکرار",""))</f>
        <v/>
      </c>
      <c r="N34" s="28">
        <f>IF($P34="","",IF(INDEX(EntryNotes,$P34)=0,"",INDEX(EntryNotes,$P34)))</f>
        <v/>
      </c>
      <c r="O34" s="28">
        <f>IF($P34="","",IF(INDEX(EntryTxnID,$P34)=0,"",INDEX(EntryTxnID,$P34)))</f>
        <v/>
      </c>
      <c r="P34" s="28">
        <f>IFERROR(MATCH($C$5&amp;"|"&amp;RIGHT("000000"&amp;18,6),CalcRankKey,0),"")</f>
        <v/>
      </c>
    </row>
    <row r="35">
      <c r="A35" s="26">
        <f>IF($B35="","",19)</f>
        <v/>
      </c>
      <c r="B35" s="26">
        <f>IF($P35="","",IF(INDEX(CalcNormDate,$P35)=0,"",INDEX(CalcNormDate,$P35)))</f>
        <v/>
      </c>
      <c r="C35" s="26">
        <f>IF($P35="","",IF(INDEX(CalcTime,$P35)=0,"",INDEX(CalcTime,$P35)))</f>
        <v/>
      </c>
      <c r="D35" s="26">
        <f>IF($P35="","",IF(INDEX(EntryParty,$P35)=0,"",INDEX(EntryParty,$P35)))</f>
        <v/>
      </c>
      <c r="E35" s="26">
        <f>IF($P35="","",IF(INDEX(EntryPartyName,$P35)=0,"",INDEX(EntryPartyName,$P35)))</f>
        <v/>
      </c>
      <c r="F35" s="26">
        <f>IF($P35="","",IF(INDEX(EntryPartyType,$P35)=0,"",INDEX(EntryPartyType,$P35)))</f>
        <v/>
      </c>
      <c r="G35" s="26">
        <f>IF($P35="","",IF(INDEX(EntryTxnType,$P35)=0,"",INDEX(EntryTxnType,$P35)))</f>
        <v/>
      </c>
      <c r="H35" s="27">
        <f>IF($P35="","",IF(INDEX(EntryDep,$P35)=0,"",INDEX(EntryDep,$P35)))</f>
        <v/>
      </c>
      <c r="I35" s="27">
        <f>IF($P35="","",IF(INDEX(EntryWit,$P35)=0,"",INDEX(EntryWit,$P35)))</f>
        <v/>
      </c>
      <c r="J35" s="27">
        <f>IF($B35="","",IF($A35=1,$C$7,IF(J34="",0,J34))+IF($H35="",0,$H35)-IF($I35="",0,$I35))</f>
        <v/>
      </c>
      <c r="K35" s="27">
        <f>IF($P35="","",IF(INDEX(EntryMan,$P35)=0,"",INDEX(EntryMan,$P35)))</f>
        <v/>
      </c>
      <c r="L35" s="26">
        <f>IF($B35="","",IF($K35="","—",IF(ROUND($K35-$J35,0)=0,"√","×")))</f>
        <v/>
      </c>
      <c r="M35" s="26">
        <f>IF($B35="","",IF(COUNTIFS(EntryDates,$B35,CalcTime,$C35,CalcBank,$C$5,EntryParty,$D35,EntryDep,$H35,EntryWit,$I35)&gt;1,"تکرار",""))</f>
        <v/>
      </c>
      <c r="N35" s="26">
        <f>IF($P35="","",IF(INDEX(EntryNotes,$P35)=0,"",INDEX(EntryNotes,$P35)))</f>
        <v/>
      </c>
      <c r="O35" s="26">
        <f>IF($P35="","",IF(INDEX(EntryTxnID,$P35)=0,"",INDEX(EntryTxnID,$P35)))</f>
        <v/>
      </c>
      <c r="P35" s="26">
        <f>IFERROR(MATCH($C$5&amp;"|"&amp;RIGHT("000000"&amp;19,6),CalcRankKey,0),"")</f>
        <v/>
      </c>
    </row>
    <row r="36">
      <c r="A36" s="28">
        <f>IF($B36="","",20)</f>
        <v/>
      </c>
      <c r="B36" s="28">
        <f>IF($P36="","",IF(INDEX(CalcNormDate,$P36)=0,"",INDEX(CalcNormDate,$P36)))</f>
        <v/>
      </c>
      <c r="C36" s="28">
        <f>IF($P36="","",IF(INDEX(CalcTime,$P36)=0,"",INDEX(CalcTime,$P36)))</f>
        <v/>
      </c>
      <c r="D36" s="28">
        <f>IF($P36="","",IF(INDEX(EntryParty,$P36)=0,"",INDEX(EntryParty,$P36)))</f>
        <v/>
      </c>
      <c r="E36" s="28">
        <f>IF($P36="","",IF(INDEX(EntryPartyName,$P36)=0,"",INDEX(EntryPartyName,$P36)))</f>
        <v/>
      </c>
      <c r="F36" s="28">
        <f>IF($P36="","",IF(INDEX(EntryPartyType,$P36)=0,"",INDEX(EntryPartyType,$P36)))</f>
        <v/>
      </c>
      <c r="G36" s="28">
        <f>IF($P36="","",IF(INDEX(EntryTxnType,$P36)=0,"",INDEX(EntryTxnType,$P36)))</f>
        <v/>
      </c>
      <c r="H36" s="29">
        <f>IF($P36="","",IF(INDEX(EntryDep,$P36)=0,"",INDEX(EntryDep,$P36)))</f>
        <v/>
      </c>
      <c r="I36" s="29">
        <f>IF($P36="","",IF(INDEX(EntryWit,$P36)=0,"",INDEX(EntryWit,$P36)))</f>
        <v/>
      </c>
      <c r="J36" s="29">
        <f>IF($B36="","",IF($A36=1,$C$7,IF(J35="",0,J35))+IF($H36="",0,$H36)-IF($I36="",0,$I36))</f>
        <v/>
      </c>
      <c r="K36" s="29">
        <f>IF($P36="","",IF(INDEX(EntryMan,$P36)=0,"",INDEX(EntryMan,$P36)))</f>
        <v/>
      </c>
      <c r="L36" s="28">
        <f>IF($B36="","",IF($K36="","—",IF(ROUND($K36-$J36,0)=0,"√","×")))</f>
        <v/>
      </c>
      <c r="M36" s="28">
        <f>IF($B36="","",IF(COUNTIFS(EntryDates,$B36,CalcTime,$C36,CalcBank,$C$5,EntryParty,$D36,EntryDep,$H36,EntryWit,$I36)&gt;1,"تکرار",""))</f>
        <v/>
      </c>
      <c r="N36" s="28">
        <f>IF($P36="","",IF(INDEX(EntryNotes,$P36)=0,"",INDEX(EntryNotes,$P36)))</f>
        <v/>
      </c>
      <c r="O36" s="28">
        <f>IF($P36="","",IF(INDEX(EntryTxnID,$P36)=0,"",INDEX(EntryTxnID,$P36)))</f>
        <v/>
      </c>
      <c r="P36" s="28">
        <f>IFERROR(MATCH($C$5&amp;"|"&amp;RIGHT("000000"&amp;20,6),CalcRankKey,0),"")</f>
        <v/>
      </c>
    </row>
    <row r="37">
      <c r="A37" s="26">
        <f>IF($B37="","",21)</f>
        <v/>
      </c>
      <c r="B37" s="26">
        <f>IF($P37="","",IF(INDEX(CalcNormDate,$P37)=0,"",INDEX(CalcNormDate,$P37)))</f>
        <v/>
      </c>
      <c r="C37" s="26">
        <f>IF($P37="","",IF(INDEX(CalcTime,$P37)=0,"",INDEX(CalcTime,$P37)))</f>
        <v/>
      </c>
      <c r="D37" s="26">
        <f>IF($P37="","",IF(INDEX(EntryParty,$P37)=0,"",INDEX(EntryParty,$P37)))</f>
        <v/>
      </c>
      <c r="E37" s="26">
        <f>IF($P37="","",IF(INDEX(EntryPartyName,$P37)=0,"",INDEX(EntryPartyName,$P37)))</f>
        <v/>
      </c>
      <c r="F37" s="26">
        <f>IF($P37="","",IF(INDEX(EntryPartyType,$P37)=0,"",INDEX(EntryPartyType,$P37)))</f>
        <v/>
      </c>
      <c r="G37" s="26">
        <f>IF($P37="","",IF(INDEX(EntryTxnType,$P37)=0,"",INDEX(EntryTxnType,$P37)))</f>
        <v/>
      </c>
      <c r="H37" s="27">
        <f>IF($P37="","",IF(INDEX(EntryDep,$P37)=0,"",INDEX(EntryDep,$P37)))</f>
        <v/>
      </c>
      <c r="I37" s="27">
        <f>IF($P37="","",IF(INDEX(EntryWit,$P37)=0,"",INDEX(EntryWit,$P37)))</f>
        <v/>
      </c>
      <c r="J37" s="27">
        <f>IF($B37="","",IF($A37=1,$C$7,IF(J36="",0,J36))+IF($H37="",0,$H37)-IF($I37="",0,$I37))</f>
        <v/>
      </c>
      <c r="K37" s="27">
        <f>IF($P37="","",IF(INDEX(EntryMan,$P37)=0,"",INDEX(EntryMan,$P37)))</f>
        <v/>
      </c>
      <c r="L37" s="26">
        <f>IF($B37="","",IF($K37="","—",IF(ROUND($K37-$J37,0)=0,"√","×")))</f>
        <v/>
      </c>
      <c r="M37" s="26">
        <f>IF($B37="","",IF(COUNTIFS(EntryDates,$B37,CalcTime,$C37,CalcBank,$C$5,EntryParty,$D37,EntryDep,$H37,EntryWit,$I37)&gt;1,"تکرار",""))</f>
        <v/>
      </c>
      <c r="N37" s="26">
        <f>IF($P37="","",IF(INDEX(EntryNotes,$P37)=0,"",INDEX(EntryNotes,$P37)))</f>
        <v/>
      </c>
      <c r="O37" s="26">
        <f>IF($P37="","",IF(INDEX(EntryTxnID,$P37)=0,"",INDEX(EntryTxnID,$P37)))</f>
        <v/>
      </c>
      <c r="P37" s="26">
        <f>IFERROR(MATCH($C$5&amp;"|"&amp;RIGHT("000000"&amp;21,6),CalcRankKey,0),"")</f>
        <v/>
      </c>
    </row>
    <row r="38">
      <c r="A38" s="28">
        <f>IF($B38="","",22)</f>
        <v/>
      </c>
      <c r="B38" s="28">
        <f>IF($P38="","",IF(INDEX(CalcNormDate,$P38)=0,"",INDEX(CalcNormDate,$P38)))</f>
        <v/>
      </c>
      <c r="C38" s="28">
        <f>IF($P38="","",IF(INDEX(CalcTime,$P38)=0,"",INDEX(CalcTime,$P38)))</f>
        <v/>
      </c>
      <c r="D38" s="28">
        <f>IF($P38="","",IF(INDEX(EntryParty,$P38)=0,"",INDEX(EntryParty,$P38)))</f>
        <v/>
      </c>
      <c r="E38" s="28">
        <f>IF($P38="","",IF(INDEX(EntryPartyName,$P38)=0,"",INDEX(EntryPartyName,$P38)))</f>
        <v/>
      </c>
      <c r="F38" s="28">
        <f>IF($P38="","",IF(INDEX(EntryPartyType,$P38)=0,"",INDEX(EntryPartyType,$P38)))</f>
        <v/>
      </c>
      <c r="G38" s="28">
        <f>IF($P38="","",IF(INDEX(EntryTxnType,$P38)=0,"",INDEX(EntryTxnType,$P38)))</f>
        <v/>
      </c>
      <c r="H38" s="29">
        <f>IF($P38="","",IF(INDEX(EntryDep,$P38)=0,"",INDEX(EntryDep,$P38)))</f>
        <v/>
      </c>
      <c r="I38" s="29">
        <f>IF($P38="","",IF(INDEX(EntryWit,$P38)=0,"",INDEX(EntryWit,$P38)))</f>
        <v/>
      </c>
      <c r="J38" s="29">
        <f>IF($B38="","",IF($A38=1,$C$7,IF(J37="",0,J37))+IF($H38="",0,$H38)-IF($I38="",0,$I38))</f>
        <v/>
      </c>
      <c r="K38" s="29">
        <f>IF($P38="","",IF(INDEX(EntryMan,$P38)=0,"",INDEX(EntryMan,$P38)))</f>
        <v/>
      </c>
      <c r="L38" s="28">
        <f>IF($B38="","",IF($K38="","—",IF(ROUND($K38-$J38,0)=0,"√","×")))</f>
        <v/>
      </c>
      <c r="M38" s="28">
        <f>IF($B38="","",IF(COUNTIFS(EntryDates,$B38,CalcTime,$C38,CalcBank,$C$5,EntryParty,$D38,EntryDep,$H38,EntryWit,$I38)&gt;1,"تکرار",""))</f>
        <v/>
      </c>
      <c r="N38" s="28">
        <f>IF($P38="","",IF(INDEX(EntryNotes,$P38)=0,"",INDEX(EntryNotes,$P38)))</f>
        <v/>
      </c>
      <c r="O38" s="28">
        <f>IF($P38="","",IF(INDEX(EntryTxnID,$P38)=0,"",INDEX(EntryTxnID,$P38)))</f>
        <v/>
      </c>
      <c r="P38" s="28">
        <f>IFERROR(MATCH($C$5&amp;"|"&amp;RIGHT("000000"&amp;22,6),CalcRankKey,0),"")</f>
        <v/>
      </c>
    </row>
    <row r="39">
      <c r="A39" s="26">
        <f>IF($B39="","",23)</f>
        <v/>
      </c>
      <c r="B39" s="26">
        <f>IF($P39="","",IF(INDEX(CalcNormDate,$P39)=0,"",INDEX(CalcNormDate,$P39)))</f>
        <v/>
      </c>
      <c r="C39" s="26">
        <f>IF($P39="","",IF(INDEX(CalcTime,$P39)=0,"",INDEX(CalcTime,$P39)))</f>
        <v/>
      </c>
      <c r="D39" s="26">
        <f>IF($P39="","",IF(INDEX(EntryParty,$P39)=0,"",INDEX(EntryParty,$P39)))</f>
        <v/>
      </c>
      <c r="E39" s="26">
        <f>IF($P39="","",IF(INDEX(EntryPartyName,$P39)=0,"",INDEX(EntryPartyName,$P39)))</f>
        <v/>
      </c>
      <c r="F39" s="26">
        <f>IF($P39="","",IF(INDEX(EntryPartyType,$P39)=0,"",INDEX(EntryPartyType,$P39)))</f>
        <v/>
      </c>
      <c r="G39" s="26">
        <f>IF($P39="","",IF(INDEX(EntryTxnType,$P39)=0,"",INDEX(EntryTxnType,$P39)))</f>
        <v/>
      </c>
      <c r="H39" s="27">
        <f>IF($P39="","",IF(INDEX(EntryDep,$P39)=0,"",INDEX(EntryDep,$P39)))</f>
        <v/>
      </c>
      <c r="I39" s="27">
        <f>IF($P39="","",IF(INDEX(EntryWit,$P39)=0,"",INDEX(EntryWit,$P39)))</f>
        <v/>
      </c>
      <c r="J39" s="27">
        <f>IF($B39="","",IF($A39=1,$C$7,IF(J38="",0,J38))+IF($H39="",0,$H39)-IF($I39="",0,$I39))</f>
        <v/>
      </c>
      <c r="K39" s="27">
        <f>IF($P39="","",IF(INDEX(EntryMan,$P39)=0,"",INDEX(EntryMan,$P39)))</f>
        <v/>
      </c>
      <c r="L39" s="26">
        <f>IF($B39="","",IF($K39="","—",IF(ROUND($K39-$J39,0)=0,"√","×")))</f>
        <v/>
      </c>
      <c r="M39" s="26">
        <f>IF($B39="","",IF(COUNTIFS(EntryDates,$B39,CalcTime,$C39,CalcBank,$C$5,EntryParty,$D39,EntryDep,$H39,EntryWit,$I39)&gt;1,"تکرار",""))</f>
        <v/>
      </c>
      <c r="N39" s="26">
        <f>IF($P39="","",IF(INDEX(EntryNotes,$P39)=0,"",INDEX(EntryNotes,$P39)))</f>
        <v/>
      </c>
      <c r="O39" s="26">
        <f>IF($P39="","",IF(INDEX(EntryTxnID,$P39)=0,"",INDEX(EntryTxnID,$P39)))</f>
        <v/>
      </c>
      <c r="P39" s="26">
        <f>IFERROR(MATCH($C$5&amp;"|"&amp;RIGHT("000000"&amp;23,6),CalcRankKey,0),"")</f>
        <v/>
      </c>
    </row>
    <row r="40">
      <c r="A40" s="28">
        <f>IF($B40="","",24)</f>
        <v/>
      </c>
      <c r="B40" s="28">
        <f>IF($P40="","",IF(INDEX(CalcNormDate,$P40)=0,"",INDEX(CalcNormDate,$P40)))</f>
        <v/>
      </c>
      <c r="C40" s="28">
        <f>IF($P40="","",IF(INDEX(CalcTime,$P40)=0,"",INDEX(CalcTime,$P40)))</f>
        <v/>
      </c>
      <c r="D40" s="28">
        <f>IF($P40="","",IF(INDEX(EntryParty,$P40)=0,"",INDEX(EntryParty,$P40)))</f>
        <v/>
      </c>
      <c r="E40" s="28">
        <f>IF($P40="","",IF(INDEX(EntryPartyName,$P40)=0,"",INDEX(EntryPartyName,$P40)))</f>
        <v/>
      </c>
      <c r="F40" s="28">
        <f>IF($P40="","",IF(INDEX(EntryPartyType,$P40)=0,"",INDEX(EntryPartyType,$P40)))</f>
        <v/>
      </c>
      <c r="G40" s="28">
        <f>IF($P40="","",IF(INDEX(EntryTxnType,$P40)=0,"",INDEX(EntryTxnType,$P40)))</f>
        <v/>
      </c>
      <c r="H40" s="29">
        <f>IF($P40="","",IF(INDEX(EntryDep,$P40)=0,"",INDEX(EntryDep,$P40)))</f>
        <v/>
      </c>
      <c r="I40" s="29">
        <f>IF($P40="","",IF(INDEX(EntryWit,$P40)=0,"",INDEX(EntryWit,$P40)))</f>
        <v/>
      </c>
      <c r="J40" s="29">
        <f>IF($B40="","",IF($A40=1,$C$7,IF(J39="",0,J39))+IF($H40="",0,$H40)-IF($I40="",0,$I40))</f>
        <v/>
      </c>
      <c r="K40" s="29">
        <f>IF($P40="","",IF(INDEX(EntryMan,$P40)=0,"",INDEX(EntryMan,$P40)))</f>
        <v/>
      </c>
      <c r="L40" s="28">
        <f>IF($B40="","",IF($K40="","—",IF(ROUND($K40-$J40,0)=0,"√","×")))</f>
        <v/>
      </c>
      <c r="M40" s="28">
        <f>IF($B40="","",IF(COUNTIFS(EntryDates,$B40,CalcTime,$C40,CalcBank,$C$5,EntryParty,$D40,EntryDep,$H40,EntryWit,$I40)&gt;1,"تکرار",""))</f>
        <v/>
      </c>
      <c r="N40" s="28">
        <f>IF($P40="","",IF(INDEX(EntryNotes,$P40)=0,"",INDEX(EntryNotes,$P40)))</f>
        <v/>
      </c>
      <c r="O40" s="28">
        <f>IF($P40="","",IF(INDEX(EntryTxnID,$P40)=0,"",INDEX(EntryTxnID,$P40)))</f>
        <v/>
      </c>
      <c r="P40" s="28">
        <f>IFERROR(MATCH($C$5&amp;"|"&amp;RIGHT("000000"&amp;24,6),CalcRankKey,0),"")</f>
        <v/>
      </c>
    </row>
    <row r="41">
      <c r="A41" s="26">
        <f>IF($B41="","",25)</f>
        <v/>
      </c>
      <c r="B41" s="26">
        <f>IF($P41="","",IF(INDEX(CalcNormDate,$P41)=0,"",INDEX(CalcNormDate,$P41)))</f>
        <v/>
      </c>
      <c r="C41" s="26">
        <f>IF($P41="","",IF(INDEX(CalcTime,$P41)=0,"",INDEX(CalcTime,$P41)))</f>
        <v/>
      </c>
      <c r="D41" s="26">
        <f>IF($P41="","",IF(INDEX(EntryParty,$P41)=0,"",INDEX(EntryParty,$P41)))</f>
        <v/>
      </c>
      <c r="E41" s="26">
        <f>IF($P41="","",IF(INDEX(EntryPartyName,$P41)=0,"",INDEX(EntryPartyName,$P41)))</f>
        <v/>
      </c>
      <c r="F41" s="26">
        <f>IF($P41="","",IF(INDEX(EntryPartyType,$P41)=0,"",INDEX(EntryPartyType,$P41)))</f>
        <v/>
      </c>
      <c r="G41" s="26">
        <f>IF($P41="","",IF(INDEX(EntryTxnType,$P41)=0,"",INDEX(EntryTxnType,$P41)))</f>
        <v/>
      </c>
      <c r="H41" s="27">
        <f>IF($P41="","",IF(INDEX(EntryDep,$P41)=0,"",INDEX(EntryDep,$P41)))</f>
        <v/>
      </c>
      <c r="I41" s="27">
        <f>IF($P41="","",IF(INDEX(EntryWit,$P41)=0,"",INDEX(EntryWit,$P41)))</f>
        <v/>
      </c>
      <c r="J41" s="27">
        <f>IF($B41="","",IF($A41=1,$C$7,IF(J40="",0,J40))+IF($H41="",0,$H41)-IF($I41="",0,$I41))</f>
        <v/>
      </c>
      <c r="K41" s="27">
        <f>IF($P41="","",IF(INDEX(EntryMan,$P41)=0,"",INDEX(EntryMan,$P41)))</f>
        <v/>
      </c>
      <c r="L41" s="26">
        <f>IF($B41="","",IF($K41="","—",IF(ROUND($K41-$J41,0)=0,"√","×")))</f>
        <v/>
      </c>
      <c r="M41" s="26">
        <f>IF($B41="","",IF(COUNTIFS(EntryDates,$B41,CalcTime,$C41,CalcBank,$C$5,EntryParty,$D41,EntryDep,$H41,EntryWit,$I41)&gt;1,"تکرار",""))</f>
        <v/>
      </c>
      <c r="N41" s="26">
        <f>IF($P41="","",IF(INDEX(EntryNotes,$P41)=0,"",INDEX(EntryNotes,$P41)))</f>
        <v/>
      </c>
      <c r="O41" s="26">
        <f>IF($P41="","",IF(INDEX(EntryTxnID,$P41)=0,"",INDEX(EntryTxnID,$P41)))</f>
        <v/>
      </c>
      <c r="P41" s="26">
        <f>IFERROR(MATCH($C$5&amp;"|"&amp;RIGHT("000000"&amp;25,6),CalcRankKey,0),"")</f>
        <v/>
      </c>
    </row>
    <row r="42">
      <c r="A42" s="28">
        <f>IF($B42="","",26)</f>
        <v/>
      </c>
      <c r="B42" s="28">
        <f>IF($P42="","",IF(INDEX(CalcNormDate,$P42)=0,"",INDEX(CalcNormDate,$P42)))</f>
        <v/>
      </c>
      <c r="C42" s="28">
        <f>IF($P42="","",IF(INDEX(CalcTime,$P42)=0,"",INDEX(CalcTime,$P42)))</f>
        <v/>
      </c>
      <c r="D42" s="28">
        <f>IF($P42="","",IF(INDEX(EntryParty,$P42)=0,"",INDEX(EntryParty,$P42)))</f>
        <v/>
      </c>
      <c r="E42" s="28">
        <f>IF($P42="","",IF(INDEX(EntryPartyName,$P42)=0,"",INDEX(EntryPartyName,$P42)))</f>
        <v/>
      </c>
      <c r="F42" s="28">
        <f>IF($P42="","",IF(INDEX(EntryPartyType,$P42)=0,"",INDEX(EntryPartyType,$P42)))</f>
        <v/>
      </c>
      <c r="G42" s="28">
        <f>IF($P42="","",IF(INDEX(EntryTxnType,$P42)=0,"",INDEX(EntryTxnType,$P42)))</f>
        <v/>
      </c>
      <c r="H42" s="29">
        <f>IF($P42="","",IF(INDEX(EntryDep,$P42)=0,"",INDEX(EntryDep,$P42)))</f>
        <v/>
      </c>
      <c r="I42" s="29">
        <f>IF($P42="","",IF(INDEX(EntryWit,$P42)=0,"",INDEX(EntryWit,$P42)))</f>
        <v/>
      </c>
      <c r="J42" s="29">
        <f>IF($B42="","",IF($A42=1,$C$7,IF(J41="",0,J41))+IF($H42="",0,$H42)-IF($I42="",0,$I42))</f>
        <v/>
      </c>
      <c r="K42" s="29">
        <f>IF($P42="","",IF(INDEX(EntryMan,$P42)=0,"",INDEX(EntryMan,$P42)))</f>
        <v/>
      </c>
      <c r="L42" s="28">
        <f>IF($B42="","",IF($K42="","—",IF(ROUND($K42-$J42,0)=0,"√","×")))</f>
        <v/>
      </c>
      <c r="M42" s="28">
        <f>IF($B42="","",IF(COUNTIFS(EntryDates,$B42,CalcTime,$C42,CalcBank,$C$5,EntryParty,$D42,EntryDep,$H42,EntryWit,$I42)&gt;1,"تکرار",""))</f>
        <v/>
      </c>
      <c r="N42" s="28">
        <f>IF($P42="","",IF(INDEX(EntryNotes,$P42)=0,"",INDEX(EntryNotes,$P42)))</f>
        <v/>
      </c>
      <c r="O42" s="28">
        <f>IF($P42="","",IF(INDEX(EntryTxnID,$P42)=0,"",INDEX(EntryTxnID,$P42)))</f>
        <v/>
      </c>
      <c r="P42" s="28">
        <f>IFERROR(MATCH($C$5&amp;"|"&amp;RIGHT("000000"&amp;26,6),CalcRankKey,0),"")</f>
        <v/>
      </c>
    </row>
    <row r="43">
      <c r="A43" s="26">
        <f>IF($B43="","",27)</f>
        <v/>
      </c>
      <c r="B43" s="26">
        <f>IF($P43="","",IF(INDEX(CalcNormDate,$P43)=0,"",INDEX(CalcNormDate,$P43)))</f>
        <v/>
      </c>
      <c r="C43" s="26">
        <f>IF($P43="","",IF(INDEX(CalcTime,$P43)=0,"",INDEX(CalcTime,$P43)))</f>
        <v/>
      </c>
      <c r="D43" s="26">
        <f>IF($P43="","",IF(INDEX(EntryParty,$P43)=0,"",INDEX(EntryParty,$P43)))</f>
        <v/>
      </c>
      <c r="E43" s="26">
        <f>IF($P43="","",IF(INDEX(EntryPartyName,$P43)=0,"",INDEX(EntryPartyName,$P43)))</f>
        <v/>
      </c>
      <c r="F43" s="26">
        <f>IF($P43="","",IF(INDEX(EntryPartyType,$P43)=0,"",INDEX(EntryPartyType,$P43)))</f>
        <v/>
      </c>
      <c r="G43" s="26">
        <f>IF($P43="","",IF(INDEX(EntryTxnType,$P43)=0,"",INDEX(EntryTxnType,$P43)))</f>
        <v/>
      </c>
      <c r="H43" s="27">
        <f>IF($P43="","",IF(INDEX(EntryDep,$P43)=0,"",INDEX(EntryDep,$P43)))</f>
        <v/>
      </c>
      <c r="I43" s="27">
        <f>IF($P43="","",IF(INDEX(EntryWit,$P43)=0,"",INDEX(EntryWit,$P43)))</f>
        <v/>
      </c>
      <c r="J43" s="27">
        <f>IF($B43="","",IF($A43=1,$C$7,IF(J42="",0,J42))+IF($H43="",0,$H43)-IF($I43="",0,$I43))</f>
        <v/>
      </c>
      <c r="K43" s="27">
        <f>IF($P43="","",IF(INDEX(EntryMan,$P43)=0,"",INDEX(EntryMan,$P43)))</f>
        <v/>
      </c>
      <c r="L43" s="26">
        <f>IF($B43="","",IF($K43="","—",IF(ROUND($K43-$J43,0)=0,"√","×")))</f>
        <v/>
      </c>
      <c r="M43" s="26">
        <f>IF($B43="","",IF(COUNTIFS(EntryDates,$B43,CalcTime,$C43,CalcBank,$C$5,EntryParty,$D43,EntryDep,$H43,EntryWit,$I43)&gt;1,"تکرار",""))</f>
        <v/>
      </c>
      <c r="N43" s="26">
        <f>IF($P43="","",IF(INDEX(EntryNotes,$P43)=0,"",INDEX(EntryNotes,$P43)))</f>
        <v/>
      </c>
      <c r="O43" s="26">
        <f>IF($P43="","",IF(INDEX(EntryTxnID,$P43)=0,"",INDEX(EntryTxnID,$P43)))</f>
        <v/>
      </c>
      <c r="P43" s="26">
        <f>IFERROR(MATCH($C$5&amp;"|"&amp;RIGHT("000000"&amp;27,6),CalcRankKey,0),"")</f>
        <v/>
      </c>
    </row>
    <row r="44">
      <c r="A44" s="28">
        <f>IF($B44="","",28)</f>
        <v/>
      </c>
      <c r="B44" s="28">
        <f>IF($P44="","",IF(INDEX(CalcNormDate,$P44)=0,"",INDEX(CalcNormDate,$P44)))</f>
        <v/>
      </c>
      <c r="C44" s="28">
        <f>IF($P44="","",IF(INDEX(CalcTime,$P44)=0,"",INDEX(CalcTime,$P44)))</f>
        <v/>
      </c>
      <c r="D44" s="28">
        <f>IF($P44="","",IF(INDEX(EntryParty,$P44)=0,"",INDEX(EntryParty,$P44)))</f>
        <v/>
      </c>
      <c r="E44" s="28">
        <f>IF($P44="","",IF(INDEX(EntryPartyName,$P44)=0,"",INDEX(EntryPartyName,$P44)))</f>
        <v/>
      </c>
      <c r="F44" s="28">
        <f>IF($P44="","",IF(INDEX(EntryPartyType,$P44)=0,"",INDEX(EntryPartyType,$P44)))</f>
        <v/>
      </c>
      <c r="G44" s="28">
        <f>IF($P44="","",IF(INDEX(EntryTxnType,$P44)=0,"",INDEX(EntryTxnType,$P44)))</f>
        <v/>
      </c>
      <c r="H44" s="29">
        <f>IF($P44="","",IF(INDEX(EntryDep,$P44)=0,"",INDEX(EntryDep,$P44)))</f>
        <v/>
      </c>
      <c r="I44" s="29">
        <f>IF($P44="","",IF(INDEX(EntryWit,$P44)=0,"",INDEX(EntryWit,$P44)))</f>
        <v/>
      </c>
      <c r="J44" s="29">
        <f>IF($B44="","",IF($A44=1,$C$7,IF(J43="",0,J43))+IF($H44="",0,$H44)-IF($I44="",0,$I44))</f>
        <v/>
      </c>
      <c r="K44" s="29">
        <f>IF($P44="","",IF(INDEX(EntryMan,$P44)=0,"",INDEX(EntryMan,$P44)))</f>
        <v/>
      </c>
      <c r="L44" s="28">
        <f>IF($B44="","",IF($K44="","—",IF(ROUND($K44-$J44,0)=0,"√","×")))</f>
        <v/>
      </c>
      <c r="M44" s="28">
        <f>IF($B44="","",IF(COUNTIFS(EntryDates,$B44,CalcTime,$C44,CalcBank,$C$5,EntryParty,$D44,EntryDep,$H44,EntryWit,$I44)&gt;1,"تکرار",""))</f>
        <v/>
      </c>
      <c r="N44" s="28">
        <f>IF($P44="","",IF(INDEX(EntryNotes,$P44)=0,"",INDEX(EntryNotes,$P44)))</f>
        <v/>
      </c>
      <c r="O44" s="28">
        <f>IF($P44="","",IF(INDEX(EntryTxnID,$P44)=0,"",INDEX(EntryTxnID,$P44)))</f>
        <v/>
      </c>
      <c r="P44" s="28">
        <f>IFERROR(MATCH($C$5&amp;"|"&amp;RIGHT("000000"&amp;28,6),CalcRankKey,0),"")</f>
        <v/>
      </c>
    </row>
    <row r="45">
      <c r="A45" s="26">
        <f>IF($B45="","",29)</f>
        <v/>
      </c>
      <c r="B45" s="26">
        <f>IF($P45="","",IF(INDEX(CalcNormDate,$P45)=0,"",INDEX(CalcNormDate,$P45)))</f>
        <v/>
      </c>
      <c r="C45" s="26">
        <f>IF($P45="","",IF(INDEX(CalcTime,$P45)=0,"",INDEX(CalcTime,$P45)))</f>
        <v/>
      </c>
      <c r="D45" s="26">
        <f>IF($P45="","",IF(INDEX(EntryParty,$P45)=0,"",INDEX(EntryParty,$P45)))</f>
        <v/>
      </c>
      <c r="E45" s="26">
        <f>IF($P45="","",IF(INDEX(EntryPartyName,$P45)=0,"",INDEX(EntryPartyName,$P45)))</f>
        <v/>
      </c>
      <c r="F45" s="26">
        <f>IF($P45="","",IF(INDEX(EntryPartyType,$P45)=0,"",INDEX(EntryPartyType,$P45)))</f>
        <v/>
      </c>
      <c r="G45" s="26">
        <f>IF($P45="","",IF(INDEX(EntryTxnType,$P45)=0,"",INDEX(EntryTxnType,$P45)))</f>
        <v/>
      </c>
      <c r="H45" s="27">
        <f>IF($P45="","",IF(INDEX(EntryDep,$P45)=0,"",INDEX(EntryDep,$P45)))</f>
        <v/>
      </c>
      <c r="I45" s="27">
        <f>IF($P45="","",IF(INDEX(EntryWit,$P45)=0,"",INDEX(EntryWit,$P45)))</f>
        <v/>
      </c>
      <c r="J45" s="27">
        <f>IF($B45="","",IF($A45=1,$C$7,IF(J44="",0,J44))+IF($H45="",0,$H45)-IF($I45="",0,$I45))</f>
        <v/>
      </c>
      <c r="K45" s="27">
        <f>IF($P45="","",IF(INDEX(EntryMan,$P45)=0,"",INDEX(EntryMan,$P45)))</f>
        <v/>
      </c>
      <c r="L45" s="26">
        <f>IF($B45="","",IF($K45="","—",IF(ROUND($K45-$J45,0)=0,"√","×")))</f>
        <v/>
      </c>
      <c r="M45" s="26">
        <f>IF($B45="","",IF(COUNTIFS(EntryDates,$B45,CalcTime,$C45,CalcBank,$C$5,EntryParty,$D45,EntryDep,$H45,EntryWit,$I45)&gt;1,"تکرار",""))</f>
        <v/>
      </c>
      <c r="N45" s="26">
        <f>IF($P45="","",IF(INDEX(EntryNotes,$P45)=0,"",INDEX(EntryNotes,$P45)))</f>
        <v/>
      </c>
      <c r="O45" s="26">
        <f>IF($P45="","",IF(INDEX(EntryTxnID,$P45)=0,"",INDEX(EntryTxnID,$P45)))</f>
        <v/>
      </c>
      <c r="P45" s="26">
        <f>IFERROR(MATCH($C$5&amp;"|"&amp;RIGHT("000000"&amp;29,6),CalcRankKey,0),"")</f>
        <v/>
      </c>
    </row>
    <row r="46">
      <c r="A46" s="28">
        <f>IF($B46="","",30)</f>
        <v/>
      </c>
      <c r="B46" s="28">
        <f>IF($P46="","",IF(INDEX(CalcNormDate,$P46)=0,"",INDEX(CalcNormDate,$P46)))</f>
        <v/>
      </c>
      <c r="C46" s="28">
        <f>IF($P46="","",IF(INDEX(CalcTime,$P46)=0,"",INDEX(CalcTime,$P46)))</f>
        <v/>
      </c>
      <c r="D46" s="28">
        <f>IF($P46="","",IF(INDEX(EntryParty,$P46)=0,"",INDEX(EntryParty,$P46)))</f>
        <v/>
      </c>
      <c r="E46" s="28">
        <f>IF($P46="","",IF(INDEX(EntryPartyName,$P46)=0,"",INDEX(EntryPartyName,$P46)))</f>
        <v/>
      </c>
      <c r="F46" s="28">
        <f>IF($P46="","",IF(INDEX(EntryPartyType,$P46)=0,"",INDEX(EntryPartyType,$P46)))</f>
        <v/>
      </c>
      <c r="G46" s="28">
        <f>IF($P46="","",IF(INDEX(EntryTxnType,$P46)=0,"",INDEX(EntryTxnType,$P46)))</f>
        <v/>
      </c>
      <c r="H46" s="29">
        <f>IF($P46="","",IF(INDEX(EntryDep,$P46)=0,"",INDEX(EntryDep,$P46)))</f>
        <v/>
      </c>
      <c r="I46" s="29">
        <f>IF($P46="","",IF(INDEX(EntryWit,$P46)=0,"",INDEX(EntryWit,$P46)))</f>
        <v/>
      </c>
      <c r="J46" s="29">
        <f>IF($B46="","",IF($A46=1,$C$7,IF(J45="",0,J45))+IF($H46="",0,$H46)-IF($I46="",0,$I46))</f>
        <v/>
      </c>
      <c r="K46" s="29">
        <f>IF($P46="","",IF(INDEX(EntryMan,$P46)=0,"",INDEX(EntryMan,$P46)))</f>
        <v/>
      </c>
      <c r="L46" s="28">
        <f>IF($B46="","",IF($K46="","—",IF(ROUND($K46-$J46,0)=0,"√","×")))</f>
        <v/>
      </c>
      <c r="M46" s="28">
        <f>IF($B46="","",IF(COUNTIFS(EntryDates,$B46,CalcTime,$C46,CalcBank,$C$5,EntryParty,$D46,EntryDep,$H46,EntryWit,$I46)&gt;1,"تکرار",""))</f>
        <v/>
      </c>
      <c r="N46" s="28">
        <f>IF($P46="","",IF(INDEX(EntryNotes,$P46)=0,"",INDEX(EntryNotes,$P46)))</f>
        <v/>
      </c>
      <c r="O46" s="28">
        <f>IF($P46="","",IF(INDEX(EntryTxnID,$P46)=0,"",INDEX(EntryTxnID,$P46)))</f>
        <v/>
      </c>
      <c r="P46" s="28">
        <f>IFERROR(MATCH($C$5&amp;"|"&amp;RIGHT("000000"&amp;30,6),CalcRankKey,0),"")</f>
        <v/>
      </c>
    </row>
    <row r="47">
      <c r="A47" s="26">
        <f>IF($B47="","",31)</f>
        <v/>
      </c>
      <c r="B47" s="26">
        <f>IF($P47="","",IF(INDEX(CalcNormDate,$P47)=0,"",INDEX(CalcNormDate,$P47)))</f>
        <v/>
      </c>
      <c r="C47" s="26">
        <f>IF($P47="","",IF(INDEX(CalcTime,$P47)=0,"",INDEX(CalcTime,$P47)))</f>
        <v/>
      </c>
      <c r="D47" s="26">
        <f>IF($P47="","",IF(INDEX(EntryParty,$P47)=0,"",INDEX(EntryParty,$P47)))</f>
        <v/>
      </c>
      <c r="E47" s="26">
        <f>IF($P47="","",IF(INDEX(EntryPartyName,$P47)=0,"",INDEX(EntryPartyName,$P47)))</f>
        <v/>
      </c>
      <c r="F47" s="26">
        <f>IF($P47="","",IF(INDEX(EntryPartyType,$P47)=0,"",INDEX(EntryPartyType,$P47)))</f>
        <v/>
      </c>
      <c r="G47" s="26">
        <f>IF($P47="","",IF(INDEX(EntryTxnType,$P47)=0,"",INDEX(EntryTxnType,$P47)))</f>
        <v/>
      </c>
      <c r="H47" s="27">
        <f>IF($P47="","",IF(INDEX(EntryDep,$P47)=0,"",INDEX(EntryDep,$P47)))</f>
        <v/>
      </c>
      <c r="I47" s="27">
        <f>IF($P47="","",IF(INDEX(EntryWit,$P47)=0,"",INDEX(EntryWit,$P47)))</f>
        <v/>
      </c>
      <c r="J47" s="27">
        <f>IF($B47="","",IF($A47=1,$C$7,IF(J46="",0,J46))+IF($H47="",0,$H47)-IF($I47="",0,$I47))</f>
        <v/>
      </c>
      <c r="K47" s="27">
        <f>IF($P47="","",IF(INDEX(EntryMan,$P47)=0,"",INDEX(EntryMan,$P47)))</f>
        <v/>
      </c>
      <c r="L47" s="26">
        <f>IF($B47="","",IF($K47="","—",IF(ROUND($K47-$J47,0)=0,"√","×")))</f>
        <v/>
      </c>
      <c r="M47" s="26">
        <f>IF($B47="","",IF(COUNTIFS(EntryDates,$B47,CalcTime,$C47,CalcBank,$C$5,EntryParty,$D47,EntryDep,$H47,EntryWit,$I47)&gt;1,"تکرار",""))</f>
        <v/>
      </c>
      <c r="N47" s="26">
        <f>IF($P47="","",IF(INDEX(EntryNotes,$P47)=0,"",INDEX(EntryNotes,$P47)))</f>
        <v/>
      </c>
      <c r="O47" s="26">
        <f>IF($P47="","",IF(INDEX(EntryTxnID,$P47)=0,"",INDEX(EntryTxnID,$P47)))</f>
        <v/>
      </c>
      <c r="P47" s="26">
        <f>IFERROR(MATCH($C$5&amp;"|"&amp;RIGHT("000000"&amp;31,6),CalcRankKey,0),"")</f>
        <v/>
      </c>
    </row>
    <row r="48">
      <c r="A48" s="28">
        <f>IF($B48="","",32)</f>
        <v/>
      </c>
      <c r="B48" s="28">
        <f>IF($P48="","",IF(INDEX(CalcNormDate,$P48)=0,"",INDEX(CalcNormDate,$P48)))</f>
        <v/>
      </c>
      <c r="C48" s="28">
        <f>IF($P48="","",IF(INDEX(CalcTime,$P48)=0,"",INDEX(CalcTime,$P48)))</f>
        <v/>
      </c>
      <c r="D48" s="28">
        <f>IF($P48="","",IF(INDEX(EntryParty,$P48)=0,"",INDEX(EntryParty,$P48)))</f>
        <v/>
      </c>
      <c r="E48" s="28">
        <f>IF($P48="","",IF(INDEX(EntryPartyName,$P48)=0,"",INDEX(EntryPartyName,$P48)))</f>
        <v/>
      </c>
      <c r="F48" s="28">
        <f>IF($P48="","",IF(INDEX(EntryPartyType,$P48)=0,"",INDEX(EntryPartyType,$P48)))</f>
        <v/>
      </c>
      <c r="G48" s="28">
        <f>IF($P48="","",IF(INDEX(EntryTxnType,$P48)=0,"",INDEX(EntryTxnType,$P48)))</f>
        <v/>
      </c>
      <c r="H48" s="29">
        <f>IF($P48="","",IF(INDEX(EntryDep,$P48)=0,"",INDEX(EntryDep,$P48)))</f>
        <v/>
      </c>
      <c r="I48" s="29">
        <f>IF($P48="","",IF(INDEX(EntryWit,$P48)=0,"",INDEX(EntryWit,$P48)))</f>
        <v/>
      </c>
      <c r="J48" s="29">
        <f>IF($B48="","",IF($A48=1,$C$7,IF(J47="",0,J47))+IF($H48="",0,$H48)-IF($I48="",0,$I48))</f>
        <v/>
      </c>
      <c r="K48" s="29">
        <f>IF($P48="","",IF(INDEX(EntryMan,$P48)=0,"",INDEX(EntryMan,$P48)))</f>
        <v/>
      </c>
      <c r="L48" s="28">
        <f>IF($B48="","",IF($K48="","—",IF(ROUND($K48-$J48,0)=0,"√","×")))</f>
        <v/>
      </c>
      <c r="M48" s="28">
        <f>IF($B48="","",IF(COUNTIFS(EntryDates,$B48,CalcTime,$C48,CalcBank,$C$5,EntryParty,$D48,EntryDep,$H48,EntryWit,$I48)&gt;1,"تکرار",""))</f>
        <v/>
      </c>
      <c r="N48" s="28">
        <f>IF($P48="","",IF(INDEX(EntryNotes,$P48)=0,"",INDEX(EntryNotes,$P48)))</f>
        <v/>
      </c>
      <c r="O48" s="28">
        <f>IF($P48="","",IF(INDEX(EntryTxnID,$P48)=0,"",INDEX(EntryTxnID,$P48)))</f>
        <v/>
      </c>
      <c r="P48" s="28">
        <f>IFERROR(MATCH($C$5&amp;"|"&amp;RIGHT("000000"&amp;32,6),CalcRankKey,0),"")</f>
        <v/>
      </c>
    </row>
    <row r="49">
      <c r="A49" s="26">
        <f>IF($B49="","",33)</f>
        <v/>
      </c>
      <c r="B49" s="26">
        <f>IF($P49="","",IF(INDEX(CalcNormDate,$P49)=0,"",INDEX(CalcNormDate,$P49)))</f>
        <v/>
      </c>
      <c r="C49" s="26">
        <f>IF($P49="","",IF(INDEX(CalcTime,$P49)=0,"",INDEX(CalcTime,$P49)))</f>
        <v/>
      </c>
      <c r="D49" s="26">
        <f>IF($P49="","",IF(INDEX(EntryParty,$P49)=0,"",INDEX(EntryParty,$P49)))</f>
        <v/>
      </c>
      <c r="E49" s="26">
        <f>IF($P49="","",IF(INDEX(EntryPartyName,$P49)=0,"",INDEX(EntryPartyName,$P49)))</f>
        <v/>
      </c>
      <c r="F49" s="26">
        <f>IF($P49="","",IF(INDEX(EntryPartyType,$P49)=0,"",INDEX(EntryPartyType,$P49)))</f>
        <v/>
      </c>
      <c r="G49" s="26">
        <f>IF($P49="","",IF(INDEX(EntryTxnType,$P49)=0,"",INDEX(EntryTxnType,$P49)))</f>
        <v/>
      </c>
      <c r="H49" s="27">
        <f>IF($P49="","",IF(INDEX(EntryDep,$P49)=0,"",INDEX(EntryDep,$P49)))</f>
        <v/>
      </c>
      <c r="I49" s="27">
        <f>IF($P49="","",IF(INDEX(EntryWit,$P49)=0,"",INDEX(EntryWit,$P49)))</f>
        <v/>
      </c>
      <c r="J49" s="27">
        <f>IF($B49="","",IF($A49=1,$C$7,IF(J48="",0,J48))+IF($H49="",0,$H49)-IF($I49="",0,$I49))</f>
        <v/>
      </c>
      <c r="K49" s="27">
        <f>IF($P49="","",IF(INDEX(EntryMan,$P49)=0,"",INDEX(EntryMan,$P49)))</f>
        <v/>
      </c>
      <c r="L49" s="26">
        <f>IF($B49="","",IF($K49="","—",IF(ROUND($K49-$J49,0)=0,"√","×")))</f>
        <v/>
      </c>
      <c r="M49" s="26">
        <f>IF($B49="","",IF(COUNTIFS(EntryDates,$B49,CalcTime,$C49,CalcBank,$C$5,EntryParty,$D49,EntryDep,$H49,EntryWit,$I49)&gt;1,"تکرار",""))</f>
        <v/>
      </c>
      <c r="N49" s="26">
        <f>IF($P49="","",IF(INDEX(EntryNotes,$P49)=0,"",INDEX(EntryNotes,$P49)))</f>
        <v/>
      </c>
      <c r="O49" s="26">
        <f>IF($P49="","",IF(INDEX(EntryTxnID,$P49)=0,"",INDEX(EntryTxnID,$P49)))</f>
        <v/>
      </c>
      <c r="P49" s="26">
        <f>IFERROR(MATCH($C$5&amp;"|"&amp;RIGHT("000000"&amp;33,6),CalcRankKey,0),"")</f>
        <v/>
      </c>
    </row>
    <row r="50">
      <c r="A50" s="28">
        <f>IF($B50="","",34)</f>
        <v/>
      </c>
      <c r="B50" s="28">
        <f>IF($P50="","",IF(INDEX(CalcNormDate,$P50)=0,"",INDEX(CalcNormDate,$P50)))</f>
        <v/>
      </c>
      <c r="C50" s="28">
        <f>IF($P50="","",IF(INDEX(CalcTime,$P50)=0,"",INDEX(CalcTime,$P50)))</f>
        <v/>
      </c>
      <c r="D50" s="28">
        <f>IF($P50="","",IF(INDEX(EntryParty,$P50)=0,"",INDEX(EntryParty,$P50)))</f>
        <v/>
      </c>
      <c r="E50" s="28">
        <f>IF($P50="","",IF(INDEX(EntryPartyName,$P50)=0,"",INDEX(EntryPartyName,$P50)))</f>
        <v/>
      </c>
      <c r="F50" s="28">
        <f>IF($P50="","",IF(INDEX(EntryPartyType,$P50)=0,"",INDEX(EntryPartyType,$P50)))</f>
        <v/>
      </c>
      <c r="G50" s="28">
        <f>IF($P50="","",IF(INDEX(EntryTxnType,$P50)=0,"",INDEX(EntryTxnType,$P50)))</f>
        <v/>
      </c>
      <c r="H50" s="29">
        <f>IF($P50="","",IF(INDEX(EntryDep,$P50)=0,"",INDEX(EntryDep,$P50)))</f>
        <v/>
      </c>
      <c r="I50" s="29">
        <f>IF($P50="","",IF(INDEX(EntryWit,$P50)=0,"",INDEX(EntryWit,$P50)))</f>
        <v/>
      </c>
      <c r="J50" s="29">
        <f>IF($B50="","",IF($A50=1,$C$7,IF(J49="",0,J49))+IF($H50="",0,$H50)-IF($I50="",0,$I50))</f>
        <v/>
      </c>
      <c r="K50" s="29">
        <f>IF($P50="","",IF(INDEX(EntryMan,$P50)=0,"",INDEX(EntryMan,$P50)))</f>
        <v/>
      </c>
      <c r="L50" s="28">
        <f>IF($B50="","",IF($K50="","—",IF(ROUND($K50-$J50,0)=0,"√","×")))</f>
        <v/>
      </c>
      <c r="M50" s="28">
        <f>IF($B50="","",IF(COUNTIFS(EntryDates,$B50,CalcTime,$C50,CalcBank,$C$5,EntryParty,$D50,EntryDep,$H50,EntryWit,$I50)&gt;1,"تکرار",""))</f>
        <v/>
      </c>
      <c r="N50" s="28">
        <f>IF($P50="","",IF(INDEX(EntryNotes,$P50)=0,"",INDEX(EntryNotes,$P50)))</f>
        <v/>
      </c>
      <c r="O50" s="28">
        <f>IF($P50="","",IF(INDEX(EntryTxnID,$P50)=0,"",INDEX(EntryTxnID,$P50)))</f>
        <v/>
      </c>
      <c r="P50" s="28">
        <f>IFERROR(MATCH($C$5&amp;"|"&amp;RIGHT("000000"&amp;34,6),CalcRankKey,0),"")</f>
        <v/>
      </c>
    </row>
    <row r="51">
      <c r="A51" s="26">
        <f>IF($B51="","",35)</f>
        <v/>
      </c>
      <c r="B51" s="26">
        <f>IF($P51="","",IF(INDEX(CalcNormDate,$P51)=0,"",INDEX(CalcNormDate,$P51)))</f>
        <v/>
      </c>
      <c r="C51" s="26">
        <f>IF($P51="","",IF(INDEX(CalcTime,$P51)=0,"",INDEX(CalcTime,$P51)))</f>
        <v/>
      </c>
      <c r="D51" s="26">
        <f>IF($P51="","",IF(INDEX(EntryParty,$P51)=0,"",INDEX(EntryParty,$P51)))</f>
        <v/>
      </c>
      <c r="E51" s="26">
        <f>IF($P51="","",IF(INDEX(EntryPartyName,$P51)=0,"",INDEX(EntryPartyName,$P51)))</f>
        <v/>
      </c>
      <c r="F51" s="26">
        <f>IF($P51="","",IF(INDEX(EntryPartyType,$P51)=0,"",INDEX(EntryPartyType,$P51)))</f>
        <v/>
      </c>
      <c r="G51" s="26">
        <f>IF($P51="","",IF(INDEX(EntryTxnType,$P51)=0,"",INDEX(EntryTxnType,$P51)))</f>
        <v/>
      </c>
      <c r="H51" s="27">
        <f>IF($P51="","",IF(INDEX(EntryDep,$P51)=0,"",INDEX(EntryDep,$P51)))</f>
        <v/>
      </c>
      <c r="I51" s="27">
        <f>IF($P51="","",IF(INDEX(EntryWit,$P51)=0,"",INDEX(EntryWit,$P51)))</f>
        <v/>
      </c>
      <c r="J51" s="27">
        <f>IF($B51="","",IF($A51=1,$C$7,IF(J50="",0,J50))+IF($H51="",0,$H51)-IF($I51="",0,$I51))</f>
        <v/>
      </c>
      <c r="K51" s="27">
        <f>IF($P51="","",IF(INDEX(EntryMan,$P51)=0,"",INDEX(EntryMan,$P51)))</f>
        <v/>
      </c>
      <c r="L51" s="26">
        <f>IF($B51="","",IF($K51="","—",IF(ROUND($K51-$J51,0)=0,"√","×")))</f>
        <v/>
      </c>
      <c r="M51" s="26">
        <f>IF($B51="","",IF(COUNTIFS(EntryDates,$B51,CalcTime,$C51,CalcBank,$C$5,EntryParty,$D51,EntryDep,$H51,EntryWit,$I51)&gt;1,"تکرار",""))</f>
        <v/>
      </c>
      <c r="N51" s="26">
        <f>IF($P51="","",IF(INDEX(EntryNotes,$P51)=0,"",INDEX(EntryNotes,$P51)))</f>
        <v/>
      </c>
      <c r="O51" s="26">
        <f>IF($P51="","",IF(INDEX(EntryTxnID,$P51)=0,"",INDEX(EntryTxnID,$P51)))</f>
        <v/>
      </c>
      <c r="P51" s="26">
        <f>IFERROR(MATCH($C$5&amp;"|"&amp;RIGHT("000000"&amp;35,6),CalcRankKey,0),"")</f>
        <v/>
      </c>
    </row>
    <row r="52">
      <c r="A52" s="28">
        <f>IF($B52="","",36)</f>
        <v/>
      </c>
      <c r="B52" s="28">
        <f>IF($P52="","",IF(INDEX(CalcNormDate,$P52)=0,"",INDEX(CalcNormDate,$P52)))</f>
        <v/>
      </c>
      <c r="C52" s="28">
        <f>IF($P52="","",IF(INDEX(CalcTime,$P52)=0,"",INDEX(CalcTime,$P52)))</f>
        <v/>
      </c>
      <c r="D52" s="28">
        <f>IF($P52="","",IF(INDEX(EntryParty,$P52)=0,"",INDEX(EntryParty,$P52)))</f>
        <v/>
      </c>
      <c r="E52" s="28">
        <f>IF($P52="","",IF(INDEX(EntryPartyName,$P52)=0,"",INDEX(EntryPartyName,$P52)))</f>
        <v/>
      </c>
      <c r="F52" s="28">
        <f>IF($P52="","",IF(INDEX(EntryPartyType,$P52)=0,"",INDEX(EntryPartyType,$P52)))</f>
        <v/>
      </c>
      <c r="G52" s="28">
        <f>IF($P52="","",IF(INDEX(EntryTxnType,$P52)=0,"",INDEX(EntryTxnType,$P52)))</f>
        <v/>
      </c>
      <c r="H52" s="29">
        <f>IF($P52="","",IF(INDEX(EntryDep,$P52)=0,"",INDEX(EntryDep,$P52)))</f>
        <v/>
      </c>
      <c r="I52" s="29">
        <f>IF($P52="","",IF(INDEX(EntryWit,$P52)=0,"",INDEX(EntryWit,$P52)))</f>
        <v/>
      </c>
      <c r="J52" s="29">
        <f>IF($B52="","",IF($A52=1,$C$7,IF(J51="",0,J51))+IF($H52="",0,$H52)-IF($I52="",0,$I52))</f>
        <v/>
      </c>
      <c r="K52" s="29">
        <f>IF($P52="","",IF(INDEX(EntryMan,$P52)=0,"",INDEX(EntryMan,$P52)))</f>
        <v/>
      </c>
      <c r="L52" s="28">
        <f>IF($B52="","",IF($K52="","—",IF(ROUND($K52-$J52,0)=0,"√","×")))</f>
        <v/>
      </c>
      <c r="M52" s="28">
        <f>IF($B52="","",IF(COUNTIFS(EntryDates,$B52,CalcTime,$C52,CalcBank,$C$5,EntryParty,$D52,EntryDep,$H52,EntryWit,$I52)&gt;1,"تکرار",""))</f>
        <v/>
      </c>
      <c r="N52" s="28">
        <f>IF($P52="","",IF(INDEX(EntryNotes,$P52)=0,"",INDEX(EntryNotes,$P52)))</f>
        <v/>
      </c>
      <c r="O52" s="28">
        <f>IF($P52="","",IF(INDEX(EntryTxnID,$P52)=0,"",INDEX(EntryTxnID,$P52)))</f>
        <v/>
      </c>
      <c r="P52" s="28">
        <f>IFERROR(MATCH($C$5&amp;"|"&amp;RIGHT("000000"&amp;36,6),CalcRankKey,0),"")</f>
        <v/>
      </c>
    </row>
    <row r="53">
      <c r="A53" s="26">
        <f>IF($B53="","",37)</f>
        <v/>
      </c>
      <c r="B53" s="26">
        <f>IF($P53="","",IF(INDEX(CalcNormDate,$P53)=0,"",INDEX(CalcNormDate,$P53)))</f>
        <v/>
      </c>
      <c r="C53" s="26">
        <f>IF($P53="","",IF(INDEX(CalcTime,$P53)=0,"",INDEX(CalcTime,$P53)))</f>
        <v/>
      </c>
      <c r="D53" s="26">
        <f>IF($P53="","",IF(INDEX(EntryParty,$P53)=0,"",INDEX(EntryParty,$P53)))</f>
        <v/>
      </c>
      <c r="E53" s="26">
        <f>IF($P53="","",IF(INDEX(EntryPartyName,$P53)=0,"",INDEX(EntryPartyName,$P53)))</f>
        <v/>
      </c>
      <c r="F53" s="26">
        <f>IF($P53="","",IF(INDEX(EntryPartyType,$P53)=0,"",INDEX(EntryPartyType,$P53)))</f>
        <v/>
      </c>
      <c r="G53" s="26">
        <f>IF($P53="","",IF(INDEX(EntryTxnType,$P53)=0,"",INDEX(EntryTxnType,$P53)))</f>
        <v/>
      </c>
      <c r="H53" s="27">
        <f>IF($P53="","",IF(INDEX(EntryDep,$P53)=0,"",INDEX(EntryDep,$P53)))</f>
        <v/>
      </c>
      <c r="I53" s="27">
        <f>IF($P53="","",IF(INDEX(EntryWit,$P53)=0,"",INDEX(EntryWit,$P53)))</f>
        <v/>
      </c>
      <c r="J53" s="27">
        <f>IF($B53="","",IF($A53=1,$C$7,IF(J52="",0,J52))+IF($H53="",0,$H53)-IF($I53="",0,$I53))</f>
        <v/>
      </c>
      <c r="K53" s="27">
        <f>IF($P53="","",IF(INDEX(EntryMan,$P53)=0,"",INDEX(EntryMan,$P53)))</f>
        <v/>
      </c>
      <c r="L53" s="26">
        <f>IF($B53="","",IF($K53="","—",IF(ROUND($K53-$J53,0)=0,"√","×")))</f>
        <v/>
      </c>
      <c r="M53" s="26">
        <f>IF($B53="","",IF(COUNTIFS(EntryDates,$B53,CalcTime,$C53,CalcBank,$C$5,EntryParty,$D53,EntryDep,$H53,EntryWit,$I53)&gt;1,"تکرار",""))</f>
        <v/>
      </c>
      <c r="N53" s="26">
        <f>IF($P53="","",IF(INDEX(EntryNotes,$P53)=0,"",INDEX(EntryNotes,$P53)))</f>
        <v/>
      </c>
      <c r="O53" s="26">
        <f>IF($P53="","",IF(INDEX(EntryTxnID,$P53)=0,"",INDEX(EntryTxnID,$P53)))</f>
        <v/>
      </c>
      <c r="P53" s="26">
        <f>IFERROR(MATCH($C$5&amp;"|"&amp;RIGHT("000000"&amp;37,6),CalcRankKey,0),"")</f>
        <v/>
      </c>
    </row>
    <row r="54">
      <c r="A54" s="28">
        <f>IF($B54="","",38)</f>
        <v/>
      </c>
      <c r="B54" s="28">
        <f>IF($P54="","",IF(INDEX(CalcNormDate,$P54)=0,"",INDEX(CalcNormDate,$P54)))</f>
        <v/>
      </c>
      <c r="C54" s="28">
        <f>IF($P54="","",IF(INDEX(CalcTime,$P54)=0,"",INDEX(CalcTime,$P54)))</f>
        <v/>
      </c>
      <c r="D54" s="28">
        <f>IF($P54="","",IF(INDEX(EntryParty,$P54)=0,"",INDEX(EntryParty,$P54)))</f>
        <v/>
      </c>
      <c r="E54" s="28">
        <f>IF($P54="","",IF(INDEX(EntryPartyName,$P54)=0,"",INDEX(EntryPartyName,$P54)))</f>
        <v/>
      </c>
      <c r="F54" s="28">
        <f>IF($P54="","",IF(INDEX(EntryPartyType,$P54)=0,"",INDEX(EntryPartyType,$P54)))</f>
        <v/>
      </c>
      <c r="G54" s="28">
        <f>IF($P54="","",IF(INDEX(EntryTxnType,$P54)=0,"",INDEX(EntryTxnType,$P54)))</f>
        <v/>
      </c>
      <c r="H54" s="29">
        <f>IF($P54="","",IF(INDEX(EntryDep,$P54)=0,"",INDEX(EntryDep,$P54)))</f>
        <v/>
      </c>
      <c r="I54" s="29">
        <f>IF($P54="","",IF(INDEX(EntryWit,$P54)=0,"",INDEX(EntryWit,$P54)))</f>
        <v/>
      </c>
      <c r="J54" s="29">
        <f>IF($B54="","",IF($A54=1,$C$7,IF(J53="",0,J53))+IF($H54="",0,$H54)-IF($I54="",0,$I54))</f>
        <v/>
      </c>
      <c r="K54" s="29">
        <f>IF($P54="","",IF(INDEX(EntryMan,$P54)=0,"",INDEX(EntryMan,$P54)))</f>
        <v/>
      </c>
      <c r="L54" s="28">
        <f>IF($B54="","",IF($K54="","—",IF(ROUND($K54-$J54,0)=0,"√","×")))</f>
        <v/>
      </c>
      <c r="M54" s="28">
        <f>IF($B54="","",IF(COUNTIFS(EntryDates,$B54,CalcTime,$C54,CalcBank,$C$5,EntryParty,$D54,EntryDep,$H54,EntryWit,$I54)&gt;1,"تکرار",""))</f>
        <v/>
      </c>
      <c r="N54" s="28">
        <f>IF($P54="","",IF(INDEX(EntryNotes,$P54)=0,"",INDEX(EntryNotes,$P54)))</f>
        <v/>
      </c>
      <c r="O54" s="28">
        <f>IF($P54="","",IF(INDEX(EntryTxnID,$P54)=0,"",INDEX(EntryTxnID,$P54)))</f>
        <v/>
      </c>
      <c r="P54" s="28">
        <f>IFERROR(MATCH($C$5&amp;"|"&amp;RIGHT("000000"&amp;38,6),CalcRankKey,0),"")</f>
        <v/>
      </c>
    </row>
    <row r="55">
      <c r="A55" s="26">
        <f>IF($B55="","",39)</f>
        <v/>
      </c>
      <c r="B55" s="26">
        <f>IF($P55="","",IF(INDEX(CalcNormDate,$P55)=0,"",INDEX(CalcNormDate,$P55)))</f>
        <v/>
      </c>
      <c r="C55" s="26">
        <f>IF($P55="","",IF(INDEX(CalcTime,$P55)=0,"",INDEX(CalcTime,$P55)))</f>
        <v/>
      </c>
      <c r="D55" s="26">
        <f>IF($P55="","",IF(INDEX(EntryParty,$P55)=0,"",INDEX(EntryParty,$P55)))</f>
        <v/>
      </c>
      <c r="E55" s="26">
        <f>IF($P55="","",IF(INDEX(EntryPartyName,$P55)=0,"",INDEX(EntryPartyName,$P55)))</f>
        <v/>
      </c>
      <c r="F55" s="26">
        <f>IF($P55="","",IF(INDEX(EntryPartyType,$P55)=0,"",INDEX(EntryPartyType,$P55)))</f>
        <v/>
      </c>
      <c r="G55" s="26">
        <f>IF($P55="","",IF(INDEX(EntryTxnType,$P55)=0,"",INDEX(EntryTxnType,$P55)))</f>
        <v/>
      </c>
      <c r="H55" s="27">
        <f>IF($P55="","",IF(INDEX(EntryDep,$P55)=0,"",INDEX(EntryDep,$P55)))</f>
        <v/>
      </c>
      <c r="I55" s="27">
        <f>IF($P55="","",IF(INDEX(EntryWit,$P55)=0,"",INDEX(EntryWit,$P55)))</f>
        <v/>
      </c>
      <c r="J55" s="27">
        <f>IF($B55="","",IF($A55=1,$C$7,IF(J54="",0,J54))+IF($H55="",0,$H55)-IF($I55="",0,$I55))</f>
        <v/>
      </c>
      <c r="K55" s="27">
        <f>IF($P55="","",IF(INDEX(EntryMan,$P55)=0,"",INDEX(EntryMan,$P55)))</f>
        <v/>
      </c>
      <c r="L55" s="26">
        <f>IF($B55="","",IF($K55="","—",IF(ROUND($K55-$J55,0)=0,"√","×")))</f>
        <v/>
      </c>
      <c r="M55" s="26">
        <f>IF($B55="","",IF(COUNTIFS(EntryDates,$B55,CalcTime,$C55,CalcBank,$C$5,EntryParty,$D55,EntryDep,$H55,EntryWit,$I55)&gt;1,"تکرار",""))</f>
        <v/>
      </c>
      <c r="N55" s="26">
        <f>IF($P55="","",IF(INDEX(EntryNotes,$P55)=0,"",INDEX(EntryNotes,$P55)))</f>
        <v/>
      </c>
      <c r="O55" s="26">
        <f>IF($P55="","",IF(INDEX(EntryTxnID,$P55)=0,"",INDEX(EntryTxnID,$P55)))</f>
        <v/>
      </c>
      <c r="P55" s="26">
        <f>IFERROR(MATCH($C$5&amp;"|"&amp;RIGHT("000000"&amp;39,6),CalcRankKey,0),"")</f>
        <v/>
      </c>
    </row>
    <row r="56">
      <c r="A56" s="28">
        <f>IF($B56="","",40)</f>
        <v/>
      </c>
      <c r="B56" s="28">
        <f>IF($P56="","",IF(INDEX(CalcNormDate,$P56)=0,"",INDEX(CalcNormDate,$P56)))</f>
        <v/>
      </c>
      <c r="C56" s="28">
        <f>IF($P56="","",IF(INDEX(CalcTime,$P56)=0,"",INDEX(CalcTime,$P56)))</f>
        <v/>
      </c>
      <c r="D56" s="28">
        <f>IF($P56="","",IF(INDEX(EntryParty,$P56)=0,"",INDEX(EntryParty,$P56)))</f>
        <v/>
      </c>
      <c r="E56" s="28">
        <f>IF($P56="","",IF(INDEX(EntryPartyName,$P56)=0,"",INDEX(EntryPartyName,$P56)))</f>
        <v/>
      </c>
      <c r="F56" s="28">
        <f>IF($P56="","",IF(INDEX(EntryPartyType,$P56)=0,"",INDEX(EntryPartyType,$P56)))</f>
        <v/>
      </c>
      <c r="G56" s="28">
        <f>IF($P56="","",IF(INDEX(EntryTxnType,$P56)=0,"",INDEX(EntryTxnType,$P56)))</f>
        <v/>
      </c>
      <c r="H56" s="29">
        <f>IF($P56="","",IF(INDEX(EntryDep,$P56)=0,"",INDEX(EntryDep,$P56)))</f>
        <v/>
      </c>
      <c r="I56" s="29">
        <f>IF($P56="","",IF(INDEX(EntryWit,$P56)=0,"",INDEX(EntryWit,$P56)))</f>
        <v/>
      </c>
      <c r="J56" s="29">
        <f>IF($B56="","",IF($A56=1,$C$7,IF(J55="",0,J55))+IF($H56="",0,$H56)-IF($I56="",0,$I56))</f>
        <v/>
      </c>
      <c r="K56" s="29">
        <f>IF($P56="","",IF(INDEX(EntryMan,$P56)=0,"",INDEX(EntryMan,$P56)))</f>
        <v/>
      </c>
      <c r="L56" s="28">
        <f>IF($B56="","",IF($K56="","—",IF(ROUND($K56-$J56,0)=0,"√","×")))</f>
        <v/>
      </c>
      <c r="M56" s="28">
        <f>IF($B56="","",IF(COUNTIFS(EntryDates,$B56,CalcTime,$C56,CalcBank,$C$5,EntryParty,$D56,EntryDep,$H56,EntryWit,$I56)&gt;1,"تکرار",""))</f>
        <v/>
      </c>
      <c r="N56" s="28">
        <f>IF($P56="","",IF(INDEX(EntryNotes,$P56)=0,"",INDEX(EntryNotes,$P56)))</f>
        <v/>
      </c>
      <c r="O56" s="28">
        <f>IF($P56="","",IF(INDEX(EntryTxnID,$P56)=0,"",INDEX(EntryTxnID,$P56)))</f>
        <v/>
      </c>
      <c r="P56" s="28">
        <f>IFERROR(MATCH($C$5&amp;"|"&amp;RIGHT("000000"&amp;40,6),CalcRankKey,0),"")</f>
        <v/>
      </c>
    </row>
    <row r="57">
      <c r="A57" s="26">
        <f>IF($B57="","",41)</f>
        <v/>
      </c>
      <c r="B57" s="26">
        <f>IF($P57="","",IF(INDEX(CalcNormDate,$P57)=0,"",INDEX(CalcNormDate,$P57)))</f>
        <v/>
      </c>
      <c r="C57" s="26">
        <f>IF($P57="","",IF(INDEX(CalcTime,$P57)=0,"",INDEX(CalcTime,$P57)))</f>
        <v/>
      </c>
      <c r="D57" s="26">
        <f>IF($P57="","",IF(INDEX(EntryParty,$P57)=0,"",INDEX(EntryParty,$P57)))</f>
        <v/>
      </c>
      <c r="E57" s="26">
        <f>IF($P57="","",IF(INDEX(EntryPartyName,$P57)=0,"",INDEX(EntryPartyName,$P57)))</f>
        <v/>
      </c>
      <c r="F57" s="26">
        <f>IF($P57="","",IF(INDEX(EntryPartyType,$P57)=0,"",INDEX(EntryPartyType,$P57)))</f>
        <v/>
      </c>
      <c r="G57" s="26">
        <f>IF($P57="","",IF(INDEX(EntryTxnType,$P57)=0,"",INDEX(EntryTxnType,$P57)))</f>
        <v/>
      </c>
      <c r="H57" s="27">
        <f>IF($P57="","",IF(INDEX(EntryDep,$P57)=0,"",INDEX(EntryDep,$P57)))</f>
        <v/>
      </c>
      <c r="I57" s="27">
        <f>IF($P57="","",IF(INDEX(EntryWit,$P57)=0,"",INDEX(EntryWit,$P57)))</f>
        <v/>
      </c>
      <c r="J57" s="27">
        <f>IF($B57="","",IF($A57=1,$C$7,IF(J56="",0,J56))+IF($H57="",0,$H57)-IF($I57="",0,$I57))</f>
        <v/>
      </c>
      <c r="K57" s="27">
        <f>IF($P57="","",IF(INDEX(EntryMan,$P57)=0,"",INDEX(EntryMan,$P57)))</f>
        <v/>
      </c>
      <c r="L57" s="26">
        <f>IF($B57="","",IF($K57="","—",IF(ROUND($K57-$J57,0)=0,"√","×")))</f>
        <v/>
      </c>
      <c r="M57" s="26">
        <f>IF($B57="","",IF(COUNTIFS(EntryDates,$B57,CalcTime,$C57,CalcBank,$C$5,EntryParty,$D57,EntryDep,$H57,EntryWit,$I57)&gt;1,"تکرار",""))</f>
        <v/>
      </c>
      <c r="N57" s="26">
        <f>IF($P57="","",IF(INDEX(EntryNotes,$P57)=0,"",INDEX(EntryNotes,$P57)))</f>
        <v/>
      </c>
      <c r="O57" s="26">
        <f>IF($P57="","",IF(INDEX(EntryTxnID,$P57)=0,"",INDEX(EntryTxnID,$P57)))</f>
        <v/>
      </c>
      <c r="P57" s="26">
        <f>IFERROR(MATCH($C$5&amp;"|"&amp;RIGHT("000000"&amp;41,6),CalcRankKey,0),"")</f>
        <v/>
      </c>
    </row>
    <row r="58">
      <c r="A58" s="28">
        <f>IF($B58="","",42)</f>
        <v/>
      </c>
      <c r="B58" s="28">
        <f>IF($P58="","",IF(INDEX(CalcNormDate,$P58)=0,"",INDEX(CalcNormDate,$P58)))</f>
        <v/>
      </c>
      <c r="C58" s="28">
        <f>IF($P58="","",IF(INDEX(CalcTime,$P58)=0,"",INDEX(CalcTime,$P58)))</f>
        <v/>
      </c>
      <c r="D58" s="28">
        <f>IF($P58="","",IF(INDEX(EntryParty,$P58)=0,"",INDEX(EntryParty,$P58)))</f>
        <v/>
      </c>
      <c r="E58" s="28">
        <f>IF($P58="","",IF(INDEX(EntryPartyName,$P58)=0,"",INDEX(EntryPartyName,$P58)))</f>
        <v/>
      </c>
      <c r="F58" s="28">
        <f>IF($P58="","",IF(INDEX(EntryPartyType,$P58)=0,"",INDEX(EntryPartyType,$P58)))</f>
        <v/>
      </c>
      <c r="G58" s="28">
        <f>IF($P58="","",IF(INDEX(EntryTxnType,$P58)=0,"",INDEX(EntryTxnType,$P58)))</f>
        <v/>
      </c>
      <c r="H58" s="29">
        <f>IF($P58="","",IF(INDEX(EntryDep,$P58)=0,"",INDEX(EntryDep,$P58)))</f>
        <v/>
      </c>
      <c r="I58" s="29">
        <f>IF($P58="","",IF(INDEX(EntryWit,$P58)=0,"",INDEX(EntryWit,$P58)))</f>
        <v/>
      </c>
      <c r="J58" s="29">
        <f>IF($B58="","",IF($A58=1,$C$7,IF(J57="",0,J57))+IF($H58="",0,$H58)-IF($I58="",0,$I58))</f>
        <v/>
      </c>
      <c r="K58" s="29">
        <f>IF($P58="","",IF(INDEX(EntryMan,$P58)=0,"",INDEX(EntryMan,$P58)))</f>
        <v/>
      </c>
      <c r="L58" s="28">
        <f>IF($B58="","",IF($K58="","—",IF(ROUND($K58-$J58,0)=0,"√","×")))</f>
        <v/>
      </c>
      <c r="M58" s="28">
        <f>IF($B58="","",IF(COUNTIFS(EntryDates,$B58,CalcTime,$C58,CalcBank,$C$5,EntryParty,$D58,EntryDep,$H58,EntryWit,$I58)&gt;1,"تکرار",""))</f>
        <v/>
      </c>
      <c r="N58" s="28">
        <f>IF($P58="","",IF(INDEX(EntryNotes,$P58)=0,"",INDEX(EntryNotes,$P58)))</f>
        <v/>
      </c>
      <c r="O58" s="28">
        <f>IF($P58="","",IF(INDEX(EntryTxnID,$P58)=0,"",INDEX(EntryTxnID,$P58)))</f>
        <v/>
      </c>
      <c r="P58" s="28">
        <f>IFERROR(MATCH($C$5&amp;"|"&amp;RIGHT("000000"&amp;42,6),CalcRankKey,0),"")</f>
        <v/>
      </c>
    </row>
    <row r="59">
      <c r="A59" s="26">
        <f>IF($B59="","",43)</f>
        <v/>
      </c>
      <c r="B59" s="26">
        <f>IF($P59="","",IF(INDEX(CalcNormDate,$P59)=0,"",INDEX(CalcNormDate,$P59)))</f>
        <v/>
      </c>
      <c r="C59" s="26">
        <f>IF($P59="","",IF(INDEX(CalcTime,$P59)=0,"",INDEX(CalcTime,$P59)))</f>
        <v/>
      </c>
      <c r="D59" s="26">
        <f>IF($P59="","",IF(INDEX(EntryParty,$P59)=0,"",INDEX(EntryParty,$P59)))</f>
        <v/>
      </c>
      <c r="E59" s="26">
        <f>IF($P59="","",IF(INDEX(EntryPartyName,$P59)=0,"",INDEX(EntryPartyName,$P59)))</f>
        <v/>
      </c>
      <c r="F59" s="26">
        <f>IF($P59="","",IF(INDEX(EntryPartyType,$P59)=0,"",INDEX(EntryPartyType,$P59)))</f>
        <v/>
      </c>
      <c r="G59" s="26">
        <f>IF($P59="","",IF(INDEX(EntryTxnType,$P59)=0,"",INDEX(EntryTxnType,$P59)))</f>
        <v/>
      </c>
      <c r="H59" s="27">
        <f>IF($P59="","",IF(INDEX(EntryDep,$P59)=0,"",INDEX(EntryDep,$P59)))</f>
        <v/>
      </c>
      <c r="I59" s="27">
        <f>IF($P59="","",IF(INDEX(EntryWit,$P59)=0,"",INDEX(EntryWit,$P59)))</f>
        <v/>
      </c>
      <c r="J59" s="27">
        <f>IF($B59="","",IF($A59=1,$C$7,IF(J58="",0,J58))+IF($H59="",0,$H59)-IF($I59="",0,$I59))</f>
        <v/>
      </c>
      <c r="K59" s="27">
        <f>IF($P59="","",IF(INDEX(EntryMan,$P59)=0,"",INDEX(EntryMan,$P59)))</f>
        <v/>
      </c>
      <c r="L59" s="26">
        <f>IF($B59="","",IF($K59="","—",IF(ROUND($K59-$J59,0)=0,"√","×")))</f>
        <v/>
      </c>
      <c r="M59" s="26">
        <f>IF($B59="","",IF(COUNTIFS(EntryDates,$B59,CalcTime,$C59,CalcBank,$C$5,EntryParty,$D59,EntryDep,$H59,EntryWit,$I59)&gt;1,"تکرار",""))</f>
        <v/>
      </c>
      <c r="N59" s="26">
        <f>IF($P59="","",IF(INDEX(EntryNotes,$P59)=0,"",INDEX(EntryNotes,$P59)))</f>
        <v/>
      </c>
      <c r="O59" s="26">
        <f>IF($P59="","",IF(INDEX(EntryTxnID,$P59)=0,"",INDEX(EntryTxnID,$P59)))</f>
        <v/>
      </c>
      <c r="P59" s="26">
        <f>IFERROR(MATCH($C$5&amp;"|"&amp;RIGHT("000000"&amp;43,6),CalcRankKey,0),"")</f>
        <v/>
      </c>
    </row>
    <row r="60">
      <c r="A60" s="28">
        <f>IF($B60="","",44)</f>
        <v/>
      </c>
      <c r="B60" s="28">
        <f>IF($P60="","",IF(INDEX(CalcNormDate,$P60)=0,"",INDEX(CalcNormDate,$P60)))</f>
        <v/>
      </c>
      <c r="C60" s="28">
        <f>IF($P60="","",IF(INDEX(CalcTime,$P60)=0,"",INDEX(CalcTime,$P60)))</f>
        <v/>
      </c>
      <c r="D60" s="28">
        <f>IF($P60="","",IF(INDEX(EntryParty,$P60)=0,"",INDEX(EntryParty,$P60)))</f>
        <v/>
      </c>
      <c r="E60" s="28">
        <f>IF($P60="","",IF(INDEX(EntryPartyName,$P60)=0,"",INDEX(EntryPartyName,$P60)))</f>
        <v/>
      </c>
      <c r="F60" s="28">
        <f>IF($P60="","",IF(INDEX(EntryPartyType,$P60)=0,"",INDEX(EntryPartyType,$P60)))</f>
        <v/>
      </c>
      <c r="G60" s="28">
        <f>IF($P60="","",IF(INDEX(EntryTxnType,$P60)=0,"",INDEX(EntryTxnType,$P60)))</f>
        <v/>
      </c>
      <c r="H60" s="29">
        <f>IF($P60="","",IF(INDEX(EntryDep,$P60)=0,"",INDEX(EntryDep,$P60)))</f>
        <v/>
      </c>
      <c r="I60" s="29">
        <f>IF($P60="","",IF(INDEX(EntryWit,$P60)=0,"",INDEX(EntryWit,$P60)))</f>
        <v/>
      </c>
      <c r="J60" s="29">
        <f>IF($B60="","",IF($A60=1,$C$7,IF(J59="",0,J59))+IF($H60="",0,$H60)-IF($I60="",0,$I60))</f>
        <v/>
      </c>
      <c r="K60" s="29">
        <f>IF($P60="","",IF(INDEX(EntryMan,$P60)=0,"",INDEX(EntryMan,$P60)))</f>
        <v/>
      </c>
      <c r="L60" s="28">
        <f>IF($B60="","",IF($K60="","—",IF(ROUND($K60-$J60,0)=0,"√","×")))</f>
        <v/>
      </c>
      <c r="M60" s="28">
        <f>IF($B60="","",IF(COUNTIFS(EntryDates,$B60,CalcTime,$C60,CalcBank,$C$5,EntryParty,$D60,EntryDep,$H60,EntryWit,$I60)&gt;1,"تکرار",""))</f>
        <v/>
      </c>
      <c r="N60" s="28">
        <f>IF($P60="","",IF(INDEX(EntryNotes,$P60)=0,"",INDEX(EntryNotes,$P60)))</f>
        <v/>
      </c>
      <c r="O60" s="28">
        <f>IF($P60="","",IF(INDEX(EntryTxnID,$P60)=0,"",INDEX(EntryTxnID,$P60)))</f>
        <v/>
      </c>
      <c r="P60" s="28">
        <f>IFERROR(MATCH($C$5&amp;"|"&amp;RIGHT("000000"&amp;44,6),CalcRankKey,0),"")</f>
        <v/>
      </c>
    </row>
    <row r="61">
      <c r="A61" s="26">
        <f>IF($B61="","",45)</f>
        <v/>
      </c>
      <c r="B61" s="26">
        <f>IF($P61="","",IF(INDEX(CalcNormDate,$P61)=0,"",INDEX(CalcNormDate,$P61)))</f>
        <v/>
      </c>
      <c r="C61" s="26">
        <f>IF($P61="","",IF(INDEX(CalcTime,$P61)=0,"",INDEX(CalcTime,$P61)))</f>
        <v/>
      </c>
      <c r="D61" s="26">
        <f>IF($P61="","",IF(INDEX(EntryParty,$P61)=0,"",INDEX(EntryParty,$P61)))</f>
        <v/>
      </c>
      <c r="E61" s="26">
        <f>IF($P61="","",IF(INDEX(EntryPartyName,$P61)=0,"",INDEX(EntryPartyName,$P61)))</f>
        <v/>
      </c>
      <c r="F61" s="26">
        <f>IF($P61="","",IF(INDEX(EntryPartyType,$P61)=0,"",INDEX(EntryPartyType,$P61)))</f>
        <v/>
      </c>
      <c r="G61" s="26">
        <f>IF($P61="","",IF(INDEX(EntryTxnType,$P61)=0,"",INDEX(EntryTxnType,$P61)))</f>
        <v/>
      </c>
      <c r="H61" s="27">
        <f>IF($P61="","",IF(INDEX(EntryDep,$P61)=0,"",INDEX(EntryDep,$P61)))</f>
        <v/>
      </c>
      <c r="I61" s="27">
        <f>IF($P61="","",IF(INDEX(EntryWit,$P61)=0,"",INDEX(EntryWit,$P61)))</f>
        <v/>
      </c>
      <c r="J61" s="27">
        <f>IF($B61="","",IF($A61=1,$C$7,IF(J60="",0,J60))+IF($H61="",0,$H61)-IF($I61="",0,$I61))</f>
        <v/>
      </c>
      <c r="K61" s="27">
        <f>IF($P61="","",IF(INDEX(EntryMan,$P61)=0,"",INDEX(EntryMan,$P61)))</f>
        <v/>
      </c>
      <c r="L61" s="26">
        <f>IF($B61="","",IF($K61="","—",IF(ROUND($K61-$J61,0)=0,"√","×")))</f>
        <v/>
      </c>
      <c r="M61" s="26">
        <f>IF($B61="","",IF(COUNTIFS(EntryDates,$B61,CalcTime,$C61,CalcBank,$C$5,EntryParty,$D61,EntryDep,$H61,EntryWit,$I61)&gt;1,"تکرار",""))</f>
        <v/>
      </c>
      <c r="N61" s="26">
        <f>IF($P61="","",IF(INDEX(EntryNotes,$P61)=0,"",INDEX(EntryNotes,$P61)))</f>
        <v/>
      </c>
      <c r="O61" s="26">
        <f>IF($P61="","",IF(INDEX(EntryTxnID,$P61)=0,"",INDEX(EntryTxnID,$P61)))</f>
        <v/>
      </c>
      <c r="P61" s="26">
        <f>IFERROR(MATCH($C$5&amp;"|"&amp;RIGHT("000000"&amp;45,6),CalcRankKey,0),"")</f>
        <v/>
      </c>
    </row>
    <row r="62">
      <c r="A62" s="28">
        <f>IF($B62="","",46)</f>
        <v/>
      </c>
      <c r="B62" s="28">
        <f>IF($P62="","",IF(INDEX(CalcNormDate,$P62)=0,"",INDEX(CalcNormDate,$P62)))</f>
        <v/>
      </c>
      <c r="C62" s="28">
        <f>IF($P62="","",IF(INDEX(CalcTime,$P62)=0,"",INDEX(CalcTime,$P62)))</f>
        <v/>
      </c>
      <c r="D62" s="28">
        <f>IF($P62="","",IF(INDEX(EntryParty,$P62)=0,"",INDEX(EntryParty,$P62)))</f>
        <v/>
      </c>
      <c r="E62" s="28">
        <f>IF($P62="","",IF(INDEX(EntryPartyName,$P62)=0,"",INDEX(EntryPartyName,$P62)))</f>
        <v/>
      </c>
      <c r="F62" s="28">
        <f>IF($P62="","",IF(INDEX(EntryPartyType,$P62)=0,"",INDEX(EntryPartyType,$P62)))</f>
        <v/>
      </c>
      <c r="G62" s="28">
        <f>IF($P62="","",IF(INDEX(EntryTxnType,$P62)=0,"",INDEX(EntryTxnType,$P62)))</f>
        <v/>
      </c>
      <c r="H62" s="29">
        <f>IF($P62="","",IF(INDEX(EntryDep,$P62)=0,"",INDEX(EntryDep,$P62)))</f>
        <v/>
      </c>
      <c r="I62" s="29">
        <f>IF($P62="","",IF(INDEX(EntryWit,$P62)=0,"",INDEX(EntryWit,$P62)))</f>
        <v/>
      </c>
      <c r="J62" s="29">
        <f>IF($B62="","",IF($A62=1,$C$7,IF(J61="",0,J61))+IF($H62="",0,$H62)-IF($I62="",0,$I62))</f>
        <v/>
      </c>
      <c r="K62" s="29">
        <f>IF($P62="","",IF(INDEX(EntryMan,$P62)=0,"",INDEX(EntryMan,$P62)))</f>
        <v/>
      </c>
      <c r="L62" s="28">
        <f>IF($B62="","",IF($K62="","—",IF(ROUND($K62-$J62,0)=0,"√","×")))</f>
        <v/>
      </c>
      <c r="M62" s="28">
        <f>IF($B62="","",IF(COUNTIFS(EntryDates,$B62,CalcTime,$C62,CalcBank,$C$5,EntryParty,$D62,EntryDep,$H62,EntryWit,$I62)&gt;1,"تکرار",""))</f>
        <v/>
      </c>
      <c r="N62" s="28">
        <f>IF($P62="","",IF(INDEX(EntryNotes,$P62)=0,"",INDEX(EntryNotes,$P62)))</f>
        <v/>
      </c>
      <c r="O62" s="28">
        <f>IF($P62="","",IF(INDEX(EntryTxnID,$P62)=0,"",INDEX(EntryTxnID,$P62)))</f>
        <v/>
      </c>
      <c r="P62" s="28">
        <f>IFERROR(MATCH($C$5&amp;"|"&amp;RIGHT("000000"&amp;46,6),CalcRankKey,0),"")</f>
        <v/>
      </c>
    </row>
    <row r="63">
      <c r="A63" s="26">
        <f>IF($B63="","",47)</f>
        <v/>
      </c>
      <c r="B63" s="26">
        <f>IF($P63="","",IF(INDEX(CalcNormDate,$P63)=0,"",INDEX(CalcNormDate,$P63)))</f>
        <v/>
      </c>
      <c r="C63" s="26">
        <f>IF($P63="","",IF(INDEX(CalcTime,$P63)=0,"",INDEX(CalcTime,$P63)))</f>
        <v/>
      </c>
      <c r="D63" s="26">
        <f>IF($P63="","",IF(INDEX(EntryParty,$P63)=0,"",INDEX(EntryParty,$P63)))</f>
        <v/>
      </c>
      <c r="E63" s="26">
        <f>IF($P63="","",IF(INDEX(EntryPartyName,$P63)=0,"",INDEX(EntryPartyName,$P63)))</f>
        <v/>
      </c>
      <c r="F63" s="26">
        <f>IF($P63="","",IF(INDEX(EntryPartyType,$P63)=0,"",INDEX(EntryPartyType,$P63)))</f>
        <v/>
      </c>
      <c r="G63" s="26">
        <f>IF($P63="","",IF(INDEX(EntryTxnType,$P63)=0,"",INDEX(EntryTxnType,$P63)))</f>
        <v/>
      </c>
      <c r="H63" s="27">
        <f>IF($P63="","",IF(INDEX(EntryDep,$P63)=0,"",INDEX(EntryDep,$P63)))</f>
        <v/>
      </c>
      <c r="I63" s="27">
        <f>IF($P63="","",IF(INDEX(EntryWit,$P63)=0,"",INDEX(EntryWit,$P63)))</f>
        <v/>
      </c>
      <c r="J63" s="27">
        <f>IF($B63="","",IF($A63=1,$C$7,IF(J62="",0,J62))+IF($H63="",0,$H63)-IF($I63="",0,$I63))</f>
        <v/>
      </c>
      <c r="K63" s="27">
        <f>IF($P63="","",IF(INDEX(EntryMan,$P63)=0,"",INDEX(EntryMan,$P63)))</f>
        <v/>
      </c>
      <c r="L63" s="26">
        <f>IF($B63="","",IF($K63="","—",IF(ROUND($K63-$J63,0)=0,"√","×")))</f>
        <v/>
      </c>
      <c r="M63" s="26">
        <f>IF($B63="","",IF(COUNTIFS(EntryDates,$B63,CalcTime,$C63,CalcBank,$C$5,EntryParty,$D63,EntryDep,$H63,EntryWit,$I63)&gt;1,"تکرار",""))</f>
        <v/>
      </c>
      <c r="N63" s="26">
        <f>IF($P63="","",IF(INDEX(EntryNotes,$P63)=0,"",INDEX(EntryNotes,$P63)))</f>
        <v/>
      </c>
      <c r="O63" s="26">
        <f>IF($P63="","",IF(INDEX(EntryTxnID,$P63)=0,"",INDEX(EntryTxnID,$P63)))</f>
        <v/>
      </c>
      <c r="P63" s="26">
        <f>IFERROR(MATCH($C$5&amp;"|"&amp;RIGHT("000000"&amp;47,6),CalcRankKey,0),"")</f>
        <v/>
      </c>
    </row>
    <row r="64">
      <c r="A64" s="28">
        <f>IF($B64="","",48)</f>
        <v/>
      </c>
      <c r="B64" s="28">
        <f>IF($P64="","",IF(INDEX(CalcNormDate,$P64)=0,"",INDEX(CalcNormDate,$P64)))</f>
        <v/>
      </c>
      <c r="C64" s="28">
        <f>IF($P64="","",IF(INDEX(CalcTime,$P64)=0,"",INDEX(CalcTime,$P64)))</f>
        <v/>
      </c>
      <c r="D64" s="28">
        <f>IF($P64="","",IF(INDEX(EntryParty,$P64)=0,"",INDEX(EntryParty,$P64)))</f>
        <v/>
      </c>
      <c r="E64" s="28">
        <f>IF($P64="","",IF(INDEX(EntryPartyName,$P64)=0,"",INDEX(EntryPartyName,$P64)))</f>
        <v/>
      </c>
      <c r="F64" s="28">
        <f>IF($P64="","",IF(INDEX(EntryPartyType,$P64)=0,"",INDEX(EntryPartyType,$P64)))</f>
        <v/>
      </c>
      <c r="G64" s="28">
        <f>IF($P64="","",IF(INDEX(EntryTxnType,$P64)=0,"",INDEX(EntryTxnType,$P64)))</f>
        <v/>
      </c>
      <c r="H64" s="29">
        <f>IF($P64="","",IF(INDEX(EntryDep,$P64)=0,"",INDEX(EntryDep,$P64)))</f>
        <v/>
      </c>
      <c r="I64" s="29">
        <f>IF($P64="","",IF(INDEX(EntryWit,$P64)=0,"",INDEX(EntryWit,$P64)))</f>
        <v/>
      </c>
      <c r="J64" s="29">
        <f>IF($B64="","",IF($A64=1,$C$7,IF(J63="",0,J63))+IF($H64="",0,$H64)-IF($I64="",0,$I64))</f>
        <v/>
      </c>
      <c r="K64" s="29">
        <f>IF($P64="","",IF(INDEX(EntryMan,$P64)=0,"",INDEX(EntryMan,$P64)))</f>
        <v/>
      </c>
      <c r="L64" s="28">
        <f>IF($B64="","",IF($K64="","—",IF(ROUND($K64-$J64,0)=0,"√","×")))</f>
        <v/>
      </c>
      <c r="M64" s="28">
        <f>IF($B64="","",IF(COUNTIFS(EntryDates,$B64,CalcTime,$C64,CalcBank,$C$5,EntryParty,$D64,EntryDep,$H64,EntryWit,$I64)&gt;1,"تکرار",""))</f>
        <v/>
      </c>
      <c r="N64" s="28">
        <f>IF($P64="","",IF(INDEX(EntryNotes,$P64)=0,"",INDEX(EntryNotes,$P64)))</f>
        <v/>
      </c>
      <c r="O64" s="28">
        <f>IF($P64="","",IF(INDEX(EntryTxnID,$P64)=0,"",INDEX(EntryTxnID,$P64)))</f>
        <v/>
      </c>
      <c r="P64" s="28">
        <f>IFERROR(MATCH($C$5&amp;"|"&amp;RIGHT("000000"&amp;48,6),CalcRankKey,0),"")</f>
        <v/>
      </c>
    </row>
    <row r="65">
      <c r="A65" s="26">
        <f>IF($B65="","",49)</f>
        <v/>
      </c>
      <c r="B65" s="26">
        <f>IF($P65="","",IF(INDEX(CalcNormDate,$P65)=0,"",INDEX(CalcNormDate,$P65)))</f>
        <v/>
      </c>
      <c r="C65" s="26">
        <f>IF($P65="","",IF(INDEX(CalcTime,$P65)=0,"",INDEX(CalcTime,$P65)))</f>
        <v/>
      </c>
      <c r="D65" s="26">
        <f>IF($P65="","",IF(INDEX(EntryParty,$P65)=0,"",INDEX(EntryParty,$P65)))</f>
        <v/>
      </c>
      <c r="E65" s="26">
        <f>IF($P65="","",IF(INDEX(EntryPartyName,$P65)=0,"",INDEX(EntryPartyName,$P65)))</f>
        <v/>
      </c>
      <c r="F65" s="26">
        <f>IF($P65="","",IF(INDEX(EntryPartyType,$P65)=0,"",INDEX(EntryPartyType,$P65)))</f>
        <v/>
      </c>
      <c r="G65" s="26">
        <f>IF($P65="","",IF(INDEX(EntryTxnType,$P65)=0,"",INDEX(EntryTxnType,$P65)))</f>
        <v/>
      </c>
      <c r="H65" s="27">
        <f>IF($P65="","",IF(INDEX(EntryDep,$P65)=0,"",INDEX(EntryDep,$P65)))</f>
        <v/>
      </c>
      <c r="I65" s="27">
        <f>IF($P65="","",IF(INDEX(EntryWit,$P65)=0,"",INDEX(EntryWit,$P65)))</f>
        <v/>
      </c>
      <c r="J65" s="27">
        <f>IF($B65="","",IF($A65=1,$C$7,IF(J64="",0,J64))+IF($H65="",0,$H65)-IF($I65="",0,$I65))</f>
        <v/>
      </c>
      <c r="K65" s="27">
        <f>IF($P65="","",IF(INDEX(EntryMan,$P65)=0,"",INDEX(EntryMan,$P65)))</f>
        <v/>
      </c>
      <c r="L65" s="26">
        <f>IF($B65="","",IF($K65="","—",IF(ROUND($K65-$J65,0)=0,"√","×")))</f>
        <v/>
      </c>
      <c r="M65" s="26">
        <f>IF($B65="","",IF(COUNTIFS(EntryDates,$B65,CalcTime,$C65,CalcBank,$C$5,EntryParty,$D65,EntryDep,$H65,EntryWit,$I65)&gt;1,"تکرار",""))</f>
        <v/>
      </c>
      <c r="N65" s="26">
        <f>IF($P65="","",IF(INDEX(EntryNotes,$P65)=0,"",INDEX(EntryNotes,$P65)))</f>
        <v/>
      </c>
      <c r="O65" s="26">
        <f>IF($P65="","",IF(INDEX(EntryTxnID,$P65)=0,"",INDEX(EntryTxnID,$P65)))</f>
        <v/>
      </c>
      <c r="P65" s="26">
        <f>IFERROR(MATCH($C$5&amp;"|"&amp;RIGHT("000000"&amp;49,6),CalcRankKey,0),"")</f>
        <v/>
      </c>
    </row>
    <row r="66">
      <c r="A66" s="28">
        <f>IF($B66="","",50)</f>
        <v/>
      </c>
      <c r="B66" s="28">
        <f>IF($P66="","",IF(INDEX(CalcNormDate,$P66)=0,"",INDEX(CalcNormDate,$P66)))</f>
        <v/>
      </c>
      <c r="C66" s="28">
        <f>IF($P66="","",IF(INDEX(CalcTime,$P66)=0,"",INDEX(CalcTime,$P66)))</f>
        <v/>
      </c>
      <c r="D66" s="28">
        <f>IF($P66="","",IF(INDEX(EntryParty,$P66)=0,"",INDEX(EntryParty,$P66)))</f>
        <v/>
      </c>
      <c r="E66" s="28">
        <f>IF($P66="","",IF(INDEX(EntryPartyName,$P66)=0,"",INDEX(EntryPartyName,$P66)))</f>
        <v/>
      </c>
      <c r="F66" s="28">
        <f>IF($P66="","",IF(INDEX(EntryPartyType,$P66)=0,"",INDEX(EntryPartyType,$P66)))</f>
        <v/>
      </c>
      <c r="G66" s="28">
        <f>IF($P66="","",IF(INDEX(EntryTxnType,$P66)=0,"",INDEX(EntryTxnType,$P66)))</f>
        <v/>
      </c>
      <c r="H66" s="29">
        <f>IF($P66="","",IF(INDEX(EntryDep,$P66)=0,"",INDEX(EntryDep,$P66)))</f>
        <v/>
      </c>
      <c r="I66" s="29">
        <f>IF($P66="","",IF(INDEX(EntryWit,$P66)=0,"",INDEX(EntryWit,$P66)))</f>
        <v/>
      </c>
      <c r="J66" s="29">
        <f>IF($B66="","",IF($A66=1,$C$7,IF(J65="",0,J65))+IF($H66="",0,$H66)-IF($I66="",0,$I66))</f>
        <v/>
      </c>
      <c r="K66" s="29">
        <f>IF($P66="","",IF(INDEX(EntryMan,$P66)=0,"",INDEX(EntryMan,$P66)))</f>
        <v/>
      </c>
      <c r="L66" s="28">
        <f>IF($B66="","",IF($K66="","—",IF(ROUND($K66-$J66,0)=0,"√","×")))</f>
        <v/>
      </c>
      <c r="M66" s="28">
        <f>IF($B66="","",IF(COUNTIFS(EntryDates,$B66,CalcTime,$C66,CalcBank,$C$5,EntryParty,$D66,EntryDep,$H66,EntryWit,$I66)&gt;1,"تکرار",""))</f>
        <v/>
      </c>
      <c r="N66" s="28">
        <f>IF($P66="","",IF(INDEX(EntryNotes,$P66)=0,"",INDEX(EntryNotes,$P66)))</f>
        <v/>
      </c>
      <c r="O66" s="28">
        <f>IF($P66="","",IF(INDEX(EntryTxnID,$P66)=0,"",INDEX(EntryTxnID,$P66)))</f>
        <v/>
      </c>
      <c r="P66" s="28">
        <f>IFERROR(MATCH($C$5&amp;"|"&amp;RIGHT("000000"&amp;50,6),CalcRankKey,0),"")</f>
        <v/>
      </c>
    </row>
    <row r="67">
      <c r="A67" s="26">
        <f>IF($B67="","",51)</f>
        <v/>
      </c>
      <c r="B67" s="26">
        <f>IF($P67="","",IF(INDEX(CalcNormDate,$P67)=0,"",INDEX(CalcNormDate,$P67)))</f>
        <v/>
      </c>
      <c r="C67" s="26">
        <f>IF($P67="","",IF(INDEX(CalcTime,$P67)=0,"",INDEX(CalcTime,$P67)))</f>
        <v/>
      </c>
      <c r="D67" s="26">
        <f>IF($P67="","",IF(INDEX(EntryParty,$P67)=0,"",INDEX(EntryParty,$P67)))</f>
        <v/>
      </c>
      <c r="E67" s="26">
        <f>IF($P67="","",IF(INDEX(EntryPartyName,$P67)=0,"",INDEX(EntryPartyName,$P67)))</f>
        <v/>
      </c>
      <c r="F67" s="26">
        <f>IF($P67="","",IF(INDEX(EntryPartyType,$P67)=0,"",INDEX(EntryPartyType,$P67)))</f>
        <v/>
      </c>
      <c r="G67" s="26">
        <f>IF($P67="","",IF(INDEX(EntryTxnType,$P67)=0,"",INDEX(EntryTxnType,$P67)))</f>
        <v/>
      </c>
      <c r="H67" s="27">
        <f>IF($P67="","",IF(INDEX(EntryDep,$P67)=0,"",INDEX(EntryDep,$P67)))</f>
        <v/>
      </c>
      <c r="I67" s="27">
        <f>IF($P67="","",IF(INDEX(EntryWit,$P67)=0,"",INDEX(EntryWit,$P67)))</f>
        <v/>
      </c>
      <c r="J67" s="27">
        <f>IF($B67="","",IF($A67=1,$C$7,IF(J66="",0,J66))+IF($H67="",0,$H67)-IF($I67="",0,$I67))</f>
        <v/>
      </c>
      <c r="K67" s="27">
        <f>IF($P67="","",IF(INDEX(EntryMan,$P67)=0,"",INDEX(EntryMan,$P67)))</f>
        <v/>
      </c>
      <c r="L67" s="26">
        <f>IF($B67="","",IF($K67="","—",IF(ROUND($K67-$J67,0)=0,"√","×")))</f>
        <v/>
      </c>
      <c r="M67" s="26">
        <f>IF($B67="","",IF(COUNTIFS(EntryDates,$B67,CalcTime,$C67,CalcBank,$C$5,EntryParty,$D67,EntryDep,$H67,EntryWit,$I67)&gt;1,"تکرار",""))</f>
        <v/>
      </c>
      <c r="N67" s="26">
        <f>IF($P67="","",IF(INDEX(EntryNotes,$P67)=0,"",INDEX(EntryNotes,$P67)))</f>
        <v/>
      </c>
      <c r="O67" s="26">
        <f>IF($P67="","",IF(INDEX(EntryTxnID,$P67)=0,"",INDEX(EntryTxnID,$P67)))</f>
        <v/>
      </c>
      <c r="P67" s="26">
        <f>IFERROR(MATCH($C$5&amp;"|"&amp;RIGHT("000000"&amp;51,6),CalcRankKey,0),"")</f>
        <v/>
      </c>
    </row>
    <row r="68">
      <c r="A68" s="28">
        <f>IF($B68="","",52)</f>
        <v/>
      </c>
      <c r="B68" s="28">
        <f>IF($P68="","",IF(INDEX(CalcNormDate,$P68)=0,"",INDEX(CalcNormDate,$P68)))</f>
        <v/>
      </c>
      <c r="C68" s="28">
        <f>IF($P68="","",IF(INDEX(CalcTime,$P68)=0,"",INDEX(CalcTime,$P68)))</f>
        <v/>
      </c>
      <c r="D68" s="28">
        <f>IF($P68="","",IF(INDEX(EntryParty,$P68)=0,"",INDEX(EntryParty,$P68)))</f>
        <v/>
      </c>
      <c r="E68" s="28">
        <f>IF($P68="","",IF(INDEX(EntryPartyName,$P68)=0,"",INDEX(EntryPartyName,$P68)))</f>
        <v/>
      </c>
      <c r="F68" s="28">
        <f>IF($P68="","",IF(INDEX(EntryPartyType,$P68)=0,"",INDEX(EntryPartyType,$P68)))</f>
        <v/>
      </c>
      <c r="G68" s="28">
        <f>IF($P68="","",IF(INDEX(EntryTxnType,$P68)=0,"",INDEX(EntryTxnType,$P68)))</f>
        <v/>
      </c>
      <c r="H68" s="29">
        <f>IF($P68="","",IF(INDEX(EntryDep,$P68)=0,"",INDEX(EntryDep,$P68)))</f>
        <v/>
      </c>
      <c r="I68" s="29">
        <f>IF($P68="","",IF(INDEX(EntryWit,$P68)=0,"",INDEX(EntryWit,$P68)))</f>
        <v/>
      </c>
      <c r="J68" s="29">
        <f>IF($B68="","",IF($A68=1,$C$7,IF(J67="",0,J67))+IF($H68="",0,$H68)-IF($I68="",0,$I68))</f>
        <v/>
      </c>
      <c r="K68" s="29">
        <f>IF($P68="","",IF(INDEX(EntryMan,$P68)=0,"",INDEX(EntryMan,$P68)))</f>
        <v/>
      </c>
      <c r="L68" s="28">
        <f>IF($B68="","",IF($K68="","—",IF(ROUND($K68-$J68,0)=0,"√","×")))</f>
        <v/>
      </c>
      <c r="M68" s="28">
        <f>IF($B68="","",IF(COUNTIFS(EntryDates,$B68,CalcTime,$C68,CalcBank,$C$5,EntryParty,$D68,EntryDep,$H68,EntryWit,$I68)&gt;1,"تکرار",""))</f>
        <v/>
      </c>
      <c r="N68" s="28">
        <f>IF($P68="","",IF(INDEX(EntryNotes,$P68)=0,"",INDEX(EntryNotes,$P68)))</f>
        <v/>
      </c>
      <c r="O68" s="28">
        <f>IF($P68="","",IF(INDEX(EntryTxnID,$P68)=0,"",INDEX(EntryTxnID,$P68)))</f>
        <v/>
      </c>
      <c r="P68" s="28">
        <f>IFERROR(MATCH($C$5&amp;"|"&amp;RIGHT("000000"&amp;52,6),CalcRankKey,0),"")</f>
        <v/>
      </c>
    </row>
    <row r="69">
      <c r="A69" s="26">
        <f>IF($B69="","",53)</f>
        <v/>
      </c>
      <c r="B69" s="26">
        <f>IF($P69="","",IF(INDEX(CalcNormDate,$P69)=0,"",INDEX(CalcNormDate,$P69)))</f>
        <v/>
      </c>
      <c r="C69" s="26">
        <f>IF($P69="","",IF(INDEX(CalcTime,$P69)=0,"",INDEX(CalcTime,$P69)))</f>
        <v/>
      </c>
      <c r="D69" s="26">
        <f>IF($P69="","",IF(INDEX(EntryParty,$P69)=0,"",INDEX(EntryParty,$P69)))</f>
        <v/>
      </c>
      <c r="E69" s="26">
        <f>IF($P69="","",IF(INDEX(EntryPartyName,$P69)=0,"",INDEX(EntryPartyName,$P69)))</f>
        <v/>
      </c>
      <c r="F69" s="26">
        <f>IF($P69="","",IF(INDEX(EntryPartyType,$P69)=0,"",INDEX(EntryPartyType,$P69)))</f>
        <v/>
      </c>
      <c r="G69" s="26">
        <f>IF($P69="","",IF(INDEX(EntryTxnType,$P69)=0,"",INDEX(EntryTxnType,$P69)))</f>
        <v/>
      </c>
      <c r="H69" s="27">
        <f>IF($P69="","",IF(INDEX(EntryDep,$P69)=0,"",INDEX(EntryDep,$P69)))</f>
        <v/>
      </c>
      <c r="I69" s="27">
        <f>IF($P69="","",IF(INDEX(EntryWit,$P69)=0,"",INDEX(EntryWit,$P69)))</f>
        <v/>
      </c>
      <c r="J69" s="27">
        <f>IF($B69="","",IF($A69=1,$C$7,IF(J68="",0,J68))+IF($H69="",0,$H69)-IF($I69="",0,$I69))</f>
        <v/>
      </c>
      <c r="K69" s="27">
        <f>IF($P69="","",IF(INDEX(EntryMan,$P69)=0,"",INDEX(EntryMan,$P69)))</f>
        <v/>
      </c>
      <c r="L69" s="26">
        <f>IF($B69="","",IF($K69="","—",IF(ROUND($K69-$J69,0)=0,"√","×")))</f>
        <v/>
      </c>
      <c r="M69" s="26">
        <f>IF($B69="","",IF(COUNTIFS(EntryDates,$B69,CalcTime,$C69,CalcBank,$C$5,EntryParty,$D69,EntryDep,$H69,EntryWit,$I69)&gt;1,"تکرار",""))</f>
        <v/>
      </c>
      <c r="N69" s="26">
        <f>IF($P69="","",IF(INDEX(EntryNotes,$P69)=0,"",INDEX(EntryNotes,$P69)))</f>
        <v/>
      </c>
      <c r="O69" s="26">
        <f>IF($P69="","",IF(INDEX(EntryTxnID,$P69)=0,"",INDEX(EntryTxnID,$P69)))</f>
        <v/>
      </c>
      <c r="P69" s="26">
        <f>IFERROR(MATCH($C$5&amp;"|"&amp;RIGHT("000000"&amp;53,6),CalcRankKey,0),"")</f>
        <v/>
      </c>
    </row>
    <row r="70">
      <c r="A70" s="28">
        <f>IF($B70="","",54)</f>
        <v/>
      </c>
      <c r="B70" s="28">
        <f>IF($P70="","",IF(INDEX(CalcNormDate,$P70)=0,"",INDEX(CalcNormDate,$P70)))</f>
        <v/>
      </c>
      <c r="C70" s="28">
        <f>IF($P70="","",IF(INDEX(CalcTime,$P70)=0,"",INDEX(CalcTime,$P70)))</f>
        <v/>
      </c>
      <c r="D70" s="28">
        <f>IF($P70="","",IF(INDEX(EntryParty,$P70)=0,"",INDEX(EntryParty,$P70)))</f>
        <v/>
      </c>
      <c r="E70" s="28">
        <f>IF($P70="","",IF(INDEX(EntryPartyName,$P70)=0,"",INDEX(EntryPartyName,$P70)))</f>
        <v/>
      </c>
      <c r="F70" s="28">
        <f>IF($P70="","",IF(INDEX(EntryPartyType,$P70)=0,"",INDEX(EntryPartyType,$P70)))</f>
        <v/>
      </c>
      <c r="G70" s="28">
        <f>IF($P70="","",IF(INDEX(EntryTxnType,$P70)=0,"",INDEX(EntryTxnType,$P70)))</f>
        <v/>
      </c>
      <c r="H70" s="29">
        <f>IF($P70="","",IF(INDEX(EntryDep,$P70)=0,"",INDEX(EntryDep,$P70)))</f>
        <v/>
      </c>
      <c r="I70" s="29">
        <f>IF($P70="","",IF(INDEX(EntryWit,$P70)=0,"",INDEX(EntryWit,$P70)))</f>
        <v/>
      </c>
      <c r="J70" s="29">
        <f>IF($B70="","",IF($A70=1,$C$7,IF(J69="",0,J69))+IF($H70="",0,$H70)-IF($I70="",0,$I70))</f>
        <v/>
      </c>
      <c r="K70" s="29">
        <f>IF($P70="","",IF(INDEX(EntryMan,$P70)=0,"",INDEX(EntryMan,$P70)))</f>
        <v/>
      </c>
      <c r="L70" s="28">
        <f>IF($B70="","",IF($K70="","—",IF(ROUND($K70-$J70,0)=0,"√","×")))</f>
        <v/>
      </c>
      <c r="M70" s="28">
        <f>IF($B70="","",IF(COUNTIFS(EntryDates,$B70,CalcTime,$C70,CalcBank,$C$5,EntryParty,$D70,EntryDep,$H70,EntryWit,$I70)&gt;1,"تکرار",""))</f>
        <v/>
      </c>
      <c r="N70" s="28">
        <f>IF($P70="","",IF(INDEX(EntryNotes,$P70)=0,"",INDEX(EntryNotes,$P70)))</f>
        <v/>
      </c>
      <c r="O70" s="28">
        <f>IF($P70="","",IF(INDEX(EntryTxnID,$P70)=0,"",INDEX(EntryTxnID,$P70)))</f>
        <v/>
      </c>
      <c r="P70" s="28">
        <f>IFERROR(MATCH($C$5&amp;"|"&amp;RIGHT("000000"&amp;54,6),CalcRankKey,0),"")</f>
        <v/>
      </c>
    </row>
    <row r="71">
      <c r="A71" s="26">
        <f>IF($B71="","",55)</f>
        <v/>
      </c>
      <c r="B71" s="26">
        <f>IF($P71="","",IF(INDEX(CalcNormDate,$P71)=0,"",INDEX(CalcNormDate,$P71)))</f>
        <v/>
      </c>
      <c r="C71" s="26">
        <f>IF($P71="","",IF(INDEX(CalcTime,$P71)=0,"",INDEX(CalcTime,$P71)))</f>
        <v/>
      </c>
      <c r="D71" s="26">
        <f>IF($P71="","",IF(INDEX(EntryParty,$P71)=0,"",INDEX(EntryParty,$P71)))</f>
        <v/>
      </c>
      <c r="E71" s="26">
        <f>IF($P71="","",IF(INDEX(EntryPartyName,$P71)=0,"",INDEX(EntryPartyName,$P71)))</f>
        <v/>
      </c>
      <c r="F71" s="26">
        <f>IF($P71="","",IF(INDEX(EntryPartyType,$P71)=0,"",INDEX(EntryPartyType,$P71)))</f>
        <v/>
      </c>
      <c r="G71" s="26">
        <f>IF($P71="","",IF(INDEX(EntryTxnType,$P71)=0,"",INDEX(EntryTxnType,$P71)))</f>
        <v/>
      </c>
      <c r="H71" s="27">
        <f>IF($P71="","",IF(INDEX(EntryDep,$P71)=0,"",INDEX(EntryDep,$P71)))</f>
        <v/>
      </c>
      <c r="I71" s="27">
        <f>IF($P71="","",IF(INDEX(EntryWit,$P71)=0,"",INDEX(EntryWit,$P71)))</f>
        <v/>
      </c>
      <c r="J71" s="27">
        <f>IF($B71="","",IF($A71=1,$C$7,IF(J70="",0,J70))+IF($H71="",0,$H71)-IF($I71="",0,$I71))</f>
        <v/>
      </c>
      <c r="K71" s="27">
        <f>IF($P71="","",IF(INDEX(EntryMan,$P71)=0,"",INDEX(EntryMan,$P71)))</f>
        <v/>
      </c>
      <c r="L71" s="26">
        <f>IF($B71="","",IF($K71="","—",IF(ROUND($K71-$J71,0)=0,"√","×")))</f>
        <v/>
      </c>
      <c r="M71" s="26">
        <f>IF($B71="","",IF(COUNTIFS(EntryDates,$B71,CalcTime,$C71,CalcBank,$C$5,EntryParty,$D71,EntryDep,$H71,EntryWit,$I71)&gt;1,"تکرار",""))</f>
        <v/>
      </c>
      <c r="N71" s="26">
        <f>IF($P71="","",IF(INDEX(EntryNotes,$P71)=0,"",INDEX(EntryNotes,$P71)))</f>
        <v/>
      </c>
      <c r="O71" s="26">
        <f>IF($P71="","",IF(INDEX(EntryTxnID,$P71)=0,"",INDEX(EntryTxnID,$P71)))</f>
        <v/>
      </c>
      <c r="P71" s="26">
        <f>IFERROR(MATCH($C$5&amp;"|"&amp;RIGHT("000000"&amp;55,6),CalcRankKey,0),"")</f>
        <v/>
      </c>
    </row>
    <row r="72">
      <c r="A72" s="28">
        <f>IF($B72="","",56)</f>
        <v/>
      </c>
      <c r="B72" s="28">
        <f>IF($P72="","",IF(INDEX(CalcNormDate,$P72)=0,"",INDEX(CalcNormDate,$P72)))</f>
        <v/>
      </c>
      <c r="C72" s="28">
        <f>IF($P72="","",IF(INDEX(CalcTime,$P72)=0,"",INDEX(CalcTime,$P72)))</f>
        <v/>
      </c>
      <c r="D72" s="28">
        <f>IF($P72="","",IF(INDEX(EntryParty,$P72)=0,"",INDEX(EntryParty,$P72)))</f>
        <v/>
      </c>
      <c r="E72" s="28">
        <f>IF($P72="","",IF(INDEX(EntryPartyName,$P72)=0,"",INDEX(EntryPartyName,$P72)))</f>
        <v/>
      </c>
      <c r="F72" s="28">
        <f>IF($P72="","",IF(INDEX(EntryPartyType,$P72)=0,"",INDEX(EntryPartyType,$P72)))</f>
        <v/>
      </c>
      <c r="G72" s="28">
        <f>IF($P72="","",IF(INDEX(EntryTxnType,$P72)=0,"",INDEX(EntryTxnType,$P72)))</f>
        <v/>
      </c>
      <c r="H72" s="29">
        <f>IF($P72="","",IF(INDEX(EntryDep,$P72)=0,"",INDEX(EntryDep,$P72)))</f>
        <v/>
      </c>
      <c r="I72" s="29">
        <f>IF($P72="","",IF(INDEX(EntryWit,$P72)=0,"",INDEX(EntryWit,$P72)))</f>
        <v/>
      </c>
      <c r="J72" s="29">
        <f>IF($B72="","",IF($A72=1,$C$7,IF(J71="",0,J71))+IF($H72="",0,$H72)-IF($I72="",0,$I72))</f>
        <v/>
      </c>
      <c r="K72" s="29">
        <f>IF($P72="","",IF(INDEX(EntryMan,$P72)=0,"",INDEX(EntryMan,$P72)))</f>
        <v/>
      </c>
      <c r="L72" s="28">
        <f>IF($B72="","",IF($K72="","—",IF(ROUND($K72-$J72,0)=0,"√","×")))</f>
        <v/>
      </c>
      <c r="M72" s="28">
        <f>IF($B72="","",IF(COUNTIFS(EntryDates,$B72,CalcTime,$C72,CalcBank,$C$5,EntryParty,$D72,EntryDep,$H72,EntryWit,$I72)&gt;1,"تکرار",""))</f>
        <v/>
      </c>
      <c r="N72" s="28">
        <f>IF($P72="","",IF(INDEX(EntryNotes,$P72)=0,"",INDEX(EntryNotes,$P72)))</f>
        <v/>
      </c>
      <c r="O72" s="28">
        <f>IF($P72="","",IF(INDEX(EntryTxnID,$P72)=0,"",INDEX(EntryTxnID,$P72)))</f>
        <v/>
      </c>
      <c r="P72" s="28">
        <f>IFERROR(MATCH($C$5&amp;"|"&amp;RIGHT("000000"&amp;56,6),CalcRankKey,0),"")</f>
        <v/>
      </c>
    </row>
    <row r="73">
      <c r="A73" s="26">
        <f>IF($B73="","",57)</f>
        <v/>
      </c>
      <c r="B73" s="26">
        <f>IF($P73="","",IF(INDEX(CalcNormDate,$P73)=0,"",INDEX(CalcNormDate,$P73)))</f>
        <v/>
      </c>
      <c r="C73" s="26">
        <f>IF($P73="","",IF(INDEX(CalcTime,$P73)=0,"",INDEX(CalcTime,$P73)))</f>
        <v/>
      </c>
      <c r="D73" s="26">
        <f>IF($P73="","",IF(INDEX(EntryParty,$P73)=0,"",INDEX(EntryParty,$P73)))</f>
        <v/>
      </c>
      <c r="E73" s="26">
        <f>IF($P73="","",IF(INDEX(EntryPartyName,$P73)=0,"",INDEX(EntryPartyName,$P73)))</f>
        <v/>
      </c>
      <c r="F73" s="26">
        <f>IF($P73="","",IF(INDEX(EntryPartyType,$P73)=0,"",INDEX(EntryPartyType,$P73)))</f>
        <v/>
      </c>
      <c r="G73" s="26">
        <f>IF($P73="","",IF(INDEX(EntryTxnType,$P73)=0,"",INDEX(EntryTxnType,$P73)))</f>
        <v/>
      </c>
      <c r="H73" s="27">
        <f>IF($P73="","",IF(INDEX(EntryDep,$P73)=0,"",INDEX(EntryDep,$P73)))</f>
        <v/>
      </c>
      <c r="I73" s="27">
        <f>IF($P73="","",IF(INDEX(EntryWit,$P73)=0,"",INDEX(EntryWit,$P73)))</f>
        <v/>
      </c>
      <c r="J73" s="27">
        <f>IF($B73="","",IF($A73=1,$C$7,IF(J72="",0,J72))+IF($H73="",0,$H73)-IF($I73="",0,$I73))</f>
        <v/>
      </c>
      <c r="K73" s="27">
        <f>IF($P73="","",IF(INDEX(EntryMan,$P73)=0,"",INDEX(EntryMan,$P73)))</f>
        <v/>
      </c>
      <c r="L73" s="26">
        <f>IF($B73="","",IF($K73="","—",IF(ROUND($K73-$J73,0)=0,"√","×")))</f>
        <v/>
      </c>
      <c r="M73" s="26">
        <f>IF($B73="","",IF(COUNTIFS(EntryDates,$B73,CalcTime,$C73,CalcBank,$C$5,EntryParty,$D73,EntryDep,$H73,EntryWit,$I73)&gt;1,"تکرار",""))</f>
        <v/>
      </c>
      <c r="N73" s="26">
        <f>IF($P73="","",IF(INDEX(EntryNotes,$P73)=0,"",INDEX(EntryNotes,$P73)))</f>
        <v/>
      </c>
      <c r="O73" s="26">
        <f>IF($P73="","",IF(INDEX(EntryTxnID,$P73)=0,"",INDEX(EntryTxnID,$P73)))</f>
        <v/>
      </c>
      <c r="P73" s="26">
        <f>IFERROR(MATCH($C$5&amp;"|"&amp;RIGHT("000000"&amp;57,6),CalcRankKey,0),"")</f>
        <v/>
      </c>
    </row>
    <row r="74">
      <c r="A74" s="28">
        <f>IF($B74="","",58)</f>
        <v/>
      </c>
      <c r="B74" s="28">
        <f>IF($P74="","",IF(INDEX(CalcNormDate,$P74)=0,"",INDEX(CalcNormDate,$P74)))</f>
        <v/>
      </c>
      <c r="C74" s="28">
        <f>IF($P74="","",IF(INDEX(CalcTime,$P74)=0,"",INDEX(CalcTime,$P74)))</f>
        <v/>
      </c>
      <c r="D74" s="28">
        <f>IF($P74="","",IF(INDEX(EntryParty,$P74)=0,"",INDEX(EntryParty,$P74)))</f>
        <v/>
      </c>
      <c r="E74" s="28">
        <f>IF($P74="","",IF(INDEX(EntryPartyName,$P74)=0,"",INDEX(EntryPartyName,$P74)))</f>
        <v/>
      </c>
      <c r="F74" s="28">
        <f>IF($P74="","",IF(INDEX(EntryPartyType,$P74)=0,"",INDEX(EntryPartyType,$P74)))</f>
        <v/>
      </c>
      <c r="G74" s="28">
        <f>IF($P74="","",IF(INDEX(EntryTxnType,$P74)=0,"",INDEX(EntryTxnType,$P74)))</f>
        <v/>
      </c>
      <c r="H74" s="29">
        <f>IF($P74="","",IF(INDEX(EntryDep,$P74)=0,"",INDEX(EntryDep,$P74)))</f>
        <v/>
      </c>
      <c r="I74" s="29">
        <f>IF($P74="","",IF(INDEX(EntryWit,$P74)=0,"",INDEX(EntryWit,$P74)))</f>
        <v/>
      </c>
      <c r="J74" s="29">
        <f>IF($B74="","",IF($A74=1,$C$7,IF(J73="",0,J73))+IF($H74="",0,$H74)-IF($I74="",0,$I74))</f>
        <v/>
      </c>
      <c r="K74" s="29">
        <f>IF($P74="","",IF(INDEX(EntryMan,$P74)=0,"",INDEX(EntryMan,$P74)))</f>
        <v/>
      </c>
      <c r="L74" s="28">
        <f>IF($B74="","",IF($K74="","—",IF(ROUND($K74-$J74,0)=0,"√","×")))</f>
        <v/>
      </c>
      <c r="M74" s="28">
        <f>IF($B74="","",IF(COUNTIFS(EntryDates,$B74,CalcTime,$C74,CalcBank,$C$5,EntryParty,$D74,EntryDep,$H74,EntryWit,$I74)&gt;1,"تکرار",""))</f>
        <v/>
      </c>
      <c r="N74" s="28">
        <f>IF($P74="","",IF(INDEX(EntryNotes,$P74)=0,"",INDEX(EntryNotes,$P74)))</f>
        <v/>
      </c>
      <c r="O74" s="28">
        <f>IF($P74="","",IF(INDEX(EntryTxnID,$P74)=0,"",INDEX(EntryTxnID,$P74)))</f>
        <v/>
      </c>
      <c r="P74" s="28">
        <f>IFERROR(MATCH($C$5&amp;"|"&amp;RIGHT("000000"&amp;58,6),CalcRankKey,0),"")</f>
        <v/>
      </c>
    </row>
    <row r="75">
      <c r="A75" s="26">
        <f>IF($B75="","",59)</f>
        <v/>
      </c>
      <c r="B75" s="26">
        <f>IF($P75="","",IF(INDEX(CalcNormDate,$P75)=0,"",INDEX(CalcNormDate,$P75)))</f>
        <v/>
      </c>
      <c r="C75" s="26">
        <f>IF($P75="","",IF(INDEX(CalcTime,$P75)=0,"",INDEX(CalcTime,$P75)))</f>
        <v/>
      </c>
      <c r="D75" s="26">
        <f>IF($P75="","",IF(INDEX(EntryParty,$P75)=0,"",INDEX(EntryParty,$P75)))</f>
        <v/>
      </c>
      <c r="E75" s="26">
        <f>IF($P75="","",IF(INDEX(EntryPartyName,$P75)=0,"",INDEX(EntryPartyName,$P75)))</f>
        <v/>
      </c>
      <c r="F75" s="26">
        <f>IF($P75="","",IF(INDEX(EntryPartyType,$P75)=0,"",INDEX(EntryPartyType,$P75)))</f>
        <v/>
      </c>
      <c r="G75" s="26">
        <f>IF($P75="","",IF(INDEX(EntryTxnType,$P75)=0,"",INDEX(EntryTxnType,$P75)))</f>
        <v/>
      </c>
      <c r="H75" s="27">
        <f>IF($P75="","",IF(INDEX(EntryDep,$P75)=0,"",INDEX(EntryDep,$P75)))</f>
        <v/>
      </c>
      <c r="I75" s="27">
        <f>IF($P75="","",IF(INDEX(EntryWit,$P75)=0,"",INDEX(EntryWit,$P75)))</f>
        <v/>
      </c>
      <c r="J75" s="27">
        <f>IF($B75="","",IF($A75=1,$C$7,IF(J74="",0,J74))+IF($H75="",0,$H75)-IF($I75="",0,$I75))</f>
        <v/>
      </c>
      <c r="K75" s="27">
        <f>IF($P75="","",IF(INDEX(EntryMan,$P75)=0,"",INDEX(EntryMan,$P75)))</f>
        <v/>
      </c>
      <c r="L75" s="26">
        <f>IF($B75="","",IF($K75="","—",IF(ROUND($K75-$J75,0)=0,"√","×")))</f>
        <v/>
      </c>
      <c r="M75" s="26">
        <f>IF($B75="","",IF(COUNTIFS(EntryDates,$B75,CalcTime,$C75,CalcBank,$C$5,EntryParty,$D75,EntryDep,$H75,EntryWit,$I75)&gt;1,"تکرار",""))</f>
        <v/>
      </c>
      <c r="N75" s="26">
        <f>IF($P75="","",IF(INDEX(EntryNotes,$P75)=0,"",INDEX(EntryNotes,$P75)))</f>
        <v/>
      </c>
      <c r="O75" s="26">
        <f>IF($P75="","",IF(INDEX(EntryTxnID,$P75)=0,"",INDEX(EntryTxnID,$P75)))</f>
        <v/>
      </c>
      <c r="P75" s="26">
        <f>IFERROR(MATCH($C$5&amp;"|"&amp;RIGHT("000000"&amp;59,6),CalcRankKey,0),"")</f>
        <v/>
      </c>
    </row>
    <row r="76">
      <c r="A76" s="28">
        <f>IF($B76="","",60)</f>
        <v/>
      </c>
      <c r="B76" s="28">
        <f>IF($P76="","",IF(INDEX(CalcNormDate,$P76)=0,"",INDEX(CalcNormDate,$P76)))</f>
        <v/>
      </c>
      <c r="C76" s="28">
        <f>IF($P76="","",IF(INDEX(CalcTime,$P76)=0,"",INDEX(CalcTime,$P76)))</f>
        <v/>
      </c>
      <c r="D76" s="28">
        <f>IF($P76="","",IF(INDEX(EntryParty,$P76)=0,"",INDEX(EntryParty,$P76)))</f>
        <v/>
      </c>
      <c r="E76" s="28">
        <f>IF($P76="","",IF(INDEX(EntryPartyName,$P76)=0,"",INDEX(EntryPartyName,$P76)))</f>
        <v/>
      </c>
      <c r="F76" s="28">
        <f>IF($P76="","",IF(INDEX(EntryPartyType,$P76)=0,"",INDEX(EntryPartyType,$P76)))</f>
        <v/>
      </c>
      <c r="G76" s="28">
        <f>IF($P76="","",IF(INDEX(EntryTxnType,$P76)=0,"",INDEX(EntryTxnType,$P76)))</f>
        <v/>
      </c>
      <c r="H76" s="29">
        <f>IF($P76="","",IF(INDEX(EntryDep,$P76)=0,"",INDEX(EntryDep,$P76)))</f>
        <v/>
      </c>
      <c r="I76" s="29">
        <f>IF($P76="","",IF(INDEX(EntryWit,$P76)=0,"",INDEX(EntryWit,$P76)))</f>
        <v/>
      </c>
      <c r="J76" s="29">
        <f>IF($B76="","",IF($A76=1,$C$7,IF(J75="",0,J75))+IF($H76="",0,$H76)-IF($I76="",0,$I76))</f>
        <v/>
      </c>
      <c r="K76" s="29">
        <f>IF($P76="","",IF(INDEX(EntryMan,$P76)=0,"",INDEX(EntryMan,$P76)))</f>
        <v/>
      </c>
      <c r="L76" s="28">
        <f>IF($B76="","",IF($K76="","—",IF(ROUND($K76-$J76,0)=0,"√","×")))</f>
        <v/>
      </c>
      <c r="M76" s="28">
        <f>IF($B76="","",IF(COUNTIFS(EntryDates,$B76,CalcTime,$C76,CalcBank,$C$5,EntryParty,$D76,EntryDep,$H76,EntryWit,$I76)&gt;1,"تکرار",""))</f>
        <v/>
      </c>
      <c r="N76" s="28">
        <f>IF($P76="","",IF(INDEX(EntryNotes,$P76)=0,"",INDEX(EntryNotes,$P76)))</f>
        <v/>
      </c>
      <c r="O76" s="28">
        <f>IF($P76="","",IF(INDEX(EntryTxnID,$P76)=0,"",INDEX(EntryTxnID,$P76)))</f>
        <v/>
      </c>
      <c r="P76" s="28">
        <f>IFERROR(MATCH($C$5&amp;"|"&amp;RIGHT("000000"&amp;60,6),CalcRankKey,0),"")</f>
        <v/>
      </c>
    </row>
    <row r="77">
      <c r="A77" s="26">
        <f>IF($B77="","",61)</f>
        <v/>
      </c>
      <c r="B77" s="26">
        <f>IF($P77="","",IF(INDEX(CalcNormDate,$P77)=0,"",INDEX(CalcNormDate,$P77)))</f>
        <v/>
      </c>
      <c r="C77" s="26">
        <f>IF($P77="","",IF(INDEX(CalcTime,$P77)=0,"",INDEX(CalcTime,$P77)))</f>
        <v/>
      </c>
      <c r="D77" s="26">
        <f>IF($P77="","",IF(INDEX(EntryParty,$P77)=0,"",INDEX(EntryParty,$P77)))</f>
        <v/>
      </c>
      <c r="E77" s="26">
        <f>IF($P77="","",IF(INDEX(EntryPartyName,$P77)=0,"",INDEX(EntryPartyName,$P77)))</f>
        <v/>
      </c>
      <c r="F77" s="26">
        <f>IF($P77="","",IF(INDEX(EntryPartyType,$P77)=0,"",INDEX(EntryPartyType,$P77)))</f>
        <v/>
      </c>
      <c r="G77" s="26">
        <f>IF($P77="","",IF(INDEX(EntryTxnType,$P77)=0,"",INDEX(EntryTxnType,$P77)))</f>
        <v/>
      </c>
      <c r="H77" s="27">
        <f>IF($P77="","",IF(INDEX(EntryDep,$P77)=0,"",INDEX(EntryDep,$P77)))</f>
        <v/>
      </c>
      <c r="I77" s="27">
        <f>IF($P77="","",IF(INDEX(EntryWit,$P77)=0,"",INDEX(EntryWit,$P77)))</f>
        <v/>
      </c>
      <c r="J77" s="27">
        <f>IF($B77="","",IF($A77=1,$C$7,IF(J76="",0,J76))+IF($H77="",0,$H77)-IF($I77="",0,$I77))</f>
        <v/>
      </c>
      <c r="K77" s="27">
        <f>IF($P77="","",IF(INDEX(EntryMan,$P77)=0,"",INDEX(EntryMan,$P77)))</f>
        <v/>
      </c>
      <c r="L77" s="26">
        <f>IF($B77="","",IF($K77="","—",IF(ROUND($K77-$J77,0)=0,"√","×")))</f>
        <v/>
      </c>
      <c r="M77" s="26">
        <f>IF($B77="","",IF(COUNTIFS(EntryDates,$B77,CalcTime,$C77,CalcBank,$C$5,EntryParty,$D77,EntryDep,$H77,EntryWit,$I77)&gt;1,"تکرار",""))</f>
        <v/>
      </c>
      <c r="N77" s="26">
        <f>IF($P77="","",IF(INDEX(EntryNotes,$P77)=0,"",INDEX(EntryNotes,$P77)))</f>
        <v/>
      </c>
      <c r="O77" s="26">
        <f>IF($P77="","",IF(INDEX(EntryTxnID,$P77)=0,"",INDEX(EntryTxnID,$P77)))</f>
        <v/>
      </c>
      <c r="P77" s="26">
        <f>IFERROR(MATCH($C$5&amp;"|"&amp;RIGHT("000000"&amp;61,6),CalcRankKey,0),"")</f>
        <v/>
      </c>
    </row>
    <row r="78">
      <c r="A78" s="28">
        <f>IF($B78="","",62)</f>
        <v/>
      </c>
      <c r="B78" s="28">
        <f>IF($P78="","",IF(INDEX(CalcNormDate,$P78)=0,"",INDEX(CalcNormDate,$P78)))</f>
        <v/>
      </c>
      <c r="C78" s="28">
        <f>IF($P78="","",IF(INDEX(CalcTime,$P78)=0,"",INDEX(CalcTime,$P78)))</f>
        <v/>
      </c>
      <c r="D78" s="28">
        <f>IF($P78="","",IF(INDEX(EntryParty,$P78)=0,"",INDEX(EntryParty,$P78)))</f>
        <v/>
      </c>
      <c r="E78" s="28">
        <f>IF($P78="","",IF(INDEX(EntryPartyName,$P78)=0,"",INDEX(EntryPartyName,$P78)))</f>
        <v/>
      </c>
      <c r="F78" s="28">
        <f>IF($P78="","",IF(INDEX(EntryPartyType,$P78)=0,"",INDEX(EntryPartyType,$P78)))</f>
        <v/>
      </c>
      <c r="G78" s="28">
        <f>IF($P78="","",IF(INDEX(EntryTxnType,$P78)=0,"",INDEX(EntryTxnType,$P78)))</f>
        <v/>
      </c>
      <c r="H78" s="29">
        <f>IF($P78="","",IF(INDEX(EntryDep,$P78)=0,"",INDEX(EntryDep,$P78)))</f>
        <v/>
      </c>
      <c r="I78" s="29">
        <f>IF($P78="","",IF(INDEX(EntryWit,$P78)=0,"",INDEX(EntryWit,$P78)))</f>
        <v/>
      </c>
      <c r="J78" s="29">
        <f>IF($B78="","",IF($A78=1,$C$7,IF(J77="",0,J77))+IF($H78="",0,$H78)-IF($I78="",0,$I78))</f>
        <v/>
      </c>
      <c r="K78" s="29">
        <f>IF($P78="","",IF(INDEX(EntryMan,$P78)=0,"",INDEX(EntryMan,$P78)))</f>
        <v/>
      </c>
      <c r="L78" s="28">
        <f>IF($B78="","",IF($K78="","—",IF(ROUND($K78-$J78,0)=0,"√","×")))</f>
        <v/>
      </c>
      <c r="M78" s="28">
        <f>IF($B78="","",IF(COUNTIFS(EntryDates,$B78,CalcTime,$C78,CalcBank,$C$5,EntryParty,$D78,EntryDep,$H78,EntryWit,$I78)&gt;1,"تکرار",""))</f>
        <v/>
      </c>
      <c r="N78" s="28">
        <f>IF($P78="","",IF(INDEX(EntryNotes,$P78)=0,"",INDEX(EntryNotes,$P78)))</f>
        <v/>
      </c>
      <c r="O78" s="28">
        <f>IF($P78="","",IF(INDEX(EntryTxnID,$P78)=0,"",INDEX(EntryTxnID,$P78)))</f>
        <v/>
      </c>
      <c r="P78" s="28">
        <f>IFERROR(MATCH($C$5&amp;"|"&amp;RIGHT("000000"&amp;62,6),CalcRankKey,0),"")</f>
        <v/>
      </c>
    </row>
    <row r="79">
      <c r="A79" s="26">
        <f>IF($B79="","",63)</f>
        <v/>
      </c>
      <c r="B79" s="26">
        <f>IF($P79="","",IF(INDEX(CalcNormDate,$P79)=0,"",INDEX(CalcNormDate,$P79)))</f>
        <v/>
      </c>
      <c r="C79" s="26">
        <f>IF($P79="","",IF(INDEX(CalcTime,$P79)=0,"",INDEX(CalcTime,$P79)))</f>
        <v/>
      </c>
      <c r="D79" s="26">
        <f>IF($P79="","",IF(INDEX(EntryParty,$P79)=0,"",INDEX(EntryParty,$P79)))</f>
        <v/>
      </c>
      <c r="E79" s="26">
        <f>IF($P79="","",IF(INDEX(EntryPartyName,$P79)=0,"",INDEX(EntryPartyName,$P79)))</f>
        <v/>
      </c>
      <c r="F79" s="26">
        <f>IF($P79="","",IF(INDEX(EntryPartyType,$P79)=0,"",INDEX(EntryPartyType,$P79)))</f>
        <v/>
      </c>
      <c r="G79" s="26">
        <f>IF($P79="","",IF(INDEX(EntryTxnType,$P79)=0,"",INDEX(EntryTxnType,$P79)))</f>
        <v/>
      </c>
      <c r="H79" s="27">
        <f>IF($P79="","",IF(INDEX(EntryDep,$P79)=0,"",INDEX(EntryDep,$P79)))</f>
        <v/>
      </c>
      <c r="I79" s="27">
        <f>IF($P79="","",IF(INDEX(EntryWit,$P79)=0,"",INDEX(EntryWit,$P79)))</f>
        <v/>
      </c>
      <c r="J79" s="27">
        <f>IF($B79="","",IF($A79=1,$C$7,IF(J78="",0,J78))+IF($H79="",0,$H79)-IF($I79="",0,$I79))</f>
        <v/>
      </c>
      <c r="K79" s="27">
        <f>IF($P79="","",IF(INDEX(EntryMan,$P79)=0,"",INDEX(EntryMan,$P79)))</f>
        <v/>
      </c>
      <c r="L79" s="26">
        <f>IF($B79="","",IF($K79="","—",IF(ROUND($K79-$J79,0)=0,"√","×")))</f>
        <v/>
      </c>
      <c r="M79" s="26">
        <f>IF($B79="","",IF(COUNTIFS(EntryDates,$B79,CalcTime,$C79,CalcBank,$C$5,EntryParty,$D79,EntryDep,$H79,EntryWit,$I79)&gt;1,"تکرار",""))</f>
        <v/>
      </c>
      <c r="N79" s="26">
        <f>IF($P79="","",IF(INDEX(EntryNotes,$P79)=0,"",INDEX(EntryNotes,$P79)))</f>
        <v/>
      </c>
      <c r="O79" s="26">
        <f>IF($P79="","",IF(INDEX(EntryTxnID,$P79)=0,"",INDEX(EntryTxnID,$P79)))</f>
        <v/>
      </c>
      <c r="P79" s="26">
        <f>IFERROR(MATCH($C$5&amp;"|"&amp;RIGHT("000000"&amp;63,6),CalcRankKey,0),"")</f>
        <v/>
      </c>
    </row>
    <row r="80">
      <c r="A80" s="28">
        <f>IF($B80="","",64)</f>
        <v/>
      </c>
      <c r="B80" s="28">
        <f>IF($P80="","",IF(INDEX(CalcNormDate,$P80)=0,"",INDEX(CalcNormDate,$P80)))</f>
        <v/>
      </c>
      <c r="C80" s="28">
        <f>IF($P80="","",IF(INDEX(CalcTime,$P80)=0,"",INDEX(CalcTime,$P80)))</f>
        <v/>
      </c>
      <c r="D80" s="28">
        <f>IF($P80="","",IF(INDEX(EntryParty,$P80)=0,"",INDEX(EntryParty,$P80)))</f>
        <v/>
      </c>
      <c r="E80" s="28">
        <f>IF($P80="","",IF(INDEX(EntryPartyName,$P80)=0,"",INDEX(EntryPartyName,$P80)))</f>
        <v/>
      </c>
      <c r="F80" s="28">
        <f>IF($P80="","",IF(INDEX(EntryPartyType,$P80)=0,"",INDEX(EntryPartyType,$P80)))</f>
        <v/>
      </c>
      <c r="G80" s="28">
        <f>IF($P80="","",IF(INDEX(EntryTxnType,$P80)=0,"",INDEX(EntryTxnType,$P80)))</f>
        <v/>
      </c>
      <c r="H80" s="29">
        <f>IF($P80="","",IF(INDEX(EntryDep,$P80)=0,"",INDEX(EntryDep,$P80)))</f>
        <v/>
      </c>
      <c r="I80" s="29">
        <f>IF($P80="","",IF(INDEX(EntryWit,$P80)=0,"",INDEX(EntryWit,$P80)))</f>
        <v/>
      </c>
      <c r="J80" s="29">
        <f>IF($B80="","",IF($A80=1,$C$7,IF(J79="",0,J79))+IF($H80="",0,$H80)-IF($I80="",0,$I80))</f>
        <v/>
      </c>
      <c r="K80" s="29">
        <f>IF($P80="","",IF(INDEX(EntryMan,$P80)=0,"",INDEX(EntryMan,$P80)))</f>
        <v/>
      </c>
      <c r="L80" s="28">
        <f>IF($B80="","",IF($K80="","—",IF(ROUND($K80-$J80,0)=0,"√","×")))</f>
        <v/>
      </c>
      <c r="M80" s="28">
        <f>IF($B80="","",IF(COUNTIFS(EntryDates,$B80,CalcTime,$C80,CalcBank,$C$5,EntryParty,$D80,EntryDep,$H80,EntryWit,$I80)&gt;1,"تکرار",""))</f>
        <v/>
      </c>
      <c r="N80" s="28">
        <f>IF($P80="","",IF(INDEX(EntryNotes,$P80)=0,"",INDEX(EntryNotes,$P80)))</f>
        <v/>
      </c>
      <c r="O80" s="28">
        <f>IF($P80="","",IF(INDEX(EntryTxnID,$P80)=0,"",INDEX(EntryTxnID,$P80)))</f>
        <v/>
      </c>
      <c r="P80" s="28">
        <f>IFERROR(MATCH($C$5&amp;"|"&amp;RIGHT("000000"&amp;64,6),CalcRankKey,0),"")</f>
        <v/>
      </c>
    </row>
    <row r="81">
      <c r="A81" s="26">
        <f>IF($B81="","",65)</f>
        <v/>
      </c>
      <c r="B81" s="26">
        <f>IF($P81="","",IF(INDEX(CalcNormDate,$P81)=0,"",INDEX(CalcNormDate,$P81)))</f>
        <v/>
      </c>
      <c r="C81" s="26">
        <f>IF($P81="","",IF(INDEX(CalcTime,$P81)=0,"",INDEX(CalcTime,$P81)))</f>
        <v/>
      </c>
      <c r="D81" s="26">
        <f>IF($P81="","",IF(INDEX(EntryParty,$P81)=0,"",INDEX(EntryParty,$P81)))</f>
        <v/>
      </c>
      <c r="E81" s="26">
        <f>IF($P81="","",IF(INDEX(EntryPartyName,$P81)=0,"",INDEX(EntryPartyName,$P81)))</f>
        <v/>
      </c>
      <c r="F81" s="26">
        <f>IF($P81="","",IF(INDEX(EntryPartyType,$P81)=0,"",INDEX(EntryPartyType,$P81)))</f>
        <v/>
      </c>
      <c r="G81" s="26">
        <f>IF($P81="","",IF(INDEX(EntryTxnType,$P81)=0,"",INDEX(EntryTxnType,$P81)))</f>
        <v/>
      </c>
      <c r="H81" s="27">
        <f>IF($P81="","",IF(INDEX(EntryDep,$P81)=0,"",INDEX(EntryDep,$P81)))</f>
        <v/>
      </c>
      <c r="I81" s="27">
        <f>IF($P81="","",IF(INDEX(EntryWit,$P81)=0,"",INDEX(EntryWit,$P81)))</f>
        <v/>
      </c>
      <c r="J81" s="27">
        <f>IF($B81="","",IF($A81=1,$C$7,IF(J80="",0,J80))+IF($H81="",0,$H81)-IF($I81="",0,$I81))</f>
        <v/>
      </c>
      <c r="K81" s="27">
        <f>IF($P81="","",IF(INDEX(EntryMan,$P81)=0,"",INDEX(EntryMan,$P81)))</f>
        <v/>
      </c>
      <c r="L81" s="26">
        <f>IF($B81="","",IF($K81="","—",IF(ROUND($K81-$J81,0)=0,"√","×")))</f>
        <v/>
      </c>
      <c r="M81" s="26">
        <f>IF($B81="","",IF(COUNTIFS(EntryDates,$B81,CalcTime,$C81,CalcBank,$C$5,EntryParty,$D81,EntryDep,$H81,EntryWit,$I81)&gt;1,"تکرار",""))</f>
        <v/>
      </c>
      <c r="N81" s="26">
        <f>IF($P81="","",IF(INDEX(EntryNotes,$P81)=0,"",INDEX(EntryNotes,$P81)))</f>
        <v/>
      </c>
      <c r="O81" s="26">
        <f>IF($P81="","",IF(INDEX(EntryTxnID,$P81)=0,"",INDEX(EntryTxnID,$P81)))</f>
        <v/>
      </c>
      <c r="P81" s="26">
        <f>IFERROR(MATCH($C$5&amp;"|"&amp;RIGHT("000000"&amp;65,6),CalcRankKey,0),"")</f>
        <v/>
      </c>
    </row>
    <row r="82">
      <c r="A82" s="28">
        <f>IF($B82="","",66)</f>
        <v/>
      </c>
      <c r="B82" s="28">
        <f>IF($P82="","",IF(INDEX(CalcNormDate,$P82)=0,"",INDEX(CalcNormDate,$P82)))</f>
        <v/>
      </c>
      <c r="C82" s="28">
        <f>IF($P82="","",IF(INDEX(CalcTime,$P82)=0,"",INDEX(CalcTime,$P82)))</f>
        <v/>
      </c>
      <c r="D82" s="28">
        <f>IF($P82="","",IF(INDEX(EntryParty,$P82)=0,"",INDEX(EntryParty,$P82)))</f>
        <v/>
      </c>
      <c r="E82" s="28">
        <f>IF($P82="","",IF(INDEX(EntryPartyName,$P82)=0,"",INDEX(EntryPartyName,$P82)))</f>
        <v/>
      </c>
      <c r="F82" s="28">
        <f>IF($P82="","",IF(INDEX(EntryPartyType,$P82)=0,"",INDEX(EntryPartyType,$P82)))</f>
        <v/>
      </c>
      <c r="G82" s="28">
        <f>IF($P82="","",IF(INDEX(EntryTxnType,$P82)=0,"",INDEX(EntryTxnType,$P82)))</f>
        <v/>
      </c>
      <c r="H82" s="29">
        <f>IF($P82="","",IF(INDEX(EntryDep,$P82)=0,"",INDEX(EntryDep,$P82)))</f>
        <v/>
      </c>
      <c r="I82" s="29">
        <f>IF($P82="","",IF(INDEX(EntryWit,$P82)=0,"",INDEX(EntryWit,$P82)))</f>
        <v/>
      </c>
      <c r="J82" s="29">
        <f>IF($B82="","",IF($A82=1,$C$7,IF(J81="",0,J81))+IF($H82="",0,$H82)-IF($I82="",0,$I82))</f>
        <v/>
      </c>
      <c r="K82" s="29">
        <f>IF($P82="","",IF(INDEX(EntryMan,$P82)=0,"",INDEX(EntryMan,$P82)))</f>
        <v/>
      </c>
      <c r="L82" s="28">
        <f>IF($B82="","",IF($K82="","—",IF(ROUND($K82-$J82,0)=0,"√","×")))</f>
        <v/>
      </c>
      <c r="M82" s="28">
        <f>IF($B82="","",IF(COUNTIFS(EntryDates,$B82,CalcTime,$C82,CalcBank,$C$5,EntryParty,$D82,EntryDep,$H82,EntryWit,$I82)&gt;1,"تکرار",""))</f>
        <v/>
      </c>
      <c r="N82" s="28">
        <f>IF($P82="","",IF(INDEX(EntryNotes,$P82)=0,"",INDEX(EntryNotes,$P82)))</f>
        <v/>
      </c>
      <c r="O82" s="28">
        <f>IF($P82="","",IF(INDEX(EntryTxnID,$P82)=0,"",INDEX(EntryTxnID,$P82)))</f>
        <v/>
      </c>
      <c r="P82" s="28">
        <f>IFERROR(MATCH($C$5&amp;"|"&amp;RIGHT("000000"&amp;66,6),CalcRankKey,0),"")</f>
        <v/>
      </c>
    </row>
    <row r="83">
      <c r="A83" s="26">
        <f>IF($B83="","",67)</f>
        <v/>
      </c>
      <c r="B83" s="26">
        <f>IF($P83="","",IF(INDEX(CalcNormDate,$P83)=0,"",INDEX(CalcNormDate,$P83)))</f>
        <v/>
      </c>
      <c r="C83" s="26">
        <f>IF($P83="","",IF(INDEX(CalcTime,$P83)=0,"",INDEX(CalcTime,$P83)))</f>
        <v/>
      </c>
      <c r="D83" s="26">
        <f>IF($P83="","",IF(INDEX(EntryParty,$P83)=0,"",INDEX(EntryParty,$P83)))</f>
        <v/>
      </c>
      <c r="E83" s="26">
        <f>IF($P83="","",IF(INDEX(EntryPartyName,$P83)=0,"",INDEX(EntryPartyName,$P83)))</f>
        <v/>
      </c>
      <c r="F83" s="26">
        <f>IF($P83="","",IF(INDEX(EntryPartyType,$P83)=0,"",INDEX(EntryPartyType,$P83)))</f>
        <v/>
      </c>
      <c r="G83" s="26">
        <f>IF($P83="","",IF(INDEX(EntryTxnType,$P83)=0,"",INDEX(EntryTxnType,$P83)))</f>
        <v/>
      </c>
      <c r="H83" s="27">
        <f>IF($P83="","",IF(INDEX(EntryDep,$P83)=0,"",INDEX(EntryDep,$P83)))</f>
        <v/>
      </c>
      <c r="I83" s="27">
        <f>IF($P83="","",IF(INDEX(EntryWit,$P83)=0,"",INDEX(EntryWit,$P83)))</f>
        <v/>
      </c>
      <c r="J83" s="27">
        <f>IF($B83="","",IF($A83=1,$C$7,IF(J82="",0,J82))+IF($H83="",0,$H83)-IF($I83="",0,$I83))</f>
        <v/>
      </c>
      <c r="K83" s="27">
        <f>IF($P83="","",IF(INDEX(EntryMan,$P83)=0,"",INDEX(EntryMan,$P83)))</f>
        <v/>
      </c>
      <c r="L83" s="26">
        <f>IF($B83="","",IF($K83="","—",IF(ROUND($K83-$J83,0)=0,"√","×")))</f>
        <v/>
      </c>
      <c r="M83" s="26">
        <f>IF($B83="","",IF(COUNTIFS(EntryDates,$B83,CalcTime,$C83,CalcBank,$C$5,EntryParty,$D83,EntryDep,$H83,EntryWit,$I83)&gt;1,"تکرار",""))</f>
        <v/>
      </c>
      <c r="N83" s="26">
        <f>IF($P83="","",IF(INDEX(EntryNotes,$P83)=0,"",INDEX(EntryNotes,$P83)))</f>
        <v/>
      </c>
      <c r="O83" s="26">
        <f>IF($P83="","",IF(INDEX(EntryTxnID,$P83)=0,"",INDEX(EntryTxnID,$P83)))</f>
        <v/>
      </c>
      <c r="P83" s="26">
        <f>IFERROR(MATCH($C$5&amp;"|"&amp;RIGHT("000000"&amp;67,6),CalcRankKey,0),"")</f>
        <v/>
      </c>
    </row>
    <row r="84">
      <c r="A84" s="28">
        <f>IF($B84="","",68)</f>
        <v/>
      </c>
      <c r="B84" s="28">
        <f>IF($P84="","",IF(INDEX(CalcNormDate,$P84)=0,"",INDEX(CalcNormDate,$P84)))</f>
        <v/>
      </c>
      <c r="C84" s="28">
        <f>IF($P84="","",IF(INDEX(CalcTime,$P84)=0,"",INDEX(CalcTime,$P84)))</f>
        <v/>
      </c>
      <c r="D84" s="28">
        <f>IF($P84="","",IF(INDEX(EntryParty,$P84)=0,"",INDEX(EntryParty,$P84)))</f>
        <v/>
      </c>
      <c r="E84" s="28">
        <f>IF($P84="","",IF(INDEX(EntryPartyName,$P84)=0,"",INDEX(EntryPartyName,$P84)))</f>
        <v/>
      </c>
      <c r="F84" s="28">
        <f>IF($P84="","",IF(INDEX(EntryPartyType,$P84)=0,"",INDEX(EntryPartyType,$P84)))</f>
        <v/>
      </c>
      <c r="G84" s="28">
        <f>IF($P84="","",IF(INDEX(EntryTxnType,$P84)=0,"",INDEX(EntryTxnType,$P84)))</f>
        <v/>
      </c>
      <c r="H84" s="29">
        <f>IF($P84="","",IF(INDEX(EntryDep,$P84)=0,"",INDEX(EntryDep,$P84)))</f>
        <v/>
      </c>
      <c r="I84" s="29">
        <f>IF($P84="","",IF(INDEX(EntryWit,$P84)=0,"",INDEX(EntryWit,$P84)))</f>
        <v/>
      </c>
      <c r="J84" s="29">
        <f>IF($B84="","",IF($A84=1,$C$7,IF(J83="",0,J83))+IF($H84="",0,$H84)-IF($I84="",0,$I84))</f>
        <v/>
      </c>
      <c r="K84" s="29">
        <f>IF($P84="","",IF(INDEX(EntryMan,$P84)=0,"",INDEX(EntryMan,$P84)))</f>
        <v/>
      </c>
      <c r="L84" s="28">
        <f>IF($B84="","",IF($K84="","—",IF(ROUND($K84-$J84,0)=0,"√","×")))</f>
        <v/>
      </c>
      <c r="M84" s="28">
        <f>IF($B84="","",IF(COUNTIFS(EntryDates,$B84,CalcTime,$C84,CalcBank,$C$5,EntryParty,$D84,EntryDep,$H84,EntryWit,$I84)&gt;1,"تکرار",""))</f>
        <v/>
      </c>
      <c r="N84" s="28">
        <f>IF($P84="","",IF(INDEX(EntryNotes,$P84)=0,"",INDEX(EntryNotes,$P84)))</f>
        <v/>
      </c>
      <c r="O84" s="28">
        <f>IF($P84="","",IF(INDEX(EntryTxnID,$P84)=0,"",INDEX(EntryTxnID,$P84)))</f>
        <v/>
      </c>
      <c r="P84" s="28">
        <f>IFERROR(MATCH($C$5&amp;"|"&amp;RIGHT("000000"&amp;68,6),CalcRankKey,0),"")</f>
        <v/>
      </c>
    </row>
    <row r="85">
      <c r="A85" s="26">
        <f>IF($B85="","",69)</f>
        <v/>
      </c>
      <c r="B85" s="26">
        <f>IF($P85="","",IF(INDEX(CalcNormDate,$P85)=0,"",INDEX(CalcNormDate,$P85)))</f>
        <v/>
      </c>
      <c r="C85" s="26">
        <f>IF($P85="","",IF(INDEX(CalcTime,$P85)=0,"",INDEX(CalcTime,$P85)))</f>
        <v/>
      </c>
      <c r="D85" s="26">
        <f>IF($P85="","",IF(INDEX(EntryParty,$P85)=0,"",INDEX(EntryParty,$P85)))</f>
        <v/>
      </c>
      <c r="E85" s="26">
        <f>IF($P85="","",IF(INDEX(EntryPartyName,$P85)=0,"",INDEX(EntryPartyName,$P85)))</f>
        <v/>
      </c>
      <c r="F85" s="26">
        <f>IF($P85="","",IF(INDEX(EntryPartyType,$P85)=0,"",INDEX(EntryPartyType,$P85)))</f>
        <v/>
      </c>
      <c r="G85" s="26">
        <f>IF($P85="","",IF(INDEX(EntryTxnType,$P85)=0,"",INDEX(EntryTxnType,$P85)))</f>
        <v/>
      </c>
      <c r="H85" s="27">
        <f>IF($P85="","",IF(INDEX(EntryDep,$P85)=0,"",INDEX(EntryDep,$P85)))</f>
        <v/>
      </c>
      <c r="I85" s="27">
        <f>IF($P85="","",IF(INDEX(EntryWit,$P85)=0,"",INDEX(EntryWit,$P85)))</f>
        <v/>
      </c>
      <c r="J85" s="27">
        <f>IF($B85="","",IF($A85=1,$C$7,IF(J84="",0,J84))+IF($H85="",0,$H85)-IF($I85="",0,$I85))</f>
        <v/>
      </c>
      <c r="K85" s="27">
        <f>IF($P85="","",IF(INDEX(EntryMan,$P85)=0,"",INDEX(EntryMan,$P85)))</f>
        <v/>
      </c>
      <c r="L85" s="26">
        <f>IF($B85="","",IF($K85="","—",IF(ROUND($K85-$J85,0)=0,"√","×")))</f>
        <v/>
      </c>
      <c r="M85" s="26">
        <f>IF($B85="","",IF(COUNTIFS(EntryDates,$B85,CalcTime,$C85,CalcBank,$C$5,EntryParty,$D85,EntryDep,$H85,EntryWit,$I85)&gt;1,"تکرار",""))</f>
        <v/>
      </c>
      <c r="N85" s="26">
        <f>IF($P85="","",IF(INDEX(EntryNotes,$P85)=0,"",INDEX(EntryNotes,$P85)))</f>
        <v/>
      </c>
      <c r="O85" s="26">
        <f>IF($P85="","",IF(INDEX(EntryTxnID,$P85)=0,"",INDEX(EntryTxnID,$P85)))</f>
        <v/>
      </c>
      <c r="P85" s="26">
        <f>IFERROR(MATCH($C$5&amp;"|"&amp;RIGHT("000000"&amp;69,6),CalcRankKey,0),"")</f>
        <v/>
      </c>
    </row>
    <row r="86">
      <c r="A86" s="28">
        <f>IF($B86="","",70)</f>
        <v/>
      </c>
      <c r="B86" s="28">
        <f>IF($P86="","",IF(INDEX(CalcNormDate,$P86)=0,"",INDEX(CalcNormDate,$P86)))</f>
        <v/>
      </c>
      <c r="C86" s="28">
        <f>IF($P86="","",IF(INDEX(CalcTime,$P86)=0,"",INDEX(CalcTime,$P86)))</f>
        <v/>
      </c>
      <c r="D86" s="28">
        <f>IF($P86="","",IF(INDEX(EntryParty,$P86)=0,"",INDEX(EntryParty,$P86)))</f>
        <v/>
      </c>
      <c r="E86" s="28">
        <f>IF($P86="","",IF(INDEX(EntryPartyName,$P86)=0,"",INDEX(EntryPartyName,$P86)))</f>
        <v/>
      </c>
      <c r="F86" s="28">
        <f>IF($P86="","",IF(INDEX(EntryPartyType,$P86)=0,"",INDEX(EntryPartyType,$P86)))</f>
        <v/>
      </c>
      <c r="G86" s="28">
        <f>IF($P86="","",IF(INDEX(EntryTxnType,$P86)=0,"",INDEX(EntryTxnType,$P86)))</f>
        <v/>
      </c>
      <c r="H86" s="29">
        <f>IF($P86="","",IF(INDEX(EntryDep,$P86)=0,"",INDEX(EntryDep,$P86)))</f>
        <v/>
      </c>
      <c r="I86" s="29">
        <f>IF($P86="","",IF(INDEX(EntryWit,$P86)=0,"",INDEX(EntryWit,$P86)))</f>
        <v/>
      </c>
      <c r="J86" s="29">
        <f>IF($B86="","",IF($A86=1,$C$7,IF(J85="",0,J85))+IF($H86="",0,$H86)-IF($I86="",0,$I86))</f>
        <v/>
      </c>
      <c r="K86" s="29">
        <f>IF($P86="","",IF(INDEX(EntryMan,$P86)=0,"",INDEX(EntryMan,$P86)))</f>
        <v/>
      </c>
      <c r="L86" s="28">
        <f>IF($B86="","",IF($K86="","—",IF(ROUND($K86-$J86,0)=0,"√","×")))</f>
        <v/>
      </c>
      <c r="M86" s="28">
        <f>IF($B86="","",IF(COUNTIFS(EntryDates,$B86,CalcTime,$C86,CalcBank,$C$5,EntryParty,$D86,EntryDep,$H86,EntryWit,$I86)&gt;1,"تکرار",""))</f>
        <v/>
      </c>
      <c r="N86" s="28">
        <f>IF($P86="","",IF(INDEX(EntryNotes,$P86)=0,"",INDEX(EntryNotes,$P86)))</f>
        <v/>
      </c>
      <c r="O86" s="28">
        <f>IF($P86="","",IF(INDEX(EntryTxnID,$P86)=0,"",INDEX(EntryTxnID,$P86)))</f>
        <v/>
      </c>
      <c r="P86" s="28">
        <f>IFERROR(MATCH($C$5&amp;"|"&amp;RIGHT("000000"&amp;70,6),CalcRankKey,0),"")</f>
        <v/>
      </c>
    </row>
    <row r="87">
      <c r="A87" s="26">
        <f>IF($B87="","",71)</f>
        <v/>
      </c>
      <c r="B87" s="26">
        <f>IF($P87="","",IF(INDEX(CalcNormDate,$P87)=0,"",INDEX(CalcNormDate,$P87)))</f>
        <v/>
      </c>
      <c r="C87" s="26">
        <f>IF($P87="","",IF(INDEX(CalcTime,$P87)=0,"",INDEX(CalcTime,$P87)))</f>
        <v/>
      </c>
      <c r="D87" s="26">
        <f>IF($P87="","",IF(INDEX(EntryParty,$P87)=0,"",INDEX(EntryParty,$P87)))</f>
        <v/>
      </c>
      <c r="E87" s="26">
        <f>IF($P87="","",IF(INDEX(EntryPartyName,$P87)=0,"",INDEX(EntryPartyName,$P87)))</f>
        <v/>
      </c>
      <c r="F87" s="26">
        <f>IF($P87="","",IF(INDEX(EntryPartyType,$P87)=0,"",INDEX(EntryPartyType,$P87)))</f>
        <v/>
      </c>
      <c r="G87" s="26">
        <f>IF($P87="","",IF(INDEX(EntryTxnType,$P87)=0,"",INDEX(EntryTxnType,$P87)))</f>
        <v/>
      </c>
      <c r="H87" s="27">
        <f>IF($P87="","",IF(INDEX(EntryDep,$P87)=0,"",INDEX(EntryDep,$P87)))</f>
        <v/>
      </c>
      <c r="I87" s="27">
        <f>IF($P87="","",IF(INDEX(EntryWit,$P87)=0,"",INDEX(EntryWit,$P87)))</f>
        <v/>
      </c>
      <c r="J87" s="27">
        <f>IF($B87="","",IF($A87=1,$C$7,IF(J86="",0,J86))+IF($H87="",0,$H87)-IF($I87="",0,$I87))</f>
        <v/>
      </c>
      <c r="K87" s="27">
        <f>IF($P87="","",IF(INDEX(EntryMan,$P87)=0,"",INDEX(EntryMan,$P87)))</f>
        <v/>
      </c>
      <c r="L87" s="26">
        <f>IF($B87="","",IF($K87="","—",IF(ROUND($K87-$J87,0)=0,"√","×")))</f>
        <v/>
      </c>
      <c r="M87" s="26">
        <f>IF($B87="","",IF(COUNTIFS(EntryDates,$B87,CalcTime,$C87,CalcBank,$C$5,EntryParty,$D87,EntryDep,$H87,EntryWit,$I87)&gt;1,"تکرار",""))</f>
        <v/>
      </c>
      <c r="N87" s="26">
        <f>IF($P87="","",IF(INDEX(EntryNotes,$P87)=0,"",INDEX(EntryNotes,$P87)))</f>
        <v/>
      </c>
      <c r="O87" s="26">
        <f>IF($P87="","",IF(INDEX(EntryTxnID,$P87)=0,"",INDEX(EntryTxnID,$P87)))</f>
        <v/>
      </c>
      <c r="P87" s="26">
        <f>IFERROR(MATCH($C$5&amp;"|"&amp;RIGHT("000000"&amp;71,6),CalcRankKey,0),"")</f>
        <v/>
      </c>
    </row>
    <row r="88">
      <c r="A88" s="28">
        <f>IF($B88="","",72)</f>
        <v/>
      </c>
      <c r="B88" s="28">
        <f>IF($P88="","",IF(INDEX(CalcNormDate,$P88)=0,"",INDEX(CalcNormDate,$P88)))</f>
        <v/>
      </c>
      <c r="C88" s="28">
        <f>IF($P88="","",IF(INDEX(CalcTime,$P88)=0,"",INDEX(CalcTime,$P88)))</f>
        <v/>
      </c>
      <c r="D88" s="28">
        <f>IF($P88="","",IF(INDEX(EntryParty,$P88)=0,"",INDEX(EntryParty,$P88)))</f>
        <v/>
      </c>
      <c r="E88" s="28">
        <f>IF($P88="","",IF(INDEX(EntryPartyName,$P88)=0,"",INDEX(EntryPartyName,$P88)))</f>
        <v/>
      </c>
      <c r="F88" s="28">
        <f>IF($P88="","",IF(INDEX(EntryPartyType,$P88)=0,"",INDEX(EntryPartyType,$P88)))</f>
        <v/>
      </c>
      <c r="G88" s="28">
        <f>IF($P88="","",IF(INDEX(EntryTxnType,$P88)=0,"",INDEX(EntryTxnType,$P88)))</f>
        <v/>
      </c>
      <c r="H88" s="29">
        <f>IF($P88="","",IF(INDEX(EntryDep,$P88)=0,"",INDEX(EntryDep,$P88)))</f>
        <v/>
      </c>
      <c r="I88" s="29">
        <f>IF($P88="","",IF(INDEX(EntryWit,$P88)=0,"",INDEX(EntryWit,$P88)))</f>
        <v/>
      </c>
      <c r="J88" s="29">
        <f>IF($B88="","",IF($A88=1,$C$7,IF(J87="",0,J87))+IF($H88="",0,$H88)-IF($I88="",0,$I88))</f>
        <v/>
      </c>
      <c r="K88" s="29">
        <f>IF($P88="","",IF(INDEX(EntryMan,$P88)=0,"",INDEX(EntryMan,$P88)))</f>
        <v/>
      </c>
      <c r="L88" s="28">
        <f>IF($B88="","",IF($K88="","—",IF(ROUND($K88-$J88,0)=0,"√","×")))</f>
        <v/>
      </c>
      <c r="M88" s="28">
        <f>IF($B88="","",IF(COUNTIFS(EntryDates,$B88,CalcTime,$C88,CalcBank,$C$5,EntryParty,$D88,EntryDep,$H88,EntryWit,$I88)&gt;1,"تکرار",""))</f>
        <v/>
      </c>
      <c r="N88" s="28">
        <f>IF($P88="","",IF(INDEX(EntryNotes,$P88)=0,"",INDEX(EntryNotes,$P88)))</f>
        <v/>
      </c>
      <c r="O88" s="28">
        <f>IF($P88="","",IF(INDEX(EntryTxnID,$P88)=0,"",INDEX(EntryTxnID,$P88)))</f>
        <v/>
      </c>
      <c r="P88" s="28">
        <f>IFERROR(MATCH($C$5&amp;"|"&amp;RIGHT("000000"&amp;72,6),CalcRankKey,0),"")</f>
        <v/>
      </c>
    </row>
    <row r="89">
      <c r="A89" s="26">
        <f>IF($B89="","",73)</f>
        <v/>
      </c>
      <c r="B89" s="26">
        <f>IF($P89="","",IF(INDEX(CalcNormDate,$P89)=0,"",INDEX(CalcNormDate,$P89)))</f>
        <v/>
      </c>
      <c r="C89" s="26">
        <f>IF($P89="","",IF(INDEX(CalcTime,$P89)=0,"",INDEX(CalcTime,$P89)))</f>
        <v/>
      </c>
      <c r="D89" s="26">
        <f>IF($P89="","",IF(INDEX(EntryParty,$P89)=0,"",INDEX(EntryParty,$P89)))</f>
        <v/>
      </c>
      <c r="E89" s="26">
        <f>IF($P89="","",IF(INDEX(EntryPartyName,$P89)=0,"",INDEX(EntryPartyName,$P89)))</f>
        <v/>
      </c>
      <c r="F89" s="26">
        <f>IF($P89="","",IF(INDEX(EntryPartyType,$P89)=0,"",INDEX(EntryPartyType,$P89)))</f>
        <v/>
      </c>
      <c r="G89" s="26">
        <f>IF($P89="","",IF(INDEX(EntryTxnType,$P89)=0,"",INDEX(EntryTxnType,$P89)))</f>
        <v/>
      </c>
      <c r="H89" s="27">
        <f>IF($P89="","",IF(INDEX(EntryDep,$P89)=0,"",INDEX(EntryDep,$P89)))</f>
        <v/>
      </c>
      <c r="I89" s="27">
        <f>IF($P89="","",IF(INDEX(EntryWit,$P89)=0,"",INDEX(EntryWit,$P89)))</f>
        <v/>
      </c>
      <c r="J89" s="27">
        <f>IF($B89="","",IF($A89=1,$C$7,IF(J88="",0,J88))+IF($H89="",0,$H89)-IF($I89="",0,$I89))</f>
        <v/>
      </c>
      <c r="K89" s="27">
        <f>IF($P89="","",IF(INDEX(EntryMan,$P89)=0,"",INDEX(EntryMan,$P89)))</f>
        <v/>
      </c>
      <c r="L89" s="26">
        <f>IF($B89="","",IF($K89="","—",IF(ROUND($K89-$J89,0)=0,"√","×")))</f>
        <v/>
      </c>
      <c r="M89" s="26">
        <f>IF($B89="","",IF(COUNTIFS(EntryDates,$B89,CalcTime,$C89,CalcBank,$C$5,EntryParty,$D89,EntryDep,$H89,EntryWit,$I89)&gt;1,"تکرار",""))</f>
        <v/>
      </c>
      <c r="N89" s="26">
        <f>IF($P89="","",IF(INDEX(EntryNotes,$P89)=0,"",INDEX(EntryNotes,$P89)))</f>
        <v/>
      </c>
      <c r="O89" s="26">
        <f>IF($P89="","",IF(INDEX(EntryTxnID,$P89)=0,"",INDEX(EntryTxnID,$P89)))</f>
        <v/>
      </c>
      <c r="P89" s="26">
        <f>IFERROR(MATCH($C$5&amp;"|"&amp;RIGHT("000000"&amp;73,6),CalcRankKey,0),"")</f>
        <v/>
      </c>
    </row>
    <row r="90">
      <c r="A90" s="28">
        <f>IF($B90="","",74)</f>
        <v/>
      </c>
      <c r="B90" s="28">
        <f>IF($P90="","",IF(INDEX(CalcNormDate,$P90)=0,"",INDEX(CalcNormDate,$P90)))</f>
        <v/>
      </c>
      <c r="C90" s="28">
        <f>IF($P90="","",IF(INDEX(CalcTime,$P90)=0,"",INDEX(CalcTime,$P90)))</f>
        <v/>
      </c>
      <c r="D90" s="28">
        <f>IF($P90="","",IF(INDEX(EntryParty,$P90)=0,"",INDEX(EntryParty,$P90)))</f>
        <v/>
      </c>
      <c r="E90" s="28">
        <f>IF($P90="","",IF(INDEX(EntryPartyName,$P90)=0,"",INDEX(EntryPartyName,$P90)))</f>
        <v/>
      </c>
      <c r="F90" s="28">
        <f>IF($P90="","",IF(INDEX(EntryPartyType,$P90)=0,"",INDEX(EntryPartyType,$P90)))</f>
        <v/>
      </c>
      <c r="G90" s="28">
        <f>IF($P90="","",IF(INDEX(EntryTxnType,$P90)=0,"",INDEX(EntryTxnType,$P90)))</f>
        <v/>
      </c>
      <c r="H90" s="29">
        <f>IF($P90="","",IF(INDEX(EntryDep,$P90)=0,"",INDEX(EntryDep,$P90)))</f>
        <v/>
      </c>
      <c r="I90" s="29">
        <f>IF($P90="","",IF(INDEX(EntryWit,$P90)=0,"",INDEX(EntryWit,$P90)))</f>
        <v/>
      </c>
      <c r="J90" s="29">
        <f>IF($B90="","",IF($A90=1,$C$7,IF(J89="",0,J89))+IF($H90="",0,$H90)-IF($I90="",0,$I90))</f>
        <v/>
      </c>
      <c r="K90" s="29">
        <f>IF($P90="","",IF(INDEX(EntryMan,$P90)=0,"",INDEX(EntryMan,$P90)))</f>
        <v/>
      </c>
      <c r="L90" s="28">
        <f>IF($B90="","",IF($K90="","—",IF(ROUND($K90-$J90,0)=0,"√","×")))</f>
        <v/>
      </c>
      <c r="M90" s="28">
        <f>IF($B90="","",IF(COUNTIFS(EntryDates,$B90,CalcTime,$C90,CalcBank,$C$5,EntryParty,$D90,EntryDep,$H90,EntryWit,$I90)&gt;1,"تکرار",""))</f>
        <v/>
      </c>
      <c r="N90" s="28">
        <f>IF($P90="","",IF(INDEX(EntryNotes,$P90)=0,"",INDEX(EntryNotes,$P90)))</f>
        <v/>
      </c>
      <c r="O90" s="28">
        <f>IF($P90="","",IF(INDEX(EntryTxnID,$P90)=0,"",INDEX(EntryTxnID,$P90)))</f>
        <v/>
      </c>
      <c r="P90" s="28">
        <f>IFERROR(MATCH($C$5&amp;"|"&amp;RIGHT("000000"&amp;74,6),CalcRankKey,0),"")</f>
        <v/>
      </c>
    </row>
    <row r="91">
      <c r="A91" s="26">
        <f>IF($B91="","",75)</f>
        <v/>
      </c>
      <c r="B91" s="26">
        <f>IF($P91="","",IF(INDEX(CalcNormDate,$P91)=0,"",INDEX(CalcNormDate,$P91)))</f>
        <v/>
      </c>
      <c r="C91" s="26">
        <f>IF($P91="","",IF(INDEX(CalcTime,$P91)=0,"",INDEX(CalcTime,$P91)))</f>
        <v/>
      </c>
      <c r="D91" s="26">
        <f>IF($P91="","",IF(INDEX(EntryParty,$P91)=0,"",INDEX(EntryParty,$P91)))</f>
        <v/>
      </c>
      <c r="E91" s="26">
        <f>IF($P91="","",IF(INDEX(EntryPartyName,$P91)=0,"",INDEX(EntryPartyName,$P91)))</f>
        <v/>
      </c>
      <c r="F91" s="26">
        <f>IF($P91="","",IF(INDEX(EntryPartyType,$P91)=0,"",INDEX(EntryPartyType,$P91)))</f>
        <v/>
      </c>
      <c r="G91" s="26">
        <f>IF($P91="","",IF(INDEX(EntryTxnType,$P91)=0,"",INDEX(EntryTxnType,$P91)))</f>
        <v/>
      </c>
      <c r="H91" s="27">
        <f>IF($P91="","",IF(INDEX(EntryDep,$P91)=0,"",INDEX(EntryDep,$P91)))</f>
        <v/>
      </c>
      <c r="I91" s="27">
        <f>IF($P91="","",IF(INDEX(EntryWit,$P91)=0,"",INDEX(EntryWit,$P91)))</f>
        <v/>
      </c>
      <c r="J91" s="27">
        <f>IF($B91="","",IF($A91=1,$C$7,IF(J90="",0,J90))+IF($H91="",0,$H91)-IF($I91="",0,$I91))</f>
        <v/>
      </c>
      <c r="K91" s="27">
        <f>IF($P91="","",IF(INDEX(EntryMan,$P91)=0,"",INDEX(EntryMan,$P91)))</f>
        <v/>
      </c>
      <c r="L91" s="26">
        <f>IF($B91="","",IF($K91="","—",IF(ROUND($K91-$J91,0)=0,"√","×")))</f>
        <v/>
      </c>
      <c r="M91" s="26">
        <f>IF($B91="","",IF(COUNTIFS(EntryDates,$B91,CalcTime,$C91,CalcBank,$C$5,EntryParty,$D91,EntryDep,$H91,EntryWit,$I91)&gt;1,"تکرار",""))</f>
        <v/>
      </c>
      <c r="N91" s="26">
        <f>IF($P91="","",IF(INDEX(EntryNotes,$P91)=0,"",INDEX(EntryNotes,$P91)))</f>
        <v/>
      </c>
      <c r="O91" s="26">
        <f>IF($P91="","",IF(INDEX(EntryTxnID,$P91)=0,"",INDEX(EntryTxnID,$P91)))</f>
        <v/>
      </c>
      <c r="P91" s="26">
        <f>IFERROR(MATCH($C$5&amp;"|"&amp;RIGHT("000000"&amp;75,6),CalcRankKey,0),"")</f>
        <v/>
      </c>
    </row>
    <row r="92">
      <c r="A92" s="28">
        <f>IF($B92="","",76)</f>
        <v/>
      </c>
      <c r="B92" s="28">
        <f>IF($P92="","",IF(INDEX(CalcNormDate,$P92)=0,"",INDEX(CalcNormDate,$P92)))</f>
        <v/>
      </c>
      <c r="C92" s="28">
        <f>IF($P92="","",IF(INDEX(CalcTime,$P92)=0,"",INDEX(CalcTime,$P92)))</f>
        <v/>
      </c>
      <c r="D92" s="28">
        <f>IF($P92="","",IF(INDEX(EntryParty,$P92)=0,"",INDEX(EntryParty,$P92)))</f>
        <v/>
      </c>
      <c r="E92" s="28">
        <f>IF($P92="","",IF(INDEX(EntryPartyName,$P92)=0,"",INDEX(EntryPartyName,$P92)))</f>
        <v/>
      </c>
      <c r="F92" s="28">
        <f>IF($P92="","",IF(INDEX(EntryPartyType,$P92)=0,"",INDEX(EntryPartyType,$P92)))</f>
        <v/>
      </c>
      <c r="G92" s="28">
        <f>IF($P92="","",IF(INDEX(EntryTxnType,$P92)=0,"",INDEX(EntryTxnType,$P92)))</f>
        <v/>
      </c>
      <c r="H92" s="29">
        <f>IF($P92="","",IF(INDEX(EntryDep,$P92)=0,"",INDEX(EntryDep,$P92)))</f>
        <v/>
      </c>
      <c r="I92" s="29">
        <f>IF($P92="","",IF(INDEX(EntryWit,$P92)=0,"",INDEX(EntryWit,$P92)))</f>
        <v/>
      </c>
      <c r="J92" s="29">
        <f>IF($B92="","",IF($A92=1,$C$7,IF(J91="",0,J91))+IF($H92="",0,$H92)-IF($I92="",0,$I92))</f>
        <v/>
      </c>
      <c r="K92" s="29">
        <f>IF($P92="","",IF(INDEX(EntryMan,$P92)=0,"",INDEX(EntryMan,$P92)))</f>
        <v/>
      </c>
      <c r="L92" s="28">
        <f>IF($B92="","",IF($K92="","—",IF(ROUND($K92-$J92,0)=0,"√","×")))</f>
        <v/>
      </c>
      <c r="M92" s="28">
        <f>IF($B92="","",IF(COUNTIFS(EntryDates,$B92,CalcTime,$C92,CalcBank,$C$5,EntryParty,$D92,EntryDep,$H92,EntryWit,$I92)&gt;1,"تکرار",""))</f>
        <v/>
      </c>
      <c r="N92" s="28">
        <f>IF($P92="","",IF(INDEX(EntryNotes,$P92)=0,"",INDEX(EntryNotes,$P92)))</f>
        <v/>
      </c>
      <c r="O92" s="28">
        <f>IF($P92="","",IF(INDEX(EntryTxnID,$P92)=0,"",INDEX(EntryTxnID,$P92)))</f>
        <v/>
      </c>
      <c r="P92" s="28">
        <f>IFERROR(MATCH($C$5&amp;"|"&amp;RIGHT("000000"&amp;76,6),CalcRankKey,0),"")</f>
        <v/>
      </c>
    </row>
    <row r="93">
      <c r="A93" s="26">
        <f>IF($B93="","",77)</f>
        <v/>
      </c>
      <c r="B93" s="26">
        <f>IF($P93="","",IF(INDEX(CalcNormDate,$P93)=0,"",INDEX(CalcNormDate,$P93)))</f>
        <v/>
      </c>
      <c r="C93" s="26">
        <f>IF($P93="","",IF(INDEX(CalcTime,$P93)=0,"",INDEX(CalcTime,$P93)))</f>
        <v/>
      </c>
      <c r="D93" s="26">
        <f>IF($P93="","",IF(INDEX(EntryParty,$P93)=0,"",INDEX(EntryParty,$P93)))</f>
        <v/>
      </c>
      <c r="E93" s="26">
        <f>IF($P93="","",IF(INDEX(EntryPartyName,$P93)=0,"",INDEX(EntryPartyName,$P93)))</f>
        <v/>
      </c>
      <c r="F93" s="26">
        <f>IF($P93="","",IF(INDEX(EntryPartyType,$P93)=0,"",INDEX(EntryPartyType,$P93)))</f>
        <v/>
      </c>
      <c r="G93" s="26">
        <f>IF($P93="","",IF(INDEX(EntryTxnType,$P93)=0,"",INDEX(EntryTxnType,$P93)))</f>
        <v/>
      </c>
      <c r="H93" s="27">
        <f>IF($P93="","",IF(INDEX(EntryDep,$P93)=0,"",INDEX(EntryDep,$P93)))</f>
        <v/>
      </c>
      <c r="I93" s="27">
        <f>IF($P93="","",IF(INDEX(EntryWit,$P93)=0,"",INDEX(EntryWit,$P93)))</f>
        <v/>
      </c>
      <c r="J93" s="27">
        <f>IF($B93="","",IF($A93=1,$C$7,IF(J92="",0,J92))+IF($H93="",0,$H93)-IF($I93="",0,$I93))</f>
        <v/>
      </c>
      <c r="K93" s="27">
        <f>IF($P93="","",IF(INDEX(EntryMan,$P93)=0,"",INDEX(EntryMan,$P93)))</f>
        <v/>
      </c>
      <c r="L93" s="26">
        <f>IF($B93="","",IF($K93="","—",IF(ROUND($K93-$J93,0)=0,"√","×")))</f>
        <v/>
      </c>
      <c r="M93" s="26">
        <f>IF($B93="","",IF(COUNTIFS(EntryDates,$B93,CalcTime,$C93,CalcBank,$C$5,EntryParty,$D93,EntryDep,$H93,EntryWit,$I93)&gt;1,"تکرار",""))</f>
        <v/>
      </c>
      <c r="N93" s="26">
        <f>IF($P93="","",IF(INDEX(EntryNotes,$P93)=0,"",INDEX(EntryNotes,$P93)))</f>
        <v/>
      </c>
      <c r="O93" s="26">
        <f>IF($P93="","",IF(INDEX(EntryTxnID,$P93)=0,"",INDEX(EntryTxnID,$P93)))</f>
        <v/>
      </c>
      <c r="P93" s="26">
        <f>IFERROR(MATCH($C$5&amp;"|"&amp;RIGHT("000000"&amp;77,6),CalcRankKey,0),"")</f>
        <v/>
      </c>
    </row>
    <row r="94">
      <c r="A94" s="28">
        <f>IF($B94="","",78)</f>
        <v/>
      </c>
      <c r="B94" s="28">
        <f>IF($P94="","",IF(INDEX(CalcNormDate,$P94)=0,"",INDEX(CalcNormDate,$P94)))</f>
        <v/>
      </c>
      <c r="C94" s="28">
        <f>IF($P94="","",IF(INDEX(CalcTime,$P94)=0,"",INDEX(CalcTime,$P94)))</f>
        <v/>
      </c>
      <c r="D94" s="28">
        <f>IF($P94="","",IF(INDEX(EntryParty,$P94)=0,"",INDEX(EntryParty,$P94)))</f>
        <v/>
      </c>
      <c r="E94" s="28">
        <f>IF($P94="","",IF(INDEX(EntryPartyName,$P94)=0,"",INDEX(EntryPartyName,$P94)))</f>
        <v/>
      </c>
      <c r="F94" s="28">
        <f>IF($P94="","",IF(INDEX(EntryPartyType,$P94)=0,"",INDEX(EntryPartyType,$P94)))</f>
        <v/>
      </c>
      <c r="G94" s="28">
        <f>IF($P94="","",IF(INDEX(EntryTxnType,$P94)=0,"",INDEX(EntryTxnType,$P94)))</f>
        <v/>
      </c>
      <c r="H94" s="29">
        <f>IF($P94="","",IF(INDEX(EntryDep,$P94)=0,"",INDEX(EntryDep,$P94)))</f>
        <v/>
      </c>
      <c r="I94" s="29">
        <f>IF($P94="","",IF(INDEX(EntryWit,$P94)=0,"",INDEX(EntryWit,$P94)))</f>
        <v/>
      </c>
      <c r="J94" s="29">
        <f>IF($B94="","",IF($A94=1,$C$7,IF(J93="",0,J93))+IF($H94="",0,$H94)-IF($I94="",0,$I94))</f>
        <v/>
      </c>
      <c r="K94" s="29">
        <f>IF($P94="","",IF(INDEX(EntryMan,$P94)=0,"",INDEX(EntryMan,$P94)))</f>
        <v/>
      </c>
      <c r="L94" s="28">
        <f>IF($B94="","",IF($K94="","—",IF(ROUND($K94-$J94,0)=0,"√","×")))</f>
        <v/>
      </c>
      <c r="M94" s="28">
        <f>IF($B94="","",IF(COUNTIFS(EntryDates,$B94,CalcTime,$C94,CalcBank,$C$5,EntryParty,$D94,EntryDep,$H94,EntryWit,$I94)&gt;1,"تکرار",""))</f>
        <v/>
      </c>
      <c r="N94" s="28">
        <f>IF($P94="","",IF(INDEX(EntryNotes,$P94)=0,"",INDEX(EntryNotes,$P94)))</f>
        <v/>
      </c>
      <c r="O94" s="28">
        <f>IF($P94="","",IF(INDEX(EntryTxnID,$P94)=0,"",INDEX(EntryTxnID,$P94)))</f>
        <v/>
      </c>
      <c r="P94" s="28">
        <f>IFERROR(MATCH($C$5&amp;"|"&amp;RIGHT("000000"&amp;78,6),CalcRankKey,0),"")</f>
        <v/>
      </c>
    </row>
    <row r="95">
      <c r="A95" s="26">
        <f>IF($B95="","",79)</f>
        <v/>
      </c>
      <c r="B95" s="26">
        <f>IF($P95="","",IF(INDEX(CalcNormDate,$P95)=0,"",INDEX(CalcNormDate,$P95)))</f>
        <v/>
      </c>
      <c r="C95" s="26">
        <f>IF($P95="","",IF(INDEX(CalcTime,$P95)=0,"",INDEX(CalcTime,$P95)))</f>
        <v/>
      </c>
      <c r="D95" s="26">
        <f>IF($P95="","",IF(INDEX(EntryParty,$P95)=0,"",INDEX(EntryParty,$P95)))</f>
        <v/>
      </c>
      <c r="E95" s="26">
        <f>IF($P95="","",IF(INDEX(EntryPartyName,$P95)=0,"",INDEX(EntryPartyName,$P95)))</f>
        <v/>
      </c>
      <c r="F95" s="26">
        <f>IF($P95="","",IF(INDEX(EntryPartyType,$P95)=0,"",INDEX(EntryPartyType,$P95)))</f>
        <v/>
      </c>
      <c r="G95" s="26">
        <f>IF($P95="","",IF(INDEX(EntryTxnType,$P95)=0,"",INDEX(EntryTxnType,$P95)))</f>
        <v/>
      </c>
      <c r="H95" s="27">
        <f>IF($P95="","",IF(INDEX(EntryDep,$P95)=0,"",INDEX(EntryDep,$P95)))</f>
        <v/>
      </c>
      <c r="I95" s="27">
        <f>IF($P95="","",IF(INDEX(EntryWit,$P95)=0,"",INDEX(EntryWit,$P95)))</f>
        <v/>
      </c>
      <c r="J95" s="27">
        <f>IF($B95="","",IF($A95=1,$C$7,IF(J94="",0,J94))+IF($H95="",0,$H95)-IF($I95="",0,$I95))</f>
        <v/>
      </c>
      <c r="K95" s="27">
        <f>IF($P95="","",IF(INDEX(EntryMan,$P95)=0,"",INDEX(EntryMan,$P95)))</f>
        <v/>
      </c>
      <c r="L95" s="26">
        <f>IF($B95="","",IF($K95="","—",IF(ROUND($K95-$J95,0)=0,"√","×")))</f>
        <v/>
      </c>
      <c r="M95" s="26">
        <f>IF($B95="","",IF(COUNTIFS(EntryDates,$B95,CalcTime,$C95,CalcBank,$C$5,EntryParty,$D95,EntryDep,$H95,EntryWit,$I95)&gt;1,"تکرار",""))</f>
        <v/>
      </c>
      <c r="N95" s="26">
        <f>IF($P95="","",IF(INDEX(EntryNotes,$P95)=0,"",INDEX(EntryNotes,$P95)))</f>
        <v/>
      </c>
      <c r="O95" s="26">
        <f>IF($P95="","",IF(INDEX(EntryTxnID,$P95)=0,"",INDEX(EntryTxnID,$P95)))</f>
        <v/>
      </c>
      <c r="P95" s="26">
        <f>IFERROR(MATCH($C$5&amp;"|"&amp;RIGHT("000000"&amp;79,6),CalcRankKey,0),"")</f>
        <v/>
      </c>
    </row>
    <row r="96">
      <c r="A96" s="28">
        <f>IF($B96="","",80)</f>
        <v/>
      </c>
      <c r="B96" s="28">
        <f>IF($P96="","",IF(INDEX(CalcNormDate,$P96)=0,"",INDEX(CalcNormDate,$P96)))</f>
        <v/>
      </c>
      <c r="C96" s="28">
        <f>IF($P96="","",IF(INDEX(CalcTime,$P96)=0,"",INDEX(CalcTime,$P96)))</f>
        <v/>
      </c>
      <c r="D96" s="28">
        <f>IF($P96="","",IF(INDEX(EntryParty,$P96)=0,"",INDEX(EntryParty,$P96)))</f>
        <v/>
      </c>
      <c r="E96" s="28">
        <f>IF($P96="","",IF(INDEX(EntryPartyName,$P96)=0,"",INDEX(EntryPartyName,$P96)))</f>
        <v/>
      </c>
      <c r="F96" s="28">
        <f>IF($P96="","",IF(INDEX(EntryPartyType,$P96)=0,"",INDEX(EntryPartyType,$P96)))</f>
        <v/>
      </c>
      <c r="G96" s="28">
        <f>IF($P96="","",IF(INDEX(EntryTxnType,$P96)=0,"",INDEX(EntryTxnType,$P96)))</f>
        <v/>
      </c>
      <c r="H96" s="29">
        <f>IF($P96="","",IF(INDEX(EntryDep,$P96)=0,"",INDEX(EntryDep,$P96)))</f>
        <v/>
      </c>
      <c r="I96" s="29">
        <f>IF($P96="","",IF(INDEX(EntryWit,$P96)=0,"",INDEX(EntryWit,$P96)))</f>
        <v/>
      </c>
      <c r="J96" s="29">
        <f>IF($B96="","",IF($A96=1,$C$7,IF(J95="",0,J95))+IF($H96="",0,$H96)-IF($I96="",0,$I96))</f>
        <v/>
      </c>
      <c r="K96" s="29">
        <f>IF($P96="","",IF(INDEX(EntryMan,$P96)=0,"",INDEX(EntryMan,$P96)))</f>
        <v/>
      </c>
      <c r="L96" s="28">
        <f>IF($B96="","",IF($K96="","—",IF(ROUND($K96-$J96,0)=0,"√","×")))</f>
        <v/>
      </c>
      <c r="M96" s="28">
        <f>IF($B96="","",IF(COUNTIFS(EntryDates,$B96,CalcTime,$C96,CalcBank,$C$5,EntryParty,$D96,EntryDep,$H96,EntryWit,$I96)&gt;1,"تکرار",""))</f>
        <v/>
      </c>
      <c r="N96" s="28">
        <f>IF($P96="","",IF(INDEX(EntryNotes,$P96)=0,"",INDEX(EntryNotes,$P96)))</f>
        <v/>
      </c>
      <c r="O96" s="28">
        <f>IF($P96="","",IF(INDEX(EntryTxnID,$P96)=0,"",INDEX(EntryTxnID,$P96)))</f>
        <v/>
      </c>
      <c r="P96" s="28">
        <f>IFERROR(MATCH($C$5&amp;"|"&amp;RIGHT("000000"&amp;80,6),CalcRankKey,0),"")</f>
        <v/>
      </c>
    </row>
    <row r="97">
      <c r="A97" s="26">
        <f>IF($B97="","",81)</f>
        <v/>
      </c>
      <c r="B97" s="26">
        <f>IF($P97="","",IF(INDEX(CalcNormDate,$P97)=0,"",INDEX(CalcNormDate,$P97)))</f>
        <v/>
      </c>
      <c r="C97" s="26">
        <f>IF($P97="","",IF(INDEX(CalcTime,$P97)=0,"",INDEX(CalcTime,$P97)))</f>
        <v/>
      </c>
      <c r="D97" s="26">
        <f>IF($P97="","",IF(INDEX(EntryParty,$P97)=0,"",INDEX(EntryParty,$P97)))</f>
        <v/>
      </c>
      <c r="E97" s="26">
        <f>IF($P97="","",IF(INDEX(EntryPartyName,$P97)=0,"",INDEX(EntryPartyName,$P97)))</f>
        <v/>
      </c>
      <c r="F97" s="26">
        <f>IF($P97="","",IF(INDEX(EntryPartyType,$P97)=0,"",INDEX(EntryPartyType,$P97)))</f>
        <v/>
      </c>
      <c r="G97" s="26">
        <f>IF($P97="","",IF(INDEX(EntryTxnType,$P97)=0,"",INDEX(EntryTxnType,$P97)))</f>
        <v/>
      </c>
      <c r="H97" s="27">
        <f>IF($P97="","",IF(INDEX(EntryDep,$P97)=0,"",INDEX(EntryDep,$P97)))</f>
        <v/>
      </c>
      <c r="I97" s="27">
        <f>IF($P97="","",IF(INDEX(EntryWit,$P97)=0,"",INDEX(EntryWit,$P97)))</f>
        <v/>
      </c>
      <c r="J97" s="27">
        <f>IF($B97="","",IF($A97=1,$C$7,IF(J96="",0,J96))+IF($H97="",0,$H97)-IF($I97="",0,$I97))</f>
        <v/>
      </c>
      <c r="K97" s="27">
        <f>IF($P97="","",IF(INDEX(EntryMan,$P97)=0,"",INDEX(EntryMan,$P97)))</f>
        <v/>
      </c>
      <c r="L97" s="26">
        <f>IF($B97="","",IF($K97="","—",IF(ROUND($K97-$J97,0)=0,"√","×")))</f>
        <v/>
      </c>
      <c r="M97" s="26">
        <f>IF($B97="","",IF(COUNTIFS(EntryDates,$B97,CalcTime,$C97,CalcBank,$C$5,EntryParty,$D97,EntryDep,$H97,EntryWit,$I97)&gt;1,"تکرار",""))</f>
        <v/>
      </c>
      <c r="N97" s="26">
        <f>IF($P97="","",IF(INDEX(EntryNotes,$P97)=0,"",INDEX(EntryNotes,$P97)))</f>
        <v/>
      </c>
      <c r="O97" s="26">
        <f>IF($P97="","",IF(INDEX(EntryTxnID,$P97)=0,"",INDEX(EntryTxnID,$P97)))</f>
        <v/>
      </c>
      <c r="P97" s="26">
        <f>IFERROR(MATCH($C$5&amp;"|"&amp;RIGHT("000000"&amp;81,6),CalcRankKey,0),"")</f>
        <v/>
      </c>
    </row>
    <row r="98">
      <c r="A98" s="28">
        <f>IF($B98="","",82)</f>
        <v/>
      </c>
      <c r="B98" s="28">
        <f>IF($P98="","",IF(INDEX(CalcNormDate,$P98)=0,"",INDEX(CalcNormDate,$P98)))</f>
        <v/>
      </c>
      <c r="C98" s="28">
        <f>IF($P98="","",IF(INDEX(CalcTime,$P98)=0,"",INDEX(CalcTime,$P98)))</f>
        <v/>
      </c>
      <c r="D98" s="28">
        <f>IF($P98="","",IF(INDEX(EntryParty,$P98)=0,"",INDEX(EntryParty,$P98)))</f>
        <v/>
      </c>
      <c r="E98" s="28">
        <f>IF($P98="","",IF(INDEX(EntryPartyName,$P98)=0,"",INDEX(EntryPartyName,$P98)))</f>
        <v/>
      </c>
      <c r="F98" s="28">
        <f>IF($P98="","",IF(INDEX(EntryPartyType,$P98)=0,"",INDEX(EntryPartyType,$P98)))</f>
        <v/>
      </c>
      <c r="G98" s="28">
        <f>IF($P98="","",IF(INDEX(EntryTxnType,$P98)=0,"",INDEX(EntryTxnType,$P98)))</f>
        <v/>
      </c>
      <c r="H98" s="29">
        <f>IF($P98="","",IF(INDEX(EntryDep,$P98)=0,"",INDEX(EntryDep,$P98)))</f>
        <v/>
      </c>
      <c r="I98" s="29">
        <f>IF($P98="","",IF(INDEX(EntryWit,$P98)=0,"",INDEX(EntryWit,$P98)))</f>
        <v/>
      </c>
      <c r="J98" s="29">
        <f>IF($B98="","",IF($A98=1,$C$7,IF(J97="",0,J97))+IF($H98="",0,$H98)-IF($I98="",0,$I98))</f>
        <v/>
      </c>
      <c r="K98" s="29">
        <f>IF($P98="","",IF(INDEX(EntryMan,$P98)=0,"",INDEX(EntryMan,$P98)))</f>
        <v/>
      </c>
      <c r="L98" s="28">
        <f>IF($B98="","",IF($K98="","—",IF(ROUND($K98-$J98,0)=0,"√","×")))</f>
        <v/>
      </c>
      <c r="M98" s="28">
        <f>IF($B98="","",IF(COUNTIFS(EntryDates,$B98,CalcTime,$C98,CalcBank,$C$5,EntryParty,$D98,EntryDep,$H98,EntryWit,$I98)&gt;1,"تکرار",""))</f>
        <v/>
      </c>
      <c r="N98" s="28">
        <f>IF($P98="","",IF(INDEX(EntryNotes,$P98)=0,"",INDEX(EntryNotes,$P98)))</f>
        <v/>
      </c>
      <c r="O98" s="28">
        <f>IF($P98="","",IF(INDEX(EntryTxnID,$P98)=0,"",INDEX(EntryTxnID,$P98)))</f>
        <v/>
      </c>
      <c r="P98" s="28">
        <f>IFERROR(MATCH($C$5&amp;"|"&amp;RIGHT("000000"&amp;82,6),CalcRankKey,0),"")</f>
        <v/>
      </c>
    </row>
    <row r="99">
      <c r="A99" s="26">
        <f>IF($B99="","",83)</f>
        <v/>
      </c>
      <c r="B99" s="26">
        <f>IF($P99="","",IF(INDEX(CalcNormDate,$P99)=0,"",INDEX(CalcNormDate,$P99)))</f>
        <v/>
      </c>
      <c r="C99" s="26">
        <f>IF($P99="","",IF(INDEX(CalcTime,$P99)=0,"",INDEX(CalcTime,$P99)))</f>
        <v/>
      </c>
      <c r="D99" s="26">
        <f>IF($P99="","",IF(INDEX(EntryParty,$P99)=0,"",INDEX(EntryParty,$P99)))</f>
        <v/>
      </c>
      <c r="E99" s="26">
        <f>IF($P99="","",IF(INDEX(EntryPartyName,$P99)=0,"",INDEX(EntryPartyName,$P99)))</f>
        <v/>
      </c>
      <c r="F99" s="26">
        <f>IF($P99="","",IF(INDEX(EntryPartyType,$P99)=0,"",INDEX(EntryPartyType,$P99)))</f>
        <v/>
      </c>
      <c r="G99" s="26">
        <f>IF($P99="","",IF(INDEX(EntryTxnType,$P99)=0,"",INDEX(EntryTxnType,$P99)))</f>
        <v/>
      </c>
      <c r="H99" s="27">
        <f>IF($P99="","",IF(INDEX(EntryDep,$P99)=0,"",INDEX(EntryDep,$P99)))</f>
        <v/>
      </c>
      <c r="I99" s="27">
        <f>IF($P99="","",IF(INDEX(EntryWit,$P99)=0,"",INDEX(EntryWit,$P99)))</f>
        <v/>
      </c>
      <c r="J99" s="27">
        <f>IF($B99="","",IF($A99=1,$C$7,IF(J98="",0,J98))+IF($H99="",0,$H99)-IF($I99="",0,$I99))</f>
        <v/>
      </c>
      <c r="K99" s="27">
        <f>IF($P99="","",IF(INDEX(EntryMan,$P99)=0,"",INDEX(EntryMan,$P99)))</f>
        <v/>
      </c>
      <c r="L99" s="26">
        <f>IF($B99="","",IF($K99="","—",IF(ROUND($K99-$J99,0)=0,"√","×")))</f>
        <v/>
      </c>
      <c r="M99" s="26">
        <f>IF($B99="","",IF(COUNTIFS(EntryDates,$B99,CalcTime,$C99,CalcBank,$C$5,EntryParty,$D99,EntryDep,$H99,EntryWit,$I99)&gt;1,"تکرار",""))</f>
        <v/>
      </c>
      <c r="N99" s="26">
        <f>IF($P99="","",IF(INDEX(EntryNotes,$P99)=0,"",INDEX(EntryNotes,$P99)))</f>
        <v/>
      </c>
      <c r="O99" s="26">
        <f>IF($P99="","",IF(INDEX(EntryTxnID,$P99)=0,"",INDEX(EntryTxnID,$P99)))</f>
        <v/>
      </c>
      <c r="P99" s="26">
        <f>IFERROR(MATCH($C$5&amp;"|"&amp;RIGHT("000000"&amp;83,6),CalcRankKey,0),"")</f>
        <v/>
      </c>
    </row>
    <row r="100">
      <c r="A100" s="28">
        <f>IF($B100="","",84)</f>
        <v/>
      </c>
      <c r="B100" s="28">
        <f>IF($P100="","",IF(INDEX(CalcNormDate,$P100)=0,"",INDEX(CalcNormDate,$P100)))</f>
        <v/>
      </c>
      <c r="C100" s="28">
        <f>IF($P100="","",IF(INDEX(CalcTime,$P100)=0,"",INDEX(CalcTime,$P100)))</f>
        <v/>
      </c>
      <c r="D100" s="28">
        <f>IF($P100="","",IF(INDEX(EntryParty,$P100)=0,"",INDEX(EntryParty,$P100)))</f>
        <v/>
      </c>
      <c r="E100" s="28">
        <f>IF($P100="","",IF(INDEX(EntryPartyName,$P100)=0,"",INDEX(EntryPartyName,$P100)))</f>
        <v/>
      </c>
      <c r="F100" s="28">
        <f>IF($P100="","",IF(INDEX(EntryPartyType,$P100)=0,"",INDEX(EntryPartyType,$P100)))</f>
        <v/>
      </c>
      <c r="G100" s="28">
        <f>IF($P100="","",IF(INDEX(EntryTxnType,$P100)=0,"",INDEX(EntryTxnType,$P100)))</f>
        <v/>
      </c>
      <c r="H100" s="29">
        <f>IF($P100="","",IF(INDEX(EntryDep,$P100)=0,"",INDEX(EntryDep,$P100)))</f>
        <v/>
      </c>
      <c r="I100" s="29">
        <f>IF($P100="","",IF(INDEX(EntryWit,$P100)=0,"",INDEX(EntryWit,$P100)))</f>
        <v/>
      </c>
      <c r="J100" s="29">
        <f>IF($B100="","",IF($A100=1,$C$7,IF(J99="",0,J99))+IF($H100="",0,$H100)-IF($I100="",0,$I100))</f>
        <v/>
      </c>
      <c r="K100" s="29">
        <f>IF($P100="","",IF(INDEX(EntryMan,$P100)=0,"",INDEX(EntryMan,$P100)))</f>
        <v/>
      </c>
      <c r="L100" s="28">
        <f>IF($B100="","",IF($K100="","—",IF(ROUND($K100-$J100,0)=0,"√","×")))</f>
        <v/>
      </c>
      <c r="M100" s="28">
        <f>IF($B100="","",IF(COUNTIFS(EntryDates,$B100,CalcTime,$C100,CalcBank,$C$5,EntryParty,$D100,EntryDep,$H100,EntryWit,$I100)&gt;1,"تکرار",""))</f>
        <v/>
      </c>
      <c r="N100" s="28">
        <f>IF($P100="","",IF(INDEX(EntryNotes,$P100)=0,"",INDEX(EntryNotes,$P100)))</f>
        <v/>
      </c>
      <c r="O100" s="28">
        <f>IF($P100="","",IF(INDEX(EntryTxnID,$P100)=0,"",INDEX(EntryTxnID,$P100)))</f>
        <v/>
      </c>
      <c r="P100" s="28">
        <f>IFERROR(MATCH($C$5&amp;"|"&amp;RIGHT("000000"&amp;84,6),CalcRankKey,0),"")</f>
        <v/>
      </c>
    </row>
    <row r="101">
      <c r="A101" s="26">
        <f>IF($B101="","",85)</f>
        <v/>
      </c>
      <c r="B101" s="26">
        <f>IF($P101="","",IF(INDEX(CalcNormDate,$P101)=0,"",INDEX(CalcNormDate,$P101)))</f>
        <v/>
      </c>
      <c r="C101" s="26">
        <f>IF($P101="","",IF(INDEX(CalcTime,$P101)=0,"",INDEX(CalcTime,$P101)))</f>
        <v/>
      </c>
      <c r="D101" s="26">
        <f>IF($P101="","",IF(INDEX(EntryParty,$P101)=0,"",INDEX(EntryParty,$P101)))</f>
        <v/>
      </c>
      <c r="E101" s="26">
        <f>IF($P101="","",IF(INDEX(EntryPartyName,$P101)=0,"",INDEX(EntryPartyName,$P101)))</f>
        <v/>
      </c>
      <c r="F101" s="26">
        <f>IF($P101="","",IF(INDEX(EntryPartyType,$P101)=0,"",INDEX(EntryPartyType,$P101)))</f>
        <v/>
      </c>
      <c r="G101" s="26">
        <f>IF($P101="","",IF(INDEX(EntryTxnType,$P101)=0,"",INDEX(EntryTxnType,$P101)))</f>
        <v/>
      </c>
      <c r="H101" s="27">
        <f>IF($P101="","",IF(INDEX(EntryDep,$P101)=0,"",INDEX(EntryDep,$P101)))</f>
        <v/>
      </c>
      <c r="I101" s="27">
        <f>IF($P101="","",IF(INDEX(EntryWit,$P101)=0,"",INDEX(EntryWit,$P101)))</f>
        <v/>
      </c>
      <c r="J101" s="27">
        <f>IF($B101="","",IF($A101=1,$C$7,IF(J100="",0,J100))+IF($H101="",0,$H101)-IF($I101="",0,$I101))</f>
        <v/>
      </c>
      <c r="K101" s="27">
        <f>IF($P101="","",IF(INDEX(EntryMan,$P101)=0,"",INDEX(EntryMan,$P101)))</f>
        <v/>
      </c>
      <c r="L101" s="26">
        <f>IF($B101="","",IF($K101="","—",IF(ROUND($K101-$J101,0)=0,"√","×")))</f>
        <v/>
      </c>
      <c r="M101" s="26">
        <f>IF($B101="","",IF(COUNTIFS(EntryDates,$B101,CalcTime,$C101,CalcBank,$C$5,EntryParty,$D101,EntryDep,$H101,EntryWit,$I101)&gt;1,"تکرار",""))</f>
        <v/>
      </c>
      <c r="N101" s="26">
        <f>IF($P101="","",IF(INDEX(EntryNotes,$P101)=0,"",INDEX(EntryNotes,$P101)))</f>
        <v/>
      </c>
      <c r="O101" s="26">
        <f>IF($P101="","",IF(INDEX(EntryTxnID,$P101)=0,"",INDEX(EntryTxnID,$P101)))</f>
        <v/>
      </c>
      <c r="P101" s="26">
        <f>IFERROR(MATCH($C$5&amp;"|"&amp;RIGHT("000000"&amp;85,6),CalcRankKey,0),"")</f>
        <v/>
      </c>
    </row>
    <row r="102">
      <c r="A102" s="28">
        <f>IF($B102="","",86)</f>
        <v/>
      </c>
      <c r="B102" s="28">
        <f>IF($P102="","",IF(INDEX(CalcNormDate,$P102)=0,"",INDEX(CalcNormDate,$P102)))</f>
        <v/>
      </c>
      <c r="C102" s="28">
        <f>IF($P102="","",IF(INDEX(CalcTime,$P102)=0,"",INDEX(CalcTime,$P102)))</f>
        <v/>
      </c>
      <c r="D102" s="28">
        <f>IF($P102="","",IF(INDEX(EntryParty,$P102)=0,"",INDEX(EntryParty,$P102)))</f>
        <v/>
      </c>
      <c r="E102" s="28">
        <f>IF($P102="","",IF(INDEX(EntryPartyName,$P102)=0,"",INDEX(EntryPartyName,$P102)))</f>
        <v/>
      </c>
      <c r="F102" s="28">
        <f>IF($P102="","",IF(INDEX(EntryPartyType,$P102)=0,"",INDEX(EntryPartyType,$P102)))</f>
        <v/>
      </c>
      <c r="G102" s="28">
        <f>IF($P102="","",IF(INDEX(EntryTxnType,$P102)=0,"",INDEX(EntryTxnType,$P102)))</f>
        <v/>
      </c>
      <c r="H102" s="29">
        <f>IF($P102="","",IF(INDEX(EntryDep,$P102)=0,"",INDEX(EntryDep,$P102)))</f>
        <v/>
      </c>
      <c r="I102" s="29">
        <f>IF($P102="","",IF(INDEX(EntryWit,$P102)=0,"",INDEX(EntryWit,$P102)))</f>
        <v/>
      </c>
      <c r="J102" s="29">
        <f>IF($B102="","",IF($A102=1,$C$7,IF(J101="",0,J101))+IF($H102="",0,$H102)-IF($I102="",0,$I102))</f>
        <v/>
      </c>
      <c r="K102" s="29">
        <f>IF($P102="","",IF(INDEX(EntryMan,$P102)=0,"",INDEX(EntryMan,$P102)))</f>
        <v/>
      </c>
      <c r="L102" s="28">
        <f>IF($B102="","",IF($K102="","—",IF(ROUND($K102-$J102,0)=0,"√","×")))</f>
        <v/>
      </c>
      <c r="M102" s="28">
        <f>IF($B102="","",IF(COUNTIFS(EntryDates,$B102,CalcTime,$C102,CalcBank,$C$5,EntryParty,$D102,EntryDep,$H102,EntryWit,$I102)&gt;1,"تکرار",""))</f>
        <v/>
      </c>
      <c r="N102" s="28">
        <f>IF($P102="","",IF(INDEX(EntryNotes,$P102)=0,"",INDEX(EntryNotes,$P102)))</f>
        <v/>
      </c>
      <c r="O102" s="28">
        <f>IF($P102="","",IF(INDEX(EntryTxnID,$P102)=0,"",INDEX(EntryTxnID,$P102)))</f>
        <v/>
      </c>
      <c r="P102" s="28">
        <f>IFERROR(MATCH($C$5&amp;"|"&amp;RIGHT("000000"&amp;86,6),CalcRankKey,0),"")</f>
        <v/>
      </c>
    </row>
    <row r="103">
      <c r="A103" s="26">
        <f>IF($B103="","",87)</f>
        <v/>
      </c>
      <c r="B103" s="26">
        <f>IF($P103="","",IF(INDEX(CalcNormDate,$P103)=0,"",INDEX(CalcNormDate,$P103)))</f>
        <v/>
      </c>
      <c r="C103" s="26">
        <f>IF($P103="","",IF(INDEX(CalcTime,$P103)=0,"",INDEX(CalcTime,$P103)))</f>
        <v/>
      </c>
      <c r="D103" s="26">
        <f>IF($P103="","",IF(INDEX(EntryParty,$P103)=0,"",INDEX(EntryParty,$P103)))</f>
        <v/>
      </c>
      <c r="E103" s="26">
        <f>IF($P103="","",IF(INDEX(EntryPartyName,$P103)=0,"",INDEX(EntryPartyName,$P103)))</f>
        <v/>
      </c>
      <c r="F103" s="26">
        <f>IF($P103="","",IF(INDEX(EntryPartyType,$P103)=0,"",INDEX(EntryPartyType,$P103)))</f>
        <v/>
      </c>
      <c r="G103" s="26">
        <f>IF($P103="","",IF(INDEX(EntryTxnType,$P103)=0,"",INDEX(EntryTxnType,$P103)))</f>
        <v/>
      </c>
      <c r="H103" s="27">
        <f>IF($P103="","",IF(INDEX(EntryDep,$P103)=0,"",INDEX(EntryDep,$P103)))</f>
        <v/>
      </c>
      <c r="I103" s="27">
        <f>IF($P103="","",IF(INDEX(EntryWit,$P103)=0,"",INDEX(EntryWit,$P103)))</f>
        <v/>
      </c>
      <c r="J103" s="27">
        <f>IF($B103="","",IF($A103=1,$C$7,IF(J102="",0,J102))+IF($H103="",0,$H103)-IF($I103="",0,$I103))</f>
        <v/>
      </c>
      <c r="K103" s="27">
        <f>IF($P103="","",IF(INDEX(EntryMan,$P103)=0,"",INDEX(EntryMan,$P103)))</f>
        <v/>
      </c>
      <c r="L103" s="26">
        <f>IF($B103="","",IF($K103="","—",IF(ROUND($K103-$J103,0)=0,"√","×")))</f>
        <v/>
      </c>
      <c r="M103" s="26">
        <f>IF($B103="","",IF(COUNTIFS(EntryDates,$B103,CalcTime,$C103,CalcBank,$C$5,EntryParty,$D103,EntryDep,$H103,EntryWit,$I103)&gt;1,"تکرار",""))</f>
        <v/>
      </c>
      <c r="N103" s="26">
        <f>IF($P103="","",IF(INDEX(EntryNotes,$P103)=0,"",INDEX(EntryNotes,$P103)))</f>
        <v/>
      </c>
      <c r="O103" s="26">
        <f>IF($P103="","",IF(INDEX(EntryTxnID,$P103)=0,"",INDEX(EntryTxnID,$P103)))</f>
        <v/>
      </c>
      <c r="P103" s="26">
        <f>IFERROR(MATCH($C$5&amp;"|"&amp;RIGHT("000000"&amp;87,6),CalcRankKey,0),"")</f>
        <v/>
      </c>
    </row>
    <row r="104">
      <c r="A104" s="28">
        <f>IF($B104="","",88)</f>
        <v/>
      </c>
      <c r="B104" s="28">
        <f>IF($P104="","",IF(INDEX(CalcNormDate,$P104)=0,"",INDEX(CalcNormDate,$P104)))</f>
        <v/>
      </c>
      <c r="C104" s="28">
        <f>IF($P104="","",IF(INDEX(CalcTime,$P104)=0,"",INDEX(CalcTime,$P104)))</f>
        <v/>
      </c>
      <c r="D104" s="28">
        <f>IF($P104="","",IF(INDEX(EntryParty,$P104)=0,"",INDEX(EntryParty,$P104)))</f>
        <v/>
      </c>
      <c r="E104" s="28">
        <f>IF($P104="","",IF(INDEX(EntryPartyName,$P104)=0,"",INDEX(EntryPartyName,$P104)))</f>
        <v/>
      </c>
      <c r="F104" s="28">
        <f>IF($P104="","",IF(INDEX(EntryPartyType,$P104)=0,"",INDEX(EntryPartyType,$P104)))</f>
        <v/>
      </c>
      <c r="G104" s="28">
        <f>IF($P104="","",IF(INDEX(EntryTxnType,$P104)=0,"",INDEX(EntryTxnType,$P104)))</f>
        <v/>
      </c>
      <c r="H104" s="29">
        <f>IF($P104="","",IF(INDEX(EntryDep,$P104)=0,"",INDEX(EntryDep,$P104)))</f>
        <v/>
      </c>
      <c r="I104" s="29">
        <f>IF($P104="","",IF(INDEX(EntryWit,$P104)=0,"",INDEX(EntryWit,$P104)))</f>
        <v/>
      </c>
      <c r="J104" s="29">
        <f>IF($B104="","",IF($A104=1,$C$7,IF(J103="",0,J103))+IF($H104="",0,$H104)-IF($I104="",0,$I104))</f>
        <v/>
      </c>
      <c r="K104" s="29">
        <f>IF($P104="","",IF(INDEX(EntryMan,$P104)=0,"",INDEX(EntryMan,$P104)))</f>
        <v/>
      </c>
      <c r="L104" s="28">
        <f>IF($B104="","",IF($K104="","—",IF(ROUND($K104-$J104,0)=0,"√","×")))</f>
        <v/>
      </c>
      <c r="M104" s="28">
        <f>IF($B104="","",IF(COUNTIFS(EntryDates,$B104,CalcTime,$C104,CalcBank,$C$5,EntryParty,$D104,EntryDep,$H104,EntryWit,$I104)&gt;1,"تکرار",""))</f>
        <v/>
      </c>
      <c r="N104" s="28">
        <f>IF($P104="","",IF(INDEX(EntryNotes,$P104)=0,"",INDEX(EntryNotes,$P104)))</f>
        <v/>
      </c>
      <c r="O104" s="28">
        <f>IF($P104="","",IF(INDEX(EntryTxnID,$P104)=0,"",INDEX(EntryTxnID,$P104)))</f>
        <v/>
      </c>
      <c r="P104" s="28">
        <f>IFERROR(MATCH($C$5&amp;"|"&amp;RIGHT("000000"&amp;88,6),CalcRankKey,0),"")</f>
        <v/>
      </c>
    </row>
    <row r="105">
      <c r="A105" s="26">
        <f>IF($B105="","",89)</f>
        <v/>
      </c>
      <c r="B105" s="26">
        <f>IF($P105="","",IF(INDEX(CalcNormDate,$P105)=0,"",INDEX(CalcNormDate,$P105)))</f>
        <v/>
      </c>
      <c r="C105" s="26">
        <f>IF($P105="","",IF(INDEX(CalcTime,$P105)=0,"",INDEX(CalcTime,$P105)))</f>
        <v/>
      </c>
      <c r="D105" s="26">
        <f>IF($P105="","",IF(INDEX(EntryParty,$P105)=0,"",INDEX(EntryParty,$P105)))</f>
        <v/>
      </c>
      <c r="E105" s="26">
        <f>IF($P105="","",IF(INDEX(EntryPartyName,$P105)=0,"",INDEX(EntryPartyName,$P105)))</f>
        <v/>
      </c>
      <c r="F105" s="26">
        <f>IF($P105="","",IF(INDEX(EntryPartyType,$P105)=0,"",INDEX(EntryPartyType,$P105)))</f>
        <v/>
      </c>
      <c r="G105" s="26">
        <f>IF($P105="","",IF(INDEX(EntryTxnType,$P105)=0,"",INDEX(EntryTxnType,$P105)))</f>
        <v/>
      </c>
      <c r="H105" s="27">
        <f>IF($P105="","",IF(INDEX(EntryDep,$P105)=0,"",INDEX(EntryDep,$P105)))</f>
        <v/>
      </c>
      <c r="I105" s="27">
        <f>IF($P105="","",IF(INDEX(EntryWit,$P105)=0,"",INDEX(EntryWit,$P105)))</f>
        <v/>
      </c>
      <c r="J105" s="27">
        <f>IF($B105="","",IF($A105=1,$C$7,IF(J104="",0,J104))+IF($H105="",0,$H105)-IF($I105="",0,$I105))</f>
        <v/>
      </c>
      <c r="K105" s="27">
        <f>IF($P105="","",IF(INDEX(EntryMan,$P105)=0,"",INDEX(EntryMan,$P105)))</f>
        <v/>
      </c>
      <c r="L105" s="26">
        <f>IF($B105="","",IF($K105="","—",IF(ROUND($K105-$J105,0)=0,"√","×")))</f>
        <v/>
      </c>
      <c r="M105" s="26">
        <f>IF($B105="","",IF(COUNTIFS(EntryDates,$B105,CalcTime,$C105,CalcBank,$C$5,EntryParty,$D105,EntryDep,$H105,EntryWit,$I105)&gt;1,"تکرار",""))</f>
        <v/>
      </c>
      <c r="N105" s="26">
        <f>IF($P105="","",IF(INDEX(EntryNotes,$P105)=0,"",INDEX(EntryNotes,$P105)))</f>
        <v/>
      </c>
      <c r="O105" s="26">
        <f>IF($P105="","",IF(INDEX(EntryTxnID,$P105)=0,"",INDEX(EntryTxnID,$P105)))</f>
        <v/>
      </c>
      <c r="P105" s="26">
        <f>IFERROR(MATCH($C$5&amp;"|"&amp;RIGHT("000000"&amp;89,6),CalcRankKey,0),"")</f>
        <v/>
      </c>
    </row>
    <row r="106">
      <c r="A106" s="28">
        <f>IF($B106="","",90)</f>
        <v/>
      </c>
      <c r="B106" s="28">
        <f>IF($P106="","",IF(INDEX(CalcNormDate,$P106)=0,"",INDEX(CalcNormDate,$P106)))</f>
        <v/>
      </c>
      <c r="C106" s="28">
        <f>IF($P106="","",IF(INDEX(CalcTime,$P106)=0,"",INDEX(CalcTime,$P106)))</f>
        <v/>
      </c>
      <c r="D106" s="28">
        <f>IF($P106="","",IF(INDEX(EntryParty,$P106)=0,"",INDEX(EntryParty,$P106)))</f>
        <v/>
      </c>
      <c r="E106" s="28">
        <f>IF($P106="","",IF(INDEX(EntryPartyName,$P106)=0,"",INDEX(EntryPartyName,$P106)))</f>
        <v/>
      </c>
      <c r="F106" s="28">
        <f>IF($P106="","",IF(INDEX(EntryPartyType,$P106)=0,"",INDEX(EntryPartyType,$P106)))</f>
        <v/>
      </c>
      <c r="G106" s="28">
        <f>IF($P106="","",IF(INDEX(EntryTxnType,$P106)=0,"",INDEX(EntryTxnType,$P106)))</f>
        <v/>
      </c>
      <c r="H106" s="29">
        <f>IF($P106="","",IF(INDEX(EntryDep,$P106)=0,"",INDEX(EntryDep,$P106)))</f>
        <v/>
      </c>
      <c r="I106" s="29">
        <f>IF($P106="","",IF(INDEX(EntryWit,$P106)=0,"",INDEX(EntryWit,$P106)))</f>
        <v/>
      </c>
      <c r="J106" s="29">
        <f>IF($B106="","",IF($A106=1,$C$7,IF(J105="",0,J105))+IF($H106="",0,$H106)-IF($I106="",0,$I106))</f>
        <v/>
      </c>
      <c r="K106" s="29">
        <f>IF($P106="","",IF(INDEX(EntryMan,$P106)=0,"",INDEX(EntryMan,$P106)))</f>
        <v/>
      </c>
      <c r="L106" s="28">
        <f>IF($B106="","",IF($K106="","—",IF(ROUND($K106-$J106,0)=0,"√","×")))</f>
        <v/>
      </c>
      <c r="M106" s="28">
        <f>IF($B106="","",IF(COUNTIFS(EntryDates,$B106,CalcTime,$C106,CalcBank,$C$5,EntryParty,$D106,EntryDep,$H106,EntryWit,$I106)&gt;1,"تکرار",""))</f>
        <v/>
      </c>
      <c r="N106" s="28">
        <f>IF($P106="","",IF(INDEX(EntryNotes,$P106)=0,"",INDEX(EntryNotes,$P106)))</f>
        <v/>
      </c>
      <c r="O106" s="28">
        <f>IF($P106="","",IF(INDEX(EntryTxnID,$P106)=0,"",INDEX(EntryTxnID,$P106)))</f>
        <v/>
      </c>
      <c r="P106" s="28">
        <f>IFERROR(MATCH($C$5&amp;"|"&amp;RIGHT("000000"&amp;90,6),CalcRankKey,0),"")</f>
        <v/>
      </c>
    </row>
    <row r="107">
      <c r="A107" s="26">
        <f>IF($B107="","",91)</f>
        <v/>
      </c>
      <c r="B107" s="26">
        <f>IF($P107="","",IF(INDEX(CalcNormDate,$P107)=0,"",INDEX(CalcNormDate,$P107)))</f>
        <v/>
      </c>
      <c r="C107" s="26">
        <f>IF($P107="","",IF(INDEX(CalcTime,$P107)=0,"",INDEX(CalcTime,$P107)))</f>
        <v/>
      </c>
      <c r="D107" s="26">
        <f>IF($P107="","",IF(INDEX(EntryParty,$P107)=0,"",INDEX(EntryParty,$P107)))</f>
        <v/>
      </c>
      <c r="E107" s="26">
        <f>IF($P107="","",IF(INDEX(EntryPartyName,$P107)=0,"",INDEX(EntryPartyName,$P107)))</f>
        <v/>
      </c>
      <c r="F107" s="26">
        <f>IF($P107="","",IF(INDEX(EntryPartyType,$P107)=0,"",INDEX(EntryPartyType,$P107)))</f>
        <v/>
      </c>
      <c r="G107" s="26">
        <f>IF($P107="","",IF(INDEX(EntryTxnType,$P107)=0,"",INDEX(EntryTxnType,$P107)))</f>
        <v/>
      </c>
      <c r="H107" s="27">
        <f>IF($P107="","",IF(INDEX(EntryDep,$P107)=0,"",INDEX(EntryDep,$P107)))</f>
        <v/>
      </c>
      <c r="I107" s="27">
        <f>IF($P107="","",IF(INDEX(EntryWit,$P107)=0,"",INDEX(EntryWit,$P107)))</f>
        <v/>
      </c>
      <c r="J107" s="27">
        <f>IF($B107="","",IF($A107=1,$C$7,IF(J106="",0,J106))+IF($H107="",0,$H107)-IF($I107="",0,$I107))</f>
        <v/>
      </c>
      <c r="K107" s="27">
        <f>IF($P107="","",IF(INDEX(EntryMan,$P107)=0,"",INDEX(EntryMan,$P107)))</f>
        <v/>
      </c>
      <c r="L107" s="26">
        <f>IF($B107="","",IF($K107="","—",IF(ROUND($K107-$J107,0)=0,"√","×")))</f>
        <v/>
      </c>
      <c r="M107" s="26">
        <f>IF($B107="","",IF(COUNTIFS(EntryDates,$B107,CalcTime,$C107,CalcBank,$C$5,EntryParty,$D107,EntryDep,$H107,EntryWit,$I107)&gt;1,"تکرار",""))</f>
        <v/>
      </c>
      <c r="N107" s="26">
        <f>IF($P107="","",IF(INDEX(EntryNotes,$P107)=0,"",INDEX(EntryNotes,$P107)))</f>
        <v/>
      </c>
      <c r="O107" s="26">
        <f>IF($P107="","",IF(INDEX(EntryTxnID,$P107)=0,"",INDEX(EntryTxnID,$P107)))</f>
        <v/>
      </c>
      <c r="P107" s="26">
        <f>IFERROR(MATCH($C$5&amp;"|"&amp;RIGHT("000000"&amp;91,6),CalcRankKey,0),"")</f>
        <v/>
      </c>
    </row>
    <row r="108">
      <c r="A108" s="28">
        <f>IF($B108="","",92)</f>
        <v/>
      </c>
      <c r="B108" s="28">
        <f>IF($P108="","",IF(INDEX(CalcNormDate,$P108)=0,"",INDEX(CalcNormDate,$P108)))</f>
        <v/>
      </c>
      <c r="C108" s="28">
        <f>IF($P108="","",IF(INDEX(CalcTime,$P108)=0,"",INDEX(CalcTime,$P108)))</f>
        <v/>
      </c>
      <c r="D108" s="28">
        <f>IF($P108="","",IF(INDEX(EntryParty,$P108)=0,"",INDEX(EntryParty,$P108)))</f>
        <v/>
      </c>
      <c r="E108" s="28">
        <f>IF($P108="","",IF(INDEX(EntryPartyName,$P108)=0,"",INDEX(EntryPartyName,$P108)))</f>
        <v/>
      </c>
      <c r="F108" s="28">
        <f>IF($P108="","",IF(INDEX(EntryPartyType,$P108)=0,"",INDEX(EntryPartyType,$P108)))</f>
        <v/>
      </c>
      <c r="G108" s="28">
        <f>IF($P108="","",IF(INDEX(EntryTxnType,$P108)=0,"",INDEX(EntryTxnType,$P108)))</f>
        <v/>
      </c>
      <c r="H108" s="29">
        <f>IF($P108="","",IF(INDEX(EntryDep,$P108)=0,"",INDEX(EntryDep,$P108)))</f>
        <v/>
      </c>
      <c r="I108" s="29">
        <f>IF($P108="","",IF(INDEX(EntryWit,$P108)=0,"",INDEX(EntryWit,$P108)))</f>
        <v/>
      </c>
      <c r="J108" s="29">
        <f>IF($B108="","",IF($A108=1,$C$7,IF(J107="",0,J107))+IF($H108="",0,$H108)-IF($I108="",0,$I108))</f>
        <v/>
      </c>
      <c r="K108" s="29">
        <f>IF($P108="","",IF(INDEX(EntryMan,$P108)=0,"",INDEX(EntryMan,$P108)))</f>
        <v/>
      </c>
      <c r="L108" s="28">
        <f>IF($B108="","",IF($K108="","—",IF(ROUND($K108-$J108,0)=0,"√","×")))</f>
        <v/>
      </c>
      <c r="M108" s="28">
        <f>IF($B108="","",IF(COUNTIFS(EntryDates,$B108,CalcTime,$C108,CalcBank,$C$5,EntryParty,$D108,EntryDep,$H108,EntryWit,$I108)&gt;1,"تکرار",""))</f>
        <v/>
      </c>
      <c r="N108" s="28">
        <f>IF($P108="","",IF(INDEX(EntryNotes,$P108)=0,"",INDEX(EntryNotes,$P108)))</f>
        <v/>
      </c>
      <c r="O108" s="28">
        <f>IF($P108="","",IF(INDEX(EntryTxnID,$P108)=0,"",INDEX(EntryTxnID,$P108)))</f>
        <v/>
      </c>
      <c r="P108" s="28">
        <f>IFERROR(MATCH($C$5&amp;"|"&amp;RIGHT("000000"&amp;92,6),CalcRankKey,0),"")</f>
        <v/>
      </c>
    </row>
    <row r="109">
      <c r="A109" s="26">
        <f>IF($B109="","",93)</f>
        <v/>
      </c>
      <c r="B109" s="26">
        <f>IF($P109="","",IF(INDEX(CalcNormDate,$P109)=0,"",INDEX(CalcNormDate,$P109)))</f>
        <v/>
      </c>
      <c r="C109" s="26">
        <f>IF($P109="","",IF(INDEX(CalcTime,$P109)=0,"",INDEX(CalcTime,$P109)))</f>
        <v/>
      </c>
      <c r="D109" s="26">
        <f>IF($P109="","",IF(INDEX(EntryParty,$P109)=0,"",INDEX(EntryParty,$P109)))</f>
        <v/>
      </c>
      <c r="E109" s="26">
        <f>IF($P109="","",IF(INDEX(EntryPartyName,$P109)=0,"",INDEX(EntryPartyName,$P109)))</f>
        <v/>
      </c>
      <c r="F109" s="26">
        <f>IF($P109="","",IF(INDEX(EntryPartyType,$P109)=0,"",INDEX(EntryPartyType,$P109)))</f>
        <v/>
      </c>
      <c r="G109" s="26">
        <f>IF($P109="","",IF(INDEX(EntryTxnType,$P109)=0,"",INDEX(EntryTxnType,$P109)))</f>
        <v/>
      </c>
      <c r="H109" s="27">
        <f>IF($P109="","",IF(INDEX(EntryDep,$P109)=0,"",INDEX(EntryDep,$P109)))</f>
        <v/>
      </c>
      <c r="I109" s="27">
        <f>IF($P109="","",IF(INDEX(EntryWit,$P109)=0,"",INDEX(EntryWit,$P109)))</f>
        <v/>
      </c>
      <c r="J109" s="27">
        <f>IF($B109="","",IF($A109=1,$C$7,IF(J108="",0,J108))+IF($H109="",0,$H109)-IF($I109="",0,$I109))</f>
        <v/>
      </c>
      <c r="K109" s="27">
        <f>IF($P109="","",IF(INDEX(EntryMan,$P109)=0,"",INDEX(EntryMan,$P109)))</f>
        <v/>
      </c>
      <c r="L109" s="26">
        <f>IF($B109="","",IF($K109="","—",IF(ROUND($K109-$J109,0)=0,"√","×")))</f>
        <v/>
      </c>
      <c r="M109" s="26">
        <f>IF($B109="","",IF(COUNTIFS(EntryDates,$B109,CalcTime,$C109,CalcBank,$C$5,EntryParty,$D109,EntryDep,$H109,EntryWit,$I109)&gt;1,"تکرار",""))</f>
        <v/>
      </c>
      <c r="N109" s="26">
        <f>IF($P109="","",IF(INDEX(EntryNotes,$P109)=0,"",INDEX(EntryNotes,$P109)))</f>
        <v/>
      </c>
      <c r="O109" s="26">
        <f>IF($P109="","",IF(INDEX(EntryTxnID,$P109)=0,"",INDEX(EntryTxnID,$P109)))</f>
        <v/>
      </c>
      <c r="P109" s="26">
        <f>IFERROR(MATCH($C$5&amp;"|"&amp;RIGHT("000000"&amp;93,6),CalcRankKey,0),"")</f>
        <v/>
      </c>
    </row>
    <row r="110">
      <c r="A110" s="28">
        <f>IF($B110="","",94)</f>
        <v/>
      </c>
      <c r="B110" s="28">
        <f>IF($P110="","",IF(INDEX(CalcNormDate,$P110)=0,"",INDEX(CalcNormDate,$P110)))</f>
        <v/>
      </c>
      <c r="C110" s="28">
        <f>IF($P110="","",IF(INDEX(CalcTime,$P110)=0,"",INDEX(CalcTime,$P110)))</f>
        <v/>
      </c>
      <c r="D110" s="28">
        <f>IF($P110="","",IF(INDEX(EntryParty,$P110)=0,"",INDEX(EntryParty,$P110)))</f>
        <v/>
      </c>
      <c r="E110" s="28">
        <f>IF($P110="","",IF(INDEX(EntryPartyName,$P110)=0,"",INDEX(EntryPartyName,$P110)))</f>
        <v/>
      </c>
      <c r="F110" s="28">
        <f>IF($P110="","",IF(INDEX(EntryPartyType,$P110)=0,"",INDEX(EntryPartyType,$P110)))</f>
        <v/>
      </c>
      <c r="G110" s="28">
        <f>IF($P110="","",IF(INDEX(EntryTxnType,$P110)=0,"",INDEX(EntryTxnType,$P110)))</f>
        <v/>
      </c>
      <c r="H110" s="29">
        <f>IF($P110="","",IF(INDEX(EntryDep,$P110)=0,"",INDEX(EntryDep,$P110)))</f>
        <v/>
      </c>
      <c r="I110" s="29">
        <f>IF($P110="","",IF(INDEX(EntryWit,$P110)=0,"",INDEX(EntryWit,$P110)))</f>
        <v/>
      </c>
      <c r="J110" s="29">
        <f>IF($B110="","",IF($A110=1,$C$7,IF(J109="",0,J109))+IF($H110="",0,$H110)-IF($I110="",0,$I110))</f>
        <v/>
      </c>
      <c r="K110" s="29">
        <f>IF($P110="","",IF(INDEX(EntryMan,$P110)=0,"",INDEX(EntryMan,$P110)))</f>
        <v/>
      </c>
      <c r="L110" s="28">
        <f>IF($B110="","",IF($K110="","—",IF(ROUND($K110-$J110,0)=0,"√","×")))</f>
        <v/>
      </c>
      <c r="M110" s="28">
        <f>IF($B110="","",IF(COUNTIFS(EntryDates,$B110,CalcTime,$C110,CalcBank,$C$5,EntryParty,$D110,EntryDep,$H110,EntryWit,$I110)&gt;1,"تکرار",""))</f>
        <v/>
      </c>
      <c r="N110" s="28">
        <f>IF($P110="","",IF(INDEX(EntryNotes,$P110)=0,"",INDEX(EntryNotes,$P110)))</f>
        <v/>
      </c>
      <c r="O110" s="28">
        <f>IF($P110="","",IF(INDEX(EntryTxnID,$P110)=0,"",INDEX(EntryTxnID,$P110)))</f>
        <v/>
      </c>
      <c r="P110" s="28">
        <f>IFERROR(MATCH($C$5&amp;"|"&amp;RIGHT("000000"&amp;94,6),CalcRankKey,0),"")</f>
        <v/>
      </c>
    </row>
    <row r="111">
      <c r="A111" s="26">
        <f>IF($B111="","",95)</f>
        <v/>
      </c>
      <c r="B111" s="26">
        <f>IF($P111="","",IF(INDEX(CalcNormDate,$P111)=0,"",INDEX(CalcNormDate,$P111)))</f>
        <v/>
      </c>
      <c r="C111" s="26">
        <f>IF($P111="","",IF(INDEX(CalcTime,$P111)=0,"",INDEX(CalcTime,$P111)))</f>
        <v/>
      </c>
      <c r="D111" s="26">
        <f>IF($P111="","",IF(INDEX(EntryParty,$P111)=0,"",INDEX(EntryParty,$P111)))</f>
        <v/>
      </c>
      <c r="E111" s="26">
        <f>IF($P111="","",IF(INDEX(EntryPartyName,$P111)=0,"",INDEX(EntryPartyName,$P111)))</f>
        <v/>
      </c>
      <c r="F111" s="26">
        <f>IF($P111="","",IF(INDEX(EntryPartyType,$P111)=0,"",INDEX(EntryPartyType,$P111)))</f>
        <v/>
      </c>
      <c r="G111" s="26">
        <f>IF($P111="","",IF(INDEX(EntryTxnType,$P111)=0,"",INDEX(EntryTxnType,$P111)))</f>
        <v/>
      </c>
      <c r="H111" s="27">
        <f>IF($P111="","",IF(INDEX(EntryDep,$P111)=0,"",INDEX(EntryDep,$P111)))</f>
        <v/>
      </c>
      <c r="I111" s="27">
        <f>IF($P111="","",IF(INDEX(EntryWit,$P111)=0,"",INDEX(EntryWit,$P111)))</f>
        <v/>
      </c>
      <c r="J111" s="27">
        <f>IF($B111="","",IF($A111=1,$C$7,IF(J110="",0,J110))+IF($H111="",0,$H111)-IF($I111="",0,$I111))</f>
        <v/>
      </c>
      <c r="K111" s="27">
        <f>IF($P111="","",IF(INDEX(EntryMan,$P111)=0,"",INDEX(EntryMan,$P111)))</f>
        <v/>
      </c>
      <c r="L111" s="26">
        <f>IF($B111="","",IF($K111="","—",IF(ROUND($K111-$J111,0)=0,"√","×")))</f>
        <v/>
      </c>
      <c r="M111" s="26">
        <f>IF($B111="","",IF(COUNTIFS(EntryDates,$B111,CalcTime,$C111,CalcBank,$C$5,EntryParty,$D111,EntryDep,$H111,EntryWit,$I111)&gt;1,"تکرار",""))</f>
        <v/>
      </c>
      <c r="N111" s="26">
        <f>IF($P111="","",IF(INDEX(EntryNotes,$P111)=0,"",INDEX(EntryNotes,$P111)))</f>
        <v/>
      </c>
      <c r="O111" s="26">
        <f>IF($P111="","",IF(INDEX(EntryTxnID,$P111)=0,"",INDEX(EntryTxnID,$P111)))</f>
        <v/>
      </c>
      <c r="P111" s="26">
        <f>IFERROR(MATCH($C$5&amp;"|"&amp;RIGHT("000000"&amp;95,6),CalcRankKey,0),"")</f>
        <v/>
      </c>
    </row>
    <row r="112">
      <c r="A112" s="28">
        <f>IF($B112="","",96)</f>
        <v/>
      </c>
      <c r="B112" s="28">
        <f>IF($P112="","",IF(INDEX(CalcNormDate,$P112)=0,"",INDEX(CalcNormDate,$P112)))</f>
        <v/>
      </c>
      <c r="C112" s="28">
        <f>IF($P112="","",IF(INDEX(CalcTime,$P112)=0,"",INDEX(CalcTime,$P112)))</f>
        <v/>
      </c>
      <c r="D112" s="28">
        <f>IF($P112="","",IF(INDEX(EntryParty,$P112)=0,"",INDEX(EntryParty,$P112)))</f>
        <v/>
      </c>
      <c r="E112" s="28">
        <f>IF($P112="","",IF(INDEX(EntryPartyName,$P112)=0,"",INDEX(EntryPartyName,$P112)))</f>
        <v/>
      </c>
      <c r="F112" s="28">
        <f>IF($P112="","",IF(INDEX(EntryPartyType,$P112)=0,"",INDEX(EntryPartyType,$P112)))</f>
        <v/>
      </c>
      <c r="G112" s="28">
        <f>IF($P112="","",IF(INDEX(EntryTxnType,$P112)=0,"",INDEX(EntryTxnType,$P112)))</f>
        <v/>
      </c>
      <c r="H112" s="29">
        <f>IF($P112="","",IF(INDEX(EntryDep,$P112)=0,"",INDEX(EntryDep,$P112)))</f>
        <v/>
      </c>
      <c r="I112" s="29">
        <f>IF($P112="","",IF(INDEX(EntryWit,$P112)=0,"",INDEX(EntryWit,$P112)))</f>
        <v/>
      </c>
      <c r="J112" s="29">
        <f>IF($B112="","",IF($A112=1,$C$7,IF(J111="",0,J111))+IF($H112="",0,$H112)-IF($I112="",0,$I112))</f>
        <v/>
      </c>
      <c r="K112" s="29">
        <f>IF($P112="","",IF(INDEX(EntryMan,$P112)=0,"",INDEX(EntryMan,$P112)))</f>
        <v/>
      </c>
      <c r="L112" s="28">
        <f>IF($B112="","",IF($K112="","—",IF(ROUND($K112-$J112,0)=0,"√","×")))</f>
        <v/>
      </c>
      <c r="M112" s="28">
        <f>IF($B112="","",IF(COUNTIFS(EntryDates,$B112,CalcTime,$C112,CalcBank,$C$5,EntryParty,$D112,EntryDep,$H112,EntryWit,$I112)&gt;1,"تکرار",""))</f>
        <v/>
      </c>
      <c r="N112" s="28">
        <f>IF($P112="","",IF(INDEX(EntryNotes,$P112)=0,"",INDEX(EntryNotes,$P112)))</f>
        <v/>
      </c>
      <c r="O112" s="28">
        <f>IF($P112="","",IF(INDEX(EntryTxnID,$P112)=0,"",INDEX(EntryTxnID,$P112)))</f>
        <v/>
      </c>
      <c r="P112" s="28">
        <f>IFERROR(MATCH($C$5&amp;"|"&amp;RIGHT("000000"&amp;96,6),CalcRankKey,0),"")</f>
        <v/>
      </c>
    </row>
    <row r="113">
      <c r="A113" s="26">
        <f>IF($B113="","",97)</f>
        <v/>
      </c>
      <c r="B113" s="26">
        <f>IF($P113="","",IF(INDEX(CalcNormDate,$P113)=0,"",INDEX(CalcNormDate,$P113)))</f>
        <v/>
      </c>
      <c r="C113" s="26">
        <f>IF($P113="","",IF(INDEX(CalcTime,$P113)=0,"",INDEX(CalcTime,$P113)))</f>
        <v/>
      </c>
      <c r="D113" s="26">
        <f>IF($P113="","",IF(INDEX(EntryParty,$P113)=0,"",INDEX(EntryParty,$P113)))</f>
        <v/>
      </c>
      <c r="E113" s="26">
        <f>IF($P113="","",IF(INDEX(EntryPartyName,$P113)=0,"",INDEX(EntryPartyName,$P113)))</f>
        <v/>
      </c>
      <c r="F113" s="26">
        <f>IF($P113="","",IF(INDEX(EntryPartyType,$P113)=0,"",INDEX(EntryPartyType,$P113)))</f>
        <v/>
      </c>
      <c r="G113" s="26">
        <f>IF($P113="","",IF(INDEX(EntryTxnType,$P113)=0,"",INDEX(EntryTxnType,$P113)))</f>
        <v/>
      </c>
      <c r="H113" s="27">
        <f>IF($P113="","",IF(INDEX(EntryDep,$P113)=0,"",INDEX(EntryDep,$P113)))</f>
        <v/>
      </c>
      <c r="I113" s="27">
        <f>IF($P113="","",IF(INDEX(EntryWit,$P113)=0,"",INDEX(EntryWit,$P113)))</f>
        <v/>
      </c>
      <c r="J113" s="27">
        <f>IF($B113="","",IF($A113=1,$C$7,IF(J112="",0,J112))+IF($H113="",0,$H113)-IF($I113="",0,$I113))</f>
        <v/>
      </c>
      <c r="K113" s="27">
        <f>IF($P113="","",IF(INDEX(EntryMan,$P113)=0,"",INDEX(EntryMan,$P113)))</f>
        <v/>
      </c>
      <c r="L113" s="26">
        <f>IF($B113="","",IF($K113="","—",IF(ROUND($K113-$J113,0)=0,"√","×")))</f>
        <v/>
      </c>
      <c r="M113" s="26">
        <f>IF($B113="","",IF(COUNTIFS(EntryDates,$B113,CalcTime,$C113,CalcBank,$C$5,EntryParty,$D113,EntryDep,$H113,EntryWit,$I113)&gt;1,"تکرار",""))</f>
        <v/>
      </c>
      <c r="N113" s="26">
        <f>IF($P113="","",IF(INDEX(EntryNotes,$P113)=0,"",INDEX(EntryNotes,$P113)))</f>
        <v/>
      </c>
      <c r="O113" s="26">
        <f>IF($P113="","",IF(INDEX(EntryTxnID,$P113)=0,"",INDEX(EntryTxnID,$P113)))</f>
        <v/>
      </c>
      <c r="P113" s="26">
        <f>IFERROR(MATCH($C$5&amp;"|"&amp;RIGHT("000000"&amp;97,6),CalcRankKey,0),"")</f>
        <v/>
      </c>
    </row>
    <row r="114">
      <c r="A114" s="28">
        <f>IF($B114="","",98)</f>
        <v/>
      </c>
      <c r="B114" s="28">
        <f>IF($P114="","",IF(INDEX(CalcNormDate,$P114)=0,"",INDEX(CalcNormDate,$P114)))</f>
        <v/>
      </c>
      <c r="C114" s="28">
        <f>IF($P114="","",IF(INDEX(CalcTime,$P114)=0,"",INDEX(CalcTime,$P114)))</f>
        <v/>
      </c>
      <c r="D114" s="28">
        <f>IF($P114="","",IF(INDEX(EntryParty,$P114)=0,"",INDEX(EntryParty,$P114)))</f>
        <v/>
      </c>
      <c r="E114" s="28">
        <f>IF($P114="","",IF(INDEX(EntryPartyName,$P114)=0,"",INDEX(EntryPartyName,$P114)))</f>
        <v/>
      </c>
      <c r="F114" s="28">
        <f>IF($P114="","",IF(INDEX(EntryPartyType,$P114)=0,"",INDEX(EntryPartyType,$P114)))</f>
        <v/>
      </c>
      <c r="G114" s="28">
        <f>IF($P114="","",IF(INDEX(EntryTxnType,$P114)=0,"",INDEX(EntryTxnType,$P114)))</f>
        <v/>
      </c>
      <c r="H114" s="29">
        <f>IF($P114="","",IF(INDEX(EntryDep,$P114)=0,"",INDEX(EntryDep,$P114)))</f>
        <v/>
      </c>
      <c r="I114" s="29">
        <f>IF($P114="","",IF(INDEX(EntryWit,$P114)=0,"",INDEX(EntryWit,$P114)))</f>
        <v/>
      </c>
      <c r="J114" s="29">
        <f>IF($B114="","",IF($A114=1,$C$7,IF(J113="",0,J113))+IF($H114="",0,$H114)-IF($I114="",0,$I114))</f>
        <v/>
      </c>
      <c r="K114" s="29">
        <f>IF($P114="","",IF(INDEX(EntryMan,$P114)=0,"",INDEX(EntryMan,$P114)))</f>
        <v/>
      </c>
      <c r="L114" s="28">
        <f>IF($B114="","",IF($K114="","—",IF(ROUND($K114-$J114,0)=0,"√","×")))</f>
        <v/>
      </c>
      <c r="M114" s="28">
        <f>IF($B114="","",IF(COUNTIFS(EntryDates,$B114,CalcTime,$C114,CalcBank,$C$5,EntryParty,$D114,EntryDep,$H114,EntryWit,$I114)&gt;1,"تکرار",""))</f>
        <v/>
      </c>
      <c r="N114" s="28">
        <f>IF($P114="","",IF(INDEX(EntryNotes,$P114)=0,"",INDEX(EntryNotes,$P114)))</f>
        <v/>
      </c>
      <c r="O114" s="28">
        <f>IF($P114="","",IF(INDEX(EntryTxnID,$P114)=0,"",INDEX(EntryTxnID,$P114)))</f>
        <v/>
      </c>
      <c r="P114" s="28">
        <f>IFERROR(MATCH($C$5&amp;"|"&amp;RIGHT("000000"&amp;98,6),CalcRankKey,0),"")</f>
        <v/>
      </c>
    </row>
    <row r="115">
      <c r="A115" s="26">
        <f>IF($B115="","",99)</f>
        <v/>
      </c>
      <c r="B115" s="26">
        <f>IF($P115="","",IF(INDEX(CalcNormDate,$P115)=0,"",INDEX(CalcNormDate,$P115)))</f>
        <v/>
      </c>
      <c r="C115" s="26">
        <f>IF($P115="","",IF(INDEX(CalcTime,$P115)=0,"",INDEX(CalcTime,$P115)))</f>
        <v/>
      </c>
      <c r="D115" s="26">
        <f>IF($P115="","",IF(INDEX(EntryParty,$P115)=0,"",INDEX(EntryParty,$P115)))</f>
        <v/>
      </c>
      <c r="E115" s="26">
        <f>IF($P115="","",IF(INDEX(EntryPartyName,$P115)=0,"",INDEX(EntryPartyName,$P115)))</f>
        <v/>
      </c>
      <c r="F115" s="26">
        <f>IF($P115="","",IF(INDEX(EntryPartyType,$P115)=0,"",INDEX(EntryPartyType,$P115)))</f>
        <v/>
      </c>
      <c r="G115" s="26">
        <f>IF($P115="","",IF(INDEX(EntryTxnType,$P115)=0,"",INDEX(EntryTxnType,$P115)))</f>
        <v/>
      </c>
      <c r="H115" s="27">
        <f>IF($P115="","",IF(INDEX(EntryDep,$P115)=0,"",INDEX(EntryDep,$P115)))</f>
        <v/>
      </c>
      <c r="I115" s="27">
        <f>IF($P115="","",IF(INDEX(EntryWit,$P115)=0,"",INDEX(EntryWit,$P115)))</f>
        <v/>
      </c>
      <c r="J115" s="27">
        <f>IF($B115="","",IF($A115=1,$C$7,IF(J114="",0,J114))+IF($H115="",0,$H115)-IF($I115="",0,$I115))</f>
        <v/>
      </c>
      <c r="K115" s="27">
        <f>IF($P115="","",IF(INDEX(EntryMan,$P115)=0,"",INDEX(EntryMan,$P115)))</f>
        <v/>
      </c>
      <c r="L115" s="26">
        <f>IF($B115="","",IF($K115="","—",IF(ROUND($K115-$J115,0)=0,"√","×")))</f>
        <v/>
      </c>
      <c r="M115" s="26">
        <f>IF($B115="","",IF(COUNTIFS(EntryDates,$B115,CalcTime,$C115,CalcBank,$C$5,EntryParty,$D115,EntryDep,$H115,EntryWit,$I115)&gt;1,"تکرار",""))</f>
        <v/>
      </c>
      <c r="N115" s="26">
        <f>IF($P115="","",IF(INDEX(EntryNotes,$P115)=0,"",INDEX(EntryNotes,$P115)))</f>
        <v/>
      </c>
      <c r="O115" s="26">
        <f>IF($P115="","",IF(INDEX(EntryTxnID,$P115)=0,"",INDEX(EntryTxnID,$P115)))</f>
        <v/>
      </c>
      <c r="P115" s="26">
        <f>IFERROR(MATCH($C$5&amp;"|"&amp;RIGHT("000000"&amp;99,6),CalcRankKey,0),"")</f>
        <v/>
      </c>
    </row>
    <row r="116">
      <c r="A116" s="28">
        <f>IF($B116="","",100)</f>
        <v/>
      </c>
      <c r="B116" s="28">
        <f>IF($P116="","",IF(INDEX(CalcNormDate,$P116)=0,"",INDEX(CalcNormDate,$P116)))</f>
        <v/>
      </c>
      <c r="C116" s="28">
        <f>IF($P116="","",IF(INDEX(CalcTime,$P116)=0,"",INDEX(CalcTime,$P116)))</f>
        <v/>
      </c>
      <c r="D116" s="28">
        <f>IF($P116="","",IF(INDEX(EntryParty,$P116)=0,"",INDEX(EntryParty,$P116)))</f>
        <v/>
      </c>
      <c r="E116" s="28">
        <f>IF($P116="","",IF(INDEX(EntryPartyName,$P116)=0,"",INDEX(EntryPartyName,$P116)))</f>
        <v/>
      </c>
      <c r="F116" s="28">
        <f>IF($P116="","",IF(INDEX(EntryPartyType,$P116)=0,"",INDEX(EntryPartyType,$P116)))</f>
        <v/>
      </c>
      <c r="G116" s="28">
        <f>IF($P116="","",IF(INDEX(EntryTxnType,$P116)=0,"",INDEX(EntryTxnType,$P116)))</f>
        <v/>
      </c>
      <c r="H116" s="29">
        <f>IF($P116="","",IF(INDEX(EntryDep,$P116)=0,"",INDEX(EntryDep,$P116)))</f>
        <v/>
      </c>
      <c r="I116" s="29">
        <f>IF($P116="","",IF(INDEX(EntryWit,$P116)=0,"",INDEX(EntryWit,$P116)))</f>
        <v/>
      </c>
      <c r="J116" s="29">
        <f>IF($B116="","",IF($A116=1,$C$7,IF(J115="",0,J115))+IF($H116="",0,$H116)-IF($I116="",0,$I116))</f>
        <v/>
      </c>
      <c r="K116" s="29">
        <f>IF($P116="","",IF(INDEX(EntryMan,$P116)=0,"",INDEX(EntryMan,$P116)))</f>
        <v/>
      </c>
      <c r="L116" s="28">
        <f>IF($B116="","",IF($K116="","—",IF(ROUND($K116-$J116,0)=0,"√","×")))</f>
        <v/>
      </c>
      <c r="M116" s="28">
        <f>IF($B116="","",IF(COUNTIFS(EntryDates,$B116,CalcTime,$C116,CalcBank,$C$5,EntryParty,$D116,EntryDep,$H116,EntryWit,$I116)&gt;1,"تکرار",""))</f>
        <v/>
      </c>
      <c r="N116" s="28">
        <f>IF($P116="","",IF(INDEX(EntryNotes,$P116)=0,"",INDEX(EntryNotes,$P116)))</f>
        <v/>
      </c>
      <c r="O116" s="28">
        <f>IF($P116="","",IF(INDEX(EntryTxnID,$P116)=0,"",INDEX(EntryTxnID,$P116)))</f>
        <v/>
      </c>
      <c r="P116" s="28">
        <f>IFERROR(MATCH($C$5&amp;"|"&amp;RIGHT("000000"&amp;100,6),CalcRankKey,0),"")</f>
        <v/>
      </c>
    </row>
    <row r="117">
      <c r="A117" s="26">
        <f>IF($B117="","",101)</f>
        <v/>
      </c>
      <c r="B117" s="26">
        <f>IF($P117="","",IF(INDEX(CalcNormDate,$P117)=0,"",INDEX(CalcNormDate,$P117)))</f>
        <v/>
      </c>
      <c r="C117" s="26">
        <f>IF($P117="","",IF(INDEX(CalcTime,$P117)=0,"",INDEX(CalcTime,$P117)))</f>
        <v/>
      </c>
      <c r="D117" s="26">
        <f>IF($P117="","",IF(INDEX(EntryParty,$P117)=0,"",INDEX(EntryParty,$P117)))</f>
        <v/>
      </c>
      <c r="E117" s="26">
        <f>IF($P117="","",IF(INDEX(EntryPartyName,$P117)=0,"",INDEX(EntryPartyName,$P117)))</f>
        <v/>
      </c>
      <c r="F117" s="26">
        <f>IF($P117="","",IF(INDEX(EntryPartyType,$P117)=0,"",INDEX(EntryPartyType,$P117)))</f>
        <v/>
      </c>
      <c r="G117" s="26">
        <f>IF($P117="","",IF(INDEX(EntryTxnType,$P117)=0,"",INDEX(EntryTxnType,$P117)))</f>
        <v/>
      </c>
      <c r="H117" s="27">
        <f>IF($P117="","",IF(INDEX(EntryDep,$P117)=0,"",INDEX(EntryDep,$P117)))</f>
        <v/>
      </c>
      <c r="I117" s="27">
        <f>IF($P117="","",IF(INDEX(EntryWit,$P117)=0,"",INDEX(EntryWit,$P117)))</f>
        <v/>
      </c>
      <c r="J117" s="27">
        <f>IF($B117="","",IF($A117=1,$C$7,IF(J116="",0,J116))+IF($H117="",0,$H117)-IF($I117="",0,$I117))</f>
        <v/>
      </c>
      <c r="K117" s="27">
        <f>IF($P117="","",IF(INDEX(EntryMan,$P117)=0,"",INDEX(EntryMan,$P117)))</f>
        <v/>
      </c>
      <c r="L117" s="26">
        <f>IF($B117="","",IF($K117="","—",IF(ROUND($K117-$J117,0)=0,"√","×")))</f>
        <v/>
      </c>
      <c r="M117" s="26">
        <f>IF($B117="","",IF(COUNTIFS(EntryDates,$B117,CalcTime,$C117,CalcBank,$C$5,EntryParty,$D117,EntryDep,$H117,EntryWit,$I117)&gt;1,"تکرار",""))</f>
        <v/>
      </c>
      <c r="N117" s="26">
        <f>IF($P117="","",IF(INDEX(EntryNotes,$P117)=0,"",INDEX(EntryNotes,$P117)))</f>
        <v/>
      </c>
      <c r="O117" s="26">
        <f>IF($P117="","",IF(INDEX(EntryTxnID,$P117)=0,"",INDEX(EntryTxnID,$P117)))</f>
        <v/>
      </c>
      <c r="P117" s="26">
        <f>IFERROR(MATCH($C$5&amp;"|"&amp;RIGHT("000000"&amp;101,6),CalcRankKey,0),"")</f>
        <v/>
      </c>
    </row>
    <row r="118">
      <c r="A118" s="28">
        <f>IF($B118="","",102)</f>
        <v/>
      </c>
      <c r="B118" s="28">
        <f>IF($P118="","",IF(INDEX(CalcNormDate,$P118)=0,"",INDEX(CalcNormDate,$P118)))</f>
        <v/>
      </c>
      <c r="C118" s="28">
        <f>IF($P118="","",IF(INDEX(CalcTime,$P118)=0,"",INDEX(CalcTime,$P118)))</f>
        <v/>
      </c>
      <c r="D118" s="28">
        <f>IF($P118="","",IF(INDEX(EntryParty,$P118)=0,"",INDEX(EntryParty,$P118)))</f>
        <v/>
      </c>
      <c r="E118" s="28">
        <f>IF($P118="","",IF(INDEX(EntryPartyName,$P118)=0,"",INDEX(EntryPartyName,$P118)))</f>
        <v/>
      </c>
      <c r="F118" s="28">
        <f>IF($P118="","",IF(INDEX(EntryPartyType,$P118)=0,"",INDEX(EntryPartyType,$P118)))</f>
        <v/>
      </c>
      <c r="G118" s="28">
        <f>IF($P118="","",IF(INDEX(EntryTxnType,$P118)=0,"",INDEX(EntryTxnType,$P118)))</f>
        <v/>
      </c>
      <c r="H118" s="29">
        <f>IF($P118="","",IF(INDEX(EntryDep,$P118)=0,"",INDEX(EntryDep,$P118)))</f>
        <v/>
      </c>
      <c r="I118" s="29">
        <f>IF($P118="","",IF(INDEX(EntryWit,$P118)=0,"",INDEX(EntryWit,$P118)))</f>
        <v/>
      </c>
      <c r="J118" s="29">
        <f>IF($B118="","",IF($A118=1,$C$7,IF(J117="",0,J117))+IF($H118="",0,$H118)-IF($I118="",0,$I118))</f>
        <v/>
      </c>
      <c r="K118" s="29">
        <f>IF($P118="","",IF(INDEX(EntryMan,$P118)=0,"",INDEX(EntryMan,$P118)))</f>
        <v/>
      </c>
      <c r="L118" s="28">
        <f>IF($B118="","",IF($K118="","—",IF(ROUND($K118-$J118,0)=0,"√","×")))</f>
        <v/>
      </c>
      <c r="M118" s="28">
        <f>IF($B118="","",IF(COUNTIFS(EntryDates,$B118,CalcTime,$C118,CalcBank,$C$5,EntryParty,$D118,EntryDep,$H118,EntryWit,$I118)&gt;1,"تکرار",""))</f>
        <v/>
      </c>
      <c r="N118" s="28">
        <f>IF($P118="","",IF(INDEX(EntryNotes,$P118)=0,"",INDEX(EntryNotes,$P118)))</f>
        <v/>
      </c>
      <c r="O118" s="28">
        <f>IF($P118="","",IF(INDEX(EntryTxnID,$P118)=0,"",INDEX(EntryTxnID,$P118)))</f>
        <v/>
      </c>
      <c r="P118" s="28">
        <f>IFERROR(MATCH($C$5&amp;"|"&amp;RIGHT("000000"&amp;102,6),CalcRankKey,0),"")</f>
        <v/>
      </c>
    </row>
    <row r="119">
      <c r="A119" s="26">
        <f>IF($B119="","",103)</f>
        <v/>
      </c>
      <c r="B119" s="26">
        <f>IF($P119="","",IF(INDEX(CalcNormDate,$P119)=0,"",INDEX(CalcNormDate,$P119)))</f>
        <v/>
      </c>
      <c r="C119" s="26">
        <f>IF($P119="","",IF(INDEX(CalcTime,$P119)=0,"",INDEX(CalcTime,$P119)))</f>
        <v/>
      </c>
      <c r="D119" s="26">
        <f>IF($P119="","",IF(INDEX(EntryParty,$P119)=0,"",INDEX(EntryParty,$P119)))</f>
        <v/>
      </c>
      <c r="E119" s="26">
        <f>IF($P119="","",IF(INDEX(EntryPartyName,$P119)=0,"",INDEX(EntryPartyName,$P119)))</f>
        <v/>
      </c>
      <c r="F119" s="26">
        <f>IF($P119="","",IF(INDEX(EntryPartyType,$P119)=0,"",INDEX(EntryPartyType,$P119)))</f>
        <v/>
      </c>
      <c r="G119" s="26">
        <f>IF($P119="","",IF(INDEX(EntryTxnType,$P119)=0,"",INDEX(EntryTxnType,$P119)))</f>
        <v/>
      </c>
      <c r="H119" s="27">
        <f>IF($P119="","",IF(INDEX(EntryDep,$P119)=0,"",INDEX(EntryDep,$P119)))</f>
        <v/>
      </c>
      <c r="I119" s="27">
        <f>IF($P119="","",IF(INDEX(EntryWit,$P119)=0,"",INDEX(EntryWit,$P119)))</f>
        <v/>
      </c>
      <c r="J119" s="27">
        <f>IF($B119="","",IF($A119=1,$C$7,IF(J118="",0,J118))+IF($H119="",0,$H119)-IF($I119="",0,$I119))</f>
        <v/>
      </c>
      <c r="K119" s="27">
        <f>IF($P119="","",IF(INDEX(EntryMan,$P119)=0,"",INDEX(EntryMan,$P119)))</f>
        <v/>
      </c>
      <c r="L119" s="26">
        <f>IF($B119="","",IF($K119="","—",IF(ROUND($K119-$J119,0)=0,"√","×")))</f>
        <v/>
      </c>
      <c r="M119" s="26">
        <f>IF($B119="","",IF(COUNTIFS(EntryDates,$B119,CalcTime,$C119,CalcBank,$C$5,EntryParty,$D119,EntryDep,$H119,EntryWit,$I119)&gt;1,"تکرار",""))</f>
        <v/>
      </c>
      <c r="N119" s="26">
        <f>IF($P119="","",IF(INDEX(EntryNotes,$P119)=0,"",INDEX(EntryNotes,$P119)))</f>
        <v/>
      </c>
      <c r="O119" s="26">
        <f>IF($P119="","",IF(INDEX(EntryTxnID,$P119)=0,"",INDEX(EntryTxnID,$P119)))</f>
        <v/>
      </c>
      <c r="P119" s="26">
        <f>IFERROR(MATCH($C$5&amp;"|"&amp;RIGHT("000000"&amp;103,6),CalcRankKey,0),"")</f>
        <v/>
      </c>
    </row>
    <row r="120">
      <c r="A120" s="28">
        <f>IF($B120="","",104)</f>
        <v/>
      </c>
      <c r="B120" s="28">
        <f>IF($P120="","",IF(INDEX(CalcNormDate,$P120)=0,"",INDEX(CalcNormDate,$P120)))</f>
        <v/>
      </c>
      <c r="C120" s="28">
        <f>IF($P120="","",IF(INDEX(CalcTime,$P120)=0,"",INDEX(CalcTime,$P120)))</f>
        <v/>
      </c>
      <c r="D120" s="28">
        <f>IF($P120="","",IF(INDEX(EntryParty,$P120)=0,"",INDEX(EntryParty,$P120)))</f>
        <v/>
      </c>
      <c r="E120" s="28">
        <f>IF($P120="","",IF(INDEX(EntryPartyName,$P120)=0,"",INDEX(EntryPartyName,$P120)))</f>
        <v/>
      </c>
      <c r="F120" s="28">
        <f>IF($P120="","",IF(INDEX(EntryPartyType,$P120)=0,"",INDEX(EntryPartyType,$P120)))</f>
        <v/>
      </c>
      <c r="G120" s="28">
        <f>IF($P120="","",IF(INDEX(EntryTxnType,$P120)=0,"",INDEX(EntryTxnType,$P120)))</f>
        <v/>
      </c>
      <c r="H120" s="29">
        <f>IF($P120="","",IF(INDEX(EntryDep,$P120)=0,"",INDEX(EntryDep,$P120)))</f>
        <v/>
      </c>
      <c r="I120" s="29">
        <f>IF($P120="","",IF(INDEX(EntryWit,$P120)=0,"",INDEX(EntryWit,$P120)))</f>
        <v/>
      </c>
      <c r="J120" s="29">
        <f>IF($B120="","",IF($A120=1,$C$7,IF(J119="",0,J119))+IF($H120="",0,$H120)-IF($I120="",0,$I120))</f>
        <v/>
      </c>
      <c r="K120" s="29">
        <f>IF($P120="","",IF(INDEX(EntryMan,$P120)=0,"",INDEX(EntryMan,$P120)))</f>
        <v/>
      </c>
      <c r="L120" s="28">
        <f>IF($B120="","",IF($K120="","—",IF(ROUND($K120-$J120,0)=0,"√","×")))</f>
        <v/>
      </c>
      <c r="M120" s="28">
        <f>IF($B120="","",IF(COUNTIFS(EntryDates,$B120,CalcTime,$C120,CalcBank,$C$5,EntryParty,$D120,EntryDep,$H120,EntryWit,$I120)&gt;1,"تکرار",""))</f>
        <v/>
      </c>
      <c r="N120" s="28">
        <f>IF($P120="","",IF(INDEX(EntryNotes,$P120)=0,"",INDEX(EntryNotes,$P120)))</f>
        <v/>
      </c>
      <c r="O120" s="28">
        <f>IF($P120="","",IF(INDEX(EntryTxnID,$P120)=0,"",INDEX(EntryTxnID,$P120)))</f>
        <v/>
      </c>
      <c r="P120" s="28">
        <f>IFERROR(MATCH($C$5&amp;"|"&amp;RIGHT("000000"&amp;104,6),CalcRankKey,0),"")</f>
        <v/>
      </c>
    </row>
    <row r="121">
      <c r="A121" s="26">
        <f>IF($B121="","",105)</f>
        <v/>
      </c>
      <c r="B121" s="26">
        <f>IF($P121="","",IF(INDEX(CalcNormDate,$P121)=0,"",INDEX(CalcNormDate,$P121)))</f>
        <v/>
      </c>
      <c r="C121" s="26">
        <f>IF($P121="","",IF(INDEX(CalcTime,$P121)=0,"",INDEX(CalcTime,$P121)))</f>
        <v/>
      </c>
      <c r="D121" s="26">
        <f>IF($P121="","",IF(INDEX(EntryParty,$P121)=0,"",INDEX(EntryParty,$P121)))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IF($P121="","",IF(INDEX(EntryPartyType,$P121)=0,"",INDEX(EntryPartyType,$P121)))</f>
        <v/>
      </c>
      <c r="G121" s="26">
        <f>IF($P121="","",IF(INDEX(EntryTxnType,$P121)=0,"",INDEX(EntryTxnType,$P121)))</f>
        <v/>
      </c>
      <c r="H121" s="27">
        <f>IF($P121="","",IF(INDEX(EntryDep,$P121)=0,"",INDEX(EntryDep,$P121)))</f>
        <v/>
      </c>
      <c r="I121" s="27">
        <f>IF($P121="","",IF(INDEX(EntryWit,$P121)=0,"",INDEX(EntryWit,$P121)))</f>
        <v/>
      </c>
      <c r="J121" s="27">
        <f>IF($B121="","",IF($A121=1,$C$7,IF(J120="",0,J120))+IF($H121="",0,$H121)-IF($I121="",0,$I121))</f>
        <v/>
      </c>
      <c r="K121" s="27">
        <f>IF($P121="","",IF(INDEX(EntryMan,$P121)=0,"",INDEX(EntryMan,$P121)))</f>
        <v/>
      </c>
      <c r="L121" s="26">
        <f>IF($B121="","",IF($K121="","—",IF(ROUND($K121-$J121,0)=0,"√","×")))</f>
        <v/>
      </c>
      <c r="M121" s="26">
        <f>IF($B121="","",IF(COUNTIFS(EntryDates,$B121,CalcTime,$C121,CalcBank,$C$5,EntryParty,$D121,EntryDep,$H121,EntryWit,$I121)&gt;1,"تکرار",""))</f>
        <v/>
      </c>
      <c r="N121" s="26">
        <f>IF($P121="","",IF(INDEX(EntryNotes,$P121)=0,"",INDEX(EntryNotes,$P121)))</f>
        <v/>
      </c>
      <c r="O121" s="26">
        <f>IF($P121="","",IF(INDEX(EntryTxnID,$P121)=0,"",INDEX(EntryTxnID,$P121)))</f>
        <v/>
      </c>
      <c r="P121" s="26">
        <f>IFERROR(MATCH($C$5&amp;"|"&amp;RIGHT("000000"&amp;105,6),CalcRankKey,0),"")</f>
        <v/>
      </c>
    </row>
    <row r="122">
      <c r="A122" s="28">
        <f>IF($B122="","",106)</f>
        <v/>
      </c>
      <c r="B122" s="28">
        <f>IF($P122="","",IF(INDEX(CalcNormDate,$P122)=0,"",INDEX(CalcNormDate,$P122)))</f>
        <v/>
      </c>
      <c r="C122" s="28">
        <f>IF($P122="","",IF(INDEX(CalcTime,$P122)=0,"",INDEX(CalcTime,$P122)))</f>
        <v/>
      </c>
      <c r="D122" s="28">
        <f>IF($P122="","",IF(INDEX(EntryParty,$P122)=0,"",INDEX(EntryParty,$P122)))</f>
        <v/>
      </c>
      <c r="E122" s="28">
        <f>IF($P122="","",IF(INDEX(EntryPartyName,$P122)=0,"",INDEX(EntryPartyName,$P122)))</f>
        <v/>
      </c>
      <c r="F122" s="28">
        <f>IF($P122="","",IF(INDEX(EntryPartyType,$P122)=0,"",INDEX(EntryPartyType,$P122)))</f>
        <v/>
      </c>
      <c r="G122" s="28">
        <f>IF($P122="","",IF(INDEX(EntryTxnType,$P122)=0,"",INDEX(EntryTxnType,$P122)))</f>
        <v/>
      </c>
      <c r="H122" s="29">
        <f>IF($P122="","",IF(INDEX(EntryDep,$P122)=0,"",INDEX(EntryDep,$P122)))</f>
        <v/>
      </c>
      <c r="I122" s="29">
        <f>IF($P122="","",IF(INDEX(EntryWit,$P122)=0,"",INDEX(EntryWit,$P122)))</f>
        <v/>
      </c>
      <c r="J122" s="29">
        <f>IF($B122="","",IF($A122=1,$C$7,IF(J121="",0,J121))+IF($H122="",0,$H122)-IF($I122="",0,$I122))</f>
        <v/>
      </c>
      <c r="K122" s="29">
        <f>IF($P122="","",IF(INDEX(EntryMan,$P122)=0,"",INDEX(EntryMan,$P122)))</f>
        <v/>
      </c>
      <c r="L122" s="28">
        <f>IF($B122="","",IF($K122="","—",IF(ROUND($K122-$J122,0)=0,"√","×")))</f>
        <v/>
      </c>
      <c r="M122" s="28">
        <f>IF($B122="","",IF(COUNTIFS(EntryDates,$B122,CalcTime,$C122,CalcBank,$C$5,EntryParty,$D122,EntryDep,$H122,EntryWit,$I122)&gt;1,"تکرار",""))</f>
        <v/>
      </c>
      <c r="N122" s="28">
        <f>IF($P122="","",IF(INDEX(EntryNotes,$P122)=0,"",INDEX(EntryNotes,$P122)))</f>
        <v/>
      </c>
      <c r="O122" s="28">
        <f>IF($P122="","",IF(INDEX(EntryTxnID,$P122)=0,"",INDEX(EntryTxnID,$P122)))</f>
        <v/>
      </c>
      <c r="P122" s="28">
        <f>IFERROR(MATCH($C$5&amp;"|"&amp;RIGHT("000000"&amp;106,6),CalcRankKey,0),"")</f>
        <v/>
      </c>
    </row>
    <row r="123">
      <c r="A123" s="26">
        <f>IF($B123="","",107)</f>
        <v/>
      </c>
      <c r="B123" s="26">
        <f>IF($P123="","",IF(INDEX(CalcNormDate,$P123)=0,"",INDEX(CalcNormDate,$P123)))</f>
        <v/>
      </c>
      <c r="C123" s="26">
        <f>IF($P123="","",IF(INDEX(CalcTime,$P123)=0,"",INDEX(CalcTime,$P123)))</f>
        <v/>
      </c>
      <c r="D123" s="26">
        <f>IF($P123="","",IF(INDEX(EntryParty,$P123)=0,"",INDEX(EntryParty,$P123)))</f>
        <v/>
      </c>
      <c r="E123" s="26">
        <f>IF($P123="","",IF(INDEX(EntryPartyName,$P123)=0,"",INDEX(EntryPartyName,$P123)))</f>
        <v/>
      </c>
      <c r="F123" s="26">
        <f>IF($P123="","",IF(INDEX(EntryPartyType,$P123)=0,"",INDEX(EntryPartyType,$P123)))</f>
        <v/>
      </c>
      <c r="G123" s="26">
        <f>IF($P123="","",IF(INDEX(EntryTxnType,$P123)=0,"",INDEX(EntryTxnType,$P123)))</f>
        <v/>
      </c>
      <c r="H123" s="27">
        <f>IF($P123="","",IF(INDEX(EntryDep,$P123)=0,"",INDEX(EntryDep,$P123)))</f>
        <v/>
      </c>
      <c r="I123" s="27">
        <f>IF($P123="","",IF(INDEX(EntryWit,$P123)=0,"",INDEX(EntryWit,$P123)))</f>
        <v/>
      </c>
      <c r="J123" s="27">
        <f>IF($B123="","",IF($A123=1,$C$7,IF(J122="",0,J122))+IF($H123="",0,$H123)-IF($I123="",0,$I123))</f>
        <v/>
      </c>
      <c r="K123" s="27">
        <f>IF($P123="","",IF(INDEX(EntryMan,$P123)=0,"",INDEX(EntryMan,$P123)))</f>
        <v/>
      </c>
      <c r="L123" s="26">
        <f>IF($B123="","",IF($K123="","—",IF(ROUND($K123-$J123,0)=0,"√","×")))</f>
        <v/>
      </c>
      <c r="M123" s="26">
        <f>IF($B123="","",IF(COUNTIFS(EntryDates,$B123,CalcTime,$C123,CalcBank,$C$5,EntryParty,$D123,EntryDep,$H123,EntryWit,$I123)&gt;1,"تکرار",""))</f>
        <v/>
      </c>
      <c r="N123" s="26">
        <f>IF($P123="","",IF(INDEX(EntryNotes,$P123)=0,"",INDEX(EntryNotes,$P123)))</f>
        <v/>
      </c>
      <c r="O123" s="26">
        <f>IF($P123="","",IF(INDEX(EntryTxnID,$P123)=0,"",INDEX(EntryTxnID,$P123)))</f>
        <v/>
      </c>
      <c r="P123" s="26">
        <f>IFERROR(MATCH($C$5&amp;"|"&amp;RIGHT("000000"&amp;107,6),CalcRankKey,0),"")</f>
        <v/>
      </c>
    </row>
    <row r="124">
      <c r="A124" s="28">
        <f>IF($B124="","",108)</f>
        <v/>
      </c>
      <c r="B124" s="28">
        <f>IF($P124="","",IF(INDEX(CalcNormDate,$P124)=0,"",INDEX(CalcNormDate,$P124)))</f>
        <v/>
      </c>
      <c r="C124" s="28">
        <f>IF($P124="","",IF(INDEX(CalcTime,$P124)=0,"",INDEX(CalcTime,$P124)))</f>
        <v/>
      </c>
      <c r="D124" s="28">
        <f>IF($P124="","",IF(INDEX(EntryParty,$P124)=0,"",INDEX(EntryParty,$P124)))</f>
        <v/>
      </c>
      <c r="E124" s="28">
        <f>IF($P124="","",IF(INDEX(EntryPartyName,$P124)=0,"",INDEX(EntryPartyName,$P124)))</f>
        <v/>
      </c>
      <c r="F124" s="28">
        <f>IF($P124="","",IF(INDEX(EntryPartyType,$P124)=0,"",INDEX(EntryPartyType,$P124)))</f>
        <v/>
      </c>
      <c r="G124" s="28">
        <f>IF($P124="","",IF(INDEX(EntryTxnType,$P124)=0,"",INDEX(EntryTxnType,$P124)))</f>
        <v/>
      </c>
      <c r="H124" s="29">
        <f>IF($P124="","",IF(INDEX(EntryDep,$P124)=0,"",INDEX(EntryDep,$P124)))</f>
        <v/>
      </c>
      <c r="I124" s="29">
        <f>IF($P124="","",IF(INDEX(EntryWit,$P124)=0,"",INDEX(EntryWit,$P124)))</f>
        <v/>
      </c>
      <c r="J124" s="29">
        <f>IF($B124="","",IF($A124=1,$C$7,IF(J123="",0,J123))+IF($H124="",0,$H124)-IF($I124="",0,$I124))</f>
        <v/>
      </c>
      <c r="K124" s="29">
        <f>IF($P124="","",IF(INDEX(EntryMan,$P124)=0,"",INDEX(EntryMan,$P124)))</f>
        <v/>
      </c>
      <c r="L124" s="28">
        <f>IF($B124="","",IF($K124="","—",IF(ROUND($K124-$J124,0)=0,"√","×")))</f>
        <v/>
      </c>
      <c r="M124" s="28">
        <f>IF($B124="","",IF(COUNTIFS(EntryDates,$B124,CalcTime,$C124,CalcBank,$C$5,EntryParty,$D124,EntryDep,$H124,EntryWit,$I124)&gt;1,"تکرار",""))</f>
        <v/>
      </c>
      <c r="N124" s="28">
        <f>IF($P124="","",IF(INDEX(EntryNotes,$P124)=0,"",INDEX(EntryNotes,$P124)))</f>
        <v/>
      </c>
      <c r="O124" s="28">
        <f>IF($P124="","",IF(INDEX(EntryTxnID,$P124)=0,"",INDEX(EntryTxnID,$P124)))</f>
        <v/>
      </c>
      <c r="P124" s="28">
        <f>IFERROR(MATCH($C$5&amp;"|"&amp;RIGHT("000000"&amp;108,6),CalcRankKey,0),"")</f>
        <v/>
      </c>
    </row>
    <row r="125">
      <c r="A125" s="26">
        <f>IF($B125="","",109)</f>
        <v/>
      </c>
      <c r="B125" s="26">
        <f>IF($P125="","",IF(INDEX(CalcNormDate,$P125)=0,"",INDEX(CalcNormDate,$P125)))</f>
        <v/>
      </c>
      <c r="C125" s="26">
        <f>IF($P125="","",IF(INDEX(CalcTime,$P125)=0,"",INDEX(CalcTime,$P125)))</f>
        <v/>
      </c>
      <c r="D125" s="26">
        <f>IF($P125="","",IF(INDEX(EntryParty,$P125)=0,"",INDEX(EntryParty,$P125)))</f>
        <v/>
      </c>
      <c r="E125" s="26">
        <f>IF($P125="","",IF(INDEX(EntryPartyName,$P125)=0,"",INDEX(EntryPartyName,$P125)))</f>
        <v/>
      </c>
      <c r="F125" s="26">
        <f>IF($P125="","",IF(INDEX(EntryPartyType,$P125)=0,"",INDEX(EntryPartyType,$P125)))</f>
        <v/>
      </c>
      <c r="G125" s="26">
        <f>IF($P125="","",IF(INDEX(EntryTxnType,$P125)=0,"",INDEX(EntryTxnType,$P125)))</f>
        <v/>
      </c>
      <c r="H125" s="27">
        <f>IF($P125="","",IF(INDEX(EntryDep,$P125)=0,"",INDEX(EntryDep,$P125)))</f>
        <v/>
      </c>
      <c r="I125" s="27">
        <f>IF($P125="","",IF(INDEX(EntryWit,$P125)=0,"",INDEX(EntryWit,$P125)))</f>
        <v/>
      </c>
      <c r="J125" s="27">
        <f>IF($B125="","",IF($A125=1,$C$7,IF(J124="",0,J124))+IF($H125="",0,$H125)-IF($I125="",0,$I125))</f>
        <v/>
      </c>
      <c r="K125" s="27">
        <f>IF($P125="","",IF(INDEX(EntryMan,$P125)=0,"",INDEX(EntryMan,$P125)))</f>
        <v/>
      </c>
      <c r="L125" s="26">
        <f>IF($B125="","",IF($K125="","—",IF(ROUND($K125-$J125,0)=0,"√","×")))</f>
        <v/>
      </c>
      <c r="M125" s="26">
        <f>IF($B125="","",IF(COUNTIFS(EntryDates,$B125,CalcTime,$C125,CalcBank,$C$5,EntryParty,$D125,EntryDep,$H125,EntryWit,$I125)&gt;1,"تکرار",""))</f>
        <v/>
      </c>
      <c r="N125" s="26">
        <f>IF($P125="","",IF(INDEX(EntryNotes,$P125)=0,"",INDEX(EntryNotes,$P125)))</f>
        <v/>
      </c>
      <c r="O125" s="26">
        <f>IF($P125="","",IF(INDEX(EntryTxnID,$P125)=0,"",INDEX(EntryTxnID,$P125)))</f>
        <v/>
      </c>
      <c r="P125" s="26">
        <f>IFERROR(MATCH($C$5&amp;"|"&amp;RIGHT("000000"&amp;109,6),CalcRankKey,0),"")</f>
        <v/>
      </c>
    </row>
    <row r="126">
      <c r="A126" s="28">
        <f>IF($B126="","",110)</f>
        <v/>
      </c>
      <c r="B126" s="28">
        <f>IF($P126="","",IF(INDEX(CalcNormDate,$P126)=0,"",INDEX(CalcNormDate,$P126)))</f>
        <v/>
      </c>
      <c r="C126" s="28">
        <f>IF($P126="","",IF(INDEX(CalcTime,$P126)=0,"",INDEX(CalcTime,$P126)))</f>
        <v/>
      </c>
      <c r="D126" s="28">
        <f>IF($P126="","",IF(INDEX(EntryParty,$P126)=0,"",INDEX(EntryParty,$P126)))</f>
        <v/>
      </c>
      <c r="E126" s="28">
        <f>IF($P126="","",IF(INDEX(EntryPartyName,$P126)=0,"",INDEX(EntryPartyName,$P126)))</f>
        <v/>
      </c>
      <c r="F126" s="28">
        <f>IF($P126="","",IF(INDEX(EntryPartyType,$P126)=0,"",INDEX(EntryPartyType,$P126)))</f>
        <v/>
      </c>
      <c r="G126" s="28">
        <f>IF($P126="","",IF(INDEX(EntryTxnType,$P126)=0,"",INDEX(EntryTxnType,$P126)))</f>
        <v/>
      </c>
      <c r="H126" s="29">
        <f>IF($P126="","",IF(INDEX(EntryDep,$P126)=0,"",INDEX(EntryDep,$P126)))</f>
        <v/>
      </c>
      <c r="I126" s="29">
        <f>IF($P126="","",IF(INDEX(EntryWit,$P126)=0,"",INDEX(EntryWit,$P126)))</f>
        <v/>
      </c>
      <c r="J126" s="29">
        <f>IF($B126="","",IF($A126=1,$C$7,IF(J125="",0,J125))+IF($H126="",0,$H126)-IF($I126="",0,$I126))</f>
        <v/>
      </c>
      <c r="K126" s="29">
        <f>IF($P126="","",IF(INDEX(EntryMan,$P126)=0,"",INDEX(EntryMan,$P126)))</f>
        <v/>
      </c>
      <c r="L126" s="28">
        <f>IF($B126="","",IF($K126="","—",IF(ROUND($K126-$J126,0)=0,"√","×")))</f>
        <v/>
      </c>
      <c r="M126" s="28">
        <f>IF($B126="","",IF(COUNTIFS(EntryDates,$B126,CalcTime,$C126,CalcBank,$C$5,EntryParty,$D126,EntryDep,$H126,EntryWit,$I126)&gt;1,"تکرار",""))</f>
        <v/>
      </c>
      <c r="N126" s="28">
        <f>IF($P126="","",IF(INDEX(EntryNotes,$P126)=0,"",INDEX(EntryNotes,$P126)))</f>
        <v/>
      </c>
      <c r="O126" s="28">
        <f>IF($P126="","",IF(INDEX(EntryTxnID,$P126)=0,"",INDEX(EntryTxnID,$P126)))</f>
        <v/>
      </c>
      <c r="P126" s="28">
        <f>IFERROR(MATCH($C$5&amp;"|"&amp;RIGHT("000000"&amp;110,6),CalcRankKey,0),"")</f>
        <v/>
      </c>
    </row>
    <row r="127">
      <c r="A127" s="26">
        <f>IF($B127="","",111)</f>
        <v/>
      </c>
      <c r="B127" s="26">
        <f>IF($P127="","",IF(INDEX(CalcNormDate,$P127)=0,"",INDEX(CalcNormDate,$P127)))</f>
        <v/>
      </c>
      <c r="C127" s="26">
        <f>IF($P127="","",IF(INDEX(CalcTime,$P127)=0,"",INDEX(CalcTime,$P127)))</f>
        <v/>
      </c>
      <c r="D127" s="26">
        <f>IF($P127="","",IF(INDEX(EntryParty,$P127)=0,"",INDEX(EntryParty,$P127)))</f>
        <v/>
      </c>
      <c r="E127" s="26">
        <f>IF($P127="","",IF(INDEX(EntryPartyName,$P127)=0,"",INDEX(EntryPartyName,$P127)))</f>
        <v/>
      </c>
      <c r="F127" s="26">
        <f>IF($P127="","",IF(INDEX(EntryPartyType,$P127)=0,"",INDEX(EntryPartyType,$P127)))</f>
        <v/>
      </c>
      <c r="G127" s="26">
        <f>IF($P127="","",IF(INDEX(EntryTxnType,$P127)=0,"",INDEX(EntryTxnType,$P127)))</f>
        <v/>
      </c>
      <c r="H127" s="27">
        <f>IF($P127="","",IF(INDEX(EntryDep,$P127)=0,"",INDEX(EntryDep,$P127)))</f>
        <v/>
      </c>
      <c r="I127" s="27">
        <f>IF($P127="","",IF(INDEX(EntryWit,$P127)=0,"",INDEX(EntryWit,$P127)))</f>
        <v/>
      </c>
      <c r="J127" s="27">
        <f>IF($B127="","",IF($A127=1,$C$7,IF(J126="",0,J126))+IF($H127="",0,$H127)-IF($I127="",0,$I127))</f>
        <v/>
      </c>
      <c r="K127" s="27">
        <f>IF($P127="","",IF(INDEX(EntryMan,$P127)=0,"",INDEX(EntryMan,$P127)))</f>
        <v/>
      </c>
      <c r="L127" s="26">
        <f>IF($B127="","",IF($K127="","—",IF(ROUND($K127-$J127,0)=0,"√","×")))</f>
        <v/>
      </c>
      <c r="M127" s="26">
        <f>IF($B127="","",IF(COUNTIFS(EntryDates,$B127,CalcTime,$C127,CalcBank,$C$5,EntryParty,$D127,EntryDep,$H127,EntryWit,$I127)&gt;1,"تکرار",""))</f>
        <v/>
      </c>
      <c r="N127" s="26">
        <f>IF($P127="","",IF(INDEX(EntryNotes,$P127)=0,"",INDEX(EntryNotes,$P127)))</f>
        <v/>
      </c>
      <c r="O127" s="26">
        <f>IF($P127="","",IF(INDEX(EntryTxnID,$P127)=0,"",INDEX(EntryTxnID,$P127)))</f>
        <v/>
      </c>
      <c r="P127" s="26">
        <f>IFERROR(MATCH($C$5&amp;"|"&amp;RIGHT("000000"&amp;111,6),CalcRankKey,0),"")</f>
        <v/>
      </c>
    </row>
    <row r="128">
      <c r="A128" s="28">
        <f>IF($B128="","",112)</f>
        <v/>
      </c>
      <c r="B128" s="28">
        <f>IF($P128="","",IF(INDEX(CalcNormDate,$P128)=0,"",INDEX(CalcNormDate,$P128)))</f>
        <v/>
      </c>
      <c r="C128" s="28">
        <f>IF($P128="","",IF(INDEX(CalcTime,$P128)=0,"",INDEX(CalcTime,$P128)))</f>
        <v/>
      </c>
      <c r="D128" s="28">
        <f>IF($P128="","",IF(INDEX(EntryParty,$P128)=0,"",INDEX(EntryParty,$P128)))</f>
        <v/>
      </c>
      <c r="E128" s="28">
        <f>IF($P128="","",IF(INDEX(EntryPartyName,$P128)=0,"",INDEX(EntryPartyName,$P128)))</f>
        <v/>
      </c>
      <c r="F128" s="28">
        <f>IF($P128="","",IF(INDEX(EntryPartyType,$P128)=0,"",INDEX(EntryPartyType,$P128)))</f>
        <v/>
      </c>
      <c r="G128" s="28">
        <f>IF($P128="","",IF(INDEX(EntryTxnType,$P128)=0,"",INDEX(EntryTxnType,$P128)))</f>
        <v/>
      </c>
      <c r="H128" s="29">
        <f>IF($P128="","",IF(INDEX(EntryDep,$P128)=0,"",INDEX(EntryDep,$P128)))</f>
        <v/>
      </c>
      <c r="I128" s="29">
        <f>IF($P128="","",IF(INDEX(EntryWit,$P128)=0,"",INDEX(EntryWit,$P128)))</f>
        <v/>
      </c>
      <c r="J128" s="29">
        <f>IF($B128="","",IF($A128=1,$C$7,IF(J127="",0,J127))+IF($H128="",0,$H128)-IF($I128="",0,$I128))</f>
        <v/>
      </c>
      <c r="K128" s="29">
        <f>IF($P128="","",IF(INDEX(EntryMan,$P128)=0,"",INDEX(EntryMan,$P128)))</f>
        <v/>
      </c>
      <c r="L128" s="28">
        <f>IF($B128="","",IF($K128="","—",IF(ROUND($K128-$J128,0)=0,"√","×")))</f>
        <v/>
      </c>
      <c r="M128" s="28">
        <f>IF($B128="","",IF(COUNTIFS(EntryDates,$B128,CalcTime,$C128,CalcBank,$C$5,EntryParty,$D128,EntryDep,$H128,EntryWit,$I128)&gt;1,"تکرار",""))</f>
        <v/>
      </c>
      <c r="N128" s="28">
        <f>IF($P128="","",IF(INDEX(EntryNotes,$P128)=0,"",INDEX(EntryNotes,$P128)))</f>
        <v/>
      </c>
      <c r="O128" s="28">
        <f>IF($P128="","",IF(INDEX(EntryTxnID,$P128)=0,"",INDEX(EntryTxnID,$P128)))</f>
        <v/>
      </c>
      <c r="P128" s="28">
        <f>IFERROR(MATCH($C$5&amp;"|"&amp;RIGHT("000000"&amp;112,6),CalcRankKey,0),"")</f>
        <v/>
      </c>
    </row>
    <row r="129">
      <c r="A129" s="26">
        <f>IF($B129="","",113)</f>
        <v/>
      </c>
      <c r="B129" s="26">
        <f>IF($P129="","",IF(INDEX(CalcNormDate,$P129)=0,"",INDEX(CalcNormDate,$P129)))</f>
        <v/>
      </c>
      <c r="C129" s="26">
        <f>IF($P129="","",IF(INDEX(CalcTime,$P129)=0,"",INDEX(CalcTime,$P129)))</f>
        <v/>
      </c>
      <c r="D129" s="26">
        <f>IF($P129="","",IF(INDEX(EntryParty,$P129)=0,"",INDEX(EntryParty,$P129)))</f>
        <v/>
      </c>
      <c r="E129" s="26">
        <f>IF($P129="","",IF(INDEX(EntryPartyName,$P129)=0,"",INDEX(EntryPartyName,$P129)))</f>
        <v/>
      </c>
      <c r="F129" s="26">
        <f>IF($P129="","",IF(INDEX(EntryPartyType,$P129)=0,"",INDEX(EntryPartyType,$P129)))</f>
        <v/>
      </c>
      <c r="G129" s="26">
        <f>IF($P129="","",IF(INDEX(EntryTxnType,$P129)=0,"",INDEX(EntryTxnType,$P129)))</f>
        <v/>
      </c>
      <c r="H129" s="27">
        <f>IF($P129="","",IF(INDEX(EntryDep,$P129)=0,"",INDEX(EntryDep,$P129)))</f>
        <v/>
      </c>
      <c r="I129" s="27">
        <f>IF($P129="","",IF(INDEX(EntryWit,$P129)=0,"",INDEX(EntryWit,$P129)))</f>
        <v/>
      </c>
      <c r="J129" s="27">
        <f>IF($B129="","",IF($A129=1,$C$7,IF(J128="",0,J128))+IF($H129="",0,$H129)-IF($I129="",0,$I129))</f>
        <v/>
      </c>
      <c r="K129" s="27">
        <f>IF($P129="","",IF(INDEX(EntryMan,$P129)=0,"",INDEX(EntryMan,$P129)))</f>
        <v/>
      </c>
      <c r="L129" s="26">
        <f>IF($B129="","",IF($K129="","—",IF(ROUND($K129-$J129,0)=0,"√","×")))</f>
        <v/>
      </c>
      <c r="M129" s="26">
        <f>IF($B129="","",IF(COUNTIFS(EntryDates,$B129,CalcTime,$C129,CalcBank,$C$5,EntryParty,$D129,EntryDep,$H129,EntryWit,$I129)&gt;1,"تکرار",""))</f>
        <v/>
      </c>
      <c r="N129" s="26">
        <f>IF($P129="","",IF(INDEX(EntryNotes,$P129)=0,"",INDEX(EntryNotes,$P129)))</f>
        <v/>
      </c>
      <c r="O129" s="26">
        <f>IF($P129="","",IF(INDEX(EntryTxnID,$P129)=0,"",INDEX(EntryTxnID,$P129)))</f>
        <v/>
      </c>
      <c r="P129" s="26">
        <f>IFERROR(MATCH($C$5&amp;"|"&amp;RIGHT("000000"&amp;113,6),CalcRankKey,0),"")</f>
        <v/>
      </c>
    </row>
    <row r="130">
      <c r="A130" s="28">
        <f>IF($B130="","",114)</f>
        <v/>
      </c>
      <c r="B130" s="28">
        <f>IF($P130="","",IF(INDEX(CalcNormDate,$P130)=0,"",INDEX(CalcNormDate,$P130)))</f>
        <v/>
      </c>
      <c r="C130" s="28">
        <f>IF($P130="","",IF(INDEX(CalcTime,$P130)=0,"",INDEX(CalcTime,$P130)))</f>
        <v/>
      </c>
      <c r="D130" s="28">
        <f>IF($P130="","",IF(INDEX(EntryParty,$P130)=0,"",INDEX(EntryParty,$P130)))</f>
        <v/>
      </c>
      <c r="E130" s="28">
        <f>IF($P130="","",IF(INDEX(EntryPartyName,$P130)=0,"",INDEX(EntryPartyName,$P130)))</f>
        <v/>
      </c>
      <c r="F130" s="28">
        <f>IF($P130="","",IF(INDEX(EntryPartyType,$P130)=0,"",INDEX(EntryPartyType,$P130)))</f>
        <v/>
      </c>
      <c r="G130" s="28">
        <f>IF($P130="","",IF(INDEX(EntryTxnType,$P130)=0,"",INDEX(EntryTxnType,$P130)))</f>
        <v/>
      </c>
      <c r="H130" s="29">
        <f>IF($P130="","",IF(INDEX(EntryDep,$P130)=0,"",INDEX(EntryDep,$P130)))</f>
        <v/>
      </c>
      <c r="I130" s="29">
        <f>IF($P130="","",IF(INDEX(EntryWit,$P130)=0,"",INDEX(EntryWit,$P130)))</f>
        <v/>
      </c>
      <c r="J130" s="29">
        <f>IF($B130="","",IF($A130=1,$C$7,IF(J129="",0,J129))+IF($H130="",0,$H130)-IF($I130="",0,$I130))</f>
        <v/>
      </c>
      <c r="K130" s="29">
        <f>IF($P130="","",IF(INDEX(EntryMan,$P130)=0,"",INDEX(EntryMan,$P130)))</f>
        <v/>
      </c>
      <c r="L130" s="28">
        <f>IF($B130="","",IF($K130="","—",IF(ROUND($K130-$J130,0)=0,"√","×")))</f>
        <v/>
      </c>
      <c r="M130" s="28">
        <f>IF($B130="","",IF(COUNTIFS(EntryDates,$B130,CalcTime,$C130,CalcBank,$C$5,EntryParty,$D130,EntryDep,$H130,EntryWit,$I130)&gt;1,"تکرار",""))</f>
        <v/>
      </c>
      <c r="N130" s="28">
        <f>IF($P130="","",IF(INDEX(EntryNotes,$P130)=0,"",INDEX(EntryNotes,$P130)))</f>
        <v/>
      </c>
      <c r="O130" s="28">
        <f>IF($P130="","",IF(INDEX(EntryTxnID,$P130)=0,"",INDEX(EntryTxnID,$P130)))</f>
        <v/>
      </c>
      <c r="P130" s="28">
        <f>IFERROR(MATCH($C$5&amp;"|"&amp;RIGHT("000000"&amp;114,6),CalcRankKey,0),"")</f>
        <v/>
      </c>
    </row>
    <row r="131">
      <c r="A131" s="26">
        <f>IF($B131="","",115)</f>
        <v/>
      </c>
      <c r="B131" s="26">
        <f>IF($P131="","",IF(INDEX(CalcNormDate,$P131)=0,"",INDEX(CalcNormDate,$P131)))</f>
        <v/>
      </c>
      <c r="C131" s="26">
        <f>IF($P131="","",IF(INDEX(CalcTime,$P131)=0,"",INDEX(CalcTime,$P131)))</f>
        <v/>
      </c>
      <c r="D131" s="26">
        <f>IF($P131="","",IF(INDEX(EntryParty,$P131)=0,"",INDEX(EntryParty,$P131)))</f>
        <v/>
      </c>
      <c r="E131" s="26">
        <f>IF($P131="","",IF(INDEX(EntryPartyName,$P131)=0,"",INDEX(EntryPartyName,$P131)))</f>
        <v/>
      </c>
      <c r="F131" s="26">
        <f>IF($P131="","",IF(INDEX(EntryPartyType,$P131)=0,"",INDEX(EntryPartyType,$P131)))</f>
        <v/>
      </c>
      <c r="G131" s="26">
        <f>IF($P131="","",IF(INDEX(EntryTxnType,$P131)=0,"",INDEX(EntryTxnType,$P131)))</f>
        <v/>
      </c>
      <c r="H131" s="27">
        <f>IF($P131="","",IF(INDEX(EntryDep,$P131)=0,"",INDEX(EntryDep,$P131)))</f>
        <v/>
      </c>
      <c r="I131" s="27">
        <f>IF($P131="","",IF(INDEX(EntryWit,$P131)=0,"",INDEX(EntryWit,$P131)))</f>
        <v/>
      </c>
      <c r="J131" s="27">
        <f>IF($B131="","",IF($A131=1,$C$7,IF(J130="",0,J130))+IF($H131="",0,$H131)-IF($I131="",0,$I131))</f>
        <v/>
      </c>
      <c r="K131" s="27">
        <f>IF($P131="","",IF(INDEX(EntryMan,$P131)=0,"",INDEX(EntryMan,$P131)))</f>
        <v/>
      </c>
      <c r="L131" s="26">
        <f>IF($B131="","",IF($K131="","—",IF(ROUND($K131-$J131,0)=0,"√","×")))</f>
        <v/>
      </c>
      <c r="M131" s="26">
        <f>IF($B131="","",IF(COUNTIFS(EntryDates,$B131,CalcTime,$C131,CalcBank,$C$5,EntryParty,$D131,EntryDep,$H131,EntryWit,$I131)&gt;1,"تکرار",""))</f>
        <v/>
      </c>
      <c r="N131" s="26">
        <f>IF($P131="","",IF(INDEX(EntryNotes,$P131)=0,"",INDEX(EntryNotes,$P131)))</f>
        <v/>
      </c>
      <c r="O131" s="26">
        <f>IF($P131="","",IF(INDEX(EntryTxnID,$P131)=0,"",INDEX(EntryTxnID,$P131)))</f>
        <v/>
      </c>
      <c r="P131" s="26">
        <f>IFERROR(MATCH($C$5&amp;"|"&amp;RIGHT("000000"&amp;115,6),CalcRankKey,0),"")</f>
        <v/>
      </c>
    </row>
    <row r="132">
      <c r="A132" s="28">
        <f>IF($B132="","",116)</f>
        <v/>
      </c>
      <c r="B132" s="28">
        <f>IF($P132="","",IF(INDEX(CalcNormDate,$P132)=0,"",INDEX(CalcNormDate,$P132)))</f>
        <v/>
      </c>
      <c r="C132" s="28">
        <f>IF($P132="","",IF(INDEX(CalcTime,$P132)=0,"",INDEX(CalcTime,$P132)))</f>
        <v/>
      </c>
      <c r="D132" s="28">
        <f>IF($P132="","",IF(INDEX(EntryParty,$P132)=0,"",INDEX(EntryParty,$P132)))</f>
        <v/>
      </c>
      <c r="E132" s="28">
        <f>IF($P132="","",IF(INDEX(EntryPartyName,$P132)=0,"",INDEX(EntryPartyName,$P132)))</f>
        <v/>
      </c>
      <c r="F132" s="28">
        <f>IF($P132="","",IF(INDEX(EntryPartyType,$P132)=0,"",INDEX(EntryPartyType,$P132)))</f>
        <v/>
      </c>
      <c r="G132" s="28">
        <f>IF($P132="","",IF(INDEX(EntryTxnType,$P132)=0,"",INDEX(EntryTxnType,$P132)))</f>
        <v/>
      </c>
      <c r="H132" s="29">
        <f>IF($P132="","",IF(INDEX(EntryDep,$P132)=0,"",INDEX(EntryDep,$P132)))</f>
        <v/>
      </c>
      <c r="I132" s="29">
        <f>IF($P132="","",IF(INDEX(EntryWit,$P132)=0,"",INDEX(EntryWit,$P132)))</f>
        <v/>
      </c>
      <c r="J132" s="29">
        <f>IF($B132="","",IF($A132=1,$C$7,IF(J131="",0,J131))+IF($H132="",0,$H132)-IF($I132="",0,$I132))</f>
        <v/>
      </c>
      <c r="K132" s="29">
        <f>IF($P132="","",IF(INDEX(EntryMan,$P132)=0,"",INDEX(EntryMan,$P132)))</f>
        <v/>
      </c>
      <c r="L132" s="28">
        <f>IF($B132="","",IF($K132="","—",IF(ROUND($K132-$J132,0)=0,"√","×")))</f>
        <v/>
      </c>
      <c r="M132" s="28">
        <f>IF($B132="","",IF(COUNTIFS(EntryDates,$B132,CalcTime,$C132,CalcBank,$C$5,EntryParty,$D132,EntryDep,$H132,EntryWit,$I132)&gt;1,"تکرار",""))</f>
        <v/>
      </c>
      <c r="N132" s="28">
        <f>IF($P132="","",IF(INDEX(EntryNotes,$P132)=0,"",INDEX(EntryNotes,$P132)))</f>
        <v/>
      </c>
      <c r="O132" s="28">
        <f>IF($P132="","",IF(INDEX(EntryTxnID,$P132)=0,"",INDEX(EntryTxnID,$P132)))</f>
        <v/>
      </c>
      <c r="P132" s="28">
        <f>IFERROR(MATCH($C$5&amp;"|"&amp;RIGHT("000000"&amp;116,6),CalcRankKey,0),"")</f>
        <v/>
      </c>
    </row>
    <row r="133">
      <c r="A133" s="26">
        <f>IF($B133="","",117)</f>
        <v/>
      </c>
      <c r="B133" s="26">
        <f>IF($P133="","",IF(INDEX(CalcNormDate,$P133)=0,"",INDEX(CalcNormDate,$P133)))</f>
        <v/>
      </c>
      <c r="C133" s="26">
        <f>IF($P133="","",IF(INDEX(CalcTime,$P133)=0,"",INDEX(CalcTime,$P133)))</f>
        <v/>
      </c>
      <c r="D133" s="26">
        <f>IF($P133="","",IF(INDEX(EntryParty,$P133)=0,"",INDEX(EntryParty,$P133)))</f>
        <v/>
      </c>
      <c r="E133" s="26">
        <f>IF($P133="","",IF(INDEX(EntryPartyName,$P133)=0,"",INDEX(EntryPartyName,$P133)))</f>
        <v/>
      </c>
      <c r="F133" s="26">
        <f>IF($P133="","",IF(INDEX(EntryPartyType,$P133)=0,"",INDEX(EntryPartyType,$P133)))</f>
        <v/>
      </c>
      <c r="G133" s="26">
        <f>IF($P133="","",IF(INDEX(EntryTxnType,$P133)=0,"",INDEX(EntryTxnType,$P133)))</f>
        <v/>
      </c>
      <c r="H133" s="27">
        <f>IF($P133="","",IF(INDEX(EntryDep,$P133)=0,"",INDEX(EntryDep,$P133)))</f>
        <v/>
      </c>
      <c r="I133" s="27">
        <f>IF($P133="","",IF(INDEX(EntryWit,$P133)=0,"",INDEX(EntryWit,$P133)))</f>
        <v/>
      </c>
      <c r="J133" s="27">
        <f>IF($B133="","",IF($A133=1,$C$7,IF(J132="",0,J132))+IF($H133="",0,$H133)-IF($I133="",0,$I133))</f>
        <v/>
      </c>
      <c r="K133" s="27">
        <f>IF($P133="","",IF(INDEX(EntryMan,$P133)=0,"",INDEX(EntryMan,$P133)))</f>
        <v/>
      </c>
      <c r="L133" s="26">
        <f>IF($B133="","",IF($K133="","—",IF(ROUND($K133-$J133,0)=0,"√","×")))</f>
        <v/>
      </c>
      <c r="M133" s="26">
        <f>IF($B133="","",IF(COUNTIFS(EntryDates,$B133,CalcTime,$C133,CalcBank,$C$5,EntryParty,$D133,EntryDep,$H133,EntryWit,$I133)&gt;1,"تکرار",""))</f>
        <v/>
      </c>
      <c r="N133" s="26">
        <f>IF($P133="","",IF(INDEX(EntryNotes,$P133)=0,"",INDEX(EntryNotes,$P133)))</f>
        <v/>
      </c>
      <c r="O133" s="26">
        <f>IF($P133="","",IF(INDEX(EntryTxnID,$P133)=0,"",INDEX(EntryTxnID,$P133)))</f>
        <v/>
      </c>
      <c r="P133" s="26">
        <f>IFERROR(MATCH($C$5&amp;"|"&amp;RIGHT("000000"&amp;117,6),CalcRankKey,0),"")</f>
        <v/>
      </c>
    </row>
    <row r="134">
      <c r="A134" s="28">
        <f>IF($B134="","",118)</f>
        <v/>
      </c>
      <c r="B134" s="28">
        <f>IF($P134="","",IF(INDEX(CalcNormDate,$P134)=0,"",INDEX(CalcNormDate,$P134)))</f>
        <v/>
      </c>
      <c r="C134" s="28">
        <f>IF($P134="","",IF(INDEX(CalcTime,$P134)=0,"",INDEX(CalcTime,$P134)))</f>
        <v/>
      </c>
      <c r="D134" s="28">
        <f>IF($P134="","",IF(INDEX(EntryParty,$P134)=0,"",INDEX(EntryParty,$P134)))</f>
        <v/>
      </c>
      <c r="E134" s="28">
        <f>IF($P134="","",IF(INDEX(EntryPartyName,$P134)=0,"",INDEX(EntryPartyName,$P134)))</f>
        <v/>
      </c>
      <c r="F134" s="28">
        <f>IF($P134="","",IF(INDEX(EntryPartyType,$P134)=0,"",INDEX(EntryPartyType,$P134)))</f>
        <v/>
      </c>
      <c r="G134" s="28">
        <f>IF($P134="","",IF(INDEX(EntryTxnType,$P134)=0,"",INDEX(EntryTxnType,$P134)))</f>
        <v/>
      </c>
      <c r="H134" s="29">
        <f>IF($P134="","",IF(INDEX(EntryDep,$P134)=0,"",INDEX(EntryDep,$P134)))</f>
        <v/>
      </c>
      <c r="I134" s="29">
        <f>IF($P134="","",IF(INDEX(EntryWit,$P134)=0,"",INDEX(EntryWit,$P134)))</f>
        <v/>
      </c>
      <c r="J134" s="29">
        <f>IF($B134="","",IF($A134=1,$C$7,IF(J133="",0,J133))+IF($H134="",0,$H134)-IF($I134="",0,$I134))</f>
        <v/>
      </c>
      <c r="K134" s="29">
        <f>IF($P134="","",IF(INDEX(EntryMan,$P134)=0,"",INDEX(EntryMan,$P134)))</f>
        <v/>
      </c>
      <c r="L134" s="28">
        <f>IF($B134="","",IF($K134="","—",IF(ROUND($K134-$J134,0)=0,"√","×")))</f>
        <v/>
      </c>
      <c r="M134" s="28">
        <f>IF($B134="","",IF(COUNTIFS(EntryDates,$B134,CalcTime,$C134,CalcBank,$C$5,EntryParty,$D134,EntryDep,$H134,EntryWit,$I134)&gt;1,"تکرار",""))</f>
        <v/>
      </c>
      <c r="N134" s="28">
        <f>IF($P134="","",IF(INDEX(EntryNotes,$P134)=0,"",INDEX(EntryNotes,$P134)))</f>
        <v/>
      </c>
      <c r="O134" s="28">
        <f>IF($P134="","",IF(INDEX(EntryTxnID,$P134)=0,"",INDEX(EntryTxnID,$P134)))</f>
        <v/>
      </c>
      <c r="P134" s="28">
        <f>IFERROR(MATCH($C$5&amp;"|"&amp;RIGHT("000000"&amp;118,6),CalcRankKey,0),"")</f>
        <v/>
      </c>
    </row>
    <row r="135">
      <c r="A135" s="26">
        <f>IF($B135="","",119)</f>
        <v/>
      </c>
      <c r="B135" s="26">
        <f>IF($P135="","",IF(INDEX(CalcNormDate,$P135)=0,"",INDEX(CalcNormDate,$P135)))</f>
        <v/>
      </c>
      <c r="C135" s="26">
        <f>IF($P135="","",IF(INDEX(CalcTime,$P135)=0,"",INDEX(CalcTime,$P135)))</f>
        <v/>
      </c>
      <c r="D135" s="26">
        <f>IF($P135="","",IF(INDEX(EntryParty,$P135)=0,"",INDEX(EntryParty,$P135)))</f>
        <v/>
      </c>
      <c r="E135" s="26">
        <f>IF($P135="","",IF(INDEX(EntryPartyName,$P135)=0,"",INDEX(EntryPartyName,$P135)))</f>
        <v/>
      </c>
      <c r="F135" s="26">
        <f>IF($P135="","",IF(INDEX(EntryPartyType,$P135)=0,"",INDEX(EntryPartyType,$P135)))</f>
        <v/>
      </c>
      <c r="G135" s="26">
        <f>IF($P135="","",IF(INDEX(EntryTxnType,$P135)=0,"",INDEX(EntryTxnType,$P135)))</f>
        <v/>
      </c>
      <c r="H135" s="27">
        <f>IF($P135="","",IF(INDEX(EntryDep,$P135)=0,"",INDEX(EntryDep,$P135)))</f>
        <v/>
      </c>
      <c r="I135" s="27">
        <f>IF($P135="","",IF(INDEX(EntryWit,$P135)=0,"",INDEX(EntryWit,$P135)))</f>
        <v/>
      </c>
      <c r="J135" s="27">
        <f>IF($B135="","",IF($A135=1,$C$7,IF(J134="",0,J134))+IF($H135="",0,$H135)-IF($I135="",0,$I135))</f>
        <v/>
      </c>
      <c r="K135" s="27">
        <f>IF($P135="","",IF(INDEX(EntryMan,$P135)=0,"",INDEX(EntryMan,$P135)))</f>
        <v/>
      </c>
      <c r="L135" s="26">
        <f>IF($B135="","",IF($K135="","—",IF(ROUND($K135-$J135,0)=0,"√","×")))</f>
        <v/>
      </c>
      <c r="M135" s="26">
        <f>IF($B135="","",IF(COUNTIFS(EntryDates,$B135,CalcTime,$C135,CalcBank,$C$5,EntryParty,$D135,EntryDep,$H135,EntryWit,$I135)&gt;1,"تکرار",""))</f>
        <v/>
      </c>
      <c r="N135" s="26">
        <f>IF($P135="","",IF(INDEX(EntryNotes,$P135)=0,"",INDEX(EntryNotes,$P135)))</f>
        <v/>
      </c>
      <c r="O135" s="26">
        <f>IF($P135="","",IF(INDEX(EntryTxnID,$P135)=0,"",INDEX(EntryTxnID,$P135)))</f>
        <v/>
      </c>
      <c r="P135" s="26">
        <f>IFERROR(MATCH($C$5&amp;"|"&amp;RIGHT("000000"&amp;119,6),CalcRankKey,0),"")</f>
        <v/>
      </c>
    </row>
    <row r="136">
      <c r="A136" s="28">
        <f>IF($B136="","",120)</f>
        <v/>
      </c>
      <c r="B136" s="28">
        <f>IF($P136="","",IF(INDEX(CalcNormDate,$P136)=0,"",INDEX(CalcNormDate,$P136)))</f>
        <v/>
      </c>
      <c r="C136" s="28">
        <f>IF($P136="","",IF(INDEX(CalcTime,$P136)=0,"",INDEX(CalcTime,$P136)))</f>
        <v/>
      </c>
      <c r="D136" s="28">
        <f>IF($P136="","",IF(INDEX(EntryParty,$P136)=0,"",INDEX(EntryParty,$P136)))</f>
        <v/>
      </c>
      <c r="E136" s="28">
        <f>IF($P136="","",IF(INDEX(EntryPartyName,$P136)=0,"",INDEX(EntryPartyName,$P136)))</f>
        <v/>
      </c>
      <c r="F136" s="28">
        <f>IF($P136="","",IF(INDEX(EntryPartyType,$P136)=0,"",INDEX(EntryPartyType,$P136)))</f>
        <v/>
      </c>
      <c r="G136" s="28">
        <f>IF($P136="","",IF(INDEX(EntryTxnType,$P136)=0,"",INDEX(EntryTxnType,$P136)))</f>
        <v/>
      </c>
      <c r="H136" s="29">
        <f>IF($P136="","",IF(INDEX(EntryDep,$P136)=0,"",INDEX(EntryDep,$P136)))</f>
        <v/>
      </c>
      <c r="I136" s="29">
        <f>IF($P136="","",IF(INDEX(EntryWit,$P136)=0,"",INDEX(EntryWit,$P136)))</f>
        <v/>
      </c>
      <c r="J136" s="29">
        <f>IF($B136="","",IF($A136=1,$C$7,IF(J135="",0,J135))+IF($H136="",0,$H136)-IF($I136="",0,$I136))</f>
        <v/>
      </c>
      <c r="K136" s="29">
        <f>IF($P136="","",IF(INDEX(EntryMan,$P136)=0,"",INDEX(EntryMan,$P136)))</f>
        <v/>
      </c>
      <c r="L136" s="28">
        <f>IF($B136="","",IF($K136="","—",IF(ROUND($K136-$J136,0)=0,"√","×")))</f>
        <v/>
      </c>
      <c r="M136" s="28">
        <f>IF($B136="","",IF(COUNTIFS(EntryDates,$B136,CalcTime,$C136,CalcBank,$C$5,EntryParty,$D136,EntryDep,$H136,EntryWit,$I136)&gt;1,"تکرار",""))</f>
        <v/>
      </c>
      <c r="N136" s="28">
        <f>IF($P136="","",IF(INDEX(EntryNotes,$P136)=0,"",INDEX(EntryNotes,$P136)))</f>
        <v/>
      </c>
      <c r="O136" s="28">
        <f>IF($P136="","",IF(INDEX(EntryTxnID,$P136)=0,"",INDEX(EntryTxnID,$P136)))</f>
        <v/>
      </c>
      <c r="P136" s="28">
        <f>IFERROR(MATCH($C$5&amp;"|"&amp;RIGHT("000000"&amp;120,6),CalcRankKey,0),"")</f>
        <v/>
      </c>
    </row>
    <row r="137">
      <c r="A137" s="26">
        <f>IF($B137="","",121)</f>
        <v/>
      </c>
      <c r="B137" s="26">
        <f>IF($P137="","",IF(INDEX(CalcNormDate,$P137)=0,"",INDEX(CalcNormDate,$P137)))</f>
        <v/>
      </c>
      <c r="C137" s="26">
        <f>IF($P137="","",IF(INDEX(CalcTime,$P137)=0,"",INDEX(CalcTime,$P137)))</f>
        <v/>
      </c>
      <c r="D137" s="26">
        <f>IF($P137="","",IF(INDEX(EntryParty,$P137)=0,"",INDEX(EntryParty,$P137)))</f>
        <v/>
      </c>
      <c r="E137" s="26">
        <f>IF($P137="","",IF(INDEX(EntryPartyName,$P137)=0,"",INDEX(EntryPartyName,$P137)))</f>
        <v/>
      </c>
      <c r="F137" s="26">
        <f>IF($P137="","",IF(INDEX(EntryPartyType,$P137)=0,"",INDEX(EntryPartyType,$P137)))</f>
        <v/>
      </c>
      <c r="G137" s="26">
        <f>IF($P137="","",IF(INDEX(EntryTxnType,$P137)=0,"",INDEX(EntryTxnType,$P137)))</f>
        <v/>
      </c>
      <c r="H137" s="27">
        <f>IF($P137="","",IF(INDEX(EntryDep,$P137)=0,"",INDEX(EntryDep,$P137)))</f>
        <v/>
      </c>
      <c r="I137" s="27">
        <f>IF($P137="","",IF(INDEX(EntryWit,$P137)=0,"",INDEX(EntryWit,$P137)))</f>
        <v/>
      </c>
      <c r="J137" s="27">
        <f>IF($B137="","",IF($A137=1,$C$7,IF(J136="",0,J136))+IF($H137="",0,$H137)-IF($I137="",0,$I137))</f>
        <v/>
      </c>
      <c r="K137" s="27">
        <f>IF($P137="","",IF(INDEX(EntryMan,$P137)=0,"",INDEX(EntryMan,$P137)))</f>
        <v/>
      </c>
      <c r="L137" s="26">
        <f>IF($B137="","",IF($K137="","—",IF(ROUND($K137-$J137,0)=0,"√","×")))</f>
        <v/>
      </c>
      <c r="M137" s="26">
        <f>IF($B137="","",IF(COUNTIFS(EntryDates,$B137,CalcTime,$C137,CalcBank,$C$5,EntryParty,$D137,EntryDep,$H137,EntryWit,$I137)&gt;1,"تکرار",""))</f>
        <v/>
      </c>
      <c r="N137" s="26">
        <f>IF($P137="","",IF(INDEX(EntryNotes,$P137)=0,"",INDEX(EntryNotes,$P137)))</f>
        <v/>
      </c>
      <c r="O137" s="26">
        <f>IF($P137="","",IF(INDEX(EntryTxnID,$P137)=0,"",INDEX(EntryTxnID,$P137)))</f>
        <v/>
      </c>
      <c r="P137" s="26">
        <f>IFERROR(MATCH($C$5&amp;"|"&amp;RIGHT("000000"&amp;121,6),CalcRankKey,0),"")</f>
        <v/>
      </c>
    </row>
    <row r="138">
      <c r="A138" s="28">
        <f>IF($B138="","",122)</f>
        <v/>
      </c>
      <c r="B138" s="28">
        <f>IF($P138="","",IF(INDEX(CalcNormDate,$P138)=0,"",INDEX(CalcNormDate,$P138)))</f>
        <v/>
      </c>
      <c r="C138" s="28">
        <f>IF($P138="","",IF(INDEX(CalcTime,$P138)=0,"",INDEX(CalcTime,$P138)))</f>
        <v/>
      </c>
      <c r="D138" s="28">
        <f>IF($P138="","",IF(INDEX(EntryParty,$P138)=0,"",INDEX(EntryParty,$P138)))</f>
        <v/>
      </c>
      <c r="E138" s="28">
        <f>IF($P138="","",IF(INDEX(EntryPartyName,$P138)=0,"",INDEX(EntryPartyName,$P138)))</f>
        <v/>
      </c>
      <c r="F138" s="28">
        <f>IF($P138="","",IF(INDEX(EntryPartyType,$P138)=0,"",INDEX(EntryPartyType,$P138)))</f>
        <v/>
      </c>
      <c r="G138" s="28">
        <f>IF($P138="","",IF(INDEX(EntryTxnType,$P138)=0,"",INDEX(EntryTxnType,$P138)))</f>
        <v/>
      </c>
      <c r="H138" s="29">
        <f>IF($P138="","",IF(INDEX(EntryDep,$P138)=0,"",INDEX(EntryDep,$P138)))</f>
        <v/>
      </c>
      <c r="I138" s="29">
        <f>IF($P138="","",IF(INDEX(EntryWit,$P138)=0,"",INDEX(EntryWit,$P138)))</f>
        <v/>
      </c>
      <c r="J138" s="29">
        <f>IF($B138="","",IF($A138=1,$C$7,IF(J137="",0,J137))+IF($H138="",0,$H138)-IF($I138="",0,$I138))</f>
        <v/>
      </c>
      <c r="K138" s="29">
        <f>IF($P138="","",IF(INDEX(EntryMan,$P138)=0,"",INDEX(EntryMan,$P138)))</f>
        <v/>
      </c>
      <c r="L138" s="28">
        <f>IF($B138="","",IF($K138="","—",IF(ROUND($K138-$J138,0)=0,"√","×")))</f>
        <v/>
      </c>
      <c r="M138" s="28">
        <f>IF($B138="","",IF(COUNTIFS(EntryDates,$B138,CalcTime,$C138,CalcBank,$C$5,EntryParty,$D138,EntryDep,$H138,EntryWit,$I138)&gt;1,"تکرار",""))</f>
        <v/>
      </c>
      <c r="N138" s="28">
        <f>IF($P138="","",IF(INDEX(EntryNotes,$P138)=0,"",INDEX(EntryNotes,$P138)))</f>
        <v/>
      </c>
      <c r="O138" s="28">
        <f>IF($P138="","",IF(INDEX(EntryTxnID,$P138)=0,"",INDEX(EntryTxnID,$P138)))</f>
        <v/>
      </c>
      <c r="P138" s="28">
        <f>IFERROR(MATCH($C$5&amp;"|"&amp;RIGHT("000000"&amp;122,6),CalcRankKey,0),"")</f>
        <v/>
      </c>
    </row>
    <row r="139">
      <c r="A139" s="26">
        <f>IF($B139="","",123)</f>
        <v/>
      </c>
      <c r="B139" s="26">
        <f>IF($P139="","",IF(INDEX(CalcNormDate,$P139)=0,"",INDEX(CalcNormDate,$P139)))</f>
        <v/>
      </c>
      <c r="C139" s="26">
        <f>IF($P139="","",IF(INDEX(CalcTime,$P139)=0,"",INDEX(CalcTime,$P139)))</f>
        <v/>
      </c>
      <c r="D139" s="26">
        <f>IF($P139="","",IF(INDEX(EntryParty,$P139)=0,"",INDEX(EntryParty,$P139)))</f>
        <v/>
      </c>
      <c r="E139" s="26">
        <f>IF($P139="","",IF(INDEX(EntryPartyName,$P139)=0,"",INDEX(EntryPartyName,$P139)))</f>
        <v/>
      </c>
      <c r="F139" s="26">
        <f>IF($P139="","",IF(INDEX(EntryPartyType,$P139)=0,"",INDEX(EntryPartyType,$P139)))</f>
        <v/>
      </c>
      <c r="G139" s="26">
        <f>IF($P139="","",IF(INDEX(EntryTxnType,$P139)=0,"",INDEX(EntryTxnType,$P139)))</f>
        <v/>
      </c>
      <c r="H139" s="27">
        <f>IF($P139="","",IF(INDEX(EntryDep,$P139)=0,"",INDEX(EntryDep,$P139)))</f>
        <v/>
      </c>
      <c r="I139" s="27">
        <f>IF($P139="","",IF(INDEX(EntryWit,$P139)=0,"",INDEX(EntryWit,$P139)))</f>
        <v/>
      </c>
      <c r="J139" s="27">
        <f>IF($B139="","",IF($A139=1,$C$7,IF(J138="",0,J138))+IF($H139="",0,$H139)-IF($I139="",0,$I139))</f>
        <v/>
      </c>
      <c r="K139" s="27">
        <f>IF($P139="","",IF(INDEX(EntryMan,$P139)=0,"",INDEX(EntryMan,$P139)))</f>
        <v/>
      </c>
      <c r="L139" s="26">
        <f>IF($B139="","",IF($K139="","—",IF(ROUND($K139-$J139,0)=0,"√","×")))</f>
        <v/>
      </c>
      <c r="M139" s="26">
        <f>IF($B139="","",IF(COUNTIFS(EntryDates,$B139,CalcTime,$C139,CalcBank,$C$5,EntryParty,$D139,EntryDep,$H139,EntryWit,$I139)&gt;1,"تکرار",""))</f>
        <v/>
      </c>
      <c r="N139" s="26">
        <f>IF($P139="","",IF(INDEX(EntryNotes,$P139)=0,"",INDEX(EntryNotes,$P139)))</f>
        <v/>
      </c>
      <c r="O139" s="26">
        <f>IF($P139="","",IF(INDEX(EntryTxnID,$P139)=0,"",INDEX(EntryTxnID,$P139)))</f>
        <v/>
      </c>
      <c r="P139" s="26">
        <f>IFERROR(MATCH($C$5&amp;"|"&amp;RIGHT("000000"&amp;123,6),CalcRankKey,0),"")</f>
        <v/>
      </c>
    </row>
    <row r="140">
      <c r="A140" s="28">
        <f>IF($B140="","",124)</f>
        <v/>
      </c>
      <c r="B140" s="28">
        <f>IF($P140="","",IF(INDEX(CalcNormDate,$P140)=0,"",INDEX(CalcNormDate,$P140)))</f>
        <v/>
      </c>
      <c r="C140" s="28">
        <f>IF($P140="","",IF(INDEX(CalcTime,$P140)=0,"",INDEX(CalcTime,$P140)))</f>
        <v/>
      </c>
      <c r="D140" s="28">
        <f>IF($P140="","",IF(INDEX(EntryParty,$P140)=0,"",INDEX(EntryParty,$P140)))</f>
        <v/>
      </c>
      <c r="E140" s="28">
        <f>IF($P140="","",IF(INDEX(EntryPartyName,$P140)=0,"",INDEX(EntryPartyName,$P140)))</f>
        <v/>
      </c>
      <c r="F140" s="28">
        <f>IF($P140="","",IF(INDEX(EntryPartyType,$P140)=0,"",INDEX(EntryPartyType,$P140)))</f>
        <v/>
      </c>
      <c r="G140" s="28">
        <f>IF($P140="","",IF(INDEX(EntryTxnType,$P140)=0,"",INDEX(EntryTxnType,$P140)))</f>
        <v/>
      </c>
      <c r="H140" s="29">
        <f>IF($P140="","",IF(INDEX(EntryDep,$P140)=0,"",INDEX(EntryDep,$P140)))</f>
        <v/>
      </c>
      <c r="I140" s="29">
        <f>IF($P140="","",IF(INDEX(EntryWit,$P140)=0,"",INDEX(EntryWit,$P140)))</f>
        <v/>
      </c>
      <c r="J140" s="29">
        <f>IF($B140="","",IF($A140=1,$C$7,IF(J139="",0,J139))+IF($H140="",0,$H140)-IF($I140="",0,$I140))</f>
        <v/>
      </c>
      <c r="K140" s="29">
        <f>IF($P140="","",IF(INDEX(EntryMan,$P140)=0,"",INDEX(EntryMan,$P140)))</f>
        <v/>
      </c>
      <c r="L140" s="28">
        <f>IF($B140="","",IF($K140="","—",IF(ROUND($K140-$J140,0)=0,"√","×")))</f>
        <v/>
      </c>
      <c r="M140" s="28">
        <f>IF($B140="","",IF(COUNTIFS(EntryDates,$B140,CalcTime,$C140,CalcBank,$C$5,EntryParty,$D140,EntryDep,$H140,EntryWit,$I140)&gt;1,"تکرار",""))</f>
        <v/>
      </c>
      <c r="N140" s="28">
        <f>IF($P140="","",IF(INDEX(EntryNotes,$P140)=0,"",INDEX(EntryNotes,$P140)))</f>
        <v/>
      </c>
      <c r="O140" s="28">
        <f>IF($P140="","",IF(INDEX(EntryTxnID,$P140)=0,"",INDEX(EntryTxnID,$P140)))</f>
        <v/>
      </c>
      <c r="P140" s="28">
        <f>IFERROR(MATCH($C$5&amp;"|"&amp;RIGHT("000000"&amp;124,6),CalcRankKey,0),"")</f>
        <v/>
      </c>
    </row>
    <row r="141">
      <c r="A141" s="26">
        <f>IF($B141="","",125)</f>
        <v/>
      </c>
      <c r="B141" s="26">
        <f>IF($P141="","",IF(INDEX(CalcNormDate,$P141)=0,"",INDEX(CalcNormDate,$P141)))</f>
        <v/>
      </c>
      <c r="C141" s="26">
        <f>IF($P141="","",IF(INDEX(CalcTime,$P141)=0,"",INDEX(CalcTime,$P141)))</f>
        <v/>
      </c>
      <c r="D141" s="26">
        <f>IF($P141="","",IF(INDEX(EntryParty,$P141)=0,"",INDEX(EntryParty,$P141)))</f>
        <v/>
      </c>
      <c r="E141" s="26">
        <f>IF($P141="","",IF(INDEX(EntryPartyName,$P141)=0,"",INDEX(EntryPartyName,$P141)))</f>
        <v/>
      </c>
      <c r="F141" s="26">
        <f>IF($P141="","",IF(INDEX(EntryPartyType,$P141)=0,"",INDEX(EntryPartyType,$P141)))</f>
        <v/>
      </c>
      <c r="G141" s="26">
        <f>IF($P141="","",IF(INDEX(EntryTxnType,$P141)=0,"",INDEX(EntryTxnType,$P141)))</f>
        <v/>
      </c>
      <c r="H141" s="27">
        <f>IF($P141="","",IF(INDEX(EntryDep,$P141)=0,"",INDEX(EntryDep,$P141)))</f>
        <v/>
      </c>
      <c r="I141" s="27">
        <f>IF($P141="","",IF(INDEX(EntryWit,$P141)=0,"",INDEX(EntryWit,$P141)))</f>
        <v/>
      </c>
      <c r="J141" s="27">
        <f>IF($B141="","",IF($A141=1,$C$7,IF(J140="",0,J140))+IF($H141="",0,$H141)-IF($I141="",0,$I141))</f>
        <v/>
      </c>
      <c r="K141" s="27">
        <f>IF($P141="","",IF(INDEX(EntryMan,$P141)=0,"",INDEX(EntryMan,$P141)))</f>
        <v/>
      </c>
      <c r="L141" s="26">
        <f>IF($B141="","",IF($K141="","—",IF(ROUND($K141-$J141,0)=0,"√","×")))</f>
        <v/>
      </c>
      <c r="M141" s="26">
        <f>IF($B141="","",IF(COUNTIFS(EntryDates,$B141,CalcTime,$C141,CalcBank,$C$5,EntryParty,$D141,EntryDep,$H141,EntryWit,$I141)&gt;1,"تکرار",""))</f>
        <v/>
      </c>
      <c r="N141" s="26">
        <f>IF($P141="","",IF(INDEX(EntryNotes,$P141)=0,"",INDEX(EntryNotes,$P141)))</f>
        <v/>
      </c>
      <c r="O141" s="26">
        <f>IF($P141="","",IF(INDEX(EntryTxnID,$P141)=0,"",INDEX(EntryTxnID,$P141)))</f>
        <v/>
      </c>
      <c r="P141" s="26">
        <f>IFERROR(MATCH($C$5&amp;"|"&amp;RIGHT("000000"&amp;125,6),CalcRankKey,0),"")</f>
        <v/>
      </c>
    </row>
    <row r="142">
      <c r="A142" s="28">
        <f>IF($B142="","",126)</f>
        <v/>
      </c>
      <c r="B142" s="28">
        <f>IF($P142="","",IF(INDEX(CalcNormDate,$P142)=0,"",INDEX(CalcNormDate,$P142)))</f>
        <v/>
      </c>
      <c r="C142" s="28">
        <f>IF($P142="","",IF(INDEX(CalcTime,$P142)=0,"",INDEX(CalcTime,$P142)))</f>
        <v/>
      </c>
      <c r="D142" s="28">
        <f>IF($P142="","",IF(INDEX(EntryParty,$P142)=0,"",INDEX(EntryParty,$P142)))</f>
        <v/>
      </c>
      <c r="E142" s="28">
        <f>IF($P142="","",IF(INDEX(EntryPartyName,$P142)=0,"",INDEX(EntryPartyName,$P142)))</f>
        <v/>
      </c>
      <c r="F142" s="28">
        <f>IF($P142="","",IF(INDEX(EntryPartyType,$P142)=0,"",INDEX(EntryPartyType,$P142)))</f>
        <v/>
      </c>
      <c r="G142" s="28">
        <f>IF($P142="","",IF(INDEX(EntryTxnType,$P142)=0,"",INDEX(EntryTxnType,$P142)))</f>
        <v/>
      </c>
      <c r="H142" s="29">
        <f>IF($P142="","",IF(INDEX(EntryDep,$P142)=0,"",INDEX(EntryDep,$P142)))</f>
        <v/>
      </c>
      <c r="I142" s="29">
        <f>IF($P142="","",IF(INDEX(EntryWit,$P142)=0,"",INDEX(EntryWit,$P142)))</f>
        <v/>
      </c>
      <c r="J142" s="29">
        <f>IF($B142="","",IF($A142=1,$C$7,IF(J141="",0,J141))+IF($H142="",0,$H142)-IF($I142="",0,$I142))</f>
        <v/>
      </c>
      <c r="K142" s="29">
        <f>IF($P142="","",IF(INDEX(EntryMan,$P142)=0,"",INDEX(EntryMan,$P142)))</f>
        <v/>
      </c>
      <c r="L142" s="28">
        <f>IF($B142="","",IF($K142="","—",IF(ROUND($K142-$J142,0)=0,"√","×")))</f>
        <v/>
      </c>
      <c r="M142" s="28">
        <f>IF($B142="","",IF(COUNTIFS(EntryDates,$B142,CalcTime,$C142,CalcBank,$C$5,EntryParty,$D142,EntryDep,$H142,EntryWit,$I142)&gt;1,"تکرار",""))</f>
        <v/>
      </c>
      <c r="N142" s="28">
        <f>IF($P142="","",IF(INDEX(EntryNotes,$P142)=0,"",INDEX(EntryNotes,$P142)))</f>
        <v/>
      </c>
      <c r="O142" s="28">
        <f>IF($P142="","",IF(INDEX(EntryTxnID,$P142)=0,"",INDEX(EntryTxnID,$P142)))</f>
        <v/>
      </c>
      <c r="P142" s="28">
        <f>IFERROR(MATCH($C$5&amp;"|"&amp;RIGHT("000000"&amp;126,6),CalcRankKey,0),"")</f>
        <v/>
      </c>
    </row>
    <row r="143">
      <c r="A143" s="26">
        <f>IF($B143="","",127)</f>
        <v/>
      </c>
      <c r="B143" s="26">
        <f>IF($P143="","",IF(INDEX(CalcNormDate,$P143)=0,"",INDEX(CalcNormDate,$P143)))</f>
        <v/>
      </c>
      <c r="C143" s="26">
        <f>IF($P143="","",IF(INDEX(CalcTime,$P143)=0,"",INDEX(CalcTime,$P143)))</f>
        <v/>
      </c>
      <c r="D143" s="26">
        <f>IF($P143="","",IF(INDEX(EntryParty,$P143)=0,"",INDEX(EntryParty,$P143)))</f>
        <v/>
      </c>
      <c r="E143" s="26">
        <f>IF($P143="","",IF(INDEX(EntryPartyName,$P143)=0,"",INDEX(EntryPartyName,$P143)))</f>
        <v/>
      </c>
      <c r="F143" s="26">
        <f>IF($P143="","",IF(INDEX(EntryPartyType,$P143)=0,"",INDEX(EntryPartyType,$P143)))</f>
        <v/>
      </c>
      <c r="G143" s="26">
        <f>IF($P143="","",IF(INDEX(EntryTxnType,$P143)=0,"",INDEX(EntryTxnType,$P143)))</f>
        <v/>
      </c>
      <c r="H143" s="27">
        <f>IF($P143="","",IF(INDEX(EntryDep,$P143)=0,"",INDEX(EntryDep,$P143)))</f>
        <v/>
      </c>
      <c r="I143" s="27">
        <f>IF($P143="","",IF(INDEX(EntryWit,$P143)=0,"",INDEX(EntryWit,$P143)))</f>
        <v/>
      </c>
      <c r="J143" s="27">
        <f>IF($B143="","",IF($A143=1,$C$7,IF(J142="",0,J142))+IF($H143="",0,$H143)-IF($I143="",0,$I143))</f>
        <v/>
      </c>
      <c r="K143" s="27">
        <f>IF($P143="","",IF(INDEX(EntryMan,$P143)=0,"",INDEX(EntryMan,$P143)))</f>
        <v/>
      </c>
      <c r="L143" s="26">
        <f>IF($B143="","",IF($K143="","—",IF(ROUND($K143-$J143,0)=0,"√","×")))</f>
        <v/>
      </c>
      <c r="M143" s="26">
        <f>IF($B143="","",IF(COUNTIFS(EntryDates,$B143,CalcTime,$C143,CalcBank,$C$5,EntryParty,$D143,EntryDep,$H143,EntryWit,$I143)&gt;1,"تکرار",""))</f>
        <v/>
      </c>
      <c r="N143" s="26">
        <f>IF($P143="","",IF(INDEX(EntryNotes,$P143)=0,"",INDEX(EntryNotes,$P143)))</f>
        <v/>
      </c>
      <c r="O143" s="26">
        <f>IF($P143="","",IF(INDEX(EntryTxnID,$P143)=0,"",INDEX(EntryTxnID,$P143)))</f>
        <v/>
      </c>
      <c r="P143" s="26">
        <f>IFERROR(MATCH($C$5&amp;"|"&amp;RIGHT("000000"&amp;127,6),CalcRankKey,0),"")</f>
        <v/>
      </c>
    </row>
    <row r="144">
      <c r="A144" s="28">
        <f>IF($B144="","",128)</f>
        <v/>
      </c>
      <c r="B144" s="28">
        <f>IF($P144="","",IF(INDEX(CalcNormDate,$P144)=0,"",INDEX(CalcNormDate,$P144)))</f>
        <v/>
      </c>
      <c r="C144" s="28">
        <f>IF($P144="","",IF(INDEX(CalcTime,$P144)=0,"",INDEX(CalcTime,$P144)))</f>
        <v/>
      </c>
      <c r="D144" s="28">
        <f>IF($P144="","",IF(INDEX(EntryParty,$P144)=0,"",INDEX(EntryParty,$P144)))</f>
        <v/>
      </c>
      <c r="E144" s="28">
        <f>IF($P144="","",IF(INDEX(EntryPartyName,$P144)=0,"",INDEX(EntryPartyName,$P144)))</f>
        <v/>
      </c>
      <c r="F144" s="28">
        <f>IF($P144="","",IF(INDEX(EntryPartyType,$P144)=0,"",INDEX(EntryPartyType,$P144)))</f>
        <v/>
      </c>
      <c r="G144" s="28">
        <f>IF($P144="","",IF(INDEX(EntryTxnType,$P144)=0,"",INDEX(EntryTxnType,$P144)))</f>
        <v/>
      </c>
      <c r="H144" s="29">
        <f>IF($P144="","",IF(INDEX(EntryDep,$P144)=0,"",INDEX(EntryDep,$P144)))</f>
        <v/>
      </c>
      <c r="I144" s="29">
        <f>IF($P144="","",IF(INDEX(EntryWit,$P144)=0,"",INDEX(EntryWit,$P144)))</f>
        <v/>
      </c>
      <c r="J144" s="29">
        <f>IF($B144="","",IF($A144=1,$C$7,IF(J143="",0,J143))+IF($H144="",0,$H144)-IF($I144="",0,$I144))</f>
        <v/>
      </c>
      <c r="K144" s="29">
        <f>IF($P144="","",IF(INDEX(EntryMan,$P144)=0,"",INDEX(EntryMan,$P144)))</f>
        <v/>
      </c>
      <c r="L144" s="28">
        <f>IF($B144="","",IF($K144="","—",IF(ROUND($K144-$J144,0)=0,"√","×")))</f>
        <v/>
      </c>
      <c r="M144" s="28">
        <f>IF($B144="","",IF(COUNTIFS(EntryDates,$B144,CalcTime,$C144,CalcBank,$C$5,EntryParty,$D144,EntryDep,$H144,EntryWit,$I144)&gt;1,"تکرار",""))</f>
        <v/>
      </c>
      <c r="N144" s="28">
        <f>IF($P144="","",IF(INDEX(EntryNotes,$P144)=0,"",INDEX(EntryNotes,$P144)))</f>
        <v/>
      </c>
      <c r="O144" s="28">
        <f>IF($P144="","",IF(INDEX(EntryTxnID,$P144)=0,"",INDEX(EntryTxnID,$P144)))</f>
        <v/>
      </c>
      <c r="P144" s="28">
        <f>IFERROR(MATCH($C$5&amp;"|"&amp;RIGHT("000000"&amp;128,6),CalcRankKey,0),"")</f>
        <v/>
      </c>
    </row>
    <row r="145">
      <c r="A145" s="26">
        <f>IF($B145="","",129)</f>
        <v/>
      </c>
      <c r="B145" s="26">
        <f>IF($P145="","",IF(INDEX(CalcNormDate,$P145)=0,"",INDEX(CalcNormDate,$P145)))</f>
        <v/>
      </c>
      <c r="C145" s="26">
        <f>IF($P145="","",IF(INDEX(CalcTime,$P145)=0,"",INDEX(CalcTime,$P145)))</f>
        <v/>
      </c>
      <c r="D145" s="26">
        <f>IF($P145="","",IF(INDEX(EntryParty,$P145)=0,"",INDEX(EntryParty,$P145)))</f>
        <v/>
      </c>
      <c r="E145" s="26">
        <f>IF($P145="","",IF(INDEX(EntryPartyName,$P145)=0,"",INDEX(EntryPartyName,$P145)))</f>
        <v/>
      </c>
      <c r="F145" s="26">
        <f>IF($P145="","",IF(INDEX(EntryPartyType,$P145)=0,"",INDEX(EntryPartyType,$P145)))</f>
        <v/>
      </c>
      <c r="G145" s="26">
        <f>IF($P145="","",IF(INDEX(EntryTxnType,$P145)=0,"",INDEX(EntryTxnType,$P145)))</f>
        <v/>
      </c>
      <c r="H145" s="27">
        <f>IF($P145="","",IF(INDEX(EntryDep,$P145)=0,"",INDEX(EntryDep,$P145)))</f>
        <v/>
      </c>
      <c r="I145" s="27">
        <f>IF($P145="","",IF(INDEX(EntryWit,$P145)=0,"",INDEX(EntryWit,$P145)))</f>
        <v/>
      </c>
      <c r="J145" s="27">
        <f>IF($B145="","",IF($A145=1,$C$7,IF(J144="",0,J144))+IF($H145="",0,$H145)-IF($I145="",0,$I145))</f>
        <v/>
      </c>
      <c r="K145" s="27">
        <f>IF($P145="","",IF(INDEX(EntryMan,$P145)=0,"",INDEX(EntryMan,$P145)))</f>
        <v/>
      </c>
      <c r="L145" s="26">
        <f>IF($B145="","",IF($K145="","—",IF(ROUND($K145-$J145,0)=0,"√","×")))</f>
        <v/>
      </c>
      <c r="M145" s="26">
        <f>IF($B145="","",IF(COUNTIFS(EntryDates,$B145,CalcTime,$C145,CalcBank,$C$5,EntryParty,$D145,EntryDep,$H145,EntryWit,$I145)&gt;1,"تکرار",""))</f>
        <v/>
      </c>
      <c r="N145" s="26">
        <f>IF($P145="","",IF(INDEX(EntryNotes,$P145)=0,"",INDEX(EntryNotes,$P145)))</f>
        <v/>
      </c>
      <c r="O145" s="26">
        <f>IF($P145="","",IF(INDEX(EntryTxnID,$P145)=0,"",INDEX(EntryTxnID,$P145)))</f>
        <v/>
      </c>
      <c r="P145" s="26">
        <f>IFERROR(MATCH($C$5&amp;"|"&amp;RIGHT("000000"&amp;129,6),CalcRankKey,0),"")</f>
        <v/>
      </c>
    </row>
    <row r="146">
      <c r="A146" s="28">
        <f>IF($B146="","",130)</f>
        <v/>
      </c>
      <c r="B146" s="28">
        <f>IF($P146="","",IF(INDEX(CalcNormDate,$P146)=0,"",INDEX(CalcNormDate,$P146)))</f>
        <v/>
      </c>
      <c r="C146" s="28">
        <f>IF($P146="","",IF(INDEX(CalcTime,$P146)=0,"",INDEX(CalcTime,$P146)))</f>
        <v/>
      </c>
      <c r="D146" s="28">
        <f>IF($P146="","",IF(INDEX(EntryParty,$P146)=0,"",INDEX(EntryParty,$P146)))</f>
        <v/>
      </c>
      <c r="E146" s="28">
        <f>IF($P146="","",IF(INDEX(EntryPartyName,$P146)=0,"",INDEX(EntryPartyName,$P146)))</f>
        <v/>
      </c>
      <c r="F146" s="28">
        <f>IF($P146="","",IF(INDEX(EntryPartyType,$P146)=0,"",INDEX(EntryPartyType,$P146)))</f>
        <v/>
      </c>
      <c r="G146" s="28">
        <f>IF($P146="","",IF(INDEX(EntryTxnType,$P146)=0,"",INDEX(EntryTxnType,$P146)))</f>
        <v/>
      </c>
      <c r="H146" s="29">
        <f>IF($P146="","",IF(INDEX(EntryDep,$P146)=0,"",INDEX(EntryDep,$P146)))</f>
        <v/>
      </c>
      <c r="I146" s="29">
        <f>IF($P146="","",IF(INDEX(EntryWit,$P146)=0,"",INDEX(EntryWit,$P146)))</f>
        <v/>
      </c>
      <c r="J146" s="29">
        <f>IF($B146="","",IF($A146=1,$C$7,IF(J145="",0,J145))+IF($H146="",0,$H146)-IF($I146="",0,$I146))</f>
        <v/>
      </c>
      <c r="K146" s="29">
        <f>IF($P146="","",IF(INDEX(EntryMan,$P146)=0,"",INDEX(EntryMan,$P146)))</f>
        <v/>
      </c>
      <c r="L146" s="28">
        <f>IF($B146="","",IF($K146="","—",IF(ROUND($K146-$J146,0)=0,"√","×")))</f>
        <v/>
      </c>
      <c r="M146" s="28">
        <f>IF($B146="","",IF(COUNTIFS(EntryDates,$B146,CalcTime,$C146,CalcBank,$C$5,EntryParty,$D146,EntryDep,$H146,EntryWit,$I146)&gt;1,"تکرار",""))</f>
        <v/>
      </c>
      <c r="N146" s="28">
        <f>IF($P146="","",IF(INDEX(EntryNotes,$P146)=0,"",INDEX(EntryNotes,$P146)))</f>
        <v/>
      </c>
      <c r="O146" s="28">
        <f>IF($P146="","",IF(INDEX(EntryTxnID,$P146)=0,"",INDEX(EntryTxnID,$P146)))</f>
        <v/>
      </c>
      <c r="P146" s="28">
        <f>IFERROR(MATCH($C$5&amp;"|"&amp;RIGHT("000000"&amp;130,6),CalcRankKey,0),"")</f>
        <v/>
      </c>
    </row>
    <row r="147">
      <c r="A147" s="26">
        <f>IF($B147="","",131)</f>
        <v/>
      </c>
      <c r="B147" s="26">
        <f>IF($P147="","",IF(INDEX(CalcNormDate,$P147)=0,"",INDEX(CalcNormDate,$P147)))</f>
        <v/>
      </c>
      <c r="C147" s="26">
        <f>IF($P147="","",IF(INDEX(CalcTime,$P147)=0,"",INDEX(CalcTime,$P147)))</f>
        <v/>
      </c>
      <c r="D147" s="26">
        <f>IF($P147="","",IF(INDEX(EntryParty,$P147)=0,"",INDEX(EntryParty,$P147)))</f>
        <v/>
      </c>
      <c r="E147" s="26">
        <f>IF($P147="","",IF(INDEX(EntryPartyName,$P147)=0,"",INDEX(EntryPartyName,$P147)))</f>
        <v/>
      </c>
      <c r="F147" s="26">
        <f>IF($P147="","",IF(INDEX(EntryPartyType,$P147)=0,"",INDEX(EntryPartyType,$P147)))</f>
        <v/>
      </c>
      <c r="G147" s="26">
        <f>IF($P147="","",IF(INDEX(EntryTxnType,$P147)=0,"",INDEX(EntryTxnType,$P147)))</f>
        <v/>
      </c>
      <c r="H147" s="27">
        <f>IF($P147="","",IF(INDEX(EntryDep,$P147)=0,"",INDEX(EntryDep,$P147)))</f>
        <v/>
      </c>
      <c r="I147" s="27">
        <f>IF($P147="","",IF(INDEX(EntryWit,$P147)=0,"",INDEX(EntryWit,$P147)))</f>
        <v/>
      </c>
      <c r="J147" s="27">
        <f>IF($B147="","",IF($A147=1,$C$7,IF(J146="",0,J146))+IF($H147="",0,$H147)-IF($I147="",0,$I147))</f>
        <v/>
      </c>
      <c r="K147" s="27">
        <f>IF($P147="","",IF(INDEX(EntryMan,$P147)=0,"",INDEX(EntryMan,$P147)))</f>
        <v/>
      </c>
      <c r="L147" s="26">
        <f>IF($B147="","",IF($K147="","—",IF(ROUND($K147-$J147,0)=0,"√","×")))</f>
        <v/>
      </c>
      <c r="M147" s="26">
        <f>IF($B147="","",IF(COUNTIFS(EntryDates,$B147,CalcTime,$C147,CalcBank,$C$5,EntryParty,$D147,EntryDep,$H147,EntryWit,$I147)&gt;1,"تکرار",""))</f>
        <v/>
      </c>
      <c r="N147" s="26">
        <f>IF($P147="","",IF(INDEX(EntryNotes,$P147)=0,"",INDEX(EntryNotes,$P147)))</f>
        <v/>
      </c>
      <c r="O147" s="26">
        <f>IF($P147="","",IF(INDEX(EntryTxnID,$P147)=0,"",INDEX(EntryTxnID,$P147)))</f>
        <v/>
      </c>
      <c r="P147" s="26">
        <f>IFERROR(MATCH($C$5&amp;"|"&amp;RIGHT("000000"&amp;131,6),CalcRankKey,0),"")</f>
        <v/>
      </c>
    </row>
    <row r="148">
      <c r="A148" s="28">
        <f>IF($B148="","",132)</f>
        <v/>
      </c>
      <c r="B148" s="28">
        <f>IF($P148="","",IF(INDEX(CalcNormDate,$P148)=0,"",INDEX(CalcNormDate,$P148)))</f>
        <v/>
      </c>
      <c r="C148" s="28">
        <f>IF($P148="","",IF(INDEX(CalcTime,$P148)=0,"",INDEX(CalcTime,$P148)))</f>
        <v/>
      </c>
      <c r="D148" s="28">
        <f>IF($P148="","",IF(INDEX(EntryParty,$P148)=0,"",INDEX(EntryParty,$P148)))</f>
        <v/>
      </c>
      <c r="E148" s="28">
        <f>IF($P148="","",IF(INDEX(EntryPartyName,$P148)=0,"",INDEX(EntryPartyName,$P148)))</f>
        <v/>
      </c>
      <c r="F148" s="28">
        <f>IF($P148="","",IF(INDEX(EntryPartyType,$P148)=0,"",INDEX(EntryPartyType,$P148)))</f>
        <v/>
      </c>
      <c r="G148" s="28">
        <f>IF($P148="","",IF(INDEX(EntryTxnType,$P148)=0,"",INDEX(EntryTxnType,$P148)))</f>
        <v/>
      </c>
      <c r="H148" s="29">
        <f>IF($P148="","",IF(INDEX(EntryDep,$P148)=0,"",INDEX(EntryDep,$P148)))</f>
        <v/>
      </c>
      <c r="I148" s="29">
        <f>IF($P148="","",IF(INDEX(EntryWit,$P148)=0,"",INDEX(EntryWit,$P148)))</f>
        <v/>
      </c>
      <c r="J148" s="29">
        <f>IF($B148="","",IF($A148=1,$C$7,IF(J147="",0,J147))+IF($H148="",0,$H148)-IF($I148="",0,$I148))</f>
        <v/>
      </c>
      <c r="K148" s="29">
        <f>IF($P148="","",IF(INDEX(EntryMan,$P148)=0,"",INDEX(EntryMan,$P148)))</f>
        <v/>
      </c>
      <c r="L148" s="28">
        <f>IF($B148="","",IF($K148="","—",IF(ROUND($K148-$J148,0)=0,"√","×")))</f>
        <v/>
      </c>
      <c r="M148" s="28">
        <f>IF($B148="","",IF(COUNTIFS(EntryDates,$B148,CalcTime,$C148,CalcBank,$C$5,EntryParty,$D148,EntryDep,$H148,EntryWit,$I148)&gt;1,"تکرار",""))</f>
        <v/>
      </c>
      <c r="N148" s="28">
        <f>IF($P148="","",IF(INDEX(EntryNotes,$P148)=0,"",INDEX(EntryNotes,$P148)))</f>
        <v/>
      </c>
      <c r="O148" s="28">
        <f>IF($P148="","",IF(INDEX(EntryTxnID,$P148)=0,"",INDEX(EntryTxnID,$P148)))</f>
        <v/>
      </c>
      <c r="P148" s="28">
        <f>IFERROR(MATCH($C$5&amp;"|"&amp;RIGHT("000000"&amp;132,6),CalcRankKey,0),"")</f>
        <v/>
      </c>
    </row>
    <row r="149">
      <c r="A149" s="26">
        <f>IF($B149="","",133)</f>
        <v/>
      </c>
      <c r="B149" s="26">
        <f>IF($P149="","",IF(INDEX(CalcNormDate,$P149)=0,"",INDEX(CalcNormDate,$P149)))</f>
        <v/>
      </c>
      <c r="C149" s="26">
        <f>IF($P149="","",IF(INDEX(CalcTime,$P149)=0,"",INDEX(CalcTime,$P149)))</f>
        <v/>
      </c>
      <c r="D149" s="26">
        <f>IF($P149="","",IF(INDEX(EntryParty,$P149)=0,"",INDEX(EntryParty,$P149)))</f>
        <v/>
      </c>
      <c r="E149" s="26">
        <f>IF($P149="","",IF(INDEX(EntryPartyName,$P149)=0,"",INDEX(EntryPartyName,$P149)))</f>
        <v/>
      </c>
      <c r="F149" s="26">
        <f>IF($P149="","",IF(INDEX(EntryPartyType,$P149)=0,"",INDEX(EntryPartyType,$P149)))</f>
        <v/>
      </c>
      <c r="G149" s="26">
        <f>IF($P149="","",IF(INDEX(EntryTxnType,$P149)=0,"",INDEX(EntryTxnType,$P149)))</f>
        <v/>
      </c>
      <c r="H149" s="27">
        <f>IF($P149="","",IF(INDEX(EntryDep,$P149)=0,"",INDEX(EntryDep,$P149)))</f>
        <v/>
      </c>
      <c r="I149" s="27">
        <f>IF($P149="","",IF(INDEX(EntryWit,$P149)=0,"",INDEX(EntryWit,$P149)))</f>
        <v/>
      </c>
      <c r="J149" s="27">
        <f>IF($B149="","",IF($A149=1,$C$7,IF(J148="",0,J148))+IF($H149="",0,$H149)-IF($I149="",0,$I149))</f>
        <v/>
      </c>
      <c r="K149" s="27">
        <f>IF($P149="","",IF(INDEX(EntryMan,$P149)=0,"",INDEX(EntryMan,$P149)))</f>
        <v/>
      </c>
      <c r="L149" s="26">
        <f>IF($B149="","",IF($K149="","—",IF(ROUND($K149-$J149,0)=0,"√","×")))</f>
        <v/>
      </c>
      <c r="M149" s="26">
        <f>IF($B149="","",IF(COUNTIFS(EntryDates,$B149,CalcTime,$C149,CalcBank,$C$5,EntryParty,$D149,EntryDep,$H149,EntryWit,$I149)&gt;1,"تکرار",""))</f>
        <v/>
      </c>
      <c r="N149" s="26">
        <f>IF($P149="","",IF(INDEX(EntryNotes,$P149)=0,"",INDEX(EntryNotes,$P149)))</f>
        <v/>
      </c>
      <c r="O149" s="26">
        <f>IF($P149="","",IF(INDEX(EntryTxnID,$P149)=0,"",INDEX(EntryTxnID,$P149)))</f>
        <v/>
      </c>
      <c r="P149" s="26">
        <f>IFERROR(MATCH($C$5&amp;"|"&amp;RIGHT("000000"&amp;133,6),CalcRankKey,0),"")</f>
        <v/>
      </c>
    </row>
    <row r="150">
      <c r="A150" s="28">
        <f>IF($B150="","",134)</f>
        <v/>
      </c>
      <c r="B150" s="28">
        <f>IF($P150="","",IF(INDEX(CalcNormDate,$P150)=0,"",INDEX(CalcNormDate,$P150)))</f>
        <v/>
      </c>
      <c r="C150" s="28">
        <f>IF($P150="","",IF(INDEX(CalcTime,$P150)=0,"",INDEX(CalcTime,$P150)))</f>
        <v/>
      </c>
      <c r="D150" s="28">
        <f>IF($P150="","",IF(INDEX(EntryParty,$P150)=0,"",INDEX(EntryParty,$P150)))</f>
        <v/>
      </c>
      <c r="E150" s="28">
        <f>IF($P150="","",IF(INDEX(EntryPartyName,$P150)=0,"",INDEX(EntryPartyName,$P150)))</f>
        <v/>
      </c>
      <c r="F150" s="28">
        <f>IF($P150="","",IF(INDEX(EntryPartyType,$P150)=0,"",INDEX(EntryPartyType,$P150)))</f>
        <v/>
      </c>
      <c r="G150" s="28">
        <f>IF($P150="","",IF(INDEX(EntryTxnType,$P150)=0,"",INDEX(EntryTxnType,$P150)))</f>
        <v/>
      </c>
      <c r="H150" s="29">
        <f>IF($P150="","",IF(INDEX(EntryDep,$P150)=0,"",INDEX(EntryDep,$P150)))</f>
        <v/>
      </c>
      <c r="I150" s="29">
        <f>IF($P150="","",IF(INDEX(EntryWit,$P150)=0,"",INDEX(EntryWit,$P150)))</f>
        <v/>
      </c>
      <c r="J150" s="29">
        <f>IF($B150="","",IF($A150=1,$C$7,IF(J149="",0,J149))+IF($H150="",0,$H150)-IF($I150="",0,$I150))</f>
        <v/>
      </c>
      <c r="K150" s="29">
        <f>IF($P150="","",IF(INDEX(EntryMan,$P150)=0,"",INDEX(EntryMan,$P150)))</f>
        <v/>
      </c>
      <c r="L150" s="28">
        <f>IF($B150="","",IF($K150="","—",IF(ROUND($K150-$J150,0)=0,"√","×")))</f>
        <v/>
      </c>
      <c r="M150" s="28">
        <f>IF($B150="","",IF(COUNTIFS(EntryDates,$B150,CalcTime,$C150,CalcBank,$C$5,EntryParty,$D150,EntryDep,$H150,EntryWit,$I150)&gt;1,"تکرار",""))</f>
        <v/>
      </c>
      <c r="N150" s="28">
        <f>IF($P150="","",IF(INDEX(EntryNotes,$P150)=0,"",INDEX(EntryNotes,$P150)))</f>
        <v/>
      </c>
      <c r="O150" s="28">
        <f>IF($P150="","",IF(INDEX(EntryTxnID,$P150)=0,"",INDEX(EntryTxnID,$P150)))</f>
        <v/>
      </c>
      <c r="P150" s="28">
        <f>IFERROR(MATCH($C$5&amp;"|"&amp;RIGHT("000000"&amp;134,6),CalcRankKey,0),"")</f>
        <v/>
      </c>
    </row>
    <row r="151">
      <c r="A151" s="26">
        <f>IF($B151="","",135)</f>
        <v/>
      </c>
      <c r="B151" s="26">
        <f>IF($P151="","",IF(INDEX(CalcNormDate,$P151)=0,"",INDEX(CalcNormDate,$P151)))</f>
        <v/>
      </c>
      <c r="C151" s="26">
        <f>IF($P151="","",IF(INDEX(CalcTime,$P151)=0,"",INDEX(CalcTime,$P151)))</f>
        <v/>
      </c>
      <c r="D151" s="26">
        <f>IF($P151="","",IF(INDEX(EntryParty,$P151)=0,"",INDEX(EntryParty,$P151)))</f>
        <v/>
      </c>
      <c r="E151" s="26">
        <f>IF($P151="","",IF(INDEX(EntryPartyName,$P151)=0,"",INDEX(EntryPartyName,$P151)))</f>
        <v/>
      </c>
      <c r="F151" s="26">
        <f>IF($P151="","",IF(INDEX(EntryPartyType,$P151)=0,"",INDEX(EntryPartyType,$P151)))</f>
        <v/>
      </c>
      <c r="G151" s="26">
        <f>IF($P151="","",IF(INDEX(EntryTxnType,$P151)=0,"",INDEX(EntryTxnType,$P151)))</f>
        <v/>
      </c>
      <c r="H151" s="27">
        <f>IF($P151="","",IF(INDEX(EntryDep,$P151)=0,"",INDEX(EntryDep,$P151)))</f>
        <v/>
      </c>
      <c r="I151" s="27">
        <f>IF($P151="","",IF(INDEX(EntryWit,$P151)=0,"",INDEX(EntryWit,$P151)))</f>
        <v/>
      </c>
      <c r="J151" s="27">
        <f>IF($B151="","",IF($A151=1,$C$7,IF(J150="",0,J150))+IF($H151="",0,$H151)-IF($I151="",0,$I151))</f>
        <v/>
      </c>
      <c r="K151" s="27">
        <f>IF($P151="","",IF(INDEX(EntryMan,$P151)=0,"",INDEX(EntryMan,$P151)))</f>
        <v/>
      </c>
      <c r="L151" s="26">
        <f>IF($B151="","",IF($K151="","—",IF(ROUND($K151-$J151,0)=0,"√","×")))</f>
        <v/>
      </c>
      <c r="M151" s="26">
        <f>IF($B151="","",IF(COUNTIFS(EntryDates,$B151,CalcTime,$C151,CalcBank,$C$5,EntryParty,$D151,EntryDep,$H151,EntryWit,$I151)&gt;1,"تکرار",""))</f>
        <v/>
      </c>
      <c r="N151" s="26">
        <f>IF($P151="","",IF(INDEX(EntryNotes,$P151)=0,"",INDEX(EntryNotes,$P151)))</f>
        <v/>
      </c>
      <c r="O151" s="26">
        <f>IF($P151="","",IF(INDEX(EntryTxnID,$P151)=0,"",INDEX(EntryTxnID,$P151)))</f>
        <v/>
      </c>
      <c r="P151" s="26">
        <f>IFERROR(MATCH($C$5&amp;"|"&amp;RIGHT("000000"&amp;135,6),CalcRankKey,0),"")</f>
        <v/>
      </c>
    </row>
    <row r="152">
      <c r="A152" s="28">
        <f>IF($B152="","",136)</f>
        <v/>
      </c>
      <c r="B152" s="28">
        <f>IF($P152="","",IF(INDEX(CalcNormDate,$P152)=0,"",INDEX(CalcNormDate,$P152)))</f>
        <v/>
      </c>
      <c r="C152" s="28">
        <f>IF($P152="","",IF(INDEX(CalcTime,$P152)=0,"",INDEX(CalcTime,$P152)))</f>
        <v/>
      </c>
      <c r="D152" s="28">
        <f>IF($P152="","",IF(INDEX(EntryParty,$P152)=0,"",INDEX(EntryParty,$P152)))</f>
        <v/>
      </c>
      <c r="E152" s="28">
        <f>IF($P152="","",IF(INDEX(EntryPartyName,$P152)=0,"",INDEX(EntryPartyName,$P152)))</f>
        <v/>
      </c>
      <c r="F152" s="28">
        <f>IF($P152="","",IF(INDEX(EntryPartyType,$P152)=0,"",INDEX(EntryPartyType,$P152)))</f>
        <v/>
      </c>
      <c r="G152" s="28">
        <f>IF($P152="","",IF(INDEX(EntryTxnType,$P152)=0,"",INDEX(EntryTxnType,$P152)))</f>
        <v/>
      </c>
      <c r="H152" s="29">
        <f>IF($P152="","",IF(INDEX(EntryDep,$P152)=0,"",INDEX(EntryDep,$P152)))</f>
        <v/>
      </c>
      <c r="I152" s="29">
        <f>IF($P152="","",IF(INDEX(EntryWit,$P152)=0,"",INDEX(EntryWit,$P152)))</f>
        <v/>
      </c>
      <c r="J152" s="29">
        <f>IF($B152="","",IF($A152=1,$C$7,IF(J151="",0,J151))+IF($H152="",0,$H152)-IF($I152="",0,$I152))</f>
        <v/>
      </c>
      <c r="K152" s="29">
        <f>IF($P152="","",IF(INDEX(EntryMan,$P152)=0,"",INDEX(EntryMan,$P152)))</f>
        <v/>
      </c>
      <c r="L152" s="28">
        <f>IF($B152="","",IF($K152="","—",IF(ROUND($K152-$J152,0)=0,"√","×")))</f>
        <v/>
      </c>
      <c r="M152" s="28">
        <f>IF($B152="","",IF(COUNTIFS(EntryDates,$B152,CalcTime,$C152,CalcBank,$C$5,EntryParty,$D152,EntryDep,$H152,EntryWit,$I152)&gt;1,"تکرار",""))</f>
        <v/>
      </c>
      <c r="N152" s="28">
        <f>IF($P152="","",IF(INDEX(EntryNotes,$P152)=0,"",INDEX(EntryNotes,$P152)))</f>
        <v/>
      </c>
      <c r="O152" s="28">
        <f>IF($P152="","",IF(INDEX(EntryTxnID,$P152)=0,"",INDEX(EntryTxnID,$P152)))</f>
        <v/>
      </c>
      <c r="P152" s="28">
        <f>IFERROR(MATCH($C$5&amp;"|"&amp;RIGHT("000000"&amp;136,6),CalcRankKey,0),"")</f>
        <v/>
      </c>
    </row>
    <row r="153">
      <c r="A153" s="26">
        <f>IF($B153="","",137)</f>
        <v/>
      </c>
      <c r="B153" s="26">
        <f>IF($P153="","",IF(INDEX(CalcNormDate,$P153)=0,"",INDEX(CalcNormDate,$P153)))</f>
        <v/>
      </c>
      <c r="C153" s="26">
        <f>IF($P153="","",IF(INDEX(CalcTime,$P153)=0,"",INDEX(CalcTime,$P153)))</f>
        <v/>
      </c>
      <c r="D153" s="26">
        <f>IF($P153="","",IF(INDEX(EntryParty,$P153)=0,"",INDEX(EntryParty,$P153)))</f>
        <v/>
      </c>
      <c r="E153" s="26">
        <f>IF($P153="","",IF(INDEX(EntryPartyName,$P153)=0,"",INDEX(EntryPartyName,$P153)))</f>
        <v/>
      </c>
      <c r="F153" s="26">
        <f>IF($P153="","",IF(INDEX(EntryPartyType,$P153)=0,"",INDEX(EntryPartyType,$P153)))</f>
        <v/>
      </c>
      <c r="G153" s="26">
        <f>IF($P153="","",IF(INDEX(EntryTxnType,$P153)=0,"",INDEX(EntryTxnType,$P153)))</f>
        <v/>
      </c>
      <c r="H153" s="27">
        <f>IF($P153="","",IF(INDEX(EntryDep,$P153)=0,"",INDEX(EntryDep,$P153)))</f>
        <v/>
      </c>
      <c r="I153" s="27">
        <f>IF($P153="","",IF(INDEX(EntryWit,$P153)=0,"",INDEX(EntryWit,$P153)))</f>
        <v/>
      </c>
      <c r="J153" s="27">
        <f>IF($B153="","",IF($A153=1,$C$7,IF(J152="",0,J152))+IF($H153="",0,$H153)-IF($I153="",0,$I153))</f>
        <v/>
      </c>
      <c r="K153" s="27">
        <f>IF($P153="","",IF(INDEX(EntryMan,$P153)=0,"",INDEX(EntryMan,$P153)))</f>
        <v/>
      </c>
      <c r="L153" s="26">
        <f>IF($B153="","",IF($K153="","—",IF(ROUND($K153-$J153,0)=0,"√","×")))</f>
        <v/>
      </c>
      <c r="M153" s="26">
        <f>IF($B153="","",IF(COUNTIFS(EntryDates,$B153,CalcTime,$C153,CalcBank,$C$5,EntryParty,$D153,EntryDep,$H153,EntryWit,$I153)&gt;1,"تکرار",""))</f>
        <v/>
      </c>
      <c r="N153" s="26">
        <f>IF($P153="","",IF(INDEX(EntryNotes,$P153)=0,"",INDEX(EntryNotes,$P153)))</f>
        <v/>
      </c>
      <c r="O153" s="26">
        <f>IF($P153="","",IF(INDEX(EntryTxnID,$P153)=0,"",INDEX(EntryTxnID,$P153)))</f>
        <v/>
      </c>
      <c r="P153" s="26">
        <f>IFERROR(MATCH($C$5&amp;"|"&amp;RIGHT("000000"&amp;137,6),CalcRankKey,0),"")</f>
        <v/>
      </c>
    </row>
    <row r="154">
      <c r="A154" s="28">
        <f>IF($B154="","",138)</f>
        <v/>
      </c>
      <c r="B154" s="28">
        <f>IF($P154="","",IF(INDEX(CalcNormDate,$P154)=0,"",INDEX(CalcNormDate,$P154)))</f>
        <v/>
      </c>
      <c r="C154" s="28">
        <f>IF($P154="","",IF(INDEX(CalcTime,$P154)=0,"",INDEX(CalcTime,$P154)))</f>
        <v/>
      </c>
      <c r="D154" s="28">
        <f>IF($P154="","",IF(INDEX(EntryParty,$P154)=0,"",INDEX(EntryParty,$P154)))</f>
        <v/>
      </c>
      <c r="E154" s="28">
        <f>IF($P154="","",IF(INDEX(EntryPartyName,$P154)=0,"",INDEX(EntryPartyName,$P154)))</f>
        <v/>
      </c>
      <c r="F154" s="28">
        <f>IF($P154="","",IF(INDEX(EntryPartyType,$P154)=0,"",INDEX(EntryPartyType,$P154)))</f>
        <v/>
      </c>
      <c r="G154" s="28">
        <f>IF($P154="","",IF(INDEX(EntryTxnType,$P154)=0,"",INDEX(EntryTxnType,$P154)))</f>
        <v/>
      </c>
      <c r="H154" s="29">
        <f>IF($P154="","",IF(INDEX(EntryDep,$P154)=0,"",INDEX(EntryDep,$P154)))</f>
        <v/>
      </c>
      <c r="I154" s="29">
        <f>IF($P154="","",IF(INDEX(EntryWit,$P154)=0,"",INDEX(EntryWit,$P154)))</f>
        <v/>
      </c>
      <c r="J154" s="29">
        <f>IF($B154="","",IF($A154=1,$C$7,IF(J153="",0,J153))+IF($H154="",0,$H154)-IF($I154="",0,$I154))</f>
        <v/>
      </c>
      <c r="K154" s="29">
        <f>IF($P154="","",IF(INDEX(EntryMan,$P154)=0,"",INDEX(EntryMan,$P154)))</f>
        <v/>
      </c>
      <c r="L154" s="28">
        <f>IF($B154="","",IF($K154="","—",IF(ROUND($K154-$J154,0)=0,"√","×")))</f>
        <v/>
      </c>
      <c r="M154" s="28">
        <f>IF($B154="","",IF(COUNTIFS(EntryDates,$B154,CalcTime,$C154,CalcBank,$C$5,EntryParty,$D154,EntryDep,$H154,EntryWit,$I154)&gt;1,"تکرار",""))</f>
        <v/>
      </c>
      <c r="N154" s="28">
        <f>IF($P154="","",IF(INDEX(EntryNotes,$P154)=0,"",INDEX(EntryNotes,$P154)))</f>
        <v/>
      </c>
      <c r="O154" s="28">
        <f>IF($P154="","",IF(INDEX(EntryTxnID,$P154)=0,"",INDEX(EntryTxnID,$P154)))</f>
        <v/>
      </c>
      <c r="P154" s="28">
        <f>IFERROR(MATCH($C$5&amp;"|"&amp;RIGHT("000000"&amp;138,6),CalcRankKey,0),"")</f>
        <v/>
      </c>
    </row>
    <row r="155">
      <c r="A155" s="26">
        <f>IF($B155="","",139)</f>
        <v/>
      </c>
      <c r="B155" s="26">
        <f>IF($P155="","",IF(INDEX(CalcNormDate,$P155)=0,"",INDEX(CalcNormDate,$P155)))</f>
        <v/>
      </c>
      <c r="C155" s="26">
        <f>IF($P155="","",IF(INDEX(CalcTime,$P155)=0,"",INDEX(CalcTime,$P155)))</f>
        <v/>
      </c>
      <c r="D155" s="26">
        <f>IF($P155="","",IF(INDEX(EntryParty,$P155)=0,"",INDEX(EntryParty,$P155)))</f>
        <v/>
      </c>
      <c r="E155" s="26">
        <f>IF($P155="","",IF(INDEX(EntryPartyName,$P155)=0,"",INDEX(EntryPartyName,$P155)))</f>
        <v/>
      </c>
      <c r="F155" s="26">
        <f>IF($P155="","",IF(INDEX(EntryPartyType,$P155)=0,"",INDEX(EntryPartyType,$P155)))</f>
        <v/>
      </c>
      <c r="G155" s="26">
        <f>IF($P155="","",IF(INDEX(EntryTxnType,$P155)=0,"",INDEX(EntryTxnType,$P155)))</f>
        <v/>
      </c>
      <c r="H155" s="27">
        <f>IF($P155="","",IF(INDEX(EntryDep,$P155)=0,"",INDEX(EntryDep,$P155)))</f>
        <v/>
      </c>
      <c r="I155" s="27">
        <f>IF($P155="","",IF(INDEX(EntryWit,$P155)=0,"",INDEX(EntryWit,$P155)))</f>
        <v/>
      </c>
      <c r="J155" s="27">
        <f>IF($B155="","",IF($A155=1,$C$7,IF(J154="",0,J154))+IF($H155="",0,$H155)-IF($I155="",0,$I155))</f>
        <v/>
      </c>
      <c r="K155" s="27">
        <f>IF($P155="","",IF(INDEX(EntryMan,$P155)=0,"",INDEX(EntryMan,$P155)))</f>
        <v/>
      </c>
      <c r="L155" s="26">
        <f>IF($B155="","",IF($K155="","—",IF(ROUND($K155-$J155,0)=0,"√","×")))</f>
        <v/>
      </c>
      <c r="M155" s="26">
        <f>IF($B155="","",IF(COUNTIFS(EntryDates,$B155,CalcTime,$C155,CalcBank,$C$5,EntryParty,$D155,EntryDep,$H155,EntryWit,$I155)&gt;1,"تکرار",""))</f>
        <v/>
      </c>
      <c r="N155" s="26">
        <f>IF($P155="","",IF(INDEX(EntryNotes,$P155)=0,"",INDEX(EntryNotes,$P155)))</f>
        <v/>
      </c>
      <c r="O155" s="26">
        <f>IF($P155="","",IF(INDEX(EntryTxnID,$P155)=0,"",INDEX(EntryTxnID,$P155)))</f>
        <v/>
      </c>
      <c r="P155" s="26">
        <f>IFERROR(MATCH($C$5&amp;"|"&amp;RIGHT("000000"&amp;139,6),CalcRankKey,0),"")</f>
        <v/>
      </c>
    </row>
    <row r="156">
      <c r="A156" s="28">
        <f>IF($B156="","",140)</f>
        <v/>
      </c>
      <c r="B156" s="28">
        <f>IF($P156="","",IF(INDEX(CalcNormDate,$P156)=0,"",INDEX(CalcNormDate,$P156)))</f>
        <v/>
      </c>
      <c r="C156" s="28">
        <f>IF($P156="","",IF(INDEX(CalcTime,$P156)=0,"",INDEX(CalcTime,$P156)))</f>
        <v/>
      </c>
      <c r="D156" s="28">
        <f>IF($P156="","",IF(INDEX(EntryParty,$P156)=0,"",INDEX(EntryParty,$P156)))</f>
        <v/>
      </c>
      <c r="E156" s="28">
        <f>IF($P156="","",IF(INDEX(EntryPartyName,$P156)=0,"",INDEX(EntryPartyName,$P156)))</f>
        <v/>
      </c>
      <c r="F156" s="28">
        <f>IF($P156="","",IF(INDEX(EntryPartyType,$P156)=0,"",INDEX(EntryPartyType,$P156)))</f>
        <v/>
      </c>
      <c r="G156" s="28">
        <f>IF($P156="","",IF(INDEX(EntryTxnType,$P156)=0,"",INDEX(EntryTxnType,$P156)))</f>
        <v/>
      </c>
      <c r="H156" s="29">
        <f>IF($P156="","",IF(INDEX(EntryDep,$P156)=0,"",INDEX(EntryDep,$P156)))</f>
        <v/>
      </c>
      <c r="I156" s="29">
        <f>IF($P156="","",IF(INDEX(EntryWit,$P156)=0,"",INDEX(EntryWit,$P156)))</f>
        <v/>
      </c>
      <c r="J156" s="29">
        <f>IF($B156="","",IF($A156=1,$C$7,IF(J155="",0,J155))+IF($H156="",0,$H156)-IF($I156="",0,$I156))</f>
        <v/>
      </c>
      <c r="K156" s="29">
        <f>IF($P156="","",IF(INDEX(EntryMan,$P156)=0,"",INDEX(EntryMan,$P156)))</f>
        <v/>
      </c>
      <c r="L156" s="28">
        <f>IF($B156="","",IF($K156="","—",IF(ROUND($K156-$J156,0)=0,"√","×")))</f>
        <v/>
      </c>
      <c r="M156" s="28">
        <f>IF($B156="","",IF(COUNTIFS(EntryDates,$B156,CalcTime,$C156,CalcBank,$C$5,EntryParty,$D156,EntryDep,$H156,EntryWit,$I156)&gt;1,"تکرار",""))</f>
        <v/>
      </c>
      <c r="N156" s="28">
        <f>IF($P156="","",IF(INDEX(EntryNotes,$P156)=0,"",INDEX(EntryNotes,$P156)))</f>
        <v/>
      </c>
      <c r="O156" s="28">
        <f>IF($P156="","",IF(INDEX(EntryTxnID,$P156)=0,"",INDEX(EntryTxnID,$P156)))</f>
        <v/>
      </c>
      <c r="P156" s="28">
        <f>IFERROR(MATCH($C$5&amp;"|"&amp;RIGHT("000000"&amp;140,6),CalcRankKey,0),"")</f>
        <v/>
      </c>
    </row>
    <row r="157">
      <c r="A157" s="26">
        <f>IF($B157="","",141)</f>
        <v/>
      </c>
      <c r="B157" s="26">
        <f>IF($P157="","",IF(INDEX(CalcNormDate,$P157)=0,"",INDEX(CalcNormDate,$P157)))</f>
        <v/>
      </c>
      <c r="C157" s="26">
        <f>IF($P157="","",IF(INDEX(CalcTime,$P157)=0,"",INDEX(CalcTime,$P157)))</f>
        <v/>
      </c>
      <c r="D157" s="26">
        <f>IF($P157="","",IF(INDEX(EntryParty,$P157)=0,"",INDEX(EntryParty,$P157)))</f>
        <v/>
      </c>
      <c r="E157" s="26">
        <f>IF($P157="","",IF(INDEX(EntryPartyName,$P157)=0,"",INDEX(EntryPartyName,$P157)))</f>
        <v/>
      </c>
      <c r="F157" s="26">
        <f>IF($P157="","",IF(INDEX(EntryPartyType,$P157)=0,"",INDEX(EntryPartyType,$P157)))</f>
        <v/>
      </c>
      <c r="G157" s="26">
        <f>IF($P157="","",IF(INDEX(EntryTxnType,$P157)=0,"",INDEX(EntryTxnType,$P157)))</f>
        <v/>
      </c>
      <c r="H157" s="27">
        <f>IF($P157="","",IF(INDEX(EntryDep,$P157)=0,"",INDEX(EntryDep,$P157)))</f>
        <v/>
      </c>
      <c r="I157" s="27">
        <f>IF($P157="","",IF(INDEX(EntryWit,$P157)=0,"",INDEX(EntryWit,$P157)))</f>
        <v/>
      </c>
      <c r="J157" s="27">
        <f>IF($B157="","",IF($A157=1,$C$7,IF(J156="",0,J156))+IF($H157="",0,$H157)-IF($I157="",0,$I157))</f>
        <v/>
      </c>
      <c r="K157" s="27">
        <f>IF($P157="","",IF(INDEX(EntryMan,$P157)=0,"",INDEX(EntryMan,$P157)))</f>
        <v/>
      </c>
      <c r="L157" s="26">
        <f>IF($B157="","",IF($K157="","—",IF(ROUND($K157-$J157,0)=0,"√","×")))</f>
        <v/>
      </c>
      <c r="M157" s="26">
        <f>IF($B157="","",IF(COUNTIFS(EntryDates,$B157,CalcTime,$C157,CalcBank,$C$5,EntryParty,$D157,EntryDep,$H157,EntryWit,$I157)&gt;1,"تکرار",""))</f>
        <v/>
      </c>
      <c r="N157" s="26">
        <f>IF($P157="","",IF(INDEX(EntryNotes,$P157)=0,"",INDEX(EntryNotes,$P157)))</f>
        <v/>
      </c>
      <c r="O157" s="26">
        <f>IF($P157="","",IF(INDEX(EntryTxnID,$P157)=0,"",INDEX(EntryTxnID,$P157)))</f>
        <v/>
      </c>
      <c r="P157" s="26">
        <f>IFERROR(MATCH($C$5&amp;"|"&amp;RIGHT("000000"&amp;141,6),CalcRankKey,0),"")</f>
        <v/>
      </c>
    </row>
    <row r="158">
      <c r="A158" s="28">
        <f>IF($B158="","",142)</f>
        <v/>
      </c>
      <c r="B158" s="28">
        <f>IF($P158="","",IF(INDEX(CalcNormDate,$P158)=0,"",INDEX(CalcNormDate,$P158)))</f>
        <v/>
      </c>
      <c r="C158" s="28">
        <f>IF($P158="","",IF(INDEX(CalcTime,$P158)=0,"",INDEX(CalcTime,$P158)))</f>
        <v/>
      </c>
      <c r="D158" s="28">
        <f>IF($P158="","",IF(INDEX(EntryParty,$P158)=0,"",INDEX(EntryParty,$P158)))</f>
        <v/>
      </c>
      <c r="E158" s="28">
        <f>IF($P158="","",IF(INDEX(EntryPartyName,$P158)=0,"",INDEX(EntryPartyName,$P158)))</f>
        <v/>
      </c>
      <c r="F158" s="28">
        <f>IF($P158="","",IF(INDEX(EntryPartyType,$P158)=0,"",INDEX(EntryPartyType,$P158)))</f>
        <v/>
      </c>
      <c r="G158" s="28">
        <f>IF($P158="","",IF(INDEX(EntryTxnType,$P158)=0,"",INDEX(EntryTxnType,$P158)))</f>
        <v/>
      </c>
      <c r="H158" s="29">
        <f>IF($P158="","",IF(INDEX(EntryDep,$P158)=0,"",INDEX(EntryDep,$P158)))</f>
        <v/>
      </c>
      <c r="I158" s="29">
        <f>IF($P158="","",IF(INDEX(EntryWit,$P158)=0,"",INDEX(EntryWit,$P158)))</f>
        <v/>
      </c>
      <c r="J158" s="29">
        <f>IF($B158="","",IF($A158=1,$C$7,IF(J157="",0,J157))+IF($H158="",0,$H158)-IF($I158="",0,$I158))</f>
        <v/>
      </c>
      <c r="K158" s="29">
        <f>IF($P158="","",IF(INDEX(EntryMan,$P158)=0,"",INDEX(EntryMan,$P158)))</f>
        <v/>
      </c>
      <c r="L158" s="28">
        <f>IF($B158="","",IF($K158="","—",IF(ROUND($K158-$J158,0)=0,"√","×")))</f>
        <v/>
      </c>
      <c r="M158" s="28">
        <f>IF($B158="","",IF(COUNTIFS(EntryDates,$B158,CalcTime,$C158,CalcBank,$C$5,EntryParty,$D158,EntryDep,$H158,EntryWit,$I158)&gt;1,"تکرار",""))</f>
        <v/>
      </c>
      <c r="N158" s="28">
        <f>IF($P158="","",IF(INDEX(EntryNotes,$P158)=0,"",INDEX(EntryNotes,$P158)))</f>
        <v/>
      </c>
      <c r="O158" s="28">
        <f>IF($P158="","",IF(INDEX(EntryTxnID,$P158)=0,"",INDEX(EntryTxnID,$P158)))</f>
        <v/>
      </c>
      <c r="P158" s="28">
        <f>IFERROR(MATCH($C$5&amp;"|"&amp;RIGHT("000000"&amp;142,6),CalcRankKey,0),"")</f>
        <v/>
      </c>
    </row>
    <row r="159">
      <c r="A159" s="26">
        <f>IF($B159="","",143)</f>
        <v/>
      </c>
      <c r="B159" s="26">
        <f>IF($P159="","",IF(INDEX(CalcNormDate,$P159)=0,"",INDEX(CalcNormDate,$P159)))</f>
        <v/>
      </c>
      <c r="C159" s="26">
        <f>IF($P159="","",IF(INDEX(CalcTime,$P159)=0,"",INDEX(CalcTime,$P159)))</f>
        <v/>
      </c>
      <c r="D159" s="26">
        <f>IF($P159="","",IF(INDEX(EntryParty,$P159)=0,"",INDEX(EntryParty,$P159)))</f>
        <v/>
      </c>
      <c r="E159" s="26">
        <f>IF($P159="","",IF(INDEX(EntryPartyName,$P159)=0,"",INDEX(EntryPartyName,$P159)))</f>
        <v/>
      </c>
      <c r="F159" s="26">
        <f>IF($P159="","",IF(INDEX(EntryPartyType,$P159)=0,"",INDEX(EntryPartyType,$P159)))</f>
        <v/>
      </c>
      <c r="G159" s="26">
        <f>IF($P159="","",IF(INDEX(EntryTxnType,$P159)=0,"",INDEX(EntryTxnType,$P159)))</f>
        <v/>
      </c>
      <c r="H159" s="27">
        <f>IF($P159="","",IF(INDEX(EntryDep,$P159)=0,"",INDEX(EntryDep,$P159)))</f>
        <v/>
      </c>
      <c r="I159" s="27">
        <f>IF($P159="","",IF(INDEX(EntryWit,$P159)=0,"",INDEX(EntryWit,$P159)))</f>
        <v/>
      </c>
      <c r="J159" s="27">
        <f>IF($B159="","",IF($A159=1,$C$7,IF(J158="",0,J158))+IF($H159="",0,$H159)-IF($I159="",0,$I159))</f>
        <v/>
      </c>
      <c r="K159" s="27">
        <f>IF($P159="","",IF(INDEX(EntryMan,$P159)=0,"",INDEX(EntryMan,$P159)))</f>
        <v/>
      </c>
      <c r="L159" s="26">
        <f>IF($B159="","",IF($K159="","—",IF(ROUND($K159-$J159,0)=0,"√","×")))</f>
        <v/>
      </c>
      <c r="M159" s="26">
        <f>IF($B159="","",IF(COUNTIFS(EntryDates,$B159,CalcTime,$C159,CalcBank,$C$5,EntryParty,$D159,EntryDep,$H159,EntryWit,$I159)&gt;1,"تکرار",""))</f>
        <v/>
      </c>
      <c r="N159" s="26">
        <f>IF($P159="","",IF(INDEX(EntryNotes,$P159)=0,"",INDEX(EntryNotes,$P159)))</f>
        <v/>
      </c>
      <c r="O159" s="26">
        <f>IF($P159="","",IF(INDEX(EntryTxnID,$P159)=0,"",INDEX(EntryTxnID,$P159)))</f>
        <v/>
      </c>
      <c r="P159" s="26">
        <f>IFERROR(MATCH($C$5&amp;"|"&amp;RIGHT("000000"&amp;143,6),CalcRankKey,0),"")</f>
        <v/>
      </c>
    </row>
    <row r="160">
      <c r="A160" s="28">
        <f>IF($B160="","",144)</f>
        <v/>
      </c>
      <c r="B160" s="28">
        <f>IF($P160="","",IF(INDEX(CalcNormDate,$P160)=0,"",INDEX(CalcNormDate,$P160)))</f>
        <v/>
      </c>
      <c r="C160" s="28">
        <f>IF($P160="","",IF(INDEX(CalcTime,$P160)=0,"",INDEX(CalcTime,$P160)))</f>
        <v/>
      </c>
      <c r="D160" s="28">
        <f>IF($P160="","",IF(INDEX(EntryParty,$P160)=0,"",INDEX(EntryParty,$P160)))</f>
        <v/>
      </c>
      <c r="E160" s="28">
        <f>IF($P160="","",IF(INDEX(EntryPartyName,$P160)=0,"",INDEX(EntryPartyName,$P160)))</f>
        <v/>
      </c>
      <c r="F160" s="28">
        <f>IF($P160="","",IF(INDEX(EntryPartyType,$P160)=0,"",INDEX(EntryPartyType,$P160)))</f>
        <v/>
      </c>
      <c r="G160" s="28">
        <f>IF($P160="","",IF(INDEX(EntryTxnType,$P160)=0,"",INDEX(EntryTxnType,$P160)))</f>
        <v/>
      </c>
      <c r="H160" s="29">
        <f>IF($P160="","",IF(INDEX(EntryDep,$P160)=0,"",INDEX(EntryDep,$P160)))</f>
        <v/>
      </c>
      <c r="I160" s="29">
        <f>IF($P160="","",IF(INDEX(EntryWit,$P160)=0,"",INDEX(EntryWit,$P160)))</f>
        <v/>
      </c>
      <c r="J160" s="29">
        <f>IF($B160="","",IF($A160=1,$C$7,IF(J159="",0,J159))+IF($H160="",0,$H160)-IF($I160="",0,$I160))</f>
        <v/>
      </c>
      <c r="K160" s="29">
        <f>IF($P160="","",IF(INDEX(EntryMan,$P160)=0,"",INDEX(EntryMan,$P160)))</f>
        <v/>
      </c>
      <c r="L160" s="28">
        <f>IF($B160="","",IF($K160="","—",IF(ROUND($K160-$J160,0)=0,"√","×")))</f>
        <v/>
      </c>
      <c r="M160" s="28">
        <f>IF($B160="","",IF(COUNTIFS(EntryDates,$B160,CalcTime,$C160,CalcBank,$C$5,EntryParty,$D160,EntryDep,$H160,EntryWit,$I160)&gt;1,"تکرار",""))</f>
        <v/>
      </c>
      <c r="N160" s="28">
        <f>IF($P160="","",IF(INDEX(EntryNotes,$P160)=0,"",INDEX(EntryNotes,$P160)))</f>
        <v/>
      </c>
      <c r="O160" s="28">
        <f>IF($P160="","",IF(INDEX(EntryTxnID,$P160)=0,"",INDEX(EntryTxnID,$P160)))</f>
        <v/>
      </c>
      <c r="P160" s="28">
        <f>IFERROR(MATCH($C$5&amp;"|"&amp;RIGHT("000000"&amp;144,6),CalcRankKey,0),"")</f>
        <v/>
      </c>
    </row>
    <row r="161">
      <c r="A161" s="26">
        <f>IF($B161="","",145)</f>
        <v/>
      </c>
      <c r="B161" s="26">
        <f>IF($P161="","",IF(INDEX(CalcNormDate,$P161)=0,"",INDEX(CalcNormDate,$P161)))</f>
        <v/>
      </c>
      <c r="C161" s="26">
        <f>IF($P161="","",IF(INDEX(CalcTime,$P161)=0,"",INDEX(CalcTime,$P161)))</f>
        <v/>
      </c>
      <c r="D161" s="26">
        <f>IF($P161="","",IF(INDEX(EntryParty,$P161)=0,"",INDEX(EntryParty,$P161)))</f>
        <v/>
      </c>
      <c r="E161" s="26">
        <f>IF($P161="","",IF(INDEX(EntryPartyName,$P161)=0,"",INDEX(EntryPartyName,$P161)))</f>
        <v/>
      </c>
      <c r="F161" s="26">
        <f>IF($P161="","",IF(INDEX(EntryPartyType,$P161)=0,"",INDEX(EntryPartyType,$P161)))</f>
        <v/>
      </c>
      <c r="G161" s="26">
        <f>IF($P161="","",IF(INDEX(EntryTxnType,$P161)=0,"",INDEX(EntryTxnType,$P161)))</f>
        <v/>
      </c>
      <c r="H161" s="27">
        <f>IF($P161="","",IF(INDEX(EntryDep,$P161)=0,"",INDEX(EntryDep,$P161)))</f>
        <v/>
      </c>
      <c r="I161" s="27">
        <f>IF($P161="","",IF(INDEX(EntryWit,$P161)=0,"",INDEX(EntryWit,$P161)))</f>
        <v/>
      </c>
      <c r="J161" s="27">
        <f>IF($B161="","",IF($A161=1,$C$7,IF(J160="",0,J160))+IF($H161="",0,$H161)-IF($I161="",0,$I161))</f>
        <v/>
      </c>
      <c r="K161" s="27">
        <f>IF($P161="","",IF(INDEX(EntryMan,$P161)=0,"",INDEX(EntryMan,$P161)))</f>
        <v/>
      </c>
      <c r="L161" s="26">
        <f>IF($B161="","",IF($K161="","—",IF(ROUND($K161-$J161,0)=0,"√","×")))</f>
        <v/>
      </c>
      <c r="M161" s="26">
        <f>IF($B161="","",IF(COUNTIFS(EntryDates,$B161,CalcTime,$C161,CalcBank,$C$5,EntryParty,$D161,EntryDep,$H161,EntryWit,$I161)&gt;1,"تکرار",""))</f>
        <v/>
      </c>
      <c r="N161" s="26">
        <f>IF($P161="","",IF(INDEX(EntryNotes,$P161)=0,"",INDEX(EntryNotes,$P161)))</f>
        <v/>
      </c>
      <c r="O161" s="26">
        <f>IF($P161="","",IF(INDEX(EntryTxnID,$P161)=0,"",INDEX(EntryTxnID,$P161)))</f>
        <v/>
      </c>
      <c r="P161" s="26">
        <f>IFERROR(MATCH($C$5&amp;"|"&amp;RIGHT("000000"&amp;145,6),CalcRankKey,0),"")</f>
        <v/>
      </c>
    </row>
    <row r="162">
      <c r="A162" s="28">
        <f>IF($B162="","",146)</f>
        <v/>
      </c>
      <c r="B162" s="28">
        <f>IF($P162="","",IF(INDEX(CalcNormDate,$P162)=0,"",INDEX(CalcNormDate,$P162)))</f>
        <v/>
      </c>
      <c r="C162" s="28">
        <f>IF($P162="","",IF(INDEX(CalcTime,$P162)=0,"",INDEX(CalcTime,$P162)))</f>
        <v/>
      </c>
      <c r="D162" s="28">
        <f>IF($P162="","",IF(INDEX(EntryParty,$P162)=0,"",INDEX(EntryParty,$P162)))</f>
        <v/>
      </c>
      <c r="E162" s="28">
        <f>IF($P162="","",IF(INDEX(EntryPartyName,$P162)=0,"",INDEX(EntryPartyName,$P162)))</f>
        <v/>
      </c>
      <c r="F162" s="28">
        <f>IF($P162="","",IF(INDEX(EntryPartyType,$P162)=0,"",INDEX(EntryPartyType,$P162)))</f>
        <v/>
      </c>
      <c r="G162" s="28">
        <f>IF($P162="","",IF(INDEX(EntryTxnType,$P162)=0,"",INDEX(EntryTxnType,$P162)))</f>
        <v/>
      </c>
      <c r="H162" s="29">
        <f>IF($P162="","",IF(INDEX(EntryDep,$P162)=0,"",INDEX(EntryDep,$P162)))</f>
        <v/>
      </c>
      <c r="I162" s="29">
        <f>IF($P162="","",IF(INDEX(EntryWit,$P162)=0,"",INDEX(EntryWit,$P162)))</f>
        <v/>
      </c>
      <c r="J162" s="29">
        <f>IF($B162="","",IF($A162=1,$C$7,IF(J161="",0,J161))+IF($H162="",0,$H162)-IF($I162="",0,$I162))</f>
        <v/>
      </c>
      <c r="K162" s="29">
        <f>IF($P162="","",IF(INDEX(EntryMan,$P162)=0,"",INDEX(EntryMan,$P162)))</f>
        <v/>
      </c>
      <c r="L162" s="28">
        <f>IF($B162="","",IF($K162="","—",IF(ROUND($K162-$J162,0)=0,"√","×")))</f>
        <v/>
      </c>
      <c r="M162" s="28">
        <f>IF($B162="","",IF(COUNTIFS(EntryDates,$B162,CalcTime,$C162,CalcBank,$C$5,EntryParty,$D162,EntryDep,$H162,EntryWit,$I162)&gt;1,"تکرار",""))</f>
        <v/>
      </c>
      <c r="N162" s="28">
        <f>IF($P162="","",IF(INDEX(EntryNotes,$P162)=0,"",INDEX(EntryNotes,$P162)))</f>
        <v/>
      </c>
      <c r="O162" s="28">
        <f>IF($P162="","",IF(INDEX(EntryTxnID,$P162)=0,"",INDEX(EntryTxnID,$P162)))</f>
        <v/>
      </c>
      <c r="P162" s="28">
        <f>IFERROR(MATCH($C$5&amp;"|"&amp;RIGHT("000000"&amp;146,6),CalcRankKey,0),"")</f>
        <v/>
      </c>
    </row>
    <row r="163">
      <c r="A163" s="26">
        <f>IF($B163="","",147)</f>
        <v/>
      </c>
      <c r="B163" s="26">
        <f>IF($P163="","",IF(INDEX(CalcNormDate,$P163)=0,"",INDEX(CalcNormDate,$P163)))</f>
        <v/>
      </c>
      <c r="C163" s="26">
        <f>IF($P163="","",IF(INDEX(CalcTime,$P163)=0,"",INDEX(CalcTime,$P163)))</f>
        <v/>
      </c>
      <c r="D163" s="26">
        <f>IF($P163="","",IF(INDEX(EntryParty,$P163)=0,"",INDEX(EntryParty,$P163)))</f>
        <v/>
      </c>
      <c r="E163" s="26">
        <f>IF($P163="","",IF(INDEX(EntryPartyName,$P163)=0,"",INDEX(EntryPartyName,$P163)))</f>
        <v/>
      </c>
      <c r="F163" s="26">
        <f>IF($P163="","",IF(INDEX(EntryPartyType,$P163)=0,"",INDEX(EntryPartyType,$P163)))</f>
        <v/>
      </c>
      <c r="G163" s="26">
        <f>IF($P163="","",IF(INDEX(EntryTxnType,$P163)=0,"",INDEX(EntryTxnType,$P163)))</f>
        <v/>
      </c>
      <c r="H163" s="27">
        <f>IF($P163="","",IF(INDEX(EntryDep,$P163)=0,"",INDEX(EntryDep,$P163)))</f>
        <v/>
      </c>
      <c r="I163" s="27">
        <f>IF($P163="","",IF(INDEX(EntryWit,$P163)=0,"",INDEX(EntryWit,$P163)))</f>
        <v/>
      </c>
      <c r="J163" s="27">
        <f>IF($B163="","",IF($A163=1,$C$7,IF(J162="",0,J162))+IF($H163="",0,$H163)-IF($I163="",0,$I163))</f>
        <v/>
      </c>
      <c r="K163" s="27">
        <f>IF($P163="","",IF(INDEX(EntryMan,$P163)=0,"",INDEX(EntryMan,$P163)))</f>
        <v/>
      </c>
      <c r="L163" s="26">
        <f>IF($B163="","",IF($K163="","—",IF(ROUND($K163-$J163,0)=0,"√","×")))</f>
        <v/>
      </c>
      <c r="M163" s="26">
        <f>IF($B163="","",IF(COUNTIFS(EntryDates,$B163,CalcTime,$C163,CalcBank,$C$5,EntryParty,$D163,EntryDep,$H163,EntryWit,$I163)&gt;1,"تکرار",""))</f>
        <v/>
      </c>
      <c r="N163" s="26">
        <f>IF($P163="","",IF(INDEX(EntryNotes,$P163)=0,"",INDEX(EntryNotes,$P163)))</f>
        <v/>
      </c>
      <c r="O163" s="26">
        <f>IF($P163="","",IF(INDEX(EntryTxnID,$P163)=0,"",INDEX(EntryTxnID,$P163)))</f>
        <v/>
      </c>
      <c r="P163" s="26">
        <f>IFERROR(MATCH($C$5&amp;"|"&amp;RIGHT("000000"&amp;147,6),CalcRankKey,0),"")</f>
        <v/>
      </c>
    </row>
    <row r="164">
      <c r="A164" s="28">
        <f>IF($B164="","",148)</f>
        <v/>
      </c>
      <c r="B164" s="28">
        <f>IF($P164="","",IF(INDEX(CalcNormDate,$P164)=0,"",INDEX(CalcNormDate,$P164)))</f>
        <v/>
      </c>
      <c r="C164" s="28">
        <f>IF($P164="","",IF(INDEX(CalcTime,$P164)=0,"",INDEX(CalcTime,$P164)))</f>
        <v/>
      </c>
      <c r="D164" s="28">
        <f>IF($P164="","",IF(INDEX(EntryParty,$P164)=0,"",INDEX(EntryParty,$P164)))</f>
        <v/>
      </c>
      <c r="E164" s="28">
        <f>IF($P164="","",IF(INDEX(EntryPartyName,$P164)=0,"",INDEX(EntryPartyName,$P164)))</f>
        <v/>
      </c>
      <c r="F164" s="28">
        <f>IF($P164="","",IF(INDEX(EntryPartyType,$P164)=0,"",INDEX(EntryPartyType,$P164)))</f>
        <v/>
      </c>
      <c r="G164" s="28">
        <f>IF($P164="","",IF(INDEX(EntryTxnType,$P164)=0,"",INDEX(EntryTxnType,$P164)))</f>
        <v/>
      </c>
      <c r="H164" s="29">
        <f>IF($P164="","",IF(INDEX(EntryDep,$P164)=0,"",INDEX(EntryDep,$P164)))</f>
        <v/>
      </c>
      <c r="I164" s="29">
        <f>IF($P164="","",IF(INDEX(EntryWit,$P164)=0,"",INDEX(EntryWit,$P164)))</f>
        <v/>
      </c>
      <c r="J164" s="29">
        <f>IF($B164="","",IF($A164=1,$C$7,IF(J163="",0,J163))+IF($H164="",0,$H164)-IF($I164="",0,$I164))</f>
        <v/>
      </c>
      <c r="K164" s="29">
        <f>IF($P164="","",IF(INDEX(EntryMan,$P164)=0,"",INDEX(EntryMan,$P164)))</f>
        <v/>
      </c>
      <c r="L164" s="28">
        <f>IF($B164="","",IF($K164="","—",IF(ROUND($K164-$J164,0)=0,"√","×")))</f>
        <v/>
      </c>
      <c r="M164" s="28">
        <f>IF($B164="","",IF(COUNTIFS(EntryDates,$B164,CalcTime,$C164,CalcBank,$C$5,EntryParty,$D164,EntryDep,$H164,EntryWit,$I164)&gt;1,"تکرار",""))</f>
        <v/>
      </c>
      <c r="N164" s="28">
        <f>IF($P164="","",IF(INDEX(EntryNotes,$P164)=0,"",INDEX(EntryNotes,$P164)))</f>
        <v/>
      </c>
      <c r="O164" s="28">
        <f>IF($P164="","",IF(INDEX(EntryTxnID,$P164)=0,"",INDEX(EntryTxnID,$P164)))</f>
        <v/>
      </c>
      <c r="P164" s="28">
        <f>IFERROR(MATCH($C$5&amp;"|"&amp;RIGHT("000000"&amp;148,6),CalcRankKey,0),"")</f>
        <v/>
      </c>
    </row>
    <row r="165">
      <c r="A165" s="26">
        <f>IF($B165="","",149)</f>
        <v/>
      </c>
      <c r="B165" s="26">
        <f>IF($P165="","",IF(INDEX(CalcNormDate,$P165)=0,"",INDEX(CalcNormDate,$P165)))</f>
        <v/>
      </c>
      <c r="C165" s="26">
        <f>IF($P165="","",IF(INDEX(CalcTime,$P165)=0,"",INDEX(CalcTime,$P165)))</f>
        <v/>
      </c>
      <c r="D165" s="26">
        <f>IF($P165="","",IF(INDEX(EntryParty,$P165)=0,"",INDEX(EntryParty,$P165)))</f>
        <v/>
      </c>
      <c r="E165" s="26">
        <f>IF($P165="","",IF(INDEX(EntryPartyName,$P165)=0,"",INDEX(EntryPartyName,$P165)))</f>
        <v/>
      </c>
      <c r="F165" s="26">
        <f>IF($P165="","",IF(INDEX(EntryPartyType,$P165)=0,"",INDEX(EntryPartyType,$P165)))</f>
        <v/>
      </c>
      <c r="G165" s="26">
        <f>IF($P165="","",IF(INDEX(EntryTxnType,$P165)=0,"",INDEX(EntryTxnType,$P165)))</f>
        <v/>
      </c>
      <c r="H165" s="27">
        <f>IF($P165="","",IF(INDEX(EntryDep,$P165)=0,"",INDEX(EntryDep,$P165)))</f>
        <v/>
      </c>
      <c r="I165" s="27">
        <f>IF($P165="","",IF(INDEX(EntryWit,$P165)=0,"",INDEX(EntryWit,$P165)))</f>
        <v/>
      </c>
      <c r="J165" s="27">
        <f>IF($B165="","",IF($A165=1,$C$7,IF(J164="",0,J164))+IF($H165="",0,$H165)-IF($I165="",0,$I165))</f>
        <v/>
      </c>
      <c r="K165" s="27">
        <f>IF($P165="","",IF(INDEX(EntryMan,$P165)=0,"",INDEX(EntryMan,$P165)))</f>
        <v/>
      </c>
      <c r="L165" s="26">
        <f>IF($B165="","",IF($K165="","—",IF(ROUND($K165-$J165,0)=0,"√","×")))</f>
        <v/>
      </c>
      <c r="M165" s="26">
        <f>IF($B165="","",IF(COUNTIFS(EntryDates,$B165,CalcTime,$C165,CalcBank,$C$5,EntryParty,$D165,EntryDep,$H165,EntryWit,$I165)&gt;1,"تکرار",""))</f>
        <v/>
      </c>
      <c r="N165" s="26">
        <f>IF($P165="","",IF(INDEX(EntryNotes,$P165)=0,"",INDEX(EntryNotes,$P165)))</f>
        <v/>
      </c>
      <c r="O165" s="26">
        <f>IF($P165="","",IF(INDEX(EntryTxnID,$P165)=0,"",INDEX(EntryTxnID,$P165)))</f>
        <v/>
      </c>
      <c r="P165" s="26">
        <f>IFERROR(MATCH($C$5&amp;"|"&amp;RIGHT("000000"&amp;149,6),CalcRankKey,0),"")</f>
        <v/>
      </c>
    </row>
    <row r="166">
      <c r="A166" s="28">
        <f>IF($B166="","",150)</f>
        <v/>
      </c>
      <c r="B166" s="28">
        <f>IF($P166="","",IF(INDEX(CalcNormDate,$P166)=0,"",INDEX(CalcNormDate,$P166)))</f>
        <v/>
      </c>
      <c r="C166" s="28">
        <f>IF($P166="","",IF(INDEX(CalcTime,$P166)=0,"",INDEX(CalcTime,$P166)))</f>
        <v/>
      </c>
      <c r="D166" s="28">
        <f>IF($P166="","",IF(INDEX(EntryParty,$P166)=0,"",INDEX(EntryParty,$P166)))</f>
        <v/>
      </c>
      <c r="E166" s="28">
        <f>IF($P166="","",IF(INDEX(EntryPartyName,$P166)=0,"",INDEX(EntryPartyName,$P166)))</f>
        <v/>
      </c>
      <c r="F166" s="28">
        <f>IF($P166="","",IF(INDEX(EntryPartyType,$P166)=0,"",INDEX(EntryPartyType,$P166)))</f>
        <v/>
      </c>
      <c r="G166" s="28">
        <f>IF($P166="","",IF(INDEX(EntryTxnType,$P166)=0,"",INDEX(EntryTxnType,$P166)))</f>
        <v/>
      </c>
      <c r="H166" s="29">
        <f>IF($P166="","",IF(INDEX(EntryDep,$P166)=0,"",INDEX(EntryDep,$P166)))</f>
        <v/>
      </c>
      <c r="I166" s="29">
        <f>IF($P166="","",IF(INDEX(EntryWit,$P166)=0,"",INDEX(EntryWit,$P166)))</f>
        <v/>
      </c>
      <c r="J166" s="29">
        <f>IF($B166="","",IF($A166=1,$C$7,IF(J165="",0,J165))+IF($H166="",0,$H166)-IF($I166="",0,$I166))</f>
        <v/>
      </c>
      <c r="K166" s="29">
        <f>IF($P166="","",IF(INDEX(EntryMan,$P166)=0,"",INDEX(EntryMan,$P166)))</f>
        <v/>
      </c>
      <c r="L166" s="28">
        <f>IF($B166="","",IF($K166="","—",IF(ROUND($K166-$J166,0)=0,"√","×")))</f>
        <v/>
      </c>
      <c r="M166" s="28">
        <f>IF($B166="","",IF(COUNTIFS(EntryDates,$B166,CalcTime,$C166,CalcBank,$C$5,EntryParty,$D166,EntryDep,$H166,EntryWit,$I166)&gt;1,"تکرار",""))</f>
        <v/>
      </c>
      <c r="N166" s="28">
        <f>IF($P166="","",IF(INDEX(EntryNotes,$P166)=0,"",INDEX(EntryNotes,$P166)))</f>
        <v/>
      </c>
      <c r="O166" s="28">
        <f>IF($P166="","",IF(INDEX(EntryTxnID,$P166)=0,"",INDEX(EntryTxnID,$P166)))</f>
        <v/>
      </c>
      <c r="P166" s="28">
        <f>IFERROR(MATCH($C$5&amp;"|"&amp;RIGHT("000000"&amp;150,6),CalcRankKey,0),"")</f>
        <v/>
      </c>
    </row>
    <row r="167">
      <c r="A167" s="26">
        <f>IF($B167="","",151)</f>
        <v/>
      </c>
      <c r="B167" s="26">
        <f>IF($P167="","",IF(INDEX(CalcNormDate,$P167)=0,"",INDEX(CalcNormDate,$P167)))</f>
        <v/>
      </c>
      <c r="C167" s="26">
        <f>IF($P167="","",IF(INDEX(CalcTime,$P167)=0,"",INDEX(CalcTime,$P167)))</f>
        <v/>
      </c>
      <c r="D167" s="26">
        <f>IF($P167="","",IF(INDEX(EntryParty,$P167)=0,"",INDEX(EntryParty,$P167)))</f>
        <v/>
      </c>
      <c r="E167" s="26">
        <f>IF($P167="","",IF(INDEX(EntryPartyName,$P167)=0,"",INDEX(EntryPartyName,$P167)))</f>
        <v/>
      </c>
      <c r="F167" s="26">
        <f>IF($P167="","",IF(INDEX(EntryPartyType,$P167)=0,"",INDEX(EntryPartyType,$P167)))</f>
        <v/>
      </c>
      <c r="G167" s="26">
        <f>IF($P167="","",IF(INDEX(EntryTxnType,$P167)=0,"",INDEX(EntryTxnType,$P167)))</f>
        <v/>
      </c>
      <c r="H167" s="27">
        <f>IF($P167="","",IF(INDEX(EntryDep,$P167)=0,"",INDEX(EntryDep,$P167)))</f>
        <v/>
      </c>
      <c r="I167" s="27">
        <f>IF($P167="","",IF(INDEX(EntryWit,$P167)=0,"",INDEX(EntryWit,$P167)))</f>
        <v/>
      </c>
      <c r="J167" s="27">
        <f>IF($B167="","",IF($A167=1,$C$7,IF(J166="",0,J166))+IF($H167="",0,$H167)-IF($I167="",0,$I167))</f>
        <v/>
      </c>
      <c r="K167" s="27">
        <f>IF($P167="","",IF(INDEX(EntryMan,$P167)=0,"",INDEX(EntryMan,$P167)))</f>
        <v/>
      </c>
      <c r="L167" s="26">
        <f>IF($B167="","",IF($K167="","—",IF(ROUND($K167-$J167,0)=0,"√","×")))</f>
        <v/>
      </c>
      <c r="M167" s="26">
        <f>IF($B167="","",IF(COUNTIFS(EntryDates,$B167,CalcTime,$C167,CalcBank,$C$5,EntryParty,$D167,EntryDep,$H167,EntryWit,$I167)&gt;1,"تکرار",""))</f>
        <v/>
      </c>
      <c r="N167" s="26">
        <f>IF($P167="","",IF(INDEX(EntryNotes,$P167)=0,"",INDEX(EntryNotes,$P167)))</f>
        <v/>
      </c>
      <c r="O167" s="26">
        <f>IF($P167="","",IF(INDEX(EntryTxnID,$P167)=0,"",INDEX(EntryTxnID,$P167)))</f>
        <v/>
      </c>
      <c r="P167" s="26">
        <f>IFERROR(MATCH($C$5&amp;"|"&amp;RIGHT("000000"&amp;151,6),CalcRankKey,0),"")</f>
        <v/>
      </c>
    </row>
    <row r="168">
      <c r="A168" s="28">
        <f>IF($B168="","",152)</f>
        <v/>
      </c>
      <c r="B168" s="28">
        <f>IF($P168="","",IF(INDEX(CalcNormDate,$P168)=0,"",INDEX(CalcNormDate,$P168)))</f>
        <v/>
      </c>
      <c r="C168" s="28">
        <f>IF($P168="","",IF(INDEX(CalcTime,$P168)=0,"",INDEX(CalcTime,$P168)))</f>
        <v/>
      </c>
      <c r="D168" s="28">
        <f>IF($P168="","",IF(INDEX(EntryParty,$P168)=0,"",INDEX(EntryParty,$P168)))</f>
        <v/>
      </c>
      <c r="E168" s="28">
        <f>IF($P168="","",IF(INDEX(EntryPartyName,$P168)=0,"",INDEX(EntryPartyName,$P168)))</f>
        <v/>
      </c>
      <c r="F168" s="28">
        <f>IF($P168="","",IF(INDEX(EntryPartyType,$P168)=0,"",INDEX(EntryPartyType,$P168)))</f>
        <v/>
      </c>
      <c r="G168" s="28">
        <f>IF($P168="","",IF(INDEX(EntryTxnType,$P168)=0,"",INDEX(EntryTxnType,$P168)))</f>
        <v/>
      </c>
      <c r="H168" s="29">
        <f>IF($P168="","",IF(INDEX(EntryDep,$P168)=0,"",INDEX(EntryDep,$P168)))</f>
        <v/>
      </c>
      <c r="I168" s="29">
        <f>IF($P168="","",IF(INDEX(EntryWit,$P168)=0,"",INDEX(EntryWit,$P168)))</f>
        <v/>
      </c>
      <c r="J168" s="29">
        <f>IF($B168="","",IF($A168=1,$C$7,IF(J167="",0,J167))+IF($H168="",0,$H168)-IF($I168="",0,$I168))</f>
        <v/>
      </c>
      <c r="K168" s="29">
        <f>IF($P168="","",IF(INDEX(EntryMan,$P168)=0,"",INDEX(EntryMan,$P168)))</f>
        <v/>
      </c>
      <c r="L168" s="28">
        <f>IF($B168="","",IF($K168="","—",IF(ROUND($K168-$J168,0)=0,"√","×")))</f>
        <v/>
      </c>
      <c r="M168" s="28">
        <f>IF($B168="","",IF(COUNTIFS(EntryDates,$B168,CalcTime,$C168,CalcBank,$C$5,EntryParty,$D168,EntryDep,$H168,EntryWit,$I168)&gt;1,"تکرار",""))</f>
        <v/>
      </c>
      <c r="N168" s="28">
        <f>IF($P168="","",IF(INDEX(EntryNotes,$P168)=0,"",INDEX(EntryNotes,$P168)))</f>
        <v/>
      </c>
      <c r="O168" s="28">
        <f>IF($P168="","",IF(INDEX(EntryTxnID,$P168)=0,"",INDEX(EntryTxnID,$P168)))</f>
        <v/>
      </c>
      <c r="P168" s="28">
        <f>IFERROR(MATCH($C$5&amp;"|"&amp;RIGHT("000000"&amp;152,6),CalcRankKey,0),"")</f>
        <v/>
      </c>
    </row>
    <row r="169">
      <c r="A169" s="26">
        <f>IF($B169="","",153)</f>
        <v/>
      </c>
      <c r="B169" s="26">
        <f>IF($P169="","",IF(INDEX(CalcNormDate,$P169)=0,"",INDEX(CalcNormDate,$P169)))</f>
        <v/>
      </c>
      <c r="C169" s="26">
        <f>IF($P169="","",IF(INDEX(CalcTime,$P169)=0,"",INDEX(CalcTime,$P169)))</f>
        <v/>
      </c>
      <c r="D169" s="26">
        <f>IF($P169="","",IF(INDEX(EntryParty,$P169)=0,"",INDEX(EntryParty,$P169)))</f>
        <v/>
      </c>
      <c r="E169" s="26">
        <f>IF($P169="","",IF(INDEX(EntryPartyName,$P169)=0,"",INDEX(EntryPartyName,$P169)))</f>
        <v/>
      </c>
      <c r="F169" s="26">
        <f>IF($P169="","",IF(INDEX(EntryPartyType,$P169)=0,"",INDEX(EntryPartyType,$P169)))</f>
        <v/>
      </c>
      <c r="G169" s="26">
        <f>IF($P169="","",IF(INDEX(EntryTxnType,$P169)=0,"",INDEX(EntryTxnType,$P169)))</f>
        <v/>
      </c>
      <c r="H169" s="27">
        <f>IF($P169="","",IF(INDEX(EntryDep,$P169)=0,"",INDEX(EntryDep,$P169)))</f>
        <v/>
      </c>
      <c r="I169" s="27">
        <f>IF($P169="","",IF(INDEX(EntryWit,$P169)=0,"",INDEX(EntryWit,$P169)))</f>
        <v/>
      </c>
      <c r="J169" s="27">
        <f>IF($B169="","",IF($A169=1,$C$7,IF(J168="",0,J168))+IF($H169="",0,$H169)-IF($I169="",0,$I169))</f>
        <v/>
      </c>
      <c r="K169" s="27">
        <f>IF($P169="","",IF(INDEX(EntryMan,$P169)=0,"",INDEX(EntryMan,$P169)))</f>
        <v/>
      </c>
      <c r="L169" s="26">
        <f>IF($B169="","",IF($K169="","—",IF(ROUND($K169-$J169,0)=0,"√","×")))</f>
        <v/>
      </c>
      <c r="M169" s="26">
        <f>IF($B169="","",IF(COUNTIFS(EntryDates,$B169,CalcTime,$C169,CalcBank,$C$5,EntryParty,$D169,EntryDep,$H169,EntryWit,$I169)&gt;1,"تکرار",""))</f>
        <v/>
      </c>
      <c r="N169" s="26">
        <f>IF($P169="","",IF(INDEX(EntryNotes,$P169)=0,"",INDEX(EntryNotes,$P169)))</f>
        <v/>
      </c>
      <c r="O169" s="26">
        <f>IF($P169="","",IF(INDEX(EntryTxnID,$P169)=0,"",INDEX(EntryTxnID,$P169)))</f>
        <v/>
      </c>
      <c r="P169" s="26">
        <f>IFERROR(MATCH($C$5&amp;"|"&amp;RIGHT("000000"&amp;153,6),CalcRankKey,0),"")</f>
        <v/>
      </c>
    </row>
    <row r="170">
      <c r="A170" s="28">
        <f>IF($B170="","",154)</f>
        <v/>
      </c>
      <c r="B170" s="28">
        <f>IF($P170="","",IF(INDEX(CalcNormDate,$P170)=0,"",INDEX(CalcNormDate,$P170)))</f>
        <v/>
      </c>
      <c r="C170" s="28">
        <f>IF($P170="","",IF(INDEX(CalcTime,$P170)=0,"",INDEX(CalcTime,$P170)))</f>
        <v/>
      </c>
      <c r="D170" s="28">
        <f>IF($P170="","",IF(INDEX(EntryParty,$P170)=0,"",INDEX(EntryParty,$P170)))</f>
        <v/>
      </c>
      <c r="E170" s="28">
        <f>IF($P170="","",IF(INDEX(EntryPartyName,$P170)=0,"",INDEX(EntryPartyName,$P170)))</f>
        <v/>
      </c>
      <c r="F170" s="28">
        <f>IF($P170="","",IF(INDEX(EntryPartyType,$P170)=0,"",INDEX(EntryPartyType,$P170)))</f>
        <v/>
      </c>
      <c r="G170" s="28">
        <f>IF($P170="","",IF(INDEX(EntryTxnType,$P170)=0,"",INDEX(EntryTxnType,$P170)))</f>
        <v/>
      </c>
      <c r="H170" s="29">
        <f>IF($P170="","",IF(INDEX(EntryDep,$P170)=0,"",INDEX(EntryDep,$P170)))</f>
        <v/>
      </c>
      <c r="I170" s="29">
        <f>IF($P170="","",IF(INDEX(EntryWit,$P170)=0,"",INDEX(EntryWit,$P170)))</f>
        <v/>
      </c>
      <c r="J170" s="29">
        <f>IF($B170="","",IF($A170=1,$C$7,IF(J169="",0,J169))+IF($H170="",0,$H170)-IF($I170="",0,$I170))</f>
        <v/>
      </c>
      <c r="K170" s="29">
        <f>IF($P170="","",IF(INDEX(EntryMan,$P170)=0,"",INDEX(EntryMan,$P170)))</f>
        <v/>
      </c>
      <c r="L170" s="28">
        <f>IF($B170="","",IF($K170="","—",IF(ROUND($K170-$J170,0)=0,"√","×")))</f>
        <v/>
      </c>
      <c r="M170" s="28">
        <f>IF($B170="","",IF(COUNTIFS(EntryDates,$B170,CalcTime,$C170,CalcBank,$C$5,EntryParty,$D170,EntryDep,$H170,EntryWit,$I170)&gt;1,"تکرار",""))</f>
        <v/>
      </c>
      <c r="N170" s="28">
        <f>IF($P170="","",IF(INDEX(EntryNotes,$P170)=0,"",INDEX(EntryNotes,$P170)))</f>
        <v/>
      </c>
      <c r="O170" s="28">
        <f>IF($P170="","",IF(INDEX(EntryTxnID,$P170)=0,"",INDEX(EntryTxnID,$P170)))</f>
        <v/>
      </c>
      <c r="P170" s="28">
        <f>IFERROR(MATCH($C$5&amp;"|"&amp;RIGHT("000000"&amp;154,6),CalcRankKey,0),"")</f>
        <v/>
      </c>
    </row>
    <row r="171">
      <c r="A171" s="26">
        <f>IF($B171="","",155)</f>
        <v/>
      </c>
      <c r="B171" s="26">
        <f>IF($P171="","",IF(INDEX(CalcNormDate,$P171)=0,"",INDEX(CalcNormDate,$P171)))</f>
        <v/>
      </c>
      <c r="C171" s="26">
        <f>IF($P171="","",IF(INDEX(CalcTime,$P171)=0,"",INDEX(CalcTime,$P171)))</f>
        <v/>
      </c>
      <c r="D171" s="26">
        <f>IF($P171="","",IF(INDEX(EntryParty,$P171)=0,"",INDEX(EntryParty,$P171)))</f>
        <v/>
      </c>
      <c r="E171" s="26">
        <f>IF($P171="","",IF(INDEX(EntryPartyName,$P171)=0,"",INDEX(EntryPartyName,$P171)))</f>
        <v/>
      </c>
      <c r="F171" s="26">
        <f>IF($P171="","",IF(INDEX(EntryPartyType,$P171)=0,"",INDEX(EntryPartyType,$P171)))</f>
        <v/>
      </c>
      <c r="G171" s="26">
        <f>IF($P171="","",IF(INDEX(EntryTxnType,$P171)=0,"",INDEX(EntryTxnType,$P171)))</f>
        <v/>
      </c>
      <c r="H171" s="27">
        <f>IF($P171="","",IF(INDEX(EntryDep,$P171)=0,"",INDEX(EntryDep,$P171)))</f>
        <v/>
      </c>
      <c r="I171" s="27">
        <f>IF($P171="","",IF(INDEX(EntryWit,$P171)=0,"",INDEX(EntryWit,$P171)))</f>
        <v/>
      </c>
      <c r="J171" s="27">
        <f>IF($B171="","",IF($A171=1,$C$7,IF(J170="",0,J170))+IF($H171="",0,$H171)-IF($I171="",0,$I171))</f>
        <v/>
      </c>
      <c r="K171" s="27">
        <f>IF($P171="","",IF(INDEX(EntryMan,$P171)=0,"",INDEX(EntryMan,$P171)))</f>
        <v/>
      </c>
      <c r="L171" s="26">
        <f>IF($B171="","",IF($K171="","—",IF(ROUND($K171-$J171,0)=0,"√","×")))</f>
        <v/>
      </c>
      <c r="M171" s="26">
        <f>IF($B171="","",IF(COUNTIFS(EntryDates,$B171,CalcTime,$C171,CalcBank,$C$5,EntryParty,$D171,EntryDep,$H171,EntryWit,$I171)&gt;1,"تکرار",""))</f>
        <v/>
      </c>
      <c r="N171" s="26">
        <f>IF($P171="","",IF(INDEX(EntryNotes,$P171)=0,"",INDEX(EntryNotes,$P171)))</f>
        <v/>
      </c>
      <c r="O171" s="26">
        <f>IF($P171="","",IF(INDEX(EntryTxnID,$P171)=0,"",INDEX(EntryTxnID,$P171)))</f>
        <v/>
      </c>
      <c r="P171" s="26">
        <f>IFERROR(MATCH($C$5&amp;"|"&amp;RIGHT("000000"&amp;155,6),CalcRankKey,0),"")</f>
        <v/>
      </c>
    </row>
    <row r="172">
      <c r="A172" s="28">
        <f>IF($B172="","",156)</f>
        <v/>
      </c>
      <c r="B172" s="28">
        <f>IF($P172="","",IF(INDEX(CalcNormDate,$P172)=0,"",INDEX(CalcNormDate,$P172)))</f>
        <v/>
      </c>
      <c r="C172" s="28">
        <f>IF($P172="","",IF(INDEX(CalcTime,$P172)=0,"",INDEX(CalcTime,$P172)))</f>
        <v/>
      </c>
      <c r="D172" s="28">
        <f>IF($P172="","",IF(INDEX(EntryParty,$P172)=0,"",INDEX(EntryParty,$P172)))</f>
        <v/>
      </c>
      <c r="E172" s="28">
        <f>IF($P172="","",IF(INDEX(EntryPartyName,$P172)=0,"",INDEX(EntryPartyName,$P172)))</f>
        <v/>
      </c>
      <c r="F172" s="28">
        <f>IF($P172="","",IF(INDEX(EntryPartyType,$P172)=0,"",INDEX(EntryPartyType,$P172)))</f>
        <v/>
      </c>
      <c r="G172" s="28">
        <f>IF($P172="","",IF(INDEX(EntryTxnType,$P172)=0,"",INDEX(EntryTxnType,$P172)))</f>
        <v/>
      </c>
      <c r="H172" s="29">
        <f>IF($P172="","",IF(INDEX(EntryDep,$P172)=0,"",INDEX(EntryDep,$P172)))</f>
        <v/>
      </c>
      <c r="I172" s="29">
        <f>IF($P172="","",IF(INDEX(EntryWit,$P172)=0,"",INDEX(EntryWit,$P172)))</f>
        <v/>
      </c>
      <c r="J172" s="29">
        <f>IF($B172="","",IF($A172=1,$C$7,IF(J171="",0,J171))+IF($H172="",0,$H172)-IF($I172="",0,$I172))</f>
        <v/>
      </c>
      <c r="K172" s="29">
        <f>IF($P172="","",IF(INDEX(EntryMan,$P172)=0,"",INDEX(EntryMan,$P172)))</f>
        <v/>
      </c>
      <c r="L172" s="28">
        <f>IF($B172="","",IF($K172="","—",IF(ROUND($K172-$J172,0)=0,"√","×")))</f>
        <v/>
      </c>
      <c r="M172" s="28">
        <f>IF($B172="","",IF(COUNTIFS(EntryDates,$B172,CalcTime,$C172,CalcBank,$C$5,EntryParty,$D172,EntryDep,$H172,EntryWit,$I172)&gt;1,"تکرار",""))</f>
        <v/>
      </c>
      <c r="N172" s="28">
        <f>IF($P172="","",IF(INDEX(EntryNotes,$P172)=0,"",INDEX(EntryNotes,$P172)))</f>
        <v/>
      </c>
      <c r="O172" s="28">
        <f>IF($P172="","",IF(INDEX(EntryTxnID,$P172)=0,"",INDEX(EntryTxnID,$P172)))</f>
        <v/>
      </c>
      <c r="P172" s="28">
        <f>IFERROR(MATCH($C$5&amp;"|"&amp;RIGHT("000000"&amp;156,6),CalcRankKey,0),"")</f>
        <v/>
      </c>
    </row>
    <row r="173">
      <c r="A173" s="26">
        <f>IF($B173="","",157)</f>
        <v/>
      </c>
      <c r="B173" s="26">
        <f>IF($P173="","",IF(INDEX(CalcNormDate,$P173)=0,"",INDEX(CalcNormDate,$P173)))</f>
        <v/>
      </c>
      <c r="C173" s="26">
        <f>IF($P173="","",IF(INDEX(CalcTime,$P173)=0,"",INDEX(CalcTime,$P173)))</f>
        <v/>
      </c>
      <c r="D173" s="26">
        <f>IF($P173="","",IF(INDEX(EntryParty,$P173)=0,"",INDEX(EntryParty,$P173)))</f>
        <v/>
      </c>
      <c r="E173" s="26">
        <f>IF($P173="","",IF(INDEX(EntryPartyName,$P173)=0,"",INDEX(EntryPartyName,$P173)))</f>
        <v/>
      </c>
      <c r="F173" s="26">
        <f>IF($P173="","",IF(INDEX(EntryPartyType,$P173)=0,"",INDEX(EntryPartyType,$P173)))</f>
        <v/>
      </c>
      <c r="G173" s="26">
        <f>IF($P173="","",IF(INDEX(EntryTxnType,$P173)=0,"",INDEX(EntryTxnType,$P173)))</f>
        <v/>
      </c>
      <c r="H173" s="27">
        <f>IF($P173="","",IF(INDEX(EntryDep,$P173)=0,"",INDEX(EntryDep,$P173)))</f>
        <v/>
      </c>
      <c r="I173" s="27">
        <f>IF($P173="","",IF(INDEX(EntryWit,$P173)=0,"",INDEX(EntryWit,$P173)))</f>
        <v/>
      </c>
      <c r="J173" s="27">
        <f>IF($B173="","",IF($A173=1,$C$7,IF(J172="",0,J172))+IF($H173="",0,$H173)-IF($I173="",0,$I173))</f>
        <v/>
      </c>
      <c r="K173" s="27">
        <f>IF($P173="","",IF(INDEX(EntryMan,$P173)=0,"",INDEX(EntryMan,$P173)))</f>
        <v/>
      </c>
      <c r="L173" s="26">
        <f>IF($B173="","",IF($K173="","—",IF(ROUND($K173-$J173,0)=0,"√","×")))</f>
        <v/>
      </c>
      <c r="M173" s="26">
        <f>IF($B173="","",IF(COUNTIFS(EntryDates,$B173,CalcTime,$C173,CalcBank,$C$5,EntryParty,$D173,EntryDep,$H173,EntryWit,$I173)&gt;1,"تکرار",""))</f>
        <v/>
      </c>
      <c r="N173" s="26">
        <f>IF($P173="","",IF(INDEX(EntryNotes,$P173)=0,"",INDEX(EntryNotes,$P173)))</f>
        <v/>
      </c>
      <c r="O173" s="26">
        <f>IF($P173="","",IF(INDEX(EntryTxnID,$P173)=0,"",INDEX(EntryTxnID,$P173)))</f>
        <v/>
      </c>
      <c r="P173" s="26">
        <f>IFERROR(MATCH($C$5&amp;"|"&amp;RIGHT("000000"&amp;157,6),CalcRankKey,0),"")</f>
        <v/>
      </c>
    </row>
    <row r="174">
      <c r="A174" s="28">
        <f>IF($B174="","",158)</f>
        <v/>
      </c>
      <c r="B174" s="28">
        <f>IF($P174="","",IF(INDEX(CalcNormDate,$P174)=0,"",INDEX(CalcNormDate,$P174)))</f>
        <v/>
      </c>
      <c r="C174" s="28">
        <f>IF($P174="","",IF(INDEX(CalcTime,$P174)=0,"",INDEX(CalcTime,$P174)))</f>
        <v/>
      </c>
      <c r="D174" s="28">
        <f>IF($P174="","",IF(INDEX(EntryParty,$P174)=0,"",INDEX(EntryParty,$P174)))</f>
        <v/>
      </c>
      <c r="E174" s="28">
        <f>IF($P174="","",IF(INDEX(EntryPartyName,$P174)=0,"",INDEX(EntryPartyName,$P174)))</f>
        <v/>
      </c>
      <c r="F174" s="28">
        <f>IF($P174="","",IF(INDEX(EntryPartyType,$P174)=0,"",INDEX(EntryPartyType,$P174)))</f>
        <v/>
      </c>
      <c r="G174" s="28">
        <f>IF($P174="","",IF(INDEX(EntryTxnType,$P174)=0,"",INDEX(EntryTxnType,$P174)))</f>
        <v/>
      </c>
      <c r="H174" s="29">
        <f>IF($P174="","",IF(INDEX(EntryDep,$P174)=0,"",INDEX(EntryDep,$P174)))</f>
        <v/>
      </c>
      <c r="I174" s="29">
        <f>IF($P174="","",IF(INDEX(EntryWit,$P174)=0,"",INDEX(EntryWit,$P174)))</f>
        <v/>
      </c>
      <c r="J174" s="29">
        <f>IF($B174="","",IF($A174=1,$C$7,IF(J173="",0,J173))+IF($H174="",0,$H174)-IF($I174="",0,$I174))</f>
        <v/>
      </c>
      <c r="K174" s="29">
        <f>IF($P174="","",IF(INDEX(EntryMan,$P174)=0,"",INDEX(EntryMan,$P174)))</f>
        <v/>
      </c>
      <c r="L174" s="28">
        <f>IF($B174="","",IF($K174="","—",IF(ROUND($K174-$J174,0)=0,"√","×")))</f>
        <v/>
      </c>
      <c r="M174" s="28">
        <f>IF($B174="","",IF(COUNTIFS(EntryDates,$B174,CalcTime,$C174,CalcBank,$C$5,EntryParty,$D174,EntryDep,$H174,EntryWit,$I174)&gt;1,"تکرار",""))</f>
        <v/>
      </c>
      <c r="N174" s="28">
        <f>IF($P174="","",IF(INDEX(EntryNotes,$P174)=0,"",INDEX(EntryNotes,$P174)))</f>
        <v/>
      </c>
      <c r="O174" s="28">
        <f>IF($P174="","",IF(INDEX(EntryTxnID,$P174)=0,"",INDEX(EntryTxnID,$P174)))</f>
        <v/>
      </c>
      <c r="P174" s="28">
        <f>IFERROR(MATCH($C$5&amp;"|"&amp;RIGHT("000000"&amp;158,6),CalcRankKey,0),"")</f>
        <v/>
      </c>
    </row>
    <row r="175">
      <c r="A175" s="26">
        <f>IF($B175="","",159)</f>
        <v/>
      </c>
      <c r="B175" s="26">
        <f>IF($P175="","",IF(INDEX(CalcNormDate,$P175)=0,"",INDEX(CalcNormDate,$P175)))</f>
        <v/>
      </c>
      <c r="C175" s="26">
        <f>IF($P175="","",IF(INDEX(CalcTime,$P175)=0,"",INDEX(CalcTime,$P175)))</f>
        <v/>
      </c>
      <c r="D175" s="26">
        <f>IF($P175="","",IF(INDEX(EntryParty,$P175)=0,"",INDEX(EntryParty,$P175)))</f>
        <v/>
      </c>
      <c r="E175" s="26">
        <f>IF($P175="","",IF(INDEX(EntryPartyName,$P175)=0,"",INDEX(EntryPartyName,$P175)))</f>
        <v/>
      </c>
      <c r="F175" s="26">
        <f>IF($P175="","",IF(INDEX(EntryPartyType,$P175)=0,"",INDEX(EntryPartyType,$P175)))</f>
        <v/>
      </c>
      <c r="G175" s="26">
        <f>IF($P175="","",IF(INDEX(EntryTxnType,$P175)=0,"",INDEX(EntryTxnType,$P175)))</f>
        <v/>
      </c>
      <c r="H175" s="27">
        <f>IF($P175="","",IF(INDEX(EntryDep,$P175)=0,"",INDEX(EntryDep,$P175)))</f>
        <v/>
      </c>
      <c r="I175" s="27">
        <f>IF($P175="","",IF(INDEX(EntryWit,$P175)=0,"",INDEX(EntryWit,$P175)))</f>
        <v/>
      </c>
      <c r="J175" s="27">
        <f>IF($B175="","",IF($A175=1,$C$7,IF(J174="",0,J174))+IF($H175="",0,$H175)-IF($I175="",0,$I175))</f>
        <v/>
      </c>
      <c r="K175" s="27">
        <f>IF($P175="","",IF(INDEX(EntryMan,$P175)=0,"",INDEX(EntryMan,$P175)))</f>
        <v/>
      </c>
      <c r="L175" s="26">
        <f>IF($B175="","",IF($K175="","—",IF(ROUND($K175-$J175,0)=0,"√","×")))</f>
        <v/>
      </c>
      <c r="M175" s="26">
        <f>IF($B175="","",IF(COUNTIFS(EntryDates,$B175,CalcTime,$C175,CalcBank,$C$5,EntryParty,$D175,EntryDep,$H175,EntryWit,$I175)&gt;1,"تکرار",""))</f>
        <v/>
      </c>
      <c r="N175" s="26">
        <f>IF($P175="","",IF(INDEX(EntryNotes,$P175)=0,"",INDEX(EntryNotes,$P175)))</f>
        <v/>
      </c>
      <c r="O175" s="26">
        <f>IF($P175="","",IF(INDEX(EntryTxnID,$P175)=0,"",INDEX(EntryTxnID,$P175)))</f>
        <v/>
      </c>
      <c r="P175" s="26">
        <f>IFERROR(MATCH($C$5&amp;"|"&amp;RIGHT("000000"&amp;159,6),CalcRankKey,0),"")</f>
        <v/>
      </c>
    </row>
    <row r="176">
      <c r="A176" s="28">
        <f>IF($B176="","",160)</f>
        <v/>
      </c>
      <c r="B176" s="28">
        <f>IF($P176="","",IF(INDEX(CalcNormDate,$P176)=0,"",INDEX(CalcNormDate,$P176)))</f>
        <v/>
      </c>
      <c r="C176" s="28">
        <f>IF($P176="","",IF(INDEX(CalcTime,$P176)=0,"",INDEX(CalcTime,$P176)))</f>
        <v/>
      </c>
      <c r="D176" s="28">
        <f>IF($P176="","",IF(INDEX(EntryParty,$P176)=0,"",INDEX(EntryParty,$P176)))</f>
        <v/>
      </c>
      <c r="E176" s="28">
        <f>IF($P176="","",IF(INDEX(EntryPartyName,$P176)=0,"",INDEX(EntryPartyName,$P176)))</f>
        <v/>
      </c>
      <c r="F176" s="28">
        <f>IF($P176="","",IF(INDEX(EntryPartyType,$P176)=0,"",INDEX(EntryPartyType,$P176)))</f>
        <v/>
      </c>
      <c r="G176" s="28">
        <f>IF($P176="","",IF(INDEX(EntryTxnType,$P176)=0,"",INDEX(EntryTxnType,$P176)))</f>
        <v/>
      </c>
      <c r="H176" s="29">
        <f>IF($P176="","",IF(INDEX(EntryDep,$P176)=0,"",INDEX(EntryDep,$P176)))</f>
        <v/>
      </c>
      <c r="I176" s="29">
        <f>IF($P176="","",IF(INDEX(EntryWit,$P176)=0,"",INDEX(EntryWit,$P176)))</f>
        <v/>
      </c>
      <c r="J176" s="29">
        <f>IF($B176="","",IF($A176=1,$C$7,IF(J175="",0,J175))+IF($H176="",0,$H176)-IF($I176="",0,$I176))</f>
        <v/>
      </c>
      <c r="K176" s="29">
        <f>IF($P176="","",IF(INDEX(EntryMan,$P176)=0,"",INDEX(EntryMan,$P176)))</f>
        <v/>
      </c>
      <c r="L176" s="28">
        <f>IF($B176="","",IF($K176="","—",IF(ROUND($K176-$J176,0)=0,"√","×")))</f>
        <v/>
      </c>
      <c r="M176" s="28">
        <f>IF($B176="","",IF(COUNTIFS(EntryDates,$B176,CalcTime,$C176,CalcBank,$C$5,EntryParty,$D176,EntryDep,$H176,EntryWit,$I176)&gt;1,"تکرار",""))</f>
        <v/>
      </c>
      <c r="N176" s="28">
        <f>IF($P176="","",IF(INDEX(EntryNotes,$P176)=0,"",INDEX(EntryNotes,$P176)))</f>
        <v/>
      </c>
      <c r="O176" s="28">
        <f>IF($P176="","",IF(INDEX(EntryTxnID,$P176)=0,"",INDEX(EntryTxnID,$P176)))</f>
        <v/>
      </c>
      <c r="P176" s="28">
        <f>IFERROR(MATCH($C$5&amp;"|"&amp;RIGHT("000000"&amp;160,6),CalcRankKey,0),"")</f>
        <v/>
      </c>
    </row>
    <row r="177">
      <c r="A177" s="26">
        <f>IF($B177="","",161)</f>
        <v/>
      </c>
      <c r="B177" s="26">
        <f>IF($P177="","",IF(INDEX(CalcNormDate,$P177)=0,"",INDEX(CalcNormDate,$P177)))</f>
        <v/>
      </c>
      <c r="C177" s="26">
        <f>IF($P177="","",IF(INDEX(CalcTime,$P177)=0,"",INDEX(CalcTime,$P177)))</f>
        <v/>
      </c>
      <c r="D177" s="26">
        <f>IF($P177="","",IF(INDEX(EntryParty,$P177)=0,"",INDEX(EntryParty,$P177)))</f>
        <v/>
      </c>
      <c r="E177" s="26">
        <f>IF($P177="","",IF(INDEX(EntryPartyName,$P177)=0,"",INDEX(EntryPartyName,$P177)))</f>
        <v/>
      </c>
      <c r="F177" s="26">
        <f>IF($P177="","",IF(INDEX(EntryPartyType,$P177)=0,"",INDEX(EntryPartyType,$P177)))</f>
        <v/>
      </c>
      <c r="G177" s="26">
        <f>IF($P177="","",IF(INDEX(EntryTxnType,$P177)=0,"",INDEX(EntryTxnType,$P177)))</f>
        <v/>
      </c>
      <c r="H177" s="27">
        <f>IF($P177="","",IF(INDEX(EntryDep,$P177)=0,"",INDEX(EntryDep,$P177)))</f>
        <v/>
      </c>
      <c r="I177" s="27">
        <f>IF($P177="","",IF(INDEX(EntryWit,$P177)=0,"",INDEX(EntryWit,$P177)))</f>
        <v/>
      </c>
      <c r="J177" s="27">
        <f>IF($B177="","",IF($A177=1,$C$7,IF(J176="",0,J176))+IF($H177="",0,$H177)-IF($I177="",0,$I177))</f>
        <v/>
      </c>
      <c r="K177" s="27">
        <f>IF($P177="","",IF(INDEX(EntryMan,$P177)=0,"",INDEX(EntryMan,$P177)))</f>
        <v/>
      </c>
      <c r="L177" s="26">
        <f>IF($B177="","",IF($K177="","—",IF(ROUND($K177-$J177,0)=0,"√","×")))</f>
        <v/>
      </c>
      <c r="M177" s="26">
        <f>IF($B177="","",IF(COUNTIFS(EntryDates,$B177,CalcTime,$C177,CalcBank,$C$5,EntryParty,$D177,EntryDep,$H177,EntryWit,$I177)&gt;1,"تکرار",""))</f>
        <v/>
      </c>
      <c r="N177" s="26">
        <f>IF($P177="","",IF(INDEX(EntryNotes,$P177)=0,"",INDEX(EntryNotes,$P177)))</f>
        <v/>
      </c>
      <c r="O177" s="26">
        <f>IF($P177="","",IF(INDEX(EntryTxnID,$P177)=0,"",INDEX(EntryTxnID,$P177)))</f>
        <v/>
      </c>
      <c r="P177" s="26">
        <f>IFERROR(MATCH($C$5&amp;"|"&amp;RIGHT("000000"&amp;161,6),CalcRankKey,0),"")</f>
        <v/>
      </c>
    </row>
    <row r="178">
      <c r="A178" s="28">
        <f>IF($B178="","",162)</f>
        <v/>
      </c>
      <c r="B178" s="28">
        <f>IF($P178="","",IF(INDEX(CalcNormDate,$P178)=0,"",INDEX(CalcNormDate,$P178)))</f>
        <v/>
      </c>
      <c r="C178" s="28">
        <f>IF($P178="","",IF(INDEX(CalcTime,$P178)=0,"",INDEX(CalcTime,$P178)))</f>
        <v/>
      </c>
      <c r="D178" s="28">
        <f>IF($P178="","",IF(INDEX(EntryParty,$P178)=0,"",INDEX(EntryParty,$P178)))</f>
        <v/>
      </c>
      <c r="E178" s="28">
        <f>IF($P178="","",IF(INDEX(EntryPartyName,$P178)=0,"",INDEX(EntryPartyName,$P178)))</f>
        <v/>
      </c>
      <c r="F178" s="28">
        <f>IF($P178="","",IF(INDEX(EntryPartyType,$P178)=0,"",INDEX(EntryPartyType,$P178)))</f>
        <v/>
      </c>
      <c r="G178" s="28">
        <f>IF($P178="","",IF(INDEX(EntryTxnType,$P178)=0,"",INDEX(EntryTxnType,$P178)))</f>
        <v/>
      </c>
      <c r="H178" s="29">
        <f>IF($P178="","",IF(INDEX(EntryDep,$P178)=0,"",INDEX(EntryDep,$P178)))</f>
        <v/>
      </c>
      <c r="I178" s="29">
        <f>IF($P178="","",IF(INDEX(EntryWit,$P178)=0,"",INDEX(EntryWit,$P178)))</f>
        <v/>
      </c>
      <c r="J178" s="29">
        <f>IF($B178="","",IF($A178=1,$C$7,IF(J177="",0,J177))+IF($H178="",0,$H178)-IF($I178="",0,$I178))</f>
        <v/>
      </c>
      <c r="K178" s="29">
        <f>IF($P178="","",IF(INDEX(EntryMan,$P178)=0,"",INDEX(EntryMan,$P178)))</f>
        <v/>
      </c>
      <c r="L178" s="28">
        <f>IF($B178="","",IF($K178="","—",IF(ROUND($K178-$J178,0)=0,"√","×")))</f>
        <v/>
      </c>
      <c r="M178" s="28">
        <f>IF($B178="","",IF(COUNTIFS(EntryDates,$B178,CalcTime,$C178,CalcBank,$C$5,EntryParty,$D178,EntryDep,$H178,EntryWit,$I178)&gt;1,"تکرار",""))</f>
        <v/>
      </c>
      <c r="N178" s="28">
        <f>IF($P178="","",IF(INDEX(EntryNotes,$P178)=0,"",INDEX(EntryNotes,$P178)))</f>
        <v/>
      </c>
      <c r="O178" s="28">
        <f>IF($P178="","",IF(INDEX(EntryTxnID,$P178)=0,"",INDEX(EntryTxnID,$P178)))</f>
        <v/>
      </c>
      <c r="P178" s="28">
        <f>IFERROR(MATCH($C$5&amp;"|"&amp;RIGHT("000000"&amp;162,6),CalcRankKey,0),"")</f>
        <v/>
      </c>
    </row>
    <row r="179">
      <c r="A179" s="26">
        <f>IF($B179="","",163)</f>
        <v/>
      </c>
      <c r="B179" s="26">
        <f>IF($P179="","",IF(INDEX(CalcNormDate,$P179)=0,"",INDEX(CalcNormDate,$P179)))</f>
        <v/>
      </c>
      <c r="C179" s="26">
        <f>IF($P179="","",IF(INDEX(CalcTime,$P179)=0,"",INDEX(CalcTime,$P179)))</f>
        <v/>
      </c>
      <c r="D179" s="26">
        <f>IF($P179="","",IF(INDEX(EntryParty,$P179)=0,"",INDEX(EntryParty,$P179)))</f>
        <v/>
      </c>
      <c r="E179" s="26">
        <f>IF($P179="","",IF(INDEX(EntryPartyName,$P179)=0,"",INDEX(EntryPartyName,$P179)))</f>
        <v/>
      </c>
      <c r="F179" s="26">
        <f>IF($P179="","",IF(INDEX(EntryPartyType,$P179)=0,"",INDEX(EntryPartyType,$P179)))</f>
        <v/>
      </c>
      <c r="G179" s="26">
        <f>IF($P179="","",IF(INDEX(EntryTxnType,$P179)=0,"",INDEX(EntryTxnType,$P179)))</f>
        <v/>
      </c>
      <c r="H179" s="27">
        <f>IF($P179="","",IF(INDEX(EntryDep,$P179)=0,"",INDEX(EntryDep,$P179)))</f>
        <v/>
      </c>
      <c r="I179" s="27">
        <f>IF($P179="","",IF(INDEX(EntryWit,$P179)=0,"",INDEX(EntryWit,$P179)))</f>
        <v/>
      </c>
      <c r="J179" s="27">
        <f>IF($B179="","",IF($A179=1,$C$7,IF(J178="",0,J178))+IF($H179="",0,$H179)-IF($I179="",0,$I179))</f>
        <v/>
      </c>
      <c r="K179" s="27">
        <f>IF($P179="","",IF(INDEX(EntryMan,$P179)=0,"",INDEX(EntryMan,$P179)))</f>
        <v/>
      </c>
      <c r="L179" s="26">
        <f>IF($B179="","",IF($K179="","—",IF(ROUND($K179-$J179,0)=0,"√","×")))</f>
        <v/>
      </c>
      <c r="M179" s="26">
        <f>IF($B179="","",IF(COUNTIFS(EntryDates,$B179,CalcTime,$C179,CalcBank,$C$5,EntryParty,$D179,EntryDep,$H179,EntryWit,$I179)&gt;1,"تکرار",""))</f>
        <v/>
      </c>
      <c r="N179" s="26">
        <f>IF($P179="","",IF(INDEX(EntryNotes,$P179)=0,"",INDEX(EntryNotes,$P179)))</f>
        <v/>
      </c>
      <c r="O179" s="26">
        <f>IF($P179="","",IF(INDEX(EntryTxnID,$P179)=0,"",INDEX(EntryTxnID,$P179)))</f>
        <v/>
      </c>
      <c r="P179" s="26">
        <f>IFERROR(MATCH($C$5&amp;"|"&amp;RIGHT("000000"&amp;163,6),CalcRankKey,0),"")</f>
        <v/>
      </c>
    </row>
    <row r="180">
      <c r="A180" s="28">
        <f>IF($B180="","",164)</f>
        <v/>
      </c>
      <c r="B180" s="28">
        <f>IF($P180="","",IF(INDEX(CalcNormDate,$P180)=0,"",INDEX(CalcNormDate,$P180)))</f>
        <v/>
      </c>
      <c r="C180" s="28">
        <f>IF($P180="","",IF(INDEX(CalcTime,$P180)=0,"",INDEX(CalcTime,$P180)))</f>
        <v/>
      </c>
      <c r="D180" s="28">
        <f>IF($P180="","",IF(INDEX(EntryParty,$P180)=0,"",INDEX(EntryParty,$P180)))</f>
        <v/>
      </c>
      <c r="E180" s="28">
        <f>IF($P180="","",IF(INDEX(EntryPartyName,$P180)=0,"",INDEX(EntryPartyName,$P180)))</f>
        <v/>
      </c>
      <c r="F180" s="28">
        <f>IF($P180="","",IF(INDEX(EntryPartyType,$P180)=0,"",INDEX(EntryPartyType,$P180)))</f>
        <v/>
      </c>
      <c r="G180" s="28">
        <f>IF($P180="","",IF(INDEX(EntryTxnType,$P180)=0,"",INDEX(EntryTxnType,$P180)))</f>
        <v/>
      </c>
      <c r="H180" s="29">
        <f>IF($P180="","",IF(INDEX(EntryDep,$P180)=0,"",INDEX(EntryDep,$P180)))</f>
        <v/>
      </c>
      <c r="I180" s="29">
        <f>IF($P180="","",IF(INDEX(EntryWit,$P180)=0,"",INDEX(EntryWit,$P180)))</f>
        <v/>
      </c>
      <c r="J180" s="29">
        <f>IF($B180="","",IF($A180=1,$C$7,IF(J179="",0,J179))+IF($H180="",0,$H180)-IF($I180="",0,$I180))</f>
        <v/>
      </c>
      <c r="K180" s="29">
        <f>IF($P180="","",IF(INDEX(EntryMan,$P180)=0,"",INDEX(EntryMan,$P180)))</f>
        <v/>
      </c>
      <c r="L180" s="28">
        <f>IF($B180="","",IF($K180="","—",IF(ROUND($K180-$J180,0)=0,"√","×")))</f>
        <v/>
      </c>
      <c r="M180" s="28">
        <f>IF($B180="","",IF(COUNTIFS(EntryDates,$B180,CalcTime,$C180,CalcBank,$C$5,EntryParty,$D180,EntryDep,$H180,EntryWit,$I180)&gt;1,"تکرار",""))</f>
        <v/>
      </c>
      <c r="N180" s="28">
        <f>IF($P180="","",IF(INDEX(EntryNotes,$P180)=0,"",INDEX(EntryNotes,$P180)))</f>
        <v/>
      </c>
      <c r="O180" s="28">
        <f>IF($P180="","",IF(INDEX(EntryTxnID,$P180)=0,"",INDEX(EntryTxnID,$P180)))</f>
        <v/>
      </c>
      <c r="P180" s="28">
        <f>IFERROR(MATCH($C$5&amp;"|"&amp;RIGHT("000000"&amp;164,6),CalcRankKey,0),"")</f>
        <v/>
      </c>
    </row>
    <row r="181">
      <c r="A181" s="26">
        <f>IF($B181="","",165)</f>
        <v/>
      </c>
      <c r="B181" s="26">
        <f>IF($P181="","",IF(INDEX(CalcNormDate,$P181)=0,"",INDEX(CalcNormDate,$P181)))</f>
        <v/>
      </c>
      <c r="C181" s="26">
        <f>IF($P181="","",IF(INDEX(CalcTime,$P181)=0,"",INDEX(CalcTime,$P181)))</f>
        <v/>
      </c>
      <c r="D181" s="26">
        <f>IF($P181="","",IF(INDEX(EntryParty,$P181)=0,"",INDEX(EntryParty,$P181)))</f>
        <v/>
      </c>
      <c r="E181" s="26">
        <f>IF($P181="","",IF(INDEX(EntryPartyName,$P181)=0,"",INDEX(EntryPartyName,$P181)))</f>
        <v/>
      </c>
      <c r="F181" s="26">
        <f>IF($P181="","",IF(INDEX(EntryPartyType,$P181)=0,"",INDEX(EntryPartyType,$P181)))</f>
        <v/>
      </c>
      <c r="G181" s="26">
        <f>IF($P181="","",IF(INDEX(EntryTxnType,$P181)=0,"",INDEX(EntryTxnType,$P181)))</f>
        <v/>
      </c>
      <c r="H181" s="27">
        <f>IF($P181="","",IF(INDEX(EntryDep,$P181)=0,"",INDEX(EntryDep,$P181)))</f>
        <v/>
      </c>
      <c r="I181" s="27">
        <f>IF($P181="","",IF(INDEX(EntryWit,$P181)=0,"",INDEX(EntryWit,$P181)))</f>
        <v/>
      </c>
      <c r="J181" s="27">
        <f>IF($B181="","",IF($A181=1,$C$7,IF(J180="",0,J180))+IF($H181="",0,$H181)-IF($I181="",0,$I181))</f>
        <v/>
      </c>
      <c r="K181" s="27">
        <f>IF($P181="","",IF(INDEX(EntryMan,$P181)=0,"",INDEX(EntryMan,$P181)))</f>
        <v/>
      </c>
      <c r="L181" s="26">
        <f>IF($B181="","",IF($K181="","—",IF(ROUND($K181-$J181,0)=0,"√","×")))</f>
        <v/>
      </c>
      <c r="M181" s="26">
        <f>IF($B181="","",IF(COUNTIFS(EntryDates,$B181,CalcTime,$C181,CalcBank,$C$5,EntryParty,$D181,EntryDep,$H181,EntryWit,$I181)&gt;1,"تکرار",""))</f>
        <v/>
      </c>
      <c r="N181" s="26">
        <f>IF($P181="","",IF(INDEX(EntryNotes,$P181)=0,"",INDEX(EntryNotes,$P181)))</f>
        <v/>
      </c>
      <c r="O181" s="26">
        <f>IF($P181="","",IF(INDEX(EntryTxnID,$P181)=0,"",INDEX(EntryTxnID,$P181)))</f>
        <v/>
      </c>
      <c r="P181" s="26">
        <f>IFERROR(MATCH($C$5&amp;"|"&amp;RIGHT("000000"&amp;165,6),CalcRankKey,0),"")</f>
        <v/>
      </c>
    </row>
    <row r="182">
      <c r="A182" s="28">
        <f>IF($B182="","",166)</f>
        <v/>
      </c>
      <c r="B182" s="28">
        <f>IF($P182="","",IF(INDEX(CalcNormDate,$P182)=0,"",INDEX(CalcNormDate,$P182)))</f>
        <v/>
      </c>
      <c r="C182" s="28">
        <f>IF($P182="","",IF(INDEX(CalcTime,$P182)=0,"",INDEX(CalcTime,$P182)))</f>
        <v/>
      </c>
      <c r="D182" s="28">
        <f>IF($P182="","",IF(INDEX(EntryParty,$P182)=0,"",INDEX(EntryParty,$P182)))</f>
        <v/>
      </c>
      <c r="E182" s="28">
        <f>IF($P182="","",IF(INDEX(EntryPartyName,$P182)=0,"",INDEX(EntryPartyName,$P182)))</f>
        <v/>
      </c>
      <c r="F182" s="28">
        <f>IF($P182="","",IF(INDEX(EntryPartyType,$P182)=0,"",INDEX(EntryPartyType,$P182)))</f>
        <v/>
      </c>
      <c r="G182" s="28">
        <f>IF($P182="","",IF(INDEX(EntryTxnType,$P182)=0,"",INDEX(EntryTxnType,$P182)))</f>
        <v/>
      </c>
      <c r="H182" s="29">
        <f>IF($P182="","",IF(INDEX(EntryDep,$P182)=0,"",INDEX(EntryDep,$P182)))</f>
        <v/>
      </c>
      <c r="I182" s="29">
        <f>IF($P182="","",IF(INDEX(EntryWit,$P182)=0,"",INDEX(EntryWit,$P182)))</f>
        <v/>
      </c>
      <c r="J182" s="29">
        <f>IF($B182="","",IF($A182=1,$C$7,IF(J181="",0,J181))+IF($H182="",0,$H182)-IF($I182="",0,$I182))</f>
        <v/>
      </c>
      <c r="K182" s="29">
        <f>IF($P182="","",IF(INDEX(EntryMan,$P182)=0,"",INDEX(EntryMan,$P182)))</f>
        <v/>
      </c>
      <c r="L182" s="28">
        <f>IF($B182="","",IF($K182="","—",IF(ROUND($K182-$J182,0)=0,"√","×")))</f>
        <v/>
      </c>
      <c r="M182" s="28">
        <f>IF($B182="","",IF(COUNTIFS(EntryDates,$B182,CalcTime,$C182,CalcBank,$C$5,EntryParty,$D182,EntryDep,$H182,EntryWit,$I182)&gt;1,"تکرار",""))</f>
        <v/>
      </c>
      <c r="N182" s="28">
        <f>IF($P182="","",IF(INDEX(EntryNotes,$P182)=0,"",INDEX(EntryNotes,$P182)))</f>
        <v/>
      </c>
      <c r="O182" s="28">
        <f>IF($P182="","",IF(INDEX(EntryTxnID,$P182)=0,"",INDEX(EntryTxnID,$P182)))</f>
        <v/>
      </c>
      <c r="P182" s="28">
        <f>IFERROR(MATCH($C$5&amp;"|"&amp;RIGHT("000000"&amp;166,6),CalcRankKey,0),"")</f>
        <v/>
      </c>
    </row>
    <row r="183">
      <c r="A183" s="26">
        <f>IF($B183="","",167)</f>
        <v/>
      </c>
      <c r="B183" s="26">
        <f>IF($P183="","",IF(INDEX(CalcNormDate,$P183)=0,"",INDEX(CalcNormDate,$P183)))</f>
        <v/>
      </c>
      <c r="C183" s="26">
        <f>IF($P183="","",IF(INDEX(CalcTime,$P183)=0,"",INDEX(CalcTime,$P183)))</f>
        <v/>
      </c>
      <c r="D183" s="26">
        <f>IF($P183="","",IF(INDEX(EntryParty,$P183)=0,"",INDEX(EntryParty,$P183)))</f>
        <v/>
      </c>
      <c r="E183" s="26">
        <f>IF($P183="","",IF(INDEX(EntryPartyName,$P183)=0,"",INDEX(EntryPartyName,$P183)))</f>
        <v/>
      </c>
      <c r="F183" s="26">
        <f>IF($P183="","",IF(INDEX(EntryPartyType,$P183)=0,"",INDEX(EntryPartyType,$P183)))</f>
        <v/>
      </c>
      <c r="G183" s="26">
        <f>IF($P183="","",IF(INDEX(EntryTxnType,$P183)=0,"",INDEX(EntryTxnType,$P183)))</f>
        <v/>
      </c>
      <c r="H183" s="27">
        <f>IF($P183="","",IF(INDEX(EntryDep,$P183)=0,"",INDEX(EntryDep,$P183)))</f>
        <v/>
      </c>
      <c r="I183" s="27">
        <f>IF($P183="","",IF(INDEX(EntryWit,$P183)=0,"",INDEX(EntryWit,$P183)))</f>
        <v/>
      </c>
      <c r="J183" s="27">
        <f>IF($B183="","",IF($A183=1,$C$7,IF(J182="",0,J182))+IF($H183="",0,$H183)-IF($I183="",0,$I183))</f>
        <v/>
      </c>
      <c r="K183" s="27">
        <f>IF($P183="","",IF(INDEX(EntryMan,$P183)=0,"",INDEX(EntryMan,$P183)))</f>
        <v/>
      </c>
      <c r="L183" s="26">
        <f>IF($B183="","",IF($K183="","—",IF(ROUND($K183-$J183,0)=0,"√","×")))</f>
        <v/>
      </c>
      <c r="M183" s="26">
        <f>IF($B183="","",IF(COUNTIFS(EntryDates,$B183,CalcTime,$C183,CalcBank,$C$5,EntryParty,$D183,EntryDep,$H183,EntryWit,$I183)&gt;1,"تکرار",""))</f>
        <v/>
      </c>
      <c r="N183" s="26">
        <f>IF($P183="","",IF(INDEX(EntryNotes,$P183)=0,"",INDEX(EntryNotes,$P183)))</f>
        <v/>
      </c>
      <c r="O183" s="26">
        <f>IF($P183="","",IF(INDEX(EntryTxnID,$P183)=0,"",INDEX(EntryTxnID,$P183)))</f>
        <v/>
      </c>
      <c r="P183" s="26">
        <f>IFERROR(MATCH($C$5&amp;"|"&amp;RIGHT("000000"&amp;167,6),CalcRankKey,0),"")</f>
        <v/>
      </c>
    </row>
    <row r="184">
      <c r="A184" s="28">
        <f>IF($B184="","",168)</f>
        <v/>
      </c>
      <c r="B184" s="28">
        <f>IF($P184="","",IF(INDEX(CalcNormDate,$P184)=0,"",INDEX(CalcNormDate,$P184)))</f>
        <v/>
      </c>
      <c r="C184" s="28">
        <f>IF($P184="","",IF(INDEX(CalcTime,$P184)=0,"",INDEX(CalcTime,$P184)))</f>
        <v/>
      </c>
      <c r="D184" s="28">
        <f>IF($P184="","",IF(INDEX(EntryParty,$P184)=0,"",INDEX(EntryParty,$P184)))</f>
        <v/>
      </c>
      <c r="E184" s="28">
        <f>IF($P184="","",IF(INDEX(EntryPartyName,$P184)=0,"",INDEX(EntryPartyName,$P184)))</f>
        <v/>
      </c>
      <c r="F184" s="28">
        <f>IF($P184="","",IF(INDEX(EntryPartyType,$P184)=0,"",INDEX(EntryPartyType,$P184)))</f>
        <v/>
      </c>
      <c r="G184" s="28">
        <f>IF($P184="","",IF(INDEX(EntryTxnType,$P184)=0,"",INDEX(EntryTxnType,$P184)))</f>
        <v/>
      </c>
      <c r="H184" s="29">
        <f>IF($P184="","",IF(INDEX(EntryDep,$P184)=0,"",INDEX(EntryDep,$P184)))</f>
        <v/>
      </c>
      <c r="I184" s="29">
        <f>IF($P184="","",IF(INDEX(EntryWit,$P184)=0,"",INDEX(EntryWit,$P184)))</f>
        <v/>
      </c>
      <c r="J184" s="29">
        <f>IF($B184="","",IF($A184=1,$C$7,IF(J183="",0,J183))+IF($H184="",0,$H184)-IF($I184="",0,$I184))</f>
        <v/>
      </c>
      <c r="K184" s="29">
        <f>IF($P184="","",IF(INDEX(EntryMan,$P184)=0,"",INDEX(EntryMan,$P184)))</f>
        <v/>
      </c>
      <c r="L184" s="28">
        <f>IF($B184="","",IF($K184="","—",IF(ROUND($K184-$J184,0)=0,"√","×")))</f>
        <v/>
      </c>
      <c r="M184" s="28">
        <f>IF($B184="","",IF(COUNTIFS(EntryDates,$B184,CalcTime,$C184,CalcBank,$C$5,EntryParty,$D184,EntryDep,$H184,EntryWit,$I184)&gt;1,"تکرار",""))</f>
        <v/>
      </c>
      <c r="N184" s="28">
        <f>IF($P184="","",IF(INDEX(EntryNotes,$P184)=0,"",INDEX(EntryNotes,$P184)))</f>
        <v/>
      </c>
      <c r="O184" s="28">
        <f>IF($P184="","",IF(INDEX(EntryTxnID,$P184)=0,"",INDEX(EntryTxnID,$P184)))</f>
        <v/>
      </c>
      <c r="P184" s="28">
        <f>IFERROR(MATCH($C$5&amp;"|"&amp;RIGHT("000000"&amp;168,6),CalcRankKey,0),"")</f>
        <v/>
      </c>
    </row>
    <row r="185">
      <c r="A185" s="26">
        <f>IF($B185="","",169)</f>
        <v/>
      </c>
      <c r="B185" s="26">
        <f>IF($P185="","",IF(INDEX(CalcNormDate,$P185)=0,"",INDEX(CalcNormDate,$P185)))</f>
        <v/>
      </c>
      <c r="C185" s="26">
        <f>IF($P185="","",IF(INDEX(CalcTime,$P185)=0,"",INDEX(CalcTime,$P185)))</f>
        <v/>
      </c>
      <c r="D185" s="26">
        <f>IF($P185="","",IF(INDEX(EntryParty,$P185)=0,"",INDEX(EntryParty,$P185)))</f>
        <v/>
      </c>
      <c r="E185" s="26">
        <f>IF($P185="","",IF(INDEX(EntryPartyName,$P185)=0,"",INDEX(EntryPartyName,$P185)))</f>
        <v/>
      </c>
      <c r="F185" s="26">
        <f>IF($P185="","",IF(INDEX(EntryPartyType,$P185)=0,"",INDEX(EntryPartyType,$P185)))</f>
        <v/>
      </c>
      <c r="G185" s="26">
        <f>IF($P185="","",IF(INDEX(EntryTxnType,$P185)=0,"",INDEX(EntryTxnType,$P185)))</f>
        <v/>
      </c>
      <c r="H185" s="27">
        <f>IF($P185="","",IF(INDEX(EntryDep,$P185)=0,"",INDEX(EntryDep,$P185)))</f>
        <v/>
      </c>
      <c r="I185" s="27">
        <f>IF($P185="","",IF(INDEX(EntryWit,$P185)=0,"",INDEX(EntryWit,$P185)))</f>
        <v/>
      </c>
      <c r="J185" s="27">
        <f>IF($B185="","",IF($A185=1,$C$7,IF(J184="",0,J184))+IF($H185="",0,$H185)-IF($I185="",0,$I185))</f>
        <v/>
      </c>
      <c r="K185" s="27">
        <f>IF($P185="","",IF(INDEX(EntryMan,$P185)=0,"",INDEX(EntryMan,$P185)))</f>
        <v/>
      </c>
      <c r="L185" s="26">
        <f>IF($B185="","",IF($K185="","—",IF(ROUND($K185-$J185,0)=0,"√","×")))</f>
        <v/>
      </c>
      <c r="M185" s="26">
        <f>IF($B185="","",IF(COUNTIFS(EntryDates,$B185,CalcTime,$C185,CalcBank,$C$5,EntryParty,$D185,EntryDep,$H185,EntryWit,$I185)&gt;1,"تکرار",""))</f>
        <v/>
      </c>
      <c r="N185" s="26">
        <f>IF($P185="","",IF(INDEX(EntryNotes,$P185)=0,"",INDEX(EntryNotes,$P185)))</f>
        <v/>
      </c>
      <c r="O185" s="26">
        <f>IF($P185="","",IF(INDEX(EntryTxnID,$P185)=0,"",INDEX(EntryTxnID,$P185)))</f>
        <v/>
      </c>
      <c r="P185" s="26">
        <f>IFERROR(MATCH($C$5&amp;"|"&amp;RIGHT("000000"&amp;169,6),CalcRankKey,0),"")</f>
        <v/>
      </c>
    </row>
    <row r="186">
      <c r="A186" s="28">
        <f>IF($B186="","",170)</f>
        <v/>
      </c>
      <c r="B186" s="28">
        <f>IF($P186="","",IF(INDEX(CalcNormDate,$P186)=0,"",INDEX(CalcNormDate,$P186)))</f>
        <v/>
      </c>
      <c r="C186" s="28">
        <f>IF($P186="","",IF(INDEX(CalcTime,$P186)=0,"",INDEX(CalcTime,$P186)))</f>
        <v/>
      </c>
      <c r="D186" s="28">
        <f>IF($P186="","",IF(INDEX(EntryParty,$P186)=0,"",INDEX(EntryParty,$P186)))</f>
        <v/>
      </c>
      <c r="E186" s="28">
        <f>IF($P186="","",IF(INDEX(EntryPartyName,$P186)=0,"",INDEX(EntryPartyName,$P186)))</f>
        <v/>
      </c>
      <c r="F186" s="28">
        <f>IF($P186="","",IF(INDEX(EntryPartyType,$P186)=0,"",INDEX(EntryPartyType,$P186)))</f>
        <v/>
      </c>
      <c r="G186" s="28">
        <f>IF($P186="","",IF(INDEX(EntryTxnType,$P186)=0,"",INDEX(EntryTxnType,$P186)))</f>
        <v/>
      </c>
      <c r="H186" s="29">
        <f>IF($P186="","",IF(INDEX(EntryDep,$P186)=0,"",INDEX(EntryDep,$P186)))</f>
        <v/>
      </c>
      <c r="I186" s="29">
        <f>IF($P186="","",IF(INDEX(EntryWit,$P186)=0,"",INDEX(EntryWit,$P186)))</f>
        <v/>
      </c>
      <c r="J186" s="29">
        <f>IF($B186="","",IF($A186=1,$C$7,IF(J185="",0,J185))+IF($H186="",0,$H186)-IF($I186="",0,$I186))</f>
        <v/>
      </c>
      <c r="K186" s="29">
        <f>IF($P186="","",IF(INDEX(EntryMan,$P186)=0,"",INDEX(EntryMan,$P186)))</f>
        <v/>
      </c>
      <c r="L186" s="28">
        <f>IF($B186="","",IF($K186="","—",IF(ROUND($K186-$J186,0)=0,"√","×")))</f>
        <v/>
      </c>
      <c r="M186" s="28">
        <f>IF($B186="","",IF(COUNTIFS(EntryDates,$B186,CalcTime,$C186,CalcBank,$C$5,EntryParty,$D186,EntryDep,$H186,EntryWit,$I186)&gt;1,"تکرار",""))</f>
        <v/>
      </c>
      <c r="N186" s="28">
        <f>IF($P186="","",IF(INDEX(EntryNotes,$P186)=0,"",INDEX(EntryNotes,$P186)))</f>
        <v/>
      </c>
      <c r="O186" s="28">
        <f>IF($P186="","",IF(INDEX(EntryTxnID,$P186)=0,"",INDEX(EntryTxnID,$P186)))</f>
        <v/>
      </c>
      <c r="P186" s="28">
        <f>IFERROR(MATCH($C$5&amp;"|"&amp;RIGHT("000000"&amp;170,6),CalcRankKey,0),"")</f>
        <v/>
      </c>
    </row>
    <row r="187">
      <c r="A187" s="26">
        <f>IF($B187="","",171)</f>
        <v/>
      </c>
      <c r="B187" s="26">
        <f>IF($P187="","",IF(INDEX(CalcNormDate,$P187)=0,"",INDEX(CalcNormDate,$P187)))</f>
        <v/>
      </c>
      <c r="C187" s="26">
        <f>IF($P187="","",IF(INDEX(CalcTime,$P187)=0,"",INDEX(CalcTime,$P187)))</f>
        <v/>
      </c>
      <c r="D187" s="26">
        <f>IF($P187="","",IF(INDEX(EntryParty,$P187)=0,"",INDEX(EntryParty,$P187)))</f>
        <v/>
      </c>
      <c r="E187" s="26">
        <f>IF($P187="","",IF(INDEX(EntryPartyName,$P187)=0,"",INDEX(EntryPartyName,$P187)))</f>
        <v/>
      </c>
      <c r="F187" s="26">
        <f>IF($P187="","",IF(INDEX(EntryPartyType,$P187)=0,"",INDEX(EntryPartyType,$P187)))</f>
        <v/>
      </c>
      <c r="G187" s="26">
        <f>IF($P187="","",IF(INDEX(EntryTxnType,$P187)=0,"",INDEX(EntryTxnType,$P187)))</f>
        <v/>
      </c>
      <c r="H187" s="27">
        <f>IF($P187="","",IF(INDEX(EntryDep,$P187)=0,"",INDEX(EntryDep,$P187)))</f>
        <v/>
      </c>
      <c r="I187" s="27">
        <f>IF($P187="","",IF(INDEX(EntryWit,$P187)=0,"",INDEX(EntryWit,$P187)))</f>
        <v/>
      </c>
      <c r="J187" s="27">
        <f>IF($B187="","",IF($A187=1,$C$7,IF(J186="",0,J186))+IF($H187="",0,$H187)-IF($I187="",0,$I187))</f>
        <v/>
      </c>
      <c r="K187" s="27">
        <f>IF($P187="","",IF(INDEX(EntryMan,$P187)=0,"",INDEX(EntryMan,$P187)))</f>
        <v/>
      </c>
      <c r="L187" s="26">
        <f>IF($B187="","",IF($K187="","—",IF(ROUND($K187-$J187,0)=0,"√","×")))</f>
        <v/>
      </c>
      <c r="M187" s="26">
        <f>IF($B187="","",IF(COUNTIFS(EntryDates,$B187,CalcTime,$C187,CalcBank,$C$5,EntryParty,$D187,EntryDep,$H187,EntryWit,$I187)&gt;1,"تکرار",""))</f>
        <v/>
      </c>
      <c r="N187" s="26">
        <f>IF($P187="","",IF(INDEX(EntryNotes,$P187)=0,"",INDEX(EntryNotes,$P187)))</f>
        <v/>
      </c>
      <c r="O187" s="26">
        <f>IF($P187="","",IF(INDEX(EntryTxnID,$P187)=0,"",INDEX(EntryTxnID,$P187)))</f>
        <v/>
      </c>
      <c r="P187" s="26">
        <f>IFERROR(MATCH($C$5&amp;"|"&amp;RIGHT("000000"&amp;171,6),CalcRankKey,0),"")</f>
        <v/>
      </c>
    </row>
    <row r="188">
      <c r="A188" s="28">
        <f>IF($B188="","",172)</f>
        <v/>
      </c>
      <c r="B188" s="28">
        <f>IF($P188="","",IF(INDEX(CalcNormDate,$P188)=0,"",INDEX(CalcNormDate,$P188)))</f>
        <v/>
      </c>
      <c r="C188" s="28">
        <f>IF($P188="","",IF(INDEX(CalcTime,$P188)=0,"",INDEX(CalcTime,$P188)))</f>
        <v/>
      </c>
      <c r="D188" s="28">
        <f>IF($P188="","",IF(INDEX(EntryParty,$P188)=0,"",INDEX(EntryParty,$P188)))</f>
        <v/>
      </c>
      <c r="E188" s="28">
        <f>IF($P188="","",IF(INDEX(EntryPartyName,$P188)=0,"",INDEX(EntryPartyName,$P188)))</f>
        <v/>
      </c>
      <c r="F188" s="28">
        <f>IF($P188="","",IF(INDEX(EntryPartyType,$P188)=0,"",INDEX(EntryPartyType,$P188)))</f>
        <v/>
      </c>
      <c r="G188" s="28">
        <f>IF($P188="","",IF(INDEX(EntryTxnType,$P188)=0,"",INDEX(EntryTxnType,$P188)))</f>
        <v/>
      </c>
      <c r="H188" s="29">
        <f>IF($P188="","",IF(INDEX(EntryDep,$P188)=0,"",INDEX(EntryDep,$P188)))</f>
        <v/>
      </c>
      <c r="I188" s="29">
        <f>IF($P188="","",IF(INDEX(EntryWit,$P188)=0,"",INDEX(EntryWit,$P188)))</f>
        <v/>
      </c>
      <c r="J188" s="29">
        <f>IF($B188="","",IF($A188=1,$C$7,IF(J187="",0,J187))+IF($H188="",0,$H188)-IF($I188="",0,$I188))</f>
        <v/>
      </c>
      <c r="K188" s="29">
        <f>IF($P188="","",IF(INDEX(EntryMan,$P188)=0,"",INDEX(EntryMan,$P188)))</f>
        <v/>
      </c>
      <c r="L188" s="28">
        <f>IF($B188="","",IF($K188="","—",IF(ROUND($K188-$J188,0)=0,"√","×")))</f>
        <v/>
      </c>
      <c r="M188" s="28">
        <f>IF($B188="","",IF(COUNTIFS(EntryDates,$B188,CalcTime,$C188,CalcBank,$C$5,EntryParty,$D188,EntryDep,$H188,EntryWit,$I188)&gt;1,"تکرار",""))</f>
        <v/>
      </c>
      <c r="N188" s="28">
        <f>IF($P188="","",IF(INDEX(EntryNotes,$P188)=0,"",INDEX(EntryNotes,$P188)))</f>
        <v/>
      </c>
      <c r="O188" s="28">
        <f>IF($P188="","",IF(INDEX(EntryTxnID,$P188)=0,"",INDEX(EntryTxnID,$P188)))</f>
        <v/>
      </c>
      <c r="P188" s="28">
        <f>IFERROR(MATCH($C$5&amp;"|"&amp;RIGHT("000000"&amp;172,6),CalcRankKey,0),"")</f>
        <v/>
      </c>
    </row>
    <row r="189">
      <c r="A189" s="26">
        <f>IF($B189="","",173)</f>
        <v/>
      </c>
      <c r="B189" s="26">
        <f>IF($P189="","",IF(INDEX(CalcNormDate,$P189)=0,"",INDEX(CalcNormDate,$P189)))</f>
        <v/>
      </c>
      <c r="C189" s="26">
        <f>IF($P189="","",IF(INDEX(CalcTime,$P189)=0,"",INDEX(CalcTime,$P189)))</f>
        <v/>
      </c>
      <c r="D189" s="26">
        <f>IF($P189="","",IF(INDEX(EntryParty,$P189)=0,"",INDEX(EntryParty,$P189)))</f>
        <v/>
      </c>
      <c r="E189" s="26">
        <f>IF($P189="","",IF(INDEX(EntryPartyName,$P189)=0,"",INDEX(EntryPartyName,$P189)))</f>
        <v/>
      </c>
      <c r="F189" s="26">
        <f>IF($P189="","",IF(INDEX(EntryPartyType,$P189)=0,"",INDEX(EntryPartyType,$P189)))</f>
        <v/>
      </c>
      <c r="G189" s="26">
        <f>IF($P189="","",IF(INDEX(EntryTxnType,$P189)=0,"",INDEX(EntryTxnType,$P189)))</f>
        <v/>
      </c>
      <c r="H189" s="27">
        <f>IF($P189="","",IF(INDEX(EntryDep,$P189)=0,"",INDEX(EntryDep,$P189)))</f>
        <v/>
      </c>
      <c r="I189" s="27">
        <f>IF($P189="","",IF(INDEX(EntryWit,$P189)=0,"",INDEX(EntryWit,$P189)))</f>
        <v/>
      </c>
      <c r="J189" s="27">
        <f>IF($B189="","",IF($A189=1,$C$7,IF(J188="",0,J188))+IF($H189="",0,$H189)-IF($I189="",0,$I189))</f>
        <v/>
      </c>
      <c r="K189" s="27">
        <f>IF($P189="","",IF(INDEX(EntryMan,$P189)=0,"",INDEX(EntryMan,$P189)))</f>
        <v/>
      </c>
      <c r="L189" s="26">
        <f>IF($B189="","",IF($K189="","—",IF(ROUND($K189-$J189,0)=0,"√","×")))</f>
        <v/>
      </c>
      <c r="M189" s="26">
        <f>IF($B189="","",IF(COUNTIFS(EntryDates,$B189,CalcTime,$C189,CalcBank,$C$5,EntryParty,$D189,EntryDep,$H189,EntryWit,$I189)&gt;1,"تکرار",""))</f>
        <v/>
      </c>
      <c r="N189" s="26">
        <f>IF($P189="","",IF(INDEX(EntryNotes,$P189)=0,"",INDEX(EntryNotes,$P189)))</f>
        <v/>
      </c>
      <c r="O189" s="26">
        <f>IF($P189="","",IF(INDEX(EntryTxnID,$P189)=0,"",INDEX(EntryTxnID,$P189)))</f>
        <v/>
      </c>
      <c r="P189" s="26">
        <f>IFERROR(MATCH($C$5&amp;"|"&amp;RIGHT("000000"&amp;173,6),CalcRankKey,0),"")</f>
        <v/>
      </c>
    </row>
    <row r="190">
      <c r="A190" s="28">
        <f>IF($B190="","",174)</f>
        <v/>
      </c>
      <c r="B190" s="28">
        <f>IF($P190="","",IF(INDEX(CalcNormDate,$P190)=0,"",INDEX(CalcNormDate,$P190)))</f>
        <v/>
      </c>
      <c r="C190" s="28">
        <f>IF($P190="","",IF(INDEX(CalcTime,$P190)=0,"",INDEX(CalcTime,$P190)))</f>
        <v/>
      </c>
      <c r="D190" s="28">
        <f>IF($P190="","",IF(INDEX(EntryParty,$P190)=0,"",INDEX(EntryParty,$P190)))</f>
        <v/>
      </c>
      <c r="E190" s="28">
        <f>IF($P190="","",IF(INDEX(EntryPartyName,$P190)=0,"",INDEX(EntryPartyName,$P190)))</f>
        <v/>
      </c>
      <c r="F190" s="28">
        <f>IF($P190="","",IF(INDEX(EntryPartyType,$P190)=0,"",INDEX(EntryPartyType,$P190)))</f>
        <v/>
      </c>
      <c r="G190" s="28">
        <f>IF($P190="","",IF(INDEX(EntryTxnType,$P190)=0,"",INDEX(EntryTxnType,$P190)))</f>
        <v/>
      </c>
      <c r="H190" s="29">
        <f>IF($P190="","",IF(INDEX(EntryDep,$P190)=0,"",INDEX(EntryDep,$P190)))</f>
        <v/>
      </c>
      <c r="I190" s="29">
        <f>IF($P190="","",IF(INDEX(EntryWit,$P190)=0,"",INDEX(EntryWit,$P190)))</f>
        <v/>
      </c>
      <c r="J190" s="29">
        <f>IF($B190="","",IF($A190=1,$C$7,IF(J189="",0,J189))+IF($H190="",0,$H190)-IF($I190="",0,$I190))</f>
        <v/>
      </c>
      <c r="K190" s="29">
        <f>IF($P190="","",IF(INDEX(EntryMan,$P190)=0,"",INDEX(EntryMan,$P190)))</f>
        <v/>
      </c>
      <c r="L190" s="28">
        <f>IF($B190="","",IF($K190="","—",IF(ROUND($K190-$J190,0)=0,"√","×")))</f>
        <v/>
      </c>
      <c r="M190" s="28">
        <f>IF($B190="","",IF(COUNTIFS(EntryDates,$B190,CalcTime,$C190,CalcBank,$C$5,EntryParty,$D190,EntryDep,$H190,EntryWit,$I190)&gt;1,"تکرار",""))</f>
        <v/>
      </c>
      <c r="N190" s="28">
        <f>IF($P190="","",IF(INDEX(EntryNotes,$P190)=0,"",INDEX(EntryNotes,$P190)))</f>
        <v/>
      </c>
      <c r="O190" s="28">
        <f>IF($P190="","",IF(INDEX(EntryTxnID,$P190)=0,"",INDEX(EntryTxnID,$P190)))</f>
        <v/>
      </c>
      <c r="P190" s="28">
        <f>IFERROR(MATCH($C$5&amp;"|"&amp;RIGHT("000000"&amp;174,6),CalcRankKey,0),"")</f>
        <v/>
      </c>
    </row>
    <row r="191">
      <c r="A191" s="26">
        <f>IF($B191="","",175)</f>
        <v/>
      </c>
      <c r="B191" s="26">
        <f>IF($P191="","",IF(INDEX(CalcNormDate,$P191)=0,"",INDEX(CalcNormDate,$P191)))</f>
        <v/>
      </c>
      <c r="C191" s="26">
        <f>IF($P191="","",IF(INDEX(CalcTime,$P191)=0,"",INDEX(CalcTime,$P191)))</f>
        <v/>
      </c>
      <c r="D191" s="26">
        <f>IF($P191="","",IF(INDEX(EntryParty,$P191)=0,"",INDEX(EntryParty,$P191)))</f>
        <v/>
      </c>
      <c r="E191" s="26">
        <f>IF($P191="","",IF(INDEX(EntryPartyName,$P191)=0,"",INDEX(EntryPartyName,$P191)))</f>
        <v/>
      </c>
      <c r="F191" s="26">
        <f>IF($P191="","",IF(INDEX(EntryPartyType,$P191)=0,"",INDEX(EntryPartyType,$P191)))</f>
        <v/>
      </c>
      <c r="G191" s="26">
        <f>IF($P191="","",IF(INDEX(EntryTxnType,$P191)=0,"",INDEX(EntryTxnType,$P191)))</f>
        <v/>
      </c>
      <c r="H191" s="27">
        <f>IF($P191="","",IF(INDEX(EntryDep,$P191)=0,"",INDEX(EntryDep,$P191)))</f>
        <v/>
      </c>
      <c r="I191" s="27">
        <f>IF($P191="","",IF(INDEX(EntryWit,$P191)=0,"",INDEX(EntryWit,$P191)))</f>
        <v/>
      </c>
      <c r="J191" s="27">
        <f>IF($B191="","",IF($A191=1,$C$7,IF(J190="",0,J190))+IF($H191="",0,$H191)-IF($I191="",0,$I191))</f>
        <v/>
      </c>
      <c r="K191" s="27">
        <f>IF($P191="","",IF(INDEX(EntryMan,$P191)=0,"",INDEX(EntryMan,$P191)))</f>
        <v/>
      </c>
      <c r="L191" s="26">
        <f>IF($B191="","",IF($K191="","—",IF(ROUND($K191-$J191,0)=0,"√","×")))</f>
        <v/>
      </c>
      <c r="M191" s="26">
        <f>IF($B191="","",IF(COUNTIFS(EntryDates,$B191,CalcTime,$C191,CalcBank,$C$5,EntryParty,$D191,EntryDep,$H191,EntryWit,$I191)&gt;1,"تکرار",""))</f>
        <v/>
      </c>
      <c r="N191" s="26">
        <f>IF($P191="","",IF(INDEX(EntryNotes,$P191)=0,"",INDEX(EntryNotes,$P191)))</f>
        <v/>
      </c>
      <c r="O191" s="26">
        <f>IF($P191="","",IF(INDEX(EntryTxnID,$P191)=0,"",INDEX(EntryTxnID,$P191)))</f>
        <v/>
      </c>
      <c r="P191" s="26">
        <f>IFERROR(MATCH($C$5&amp;"|"&amp;RIGHT("000000"&amp;175,6),CalcRankKey,0),"")</f>
        <v/>
      </c>
    </row>
    <row r="192">
      <c r="A192" s="28">
        <f>IF($B192="","",176)</f>
        <v/>
      </c>
      <c r="B192" s="28">
        <f>IF($P192="","",IF(INDEX(CalcNormDate,$P192)=0,"",INDEX(CalcNormDate,$P192)))</f>
        <v/>
      </c>
      <c r="C192" s="28">
        <f>IF($P192="","",IF(INDEX(CalcTime,$P192)=0,"",INDEX(CalcTime,$P192)))</f>
        <v/>
      </c>
      <c r="D192" s="28">
        <f>IF($P192="","",IF(INDEX(EntryParty,$P192)=0,"",INDEX(EntryParty,$P192)))</f>
        <v/>
      </c>
      <c r="E192" s="28">
        <f>IF($P192="","",IF(INDEX(EntryPartyName,$P192)=0,"",INDEX(EntryPartyName,$P192)))</f>
        <v/>
      </c>
      <c r="F192" s="28">
        <f>IF($P192="","",IF(INDEX(EntryPartyType,$P192)=0,"",INDEX(EntryPartyType,$P192)))</f>
        <v/>
      </c>
      <c r="G192" s="28">
        <f>IF($P192="","",IF(INDEX(EntryTxnType,$P192)=0,"",INDEX(EntryTxnType,$P192)))</f>
        <v/>
      </c>
      <c r="H192" s="29">
        <f>IF($P192="","",IF(INDEX(EntryDep,$P192)=0,"",INDEX(EntryDep,$P192)))</f>
        <v/>
      </c>
      <c r="I192" s="29">
        <f>IF($P192="","",IF(INDEX(EntryWit,$P192)=0,"",INDEX(EntryWit,$P192)))</f>
        <v/>
      </c>
      <c r="J192" s="29">
        <f>IF($B192="","",IF($A192=1,$C$7,IF(J191="",0,J191))+IF($H192="",0,$H192)-IF($I192="",0,$I192))</f>
        <v/>
      </c>
      <c r="K192" s="29">
        <f>IF($P192="","",IF(INDEX(EntryMan,$P192)=0,"",INDEX(EntryMan,$P192)))</f>
        <v/>
      </c>
      <c r="L192" s="28">
        <f>IF($B192="","",IF($K192="","—",IF(ROUND($K192-$J192,0)=0,"√","×")))</f>
        <v/>
      </c>
      <c r="M192" s="28">
        <f>IF($B192="","",IF(COUNTIFS(EntryDates,$B192,CalcTime,$C192,CalcBank,$C$5,EntryParty,$D192,EntryDep,$H192,EntryWit,$I192)&gt;1,"تکرار",""))</f>
        <v/>
      </c>
      <c r="N192" s="28">
        <f>IF($P192="","",IF(INDEX(EntryNotes,$P192)=0,"",INDEX(EntryNotes,$P192)))</f>
        <v/>
      </c>
      <c r="O192" s="28">
        <f>IF($P192="","",IF(INDEX(EntryTxnID,$P192)=0,"",INDEX(EntryTxnID,$P192)))</f>
        <v/>
      </c>
      <c r="P192" s="28">
        <f>IFERROR(MATCH($C$5&amp;"|"&amp;RIGHT("000000"&amp;176,6),CalcRankKey,0),"")</f>
        <v/>
      </c>
    </row>
    <row r="193">
      <c r="A193" s="26">
        <f>IF($B193="","",177)</f>
        <v/>
      </c>
      <c r="B193" s="26">
        <f>IF($P193="","",IF(INDEX(CalcNormDate,$P193)=0,"",INDEX(CalcNormDate,$P193)))</f>
        <v/>
      </c>
      <c r="C193" s="26">
        <f>IF($P193="","",IF(INDEX(CalcTime,$P193)=0,"",INDEX(CalcTime,$P193)))</f>
        <v/>
      </c>
      <c r="D193" s="26">
        <f>IF($P193="","",IF(INDEX(EntryParty,$P193)=0,"",INDEX(EntryParty,$P193)))</f>
        <v/>
      </c>
      <c r="E193" s="26">
        <f>IF($P193="","",IF(INDEX(EntryPartyName,$P193)=0,"",INDEX(EntryPartyName,$P193)))</f>
        <v/>
      </c>
      <c r="F193" s="26">
        <f>IF($P193="","",IF(INDEX(EntryPartyType,$P193)=0,"",INDEX(EntryPartyType,$P193)))</f>
        <v/>
      </c>
      <c r="G193" s="26">
        <f>IF($P193="","",IF(INDEX(EntryTxnType,$P193)=0,"",INDEX(EntryTxnType,$P193)))</f>
        <v/>
      </c>
      <c r="H193" s="27">
        <f>IF($P193="","",IF(INDEX(EntryDep,$P193)=0,"",INDEX(EntryDep,$P193)))</f>
        <v/>
      </c>
      <c r="I193" s="27">
        <f>IF($P193="","",IF(INDEX(EntryWit,$P193)=0,"",INDEX(EntryWit,$P193)))</f>
        <v/>
      </c>
      <c r="J193" s="27">
        <f>IF($B193="","",IF($A193=1,$C$7,IF(J192="",0,J192))+IF($H193="",0,$H193)-IF($I193="",0,$I193))</f>
        <v/>
      </c>
      <c r="K193" s="27">
        <f>IF($P193="","",IF(INDEX(EntryMan,$P193)=0,"",INDEX(EntryMan,$P193)))</f>
        <v/>
      </c>
      <c r="L193" s="26">
        <f>IF($B193="","",IF($K193="","—",IF(ROUND($K193-$J193,0)=0,"√","×")))</f>
        <v/>
      </c>
      <c r="M193" s="26">
        <f>IF($B193="","",IF(COUNTIFS(EntryDates,$B193,CalcTime,$C193,CalcBank,$C$5,EntryParty,$D193,EntryDep,$H193,EntryWit,$I193)&gt;1,"تکرار",""))</f>
        <v/>
      </c>
      <c r="N193" s="26">
        <f>IF($P193="","",IF(INDEX(EntryNotes,$P193)=0,"",INDEX(EntryNotes,$P193)))</f>
        <v/>
      </c>
      <c r="O193" s="26">
        <f>IF($P193="","",IF(INDEX(EntryTxnID,$P193)=0,"",INDEX(EntryTxnID,$P193)))</f>
        <v/>
      </c>
      <c r="P193" s="26">
        <f>IFERROR(MATCH($C$5&amp;"|"&amp;RIGHT("000000"&amp;177,6),CalcRankKey,0),"")</f>
        <v/>
      </c>
    </row>
    <row r="194">
      <c r="A194" s="28">
        <f>IF($B194="","",178)</f>
        <v/>
      </c>
      <c r="B194" s="28">
        <f>IF($P194="","",IF(INDEX(CalcNormDate,$P194)=0,"",INDEX(CalcNormDate,$P194)))</f>
        <v/>
      </c>
      <c r="C194" s="28">
        <f>IF($P194="","",IF(INDEX(CalcTime,$P194)=0,"",INDEX(CalcTime,$P194)))</f>
        <v/>
      </c>
      <c r="D194" s="28">
        <f>IF($P194="","",IF(INDEX(EntryParty,$P194)=0,"",INDEX(EntryParty,$P194)))</f>
        <v/>
      </c>
      <c r="E194" s="28">
        <f>IF($P194="","",IF(INDEX(EntryPartyName,$P194)=0,"",INDEX(EntryPartyName,$P194)))</f>
        <v/>
      </c>
      <c r="F194" s="28">
        <f>IF($P194="","",IF(INDEX(EntryPartyType,$P194)=0,"",INDEX(EntryPartyType,$P194)))</f>
        <v/>
      </c>
      <c r="G194" s="28">
        <f>IF($P194="","",IF(INDEX(EntryTxnType,$P194)=0,"",INDEX(EntryTxnType,$P194)))</f>
        <v/>
      </c>
      <c r="H194" s="29">
        <f>IF($P194="","",IF(INDEX(EntryDep,$P194)=0,"",INDEX(EntryDep,$P194)))</f>
        <v/>
      </c>
      <c r="I194" s="29">
        <f>IF($P194="","",IF(INDEX(EntryWit,$P194)=0,"",INDEX(EntryWit,$P194)))</f>
        <v/>
      </c>
      <c r="J194" s="29">
        <f>IF($B194="","",IF($A194=1,$C$7,IF(J193="",0,J193))+IF($H194="",0,$H194)-IF($I194="",0,$I194))</f>
        <v/>
      </c>
      <c r="K194" s="29">
        <f>IF($P194="","",IF(INDEX(EntryMan,$P194)=0,"",INDEX(EntryMan,$P194)))</f>
        <v/>
      </c>
      <c r="L194" s="28">
        <f>IF($B194="","",IF($K194="","—",IF(ROUND($K194-$J194,0)=0,"√","×")))</f>
        <v/>
      </c>
      <c r="M194" s="28">
        <f>IF($B194="","",IF(COUNTIFS(EntryDates,$B194,CalcTime,$C194,CalcBank,$C$5,EntryParty,$D194,EntryDep,$H194,EntryWit,$I194)&gt;1,"تکرار",""))</f>
        <v/>
      </c>
      <c r="N194" s="28">
        <f>IF($P194="","",IF(INDEX(EntryNotes,$P194)=0,"",INDEX(EntryNotes,$P194)))</f>
        <v/>
      </c>
      <c r="O194" s="28">
        <f>IF($P194="","",IF(INDEX(EntryTxnID,$P194)=0,"",INDEX(EntryTxnID,$P194)))</f>
        <v/>
      </c>
      <c r="P194" s="28">
        <f>IFERROR(MATCH($C$5&amp;"|"&amp;RIGHT("000000"&amp;178,6),CalcRankKey,0),"")</f>
        <v/>
      </c>
    </row>
    <row r="195">
      <c r="A195" s="26">
        <f>IF($B195="","",179)</f>
        <v/>
      </c>
      <c r="B195" s="26">
        <f>IF($P195="","",IF(INDEX(CalcNormDate,$P195)=0,"",INDEX(CalcNormDate,$P195)))</f>
        <v/>
      </c>
      <c r="C195" s="26">
        <f>IF($P195="","",IF(INDEX(CalcTime,$P195)=0,"",INDEX(CalcTime,$P195)))</f>
        <v/>
      </c>
      <c r="D195" s="26">
        <f>IF($P195="","",IF(INDEX(EntryParty,$P195)=0,"",INDEX(EntryParty,$P195)))</f>
        <v/>
      </c>
      <c r="E195" s="26">
        <f>IF($P195="","",IF(INDEX(EntryPartyName,$P195)=0,"",INDEX(EntryPartyName,$P195)))</f>
        <v/>
      </c>
      <c r="F195" s="26">
        <f>IF($P195="","",IF(INDEX(EntryPartyType,$P195)=0,"",INDEX(EntryPartyType,$P195)))</f>
        <v/>
      </c>
      <c r="G195" s="26">
        <f>IF($P195="","",IF(INDEX(EntryTxnType,$P195)=0,"",INDEX(EntryTxnType,$P195)))</f>
        <v/>
      </c>
      <c r="H195" s="27">
        <f>IF($P195="","",IF(INDEX(EntryDep,$P195)=0,"",INDEX(EntryDep,$P195)))</f>
        <v/>
      </c>
      <c r="I195" s="27">
        <f>IF($P195="","",IF(INDEX(EntryWit,$P195)=0,"",INDEX(EntryWit,$P195)))</f>
        <v/>
      </c>
      <c r="J195" s="27">
        <f>IF($B195="","",IF($A195=1,$C$7,IF(J194="",0,J194))+IF($H195="",0,$H195)-IF($I195="",0,$I195))</f>
        <v/>
      </c>
      <c r="K195" s="27">
        <f>IF($P195="","",IF(INDEX(EntryMan,$P195)=0,"",INDEX(EntryMan,$P195)))</f>
        <v/>
      </c>
      <c r="L195" s="26">
        <f>IF($B195="","",IF($K195="","—",IF(ROUND($K195-$J195,0)=0,"√","×")))</f>
        <v/>
      </c>
      <c r="M195" s="26">
        <f>IF($B195="","",IF(COUNTIFS(EntryDates,$B195,CalcTime,$C195,CalcBank,$C$5,EntryParty,$D195,EntryDep,$H195,EntryWit,$I195)&gt;1,"تکرار",""))</f>
        <v/>
      </c>
      <c r="N195" s="26">
        <f>IF($P195="","",IF(INDEX(EntryNotes,$P195)=0,"",INDEX(EntryNotes,$P195)))</f>
        <v/>
      </c>
      <c r="O195" s="26">
        <f>IF($P195="","",IF(INDEX(EntryTxnID,$P195)=0,"",INDEX(EntryTxnID,$P195)))</f>
        <v/>
      </c>
      <c r="P195" s="26">
        <f>IFERROR(MATCH($C$5&amp;"|"&amp;RIGHT("000000"&amp;179,6),CalcRankKey,0),"")</f>
        <v/>
      </c>
    </row>
    <row r="196">
      <c r="A196" s="28">
        <f>IF($B196="","",180)</f>
        <v/>
      </c>
      <c r="B196" s="28">
        <f>IF($P196="","",IF(INDEX(CalcNormDate,$P196)=0,"",INDEX(CalcNormDate,$P196)))</f>
        <v/>
      </c>
      <c r="C196" s="28">
        <f>IF($P196="","",IF(INDEX(CalcTime,$P196)=0,"",INDEX(CalcTime,$P196)))</f>
        <v/>
      </c>
      <c r="D196" s="28">
        <f>IF($P196="","",IF(INDEX(EntryParty,$P196)=0,"",INDEX(EntryParty,$P196)))</f>
        <v/>
      </c>
      <c r="E196" s="28">
        <f>IF($P196="","",IF(INDEX(EntryPartyName,$P196)=0,"",INDEX(EntryPartyName,$P196)))</f>
        <v/>
      </c>
      <c r="F196" s="28">
        <f>IF($P196="","",IF(INDEX(EntryPartyType,$P196)=0,"",INDEX(EntryPartyType,$P196)))</f>
        <v/>
      </c>
      <c r="G196" s="28">
        <f>IF($P196="","",IF(INDEX(EntryTxnType,$P196)=0,"",INDEX(EntryTxnType,$P196)))</f>
        <v/>
      </c>
      <c r="H196" s="29">
        <f>IF($P196="","",IF(INDEX(EntryDep,$P196)=0,"",INDEX(EntryDep,$P196)))</f>
        <v/>
      </c>
      <c r="I196" s="29">
        <f>IF($P196="","",IF(INDEX(EntryWit,$P196)=0,"",INDEX(EntryWit,$P196)))</f>
        <v/>
      </c>
      <c r="J196" s="29">
        <f>IF($B196="","",IF($A196=1,$C$7,IF(J195="",0,J195))+IF($H196="",0,$H196)-IF($I196="",0,$I196))</f>
        <v/>
      </c>
      <c r="K196" s="29">
        <f>IF($P196="","",IF(INDEX(EntryMan,$P196)=0,"",INDEX(EntryMan,$P196)))</f>
        <v/>
      </c>
      <c r="L196" s="28">
        <f>IF($B196="","",IF($K196="","—",IF(ROUND($K196-$J196,0)=0,"√","×")))</f>
        <v/>
      </c>
      <c r="M196" s="28">
        <f>IF($B196="","",IF(COUNTIFS(EntryDates,$B196,CalcTime,$C196,CalcBank,$C$5,EntryParty,$D196,EntryDep,$H196,EntryWit,$I196)&gt;1,"تکرار",""))</f>
        <v/>
      </c>
      <c r="N196" s="28">
        <f>IF($P196="","",IF(INDEX(EntryNotes,$P196)=0,"",INDEX(EntryNotes,$P196)))</f>
        <v/>
      </c>
      <c r="O196" s="28">
        <f>IF($P196="","",IF(INDEX(EntryTxnID,$P196)=0,"",INDEX(EntryTxnID,$P196)))</f>
        <v/>
      </c>
      <c r="P196" s="28">
        <f>IFERROR(MATCH($C$5&amp;"|"&amp;RIGHT("000000"&amp;180,6),CalcRankKey,0),"")</f>
        <v/>
      </c>
    </row>
    <row r="197">
      <c r="A197" s="26">
        <f>IF($B197="","",181)</f>
        <v/>
      </c>
      <c r="B197" s="26">
        <f>IF($P197="","",IF(INDEX(CalcNormDate,$P197)=0,"",INDEX(CalcNormDate,$P197)))</f>
        <v/>
      </c>
      <c r="C197" s="26">
        <f>IF($P197="","",IF(INDEX(CalcTime,$P197)=0,"",INDEX(CalcTime,$P197)))</f>
        <v/>
      </c>
      <c r="D197" s="26">
        <f>IF($P197="","",IF(INDEX(EntryParty,$P197)=0,"",INDEX(EntryParty,$P197)))</f>
        <v/>
      </c>
      <c r="E197" s="26">
        <f>IF($P197="","",IF(INDEX(EntryPartyName,$P197)=0,"",INDEX(EntryPartyName,$P197)))</f>
        <v/>
      </c>
      <c r="F197" s="26">
        <f>IF($P197="","",IF(INDEX(EntryPartyType,$P197)=0,"",INDEX(EntryPartyType,$P197)))</f>
        <v/>
      </c>
      <c r="G197" s="26">
        <f>IF($P197="","",IF(INDEX(EntryTxnType,$P197)=0,"",INDEX(EntryTxnType,$P197)))</f>
        <v/>
      </c>
      <c r="H197" s="27">
        <f>IF($P197="","",IF(INDEX(EntryDep,$P197)=0,"",INDEX(EntryDep,$P197)))</f>
        <v/>
      </c>
      <c r="I197" s="27">
        <f>IF($P197="","",IF(INDEX(EntryWit,$P197)=0,"",INDEX(EntryWit,$P197)))</f>
        <v/>
      </c>
      <c r="J197" s="27">
        <f>IF($B197="","",IF($A197=1,$C$7,IF(J196="",0,J196))+IF($H197="",0,$H197)-IF($I197="",0,$I197))</f>
        <v/>
      </c>
      <c r="K197" s="27">
        <f>IF($P197="","",IF(INDEX(EntryMan,$P197)=0,"",INDEX(EntryMan,$P197)))</f>
        <v/>
      </c>
      <c r="L197" s="26">
        <f>IF($B197="","",IF($K197="","—",IF(ROUND($K197-$J197,0)=0,"√","×")))</f>
        <v/>
      </c>
      <c r="M197" s="26">
        <f>IF($B197="","",IF(COUNTIFS(EntryDates,$B197,CalcTime,$C197,CalcBank,$C$5,EntryParty,$D197,EntryDep,$H197,EntryWit,$I197)&gt;1,"تکرار",""))</f>
        <v/>
      </c>
      <c r="N197" s="26">
        <f>IF($P197="","",IF(INDEX(EntryNotes,$P197)=0,"",INDEX(EntryNotes,$P197)))</f>
        <v/>
      </c>
      <c r="O197" s="26">
        <f>IF($P197="","",IF(INDEX(EntryTxnID,$P197)=0,"",INDEX(EntryTxnID,$P197)))</f>
        <v/>
      </c>
      <c r="P197" s="26">
        <f>IFERROR(MATCH($C$5&amp;"|"&amp;RIGHT("000000"&amp;181,6),CalcRankKey,0),"")</f>
        <v/>
      </c>
    </row>
    <row r="198">
      <c r="A198" s="28">
        <f>IF($B198="","",182)</f>
        <v/>
      </c>
      <c r="B198" s="28">
        <f>IF($P198="","",IF(INDEX(CalcNormDate,$P198)=0,"",INDEX(CalcNormDate,$P198)))</f>
        <v/>
      </c>
      <c r="C198" s="28">
        <f>IF($P198="","",IF(INDEX(CalcTime,$P198)=0,"",INDEX(CalcTime,$P198)))</f>
        <v/>
      </c>
      <c r="D198" s="28">
        <f>IF($P198="","",IF(INDEX(EntryParty,$P198)=0,"",INDEX(EntryParty,$P198)))</f>
        <v/>
      </c>
      <c r="E198" s="28">
        <f>IF($P198="","",IF(INDEX(EntryPartyName,$P198)=0,"",INDEX(EntryPartyName,$P198)))</f>
        <v/>
      </c>
      <c r="F198" s="28">
        <f>IF($P198="","",IF(INDEX(EntryPartyType,$P198)=0,"",INDEX(EntryPartyType,$P198)))</f>
        <v/>
      </c>
      <c r="G198" s="28">
        <f>IF($P198="","",IF(INDEX(EntryTxnType,$P198)=0,"",INDEX(EntryTxnType,$P198)))</f>
        <v/>
      </c>
      <c r="H198" s="29">
        <f>IF($P198="","",IF(INDEX(EntryDep,$P198)=0,"",INDEX(EntryDep,$P198)))</f>
        <v/>
      </c>
      <c r="I198" s="29">
        <f>IF($P198="","",IF(INDEX(EntryWit,$P198)=0,"",INDEX(EntryWit,$P198)))</f>
        <v/>
      </c>
      <c r="J198" s="29">
        <f>IF($B198="","",IF($A198=1,$C$7,IF(J197="",0,J197))+IF($H198="",0,$H198)-IF($I198="",0,$I198))</f>
        <v/>
      </c>
      <c r="K198" s="29">
        <f>IF($P198="","",IF(INDEX(EntryMan,$P198)=0,"",INDEX(EntryMan,$P198)))</f>
        <v/>
      </c>
      <c r="L198" s="28">
        <f>IF($B198="","",IF($K198="","—",IF(ROUND($K198-$J198,0)=0,"√","×")))</f>
        <v/>
      </c>
      <c r="M198" s="28">
        <f>IF($B198="","",IF(COUNTIFS(EntryDates,$B198,CalcTime,$C198,CalcBank,$C$5,EntryParty,$D198,EntryDep,$H198,EntryWit,$I198)&gt;1,"تکرار",""))</f>
        <v/>
      </c>
      <c r="N198" s="28">
        <f>IF($P198="","",IF(INDEX(EntryNotes,$P198)=0,"",INDEX(EntryNotes,$P198)))</f>
        <v/>
      </c>
      <c r="O198" s="28">
        <f>IF($P198="","",IF(INDEX(EntryTxnID,$P198)=0,"",INDEX(EntryTxnID,$P198)))</f>
        <v/>
      </c>
      <c r="P198" s="28">
        <f>IFERROR(MATCH($C$5&amp;"|"&amp;RIGHT("000000"&amp;182,6),CalcRankKey,0),"")</f>
        <v/>
      </c>
    </row>
    <row r="199">
      <c r="A199" s="26">
        <f>IF($B199="","",183)</f>
        <v/>
      </c>
      <c r="B199" s="26">
        <f>IF($P199="","",IF(INDEX(CalcNormDate,$P199)=0,"",INDEX(CalcNormDate,$P199)))</f>
        <v/>
      </c>
      <c r="C199" s="26">
        <f>IF($P199="","",IF(INDEX(CalcTime,$P199)=0,"",INDEX(CalcTime,$P199)))</f>
        <v/>
      </c>
      <c r="D199" s="26">
        <f>IF($P199="","",IF(INDEX(EntryParty,$P199)=0,"",INDEX(EntryParty,$P199)))</f>
        <v/>
      </c>
      <c r="E199" s="26">
        <f>IF($P199="","",IF(INDEX(EntryPartyName,$P199)=0,"",INDEX(EntryPartyName,$P199)))</f>
        <v/>
      </c>
      <c r="F199" s="26">
        <f>IF($P199="","",IF(INDEX(EntryPartyType,$P199)=0,"",INDEX(EntryPartyType,$P199)))</f>
        <v/>
      </c>
      <c r="G199" s="26">
        <f>IF($P199="","",IF(INDEX(EntryTxnType,$P199)=0,"",INDEX(EntryTxnType,$P199)))</f>
        <v/>
      </c>
      <c r="H199" s="27">
        <f>IF($P199="","",IF(INDEX(EntryDep,$P199)=0,"",INDEX(EntryDep,$P199)))</f>
        <v/>
      </c>
      <c r="I199" s="27">
        <f>IF($P199="","",IF(INDEX(EntryWit,$P199)=0,"",INDEX(EntryWit,$P199)))</f>
        <v/>
      </c>
      <c r="J199" s="27">
        <f>IF($B199="","",IF($A199=1,$C$7,IF(J198="",0,J198))+IF($H199="",0,$H199)-IF($I199="",0,$I199))</f>
        <v/>
      </c>
      <c r="K199" s="27">
        <f>IF($P199="","",IF(INDEX(EntryMan,$P199)=0,"",INDEX(EntryMan,$P199)))</f>
        <v/>
      </c>
      <c r="L199" s="26">
        <f>IF($B199="","",IF($K199="","—",IF(ROUND($K199-$J199,0)=0,"√","×")))</f>
        <v/>
      </c>
      <c r="M199" s="26">
        <f>IF($B199="","",IF(COUNTIFS(EntryDates,$B199,CalcTime,$C199,CalcBank,$C$5,EntryParty,$D199,EntryDep,$H199,EntryWit,$I199)&gt;1,"تکرار",""))</f>
        <v/>
      </c>
      <c r="N199" s="26">
        <f>IF($P199="","",IF(INDEX(EntryNotes,$P199)=0,"",INDEX(EntryNotes,$P199)))</f>
        <v/>
      </c>
      <c r="O199" s="26">
        <f>IF($P199="","",IF(INDEX(EntryTxnID,$P199)=0,"",INDEX(EntryTxnID,$P199)))</f>
        <v/>
      </c>
      <c r="P199" s="26">
        <f>IFERROR(MATCH($C$5&amp;"|"&amp;RIGHT("000000"&amp;183,6),CalcRankKey,0),"")</f>
        <v/>
      </c>
    </row>
    <row r="200">
      <c r="A200" s="28">
        <f>IF($B200="","",184)</f>
        <v/>
      </c>
      <c r="B200" s="28">
        <f>IF($P200="","",IF(INDEX(CalcNormDate,$P200)=0,"",INDEX(CalcNormDate,$P200)))</f>
        <v/>
      </c>
      <c r="C200" s="28">
        <f>IF($P200="","",IF(INDEX(CalcTime,$P200)=0,"",INDEX(CalcTime,$P200)))</f>
        <v/>
      </c>
      <c r="D200" s="28">
        <f>IF($P200="","",IF(INDEX(EntryParty,$P200)=0,"",INDEX(EntryParty,$P200)))</f>
        <v/>
      </c>
      <c r="E200" s="28">
        <f>IF($P200="","",IF(INDEX(EntryPartyName,$P200)=0,"",INDEX(EntryPartyName,$P200)))</f>
        <v/>
      </c>
      <c r="F200" s="28">
        <f>IF($P200="","",IF(INDEX(EntryPartyType,$P200)=0,"",INDEX(EntryPartyType,$P200)))</f>
        <v/>
      </c>
      <c r="G200" s="28">
        <f>IF($P200="","",IF(INDEX(EntryTxnType,$P200)=0,"",INDEX(EntryTxnType,$P200)))</f>
        <v/>
      </c>
      <c r="H200" s="29">
        <f>IF($P200="","",IF(INDEX(EntryDep,$P200)=0,"",INDEX(EntryDep,$P200)))</f>
        <v/>
      </c>
      <c r="I200" s="29">
        <f>IF($P200="","",IF(INDEX(EntryWit,$P200)=0,"",INDEX(EntryWit,$P200)))</f>
        <v/>
      </c>
      <c r="J200" s="29">
        <f>IF($B200="","",IF($A200=1,$C$7,IF(J199="",0,J199))+IF($H200="",0,$H200)-IF($I200="",0,$I200))</f>
        <v/>
      </c>
      <c r="K200" s="29">
        <f>IF($P200="","",IF(INDEX(EntryMan,$P200)=0,"",INDEX(EntryMan,$P200)))</f>
        <v/>
      </c>
      <c r="L200" s="28">
        <f>IF($B200="","",IF($K200="","—",IF(ROUND($K200-$J200,0)=0,"√","×")))</f>
        <v/>
      </c>
      <c r="M200" s="28">
        <f>IF($B200="","",IF(COUNTIFS(EntryDates,$B200,CalcTime,$C200,CalcBank,$C$5,EntryParty,$D200,EntryDep,$H200,EntryWit,$I200)&gt;1,"تکرار",""))</f>
        <v/>
      </c>
      <c r="N200" s="28">
        <f>IF($P200="","",IF(INDEX(EntryNotes,$P200)=0,"",INDEX(EntryNotes,$P200)))</f>
        <v/>
      </c>
      <c r="O200" s="28">
        <f>IF($P200="","",IF(INDEX(EntryTxnID,$P200)=0,"",INDEX(EntryTxnID,$P200)))</f>
        <v/>
      </c>
      <c r="P200" s="28">
        <f>IFERROR(MATCH($C$5&amp;"|"&amp;RIGHT("000000"&amp;184,6),CalcRankKey,0),"")</f>
        <v/>
      </c>
    </row>
    <row r="201">
      <c r="A201" s="26">
        <f>IF($B201="","",185)</f>
        <v/>
      </c>
      <c r="B201" s="26">
        <f>IF($P201="","",IF(INDEX(CalcNormDate,$P201)=0,"",INDEX(CalcNormDate,$P201)))</f>
        <v/>
      </c>
      <c r="C201" s="26">
        <f>IF($P201="","",IF(INDEX(CalcTime,$P201)=0,"",INDEX(CalcTime,$P201)))</f>
        <v/>
      </c>
      <c r="D201" s="26">
        <f>IF($P201="","",IF(INDEX(EntryParty,$P201)=0,"",INDEX(EntryParty,$P201)))</f>
        <v/>
      </c>
      <c r="E201" s="26">
        <f>IF($P201="","",IF(INDEX(EntryPartyName,$P201)=0,"",INDEX(EntryPartyName,$P201)))</f>
        <v/>
      </c>
      <c r="F201" s="26">
        <f>IF($P201="","",IF(INDEX(EntryPartyType,$P201)=0,"",INDEX(EntryPartyType,$P201)))</f>
        <v/>
      </c>
      <c r="G201" s="26">
        <f>IF($P201="","",IF(INDEX(EntryTxnType,$P201)=0,"",INDEX(EntryTxnType,$P201)))</f>
        <v/>
      </c>
      <c r="H201" s="27">
        <f>IF($P201="","",IF(INDEX(EntryDep,$P201)=0,"",INDEX(EntryDep,$P201)))</f>
        <v/>
      </c>
      <c r="I201" s="27">
        <f>IF($P201="","",IF(INDEX(EntryWit,$P201)=0,"",INDEX(EntryWit,$P201)))</f>
        <v/>
      </c>
      <c r="J201" s="27">
        <f>IF($B201="","",IF($A201=1,$C$7,IF(J200="",0,J200))+IF($H201="",0,$H201)-IF($I201="",0,$I201))</f>
        <v/>
      </c>
      <c r="K201" s="27">
        <f>IF($P201="","",IF(INDEX(EntryMan,$P201)=0,"",INDEX(EntryMan,$P201)))</f>
        <v/>
      </c>
      <c r="L201" s="26">
        <f>IF($B201="","",IF($K201="","—",IF(ROUND($K201-$J201,0)=0,"√","×")))</f>
        <v/>
      </c>
      <c r="M201" s="26">
        <f>IF($B201="","",IF(COUNTIFS(EntryDates,$B201,CalcTime,$C201,CalcBank,$C$5,EntryParty,$D201,EntryDep,$H201,EntryWit,$I201)&gt;1,"تکرار",""))</f>
        <v/>
      </c>
      <c r="N201" s="26">
        <f>IF($P201="","",IF(INDEX(EntryNotes,$P201)=0,"",INDEX(EntryNotes,$P201)))</f>
        <v/>
      </c>
      <c r="O201" s="26">
        <f>IF($P201="","",IF(INDEX(EntryTxnID,$P201)=0,"",INDEX(EntryTxnID,$P201)))</f>
        <v/>
      </c>
      <c r="P201" s="26">
        <f>IFERROR(MATCH($C$5&amp;"|"&amp;RIGHT("000000"&amp;185,6),CalcRankKey,0),"")</f>
        <v/>
      </c>
    </row>
    <row r="202">
      <c r="A202" s="28">
        <f>IF($B202="","",186)</f>
        <v/>
      </c>
      <c r="B202" s="28">
        <f>IF($P202="","",IF(INDEX(CalcNormDate,$P202)=0,"",INDEX(CalcNormDate,$P202)))</f>
        <v/>
      </c>
      <c r="C202" s="28">
        <f>IF($P202="","",IF(INDEX(CalcTime,$P202)=0,"",INDEX(CalcTime,$P202)))</f>
        <v/>
      </c>
      <c r="D202" s="28">
        <f>IF($P202="","",IF(INDEX(EntryParty,$P202)=0,"",INDEX(EntryParty,$P202)))</f>
        <v/>
      </c>
      <c r="E202" s="28">
        <f>IF($P202="","",IF(INDEX(EntryPartyName,$P202)=0,"",INDEX(EntryPartyName,$P202)))</f>
        <v/>
      </c>
      <c r="F202" s="28">
        <f>IF($P202="","",IF(INDEX(EntryPartyType,$P202)=0,"",INDEX(EntryPartyType,$P202)))</f>
        <v/>
      </c>
      <c r="G202" s="28">
        <f>IF($P202="","",IF(INDEX(EntryTxnType,$P202)=0,"",INDEX(EntryTxnType,$P202)))</f>
        <v/>
      </c>
      <c r="H202" s="29">
        <f>IF($P202="","",IF(INDEX(EntryDep,$P202)=0,"",INDEX(EntryDep,$P202)))</f>
        <v/>
      </c>
      <c r="I202" s="29">
        <f>IF($P202="","",IF(INDEX(EntryWit,$P202)=0,"",INDEX(EntryWit,$P202)))</f>
        <v/>
      </c>
      <c r="J202" s="29">
        <f>IF($B202="","",IF($A202=1,$C$7,IF(J201="",0,J201))+IF($H202="",0,$H202)-IF($I202="",0,$I202))</f>
        <v/>
      </c>
      <c r="K202" s="29">
        <f>IF($P202="","",IF(INDEX(EntryMan,$P202)=0,"",INDEX(EntryMan,$P202)))</f>
        <v/>
      </c>
      <c r="L202" s="28">
        <f>IF($B202="","",IF($K202="","—",IF(ROUND($K202-$J202,0)=0,"√","×")))</f>
        <v/>
      </c>
      <c r="M202" s="28">
        <f>IF($B202="","",IF(COUNTIFS(EntryDates,$B202,CalcTime,$C202,CalcBank,$C$5,EntryParty,$D202,EntryDep,$H202,EntryWit,$I202)&gt;1,"تکرار",""))</f>
        <v/>
      </c>
      <c r="N202" s="28">
        <f>IF($P202="","",IF(INDEX(EntryNotes,$P202)=0,"",INDEX(EntryNotes,$P202)))</f>
        <v/>
      </c>
      <c r="O202" s="28">
        <f>IF($P202="","",IF(INDEX(EntryTxnID,$P202)=0,"",INDEX(EntryTxnID,$P202)))</f>
        <v/>
      </c>
      <c r="P202" s="28">
        <f>IFERROR(MATCH($C$5&amp;"|"&amp;RIGHT("000000"&amp;186,6),CalcRankKey,0),"")</f>
        <v/>
      </c>
    </row>
    <row r="203">
      <c r="A203" s="26">
        <f>IF($B203="","",187)</f>
        <v/>
      </c>
      <c r="B203" s="26">
        <f>IF($P203="","",IF(INDEX(CalcNormDate,$P203)=0,"",INDEX(CalcNormDate,$P203)))</f>
        <v/>
      </c>
      <c r="C203" s="26">
        <f>IF($P203="","",IF(INDEX(CalcTime,$P203)=0,"",INDEX(CalcTime,$P203)))</f>
        <v/>
      </c>
      <c r="D203" s="26">
        <f>IF($P203="","",IF(INDEX(EntryParty,$P203)=0,"",INDEX(EntryParty,$P203)))</f>
        <v/>
      </c>
      <c r="E203" s="26">
        <f>IF($P203="","",IF(INDEX(EntryPartyName,$P203)=0,"",INDEX(EntryPartyName,$P203)))</f>
        <v/>
      </c>
      <c r="F203" s="26">
        <f>IF($P203="","",IF(INDEX(EntryPartyType,$P203)=0,"",INDEX(EntryPartyType,$P203)))</f>
        <v/>
      </c>
      <c r="G203" s="26">
        <f>IF($P203="","",IF(INDEX(EntryTxnType,$P203)=0,"",INDEX(EntryTxnType,$P203)))</f>
        <v/>
      </c>
      <c r="H203" s="27">
        <f>IF($P203="","",IF(INDEX(EntryDep,$P203)=0,"",INDEX(EntryDep,$P203)))</f>
        <v/>
      </c>
      <c r="I203" s="27">
        <f>IF($P203="","",IF(INDEX(EntryWit,$P203)=0,"",INDEX(EntryWit,$P203)))</f>
        <v/>
      </c>
      <c r="J203" s="27">
        <f>IF($B203="","",IF($A203=1,$C$7,IF(J202="",0,J202))+IF($H203="",0,$H203)-IF($I203="",0,$I203))</f>
        <v/>
      </c>
      <c r="K203" s="27">
        <f>IF($P203="","",IF(INDEX(EntryMan,$P203)=0,"",INDEX(EntryMan,$P203)))</f>
        <v/>
      </c>
      <c r="L203" s="26">
        <f>IF($B203="","",IF($K203="","—",IF(ROUND($K203-$J203,0)=0,"√","×")))</f>
        <v/>
      </c>
      <c r="M203" s="26">
        <f>IF($B203="","",IF(COUNTIFS(EntryDates,$B203,CalcTime,$C203,CalcBank,$C$5,EntryParty,$D203,EntryDep,$H203,EntryWit,$I203)&gt;1,"تکرار",""))</f>
        <v/>
      </c>
      <c r="N203" s="26">
        <f>IF($P203="","",IF(INDEX(EntryNotes,$P203)=0,"",INDEX(EntryNotes,$P203)))</f>
        <v/>
      </c>
      <c r="O203" s="26">
        <f>IF($P203="","",IF(INDEX(EntryTxnID,$P203)=0,"",INDEX(EntryTxnID,$P203)))</f>
        <v/>
      </c>
      <c r="P203" s="26">
        <f>IFERROR(MATCH($C$5&amp;"|"&amp;RIGHT("000000"&amp;187,6),CalcRankKey,0),"")</f>
        <v/>
      </c>
    </row>
    <row r="204">
      <c r="A204" s="28">
        <f>IF($B204="","",188)</f>
        <v/>
      </c>
      <c r="B204" s="28">
        <f>IF($P204="","",IF(INDEX(CalcNormDate,$P204)=0,"",INDEX(CalcNormDate,$P204)))</f>
        <v/>
      </c>
      <c r="C204" s="28">
        <f>IF($P204="","",IF(INDEX(CalcTime,$P204)=0,"",INDEX(CalcTime,$P204)))</f>
        <v/>
      </c>
      <c r="D204" s="28">
        <f>IF($P204="","",IF(INDEX(EntryParty,$P204)=0,"",INDEX(EntryParty,$P204)))</f>
        <v/>
      </c>
      <c r="E204" s="28">
        <f>IF($P204="","",IF(INDEX(EntryPartyName,$P204)=0,"",INDEX(EntryPartyName,$P204)))</f>
        <v/>
      </c>
      <c r="F204" s="28">
        <f>IF($P204="","",IF(INDEX(EntryPartyType,$P204)=0,"",INDEX(EntryPartyType,$P204)))</f>
        <v/>
      </c>
      <c r="G204" s="28">
        <f>IF($P204="","",IF(INDEX(EntryTxnType,$P204)=0,"",INDEX(EntryTxnType,$P204)))</f>
        <v/>
      </c>
      <c r="H204" s="29">
        <f>IF($P204="","",IF(INDEX(EntryDep,$P204)=0,"",INDEX(EntryDep,$P204)))</f>
        <v/>
      </c>
      <c r="I204" s="29">
        <f>IF($P204="","",IF(INDEX(EntryWit,$P204)=0,"",INDEX(EntryWit,$P204)))</f>
        <v/>
      </c>
      <c r="J204" s="29">
        <f>IF($B204="","",IF($A204=1,$C$7,IF(J203="",0,J203))+IF($H204="",0,$H204)-IF($I204="",0,$I204))</f>
        <v/>
      </c>
      <c r="K204" s="29">
        <f>IF($P204="","",IF(INDEX(EntryMan,$P204)=0,"",INDEX(EntryMan,$P204)))</f>
        <v/>
      </c>
      <c r="L204" s="28">
        <f>IF($B204="","",IF($K204="","—",IF(ROUND($K204-$J204,0)=0,"√","×")))</f>
        <v/>
      </c>
      <c r="M204" s="28">
        <f>IF($B204="","",IF(COUNTIFS(EntryDates,$B204,CalcTime,$C204,CalcBank,$C$5,EntryParty,$D204,EntryDep,$H204,EntryWit,$I204)&gt;1,"تکرار",""))</f>
        <v/>
      </c>
      <c r="N204" s="28">
        <f>IF($P204="","",IF(INDEX(EntryNotes,$P204)=0,"",INDEX(EntryNotes,$P204)))</f>
        <v/>
      </c>
      <c r="O204" s="28">
        <f>IF($P204="","",IF(INDEX(EntryTxnID,$P204)=0,"",INDEX(EntryTxnID,$P204)))</f>
        <v/>
      </c>
      <c r="P204" s="28">
        <f>IFERROR(MATCH($C$5&amp;"|"&amp;RIGHT("000000"&amp;188,6),CalcRankKey,0),"")</f>
        <v/>
      </c>
    </row>
    <row r="205">
      <c r="A205" s="26">
        <f>IF($B205="","",189)</f>
        <v/>
      </c>
      <c r="B205" s="26">
        <f>IF($P205="","",IF(INDEX(CalcNormDate,$P205)=0,"",INDEX(CalcNormDate,$P205)))</f>
        <v/>
      </c>
      <c r="C205" s="26">
        <f>IF($P205="","",IF(INDEX(CalcTime,$P205)=0,"",INDEX(CalcTime,$P205)))</f>
        <v/>
      </c>
      <c r="D205" s="26">
        <f>IF($P205="","",IF(INDEX(EntryParty,$P205)=0,"",INDEX(EntryParty,$P205)))</f>
        <v/>
      </c>
      <c r="E205" s="26">
        <f>IF($P205="","",IF(INDEX(EntryPartyName,$P205)=0,"",INDEX(EntryPartyName,$P205)))</f>
        <v/>
      </c>
      <c r="F205" s="26">
        <f>IF($P205="","",IF(INDEX(EntryPartyType,$P205)=0,"",INDEX(EntryPartyType,$P205)))</f>
        <v/>
      </c>
      <c r="G205" s="26">
        <f>IF($P205="","",IF(INDEX(EntryTxnType,$P205)=0,"",INDEX(EntryTxnType,$P205)))</f>
        <v/>
      </c>
      <c r="H205" s="27">
        <f>IF($P205="","",IF(INDEX(EntryDep,$P205)=0,"",INDEX(EntryDep,$P205)))</f>
        <v/>
      </c>
      <c r="I205" s="27">
        <f>IF($P205="","",IF(INDEX(EntryWit,$P205)=0,"",INDEX(EntryWit,$P205)))</f>
        <v/>
      </c>
      <c r="J205" s="27">
        <f>IF($B205="","",IF($A205=1,$C$7,IF(J204="",0,J204))+IF($H205="",0,$H205)-IF($I205="",0,$I205))</f>
        <v/>
      </c>
      <c r="K205" s="27">
        <f>IF($P205="","",IF(INDEX(EntryMan,$P205)=0,"",INDEX(EntryMan,$P205)))</f>
        <v/>
      </c>
      <c r="L205" s="26">
        <f>IF($B205="","",IF($K205="","—",IF(ROUND($K205-$J205,0)=0,"√","×")))</f>
        <v/>
      </c>
      <c r="M205" s="26">
        <f>IF($B205="","",IF(COUNTIFS(EntryDates,$B205,CalcTime,$C205,CalcBank,$C$5,EntryParty,$D205,EntryDep,$H205,EntryWit,$I205)&gt;1,"تکرار",""))</f>
        <v/>
      </c>
      <c r="N205" s="26">
        <f>IF($P205="","",IF(INDEX(EntryNotes,$P205)=0,"",INDEX(EntryNotes,$P205)))</f>
        <v/>
      </c>
      <c r="O205" s="26">
        <f>IF($P205="","",IF(INDEX(EntryTxnID,$P205)=0,"",INDEX(EntryTxnID,$P205)))</f>
        <v/>
      </c>
      <c r="P205" s="26">
        <f>IFERROR(MATCH($C$5&amp;"|"&amp;RIGHT("000000"&amp;189,6),CalcRankKey,0),"")</f>
        <v/>
      </c>
    </row>
    <row r="206">
      <c r="A206" s="28">
        <f>IF($B206="","",190)</f>
        <v/>
      </c>
      <c r="B206" s="28">
        <f>IF($P206="","",IF(INDEX(CalcNormDate,$P206)=0,"",INDEX(CalcNormDate,$P206)))</f>
        <v/>
      </c>
      <c r="C206" s="28">
        <f>IF($P206="","",IF(INDEX(CalcTime,$P206)=0,"",INDEX(CalcTime,$P206)))</f>
        <v/>
      </c>
      <c r="D206" s="28">
        <f>IF($P206="","",IF(INDEX(EntryParty,$P206)=0,"",INDEX(EntryParty,$P206)))</f>
        <v/>
      </c>
      <c r="E206" s="28">
        <f>IF($P206="","",IF(INDEX(EntryPartyName,$P206)=0,"",INDEX(EntryPartyName,$P206)))</f>
        <v/>
      </c>
      <c r="F206" s="28">
        <f>IF($P206="","",IF(INDEX(EntryPartyType,$P206)=0,"",INDEX(EntryPartyType,$P206)))</f>
        <v/>
      </c>
      <c r="G206" s="28">
        <f>IF($P206="","",IF(INDEX(EntryTxnType,$P206)=0,"",INDEX(EntryTxnType,$P206)))</f>
        <v/>
      </c>
      <c r="H206" s="29">
        <f>IF($P206="","",IF(INDEX(EntryDep,$P206)=0,"",INDEX(EntryDep,$P206)))</f>
        <v/>
      </c>
      <c r="I206" s="29">
        <f>IF($P206="","",IF(INDEX(EntryWit,$P206)=0,"",INDEX(EntryWit,$P206)))</f>
        <v/>
      </c>
      <c r="J206" s="29">
        <f>IF($B206="","",IF($A206=1,$C$7,IF(J205="",0,J205))+IF($H206="",0,$H206)-IF($I206="",0,$I206))</f>
        <v/>
      </c>
      <c r="K206" s="29">
        <f>IF($P206="","",IF(INDEX(EntryMan,$P206)=0,"",INDEX(EntryMan,$P206)))</f>
        <v/>
      </c>
      <c r="L206" s="28">
        <f>IF($B206="","",IF($K206="","—",IF(ROUND($K206-$J206,0)=0,"√","×")))</f>
        <v/>
      </c>
      <c r="M206" s="28">
        <f>IF($B206="","",IF(COUNTIFS(EntryDates,$B206,CalcTime,$C206,CalcBank,$C$5,EntryParty,$D206,EntryDep,$H206,EntryWit,$I206)&gt;1,"تکرار",""))</f>
        <v/>
      </c>
      <c r="N206" s="28">
        <f>IF($P206="","",IF(INDEX(EntryNotes,$P206)=0,"",INDEX(EntryNotes,$P206)))</f>
        <v/>
      </c>
      <c r="O206" s="28">
        <f>IF($P206="","",IF(INDEX(EntryTxnID,$P206)=0,"",INDEX(EntryTxnID,$P206)))</f>
        <v/>
      </c>
      <c r="P206" s="28">
        <f>IFERROR(MATCH($C$5&amp;"|"&amp;RIGHT("000000"&amp;190,6),CalcRankKey,0),"")</f>
        <v/>
      </c>
    </row>
    <row r="207">
      <c r="A207" s="26">
        <f>IF($B207="","",191)</f>
        <v/>
      </c>
      <c r="B207" s="26">
        <f>IF($P207="","",IF(INDEX(CalcNormDate,$P207)=0,"",INDEX(CalcNormDate,$P207)))</f>
        <v/>
      </c>
      <c r="C207" s="26">
        <f>IF($P207="","",IF(INDEX(CalcTime,$P207)=0,"",INDEX(CalcTime,$P207)))</f>
        <v/>
      </c>
      <c r="D207" s="26">
        <f>IF($P207="","",IF(INDEX(EntryParty,$P207)=0,"",INDEX(EntryParty,$P207)))</f>
        <v/>
      </c>
      <c r="E207" s="26">
        <f>IF($P207="","",IF(INDEX(EntryPartyName,$P207)=0,"",INDEX(EntryPartyName,$P207)))</f>
        <v/>
      </c>
      <c r="F207" s="26">
        <f>IF($P207="","",IF(INDEX(EntryPartyType,$P207)=0,"",INDEX(EntryPartyType,$P207)))</f>
        <v/>
      </c>
      <c r="G207" s="26">
        <f>IF($P207="","",IF(INDEX(EntryTxnType,$P207)=0,"",INDEX(EntryTxnType,$P207)))</f>
        <v/>
      </c>
      <c r="H207" s="27">
        <f>IF($P207="","",IF(INDEX(EntryDep,$P207)=0,"",INDEX(EntryDep,$P207)))</f>
        <v/>
      </c>
      <c r="I207" s="27">
        <f>IF($P207="","",IF(INDEX(EntryWit,$P207)=0,"",INDEX(EntryWit,$P207)))</f>
        <v/>
      </c>
      <c r="J207" s="27">
        <f>IF($B207="","",IF($A207=1,$C$7,IF(J206="",0,J206))+IF($H207="",0,$H207)-IF($I207="",0,$I207))</f>
        <v/>
      </c>
      <c r="K207" s="27">
        <f>IF($P207="","",IF(INDEX(EntryMan,$P207)=0,"",INDEX(EntryMan,$P207)))</f>
        <v/>
      </c>
      <c r="L207" s="26">
        <f>IF($B207="","",IF($K207="","—",IF(ROUND($K207-$J207,0)=0,"√","×")))</f>
        <v/>
      </c>
      <c r="M207" s="26">
        <f>IF($B207="","",IF(COUNTIFS(EntryDates,$B207,CalcTime,$C207,CalcBank,$C$5,EntryParty,$D207,EntryDep,$H207,EntryWit,$I207)&gt;1,"تکرار",""))</f>
        <v/>
      </c>
      <c r="N207" s="26">
        <f>IF($P207="","",IF(INDEX(EntryNotes,$P207)=0,"",INDEX(EntryNotes,$P207)))</f>
        <v/>
      </c>
      <c r="O207" s="26">
        <f>IF($P207="","",IF(INDEX(EntryTxnID,$P207)=0,"",INDEX(EntryTxnID,$P207)))</f>
        <v/>
      </c>
      <c r="P207" s="26">
        <f>IFERROR(MATCH($C$5&amp;"|"&amp;RIGHT("000000"&amp;191,6),CalcRankKey,0),"")</f>
        <v/>
      </c>
    </row>
    <row r="208">
      <c r="A208" s="28">
        <f>IF($B208="","",192)</f>
        <v/>
      </c>
      <c r="B208" s="28">
        <f>IF($P208="","",IF(INDEX(CalcNormDate,$P208)=0,"",INDEX(CalcNormDate,$P208)))</f>
        <v/>
      </c>
      <c r="C208" s="28">
        <f>IF($P208="","",IF(INDEX(CalcTime,$P208)=0,"",INDEX(CalcTime,$P208)))</f>
        <v/>
      </c>
      <c r="D208" s="28">
        <f>IF($P208="","",IF(INDEX(EntryParty,$P208)=0,"",INDEX(EntryParty,$P208)))</f>
        <v/>
      </c>
      <c r="E208" s="28">
        <f>IF($P208="","",IF(INDEX(EntryPartyName,$P208)=0,"",INDEX(EntryPartyName,$P208)))</f>
        <v/>
      </c>
      <c r="F208" s="28">
        <f>IF($P208="","",IF(INDEX(EntryPartyType,$P208)=0,"",INDEX(EntryPartyType,$P208)))</f>
        <v/>
      </c>
      <c r="G208" s="28">
        <f>IF($P208="","",IF(INDEX(EntryTxnType,$P208)=0,"",INDEX(EntryTxnType,$P208)))</f>
        <v/>
      </c>
      <c r="H208" s="29">
        <f>IF($P208="","",IF(INDEX(EntryDep,$P208)=0,"",INDEX(EntryDep,$P208)))</f>
        <v/>
      </c>
      <c r="I208" s="29">
        <f>IF($P208="","",IF(INDEX(EntryWit,$P208)=0,"",INDEX(EntryWit,$P208)))</f>
        <v/>
      </c>
      <c r="J208" s="29">
        <f>IF($B208="","",IF($A208=1,$C$7,IF(J207="",0,J207))+IF($H208="",0,$H208)-IF($I208="",0,$I208))</f>
        <v/>
      </c>
      <c r="K208" s="29">
        <f>IF($P208="","",IF(INDEX(EntryMan,$P208)=0,"",INDEX(EntryMan,$P208)))</f>
        <v/>
      </c>
      <c r="L208" s="28">
        <f>IF($B208="","",IF($K208="","—",IF(ROUND($K208-$J208,0)=0,"√","×")))</f>
        <v/>
      </c>
      <c r="M208" s="28">
        <f>IF($B208="","",IF(COUNTIFS(EntryDates,$B208,CalcTime,$C208,CalcBank,$C$5,EntryParty,$D208,EntryDep,$H208,EntryWit,$I208)&gt;1,"تکرار",""))</f>
        <v/>
      </c>
      <c r="N208" s="28">
        <f>IF($P208="","",IF(INDEX(EntryNotes,$P208)=0,"",INDEX(EntryNotes,$P208)))</f>
        <v/>
      </c>
      <c r="O208" s="28">
        <f>IF($P208="","",IF(INDEX(EntryTxnID,$P208)=0,"",INDEX(EntryTxnID,$P208)))</f>
        <v/>
      </c>
      <c r="P208" s="28">
        <f>IFERROR(MATCH($C$5&amp;"|"&amp;RIGHT("000000"&amp;192,6),CalcRankKey,0),"")</f>
        <v/>
      </c>
    </row>
    <row r="209">
      <c r="A209" s="26">
        <f>IF($B209="","",193)</f>
        <v/>
      </c>
      <c r="B209" s="26">
        <f>IF($P209="","",IF(INDEX(CalcNormDate,$P209)=0,"",INDEX(CalcNormDate,$P209)))</f>
        <v/>
      </c>
      <c r="C209" s="26">
        <f>IF($P209="","",IF(INDEX(CalcTime,$P209)=0,"",INDEX(CalcTime,$P209)))</f>
        <v/>
      </c>
      <c r="D209" s="26">
        <f>IF($P209="","",IF(INDEX(EntryParty,$P209)=0,"",INDEX(EntryParty,$P209)))</f>
        <v/>
      </c>
      <c r="E209" s="26">
        <f>IF($P209="","",IF(INDEX(EntryPartyName,$P209)=0,"",INDEX(EntryPartyName,$P209)))</f>
        <v/>
      </c>
      <c r="F209" s="26">
        <f>IF($P209="","",IF(INDEX(EntryPartyType,$P209)=0,"",INDEX(EntryPartyType,$P209)))</f>
        <v/>
      </c>
      <c r="G209" s="26">
        <f>IF($P209="","",IF(INDEX(EntryTxnType,$P209)=0,"",INDEX(EntryTxnType,$P209)))</f>
        <v/>
      </c>
      <c r="H209" s="27">
        <f>IF($P209="","",IF(INDEX(EntryDep,$P209)=0,"",INDEX(EntryDep,$P209)))</f>
        <v/>
      </c>
      <c r="I209" s="27">
        <f>IF($P209="","",IF(INDEX(EntryWit,$P209)=0,"",INDEX(EntryWit,$P209)))</f>
        <v/>
      </c>
      <c r="J209" s="27">
        <f>IF($B209="","",IF($A209=1,$C$7,IF(J208="",0,J208))+IF($H209="",0,$H209)-IF($I209="",0,$I209))</f>
        <v/>
      </c>
      <c r="K209" s="27">
        <f>IF($P209="","",IF(INDEX(EntryMan,$P209)=0,"",INDEX(EntryMan,$P209)))</f>
        <v/>
      </c>
      <c r="L209" s="26">
        <f>IF($B209="","",IF($K209="","—",IF(ROUND($K209-$J209,0)=0,"√","×")))</f>
        <v/>
      </c>
      <c r="M209" s="26">
        <f>IF($B209="","",IF(COUNTIFS(EntryDates,$B209,CalcTime,$C209,CalcBank,$C$5,EntryParty,$D209,EntryDep,$H209,EntryWit,$I209)&gt;1,"تکرار",""))</f>
        <v/>
      </c>
      <c r="N209" s="26">
        <f>IF($P209="","",IF(INDEX(EntryNotes,$P209)=0,"",INDEX(EntryNotes,$P209)))</f>
        <v/>
      </c>
      <c r="O209" s="26">
        <f>IF($P209="","",IF(INDEX(EntryTxnID,$P209)=0,"",INDEX(EntryTxnID,$P209)))</f>
        <v/>
      </c>
      <c r="P209" s="26">
        <f>IFERROR(MATCH($C$5&amp;"|"&amp;RIGHT("000000"&amp;193,6),CalcRankKey,0),"")</f>
        <v/>
      </c>
    </row>
    <row r="210">
      <c r="A210" s="28">
        <f>IF($B210="","",194)</f>
        <v/>
      </c>
      <c r="B210" s="28">
        <f>IF($P210="","",IF(INDEX(CalcNormDate,$P210)=0,"",INDEX(CalcNormDate,$P210)))</f>
        <v/>
      </c>
      <c r="C210" s="28">
        <f>IF($P210="","",IF(INDEX(CalcTime,$P210)=0,"",INDEX(CalcTime,$P210)))</f>
        <v/>
      </c>
      <c r="D210" s="28">
        <f>IF($P210="","",IF(INDEX(EntryParty,$P210)=0,"",INDEX(EntryParty,$P210)))</f>
        <v/>
      </c>
      <c r="E210" s="28">
        <f>IF($P210="","",IF(INDEX(EntryPartyName,$P210)=0,"",INDEX(EntryPartyName,$P210)))</f>
        <v/>
      </c>
      <c r="F210" s="28">
        <f>IF($P210="","",IF(INDEX(EntryPartyType,$P210)=0,"",INDEX(EntryPartyType,$P210)))</f>
        <v/>
      </c>
      <c r="G210" s="28">
        <f>IF($P210="","",IF(INDEX(EntryTxnType,$P210)=0,"",INDEX(EntryTxnType,$P210)))</f>
        <v/>
      </c>
      <c r="H210" s="29">
        <f>IF($P210="","",IF(INDEX(EntryDep,$P210)=0,"",INDEX(EntryDep,$P210)))</f>
        <v/>
      </c>
      <c r="I210" s="29">
        <f>IF($P210="","",IF(INDEX(EntryWit,$P210)=0,"",INDEX(EntryWit,$P210)))</f>
        <v/>
      </c>
      <c r="J210" s="29">
        <f>IF($B210="","",IF($A210=1,$C$7,IF(J209="",0,J209))+IF($H210="",0,$H210)-IF($I210="",0,$I210))</f>
        <v/>
      </c>
      <c r="K210" s="29">
        <f>IF($P210="","",IF(INDEX(EntryMan,$P210)=0,"",INDEX(EntryMan,$P210)))</f>
        <v/>
      </c>
      <c r="L210" s="28">
        <f>IF($B210="","",IF($K210="","—",IF(ROUND($K210-$J210,0)=0,"√","×")))</f>
        <v/>
      </c>
      <c r="M210" s="28">
        <f>IF($B210="","",IF(COUNTIFS(EntryDates,$B210,CalcTime,$C210,CalcBank,$C$5,EntryParty,$D210,EntryDep,$H210,EntryWit,$I210)&gt;1,"تکرار",""))</f>
        <v/>
      </c>
      <c r="N210" s="28">
        <f>IF($P210="","",IF(INDEX(EntryNotes,$P210)=0,"",INDEX(EntryNotes,$P210)))</f>
        <v/>
      </c>
      <c r="O210" s="28">
        <f>IF($P210="","",IF(INDEX(EntryTxnID,$P210)=0,"",INDEX(EntryTxnID,$P210)))</f>
        <v/>
      </c>
      <c r="P210" s="28">
        <f>IFERROR(MATCH($C$5&amp;"|"&amp;RIGHT("000000"&amp;194,6),CalcRankKey,0),"")</f>
        <v/>
      </c>
    </row>
    <row r="211">
      <c r="A211" s="26">
        <f>IF($B211="","",195)</f>
        <v/>
      </c>
      <c r="B211" s="26">
        <f>IF($P211="","",IF(INDEX(CalcNormDate,$P211)=0,"",INDEX(CalcNormDate,$P211)))</f>
        <v/>
      </c>
      <c r="C211" s="26">
        <f>IF($P211="","",IF(INDEX(CalcTime,$P211)=0,"",INDEX(CalcTime,$P211)))</f>
        <v/>
      </c>
      <c r="D211" s="26">
        <f>IF($P211="","",IF(INDEX(EntryParty,$P211)=0,"",INDEX(EntryParty,$P211)))</f>
        <v/>
      </c>
      <c r="E211" s="26">
        <f>IF($P211="","",IF(INDEX(EntryPartyName,$P211)=0,"",INDEX(EntryPartyName,$P211)))</f>
        <v/>
      </c>
      <c r="F211" s="26">
        <f>IF($P211="","",IF(INDEX(EntryPartyType,$P211)=0,"",INDEX(EntryPartyType,$P211)))</f>
        <v/>
      </c>
      <c r="G211" s="26">
        <f>IF($P211="","",IF(INDEX(EntryTxnType,$P211)=0,"",INDEX(EntryTxnType,$P211)))</f>
        <v/>
      </c>
      <c r="H211" s="27">
        <f>IF($P211="","",IF(INDEX(EntryDep,$P211)=0,"",INDEX(EntryDep,$P211)))</f>
        <v/>
      </c>
      <c r="I211" s="27">
        <f>IF($P211="","",IF(INDEX(EntryWit,$P211)=0,"",INDEX(EntryWit,$P211)))</f>
        <v/>
      </c>
      <c r="J211" s="27">
        <f>IF($B211="","",IF($A211=1,$C$7,IF(J210="",0,J210))+IF($H211="",0,$H211)-IF($I211="",0,$I211))</f>
        <v/>
      </c>
      <c r="K211" s="27">
        <f>IF($P211="","",IF(INDEX(EntryMan,$P211)=0,"",INDEX(EntryMan,$P211)))</f>
        <v/>
      </c>
      <c r="L211" s="26">
        <f>IF($B211="","",IF($K211="","—",IF(ROUND($K211-$J211,0)=0,"√","×")))</f>
        <v/>
      </c>
      <c r="M211" s="26">
        <f>IF($B211="","",IF(COUNTIFS(EntryDates,$B211,CalcTime,$C211,CalcBank,$C$5,EntryParty,$D211,EntryDep,$H211,EntryWit,$I211)&gt;1,"تکرار",""))</f>
        <v/>
      </c>
      <c r="N211" s="26">
        <f>IF($P211="","",IF(INDEX(EntryNotes,$P211)=0,"",INDEX(EntryNotes,$P211)))</f>
        <v/>
      </c>
      <c r="O211" s="26">
        <f>IF($P211="","",IF(INDEX(EntryTxnID,$P211)=0,"",INDEX(EntryTxnID,$P211)))</f>
        <v/>
      </c>
      <c r="P211" s="26">
        <f>IFERROR(MATCH($C$5&amp;"|"&amp;RIGHT("000000"&amp;195,6),CalcRankKey,0),"")</f>
        <v/>
      </c>
    </row>
    <row r="212">
      <c r="A212" s="28">
        <f>IF($B212="","",196)</f>
        <v/>
      </c>
      <c r="B212" s="28">
        <f>IF($P212="","",IF(INDEX(CalcNormDate,$P212)=0,"",INDEX(CalcNormDate,$P212)))</f>
        <v/>
      </c>
      <c r="C212" s="28">
        <f>IF($P212="","",IF(INDEX(CalcTime,$P212)=0,"",INDEX(CalcTime,$P212)))</f>
        <v/>
      </c>
      <c r="D212" s="28">
        <f>IF($P212="","",IF(INDEX(EntryParty,$P212)=0,"",INDEX(EntryParty,$P212)))</f>
        <v/>
      </c>
      <c r="E212" s="28">
        <f>IF($P212="","",IF(INDEX(EntryPartyName,$P212)=0,"",INDEX(EntryPartyName,$P212)))</f>
        <v/>
      </c>
      <c r="F212" s="28">
        <f>IF($P212="","",IF(INDEX(EntryPartyType,$P212)=0,"",INDEX(EntryPartyType,$P212)))</f>
        <v/>
      </c>
      <c r="G212" s="28">
        <f>IF($P212="","",IF(INDEX(EntryTxnType,$P212)=0,"",INDEX(EntryTxnType,$P212)))</f>
        <v/>
      </c>
      <c r="H212" s="29">
        <f>IF($P212="","",IF(INDEX(EntryDep,$P212)=0,"",INDEX(EntryDep,$P212)))</f>
        <v/>
      </c>
      <c r="I212" s="29">
        <f>IF($P212="","",IF(INDEX(EntryWit,$P212)=0,"",INDEX(EntryWit,$P212)))</f>
        <v/>
      </c>
      <c r="J212" s="29">
        <f>IF($B212="","",IF($A212=1,$C$7,IF(J211="",0,J211))+IF($H212="",0,$H212)-IF($I212="",0,$I212))</f>
        <v/>
      </c>
      <c r="K212" s="29">
        <f>IF($P212="","",IF(INDEX(EntryMan,$P212)=0,"",INDEX(EntryMan,$P212)))</f>
        <v/>
      </c>
      <c r="L212" s="28">
        <f>IF($B212="","",IF($K212="","—",IF(ROUND($K212-$J212,0)=0,"√","×")))</f>
        <v/>
      </c>
      <c r="M212" s="28">
        <f>IF($B212="","",IF(COUNTIFS(EntryDates,$B212,CalcTime,$C212,CalcBank,$C$5,EntryParty,$D212,EntryDep,$H212,EntryWit,$I212)&gt;1,"تکرار",""))</f>
        <v/>
      </c>
      <c r="N212" s="28">
        <f>IF($P212="","",IF(INDEX(EntryNotes,$P212)=0,"",INDEX(EntryNotes,$P212)))</f>
        <v/>
      </c>
      <c r="O212" s="28">
        <f>IF($P212="","",IF(INDEX(EntryTxnID,$P212)=0,"",INDEX(EntryTxnID,$P212)))</f>
        <v/>
      </c>
      <c r="P212" s="28">
        <f>IFERROR(MATCH($C$5&amp;"|"&amp;RIGHT("000000"&amp;196,6),CalcRankKey,0),"")</f>
        <v/>
      </c>
    </row>
    <row r="213">
      <c r="A213" s="26">
        <f>IF($B213="","",197)</f>
        <v/>
      </c>
      <c r="B213" s="26">
        <f>IF($P213="","",IF(INDEX(CalcNormDate,$P213)=0,"",INDEX(CalcNormDate,$P213)))</f>
        <v/>
      </c>
      <c r="C213" s="26">
        <f>IF($P213="","",IF(INDEX(CalcTime,$P213)=0,"",INDEX(CalcTime,$P213)))</f>
        <v/>
      </c>
      <c r="D213" s="26">
        <f>IF($P213="","",IF(INDEX(EntryParty,$P213)=0,"",INDEX(EntryParty,$P213)))</f>
        <v/>
      </c>
      <c r="E213" s="26">
        <f>IF($P213="","",IF(INDEX(EntryPartyName,$P213)=0,"",INDEX(EntryPartyName,$P213)))</f>
        <v/>
      </c>
      <c r="F213" s="26">
        <f>IF($P213="","",IF(INDEX(EntryPartyType,$P213)=0,"",INDEX(EntryPartyType,$P213)))</f>
        <v/>
      </c>
      <c r="G213" s="26">
        <f>IF($P213="","",IF(INDEX(EntryTxnType,$P213)=0,"",INDEX(EntryTxnType,$P213)))</f>
        <v/>
      </c>
      <c r="H213" s="27">
        <f>IF($P213="","",IF(INDEX(EntryDep,$P213)=0,"",INDEX(EntryDep,$P213)))</f>
        <v/>
      </c>
      <c r="I213" s="27">
        <f>IF($P213="","",IF(INDEX(EntryWit,$P213)=0,"",INDEX(EntryWit,$P213)))</f>
        <v/>
      </c>
      <c r="J213" s="27">
        <f>IF($B213="","",IF($A213=1,$C$7,IF(J212="",0,J212))+IF($H213="",0,$H213)-IF($I213="",0,$I213))</f>
        <v/>
      </c>
      <c r="K213" s="27">
        <f>IF($P213="","",IF(INDEX(EntryMan,$P213)=0,"",INDEX(EntryMan,$P213)))</f>
        <v/>
      </c>
      <c r="L213" s="26">
        <f>IF($B213="","",IF($K213="","—",IF(ROUND($K213-$J213,0)=0,"√","×")))</f>
        <v/>
      </c>
      <c r="M213" s="26">
        <f>IF($B213="","",IF(COUNTIFS(EntryDates,$B213,CalcTime,$C213,CalcBank,$C$5,EntryParty,$D213,EntryDep,$H213,EntryWit,$I213)&gt;1,"تکرار",""))</f>
        <v/>
      </c>
      <c r="N213" s="26">
        <f>IF($P213="","",IF(INDEX(EntryNotes,$P213)=0,"",INDEX(EntryNotes,$P213)))</f>
        <v/>
      </c>
      <c r="O213" s="26">
        <f>IF($P213="","",IF(INDEX(EntryTxnID,$P213)=0,"",INDEX(EntryTxnID,$P213)))</f>
        <v/>
      </c>
      <c r="P213" s="26">
        <f>IFERROR(MATCH($C$5&amp;"|"&amp;RIGHT("000000"&amp;197,6),CalcRankKey,0),"")</f>
        <v/>
      </c>
    </row>
    <row r="214">
      <c r="A214" s="28">
        <f>IF($B214="","",198)</f>
        <v/>
      </c>
      <c r="B214" s="28">
        <f>IF($P214="","",IF(INDEX(CalcNormDate,$P214)=0,"",INDEX(CalcNormDate,$P214)))</f>
        <v/>
      </c>
      <c r="C214" s="28">
        <f>IF($P214="","",IF(INDEX(CalcTime,$P214)=0,"",INDEX(CalcTime,$P214)))</f>
        <v/>
      </c>
      <c r="D214" s="28">
        <f>IF($P214="","",IF(INDEX(EntryParty,$P214)=0,"",INDEX(EntryParty,$P214)))</f>
        <v/>
      </c>
      <c r="E214" s="28">
        <f>IF($P214="","",IF(INDEX(EntryPartyName,$P214)=0,"",INDEX(EntryPartyName,$P214)))</f>
        <v/>
      </c>
      <c r="F214" s="28">
        <f>IF($P214="","",IF(INDEX(EntryPartyType,$P214)=0,"",INDEX(EntryPartyType,$P214)))</f>
        <v/>
      </c>
      <c r="G214" s="28">
        <f>IF($P214="","",IF(INDEX(EntryTxnType,$P214)=0,"",INDEX(EntryTxnType,$P214)))</f>
        <v/>
      </c>
      <c r="H214" s="29">
        <f>IF($P214="","",IF(INDEX(EntryDep,$P214)=0,"",INDEX(EntryDep,$P214)))</f>
        <v/>
      </c>
      <c r="I214" s="29">
        <f>IF($P214="","",IF(INDEX(EntryWit,$P214)=0,"",INDEX(EntryWit,$P214)))</f>
        <v/>
      </c>
      <c r="J214" s="29">
        <f>IF($B214="","",IF($A214=1,$C$7,IF(J213="",0,J213))+IF($H214="",0,$H214)-IF($I214="",0,$I214))</f>
        <v/>
      </c>
      <c r="K214" s="29">
        <f>IF($P214="","",IF(INDEX(EntryMan,$P214)=0,"",INDEX(EntryMan,$P214)))</f>
        <v/>
      </c>
      <c r="L214" s="28">
        <f>IF($B214="","",IF($K214="","—",IF(ROUND($K214-$J214,0)=0,"√","×")))</f>
        <v/>
      </c>
      <c r="M214" s="28">
        <f>IF($B214="","",IF(COUNTIFS(EntryDates,$B214,CalcTime,$C214,CalcBank,$C$5,EntryParty,$D214,EntryDep,$H214,EntryWit,$I214)&gt;1,"تکرار",""))</f>
        <v/>
      </c>
      <c r="N214" s="28">
        <f>IF($P214="","",IF(INDEX(EntryNotes,$P214)=0,"",INDEX(EntryNotes,$P214)))</f>
        <v/>
      </c>
      <c r="O214" s="28">
        <f>IF($P214="","",IF(INDEX(EntryTxnID,$P214)=0,"",INDEX(EntryTxnID,$P214)))</f>
        <v/>
      </c>
      <c r="P214" s="28">
        <f>IFERROR(MATCH($C$5&amp;"|"&amp;RIGHT("000000"&amp;198,6),CalcRankKey,0),"")</f>
        <v/>
      </c>
    </row>
    <row r="215">
      <c r="A215" s="26">
        <f>IF($B215="","",199)</f>
        <v/>
      </c>
      <c r="B215" s="26">
        <f>IF($P215="","",IF(INDEX(CalcNormDate,$P215)=0,"",INDEX(CalcNormDate,$P215)))</f>
        <v/>
      </c>
      <c r="C215" s="26">
        <f>IF($P215="","",IF(INDEX(CalcTime,$P215)=0,"",INDEX(CalcTime,$P215)))</f>
        <v/>
      </c>
      <c r="D215" s="26">
        <f>IF($P215="","",IF(INDEX(EntryParty,$P215)=0,"",INDEX(EntryParty,$P215)))</f>
        <v/>
      </c>
      <c r="E215" s="26">
        <f>IF($P215="","",IF(INDEX(EntryPartyName,$P215)=0,"",INDEX(EntryPartyName,$P215)))</f>
        <v/>
      </c>
      <c r="F215" s="26">
        <f>IF($P215="","",IF(INDEX(EntryPartyType,$P215)=0,"",INDEX(EntryPartyType,$P215)))</f>
        <v/>
      </c>
      <c r="G215" s="26">
        <f>IF($P215="","",IF(INDEX(EntryTxnType,$P215)=0,"",INDEX(EntryTxnType,$P215)))</f>
        <v/>
      </c>
      <c r="H215" s="27">
        <f>IF($P215="","",IF(INDEX(EntryDep,$P215)=0,"",INDEX(EntryDep,$P215)))</f>
        <v/>
      </c>
      <c r="I215" s="27">
        <f>IF($P215="","",IF(INDEX(EntryWit,$P215)=0,"",INDEX(EntryWit,$P215)))</f>
        <v/>
      </c>
      <c r="J215" s="27">
        <f>IF($B215="","",IF($A215=1,$C$7,IF(J214="",0,J214))+IF($H215="",0,$H215)-IF($I215="",0,$I215))</f>
        <v/>
      </c>
      <c r="K215" s="27">
        <f>IF($P215="","",IF(INDEX(EntryMan,$P215)=0,"",INDEX(EntryMan,$P215)))</f>
        <v/>
      </c>
      <c r="L215" s="26">
        <f>IF($B215="","",IF($K215="","—",IF(ROUND($K215-$J215,0)=0,"√","×")))</f>
        <v/>
      </c>
      <c r="M215" s="26">
        <f>IF($B215="","",IF(COUNTIFS(EntryDates,$B215,CalcTime,$C215,CalcBank,$C$5,EntryParty,$D215,EntryDep,$H215,EntryWit,$I215)&gt;1,"تکرار",""))</f>
        <v/>
      </c>
      <c r="N215" s="26">
        <f>IF($P215="","",IF(INDEX(EntryNotes,$P215)=0,"",INDEX(EntryNotes,$P215)))</f>
        <v/>
      </c>
      <c r="O215" s="26">
        <f>IF($P215="","",IF(INDEX(EntryTxnID,$P215)=0,"",INDEX(EntryTxnID,$P215)))</f>
        <v/>
      </c>
      <c r="P215" s="26">
        <f>IFERROR(MATCH($C$5&amp;"|"&amp;RIGHT("000000"&amp;199,6),CalcRankKey,0),"")</f>
        <v/>
      </c>
    </row>
    <row r="216">
      <c r="A216" s="28">
        <f>IF($B216="","",200)</f>
        <v/>
      </c>
      <c r="B216" s="28">
        <f>IF($P216="","",IF(INDEX(CalcNormDate,$P216)=0,"",INDEX(CalcNormDate,$P216)))</f>
        <v/>
      </c>
      <c r="C216" s="28">
        <f>IF($P216="","",IF(INDEX(CalcTime,$P216)=0,"",INDEX(CalcTime,$P216)))</f>
        <v/>
      </c>
      <c r="D216" s="28">
        <f>IF($P216="","",IF(INDEX(EntryParty,$P216)=0,"",INDEX(EntryParty,$P216)))</f>
        <v/>
      </c>
      <c r="E216" s="28">
        <f>IF($P216="","",IF(INDEX(EntryPartyName,$P216)=0,"",INDEX(EntryPartyName,$P216)))</f>
        <v/>
      </c>
      <c r="F216" s="28">
        <f>IF($P216="","",IF(INDEX(EntryPartyType,$P216)=0,"",INDEX(EntryPartyType,$P216)))</f>
        <v/>
      </c>
      <c r="G216" s="28">
        <f>IF($P216="","",IF(INDEX(EntryTxnType,$P216)=0,"",INDEX(EntryTxnType,$P216)))</f>
        <v/>
      </c>
      <c r="H216" s="29">
        <f>IF($P216="","",IF(INDEX(EntryDep,$P216)=0,"",INDEX(EntryDep,$P216)))</f>
        <v/>
      </c>
      <c r="I216" s="29">
        <f>IF($P216="","",IF(INDEX(EntryWit,$P216)=0,"",INDEX(EntryWit,$P216)))</f>
        <v/>
      </c>
      <c r="J216" s="29">
        <f>IF($B216="","",IF($A216=1,$C$7,IF(J215="",0,J215))+IF($H216="",0,$H216)-IF($I216="",0,$I216))</f>
        <v/>
      </c>
      <c r="K216" s="29">
        <f>IF($P216="","",IF(INDEX(EntryMan,$P216)=0,"",INDEX(EntryMan,$P216)))</f>
        <v/>
      </c>
      <c r="L216" s="28">
        <f>IF($B216="","",IF($K216="","—",IF(ROUND($K216-$J216,0)=0,"√","×")))</f>
        <v/>
      </c>
      <c r="M216" s="28">
        <f>IF($B216="","",IF(COUNTIFS(EntryDates,$B216,CalcTime,$C216,CalcBank,$C$5,EntryParty,$D216,EntryDep,$H216,EntryWit,$I216)&gt;1,"تکرار",""))</f>
        <v/>
      </c>
      <c r="N216" s="28">
        <f>IF($P216="","",IF(INDEX(EntryNotes,$P216)=0,"",INDEX(EntryNotes,$P216)))</f>
        <v/>
      </c>
      <c r="O216" s="28">
        <f>IF($P216="","",IF(INDEX(EntryTxnID,$P216)=0,"",INDEX(EntryTxnID,$P216)))</f>
        <v/>
      </c>
      <c r="P216" s="28">
        <f>IFERROR(MATCH($C$5&amp;"|"&amp;RIGHT("000000"&amp;200,6),CalcRankKey,0),"")</f>
        <v/>
      </c>
    </row>
    <row r="217">
      <c r="A217" s="26">
        <f>IF($B217="","",201)</f>
        <v/>
      </c>
      <c r="B217" s="26">
        <f>IF($P217="","",IF(INDEX(CalcNormDate,$P217)=0,"",INDEX(CalcNormDate,$P217)))</f>
        <v/>
      </c>
      <c r="C217" s="26">
        <f>IF($P217="","",IF(INDEX(CalcTime,$P217)=0,"",INDEX(CalcTime,$P217)))</f>
        <v/>
      </c>
      <c r="D217" s="26">
        <f>IF($P217="","",IF(INDEX(EntryParty,$P217)=0,"",INDEX(EntryParty,$P217)))</f>
        <v/>
      </c>
      <c r="E217" s="26">
        <f>IF($P217="","",IF(INDEX(EntryPartyName,$P217)=0,"",INDEX(EntryPartyName,$P217)))</f>
        <v/>
      </c>
      <c r="F217" s="26">
        <f>IF($P217="","",IF(INDEX(EntryPartyType,$P217)=0,"",INDEX(EntryPartyType,$P217)))</f>
        <v/>
      </c>
      <c r="G217" s="26">
        <f>IF($P217="","",IF(INDEX(EntryTxnType,$P217)=0,"",INDEX(EntryTxnType,$P217)))</f>
        <v/>
      </c>
      <c r="H217" s="27">
        <f>IF($P217="","",IF(INDEX(EntryDep,$P217)=0,"",INDEX(EntryDep,$P217)))</f>
        <v/>
      </c>
      <c r="I217" s="27">
        <f>IF($P217="","",IF(INDEX(EntryWit,$P217)=0,"",INDEX(EntryWit,$P217)))</f>
        <v/>
      </c>
      <c r="J217" s="27">
        <f>IF($B217="","",IF($A217=1,$C$7,IF(J216="",0,J216))+IF($H217="",0,$H217)-IF($I217="",0,$I217))</f>
        <v/>
      </c>
      <c r="K217" s="27">
        <f>IF($P217="","",IF(INDEX(EntryMan,$P217)=0,"",INDEX(EntryMan,$P217)))</f>
        <v/>
      </c>
      <c r="L217" s="26">
        <f>IF($B217="","",IF($K217="","—",IF(ROUND($K217-$J217,0)=0,"√","×")))</f>
        <v/>
      </c>
      <c r="M217" s="26">
        <f>IF($B217="","",IF(COUNTIFS(EntryDates,$B217,CalcTime,$C217,CalcBank,$C$5,EntryParty,$D217,EntryDep,$H217,EntryWit,$I217)&gt;1,"تکرار",""))</f>
        <v/>
      </c>
      <c r="N217" s="26">
        <f>IF($P217="","",IF(INDEX(EntryNotes,$P217)=0,"",INDEX(EntryNotes,$P217)))</f>
        <v/>
      </c>
      <c r="O217" s="26">
        <f>IF($P217="","",IF(INDEX(EntryTxnID,$P217)=0,"",INDEX(EntryTxnID,$P217)))</f>
        <v/>
      </c>
      <c r="P217" s="26">
        <f>IFERROR(MATCH($C$5&amp;"|"&amp;RIGHT("000000"&amp;201,6),CalcRankKey,0),"")</f>
        <v/>
      </c>
    </row>
    <row r="218">
      <c r="A218" s="28">
        <f>IF($B218="","",202)</f>
        <v/>
      </c>
      <c r="B218" s="28">
        <f>IF($P218="","",IF(INDEX(CalcNormDate,$P218)=0,"",INDEX(CalcNormDate,$P218)))</f>
        <v/>
      </c>
      <c r="C218" s="28">
        <f>IF($P218="","",IF(INDEX(CalcTime,$P218)=0,"",INDEX(CalcTime,$P218)))</f>
        <v/>
      </c>
      <c r="D218" s="28">
        <f>IF($P218="","",IF(INDEX(EntryParty,$P218)=0,"",INDEX(EntryParty,$P218)))</f>
        <v/>
      </c>
      <c r="E218" s="28">
        <f>IF($P218="","",IF(INDEX(EntryPartyName,$P218)=0,"",INDEX(EntryPartyName,$P218)))</f>
        <v/>
      </c>
      <c r="F218" s="28">
        <f>IF($P218="","",IF(INDEX(EntryPartyType,$P218)=0,"",INDEX(EntryPartyType,$P218)))</f>
        <v/>
      </c>
      <c r="G218" s="28">
        <f>IF($P218="","",IF(INDEX(EntryTxnType,$P218)=0,"",INDEX(EntryTxnType,$P218)))</f>
        <v/>
      </c>
      <c r="H218" s="29">
        <f>IF($P218="","",IF(INDEX(EntryDep,$P218)=0,"",INDEX(EntryDep,$P218)))</f>
        <v/>
      </c>
      <c r="I218" s="29">
        <f>IF($P218="","",IF(INDEX(EntryWit,$P218)=0,"",INDEX(EntryWit,$P218)))</f>
        <v/>
      </c>
      <c r="J218" s="29">
        <f>IF($B218="","",IF($A218=1,$C$7,IF(J217="",0,J217))+IF($H218="",0,$H218)-IF($I218="",0,$I218))</f>
        <v/>
      </c>
      <c r="K218" s="29">
        <f>IF($P218="","",IF(INDEX(EntryMan,$P218)=0,"",INDEX(EntryMan,$P218)))</f>
        <v/>
      </c>
      <c r="L218" s="28">
        <f>IF($B218="","",IF($K218="","—",IF(ROUND($K218-$J218,0)=0,"√","×")))</f>
        <v/>
      </c>
      <c r="M218" s="28">
        <f>IF($B218="","",IF(COUNTIFS(EntryDates,$B218,CalcTime,$C218,CalcBank,$C$5,EntryParty,$D218,EntryDep,$H218,EntryWit,$I218)&gt;1,"تکرار",""))</f>
        <v/>
      </c>
      <c r="N218" s="28">
        <f>IF($P218="","",IF(INDEX(EntryNotes,$P218)=0,"",INDEX(EntryNotes,$P218)))</f>
        <v/>
      </c>
      <c r="O218" s="28">
        <f>IF($P218="","",IF(INDEX(EntryTxnID,$P218)=0,"",INDEX(EntryTxnID,$P218)))</f>
        <v/>
      </c>
      <c r="P218" s="28">
        <f>IFERROR(MATCH($C$5&amp;"|"&amp;RIGHT("000000"&amp;202,6),CalcRankKey,0),"")</f>
        <v/>
      </c>
    </row>
    <row r="219">
      <c r="A219" s="26">
        <f>IF($B219="","",203)</f>
        <v/>
      </c>
      <c r="B219" s="26">
        <f>IF($P219="","",IF(INDEX(CalcNormDate,$P219)=0,"",INDEX(CalcNormDate,$P219)))</f>
        <v/>
      </c>
      <c r="C219" s="26">
        <f>IF($P219="","",IF(INDEX(CalcTime,$P219)=0,"",INDEX(CalcTime,$P219)))</f>
        <v/>
      </c>
      <c r="D219" s="26">
        <f>IF($P219="","",IF(INDEX(EntryParty,$P219)=0,"",INDEX(EntryParty,$P219)))</f>
        <v/>
      </c>
      <c r="E219" s="26">
        <f>IF($P219="","",IF(INDEX(EntryPartyName,$P219)=0,"",INDEX(EntryPartyName,$P219)))</f>
        <v/>
      </c>
      <c r="F219" s="26">
        <f>IF($P219="","",IF(INDEX(EntryPartyType,$P219)=0,"",INDEX(EntryPartyType,$P219)))</f>
        <v/>
      </c>
      <c r="G219" s="26">
        <f>IF($P219="","",IF(INDEX(EntryTxnType,$P219)=0,"",INDEX(EntryTxnType,$P219)))</f>
        <v/>
      </c>
      <c r="H219" s="27">
        <f>IF($P219="","",IF(INDEX(EntryDep,$P219)=0,"",INDEX(EntryDep,$P219)))</f>
        <v/>
      </c>
      <c r="I219" s="27">
        <f>IF($P219="","",IF(INDEX(EntryWit,$P219)=0,"",INDEX(EntryWit,$P219)))</f>
        <v/>
      </c>
      <c r="J219" s="27">
        <f>IF($B219="","",IF($A219=1,$C$7,IF(J218="",0,J218))+IF($H219="",0,$H219)-IF($I219="",0,$I219))</f>
        <v/>
      </c>
      <c r="K219" s="27">
        <f>IF($P219="","",IF(INDEX(EntryMan,$P219)=0,"",INDEX(EntryMan,$P219)))</f>
        <v/>
      </c>
      <c r="L219" s="26">
        <f>IF($B219="","",IF($K219="","—",IF(ROUND($K219-$J219,0)=0,"√","×")))</f>
        <v/>
      </c>
      <c r="M219" s="26">
        <f>IF($B219="","",IF(COUNTIFS(EntryDates,$B219,CalcTime,$C219,CalcBank,$C$5,EntryParty,$D219,EntryDep,$H219,EntryWit,$I219)&gt;1,"تکرار",""))</f>
        <v/>
      </c>
      <c r="N219" s="26">
        <f>IF($P219="","",IF(INDEX(EntryNotes,$P219)=0,"",INDEX(EntryNotes,$P219)))</f>
        <v/>
      </c>
      <c r="O219" s="26">
        <f>IF($P219="","",IF(INDEX(EntryTxnID,$P219)=0,"",INDEX(EntryTxnID,$P219)))</f>
        <v/>
      </c>
      <c r="P219" s="26">
        <f>IFERROR(MATCH($C$5&amp;"|"&amp;RIGHT("000000"&amp;203,6),CalcRankKey,0),"")</f>
        <v/>
      </c>
    </row>
    <row r="220">
      <c r="A220" s="28">
        <f>IF($B220="","",204)</f>
        <v/>
      </c>
      <c r="B220" s="28">
        <f>IF($P220="","",IF(INDEX(CalcNormDate,$P220)=0,"",INDEX(CalcNormDate,$P220)))</f>
        <v/>
      </c>
      <c r="C220" s="28">
        <f>IF($P220="","",IF(INDEX(CalcTime,$P220)=0,"",INDEX(CalcTime,$P220)))</f>
        <v/>
      </c>
      <c r="D220" s="28">
        <f>IF($P220="","",IF(INDEX(EntryParty,$P220)=0,"",INDEX(EntryParty,$P220)))</f>
        <v/>
      </c>
      <c r="E220" s="28">
        <f>IF($P220="","",IF(INDEX(EntryPartyName,$P220)=0,"",INDEX(EntryPartyName,$P220)))</f>
        <v/>
      </c>
      <c r="F220" s="28">
        <f>IF($P220="","",IF(INDEX(EntryPartyType,$P220)=0,"",INDEX(EntryPartyType,$P220)))</f>
        <v/>
      </c>
      <c r="G220" s="28">
        <f>IF($P220="","",IF(INDEX(EntryTxnType,$P220)=0,"",INDEX(EntryTxnType,$P220)))</f>
        <v/>
      </c>
      <c r="H220" s="29">
        <f>IF($P220="","",IF(INDEX(EntryDep,$P220)=0,"",INDEX(EntryDep,$P220)))</f>
        <v/>
      </c>
      <c r="I220" s="29">
        <f>IF($P220="","",IF(INDEX(EntryWit,$P220)=0,"",INDEX(EntryWit,$P220)))</f>
        <v/>
      </c>
      <c r="J220" s="29">
        <f>IF($B220="","",IF($A220=1,$C$7,IF(J219="",0,J219))+IF($H220="",0,$H220)-IF($I220="",0,$I220))</f>
        <v/>
      </c>
      <c r="K220" s="29">
        <f>IF($P220="","",IF(INDEX(EntryMan,$P220)=0,"",INDEX(EntryMan,$P220)))</f>
        <v/>
      </c>
      <c r="L220" s="28">
        <f>IF($B220="","",IF($K220="","—",IF(ROUND($K220-$J220,0)=0,"√","×")))</f>
        <v/>
      </c>
      <c r="M220" s="28">
        <f>IF($B220="","",IF(COUNTIFS(EntryDates,$B220,CalcTime,$C220,CalcBank,$C$5,EntryParty,$D220,EntryDep,$H220,EntryWit,$I220)&gt;1,"تکرار",""))</f>
        <v/>
      </c>
      <c r="N220" s="28">
        <f>IF($P220="","",IF(INDEX(EntryNotes,$P220)=0,"",INDEX(EntryNotes,$P220)))</f>
        <v/>
      </c>
      <c r="O220" s="28">
        <f>IF($P220="","",IF(INDEX(EntryTxnID,$P220)=0,"",INDEX(EntryTxnID,$P220)))</f>
        <v/>
      </c>
      <c r="P220" s="28">
        <f>IFERROR(MATCH($C$5&amp;"|"&amp;RIGHT("000000"&amp;204,6),CalcRankKey,0),"")</f>
        <v/>
      </c>
    </row>
    <row r="221">
      <c r="A221" s="26">
        <f>IF($B221="","",205)</f>
        <v/>
      </c>
      <c r="B221" s="26">
        <f>IF($P221="","",IF(INDEX(CalcNormDate,$P221)=0,"",INDEX(CalcNormDate,$P221)))</f>
        <v/>
      </c>
      <c r="C221" s="26">
        <f>IF($P221="","",IF(INDEX(CalcTime,$P221)=0,"",INDEX(CalcTime,$P221)))</f>
        <v/>
      </c>
      <c r="D221" s="26">
        <f>IF($P221="","",IF(INDEX(EntryParty,$P221)=0,"",INDEX(EntryParty,$P221)))</f>
        <v/>
      </c>
      <c r="E221" s="26">
        <f>IF($P221="","",IF(INDEX(EntryPartyName,$P221)=0,"",INDEX(EntryPartyName,$P221)))</f>
        <v/>
      </c>
      <c r="F221" s="26">
        <f>IF($P221="","",IF(INDEX(EntryPartyType,$P221)=0,"",INDEX(EntryPartyType,$P221)))</f>
        <v/>
      </c>
      <c r="G221" s="26">
        <f>IF($P221="","",IF(INDEX(EntryTxnType,$P221)=0,"",INDEX(EntryTxnType,$P221)))</f>
        <v/>
      </c>
      <c r="H221" s="27">
        <f>IF($P221="","",IF(INDEX(EntryDep,$P221)=0,"",INDEX(EntryDep,$P221)))</f>
        <v/>
      </c>
      <c r="I221" s="27">
        <f>IF($P221="","",IF(INDEX(EntryWit,$P221)=0,"",INDEX(EntryWit,$P221)))</f>
        <v/>
      </c>
      <c r="J221" s="27">
        <f>IF($B221="","",IF($A221=1,$C$7,IF(J220="",0,J220))+IF($H221="",0,$H221)-IF($I221="",0,$I221))</f>
        <v/>
      </c>
      <c r="K221" s="27">
        <f>IF($P221="","",IF(INDEX(EntryMan,$P221)=0,"",INDEX(EntryMan,$P221)))</f>
        <v/>
      </c>
      <c r="L221" s="26">
        <f>IF($B221="","",IF($K221="","—",IF(ROUND($K221-$J221,0)=0,"√","×")))</f>
        <v/>
      </c>
      <c r="M221" s="26">
        <f>IF($B221="","",IF(COUNTIFS(EntryDates,$B221,CalcTime,$C221,CalcBank,$C$5,EntryParty,$D221,EntryDep,$H221,EntryWit,$I221)&gt;1,"تکرار",""))</f>
        <v/>
      </c>
      <c r="N221" s="26">
        <f>IF($P221="","",IF(INDEX(EntryNotes,$P221)=0,"",INDEX(EntryNotes,$P221)))</f>
        <v/>
      </c>
      <c r="O221" s="26">
        <f>IF($P221="","",IF(INDEX(EntryTxnID,$P221)=0,"",INDEX(EntryTxnID,$P221)))</f>
        <v/>
      </c>
      <c r="P221" s="26">
        <f>IFERROR(MATCH($C$5&amp;"|"&amp;RIGHT("000000"&amp;205,6),CalcRankKey,0),"")</f>
        <v/>
      </c>
    </row>
    <row r="222">
      <c r="A222" s="28">
        <f>IF($B222="","",206)</f>
        <v/>
      </c>
      <c r="B222" s="28">
        <f>IF($P222="","",IF(INDEX(CalcNormDate,$P222)=0,"",INDEX(CalcNormDate,$P222)))</f>
        <v/>
      </c>
      <c r="C222" s="28">
        <f>IF($P222="","",IF(INDEX(CalcTime,$P222)=0,"",INDEX(CalcTime,$P222)))</f>
        <v/>
      </c>
      <c r="D222" s="28">
        <f>IF($P222="","",IF(INDEX(EntryParty,$P222)=0,"",INDEX(EntryParty,$P222)))</f>
        <v/>
      </c>
      <c r="E222" s="28">
        <f>IF($P222="","",IF(INDEX(EntryPartyName,$P222)=0,"",INDEX(EntryPartyName,$P222)))</f>
        <v/>
      </c>
      <c r="F222" s="28">
        <f>IF($P222="","",IF(INDEX(EntryPartyType,$P222)=0,"",INDEX(EntryPartyType,$P222)))</f>
        <v/>
      </c>
      <c r="G222" s="28">
        <f>IF($P222="","",IF(INDEX(EntryTxnType,$P222)=0,"",INDEX(EntryTxnType,$P222)))</f>
        <v/>
      </c>
      <c r="H222" s="29">
        <f>IF($P222="","",IF(INDEX(EntryDep,$P222)=0,"",INDEX(EntryDep,$P222)))</f>
        <v/>
      </c>
      <c r="I222" s="29">
        <f>IF($P222="","",IF(INDEX(EntryWit,$P222)=0,"",INDEX(EntryWit,$P222)))</f>
        <v/>
      </c>
      <c r="J222" s="29">
        <f>IF($B222="","",IF($A222=1,$C$7,IF(J221="",0,J221))+IF($H222="",0,$H222)-IF($I222="",0,$I222))</f>
        <v/>
      </c>
      <c r="K222" s="29">
        <f>IF($P222="","",IF(INDEX(EntryMan,$P222)=0,"",INDEX(EntryMan,$P222)))</f>
        <v/>
      </c>
      <c r="L222" s="28">
        <f>IF($B222="","",IF($K222="","—",IF(ROUND($K222-$J222,0)=0,"√","×")))</f>
        <v/>
      </c>
      <c r="M222" s="28">
        <f>IF($B222="","",IF(COUNTIFS(EntryDates,$B222,CalcTime,$C222,CalcBank,$C$5,EntryParty,$D222,EntryDep,$H222,EntryWit,$I222)&gt;1,"تکرار",""))</f>
        <v/>
      </c>
      <c r="N222" s="28">
        <f>IF($P222="","",IF(INDEX(EntryNotes,$P222)=0,"",INDEX(EntryNotes,$P222)))</f>
        <v/>
      </c>
      <c r="O222" s="28">
        <f>IF($P222="","",IF(INDEX(EntryTxnID,$P222)=0,"",INDEX(EntryTxnID,$P222)))</f>
        <v/>
      </c>
      <c r="P222" s="28">
        <f>IFERROR(MATCH($C$5&amp;"|"&amp;RIGHT("000000"&amp;206,6),CalcRankKey,0),"")</f>
        <v/>
      </c>
    </row>
    <row r="223">
      <c r="A223" s="26">
        <f>IF($B223="","",207)</f>
        <v/>
      </c>
      <c r="B223" s="26">
        <f>IF($P223="","",IF(INDEX(CalcNormDate,$P223)=0,"",INDEX(CalcNormDate,$P223)))</f>
        <v/>
      </c>
      <c r="C223" s="26">
        <f>IF($P223="","",IF(INDEX(CalcTime,$P223)=0,"",INDEX(CalcTime,$P223)))</f>
        <v/>
      </c>
      <c r="D223" s="26">
        <f>IF($P223="","",IF(INDEX(EntryParty,$P223)=0,"",INDEX(EntryParty,$P223)))</f>
        <v/>
      </c>
      <c r="E223" s="26">
        <f>IF($P223="","",IF(INDEX(EntryPartyName,$P223)=0,"",INDEX(EntryPartyName,$P223)))</f>
        <v/>
      </c>
      <c r="F223" s="26">
        <f>IF($P223="","",IF(INDEX(EntryPartyType,$P223)=0,"",INDEX(EntryPartyType,$P223)))</f>
        <v/>
      </c>
      <c r="G223" s="26">
        <f>IF($P223="","",IF(INDEX(EntryTxnType,$P223)=0,"",INDEX(EntryTxnType,$P223)))</f>
        <v/>
      </c>
      <c r="H223" s="27">
        <f>IF($P223="","",IF(INDEX(EntryDep,$P223)=0,"",INDEX(EntryDep,$P223)))</f>
        <v/>
      </c>
      <c r="I223" s="27">
        <f>IF($P223="","",IF(INDEX(EntryWit,$P223)=0,"",INDEX(EntryWit,$P223)))</f>
        <v/>
      </c>
      <c r="J223" s="27">
        <f>IF($B223="","",IF($A223=1,$C$7,IF(J222="",0,J222))+IF($H223="",0,$H223)-IF($I223="",0,$I223))</f>
        <v/>
      </c>
      <c r="K223" s="27">
        <f>IF($P223="","",IF(INDEX(EntryMan,$P223)=0,"",INDEX(EntryMan,$P223)))</f>
        <v/>
      </c>
      <c r="L223" s="26">
        <f>IF($B223="","",IF($K223="","—",IF(ROUND($K223-$J223,0)=0,"√","×")))</f>
        <v/>
      </c>
      <c r="M223" s="26">
        <f>IF($B223="","",IF(COUNTIFS(EntryDates,$B223,CalcTime,$C223,CalcBank,$C$5,EntryParty,$D223,EntryDep,$H223,EntryWit,$I223)&gt;1,"تکرار",""))</f>
        <v/>
      </c>
      <c r="N223" s="26">
        <f>IF($P223="","",IF(INDEX(EntryNotes,$P223)=0,"",INDEX(EntryNotes,$P223)))</f>
        <v/>
      </c>
      <c r="O223" s="26">
        <f>IF($P223="","",IF(INDEX(EntryTxnID,$P223)=0,"",INDEX(EntryTxnID,$P223)))</f>
        <v/>
      </c>
      <c r="P223" s="26">
        <f>IFERROR(MATCH($C$5&amp;"|"&amp;RIGHT("000000"&amp;207,6),CalcRankKey,0),"")</f>
        <v/>
      </c>
    </row>
    <row r="224">
      <c r="A224" s="28">
        <f>IF($B224="","",208)</f>
        <v/>
      </c>
      <c r="B224" s="28">
        <f>IF($P224="","",IF(INDEX(CalcNormDate,$P224)=0,"",INDEX(CalcNormDate,$P224)))</f>
        <v/>
      </c>
      <c r="C224" s="28">
        <f>IF($P224="","",IF(INDEX(CalcTime,$P224)=0,"",INDEX(CalcTime,$P224)))</f>
        <v/>
      </c>
      <c r="D224" s="28">
        <f>IF($P224="","",IF(INDEX(EntryParty,$P224)=0,"",INDEX(EntryParty,$P224)))</f>
        <v/>
      </c>
      <c r="E224" s="28">
        <f>IF($P224="","",IF(INDEX(EntryPartyName,$P224)=0,"",INDEX(EntryPartyName,$P224)))</f>
        <v/>
      </c>
      <c r="F224" s="28">
        <f>IF($P224="","",IF(INDEX(EntryPartyType,$P224)=0,"",INDEX(EntryPartyType,$P224)))</f>
        <v/>
      </c>
      <c r="G224" s="28">
        <f>IF($P224="","",IF(INDEX(EntryTxnType,$P224)=0,"",INDEX(EntryTxnType,$P224)))</f>
        <v/>
      </c>
      <c r="H224" s="29">
        <f>IF($P224="","",IF(INDEX(EntryDep,$P224)=0,"",INDEX(EntryDep,$P224)))</f>
        <v/>
      </c>
      <c r="I224" s="29">
        <f>IF($P224="","",IF(INDEX(EntryWit,$P224)=0,"",INDEX(EntryWit,$P224)))</f>
        <v/>
      </c>
      <c r="J224" s="29">
        <f>IF($B224="","",IF($A224=1,$C$7,IF(J223="",0,J223))+IF($H224="",0,$H224)-IF($I224="",0,$I224))</f>
        <v/>
      </c>
      <c r="K224" s="29">
        <f>IF($P224="","",IF(INDEX(EntryMan,$P224)=0,"",INDEX(EntryMan,$P224)))</f>
        <v/>
      </c>
      <c r="L224" s="28">
        <f>IF($B224="","",IF($K224="","—",IF(ROUND($K224-$J224,0)=0,"√","×")))</f>
        <v/>
      </c>
      <c r="M224" s="28">
        <f>IF($B224="","",IF(COUNTIFS(EntryDates,$B224,CalcTime,$C224,CalcBank,$C$5,EntryParty,$D224,EntryDep,$H224,EntryWit,$I224)&gt;1,"تکرار",""))</f>
        <v/>
      </c>
      <c r="N224" s="28">
        <f>IF($P224="","",IF(INDEX(EntryNotes,$P224)=0,"",INDEX(EntryNotes,$P224)))</f>
        <v/>
      </c>
      <c r="O224" s="28">
        <f>IF($P224="","",IF(INDEX(EntryTxnID,$P224)=0,"",INDEX(EntryTxnID,$P224)))</f>
        <v/>
      </c>
      <c r="P224" s="28">
        <f>IFERROR(MATCH($C$5&amp;"|"&amp;RIGHT("000000"&amp;208,6),CalcRankKey,0),"")</f>
        <v/>
      </c>
    </row>
    <row r="225">
      <c r="A225" s="26">
        <f>IF($B225="","",209)</f>
        <v/>
      </c>
      <c r="B225" s="26">
        <f>IF($P225="","",IF(INDEX(CalcNormDate,$P225)=0,"",INDEX(CalcNormDate,$P225)))</f>
        <v/>
      </c>
      <c r="C225" s="26">
        <f>IF($P225="","",IF(INDEX(CalcTime,$P225)=0,"",INDEX(CalcTime,$P225)))</f>
        <v/>
      </c>
      <c r="D225" s="26">
        <f>IF($P225="","",IF(INDEX(EntryParty,$P225)=0,"",INDEX(EntryParty,$P225)))</f>
        <v/>
      </c>
      <c r="E225" s="26">
        <f>IF($P225="","",IF(INDEX(EntryPartyName,$P225)=0,"",INDEX(EntryPartyName,$P225)))</f>
        <v/>
      </c>
      <c r="F225" s="26">
        <f>IF($P225="","",IF(INDEX(EntryPartyType,$P225)=0,"",INDEX(EntryPartyType,$P225)))</f>
        <v/>
      </c>
      <c r="G225" s="26">
        <f>IF($P225="","",IF(INDEX(EntryTxnType,$P225)=0,"",INDEX(EntryTxnType,$P225)))</f>
        <v/>
      </c>
      <c r="H225" s="27">
        <f>IF($P225="","",IF(INDEX(EntryDep,$P225)=0,"",INDEX(EntryDep,$P225)))</f>
        <v/>
      </c>
      <c r="I225" s="27">
        <f>IF($P225="","",IF(INDEX(EntryWit,$P225)=0,"",INDEX(EntryWit,$P225)))</f>
        <v/>
      </c>
      <c r="J225" s="27">
        <f>IF($B225="","",IF($A225=1,$C$7,IF(J224="",0,J224))+IF($H225="",0,$H225)-IF($I225="",0,$I225))</f>
        <v/>
      </c>
      <c r="K225" s="27">
        <f>IF($P225="","",IF(INDEX(EntryMan,$P225)=0,"",INDEX(EntryMan,$P225)))</f>
        <v/>
      </c>
      <c r="L225" s="26">
        <f>IF($B225="","",IF($K225="","—",IF(ROUND($K225-$J225,0)=0,"√","×")))</f>
        <v/>
      </c>
      <c r="M225" s="26">
        <f>IF($B225="","",IF(COUNTIFS(EntryDates,$B225,CalcTime,$C225,CalcBank,$C$5,EntryParty,$D225,EntryDep,$H225,EntryWit,$I225)&gt;1,"تکرار",""))</f>
        <v/>
      </c>
      <c r="N225" s="26">
        <f>IF($P225="","",IF(INDEX(EntryNotes,$P225)=0,"",INDEX(EntryNotes,$P225)))</f>
        <v/>
      </c>
      <c r="O225" s="26">
        <f>IF($P225="","",IF(INDEX(EntryTxnID,$P225)=0,"",INDEX(EntryTxnID,$P225)))</f>
        <v/>
      </c>
      <c r="P225" s="26">
        <f>IFERROR(MATCH($C$5&amp;"|"&amp;RIGHT("000000"&amp;209,6),CalcRankKey,0),"")</f>
        <v/>
      </c>
    </row>
    <row r="226">
      <c r="A226" s="28">
        <f>IF($B226="","",210)</f>
        <v/>
      </c>
      <c r="B226" s="28">
        <f>IF($P226="","",IF(INDEX(CalcNormDate,$P226)=0,"",INDEX(CalcNormDate,$P226)))</f>
        <v/>
      </c>
      <c r="C226" s="28">
        <f>IF($P226="","",IF(INDEX(CalcTime,$P226)=0,"",INDEX(CalcTime,$P226)))</f>
        <v/>
      </c>
      <c r="D226" s="28">
        <f>IF($P226="","",IF(INDEX(EntryParty,$P226)=0,"",INDEX(EntryParty,$P226)))</f>
        <v/>
      </c>
      <c r="E226" s="28">
        <f>IF($P226="","",IF(INDEX(EntryPartyName,$P226)=0,"",INDEX(EntryPartyName,$P226)))</f>
        <v/>
      </c>
      <c r="F226" s="28">
        <f>IF($P226="","",IF(INDEX(EntryPartyType,$P226)=0,"",INDEX(EntryPartyType,$P226)))</f>
        <v/>
      </c>
      <c r="G226" s="28">
        <f>IF($P226="","",IF(INDEX(EntryTxnType,$P226)=0,"",INDEX(EntryTxnType,$P226)))</f>
        <v/>
      </c>
      <c r="H226" s="29">
        <f>IF($P226="","",IF(INDEX(EntryDep,$P226)=0,"",INDEX(EntryDep,$P226)))</f>
        <v/>
      </c>
      <c r="I226" s="29">
        <f>IF($P226="","",IF(INDEX(EntryWit,$P226)=0,"",INDEX(EntryWit,$P226)))</f>
        <v/>
      </c>
      <c r="J226" s="29">
        <f>IF($B226="","",IF($A226=1,$C$7,IF(J225="",0,J225))+IF($H226="",0,$H226)-IF($I226="",0,$I226))</f>
        <v/>
      </c>
      <c r="K226" s="29">
        <f>IF($P226="","",IF(INDEX(EntryMan,$P226)=0,"",INDEX(EntryMan,$P226)))</f>
        <v/>
      </c>
      <c r="L226" s="28">
        <f>IF($B226="","",IF($K226="","—",IF(ROUND($K226-$J226,0)=0,"√","×")))</f>
        <v/>
      </c>
      <c r="M226" s="28">
        <f>IF($B226="","",IF(COUNTIFS(EntryDates,$B226,CalcTime,$C226,CalcBank,$C$5,EntryParty,$D226,EntryDep,$H226,EntryWit,$I226)&gt;1,"تکرار",""))</f>
        <v/>
      </c>
      <c r="N226" s="28">
        <f>IF($P226="","",IF(INDEX(EntryNotes,$P226)=0,"",INDEX(EntryNotes,$P226)))</f>
        <v/>
      </c>
      <c r="O226" s="28">
        <f>IF($P226="","",IF(INDEX(EntryTxnID,$P226)=0,"",INDEX(EntryTxnID,$P226)))</f>
        <v/>
      </c>
      <c r="P226" s="28">
        <f>IFERROR(MATCH($C$5&amp;"|"&amp;RIGHT("000000"&amp;210,6),CalcRankKey,0),"")</f>
        <v/>
      </c>
    </row>
    <row r="227">
      <c r="A227" s="26">
        <f>IF($B227="","",211)</f>
        <v/>
      </c>
      <c r="B227" s="26">
        <f>IF($P227="","",IF(INDEX(CalcNormDate,$P227)=0,"",INDEX(CalcNormDate,$P227)))</f>
        <v/>
      </c>
      <c r="C227" s="26">
        <f>IF($P227="","",IF(INDEX(CalcTime,$P227)=0,"",INDEX(CalcTime,$P227)))</f>
        <v/>
      </c>
      <c r="D227" s="26">
        <f>IF($P227="","",IF(INDEX(EntryParty,$P227)=0,"",INDEX(EntryParty,$P227)))</f>
        <v/>
      </c>
      <c r="E227" s="26">
        <f>IF($P227="","",IF(INDEX(EntryPartyName,$P227)=0,"",INDEX(EntryPartyName,$P227)))</f>
        <v/>
      </c>
      <c r="F227" s="26">
        <f>IF($P227="","",IF(INDEX(EntryPartyType,$P227)=0,"",INDEX(EntryPartyType,$P227)))</f>
        <v/>
      </c>
      <c r="G227" s="26">
        <f>IF($P227="","",IF(INDEX(EntryTxnType,$P227)=0,"",INDEX(EntryTxnType,$P227)))</f>
        <v/>
      </c>
      <c r="H227" s="27">
        <f>IF($P227="","",IF(INDEX(EntryDep,$P227)=0,"",INDEX(EntryDep,$P227)))</f>
        <v/>
      </c>
      <c r="I227" s="27">
        <f>IF($P227="","",IF(INDEX(EntryWit,$P227)=0,"",INDEX(EntryWit,$P227)))</f>
        <v/>
      </c>
      <c r="J227" s="27">
        <f>IF($B227="","",IF($A227=1,$C$7,IF(J226="",0,J226))+IF($H227="",0,$H227)-IF($I227="",0,$I227))</f>
        <v/>
      </c>
      <c r="K227" s="27">
        <f>IF($P227="","",IF(INDEX(EntryMan,$P227)=0,"",INDEX(EntryMan,$P227)))</f>
        <v/>
      </c>
      <c r="L227" s="26">
        <f>IF($B227="","",IF($K227="","—",IF(ROUND($K227-$J227,0)=0,"√","×")))</f>
        <v/>
      </c>
      <c r="M227" s="26">
        <f>IF($B227="","",IF(COUNTIFS(EntryDates,$B227,CalcTime,$C227,CalcBank,$C$5,EntryParty,$D227,EntryDep,$H227,EntryWit,$I227)&gt;1,"تکرار",""))</f>
        <v/>
      </c>
      <c r="N227" s="26">
        <f>IF($P227="","",IF(INDEX(EntryNotes,$P227)=0,"",INDEX(EntryNotes,$P227)))</f>
        <v/>
      </c>
      <c r="O227" s="26">
        <f>IF($P227="","",IF(INDEX(EntryTxnID,$P227)=0,"",INDEX(EntryTxnID,$P227)))</f>
        <v/>
      </c>
      <c r="P227" s="26">
        <f>IFERROR(MATCH($C$5&amp;"|"&amp;RIGHT("000000"&amp;211,6),CalcRankKey,0),"")</f>
        <v/>
      </c>
    </row>
    <row r="228">
      <c r="A228" s="28">
        <f>IF($B228="","",212)</f>
        <v/>
      </c>
      <c r="B228" s="28">
        <f>IF($P228="","",IF(INDEX(CalcNormDate,$P228)=0,"",INDEX(CalcNormDate,$P228)))</f>
        <v/>
      </c>
      <c r="C228" s="28">
        <f>IF($P228="","",IF(INDEX(CalcTime,$P228)=0,"",INDEX(CalcTime,$P228)))</f>
        <v/>
      </c>
      <c r="D228" s="28">
        <f>IF($P228="","",IF(INDEX(EntryParty,$P228)=0,"",INDEX(EntryParty,$P228)))</f>
        <v/>
      </c>
      <c r="E228" s="28">
        <f>IF($P228="","",IF(INDEX(EntryPartyName,$P228)=0,"",INDEX(EntryPartyName,$P228)))</f>
        <v/>
      </c>
      <c r="F228" s="28">
        <f>IF($P228="","",IF(INDEX(EntryPartyType,$P228)=0,"",INDEX(EntryPartyType,$P228)))</f>
        <v/>
      </c>
      <c r="G228" s="28">
        <f>IF($P228="","",IF(INDEX(EntryTxnType,$P228)=0,"",INDEX(EntryTxnType,$P228)))</f>
        <v/>
      </c>
      <c r="H228" s="29">
        <f>IF($P228="","",IF(INDEX(EntryDep,$P228)=0,"",INDEX(EntryDep,$P228)))</f>
        <v/>
      </c>
      <c r="I228" s="29">
        <f>IF($P228="","",IF(INDEX(EntryWit,$P228)=0,"",INDEX(EntryWit,$P228)))</f>
        <v/>
      </c>
      <c r="J228" s="29">
        <f>IF($B228="","",IF($A228=1,$C$7,IF(J227="",0,J227))+IF($H228="",0,$H228)-IF($I228="",0,$I228))</f>
        <v/>
      </c>
      <c r="K228" s="29">
        <f>IF($P228="","",IF(INDEX(EntryMan,$P228)=0,"",INDEX(EntryMan,$P228)))</f>
        <v/>
      </c>
      <c r="L228" s="28">
        <f>IF($B228="","",IF($K228="","—",IF(ROUND($K228-$J228,0)=0,"√","×")))</f>
        <v/>
      </c>
      <c r="M228" s="28">
        <f>IF($B228="","",IF(COUNTIFS(EntryDates,$B228,CalcTime,$C228,CalcBank,$C$5,EntryParty,$D228,EntryDep,$H228,EntryWit,$I228)&gt;1,"تکرار",""))</f>
        <v/>
      </c>
      <c r="N228" s="28">
        <f>IF($P228="","",IF(INDEX(EntryNotes,$P228)=0,"",INDEX(EntryNotes,$P228)))</f>
        <v/>
      </c>
      <c r="O228" s="28">
        <f>IF($P228="","",IF(INDEX(EntryTxnID,$P228)=0,"",INDEX(EntryTxnID,$P228)))</f>
        <v/>
      </c>
      <c r="P228" s="28">
        <f>IFERROR(MATCH($C$5&amp;"|"&amp;RIGHT("000000"&amp;212,6),CalcRankKey,0),"")</f>
        <v/>
      </c>
    </row>
    <row r="229">
      <c r="A229" s="26">
        <f>IF($B229="","",213)</f>
        <v/>
      </c>
      <c r="B229" s="26">
        <f>IF($P229="","",IF(INDEX(CalcNormDate,$P229)=0,"",INDEX(CalcNormDate,$P229)))</f>
        <v/>
      </c>
      <c r="C229" s="26">
        <f>IF($P229="","",IF(INDEX(CalcTime,$P229)=0,"",INDEX(CalcTime,$P229)))</f>
        <v/>
      </c>
      <c r="D229" s="26">
        <f>IF($P229="","",IF(INDEX(EntryParty,$P229)=0,"",INDEX(EntryParty,$P229)))</f>
        <v/>
      </c>
      <c r="E229" s="26">
        <f>IF($P229="","",IF(INDEX(EntryPartyName,$P229)=0,"",INDEX(EntryPartyName,$P229)))</f>
        <v/>
      </c>
      <c r="F229" s="26">
        <f>IF($P229="","",IF(INDEX(EntryPartyType,$P229)=0,"",INDEX(EntryPartyType,$P229)))</f>
        <v/>
      </c>
      <c r="G229" s="26">
        <f>IF($P229="","",IF(INDEX(EntryTxnType,$P229)=0,"",INDEX(EntryTxnType,$P229)))</f>
        <v/>
      </c>
      <c r="H229" s="27">
        <f>IF($P229="","",IF(INDEX(EntryDep,$P229)=0,"",INDEX(EntryDep,$P229)))</f>
        <v/>
      </c>
      <c r="I229" s="27">
        <f>IF($P229="","",IF(INDEX(EntryWit,$P229)=0,"",INDEX(EntryWit,$P229)))</f>
        <v/>
      </c>
      <c r="J229" s="27">
        <f>IF($B229="","",IF($A229=1,$C$7,IF(J228="",0,J228))+IF($H229="",0,$H229)-IF($I229="",0,$I229))</f>
        <v/>
      </c>
      <c r="K229" s="27">
        <f>IF($P229="","",IF(INDEX(EntryMan,$P229)=0,"",INDEX(EntryMan,$P229)))</f>
        <v/>
      </c>
      <c r="L229" s="26">
        <f>IF($B229="","",IF($K229="","—",IF(ROUND($K229-$J229,0)=0,"√","×")))</f>
        <v/>
      </c>
      <c r="M229" s="26">
        <f>IF($B229="","",IF(COUNTIFS(EntryDates,$B229,CalcTime,$C229,CalcBank,$C$5,EntryParty,$D229,EntryDep,$H229,EntryWit,$I229)&gt;1,"تکرار",""))</f>
        <v/>
      </c>
      <c r="N229" s="26">
        <f>IF($P229="","",IF(INDEX(EntryNotes,$P229)=0,"",INDEX(EntryNotes,$P229)))</f>
        <v/>
      </c>
      <c r="O229" s="26">
        <f>IF($P229="","",IF(INDEX(EntryTxnID,$P229)=0,"",INDEX(EntryTxnID,$P229)))</f>
        <v/>
      </c>
      <c r="P229" s="26">
        <f>IFERROR(MATCH($C$5&amp;"|"&amp;RIGHT("000000"&amp;213,6),CalcRankKey,0),"")</f>
        <v/>
      </c>
    </row>
    <row r="230">
      <c r="A230" s="28">
        <f>IF($B230="","",214)</f>
        <v/>
      </c>
      <c r="B230" s="28">
        <f>IF($P230="","",IF(INDEX(CalcNormDate,$P230)=0,"",INDEX(CalcNormDate,$P230)))</f>
        <v/>
      </c>
      <c r="C230" s="28">
        <f>IF($P230="","",IF(INDEX(CalcTime,$P230)=0,"",INDEX(CalcTime,$P230)))</f>
        <v/>
      </c>
      <c r="D230" s="28">
        <f>IF($P230="","",IF(INDEX(EntryParty,$P230)=0,"",INDEX(EntryParty,$P230)))</f>
        <v/>
      </c>
      <c r="E230" s="28">
        <f>IF($P230="","",IF(INDEX(EntryPartyName,$P230)=0,"",INDEX(EntryPartyName,$P230)))</f>
        <v/>
      </c>
      <c r="F230" s="28">
        <f>IF($P230="","",IF(INDEX(EntryPartyType,$P230)=0,"",INDEX(EntryPartyType,$P230)))</f>
        <v/>
      </c>
      <c r="G230" s="28">
        <f>IF($P230="","",IF(INDEX(EntryTxnType,$P230)=0,"",INDEX(EntryTxnType,$P230)))</f>
        <v/>
      </c>
      <c r="H230" s="29">
        <f>IF($P230="","",IF(INDEX(EntryDep,$P230)=0,"",INDEX(EntryDep,$P230)))</f>
        <v/>
      </c>
      <c r="I230" s="29">
        <f>IF($P230="","",IF(INDEX(EntryWit,$P230)=0,"",INDEX(EntryWit,$P230)))</f>
        <v/>
      </c>
      <c r="J230" s="29">
        <f>IF($B230="","",IF($A230=1,$C$7,IF(J229="",0,J229))+IF($H230="",0,$H230)-IF($I230="",0,$I230))</f>
        <v/>
      </c>
      <c r="K230" s="29">
        <f>IF($P230="","",IF(INDEX(EntryMan,$P230)=0,"",INDEX(EntryMan,$P230)))</f>
        <v/>
      </c>
      <c r="L230" s="28">
        <f>IF($B230="","",IF($K230="","—",IF(ROUND($K230-$J230,0)=0,"√","×")))</f>
        <v/>
      </c>
      <c r="M230" s="28">
        <f>IF($B230="","",IF(COUNTIFS(EntryDates,$B230,CalcTime,$C230,CalcBank,$C$5,EntryParty,$D230,EntryDep,$H230,EntryWit,$I230)&gt;1,"تکرار",""))</f>
        <v/>
      </c>
      <c r="N230" s="28">
        <f>IF($P230="","",IF(INDEX(EntryNotes,$P230)=0,"",INDEX(EntryNotes,$P230)))</f>
        <v/>
      </c>
      <c r="O230" s="28">
        <f>IF($P230="","",IF(INDEX(EntryTxnID,$P230)=0,"",INDEX(EntryTxnID,$P230)))</f>
        <v/>
      </c>
      <c r="P230" s="28">
        <f>IFERROR(MATCH($C$5&amp;"|"&amp;RIGHT("000000"&amp;214,6),CalcRankKey,0),"")</f>
        <v/>
      </c>
    </row>
    <row r="231">
      <c r="A231" s="26">
        <f>IF($B231="","",215)</f>
        <v/>
      </c>
      <c r="B231" s="26">
        <f>IF($P231="","",IF(INDEX(CalcNormDate,$P231)=0,"",INDEX(CalcNormDate,$P231)))</f>
        <v/>
      </c>
      <c r="C231" s="26">
        <f>IF($P231="","",IF(INDEX(CalcTime,$P231)=0,"",INDEX(CalcTime,$P231)))</f>
        <v/>
      </c>
      <c r="D231" s="26">
        <f>IF($P231="","",IF(INDEX(EntryParty,$P231)=0,"",INDEX(EntryParty,$P231)))</f>
        <v/>
      </c>
      <c r="E231" s="26">
        <f>IF($P231="","",IF(INDEX(EntryPartyName,$P231)=0,"",INDEX(EntryPartyName,$P231)))</f>
        <v/>
      </c>
      <c r="F231" s="26">
        <f>IF($P231="","",IF(INDEX(EntryPartyType,$P231)=0,"",INDEX(EntryPartyType,$P231)))</f>
        <v/>
      </c>
      <c r="G231" s="26">
        <f>IF($P231="","",IF(INDEX(EntryTxnType,$P231)=0,"",INDEX(EntryTxnType,$P231)))</f>
        <v/>
      </c>
      <c r="H231" s="27">
        <f>IF($P231="","",IF(INDEX(EntryDep,$P231)=0,"",INDEX(EntryDep,$P231)))</f>
        <v/>
      </c>
      <c r="I231" s="27">
        <f>IF($P231="","",IF(INDEX(EntryWit,$P231)=0,"",INDEX(EntryWit,$P231)))</f>
        <v/>
      </c>
      <c r="J231" s="27">
        <f>IF($B231="","",IF($A231=1,$C$7,IF(J230="",0,J230))+IF($H231="",0,$H231)-IF($I231="",0,$I231))</f>
        <v/>
      </c>
      <c r="K231" s="27">
        <f>IF($P231="","",IF(INDEX(EntryMan,$P231)=0,"",INDEX(EntryMan,$P231)))</f>
        <v/>
      </c>
      <c r="L231" s="26">
        <f>IF($B231="","",IF($K231="","—",IF(ROUND($K231-$J231,0)=0,"√","×")))</f>
        <v/>
      </c>
      <c r="M231" s="26">
        <f>IF($B231="","",IF(COUNTIFS(EntryDates,$B231,CalcTime,$C231,CalcBank,$C$5,EntryParty,$D231,EntryDep,$H231,EntryWit,$I231)&gt;1,"تکرار",""))</f>
        <v/>
      </c>
      <c r="N231" s="26">
        <f>IF($P231="","",IF(INDEX(EntryNotes,$P231)=0,"",INDEX(EntryNotes,$P231)))</f>
        <v/>
      </c>
      <c r="O231" s="26">
        <f>IF($P231="","",IF(INDEX(EntryTxnID,$P231)=0,"",INDEX(EntryTxnID,$P231)))</f>
        <v/>
      </c>
      <c r="P231" s="26">
        <f>IFERROR(MATCH($C$5&amp;"|"&amp;RIGHT("000000"&amp;215,6),CalcRankKey,0),"")</f>
        <v/>
      </c>
    </row>
    <row r="232">
      <c r="A232" s="28">
        <f>IF($B232="","",216)</f>
        <v/>
      </c>
      <c r="B232" s="28">
        <f>IF($P232="","",IF(INDEX(CalcNormDate,$P232)=0,"",INDEX(CalcNormDate,$P232)))</f>
        <v/>
      </c>
      <c r="C232" s="28">
        <f>IF($P232="","",IF(INDEX(CalcTime,$P232)=0,"",INDEX(CalcTime,$P232)))</f>
        <v/>
      </c>
      <c r="D232" s="28">
        <f>IF($P232="","",IF(INDEX(EntryParty,$P232)=0,"",INDEX(EntryParty,$P232)))</f>
        <v/>
      </c>
      <c r="E232" s="28">
        <f>IF($P232="","",IF(INDEX(EntryPartyName,$P232)=0,"",INDEX(EntryPartyName,$P232)))</f>
        <v/>
      </c>
      <c r="F232" s="28">
        <f>IF($P232="","",IF(INDEX(EntryPartyType,$P232)=0,"",INDEX(EntryPartyType,$P232)))</f>
        <v/>
      </c>
      <c r="G232" s="28">
        <f>IF($P232="","",IF(INDEX(EntryTxnType,$P232)=0,"",INDEX(EntryTxnType,$P232)))</f>
        <v/>
      </c>
      <c r="H232" s="29">
        <f>IF($P232="","",IF(INDEX(EntryDep,$P232)=0,"",INDEX(EntryDep,$P232)))</f>
        <v/>
      </c>
      <c r="I232" s="29">
        <f>IF($P232="","",IF(INDEX(EntryWit,$P232)=0,"",INDEX(EntryWit,$P232)))</f>
        <v/>
      </c>
      <c r="J232" s="29">
        <f>IF($B232="","",IF($A232=1,$C$7,IF(J231="",0,J231))+IF($H232="",0,$H232)-IF($I232="",0,$I232))</f>
        <v/>
      </c>
      <c r="K232" s="29">
        <f>IF($P232="","",IF(INDEX(EntryMan,$P232)=0,"",INDEX(EntryMan,$P232)))</f>
        <v/>
      </c>
      <c r="L232" s="28">
        <f>IF($B232="","",IF($K232="","—",IF(ROUND($K232-$J232,0)=0,"√","×")))</f>
        <v/>
      </c>
      <c r="M232" s="28">
        <f>IF($B232="","",IF(COUNTIFS(EntryDates,$B232,CalcTime,$C232,CalcBank,$C$5,EntryParty,$D232,EntryDep,$H232,EntryWit,$I232)&gt;1,"تکرار",""))</f>
        <v/>
      </c>
      <c r="N232" s="28">
        <f>IF($P232="","",IF(INDEX(EntryNotes,$P232)=0,"",INDEX(EntryNotes,$P232)))</f>
        <v/>
      </c>
      <c r="O232" s="28">
        <f>IF($P232="","",IF(INDEX(EntryTxnID,$P232)=0,"",INDEX(EntryTxnID,$P232)))</f>
        <v/>
      </c>
      <c r="P232" s="28">
        <f>IFERROR(MATCH($C$5&amp;"|"&amp;RIGHT("000000"&amp;216,6),CalcRankKey,0),"")</f>
        <v/>
      </c>
    </row>
    <row r="233">
      <c r="A233" s="26">
        <f>IF($B233="","",217)</f>
        <v/>
      </c>
      <c r="B233" s="26">
        <f>IF($P233="","",IF(INDEX(CalcNormDate,$P233)=0,"",INDEX(CalcNormDate,$P233)))</f>
        <v/>
      </c>
      <c r="C233" s="26">
        <f>IF($P233="","",IF(INDEX(CalcTime,$P233)=0,"",INDEX(CalcTime,$P233)))</f>
        <v/>
      </c>
      <c r="D233" s="26">
        <f>IF($P233="","",IF(INDEX(EntryParty,$P233)=0,"",INDEX(EntryParty,$P233)))</f>
        <v/>
      </c>
      <c r="E233" s="26">
        <f>IF($P233="","",IF(INDEX(EntryPartyName,$P233)=0,"",INDEX(EntryPartyName,$P233)))</f>
        <v/>
      </c>
      <c r="F233" s="26">
        <f>IF($P233="","",IF(INDEX(EntryPartyType,$P233)=0,"",INDEX(EntryPartyType,$P233)))</f>
        <v/>
      </c>
      <c r="G233" s="26">
        <f>IF($P233="","",IF(INDEX(EntryTxnType,$P233)=0,"",INDEX(EntryTxnType,$P233)))</f>
        <v/>
      </c>
      <c r="H233" s="27">
        <f>IF($P233="","",IF(INDEX(EntryDep,$P233)=0,"",INDEX(EntryDep,$P233)))</f>
        <v/>
      </c>
      <c r="I233" s="27">
        <f>IF($P233="","",IF(INDEX(EntryWit,$P233)=0,"",INDEX(EntryWit,$P233)))</f>
        <v/>
      </c>
      <c r="J233" s="27">
        <f>IF($B233="","",IF($A233=1,$C$7,IF(J232="",0,J232))+IF($H233="",0,$H233)-IF($I233="",0,$I233))</f>
        <v/>
      </c>
      <c r="K233" s="27">
        <f>IF($P233="","",IF(INDEX(EntryMan,$P233)=0,"",INDEX(EntryMan,$P233)))</f>
        <v/>
      </c>
      <c r="L233" s="26">
        <f>IF($B233="","",IF($K233="","—",IF(ROUND($K233-$J233,0)=0,"√","×")))</f>
        <v/>
      </c>
      <c r="M233" s="26">
        <f>IF($B233="","",IF(COUNTIFS(EntryDates,$B233,CalcTime,$C233,CalcBank,$C$5,EntryParty,$D233,EntryDep,$H233,EntryWit,$I233)&gt;1,"تکرار",""))</f>
        <v/>
      </c>
      <c r="N233" s="26">
        <f>IF($P233="","",IF(INDEX(EntryNotes,$P233)=0,"",INDEX(EntryNotes,$P233)))</f>
        <v/>
      </c>
      <c r="O233" s="26">
        <f>IF($P233="","",IF(INDEX(EntryTxnID,$P233)=0,"",INDEX(EntryTxnID,$P233)))</f>
        <v/>
      </c>
      <c r="P233" s="26">
        <f>IFERROR(MATCH($C$5&amp;"|"&amp;RIGHT("000000"&amp;217,6),CalcRankKey,0),"")</f>
        <v/>
      </c>
    </row>
    <row r="234">
      <c r="A234" s="28">
        <f>IF($B234="","",218)</f>
        <v/>
      </c>
      <c r="B234" s="28">
        <f>IF($P234="","",IF(INDEX(CalcNormDate,$P234)=0,"",INDEX(CalcNormDate,$P234)))</f>
        <v/>
      </c>
      <c r="C234" s="28">
        <f>IF($P234="","",IF(INDEX(CalcTime,$P234)=0,"",INDEX(CalcTime,$P234)))</f>
        <v/>
      </c>
      <c r="D234" s="28">
        <f>IF($P234="","",IF(INDEX(EntryParty,$P234)=0,"",INDEX(EntryParty,$P234)))</f>
        <v/>
      </c>
      <c r="E234" s="28">
        <f>IF($P234="","",IF(INDEX(EntryPartyName,$P234)=0,"",INDEX(EntryPartyName,$P234)))</f>
        <v/>
      </c>
      <c r="F234" s="28">
        <f>IF($P234="","",IF(INDEX(EntryPartyType,$P234)=0,"",INDEX(EntryPartyType,$P234)))</f>
        <v/>
      </c>
      <c r="G234" s="28">
        <f>IF($P234="","",IF(INDEX(EntryTxnType,$P234)=0,"",INDEX(EntryTxnType,$P234)))</f>
        <v/>
      </c>
      <c r="H234" s="29">
        <f>IF($P234="","",IF(INDEX(EntryDep,$P234)=0,"",INDEX(EntryDep,$P234)))</f>
        <v/>
      </c>
      <c r="I234" s="29">
        <f>IF($P234="","",IF(INDEX(EntryWit,$P234)=0,"",INDEX(EntryWit,$P234)))</f>
        <v/>
      </c>
      <c r="J234" s="29">
        <f>IF($B234="","",IF($A234=1,$C$7,IF(J233="",0,J233))+IF($H234="",0,$H234)-IF($I234="",0,$I234))</f>
        <v/>
      </c>
      <c r="K234" s="29">
        <f>IF($P234="","",IF(INDEX(EntryMan,$P234)=0,"",INDEX(EntryMan,$P234)))</f>
        <v/>
      </c>
      <c r="L234" s="28">
        <f>IF($B234="","",IF($K234="","—",IF(ROUND($K234-$J234,0)=0,"√","×")))</f>
        <v/>
      </c>
      <c r="M234" s="28">
        <f>IF($B234="","",IF(COUNTIFS(EntryDates,$B234,CalcTime,$C234,CalcBank,$C$5,EntryParty,$D234,EntryDep,$H234,EntryWit,$I234)&gt;1,"تکرار",""))</f>
        <v/>
      </c>
      <c r="N234" s="28">
        <f>IF($P234="","",IF(INDEX(EntryNotes,$P234)=0,"",INDEX(EntryNotes,$P234)))</f>
        <v/>
      </c>
      <c r="O234" s="28">
        <f>IF($P234="","",IF(INDEX(EntryTxnID,$P234)=0,"",INDEX(EntryTxnID,$P234)))</f>
        <v/>
      </c>
      <c r="P234" s="28">
        <f>IFERROR(MATCH($C$5&amp;"|"&amp;RIGHT("000000"&amp;218,6),CalcRankKey,0),"")</f>
        <v/>
      </c>
    </row>
    <row r="235">
      <c r="A235" s="26">
        <f>IF($B235="","",219)</f>
        <v/>
      </c>
      <c r="B235" s="26">
        <f>IF($P235="","",IF(INDEX(CalcNormDate,$P235)=0,"",INDEX(CalcNormDate,$P235)))</f>
        <v/>
      </c>
      <c r="C235" s="26">
        <f>IF($P235="","",IF(INDEX(CalcTime,$P235)=0,"",INDEX(CalcTime,$P235)))</f>
        <v/>
      </c>
      <c r="D235" s="26">
        <f>IF($P235="","",IF(INDEX(EntryParty,$P235)=0,"",INDEX(EntryParty,$P235)))</f>
        <v/>
      </c>
      <c r="E235" s="26">
        <f>IF($P235="","",IF(INDEX(EntryPartyName,$P235)=0,"",INDEX(EntryPartyName,$P235)))</f>
        <v/>
      </c>
      <c r="F235" s="26">
        <f>IF($P235="","",IF(INDEX(EntryPartyType,$P235)=0,"",INDEX(EntryPartyType,$P235)))</f>
        <v/>
      </c>
      <c r="G235" s="26">
        <f>IF($P235="","",IF(INDEX(EntryTxnType,$P235)=0,"",INDEX(EntryTxnType,$P235)))</f>
        <v/>
      </c>
      <c r="H235" s="27">
        <f>IF($P235="","",IF(INDEX(EntryDep,$P235)=0,"",INDEX(EntryDep,$P235)))</f>
        <v/>
      </c>
      <c r="I235" s="27">
        <f>IF($P235="","",IF(INDEX(EntryWit,$P235)=0,"",INDEX(EntryWit,$P235)))</f>
        <v/>
      </c>
      <c r="J235" s="27">
        <f>IF($B235="","",IF($A235=1,$C$7,IF(J234="",0,J234))+IF($H235="",0,$H235)-IF($I235="",0,$I235))</f>
        <v/>
      </c>
      <c r="K235" s="27">
        <f>IF($P235="","",IF(INDEX(EntryMan,$P235)=0,"",INDEX(EntryMan,$P235)))</f>
        <v/>
      </c>
      <c r="L235" s="26">
        <f>IF($B235="","",IF($K235="","—",IF(ROUND($K235-$J235,0)=0,"√","×")))</f>
        <v/>
      </c>
      <c r="M235" s="26">
        <f>IF($B235="","",IF(COUNTIFS(EntryDates,$B235,CalcTime,$C235,CalcBank,$C$5,EntryParty,$D235,EntryDep,$H235,EntryWit,$I235)&gt;1,"تکرار",""))</f>
        <v/>
      </c>
      <c r="N235" s="26">
        <f>IF($P235="","",IF(INDEX(EntryNotes,$P235)=0,"",INDEX(EntryNotes,$P235)))</f>
        <v/>
      </c>
      <c r="O235" s="26">
        <f>IF($P235="","",IF(INDEX(EntryTxnID,$P235)=0,"",INDEX(EntryTxnID,$P235)))</f>
        <v/>
      </c>
      <c r="P235" s="26">
        <f>IFERROR(MATCH($C$5&amp;"|"&amp;RIGHT("000000"&amp;219,6),CalcRankKey,0),"")</f>
        <v/>
      </c>
    </row>
    <row r="236">
      <c r="A236" s="28">
        <f>IF($B236="","",220)</f>
        <v/>
      </c>
      <c r="B236" s="28">
        <f>IF($P236="","",IF(INDEX(CalcNormDate,$P236)=0,"",INDEX(CalcNormDate,$P236)))</f>
        <v/>
      </c>
      <c r="C236" s="28">
        <f>IF($P236="","",IF(INDEX(CalcTime,$P236)=0,"",INDEX(CalcTime,$P236)))</f>
        <v/>
      </c>
      <c r="D236" s="28">
        <f>IF($P236="","",IF(INDEX(EntryParty,$P236)=0,"",INDEX(EntryParty,$P236)))</f>
        <v/>
      </c>
      <c r="E236" s="28">
        <f>IF($P236="","",IF(INDEX(EntryPartyName,$P236)=0,"",INDEX(EntryPartyName,$P236)))</f>
        <v/>
      </c>
      <c r="F236" s="28">
        <f>IF($P236="","",IF(INDEX(EntryPartyType,$P236)=0,"",INDEX(EntryPartyType,$P236)))</f>
        <v/>
      </c>
      <c r="G236" s="28">
        <f>IF($P236="","",IF(INDEX(EntryTxnType,$P236)=0,"",INDEX(EntryTxnType,$P236)))</f>
        <v/>
      </c>
      <c r="H236" s="29">
        <f>IF($P236="","",IF(INDEX(EntryDep,$P236)=0,"",INDEX(EntryDep,$P236)))</f>
        <v/>
      </c>
      <c r="I236" s="29">
        <f>IF($P236="","",IF(INDEX(EntryWit,$P236)=0,"",INDEX(EntryWit,$P236)))</f>
        <v/>
      </c>
      <c r="J236" s="29">
        <f>IF($B236="","",IF($A236=1,$C$7,IF(J235="",0,J235))+IF($H236="",0,$H236)-IF($I236="",0,$I236))</f>
        <v/>
      </c>
      <c r="K236" s="29">
        <f>IF($P236="","",IF(INDEX(EntryMan,$P236)=0,"",INDEX(EntryMan,$P236)))</f>
        <v/>
      </c>
      <c r="L236" s="28">
        <f>IF($B236="","",IF($K236="","—",IF(ROUND($K236-$J236,0)=0,"√","×")))</f>
        <v/>
      </c>
      <c r="M236" s="28">
        <f>IF($B236="","",IF(COUNTIFS(EntryDates,$B236,CalcTime,$C236,CalcBank,$C$5,EntryParty,$D236,EntryDep,$H236,EntryWit,$I236)&gt;1,"تکرار",""))</f>
        <v/>
      </c>
      <c r="N236" s="28">
        <f>IF($P236="","",IF(INDEX(EntryNotes,$P236)=0,"",INDEX(EntryNotes,$P236)))</f>
        <v/>
      </c>
      <c r="O236" s="28">
        <f>IF($P236="","",IF(INDEX(EntryTxnID,$P236)=0,"",INDEX(EntryTxnID,$P236)))</f>
        <v/>
      </c>
      <c r="P236" s="28">
        <f>IFERROR(MATCH($C$5&amp;"|"&amp;RIGHT("000000"&amp;220,6),CalcRankKey,0),"")</f>
        <v/>
      </c>
    </row>
    <row r="237">
      <c r="A237" s="26">
        <f>IF($B237="","",221)</f>
        <v/>
      </c>
      <c r="B237" s="26">
        <f>IF($P237="","",IF(INDEX(CalcNormDate,$P237)=0,"",INDEX(CalcNormDate,$P237)))</f>
        <v/>
      </c>
      <c r="C237" s="26">
        <f>IF($P237="","",IF(INDEX(CalcTime,$P237)=0,"",INDEX(CalcTime,$P237)))</f>
        <v/>
      </c>
      <c r="D237" s="26">
        <f>IF($P237="","",IF(INDEX(EntryParty,$P237)=0,"",INDEX(EntryParty,$P237)))</f>
        <v/>
      </c>
      <c r="E237" s="26">
        <f>IF($P237="","",IF(INDEX(EntryPartyName,$P237)=0,"",INDEX(EntryPartyName,$P237)))</f>
        <v/>
      </c>
      <c r="F237" s="26">
        <f>IF($P237="","",IF(INDEX(EntryPartyType,$P237)=0,"",INDEX(EntryPartyType,$P237)))</f>
        <v/>
      </c>
      <c r="G237" s="26">
        <f>IF($P237="","",IF(INDEX(EntryTxnType,$P237)=0,"",INDEX(EntryTxnType,$P237)))</f>
        <v/>
      </c>
      <c r="H237" s="27">
        <f>IF($P237="","",IF(INDEX(EntryDep,$P237)=0,"",INDEX(EntryDep,$P237)))</f>
        <v/>
      </c>
      <c r="I237" s="27">
        <f>IF($P237="","",IF(INDEX(EntryWit,$P237)=0,"",INDEX(EntryWit,$P237)))</f>
        <v/>
      </c>
      <c r="J237" s="27">
        <f>IF($B237="","",IF($A237=1,$C$7,IF(J236="",0,J236))+IF($H237="",0,$H237)-IF($I237="",0,$I237))</f>
        <v/>
      </c>
      <c r="K237" s="27">
        <f>IF($P237="","",IF(INDEX(EntryMan,$P237)=0,"",INDEX(EntryMan,$P237)))</f>
        <v/>
      </c>
      <c r="L237" s="26">
        <f>IF($B237="","",IF($K237="","—",IF(ROUND($K237-$J237,0)=0,"√","×")))</f>
        <v/>
      </c>
      <c r="M237" s="26">
        <f>IF($B237="","",IF(COUNTIFS(EntryDates,$B237,CalcTime,$C237,CalcBank,$C$5,EntryParty,$D237,EntryDep,$H237,EntryWit,$I237)&gt;1,"تکرار",""))</f>
        <v/>
      </c>
      <c r="N237" s="26">
        <f>IF($P237="","",IF(INDEX(EntryNotes,$P237)=0,"",INDEX(EntryNotes,$P237)))</f>
        <v/>
      </c>
      <c r="O237" s="26">
        <f>IF($P237="","",IF(INDEX(EntryTxnID,$P237)=0,"",INDEX(EntryTxnID,$P237)))</f>
        <v/>
      </c>
      <c r="P237" s="26">
        <f>IFERROR(MATCH($C$5&amp;"|"&amp;RIGHT("000000"&amp;221,6),CalcRankKey,0),"")</f>
        <v/>
      </c>
    </row>
    <row r="238">
      <c r="A238" s="28">
        <f>IF($B238="","",222)</f>
        <v/>
      </c>
      <c r="B238" s="28">
        <f>IF($P238="","",IF(INDEX(CalcNormDate,$P238)=0,"",INDEX(CalcNormDate,$P238)))</f>
        <v/>
      </c>
      <c r="C238" s="28">
        <f>IF($P238="","",IF(INDEX(CalcTime,$P238)=0,"",INDEX(CalcTime,$P238)))</f>
        <v/>
      </c>
      <c r="D238" s="28">
        <f>IF($P238="","",IF(INDEX(EntryParty,$P238)=0,"",INDEX(EntryParty,$P238)))</f>
        <v/>
      </c>
      <c r="E238" s="28">
        <f>IF($P238="","",IF(INDEX(EntryPartyName,$P238)=0,"",INDEX(EntryPartyName,$P238)))</f>
        <v/>
      </c>
      <c r="F238" s="28">
        <f>IF($P238="","",IF(INDEX(EntryPartyType,$P238)=0,"",INDEX(EntryPartyType,$P238)))</f>
        <v/>
      </c>
      <c r="G238" s="28">
        <f>IF($P238="","",IF(INDEX(EntryTxnType,$P238)=0,"",INDEX(EntryTxnType,$P238)))</f>
        <v/>
      </c>
      <c r="H238" s="29">
        <f>IF($P238="","",IF(INDEX(EntryDep,$P238)=0,"",INDEX(EntryDep,$P238)))</f>
        <v/>
      </c>
      <c r="I238" s="29">
        <f>IF($P238="","",IF(INDEX(EntryWit,$P238)=0,"",INDEX(EntryWit,$P238)))</f>
        <v/>
      </c>
      <c r="J238" s="29">
        <f>IF($B238="","",IF($A238=1,$C$7,IF(J237="",0,J237))+IF($H238="",0,$H238)-IF($I238="",0,$I238))</f>
        <v/>
      </c>
      <c r="K238" s="29">
        <f>IF($P238="","",IF(INDEX(EntryMan,$P238)=0,"",INDEX(EntryMan,$P238)))</f>
        <v/>
      </c>
      <c r="L238" s="28">
        <f>IF($B238="","",IF($K238="","—",IF(ROUND($K238-$J238,0)=0,"√","×")))</f>
        <v/>
      </c>
      <c r="M238" s="28">
        <f>IF($B238="","",IF(COUNTIFS(EntryDates,$B238,CalcTime,$C238,CalcBank,$C$5,EntryParty,$D238,EntryDep,$H238,EntryWit,$I238)&gt;1,"تکرار",""))</f>
        <v/>
      </c>
      <c r="N238" s="28">
        <f>IF($P238="","",IF(INDEX(EntryNotes,$P238)=0,"",INDEX(EntryNotes,$P238)))</f>
        <v/>
      </c>
      <c r="O238" s="28">
        <f>IF($P238="","",IF(INDEX(EntryTxnID,$P238)=0,"",INDEX(EntryTxnID,$P238)))</f>
        <v/>
      </c>
      <c r="P238" s="28">
        <f>IFERROR(MATCH($C$5&amp;"|"&amp;RIGHT("000000"&amp;222,6),CalcRankKey,0),"")</f>
        <v/>
      </c>
    </row>
    <row r="239">
      <c r="A239" s="26">
        <f>IF($B239="","",223)</f>
        <v/>
      </c>
      <c r="B239" s="26">
        <f>IF($P239="","",IF(INDEX(CalcNormDate,$P239)=0,"",INDEX(CalcNormDate,$P239)))</f>
        <v/>
      </c>
      <c r="C239" s="26">
        <f>IF($P239="","",IF(INDEX(CalcTime,$P239)=0,"",INDEX(CalcTime,$P239)))</f>
        <v/>
      </c>
      <c r="D239" s="26">
        <f>IF($P239="","",IF(INDEX(EntryParty,$P239)=0,"",INDEX(EntryParty,$P239)))</f>
        <v/>
      </c>
      <c r="E239" s="26">
        <f>IF($P239="","",IF(INDEX(EntryPartyName,$P239)=0,"",INDEX(EntryPartyName,$P239)))</f>
        <v/>
      </c>
      <c r="F239" s="26">
        <f>IF($P239="","",IF(INDEX(EntryPartyType,$P239)=0,"",INDEX(EntryPartyType,$P239)))</f>
        <v/>
      </c>
      <c r="G239" s="26">
        <f>IF($P239="","",IF(INDEX(EntryTxnType,$P239)=0,"",INDEX(EntryTxnType,$P239)))</f>
        <v/>
      </c>
      <c r="H239" s="27">
        <f>IF($P239="","",IF(INDEX(EntryDep,$P239)=0,"",INDEX(EntryDep,$P239)))</f>
        <v/>
      </c>
      <c r="I239" s="27">
        <f>IF($P239="","",IF(INDEX(EntryWit,$P239)=0,"",INDEX(EntryWit,$P239)))</f>
        <v/>
      </c>
      <c r="J239" s="27">
        <f>IF($B239="","",IF($A239=1,$C$7,IF(J238="",0,J238))+IF($H239="",0,$H239)-IF($I239="",0,$I239))</f>
        <v/>
      </c>
      <c r="K239" s="27">
        <f>IF($P239="","",IF(INDEX(EntryMan,$P239)=0,"",INDEX(EntryMan,$P239)))</f>
        <v/>
      </c>
      <c r="L239" s="26">
        <f>IF($B239="","",IF($K239="","—",IF(ROUND($K239-$J239,0)=0,"√","×")))</f>
        <v/>
      </c>
      <c r="M239" s="26">
        <f>IF($B239="","",IF(COUNTIFS(EntryDates,$B239,CalcTime,$C239,CalcBank,$C$5,EntryParty,$D239,EntryDep,$H239,EntryWit,$I239)&gt;1,"تکرار",""))</f>
        <v/>
      </c>
      <c r="N239" s="26">
        <f>IF($P239="","",IF(INDEX(EntryNotes,$P239)=0,"",INDEX(EntryNotes,$P239)))</f>
        <v/>
      </c>
      <c r="O239" s="26">
        <f>IF($P239="","",IF(INDEX(EntryTxnID,$P239)=0,"",INDEX(EntryTxnID,$P239)))</f>
        <v/>
      </c>
      <c r="P239" s="26">
        <f>IFERROR(MATCH($C$5&amp;"|"&amp;RIGHT("000000"&amp;223,6),CalcRankKey,0),"")</f>
        <v/>
      </c>
    </row>
    <row r="240">
      <c r="A240" s="28">
        <f>IF($B240="","",224)</f>
        <v/>
      </c>
      <c r="B240" s="28">
        <f>IF($P240="","",IF(INDEX(CalcNormDate,$P240)=0,"",INDEX(CalcNormDate,$P240)))</f>
        <v/>
      </c>
      <c r="C240" s="28">
        <f>IF($P240="","",IF(INDEX(CalcTime,$P240)=0,"",INDEX(CalcTime,$P240)))</f>
        <v/>
      </c>
      <c r="D240" s="28">
        <f>IF($P240="","",IF(INDEX(EntryParty,$P240)=0,"",INDEX(EntryParty,$P240)))</f>
        <v/>
      </c>
      <c r="E240" s="28">
        <f>IF($P240="","",IF(INDEX(EntryPartyName,$P240)=0,"",INDEX(EntryPartyName,$P240)))</f>
        <v/>
      </c>
      <c r="F240" s="28">
        <f>IF($P240="","",IF(INDEX(EntryPartyType,$P240)=0,"",INDEX(EntryPartyType,$P240)))</f>
        <v/>
      </c>
      <c r="G240" s="28">
        <f>IF($P240="","",IF(INDEX(EntryTxnType,$P240)=0,"",INDEX(EntryTxnType,$P240)))</f>
        <v/>
      </c>
      <c r="H240" s="29">
        <f>IF($P240="","",IF(INDEX(EntryDep,$P240)=0,"",INDEX(EntryDep,$P240)))</f>
        <v/>
      </c>
      <c r="I240" s="29">
        <f>IF($P240="","",IF(INDEX(EntryWit,$P240)=0,"",INDEX(EntryWit,$P240)))</f>
        <v/>
      </c>
      <c r="J240" s="29">
        <f>IF($B240="","",IF($A240=1,$C$7,IF(J239="",0,J239))+IF($H240="",0,$H240)-IF($I240="",0,$I240))</f>
        <v/>
      </c>
      <c r="K240" s="29">
        <f>IF($P240="","",IF(INDEX(EntryMan,$P240)=0,"",INDEX(EntryMan,$P240)))</f>
        <v/>
      </c>
      <c r="L240" s="28">
        <f>IF($B240="","",IF($K240="","—",IF(ROUND($K240-$J240,0)=0,"√","×")))</f>
        <v/>
      </c>
      <c r="M240" s="28">
        <f>IF($B240="","",IF(COUNTIFS(EntryDates,$B240,CalcTime,$C240,CalcBank,$C$5,EntryParty,$D240,EntryDep,$H240,EntryWit,$I240)&gt;1,"تکرار",""))</f>
        <v/>
      </c>
      <c r="N240" s="28">
        <f>IF($P240="","",IF(INDEX(EntryNotes,$P240)=0,"",INDEX(EntryNotes,$P240)))</f>
        <v/>
      </c>
      <c r="O240" s="28">
        <f>IF($P240="","",IF(INDEX(EntryTxnID,$P240)=0,"",INDEX(EntryTxnID,$P240)))</f>
        <v/>
      </c>
      <c r="P240" s="28">
        <f>IFERROR(MATCH($C$5&amp;"|"&amp;RIGHT("000000"&amp;224,6),CalcRankKey,0),"")</f>
        <v/>
      </c>
    </row>
    <row r="241">
      <c r="A241" s="26">
        <f>IF($B241="","",225)</f>
        <v/>
      </c>
      <c r="B241" s="26">
        <f>IF($P241="","",IF(INDEX(CalcNormDate,$P241)=0,"",INDEX(CalcNormDate,$P241)))</f>
        <v/>
      </c>
      <c r="C241" s="26">
        <f>IF($P241="","",IF(INDEX(CalcTime,$P241)=0,"",INDEX(CalcTime,$P241)))</f>
        <v/>
      </c>
      <c r="D241" s="26">
        <f>IF($P241="","",IF(INDEX(EntryParty,$P241)=0,"",INDEX(EntryParty,$P241)))</f>
        <v/>
      </c>
      <c r="E241" s="26">
        <f>IF($P241="","",IF(INDEX(EntryPartyName,$P241)=0,"",INDEX(EntryPartyName,$P241)))</f>
        <v/>
      </c>
      <c r="F241" s="26">
        <f>IF($P241="","",IF(INDEX(EntryPartyType,$P241)=0,"",INDEX(EntryPartyType,$P241)))</f>
        <v/>
      </c>
      <c r="G241" s="26">
        <f>IF($P241="","",IF(INDEX(EntryTxnType,$P241)=0,"",INDEX(EntryTxnType,$P241)))</f>
        <v/>
      </c>
      <c r="H241" s="27">
        <f>IF($P241="","",IF(INDEX(EntryDep,$P241)=0,"",INDEX(EntryDep,$P241)))</f>
        <v/>
      </c>
      <c r="I241" s="27">
        <f>IF($P241="","",IF(INDEX(EntryWit,$P241)=0,"",INDEX(EntryWit,$P241)))</f>
        <v/>
      </c>
      <c r="J241" s="27">
        <f>IF($B241="","",IF($A241=1,$C$7,IF(J240="",0,J240))+IF($H241="",0,$H241)-IF($I241="",0,$I241))</f>
        <v/>
      </c>
      <c r="K241" s="27">
        <f>IF($P241="","",IF(INDEX(EntryMan,$P241)=0,"",INDEX(EntryMan,$P241)))</f>
        <v/>
      </c>
      <c r="L241" s="26">
        <f>IF($B241="","",IF($K241="","—",IF(ROUND($K241-$J241,0)=0,"√","×")))</f>
        <v/>
      </c>
      <c r="M241" s="26">
        <f>IF($B241="","",IF(COUNTIFS(EntryDates,$B241,CalcTime,$C241,CalcBank,$C$5,EntryParty,$D241,EntryDep,$H241,EntryWit,$I241)&gt;1,"تکرار",""))</f>
        <v/>
      </c>
      <c r="N241" s="26">
        <f>IF($P241="","",IF(INDEX(EntryNotes,$P241)=0,"",INDEX(EntryNotes,$P241)))</f>
        <v/>
      </c>
      <c r="O241" s="26">
        <f>IF($P241="","",IF(INDEX(EntryTxnID,$P241)=0,"",INDEX(EntryTxnID,$P241)))</f>
        <v/>
      </c>
      <c r="P241" s="26">
        <f>IFERROR(MATCH($C$5&amp;"|"&amp;RIGHT("000000"&amp;225,6),CalcRankKey,0),"")</f>
        <v/>
      </c>
    </row>
    <row r="242">
      <c r="A242" s="28">
        <f>IF($B242="","",226)</f>
        <v/>
      </c>
      <c r="B242" s="28">
        <f>IF($P242="","",IF(INDEX(CalcNormDate,$P242)=0,"",INDEX(CalcNormDate,$P242)))</f>
        <v/>
      </c>
      <c r="C242" s="28">
        <f>IF($P242="","",IF(INDEX(CalcTime,$P242)=0,"",INDEX(CalcTime,$P242)))</f>
        <v/>
      </c>
      <c r="D242" s="28">
        <f>IF($P242="","",IF(INDEX(EntryParty,$P242)=0,"",INDEX(EntryParty,$P242)))</f>
        <v/>
      </c>
      <c r="E242" s="28">
        <f>IF($P242="","",IF(INDEX(EntryPartyName,$P242)=0,"",INDEX(EntryPartyName,$P242)))</f>
        <v/>
      </c>
      <c r="F242" s="28">
        <f>IF($P242="","",IF(INDEX(EntryPartyType,$P242)=0,"",INDEX(EntryPartyType,$P242)))</f>
        <v/>
      </c>
      <c r="G242" s="28">
        <f>IF($P242="","",IF(INDEX(EntryTxnType,$P242)=0,"",INDEX(EntryTxnType,$P242)))</f>
        <v/>
      </c>
      <c r="H242" s="29">
        <f>IF($P242="","",IF(INDEX(EntryDep,$P242)=0,"",INDEX(EntryDep,$P242)))</f>
        <v/>
      </c>
      <c r="I242" s="29">
        <f>IF($P242="","",IF(INDEX(EntryWit,$P242)=0,"",INDEX(EntryWit,$P242)))</f>
        <v/>
      </c>
      <c r="J242" s="29">
        <f>IF($B242="","",IF($A242=1,$C$7,IF(J241="",0,J241))+IF($H242="",0,$H242)-IF($I242="",0,$I242))</f>
        <v/>
      </c>
      <c r="K242" s="29">
        <f>IF($P242="","",IF(INDEX(EntryMan,$P242)=0,"",INDEX(EntryMan,$P242)))</f>
        <v/>
      </c>
      <c r="L242" s="28">
        <f>IF($B242="","",IF($K242="","—",IF(ROUND($K242-$J242,0)=0,"√","×")))</f>
        <v/>
      </c>
      <c r="M242" s="28">
        <f>IF($B242="","",IF(COUNTIFS(EntryDates,$B242,CalcTime,$C242,CalcBank,$C$5,EntryParty,$D242,EntryDep,$H242,EntryWit,$I242)&gt;1,"تکرار",""))</f>
        <v/>
      </c>
      <c r="N242" s="28">
        <f>IF($P242="","",IF(INDEX(EntryNotes,$P242)=0,"",INDEX(EntryNotes,$P242)))</f>
        <v/>
      </c>
      <c r="O242" s="28">
        <f>IF($P242="","",IF(INDEX(EntryTxnID,$P242)=0,"",INDEX(EntryTxnID,$P242)))</f>
        <v/>
      </c>
      <c r="P242" s="28">
        <f>IFERROR(MATCH($C$5&amp;"|"&amp;RIGHT("000000"&amp;226,6),CalcRankKey,0),"")</f>
        <v/>
      </c>
    </row>
    <row r="243">
      <c r="A243" s="26">
        <f>IF($B243="","",227)</f>
        <v/>
      </c>
      <c r="B243" s="26">
        <f>IF($P243="","",IF(INDEX(CalcNormDate,$P243)=0,"",INDEX(CalcNormDate,$P243)))</f>
        <v/>
      </c>
      <c r="C243" s="26">
        <f>IF($P243="","",IF(INDEX(CalcTime,$P243)=0,"",INDEX(CalcTime,$P243)))</f>
        <v/>
      </c>
      <c r="D243" s="26">
        <f>IF($P243="","",IF(INDEX(EntryParty,$P243)=0,"",INDEX(EntryParty,$P243)))</f>
        <v/>
      </c>
      <c r="E243" s="26">
        <f>IF($P243="","",IF(INDEX(EntryPartyName,$P243)=0,"",INDEX(EntryPartyName,$P243)))</f>
        <v/>
      </c>
      <c r="F243" s="26">
        <f>IF($P243="","",IF(INDEX(EntryPartyType,$P243)=0,"",INDEX(EntryPartyType,$P243)))</f>
        <v/>
      </c>
      <c r="G243" s="26">
        <f>IF($P243="","",IF(INDEX(EntryTxnType,$P243)=0,"",INDEX(EntryTxnType,$P243)))</f>
        <v/>
      </c>
      <c r="H243" s="27">
        <f>IF($P243="","",IF(INDEX(EntryDep,$P243)=0,"",INDEX(EntryDep,$P243)))</f>
        <v/>
      </c>
      <c r="I243" s="27">
        <f>IF($P243="","",IF(INDEX(EntryWit,$P243)=0,"",INDEX(EntryWit,$P243)))</f>
        <v/>
      </c>
      <c r="J243" s="27">
        <f>IF($B243="","",IF($A243=1,$C$7,IF(J242="",0,J242))+IF($H243="",0,$H243)-IF($I243="",0,$I243))</f>
        <v/>
      </c>
      <c r="K243" s="27">
        <f>IF($P243="","",IF(INDEX(EntryMan,$P243)=0,"",INDEX(EntryMan,$P243)))</f>
        <v/>
      </c>
      <c r="L243" s="26">
        <f>IF($B243="","",IF($K243="","—",IF(ROUND($K243-$J243,0)=0,"√","×")))</f>
        <v/>
      </c>
      <c r="M243" s="26">
        <f>IF($B243="","",IF(COUNTIFS(EntryDates,$B243,CalcTime,$C243,CalcBank,$C$5,EntryParty,$D243,EntryDep,$H243,EntryWit,$I243)&gt;1,"تکرار",""))</f>
        <v/>
      </c>
      <c r="N243" s="26">
        <f>IF($P243="","",IF(INDEX(EntryNotes,$P243)=0,"",INDEX(EntryNotes,$P243)))</f>
        <v/>
      </c>
      <c r="O243" s="26">
        <f>IF($P243="","",IF(INDEX(EntryTxnID,$P243)=0,"",INDEX(EntryTxnID,$P243)))</f>
        <v/>
      </c>
      <c r="P243" s="26">
        <f>IFERROR(MATCH($C$5&amp;"|"&amp;RIGHT("000000"&amp;227,6),CalcRankKey,0),"")</f>
        <v/>
      </c>
    </row>
    <row r="244">
      <c r="A244" s="28">
        <f>IF($B244="","",228)</f>
        <v/>
      </c>
      <c r="B244" s="28">
        <f>IF($P244="","",IF(INDEX(CalcNormDate,$P244)=0,"",INDEX(CalcNormDate,$P244)))</f>
        <v/>
      </c>
      <c r="C244" s="28">
        <f>IF($P244="","",IF(INDEX(CalcTime,$P244)=0,"",INDEX(CalcTime,$P244)))</f>
        <v/>
      </c>
      <c r="D244" s="28">
        <f>IF($P244="","",IF(INDEX(EntryParty,$P244)=0,"",INDEX(EntryParty,$P244)))</f>
        <v/>
      </c>
      <c r="E244" s="28">
        <f>IF($P244="","",IF(INDEX(EntryPartyName,$P244)=0,"",INDEX(EntryPartyName,$P244)))</f>
        <v/>
      </c>
      <c r="F244" s="28">
        <f>IF($P244="","",IF(INDEX(EntryPartyType,$P244)=0,"",INDEX(EntryPartyType,$P244)))</f>
        <v/>
      </c>
      <c r="G244" s="28">
        <f>IF($P244="","",IF(INDEX(EntryTxnType,$P244)=0,"",INDEX(EntryTxnType,$P244)))</f>
        <v/>
      </c>
      <c r="H244" s="29">
        <f>IF($P244="","",IF(INDEX(EntryDep,$P244)=0,"",INDEX(EntryDep,$P244)))</f>
        <v/>
      </c>
      <c r="I244" s="29">
        <f>IF($P244="","",IF(INDEX(EntryWit,$P244)=0,"",INDEX(EntryWit,$P244)))</f>
        <v/>
      </c>
      <c r="J244" s="29">
        <f>IF($B244="","",IF($A244=1,$C$7,IF(J243="",0,J243))+IF($H244="",0,$H244)-IF($I244="",0,$I244))</f>
        <v/>
      </c>
      <c r="K244" s="29">
        <f>IF($P244="","",IF(INDEX(EntryMan,$P244)=0,"",INDEX(EntryMan,$P244)))</f>
        <v/>
      </c>
      <c r="L244" s="28">
        <f>IF($B244="","",IF($K244="","—",IF(ROUND($K244-$J244,0)=0,"√","×")))</f>
        <v/>
      </c>
      <c r="M244" s="28">
        <f>IF($B244="","",IF(COUNTIFS(EntryDates,$B244,CalcTime,$C244,CalcBank,$C$5,EntryParty,$D244,EntryDep,$H244,EntryWit,$I244)&gt;1,"تکرار",""))</f>
        <v/>
      </c>
      <c r="N244" s="28">
        <f>IF($P244="","",IF(INDEX(EntryNotes,$P244)=0,"",INDEX(EntryNotes,$P244)))</f>
        <v/>
      </c>
      <c r="O244" s="28">
        <f>IF($P244="","",IF(INDEX(EntryTxnID,$P244)=0,"",INDEX(EntryTxnID,$P244)))</f>
        <v/>
      </c>
      <c r="P244" s="28">
        <f>IFERROR(MATCH($C$5&amp;"|"&amp;RIGHT("000000"&amp;228,6),CalcRankKey,0),"")</f>
        <v/>
      </c>
    </row>
    <row r="245">
      <c r="A245" s="26">
        <f>IF($B245="","",229)</f>
        <v/>
      </c>
      <c r="B245" s="26">
        <f>IF($P245="","",IF(INDEX(CalcNormDate,$P245)=0,"",INDEX(CalcNormDate,$P245)))</f>
        <v/>
      </c>
      <c r="C245" s="26">
        <f>IF($P245="","",IF(INDEX(CalcTime,$P245)=0,"",INDEX(CalcTime,$P245)))</f>
        <v/>
      </c>
      <c r="D245" s="26">
        <f>IF($P245="","",IF(INDEX(EntryParty,$P245)=0,"",INDEX(EntryParty,$P245)))</f>
        <v/>
      </c>
      <c r="E245" s="26">
        <f>IF($P245="","",IF(INDEX(EntryPartyName,$P245)=0,"",INDEX(EntryPartyName,$P245)))</f>
        <v/>
      </c>
      <c r="F245" s="26">
        <f>IF($P245="","",IF(INDEX(EntryPartyType,$P245)=0,"",INDEX(EntryPartyType,$P245)))</f>
        <v/>
      </c>
      <c r="G245" s="26">
        <f>IF($P245="","",IF(INDEX(EntryTxnType,$P245)=0,"",INDEX(EntryTxnType,$P245)))</f>
        <v/>
      </c>
      <c r="H245" s="27">
        <f>IF($P245="","",IF(INDEX(EntryDep,$P245)=0,"",INDEX(EntryDep,$P245)))</f>
        <v/>
      </c>
      <c r="I245" s="27">
        <f>IF($P245="","",IF(INDEX(EntryWit,$P245)=0,"",INDEX(EntryWit,$P245)))</f>
        <v/>
      </c>
      <c r="J245" s="27">
        <f>IF($B245="","",IF($A245=1,$C$7,IF(J244="",0,J244))+IF($H245="",0,$H245)-IF($I245="",0,$I245))</f>
        <v/>
      </c>
      <c r="K245" s="27">
        <f>IF($P245="","",IF(INDEX(EntryMan,$P245)=0,"",INDEX(EntryMan,$P245)))</f>
        <v/>
      </c>
      <c r="L245" s="26">
        <f>IF($B245="","",IF($K245="","—",IF(ROUND($K245-$J245,0)=0,"√","×")))</f>
        <v/>
      </c>
      <c r="M245" s="26">
        <f>IF($B245="","",IF(COUNTIFS(EntryDates,$B245,CalcTime,$C245,CalcBank,$C$5,EntryParty,$D245,EntryDep,$H245,EntryWit,$I245)&gt;1,"تکرار",""))</f>
        <v/>
      </c>
      <c r="N245" s="26">
        <f>IF($P245="","",IF(INDEX(EntryNotes,$P245)=0,"",INDEX(EntryNotes,$P245)))</f>
        <v/>
      </c>
      <c r="O245" s="26">
        <f>IF($P245="","",IF(INDEX(EntryTxnID,$P245)=0,"",INDEX(EntryTxnID,$P245)))</f>
        <v/>
      </c>
      <c r="P245" s="26">
        <f>IFERROR(MATCH($C$5&amp;"|"&amp;RIGHT("000000"&amp;229,6),CalcRankKey,0),"")</f>
        <v/>
      </c>
    </row>
    <row r="246">
      <c r="A246" s="28">
        <f>IF($B246="","",230)</f>
        <v/>
      </c>
      <c r="B246" s="28">
        <f>IF($P246="","",IF(INDEX(CalcNormDate,$P246)=0,"",INDEX(CalcNormDate,$P246)))</f>
        <v/>
      </c>
      <c r="C246" s="28">
        <f>IF($P246="","",IF(INDEX(CalcTime,$P246)=0,"",INDEX(CalcTime,$P246)))</f>
        <v/>
      </c>
      <c r="D246" s="28">
        <f>IF($P246="","",IF(INDEX(EntryParty,$P246)=0,"",INDEX(EntryParty,$P246)))</f>
        <v/>
      </c>
      <c r="E246" s="28">
        <f>IF($P246="","",IF(INDEX(EntryPartyName,$P246)=0,"",INDEX(EntryPartyName,$P246)))</f>
        <v/>
      </c>
      <c r="F246" s="28">
        <f>IF($P246="","",IF(INDEX(EntryPartyType,$P246)=0,"",INDEX(EntryPartyType,$P246)))</f>
        <v/>
      </c>
      <c r="G246" s="28">
        <f>IF($P246="","",IF(INDEX(EntryTxnType,$P246)=0,"",INDEX(EntryTxnType,$P246)))</f>
        <v/>
      </c>
      <c r="H246" s="29">
        <f>IF($P246="","",IF(INDEX(EntryDep,$P246)=0,"",INDEX(EntryDep,$P246)))</f>
        <v/>
      </c>
      <c r="I246" s="29">
        <f>IF($P246="","",IF(INDEX(EntryWit,$P246)=0,"",INDEX(EntryWit,$P246)))</f>
        <v/>
      </c>
      <c r="J246" s="29">
        <f>IF($B246="","",IF($A246=1,$C$7,IF(J245="",0,J245))+IF($H246="",0,$H246)-IF($I246="",0,$I246))</f>
        <v/>
      </c>
      <c r="K246" s="29">
        <f>IF($P246="","",IF(INDEX(EntryMan,$P246)=0,"",INDEX(EntryMan,$P246)))</f>
        <v/>
      </c>
      <c r="L246" s="28">
        <f>IF($B246="","",IF($K246="","—",IF(ROUND($K246-$J246,0)=0,"√","×")))</f>
        <v/>
      </c>
      <c r="M246" s="28">
        <f>IF($B246="","",IF(COUNTIFS(EntryDates,$B246,CalcTime,$C246,CalcBank,$C$5,EntryParty,$D246,EntryDep,$H246,EntryWit,$I246)&gt;1,"تکرار",""))</f>
        <v/>
      </c>
      <c r="N246" s="28">
        <f>IF($P246="","",IF(INDEX(EntryNotes,$P246)=0,"",INDEX(EntryNotes,$P246)))</f>
        <v/>
      </c>
      <c r="O246" s="28">
        <f>IF($P246="","",IF(INDEX(EntryTxnID,$P246)=0,"",INDEX(EntryTxnID,$P246)))</f>
        <v/>
      </c>
      <c r="P246" s="28">
        <f>IFERROR(MATCH($C$5&amp;"|"&amp;RIGHT("000000"&amp;230,6),CalcRankKey,0),"")</f>
        <v/>
      </c>
    </row>
    <row r="247">
      <c r="A247" s="26">
        <f>IF($B247="","",231)</f>
        <v/>
      </c>
      <c r="B247" s="26">
        <f>IF($P247="","",IF(INDEX(CalcNormDate,$P247)=0,"",INDEX(CalcNormDate,$P247)))</f>
        <v/>
      </c>
      <c r="C247" s="26">
        <f>IF($P247="","",IF(INDEX(CalcTime,$P247)=0,"",INDEX(CalcTime,$P247)))</f>
        <v/>
      </c>
      <c r="D247" s="26">
        <f>IF($P247="","",IF(INDEX(EntryParty,$P247)=0,"",INDEX(EntryParty,$P247)))</f>
        <v/>
      </c>
      <c r="E247" s="26">
        <f>IF($P247="","",IF(INDEX(EntryPartyName,$P247)=0,"",INDEX(EntryPartyName,$P247)))</f>
        <v/>
      </c>
      <c r="F247" s="26">
        <f>IF($P247="","",IF(INDEX(EntryPartyType,$P247)=0,"",INDEX(EntryPartyType,$P247)))</f>
        <v/>
      </c>
      <c r="G247" s="26">
        <f>IF($P247="","",IF(INDEX(EntryTxnType,$P247)=0,"",INDEX(EntryTxnType,$P247)))</f>
        <v/>
      </c>
      <c r="H247" s="27">
        <f>IF($P247="","",IF(INDEX(EntryDep,$P247)=0,"",INDEX(EntryDep,$P247)))</f>
        <v/>
      </c>
      <c r="I247" s="27">
        <f>IF($P247="","",IF(INDEX(EntryWit,$P247)=0,"",INDEX(EntryWit,$P247)))</f>
        <v/>
      </c>
      <c r="J247" s="27">
        <f>IF($B247="","",IF($A247=1,$C$7,IF(J246="",0,J246))+IF($H247="",0,$H247)-IF($I247="",0,$I247))</f>
        <v/>
      </c>
      <c r="K247" s="27">
        <f>IF($P247="","",IF(INDEX(EntryMan,$P247)=0,"",INDEX(EntryMan,$P247)))</f>
        <v/>
      </c>
      <c r="L247" s="26">
        <f>IF($B247="","",IF($K247="","—",IF(ROUND($K247-$J247,0)=0,"√","×")))</f>
        <v/>
      </c>
      <c r="M247" s="26">
        <f>IF($B247="","",IF(COUNTIFS(EntryDates,$B247,CalcTime,$C247,CalcBank,$C$5,EntryParty,$D247,EntryDep,$H247,EntryWit,$I247)&gt;1,"تکرار",""))</f>
        <v/>
      </c>
      <c r="N247" s="26">
        <f>IF($P247="","",IF(INDEX(EntryNotes,$P247)=0,"",INDEX(EntryNotes,$P247)))</f>
        <v/>
      </c>
      <c r="O247" s="26">
        <f>IF($P247="","",IF(INDEX(EntryTxnID,$P247)=0,"",INDEX(EntryTxnID,$P247)))</f>
        <v/>
      </c>
      <c r="P247" s="26">
        <f>IFERROR(MATCH($C$5&amp;"|"&amp;RIGHT("000000"&amp;231,6),CalcRankKey,0),"")</f>
        <v/>
      </c>
    </row>
    <row r="248">
      <c r="A248" s="28">
        <f>IF($B248="","",232)</f>
        <v/>
      </c>
      <c r="B248" s="28">
        <f>IF($P248="","",IF(INDEX(CalcNormDate,$P248)=0,"",INDEX(CalcNormDate,$P248)))</f>
        <v/>
      </c>
      <c r="C248" s="28">
        <f>IF($P248="","",IF(INDEX(CalcTime,$P248)=0,"",INDEX(CalcTime,$P248)))</f>
        <v/>
      </c>
      <c r="D248" s="28">
        <f>IF($P248="","",IF(INDEX(EntryParty,$P248)=0,"",INDEX(EntryParty,$P248)))</f>
        <v/>
      </c>
      <c r="E248" s="28">
        <f>IF($P248="","",IF(INDEX(EntryPartyName,$P248)=0,"",INDEX(EntryPartyName,$P248)))</f>
        <v/>
      </c>
      <c r="F248" s="28">
        <f>IF($P248="","",IF(INDEX(EntryPartyType,$P248)=0,"",INDEX(EntryPartyType,$P248)))</f>
        <v/>
      </c>
      <c r="G248" s="28">
        <f>IF($P248="","",IF(INDEX(EntryTxnType,$P248)=0,"",INDEX(EntryTxnType,$P248)))</f>
        <v/>
      </c>
      <c r="H248" s="29">
        <f>IF($P248="","",IF(INDEX(EntryDep,$P248)=0,"",INDEX(EntryDep,$P248)))</f>
        <v/>
      </c>
      <c r="I248" s="29">
        <f>IF($P248="","",IF(INDEX(EntryWit,$P248)=0,"",INDEX(EntryWit,$P248)))</f>
        <v/>
      </c>
      <c r="J248" s="29">
        <f>IF($B248="","",IF($A248=1,$C$7,IF(J247="",0,J247))+IF($H248="",0,$H248)-IF($I248="",0,$I248))</f>
        <v/>
      </c>
      <c r="K248" s="29">
        <f>IF($P248="","",IF(INDEX(EntryMan,$P248)=0,"",INDEX(EntryMan,$P248)))</f>
        <v/>
      </c>
      <c r="L248" s="28">
        <f>IF($B248="","",IF($K248="","—",IF(ROUND($K248-$J248,0)=0,"√","×")))</f>
        <v/>
      </c>
      <c r="M248" s="28">
        <f>IF($B248="","",IF(COUNTIFS(EntryDates,$B248,CalcTime,$C248,CalcBank,$C$5,EntryParty,$D248,EntryDep,$H248,EntryWit,$I248)&gt;1,"تکرار",""))</f>
        <v/>
      </c>
      <c r="N248" s="28">
        <f>IF($P248="","",IF(INDEX(EntryNotes,$P248)=0,"",INDEX(EntryNotes,$P248)))</f>
        <v/>
      </c>
      <c r="O248" s="28">
        <f>IF($P248="","",IF(INDEX(EntryTxnID,$P248)=0,"",INDEX(EntryTxnID,$P248)))</f>
        <v/>
      </c>
      <c r="P248" s="28">
        <f>IFERROR(MATCH($C$5&amp;"|"&amp;RIGHT("000000"&amp;232,6),CalcRankKey,0),"")</f>
        <v/>
      </c>
    </row>
    <row r="249">
      <c r="A249" s="26">
        <f>IF($B249="","",233)</f>
        <v/>
      </c>
      <c r="B249" s="26">
        <f>IF($P249="","",IF(INDEX(CalcNormDate,$P249)=0,"",INDEX(CalcNormDate,$P249)))</f>
        <v/>
      </c>
      <c r="C249" s="26">
        <f>IF($P249="","",IF(INDEX(CalcTime,$P249)=0,"",INDEX(CalcTime,$P249)))</f>
        <v/>
      </c>
      <c r="D249" s="26">
        <f>IF($P249="","",IF(INDEX(EntryParty,$P249)=0,"",INDEX(EntryParty,$P249)))</f>
        <v/>
      </c>
      <c r="E249" s="26">
        <f>IF($P249="","",IF(INDEX(EntryPartyName,$P249)=0,"",INDEX(EntryPartyName,$P249)))</f>
        <v/>
      </c>
      <c r="F249" s="26">
        <f>IF($P249="","",IF(INDEX(EntryPartyType,$P249)=0,"",INDEX(EntryPartyType,$P249)))</f>
        <v/>
      </c>
      <c r="G249" s="26">
        <f>IF($P249="","",IF(INDEX(EntryTxnType,$P249)=0,"",INDEX(EntryTxnType,$P249)))</f>
        <v/>
      </c>
      <c r="H249" s="27">
        <f>IF($P249="","",IF(INDEX(EntryDep,$P249)=0,"",INDEX(EntryDep,$P249)))</f>
        <v/>
      </c>
      <c r="I249" s="27">
        <f>IF($P249="","",IF(INDEX(EntryWit,$P249)=0,"",INDEX(EntryWit,$P249)))</f>
        <v/>
      </c>
      <c r="J249" s="27">
        <f>IF($B249="","",IF($A249=1,$C$7,IF(J248="",0,J248))+IF($H249="",0,$H249)-IF($I249="",0,$I249))</f>
        <v/>
      </c>
      <c r="K249" s="27">
        <f>IF($P249="","",IF(INDEX(EntryMan,$P249)=0,"",INDEX(EntryMan,$P249)))</f>
        <v/>
      </c>
      <c r="L249" s="26">
        <f>IF($B249="","",IF($K249="","—",IF(ROUND($K249-$J249,0)=0,"√","×")))</f>
        <v/>
      </c>
      <c r="M249" s="26">
        <f>IF($B249="","",IF(COUNTIFS(EntryDates,$B249,CalcTime,$C249,CalcBank,$C$5,EntryParty,$D249,EntryDep,$H249,EntryWit,$I249)&gt;1,"تکرار",""))</f>
        <v/>
      </c>
      <c r="N249" s="26">
        <f>IF($P249="","",IF(INDEX(EntryNotes,$P249)=0,"",INDEX(EntryNotes,$P249)))</f>
        <v/>
      </c>
      <c r="O249" s="26">
        <f>IF($P249="","",IF(INDEX(EntryTxnID,$P249)=0,"",INDEX(EntryTxnID,$P249)))</f>
        <v/>
      </c>
      <c r="P249" s="26">
        <f>IFERROR(MATCH($C$5&amp;"|"&amp;RIGHT("000000"&amp;233,6),CalcRankKey,0),"")</f>
        <v/>
      </c>
    </row>
    <row r="250">
      <c r="A250" s="28">
        <f>IF($B250="","",234)</f>
        <v/>
      </c>
      <c r="B250" s="28">
        <f>IF($P250="","",IF(INDEX(CalcNormDate,$P250)=0,"",INDEX(CalcNormDate,$P250)))</f>
        <v/>
      </c>
      <c r="C250" s="28">
        <f>IF($P250="","",IF(INDEX(CalcTime,$P250)=0,"",INDEX(CalcTime,$P250)))</f>
        <v/>
      </c>
      <c r="D250" s="28">
        <f>IF($P250="","",IF(INDEX(EntryParty,$P250)=0,"",INDEX(EntryParty,$P250)))</f>
        <v/>
      </c>
      <c r="E250" s="28">
        <f>IF($P250="","",IF(INDEX(EntryPartyName,$P250)=0,"",INDEX(EntryPartyName,$P250)))</f>
        <v/>
      </c>
      <c r="F250" s="28">
        <f>IF($P250="","",IF(INDEX(EntryPartyType,$P250)=0,"",INDEX(EntryPartyType,$P250)))</f>
        <v/>
      </c>
      <c r="G250" s="28">
        <f>IF($P250="","",IF(INDEX(EntryTxnType,$P250)=0,"",INDEX(EntryTxnType,$P250)))</f>
        <v/>
      </c>
      <c r="H250" s="29">
        <f>IF($P250="","",IF(INDEX(EntryDep,$P250)=0,"",INDEX(EntryDep,$P250)))</f>
        <v/>
      </c>
      <c r="I250" s="29">
        <f>IF($P250="","",IF(INDEX(EntryWit,$P250)=0,"",INDEX(EntryWit,$P250)))</f>
        <v/>
      </c>
      <c r="J250" s="29">
        <f>IF($B250="","",IF($A250=1,$C$7,IF(J249="",0,J249))+IF($H250="",0,$H250)-IF($I250="",0,$I250))</f>
        <v/>
      </c>
      <c r="K250" s="29">
        <f>IF($P250="","",IF(INDEX(EntryMan,$P250)=0,"",INDEX(EntryMan,$P250)))</f>
        <v/>
      </c>
      <c r="L250" s="28">
        <f>IF($B250="","",IF($K250="","—",IF(ROUND($K250-$J250,0)=0,"√","×")))</f>
        <v/>
      </c>
      <c r="M250" s="28">
        <f>IF($B250="","",IF(COUNTIFS(EntryDates,$B250,CalcTime,$C250,CalcBank,$C$5,EntryParty,$D250,EntryDep,$H250,EntryWit,$I250)&gt;1,"تکرار",""))</f>
        <v/>
      </c>
      <c r="N250" s="28">
        <f>IF($P250="","",IF(INDEX(EntryNotes,$P250)=0,"",INDEX(EntryNotes,$P250)))</f>
        <v/>
      </c>
      <c r="O250" s="28">
        <f>IF($P250="","",IF(INDEX(EntryTxnID,$P250)=0,"",INDEX(EntryTxnID,$P250)))</f>
        <v/>
      </c>
      <c r="P250" s="28">
        <f>IFERROR(MATCH($C$5&amp;"|"&amp;RIGHT("000000"&amp;234,6),CalcRankKey,0),"")</f>
        <v/>
      </c>
    </row>
    <row r="251">
      <c r="A251" s="26">
        <f>IF($B251="","",235)</f>
        <v/>
      </c>
      <c r="B251" s="26">
        <f>IF($P251="","",IF(INDEX(CalcNormDate,$P251)=0,"",INDEX(CalcNormDate,$P251)))</f>
        <v/>
      </c>
      <c r="C251" s="26">
        <f>IF($P251="","",IF(INDEX(CalcTime,$P251)=0,"",INDEX(CalcTime,$P251)))</f>
        <v/>
      </c>
      <c r="D251" s="26">
        <f>IF($P251="","",IF(INDEX(EntryParty,$P251)=0,"",INDEX(EntryParty,$P251)))</f>
        <v/>
      </c>
      <c r="E251" s="26">
        <f>IF($P251="","",IF(INDEX(EntryPartyName,$P251)=0,"",INDEX(EntryPartyName,$P251)))</f>
        <v/>
      </c>
      <c r="F251" s="26">
        <f>IF($P251="","",IF(INDEX(EntryPartyType,$P251)=0,"",INDEX(EntryPartyType,$P251)))</f>
        <v/>
      </c>
      <c r="G251" s="26">
        <f>IF($P251="","",IF(INDEX(EntryTxnType,$P251)=0,"",INDEX(EntryTxnType,$P251)))</f>
        <v/>
      </c>
      <c r="H251" s="27">
        <f>IF($P251="","",IF(INDEX(EntryDep,$P251)=0,"",INDEX(EntryDep,$P251)))</f>
        <v/>
      </c>
      <c r="I251" s="27">
        <f>IF($P251="","",IF(INDEX(EntryWit,$P251)=0,"",INDEX(EntryWit,$P251)))</f>
        <v/>
      </c>
      <c r="J251" s="27">
        <f>IF($B251="","",IF($A251=1,$C$7,IF(J250="",0,J250))+IF($H251="",0,$H251)-IF($I251="",0,$I251))</f>
        <v/>
      </c>
      <c r="K251" s="27">
        <f>IF($P251="","",IF(INDEX(EntryMan,$P251)=0,"",INDEX(EntryMan,$P251)))</f>
        <v/>
      </c>
      <c r="L251" s="26">
        <f>IF($B251="","",IF($K251="","—",IF(ROUND($K251-$J251,0)=0,"√","×")))</f>
        <v/>
      </c>
      <c r="M251" s="26">
        <f>IF($B251="","",IF(COUNTIFS(EntryDates,$B251,CalcTime,$C251,CalcBank,$C$5,EntryParty,$D251,EntryDep,$H251,EntryWit,$I251)&gt;1,"تکرار",""))</f>
        <v/>
      </c>
      <c r="N251" s="26">
        <f>IF($P251="","",IF(INDEX(EntryNotes,$P251)=0,"",INDEX(EntryNotes,$P251)))</f>
        <v/>
      </c>
      <c r="O251" s="26">
        <f>IF($P251="","",IF(INDEX(EntryTxnID,$P251)=0,"",INDEX(EntryTxnID,$P251)))</f>
        <v/>
      </c>
      <c r="P251" s="26">
        <f>IFERROR(MATCH($C$5&amp;"|"&amp;RIGHT("000000"&amp;235,6),CalcRankKey,0),"")</f>
        <v/>
      </c>
    </row>
    <row r="252">
      <c r="A252" s="28">
        <f>IF($B252="","",236)</f>
        <v/>
      </c>
      <c r="B252" s="28">
        <f>IF($P252="","",IF(INDEX(CalcNormDate,$P252)=0,"",INDEX(CalcNormDate,$P252)))</f>
        <v/>
      </c>
      <c r="C252" s="28">
        <f>IF($P252="","",IF(INDEX(CalcTime,$P252)=0,"",INDEX(CalcTime,$P252)))</f>
        <v/>
      </c>
      <c r="D252" s="28">
        <f>IF($P252="","",IF(INDEX(EntryParty,$P252)=0,"",INDEX(EntryParty,$P252)))</f>
        <v/>
      </c>
      <c r="E252" s="28">
        <f>IF($P252="","",IF(INDEX(EntryPartyName,$P252)=0,"",INDEX(EntryPartyName,$P252)))</f>
        <v/>
      </c>
      <c r="F252" s="28">
        <f>IF($P252="","",IF(INDEX(EntryPartyType,$P252)=0,"",INDEX(EntryPartyType,$P252)))</f>
        <v/>
      </c>
      <c r="G252" s="28">
        <f>IF($P252="","",IF(INDEX(EntryTxnType,$P252)=0,"",INDEX(EntryTxnType,$P252)))</f>
        <v/>
      </c>
      <c r="H252" s="29">
        <f>IF($P252="","",IF(INDEX(EntryDep,$P252)=0,"",INDEX(EntryDep,$P252)))</f>
        <v/>
      </c>
      <c r="I252" s="29">
        <f>IF($P252="","",IF(INDEX(EntryWit,$P252)=0,"",INDEX(EntryWit,$P252)))</f>
        <v/>
      </c>
      <c r="J252" s="29">
        <f>IF($B252="","",IF($A252=1,$C$7,IF(J251="",0,J251))+IF($H252="",0,$H252)-IF($I252="",0,$I252))</f>
        <v/>
      </c>
      <c r="K252" s="29">
        <f>IF($P252="","",IF(INDEX(EntryMan,$P252)=0,"",INDEX(EntryMan,$P252)))</f>
        <v/>
      </c>
      <c r="L252" s="28">
        <f>IF($B252="","",IF($K252="","—",IF(ROUND($K252-$J252,0)=0,"√","×")))</f>
        <v/>
      </c>
      <c r="M252" s="28">
        <f>IF($B252="","",IF(COUNTIFS(EntryDates,$B252,CalcTime,$C252,CalcBank,$C$5,EntryParty,$D252,EntryDep,$H252,EntryWit,$I252)&gt;1,"تکرار",""))</f>
        <v/>
      </c>
      <c r="N252" s="28">
        <f>IF($P252="","",IF(INDEX(EntryNotes,$P252)=0,"",INDEX(EntryNotes,$P252)))</f>
        <v/>
      </c>
      <c r="O252" s="28">
        <f>IF($P252="","",IF(INDEX(EntryTxnID,$P252)=0,"",INDEX(EntryTxnID,$P252)))</f>
        <v/>
      </c>
      <c r="P252" s="28">
        <f>IFERROR(MATCH($C$5&amp;"|"&amp;RIGHT("000000"&amp;236,6),CalcRankKey,0),"")</f>
        <v/>
      </c>
    </row>
    <row r="253">
      <c r="A253" s="26">
        <f>IF($B253="","",237)</f>
        <v/>
      </c>
      <c r="B253" s="26">
        <f>IF($P253="","",IF(INDEX(CalcNormDate,$P253)=0,"",INDEX(CalcNormDate,$P253)))</f>
        <v/>
      </c>
      <c r="C253" s="26">
        <f>IF($P253="","",IF(INDEX(CalcTime,$P253)=0,"",INDEX(CalcTime,$P253)))</f>
        <v/>
      </c>
      <c r="D253" s="26">
        <f>IF($P253="","",IF(INDEX(EntryParty,$P253)=0,"",INDEX(EntryParty,$P253)))</f>
        <v/>
      </c>
      <c r="E253" s="26">
        <f>IF($P253="","",IF(INDEX(EntryPartyName,$P253)=0,"",INDEX(EntryPartyName,$P253)))</f>
        <v/>
      </c>
      <c r="F253" s="26">
        <f>IF($P253="","",IF(INDEX(EntryPartyType,$P253)=0,"",INDEX(EntryPartyType,$P253)))</f>
        <v/>
      </c>
      <c r="G253" s="26">
        <f>IF($P253="","",IF(INDEX(EntryTxnType,$P253)=0,"",INDEX(EntryTxnType,$P253)))</f>
        <v/>
      </c>
      <c r="H253" s="27">
        <f>IF($P253="","",IF(INDEX(EntryDep,$P253)=0,"",INDEX(EntryDep,$P253)))</f>
        <v/>
      </c>
      <c r="I253" s="27">
        <f>IF($P253="","",IF(INDEX(EntryWit,$P253)=0,"",INDEX(EntryWit,$P253)))</f>
        <v/>
      </c>
      <c r="J253" s="27">
        <f>IF($B253="","",IF($A253=1,$C$7,IF(J252="",0,J252))+IF($H253="",0,$H253)-IF($I253="",0,$I253))</f>
        <v/>
      </c>
      <c r="K253" s="27">
        <f>IF($P253="","",IF(INDEX(EntryMan,$P253)=0,"",INDEX(EntryMan,$P253)))</f>
        <v/>
      </c>
      <c r="L253" s="26">
        <f>IF($B253="","",IF($K253="","—",IF(ROUND($K253-$J253,0)=0,"√","×")))</f>
        <v/>
      </c>
      <c r="M253" s="26">
        <f>IF($B253="","",IF(COUNTIFS(EntryDates,$B253,CalcTime,$C253,CalcBank,$C$5,EntryParty,$D253,EntryDep,$H253,EntryWit,$I253)&gt;1,"تکرار",""))</f>
        <v/>
      </c>
      <c r="N253" s="26">
        <f>IF($P253="","",IF(INDEX(EntryNotes,$P253)=0,"",INDEX(EntryNotes,$P253)))</f>
        <v/>
      </c>
      <c r="O253" s="26">
        <f>IF($P253="","",IF(INDEX(EntryTxnID,$P253)=0,"",INDEX(EntryTxnID,$P253)))</f>
        <v/>
      </c>
      <c r="P253" s="26">
        <f>IFERROR(MATCH($C$5&amp;"|"&amp;RIGHT("000000"&amp;237,6),CalcRankKey,0),"")</f>
        <v/>
      </c>
    </row>
    <row r="254">
      <c r="A254" s="28">
        <f>IF($B254="","",238)</f>
        <v/>
      </c>
      <c r="B254" s="28">
        <f>IF($P254="","",IF(INDEX(CalcNormDate,$P254)=0,"",INDEX(CalcNormDate,$P254)))</f>
        <v/>
      </c>
      <c r="C254" s="28">
        <f>IF($P254="","",IF(INDEX(CalcTime,$P254)=0,"",INDEX(CalcTime,$P254)))</f>
        <v/>
      </c>
      <c r="D254" s="28">
        <f>IF($P254="","",IF(INDEX(EntryParty,$P254)=0,"",INDEX(EntryParty,$P254)))</f>
        <v/>
      </c>
      <c r="E254" s="28">
        <f>IF($P254="","",IF(INDEX(EntryPartyName,$P254)=0,"",INDEX(EntryPartyName,$P254)))</f>
        <v/>
      </c>
      <c r="F254" s="28">
        <f>IF($P254="","",IF(INDEX(EntryPartyType,$P254)=0,"",INDEX(EntryPartyType,$P254)))</f>
        <v/>
      </c>
      <c r="G254" s="28">
        <f>IF($P254="","",IF(INDEX(EntryTxnType,$P254)=0,"",INDEX(EntryTxnType,$P254)))</f>
        <v/>
      </c>
      <c r="H254" s="29">
        <f>IF($P254="","",IF(INDEX(EntryDep,$P254)=0,"",INDEX(EntryDep,$P254)))</f>
        <v/>
      </c>
      <c r="I254" s="29">
        <f>IF($P254="","",IF(INDEX(EntryWit,$P254)=0,"",INDEX(EntryWit,$P254)))</f>
        <v/>
      </c>
      <c r="J254" s="29">
        <f>IF($B254="","",IF($A254=1,$C$7,IF(J253="",0,J253))+IF($H254="",0,$H254)-IF($I254="",0,$I254))</f>
        <v/>
      </c>
      <c r="K254" s="29">
        <f>IF($P254="","",IF(INDEX(EntryMan,$P254)=0,"",INDEX(EntryMan,$P254)))</f>
        <v/>
      </c>
      <c r="L254" s="28">
        <f>IF($B254="","",IF($K254="","—",IF(ROUND($K254-$J254,0)=0,"√","×")))</f>
        <v/>
      </c>
      <c r="M254" s="28">
        <f>IF($B254="","",IF(COUNTIFS(EntryDates,$B254,CalcTime,$C254,CalcBank,$C$5,EntryParty,$D254,EntryDep,$H254,EntryWit,$I254)&gt;1,"تکرار",""))</f>
        <v/>
      </c>
      <c r="N254" s="28">
        <f>IF($P254="","",IF(INDEX(EntryNotes,$P254)=0,"",INDEX(EntryNotes,$P254)))</f>
        <v/>
      </c>
      <c r="O254" s="28">
        <f>IF($P254="","",IF(INDEX(EntryTxnID,$P254)=0,"",INDEX(EntryTxnID,$P254)))</f>
        <v/>
      </c>
      <c r="P254" s="28">
        <f>IFERROR(MATCH($C$5&amp;"|"&amp;RIGHT("000000"&amp;238,6),CalcRankKey,0),"")</f>
        <v/>
      </c>
    </row>
    <row r="255">
      <c r="A255" s="26">
        <f>IF($B255="","",239)</f>
        <v/>
      </c>
      <c r="B255" s="26">
        <f>IF($P255="","",IF(INDEX(CalcNormDate,$P255)=0,"",INDEX(CalcNormDate,$P255)))</f>
        <v/>
      </c>
      <c r="C255" s="26">
        <f>IF($P255="","",IF(INDEX(CalcTime,$P255)=0,"",INDEX(CalcTime,$P255)))</f>
        <v/>
      </c>
      <c r="D255" s="26">
        <f>IF($P255="","",IF(INDEX(EntryParty,$P255)=0,"",INDEX(EntryParty,$P255)))</f>
        <v/>
      </c>
      <c r="E255" s="26">
        <f>IF($P255="","",IF(INDEX(EntryPartyName,$P255)=0,"",INDEX(EntryPartyName,$P255)))</f>
        <v/>
      </c>
      <c r="F255" s="26">
        <f>IF($P255="","",IF(INDEX(EntryPartyType,$P255)=0,"",INDEX(EntryPartyType,$P255)))</f>
        <v/>
      </c>
      <c r="G255" s="26">
        <f>IF($P255="","",IF(INDEX(EntryTxnType,$P255)=0,"",INDEX(EntryTxnType,$P255)))</f>
        <v/>
      </c>
      <c r="H255" s="27">
        <f>IF($P255="","",IF(INDEX(EntryDep,$P255)=0,"",INDEX(EntryDep,$P255)))</f>
        <v/>
      </c>
      <c r="I255" s="27">
        <f>IF($P255="","",IF(INDEX(EntryWit,$P255)=0,"",INDEX(EntryWit,$P255)))</f>
        <v/>
      </c>
      <c r="J255" s="27">
        <f>IF($B255="","",IF($A255=1,$C$7,IF(J254="",0,J254))+IF($H255="",0,$H255)-IF($I255="",0,$I255))</f>
        <v/>
      </c>
      <c r="K255" s="27">
        <f>IF($P255="","",IF(INDEX(EntryMan,$P255)=0,"",INDEX(EntryMan,$P255)))</f>
        <v/>
      </c>
      <c r="L255" s="26">
        <f>IF($B255="","",IF($K255="","—",IF(ROUND($K255-$J255,0)=0,"√","×")))</f>
        <v/>
      </c>
      <c r="M255" s="26">
        <f>IF($B255="","",IF(COUNTIFS(EntryDates,$B255,CalcTime,$C255,CalcBank,$C$5,EntryParty,$D255,EntryDep,$H255,EntryWit,$I255)&gt;1,"تکرار",""))</f>
        <v/>
      </c>
      <c r="N255" s="26">
        <f>IF($P255="","",IF(INDEX(EntryNotes,$P255)=0,"",INDEX(EntryNotes,$P255)))</f>
        <v/>
      </c>
      <c r="O255" s="26">
        <f>IF($P255="","",IF(INDEX(EntryTxnID,$P255)=0,"",INDEX(EntryTxnID,$P255)))</f>
        <v/>
      </c>
      <c r="P255" s="26">
        <f>IFERROR(MATCH($C$5&amp;"|"&amp;RIGHT("000000"&amp;239,6),CalcRankKey,0),"")</f>
        <v/>
      </c>
    </row>
    <row r="256">
      <c r="A256" s="28">
        <f>IF($B256="","",240)</f>
        <v/>
      </c>
      <c r="B256" s="28">
        <f>IF($P256="","",IF(INDEX(CalcNormDate,$P256)=0,"",INDEX(CalcNormDate,$P256)))</f>
        <v/>
      </c>
      <c r="C256" s="28">
        <f>IF($P256="","",IF(INDEX(CalcTime,$P256)=0,"",INDEX(CalcTime,$P256)))</f>
        <v/>
      </c>
      <c r="D256" s="28">
        <f>IF($P256="","",IF(INDEX(EntryParty,$P256)=0,"",INDEX(EntryParty,$P256)))</f>
        <v/>
      </c>
      <c r="E256" s="28">
        <f>IF($P256="","",IF(INDEX(EntryPartyName,$P256)=0,"",INDEX(EntryPartyName,$P256)))</f>
        <v/>
      </c>
      <c r="F256" s="28">
        <f>IF($P256="","",IF(INDEX(EntryPartyType,$P256)=0,"",INDEX(EntryPartyType,$P256)))</f>
        <v/>
      </c>
      <c r="G256" s="28">
        <f>IF($P256="","",IF(INDEX(EntryTxnType,$P256)=0,"",INDEX(EntryTxnType,$P256)))</f>
        <v/>
      </c>
      <c r="H256" s="29">
        <f>IF($P256="","",IF(INDEX(EntryDep,$P256)=0,"",INDEX(EntryDep,$P256)))</f>
        <v/>
      </c>
      <c r="I256" s="29">
        <f>IF($P256="","",IF(INDEX(EntryWit,$P256)=0,"",INDEX(EntryWit,$P256)))</f>
        <v/>
      </c>
      <c r="J256" s="29">
        <f>IF($B256="","",IF($A256=1,$C$7,IF(J255="",0,J255))+IF($H256="",0,$H256)-IF($I256="",0,$I256))</f>
        <v/>
      </c>
      <c r="K256" s="29">
        <f>IF($P256="","",IF(INDEX(EntryMan,$P256)=0,"",INDEX(EntryMan,$P256)))</f>
        <v/>
      </c>
      <c r="L256" s="28">
        <f>IF($B256="","",IF($K256="","—",IF(ROUND($K256-$J256,0)=0,"√","×")))</f>
        <v/>
      </c>
      <c r="M256" s="28">
        <f>IF($B256="","",IF(COUNTIFS(EntryDates,$B256,CalcTime,$C256,CalcBank,$C$5,EntryParty,$D256,EntryDep,$H256,EntryWit,$I256)&gt;1,"تکرار",""))</f>
        <v/>
      </c>
      <c r="N256" s="28">
        <f>IF($P256="","",IF(INDEX(EntryNotes,$P256)=0,"",INDEX(EntryNotes,$P256)))</f>
        <v/>
      </c>
      <c r="O256" s="28">
        <f>IF($P256="","",IF(INDEX(EntryTxnID,$P256)=0,"",INDEX(EntryTxnID,$P256)))</f>
        <v/>
      </c>
      <c r="P256" s="28">
        <f>IFERROR(MATCH($C$5&amp;"|"&amp;RIGHT("000000"&amp;240,6),CalcRankKey,0),"")</f>
        <v/>
      </c>
    </row>
    <row r="257">
      <c r="A257" s="26">
        <f>IF($B257="","",241)</f>
        <v/>
      </c>
      <c r="B257" s="26">
        <f>IF($P257="","",IF(INDEX(CalcNormDate,$P257)=0,"",INDEX(CalcNormDate,$P257)))</f>
        <v/>
      </c>
      <c r="C257" s="26">
        <f>IF($P257="","",IF(INDEX(CalcTime,$P257)=0,"",INDEX(CalcTime,$P257)))</f>
        <v/>
      </c>
      <c r="D257" s="26">
        <f>IF($P257="","",IF(INDEX(EntryParty,$P257)=0,"",INDEX(EntryParty,$P257)))</f>
        <v/>
      </c>
      <c r="E257" s="26">
        <f>IF($P257="","",IF(INDEX(EntryPartyName,$P257)=0,"",INDEX(EntryPartyName,$P257)))</f>
        <v/>
      </c>
      <c r="F257" s="26">
        <f>IF($P257="","",IF(INDEX(EntryPartyType,$P257)=0,"",INDEX(EntryPartyType,$P257)))</f>
        <v/>
      </c>
      <c r="G257" s="26">
        <f>IF($P257="","",IF(INDEX(EntryTxnType,$P257)=0,"",INDEX(EntryTxnType,$P257)))</f>
        <v/>
      </c>
      <c r="H257" s="27">
        <f>IF($P257="","",IF(INDEX(EntryDep,$P257)=0,"",INDEX(EntryDep,$P257)))</f>
        <v/>
      </c>
      <c r="I257" s="27">
        <f>IF($P257="","",IF(INDEX(EntryWit,$P257)=0,"",INDEX(EntryWit,$P257)))</f>
        <v/>
      </c>
      <c r="J257" s="27">
        <f>IF($B257="","",IF($A257=1,$C$7,IF(J256="",0,J256))+IF($H257="",0,$H257)-IF($I257="",0,$I257))</f>
        <v/>
      </c>
      <c r="K257" s="27">
        <f>IF($P257="","",IF(INDEX(EntryMan,$P257)=0,"",INDEX(EntryMan,$P257)))</f>
        <v/>
      </c>
      <c r="L257" s="26">
        <f>IF($B257="","",IF($K257="","—",IF(ROUND($K257-$J257,0)=0,"√","×")))</f>
        <v/>
      </c>
      <c r="M257" s="26">
        <f>IF($B257="","",IF(COUNTIFS(EntryDates,$B257,CalcTime,$C257,CalcBank,$C$5,EntryParty,$D257,EntryDep,$H257,EntryWit,$I257)&gt;1,"تکرار",""))</f>
        <v/>
      </c>
      <c r="N257" s="26">
        <f>IF($P257="","",IF(INDEX(EntryNotes,$P257)=0,"",INDEX(EntryNotes,$P257)))</f>
        <v/>
      </c>
      <c r="O257" s="26">
        <f>IF($P257="","",IF(INDEX(EntryTxnID,$P257)=0,"",INDEX(EntryTxnID,$P257)))</f>
        <v/>
      </c>
      <c r="P257" s="26">
        <f>IFERROR(MATCH($C$5&amp;"|"&amp;RIGHT("000000"&amp;241,6),CalcRankKey,0),"")</f>
        <v/>
      </c>
    </row>
    <row r="258">
      <c r="A258" s="28">
        <f>IF($B258="","",242)</f>
        <v/>
      </c>
      <c r="B258" s="28">
        <f>IF($P258="","",IF(INDEX(CalcNormDate,$P258)=0,"",INDEX(CalcNormDate,$P258)))</f>
        <v/>
      </c>
      <c r="C258" s="28">
        <f>IF($P258="","",IF(INDEX(CalcTime,$P258)=0,"",INDEX(CalcTime,$P258)))</f>
        <v/>
      </c>
      <c r="D258" s="28">
        <f>IF($P258="","",IF(INDEX(EntryParty,$P258)=0,"",INDEX(EntryParty,$P258)))</f>
        <v/>
      </c>
      <c r="E258" s="28">
        <f>IF($P258="","",IF(INDEX(EntryPartyName,$P258)=0,"",INDEX(EntryPartyName,$P258)))</f>
        <v/>
      </c>
      <c r="F258" s="28">
        <f>IF($P258="","",IF(INDEX(EntryPartyType,$P258)=0,"",INDEX(EntryPartyType,$P258)))</f>
        <v/>
      </c>
      <c r="G258" s="28">
        <f>IF($P258="","",IF(INDEX(EntryTxnType,$P258)=0,"",INDEX(EntryTxnType,$P258)))</f>
        <v/>
      </c>
      <c r="H258" s="29">
        <f>IF($P258="","",IF(INDEX(EntryDep,$P258)=0,"",INDEX(EntryDep,$P258)))</f>
        <v/>
      </c>
      <c r="I258" s="29">
        <f>IF($P258="","",IF(INDEX(EntryWit,$P258)=0,"",INDEX(EntryWit,$P258)))</f>
        <v/>
      </c>
      <c r="J258" s="29">
        <f>IF($B258="","",IF($A258=1,$C$7,IF(J257="",0,J257))+IF($H258="",0,$H258)-IF($I258="",0,$I258))</f>
        <v/>
      </c>
      <c r="K258" s="29">
        <f>IF($P258="","",IF(INDEX(EntryMan,$P258)=0,"",INDEX(EntryMan,$P258)))</f>
        <v/>
      </c>
      <c r="L258" s="28">
        <f>IF($B258="","",IF($K258="","—",IF(ROUND($K258-$J258,0)=0,"√","×")))</f>
        <v/>
      </c>
      <c r="M258" s="28">
        <f>IF($B258="","",IF(COUNTIFS(EntryDates,$B258,CalcTime,$C258,CalcBank,$C$5,EntryParty,$D258,EntryDep,$H258,EntryWit,$I258)&gt;1,"تکرار",""))</f>
        <v/>
      </c>
      <c r="N258" s="28">
        <f>IF($P258="","",IF(INDEX(EntryNotes,$P258)=0,"",INDEX(EntryNotes,$P258)))</f>
        <v/>
      </c>
      <c r="O258" s="28">
        <f>IF($P258="","",IF(INDEX(EntryTxnID,$P258)=0,"",INDEX(EntryTxnID,$P258)))</f>
        <v/>
      </c>
      <c r="P258" s="28">
        <f>IFERROR(MATCH($C$5&amp;"|"&amp;RIGHT("000000"&amp;242,6),CalcRankKey,0),"")</f>
        <v/>
      </c>
    </row>
    <row r="259">
      <c r="A259" s="26">
        <f>IF($B259="","",243)</f>
        <v/>
      </c>
      <c r="B259" s="26">
        <f>IF($P259="","",IF(INDEX(CalcNormDate,$P259)=0,"",INDEX(CalcNormDate,$P259)))</f>
        <v/>
      </c>
      <c r="C259" s="26">
        <f>IF($P259="","",IF(INDEX(CalcTime,$P259)=0,"",INDEX(CalcTime,$P259)))</f>
        <v/>
      </c>
      <c r="D259" s="26">
        <f>IF($P259="","",IF(INDEX(EntryParty,$P259)=0,"",INDEX(EntryParty,$P259)))</f>
        <v/>
      </c>
      <c r="E259" s="26">
        <f>IF($P259="","",IF(INDEX(EntryPartyName,$P259)=0,"",INDEX(EntryPartyName,$P259)))</f>
        <v/>
      </c>
      <c r="F259" s="26">
        <f>IF($P259="","",IF(INDEX(EntryPartyType,$P259)=0,"",INDEX(EntryPartyType,$P259)))</f>
        <v/>
      </c>
      <c r="G259" s="26">
        <f>IF($P259="","",IF(INDEX(EntryTxnType,$P259)=0,"",INDEX(EntryTxnType,$P259)))</f>
        <v/>
      </c>
      <c r="H259" s="27">
        <f>IF($P259="","",IF(INDEX(EntryDep,$P259)=0,"",INDEX(EntryDep,$P259)))</f>
        <v/>
      </c>
      <c r="I259" s="27">
        <f>IF($P259="","",IF(INDEX(EntryWit,$P259)=0,"",INDEX(EntryWit,$P259)))</f>
        <v/>
      </c>
      <c r="J259" s="27">
        <f>IF($B259="","",IF($A259=1,$C$7,IF(J258="",0,J258))+IF($H259="",0,$H259)-IF($I259="",0,$I259))</f>
        <v/>
      </c>
      <c r="K259" s="27">
        <f>IF($P259="","",IF(INDEX(EntryMan,$P259)=0,"",INDEX(EntryMan,$P259)))</f>
        <v/>
      </c>
      <c r="L259" s="26">
        <f>IF($B259="","",IF($K259="","—",IF(ROUND($K259-$J259,0)=0,"√","×")))</f>
        <v/>
      </c>
      <c r="M259" s="26">
        <f>IF($B259="","",IF(COUNTIFS(EntryDates,$B259,CalcTime,$C259,CalcBank,$C$5,EntryParty,$D259,EntryDep,$H259,EntryWit,$I259)&gt;1,"تکرار",""))</f>
        <v/>
      </c>
      <c r="N259" s="26">
        <f>IF($P259="","",IF(INDEX(EntryNotes,$P259)=0,"",INDEX(EntryNotes,$P259)))</f>
        <v/>
      </c>
      <c r="O259" s="26">
        <f>IF($P259="","",IF(INDEX(EntryTxnID,$P259)=0,"",INDEX(EntryTxnID,$P259)))</f>
        <v/>
      </c>
      <c r="P259" s="26">
        <f>IFERROR(MATCH($C$5&amp;"|"&amp;RIGHT("000000"&amp;243,6),CalcRankKey,0),"")</f>
        <v/>
      </c>
    </row>
    <row r="260">
      <c r="A260" s="28">
        <f>IF($B260="","",244)</f>
        <v/>
      </c>
      <c r="B260" s="28">
        <f>IF($P260="","",IF(INDEX(CalcNormDate,$P260)=0,"",INDEX(CalcNormDate,$P260)))</f>
        <v/>
      </c>
      <c r="C260" s="28">
        <f>IF($P260="","",IF(INDEX(CalcTime,$P260)=0,"",INDEX(CalcTime,$P260)))</f>
        <v/>
      </c>
      <c r="D260" s="28">
        <f>IF($P260="","",IF(INDEX(EntryParty,$P260)=0,"",INDEX(EntryParty,$P260)))</f>
        <v/>
      </c>
      <c r="E260" s="28">
        <f>IF($P260="","",IF(INDEX(EntryPartyName,$P260)=0,"",INDEX(EntryPartyName,$P260)))</f>
        <v/>
      </c>
      <c r="F260" s="28">
        <f>IF($P260="","",IF(INDEX(EntryPartyType,$P260)=0,"",INDEX(EntryPartyType,$P260)))</f>
        <v/>
      </c>
      <c r="G260" s="28">
        <f>IF($P260="","",IF(INDEX(EntryTxnType,$P260)=0,"",INDEX(EntryTxnType,$P260)))</f>
        <v/>
      </c>
      <c r="H260" s="29">
        <f>IF($P260="","",IF(INDEX(EntryDep,$P260)=0,"",INDEX(EntryDep,$P260)))</f>
        <v/>
      </c>
      <c r="I260" s="29">
        <f>IF($P260="","",IF(INDEX(EntryWit,$P260)=0,"",INDEX(EntryWit,$P260)))</f>
        <v/>
      </c>
      <c r="J260" s="29">
        <f>IF($B260="","",IF($A260=1,$C$7,IF(J259="",0,J259))+IF($H260="",0,$H260)-IF($I260="",0,$I260))</f>
        <v/>
      </c>
      <c r="K260" s="29">
        <f>IF($P260="","",IF(INDEX(EntryMan,$P260)=0,"",INDEX(EntryMan,$P260)))</f>
        <v/>
      </c>
      <c r="L260" s="28">
        <f>IF($B260="","",IF($K260="","—",IF(ROUND($K260-$J260,0)=0,"√","×")))</f>
        <v/>
      </c>
      <c r="M260" s="28">
        <f>IF($B260="","",IF(COUNTIFS(EntryDates,$B260,CalcTime,$C260,CalcBank,$C$5,EntryParty,$D260,EntryDep,$H260,EntryWit,$I260)&gt;1,"تکرار",""))</f>
        <v/>
      </c>
      <c r="N260" s="28">
        <f>IF($P260="","",IF(INDEX(EntryNotes,$P260)=0,"",INDEX(EntryNotes,$P260)))</f>
        <v/>
      </c>
      <c r="O260" s="28">
        <f>IF($P260="","",IF(INDEX(EntryTxnID,$P260)=0,"",INDEX(EntryTxnID,$P260)))</f>
        <v/>
      </c>
      <c r="P260" s="28">
        <f>IFERROR(MATCH($C$5&amp;"|"&amp;RIGHT("000000"&amp;244,6),CalcRankKey,0),"")</f>
        <v/>
      </c>
    </row>
    <row r="261">
      <c r="A261" s="26">
        <f>IF($B261="","",245)</f>
        <v/>
      </c>
      <c r="B261" s="26">
        <f>IF($P261="","",IF(INDEX(CalcNormDate,$P261)=0,"",INDEX(CalcNormDate,$P261)))</f>
        <v/>
      </c>
      <c r="C261" s="26">
        <f>IF($P261="","",IF(INDEX(CalcTime,$P261)=0,"",INDEX(CalcTime,$P261)))</f>
        <v/>
      </c>
      <c r="D261" s="26">
        <f>IF($P261="","",IF(INDEX(EntryParty,$P261)=0,"",INDEX(EntryParty,$P261)))</f>
        <v/>
      </c>
      <c r="E261" s="26">
        <f>IF($P261="","",IF(INDEX(EntryPartyName,$P261)=0,"",INDEX(EntryPartyName,$P261)))</f>
        <v/>
      </c>
      <c r="F261" s="26">
        <f>IF($P261="","",IF(INDEX(EntryPartyType,$P261)=0,"",INDEX(EntryPartyType,$P261)))</f>
        <v/>
      </c>
      <c r="G261" s="26">
        <f>IF($P261="","",IF(INDEX(EntryTxnType,$P261)=0,"",INDEX(EntryTxnType,$P261)))</f>
        <v/>
      </c>
      <c r="H261" s="27">
        <f>IF($P261="","",IF(INDEX(EntryDep,$P261)=0,"",INDEX(EntryDep,$P261)))</f>
        <v/>
      </c>
      <c r="I261" s="27">
        <f>IF($P261="","",IF(INDEX(EntryWit,$P261)=0,"",INDEX(EntryWit,$P261)))</f>
        <v/>
      </c>
      <c r="J261" s="27">
        <f>IF($B261="","",IF($A261=1,$C$7,IF(J260="",0,J260))+IF($H261="",0,$H261)-IF($I261="",0,$I261))</f>
        <v/>
      </c>
      <c r="K261" s="27">
        <f>IF($P261="","",IF(INDEX(EntryMan,$P261)=0,"",INDEX(EntryMan,$P261)))</f>
        <v/>
      </c>
      <c r="L261" s="26">
        <f>IF($B261="","",IF($K261="","—",IF(ROUND($K261-$J261,0)=0,"√","×")))</f>
        <v/>
      </c>
      <c r="M261" s="26">
        <f>IF($B261="","",IF(COUNTIFS(EntryDates,$B261,CalcTime,$C261,CalcBank,$C$5,EntryParty,$D261,EntryDep,$H261,EntryWit,$I261)&gt;1,"تکرار",""))</f>
        <v/>
      </c>
      <c r="N261" s="26">
        <f>IF($P261="","",IF(INDEX(EntryNotes,$P261)=0,"",INDEX(EntryNotes,$P261)))</f>
        <v/>
      </c>
      <c r="O261" s="26">
        <f>IF($P261="","",IF(INDEX(EntryTxnID,$P261)=0,"",INDEX(EntryTxnID,$P261)))</f>
        <v/>
      </c>
      <c r="P261" s="26">
        <f>IFERROR(MATCH($C$5&amp;"|"&amp;RIGHT("000000"&amp;245,6),CalcRankKey,0),"")</f>
        <v/>
      </c>
    </row>
    <row r="262">
      <c r="A262" s="28">
        <f>IF($B262="","",246)</f>
        <v/>
      </c>
      <c r="B262" s="28">
        <f>IF($P262="","",IF(INDEX(CalcNormDate,$P262)=0,"",INDEX(CalcNormDate,$P262)))</f>
        <v/>
      </c>
      <c r="C262" s="28">
        <f>IF($P262="","",IF(INDEX(CalcTime,$P262)=0,"",INDEX(CalcTime,$P262)))</f>
        <v/>
      </c>
      <c r="D262" s="28">
        <f>IF($P262="","",IF(INDEX(EntryParty,$P262)=0,"",INDEX(EntryParty,$P262)))</f>
        <v/>
      </c>
      <c r="E262" s="28">
        <f>IF($P262="","",IF(INDEX(EntryPartyName,$P262)=0,"",INDEX(EntryPartyName,$P262)))</f>
        <v/>
      </c>
      <c r="F262" s="28">
        <f>IF($P262="","",IF(INDEX(EntryPartyType,$P262)=0,"",INDEX(EntryPartyType,$P262)))</f>
        <v/>
      </c>
      <c r="G262" s="28">
        <f>IF($P262="","",IF(INDEX(EntryTxnType,$P262)=0,"",INDEX(EntryTxnType,$P262)))</f>
        <v/>
      </c>
      <c r="H262" s="29">
        <f>IF($P262="","",IF(INDEX(EntryDep,$P262)=0,"",INDEX(EntryDep,$P262)))</f>
        <v/>
      </c>
      <c r="I262" s="29">
        <f>IF($P262="","",IF(INDEX(EntryWit,$P262)=0,"",INDEX(EntryWit,$P262)))</f>
        <v/>
      </c>
      <c r="J262" s="29">
        <f>IF($B262="","",IF($A262=1,$C$7,IF(J261="",0,J261))+IF($H262="",0,$H262)-IF($I262="",0,$I262))</f>
        <v/>
      </c>
      <c r="K262" s="29">
        <f>IF($P262="","",IF(INDEX(EntryMan,$P262)=0,"",INDEX(EntryMan,$P262)))</f>
        <v/>
      </c>
      <c r="L262" s="28">
        <f>IF($B262="","",IF($K262="","—",IF(ROUND($K262-$J262,0)=0,"√","×")))</f>
        <v/>
      </c>
      <c r="M262" s="28">
        <f>IF($B262="","",IF(COUNTIFS(EntryDates,$B262,CalcTime,$C262,CalcBank,$C$5,EntryParty,$D262,EntryDep,$H262,EntryWit,$I262)&gt;1,"تکرار",""))</f>
        <v/>
      </c>
      <c r="N262" s="28">
        <f>IF($P262="","",IF(INDEX(EntryNotes,$P262)=0,"",INDEX(EntryNotes,$P262)))</f>
        <v/>
      </c>
      <c r="O262" s="28">
        <f>IF($P262="","",IF(INDEX(EntryTxnID,$P262)=0,"",INDEX(EntryTxnID,$P262)))</f>
        <v/>
      </c>
      <c r="P262" s="28">
        <f>IFERROR(MATCH($C$5&amp;"|"&amp;RIGHT("000000"&amp;246,6),CalcRankKey,0),"")</f>
        <v/>
      </c>
    </row>
    <row r="263">
      <c r="A263" s="26">
        <f>IF($B263="","",247)</f>
        <v/>
      </c>
      <c r="B263" s="26">
        <f>IF($P263="","",IF(INDEX(CalcNormDate,$P263)=0,"",INDEX(CalcNormDate,$P263)))</f>
        <v/>
      </c>
      <c r="C263" s="26">
        <f>IF($P263="","",IF(INDEX(CalcTime,$P263)=0,"",INDEX(CalcTime,$P263)))</f>
        <v/>
      </c>
      <c r="D263" s="26">
        <f>IF($P263="","",IF(INDEX(EntryParty,$P263)=0,"",INDEX(EntryParty,$P263)))</f>
        <v/>
      </c>
      <c r="E263" s="26">
        <f>IF($P263="","",IF(INDEX(EntryPartyName,$P263)=0,"",INDEX(EntryPartyName,$P263)))</f>
        <v/>
      </c>
      <c r="F263" s="26">
        <f>IF($P263="","",IF(INDEX(EntryPartyType,$P263)=0,"",INDEX(EntryPartyType,$P263)))</f>
        <v/>
      </c>
      <c r="G263" s="26">
        <f>IF($P263="","",IF(INDEX(EntryTxnType,$P263)=0,"",INDEX(EntryTxnType,$P263)))</f>
        <v/>
      </c>
      <c r="H263" s="27">
        <f>IF($P263="","",IF(INDEX(EntryDep,$P263)=0,"",INDEX(EntryDep,$P263)))</f>
        <v/>
      </c>
      <c r="I263" s="27">
        <f>IF($P263="","",IF(INDEX(EntryWit,$P263)=0,"",INDEX(EntryWit,$P263)))</f>
        <v/>
      </c>
      <c r="J263" s="27">
        <f>IF($B263="","",IF($A263=1,$C$7,IF(J262="",0,J262))+IF($H263="",0,$H263)-IF($I263="",0,$I263))</f>
        <v/>
      </c>
      <c r="K263" s="27">
        <f>IF($P263="","",IF(INDEX(EntryMan,$P263)=0,"",INDEX(EntryMan,$P263)))</f>
        <v/>
      </c>
      <c r="L263" s="26">
        <f>IF($B263="","",IF($K263="","—",IF(ROUND($K263-$J263,0)=0,"√","×")))</f>
        <v/>
      </c>
      <c r="M263" s="26">
        <f>IF($B263="","",IF(COUNTIFS(EntryDates,$B263,CalcTime,$C263,CalcBank,$C$5,EntryParty,$D263,EntryDep,$H263,EntryWit,$I263)&gt;1,"تکرار",""))</f>
        <v/>
      </c>
      <c r="N263" s="26">
        <f>IF($P263="","",IF(INDEX(EntryNotes,$P263)=0,"",INDEX(EntryNotes,$P263)))</f>
        <v/>
      </c>
      <c r="O263" s="26">
        <f>IF($P263="","",IF(INDEX(EntryTxnID,$P263)=0,"",INDEX(EntryTxnID,$P263)))</f>
        <v/>
      </c>
      <c r="P263" s="26">
        <f>IFERROR(MATCH($C$5&amp;"|"&amp;RIGHT("000000"&amp;247,6),CalcRankKey,0),"")</f>
        <v/>
      </c>
    </row>
    <row r="264">
      <c r="A264" s="28">
        <f>IF($B264="","",248)</f>
        <v/>
      </c>
      <c r="B264" s="28">
        <f>IF($P264="","",IF(INDEX(CalcNormDate,$P264)=0,"",INDEX(CalcNormDate,$P264)))</f>
        <v/>
      </c>
      <c r="C264" s="28">
        <f>IF($P264="","",IF(INDEX(CalcTime,$P264)=0,"",INDEX(CalcTime,$P264)))</f>
        <v/>
      </c>
      <c r="D264" s="28">
        <f>IF($P264="","",IF(INDEX(EntryParty,$P264)=0,"",INDEX(EntryParty,$P264)))</f>
        <v/>
      </c>
      <c r="E264" s="28">
        <f>IF($P264="","",IF(INDEX(EntryPartyName,$P264)=0,"",INDEX(EntryPartyName,$P264)))</f>
        <v/>
      </c>
      <c r="F264" s="28">
        <f>IF($P264="","",IF(INDEX(EntryPartyType,$P264)=0,"",INDEX(EntryPartyType,$P264)))</f>
        <v/>
      </c>
      <c r="G264" s="28">
        <f>IF($P264="","",IF(INDEX(EntryTxnType,$P264)=0,"",INDEX(EntryTxnType,$P264)))</f>
        <v/>
      </c>
      <c r="H264" s="29">
        <f>IF($P264="","",IF(INDEX(EntryDep,$P264)=0,"",INDEX(EntryDep,$P264)))</f>
        <v/>
      </c>
      <c r="I264" s="29">
        <f>IF($P264="","",IF(INDEX(EntryWit,$P264)=0,"",INDEX(EntryWit,$P264)))</f>
        <v/>
      </c>
      <c r="J264" s="29">
        <f>IF($B264="","",IF($A264=1,$C$7,IF(J263="",0,J263))+IF($H264="",0,$H264)-IF($I264="",0,$I264))</f>
        <v/>
      </c>
      <c r="K264" s="29">
        <f>IF($P264="","",IF(INDEX(EntryMan,$P264)=0,"",INDEX(EntryMan,$P264)))</f>
        <v/>
      </c>
      <c r="L264" s="28">
        <f>IF($B264="","",IF($K264="","—",IF(ROUND($K264-$J264,0)=0,"√","×")))</f>
        <v/>
      </c>
      <c r="M264" s="28">
        <f>IF($B264="","",IF(COUNTIFS(EntryDates,$B264,CalcTime,$C264,CalcBank,$C$5,EntryParty,$D264,EntryDep,$H264,EntryWit,$I264)&gt;1,"تکرار",""))</f>
        <v/>
      </c>
      <c r="N264" s="28">
        <f>IF($P264="","",IF(INDEX(EntryNotes,$P264)=0,"",INDEX(EntryNotes,$P264)))</f>
        <v/>
      </c>
      <c r="O264" s="28">
        <f>IF($P264="","",IF(INDEX(EntryTxnID,$P264)=0,"",INDEX(EntryTxnID,$P264)))</f>
        <v/>
      </c>
      <c r="P264" s="28">
        <f>IFERROR(MATCH($C$5&amp;"|"&amp;RIGHT("000000"&amp;248,6),CalcRankKey,0),"")</f>
        <v/>
      </c>
    </row>
    <row r="265">
      <c r="A265" s="26">
        <f>IF($B265="","",249)</f>
        <v/>
      </c>
      <c r="B265" s="26">
        <f>IF($P265="","",IF(INDEX(CalcNormDate,$P265)=0,"",INDEX(CalcNormDate,$P265)))</f>
        <v/>
      </c>
      <c r="C265" s="26">
        <f>IF($P265="","",IF(INDEX(CalcTime,$P265)=0,"",INDEX(CalcTime,$P265)))</f>
        <v/>
      </c>
      <c r="D265" s="26">
        <f>IF($P265="","",IF(INDEX(EntryParty,$P265)=0,"",INDEX(EntryParty,$P265)))</f>
        <v/>
      </c>
      <c r="E265" s="26">
        <f>IF($P265="","",IF(INDEX(EntryPartyName,$P265)=0,"",INDEX(EntryPartyName,$P265)))</f>
        <v/>
      </c>
      <c r="F265" s="26">
        <f>IF($P265="","",IF(INDEX(EntryPartyType,$P265)=0,"",INDEX(EntryPartyType,$P265)))</f>
        <v/>
      </c>
      <c r="G265" s="26">
        <f>IF($P265="","",IF(INDEX(EntryTxnType,$P265)=0,"",INDEX(EntryTxnType,$P265)))</f>
        <v/>
      </c>
      <c r="H265" s="27">
        <f>IF($P265="","",IF(INDEX(EntryDep,$P265)=0,"",INDEX(EntryDep,$P265)))</f>
        <v/>
      </c>
      <c r="I265" s="27">
        <f>IF($P265="","",IF(INDEX(EntryWit,$P265)=0,"",INDEX(EntryWit,$P265)))</f>
        <v/>
      </c>
      <c r="J265" s="27">
        <f>IF($B265="","",IF($A265=1,$C$7,IF(J264="",0,J264))+IF($H265="",0,$H265)-IF($I265="",0,$I265))</f>
        <v/>
      </c>
      <c r="K265" s="27">
        <f>IF($P265="","",IF(INDEX(EntryMan,$P265)=0,"",INDEX(EntryMan,$P265)))</f>
        <v/>
      </c>
      <c r="L265" s="26">
        <f>IF($B265="","",IF($K265="","—",IF(ROUND($K265-$J265,0)=0,"√","×")))</f>
        <v/>
      </c>
      <c r="M265" s="26">
        <f>IF($B265="","",IF(COUNTIFS(EntryDates,$B265,CalcTime,$C265,CalcBank,$C$5,EntryParty,$D265,EntryDep,$H265,EntryWit,$I265)&gt;1,"تکرار",""))</f>
        <v/>
      </c>
      <c r="N265" s="26">
        <f>IF($P265="","",IF(INDEX(EntryNotes,$P265)=0,"",INDEX(EntryNotes,$P265)))</f>
        <v/>
      </c>
      <c r="O265" s="26">
        <f>IF($P265="","",IF(INDEX(EntryTxnID,$P265)=0,"",INDEX(EntryTxnID,$P265)))</f>
        <v/>
      </c>
      <c r="P265" s="26">
        <f>IFERROR(MATCH($C$5&amp;"|"&amp;RIGHT("000000"&amp;249,6),CalcRankKey,0),"")</f>
        <v/>
      </c>
    </row>
    <row r="266">
      <c r="A266" s="28">
        <f>IF($B266="","",250)</f>
        <v/>
      </c>
      <c r="B266" s="28">
        <f>IF($P266="","",IF(INDEX(CalcNormDate,$P266)=0,"",INDEX(CalcNormDate,$P266)))</f>
        <v/>
      </c>
      <c r="C266" s="28">
        <f>IF($P266="","",IF(INDEX(CalcTime,$P266)=0,"",INDEX(CalcTime,$P266)))</f>
        <v/>
      </c>
      <c r="D266" s="28">
        <f>IF($P266="","",IF(INDEX(EntryParty,$P266)=0,"",INDEX(EntryParty,$P266)))</f>
        <v/>
      </c>
      <c r="E266" s="28">
        <f>IF($P266="","",IF(INDEX(EntryPartyName,$P266)=0,"",INDEX(EntryPartyName,$P266)))</f>
        <v/>
      </c>
      <c r="F266" s="28">
        <f>IF($P266="","",IF(INDEX(EntryPartyType,$P266)=0,"",INDEX(EntryPartyType,$P266)))</f>
        <v/>
      </c>
      <c r="G266" s="28">
        <f>IF($P266="","",IF(INDEX(EntryTxnType,$P266)=0,"",INDEX(EntryTxnType,$P266)))</f>
        <v/>
      </c>
      <c r="H266" s="29">
        <f>IF($P266="","",IF(INDEX(EntryDep,$P266)=0,"",INDEX(EntryDep,$P266)))</f>
        <v/>
      </c>
      <c r="I266" s="29">
        <f>IF($P266="","",IF(INDEX(EntryWit,$P266)=0,"",INDEX(EntryWit,$P266)))</f>
        <v/>
      </c>
      <c r="J266" s="29">
        <f>IF($B266="","",IF($A266=1,$C$7,IF(J265="",0,J265))+IF($H266="",0,$H266)-IF($I266="",0,$I266))</f>
        <v/>
      </c>
      <c r="K266" s="29">
        <f>IF($P266="","",IF(INDEX(EntryMan,$P266)=0,"",INDEX(EntryMan,$P266)))</f>
        <v/>
      </c>
      <c r="L266" s="28">
        <f>IF($B266="","",IF($K266="","—",IF(ROUND($K266-$J266,0)=0,"√","×")))</f>
        <v/>
      </c>
      <c r="M266" s="28">
        <f>IF($B266="","",IF(COUNTIFS(EntryDates,$B266,CalcTime,$C266,CalcBank,$C$5,EntryParty,$D266,EntryDep,$H266,EntryWit,$I266)&gt;1,"تکرار",""))</f>
        <v/>
      </c>
      <c r="N266" s="28">
        <f>IF($P266="","",IF(INDEX(EntryNotes,$P266)=0,"",INDEX(EntryNotes,$P266)))</f>
        <v/>
      </c>
      <c r="O266" s="28">
        <f>IF($P266="","",IF(INDEX(EntryTxnID,$P266)=0,"",INDEX(EntryTxnID,$P266)))</f>
        <v/>
      </c>
      <c r="P266" s="28">
        <f>IFERROR(MATCH($C$5&amp;"|"&amp;RIGHT("000000"&amp;250,6),CalcRankKey,0),"")</f>
        <v/>
      </c>
    </row>
    <row r="267">
      <c r="A267" s="26">
        <f>IF($B267="","",251)</f>
        <v/>
      </c>
      <c r="B267" s="26">
        <f>IF($P267="","",IF(INDEX(CalcNormDate,$P267)=0,"",INDEX(CalcNormDate,$P267)))</f>
        <v/>
      </c>
      <c r="C267" s="26">
        <f>IF($P267="","",IF(INDEX(CalcTime,$P267)=0,"",INDEX(CalcTime,$P267)))</f>
        <v/>
      </c>
      <c r="D267" s="26">
        <f>IF($P267="","",IF(INDEX(EntryParty,$P267)=0,"",INDEX(EntryParty,$P267)))</f>
        <v/>
      </c>
      <c r="E267" s="26">
        <f>IF($P267="","",IF(INDEX(EntryPartyName,$P267)=0,"",INDEX(EntryPartyName,$P267)))</f>
        <v/>
      </c>
      <c r="F267" s="26">
        <f>IF($P267="","",IF(INDEX(EntryPartyType,$P267)=0,"",INDEX(EntryPartyType,$P267)))</f>
        <v/>
      </c>
      <c r="G267" s="26">
        <f>IF($P267="","",IF(INDEX(EntryTxnType,$P267)=0,"",INDEX(EntryTxnType,$P267)))</f>
        <v/>
      </c>
      <c r="H267" s="27">
        <f>IF($P267="","",IF(INDEX(EntryDep,$P267)=0,"",INDEX(EntryDep,$P267)))</f>
        <v/>
      </c>
      <c r="I267" s="27">
        <f>IF($P267="","",IF(INDEX(EntryWit,$P267)=0,"",INDEX(EntryWit,$P267)))</f>
        <v/>
      </c>
      <c r="J267" s="27">
        <f>IF($B267="","",IF($A267=1,$C$7,IF(J266="",0,J266))+IF($H267="",0,$H267)-IF($I267="",0,$I267))</f>
        <v/>
      </c>
      <c r="K267" s="27">
        <f>IF($P267="","",IF(INDEX(EntryMan,$P267)=0,"",INDEX(EntryMan,$P267)))</f>
        <v/>
      </c>
      <c r="L267" s="26">
        <f>IF($B267="","",IF($K267="","—",IF(ROUND($K267-$J267,0)=0,"√","×")))</f>
        <v/>
      </c>
      <c r="M267" s="26">
        <f>IF($B267="","",IF(COUNTIFS(EntryDates,$B267,CalcTime,$C267,CalcBank,$C$5,EntryParty,$D267,EntryDep,$H267,EntryWit,$I267)&gt;1,"تکرار",""))</f>
        <v/>
      </c>
      <c r="N267" s="26">
        <f>IF($P267="","",IF(INDEX(EntryNotes,$P267)=0,"",INDEX(EntryNotes,$P267)))</f>
        <v/>
      </c>
      <c r="O267" s="26">
        <f>IF($P267="","",IF(INDEX(EntryTxnID,$P267)=0,"",INDEX(EntryTxnID,$P267)))</f>
        <v/>
      </c>
      <c r="P267" s="26">
        <f>IFERROR(MATCH($C$5&amp;"|"&amp;RIGHT("000000"&amp;251,6),CalcRankKey,0),"")</f>
        <v/>
      </c>
    </row>
    <row r="268">
      <c r="A268" s="28">
        <f>IF($B268="","",252)</f>
        <v/>
      </c>
      <c r="B268" s="28">
        <f>IF($P268="","",IF(INDEX(CalcNormDate,$P268)=0,"",INDEX(CalcNormDate,$P268)))</f>
        <v/>
      </c>
      <c r="C268" s="28">
        <f>IF($P268="","",IF(INDEX(CalcTime,$P268)=0,"",INDEX(CalcTime,$P268)))</f>
        <v/>
      </c>
      <c r="D268" s="28">
        <f>IF($P268="","",IF(INDEX(EntryParty,$P268)=0,"",INDEX(EntryParty,$P268)))</f>
        <v/>
      </c>
      <c r="E268" s="28">
        <f>IF($P268="","",IF(INDEX(EntryPartyName,$P268)=0,"",INDEX(EntryPartyName,$P268)))</f>
        <v/>
      </c>
      <c r="F268" s="28">
        <f>IF($P268="","",IF(INDEX(EntryPartyType,$P268)=0,"",INDEX(EntryPartyType,$P268)))</f>
        <v/>
      </c>
      <c r="G268" s="28">
        <f>IF($P268="","",IF(INDEX(EntryTxnType,$P268)=0,"",INDEX(EntryTxnType,$P268)))</f>
        <v/>
      </c>
      <c r="H268" s="29">
        <f>IF($P268="","",IF(INDEX(EntryDep,$P268)=0,"",INDEX(EntryDep,$P268)))</f>
        <v/>
      </c>
      <c r="I268" s="29">
        <f>IF($P268="","",IF(INDEX(EntryWit,$P268)=0,"",INDEX(EntryWit,$P268)))</f>
        <v/>
      </c>
      <c r="J268" s="29">
        <f>IF($B268="","",IF($A268=1,$C$7,IF(J267="",0,J267))+IF($H268="",0,$H268)-IF($I268="",0,$I268))</f>
        <v/>
      </c>
      <c r="K268" s="29">
        <f>IF($P268="","",IF(INDEX(EntryMan,$P268)=0,"",INDEX(EntryMan,$P268)))</f>
        <v/>
      </c>
      <c r="L268" s="28">
        <f>IF($B268="","",IF($K268="","—",IF(ROUND($K268-$J268,0)=0,"√","×")))</f>
        <v/>
      </c>
      <c r="M268" s="28">
        <f>IF($B268="","",IF(COUNTIFS(EntryDates,$B268,CalcTime,$C268,CalcBank,$C$5,EntryParty,$D268,EntryDep,$H268,EntryWit,$I268)&gt;1,"تکرار",""))</f>
        <v/>
      </c>
      <c r="N268" s="28">
        <f>IF($P268="","",IF(INDEX(EntryNotes,$P268)=0,"",INDEX(EntryNotes,$P268)))</f>
        <v/>
      </c>
      <c r="O268" s="28">
        <f>IF($P268="","",IF(INDEX(EntryTxnID,$P268)=0,"",INDEX(EntryTxnID,$P268)))</f>
        <v/>
      </c>
      <c r="P268" s="28">
        <f>IFERROR(MATCH($C$5&amp;"|"&amp;RIGHT("000000"&amp;252,6),CalcRankKey,0),"")</f>
        <v/>
      </c>
    </row>
    <row r="269">
      <c r="A269" s="26">
        <f>IF($B269="","",253)</f>
        <v/>
      </c>
      <c r="B269" s="26">
        <f>IF($P269="","",IF(INDEX(CalcNormDate,$P269)=0,"",INDEX(CalcNormDate,$P269)))</f>
        <v/>
      </c>
      <c r="C269" s="26">
        <f>IF($P269="","",IF(INDEX(CalcTime,$P269)=0,"",INDEX(CalcTime,$P269)))</f>
        <v/>
      </c>
      <c r="D269" s="26">
        <f>IF($P269="","",IF(INDEX(EntryParty,$P269)=0,"",INDEX(EntryParty,$P269)))</f>
        <v/>
      </c>
      <c r="E269" s="26">
        <f>IF($P269="","",IF(INDEX(EntryPartyName,$P269)=0,"",INDEX(EntryPartyName,$P269)))</f>
        <v/>
      </c>
      <c r="F269" s="26">
        <f>IF($P269="","",IF(INDEX(EntryPartyType,$P269)=0,"",INDEX(EntryPartyType,$P269)))</f>
        <v/>
      </c>
      <c r="G269" s="26">
        <f>IF($P269="","",IF(INDEX(EntryTxnType,$P269)=0,"",INDEX(EntryTxnType,$P269)))</f>
        <v/>
      </c>
      <c r="H269" s="27">
        <f>IF($P269="","",IF(INDEX(EntryDep,$P269)=0,"",INDEX(EntryDep,$P269)))</f>
        <v/>
      </c>
      <c r="I269" s="27">
        <f>IF($P269="","",IF(INDEX(EntryWit,$P269)=0,"",INDEX(EntryWit,$P269)))</f>
        <v/>
      </c>
      <c r="J269" s="27">
        <f>IF($B269="","",IF($A269=1,$C$7,IF(J268="",0,J268))+IF($H269="",0,$H269)-IF($I269="",0,$I269))</f>
        <v/>
      </c>
      <c r="K269" s="27">
        <f>IF($P269="","",IF(INDEX(EntryMan,$P269)=0,"",INDEX(EntryMan,$P269)))</f>
        <v/>
      </c>
      <c r="L269" s="26">
        <f>IF($B269="","",IF($K269="","—",IF(ROUND($K269-$J269,0)=0,"√","×")))</f>
        <v/>
      </c>
      <c r="M269" s="26">
        <f>IF($B269="","",IF(COUNTIFS(EntryDates,$B269,CalcTime,$C269,CalcBank,$C$5,EntryParty,$D269,EntryDep,$H269,EntryWit,$I269)&gt;1,"تکرار",""))</f>
        <v/>
      </c>
      <c r="N269" s="26">
        <f>IF($P269="","",IF(INDEX(EntryNotes,$P269)=0,"",INDEX(EntryNotes,$P269)))</f>
        <v/>
      </c>
      <c r="O269" s="26">
        <f>IF($P269="","",IF(INDEX(EntryTxnID,$P269)=0,"",INDEX(EntryTxnID,$P269)))</f>
        <v/>
      </c>
      <c r="P269" s="26">
        <f>IFERROR(MATCH($C$5&amp;"|"&amp;RIGHT("000000"&amp;253,6),CalcRankKey,0),"")</f>
        <v/>
      </c>
    </row>
    <row r="270">
      <c r="A270" s="28">
        <f>IF($B270="","",254)</f>
        <v/>
      </c>
      <c r="B270" s="28">
        <f>IF($P270="","",IF(INDEX(CalcNormDate,$P270)=0,"",INDEX(CalcNormDate,$P270)))</f>
        <v/>
      </c>
      <c r="C270" s="28">
        <f>IF($P270="","",IF(INDEX(CalcTime,$P270)=0,"",INDEX(CalcTime,$P270)))</f>
        <v/>
      </c>
      <c r="D270" s="28">
        <f>IF($P270="","",IF(INDEX(EntryParty,$P270)=0,"",INDEX(EntryParty,$P270)))</f>
        <v/>
      </c>
      <c r="E270" s="28">
        <f>IF($P270="","",IF(INDEX(EntryPartyName,$P270)=0,"",INDEX(EntryPartyName,$P270)))</f>
        <v/>
      </c>
      <c r="F270" s="28">
        <f>IF($P270="","",IF(INDEX(EntryPartyType,$P270)=0,"",INDEX(EntryPartyType,$P270)))</f>
        <v/>
      </c>
      <c r="G270" s="28">
        <f>IF($P270="","",IF(INDEX(EntryTxnType,$P270)=0,"",INDEX(EntryTxnType,$P270)))</f>
        <v/>
      </c>
      <c r="H270" s="29">
        <f>IF($P270="","",IF(INDEX(EntryDep,$P270)=0,"",INDEX(EntryDep,$P270)))</f>
        <v/>
      </c>
      <c r="I270" s="29">
        <f>IF($P270="","",IF(INDEX(EntryWit,$P270)=0,"",INDEX(EntryWit,$P270)))</f>
        <v/>
      </c>
      <c r="J270" s="29">
        <f>IF($B270="","",IF($A270=1,$C$7,IF(J269="",0,J269))+IF($H270="",0,$H270)-IF($I270="",0,$I270))</f>
        <v/>
      </c>
      <c r="K270" s="29">
        <f>IF($P270="","",IF(INDEX(EntryMan,$P270)=0,"",INDEX(EntryMan,$P270)))</f>
        <v/>
      </c>
      <c r="L270" s="28">
        <f>IF($B270="","",IF($K270="","—",IF(ROUND($K270-$J270,0)=0,"√","×")))</f>
        <v/>
      </c>
      <c r="M270" s="28">
        <f>IF($B270="","",IF(COUNTIFS(EntryDates,$B270,CalcTime,$C270,CalcBank,$C$5,EntryParty,$D270,EntryDep,$H270,EntryWit,$I270)&gt;1,"تکرار",""))</f>
        <v/>
      </c>
      <c r="N270" s="28">
        <f>IF($P270="","",IF(INDEX(EntryNotes,$P270)=0,"",INDEX(EntryNotes,$P270)))</f>
        <v/>
      </c>
      <c r="O270" s="28">
        <f>IF($P270="","",IF(INDEX(EntryTxnID,$P270)=0,"",INDEX(EntryTxnID,$P270)))</f>
        <v/>
      </c>
      <c r="P270" s="28">
        <f>IFERROR(MATCH($C$5&amp;"|"&amp;RIGHT("000000"&amp;254,6),CalcRankKey,0),"")</f>
        <v/>
      </c>
    </row>
    <row r="271">
      <c r="A271" s="26">
        <f>IF($B271="","",255)</f>
        <v/>
      </c>
      <c r="B271" s="26">
        <f>IF($P271="","",IF(INDEX(CalcNormDate,$P271)=0,"",INDEX(CalcNormDate,$P271)))</f>
        <v/>
      </c>
      <c r="C271" s="26">
        <f>IF($P271="","",IF(INDEX(CalcTime,$P271)=0,"",INDEX(CalcTime,$P271)))</f>
        <v/>
      </c>
      <c r="D271" s="26">
        <f>IF($P271="","",IF(INDEX(EntryParty,$P271)=0,"",INDEX(EntryParty,$P271)))</f>
        <v/>
      </c>
      <c r="E271" s="26">
        <f>IF($P271="","",IF(INDEX(EntryPartyName,$P271)=0,"",INDEX(EntryPartyName,$P271)))</f>
        <v/>
      </c>
      <c r="F271" s="26">
        <f>IF($P271="","",IF(INDEX(EntryPartyType,$P271)=0,"",INDEX(EntryPartyType,$P271)))</f>
        <v/>
      </c>
      <c r="G271" s="26">
        <f>IF($P271="","",IF(INDEX(EntryTxnType,$P271)=0,"",INDEX(EntryTxnType,$P271)))</f>
        <v/>
      </c>
      <c r="H271" s="27">
        <f>IF($P271="","",IF(INDEX(EntryDep,$P271)=0,"",INDEX(EntryDep,$P271)))</f>
        <v/>
      </c>
      <c r="I271" s="27">
        <f>IF($P271="","",IF(INDEX(EntryWit,$P271)=0,"",INDEX(EntryWit,$P271)))</f>
        <v/>
      </c>
      <c r="J271" s="27">
        <f>IF($B271="","",IF($A271=1,$C$7,IF(J270="",0,J270))+IF($H271="",0,$H271)-IF($I271="",0,$I271))</f>
        <v/>
      </c>
      <c r="K271" s="27">
        <f>IF($P271="","",IF(INDEX(EntryMan,$P271)=0,"",INDEX(EntryMan,$P271)))</f>
        <v/>
      </c>
      <c r="L271" s="26">
        <f>IF($B271="","",IF($K271="","—",IF(ROUND($K271-$J271,0)=0,"√","×")))</f>
        <v/>
      </c>
      <c r="M271" s="26">
        <f>IF($B271="","",IF(COUNTIFS(EntryDates,$B271,CalcTime,$C271,CalcBank,$C$5,EntryParty,$D271,EntryDep,$H271,EntryWit,$I271)&gt;1,"تکرار",""))</f>
        <v/>
      </c>
      <c r="N271" s="26">
        <f>IF($P271="","",IF(INDEX(EntryNotes,$P271)=0,"",INDEX(EntryNotes,$P271)))</f>
        <v/>
      </c>
      <c r="O271" s="26">
        <f>IF($P271="","",IF(INDEX(EntryTxnID,$P271)=0,"",INDEX(EntryTxnID,$P271)))</f>
        <v/>
      </c>
      <c r="P271" s="26">
        <f>IFERROR(MATCH($C$5&amp;"|"&amp;RIGHT("000000"&amp;255,6),CalcRankKey,0),"")</f>
        <v/>
      </c>
    </row>
    <row r="272">
      <c r="A272" s="28">
        <f>IF($B272="","",256)</f>
        <v/>
      </c>
      <c r="B272" s="28">
        <f>IF($P272="","",IF(INDEX(CalcNormDate,$P272)=0,"",INDEX(CalcNormDate,$P272)))</f>
        <v/>
      </c>
      <c r="C272" s="28">
        <f>IF($P272="","",IF(INDEX(CalcTime,$P272)=0,"",INDEX(CalcTime,$P272)))</f>
        <v/>
      </c>
      <c r="D272" s="28">
        <f>IF($P272="","",IF(INDEX(EntryParty,$P272)=0,"",INDEX(EntryParty,$P272)))</f>
        <v/>
      </c>
      <c r="E272" s="28">
        <f>IF($P272="","",IF(INDEX(EntryPartyName,$P272)=0,"",INDEX(EntryPartyName,$P272)))</f>
        <v/>
      </c>
      <c r="F272" s="28">
        <f>IF($P272="","",IF(INDEX(EntryPartyType,$P272)=0,"",INDEX(EntryPartyType,$P272)))</f>
        <v/>
      </c>
      <c r="G272" s="28">
        <f>IF($P272="","",IF(INDEX(EntryTxnType,$P272)=0,"",INDEX(EntryTxnType,$P272)))</f>
        <v/>
      </c>
      <c r="H272" s="29">
        <f>IF($P272="","",IF(INDEX(EntryDep,$P272)=0,"",INDEX(EntryDep,$P272)))</f>
        <v/>
      </c>
      <c r="I272" s="29">
        <f>IF($P272="","",IF(INDEX(EntryWit,$P272)=0,"",INDEX(EntryWit,$P272)))</f>
        <v/>
      </c>
      <c r="J272" s="29">
        <f>IF($B272="","",IF($A272=1,$C$7,IF(J271="",0,J271))+IF($H272="",0,$H272)-IF($I272="",0,$I272))</f>
        <v/>
      </c>
      <c r="K272" s="29">
        <f>IF($P272="","",IF(INDEX(EntryMan,$P272)=0,"",INDEX(EntryMan,$P272)))</f>
        <v/>
      </c>
      <c r="L272" s="28">
        <f>IF($B272="","",IF($K272="","—",IF(ROUND($K272-$J272,0)=0,"√","×")))</f>
        <v/>
      </c>
      <c r="M272" s="28">
        <f>IF($B272="","",IF(COUNTIFS(EntryDates,$B272,CalcTime,$C272,CalcBank,$C$5,EntryParty,$D272,EntryDep,$H272,EntryWit,$I272)&gt;1,"تکرار",""))</f>
        <v/>
      </c>
      <c r="N272" s="28">
        <f>IF($P272="","",IF(INDEX(EntryNotes,$P272)=0,"",INDEX(EntryNotes,$P272)))</f>
        <v/>
      </c>
      <c r="O272" s="28">
        <f>IF($P272="","",IF(INDEX(EntryTxnID,$P272)=0,"",INDEX(EntryTxnID,$P272)))</f>
        <v/>
      </c>
      <c r="P272" s="28">
        <f>IFERROR(MATCH($C$5&amp;"|"&amp;RIGHT("000000"&amp;256,6),CalcRankKey,0),"")</f>
        <v/>
      </c>
    </row>
    <row r="273">
      <c r="A273" s="26">
        <f>IF($B273="","",257)</f>
        <v/>
      </c>
      <c r="B273" s="26">
        <f>IF($P273="","",IF(INDEX(CalcNormDate,$P273)=0,"",INDEX(CalcNormDate,$P273)))</f>
        <v/>
      </c>
      <c r="C273" s="26">
        <f>IF($P273="","",IF(INDEX(CalcTime,$P273)=0,"",INDEX(CalcTime,$P273)))</f>
        <v/>
      </c>
      <c r="D273" s="26">
        <f>IF($P273="","",IF(INDEX(EntryParty,$P273)=0,"",INDEX(EntryParty,$P273)))</f>
        <v/>
      </c>
      <c r="E273" s="26">
        <f>IF($P273="","",IF(INDEX(EntryPartyName,$P273)=0,"",INDEX(EntryPartyName,$P273)))</f>
        <v/>
      </c>
      <c r="F273" s="26">
        <f>IF($P273="","",IF(INDEX(EntryPartyType,$P273)=0,"",INDEX(EntryPartyType,$P273)))</f>
        <v/>
      </c>
      <c r="G273" s="26">
        <f>IF($P273="","",IF(INDEX(EntryTxnType,$P273)=0,"",INDEX(EntryTxnType,$P273)))</f>
        <v/>
      </c>
      <c r="H273" s="27">
        <f>IF($P273="","",IF(INDEX(EntryDep,$P273)=0,"",INDEX(EntryDep,$P273)))</f>
        <v/>
      </c>
      <c r="I273" s="27">
        <f>IF($P273="","",IF(INDEX(EntryWit,$P273)=0,"",INDEX(EntryWit,$P273)))</f>
        <v/>
      </c>
      <c r="J273" s="27">
        <f>IF($B273="","",IF($A273=1,$C$7,IF(J272="",0,J272))+IF($H273="",0,$H273)-IF($I273="",0,$I273))</f>
        <v/>
      </c>
      <c r="K273" s="27">
        <f>IF($P273="","",IF(INDEX(EntryMan,$P273)=0,"",INDEX(EntryMan,$P273)))</f>
        <v/>
      </c>
      <c r="L273" s="26">
        <f>IF($B273="","",IF($K273="","—",IF(ROUND($K273-$J273,0)=0,"√","×")))</f>
        <v/>
      </c>
      <c r="M273" s="26">
        <f>IF($B273="","",IF(COUNTIFS(EntryDates,$B273,CalcTime,$C273,CalcBank,$C$5,EntryParty,$D273,EntryDep,$H273,EntryWit,$I273)&gt;1,"تکرار",""))</f>
        <v/>
      </c>
      <c r="N273" s="26">
        <f>IF($P273="","",IF(INDEX(EntryNotes,$P273)=0,"",INDEX(EntryNotes,$P273)))</f>
        <v/>
      </c>
      <c r="O273" s="26">
        <f>IF($P273="","",IF(INDEX(EntryTxnID,$P273)=0,"",INDEX(EntryTxnID,$P273)))</f>
        <v/>
      </c>
      <c r="P273" s="26">
        <f>IFERROR(MATCH($C$5&amp;"|"&amp;RIGHT("000000"&amp;257,6),CalcRankKey,0),"")</f>
        <v/>
      </c>
    </row>
    <row r="274">
      <c r="A274" s="28">
        <f>IF($B274="","",258)</f>
        <v/>
      </c>
      <c r="B274" s="28">
        <f>IF($P274="","",IF(INDEX(CalcNormDate,$P274)=0,"",INDEX(CalcNormDate,$P274)))</f>
        <v/>
      </c>
      <c r="C274" s="28">
        <f>IF($P274="","",IF(INDEX(CalcTime,$P274)=0,"",INDEX(CalcTime,$P274)))</f>
        <v/>
      </c>
      <c r="D274" s="28">
        <f>IF($P274="","",IF(INDEX(EntryParty,$P274)=0,"",INDEX(EntryParty,$P274)))</f>
        <v/>
      </c>
      <c r="E274" s="28">
        <f>IF($P274="","",IF(INDEX(EntryPartyName,$P274)=0,"",INDEX(EntryPartyName,$P274)))</f>
        <v/>
      </c>
      <c r="F274" s="28">
        <f>IF($P274="","",IF(INDEX(EntryPartyType,$P274)=0,"",INDEX(EntryPartyType,$P274)))</f>
        <v/>
      </c>
      <c r="G274" s="28">
        <f>IF($P274="","",IF(INDEX(EntryTxnType,$P274)=0,"",INDEX(EntryTxnType,$P274)))</f>
        <v/>
      </c>
      <c r="H274" s="29">
        <f>IF($P274="","",IF(INDEX(EntryDep,$P274)=0,"",INDEX(EntryDep,$P274)))</f>
        <v/>
      </c>
      <c r="I274" s="29">
        <f>IF($P274="","",IF(INDEX(EntryWit,$P274)=0,"",INDEX(EntryWit,$P274)))</f>
        <v/>
      </c>
      <c r="J274" s="29">
        <f>IF($B274="","",IF($A274=1,$C$7,IF(J273="",0,J273))+IF($H274="",0,$H274)-IF($I274="",0,$I274))</f>
        <v/>
      </c>
      <c r="K274" s="29">
        <f>IF($P274="","",IF(INDEX(EntryMan,$P274)=0,"",INDEX(EntryMan,$P274)))</f>
        <v/>
      </c>
      <c r="L274" s="28">
        <f>IF($B274="","",IF($K274="","—",IF(ROUND($K274-$J274,0)=0,"√","×")))</f>
        <v/>
      </c>
      <c r="M274" s="28">
        <f>IF($B274="","",IF(COUNTIFS(EntryDates,$B274,CalcTime,$C274,CalcBank,$C$5,EntryParty,$D274,EntryDep,$H274,EntryWit,$I274)&gt;1,"تکرار",""))</f>
        <v/>
      </c>
      <c r="N274" s="28">
        <f>IF($P274="","",IF(INDEX(EntryNotes,$P274)=0,"",INDEX(EntryNotes,$P274)))</f>
        <v/>
      </c>
      <c r="O274" s="28">
        <f>IF($P274="","",IF(INDEX(EntryTxnID,$P274)=0,"",INDEX(EntryTxnID,$P274)))</f>
        <v/>
      </c>
      <c r="P274" s="28">
        <f>IFERROR(MATCH($C$5&amp;"|"&amp;RIGHT("000000"&amp;258,6),CalcRankKey,0),"")</f>
        <v/>
      </c>
    </row>
    <row r="275">
      <c r="A275" s="26">
        <f>IF($B275="","",259)</f>
        <v/>
      </c>
      <c r="B275" s="26">
        <f>IF($P275="","",IF(INDEX(CalcNormDate,$P275)=0,"",INDEX(CalcNormDate,$P275)))</f>
        <v/>
      </c>
      <c r="C275" s="26">
        <f>IF($P275="","",IF(INDEX(CalcTime,$P275)=0,"",INDEX(CalcTime,$P275)))</f>
        <v/>
      </c>
      <c r="D275" s="26">
        <f>IF($P275="","",IF(INDEX(EntryParty,$P275)=0,"",INDEX(EntryParty,$P275)))</f>
        <v/>
      </c>
      <c r="E275" s="26">
        <f>IF($P275="","",IF(INDEX(EntryPartyName,$P275)=0,"",INDEX(EntryPartyName,$P275)))</f>
        <v/>
      </c>
      <c r="F275" s="26">
        <f>IF($P275="","",IF(INDEX(EntryPartyType,$P275)=0,"",INDEX(EntryPartyType,$P275)))</f>
        <v/>
      </c>
      <c r="G275" s="26">
        <f>IF($P275="","",IF(INDEX(EntryTxnType,$P275)=0,"",INDEX(EntryTxnType,$P275)))</f>
        <v/>
      </c>
      <c r="H275" s="27">
        <f>IF($P275="","",IF(INDEX(EntryDep,$P275)=0,"",INDEX(EntryDep,$P275)))</f>
        <v/>
      </c>
      <c r="I275" s="27">
        <f>IF($P275="","",IF(INDEX(EntryWit,$P275)=0,"",INDEX(EntryWit,$P275)))</f>
        <v/>
      </c>
      <c r="J275" s="27">
        <f>IF($B275="","",IF($A275=1,$C$7,IF(J274="",0,J274))+IF($H275="",0,$H275)-IF($I275="",0,$I275))</f>
        <v/>
      </c>
      <c r="K275" s="27">
        <f>IF($P275="","",IF(INDEX(EntryMan,$P275)=0,"",INDEX(EntryMan,$P275)))</f>
        <v/>
      </c>
      <c r="L275" s="26">
        <f>IF($B275="","",IF($K275="","—",IF(ROUND($K275-$J275,0)=0,"√","×")))</f>
        <v/>
      </c>
      <c r="M275" s="26">
        <f>IF($B275="","",IF(COUNTIFS(EntryDates,$B275,CalcTime,$C275,CalcBank,$C$5,EntryParty,$D275,EntryDep,$H275,EntryWit,$I275)&gt;1,"تکرار",""))</f>
        <v/>
      </c>
      <c r="N275" s="26">
        <f>IF($P275="","",IF(INDEX(EntryNotes,$P275)=0,"",INDEX(EntryNotes,$P275)))</f>
        <v/>
      </c>
      <c r="O275" s="26">
        <f>IF($P275="","",IF(INDEX(EntryTxnID,$P275)=0,"",INDEX(EntryTxnID,$P275)))</f>
        <v/>
      </c>
      <c r="P275" s="26">
        <f>IFERROR(MATCH($C$5&amp;"|"&amp;RIGHT("000000"&amp;259,6),CalcRankKey,0),"")</f>
        <v/>
      </c>
    </row>
    <row r="276">
      <c r="A276" s="28">
        <f>IF($B276="","",260)</f>
        <v/>
      </c>
      <c r="B276" s="28">
        <f>IF($P276="","",IF(INDEX(CalcNormDate,$P276)=0,"",INDEX(CalcNormDate,$P276)))</f>
        <v/>
      </c>
      <c r="C276" s="28">
        <f>IF($P276="","",IF(INDEX(CalcTime,$P276)=0,"",INDEX(CalcTime,$P276)))</f>
        <v/>
      </c>
      <c r="D276" s="28">
        <f>IF($P276="","",IF(INDEX(EntryParty,$P276)=0,"",INDEX(EntryParty,$P276)))</f>
        <v/>
      </c>
      <c r="E276" s="28">
        <f>IF($P276="","",IF(INDEX(EntryPartyName,$P276)=0,"",INDEX(EntryPartyName,$P276)))</f>
        <v/>
      </c>
      <c r="F276" s="28">
        <f>IF($P276="","",IF(INDEX(EntryPartyType,$P276)=0,"",INDEX(EntryPartyType,$P276)))</f>
        <v/>
      </c>
      <c r="G276" s="28">
        <f>IF($P276="","",IF(INDEX(EntryTxnType,$P276)=0,"",INDEX(EntryTxnType,$P276)))</f>
        <v/>
      </c>
      <c r="H276" s="29">
        <f>IF($P276="","",IF(INDEX(EntryDep,$P276)=0,"",INDEX(EntryDep,$P276)))</f>
        <v/>
      </c>
      <c r="I276" s="29">
        <f>IF($P276="","",IF(INDEX(EntryWit,$P276)=0,"",INDEX(EntryWit,$P276)))</f>
        <v/>
      </c>
      <c r="J276" s="29">
        <f>IF($B276="","",IF($A276=1,$C$7,IF(J275="",0,J275))+IF($H276="",0,$H276)-IF($I276="",0,$I276))</f>
        <v/>
      </c>
      <c r="K276" s="29">
        <f>IF($P276="","",IF(INDEX(EntryMan,$P276)=0,"",INDEX(EntryMan,$P276)))</f>
        <v/>
      </c>
      <c r="L276" s="28">
        <f>IF($B276="","",IF($K276="","—",IF(ROUND($K276-$J276,0)=0,"√","×")))</f>
        <v/>
      </c>
      <c r="M276" s="28">
        <f>IF($B276="","",IF(COUNTIFS(EntryDates,$B276,CalcTime,$C276,CalcBank,$C$5,EntryParty,$D276,EntryDep,$H276,EntryWit,$I276)&gt;1,"تکرار",""))</f>
        <v/>
      </c>
      <c r="N276" s="28">
        <f>IF($P276="","",IF(INDEX(EntryNotes,$P276)=0,"",INDEX(EntryNotes,$P276)))</f>
        <v/>
      </c>
      <c r="O276" s="28">
        <f>IF($P276="","",IF(INDEX(EntryTxnID,$P276)=0,"",INDEX(EntryTxnID,$P276)))</f>
        <v/>
      </c>
      <c r="P276" s="28">
        <f>IFERROR(MATCH($C$5&amp;"|"&amp;RIGHT("000000"&amp;260,6),CalcRankKey,0),"")</f>
        <v/>
      </c>
    </row>
    <row r="277">
      <c r="A277" s="26">
        <f>IF($B277="","",261)</f>
        <v/>
      </c>
      <c r="B277" s="26">
        <f>IF($P277="","",IF(INDEX(CalcNormDate,$P277)=0,"",INDEX(CalcNormDate,$P277)))</f>
        <v/>
      </c>
      <c r="C277" s="26">
        <f>IF($P277="","",IF(INDEX(CalcTime,$P277)=0,"",INDEX(CalcTime,$P277)))</f>
        <v/>
      </c>
      <c r="D277" s="26">
        <f>IF($P277="","",IF(INDEX(EntryParty,$P277)=0,"",INDEX(EntryParty,$P277)))</f>
        <v/>
      </c>
      <c r="E277" s="26">
        <f>IF($P277="","",IF(INDEX(EntryPartyName,$P277)=0,"",INDEX(EntryPartyName,$P277)))</f>
        <v/>
      </c>
      <c r="F277" s="26">
        <f>IF($P277="","",IF(INDEX(EntryPartyType,$P277)=0,"",INDEX(EntryPartyType,$P277)))</f>
        <v/>
      </c>
      <c r="G277" s="26">
        <f>IF($P277="","",IF(INDEX(EntryTxnType,$P277)=0,"",INDEX(EntryTxnType,$P277)))</f>
        <v/>
      </c>
      <c r="H277" s="27">
        <f>IF($P277="","",IF(INDEX(EntryDep,$P277)=0,"",INDEX(EntryDep,$P277)))</f>
        <v/>
      </c>
      <c r="I277" s="27">
        <f>IF($P277="","",IF(INDEX(EntryWit,$P277)=0,"",INDEX(EntryWit,$P277)))</f>
        <v/>
      </c>
      <c r="J277" s="27">
        <f>IF($B277="","",IF($A277=1,$C$7,IF(J276="",0,J276))+IF($H277="",0,$H277)-IF($I277="",0,$I277))</f>
        <v/>
      </c>
      <c r="K277" s="27">
        <f>IF($P277="","",IF(INDEX(EntryMan,$P277)=0,"",INDEX(EntryMan,$P277)))</f>
        <v/>
      </c>
      <c r="L277" s="26">
        <f>IF($B277="","",IF($K277="","—",IF(ROUND($K277-$J277,0)=0,"√","×")))</f>
        <v/>
      </c>
      <c r="M277" s="26">
        <f>IF($B277="","",IF(COUNTIFS(EntryDates,$B277,CalcTime,$C277,CalcBank,$C$5,EntryParty,$D277,EntryDep,$H277,EntryWit,$I277)&gt;1,"تکرار",""))</f>
        <v/>
      </c>
      <c r="N277" s="26">
        <f>IF($P277="","",IF(INDEX(EntryNotes,$P277)=0,"",INDEX(EntryNotes,$P277)))</f>
        <v/>
      </c>
      <c r="O277" s="26">
        <f>IF($P277="","",IF(INDEX(EntryTxnID,$P277)=0,"",INDEX(EntryTxnID,$P277)))</f>
        <v/>
      </c>
      <c r="P277" s="26">
        <f>IFERROR(MATCH($C$5&amp;"|"&amp;RIGHT("000000"&amp;261,6),CalcRankKey,0),"")</f>
        <v/>
      </c>
    </row>
    <row r="278">
      <c r="A278" s="28">
        <f>IF($B278="","",262)</f>
        <v/>
      </c>
      <c r="B278" s="28">
        <f>IF($P278="","",IF(INDEX(CalcNormDate,$P278)=0,"",INDEX(CalcNormDate,$P278)))</f>
        <v/>
      </c>
      <c r="C278" s="28">
        <f>IF($P278="","",IF(INDEX(CalcTime,$P278)=0,"",INDEX(CalcTime,$P278)))</f>
        <v/>
      </c>
      <c r="D278" s="28">
        <f>IF($P278="","",IF(INDEX(EntryParty,$P278)=0,"",INDEX(EntryParty,$P278)))</f>
        <v/>
      </c>
      <c r="E278" s="28">
        <f>IF($P278="","",IF(INDEX(EntryPartyName,$P278)=0,"",INDEX(EntryPartyName,$P278)))</f>
        <v/>
      </c>
      <c r="F278" s="28">
        <f>IF($P278="","",IF(INDEX(EntryPartyType,$P278)=0,"",INDEX(EntryPartyType,$P278)))</f>
        <v/>
      </c>
      <c r="G278" s="28">
        <f>IF($P278="","",IF(INDEX(EntryTxnType,$P278)=0,"",INDEX(EntryTxnType,$P278)))</f>
        <v/>
      </c>
      <c r="H278" s="29">
        <f>IF($P278="","",IF(INDEX(EntryDep,$P278)=0,"",INDEX(EntryDep,$P278)))</f>
        <v/>
      </c>
      <c r="I278" s="29">
        <f>IF($P278="","",IF(INDEX(EntryWit,$P278)=0,"",INDEX(EntryWit,$P278)))</f>
        <v/>
      </c>
      <c r="J278" s="29">
        <f>IF($B278="","",IF($A278=1,$C$7,IF(J277="",0,J277))+IF($H278="",0,$H278)-IF($I278="",0,$I278))</f>
        <v/>
      </c>
      <c r="K278" s="29">
        <f>IF($P278="","",IF(INDEX(EntryMan,$P278)=0,"",INDEX(EntryMan,$P278)))</f>
        <v/>
      </c>
      <c r="L278" s="28">
        <f>IF($B278="","",IF($K278="","—",IF(ROUND($K278-$J278,0)=0,"√","×")))</f>
        <v/>
      </c>
      <c r="M278" s="28">
        <f>IF($B278="","",IF(COUNTIFS(EntryDates,$B278,CalcTime,$C278,CalcBank,$C$5,EntryParty,$D278,EntryDep,$H278,EntryWit,$I278)&gt;1,"تکرار",""))</f>
        <v/>
      </c>
      <c r="N278" s="28">
        <f>IF($P278="","",IF(INDEX(EntryNotes,$P278)=0,"",INDEX(EntryNotes,$P278)))</f>
        <v/>
      </c>
      <c r="O278" s="28">
        <f>IF($P278="","",IF(INDEX(EntryTxnID,$P278)=0,"",INDEX(EntryTxnID,$P278)))</f>
        <v/>
      </c>
      <c r="P278" s="28">
        <f>IFERROR(MATCH($C$5&amp;"|"&amp;RIGHT("000000"&amp;262,6),CalcRankKey,0),"")</f>
        <v/>
      </c>
    </row>
    <row r="279">
      <c r="A279" s="26">
        <f>IF($B279="","",263)</f>
        <v/>
      </c>
      <c r="B279" s="26">
        <f>IF($P279="","",IF(INDEX(CalcNormDate,$P279)=0,"",INDEX(CalcNormDate,$P279)))</f>
        <v/>
      </c>
      <c r="C279" s="26">
        <f>IF($P279="","",IF(INDEX(CalcTime,$P279)=0,"",INDEX(CalcTime,$P279)))</f>
        <v/>
      </c>
      <c r="D279" s="26">
        <f>IF($P279="","",IF(INDEX(EntryParty,$P279)=0,"",INDEX(EntryParty,$P279)))</f>
        <v/>
      </c>
      <c r="E279" s="26">
        <f>IF($P279="","",IF(INDEX(EntryPartyName,$P279)=0,"",INDEX(EntryPartyName,$P279)))</f>
        <v/>
      </c>
      <c r="F279" s="26">
        <f>IF($P279="","",IF(INDEX(EntryPartyType,$P279)=0,"",INDEX(EntryPartyType,$P279)))</f>
        <v/>
      </c>
      <c r="G279" s="26">
        <f>IF($P279="","",IF(INDEX(EntryTxnType,$P279)=0,"",INDEX(EntryTxnType,$P279)))</f>
        <v/>
      </c>
      <c r="H279" s="27">
        <f>IF($P279="","",IF(INDEX(EntryDep,$P279)=0,"",INDEX(EntryDep,$P279)))</f>
        <v/>
      </c>
      <c r="I279" s="27">
        <f>IF($P279="","",IF(INDEX(EntryWit,$P279)=0,"",INDEX(EntryWit,$P279)))</f>
        <v/>
      </c>
      <c r="J279" s="27">
        <f>IF($B279="","",IF($A279=1,$C$7,IF(J278="",0,J278))+IF($H279="",0,$H279)-IF($I279="",0,$I279))</f>
        <v/>
      </c>
      <c r="K279" s="27">
        <f>IF($P279="","",IF(INDEX(EntryMan,$P279)=0,"",INDEX(EntryMan,$P279)))</f>
        <v/>
      </c>
      <c r="L279" s="26">
        <f>IF($B279="","",IF($K279="","—",IF(ROUND($K279-$J279,0)=0,"√","×")))</f>
        <v/>
      </c>
      <c r="M279" s="26">
        <f>IF($B279="","",IF(COUNTIFS(EntryDates,$B279,CalcTime,$C279,CalcBank,$C$5,EntryParty,$D279,EntryDep,$H279,EntryWit,$I279)&gt;1,"تکرار",""))</f>
        <v/>
      </c>
      <c r="N279" s="26">
        <f>IF($P279="","",IF(INDEX(EntryNotes,$P279)=0,"",INDEX(EntryNotes,$P279)))</f>
        <v/>
      </c>
      <c r="O279" s="26">
        <f>IF($P279="","",IF(INDEX(EntryTxnID,$P279)=0,"",INDEX(EntryTxnID,$P279)))</f>
        <v/>
      </c>
      <c r="P279" s="26">
        <f>IFERROR(MATCH($C$5&amp;"|"&amp;RIGHT("000000"&amp;263,6),CalcRankKey,0),"")</f>
        <v/>
      </c>
    </row>
    <row r="280">
      <c r="A280" s="28">
        <f>IF($B280="","",264)</f>
        <v/>
      </c>
      <c r="B280" s="28">
        <f>IF($P280="","",IF(INDEX(CalcNormDate,$P280)=0,"",INDEX(CalcNormDate,$P280)))</f>
        <v/>
      </c>
      <c r="C280" s="28">
        <f>IF($P280="","",IF(INDEX(CalcTime,$P280)=0,"",INDEX(CalcTime,$P280)))</f>
        <v/>
      </c>
      <c r="D280" s="28">
        <f>IF($P280="","",IF(INDEX(EntryParty,$P280)=0,"",INDEX(EntryParty,$P280)))</f>
        <v/>
      </c>
      <c r="E280" s="28">
        <f>IF($P280="","",IF(INDEX(EntryPartyName,$P280)=0,"",INDEX(EntryPartyName,$P280)))</f>
        <v/>
      </c>
      <c r="F280" s="28">
        <f>IF($P280="","",IF(INDEX(EntryPartyType,$P280)=0,"",INDEX(EntryPartyType,$P280)))</f>
        <v/>
      </c>
      <c r="G280" s="28">
        <f>IF($P280="","",IF(INDEX(EntryTxnType,$P280)=0,"",INDEX(EntryTxnType,$P280)))</f>
        <v/>
      </c>
      <c r="H280" s="29">
        <f>IF($P280="","",IF(INDEX(EntryDep,$P280)=0,"",INDEX(EntryDep,$P280)))</f>
        <v/>
      </c>
      <c r="I280" s="29">
        <f>IF($P280="","",IF(INDEX(EntryWit,$P280)=0,"",INDEX(EntryWit,$P280)))</f>
        <v/>
      </c>
      <c r="J280" s="29">
        <f>IF($B280="","",IF($A280=1,$C$7,IF(J279="",0,J279))+IF($H280="",0,$H280)-IF($I280="",0,$I280))</f>
        <v/>
      </c>
      <c r="K280" s="29">
        <f>IF($P280="","",IF(INDEX(EntryMan,$P280)=0,"",INDEX(EntryMan,$P280)))</f>
        <v/>
      </c>
      <c r="L280" s="28">
        <f>IF($B280="","",IF($K280="","—",IF(ROUND($K280-$J280,0)=0,"√","×")))</f>
        <v/>
      </c>
      <c r="M280" s="28">
        <f>IF($B280="","",IF(COUNTIFS(EntryDates,$B280,CalcTime,$C280,CalcBank,$C$5,EntryParty,$D280,EntryDep,$H280,EntryWit,$I280)&gt;1,"تکرار",""))</f>
        <v/>
      </c>
      <c r="N280" s="28">
        <f>IF($P280="","",IF(INDEX(EntryNotes,$P280)=0,"",INDEX(EntryNotes,$P280)))</f>
        <v/>
      </c>
      <c r="O280" s="28">
        <f>IF($P280="","",IF(INDEX(EntryTxnID,$P280)=0,"",INDEX(EntryTxnID,$P280)))</f>
        <v/>
      </c>
      <c r="P280" s="28">
        <f>IFERROR(MATCH($C$5&amp;"|"&amp;RIGHT("000000"&amp;264,6),CalcRankKey,0),"")</f>
        <v/>
      </c>
    </row>
    <row r="281">
      <c r="A281" s="26">
        <f>IF($B281="","",265)</f>
        <v/>
      </c>
      <c r="B281" s="26">
        <f>IF($P281="","",IF(INDEX(CalcNormDate,$P281)=0,"",INDEX(CalcNormDate,$P281)))</f>
        <v/>
      </c>
      <c r="C281" s="26">
        <f>IF($P281="","",IF(INDEX(CalcTime,$P281)=0,"",INDEX(CalcTime,$P281)))</f>
        <v/>
      </c>
      <c r="D281" s="26">
        <f>IF($P281="","",IF(INDEX(EntryParty,$P281)=0,"",INDEX(EntryParty,$P281)))</f>
        <v/>
      </c>
      <c r="E281" s="26">
        <f>IF($P281="","",IF(INDEX(EntryPartyName,$P281)=0,"",INDEX(EntryPartyName,$P281)))</f>
        <v/>
      </c>
      <c r="F281" s="26">
        <f>IF($P281="","",IF(INDEX(EntryPartyType,$P281)=0,"",INDEX(EntryPartyType,$P281)))</f>
        <v/>
      </c>
      <c r="G281" s="26">
        <f>IF($P281="","",IF(INDEX(EntryTxnType,$P281)=0,"",INDEX(EntryTxnType,$P281)))</f>
        <v/>
      </c>
      <c r="H281" s="27">
        <f>IF($P281="","",IF(INDEX(EntryDep,$P281)=0,"",INDEX(EntryDep,$P281)))</f>
        <v/>
      </c>
      <c r="I281" s="27">
        <f>IF($P281="","",IF(INDEX(EntryWit,$P281)=0,"",INDEX(EntryWit,$P281)))</f>
        <v/>
      </c>
      <c r="J281" s="27">
        <f>IF($B281="","",IF($A281=1,$C$7,IF(J280="",0,J280))+IF($H281="",0,$H281)-IF($I281="",0,$I281))</f>
        <v/>
      </c>
      <c r="K281" s="27">
        <f>IF($P281="","",IF(INDEX(EntryMan,$P281)=0,"",INDEX(EntryMan,$P281)))</f>
        <v/>
      </c>
      <c r="L281" s="26">
        <f>IF($B281="","",IF($K281="","—",IF(ROUND($K281-$J281,0)=0,"√","×")))</f>
        <v/>
      </c>
      <c r="M281" s="26">
        <f>IF($B281="","",IF(COUNTIFS(EntryDates,$B281,CalcTime,$C281,CalcBank,$C$5,EntryParty,$D281,EntryDep,$H281,EntryWit,$I281)&gt;1,"تکرار",""))</f>
        <v/>
      </c>
      <c r="N281" s="26">
        <f>IF($P281="","",IF(INDEX(EntryNotes,$P281)=0,"",INDEX(EntryNotes,$P281)))</f>
        <v/>
      </c>
      <c r="O281" s="26">
        <f>IF($P281="","",IF(INDEX(EntryTxnID,$P281)=0,"",INDEX(EntryTxnID,$P281)))</f>
        <v/>
      </c>
      <c r="P281" s="26">
        <f>IFERROR(MATCH($C$5&amp;"|"&amp;RIGHT("000000"&amp;265,6),CalcRankKey,0),"")</f>
        <v/>
      </c>
    </row>
    <row r="282">
      <c r="A282" s="28">
        <f>IF($B282="","",266)</f>
        <v/>
      </c>
      <c r="B282" s="28">
        <f>IF($P282="","",IF(INDEX(CalcNormDate,$P282)=0,"",INDEX(CalcNormDate,$P282)))</f>
        <v/>
      </c>
      <c r="C282" s="28">
        <f>IF($P282="","",IF(INDEX(CalcTime,$P282)=0,"",INDEX(CalcTime,$P282)))</f>
        <v/>
      </c>
      <c r="D282" s="28">
        <f>IF($P282="","",IF(INDEX(EntryParty,$P282)=0,"",INDEX(EntryParty,$P282)))</f>
        <v/>
      </c>
      <c r="E282" s="28">
        <f>IF($P282="","",IF(INDEX(EntryPartyName,$P282)=0,"",INDEX(EntryPartyName,$P282)))</f>
        <v/>
      </c>
      <c r="F282" s="28">
        <f>IF($P282="","",IF(INDEX(EntryPartyType,$P282)=0,"",INDEX(EntryPartyType,$P282)))</f>
        <v/>
      </c>
      <c r="G282" s="28">
        <f>IF($P282="","",IF(INDEX(EntryTxnType,$P282)=0,"",INDEX(EntryTxnType,$P282)))</f>
        <v/>
      </c>
      <c r="H282" s="29">
        <f>IF($P282="","",IF(INDEX(EntryDep,$P282)=0,"",INDEX(EntryDep,$P282)))</f>
        <v/>
      </c>
      <c r="I282" s="29">
        <f>IF($P282="","",IF(INDEX(EntryWit,$P282)=0,"",INDEX(EntryWit,$P282)))</f>
        <v/>
      </c>
      <c r="J282" s="29">
        <f>IF($B282="","",IF($A282=1,$C$7,IF(J281="",0,J281))+IF($H282="",0,$H282)-IF($I282="",0,$I282))</f>
        <v/>
      </c>
      <c r="K282" s="29">
        <f>IF($P282="","",IF(INDEX(EntryMan,$P282)=0,"",INDEX(EntryMan,$P282)))</f>
        <v/>
      </c>
      <c r="L282" s="28">
        <f>IF($B282="","",IF($K282="","—",IF(ROUND($K282-$J282,0)=0,"√","×")))</f>
        <v/>
      </c>
      <c r="M282" s="28">
        <f>IF($B282="","",IF(COUNTIFS(EntryDates,$B282,CalcTime,$C282,CalcBank,$C$5,EntryParty,$D282,EntryDep,$H282,EntryWit,$I282)&gt;1,"تکرار",""))</f>
        <v/>
      </c>
      <c r="N282" s="28">
        <f>IF($P282="","",IF(INDEX(EntryNotes,$P282)=0,"",INDEX(EntryNotes,$P282)))</f>
        <v/>
      </c>
      <c r="O282" s="28">
        <f>IF($P282="","",IF(INDEX(EntryTxnID,$P282)=0,"",INDEX(EntryTxnID,$P282)))</f>
        <v/>
      </c>
      <c r="P282" s="28">
        <f>IFERROR(MATCH($C$5&amp;"|"&amp;RIGHT("000000"&amp;266,6),CalcRankKey,0),"")</f>
        <v/>
      </c>
    </row>
    <row r="283">
      <c r="A283" s="26">
        <f>IF($B283="","",267)</f>
        <v/>
      </c>
      <c r="B283" s="26">
        <f>IF($P283="","",IF(INDEX(CalcNormDate,$P283)=0,"",INDEX(CalcNormDate,$P283)))</f>
        <v/>
      </c>
      <c r="C283" s="26">
        <f>IF($P283="","",IF(INDEX(CalcTime,$P283)=0,"",INDEX(CalcTime,$P283)))</f>
        <v/>
      </c>
      <c r="D283" s="26">
        <f>IF($P283="","",IF(INDEX(EntryParty,$P283)=0,"",INDEX(EntryParty,$P283)))</f>
        <v/>
      </c>
      <c r="E283" s="26">
        <f>IF($P283="","",IF(INDEX(EntryPartyName,$P283)=0,"",INDEX(EntryPartyName,$P283)))</f>
        <v/>
      </c>
      <c r="F283" s="26">
        <f>IF($P283="","",IF(INDEX(EntryPartyType,$P283)=0,"",INDEX(EntryPartyType,$P283)))</f>
        <v/>
      </c>
      <c r="G283" s="26">
        <f>IF($P283="","",IF(INDEX(EntryTxnType,$P283)=0,"",INDEX(EntryTxnType,$P283)))</f>
        <v/>
      </c>
      <c r="H283" s="27">
        <f>IF($P283="","",IF(INDEX(EntryDep,$P283)=0,"",INDEX(EntryDep,$P283)))</f>
        <v/>
      </c>
      <c r="I283" s="27">
        <f>IF($P283="","",IF(INDEX(EntryWit,$P283)=0,"",INDEX(EntryWit,$P283)))</f>
        <v/>
      </c>
      <c r="J283" s="27">
        <f>IF($B283="","",IF($A283=1,$C$7,IF(J282="",0,J282))+IF($H283="",0,$H283)-IF($I283="",0,$I283))</f>
        <v/>
      </c>
      <c r="K283" s="27">
        <f>IF($P283="","",IF(INDEX(EntryMan,$P283)=0,"",INDEX(EntryMan,$P283)))</f>
        <v/>
      </c>
      <c r="L283" s="26">
        <f>IF($B283="","",IF($K283="","—",IF(ROUND($K283-$J283,0)=0,"√","×")))</f>
        <v/>
      </c>
      <c r="M283" s="26">
        <f>IF($B283="","",IF(COUNTIFS(EntryDates,$B283,CalcTime,$C283,CalcBank,$C$5,EntryParty,$D283,EntryDep,$H283,EntryWit,$I283)&gt;1,"تکرار",""))</f>
        <v/>
      </c>
      <c r="N283" s="26">
        <f>IF($P283="","",IF(INDEX(EntryNotes,$P283)=0,"",INDEX(EntryNotes,$P283)))</f>
        <v/>
      </c>
      <c r="O283" s="26">
        <f>IF($P283="","",IF(INDEX(EntryTxnID,$P283)=0,"",INDEX(EntryTxnID,$P283)))</f>
        <v/>
      </c>
      <c r="P283" s="26">
        <f>IFERROR(MATCH($C$5&amp;"|"&amp;RIGHT("000000"&amp;267,6),CalcRankKey,0),"")</f>
        <v/>
      </c>
    </row>
    <row r="284">
      <c r="A284" s="28">
        <f>IF($B284="","",268)</f>
        <v/>
      </c>
      <c r="B284" s="28">
        <f>IF($P284="","",IF(INDEX(CalcNormDate,$P284)=0,"",INDEX(CalcNormDate,$P284)))</f>
        <v/>
      </c>
      <c r="C284" s="28">
        <f>IF($P284="","",IF(INDEX(CalcTime,$P284)=0,"",INDEX(CalcTime,$P284)))</f>
        <v/>
      </c>
      <c r="D284" s="28">
        <f>IF($P284="","",IF(INDEX(EntryParty,$P284)=0,"",INDEX(EntryParty,$P284)))</f>
        <v/>
      </c>
      <c r="E284" s="28">
        <f>IF($P284="","",IF(INDEX(EntryPartyName,$P284)=0,"",INDEX(EntryPartyName,$P284)))</f>
        <v/>
      </c>
      <c r="F284" s="28">
        <f>IF($P284="","",IF(INDEX(EntryPartyType,$P284)=0,"",INDEX(EntryPartyType,$P284)))</f>
        <v/>
      </c>
      <c r="G284" s="28">
        <f>IF($P284="","",IF(INDEX(EntryTxnType,$P284)=0,"",INDEX(EntryTxnType,$P284)))</f>
        <v/>
      </c>
      <c r="H284" s="29">
        <f>IF($P284="","",IF(INDEX(EntryDep,$P284)=0,"",INDEX(EntryDep,$P284)))</f>
        <v/>
      </c>
      <c r="I284" s="29">
        <f>IF($P284="","",IF(INDEX(EntryWit,$P284)=0,"",INDEX(EntryWit,$P284)))</f>
        <v/>
      </c>
      <c r="J284" s="29">
        <f>IF($B284="","",IF($A284=1,$C$7,IF(J283="",0,J283))+IF($H284="",0,$H284)-IF($I284="",0,$I284))</f>
        <v/>
      </c>
      <c r="K284" s="29">
        <f>IF($P284="","",IF(INDEX(EntryMan,$P284)=0,"",INDEX(EntryMan,$P284)))</f>
        <v/>
      </c>
      <c r="L284" s="28">
        <f>IF($B284="","",IF($K284="","—",IF(ROUND($K284-$J284,0)=0,"√","×")))</f>
        <v/>
      </c>
      <c r="M284" s="28">
        <f>IF($B284="","",IF(COUNTIFS(EntryDates,$B284,CalcTime,$C284,CalcBank,$C$5,EntryParty,$D284,EntryDep,$H284,EntryWit,$I284)&gt;1,"تکرار",""))</f>
        <v/>
      </c>
      <c r="N284" s="28">
        <f>IF($P284="","",IF(INDEX(EntryNotes,$P284)=0,"",INDEX(EntryNotes,$P284)))</f>
        <v/>
      </c>
      <c r="O284" s="28">
        <f>IF($P284="","",IF(INDEX(EntryTxnID,$P284)=0,"",INDEX(EntryTxnID,$P284)))</f>
        <v/>
      </c>
      <c r="P284" s="28">
        <f>IFERROR(MATCH($C$5&amp;"|"&amp;RIGHT("000000"&amp;268,6),CalcRankKey,0),"")</f>
        <v/>
      </c>
    </row>
    <row r="285">
      <c r="A285" s="26">
        <f>IF($B285="","",269)</f>
        <v/>
      </c>
      <c r="B285" s="26">
        <f>IF($P285="","",IF(INDEX(CalcNormDate,$P285)=0,"",INDEX(CalcNormDate,$P285)))</f>
        <v/>
      </c>
      <c r="C285" s="26">
        <f>IF($P285="","",IF(INDEX(CalcTime,$P285)=0,"",INDEX(CalcTime,$P285)))</f>
        <v/>
      </c>
      <c r="D285" s="26">
        <f>IF($P285="","",IF(INDEX(EntryParty,$P285)=0,"",INDEX(EntryParty,$P285)))</f>
        <v/>
      </c>
      <c r="E285" s="26">
        <f>IF($P285="","",IF(INDEX(EntryPartyName,$P285)=0,"",INDEX(EntryPartyName,$P285)))</f>
        <v/>
      </c>
      <c r="F285" s="26">
        <f>IF($P285="","",IF(INDEX(EntryPartyType,$P285)=0,"",INDEX(EntryPartyType,$P285)))</f>
        <v/>
      </c>
      <c r="G285" s="26">
        <f>IF($P285="","",IF(INDEX(EntryTxnType,$P285)=0,"",INDEX(EntryTxnType,$P285)))</f>
        <v/>
      </c>
      <c r="H285" s="27">
        <f>IF($P285="","",IF(INDEX(EntryDep,$P285)=0,"",INDEX(EntryDep,$P285)))</f>
        <v/>
      </c>
      <c r="I285" s="27">
        <f>IF($P285="","",IF(INDEX(EntryWit,$P285)=0,"",INDEX(EntryWit,$P285)))</f>
        <v/>
      </c>
      <c r="J285" s="27">
        <f>IF($B285="","",IF($A285=1,$C$7,IF(J284="",0,J284))+IF($H285="",0,$H285)-IF($I285="",0,$I285))</f>
        <v/>
      </c>
      <c r="K285" s="27">
        <f>IF($P285="","",IF(INDEX(EntryMan,$P285)=0,"",INDEX(EntryMan,$P285)))</f>
        <v/>
      </c>
      <c r="L285" s="26">
        <f>IF($B285="","",IF($K285="","—",IF(ROUND($K285-$J285,0)=0,"√","×")))</f>
        <v/>
      </c>
      <c r="M285" s="26">
        <f>IF($B285="","",IF(COUNTIFS(EntryDates,$B285,CalcTime,$C285,CalcBank,$C$5,EntryParty,$D285,EntryDep,$H285,EntryWit,$I285)&gt;1,"تکرار",""))</f>
        <v/>
      </c>
      <c r="N285" s="26">
        <f>IF($P285="","",IF(INDEX(EntryNotes,$P285)=0,"",INDEX(EntryNotes,$P285)))</f>
        <v/>
      </c>
      <c r="O285" s="26">
        <f>IF($P285="","",IF(INDEX(EntryTxnID,$P285)=0,"",INDEX(EntryTxnID,$P285)))</f>
        <v/>
      </c>
      <c r="P285" s="26">
        <f>IFERROR(MATCH($C$5&amp;"|"&amp;RIGHT("000000"&amp;269,6),CalcRankKey,0),"")</f>
        <v/>
      </c>
    </row>
    <row r="286">
      <c r="A286" s="28">
        <f>IF($B286="","",270)</f>
        <v/>
      </c>
      <c r="B286" s="28">
        <f>IF($P286="","",IF(INDEX(CalcNormDate,$P286)=0,"",INDEX(CalcNormDate,$P286)))</f>
        <v/>
      </c>
      <c r="C286" s="28">
        <f>IF($P286="","",IF(INDEX(CalcTime,$P286)=0,"",INDEX(CalcTime,$P286)))</f>
        <v/>
      </c>
      <c r="D286" s="28">
        <f>IF($P286="","",IF(INDEX(EntryParty,$P286)=0,"",INDEX(EntryParty,$P286)))</f>
        <v/>
      </c>
      <c r="E286" s="28">
        <f>IF($P286="","",IF(INDEX(EntryPartyName,$P286)=0,"",INDEX(EntryPartyName,$P286)))</f>
        <v/>
      </c>
      <c r="F286" s="28">
        <f>IF($P286="","",IF(INDEX(EntryPartyType,$P286)=0,"",INDEX(EntryPartyType,$P286)))</f>
        <v/>
      </c>
      <c r="G286" s="28">
        <f>IF($P286="","",IF(INDEX(EntryTxnType,$P286)=0,"",INDEX(EntryTxnType,$P286)))</f>
        <v/>
      </c>
      <c r="H286" s="29">
        <f>IF($P286="","",IF(INDEX(EntryDep,$P286)=0,"",INDEX(EntryDep,$P286)))</f>
        <v/>
      </c>
      <c r="I286" s="29">
        <f>IF($P286="","",IF(INDEX(EntryWit,$P286)=0,"",INDEX(EntryWit,$P286)))</f>
        <v/>
      </c>
      <c r="J286" s="29">
        <f>IF($B286="","",IF($A286=1,$C$7,IF(J285="",0,J285))+IF($H286="",0,$H286)-IF($I286="",0,$I286))</f>
        <v/>
      </c>
      <c r="K286" s="29">
        <f>IF($P286="","",IF(INDEX(EntryMan,$P286)=0,"",INDEX(EntryMan,$P286)))</f>
        <v/>
      </c>
      <c r="L286" s="28">
        <f>IF($B286="","",IF($K286="","—",IF(ROUND($K286-$J286,0)=0,"√","×")))</f>
        <v/>
      </c>
      <c r="M286" s="28">
        <f>IF($B286="","",IF(COUNTIFS(EntryDates,$B286,CalcTime,$C286,CalcBank,$C$5,EntryParty,$D286,EntryDep,$H286,EntryWit,$I286)&gt;1,"تکرار",""))</f>
        <v/>
      </c>
      <c r="N286" s="28">
        <f>IF($P286="","",IF(INDEX(EntryNotes,$P286)=0,"",INDEX(EntryNotes,$P286)))</f>
        <v/>
      </c>
      <c r="O286" s="28">
        <f>IF($P286="","",IF(INDEX(EntryTxnID,$P286)=0,"",INDEX(EntryTxnID,$P286)))</f>
        <v/>
      </c>
      <c r="P286" s="28">
        <f>IFERROR(MATCH($C$5&amp;"|"&amp;RIGHT("000000"&amp;270,6),CalcRankKey,0),"")</f>
        <v/>
      </c>
    </row>
    <row r="287">
      <c r="A287" s="26">
        <f>IF($B287="","",271)</f>
        <v/>
      </c>
      <c r="B287" s="26">
        <f>IF($P287="","",IF(INDEX(CalcNormDate,$P287)=0,"",INDEX(CalcNormDate,$P287)))</f>
        <v/>
      </c>
      <c r="C287" s="26">
        <f>IF($P287="","",IF(INDEX(CalcTime,$P287)=0,"",INDEX(CalcTime,$P287)))</f>
        <v/>
      </c>
      <c r="D287" s="26">
        <f>IF($P287="","",IF(INDEX(EntryParty,$P287)=0,"",INDEX(EntryParty,$P287)))</f>
        <v/>
      </c>
      <c r="E287" s="26">
        <f>IF($P287="","",IF(INDEX(EntryPartyName,$P287)=0,"",INDEX(EntryPartyName,$P287)))</f>
        <v/>
      </c>
      <c r="F287" s="26">
        <f>IF($P287="","",IF(INDEX(EntryPartyType,$P287)=0,"",INDEX(EntryPartyType,$P287)))</f>
        <v/>
      </c>
      <c r="G287" s="26">
        <f>IF($P287="","",IF(INDEX(EntryTxnType,$P287)=0,"",INDEX(EntryTxnType,$P287)))</f>
        <v/>
      </c>
      <c r="H287" s="27">
        <f>IF($P287="","",IF(INDEX(EntryDep,$P287)=0,"",INDEX(EntryDep,$P287)))</f>
        <v/>
      </c>
      <c r="I287" s="27">
        <f>IF($P287="","",IF(INDEX(EntryWit,$P287)=0,"",INDEX(EntryWit,$P287)))</f>
        <v/>
      </c>
      <c r="J287" s="27">
        <f>IF($B287="","",IF($A287=1,$C$7,IF(J286="",0,J286))+IF($H287="",0,$H287)-IF($I287="",0,$I287))</f>
        <v/>
      </c>
      <c r="K287" s="27">
        <f>IF($P287="","",IF(INDEX(EntryMan,$P287)=0,"",INDEX(EntryMan,$P287)))</f>
        <v/>
      </c>
      <c r="L287" s="26">
        <f>IF($B287="","",IF($K287="","—",IF(ROUND($K287-$J287,0)=0,"√","×")))</f>
        <v/>
      </c>
      <c r="M287" s="26">
        <f>IF($B287="","",IF(COUNTIFS(EntryDates,$B287,CalcTime,$C287,CalcBank,$C$5,EntryParty,$D287,EntryDep,$H287,EntryWit,$I287)&gt;1,"تکرار",""))</f>
        <v/>
      </c>
      <c r="N287" s="26">
        <f>IF($P287="","",IF(INDEX(EntryNotes,$P287)=0,"",INDEX(EntryNotes,$P287)))</f>
        <v/>
      </c>
      <c r="O287" s="26">
        <f>IF($P287="","",IF(INDEX(EntryTxnID,$P287)=0,"",INDEX(EntryTxnID,$P287)))</f>
        <v/>
      </c>
      <c r="P287" s="26">
        <f>IFERROR(MATCH($C$5&amp;"|"&amp;RIGHT("000000"&amp;271,6),CalcRankKey,0),"")</f>
        <v/>
      </c>
    </row>
    <row r="288">
      <c r="A288" s="28">
        <f>IF($B288="","",272)</f>
        <v/>
      </c>
      <c r="B288" s="28">
        <f>IF($P288="","",IF(INDEX(CalcNormDate,$P288)=0,"",INDEX(CalcNormDate,$P288)))</f>
        <v/>
      </c>
      <c r="C288" s="28">
        <f>IF($P288="","",IF(INDEX(CalcTime,$P288)=0,"",INDEX(CalcTime,$P288)))</f>
        <v/>
      </c>
      <c r="D288" s="28">
        <f>IF($P288="","",IF(INDEX(EntryParty,$P288)=0,"",INDEX(EntryParty,$P288)))</f>
        <v/>
      </c>
      <c r="E288" s="28">
        <f>IF($P288="","",IF(INDEX(EntryPartyName,$P288)=0,"",INDEX(EntryPartyName,$P288)))</f>
        <v/>
      </c>
      <c r="F288" s="28">
        <f>IF($P288="","",IF(INDEX(EntryPartyType,$P288)=0,"",INDEX(EntryPartyType,$P288)))</f>
        <v/>
      </c>
      <c r="G288" s="28">
        <f>IF($P288="","",IF(INDEX(EntryTxnType,$P288)=0,"",INDEX(EntryTxnType,$P288)))</f>
        <v/>
      </c>
      <c r="H288" s="29">
        <f>IF($P288="","",IF(INDEX(EntryDep,$P288)=0,"",INDEX(EntryDep,$P288)))</f>
        <v/>
      </c>
      <c r="I288" s="29">
        <f>IF($P288="","",IF(INDEX(EntryWit,$P288)=0,"",INDEX(EntryWit,$P288)))</f>
        <v/>
      </c>
      <c r="J288" s="29">
        <f>IF($B288="","",IF($A288=1,$C$7,IF(J287="",0,J287))+IF($H288="",0,$H288)-IF($I288="",0,$I288))</f>
        <v/>
      </c>
      <c r="K288" s="29">
        <f>IF($P288="","",IF(INDEX(EntryMan,$P288)=0,"",INDEX(EntryMan,$P288)))</f>
        <v/>
      </c>
      <c r="L288" s="28">
        <f>IF($B288="","",IF($K288="","—",IF(ROUND($K288-$J288,0)=0,"√","×")))</f>
        <v/>
      </c>
      <c r="M288" s="28">
        <f>IF($B288="","",IF(COUNTIFS(EntryDates,$B288,CalcTime,$C288,CalcBank,$C$5,EntryParty,$D288,EntryDep,$H288,EntryWit,$I288)&gt;1,"تکرار",""))</f>
        <v/>
      </c>
      <c r="N288" s="28">
        <f>IF($P288="","",IF(INDEX(EntryNotes,$P288)=0,"",INDEX(EntryNotes,$P288)))</f>
        <v/>
      </c>
      <c r="O288" s="28">
        <f>IF($P288="","",IF(INDEX(EntryTxnID,$P288)=0,"",INDEX(EntryTxnID,$P288)))</f>
        <v/>
      </c>
      <c r="P288" s="28">
        <f>IFERROR(MATCH($C$5&amp;"|"&amp;RIGHT("000000"&amp;272,6),CalcRankKey,0),"")</f>
        <v/>
      </c>
    </row>
    <row r="289">
      <c r="A289" s="26">
        <f>IF($B289="","",273)</f>
        <v/>
      </c>
      <c r="B289" s="26">
        <f>IF($P289="","",IF(INDEX(CalcNormDate,$P289)=0,"",INDEX(CalcNormDate,$P289)))</f>
        <v/>
      </c>
      <c r="C289" s="26">
        <f>IF($P289="","",IF(INDEX(CalcTime,$P289)=0,"",INDEX(CalcTime,$P289)))</f>
        <v/>
      </c>
      <c r="D289" s="26">
        <f>IF($P289="","",IF(INDEX(EntryParty,$P289)=0,"",INDEX(EntryParty,$P289)))</f>
        <v/>
      </c>
      <c r="E289" s="26">
        <f>IF($P289="","",IF(INDEX(EntryPartyName,$P289)=0,"",INDEX(EntryPartyName,$P289)))</f>
        <v/>
      </c>
      <c r="F289" s="26">
        <f>IF($P289="","",IF(INDEX(EntryPartyType,$P289)=0,"",INDEX(EntryPartyType,$P289)))</f>
        <v/>
      </c>
      <c r="G289" s="26">
        <f>IF($P289="","",IF(INDEX(EntryTxnType,$P289)=0,"",INDEX(EntryTxnType,$P289)))</f>
        <v/>
      </c>
      <c r="H289" s="27">
        <f>IF($P289="","",IF(INDEX(EntryDep,$P289)=0,"",INDEX(EntryDep,$P289)))</f>
        <v/>
      </c>
      <c r="I289" s="27">
        <f>IF($P289="","",IF(INDEX(EntryWit,$P289)=0,"",INDEX(EntryWit,$P289)))</f>
        <v/>
      </c>
      <c r="J289" s="27">
        <f>IF($B289="","",IF($A289=1,$C$7,IF(J288="",0,J288))+IF($H289="",0,$H289)-IF($I289="",0,$I289))</f>
        <v/>
      </c>
      <c r="K289" s="27">
        <f>IF($P289="","",IF(INDEX(EntryMan,$P289)=0,"",INDEX(EntryMan,$P289)))</f>
        <v/>
      </c>
      <c r="L289" s="26">
        <f>IF($B289="","",IF($K289="","—",IF(ROUND($K289-$J289,0)=0,"√","×")))</f>
        <v/>
      </c>
      <c r="M289" s="26">
        <f>IF($B289="","",IF(COUNTIFS(EntryDates,$B289,CalcTime,$C289,CalcBank,$C$5,EntryParty,$D289,EntryDep,$H289,EntryWit,$I289)&gt;1,"تکرار",""))</f>
        <v/>
      </c>
      <c r="N289" s="26">
        <f>IF($P289="","",IF(INDEX(EntryNotes,$P289)=0,"",INDEX(EntryNotes,$P289)))</f>
        <v/>
      </c>
      <c r="O289" s="26">
        <f>IF($P289="","",IF(INDEX(EntryTxnID,$P289)=0,"",INDEX(EntryTxnID,$P289)))</f>
        <v/>
      </c>
      <c r="P289" s="26">
        <f>IFERROR(MATCH($C$5&amp;"|"&amp;RIGHT("000000"&amp;273,6),CalcRankKey,0),"")</f>
        <v/>
      </c>
    </row>
    <row r="290">
      <c r="A290" s="28">
        <f>IF($B290="","",274)</f>
        <v/>
      </c>
      <c r="B290" s="28">
        <f>IF($P290="","",IF(INDEX(CalcNormDate,$P290)=0,"",INDEX(CalcNormDate,$P290)))</f>
        <v/>
      </c>
      <c r="C290" s="28">
        <f>IF($P290="","",IF(INDEX(CalcTime,$P290)=0,"",INDEX(CalcTime,$P290)))</f>
        <v/>
      </c>
      <c r="D290" s="28">
        <f>IF($P290="","",IF(INDEX(EntryParty,$P290)=0,"",INDEX(EntryParty,$P290)))</f>
        <v/>
      </c>
      <c r="E290" s="28">
        <f>IF($P290="","",IF(INDEX(EntryPartyName,$P290)=0,"",INDEX(EntryPartyName,$P290)))</f>
        <v/>
      </c>
      <c r="F290" s="28">
        <f>IF($P290="","",IF(INDEX(EntryPartyType,$P290)=0,"",INDEX(EntryPartyType,$P290)))</f>
        <v/>
      </c>
      <c r="G290" s="28">
        <f>IF($P290="","",IF(INDEX(EntryTxnType,$P290)=0,"",INDEX(EntryTxnType,$P290)))</f>
        <v/>
      </c>
      <c r="H290" s="29">
        <f>IF($P290="","",IF(INDEX(EntryDep,$P290)=0,"",INDEX(EntryDep,$P290)))</f>
        <v/>
      </c>
      <c r="I290" s="29">
        <f>IF($P290="","",IF(INDEX(EntryWit,$P290)=0,"",INDEX(EntryWit,$P290)))</f>
        <v/>
      </c>
      <c r="J290" s="29">
        <f>IF($B290="","",IF($A290=1,$C$7,IF(J289="",0,J289))+IF($H290="",0,$H290)-IF($I290="",0,$I290))</f>
        <v/>
      </c>
      <c r="K290" s="29">
        <f>IF($P290="","",IF(INDEX(EntryMan,$P290)=0,"",INDEX(EntryMan,$P290)))</f>
        <v/>
      </c>
      <c r="L290" s="28">
        <f>IF($B290="","",IF($K290="","—",IF(ROUND($K290-$J290,0)=0,"√","×")))</f>
        <v/>
      </c>
      <c r="M290" s="28">
        <f>IF($B290="","",IF(COUNTIFS(EntryDates,$B290,CalcTime,$C290,CalcBank,$C$5,EntryParty,$D290,EntryDep,$H290,EntryWit,$I290)&gt;1,"تکرار",""))</f>
        <v/>
      </c>
      <c r="N290" s="28">
        <f>IF($P290="","",IF(INDEX(EntryNotes,$P290)=0,"",INDEX(EntryNotes,$P290)))</f>
        <v/>
      </c>
      <c r="O290" s="28">
        <f>IF($P290="","",IF(INDEX(EntryTxnID,$P290)=0,"",INDEX(EntryTxnID,$P290)))</f>
        <v/>
      </c>
      <c r="P290" s="28">
        <f>IFERROR(MATCH($C$5&amp;"|"&amp;RIGHT("000000"&amp;274,6),CalcRankKey,0),"")</f>
        <v/>
      </c>
    </row>
    <row r="291">
      <c r="A291" s="26">
        <f>IF($B291="","",275)</f>
        <v/>
      </c>
      <c r="B291" s="26">
        <f>IF($P291="","",IF(INDEX(CalcNormDate,$P291)=0,"",INDEX(CalcNormDate,$P291)))</f>
        <v/>
      </c>
      <c r="C291" s="26">
        <f>IF($P291="","",IF(INDEX(CalcTime,$P291)=0,"",INDEX(CalcTime,$P291)))</f>
        <v/>
      </c>
      <c r="D291" s="26">
        <f>IF($P291="","",IF(INDEX(EntryParty,$P291)=0,"",INDEX(EntryParty,$P291)))</f>
        <v/>
      </c>
      <c r="E291" s="26">
        <f>IF($P291="","",IF(INDEX(EntryPartyName,$P291)=0,"",INDEX(EntryPartyName,$P291)))</f>
        <v/>
      </c>
      <c r="F291" s="26">
        <f>IF($P291="","",IF(INDEX(EntryPartyType,$P291)=0,"",INDEX(EntryPartyType,$P291)))</f>
        <v/>
      </c>
      <c r="G291" s="26">
        <f>IF($P291="","",IF(INDEX(EntryTxnType,$P291)=0,"",INDEX(EntryTxnType,$P291)))</f>
        <v/>
      </c>
      <c r="H291" s="27">
        <f>IF($P291="","",IF(INDEX(EntryDep,$P291)=0,"",INDEX(EntryDep,$P291)))</f>
        <v/>
      </c>
      <c r="I291" s="27">
        <f>IF($P291="","",IF(INDEX(EntryWit,$P291)=0,"",INDEX(EntryWit,$P291)))</f>
        <v/>
      </c>
      <c r="J291" s="27">
        <f>IF($B291="","",IF($A291=1,$C$7,IF(J290="",0,J290))+IF($H291="",0,$H291)-IF($I291="",0,$I291))</f>
        <v/>
      </c>
      <c r="K291" s="27">
        <f>IF($P291="","",IF(INDEX(EntryMan,$P291)=0,"",INDEX(EntryMan,$P291)))</f>
        <v/>
      </c>
      <c r="L291" s="26">
        <f>IF($B291="","",IF($K291="","—",IF(ROUND($K291-$J291,0)=0,"√","×")))</f>
        <v/>
      </c>
      <c r="M291" s="26">
        <f>IF($B291="","",IF(COUNTIFS(EntryDates,$B291,CalcTime,$C291,CalcBank,$C$5,EntryParty,$D291,EntryDep,$H291,EntryWit,$I291)&gt;1,"تکرار",""))</f>
        <v/>
      </c>
      <c r="N291" s="26">
        <f>IF($P291="","",IF(INDEX(EntryNotes,$P291)=0,"",INDEX(EntryNotes,$P291)))</f>
        <v/>
      </c>
      <c r="O291" s="26">
        <f>IF($P291="","",IF(INDEX(EntryTxnID,$P291)=0,"",INDEX(EntryTxnID,$P291)))</f>
        <v/>
      </c>
      <c r="P291" s="26">
        <f>IFERROR(MATCH($C$5&amp;"|"&amp;RIGHT("000000"&amp;275,6),CalcRankKey,0),"")</f>
        <v/>
      </c>
    </row>
    <row r="292">
      <c r="A292" s="28">
        <f>IF($B292="","",276)</f>
        <v/>
      </c>
      <c r="B292" s="28">
        <f>IF($P292="","",IF(INDEX(CalcNormDate,$P292)=0,"",INDEX(CalcNormDate,$P292)))</f>
        <v/>
      </c>
      <c r="C292" s="28">
        <f>IF($P292="","",IF(INDEX(CalcTime,$P292)=0,"",INDEX(CalcTime,$P292)))</f>
        <v/>
      </c>
      <c r="D292" s="28">
        <f>IF($P292="","",IF(INDEX(EntryParty,$P292)=0,"",INDEX(EntryParty,$P292)))</f>
        <v/>
      </c>
      <c r="E292" s="28">
        <f>IF($P292="","",IF(INDEX(EntryPartyName,$P292)=0,"",INDEX(EntryPartyName,$P292)))</f>
        <v/>
      </c>
      <c r="F292" s="28">
        <f>IF($P292="","",IF(INDEX(EntryPartyType,$P292)=0,"",INDEX(EntryPartyType,$P292)))</f>
        <v/>
      </c>
      <c r="G292" s="28">
        <f>IF($P292="","",IF(INDEX(EntryTxnType,$P292)=0,"",INDEX(EntryTxnType,$P292)))</f>
        <v/>
      </c>
      <c r="H292" s="29">
        <f>IF($P292="","",IF(INDEX(EntryDep,$P292)=0,"",INDEX(EntryDep,$P292)))</f>
        <v/>
      </c>
      <c r="I292" s="29">
        <f>IF($P292="","",IF(INDEX(EntryWit,$P292)=0,"",INDEX(EntryWit,$P292)))</f>
        <v/>
      </c>
      <c r="J292" s="29">
        <f>IF($B292="","",IF($A292=1,$C$7,IF(J291="",0,J291))+IF($H292="",0,$H292)-IF($I292="",0,$I292))</f>
        <v/>
      </c>
      <c r="K292" s="29">
        <f>IF($P292="","",IF(INDEX(EntryMan,$P292)=0,"",INDEX(EntryMan,$P292)))</f>
        <v/>
      </c>
      <c r="L292" s="28">
        <f>IF($B292="","",IF($K292="","—",IF(ROUND($K292-$J292,0)=0,"√","×")))</f>
        <v/>
      </c>
      <c r="M292" s="28">
        <f>IF($B292="","",IF(COUNTIFS(EntryDates,$B292,CalcTime,$C292,CalcBank,$C$5,EntryParty,$D292,EntryDep,$H292,EntryWit,$I292)&gt;1,"تکرار",""))</f>
        <v/>
      </c>
      <c r="N292" s="28">
        <f>IF($P292="","",IF(INDEX(EntryNotes,$P292)=0,"",INDEX(EntryNotes,$P292)))</f>
        <v/>
      </c>
      <c r="O292" s="28">
        <f>IF($P292="","",IF(INDEX(EntryTxnID,$P292)=0,"",INDEX(EntryTxnID,$P292)))</f>
        <v/>
      </c>
      <c r="P292" s="28">
        <f>IFERROR(MATCH($C$5&amp;"|"&amp;RIGHT("000000"&amp;276,6),CalcRankKey,0),"")</f>
        <v/>
      </c>
    </row>
    <row r="293">
      <c r="A293" s="26">
        <f>IF($B293="","",277)</f>
        <v/>
      </c>
      <c r="B293" s="26">
        <f>IF($P293="","",IF(INDEX(CalcNormDate,$P293)=0,"",INDEX(CalcNormDate,$P293)))</f>
        <v/>
      </c>
      <c r="C293" s="26">
        <f>IF($P293="","",IF(INDEX(CalcTime,$P293)=0,"",INDEX(CalcTime,$P293)))</f>
        <v/>
      </c>
      <c r="D293" s="26">
        <f>IF($P293="","",IF(INDEX(EntryParty,$P293)=0,"",INDEX(EntryParty,$P293)))</f>
        <v/>
      </c>
      <c r="E293" s="26">
        <f>IF($P293="","",IF(INDEX(EntryPartyName,$P293)=0,"",INDEX(EntryPartyName,$P293)))</f>
        <v/>
      </c>
      <c r="F293" s="26">
        <f>IF($P293="","",IF(INDEX(EntryPartyType,$P293)=0,"",INDEX(EntryPartyType,$P293)))</f>
        <v/>
      </c>
      <c r="G293" s="26">
        <f>IF($P293="","",IF(INDEX(EntryTxnType,$P293)=0,"",INDEX(EntryTxnType,$P293)))</f>
        <v/>
      </c>
      <c r="H293" s="27">
        <f>IF($P293="","",IF(INDEX(EntryDep,$P293)=0,"",INDEX(EntryDep,$P293)))</f>
        <v/>
      </c>
      <c r="I293" s="27">
        <f>IF($P293="","",IF(INDEX(EntryWit,$P293)=0,"",INDEX(EntryWit,$P293)))</f>
        <v/>
      </c>
      <c r="J293" s="27">
        <f>IF($B293="","",IF($A293=1,$C$7,IF(J292="",0,J292))+IF($H293="",0,$H293)-IF($I293="",0,$I293))</f>
        <v/>
      </c>
      <c r="K293" s="27">
        <f>IF($P293="","",IF(INDEX(EntryMan,$P293)=0,"",INDEX(EntryMan,$P293)))</f>
        <v/>
      </c>
      <c r="L293" s="26">
        <f>IF($B293="","",IF($K293="","—",IF(ROUND($K293-$J293,0)=0,"√","×")))</f>
        <v/>
      </c>
      <c r="M293" s="26">
        <f>IF($B293="","",IF(COUNTIFS(EntryDates,$B293,CalcTime,$C293,CalcBank,$C$5,EntryParty,$D293,EntryDep,$H293,EntryWit,$I293)&gt;1,"تکرار",""))</f>
        <v/>
      </c>
      <c r="N293" s="26">
        <f>IF($P293="","",IF(INDEX(EntryNotes,$P293)=0,"",INDEX(EntryNotes,$P293)))</f>
        <v/>
      </c>
      <c r="O293" s="26">
        <f>IF($P293="","",IF(INDEX(EntryTxnID,$P293)=0,"",INDEX(EntryTxnID,$P293)))</f>
        <v/>
      </c>
      <c r="P293" s="26">
        <f>IFERROR(MATCH($C$5&amp;"|"&amp;RIGHT("000000"&amp;277,6),CalcRankKey,0),"")</f>
        <v/>
      </c>
    </row>
    <row r="294">
      <c r="A294" s="28">
        <f>IF($B294="","",278)</f>
        <v/>
      </c>
      <c r="B294" s="28">
        <f>IF($P294="","",IF(INDEX(CalcNormDate,$P294)=0,"",INDEX(CalcNormDate,$P294)))</f>
        <v/>
      </c>
      <c r="C294" s="28">
        <f>IF($P294="","",IF(INDEX(CalcTime,$P294)=0,"",INDEX(CalcTime,$P294)))</f>
        <v/>
      </c>
      <c r="D294" s="28">
        <f>IF($P294="","",IF(INDEX(EntryParty,$P294)=0,"",INDEX(EntryParty,$P294)))</f>
        <v/>
      </c>
      <c r="E294" s="28">
        <f>IF($P294="","",IF(INDEX(EntryPartyName,$P294)=0,"",INDEX(EntryPartyName,$P294)))</f>
        <v/>
      </c>
      <c r="F294" s="28">
        <f>IF($P294="","",IF(INDEX(EntryPartyType,$P294)=0,"",INDEX(EntryPartyType,$P294)))</f>
        <v/>
      </c>
      <c r="G294" s="28">
        <f>IF($P294="","",IF(INDEX(EntryTxnType,$P294)=0,"",INDEX(EntryTxnType,$P294)))</f>
        <v/>
      </c>
      <c r="H294" s="29">
        <f>IF($P294="","",IF(INDEX(EntryDep,$P294)=0,"",INDEX(EntryDep,$P294)))</f>
        <v/>
      </c>
      <c r="I294" s="29">
        <f>IF($P294="","",IF(INDEX(EntryWit,$P294)=0,"",INDEX(EntryWit,$P294)))</f>
        <v/>
      </c>
      <c r="J294" s="29">
        <f>IF($B294="","",IF($A294=1,$C$7,IF(J293="",0,J293))+IF($H294="",0,$H294)-IF($I294="",0,$I294))</f>
        <v/>
      </c>
      <c r="K294" s="29">
        <f>IF($P294="","",IF(INDEX(EntryMan,$P294)=0,"",INDEX(EntryMan,$P294)))</f>
        <v/>
      </c>
      <c r="L294" s="28">
        <f>IF($B294="","",IF($K294="","—",IF(ROUND($K294-$J294,0)=0,"√","×")))</f>
        <v/>
      </c>
      <c r="M294" s="28">
        <f>IF($B294="","",IF(COUNTIFS(EntryDates,$B294,CalcTime,$C294,CalcBank,$C$5,EntryParty,$D294,EntryDep,$H294,EntryWit,$I294)&gt;1,"تکرار",""))</f>
        <v/>
      </c>
      <c r="N294" s="28">
        <f>IF($P294="","",IF(INDEX(EntryNotes,$P294)=0,"",INDEX(EntryNotes,$P294)))</f>
        <v/>
      </c>
      <c r="O294" s="28">
        <f>IF($P294="","",IF(INDEX(EntryTxnID,$P294)=0,"",INDEX(EntryTxnID,$P294)))</f>
        <v/>
      </c>
      <c r="P294" s="28">
        <f>IFERROR(MATCH($C$5&amp;"|"&amp;RIGHT("000000"&amp;278,6),CalcRankKey,0),"")</f>
        <v/>
      </c>
    </row>
    <row r="295">
      <c r="A295" s="26">
        <f>IF($B295="","",279)</f>
        <v/>
      </c>
      <c r="B295" s="26">
        <f>IF($P295="","",IF(INDEX(CalcNormDate,$P295)=0,"",INDEX(CalcNormDate,$P295)))</f>
        <v/>
      </c>
      <c r="C295" s="26">
        <f>IF($P295="","",IF(INDEX(CalcTime,$P295)=0,"",INDEX(CalcTime,$P295)))</f>
        <v/>
      </c>
      <c r="D295" s="26">
        <f>IF($P295="","",IF(INDEX(EntryParty,$P295)=0,"",INDEX(EntryParty,$P295)))</f>
        <v/>
      </c>
      <c r="E295" s="26">
        <f>IF($P295="","",IF(INDEX(EntryPartyName,$P295)=0,"",INDEX(EntryPartyName,$P295)))</f>
        <v/>
      </c>
      <c r="F295" s="26">
        <f>IF($P295="","",IF(INDEX(EntryPartyType,$P295)=0,"",INDEX(EntryPartyType,$P295)))</f>
        <v/>
      </c>
      <c r="G295" s="26">
        <f>IF($P295="","",IF(INDEX(EntryTxnType,$P295)=0,"",INDEX(EntryTxnType,$P295)))</f>
        <v/>
      </c>
      <c r="H295" s="27">
        <f>IF($P295="","",IF(INDEX(EntryDep,$P295)=0,"",INDEX(EntryDep,$P295)))</f>
        <v/>
      </c>
      <c r="I295" s="27">
        <f>IF($P295="","",IF(INDEX(EntryWit,$P295)=0,"",INDEX(EntryWit,$P295)))</f>
        <v/>
      </c>
      <c r="J295" s="27">
        <f>IF($B295="","",IF($A295=1,$C$7,IF(J294="",0,J294))+IF($H295="",0,$H295)-IF($I295="",0,$I295))</f>
        <v/>
      </c>
      <c r="K295" s="27">
        <f>IF($P295="","",IF(INDEX(EntryMan,$P295)=0,"",INDEX(EntryMan,$P295)))</f>
        <v/>
      </c>
      <c r="L295" s="26">
        <f>IF($B295="","",IF($K295="","—",IF(ROUND($K295-$J295,0)=0,"√","×")))</f>
        <v/>
      </c>
      <c r="M295" s="26">
        <f>IF($B295="","",IF(COUNTIFS(EntryDates,$B295,CalcTime,$C295,CalcBank,$C$5,EntryParty,$D295,EntryDep,$H295,EntryWit,$I295)&gt;1,"تکرار",""))</f>
        <v/>
      </c>
      <c r="N295" s="26">
        <f>IF($P295="","",IF(INDEX(EntryNotes,$P295)=0,"",INDEX(EntryNotes,$P295)))</f>
        <v/>
      </c>
      <c r="O295" s="26">
        <f>IF($P295="","",IF(INDEX(EntryTxnID,$P295)=0,"",INDEX(EntryTxnID,$P295)))</f>
        <v/>
      </c>
      <c r="P295" s="26">
        <f>IFERROR(MATCH($C$5&amp;"|"&amp;RIGHT("000000"&amp;279,6),CalcRankKey,0),"")</f>
        <v/>
      </c>
    </row>
    <row r="296">
      <c r="A296" s="28">
        <f>IF($B296="","",280)</f>
        <v/>
      </c>
      <c r="B296" s="28">
        <f>IF($P296="","",IF(INDEX(CalcNormDate,$P296)=0,"",INDEX(CalcNormDate,$P296)))</f>
        <v/>
      </c>
      <c r="C296" s="28">
        <f>IF($P296="","",IF(INDEX(CalcTime,$P296)=0,"",INDEX(CalcTime,$P296)))</f>
        <v/>
      </c>
      <c r="D296" s="28">
        <f>IF($P296="","",IF(INDEX(EntryParty,$P296)=0,"",INDEX(EntryParty,$P296)))</f>
        <v/>
      </c>
      <c r="E296" s="28">
        <f>IF($P296="","",IF(INDEX(EntryPartyName,$P296)=0,"",INDEX(EntryPartyName,$P296)))</f>
        <v/>
      </c>
      <c r="F296" s="28">
        <f>IF($P296="","",IF(INDEX(EntryPartyType,$P296)=0,"",INDEX(EntryPartyType,$P296)))</f>
        <v/>
      </c>
      <c r="G296" s="28">
        <f>IF($P296="","",IF(INDEX(EntryTxnType,$P296)=0,"",INDEX(EntryTxnType,$P296)))</f>
        <v/>
      </c>
      <c r="H296" s="29">
        <f>IF($P296="","",IF(INDEX(EntryDep,$P296)=0,"",INDEX(EntryDep,$P296)))</f>
        <v/>
      </c>
      <c r="I296" s="29">
        <f>IF($P296="","",IF(INDEX(EntryWit,$P296)=0,"",INDEX(EntryWit,$P296)))</f>
        <v/>
      </c>
      <c r="J296" s="29">
        <f>IF($B296="","",IF($A296=1,$C$7,IF(J295="",0,J295))+IF($H296="",0,$H296)-IF($I296="",0,$I296))</f>
        <v/>
      </c>
      <c r="K296" s="29">
        <f>IF($P296="","",IF(INDEX(EntryMan,$P296)=0,"",INDEX(EntryMan,$P296)))</f>
        <v/>
      </c>
      <c r="L296" s="28">
        <f>IF($B296="","",IF($K296="","—",IF(ROUND($K296-$J296,0)=0,"√","×")))</f>
        <v/>
      </c>
      <c r="M296" s="28">
        <f>IF($B296="","",IF(COUNTIFS(EntryDates,$B296,CalcTime,$C296,CalcBank,$C$5,EntryParty,$D296,EntryDep,$H296,EntryWit,$I296)&gt;1,"تکرار",""))</f>
        <v/>
      </c>
      <c r="N296" s="28">
        <f>IF($P296="","",IF(INDEX(EntryNotes,$P296)=0,"",INDEX(EntryNotes,$P296)))</f>
        <v/>
      </c>
      <c r="O296" s="28">
        <f>IF($P296="","",IF(INDEX(EntryTxnID,$P296)=0,"",INDEX(EntryTxnID,$P296)))</f>
        <v/>
      </c>
      <c r="P296" s="28">
        <f>IFERROR(MATCH($C$5&amp;"|"&amp;RIGHT("000000"&amp;280,6),CalcRankKey,0),"")</f>
        <v/>
      </c>
    </row>
    <row r="297">
      <c r="A297" s="26">
        <f>IF($B297="","",281)</f>
        <v/>
      </c>
      <c r="B297" s="26">
        <f>IF($P297="","",IF(INDEX(CalcNormDate,$P297)=0,"",INDEX(CalcNormDate,$P297)))</f>
        <v/>
      </c>
      <c r="C297" s="26">
        <f>IF($P297="","",IF(INDEX(CalcTime,$P297)=0,"",INDEX(CalcTime,$P297)))</f>
        <v/>
      </c>
      <c r="D297" s="26">
        <f>IF($P297="","",IF(INDEX(EntryParty,$P297)=0,"",INDEX(EntryParty,$P297)))</f>
        <v/>
      </c>
      <c r="E297" s="26">
        <f>IF($P297="","",IF(INDEX(EntryPartyName,$P297)=0,"",INDEX(EntryPartyName,$P297)))</f>
        <v/>
      </c>
      <c r="F297" s="26">
        <f>IF($P297="","",IF(INDEX(EntryPartyType,$P297)=0,"",INDEX(EntryPartyType,$P297)))</f>
        <v/>
      </c>
      <c r="G297" s="26">
        <f>IF($P297="","",IF(INDEX(EntryTxnType,$P297)=0,"",INDEX(EntryTxnType,$P297)))</f>
        <v/>
      </c>
      <c r="H297" s="27">
        <f>IF($P297="","",IF(INDEX(EntryDep,$P297)=0,"",INDEX(EntryDep,$P297)))</f>
        <v/>
      </c>
      <c r="I297" s="27">
        <f>IF($P297="","",IF(INDEX(EntryWit,$P297)=0,"",INDEX(EntryWit,$P297)))</f>
        <v/>
      </c>
      <c r="J297" s="27">
        <f>IF($B297="","",IF($A297=1,$C$7,IF(J296="",0,J296))+IF($H297="",0,$H297)-IF($I297="",0,$I297))</f>
        <v/>
      </c>
      <c r="K297" s="27">
        <f>IF($P297="","",IF(INDEX(EntryMan,$P297)=0,"",INDEX(EntryMan,$P297)))</f>
        <v/>
      </c>
      <c r="L297" s="26">
        <f>IF($B297="","",IF($K297="","—",IF(ROUND($K297-$J297,0)=0,"√","×")))</f>
        <v/>
      </c>
      <c r="M297" s="26">
        <f>IF($B297="","",IF(COUNTIFS(EntryDates,$B297,CalcTime,$C297,CalcBank,$C$5,EntryParty,$D297,EntryDep,$H297,EntryWit,$I297)&gt;1,"تکرار",""))</f>
        <v/>
      </c>
      <c r="N297" s="26">
        <f>IF($P297="","",IF(INDEX(EntryNotes,$P297)=0,"",INDEX(EntryNotes,$P297)))</f>
        <v/>
      </c>
      <c r="O297" s="26">
        <f>IF($P297="","",IF(INDEX(EntryTxnID,$P297)=0,"",INDEX(EntryTxnID,$P297)))</f>
        <v/>
      </c>
      <c r="P297" s="26">
        <f>IFERROR(MATCH($C$5&amp;"|"&amp;RIGHT("000000"&amp;281,6),CalcRankKey,0),"")</f>
        <v/>
      </c>
    </row>
    <row r="298">
      <c r="A298" s="28">
        <f>IF($B298="","",282)</f>
        <v/>
      </c>
      <c r="B298" s="28">
        <f>IF($P298="","",IF(INDEX(CalcNormDate,$P298)=0,"",INDEX(CalcNormDate,$P298)))</f>
        <v/>
      </c>
      <c r="C298" s="28">
        <f>IF($P298="","",IF(INDEX(CalcTime,$P298)=0,"",INDEX(CalcTime,$P298)))</f>
        <v/>
      </c>
      <c r="D298" s="28">
        <f>IF($P298="","",IF(INDEX(EntryParty,$P298)=0,"",INDEX(EntryParty,$P298)))</f>
        <v/>
      </c>
      <c r="E298" s="28">
        <f>IF($P298="","",IF(INDEX(EntryPartyName,$P298)=0,"",INDEX(EntryPartyName,$P298)))</f>
        <v/>
      </c>
      <c r="F298" s="28">
        <f>IF($P298="","",IF(INDEX(EntryPartyType,$P298)=0,"",INDEX(EntryPartyType,$P298)))</f>
        <v/>
      </c>
      <c r="G298" s="28">
        <f>IF($P298="","",IF(INDEX(EntryTxnType,$P298)=0,"",INDEX(EntryTxnType,$P298)))</f>
        <v/>
      </c>
      <c r="H298" s="29">
        <f>IF($P298="","",IF(INDEX(EntryDep,$P298)=0,"",INDEX(EntryDep,$P298)))</f>
        <v/>
      </c>
      <c r="I298" s="29">
        <f>IF($P298="","",IF(INDEX(EntryWit,$P298)=0,"",INDEX(EntryWit,$P298)))</f>
        <v/>
      </c>
      <c r="J298" s="29">
        <f>IF($B298="","",IF($A298=1,$C$7,IF(J297="",0,J297))+IF($H298="",0,$H298)-IF($I298="",0,$I298))</f>
        <v/>
      </c>
      <c r="K298" s="29">
        <f>IF($P298="","",IF(INDEX(EntryMan,$P298)=0,"",INDEX(EntryMan,$P298)))</f>
        <v/>
      </c>
      <c r="L298" s="28">
        <f>IF($B298="","",IF($K298="","—",IF(ROUND($K298-$J298,0)=0,"√","×")))</f>
        <v/>
      </c>
      <c r="M298" s="28">
        <f>IF($B298="","",IF(COUNTIFS(EntryDates,$B298,CalcTime,$C298,CalcBank,$C$5,EntryParty,$D298,EntryDep,$H298,EntryWit,$I298)&gt;1,"تکرار",""))</f>
        <v/>
      </c>
      <c r="N298" s="28">
        <f>IF($P298="","",IF(INDEX(EntryNotes,$P298)=0,"",INDEX(EntryNotes,$P298)))</f>
        <v/>
      </c>
      <c r="O298" s="28">
        <f>IF($P298="","",IF(INDEX(EntryTxnID,$P298)=0,"",INDEX(EntryTxnID,$P298)))</f>
        <v/>
      </c>
      <c r="P298" s="28">
        <f>IFERROR(MATCH($C$5&amp;"|"&amp;RIGHT("000000"&amp;282,6),CalcRankKey,0),"")</f>
        <v/>
      </c>
    </row>
    <row r="299">
      <c r="A299" s="26">
        <f>IF($B299="","",283)</f>
        <v/>
      </c>
      <c r="B299" s="26">
        <f>IF($P299="","",IF(INDEX(CalcNormDate,$P299)=0,"",INDEX(CalcNormDate,$P299)))</f>
        <v/>
      </c>
      <c r="C299" s="26">
        <f>IF($P299="","",IF(INDEX(CalcTime,$P299)=0,"",INDEX(CalcTime,$P299)))</f>
        <v/>
      </c>
      <c r="D299" s="26">
        <f>IF($P299="","",IF(INDEX(EntryParty,$P299)=0,"",INDEX(EntryParty,$P299)))</f>
        <v/>
      </c>
      <c r="E299" s="26">
        <f>IF($P299="","",IF(INDEX(EntryPartyName,$P299)=0,"",INDEX(EntryPartyName,$P299)))</f>
        <v/>
      </c>
      <c r="F299" s="26">
        <f>IF($P299="","",IF(INDEX(EntryPartyType,$P299)=0,"",INDEX(EntryPartyType,$P299)))</f>
        <v/>
      </c>
      <c r="G299" s="26">
        <f>IF($P299="","",IF(INDEX(EntryTxnType,$P299)=0,"",INDEX(EntryTxnType,$P299)))</f>
        <v/>
      </c>
      <c r="H299" s="27">
        <f>IF($P299="","",IF(INDEX(EntryDep,$P299)=0,"",INDEX(EntryDep,$P299)))</f>
        <v/>
      </c>
      <c r="I299" s="27">
        <f>IF($P299="","",IF(INDEX(EntryWit,$P299)=0,"",INDEX(EntryWit,$P299)))</f>
        <v/>
      </c>
      <c r="J299" s="27">
        <f>IF($B299="","",IF($A299=1,$C$7,IF(J298="",0,J298))+IF($H299="",0,$H299)-IF($I299="",0,$I299))</f>
        <v/>
      </c>
      <c r="K299" s="27">
        <f>IF($P299="","",IF(INDEX(EntryMan,$P299)=0,"",INDEX(EntryMan,$P299)))</f>
        <v/>
      </c>
      <c r="L299" s="26">
        <f>IF($B299="","",IF($K299="","—",IF(ROUND($K299-$J299,0)=0,"√","×")))</f>
        <v/>
      </c>
      <c r="M299" s="26">
        <f>IF($B299="","",IF(COUNTIFS(EntryDates,$B299,CalcTime,$C299,CalcBank,$C$5,EntryParty,$D299,EntryDep,$H299,EntryWit,$I299)&gt;1,"تکرار",""))</f>
        <v/>
      </c>
      <c r="N299" s="26">
        <f>IF($P299="","",IF(INDEX(EntryNotes,$P299)=0,"",INDEX(EntryNotes,$P299)))</f>
        <v/>
      </c>
      <c r="O299" s="26">
        <f>IF($P299="","",IF(INDEX(EntryTxnID,$P299)=0,"",INDEX(EntryTxnID,$P299)))</f>
        <v/>
      </c>
      <c r="P299" s="26">
        <f>IFERROR(MATCH($C$5&amp;"|"&amp;RIGHT("000000"&amp;283,6),CalcRankKey,0),"")</f>
        <v/>
      </c>
    </row>
    <row r="300">
      <c r="A300" s="28">
        <f>IF($B300="","",284)</f>
        <v/>
      </c>
      <c r="B300" s="28">
        <f>IF($P300="","",IF(INDEX(CalcNormDate,$P300)=0,"",INDEX(CalcNormDate,$P300)))</f>
        <v/>
      </c>
      <c r="C300" s="28">
        <f>IF($P300="","",IF(INDEX(CalcTime,$P300)=0,"",INDEX(CalcTime,$P300)))</f>
        <v/>
      </c>
      <c r="D300" s="28">
        <f>IF($P300="","",IF(INDEX(EntryParty,$P300)=0,"",INDEX(EntryParty,$P300)))</f>
        <v/>
      </c>
      <c r="E300" s="28">
        <f>IF($P300="","",IF(INDEX(EntryPartyName,$P300)=0,"",INDEX(EntryPartyName,$P300)))</f>
        <v/>
      </c>
      <c r="F300" s="28">
        <f>IF($P300="","",IF(INDEX(EntryPartyType,$P300)=0,"",INDEX(EntryPartyType,$P300)))</f>
        <v/>
      </c>
      <c r="G300" s="28">
        <f>IF($P300="","",IF(INDEX(EntryTxnType,$P300)=0,"",INDEX(EntryTxnType,$P300)))</f>
        <v/>
      </c>
      <c r="H300" s="29">
        <f>IF($P300="","",IF(INDEX(EntryDep,$P300)=0,"",INDEX(EntryDep,$P300)))</f>
        <v/>
      </c>
      <c r="I300" s="29">
        <f>IF($P300="","",IF(INDEX(EntryWit,$P300)=0,"",INDEX(EntryWit,$P300)))</f>
        <v/>
      </c>
      <c r="J300" s="29">
        <f>IF($B300="","",IF($A300=1,$C$7,IF(J299="",0,J299))+IF($H300="",0,$H300)-IF($I300="",0,$I300))</f>
        <v/>
      </c>
      <c r="K300" s="29">
        <f>IF($P300="","",IF(INDEX(EntryMan,$P300)=0,"",INDEX(EntryMan,$P300)))</f>
        <v/>
      </c>
      <c r="L300" s="28">
        <f>IF($B300="","",IF($K300="","—",IF(ROUND($K300-$J300,0)=0,"√","×")))</f>
        <v/>
      </c>
      <c r="M300" s="28">
        <f>IF($B300="","",IF(COUNTIFS(EntryDates,$B300,CalcTime,$C300,CalcBank,$C$5,EntryParty,$D300,EntryDep,$H300,EntryWit,$I300)&gt;1,"تکرار",""))</f>
        <v/>
      </c>
      <c r="N300" s="28">
        <f>IF($P300="","",IF(INDEX(EntryNotes,$P300)=0,"",INDEX(EntryNotes,$P300)))</f>
        <v/>
      </c>
      <c r="O300" s="28">
        <f>IF($P300="","",IF(INDEX(EntryTxnID,$P300)=0,"",INDEX(EntryTxnID,$P300)))</f>
        <v/>
      </c>
      <c r="P300" s="28">
        <f>IFERROR(MATCH($C$5&amp;"|"&amp;RIGHT("000000"&amp;284,6),CalcRankKey,0),"")</f>
        <v/>
      </c>
    </row>
    <row r="301">
      <c r="A301" s="26">
        <f>IF($B301="","",285)</f>
        <v/>
      </c>
      <c r="B301" s="26">
        <f>IF($P301="","",IF(INDEX(CalcNormDate,$P301)=0,"",INDEX(CalcNormDate,$P301)))</f>
        <v/>
      </c>
      <c r="C301" s="26">
        <f>IF($P301="","",IF(INDEX(CalcTime,$P301)=0,"",INDEX(CalcTime,$P301)))</f>
        <v/>
      </c>
      <c r="D301" s="26">
        <f>IF($P301="","",IF(INDEX(EntryParty,$P301)=0,"",INDEX(EntryParty,$P301)))</f>
        <v/>
      </c>
      <c r="E301" s="26">
        <f>IF($P301="","",IF(INDEX(EntryPartyName,$P301)=0,"",INDEX(EntryPartyName,$P301)))</f>
        <v/>
      </c>
      <c r="F301" s="26">
        <f>IF($P301="","",IF(INDEX(EntryPartyType,$P301)=0,"",INDEX(EntryPartyType,$P301)))</f>
        <v/>
      </c>
      <c r="G301" s="26">
        <f>IF($P301="","",IF(INDEX(EntryTxnType,$P301)=0,"",INDEX(EntryTxnType,$P301)))</f>
        <v/>
      </c>
      <c r="H301" s="27">
        <f>IF($P301="","",IF(INDEX(EntryDep,$P301)=0,"",INDEX(EntryDep,$P301)))</f>
        <v/>
      </c>
      <c r="I301" s="27">
        <f>IF($P301="","",IF(INDEX(EntryWit,$P301)=0,"",INDEX(EntryWit,$P301)))</f>
        <v/>
      </c>
      <c r="J301" s="27">
        <f>IF($B301="","",IF($A301=1,$C$7,IF(J300="",0,J300))+IF($H301="",0,$H301)-IF($I301="",0,$I301))</f>
        <v/>
      </c>
      <c r="K301" s="27">
        <f>IF($P301="","",IF(INDEX(EntryMan,$P301)=0,"",INDEX(EntryMan,$P301)))</f>
        <v/>
      </c>
      <c r="L301" s="26">
        <f>IF($B301="","",IF($K301="","—",IF(ROUND($K301-$J301,0)=0,"√","×")))</f>
        <v/>
      </c>
      <c r="M301" s="26">
        <f>IF($B301="","",IF(COUNTIFS(EntryDates,$B301,CalcTime,$C301,CalcBank,$C$5,EntryParty,$D301,EntryDep,$H301,EntryWit,$I301)&gt;1,"تکرار",""))</f>
        <v/>
      </c>
      <c r="N301" s="26">
        <f>IF($P301="","",IF(INDEX(EntryNotes,$P301)=0,"",INDEX(EntryNotes,$P301)))</f>
        <v/>
      </c>
      <c r="O301" s="26">
        <f>IF($P301="","",IF(INDEX(EntryTxnID,$P301)=0,"",INDEX(EntryTxnID,$P301)))</f>
        <v/>
      </c>
      <c r="P301" s="26">
        <f>IFERROR(MATCH($C$5&amp;"|"&amp;RIGHT("000000"&amp;285,6),CalcRankKey,0),"")</f>
        <v/>
      </c>
    </row>
    <row r="302">
      <c r="A302" s="28">
        <f>IF($B302="","",286)</f>
        <v/>
      </c>
      <c r="B302" s="28">
        <f>IF($P302="","",IF(INDEX(CalcNormDate,$P302)=0,"",INDEX(CalcNormDate,$P302)))</f>
        <v/>
      </c>
      <c r="C302" s="28">
        <f>IF($P302="","",IF(INDEX(CalcTime,$P302)=0,"",INDEX(CalcTime,$P302)))</f>
        <v/>
      </c>
      <c r="D302" s="28">
        <f>IF($P302="","",IF(INDEX(EntryParty,$P302)=0,"",INDEX(EntryParty,$P302)))</f>
        <v/>
      </c>
      <c r="E302" s="28">
        <f>IF($P302="","",IF(INDEX(EntryPartyName,$P302)=0,"",INDEX(EntryPartyName,$P302)))</f>
        <v/>
      </c>
      <c r="F302" s="28">
        <f>IF($P302="","",IF(INDEX(EntryPartyType,$P302)=0,"",INDEX(EntryPartyType,$P302)))</f>
        <v/>
      </c>
      <c r="G302" s="28">
        <f>IF($P302="","",IF(INDEX(EntryTxnType,$P302)=0,"",INDEX(EntryTxnType,$P302)))</f>
        <v/>
      </c>
      <c r="H302" s="29">
        <f>IF($P302="","",IF(INDEX(EntryDep,$P302)=0,"",INDEX(EntryDep,$P302)))</f>
        <v/>
      </c>
      <c r="I302" s="29">
        <f>IF($P302="","",IF(INDEX(EntryWit,$P302)=0,"",INDEX(EntryWit,$P302)))</f>
        <v/>
      </c>
      <c r="J302" s="29">
        <f>IF($B302="","",IF($A302=1,$C$7,IF(J301="",0,J301))+IF($H302="",0,$H302)-IF($I302="",0,$I302))</f>
        <v/>
      </c>
      <c r="K302" s="29">
        <f>IF($P302="","",IF(INDEX(EntryMan,$P302)=0,"",INDEX(EntryMan,$P302)))</f>
        <v/>
      </c>
      <c r="L302" s="28">
        <f>IF($B302="","",IF($K302="","—",IF(ROUND($K302-$J302,0)=0,"√","×")))</f>
        <v/>
      </c>
      <c r="M302" s="28">
        <f>IF($B302="","",IF(COUNTIFS(EntryDates,$B302,CalcTime,$C302,CalcBank,$C$5,EntryParty,$D302,EntryDep,$H302,EntryWit,$I302)&gt;1,"تکرار",""))</f>
        <v/>
      </c>
      <c r="N302" s="28">
        <f>IF($P302="","",IF(INDEX(EntryNotes,$P302)=0,"",INDEX(EntryNotes,$P302)))</f>
        <v/>
      </c>
      <c r="O302" s="28">
        <f>IF($P302="","",IF(INDEX(EntryTxnID,$P302)=0,"",INDEX(EntryTxnID,$P302)))</f>
        <v/>
      </c>
      <c r="P302" s="28">
        <f>IFERROR(MATCH($C$5&amp;"|"&amp;RIGHT("000000"&amp;286,6),CalcRankKey,0),"")</f>
        <v/>
      </c>
    </row>
    <row r="303">
      <c r="A303" s="26">
        <f>IF($B303="","",287)</f>
        <v/>
      </c>
      <c r="B303" s="26">
        <f>IF($P303="","",IF(INDEX(CalcNormDate,$P303)=0,"",INDEX(CalcNormDate,$P303)))</f>
        <v/>
      </c>
      <c r="C303" s="26">
        <f>IF($P303="","",IF(INDEX(CalcTime,$P303)=0,"",INDEX(CalcTime,$P303)))</f>
        <v/>
      </c>
      <c r="D303" s="26">
        <f>IF($P303="","",IF(INDEX(EntryParty,$P303)=0,"",INDEX(EntryParty,$P303)))</f>
        <v/>
      </c>
      <c r="E303" s="26">
        <f>IF($P303="","",IF(INDEX(EntryPartyName,$P303)=0,"",INDEX(EntryPartyName,$P303)))</f>
        <v/>
      </c>
      <c r="F303" s="26">
        <f>IF($P303="","",IF(INDEX(EntryPartyType,$P303)=0,"",INDEX(EntryPartyType,$P303)))</f>
        <v/>
      </c>
      <c r="G303" s="26">
        <f>IF($P303="","",IF(INDEX(EntryTxnType,$P303)=0,"",INDEX(EntryTxnType,$P303)))</f>
        <v/>
      </c>
      <c r="H303" s="27">
        <f>IF($P303="","",IF(INDEX(EntryDep,$P303)=0,"",INDEX(EntryDep,$P303)))</f>
        <v/>
      </c>
      <c r="I303" s="27">
        <f>IF($P303="","",IF(INDEX(EntryWit,$P303)=0,"",INDEX(EntryWit,$P303)))</f>
        <v/>
      </c>
      <c r="J303" s="27">
        <f>IF($B303="","",IF($A303=1,$C$7,IF(J302="",0,J302))+IF($H303="",0,$H303)-IF($I303="",0,$I303))</f>
        <v/>
      </c>
      <c r="K303" s="27">
        <f>IF($P303="","",IF(INDEX(EntryMan,$P303)=0,"",INDEX(EntryMan,$P303)))</f>
        <v/>
      </c>
      <c r="L303" s="26">
        <f>IF($B303="","",IF($K303="","—",IF(ROUND($K303-$J303,0)=0,"√","×")))</f>
        <v/>
      </c>
      <c r="M303" s="26">
        <f>IF($B303="","",IF(COUNTIFS(EntryDates,$B303,CalcTime,$C303,CalcBank,$C$5,EntryParty,$D303,EntryDep,$H303,EntryWit,$I303)&gt;1,"تکرار",""))</f>
        <v/>
      </c>
      <c r="N303" s="26">
        <f>IF($P303="","",IF(INDEX(EntryNotes,$P303)=0,"",INDEX(EntryNotes,$P303)))</f>
        <v/>
      </c>
      <c r="O303" s="26">
        <f>IF($P303="","",IF(INDEX(EntryTxnID,$P303)=0,"",INDEX(EntryTxnID,$P303)))</f>
        <v/>
      </c>
      <c r="P303" s="26">
        <f>IFERROR(MATCH($C$5&amp;"|"&amp;RIGHT("000000"&amp;287,6),CalcRankKey,0),"")</f>
        <v/>
      </c>
    </row>
    <row r="304">
      <c r="A304" s="28">
        <f>IF($B304="","",288)</f>
        <v/>
      </c>
      <c r="B304" s="28">
        <f>IF($P304="","",IF(INDEX(CalcNormDate,$P304)=0,"",INDEX(CalcNormDate,$P304)))</f>
        <v/>
      </c>
      <c r="C304" s="28">
        <f>IF($P304="","",IF(INDEX(CalcTime,$P304)=0,"",INDEX(CalcTime,$P304)))</f>
        <v/>
      </c>
      <c r="D304" s="28">
        <f>IF($P304="","",IF(INDEX(EntryParty,$P304)=0,"",INDEX(EntryParty,$P304)))</f>
        <v/>
      </c>
      <c r="E304" s="28">
        <f>IF($P304="","",IF(INDEX(EntryPartyName,$P304)=0,"",INDEX(EntryPartyName,$P304)))</f>
        <v/>
      </c>
      <c r="F304" s="28">
        <f>IF($P304="","",IF(INDEX(EntryPartyType,$P304)=0,"",INDEX(EntryPartyType,$P304)))</f>
        <v/>
      </c>
      <c r="G304" s="28">
        <f>IF($P304="","",IF(INDEX(EntryTxnType,$P304)=0,"",INDEX(EntryTxnType,$P304)))</f>
        <v/>
      </c>
      <c r="H304" s="29">
        <f>IF($P304="","",IF(INDEX(EntryDep,$P304)=0,"",INDEX(EntryDep,$P304)))</f>
        <v/>
      </c>
      <c r="I304" s="29">
        <f>IF($P304="","",IF(INDEX(EntryWit,$P304)=0,"",INDEX(EntryWit,$P304)))</f>
        <v/>
      </c>
      <c r="J304" s="29">
        <f>IF($B304="","",IF($A304=1,$C$7,IF(J303="",0,J303))+IF($H304="",0,$H304)-IF($I304="",0,$I304))</f>
        <v/>
      </c>
      <c r="K304" s="29">
        <f>IF($P304="","",IF(INDEX(EntryMan,$P304)=0,"",INDEX(EntryMan,$P304)))</f>
        <v/>
      </c>
      <c r="L304" s="28">
        <f>IF($B304="","",IF($K304="","—",IF(ROUND($K304-$J304,0)=0,"√","×")))</f>
        <v/>
      </c>
      <c r="M304" s="28">
        <f>IF($B304="","",IF(COUNTIFS(EntryDates,$B304,CalcTime,$C304,CalcBank,$C$5,EntryParty,$D304,EntryDep,$H304,EntryWit,$I304)&gt;1,"تکرار",""))</f>
        <v/>
      </c>
      <c r="N304" s="28">
        <f>IF($P304="","",IF(INDEX(EntryNotes,$P304)=0,"",INDEX(EntryNotes,$P304)))</f>
        <v/>
      </c>
      <c r="O304" s="28">
        <f>IF($P304="","",IF(INDEX(EntryTxnID,$P304)=0,"",INDEX(EntryTxnID,$P304)))</f>
        <v/>
      </c>
      <c r="P304" s="28">
        <f>IFERROR(MATCH($C$5&amp;"|"&amp;RIGHT("000000"&amp;288,6),CalcRankKey,0),"")</f>
        <v/>
      </c>
    </row>
    <row r="305">
      <c r="A305" s="26">
        <f>IF($B305="","",289)</f>
        <v/>
      </c>
      <c r="B305" s="26">
        <f>IF($P305="","",IF(INDEX(CalcNormDate,$P305)=0,"",INDEX(CalcNormDate,$P305)))</f>
        <v/>
      </c>
      <c r="C305" s="26">
        <f>IF($P305="","",IF(INDEX(CalcTime,$P305)=0,"",INDEX(CalcTime,$P305)))</f>
        <v/>
      </c>
      <c r="D305" s="26">
        <f>IF($P305="","",IF(INDEX(EntryParty,$P305)=0,"",INDEX(EntryParty,$P305)))</f>
        <v/>
      </c>
      <c r="E305" s="26">
        <f>IF($P305="","",IF(INDEX(EntryPartyName,$P305)=0,"",INDEX(EntryPartyName,$P305)))</f>
        <v/>
      </c>
      <c r="F305" s="26">
        <f>IF($P305="","",IF(INDEX(EntryPartyType,$P305)=0,"",INDEX(EntryPartyType,$P305)))</f>
        <v/>
      </c>
      <c r="G305" s="26">
        <f>IF($P305="","",IF(INDEX(EntryTxnType,$P305)=0,"",INDEX(EntryTxnType,$P305)))</f>
        <v/>
      </c>
      <c r="H305" s="27">
        <f>IF($P305="","",IF(INDEX(EntryDep,$P305)=0,"",INDEX(EntryDep,$P305)))</f>
        <v/>
      </c>
      <c r="I305" s="27">
        <f>IF($P305="","",IF(INDEX(EntryWit,$P305)=0,"",INDEX(EntryWit,$P305)))</f>
        <v/>
      </c>
      <c r="J305" s="27">
        <f>IF($B305="","",IF($A305=1,$C$7,IF(J304="",0,J304))+IF($H305="",0,$H305)-IF($I305="",0,$I305))</f>
        <v/>
      </c>
      <c r="K305" s="27">
        <f>IF($P305="","",IF(INDEX(EntryMan,$P305)=0,"",INDEX(EntryMan,$P305)))</f>
        <v/>
      </c>
      <c r="L305" s="26">
        <f>IF($B305="","",IF($K305="","—",IF(ROUND($K305-$J305,0)=0,"√","×")))</f>
        <v/>
      </c>
      <c r="M305" s="26">
        <f>IF($B305="","",IF(COUNTIFS(EntryDates,$B305,CalcTime,$C305,CalcBank,$C$5,EntryParty,$D305,EntryDep,$H305,EntryWit,$I305)&gt;1,"تکرار",""))</f>
        <v/>
      </c>
      <c r="N305" s="26">
        <f>IF($P305="","",IF(INDEX(EntryNotes,$P305)=0,"",INDEX(EntryNotes,$P305)))</f>
        <v/>
      </c>
      <c r="O305" s="26">
        <f>IF($P305="","",IF(INDEX(EntryTxnID,$P305)=0,"",INDEX(EntryTxnID,$P305)))</f>
        <v/>
      </c>
      <c r="P305" s="26">
        <f>IFERROR(MATCH($C$5&amp;"|"&amp;RIGHT("000000"&amp;289,6),CalcRankKey,0),"")</f>
        <v/>
      </c>
    </row>
    <row r="306">
      <c r="A306" s="28">
        <f>IF($B306="","",290)</f>
        <v/>
      </c>
      <c r="B306" s="28">
        <f>IF($P306="","",IF(INDEX(CalcNormDate,$P306)=0,"",INDEX(CalcNormDate,$P306)))</f>
        <v/>
      </c>
      <c r="C306" s="28">
        <f>IF($P306="","",IF(INDEX(CalcTime,$P306)=0,"",INDEX(CalcTime,$P306)))</f>
        <v/>
      </c>
      <c r="D306" s="28">
        <f>IF($P306="","",IF(INDEX(EntryParty,$P306)=0,"",INDEX(EntryParty,$P306)))</f>
        <v/>
      </c>
      <c r="E306" s="28">
        <f>IF($P306="","",IF(INDEX(EntryPartyName,$P306)=0,"",INDEX(EntryPartyName,$P306)))</f>
        <v/>
      </c>
      <c r="F306" s="28">
        <f>IF($P306="","",IF(INDEX(EntryPartyType,$P306)=0,"",INDEX(EntryPartyType,$P306)))</f>
        <v/>
      </c>
      <c r="G306" s="28">
        <f>IF($P306="","",IF(INDEX(EntryTxnType,$P306)=0,"",INDEX(EntryTxnType,$P306)))</f>
        <v/>
      </c>
      <c r="H306" s="29">
        <f>IF($P306="","",IF(INDEX(EntryDep,$P306)=0,"",INDEX(EntryDep,$P306)))</f>
        <v/>
      </c>
      <c r="I306" s="29">
        <f>IF($P306="","",IF(INDEX(EntryWit,$P306)=0,"",INDEX(EntryWit,$P306)))</f>
        <v/>
      </c>
      <c r="J306" s="29">
        <f>IF($B306="","",IF($A306=1,$C$7,IF(J305="",0,J305))+IF($H306="",0,$H306)-IF($I306="",0,$I306))</f>
        <v/>
      </c>
      <c r="K306" s="29">
        <f>IF($P306="","",IF(INDEX(EntryMan,$P306)=0,"",INDEX(EntryMan,$P306)))</f>
        <v/>
      </c>
      <c r="L306" s="28">
        <f>IF($B306="","",IF($K306="","—",IF(ROUND($K306-$J306,0)=0,"√","×")))</f>
        <v/>
      </c>
      <c r="M306" s="28">
        <f>IF($B306="","",IF(COUNTIFS(EntryDates,$B306,CalcTime,$C306,CalcBank,$C$5,EntryParty,$D306,EntryDep,$H306,EntryWit,$I306)&gt;1,"تکرار",""))</f>
        <v/>
      </c>
      <c r="N306" s="28">
        <f>IF($P306="","",IF(INDEX(EntryNotes,$P306)=0,"",INDEX(EntryNotes,$P306)))</f>
        <v/>
      </c>
      <c r="O306" s="28">
        <f>IF($P306="","",IF(INDEX(EntryTxnID,$P306)=0,"",INDEX(EntryTxnID,$P306)))</f>
        <v/>
      </c>
      <c r="P306" s="28">
        <f>IFERROR(MATCH($C$5&amp;"|"&amp;RIGHT("000000"&amp;290,6),CalcRankKey,0),"")</f>
        <v/>
      </c>
    </row>
    <row r="307">
      <c r="A307" s="26">
        <f>IF($B307="","",291)</f>
        <v/>
      </c>
      <c r="B307" s="26">
        <f>IF($P307="","",IF(INDEX(CalcNormDate,$P307)=0,"",INDEX(CalcNormDate,$P307)))</f>
        <v/>
      </c>
      <c r="C307" s="26">
        <f>IF($P307="","",IF(INDEX(CalcTime,$P307)=0,"",INDEX(CalcTime,$P307)))</f>
        <v/>
      </c>
      <c r="D307" s="26">
        <f>IF($P307="","",IF(INDEX(EntryParty,$P307)=0,"",INDEX(EntryParty,$P307)))</f>
        <v/>
      </c>
      <c r="E307" s="26">
        <f>IF($P307="","",IF(INDEX(EntryPartyName,$P307)=0,"",INDEX(EntryPartyName,$P307)))</f>
        <v/>
      </c>
      <c r="F307" s="26">
        <f>IF($P307="","",IF(INDEX(EntryPartyType,$P307)=0,"",INDEX(EntryPartyType,$P307)))</f>
        <v/>
      </c>
      <c r="G307" s="26">
        <f>IF($P307="","",IF(INDEX(EntryTxnType,$P307)=0,"",INDEX(EntryTxnType,$P307)))</f>
        <v/>
      </c>
      <c r="H307" s="27">
        <f>IF($P307="","",IF(INDEX(EntryDep,$P307)=0,"",INDEX(EntryDep,$P307)))</f>
        <v/>
      </c>
      <c r="I307" s="27">
        <f>IF($P307="","",IF(INDEX(EntryWit,$P307)=0,"",INDEX(EntryWit,$P307)))</f>
        <v/>
      </c>
      <c r="J307" s="27">
        <f>IF($B307="","",IF($A307=1,$C$7,IF(J306="",0,J306))+IF($H307="",0,$H307)-IF($I307="",0,$I307))</f>
        <v/>
      </c>
      <c r="K307" s="27">
        <f>IF($P307="","",IF(INDEX(EntryMan,$P307)=0,"",INDEX(EntryMan,$P307)))</f>
        <v/>
      </c>
      <c r="L307" s="26">
        <f>IF($B307="","",IF($K307="","—",IF(ROUND($K307-$J307,0)=0,"√","×")))</f>
        <v/>
      </c>
      <c r="M307" s="26">
        <f>IF($B307="","",IF(COUNTIFS(EntryDates,$B307,CalcTime,$C307,CalcBank,$C$5,EntryParty,$D307,EntryDep,$H307,EntryWit,$I307)&gt;1,"تکرار",""))</f>
        <v/>
      </c>
      <c r="N307" s="26">
        <f>IF($P307="","",IF(INDEX(EntryNotes,$P307)=0,"",INDEX(EntryNotes,$P307)))</f>
        <v/>
      </c>
      <c r="O307" s="26">
        <f>IF($P307="","",IF(INDEX(EntryTxnID,$P307)=0,"",INDEX(EntryTxnID,$P307)))</f>
        <v/>
      </c>
      <c r="P307" s="26">
        <f>IFERROR(MATCH($C$5&amp;"|"&amp;RIGHT("000000"&amp;291,6),CalcRankKey,0),"")</f>
        <v/>
      </c>
    </row>
    <row r="308">
      <c r="A308" s="28">
        <f>IF($B308="","",292)</f>
        <v/>
      </c>
      <c r="B308" s="28">
        <f>IF($P308="","",IF(INDEX(CalcNormDate,$P308)=0,"",INDEX(CalcNormDate,$P308)))</f>
        <v/>
      </c>
      <c r="C308" s="28">
        <f>IF($P308="","",IF(INDEX(CalcTime,$P308)=0,"",INDEX(CalcTime,$P308)))</f>
        <v/>
      </c>
      <c r="D308" s="28">
        <f>IF($P308="","",IF(INDEX(EntryParty,$P308)=0,"",INDEX(EntryParty,$P308)))</f>
        <v/>
      </c>
      <c r="E308" s="28">
        <f>IF($P308="","",IF(INDEX(EntryPartyName,$P308)=0,"",INDEX(EntryPartyName,$P308)))</f>
        <v/>
      </c>
      <c r="F308" s="28">
        <f>IF($P308="","",IF(INDEX(EntryPartyType,$P308)=0,"",INDEX(EntryPartyType,$P308)))</f>
        <v/>
      </c>
      <c r="G308" s="28">
        <f>IF($P308="","",IF(INDEX(EntryTxnType,$P308)=0,"",INDEX(EntryTxnType,$P308)))</f>
        <v/>
      </c>
      <c r="H308" s="29">
        <f>IF($P308="","",IF(INDEX(EntryDep,$P308)=0,"",INDEX(EntryDep,$P308)))</f>
        <v/>
      </c>
      <c r="I308" s="29">
        <f>IF($P308="","",IF(INDEX(EntryWit,$P308)=0,"",INDEX(EntryWit,$P308)))</f>
        <v/>
      </c>
      <c r="J308" s="29">
        <f>IF($B308="","",IF($A308=1,$C$7,IF(J307="",0,J307))+IF($H308="",0,$H308)-IF($I308="",0,$I308))</f>
        <v/>
      </c>
      <c r="K308" s="29">
        <f>IF($P308="","",IF(INDEX(EntryMan,$P308)=0,"",INDEX(EntryMan,$P308)))</f>
        <v/>
      </c>
      <c r="L308" s="28">
        <f>IF($B308="","",IF($K308="","—",IF(ROUND($K308-$J308,0)=0,"√","×")))</f>
        <v/>
      </c>
      <c r="M308" s="28">
        <f>IF($B308="","",IF(COUNTIFS(EntryDates,$B308,CalcTime,$C308,CalcBank,$C$5,EntryParty,$D308,EntryDep,$H308,EntryWit,$I308)&gt;1,"تکرار",""))</f>
        <v/>
      </c>
      <c r="N308" s="28">
        <f>IF($P308="","",IF(INDEX(EntryNotes,$P308)=0,"",INDEX(EntryNotes,$P308)))</f>
        <v/>
      </c>
      <c r="O308" s="28">
        <f>IF($P308="","",IF(INDEX(EntryTxnID,$P308)=0,"",INDEX(EntryTxnID,$P308)))</f>
        <v/>
      </c>
      <c r="P308" s="28">
        <f>IFERROR(MATCH($C$5&amp;"|"&amp;RIGHT("000000"&amp;292,6),CalcRankKey,0),"")</f>
        <v/>
      </c>
    </row>
    <row r="309">
      <c r="A309" s="26">
        <f>IF($B309="","",293)</f>
        <v/>
      </c>
      <c r="B309" s="26">
        <f>IF($P309="","",IF(INDEX(CalcNormDate,$P309)=0,"",INDEX(CalcNormDate,$P309)))</f>
        <v/>
      </c>
      <c r="C309" s="26">
        <f>IF($P309="","",IF(INDEX(CalcTime,$P309)=0,"",INDEX(CalcTime,$P309)))</f>
        <v/>
      </c>
      <c r="D309" s="26">
        <f>IF($P309="","",IF(INDEX(EntryParty,$P309)=0,"",INDEX(EntryParty,$P309)))</f>
        <v/>
      </c>
      <c r="E309" s="26">
        <f>IF($P309="","",IF(INDEX(EntryPartyName,$P309)=0,"",INDEX(EntryPartyName,$P309)))</f>
        <v/>
      </c>
      <c r="F309" s="26">
        <f>IF($P309="","",IF(INDEX(EntryPartyType,$P309)=0,"",INDEX(EntryPartyType,$P309)))</f>
        <v/>
      </c>
      <c r="G309" s="26">
        <f>IF($P309="","",IF(INDEX(EntryTxnType,$P309)=0,"",INDEX(EntryTxnType,$P309)))</f>
        <v/>
      </c>
      <c r="H309" s="27">
        <f>IF($P309="","",IF(INDEX(EntryDep,$P309)=0,"",INDEX(EntryDep,$P309)))</f>
        <v/>
      </c>
      <c r="I309" s="27">
        <f>IF($P309="","",IF(INDEX(EntryWit,$P309)=0,"",INDEX(EntryWit,$P309)))</f>
        <v/>
      </c>
      <c r="J309" s="27">
        <f>IF($B309="","",IF($A309=1,$C$7,IF(J308="",0,J308))+IF($H309="",0,$H309)-IF($I309="",0,$I309))</f>
        <v/>
      </c>
      <c r="K309" s="27">
        <f>IF($P309="","",IF(INDEX(EntryMan,$P309)=0,"",INDEX(EntryMan,$P309)))</f>
        <v/>
      </c>
      <c r="L309" s="26">
        <f>IF($B309="","",IF($K309="","—",IF(ROUND($K309-$J309,0)=0,"√","×")))</f>
        <v/>
      </c>
      <c r="M309" s="26">
        <f>IF($B309="","",IF(COUNTIFS(EntryDates,$B309,CalcTime,$C309,CalcBank,$C$5,EntryParty,$D309,EntryDep,$H309,EntryWit,$I309)&gt;1,"تکرار",""))</f>
        <v/>
      </c>
      <c r="N309" s="26">
        <f>IF($P309="","",IF(INDEX(EntryNotes,$P309)=0,"",INDEX(EntryNotes,$P309)))</f>
        <v/>
      </c>
      <c r="O309" s="26">
        <f>IF($P309="","",IF(INDEX(EntryTxnID,$P309)=0,"",INDEX(EntryTxnID,$P309)))</f>
        <v/>
      </c>
      <c r="P309" s="26">
        <f>IFERROR(MATCH($C$5&amp;"|"&amp;RIGHT("000000"&amp;293,6),CalcRankKey,0),"")</f>
        <v/>
      </c>
    </row>
    <row r="310">
      <c r="A310" s="28">
        <f>IF($B310="","",294)</f>
        <v/>
      </c>
      <c r="B310" s="28">
        <f>IF($P310="","",IF(INDEX(CalcNormDate,$P310)=0,"",INDEX(CalcNormDate,$P310)))</f>
        <v/>
      </c>
      <c r="C310" s="28">
        <f>IF($P310="","",IF(INDEX(CalcTime,$P310)=0,"",INDEX(CalcTime,$P310)))</f>
        <v/>
      </c>
      <c r="D310" s="28">
        <f>IF($P310="","",IF(INDEX(EntryParty,$P310)=0,"",INDEX(EntryParty,$P310)))</f>
        <v/>
      </c>
      <c r="E310" s="28">
        <f>IF($P310="","",IF(INDEX(EntryPartyName,$P310)=0,"",INDEX(EntryPartyName,$P310)))</f>
        <v/>
      </c>
      <c r="F310" s="28">
        <f>IF($P310="","",IF(INDEX(EntryPartyType,$P310)=0,"",INDEX(EntryPartyType,$P310)))</f>
        <v/>
      </c>
      <c r="G310" s="28">
        <f>IF($P310="","",IF(INDEX(EntryTxnType,$P310)=0,"",INDEX(EntryTxnType,$P310)))</f>
        <v/>
      </c>
      <c r="H310" s="29">
        <f>IF($P310="","",IF(INDEX(EntryDep,$P310)=0,"",INDEX(EntryDep,$P310)))</f>
        <v/>
      </c>
      <c r="I310" s="29">
        <f>IF($P310="","",IF(INDEX(EntryWit,$P310)=0,"",INDEX(EntryWit,$P310)))</f>
        <v/>
      </c>
      <c r="J310" s="29">
        <f>IF($B310="","",IF($A310=1,$C$7,IF(J309="",0,J309))+IF($H310="",0,$H310)-IF($I310="",0,$I310))</f>
        <v/>
      </c>
      <c r="K310" s="29">
        <f>IF($P310="","",IF(INDEX(EntryMan,$P310)=0,"",INDEX(EntryMan,$P310)))</f>
        <v/>
      </c>
      <c r="L310" s="28">
        <f>IF($B310="","",IF($K310="","—",IF(ROUND($K310-$J310,0)=0,"√","×")))</f>
        <v/>
      </c>
      <c r="M310" s="28">
        <f>IF($B310="","",IF(COUNTIFS(EntryDates,$B310,CalcTime,$C310,CalcBank,$C$5,EntryParty,$D310,EntryDep,$H310,EntryWit,$I310)&gt;1,"تکرار",""))</f>
        <v/>
      </c>
      <c r="N310" s="28">
        <f>IF($P310="","",IF(INDEX(EntryNotes,$P310)=0,"",INDEX(EntryNotes,$P310)))</f>
        <v/>
      </c>
      <c r="O310" s="28">
        <f>IF($P310="","",IF(INDEX(EntryTxnID,$P310)=0,"",INDEX(EntryTxnID,$P310)))</f>
        <v/>
      </c>
      <c r="P310" s="28">
        <f>IFERROR(MATCH($C$5&amp;"|"&amp;RIGHT("000000"&amp;294,6),CalcRankKey,0),"")</f>
        <v/>
      </c>
    </row>
    <row r="311">
      <c r="A311" s="26">
        <f>IF($B311="","",295)</f>
        <v/>
      </c>
      <c r="B311" s="26">
        <f>IF($P311="","",IF(INDEX(CalcNormDate,$P311)=0,"",INDEX(CalcNormDate,$P311)))</f>
        <v/>
      </c>
      <c r="C311" s="26">
        <f>IF($P311="","",IF(INDEX(CalcTime,$P311)=0,"",INDEX(CalcTime,$P311)))</f>
        <v/>
      </c>
      <c r="D311" s="26">
        <f>IF($P311="","",IF(INDEX(EntryParty,$P311)=0,"",INDEX(EntryParty,$P311)))</f>
        <v/>
      </c>
      <c r="E311" s="26">
        <f>IF($P311="","",IF(INDEX(EntryPartyName,$P311)=0,"",INDEX(EntryPartyName,$P311)))</f>
        <v/>
      </c>
      <c r="F311" s="26">
        <f>IF($P311="","",IF(INDEX(EntryPartyType,$P311)=0,"",INDEX(EntryPartyType,$P311)))</f>
        <v/>
      </c>
      <c r="G311" s="26">
        <f>IF($P311="","",IF(INDEX(EntryTxnType,$P311)=0,"",INDEX(EntryTxnType,$P311)))</f>
        <v/>
      </c>
      <c r="H311" s="27">
        <f>IF($P311="","",IF(INDEX(EntryDep,$P311)=0,"",INDEX(EntryDep,$P311)))</f>
        <v/>
      </c>
      <c r="I311" s="27">
        <f>IF($P311="","",IF(INDEX(EntryWit,$P311)=0,"",INDEX(EntryWit,$P311)))</f>
        <v/>
      </c>
      <c r="J311" s="27">
        <f>IF($B311="","",IF($A311=1,$C$7,IF(J310="",0,J310))+IF($H311="",0,$H311)-IF($I311="",0,$I311))</f>
        <v/>
      </c>
      <c r="K311" s="27">
        <f>IF($P311="","",IF(INDEX(EntryMan,$P311)=0,"",INDEX(EntryMan,$P311)))</f>
        <v/>
      </c>
      <c r="L311" s="26">
        <f>IF($B311="","",IF($K311="","—",IF(ROUND($K311-$J311,0)=0,"√","×")))</f>
        <v/>
      </c>
      <c r="M311" s="26">
        <f>IF($B311="","",IF(COUNTIFS(EntryDates,$B311,CalcTime,$C311,CalcBank,$C$5,EntryParty,$D311,EntryDep,$H311,EntryWit,$I311)&gt;1,"تکرار",""))</f>
        <v/>
      </c>
      <c r="N311" s="26">
        <f>IF($P311="","",IF(INDEX(EntryNotes,$P311)=0,"",INDEX(EntryNotes,$P311)))</f>
        <v/>
      </c>
      <c r="O311" s="26">
        <f>IF($P311="","",IF(INDEX(EntryTxnID,$P311)=0,"",INDEX(EntryTxnID,$P311)))</f>
        <v/>
      </c>
      <c r="P311" s="26">
        <f>IFERROR(MATCH($C$5&amp;"|"&amp;RIGHT("000000"&amp;295,6),CalcRankKey,0),"")</f>
        <v/>
      </c>
    </row>
    <row r="312">
      <c r="A312" s="28">
        <f>IF($B312="","",296)</f>
        <v/>
      </c>
      <c r="B312" s="28">
        <f>IF($P312="","",IF(INDEX(CalcNormDate,$P312)=0,"",INDEX(CalcNormDate,$P312)))</f>
        <v/>
      </c>
      <c r="C312" s="28">
        <f>IF($P312="","",IF(INDEX(CalcTime,$P312)=0,"",INDEX(CalcTime,$P312)))</f>
        <v/>
      </c>
      <c r="D312" s="28">
        <f>IF($P312="","",IF(INDEX(EntryParty,$P312)=0,"",INDEX(EntryParty,$P312)))</f>
        <v/>
      </c>
      <c r="E312" s="28">
        <f>IF($P312="","",IF(INDEX(EntryPartyName,$P312)=0,"",INDEX(EntryPartyName,$P312)))</f>
        <v/>
      </c>
      <c r="F312" s="28">
        <f>IF($P312="","",IF(INDEX(EntryPartyType,$P312)=0,"",INDEX(EntryPartyType,$P312)))</f>
        <v/>
      </c>
      <c r="G312" s="28">
        <f>IF($P312="","",IF(INDEX(EntryTxnType,$P312)=0,"",INDEX(EntryTxnType,$P312)))</f>
        <v/>
      </c>
      <c r="H312" s="29">
        <f>IF($P312="","",IF(INDEX(EntryDep,$P312)=0,"",INDEX(EntryDep,$P312)))</f>
        <v/>
      </c>
      <c r="I312" s="29">
        <f>IF($P312="","",IF(INDEX(EntryWit,$P312)=0,"",INDEX(EntryWit,$P312)))</f>
        <v/>
      </c>
      <c r="J312" s="29">
        <f>IF($B312="","",IF($A312=1,$C$7,IF(J311="",0,J311))+IF($H312="",0,$H312)-IF($I312="",0,$I312))</f>
        <v/>
      </c>
      <c r="K312" s="29">
        <f>IF($P312="","",IF(INDEX(EntryMan,$P312)=0,"",INDEX(EntryMan,$P312)))</f>
        <v/>
      </c>
      <c r="L312" s="28">
        <f>IF($B312="","",IF($K312="","—",IF(ROUND($K312-$J312,0)=0,"√","×")))</f>
        <v/>
      </c>
      <c r="M312" s="28">
        <f>IF($B312="","",IF(COUNTIFS(EntryDates,$B312,CalcTime,$C312,CalcBank,$C$5,EntryParty,$D312,EntryDep,$H312,EntryWit,$I312)&gt;1,"تکرار",""))</f>
        <v/>
      </c>
      <c r="N312" s="28">
        <f>IF($P312="","",IF(INDEX(EntryNotes,$P312)=0,"",INDEX(EntryNotes,$P312)))</f>
        <v/>
      </c>
      <c r="O312" s="28">
        <f>IF($P312="","",IF(INDEX(EntryTxnID,$P312)=0,"",INDEX(EntryTxnID,$P312)))</f>
        <v/>
      </c>
      <c r="P312" s="28">
        <f>IFERROR(MATCH($C$5&amp;"|"&amp;RIGHT("000000"&amp;296,6),CalcRankKey,0),"")</f>
        <v/>
      </c>
    </row>
    <row r="313">
      <c r="A313" s="26">
        <f>IF($B313="","",297)</f>
        <v/>
      </c>
      <c r="B313" s="26">
        <f>IF($P313="","",IF(INDEX(CalcNormDate,$P313)=0,"",INDEX(CalcNormDate,$P313)))</f>
        <v/>
      </c>
      <c r="C313" s="26">
        <f>IF($P313="","",IF(INDEX(CalcTime,$P313)=0,"",INDEX(CalcTime,$P313)))</f>
        <v/>
      </c>
      <c r="D313" s="26">
        <f>IF($P313="","",IF(INDEX(EntryParty,$P313)=0,"",INDEX(EntryParty,$P313)))</f>
        <v/>
      </c>
      <c r="E313" s="26">
        <f>IF($P313="","",IF(INDEX(EntryPartyName,$P313)=0,"",INDEX(EntryPartyName,$P313)))</f>
        <v/>
      </c>
      <c r="F313" s="26">
        <f>IF($P313="","",IF(INDEX(EntryPartyType,$P313)=0,"",INDEX(EntryPartyType,$P313)))</f>
        <v/>
      </c>
      <c r="G313" s="26">
        <f>IF($P313="","",IF(INDEX(EntryTxnType,$P313)=0,"",INDEX(EntryTxnType,$P313)))</f>
        <v/>
      </c>
      <c r="H313" s="27">
        <f>IF($P313="","",IF(INDEX(EntryDep,$P313)=0,"",INDEX(EntryDep,$P313)))</f>
        <v/>
      </c>
      <c r="I313" s="27">
        <f>IF($P313="","",IF(INDEX(EntryWit,$P313)=0,"",INDEX(EntryWit,$P313)))</f>
        <v/>
      </c>
      <c r="J313" s="27">
        <f>IF($B313="","",IF($A313=1,$C$7,IF(J312="",0,J312))+IF($H313="",0,$H313)-IF($I313="",0,$I313))</f>
        <v/>
      </c>
      <c r="K313" s="27">
        <f>IF($P313="","",IF(INDEX(EntryMan,$P313)=0,"",INDEX(EntryMan,$P313)))</f>
        <v/>
      </c>
      <c r="L313" s="26">
        <f>IF($B313="","",IF($K313="","—",IF(ROUND($K313-$J313,0)=0,"√","×")))</f>
        <v/>
      </c>
      <c r="M313" s="26">
        <f>IF($B313="","",IF(COUNTIFS(EntryDates,$B313,CalcTime,$C313,CalcBank,$C$5,EntryParty,$D313,EntryDep,$H313,EntryWit,$I313)&gt;1,"تکرار",""))</f>
        <v/>
      </c>
      <c r="N313" s="26">
        <f>IF($P313="","",IF(INDEX(EntryNotes,$P313)=0,"",INDEX(EntryNotes,$P313)))</f>
        <v/>
      </c>
      <c r="O313" s="26">
        <f>IF($P313="","",IF(INDEX(EntryTxnID,$P313)=0,"",INDEX(EntryTxnID,$P313)))</f>
        <v/>
      </c>
      <c r="P313" s="26">
        <f>IFERROR(MATCH($C$5&amp;"|"&amp;RIGHT("000000"&amp;297,6),CalcRankKey,0),"")</f>
        <v/>
      </c>
    </row>
    <row r="314">
      <c r="A314" s="28">
        <f>IF($B314="","",298)</f>
        <v/>
      </c>
      <c r="B314" s="28">
        <f>IF($P314="","",IF(INDEX(CalcNormDate,$P314)=0,"",INDEX(CalcNormDate,$P314)))</f>
        <v/>
      </c>
      <c r="C314" s="28">
        <f>IF($P314="","",IF(INDEX(CalcTime,$P314)=0,"",INDEX(CalcTime,$P314)))</f>
        <v/>
      </c>
      <c r="D314" s="28">
        <f>IF($P314="","",IF(INDEX(EntryParty,$P314)=0,"",INDEX(EntryParty,$P314)))</f>
        <v/>
      </c>
      <c r="E314" s="28">
        <f>IF($P314="","",IF(INDEX(EntryPartyName,$P314)=0,"",INDEX(EntryPartyName,$P314)))</f>
        <v/>
      </c>
      <c r="F314" s="28">
        <f>IF($P314="","",IF(INDEX(EntryPartyType,$P314)=0,"",INDEX(EntryPartyType,$P314)))</f>
        <v/>
      </c>
      <c r="G314" s="28">
        <f>IF($P314="","",IF(INDEX(EntryTxnType,$P314)=0,"",INDEX(EntryTxnType,$P314)))</f>
        <v/>
      </c>
      <c r="H314" s="29">
        <f>IF($P314="","",IF(INDEX(EntryDep,$P314)=0,"",INDEX(EntryDep,$P314)))</f>
        <v/>
      </c>
      <c r="I314" s="29">
        <f>IF($P314="","",IF(INDEX(EntryWit,$P314)=0,"",INDEX(EntryWit,$P314)))</f>
        <v/>
      </c>
      <c r="J314" s="29">
        <f>IF($B314="","",IF($A314=1,$C$7,IF(J313="",0,J313))+IF($H314="",0,$H314)-IF($I314="",0,$I314))</f>
        <v/>
      </c>
      <c r="K314" s="29">
        <f>IF($P314="","",IF(INDEX(EntryMan,$P314)=0,"",INDEX(EntryMan,$P314)))</f>
        <v/>
      </c>
      <c r="L314" s="28">
        <f>IF($B314="","",IF($K314="","—",IF(ROUND($K314-$J314,0)=0,"√","×")))</f>
        <v/>
      </c>
      <c r="M314" s="28">
        <f>IF($B314="","",IF(COUNTIFS(EntryDates,$B314,CalcTime,$C314,CalcBank,$C$5,EntryParty,$D314,EntryDep,$H314,EntryWit,$I314)&gt;1,"تکرار",""))</f>
        <v/>
      </c>
      <c r="N314" s="28">
        <f>IF($P314="","",IF(INDEX(EntryNotes,$P314)=0,"",INDEX(EntryNotes,$P314)))</f>
        <v/>
      </c>
      <c r="O314" s="28">
        <f>IF($P314="","",IF(INDEX(EntryTxnID,$P314)=0,"",INDEX(EntryTxnID,$P314)))</f>
        <v/>
      </c>
      <c r="P314" s="28">
        <f>IFERROR(MATCH($C$5&amp;"|"&amp;RIGHT("000000"&amp;298,6),CalcRankKey,0),"")</f>
        <v/>
      </c>
    </row>
    <row r="315">
      <c r="A315" s="26">
        <f>IF($B315="","",299)</f>
        <v/>
      </c>
      <c r="B315" s="26">
        <f>IF($P315="","",IF(INDEX(CalcNormDate,$P315)=0,"",INDEX(CalcNormDate,$P315)))</f>
        <v/>
      </c>
      <c r="C315" s="26">
        <f>IF($P315="","",IF(INDEX(CalcTime,$P315)=0,"",INDEX(CalcTime,$P315)))</f>
        <v/>
      </c>
      <c r="D315" s="26">
        <f>IF($P315="","",IF(INDEX(EntryParty,$P315)=0,"",INDEX(EntryParty,$P315)))</f>
        <v/>
      </c>
      <c r="E315" s="26">
        <f>IF($P315="","",IF(INDEX(EntryPartyName,$P315)=0,"",INDEX(EntryPartyName,$P315)))</f>
        <v/>
      </c>
      <c r="F315" s="26">
        <f>IF($P315="","",IF(INDEX(EntryPartyType,$P315)=0,"",INDEX(EntryPartyType,$P315)))</f>
        <v/>
      </c>
      <c r="G315" s="26">
        <f>IF($P315="","",IF(INDEX(EntryTxnType,$P315)=0,"",INDEX(EntryTxnType,$P315)))</f>
        <v/>
      </c>
      <c r="H315" s="27">
        <f>IF($P315="","",IF(INDEX(EntryDep,$P315)=0,"",INDEX(EntryDep,$P315)))</f>
        <v/>
      </c>
      <c r="I315" s="27">
        <f>IF($P315="","",IF(INDEX(EntryWit,$P315)=0,"",INDEX(EntryWit,$P315)))</f>
        <v/>
      </c>
      <c r="J315" s="27">
        <f>IF($B315="","",IF($A315=1,$C$7,IF(J314="",0,J314))+IF($H315="",0,$H315)-IF($I315="",0,$I315))</f>
        <v/>
      </c>
      <c r="K315" s="27">
        <f>IF($P315="","",IF(INDEX(EntryMan,$P315)=0,"",INDEX(EntryMan,$P315)))</f>
        <v/>
      </c>
      <c r="L315" s="26">
        <f>IF($B315="","",IF($K315="","—",IF(ROUND($K315-$J315,0)=0,"√","×")))</f>
        <v/>
      </c>
      <c r="M315" s="26">
        <f>IF($B315="","",IF(COUNTIFS(EntryDates,$B315,CalcTime,$C315,CalcBank,$C$5,EntryParty,$D315,EntryDep,$H315,EntryWit,$I315)&gt;1,"تکرار",""))</f>
        <v/>
      </c>
      <c r="N315" s="26">
        <f>IF($P315="","",IF(INDEX(EntryNotes,$P315)=0,"",INDEX(EntryNotes,$P315)))</f>
        <v/>
      </c>
      <c r="O315" s="26">
        <f>IF($P315="","",IF(INDEX(EntryTxnID,$P315)=0,"",INDEX(EntryTxnID,$P315)))</f>
        <v/>
      </c>
      <c r="P315" s="26">
        <f>IFERROR(MATCH($C$5&amp;"|"&amp;RIGHT("000000"&amp;299,6),CalcRankKey,0),"")</f>
        <v/>
      </c>
    </row>
    <row r="316">
      <c r="A316" s="28">
        <f>IF($B316="","",300)</f>
        <v/>
      </c>
      <c r="B316" s="28">
        <f>IF($P316="","",IF(INDEX(CalcNormDate,$P316)=0,"",INDEX(CalcNormDate,$P316)))</f>
        <v/>
      </c>
      <c r="C316" s="28">
        <f>IF($P316="","",IF(INDEX(CalcTime,$P316)=0,"",INDEX(CalcTime,$P316)))</f>
        <v/>
      </c>
      <c r="D316" s="28">
        <f>IF($P316="","",IF(INDEX(EntryParty,$P316)=0,"",INDEX(EntryParty,$P316)))</f>
        <v/>
      </c>
      <c r="E316" s="28">
        <f>IF($P316="","",IF(INDEX(EntryPartyName,$P316)=0,"",INDEX(EntryPartyName,$P316)))</f>
        <v/>
      </c>
      <c r="F316" s="28">
        <f>IF($P316="","",IF(INDEX(EntryPartyType,$P316)=0,"",INDEX(EntryPartyType,$P316)))</f>
        <v/>
      </c>
      <c r="G316" s="28">
        <f>IF($P316="","",IF(INDEX(EntryTxnType,$P316)=0,"",INDEX(EntryTxnType,$P316)))</f>
        <v/>
      </c>
      <c r="H316" s="29">
        <f>IF($P316="","",IF(INDEX(EntryDep,$P316)=0,"",INDEX(EntryDep,$P316)))</f>
        <v/>
      </c>
      <c r="I316" s="29">
        <f>IF($P316="","",IF(INDEX(EntryWit,$P316)=0,"",INDEX(EntryWit,$P316)))</f>
        <v/>
      </c>
      <c r="J316" s="29">
        <f>IF($B316="","",IF($A316=1,$C$7,IF(J315="",0,J315))+IF($H316="",0,$H316)-IF($I316="",0,$I316))</f>
        <v/>
      </c>
      <c r="K316" s="29">
        <f>IF($P316="","",IF(INDEX(EntryMan,$P316)=0,"",INDEX(EntryMan,$P316)))</f>
        <v/>
      </c>
      <c r="L316" s="28">
        <f>IF($B316="","",IF($K316="","—",IF(ROUND($K316-$J316,0)=0,"√","×")))</f>
        <v/>
      </c>
      <c r="M316" s="28">
        <f>IF($B316="","",IF(COUNTIFS(EntryDates,$B316,CalcTime,$C316,CalcBank,$C$5,EntryParty,$D316,EntryDep,$H316,EntryWit,$I316)&gt;1,"تکرار",""))</f>
        <v/>
      </c>
      <c r="N316" s="28">
        <f>IF($P316="","",IF(INDEX(EntryNotes,$P316)=0,"",INDEX(EntryNotes,$P316)))</f>
        <v/>
      </c>
      <c r="O316" s="28">
        <f>IF($P316="","",IF(INDEX(EntryTxnID,$P316)=0,"",INDEX(EntryTxnID,$P316)))</f>
        <v/>
      </c>
      <c r="P316" s="28">
        <f>IFERROR(MATCH($C$5&amp;"|"&amp;RIGHT("000000"&amp;300,6),CalcRankKey,0),"")</f>
        <v/>
      </c>
    </row>
    <row r="317">
      <c r="A317" s="26">
        <f>IF($B317="","",301)</f>
        <v/>
      </c>
      <c r="B317" s="26">
        <f>IF($P317="","",IF(INDEX(CalcNormDate,$P317)=0,"",INDEX(CalcNormDate,$P317)))</f>
        <v/>
      </c>
      <c r="C317" s="26">
        <f>IF($P317="","",IF(INDEX(CalcTime,$P317)=0,"",INDEX(CalcTime,$P317)))</f>
        <v/>
      </c>
      <c r="D317" s="26">
        <f>IF($P317="","",IF(INDEX(EntryParty,$P317)=0,"",INDEX(EntryParty,$P317)))</f>
        <v/>
      </c>
      <c r="E317" s="26">
        <f>IF($P317="","",IF(INDEX(EntryPartyName,$P317)=0,"",INDEX(EntryPartyName,$P317)))</f>
        <v/>
      </c>
      <c r="F317" s="26">
        <f>IF($P317="","",IF(INDEX(EntryPartyType,$P317)=0,"",INDEX(EntryPartyType,$P317)))</f>
        <v/>
      </c>
      <c r="G317" s="26">
        <f>IF($P317="","",IF(INDEX(EntryTxnType,$P317)=0,"",INDEX(EntryTxnType,$P317)))</f>
        <v/>
      </c>
      <c r="H317" s="27">
        <f>IF($P317="","",IF(INDEX(EntryDep,$P317)=0,"",INDEX(EntryDep,$P317)))</f>
        <v/>
      </c>
      <c r="I317" s="27">
        <f>IF($P317="","",IF(INDEX(EntryWit,$P317)=0,"",INDEX(EntryWit,$P317)))</f>
        <v/>
      </c>
      <c r="J317" s="27">
        <f>IF($B317="","",IF($A317=1,$C$7,IF(J316="",0,J316))+IF($H317="",0,$H317)-IF($I317="",0,$I317))</f>
        <v/>
      </c>
      <c r="K317" s="27">
        <f>IF($P317="","",IF(INDEX(EntryMan,$P317)=0,"",INDEX(EntryMan,$P317)))</f>
        <v/>
      </c>
      <c r="L317" s="26">
        <f>IF($B317="","",IF($K317="","—",IF(ROUND($K317-$J317,0)=0,"√","×")))</f>
        <v/>
      </c>
      <c r="M317" s="26">
        <f>IF($B317="","",IF(COUNTIFS(EntryDates,$B317,CalcTime,$C317,CalcBank,$C$5,EntryParty,$D317,EntryDep,$H317,EntryWit,$I317)&gt;1,"تکرار",""))</f>
        <v/>
      </c>
      <c r="N317" s="26">
        <f>IF($P317="","",IF(INDEX(EntryNotes,$P317)=0,"",INDEX(EntryNotes,$P317)))</f>
        <v/>
      </c>
      <c r="O317" s="26">
        <f>IF($P317="","",IF(INDEX(EntryTxnID,$P317)=0,"",INDEX(EntryTxnID,$P317)))</f>
        <v/>
      </c>
      <c r="P317" s="26">
        <f>IFERROR(MATCH($C$5&amp;"|"&amp;RIGHT("000000"&amp;301,6),CalcRankKey,0),"")</f>
        <v/>
      </c>
    </row>
    <row r="318">
      <c r="A318" s="28">
        <f>IF($B318="","",302)</f>
        <v/>
      </c>
      <c r="B318" s="28">
        <f>IF($P318="","",IF(INDEX(CalcNormDate,$P318)=0,"",INDEX(CalcNormDate,$P318)))</f>
        <v/>
      </c>
      <c r="C318" s="28">
        <f>IF($P318="","",IF(INDEX(CalcTime,$P318)=0,"",INDEX(CalcTime,$P318)))</f>
        <v/>
      </c>
      <c r="D318" s="28">
        <f>IF($P318="","",IF(INDEX(EntryParty,$P318)=0,"",INDEX(EntryParty,$P318)))</f>
        <v/>
      </c>
      <c r="E318" s="28">
        <f>IF($P318="","",IF(INDEX(EntryPartyName,$P318)=0,"",INDEX(EntryPartyName,$P318)))</f>
        <v/>
      </c>
      <c r="F318" s="28">
        <f>IF($P318="","",IF(INDEX(EntryPartyType,$P318)=0,"",INDEX(EntryPartyType,$P318)))</f>
        <v/>
      </c>
      <c r="G318" s="28">
        <f>IF($P318="","",IF(INDEX(EntryTxnType,$P318)=0,"",INDEX(EntryTxnType,$P318)))</f>
        <v/>
      </c>
      <c r="H318" s="29">
        <f>IF($P318="","",IF(INDEX(EntryDep,$P318)=0,"",INDEX(EntryDep,$P318)))</f>
        <v/>
      </c>
      <c r="I318" s="29">
        <f>IF($P318="","",IF(INDEX(EntryWit,$P318)=0,"",INDEX(EntryWit,$P318)))</f>
        <v/>
      </c>
      <c r="J318" s="29">
        <f>IF($B318="","",IF($A318=1,$C$7,IF(J317="",0,J317))+IF($H318="",0,$H318)-IF($I318="",0,$I318))</f>
        <v/>
      </c>
      <c r="K318" s="29">
        <f>IF($P318="","",IF(INDEX(EntryMan,$P318)=0,"",INDEX(EntryMan,$P318)))</f>
        <v/>
      </c>
      <c r="L318" s="28">
        <f>IF($B318="","",IF($K318="","—",IF(ROUND($K318-$J318,0)=0,"√","×")))</f>
        <v/>
      </c>
      <c r="M318" s="28">
        <f>IF($B318="","",IF(COUNTIFS(EntryDates,$B318,CalcTime,$C318,CalcBank,$C$5,EntryParty,$D318,EntryDep,$H318,EntryWit,$I318)&gt;1,"تکرار",""))</f>
        <v/>
      </c>
      <c r="N318" s="28">
        <f>IF($P318="","",IF(INDEX(EntryNotes,$P318)=0,"",INDEX(EntryNotes,$P318)))</f>
        <v/>
      </c>
      <c r="O318" s="28">
        <f>IF($P318="","",IF(INDEX(EntryTxnID,$P318)=0,"",INDEX(EntryTxnID,$P318)))</f>
        <v/>
      </c>
      <c r="P318" s="28">
        <f>IFERROR(MATCH($C$5&amp;"|"&amp;RIGHT("000000"&amp;302,6),CalcRankKey,0),"")</f>
        <v/>
      </c>
    </row>
    <row r="319">
      <c r="A319" s="26">
        <f>IF($B319="","",303)</f>
        <v/>
      </c>
      <c r="B319" s="26">
        <f>IF($P319="","",IF(INDEX(CalcNormDate,$P319)=0,"",INDEX(CalcNormDate,$P319)))</f>
        <v/>
      </c>
      <c r="C319" s="26">
        <f>IF($P319="","",IF(INDEX(CalcTime,$P319)=0,"",INDEX(CalcTime,$P319)))</f>
        <v/>
      </c>
      <c r="D319" s="26">
        <f>IF($P319="","",IF(INDEX(EntryParty,$P319)=0,"",INDEX(EntryParty,$P319)))</f>
        <v/>
      </c>
      <c r="E319" s="26">
        <f>IF($P319="","",IF(INDEX(EntryPartyName,$P319)=0,"",INDEX(EntryPartyName,$P319)))</f>
        <v/>
      </c>
      <c r="F319" s="26">
        <f>IF($P319="","",IF(INDEX(EntryPartyType,$P319)=0,"",INDEX(EntryPartyType,$P319)))</f>
        <v/>
      </c>
      <c r="G319" s="26">
        <f>IF($P319="","",IF(INDEX(EntryTxnType,$P319)=0,"",INDEX(EntryTxnType,$P319)))</f>
        <v/>
      </c>
      <c r="H319" s="27">
        <f>IF($P319="","",IF(INDEX(EntryDep,$P319)=0,"",INDEX(EntryDep,$P319)))</f>
        <v/>
      </c>
      <c r="I319" s="27">
        <f>IF($P319="","",IF(INDEX(EntryWit,$P319)=0,"",INDEX(EntryWit,$P319)))</f>
        <v/>
      </c>
      <c r="J319" s="27">
        <f>IF($B319="","",IF($A319=1,$C$7,IF(J318="",0,J318))+IF($H319="",0,$H319)-IF($I319="",0,$I319))</f>
        <v/>
      </c>
      <c r="K319" s="27">
        <f>IF($P319="","",IF(INDEX(EntryMan,$P319)=0,"",INDEX(EntryMan,$P319)))</f>
        <v/>
      </c>
      <c r="L319" s="26">
        <f>IF($B319="","",IF($K319="","—",IF(ROUND($K319-$J319,0)=0,"√","×")))</f>
        <v/>
      </c>
      <c r="M319" s="26">
        <f>IF($B319="","",IF(COUNTIFS(EntryDates,$B319,CalcTime,$C319,CalcBank,$C$5,EntryParty,$D319,EntryDep,$H319,EntryWit,$I319)&gt;1,"تکرار",""))</f>
        <v/>
      </c>
      <c r="N319" s="26">
        <f>IF($P319="","",IF(INDEX(EntryNotes,$P319)=0,"",INDEX(EntryNotes,$P319)))</f>
        <v/>
      </c>
      <c r="O319" s="26">
        <f>IF($P319="","",IF(INDEX(EntryTxnID,$P319)=0,"",INDEX(EntryTxnID,$P319)))</f>
        <v/>
      </c>
      <c r="P319" s="26">
        <f>IFERROR(MATCH($C$5&amp;"|"&amp;RIGHT("000000"&amp;303,6),CalcRankKey,0),"")</f>
        <v/>
      </c>
    </row>
    <row r="320">
      <c r="A320" s="28">
        <f>IF($B320="","",304)</f>
        <v/>
      </c>
      <c r="B320" s="28">
        <f>IF($P320="","",IF(INDEX(CalcNormDate,$P320)=0,"",INDEX(CalcNormDate,$P320)))</f>
        <v/>
      </c>
      <c r="C320" s="28">
        <f>IF($P320="","",IF(INDEX(CalcTime,$P320)=0,"",INDEX(CalcTime,$P320)))</f>
        <v/>
      </c>
      <c r="D320" s="28">
        <f>IF($P320="","",IF(INDEX(EntryParty,$P320)=0,"",INDEX(EntryParty,$P320)))</f>
        <v/>
      </c>
      <c r="E320" s="28">
        <f>IF($P320="","",IF(INDEX(EntryPartyName,$P320)=0,"",INDEX(EntryPartyName,$P320)))</f>
        <v/>
      </c>
      <c r="F320" s="28">
        <f>IF($P320="","",IF(INDEX(EntryPartyType,$P320)=0,"",INDEX(EntryPartyType,$P320)))</f>
        <v/>
      </c>
      <c r="G320" s="28">
        <f>IF($P320="","",IF(INDEX(EntryTxnType,$P320)=0,"",INDEX(EntryTxnType,$P320)))</f>
        <v/>
      </c>
      <c r="H320" s="29">
        <f>IF($P320="","",IF(INDEX(EntryDep,$P320)=0,"",INDEX(EntryDep,$P320)))</f>
        <v/>
      </c>
      <c r="I320" s="29">
        <f>IF($P320="","",IF(INDEX(EntryWit,$P320)=0,"",INDEX(EntryWit,$P320)))</f>
        <v/>
      </c>
      <c r="J320" s="29">
        <f>IF($B320="","",IF($A320=1,$C$7,IF(J319="",0,J319))+IF($H320="",0,$H320)-IF($I320="",0,$I320))</f>
        <v/>
      </c>
      <c r="K320" s="29">
        <f>IF($P320="","",IF(INDEX(EntryMan,$P320)=0,"",INDEX(EntryMan,$P320)))</f>
        <v/>
      </c>
      <c r="L320" s="28">
        <f>IF($B320="","",IF($K320="","—",IF(ROUND($K320-$J320,0)=0,"√","×")))</f>
        <v/>
      </c>
      <c r="M320" s="28">
        <f>IF($B320="","",IF(COUNTIFS(EntryDates,$B320,CalcTime,$C320,CalcBank,$C$5,EntryParty,$D320,EntryDep,$H320,EntryWit,$I320)&gt;1,"تکرار",""))</f>
        <v/>
      </c>
      <c r="N320" s="28">
        <f>IF($P320="","",IF(INDEX(EntryNotes,$P320)=0,"",INDEX(EntryNotes,$P320)))</f>
        <v/>
      </c>
      <c r="O320" s="28">
        <f>IF($P320="","",IF(INDEX(EntryTxnID,$P320)=0,"",INDEX(EntryTxnID,$P320)))</f>
        <v/>
      </c>
      <c r="P320" s="28">
        <f>IFERROR(MATCH($C$5&amp;"|"&amp;RIGHT("000000"&amp;304,6),CalcRankKey,0),"")</f>
        <v/>
      </c>
    </row>
    <row r="321">
      <c r="A321" s="26">
        <f>IF($B321="","",305)</f>
        <v/>
      </c>
      <c r="B321" s="26">
        <f>IF($P321="","",IF(INDEX(CalcNormDate,$P321)=0,"",INDEX(CalcNormDate,$P321)))</f>
        <v/>
      </c>
      <c r="C321" s="26">
        <f>IF($P321="","",IF(INDEX(CalcTime,$P321)=0,"",INDEX(CalcTime,$P321)))</f>
        <v/>
      </c>
      <c r="D321" s="26">
        <f>IF($P321="","",IF(INDEX(EntryParty,$P321)=0,"",INDEX(EntryParty,$P321)))</f>
        <v/>
      </c>
      <c r="E321" s="26">
        <f>IF($P321="","",IF(INDEX(EntryPartyName,$P321)=0,"",INDEX(EntryPartyName,$P321)))</f>
        <v/>
      </c>
      <c r="F321" s="26">
        <f>IF($P321="","",IF(INDEX(EntryPartyType,$P321)=0,"",INDEX(EntryPartyType,$P321)))</f>
        <v/>
      </c>
      <c r="G321" s="26">
        <f>IF($P321="","",IF(INDEX(EntryTxnType,$P321)=0,"",INDEX(EntryTxnType,$P321)))</f>
        <v/>
      </c>
      <c r="H321" s="27">
        <f>IF($P321="","",IF(INDEX(EntryDep,$P321)=0,"",INDEX(EntryDep,$P321)))</f>
        <v/>
      </c>
      <c r="I321" s="27">
        <f>IF($P321="","",IF(INDEX(EntryWit,$P321)=0,"",INDEX(EntryWit,$P321)))</f>
        <v/>
      </c>
      <c r="J321" s="27">
        <f>IF($B321="","",IF($A321=1,$C$7,IF(J320="",0,J320))+IF($H321="",0,$H321)-IF($I321="",0,$I321))</f>
        <v/>
      </c>
      <c r="K321" s="27">
        <f>IF($P321="","",IF(INDEX(EntryMan,$P321)=0,"",INDEX(EntryMan,$P321)))</f>
        <v/>
      </c>
      <c r="L321" s="26">
        <f>IF($B321="","",IF($K321="","—",IF(ROUND($K321-$J321,0)=0,"√","×")))</f>
        <v/>
      </c>
      <c r="M321" s="26">
        <f>IF($B321="","",IF(COUNTIFS(EntryDates,$B321,CalcTime,$C321,CalcBank,$C$5,EntryParty,$D321,EntryDep,$H321,EntryWit,$I321)&gt;1,"تکرار",""))</f>
        <v/>
      </c>
      <c r="N321" s="26">
        <f>IF($P321="","",IF(INDEX(EntryNotes,$P321)=0,"",INDEX(EntryNotes,$P321)))</f>
        <v/>
      </c>
      <c r="O321" s="26">
        <f>IF($P321="","",IF(INDEX(EntryTxnID,$P321)=0,"",INDEX(EntryTxnID,$P321)))</f>
        <v/>
      </c>
      <c r="P321" s="26">
        <f>IFERROR(MATCH($C$5&amp;"|"&amp;RIGHT("000000"&amp;305,6),CalcRankKey,0),"")</f>
        <v/>
      </c>
    </row>
    <row r="322">
      <c r="A322" s="28">
        <f>IF($B322="","",306)</f>
        <v/>
      </c>
      <c r="B322" s="28">
        <f>IF($P322="","",IF(INDEX(CalcNormDate,$P322)=0,"",INDEX(CalcNormDate,$P322)))</f>
        <v/>
      </c>
      <c r="C322" s="28">
        <f>IF($P322="","",IF(INDEX(CalcTime,$P322)=0,"",INDEX(CalcTime,$P322)))</f>
        <v/>
      </c>
      <c r="D322" s="28">
        <f>IF($P322="","",IF(INDEX(EntryParty,$P322)=0,"",INDEX(EntryParty,$P322)))</f>
        <v/>
      </c>
      <c r="E322" s="28">
        <f>IF($P322="","",IF(INDEX(EntryPartyName,$P322)=0,"",INDEX(EntryPartyName,$P322)))</f>
        <v/>
      </c>
      <c r="F322" s="28">
        <f>IF($P322="","",IF(INDEX(EntryPartyType,$P322)=0,"",INDEX(EntryPartyType,$P322)))</f>
        <v/>
      </c>
      <c r="G322" s="28">
        <f>IF($P322="","",IF(INDEX(EntryTxnType,$P322)=0,"",INDEX(EntryTxnType,$P322)))</f>
        <v/>
      </c>
      <c r="H322" s="29">
        <f>IF($P322="","",IF(INDEX(EntryDep,$P322)=0,"",INDEX(EntryDep,$P322)))</f>
        <v/>
      </c>
      <c r="I322" s="29">
        <f>IF($P322="","",IF(INDEX(EntryWit,$P322)=0,"",INDEX(EntryWit,$P322)))</f>
        <v/>
      </c>
      <c r="J322" s="29">
        <f>IF($B322="","",IF($A322=1,$C$7,IF(J321="",0,J321))+IF($H322="",0,$H322)-IF($I322="",0,$I322))</f>
        <v/>
      </c>
      <c r="K322" s="29">
        <f>IF($P322="","",IF(INDEX(EntryMan,$P322)=0,"",INDEX(EntryMan,$P322)))</f>
        <v/>
      </c>
      <c r="L322" s="28">
        <f>IF($B322="","",IF($K322="","—",IF(ROUND($K322-$J322,0)=0,"√","×")))</f>
        <v/>
      </c>
      <c r="M322" s="28">
        <f>IF($B322="","",IF(COUNTIFS(EntryDates,$B322,CalcTime,$C322,CalcBank,$C$5,EntryParty,$D322,EntryDep,$H322,EntryWit,$I322)&gt;1,"تکرار",""))</f>
        <v/>
      </c>
      <c r="N322" s="28">
        <f>IF($P322="","",IF(INDEX(EntryNotes,$P322)=0,"",INDEX(EntryNotes,$P322)))</f>
        <v/>
      </c>
      <c r="O322" s="28">
        <f>IF($P322="","",IF(INDEX(EntryTxnID,$P322)=0,"",INDEX(EntryTxnID,$P322)))</f>
        <v/>
      </c>
      <c r="P322" s="28">
        <f>IFERROR(MATCH($C$5&amp;"|"&amp;RIGHT("000000"&amp;306,6),CalcRankKey,0),"")</f>
        <v/>
      </c>
    </row>
    <row r="323">
      <c r="A323" s="26">
        <f>IF($B323="","",307)</f>
        <v/>
      </c>
      <c r="B323" s="26">
        <f>IF($P323="","",IF(INDEX(CalcNormDate,$P323)=0,"",INDEX(CalcNormDate,$P323)))</f>
        <v/>
      </c>
      <c r="C323" s="26">
        <f>IF($P323="","",IF(INDEX(CalcTime,$P323)=0,"",INDEX(CalcTime,$P323)))</f>
        <v/>
      </c>
      <c r="D323" s="26">
        <f>IF($P323="","",IF(INDEX(EntryParty,$P323)=0,"",INDEX(EntryParty,$P323)))</f>
        <v/>
      </c>
      <c r="E323" s="26">
        <f>IF($P323="","",IF(INDEX(EntryPartyName,$P323)=0,"",INDEX(EntryPartyName,$P323)))</f>
        <v/>
      </c>
      <c r="F323" s="26">
        <f>IF($P323="","",IF(INDEX(EntryPartyType,$P323)=0,"",INDEX(EntryPartyType,$P323)))</f>
        <v/>
      </c>
      <c r="G323" s="26">
        <f>IF($P323="","",IF(INDEX(EntryTxnType,$P323)=0,"",INDEX(EntryTxnType,$P323)))</f>
        <v/>
      </c>
      <c r="H323" s="27">
        <f>IF($P323="","",IF(INDEX(EntryDep,$P323)=0,"",INDEX(EntryDep,$P323)))</f>
        <v/>
      </c>
      <c r="I323" s="27">
        <f>IF($P323="","",IF(INDEX(EntryWit,$P323)=0,"",INDEX(EntryWit,$P323)))</f>
        <v/>
      </c>
      <c r="J323" s="27">
        <f>IF($B323="","",IF($A323=1,$C$7,IF(J322="",0,J322))+IF($H323="",0,$H323)-IF($I323="",0,$I323))</f>
        <v/>
      </c>
      <c r="K323" s="27">
        <f>IF($P323="","",IF(INDEX(EntryMan,$P323)=0,"",INDEX(EntryMan,$P323)))</f>
        <v/>
      </c>
      <c r="L323" s="26">
        <f>IF($B323="","",IF($K323="","—",IF(ROUND($K323-$J323,0)=0,"√","×")))</f>
        <v/>
      </c>
      <c r="M323" s="26">
        <f>IF($B323="","",IF(COUNTIFS(EntryDates,$B323,CalcTime,$C323,CalcBank,$C$5,EntryParty,$D323,EntryDep,$H323,EntryWit,$I323)&gt;1,"تکرار",""))</f>
        <v/>
      </c>
      <c r="N323" s="26">
        <f>IF($P323="","",IF(INDEX(EntryNotes,$P323)=0,"",INDEX(EntryNotes,$P323)))</f>
        <v/>
      </c>
      <c r="O323" s="26">
        <f>IF($P323="","",IF(INDEX(EntryTxnID,$P323)=0,"",INDEX(EntryTxnID,$P323)))</f>
        <v/>
      </c>
      <c r="P323" s="26">
        <f>IFERROR(MATCH($C$5&amp;"|"&amp;RIGHT("000000"&amp;307,6),CalcRankKey,0),"")</f>
        <v/>
      </c>
    </row>
    <row r="324">
      <c r="A324" s="28">
        <f>IF($B324="","",308)</f>
        <v/>
      </c>
      <c r="B324" s="28">
        <f>IF($P324="","",IF(INDEX(CalcNormDate,$P324)=0,"",INDEX(CalcNormDate,$P324)))</f>
        <v/>
      </c>
      <c r="C324" s="28">
        <f>IF($P324="","",IF(INDEX(CalcTime,$P324)=0,"",INDEX(CalcTime,$P324)))</f>
        <v/>
      </c>
      <c r="D324" s="28">
        <f>IF($P324="","",IF(INDEX(EntryParty,$P324)=0,"",INDEX(EntryParty,$P324)))</f>
        <v/>
      </c>
      <c r="E324" s="28">
        <f>IF($P324="","",IF(INDEX(EntryPartyName,$P324)=0,"",INDEX(EntryPartyName,$P324)))</f>
        <v/>
      </c>
      <c r="F324" s="28">
        <f>IF($P324="","",IF(INDEX(EntryPartyType,$P324)=0,"",INDEX(EntryPartyType,$P324)))</f>
        <v/>
      </c>
      <c r="G324" s="28">
        <f>IF($P324="","",IF(INDEX(EntryTxnType,$P324)=0,"",INDEX(EntryTxnType,$P324)))</f>
        <v/>
      </c>
      <c r="H324" s="29">
        <f>IF($P324="","",IF(INDEX(EntryDep,$P324)=0,"",INDEX(EntryDep,$P324)))</f>
        <v/>
      </c>
      <c r="I324" s="29">
        <f>IF($P324="","",IF(INDEX(EntryWit,$P324)=0,"",INDEX(EntryWit,$P324)))</f>
        <v/>
      </c>
      <c r="J324" s="29">
        <f>IF($B324="","",IF($A324=1,$C$7,IF(J323="",0,J323))+IF($H324="",0,$H324)-IF($I324="",0,$I324))</f>
        <v/>
      </c>
      <c r="K324" s="29">
        <f>IF($P324="","",IF(INDEX(EntryMan,$P324)=0,"",INDEX(EntryMan,$P324)))</f>
        <v/>
      </c>
      <c r="L324" s="28">
        <f>IF($B324="","",IF($K324="","—",IF(ROUND($K324-$J324,0)=0,"√","×")))</f>
        <v/>
      </c>
      <c r="M324" s="28">
        <f>IF($B324="","",IF(COUNTIFS(EntryDates,$B324,CalcTime,$C324,CalcBank,$C$5,EntryParty,$D324,EntryDep,$H324,EntryWit,$I324)&gt;1,"تکرار",""))</f>
        <v/>
      </c>
      <c r="N324" s="28">
        <f>IF($P324="","",IF(INDEX(EntryNotes,$P324)=0,"",INDEX(EntryNotes,$P324)))</f>
        <v/>
      </c>
      <c r="O324" s="28">
        <f>IF($P324="","",IF(INDEX(EntryTxnID,$P324)=0,"",INDEX(EntryTxnID,$P324)))</f>
        <v/>
      </c>
      <c r="P324" s="28">
        <f>IFERROR(MATCH($C$5&amp;"|"&amp;RIGHT("000000"&amp;308,6),CalcRankKey,0),"")</f>
        <v/>
      </c>
    </row>
    <row r="325">
      <c r="A325" s="26">
        <f>IF($B325="","",309)</f>
        <v/>
      </c>
      <c r="B325" s="26">
        <f>IF($P325="","",IF(INDEX(CalcNormDate,$P325)=0,"",INDEX(CalcNormDate,$P325)))</f>
        <v/>
      </c>
      <c r="C325" s="26">
        <f>IF($P325="","",IF(INDEX(CalcTime,$P325)=0,"",INDEX(CalcTime,$P325)))</f>
        <v/>
      </c>
      <c r="D325" s="26">
        <f>IF($P325="","",IF(INDEX(EntryParty,$P325)=0,"",INDEX(EntryParty,$P325)))</f>
        <v/>
      </c>
      <c r="E325" s="26">
        <f>IF($P325="","",IF(INDEX(EntryPartyName,$P325)=0,"",INDEX(EntryPartyName,$P325)))</f>
        <v/>
      </c>
      <c r="F325" s="26">
        <f>IF($P325="","",IF(INDEX(EntryPartyType,$P325)=0,"",INDEX(EntryPartyType,$P325)))</f>
        <v/>
      </c>
      <c r="G325" s="26">
        <f>IF($P325="","",IF(INDEX(EntryTxnType,$P325)=0,"",INDEX(EntryTxnType,$P325)))</f>
        <v/>
      </c>
      <c r="H325" s="27">
        <f>IF($P325="","",IF(INDEX(EntryDep,$P325)=0,"",INDEX(EntryDep,$P325)))</f>
        <v/>
      </c>
      <c r="I325" s="27">
        <f>IF($P325="","",IF(INDEX(EntryWit,$P325)=0,"",INDEX(EntryWit,$P325)))</f>
        <v/>
      </c>
      <c r="J325" s="27">
        <f>IF($B325="","",IF($A325=1,$C$7,IF(J324="",0,J324))+IF($H325="",0,$H325)-IF($I325="",0,$I325))</f>
        <v/>
      </c>
      <c r="K325" s="27">
        <f>IF($P325="","",IF(INDEX(EntryMan,$P325)=0,"",INDEX(EntryMan,$P325)))</f>
        <v/>
      </c>
      <c r="L325" s="26">
        <f>IF($B325="","",IF($K325="","—",IF(ROUND($K325-$J325,0)=0,"√","×")))</f>
        <v/>
      </c>
      <c r="M325" s="26">
        <f>IF($B325="","",IF(COUNTIFS(EntryDates,$B325,CalcTime,$C325,CalcBank,$C$5,EntryParty,$D325,EntryDep,$H325,EntryWit,$I325)&gt;1,"تکرار",""))</f>
        <v/>
      </c>
      <c r="N325" s="26">
        <f>IF($P325="","",IF(INDEX(EntryNotes,$P325)=0,"",INDEX(EntryNotes,$P325)))</f>
        <v/>
      </c>
      <c r="O325" s="26">
        <f>IF($P325="","",IF(INDEX(EntryTxnID,$P325)=0,"",INDEX(EntryTxnID,$P325)))</f>
        <v/>
      </c>
      <c r="P325" s="26">
        <f>IFERROR(MATCH($C$5&amp;"|"&amp;RIGHT("000000"&amp;309,6),CalcRankKey,0),"")</f>
        <v/>
      </c>
    </row>
    <row r="326">
      <c r="A326" s="28">
        <f>IF($B326="","",310)</f>
        <v/>
      </c>
      <c r="B326" s="28">
        <f>IF($P326="","",IF(INDEX(CalcNormDate,$P326)=0,"",INDEX(CalcNormDate,$P326)))</f>
        <v/>
      </c>
      <c r="C326" s="28">
        <f>IF($P326="","",IF(INDEX(CalcTime,$P326)=0,"",INDEX(CalcTime,$P326)))</f>
        <v/>
      </c>
      <c r="D326" s="28">
        <f>IF($P326="","",IF(INDEX(EntryParty,$P326)=0,"",INDEX(EntryParty,$P326)))</f>
        <v/>
      </c>
      <c r="E326" s="28">
        <f>IF($P326="","",IF(INDEX(EntryPartyName,$P326)=0,"",INDEX(EntryPartyName,$P326)))</f>
        <v/>
      </c>
      <c r="F326" s="28">
        <f>IF($P326="","",IF(INDEX(EntryPartyType,$P326)=0,"",INDEX(EntryPartyType,$P326)))</f>
        <v/>
      </c>
      <c r="G326" s="28">
        <f>IF($P326="","",IF(INDEX(EntryTxnType,$P326)=0,"",INDEX(EntryTxnType,$P326)))</f>
        <v/>
      </c>
      <c r="H326" s="29">
        <f>IF($P326="","",IF(INDEX(EntryDep,$P326)=0,"",INDEX(EntryDep,$P326)))</f>
        <v/>
      </c>
      <c r="I326" s="29">
        <f>IF($P326="","",IF(INDEX(EntryWit,$P326)=0,"",INDEX(EntryWit,$P326)))</f>
        <v/>
      </c>
      <c r="J326" s="29">
        <f>IF($B326="","",IF($A326=1,$C$7,IF(J325="",0,J325))+IF($H326="",0,$H326)-IF($I326="",0,$I326))</f>
        <v/>
      </c>
      <c r="K326" s="29">
        <f>IF($P326="","",IF(INDEX(EntryMan,$P326)=0,"",INDEX(EntryMan,$P326)))</f>
        <v/>
      </c>
      <c r="L326" s="28">
        <f>IF($B326="","",IF($K326="","—",IF(ROUND($K326-$J326,0)=0,"√","×")))</f>
        <v/>
      </c>
      <c r="M326" s="28">
        <f>IF($B326="","",IF(COUNTIFS(EntryDates,$B326,CalcTime,$C326,CalcBank,$C$5,EntryParty,$D326,EntryDep,$H326,EntryWit,$I326)&gt;1,"تکرار",""))</f>
        <v/>
      </c>
      <c r="N326" s="28">
        <f>IF($P326="","",IF(INDEX(EntryNotes,$P326)=0,"",INDEX(EntryNotes,$P326)))</f>
        <v/>
      </c>
      <c r="O326" s="28">
        <f>IF($P326="","",IF(INDEX(EntryTxnID,$P326)=0,"",INDEX(EntryTxnID,$P326)))</f>
        <v/>
      </c>
      <c r="P326" s="28">
        <f>IFERROR(MATCH($C$5&amp;"|"&amp;RIGHT("000000"&amp;310,6),CalcRankKey,0),"")</f>
        <v/>
      </c>
    </row>
    <row r="327">
      <c r="A327" s="26">
        <f>IF($B327="","",311)</f>
        <v/>
      </c>
      <c r="B327" s="26">
        <f>IF($P327="","",IF(INDEX(CalcNormDate,$P327)=0,"",INDEX(CalcNormDate,$P327)))</f>
        <v/>
      </c>
      <c r="C327" s="26">
        <f>IF($P327="","",IF(INDEX(CalcTime,$P327)=0,"",INDEX(CalcTime,$P327)))</f>
        <v/>
      </c>
      <c r="D327" s="26">
        <f>IF($P327="","",IF(INDEX(EntryParty,$P327)=0,"",INDEX(EntryParty,$P327)))</f>
        <v/>
      </c>
      <c r="E327" s="26">
        <f>IF($P327="","",IF(INDEX(EntryPartyName,$P327)=0,"",INDEX(EntryPartyName,$P327)))</f>
        <v/>
      </c>
      <c r="F327" s="26">
        <f>IF($P327="","",IF(INDEX(EntryPartyType,$P327)=0,"",INDEX(EntryPartyType,$P327)))</f>
        <v/>
      </c>
      <c r="G327" s="26">
        <f>IF($P327="","",IF(INDEX(EntryTxnType,$P327)=0,"",INDEX(EntryTxnType,$P327)))</f>
        <v/>
      </c>
      <c r="H327" s="27">
        <f>IF($P327="","",IF(INDEX(EntryDep,$P327)=0,"",INDEX(EntryDep,$P327)))</f>
        <v/>
      </c>
      <c r="I327" s="27">
        <f>IF($P327="","",IF(INDEX(EntryWit,$P327)=0,"",INDEX(EntryWit,$P327)))</f>
        <v/>
      </c>
      <c r="J327" s="27">
        <f>IF($B327="","",IF($A327=1,$C$7,IF(J326="",0,J326))+IF($H327="",0,$H327)-IF($I327="",0,$I327))</f>
        <v/>
      </c>
      <c r="K327" s="27">
        <f>IF($P327="","",IF(INDEX(EntryMan,$P327)=0,"",INDEX(EntryMan,$P327)))</f>
        <v/>
      </c>
      <c r="L327" s="26">
        <f>IF($B327="","",IF($K327="","—",IF(ROUND($K327-$J327,0)=0,"√","×")))</f>
        <v/>
      </c>
      <c r="M327" s="26">
        <f>IF($B327="","",IF(COUNTIFS(EntryDates,$B327,CalcTime,$C327,CalcBank,$C$5,EntryParty,$D327,EntryDep,$H327,EntryWit,$I327)&gt;1,"تکرار",""))</f>
        <v/>
      </c>
      <c r="N327" s="26">
        <f>IF($P327="","",IF(INDEX(EntryNotes,$P327)=0,"",INDEX(EntryNotes,$P327)))</f>
        <v/>
      </c>
      <c r="O327" s="26">
        <f>IF($P327="","",IF(INDEX(EntryTxnID,$P327)=0,"",INDEX(EntryTxnID,$P327)))</f>
        <v/>
      </c>
      <c r="P327" s="26">
        <f>IFERROR(MATCH($C$5&amp;"|"&amp;RIGHT("000000"&amp;311,6),CalcRankKey,0),"")</f>
        <v/>
      </c>
    </row>
    <row r="328">
      <c r="A328" s="28">
        <f>IF($B328="","",312)</f>
        <v/>
      </c>
      <c r="B328" s="28">
        <f>IF($P328="","",IF(INDEX(CalcNormDate,$P328)=0,"",INDEX(CalcNormDate,$P328)))</f>
        <v/>
      </c>
      <c r="C328" s="28">
        <f>IF($P328="","",IF(INDEX(CalcTime,$P328)=0,"",INDEX(CalcTime,$P328)))</f>
        <v/>
      </c>
      <c r="D328" s="28">
        <f>IF($P328="","",IF(INDEX(EntryParty,$P328)=0,"",INDEX(EntryParty,$P328)))</f>
        <v/>
      </c>
      <c r="E328" s="28">
        <f>IF($P328="","",IF(INDEX(EntryPartyName,$P328)=0,"",INDEX(EntryPartyName,$P328)))</f>
        <v/>
      </c>
      <c r="F328" s="28">
        <f>IF($P328="","",IF(INDEX(EntryPartyType,$P328)=0,"",INDEX(EntryPartyType,$P328)))</f>
        <v/>
      </c>
      <c r="G328" s="28">
        <f>IF($P328="","",IF(INDEX(EntryTxnType,$P328)=0,"",INDEX(EntryTxnType,$P328)))</f>
        <v/>
      </c>
      <c r="H328" s="29">
        <f>IF($P328="","",IF(INDEX(EntryDep,$P328)=0,"",INDEX(EntryDep,$P328)))</f>
        <v/>
      </c>
      <c r="I328" s="29">
        <f>IF($P328="","",IF(INDEX(EntryWit,$P328)=0,"",INDEX(EntryWit,$P328)))</f>
        <v/>
      </c>
      <c r="J328" s="29">
        <f>IF($B328="","",IF($A328=1,$C$7,IF(J327="",0,J327))+IF($H328="",0,$H328)-IF($I328="",0,$I328))</f>
        <v/>
      </c>
      <c r="K328" s="29">
        <f>IF($P328="","",IF(INDEX(EntryMan,$P328)=0,"",INDEX(EntryMan,$P328)))</f>
        <v/>
      </c>
      <c r="L328" s="28">
        <f>IF($B328="","",IF($K328="","—",IF(ROUND($K328-$J328,0)=0,"√","×")))</f>
        <v/>
      </c>
      <c r="M328" s="28">
        <f>IF($B328="","",IF(COUNTIFS(EntryDates,$B328,CalcTime,$C328,CalcBank,$C$5,EntryParty,$D328,EntryDep,$H328,EntryWit,$I328)&gt;1,"تکرار",""))</f>
        <v/>
      </c>
      <c r="N328" s="28">
        <f>IF($P328="","",IF(INDEX(EntryNotes,$P328)=0,"",INDEX(EntryNotes,$P328)))</f>
        <v/>
      </c>
      <c r="O328" s="28">
        <f>IF($P328="","",IF(INDEX(EntryTxnID,$P328)=0,"",INDEX(EntryTxnID,$P328)))</f>
        <v/>
      </c>
      <c r="P328" s="28">
        <f>IFERROR(MATCH($C$5&amp;"|"&amp;RIGHT("000000"&amp;312,6),CalcRankKey,0),"")</f>
        <v/>
      </c>
    </row>
    <row r="329">
      <c r="A329" s="26">
        <f>IF($B329="","",313)</f>
        <v/>
      </c>
      <c r="B329" s="26">
        <f>IF($P329="","",IF(INDEX(CalcNormDate,$P329)=0,"",INDEX(CalcNormDate,$P329)))</f>
        <v/>
      </c>
      <c r="C329" s="26">
        <f>IF($P329="","",IF(INDEX(CalcTime,$P329)=0,"",INDEX(CalcTime,$P329)))</f>
        <v/>
      </c>
      <c r="D329" s="26">
        <f>IF($P329="","",IF(INDEX(EntryParty,$P329)=0,"",INDEX(EntryParty,$P329)))</f>
        <v/>
      </c>
      <c r="E329" s="26">
        <f>IF($P329="","",IF(INDEX(EntryPartyName,$P329)=0,"",INDEX(EntryPartyName,$P329)))</f>
        <v/>
      </c>
      <c r="F329" s="26">
        <f>IF($P329="","",IF(INDEX(EntryPartyType,$P329)=0,"",INDEX(EntryPartyType,$P329)))</f>
        <v/>
      </c>
      <c r="G329" s="26">
        <f>IF($P329="","",IF(INDEX(EntryTxnType,$P329)=0,"",INDEX(EntryTxnType,$P329)))</f>
        <v/>
      </c>
      <c r="H329" s="27">
        <f>IF($P329="","",IF(INDEX(EntryDep,$P329)=0,"",INDEX(EntryDep,$P329)))</f>
        <v/>
      </c>
      <c r="I329" s="27">
        <f>IF($P329="","",IF(INDEX(EntryWit,$P329)=0,"",INDEX(EntryWit,$P329)))</f>
        <v/>
      </c>
      <c r="J329" s="27">
        <f>IF($B329="","",IF($A329=1,$C$7,IF(J328="",0,J328))+IF($H329="",0,$H329)-IF($I329="",0,$I329))</f>
        <v/>
      </c>
      <c r="K329" s="27">
        <f>IF($P329="","",IF(INDEX(EntryMan,$P329)=0,"",INDEX(EntryMan,$P329)))</f>
        <v/>
      </c>
      <c r="L329" s="26">
        <f>IF($B329="","",IF($K329="","—",IF(ROUND($K329-$J329,0)=0,"√","×")))</f>
        <v/>
      </c>
      <c r="M329" s="26">
        <f>IF($B329="","",IF(COUNTIFS(EntryDates,$B329,CalcTime,$C329,CalcBank,$C$5,EntryParty,$D329,EntryDep,$H329,EntryWit,$I329)&gt;1,"تکرار",""))</f>
        <v/>
      </c>
      <c r="N329" s="26">
        <f>IF($P329="","",IF(INDEX(EntryNotes,$P329)=0,"",INDEX(EntryNotes,$P329)))</f>
        <v/>
      </c>
      <c r="O329" s="26">
        <f>IF($P329="","",IF(INDEX(EntryTxnID,$P329)=0,"",INDEX(EntryTxnID,$P329)))</f>
        <v/>
      </c>
      <c r="P329" s="26">
        <f>IFERROR(MATCH($C$5&amp;"|"&amp;RIGHT("000000"&amp;313,6),CalcRankKey,0),"")</f>
        <v/>
      </c>
    </row>
    <row r="330">
      <c r="A330" s="28">
        <f>IF($B330="","",314)</f>
        <v/>
      </c>
      <c r="B330" s="28">
        <f>IF($P330="","",IF(INDEX(CalcNormDate,$P330)=0,"",INDEX(CalcNormDate,$P330)))</f>
        <v/>
      </c>
      <c r="C330" s="28">
        <f>IF($P330="","",IF(INDEX(CalcTime,$P330)=0,"",INDEX(CalcTime,$P330)))</f>
        <v/>
      </c>
      <c r="D330" s="28">
        <f>IF($P330="","",IF(INDEX(EntryParty,$P330)=0,"",INDEX(EntryParty,$P330)))</f>
        <v/>
      </c>
      <c r="E330" s="28">
        <f>IF($P330="","",IF(INDEX(EntryPartyName,$P330)=0,"",INDEX(EntryPartyName,$P330)))</f>
        <v/>
      </c>
      <c r="F330" s="28">
        <f>IF($P330="","",IF(INDEX(EntryPartyType,$P330)=0,"",INDEX(EntryPartyType,$P330)))</f>
        <v/>
      </c>
      <c r="G330" s="28">
        <f>IF($P330="","",IF(INDEX(EntryTxnType,$P330)=0,"",INDEX(EntryTxnType,$P330)))</f>
        <v/>
      </c>
      <c r="H330" s="29">
        <f>IF($P330="","",IF(INDEX(EntryDep,$P330)=0,"",INDEX(EntryDep,$P330)))</f>
        <v/>
      </c>
      <c r="I330" s="29">
        <f>IF($P330="","",IF(INDEX(EntryWit,$P330)=0,"",INDEX(EntryWit,$P330)))</f>
        <v/>
      </c>
      <c r="J330" s="29">
        <f>IF($B330="","",IF($A330=1,$C$7,IF(J329="",0,J329))+IF($H330="",0,$H330)-IF($I330="",0,$I330))</f>
        <v/>
      </c>
      <c r="K330" s="29">
        <f>IF($P330="","",IF(INDEX(EntryMan,$P330)=0,"",INDEX(EntryMan,$P330)))</f>
        <v/>
      </c>
      <c r="L330" s="28">
        <f>IF($B330="","",IF($K330="","—",IF(ROUND($K330-$J330,0)=0,"√","×")))</f>
        <v/>
      </c>
      <c r="M330" s="28">
        <f>IF($B330="","",IF(COUNTIFS(EntryDates,$B330,CalcTime,$C330,CalcBank,$C$5,EntryParty,$D330,EntryDep,$H330,EntryWit,$I330)&gt;1,"تکرار",""))</f>
        <v/>
      </c>
      <c r="N330" s="28">
        <f>IF($P330="","",IF(INDEX(EntryNotes,$P330)=0,"",INDEX(EntryNotes,$P330)))</f>
        <v/>
      </c>
      <c r="O330" s="28">
        <f>IF($P330="","",IF(INDEX(EntryTxnID,$P330)=0,"",INDEX(EntryTxnID,$P330)))</f>
        <v/>
      </c>
      <c r="P330" s="28">
        <f>IFERROR(MATCH($C$5&amp;"|"&amp;RIGHT("000000"&amp;314,6),CalcRankKey,0),"")</f>
        <v/>
      </c>
    </row>
    <row r="331">
      <c r="A331" s="26">
        <f>IF($B331="","",315)</f>
        <v/>
      </c>
      <c r="B331" s="26">
        <f>IF($P331="","",IF(INDEX(CalcNormDate,$P331)=0,"",INDEX(CalcNormDate,$P331)))</f>
        <v/>
      </c>
      <c r="C331" s="26">
        <f>IF($P331="","",IF(INDEX(CalcTime,$P331)=0,"",INDEX(CalcTime,$P331)))</f>
        <v/>
      </c>
      <c r="D331" s="26">
        <f>IF($P331="","",IF(INDEX(EntryParty,$P331)=0,"",INDEX(EntryParty,$P331)))</f>
        <v/>
      </c>
      <c r="E331" s="26">
        <f>IF($P331="","",IF(INDEX(EntryPartyName,$P331)=0,"",INDEX(EntryPartyName,$P331)))</f>
        <v/>
      </c>
      <c r="F331" s="26">
        <f>IF($P331="","",IF(INDEX(EntryPartyType,$P331)=0,"",INDEX(EntryPartyType,$P331)))</f>
        <v/>
      </c>
      <c r="G331" s="26">
        <f>IF($P331="","",IF(INDEX(EntryTxnType,$P331)=0,"",INDEX(EntryTxnType,$P331)))</f>
        <v/>
      </c>
      <c r="H331" s="27">
        <f>IF($P331="","",IF(INDEX(EntryDep,$P331)=0,"",INDEX(EntryDep,$P331)))</f>
        <v/>
      </c>
      <c r="I331" s="27">
        <f>IF($P331="","",IF(INDEX(EntryWit,$P331)=0,"",INDEX(EntryWit,$P331)))</f>
        <v/>
      </c>
      <c r="J331" s="27">
        <f>IF($B331="","",IF($A331=1,$C$7,IF(J330="",0,J330))+IF($H331="",0,$H331)-IF($I331="",0,$I331))</f>
        <v/>
      </c>
      <c r="K331" s="27">
        <f>IF($P331="","",IF(INDEX(EntryMan,$P331)=0,"",INDEX(EntryMan,$P331)))</f>
        <v/>
      </c>
      <c r="L331" s="26">
        <f>IF($B331="","",IF($K331="","—",IF(ROUND($K331-$J331,0)=0,"√","×")))</f>
        <v/>
      </c>
      <c r="M331" s="26">
        <f>IF($B331="","",IF(COUNTIFS(EntryDates,$B331,CalcTime,$C331,CalcBank,$C$5,EntryParty,$D331,EntryDep,$H331,EntryWit,$I331)&gt;1,"تکرار",""))</f>
        <v/>
      </c>
      <c r="N331" s="26">
        <f>IF($P331="","",IF(INDEX(EntryNotes,$P331)=0,"",INDEX(EntryNotes,$P331)))</f>
        <v/>
      </c>
      <c r="O331" s="26">
        <f>IF($P331="","",IF(INDEX(EntryTxnID,$P331)=0,"",INDEX(EntryTxnID,$P331)))</f>
        <v/>
      </c>
      <c r="P331" s="26">
        <f>IFERROR(MATCH($C$5&amp;"|"&amp;RIGHT("000000"&amp;315,6),CalcRankKey,0),"")</f>
        <v/>
      </c>
    </row>
    <row r="332">
      <c r="A332" s="28">
        <f>IF($B332="","",316)</f>
        <v/>
      </c>
      <c r="B332" s="28">
        <f>IF($P332="","",IF(INDEX(CalcNormDate,$P332)=0,"",INDEX(CalcNormDate,$P332)))</f>
        <v/>
      </c>
      <c r="C332" s="28">
        <f>IF($P332="","",IF(INDEX(CalcTime,$P332)=0,"",INDEX(CalcTime,$P332)))</f>
        <v/>
      </c>
      <c r="D332" s="28">
        <f>IF($P332="","",IF(INDEX(EntryParty,$P332)=0,"",INDEX(EntryParty,$P332)))</f>
        <v/>
      </c>
      <c r="E332" s="28">
        <f>IF($P332="","",IF(INDEX(EntryPartyName,$P332)=0,"",INDEX(EntryPartyName,$P332)))</f>
        <v/>
      </c>
      <c r="F332" s="28">
        <f>IF($P332="","",IF(INDEX(EntryPartyType,$P332)=0,"",INDEX(EntryPartyType,$P332)))</f>
        <v/>
      </c>
      <c r="G332" s="28">
        <f>IF($P332="","",IF(INDEX(EntryTxnType,$P332)=0,"",INDEX(EntryTxnType,$P332)))</f>
        <v/>
      </c>
      <c r="H332" s="29">
        <f>IF($P332="","",IF(INDEX(EntryDep,$P332)=0,"",INDEX(EntryDep,$P332)))</f>
        <v/>
      </c>
      <c r="I332" s="29">
        <f>IF($P332="","",IF(INDEX(EntryWit,$P332)=0,"",INDEX(EntryWit,$P332)))</f>
        <v/>
      </c>
      <c r="J332" s="29">
        <f>IF($B332="","",IF($A332=1,$C$7,IF(J331="",0,J331))+IF($H332="",0,$H332)-IF($I332="",0,$I332))</f>
        <v/>
      </c>
      <c r="K332" s="29">
        <f>IF($P332="","",IF(INDEX(EntryMan,$P332)=0,"",INDEX(EntryMan,$P332)))</f>
        <v/>
      </c>
      <c r="L332" s="28">
        <f>IF($B332="","",IF($K332="","—",IF(ROUND($K332-$J332,0)=0,"√","×")))</f>
        <v/>
      </c>
      <c r="M332" s="28">
        <f>IF($B332="","",IF(COUNTIFS(EntryDates,$B332,CalcTime,$C332,CalcBank,$C$5,EntryParty,$D332,EntryDep,$H332,EntryWit,$I332)&gt;1,"تکرار",""))</f>
        <v/>
      </c>
      <c r="N332" s="28">
        <f>IF($P332="","",IF(INDEX(EntryNotes,$P332)=0,"",INDEX(EntryNotes,$P332)))</f>
        <v/>
      </c>
      <c r="O332" s="28">
        <f>IF($P332="","",IF(INDEX(EntryTxnID,$P332)=0,"",INDEX(EntryTxnID,$P332)))</f>
        <v/>
      </c>
      <c r="P332" s="28">
        <f>IFERROR(MATCH($C$5&amp;"|"&amp;RIGHT("000000"&amp;316,6),CalcRankKey,0),"")</f>
        <v/>
      </c>
    </row>
    <row r="333">
      <c r="A333" s="26">
        <f>IF($B333="","",317)</f>
        <v/>
      </c>
      <c r="B333" s="26">
        <f>IF($P333="","",IF(INDEX(CalcNormDate,$P333)=0,"",INDEX(CalcNormDate,$P333)))</f>
        <v/>
      </c>
      <c r="C333" s="26">
        <f>IF($P333="","",IF(INDEX(CalcTime,$P333)=0,"",INDEX(CalcTime,$P333)))</f>
        <v/>
      </c>
      <c r="D333" s="26">
        <f>IF($P333="","",IF(INDEX(EntryParty,$P333)=0,"",INDEX(EntryParty,$P333)))</f>
        <v/>
      </c>
      <c r="E333" s="26">
        <f>IF($P333="","",IF(INDEX(EntryPartyName,$P333)=0,"",INDEX(EntryPartyName,$P333)))</f>
        <v/>
      </c>
      <c r="F333" s="26">
        <f>IF($P333="","",IF(INDEX(EntryPartyType,$P333)=0,"",INDEX(EntryPartyType,$P333)))</f>
        <v/>
      </c>
      <c r="G333" s="26">
        <f>IF($P333="","",IF(INDEX(EntryTxnType,$P333)=0,"",INDEX(EntryTxnType,$P333)))</f>
        <v/>
      </c>
      <c r="H333" s="27">
        <f>IF($P333="","",IF(INDEX(EntryDep,$P333)=0,"",INDEX(EntryDep,$P333)))</f>
        <v/>
      </c>
      <c r="I333" s="27">
        <f>IF($P333="","",IF(INDEX(EntryWit,$P333)=0,"",INDEX(EntryWit,$P333)))</f>
        <v/>
      </c>
      <c r="J333" s="27">
        <f>IF($B333="","",IF($A333=1,$C$7,IF(J332="",0,J332))+IF($H333="",0,$H333)-IF($I333="",0,$I333))</f>
        <v/>
      </c>
      <c r="K333" s="27">
        <f>IF($P333="","",IF(INDEX(EntryMan,$P333)=0,"",INDEX(EntryMan,$P333)))</f>
        <v/>
      </c>
      <c r="L333" s="26">
        <f>IF($B333="","",IF($K333="","—",IF(ROUND($K333-$J333,0)=0,"√","×")))</f>
        <v/>
      </c>
      <c r="M333" s="26">
        <f>IF($B333="","",IF(COUNTIFS(EntryDates,$B333,CalcTime,$C333,CalcBank,$C$5,EntryParty,$D333,EntryDep,$H333,EntryWit,$I333)&gt;1,"تکرار",""))</f>
        <v/>
      </c>
      <c r="N333" s="26">
        <f>IF($P333="","",IF(INDEX(EntryNotes,$P333)=0,"",INDEX(EntryNotes,$P333)))</f>
        <v/>
      </c>
      <c r="O333" s="26">
        <f>IF($P333="","",IF(INDEX(EntryTxnID,$P333)=0,"",INDEX(EntryTxnID,$P333)))</f>
        <v/>
      </c>
      <c r="P333" s="26">
        <f>IFERROR(MATCH($C$5&amp;"|"&amp;RIGHT("000000"&amp;317,6),CalcRankKey,0),"")</f>
        <v/>
      </c>
    </row>
    <row r="334">
      <c r="A334" s="28">
        <f>IF($B334="","",318)</f>
        <v/>
      </c>
      <c r="B334" s="28">
        <f>IF($P334="","",IF(INDEX(CalcNormDate,$P334)=0,"",INDEX(CalcNormDate,$P334)))</f>
        <v/>
      </c>
      <c r="C334" s="28">
        <f>IF($P334="","",IF(INDEX(CalcTime,$P334)=0,"",INDEX(CalcTime,$P334)))</f>
        <v/>
      </c>
      <c r="D334" s="28">
        <f>IF($P334="","",IF(INDEX(EntryParty,$P334)=0,"",INDEX(EntryParty,$P334)))</f>
        <v/>
      </c>
      <c r="E334" s="28">
        <f>IF($P334="","",IF(INDEX(EntryPartyName,$P334)=0,"",INDEX(EntryPartyName,$P334)))</f>
        <v/>
      </c>
      <c r="F334" s="28">
        <f>IF($P334="","",IF(INDEX(EntryPartyType,$P334)=0,"",INDEX(EntryPartyType,$P334)))</f>
        <v/>
      </c>
      <c r="G334" s="28">
        <f>IF($P334="","",IF(INDEX(EntryTxnType,$P334)=0,"",INDEX(EntryTxnType,$P334)))</f>
        <v/>
      </c>
      <c r="H334" s="29">
        <f>IF($P334="","",IF(INDEX(EntryDep,$P334)=0,"",INDEX(EntryDep,$P334)))</f>
        <v/>
      </c>
      <c r="I334" s="29">
        <f>IF($P334="","",IF(INDEX(EntryWit,$P334)=0,"",INDEX(EntryWit,$P334)))</f>
        <v/>
      </c>
      <c r="J334" s="29">
        <f>IF($B334="","",IF($A334=1,$C$7,IF(J333="",0,J333))+IF($H334="",0,$H334)-IF($I334="",0,$I334))</f>
        <v/>
      </c>
      <c r="K334" s="29">
        <f>IF($P334="","",IF(INDEX(EntryMan,$P334)=0,"",INDEX(EntryMan,$P334)))</f>
        <v/>
      </c>
      <c r="L334" s="28">
        <f>IF($B334="","",IF($K334="","—",IF(ROUND($K334-$J334,0)=0,"√","×")))</f>
        <v/>
      </c>
      <c r="M334" s="28">
        <f>IF($B334="","",IF(COUNTIFS(EntryDates,$B334,CalcTime,$C334,CalcBank,$C$5,EntryParty,$D334,EntryDep,$H334,EntryWit,$I334)&gt;1,"تکرار",""))</f>
        <v/>
      </c>
      <c r="N334" s="28">
        <f>IF($P334="","",IF(INDEX(EntryNotes,$P334)=0,"",INDEX(EntryNotes,$P334)))</f>
        <v/>
      </c>
      <c r="O334" s="28">
        <f>IF($P334="","",IF(INDEX(EntryTxnID,$P334)=0,"",INDEX(EntryTxnID,$P334)))</f>
        <v/>
      </c>
      <c r="P334" s="28">
        <f>IFERROR(MATCH($C$5&amp;"|"&amp;RIGHT("000000"&amp;318,6),CalcRankKey,0),"")</f>
        <v/>
      </c>
    </row>
    <row r="335">
      <c r="A335" s="26">
        <f>IF($B335="","",319)</f>
        <v/>
      </c>
      <c r="B335" s="26">
        <f>IF($P335="","",IF(INDEX(CalcNormDate,$P335)=0,"",INDEX(CalcNormDate,$P335)))</f>
        <v/>
      </c>
      <c r="C335" s="26">
        <f>IF($P335="","",IF(INDEX(CalcTime,$P335)=0,"",INDEX(CalcTime,$P335)))</f>
        <v/>
      </c>
      <c r="D335" s="26">
        <f>IF($P335="","",IF(INDEX(EntryParty,$P335)=0,"",INDEX(EntryParty,$P335)))</f>
        <v/>
      </c>
      <c r="E335" s="26">
        <f>IF($P335="","",IF(INDEX(EntryPartyName,$P335)=0,"",INDEX(EntryPartyName,$P335)))</f>
        <v/>
      </c>
      <c r="F335" s="26">
        <f>IF($P335="","",IF(INDEX(EntryPartyType,$P335)=0,"",INDEX(EntryPartyType,$P335)))</f>
        <v/>
      </c>
      <c r="G335" s="26">
        <f>IF($P335="","",IF(INDEX(EntryTxnType,$P335)=0,"",INDEX(EntryTxnType,$P335)))</f>
        <v/>
      </c>
      <c r="H335" s="27">
        <f>IF($P335="","",IF(INDEX(EntryDep,$P335)=0,"",INDEX(EntryDep,$P335)))</f>
        <v/>
      </c>
      <c r="I335" s="27">
        <f>IF($P335="","",IF(INDEX(EntryWit,$P335)=0,"",INDEX(EntryWit,$P335)))</f>
        <v/>
      </c>
      <c r="J335" s="27">
        <f>IF($B335="","",IF($A335=1,$C$7,IF(J334="",0,J334))+IF($H335="",0,$H335)-IF($I335="",0,$I335))</f>
        <v/>
      </c>
      <c r="K335" s="27">
        <f>IF($P335="","",IF(INDEX(EntryMan,$P335)=0,"",INDEX(EntryMan,$P335)))</f>
        <v/>
      </c>
      <c r="L335" s="26">
        <f>IF($B335="","",IF($K335="","—",IF(ROUND($K335-$J335,0)=0,"√","×")))</f>
        <v/>
      </c>
      <c r="M335" s="26">
        <f>IF($B335="","",IF(COUNTIFS(EntryDates,$B335,CalcTime,$C335,CalcBank,$C$5,EntryParty,$D335,EntryDep,$H335,EntryWit,$I335)&gt;1,"تکرار",""))</f>
        <v/>
      </c>
      <c r="N335" s="26">
        <f>IF($P335="","",IF(INDEX(EntryNotes,$P335)=0,"",INDEX(EntryNotes,$P335)))</f>
        <v/>
      </c>
      <c r="O335" s="26">
        <f>IF($P335="","",IF(INDEX(EntryTxnID,$P335)=0,"",INDEX(EntryTxnID,$P335)))</f>
        <v/>
      </c>
      <c r="P335" s="26">
        <f>IFERROR(MATCH($C$5&amp;"|"&amp;RIGHT("000000"&amp;319,6),CalcRankKey,0),"")</f>
        <v/>
      </c>
    </row>
    <row r="336">
      <c r="A336" s="28">
        <f>IF($B336="","",320)</f>
        <v/>
      </c>
      <c r="B336" s="28">
        <f>IF($P336="","",IF(INDEX(CalcNormDate,$P336)=0,"",INDEX(CalcNormDate,$P336)))</f>
        <v/>
      </c>
      <c r="C336" s="28">
        <f>IF($P336="","",IF(INDEX(CalcTime,$P336)=0,"",INDEX(CalcTime,$P336)))</f>
        <v/>
      </c>
      <c r="D336" s="28">
        <f>IF($P336="","",IF(INDEX(EntryParty,$P336)=0,"",INDEX(EntryParty,$P336)))</f>
        <v/>
      </c>
      <c r="E336" s="28">
        <f>IF($P336="","",IF(INDEX(EntryPartyName,$P336)=0,"",INDEX(EntryPartyName,$P336)))</f>
        <v/>
      </c>
      <c r="F336" s="28">
        <f>IF($P336="","",IF(INDEX(EntryPartyType,$P336)=0,"",INDEX(EntryPartyType,$P336)))</f>
        <v/>
      </c>
      <c r="G336" s="28">
        <f>IF($P336="","",IF(INDEX(EntryTxnType,$P336)=0,"",INDEX(EntryTxnType,$P336)))</f>
        <v/>
      </c>
      <c r="H336" s="29">
        <f>IF($P336="","",IF(INDEX(EntryDep,$P336)=0,"",INDEX(EntryDep,$P336)))</f>
        <v/>
      </c>
      <c r="I336" s="29">
        <f>IF($P336="","",IF(INDEX(EntryWit,$P336)=0,"",INDEX(EntryWit,$P336)))</f>
        <v/>
      </c>
      <c r="J336" s="29">
        <f>IF($B336="","",IF($A336=1,$C$7,IF(J335="",0,J335))+IF($H336="",0,$H336)-IF($I336="",0,$I336))</f>
        <v/>
      </c>
      <c r="K336" s="29">
        <f>IF($P336="","",IF(INDEX(EntryMan,$P336)=0,"",INDEX(EntryMan,$P336)))</f>
        <v/>
      </c>
      <c r="L336" s="28">
        <f>IF($B336="","",IF($K336="","—",IF(ROUND($K336-$J336,0)=0,"√","×")))</f>
        <v/>
      </c>
      <c r="M336" s="28">
        <f>IF($B336="","",IF(COUNTIFS(EntryDates,$B336,CalcTime,$C336,CalcBank,$C$5,EntryParty,$D336,EntryDep,$H336,EntryWit,$I336)&gt;1,"تکرار",""))</f>
        <v/>
      </c>
      <c r="N336" s="28">
        <f>IF($P336="","",IF(INDEX(EntryNotes,$P336)=0,"",INDEX(EntryNotes,$P336)))</f>
        <v/>
      </c>
      <c r="O336" s="28">
        <f>IF($P336="","",IF(INDEX(EntryTxnID,$P336)=0,"",INDEX(EntryTxnID,$P336)))</f>
        <v/>
      </c>
      <c r="P336" s="28">
        <f>IFERROR(MATCH($C$5&amp;"|"&amp;RIGHT("000000"&amp;320,6),CalcRankKey,0),"")</f>
        <v/>
      </c>
    </row>
    <row r="337">
      <c r="A337" s="26">
        <f>IF($B337="","",321)</f>
        <v/>
      </c>
      <c r="B337" s="26">
        <f>IF($P337="","",IF(INDEX(CalcNormDate,$P337)=0,"",INDEX(CalcNormDate,$P337)))</f>
        <v/>
      </c>
      <c r="C337" s="26">
        <f>IF($P337="","",IF(INDEX(CalcTime,$P337)=0,"",INDEX(CalcTime,$P337)))</f>
        <v/>
      </c>
      <c r="D337" s="26">
        <f>IF($P337="","",IF(INDEX(EntryParty,$P337)=0,"",INDEX(EntryParty,$P337)))</f>
        <v/>
      </c>
      <c r="E337" s="26">
        <f>IF($P337="","",IF(INDEX(EntryPartyName,$P337)=0,"",INDEX(EntryPartyName,$P337)))</f>
        <v/>
      </c>
      <c r="F337" s="26">
        <f>IF($P337="","",IF(INDEX(EntryPartyType,$P337)=0,"",INDEX(EntryPartyType,$P337)))</f>
        <v/>
      </c>
      <c r="G337" s="26">
        <f>IF($P337="","",IF(INDEX(EntryTxnType,$P337)=0,"",INDEX(EntryTxnType,$P337)))</f>
        <v/>
      </c>
      <c r="H337" s="27">
        <f>IF($P337="","",IF(INDEX(EntryDep,$P337)=0,"",INDEX(EntryDep,$P337)))</f>
        <v/>
      </c>
      <c r="I337" s="27">
        <f>IF($P337="","",IF(INDEX(EntryWit,$P337)=0,"",INDEX(EntryWit,$P337)))</f>
        <v/>
      </c>
      <c r="J337" s="27">
        <f>IF($B337="","",IF($A337=1,$C$7,IF(J336="",0,J336))+IF($H337="",0,$H337)-IF($I337="",0,$I337))</f>
        <v/>
      </c>
      <c r="K337" s="27">
        <f>IF($P337="","",IF(INDEX(EntryMan,$P337)=0,"",INDEX(EntryMan,$P337)))</f>
        <v/>
      </c>
      <c r="L337" s="26">
        <f>IF($B337="","",IF($K337="","—",IF(ROUND($K337-$J337,0)=0,"√","×")))</f>
        <v/>
      </c>
      <c r="M337" s="26">
        <f>IF($B337="","",IF(COUNTIFS(EntryDates,$B337,CalcTime,$C337,CalcBank,$C$5,EntryParty,$D337,EntryDep,$H337,EntryWit,$I337)&gt;1,"تکرار",""))</f>
        <v/>
      </c>
      <c r="N337" s="26">
        <f>IF($P337="","",IF(INDEX(EntryNotes,$P337)=0,"",INDEX(EntryNotes,$P337)))</f>
        <v/>
      </c>
      <c r="O337" s="26">
        <f>IF($P337="","",IF(INDEX(EntryTxnID,$P337)=0,"",INDEX(EntryTxnID,$P337)))</f>
        <v/>
      </c>
      <c r="P337" s="26">
        <f>IFERROR(MATCH($C$5&amp;"|"&amp;RIGHT("000000"&amp;321,6),CalcRankKey,0),"")</f>
        <v/>
      </c>
    </row>
    <row r="338">
      <c r="A338" s="28">
        <f>IF($B338="","",322)</f>
        <v/>
      </c>
      <c r="B338" s="28">
        <f>IF($P338="","",IF(INDEX(CalcNormDate,$P338)=0,"",INDEX(CalcNormDate,$P338)))</f>
        <v/>
      </c>
      <c r="C338" s="28">
        <f>IF($P338="","",IF(INDEX(CalcTime,$P338)=0,"",INDEX(CalcTime,$P338)))</f>
        <v/>
      </c>
      <c r="D338" s="28">
        <f>IF($P338="","",IF(INDEX(EntryParty,$P338)=0,"",INDEX(EntryParty,$P338)))</f>
        <v/>
      </c>
      <c r="E338" s="28">
        <f>IF($P338="","",IF(INDEX(EntryPartyName,$P338)=0,"",INDEX(EntryPartyName,$P338)))</f>
        <v/>
      </c>
      <c r="F338" s="28">
        <f>IF($P338="","",IF(INDEX(EntryPartyType,$P338)=0,"",INDEX(EntryPartyType,$P338)))</f>
        <v/>
      </c>
      <c r="G338" s="28">
        <f>IF($P338="","",IF(INDEX(EntryTxnType,$P338)=0,"",INDEX(EntryTxnType,$P338)))</f>
        <v/>
      </c>
      <c r="H338" s="29">
        <f>IF($P338="","",IF(INDEX(EntryDep,$P338)=0,"",INDEX(EntryDep,$P338)))</f>
        <v/>
      </c>
      <c r="I338" s="29">
        <f>IF($P338="","",IF(INDEX(EntryWit,$P338)=0,"",INDEX(EntryWit,$P338)))</f>
        <v/>
      </c>
      <c r="J338" s="29">
        <f>IF($B338="","",IF($A338=1,$C$7,IF(J337="",0,J337))+IF($H338="",0,$H338)-IF($I338="",0,$I338))</f>
        <v/>
      </c>
      <c r="K338" s="29">
        <f>IF($P338="","",IF(INDEX(EntryMan,$P338)=0,"",INDEX(EntryMan,$P338)))</f>
        <v/>
      </c>
      <c r="L338" s="28">
        <f>IF($B338="","",IF($K338="","—",IF(ROUND($K338-$J338,0)=0,"√","×")))</f>
        <v/>
      </c>
      <c r="M338" s="28">
        <f>IF($B338="","",IF(COUNTIFS(EntryDates,$B338,CalcTime,$C338,CalcBank,$C$5,EntryParty,$D338,EntryDep,$H338,EntryWit,$I338)&gt;1,"تکرار",""))</f>
        <v/>
      </c>
      <c r="N338" s="28">
        <f>IF($P338="","",IF(INDEX(EntryNotes,$P338)=0,"",INDEX(EntryNotes,$P338)))</f>
        <v/>
      </c>
      <c r="O338" s="28">
        <f>IF($P338="","",IF(INDEX(EntryTxnID,$P338)=0,"",INDEX(EntryTxnID,$P338)))</f>
        <v/>
      </c>
      <c r="P338" s="28">
        <f>IFERROR(MATCH($C$5&amp;"|"&amp;RIGHT("000000"&amp;322,6),CalcRankKey,0),"")</f>
        <v/>
      </c>
    </row>
    <row r="339">
      <c r="A339" s="26">
        <f>IF($B339="","",323)</f>
        <v/>
      </c>
      <c r="B339" s="26">
        <f>IF($P339="","",IF(INDEX(CalcNormDate,$P339)=0,"",INDEX(CalcNormDate,$P339)))</f>
        <v/>
      </c>
      <c r="C339" s="26">
        <f>IF($P339="","",IF(INDEX(CalcTime,$P339)=0,"",INDEX(CalcTime,$P339)))</f>
        <v/>
      </c>
      <c r="D339" s="26">
        <f>IF($P339="","",IF(INDEX(EntryParty,$P339)=0,"",INDEX(EntryParty,$P339)))</f>
        <v/>
      </c>
      <c r="E339" s="26">
        <f>IF($P339="","",IF(INDEX(EntryPartyName,$P339)=0,"",INDEX(EntryPartyName,$P339)))</f>
        <v/>
      </c>
      <c r="F339" s="26">
        <f>IF($P339="","",IF(INDEX(EntryPartyType,$P339)=0,"",INDEX(EntryPartyType,$P339)))</f>
        <v/>
      </c>
      <c r="G339" s="26">
        <f>IF($P339="","",IF(INDEX(EntryTxnType,$P339)=0,"",INDEX(EntryTxnType,$P339)))</f>
        <v/>
      </c>
      <c r="H339" s="27">
        <f>IF($P339="","",IF(INDEX(EntryDep,$P339)=0,"",INDEX(EntryDep,$P339)))</f>
        <v/>
      </c>
      <c r="I339" s="27">
        <f>IF($P339="","",IF(INDEX(EntryWit,$P339)=0,"",INDEX(EntryWit,$P339)))</f>
        <v/>
      </c>
      <c r="J339" s="27">
        <f>IF($B339="","",IF($A339=1,$C$7,IF(J338="",0,J338))+IF($H339="",0,$H339)-IF($I339="",0,$I339))</f>
        <v/>
      </c>
      <c r="K339" s="27">
        <f>IF($P339="","",IF(INDEX(EntryMan,$P339)=0,"",INDEX(EntryMan,$P339)))</f>
        <v/>
      </c>
      <c r="L339" s="26">
        <f>IF($B339="","",IF($K339="","—",IF(ROUND($K339-$J339,0)=0,"√","×")))</f>
        <v/>
      </c>
      <c r="M339" s="26">
        <f>IF($B339="","",IF(COUNTIFS(EntryDates,$B339,CalcTime,$C339,CalcBank,$C$5,EntryParty,$D339,EntryDep,$H339,EntryWit,$I339)&gt;1,"تکرار",""))</f>
        <v/>
      </c>
      <c r="N339" s="26">
        <f>IF($P339="","",IF(INDEX(EntryNotes,$P339)=0,"",INDEX(EntryNotes,$P339)))</f>
        <v/>
      </c>
      <c r="O339" s="26">
        <f>IF($P339="","",IF(INDEX(EntryTxnID,$P339)=0,"",INDEX(EntryTxnID,$P339)))</f>
        <v/>
      </c>
      <c r="P339" s="26">
        <f>IFERROR(MATCH($C$5&amp;"|"&amp;RIGHT("000000"&amp;323,6),CalcRankKey,0),"")</f>
        <v/>
      </c>
    </row>
    <row r="340">
      <c r="A340" s="28">
        <f>IF($B340="","",324)</f>
        <v/>
      </c>
      <c r="B340" s="28">
        <f>IF($P340="","",IF(INDEX(CalcNormDate,$P340)=0,"",INDEX(CalcNormDate,$P340)))</f>
        <v/>
      </c>
      <c r="C340" s="28">
        <f>IF($P340="","",IF(INDEX(CalcTime,$P340)=0,"",INDEX(CalcTime,$P340)))</f>
        <v/>
      </c>
      <c r="D340" s="28">
        <f>IF($P340="","",IF(INDEX(EntryParty,$P340)=0,"",INDEX(EntryParty,$P340)))</f>
        <v/>
      </c>
      <c r="E340" s="28">
        <f>IF($P340="","",IF(INDEX(EntryPartyName,$P340)=0,"",INDEX(EntryPartyName,$P340)))</f>
        <v/>
      </c>
      <c r="F340" s="28">
        <f>IF($P340="","",IF(INDEX(EntryPartyType,$P340)=0,"",INDEX(EntryPartyType,$P340)))</f>
        <v/>
      </c>
      <c r="G340" s="28">
        <f>IF($P340="","",IF(INDEX(EntryTxnType,$P340)=0,"",INDEX(EntryTxnType,$P340)))</f>
        <v/>
      </c>
      <c r="H340" s="29">
        <f>IF($P340="","",IF(INDEX(EntryDep,$P340)=0,"",INDEX(EntryDep,$P340)))</f>
        <v/>
      </c>
      <c r="I340" s="29">
        <f>IF($P340="","",IF(INDEX(EntryWit,$P340)=0,"",INDEX(EntryWit,$P340)))</f>
        <v/>
      </c>
      <c r="J340" s="29">
        <f>IF($B340="","",IF($A340=1,$C$7,IF(J339="",0,J339))+IF($H340="",0,$H340)-IF($I340="",0,$I340))</f>
        <v/>
      </c>
      <c r="K340" s="29">
        <f>IF($P340="","",IF(INDEX(EntryMan,$P340)=0,"",INDEX(EntryMan,$P340)))</f>
        <v/>
      </c>
      <c r="L340" s="28">
        <f>IF($B340="","",IF($K340="","—",IF(ROUND($K340-$J340,0)=0,"√","×")))</f>
        <v/>
      </c>
      <c r="M340" s="28">
        <f>IF($B340="","",IF(COUNTIFS(EntryDates,$B340,CalcTime,$C340,CalcBank,$C$5,EntryParty,$D340,EntryDep,$H340,EntryWit,$I340)&gt;1,"تکرار",""))</f>
        <v/>
      </c>
      <c r="N340" s="28">
        <f>IF($P340="","",IF(INDEX(EntryNotes,$P340)=0,"",INDEX(EntryNotes,$P340)))</f>
        <v/>
      </c>
      <c r="O340" s="28">
        <f>IF($P340="","",IF(INDEX(EntryTxnID,$P340)=0,"",INDEX(EntryTxnID,$P340)))</f>
        <v/>
      </c>
      <c r="P340" s="28">
        <f>IFERROR(MATCH($C$5&amp;"|"&amp;RIGHT("000000"&amp;324,6),CalcRankKey,0),"")</f>
        <v/>
      </c>
    </row>
    <row r="341">
      <c r="A341" s="26">
        <f>IF($B341="","",325)</f>
        <v/>
      </c>
      <c r="B341" s="26">
        <f>IF($P341="","",IF(INDEX(CalcNormDate,$P341)=0,"",INDEX(CalcNormDate,$P341)))</f>
        <v/>
      </c>
      <c r="C341" s="26">
        <f>IF($P341="","",IF(INDEX(CalcTime,$P341)=0,"",INDEX(CalcTime,$P341)))</f>
        <v/>
      </c>
      <c r="D341" s="26">
        <f>IF($P341="","",IF(INDEX(EntryParty,$P341)=0,"",INDEX(EntryParty,$P341)))</f>
        <v/>
      </c>
      <c r="E341" s="26">
        <f>IF($P341="","",IF(INDEX(EntryPartyName,$P341)=0,"",INDEX(EntryPartyName,$P341)))</f>
        <v/>
      </c>
      <c r="F341" s="26">
        <f>IF($P341="","",IF(INDEX(EntryPartyType,$P341)=0,"",INDEX(EntryPartyType,$P341)))</f>
        <v/>
      </c>
      <c r="G341" s="26">
        <f>IF($P341="","",IF(INDEX(EntryTxnType,$P341)=0,"",INDEX(EntryTxnType,$P341)))</f>
        <v/>
      </c>
      <c r="H341" s="27">
        <f>IF($P341="","",IF(INDEX(EntryDep,$P341)=0,"",INDEX(EntryDep,$P341)))</f>
        <v/>
      </c>
      <c r="I341" s="27">
        <f>IF($P341="","",IF(INDEX(EntryWit,$P341)=0,"",INDEX(EntryWit,$P341)))</f>
        <v/>
      </c>
      <c r="J341" s="27">
        <f>IF($B341="","",IF($A341=1,$C$7,IF(J340="",0,J340))+IF($H341="",0,$H341)-IF($I341="",0,$I341))</f>
        <v/>
      </c>
      <c r="K341" s="27">
        <f>IF($P341="","",IF(INDEX(EntryMan,$P341)=0,"",INDEX(EntryMan,$P341)))</f>
        <v/>
      </c>
      <c r="L341" s="26">
        <f>IF($B341="","",IF($K341="","—",IF(ROUND($K341-$J341,0)=0,"√","×")))</f>
        <v/>
      </c>
      <c r="M341" s="26">
        <f>IF($B341="","",IF(COUNTIFS(EntryDates,$B341,CalcTime,$C341,CalcBank,$C$5,EntryParty,$D341,EntryDep,$H341,EntryWit,$I341)&gt;1,"تکرار",""))</f>
        <v/>
      </c>
      <c r="N341" s="26">
        <f>IF($P341="","",IF(INDEX(EntryNotes,$P341)=0,"",INDEX(EntryNotes,$P341)))</f>
        <v/>
      </c>
      <c r="O341" s="26">
        <f>IF($P341="","",IF(INDEX(EntryTxnID,$P341)=0,"",INDEX(EntryTxnID,$P341)))</f>
        <v/>
      </c>
      <c r="P341" s="26">
        <f>IFERROR(MATCH($C$5&amp;"|"&amp;RIGHT("000000"&amp;325,6),CalcRankKey,0),"")</f>
        <v/>
      </c>
    </row>
    <row r="342">
      <c r="A342" s="28">
        <f>IF($B342="","",326)</f>
        <v/>
      </c>
      <c r="B342" s="28">
        <f>IF($P342="","",IF(INDEX(CalcNormDate,$P342)=0,"",INDEX(CalcNormDate,$P342)))</f>
        <v/>
      </c>
      <c r="C342" s="28">
        <f>IF($P342="","",IF(INDEX(CalcTime,$P342)=0,"",INDEX(CalcTime,$P342)))</f>
        <v/>
      </c>
      <c r="D342" s="28">
        <f>IF($P342="","",IF(INDEX(EntryParty,$P342)=0,"",INDEX(EntryParty,$P342)))</f>
        <v/>
      </c>
      <c r="E342" s="28">
        <f>IF($P342="","",IF(INDEX(EntryPartyName,$P342)=0,"",INDEX(EntryPartyName,$P342)))</f>
        <v/>
      </c>
      <c r="F342" s="28">
        <f>IF($P342="","",IF(INDEX(EntryPartyType,$P342)=0,"",INDEX(EntryPartyType,$P342)))</f>
        <v/>
      </c>
      <c r="G342" s="28">
        <f>IF($P342="","",IF(INDEX(EntryTxnType,$P342)=0,"",INDEX(EntryTxnType,$P342)))</f>
        <v/>
      </c>
      <c r="H342" s="29">
        <f>IF($P342="","",IF(INDEX(EntryDep,$P342)=0,"",INDEX(EntryDep,$P342)))</f>
        <v/>
      </c>
      <c r="I342" s="29">
        <f>IF($P342="","",IF(INDEX(EntryWit,$P342)=0,"",INDEX(EntryWit,$P342)))</f>
        <v/>
      </c>
      <c r="J342" s="29">
        <f>IF($B342="","",IF($A342=1,$C$7,IF(J341="",0,J341))+IF($H342="",0,$H342)-IF($I342="",0,$I342))</f>
        <v/>
      </c>
      <c r="K342" s="29">
        <f>IF($P342="","",IF(INDEX(EntryMan,$P342)=0,"",INDEX(EntryMan,$P342)))</f>
        <v/>
      </c>
      <c r="L342" s="28">
        <f>IF($B342="","",IF($K342="","—",IF(ROUND($K342-$J342,0)=0,"√","×")))</f>
        <v/>
      </c>
      <c r="M342" s="28">
        <f>IF($B342="","",IF(COUNTIFS(EntryDates,$B342,CalcTime,$C342,CalcBank,$C$5,EntryParty,$D342,EntryDep,$H342,EntryWit,$I342)&gt;1,"تکرار",""))</f>
        <v/>
      </c>
      <c r="N342" s="28">
        <f>IF($P342="","",IF(INDEX(EntryNotes,$P342)=0,"",INDEX(EntryNotes,$P342)))</f>
        <v/>
      </c>
      <c r="O342" s="28">
        <f>IF($P342="","",IF(INDEX(EntryTxnID,$P342)=0,"",INDEX(EntryTxnID,$P342)))</f>
        <v/>
      </c>
      <c r="P342" s="28">
        <f>IFERROR(MATCH($C$5&amp;"|"&amp;RIGHT("000000"&amp;326,6),CalcRankKey,0),"")</f>
        <v/>
      </c>
    </row>
    <row r="343">
      <c r="A343" s="26">
        <f>IF($B343="","",327)</f>
        <v/>
      </c>
      <c r="B343" s="26">
        <f>IF($P343="","",IF(INDEX(CalcNormDate,$P343)=0,"",INDEX(CalcNormDate,$P343)))</f>
        <v/>
      </c>
      <c r="C343" s="26">
        <f>IF($P343="","",IF(INDEX(CalcTime,$P343)=0,"",INDEX(CalcTime,$P343)))</f>
        <v/>
      </c>
      <c r="D343" s="26">
        <f>IF($P343="","",IF(INDEX(EntryParty,$P343)=0,"",INDEX(EntryParty,$P343)))</f>
        <v/>
      </c>
      <c r="E343" s="26">
        <f>IF($P343="","",IF(INDEX(EntryPartyName,$P343)=0,"",INDEX(EntryPartyName,$P343)))</f>
        <v/>
      </c>
      <c r="F343" s="26">
        <f>IF($P343="","",IF(INDEX(EntryPartyType,$P343)=0,"",INDEX(EntryPartyType,$P343)))</f>
        <v/>
      </c>
      <c r="G343" s="26">
        <f>IF($P343="","",IF(INDEX(EntryTxnType,$P343)=0,"",INDEX(EntryTxnType,$P343)))</f>
        <v/>
      </c>
      <c r="H343" s="27">
        <f>IF($P343="","",IF(INDEX(EntryDep,$P343)=0,"",INDEX(EntryDep,$P343)))</f>
        <v/>
      </c>
      <c r="I343" s="27">
        <f>IF($P343="","",IF(INDEX(EntryWit,$P343)=0,"",INDEX(EntryWit,$P343)))</f>
        <v/>
      </c>
      <c r="J343" s="27">
        <f>IF($B343="","",IF($A343=1,$C$7,IF(J342="",0,J342))+IF($H343="",0,$H343)-IF($I343="",0,$I343))</f>
        <v/>
      </c>
      <c r="K343" s="27">
        <f>IF($P343="","",IF(INDEX(EntryMan,$P343)=0,"",INDEX(EntryMan,$P343)))</f>
        <v/>
      </c>
      <c r="L343" s="26">
        <f>IF($B343="","",IF($K343="","—",IF(ROUND($K343-$J343,0)=0,"√","×")))</f>
        <v/>
      </c>
      <c r="M343" s="26">
        <f>IF($B343="","",IF(COUNTIFS(EntryDates,$B343,CalcTime,$C343,CalcBank,$C$5,EntryParty,$D343,EntryDep,$H343,EntryWit,$I343)&gt;1,"تکرار",""))</f>
        <v/>
      </c>
      <c r="N343" s="26">
        <f>IF($P343="","",IF(INDEX(EntryNotes,$P343)=0,"",INDEX(EntryNotes,$P343)))</f>
        <v/>
      </c>
      <c r="O343" s="26">
        <f>IF($P343="","",IF(INDEX(EntryTxnID,$P343)=0,"",INDEX(EntryTxnID,$P343)))</f>
        <v/>
      </c>
      <c r="P343" s="26">
        <f>IFERROR(MATCH($C$5&amp;"|"&amp;RIGHT("000000"&amp;327,6),CalcRankKey,0),"")</f>
        <v/>
      </c>
    </row>
    <row r="344">
      <c r="A344" s="28">
        <f>IF($B344="","",328)</f>
        <v/>
      </c>
      <c r="B344" s="28">
        <f>IF($P344="","",IF(INDEX(CalcNormDate,$P344)=0,"",INDEX(CalcNormDate,$P344)))</f>
        <v/>
      </c>
      <c r="C344" s="28">
        <f>IF($P344="","",IF(INDEX(CalcTime,$P344)=0,"",INDEX(CalcTime,$P344)))</f>
        <v/>
      </c>
      <c r="D344" s="28">
        <f>IF($P344="","",IF(INDEX(EntryParty,$P344)=0,"",INDEX(EntryParty,$P344)))</f>
        <v/>
      </c>
      <c r="E344" s="28">
        <f>IF($P344="","",IF(INDEX(EntryPartyName,$P344)=0,"",INDEX(EntryPartyName,$P344)))</f>
        <v/>
      </c>
      <c r="F344" s="28">
        <f>IF($P344="","",IF(INDEX(EntryPartyType,$P344)=0,"",INDEX(EntryPartyType,$P344)))</f>
        <v/>
      </c>
      <c r="G344" s="28">
        <f>IF($P344="","",IF(INDEX(EntryTxnType,$P344)=0,"",INDEX(EntryTxnType,$P344)))</f>
        <v/>
      </c>
      <c r="H344" s="29">
        <f>IF($P344="","",IF(INDEX(EntryDep,$P344)=0,"",INDEX(EntryDep,$P344)))</f>
        <v/>
      </c>
      <c r="I344" s="29">
        <f>IF($P344="","",IF(INDEX(EntryWit,$P344)=0,"",INDEX(EntryWit,$P344)))</f>
        <v/>
      </c>
      <c r="J344" s="29">
        <f>IF($B344="","",IF($A344=1,$C$7,IF(J343="",0,J343))+IF($H344="",0,$H344)-IF($I344="",0,$I344))</f>
        <v/>
      </c>
      <c r="K344" s="29">
        <f>IF($P344="","",IF(INDEX(EntryMan,$P344)=0,"",INDEX(EntryMan,$P344)))</f>
        <v/>
      </c>
      <c r="L344" s="28">
        <f>IF($B344="","",IF($K344="","—",IF(ROUND($K344-$J344,0)=0,"√","×")))</f>
        <v/>
      </c>
      <c r="M344" s="28">
        <f>IF($B344="","",IF(COUNTIFS(EntryDates,$B344,CalcTime,$C344,CalcBank,$C$5,EntryParty,$D344,EntryDep,$H344,EntryWit,$I344)&gt;1,"تکرار",""))</f>
        <v/>
      </c>
      <c r="N344" s="28">
        <f>IF($P344="","",IF(INDEX(EntryNotes,$P344)=0,"",INDEX(EntryNotes,$P344)))</f>
        <v/>
      </c>
      <c r="O344" s="28">
        <f>IF($P344="","",IF(INDEX(EntryTxnID,$P344)=0,"",INDEX(EntryTxnID,$P344)))</f>
        <v/>
      </c>
      <c r="P344" s="28">
        <f>IFERROR(MATCH($C$5&amp;"|"&amp;RIGHT("000000"&amp;328,6),CalcRankKey,0),"")</f>
        <v/>
      </c>
    </row>
    <row r="345">
      <c r="A345" s="26">
        <f>IF($B345="","",329)</f>
        <v/>
      </c>
      <c r="B345" s="26">
        <f>IF($P345="","",IF(INDEX(CalcNormDate,$P345)=0,"",INDEX(CalcNormDate,$P345)))</f>
        <v/>
      </c>
      <c r="C345" s="26">
        <f>IF($P345="","",IF(INDEX(CalcTime,$P345)=0,"",INDEX(CalcTime,$P345)))</f>
        <v/>
      </c>
      <c r="D345" s="26">
        <f>IF($P345="","",IF(INDEX(EntryParty,$P345)=0,"",INDEX(EntryParty,$P345)))</f>
        <v/>
      </c>
      <c r="E345" s="26">
        <f>IF($P345="","",IF(INDEX(EntryPartyName,$P345)=0,"",INDEX(EntryPartyName,$P345)))</f>
        <v/>
      </c>
      <c r="F345" s="26">
        <f>IF($P345="","",IF(INDEX(EntryPartyType,$P345)=0,"",INDEX(EntryPartyType,$P345)))</f>
        <v/>
      </c>
      <c r="G345" s="26">
        <f>IF($P345="","",IF(INDEX(EntryTxnType,$P345)=0,"",INDEX(EntryTxnType,$P345)))</f>
        <v/>
      </c>
      <c r="H345" s="27">
        <f>IF($P345="","",IF(INDEX(EntryDep,$P345)=0,"",INDEX(EntryDep,$P345)))</f>
        <v/>
      </c>
      <c r="I345" s="27">
        <f>IF($P345="","",IF(INDEX(EntryWit,$P345)=0,"",INDEX(EntryWit,$P345)))</f>
        <v/>
      </c>
      <c r="J345" s="27">
        <f>IF($B345="","",IF($A345=1,$C$7,IF(J344="",0,J344))+IF($H345="",0,$H345)-IF($I345="",0,$I345))</f>
        <v/>
      </c>
      <c r="K345" s="27">
        <f>IF($P345="","",IF(INDEX(EntryMan,$P345)=0,"",INDEX(EntryMan,$P345)))</f>
        <v/>
      </c>
      <c r="L345" s="26">
        <f>IF($B345="","",IF($K345="","—",IF(ROUND($K345-$J345,0)=0,"√","×")))</f>
        <v/>
      </c>
      <c r="M345" s="26">
        <f>IF($B345="","",IF(COUNTIFS(EntryDates,$B345,CalcTime,$C345,CalcBank,$C$5,EntryParty,$D345,EntryDep,$H345,EntryWit,$I345)&gt;1,"تکرار",""))</f>
        <v/>
      </c>
      <c r="N345" s="26">
        <f>IF($P345="","",IF(INDEX(EntryNotes,$P345)=0,"",INDEX(EntryNotes,$P345)))</f>
        <v/>
      </c>
      <c r="O345" s="26">
        <f>IF($P345="","",IF(INDEX(EntryTxnID,$P345)=0,"",INDEX(EntryTxnID,$P345)))</f>
        <v/>
      </c>
      <c r="P345" s="26">
        <f>IFERROR(MATCH($C$5&amp;"|"&amp;RIGHT("000000"&amp;329,6),CalcRankKey,0),"")</f>
        <v/>
      </c>
    </row>
    <row r="346">
      <c r="A346" s="28">
        <f>IF($B346="","",330)</f>
        <v/>
      </c>
      <c r="B346" s="28">
        <f>IF($P346="","",IF(INDEX(CalcNormDate,$P346)=0,"",INDEX(CalcNormDate,$P346)))</f>
        <v/>
      </c>
      <c r="C346" s="28">
        <f>IF($P346="","",IF(INDEX(CalcTime,$P346)=0,"",INDEX(CalcTime,$P346)))</f>
        <v/>
      </c>
      <c r="D346" s="28">
        <f>IF($P346="","",IF(INDEX(EntryParty,$P346)=0,"",INDEX(EntryParty,$P346)))</f>
        <v/>
      </c>
      <c r="E346" s="28">
        <f>IF($P346="","",IF(INDEX(EntryPartyName,$P346)=0,"",INDEX(EntryPartyName,$P346)))</f>
        <v/>
      </c>
      <c r="F346" s="28">
        <f>IF($P346="","",IF(INDEX(EntryPartyType,$P346)=0,"",INDEX(EntryPartyType,$P346)))</f>
        <v/>
      </c>
      <c r="G346" s="28">
        <f>IF($P346="","",IF(INDEX(EntryTxnType,$P346)=0,"",INDEX(EntryTxnType,$P346)))</f>
        <v/>
      </c>
      <c r="H346" s="29">
        <f>IF($P346="","",IF(INDEX(EntryDep,$P346)=0,"",INDEX(EntryDep,$P346)))</f>
        <v/>
      </c>
      <c r="I346" s="29">
        <f>IF($P346="","",IF(INDEX(EntryWit,$P346)=0,"",INDEX(EntryWit,$P346)))</f>
        <v/>
      </c>
      <c r="J346" s="29">
        <f>IF($B346="","",IF($A346=1,$C$7,IF(J345="",0,J345))+IF($H346="",0,$H346)-IF($I346="",0,$I346))</f>
        <v/>
      </c>
      <c r="K346" s="29">
        <f>IF($P346="","",IF(INDEX(EntryMan,$P346)=0,"",INDEX(EntryMan,$P346)))</f>
        <v/>
      </c>
      <c r="L346" s="28">
        <f>IF($B346="","",IF($K346="","—",IF(ROUND($K346-$J346,0)=0,"√","×")))</f>
        <v/>
      </c>
      <c r="M346" s="28">
        <f>IF($B346="","",IF(COUNTIFS(EntryDates,$B346,CalcTime,$C346,CalcBank,$C$5,EntryParty,$D346,EntryDep,$H346,EntryWit,$I346)&gt;1,"تکرار",""))</f>
        <v/>
      </c>
      <c r="N346" s="28">
        <f>IF($P346="","",IF(INDEX(EntryNotes,$P346)=0,"",INDEX(EntryNotes,$P346)))</f>
        <v/>
      </c>
      <c r="O346" s="28">
        <f>IF($P346="","",IF(INDEX(EntryTxnID,$P346)=0,"",INDEX(EntryTxnID,$P346)))</f>
        <v/>
      </c>
      <c r="P346" s="28">
        <f>IFERROR(MATCH($C$5&amp;"|"&amp;RIGHT("000000"&amp;330,6),CalcRankKey,0),"")</f>
        <v/>
      </c>
    </row>
    <row r="347">
      <c r="A347" s="26">
        <f>IF($B347="","",331)</f>
        <v/>
      </c>
      <c r="B347" s="26">
        <f>IF($P347="","",IF(INDEX(CalcNormDate,$P347)=0,"",INDEX(CalcNormDate,$P347)))</f>
        <v/>
      </c>
      <c r="C347" s="26">
        <f>IF($P347="","",IF(INDEX(CalcTime,$P347)=0,"",INDEX(CalcTime,$P347)))</f>
        <v/>
      </c>
      <c r="D347" s="26">
        <f>IF($P347="","",IF(INDEX(EntryParty,$P347)=0,"",INDEX(EntryParty,$P347)))</f>
        <v/>
      </c>
      <c r="E347" s="26">
        <f>IF($P347="","",IF(INDEX(EntryPartyName,$P347)=0,"",INDEX(EntryPartyName,$P347)))</f>
        <v/>
      </c>
      <c r="F347" s="26">
        <f>IF($P347="","",IF(INDEX(EntryPartyType,$P347)=0,"",INDEX(EntryPartyType,$P347)))</f>
        <v/>
      </c>
      <c r="G347" s="26">
        <f>IF($P347="","",IF(INDEX(EntryTxnType,$P347)=0,"",INDEX(EntryTxnType,$P347)))</f>
        <v/>
      </c>
      <c r="H347" s="27">
        <f>IF($P347="","",IF(INDEX(EntryDep,$P347)=0,"",INDEX(EntryDep,$P347)))</f>
        <v/>
      </c>
      <c r="I347" s="27">
        <f>IF($P347="","",IF(INDEX(EntryWit,$P347)=0,"",INDEX(EntryWit,$P347)))</f>
        <v/>
      </c>
      <c r="J347" s="27">
        <f>IF($B347="","",IF($A347=1,$C$7,IF(J346="",0,J346))+IF($H347="",0,$H347)-IF($I347="",0,$I347))</f>
        <v/>
      </c>
      <c r="K347" s="27">
        <f>IF($P347="","",IF(INDEX(EntryMan,$P347)=0,"",INDEX(EntryMan,$P347)))</f>
        <v/>
      </c>
      <c r="L347" s="26">
        <f>IF($B347="","",IF($K347="","—",IF(ROUND($K347-$J347,0)=0,"√","×")))</f>
        <v/>
      </c>
      <c r="M347" s="26">
        <f>IF($B347="","",IF(COUNTIFS(EntryDates,$B347,CalcTime,$C347,CalcBank,$C$5,EntryParty,$D347,EntryDep,$H347,EntryWit,$I347)&gt;1,"تکرار",""))</f>
        <v/>
      </c>
      <c r="N347" s="26">
        <f>IF($P347="","",IF(INDEX(EntryNotes,$P347)=0,"",INDEX(EntryNotes,$P347)))</f>
        <v/>
      </c>
      <c r="O347" s="26">
        <f>IF($P347="","",IF(INDEX(EntryTxnID,$P347)=0,"",INDEX(EntryTxnID,$P347)))</f>
        <v/>
      </c>
      <c r="P347" s="26">
        <f>IFERROR(MATCH($C$5&amp;"|"&amp;RIGHT("000000"&amp;331,6),CalcRankKey,0),"")</f>
        <v/>
      </c>
    </row>
    <row r="348">
      <c r="A348" s="28">
        <f>IF($B348="","",332)</f>
        <v/>
      </c>
      <c r="B348" s="28">
        <f>IF($P348="","",IF(INDEX(CalcNormDate,$P348)=0,"",INDEX(CalcNormDate,$P348)))</f>
        <v/>
      </c>
      <c r="C348" s="28">
        <f>IF($P348="","",IF(INDEX(CalcTime,$P348)=0,"",INDEX(CalcTime,$P348)))</f>
        <v/>
      </c>
      <c r="D348" s="28">
        <f>IF($P348="","",IF(INDEX(EntryParty,$P348)=0,"",INDEX(EntryParty,$P348)))</f>
        <v/>
      </c>
      <c r="E348" s="28">
        <f>IF($P348="","",IF(INDEX(EntryPartyName,$P348)=0,"",INDEX(EntryPartyName,$P348)))</f>
        <v/>
      </c>
      <c r="F348" s="28">
        <f>IF($P348="","",IF(INDEX(EntryPartyType,$P348)=0,"",INDEX(EntryPartyType,$P348)))</f>
        <v/>
      </c>
      <c r="G348" s="28">
        <f>IF($P348="","",IF(INDEX(EntryTxnType,$P348)=0,"",INDEX(EntryTxnType,$P348)))</f>
        <v/>
      </c>
      <c r="H348" s="29">
        <f>IF($P348="","",IF(INDEX(EntryDep,$P348)=0,"",INDEX(EntryDep,$P348)))</f>
        <v/>
      </c>
      <c r="I348" s="29">
        <f>IF($P348="","",IF(INDEX(EntryWit,$P348)=0,"",INDEX(EntryWit,$P348)))</f>
        <v/>
      </c>
      <c r="J348" s="29">
        <f>IF($B348="","",IF($A348=1,$C$7,IF(J347="",0,J347))+IF($H348="",0,$H348)-IF($I348="",0,$I348))</f>
        <v/>
      </c>
      <c r="K348" s="29">
        <f>IF($P348="","",IF(INDEX(EntryMan,$P348)=0,"",INDEX(EntryMan,$P348)))</f>
        <v/>
      </c>
      <c r="L348" s="28">
        <f>IF($B348="","",IF($K348="","—",IF(ROUND($K348-$J348,0)=0,"√","×")))</f>
        <v/>
      </c>
      <c r="M348" s="28">
        <f>IF($B348="","",IF(COUNTIFS(EntryDates,$B348,CalcTime,$C348,CalcBank,$C$5,EntryParty,$D348,EntryDep,$H348,EntryWit,$I348)&gt;1,"تکرار",""))</f>
        <v/>
      </c>
      <c r="N348" s="28">
        <f>IF($P348="","",IF(INDEX(EntryNotes,$P348)=0,"",INDEX(EntryNotes,$P348)))</f>
        <v/>
      </c>
      <c r="O348" s="28">
        <f>IF($P348="","",IF(INDEX(EntryTxnID,$P348)=0,"",INDEX(EntryTxnID,$P348)))</f>
        <v/>
      </c>
      <c r="P348" s="28">
        <f>IFERROR(MATCH($C$5&amp;"|"&amp;RIGHT("000000"&amp;332,6),CalcRankKey,0),"")</f>
        <v/>
      </c>
    </row>
    <row r="349">
      <c r="A349" s="26">
        <f>IF($B349="","",333)</f>
        <v/>
      </c>
      <c r="B349" s="26">
        <f>IF($P349="","",IF(INDEX(CalcNormDate,$P349)=0,"",INDEX(CalcNormDate,$P349)))</f>
        <v/>
      </c>
      <c r="C349" s="26">
        <f>IF($P349="","",IF(INDEX(CalcTime,$P349)=0,"",INDEX(CalcTime,$P349)))</f>
        <v/>
      </c>
      <c r="D349" s="26">
        <f>IF($P349="","",IF(INDEX(EntryParty,$P349)=0,"",INDEX(EntryParty,$P349)))</f>
        <v/>
      </c>
      <c r="E349" s="26">
        <f>IF($P349="","",IF(INDEX(EntryPartyName,$P349)=0,"",INDEX(EntryPartyName,$P349)))</f>
        <v/>
      </c>
      <c r="F349" s="26">
        <f>IF($P349="","",IF(INDEX(EntryPartyType,$P349)=0,"",INDEX(EntryPartyType,$P349)))</f>
        <v/>
      </c>
      <c r="G349" s="26">
        <f>IF($P349="","",IF(INDEX(EntryTxnType,$P349)=0,"",INDEX(EntryTxnType,$P349)))</f>
        <v/>
      </c>
      <c r="H349" s="27">
        <f>IF($P349="","",IF(INDEX(EntryDep,$P349)=0,"",INDEX(EntryDep,$P349)))</f>
        <v/>
      </c>
      <c r="I349" s="27">
        <f>IF($P349="","",IF(INDEX(EntryWit,$P349)=0,"",INDEX(EntryWit,$P349)))</f>
        <v/>
      </c>
      <c r="J349" s="27">
        <f>IF($B349="","",IF($A349=1,$C$7,IF(J348="",0,J348))+IF($H349="",0,$H349)-IF($I349="",0,$I349))</f>
        <v/>
      </c>
      <c r="K349" s="27">
        <f>IF($P349="","",IF(INDEX(EntryMan,$P349)=0,"",INDEX(EntryMan,$P349)))</f>
        <v/>
      </c>
      <c r="L349" s="26">
        <f>IF($B349="","",IF($K349="","—",IF(ROUND($K349-$J349,0)=0,"√","×")))</f>
        <v/>
      </c>
      <c r="M349" s="26">
        <f>IF($B349="","",IF(COUNTIFS(EntryDates,$B349,CalcTime,$C349,CalcBank,$C$5,EntryParty,$D349,EntryDep,$H349,EntryWit,$I349)&gt;1,"تکرار",""))</f>
        <v/>
      </c>
      <c r="N349" s="26">
        <f>IF($P349="","",IF(INDEX(EntryNotes,$P349)=0,"",INDEX(EntryNotes,$P349)))</f>
        <v/>
      </c>
      <c r="O349" s="26">
        <f>IF($P349="","",IF(INDEX(EntryTxnID,$P349)=0,"",INDEX(EntryTxnID,$P349)))</f>
        <v/>
      </c>
      <c r="P349" s="26">
        <f>IFERROR(MATCH($C$5&amp;"|"&amp;RIGHT("000000"&amp;333,6),CalcRankKey,0),"")</f>
        <v/>
      </c>
    </row>
    <row r="350">
      <c r="A350" s="28">
        <f>IF($B350="","",334)</f>
        <v/>
      </c>
      <c r="B350" s="28">
        <f>IF($P350="","",IF(INDEX(CalcNormDate,$P350)=0,"",INDEX(CalcNormDate,$P350)))</f>
        <v/>
      </c>
      <c r="C350" s="28">
        <f>IF($P350="","",IF(INDEX(CalcTime,$P350)=0,"",INDEX(CalcTime,$P350)))</f>
        <v/>
      </c>
      <c r="D350" s="28">
        <f>IF($P350="","",IF(INDEX(EntryParty,$P350)=0,"",INDEX(EntryParty,$P350)))</f>
        <v/>
      </c>
      <c r="E350" s="28">
        <f>IF($P350="","",IF(INDEX(EntryPartyName,$P350)=0,"",INDEX(EntryPartyName,$P350)))</f>
        <v/>
      </c>
      <c r="F350" s="28">
        <f>IF($P350="","",IF(INDEX(EntryPartyType,$P350)=0,"",INDEX(EntryPartyType,$P350)))</f>
        <v/>
      </c>
      <c r="G350" s="28">
        <f>IF($P350="","",IF(INDEX(EntryTxnType,$P350)=0,"",INDEX(EntryTxnType,$P350)))</f>
        <v/>
      </c>
      <c r="H350" s="29">
        <f>IF($P350="","",IF(INDEX(EntryDep,$P350)=0,"",INDEX(EntryDep,$P350)))</f>
        <v/>
      </c>
      <c r="I350" s="29">
        <f>IF($P350="","",IF(INDEX(EntryWit,$P350)=0,"",INDEX(EntryWit,$P350)))</f>
        <v/>
      </c>
      <c r="J350" s="29">
        <f>IF($B350="","",IF($A350=1,$C$7,IF(J349="",0,J349))+IF($H350="",0,$H350)-IF($I350="",0,$I350))</f>
        <v/>
      </c>
      <c r="K350" s="29">
        <f>IF($P350="","",IF(INDEX(EntryMan,$P350)=0,"",INDEX(EntryMan,$P350)))</f>
        <v/>
      </c>
      <c r="L350" s="28">
        <f>IF($B350="","",IF($K350="","—",IF(ROUND($K350-$J350,0)=0,"√","×")))</f>
        <v/>
      </c>
      <c r="M350" s="28">
        <f>IF($B350="","",IF(COUNTIFS(EntryDates,$B350,CalcTime,$C350,CalcBank,$C$5,EntryParty,$D350,EntryDep,$H350,EntryWit,$I350)&gt;1,"تکرار",""))</f>
        <v/>
      </c>
      <c r="N350" s="28">
        <f>IF($P350="","",IF(INDEX(EntryNotes,$P350)=0,"",INDEX(EntryNotes,$P350)))</f>
        <v/>
      </c>
      <c r="O350" s="28">
        <f>IF($P350="","",IF(INDEX(EntryTxnID,$P350)=0,"",INDEX(EntryTxnID,$P350)))</f>
        <v/>
      </c>
      <c r="P350" s="28">
        <f>IFERROR(MATCH($C$5&amp;"|"&amp;RIGHT("000000"&amp;334,6),CalcRankKey,0),"")</f>
        <v/>
      </c>
    </row>
    <row r="351">
      <c r="A351" s="26">
        <f>IF($B351="","",335)</f>
        <v/>
      </c>
      <c r="B351" s="26">
        <f>IF($P351="","",IF(INDEX(CalcNormDate,$P351)=0,"",INDEX(CalcNormDate,$P351)))</f>
        <v/>
      </c>
      <c r="C351" s="26">
        <f>IF($P351="","",IF(INDEX(CalcTime,$P351)=0,"",INDEX(CalcTime,$P351)))</f>
        <v/>
      </c>
      <c r="D351" s="26">
        <f>IF($P351="","",IF(INDEX(EntryParty,$P351)=0,"",INDEX(EntryParty,$P351)))</f>
        <v/>
      </c>
      <c r="E351" s="26">
        <f>IF($P351="","",IF(INDEX(EntryPartyName,$P351)=0,"",INDEX(EntryPartyName,$P351)))</f>
        <v/>
      </c>
      <c r="F351" s="26">
        <f>IF($P351="","",IF(INDEX(EntryPartyType,$P351)=0,"",INDEX(EntryPartyType,$P351)))</f>
        <v/>
      </c>
      <c r="G351" s="26">
        <f>IF($P351="","",IF(INDEX(EntryTxnType,$P351)=0,"",INDEX(EntryTxnType,$P351)))</f>
        <v/>
      </c>
      <c r="H351" s="27">
        <f>IF($P351="","",IF(INDEX(EntryDep,$P351)=0,"",INDEX(EntryDep,$P351)))</f>
        <v/>
      </c>
      <c r="I351" s="27">
        <f>IF($P351="","",IF(INDEX(EntryWit,$P351)=0,"",INDEX(EntryWit,$P351)))</f>
        <v/>
      </c>
      <c r="J351" s="27">
        <f>IF($B351="","",IF($A351=1,$C$7,IF(J350="",0,J350))+IF($H351="",0,$H351)-IF($I351="",0,$I351))</f>
        <v/>
      </c>
      <c r="K351" s="27">
        <f>IF($P351="","",IF(INDEX(EntryMan,$P351)=0,"",INDEX(EntryMan,$P351)))</f>
        <v/>
      </c>
      <c r="L351" s="26">
        <f>IF($B351="","",IF($K351="","—",IF(ROUND($K351-$J351,0)=0,"√","×")))</f>
        <v/>
      </c>
      <c r="M351" s="26">
        <f>IF($B351="","",IF(COUNTIFS(EntryDates,$B351,CalcTime,$C351,CalcBank,$C$5,EntryParty,$D351,EntryDep,$H351,EntryWit,$I351)&gt;1,"تکرار",""))</f>
        <v/>
      </c>
      <c r="N351" s="26">
        <f>IF($P351="","",IF(INDEX(EntryNotes,$P351)=0,"",INDEX(EntryNotes,$P351)))</f>
        <v/>
      </c>
      <c r="O351" s="26">
        <f>IF($P351="","",IF(INDEX(EntryTxnID,$P351)=0,"",INDEX(EntryTxnID,$P351)))</f>
        <v/>
      </c>
      <c r="P351" s="26">
        <f>IFERROR(MATCH($C$5&amp;"|"&amp;RIGHT("000000"&amp;335,6),CalcRankKey,0),"")</f>
        <v/>
      </c>
    </row>
    <row r="352">
      <c r="A352" s="28">
        <f>IF($B352="","",336)</f>
        <v/>
      </c>
      <c r="B352" s="28">
        <f>IF($P352="","",IF(INDEX(CalcNormDate,$P352)=0,"",INDEX(CalcNormDate,$P352)))</f>
        <v/>
      </c>
      <c r="C352" s="28">
        <f>IF($P352="","",IF(INDEX(CalcTime,$P352)=0,"",INDEX(CalcTime,$P352)))</f>
        <v/>
      </c>
      <c r="D352" s="28">
        <f>IF($P352="","",IF(INDEX(EntryParty,$P352)=0,"",INDEX(EntryParty,$P352)))</f>
        <v/>
      </c>
      <c r="E352" s="28">
        <f>IF($P352="","",IF(INDEX(EntryPartyName,$P352)=0,"",INDEX(EntryPartyName,$P352)))</f>
        <v/>
      </c>
      <c r="F352" s="28">
        <f>IF($P352="","",IF(INDEX(EntryPartyType,$P352)=0,"",INDEX(EntryPartyType,$P352)))</f>
        <v/>
      </c>
      <c r="G352" s="28">
        <f>IF($P352="","",IF(INDEX(EntryTxnType,$P352)=0,"",INDEX(EntryTxnType,$P352)))</f>
        <v/>
      </c>
      <c r="H352" s="29">
        <f>IF($P352="","",IF(INDEX(EntryDep,$P352)=0,"",INDEX(EntryDep,$P352)))</f>
        <v/>
      </c>
      <c r="I352" s="29">
        <f>IF($P352="","",IF(INDEX(EntryWit,$P352)=0,"",INDEX(EntryWit,$P352)))</f>
        <v/>
      </c>
      <c r="J352" s="29">
        <f>IF($B352="","",IF($A352=1,$C$7,IF(J351="",0,J351))+IF($H352="",0,$H352)-IF($I352="",0,$I352))</f>
        <v/>
      </c>
      <c r="K352" s="29">
        <f>IF($P352="","",IF(INDEX(EntryMan,$P352)=0,"",INDEX(EntryMan,$P352)))</f>
        <v/>
      </c>
      <c r="L352" s="28">
        <f>IF($B352="","",IF($K352="","—",IF(ROUND($K352-$J352,0)=0,"√","×")))</f>
        <v/>
      </c>
      <c r="M352" s="28">
        <f>IF($B352="","",IF(COUNTIFS(EntryDates,$B352,CalcTime,$C352,CalcBank,$C$5,EntryParty,$D352,EntryDep,$H352,EntryWit,$I352)&gt;1,"تکرار",""))</f>
        <v/>
      </c>
      <c r="N352" s="28">
        <f>IF($P352="","",IF(INDEX(EntryNotes,$P352)=0,"",INDEX(EntryNotes,$P352)))</f>
        <v/>
      </c>
      <c r="O352" s="28">
        <f>IF($P352="","",IF(INDEX(EntryTxnID,$P352)=0,"",INDEX(EntryTxnID,$P352)))</f>
        <v/>
      </c>
      <c r="P352" s="28">
        <f>IFERROR(MATCH($C$5&amp;"|"&amp;RIGHT("000000"&amp;336,6),CalcRankKey,0),"")</f>
        <v/>
      </c>
    </row>
    <row r="353">
      <c r="A353" s="26">
        <f>IF($B353="","",337)</f>
        <v/>
      </c>
      <c r="B353" s="26">
        <f>IF($P353="","",IF(INDEX(CalcNormDate,$P353)=0,"",INDEX(CalcNormDate,$P353)))</f>
        <v/>
      </c>
      <c r="C353" s="26">
        <f>IF($P353="","",IF(INDEX(CalcTime,$P353)=0,"",INDEX(CalcTime,$P353)))</f>
        <v/>
      </c>
      <c r="D353" s="26">
        <f>IF($P353="","",IF(INDEX(EntryParty,$P353)=0,"",INDEX(EntryParty,$P353)))</f>
        <v/>
      </c>
      <c r="E353" s="26">
        <f>IF($P353="","",IF(INDEX(EntryPartyName,$P353)=0,"",INDEX(EntryPartyName,$P353)))</f>
        <v/>
      </c>
      <c r="F353" s="26">
        <f>IF($P353="","",IF(INDEX(EntryPartyType,$P353)=0,"",INDEX(EntryPartyType,$P353)))</f>
        <v/>
      </c>
      <c r="G353" s="26">
        <f>IF($P353="","",IF(INDEX(EntryTxnType,$P353)=0,"",INDEX(EntryTxnType,$P353)))</f>
        <v/>
      </c>
      <c r="H353" s="27">
        <f>IF($P353="","",IF(INDEX(EntryDep,$P353)=0,"",INDEX(EntryDep,$P353)))</f>
        <v/>
      </c>
      <c r="I353" s="27">
        <f>IF($P353="","",IF(INDEX(EntryWit,$P353)=0,"",INDEX(EntryWit,$P353)))</f>
        <v/>
      </c>
      <c r="J353" s="27">
        <f>IF($B353="","",IF($A353=1,$C$7,IF(J352="",0,J352))+IF($H353="",0,$H353)-IF($I353="",0,$I353))</f>
        <v/>
      </c>
      <c r="K353" s="27">
        <f>IF($P353="","",IF(INDEX(EntryMan,$P353)=0,"",INDEX(EntryMan,$P353)))</f>
        <v/>
      </c>
      <c r="L353" s="26">
        <f>IF($B353="","",IF($K353="","—",IF(ROUND($K353-$J353,0)=0,"√","×")))</f>
        <v/>
      </c>
      <c r="M353" s="26">
        <f>IF($B353="","",IF(COUNTIFS(EntryDates,$B353,CalcTime,$C353,CalcBank,$C$5,EntryParty,$D353,EntryDep,$H353,EntryWit,$I353)&gt;1,"تکرار",""))</f>
        <v/>
      </c>
      <c r="N353" s="26">
        <f>IF($P353="","",IF(INDEX(EntryNotes,$P353)=0,"",INDEX(EntryNotes,$P353)))</f>
        <v/>
      </c>
      <c r="O353" s="26">
        <f>IF($P353="","",IF(INDEX(EntryTxnID,$P353)=0,"",INDEX(EntryTxnID,$P353)))</f>
        <v/>
      </c>
      <c r="P353" s="26">
        <f>IFERROR(MATCH($C$5&amp;"|"&amp;RIGHT("000000"&amp;337,6),CalcRankKey,0),"")</f>
        <v/>
      </c>
    </row>
    <row r="354">
      <c r="A354" s="28">
        <f>IF($B354="","",338)</f>
        <v/>
      </c>
      <c r="B354" s="28">
        <f>IF($P354="","",IF(INDEX(CalcNormDate,$P354)=0,"",INDEX(CalcNormDate,$P354)))</f>
        <v/>
      </c>
      <c r="C354" s="28">
        <f>IF($P354="","",IF(INDEX(CalcTime,$P354)=0,"",INDEX(CalcTime,$P354)))</f>
        <v/>
      </c>
      <c r="D354" s="28">
        <f>IF($P354="","",IF(INDEX(EntryParty,$P354)=0,"",INDEX(EntryParty,$P354)))</f>
        <v/>
      </c>
      <c r="E354" s="28">
        <f>IF($P354="","",IF(INDEX(EntryPartyName,$P354)=0,"",INDEX(EntryPartyName,$P354)))</f>
        <v/>
      </c>
      <c r="F354" s="28">
        <f>IF($P354="","",IF(INDEX(EntryPartyType,$P354)=0,"",INDEX(EntryPartyType,$P354)))</f>
        <v/>
      </c>
      <c r="G354" s="28">
        <f>IF($P354="","",IF(INDEX(EntryTxnType,$P354)=0,"",INDEX(EntryTxnType,$P354)))</f>
        <v/>
      </c>
      <c r="H354" s="29">
        <f>IF($P354="","",IF(INDEX(EntryDep,$P354)=0,"",INDEX(EntryDep,$P354)))</f>
        <v/>
      </c>
      <c r="I354" s="29">
        <f>IF($P354="","",IF(INDEX(EntryWit,$P354)=0,"",INDEX(EntryWit,$P354)))</f>
        <v/>
      </c>
      <c r="J354" s="29">
        <f>IF($B354="","",IF($A354=1,$C$7,IF(J353="",0,J353))+IF($H354="",0,$H354)-IF($I354="",0,$I354))</f>
        <v/>
      </c>
      <c r="K354" s="29">
        <f>IF($P354="","",IF(INDEX(EntryMan,$P354)=0,"",INDEX(EntryMan,$P354)))</f>
        <v/>
      </c>
      <c r="L354" s="28">
        <f>IF($B354="","",IF($K354="","—",IF(ROUND($K354-$J354,0)=0,"√","×")))</f>
        <v/>
      </c>
      <c r="M354" s="28">
        <f>IF($B354="","",IF(COUNTIFS(EntryDates,$B354,CalcTime,$C354,CalcBank,$C$5,EntryParty,$D354,EntryDep,$H354,EntryWit,$I354)&gt;1,"تکرار",""))</f>
        <v/>
      </c>
      <c r="N354" s="28">
        <f>IF($P354="","",IF(INDEX(EntryNotes,$P354)=0,"",INDEX(EntryNotes,$P354)))</f>
        <v/>
      </c>
      <c r="O354" s="28">
        <f>IF($P354="","",IF(INDEX(EntryTxnID,$P354)=0,"",INDEX(EntryTxnID,$P354)))</f>
        <v/>
      </c>
      <c r="P354" s="28">
        <f>IFERROR(MATCH($C$5&amp;"|"&amp;RIGHT("000000"&amp;338,6),CalcRankKey,0),"")</f>
        <v/>
      </c>
    </row>
    <row r="355">
      <c r="A355" s="26">
        <f>IF($B355="","",339)</f>
        <v/>
      </c>
      <c r="B355" s="26">
        <f>IF($P355="","",IF(INDEX(CalcNormDate,$P355)=0,"",INDEX(CalcNormDate,$P355)))</f>
        <v/>
      </c>
      <c r="C355" s="26">
        <f>IF($P355="","",IF(INDEX(CalcTime,$P355)=0,"",INDEX(CalcTime,$P355)))</f>
        <v/>
      </c>
      <c r="D355" s="26">
        <f>IF($P355="","",IF(INDEX(EntryParty,$P355)=0,"",INDEX(EntryParty,$P355)))</f>
        <v/>
      </c>
      <c r="E355" s="26">
        <f>IF($P355="","",IF(INDEX(EntryPartyName,$P355)=0,"",INDEX(EntryPartyName,$P355)))</f>
        <v/>
      </c>
      <c r="F355" s="26">
        <f>IF($P355="","",IF(INDEX(EntryPartyType,$P355)=0,"",INDEX(EntryPartyType,$P355)))</f>
        <v/>
      </c>
      <c r="G355" s="26">
        <f>IF($P355="","",IF(INDEX(EntryTxnType,$P355)=0,"",INDEX(EntryTxnType,$P355)))</f>
        <v/>
      </c>
      <c r="H355" s="27">
        <f>IF($P355="","",IF(INDEX(EntryDep,$P355)=0,"",INDEX(EntryDep,$P355)))</f>
        <v/>
      </c>
      <c r="I355" s="27">
        <f>IF($P355="","",IF(INDEX(EntryWit,$P355)=0,"",INDEX(EntryWit,$P355)))</f>
        <v/>
      </c>
      <c r="J355" s="27">
        <f>IF($B355="","",IF($A355=1,$C$7,IF(J354="",0,J354))+IF($H355="",0,$H355)-IF($I355="",0,$I355))</f>
        <v/>
      </c>
      <c r="K355" s="27">
        <f>IF($P355="","",IF(INDEX(EntryMan,$P355)=0,"",INDEX(EntryMan,$P355)))</f>
        <v/>
      </c>
      <c r="L355" s="26">
        <f>IF($B355="","",IF($K355="","—",IF(ROUND($K355-$J355,0)=0,"√","×")))</f>
        <v/>
      </c>
      <c r="M355" s="26">
        <f>IF($B355="","",IF(COUNTIFS(EntryDates,$B355,CalcTime,$C355,CalcBank,$C$5,EntryParty,$D355,EntryDep,$H355,EntryWit,$I355)&gt;1,"تکرار",""))</f>
        <v/>
      </c>
      <c r="N355" s="26">
        <f>IF($P355="","",IF(INDEX(EntryNotes,$P355)=0,"",INDEX(EntryNotes,$P355)))</f>
        <v/>
      </c>
      <c r="O355" s="26">
        <f>IF($P355="","",IF(INDEX(EntryTxnID,$P355)=0,"",INDEX(EntryTxnID,$P355)))</f>
        <v/>
      </c>
      <c r="P355" s="26">
        <f>IFERROR(MATCH($C$5&amp;"|"&amp;RIGHT("000000"&amp;339,6),CalcRankKey,0),"")</f>
        <v/>
      </c>
    </row>
    <row r="356">
      <c r="A356" s="28">
        <f>IF($B356="","",340)</f>
        <v/>
      </c>
      <c r="B356" s="28">
        <f>IF($P356="","",IF(INDEX(CalcNormDate,$P356)=0,"",INDEX(CalcNormDate,$P356)))</f>
        <v/>
      </c>
      <c r="C356" s="28">
        <f>IF($P356="","",IF(INDEX(CalcTime,$P356)=0,"",INDEX(CalcTime,$P356)))</f>
        <v/>
      </c>
      <c r="D356" s="28">
        <f>IF($P356="","",IF(INDEX(EntryParty,$P356)=0,"",INDEX(EntryParty,$P356)))</f>
        <v/>
      </c>
      <c r="E356" s="28">
        <f>IF($P356="","",IF(INDEX(EntryPartyName,$P356)=0,"",INDEX(EntryPartyName,$P356)))</f>
        <v/>
      </c>
      <c r="F356" s="28">
        <f>IF($P356="","",IF(INDEX(EntryPartyType,$P356)=0,"",INDEX(EntryPartyType,$P356)))</f>
        <v/>
      </c>
      <c r="G356" s="28">
        <f>IF($P356="","",IF(INDEX(EntryTxnType,$P356)=0,"",INDEX(EntryTxnType,$P356)))</f>
        <v/>
      </c>
      <c r="H356" s="29">
        <f>IF($P356="","",IF(INDEX(EntryDep,$P356)=0,"",INDEX(EntryDep,$P356)))</f>
        <v/>
      </c>
      <c r="I356" s="29">
        <f>IF($P356="","",IF(INDEX(EntryWit,$P356)=0,"",INDEX(EntryWit,$P356)))</f>
        <v/>
      </c>
      <c r="J356" s="29">
        <f>IF($B356="","",IF($A356=1,$C$7,IF(J355="",0,J355))+IF($H356="",0,$H356)-IF($I356="",0,$I356))</f>
        <v/>
      </c>
      <c r="K356" s="29">
        <f>IF($P356="","",IF(INDEX(EntryMan,$P356)=0,"",INDEX(EntryMan,$P356)))</f>
        <v/>
      </c>
      <c r="L356" s="28">
        <f>IF($B356="","",IF($K356="","—",IF(ROUND($K356-$J356,0)=0,"√","×")))</f>
        <v/>
      </c>
      <c r="M356" s="28">
        <f>IF($B356="","",IF(COUNTIFS(EntryDates,$B356,CalcTime,$C356,CalcBank,$C$5,EntryParty,$D356,EntryDep,$H356,EntryWit,$I356)&gt;1,"تکرار",""))</f>
        <v/>
      </c>
      <c r="N356" s="28">
        <f>IF($P356="","",IF(INDEX(EntryNotes,$P356)=0,"",INDEX(EntryNotes,$P356)))</f>
        <v/>
      </c>
      <c r="O356" s="28">
        <f>IF($P356="","",IF(INDEX(EntryTxnID,$P356)=0,"",INDEX(EntryTxnID,$P356)))</f>
        <v/>
      </c>
      <c r="P356" s="28">
        <f>IFERROR(MATCH($C$5&amp;"|"&amp;RIGHT("000000"&amp;340,6),CalcRankKey,0),"")</f>
        <v/>
      </c>
    </row>
    <row r="357">
      <c r="A357" s="26">
        <f>IF($B357="","",341)</f>
        <v/>
      </c>
      <c r="B357" s="26">
        <f>IF($P357="","",IF(INDEX(CalcNormDate,$P357)=0,"",INDEX(CalcNormDate,$P357)))</f>
        <v/>
      </c>
      <c r="C357" s="26">
        <f>IF($P357="","",IF(INDEX(CalcTime,$P357)=0,"",INDEX(CalcTime,$P357)))</f>
        <v/>
      </c>
      <c r="D357" s="26">
        <f>IF($P357="","",IF(INDEX(EntryParty,$P357)=0,"",INDEX(EntryParty,$P357)))</f>
        <v/>
      </c>
      <c r="E357" s="26">
        <f>IF($P357="","",IF(INDEX(EntryPartyName,$P357)=0,"",INDEX(EntryPartyName,$P357)))</f>
        <v/>
      </c>
      <c r="F357" s="26">
        <f>IF($P357="","",IF(INDEX(EntryPartyType,$P357)=0,"",INDEX(EntryPartyType,$P357)))</f>
        <v/>
      </c>
      <c r="G357" s="26">
        <f>IF($P357="","",IF(INDEX(EntryTxnType,$P357)=0,"",INDEX(EntryTxnType,$P357)))</f>
        <v/>
      </c>
      <c r="H357" s="27">
        <f>IF($P357="","",IF(INDEX(EntryDep,$P357)=0,"",INDEX(EntryDep,$P357)))</f>
        <v/>
      </c>
      <c r="I357" s="27">
        <f>IF($P357="","",IF(INDEX(EntryWit,$P357)=0,"",INDEX(EntryWit,$P357)))</f>
        <v/>
      </c>
      <c r="J357" s="27">
        <f>IF($B357="","",IF($A357=1,$C$7,IF(J356="",0,J356))+IF($H357="",0,$H357)-IF($I357="",0,$I357))</f>
        <v/>
      </c>
      <c r="K357" s="27">
        <f>IF($P357="","",IF(INDEX(EntryMan,$P357)=0,"",INDEX(EntryMan,$P357)))</f>
        <v/>
      </c>
      <c r="L357" s="26">
        <f>IF($B357="","",IF($K357="","—",IF(ROUND($K357-$J357,0)=0,"√","×")))</f>
        <v/>
      </c>
      <c r="M357" s="26">
        <f>IF($B357="","",IF(COUNTIFS(EntryDates,$B357,CalcTime,$C357,CalcBank,$C$5,EntryParty,$D357,EntryDep,$H357,EntryWit,$I357)&gt;1,"تکرار",""))</f>
        <v/>
      </c>
      <c r="N357" s="26">
        <f>IF($P357="","",IF(INDEX(EntryNotes,$P357)=0,"",INDEX(EntryNotes,$P357)))</f>
        <v/>
      </c>
      <c r="O357" s="26">
        <f>IF($P357="","",IF(INDEX(EntryTxnID,$P357)=0,"",INDEX(EntryTxnID,$P357)))</f>
        <v/>
      </c>
      <c r="P357" s="26">
        <f>IFERROR(MATCH($C$5&amp;"|"&amp;RIGHT("000000"&amp;341,6),CalcRankKey,0),"")</f>
        <v/>
      </c>
    </row>
    <row r="358">
      <c r="A358" s="28">
        <f>IF($B358="","",342)</f>
        <v/>
      </c>
      <c r="B358" s="28">
        <f>IF($P358="","",IF(INDEX(CalcNormDate,$P358)=0,"",INDEX(CalcNormDate,$P358)))</f>
        <v/>
      </c>
      <c r="C358" s="28">
        <f>IF($P358="","",IF(INDEX(CalcTime,$P358)=0,"",INDEX(CalcTime,$P358)))</f>
        <v/>
      </c>
      <c r="D358" s="28">
        <f>IF($P358="","",IF(INDEX(EntryParty,$P358)=0,"",INDEX(EntryParty,$P358)))</f>
        <v/>
      </c>
      <c r="E358" s="28">
        <f>IF($P358="","",IF(INDEX(EntryPartyName,$P358)=0,"",INDEX(EntryPartyName,$P358)))</f>
        <v/>
      </c>
      <c r="F358" s="28">
        <f>IF($P358="","",IF(INDEX(EntryPartyType,$P358)=0,"",INDEX(EntryPartyType,$P358)))</f>
        <v/>
      </c>
      <c r="G358" s="28">
        <f>IF($P358="","",IF(INDEX(EntryTxnType,$P358)=0,"",INDEX(EntryTxnType,$P358)))</f>
        <v/>
      </c>
      <c r="H358" s="29">
        <f>IF($P358="","",IF(INDEX(EntryDep,$P358)=0,"",INDEX(EntryDep,$P358)))</f>
        <v/>
      </c>
      <c r="I358" s="29">
        <f>IF($P358="","",IF(INDEX(EntryWit,$P358)=0,"",INDEX(EntryWit,$P358)))</f>
        <v/>
      </c>
      <c r="J358" s="29">
        <f>IF($B358="","",IF($A358=1,$C$7,IF(J357="",0,J357))+IF($H358="",0,$H358)-IF($I358="",0,$I358))</f>
        <v/>
      </c>
      <c r="K358" s="29">
        <f>IF($P358="","",IF(INDEX(EntryMan,$P358)=0,"",INDEX(EntryMan,$P358)))</f>
        <v/>
      </c>
      <c r="L358" s="28">
        <f>IF($B358="","",IF($K358="","—",IF(ROUND($K358-$J358,0)=0,"√","×")))</f>
        <v/>
      </c>
      <c r="M358" s="28">
        <f>IF($B358="","",IF(COUNTIFS(EntryDates,$B358,CalcTime,$C358,CalcBank,$C$5,EntryParty,$D358,EntryDep,$H358,EntryWit,$I358)&gt;1,"تکرار",""))</f>
        <v/>
      </c>
      <c r="N358" s="28">
        <f>IF($P358="","",IF(INDEX(EntryNotes,$P358)=0,"",INDEX(EntryNotes,$P358)))</f>
        <v/>
      </c>
      <c r="O358" s="28">
        <f>IF($P358="","",IF(INDEX(EntryTxnID,$P358)=0,"",INDEX(EntryTxnID,$P358)))</f>
        <v/>
      </c>
      <c r="P358" s="28">
        <f>IFERROR(MATCH($C$5&amp;"|"&amp;RIGHT("000000"&amp;342,6),CalcRankKey,0),"")</f>
        <v/>
      </c>
    </row>
    <row r="359">
      <c r="A359" s="26">
        <f>IF($B359="","",343)</f>
        <v/>
      </c>
      <c r="B359" s="26">
        <f>IF($P359="","",IF(INDEX(CalcNormDate,$P359)=0,"",INDEX(CalcNormDate,$P359)))</f>
        <v/>
      </c>
      <c r="C359" s="26">
        <f>IF($P359="","",IF(INDEX(CalcTime,$P359)=0,"",INDEX(CalcTime,$P359)))</f>
        <v/>
      </c>
      <c r="D359" s="26">
        <f>IF($P359="","",IF(INDEX(EntryParty,$P359)=0,"",INDEX(EntryParty,$P359)))</f>
        <v/>
      </c>
      <c r="E359" s="26">
        <f>IF($P359="","",IF(INDEX(EntryPartyName,$P359)=0,"",INDEX(EntryPartyName,$P359)))</f>
        <v/>
      </c>
      <c r="F359" s="26">
        <f>IF($P359="","",IF(INDEX(EntryPartyType,$P359)=0,"",INDEX(EntryPartyType,$P359)))</f>
        <v/>
      </c>
      <c r="G359" s="26">
        <f>IF($P359="","",IF(INDEX(EntryTxnType,$P359)=0,"",INDEX(EntryTxnType,$P359)))</f>
        <v/>
      </c>
      <c r="H359" s="27">
        <f>IF($P359="","",IF(INDEX(EntryDep,$P359)=0,"",INDEX(EntryDep,$P359)))</f>
        <v/>
      </c>
      <c r="I359" s="27">
        <f>IF($P359="","",IF(INDEX(EntryWit,$P359)=0,"",INDEX(EntryWit,$P359)))</f>
        <v/>
      </c>
      <c r="J359" s="27">
        <f>IF($B359="","",IF($A359=1,$C$7,IF(J358="",0,J358))+IF($H359="",0,$H359)-IF($I359="",0,$I359))</f>
        <v/>
      </c>
      <c r="K359" s="27">
        <f>IF($P359="","",IF(INDEX(EntryMan,$P359)=0,"",INDEX(EntryMan,$P359)))</f>
        <v/>
      </c>
      <c r="L359" s="26">
        <f>IF($B359="","",IF($K359="","—",IF(ROUND($K359-$J359,0)=0,"√","×")))</f>
        <v/>
      </c>
      <c r="M359" s="26">
        <f>IF($B359="","",IF(COUNTIFS(EntryDates,$B359,CalcTime,$C359,CalcBank,$C$5,EntryParty,$D359,EntryDep,$H359,EntryWit,$I359)&gt;1,"تکرار",""))</f>
        <v/>
      </c>
      <c r="N359" s="26">
        <f>IF($P359="","",IF(INDEX(EntryNotes,$P359)=0,"",INDEX(EntryNotes,$P359)))</f>
        <v/>
      </c>
      <c r="O359" s="26">
        <f>IF($P359="","",IF(INDEX(EntryTxnID,$P359)=0,"",INDEX(EntryTxnID,$P359)))</f>
        <v/>
      </c>
      <c r="P359" s="26">
        <f>IFERROR(MATCH($C$5&amp;"|"&amp;RIGHT("000000"&amp;343,6),CalcRankKey,0),"")</f>
        <v/>
      </c>
    </row>
    <row r="360">
      <c r="A360" s="28">
        <f>IF($B360="","",344)</f>
        <v/>
      </c>
      <c r="B360" s="28">
        <f>IF($P360="","",IF(INDEX(CalcNormDate,$P360)=0,"",INDEX(CalcNormDate,$P360)))</f>
        <v/>
      </c>
      <c r="C360" s="28">
        <f>IF($P360="","",IF(INDEX(CalcTime,$P360)=0,"",INDEX(CalcTime,$P360)))</f>
        <v/>
      </c>
      <c r="D360" s="28">
        <f>IF($P360="","",IF(INDEX(EntryParty,$P360)=0,"",INDEX(EntryParty,$P360)))</f>
        <v/>
      </c>
      <c r="E360" s="28">
        <f>IF($P360="","",IF(INDEX(EntryPartyName,$P360)=0,"",INDEX(EntryPartyName,$P360)))</f>
        <v/>
      </c>
      <c r="F360" s="28">
        <f>IF($P360="","",IF(INDEX(EntryPartyType,$P360)=0,"",INDEX(EntryPartyType,$P360)))</f>
        <v/>
      </c>
      <c r="G360" s="28">
        <f>IF($P360="","",IF(INDEX(EntryTxnType,$P360)=0,"",INDEX(EntryTxnType,$P360)))</f>
        <v/>
      </c>
      <c r="H360" s="29">
        <f>IF($P360="","",IF(INDEX(EntryDep,$P360)=0,"",INDEX(EntryDep,$P360)))</f>
        <v/>
      </c>
      <c r="I360" s="29">
        <f>IF($P360="","",IF(INDEX(EntryWit,$P360)=0,"",INDEX(EntryWit,$P360)))</f>
        <v/>
      </c>
      <c r="J360" s="29">
        <f>IF($B360="","",IF($A360=1,$C$7,IF(J359="",0,J359))+IF($H360="",0,$H360)-IF($I360="",0,$I360))</f>
        <v/>
      </c>
      <c r="K360" s="29">
        <f>IF($P360="","",IF(INDEX(EntryMan,$P360)=0,"",INDEX(EntryMan,$P360)))</f>
        <v/>
      </c>
      <c r="L360" s="28">
        <f>IF($B360="","",IF($K360="","—",IF(ROUND($K360-$J360,0)=0,"√","×")))</f>
        <v/>
      </c>
      <c r="M360" s="28">
        <f>IF($B360="","",IF(COUNTIFS(EntryDates,$B360,CalcTime,$C360,CalcBank,$C$5,EntryParty,$D360,EntryDep,$H360,EntryWit,$I360)&gt;1,"تکرار",""))</f>
        <v/>
      </c>
      <c r="N360" s="28">
        <f>IF($P360="","",IF(INDEX(EntryNotes,$P360)=0,"",INDEX(EntryNotes,$P360)))</f>
        <v/>
      </c>
      <c r="O360" s="28">
        <f>IF($P360="","",IF(INDEX(EntryTxnID,$P360)=0,"",INDEX(EntryTxnID,$P360)))</f>
        <v/>
      </c>
      <c r="P360" s="28">
        <f>IFERROR(MATCH($C$5&amp;"|"&amp;RIGHT("000000"&amp;344,6),CalcRankKey,0),"")</f>
        <v/>
      </c>
    </row>
    <row r="361">
      <c r="A361" s="26">
        <f>IF($B361="","",345)</f>
        <v/>
      </c>
      <c r="B361" s="26">
        <f>IF($P361="","",IF(INDEX(CalcNormDate,$P361)=0,"",INDEX(CalcNormDate,$P361)))</f>
        <v/>
      </c>
      <c r="C361" s="26">
        <f>IF($P361="","",IF(INDEX(CalcTime,$P361)=0,"",INDEX(CalcTime,$P361)))</f>
        <v/>
      </c>
      <c r="D361" s="26">
        <f>IF($P361="","",IF(INDEX(EntryParty,$P361)=0,"",INDEX(EntryParty,$P361)))</f>
        <v/>
      </c>
      <c r="E361" s="26">
        <f>IF($P361="","",IF(INDEX(EntryPartyName,$P361)=0,"",INDEX(EntryPartyName,$P361)))</f>
        <v/>
      </c>
      <c r="F361" s="26">
        <f>IF($P361="","",IF(INDEX(EntryPartyType,$P361)=0,"",INDEX(EntryPartyType,$P361)))</f>
        <v/>
      </c>
      <c r="G361" s="26">
        <f>IF($P361="","",IF(INDEX(EntryTxnType,$P361)=0,"",INDEX(EntryTxnType,$P361)))</f>
        <v/>
      </c>
      <c r="H361" s="27">
        <f>IF($P361="","",IF(INDEX(EntryDep,$P361)=0,"",INDEX(EntryDep,$P361)))</f>
        <v/>
      </c>
      <c r="I361" s="27">
        <f>IF($P361="","",IF(INDEX(EntryWit,$P361)=0,"",INDEX(EntryWit,$P361)))</f>
        <v/>
      </c>
      <c r="J361" s="27">
        <f>IF($B361="","",IF($A361=1,$C$7,IF(J360="",0,J360))+IF($H361="",0,$H361)-IF($I361="",0,$I361))</f>
        <v/>
      </c>
      <c r="K361" s="27">
        <f>IF($P361="","",IF(INDEX(EntryMan,$P361)=0,"",INDEX(EntryMan,$P361)))</f>
        <v/>
      </c>
      <c r="L361" s="26">
        <f>IF($B361="","",IF($K361="","—",IF(ROUND($K361-$J361,0)=0,"√","×")))</f>
        <v/>
      </c>
      <c r="M361" s="26">
        <f>IF($B361="","",IF(COUNTIFS(EntryDates,$B361,CalcTime,$C361,CalcBank,$C$5,EntryParty,$D361,EntryDep,$H361,EntryWit,$I361)&gt;1,"تکرار",""))</f>
        <v/>
      </c>
      <c r="N361" s="26">
        <f>IF($P361="","",IF(INDEX(EntryNotes,$P361)=0,"",INDEX(EntryNotes,$P361)))</f>
        <v/>
      </c>
      <c r="O361" s="26">
        <f>IF($P361="","",IF(INDEX(EntryTxnID,$P361)=0,"",INDEX(EntryTxnID,$P361)))</f>
        <v/>
      </c>
      <c r="P361" s="26">
        <f>IFERROR(MATCH($C$5&amp;"|"&amp;RIGHT("000000"&amp;345,6),CalcRankKey,0),"")</f>
        <v/>
      </c>
    </row>
    <row r="362">
      <c r="A362" s="28">
        <f>IF($B362="","",346)</f>
        <v/>
      </c>
      <c r="B362" s="28">
        <f>IF($P362="","",IF(INDEX(CalcNormDate,$P362)=0,"",INDEX(CalcNormDate,$P362)))</f>
        <v/>
      </c>
      <c r="C362" s="28">
        <f>IF($P362="","",IF(INDEX(CalcTime,$P362)=0,"",INDEX(CalcTime,$P362)))</f>
        <v/>
      </c>
      <c r="D362" s="28">
        <f>IF($P362="","",IF(INDEX(EntryParty,$P362)=0,"",INDEX(EntryParty,$P362)))</f>
        <v/>
      </c>
      <c r="E362" s="28">
        <f>IF($P362="","",IF(INDEX(EntryPartyName,$P362)=0,"",INDEX(EntryPartyName,$P362)))</f>
        <v/>
      </c>
      <c r="F362" s="28">
        <f>IF($P362="","",IF(INDEX(EntryPartyType,$P362)=0,"",INDEX(EntryPartyType,$P362)))</f>
        <v/>
      </c>
      <c r="G362" s="28">
        <f>IF($P362="","",IF(INDEX(EntryTxnType,$P362)=0,"",INDEX(EntryTxnType,$P362)))</f>
        <v/>
      </c>
      <c r="H362" s="29">
        <f>IF($P362="","",IF(INDEX(EntryDep,$P362)=0,"",INDEX(EntryDep,$P362)))</f>
        <v/>
      </c>
      <c r="I362" s="29">
        <f>IF($P362="","",IF(INDEX(EntryWit,$P362)=0,"",INDEX(EntryWit,$P362)))</f>
        <v/>
      </c>
      <c r="J362" s="29">
        <f>IF($B362="","",IF($A362=1,$C$7,IF(J361="",0,J361))+IF($H362="",0,$H362)-IF($I362="",0,$I362))</f>
        <v/>
      </c>
      <c r="K362" s="29">
        <f>IF($P362="","",IF(INDEX(EntryMan,$P362)=0,"",INDEX(EntryMan,$P362)))</f>
        <v/>
      </c>
      <c r="L362" s="28">
        <f>IF($B362="","",IF($K362="","—",IF(ROUND($K362-$J362,0)=0,"√","×")))</f>
        <v/>
      </c>
      <c r="M362" s="28">
        <f>IF($B362="","",IF(COUNTIFS(EntryDates,$B362,CalcTime,$C362,CalcBank,$C$5,EntryParty,$D362,EntryDep,$H362,EntryWit,$I362)&gt;1,"تکرار",""))</f>
        <v/>
      </c>
      <c r="N362" s="28">
        <f>IF($P362="","",IF(INDEX(EntryNotes,$P362)=0,"",INDEX(EntryNotes,$P362)))</f>
        <v/>
      </c>
      <c r="O362" s="28">
        <f>IF($P362="","",IF(INDEX(EntryTxnID,$P362)=0,"",INDEX(EntryTxnID,$P362)))</f>
        <v/>
      </c>
      <c r="P362" s="28">
        <f>IFERROR(MATCH($C$5&amp;"|"&amp;RIGHT("000000"&amp;346,6),CalcRankKey,0),"")</f>
        <v/>
      </c>
    </row>
    <row r="363">
      <c r="A363" s="26">
        <f>IF($B363="","",347)</f>
        <v/>
      </c>
      <c r="B363" s="26">
        <f>IF($P363="","",IF(INDEX(CalcNormDate,$P363)=0,"",INDEX(CalcNormDate,$P363)))</f>
        <v/>
      </c>
      <c r="C363" s="26">
        <f>IF($P363="","",IF(INDEX(CalcTime,$P363)=0,"",INDEX(CalcTime,$P363)))</f>
        <v/>
      </c>
      <c r="D363" s="26">
        <f>IF($P363="","",IF(INDEX(EntryParty,$P363)=0,"",INDEX(EntryParty,$P363)))</f>
        <v/>
      </c>
      <c r="E363" s="26">
        <f>IF($P363="","",IF(INDEX(EntryPartyName,$P363)=0,"",INDEX(EntryPartyName,$P363)))</f>
        <v/>
      </c>
      <c r="F363" s="26">
        <f>IF($P363="","",IF(INDEX(EntryPartyType,$P363)=0,"",INDEX(EntryPartyType,$P363)))</f>
        <v/>
      </c>
      <c r="G363" s="26">
        <f>IF($P363="","",IF(INDEX(EntryTxnType,$P363)=0,"",INDEX(EntryTxnType,$P363)))</f>
        <v/>
      </c>
      <c r="H363" s="27">
        <f>IF($P363="","",IF(INDEX(EntryDep,$P363)=0,"",INDEX(EntryDep,$P363)))</f>
        <v/>
      </c>
      <c r="I363" s="27">
        <f>IF($P363="","",IF(INDEX(EntryWit,$P363)=0,"",INDEX(EntryWit,$P363)))</f>
        <v/>
      </c>
      <c r="J363" s="27">
        <f>IF($B363="","",IF($A363=1,$C$7,IF(J362="",0,J362))+IF($H363="",0,$H363)-IF($I363="",0,$I363))</f>
        <v/>
      </c>
      <c r="K363" s="27">
        <f>IF($P363="","",IF(INDEX(EntryMan,$P363)=0,"",INDEX(EntryMan,$P363)))</f>
        <v/>
      </c>
      <c r="L363" s="26">
        <f>IF($B363="","",IF($K363="","—",IF(ROUND($K363-$J363,0)=0,"√","×")))</f>
        <v/>
      </c>
      <c r="M363" s="26">
        <f>IF($B363="","",IF(COUNTIFS(EntryDates,$B363,CalcTime,$C363,CalcBank,$C$5,EntryParty,$D363,EntryDep,$H363,EntryWit,$I363)&gt;1,"تکرار",""))</f>
        <v/>
      </c>
      <c r="N363" s="26">
        <f>IF($P363="","",IF(INDEX(EntryNotes,$P363)=0,"",INDEX(EntryNotes,$P363)))</f>
        <v/>
      </c>
      <c r="O363" s="26">
        <f>IF($P363="","",IF(INDEX(EntryTxnID,$P363)=0,"",INDEX(EntryTxnID,$P363)))</f>
        <v/>
      </c>
      <c r="P363" s="26">
        <f>IFERROR(MATCH($C$5&amp;"|"&amp;RIGHT("000000"&amp;347,6),CalcRankKey,0),"")</f>
        <v/>
      </c>
    </row>
    <row r="364">
      <c r="A364" s="28">
        <f>IF($B364="","",348)</f>
        <v/>
      </c>
      <c r="B364" s="28">
        <f>IF($P364="","",IF(INDEX(CalcNormDate,$P364)=0,"",INDEX(CalcNormDate,$P364)))</f>
        <v/>
      </c>
      <c r="C364" s="28">
        <f>IF($P364="","",IF(INDEX(CalcTime,$P364)=0,"",INDEX(CalcTime,$P364)))</f>
        <v/>
      </c>
      <c r="D364" s="28">
        <f>IF($P364="","",IF(INDEX(EntryParty,$P364)=0,"",INDEX(EntryParty,$P364)))</f>
        <v/>
      </c>
      <c r="E364" s="28">
        <f>IF($P364="","",IF(INDEX(EntryPartyName,$P364)=0,"",INDEX(EntryPartyName,$P364)))</f>
        <v/>
      </c>
      <c r="F364" s="28">
        <f>IF($P364="","",IF(INDEX(EntryPartyType,$P364)=0,"",INDEX(EntryPartyType,$P364)))</f>
        <v/>
      </c>
      <c r="G364" s="28">
        <f>IF($P364="","",IF(INDEX(EntryTxnType,$P364)=0,"",INDEX(EntryTxnType,$P364)))</f>
        <v/>
      </c>
      <c r="H364" s="29">
        <f>IF($P364="","",IF(INDEX(EntryDep,$P364)=0,"",INDEX(EntryDep,$P364)))</f>
        <v/>
      </c>
      <c r="I364" s="29">
        <f>IF($P364="","",IF(INDEX(EntryWit,$P364)=0,"",INDEX(EntryWit,$P364)))</f>
        <v/>
      </c>
      <c r="J364" s="29">
        <f>IF($B364="","",IF($A364=1,$C$7,IF(J363="",0,J363))+IF($H364="",0,$H364)-IF($I364="",0,$I364))</f>
        <v/>
      </c>
      <c r="K364" s="29">
        <f>IF($P364="","",IF(INDEX(EntryMan,$P364)=0,"",INDEX(EntryMan,$P364)))</f>
        <v/>
      </c>
      <c r="L364" s="28">
        <f>IF($B364="","",IF($K364="","—",IF(ROUND($K364-$J364,0)=0,"√","×")))</f>
        <v/>
      </c>
      <c r="M364" s="28">
        <f>IF($B364="","",IF(COUNTIFS(EntryDates,$B364,CalcTime,$C364,CalcBank,$C$5,EntryParty,$D364,EntryDep,$H364,EntryWit,$I364)&gt;1,"تکرار",""))</f>
        <v/>
      </c>
      <c r="N364" s="28">
        <f>IF($P364="","",IF(INDEX(EntryNotes,$P364)=0,"",INDEX(EntryNotes,$P364)))</f>
        <v/>
      </c>
      <c r="O364" s="28">
        <f>IF($P364="","",IF(INDEX(EntryTxnID,$P364)=0,"",INDEX(EntryTxnID,$P364)))</f>
        <v/>
      </c>
      <c r="P364" s="28">
        <f>IFERROR(MATCH($C$5&amp;"|"&amp;RIGHT("000000"&amp;348,6),CalcRankKey,0),"")</f>
        <v/>
      </c>
    </row>
    <row r="365">
      <c r="A365" s="26">
        <f>IF($B365="","",349)</f>
        <v/>
      </c>
      <c r="B365" s="26">
        <f>IF($P365="","",IF(INDEX(CalcNormDate,$P365)=0,"",INDEX(CalcNormDate,$P365)))</f>
        <v/>
      </c>
      <c r="C365" s="26">
        <f>IF($P365="","",IF(INDEX(CalcTime,$P365)=0,"",INDEX(CalcTime,$P365)))</f>
        <v/>
      </c>
      <c r="D365" s="26">
        <f>IF($P365="","",IF(INDEX(EntryParty,$P365)=0,"",INDEX(EntryParty,$P365)))</f>
        <v/>
      </c>
      <c r="E365" s="26">
        <f>IF($P365="","",IF(INDEX(EntryPartyName,$P365)=0,"",INDEX(EntryPartyName,$P365)))</f>
        <v/>
      </c>
      <c r="F365" s="26">
        <f>IF($P365="","",IF(INDEX(EntryPartyType,$P365)=0,"",INDEX(EntryPartyType,$P365)))</f>
        <v/>
      </c>
      <c r="G365" s="26">
        <f>IF($P365="","",IF(INDEX(EntryTxnType,$P365)=0,"",INDEX(EntryTxnType,$P365)))</f>
        <v/>
      </c>
      <c r="H365" s="27">
        <f>IF($P365="","",IF(INDEX(EntryDep,$P365)=0,"",INDEX(EntryDep,$P365)))</f>
        <v/>
      </c>
      <c r="I365" s="27">
        <f>IF($P365="","",IF(INDEX(EntryWit,$P365)=0,"",INDEX(EntryWit,$P365)))</f>
        <v/>
      </c>
      <c r="J365" s="27">
        <f>IF($B365="","",IF($A365=1,$C$7,IF(J364="",0,J364))+IF($H365="",0,$H365)-IF($I365="",0,$I365))</f>
        <v/>
      </c>
      <c r="K365" s="27">
        <f>IF($P365="","",IF(INDEX(EntryMan,$P365)=0,"",INDEX(EntryMan,$P365)))</f>
        <v/>
      </c>
      <c r="L365" s="26">
        <f>IF($B365="","",IF($K365="","—",IF(ROUND($K365-$J365,0)=0,"√","×")))</f>
        <v/>
      </c>
      <c r="M365" s="26">
        <f>IF($B365="","",IF(COUNTIFS(EntryDates,$B365,CalcTime,$C365,CalcBank,$C$5,EntryParty,$D365,EntryDep,$H365,EntryWit,$I365)&gt;1,"تکرار",""))</f>
        <v/>
      </c>
      <c r="N365" s="26">
        <f>IF($P365="","",IF(INDEX(EntryNotes,$P365)=0,"",INDEX(EntryNotes,$P365)))</f>
        <v/>
      </c>
      <c r="O365" s="26">
        <f>IF($P365="","",IF(INDEX(EntryTxnID,$P365)=0,"",INDEX(EntryTxnID,$P365)))</f>
        <v/>
      </c>
      <c r="P365" s="26">
        <f>IFERROR(MATCH($C$5&amp;"|"&amp;RIGHT("000000"&amp;349,6),CalcRankKey,0),"")</f>
        <v/>
      </c>
    </row>
    <row r="366">
      <c r="A366" s="28">
        <f>IF($B366="","",350)</f>
        <v/>
      </c>
      <c r="B366" s="28">
        <f>IF($P366="","",IF(INDEX(CalcNormDate,$P366)=0,"",INDEX(CalcNormDate,$P366)))</f>
        <v/>
      </c>
      <c r="C366" s="28">
        <f>IF($P366="","",IF(INDEX(CalcTime,$P366)=0,"",INDEX(CalcTime,$P366)))</f>
        <v/>
      </c>
      <c r="D366" s="28">
        <f>IF($P366="","",IF(INDEX(EntryParty,$P366)=0,"",INDEX(EntryParty,$P366)))</f>
        <v/>
      </c>
      <c r="E366" s="28">
        <f>IF($P366="","",IF(INDEX(EntryPartyName,$P366)=0,"",INDEX(EntryPartyName,$P366)))</f>
        <v/>
      </c>
      <c r="F366" s="28">
        <f>IF($P366="","",IF(INDEX(EntryPartyType,$P366)=0,"",INDEX(EntryPartyType,$P366)))</f>
        <v/>
      </c>
      <c r="G366" s="28">
        <f>IF($P366="","",IF(INDEX(EntryTxnType,$P366)=0,"",INDEX(EntryTxnType,$P366)))</f>
        <v/>
      </c>
      <c r="H366" s="29">
        <f>IF($P366="","",IF(INDEX(EntryDep,$P366)=0,"",INDEX(EntryDep,$P366)))</f>
        <v/>
      </c>
      <c r="I366" s="29">
        <f>IF($P366="","",IF(INDEX(EntryWit,$P366)=0,"",INDEX(EntryWit,$P366)))</f>
        <v/>
      </c>
      <c r="J366" s="29">
        <f>IF($B366="","",IF($A366=1,$C$7,IF(J365="",0,J365))+IF($H366="",0,$H366)-IF($I366="",0,$I366))</f>
        <v/>
      </c>
      <c r="K366" s="29">
        <f>IF($P366="","",IF(INDEX(EntryMan,$P366)=0,"",INDEX(EntryMan,$P366)))</f>
        <v/>
      </c>
      <c r="L366" s="28">
        <f>IF($B366="","",IF($K366="","—",IF(ROUND($K366-$J366,0)=0,"√","×")))</f>
        <v/>
      </c>
      <c r="M366" s="28">
        <f>IF($B366="","",IF(COUNTIFS(EntryDates,$B366,CalcTime,$C366,CalcBank,$C$5,EntryParty,$D366,EntryDep,$H366,EntryWit,$I366)&gt;1,"تکرار",""))</f>
        <v/>
      </c>
      <c r="N366" s="28">
        <f>IF($P366="","",IF(INDEX(EntryNotes,$P366)=0,"",INDEX(EntryNotes,$P366)))</f>
        <v/>
      </c>
      <c r="O366" s="28">
        <f>IF($P366="","",IF(INDEX(EntryTxnID,$P366)=0,"",INDEX(EntryTxnID,$P366)))</f>
        <v/>
      </c>
      <c r="P366" s="28">
        <f>IFERROR(MATCH($C$5&amp;"|"&amp;RIGHT("000000"&amp;350,6),CalcRankKey,0),"")</f>
        <v/>
      </c>
    </row>
    <row r="367">
      <c r="A367" s="26">
        <f>IF($B367="","",351)</f>
        <v/>
      </c>
      <c r="B367" s="26">
        <f>IF($P367="","",IF(INDEX(CalcNormDate,$P367)=0,"",INDEX(CalcNormDate,$P367)))</f>
        <v/>
      </c>
      <c r="C367" s="26">
        <f>IF($P367="","",IF(INDEX(CalcTime,$P367)=0,"",INDEX(CalcTime,$P367)))</f>
        <v/>
      </c>
      <c r="D367" s="26">
        <f>IF($P367="","",IF(INDEX(EntryParty,$P367)=0,"",INDEX(EntryParty,$P367)))</f>
        <v/>
      </c>
      <c r="E367" s="26">
        <f>IF($P367="","",IF(INDEX(EntryPartyName,$P367)=0,"",INDEX(EntryPartyName,$P367)))</f>
        <v/>
      </c>
      <c r="F367" s="26">
        <f>IF($P367="","",IF(INDEX(EntryPartyType,$P367)=0,"",INDEX(EntryPartyType,$P367)))</f>
        <v/>
      </c>
      <c r="G367" s="26">
        <f>IF($P367="","",IF(INDEX(EntryTxnType,$P367)=0,"",INDEX(EntryTxnType,$P367)))</f>
        <v/>
      </c>
      <c r="H367" s="27">
        <f>IF($P367="","",IF(INDEX(EntryDep,$P367)=0,"",INDEX(EntryDep,$P367)))</f>
        <v/>
      </c>
      <c r="I367" s="27">
        <f>IF($P367="","",IF(INDEX(EntryWit,$P367)=0,"",INDEX(EntryWit,$P367)))</f>
        <v/>
      </c>
      <c r="J367" s="27">
        <f>IF($B367="","",IF($A367=1,$C$7,IF(J366="",0,J366))+IF($H367="",0,$H367)-IF($I367="",0,$I367))</f>
        <v/>
      </c>
      <c r="K367" s="27">
        <f>IF($P367="","",IF(INDEX(EntryMan,$P367)=0,"",INDEX(EntryMan,$P367)))</f>
        <v/>
      </c>
      <c r="L367" s="26">
        <f>IF($B367="","",IF($K367="","—",IF(ROUND($K367-$J367,0)=0,"√","×")))</f>
        <v/>
      </c>
      <c r="M367" s="26">
        <f>IF($B367="","",IF(COUNTIFS(EntryDates,$B367,CalcTime,$C367,CalcBank,$C$5,EntryParty,$D367,EntryDep,$H367,EntryWit,$I367)&gt;1,"تکرار",""))</f>
        <v/>
      </c>
      <c r="N367" s="26">
        <f>IF($P367="","",IF(INDEX(EntryNotes,$P367)=0,"",INDEX(EntryNotes,$P367)))</f>
        <v/>
      </c>
      <c r="O367" s="26">
        <f>IF($P367="","",IF(INDEX(EntryTxnID,$P367)=0,"",INDEX(EntryTxnID,$P367)))</f>
        <v/>
      </c>
      <c r="P367" s="26">
        <f>IFERROR(MATCH($C$5&amp;"|"&amp;RIGHT("000000"&amp;351,6),CalcRankKey,0),"")</f>
        <v/>
      </c>
    </row>
    <row r="368">
      <c r="A368" s="28">
        <f>IF($B368="","",352)</f>
        <v/>
      </c>
      <c r="B368" s="28">
        <f>IF($P368="","",IF(INDEX(CalcNormDate,$P368)=0,"",INDEX(CalcNormDate,$P368)))</f>
        <v/>
      </c>
      <c r="C368" s="28">
        <f>IF($P368="","",IF(INDEX(CalcTime,$P368)=0,"",INDEX(CalcTime,$P368)))</f>
        <v/>
      </c>
      <c r="D368" s="28">
        <f>IF($P368="","",IF(INDEX(EntryParty,$P368)=0,"",INDEX(EntryParty,$P368)))</f>
        <v/>
      </c>
      <c r="E368" s="28">
        <f>IF($P368="","",IF(INDEX(EntryPartyName,$P368)=0,"",INDEX(EntryPartyName,$P368)))</f>
        <v/>
      </c>
      <c r="F368" s="28">
        <f>IF($P368="","",IF(INDEX(EntryPartyType,$P368)=0,"",INDEX(EntryPartyType,$P368)))</f>
        <v/>
      </c>
      <c r="G368" s="28">
        <f>IF($P368="","",IF(INDEX(EntryTxnType,$P368)=0,"",INDEX(EntryTxnType,$P368)))</f>
        <v/>
      </c>
      <c r="H368" s="29">
        <f>IF($P368="","",IF(INDEX(EntryDep,$P368)=0,"",INDEX(EntryDep,$P368)))</f>
        <v/>
      </c>
      <c r="I368" s="29">
        <f>IF($P368="","",IF(INDEX(EntryWit,$P368)=0,"",INDEX(EntryWit,$P368)))</f>
        <v/>
      </c>
      <c r="J368" s="29">
        <f>IF($B368="","",IF($A368=1,$C$7,IF(J367="",0,J367))+IF($H368="",0,$H368)-IF($I368="",0,$I368))</f>
        <v/>
      </c>
      <c r="K368" s="29">
        <f>IF($P368="","",IF(INDEX(EntryMan,$P368)=0,"",INDEX(EntryMan,$P368)))</f>
        <v/>
      </c>
      <c r="L368" s="28">
        <f>IF($B368="","",IF($K368="","—",IF(ROUND($K368-$J368,0)=0,"√","×")))</f>
        <v/>
      </c>
      <c r="M368" s="28">
        <f>IF($B368="","",IF(COUNTIFS(EntryDates,$B368,CalcTime,$C368,CalcBank,$C$5,EntryParty,$D368,EntryDep,$H368,EntryWit,$I368)&gt;1,"تکرار",""))</f>
        <v/>
      </c>
      <c r="N368" s="28">
        <f>IF($P368="","",IF(INDEX(EntryNotes,$P368)=0,"",INDEX(EntryNotes,$P368)))</f>
        <v/>
      </c>
      <c r="O368" s="28">
        <f>IF($P368="","",IF(INDEX(EntryTxnID,$P368)=0,"",INDEX(EntryTxnID,$P368)))</f>
        <v/>
      </c>
      <c r="P368" s="28">
        <f>IFERROR(MATCH($C$5&amp;"|"&amp;RIGHT("000000"&amp;352,6),CalcRankKey,0),"")</f>
        <v/>
      </c>
    </row>
    <row r="369">
      <c r="A369" s="26">
        <f>IF($B369="","",353)</f>
        <v/>
      </c>
      <c r="B369" s="26">
        <f>IF($P369="","",IF(INDEX(CalcNormDate,$P369)=0,"",INDEX(CalcNormDate,$P369)))</f>
        <v/>
      </c>
      <c r="C369" s="26">
        <f>IF($P369="","",IF(INDEX(CalcTime,$P369)=0,"",INDEX(CalcTime,$P369)))</f>
        <v/>
      </c>
      <c r="D369" s="26">
        <f>IF($P369="","",IF(INDEX(EntryParty,$P369)=0,"",INDEX(EntryParty,$P369)))</f>
        <v/>
      </c>
      <c r="E369" s="26">
        <f>IF($P369="","",IF(INDEX(EntryPartyName,$P369)=0,"",INDEX(EntryPartyName,$P369)))</f>
        <v/>
      </c>
      <c r="F369" s="26">
        <f>IF($P369="","",IF(INDEX(EntryPartyType,$P369)=0,"",INDEX(EntryPartyType,$P369)))</f>
        <v/>
      </c>
      <c r="G369" s="26">
        <f>IF($P369="","",IF(INDEX(EntryTxnType,$P369)=0,"",INDEX(EntryTxnType,$P369)))</f>
        <v/>
      </c>
      <c r="H369" s="27">
        <f>IF($P369="","",IF(INDEX(EntryDep,$P369)=0,"",INDEX(EntryDep,$P369)))</f>
        <v/>
      </c>
      <c r="I369" s="27">
        <f>IF($P369="","",IF(INDEX(EntryWit,$P369)=0,"",INDEX(EntryWit,$P369)))</f>
        <v/>
      </c>
      <c r="J369" s="27">
        <f>IF($B369="","",IF($A369=1,$C$7,IF(J368="",0,J368))+IF($H369="",0,$H369)-IF($I369="",0,$I369))</f>
        <v/>
      </c>
      <c r="K369" s="27">
        <f>IF($P369="","",IF(INDEX(EntryMan,$P369)=0,"",INDEX(EntryMan,$P369)))</f>
        <v/>
      </c>
      <c r="L369" s="26">
        <f>IF($B369="","",IF($K369="","—",IF(ROUND($K369-$J369,0)=0,"√","×")))</f>
        <v/>
      </c>
      <c r="M369" s="26">
        <f>IF($B369="","",IF(COUNTIFS(EntryDates,$B369,CalcTime,$C369,CalcBank,$C$5,EntryParty,$D369,EntryDep,$H369,EntryWit,$I369)&gt;1,"تکرار",""))</f>
        <v/>
      </c>
      <c r="N369" s="26">
        <f>IF($P369="","",IF(INDEX(EntryNotes,$P369)=0,"",INDEX(EntryNotes,$P369)))</f>
        <v/>
      </c>
      <c r="O369" s="26">
        <f>IF($P369="","",IF(INDEX(EntryTxnID,$P369)=0,"",INDEX(EntryTxnID,$P369)))</f>
        <v/>
      </c>
      <c r="P369" s="26">
        <f>IFERROR(MATCH($C$5&amp;"|"&amp;RIGHT("000000"&amp;353,6),CalcRankKey,0),"")</f>
        <v/>
      </c>
    </row>
    <row r="370">
      <c r="A370" s="28">
        <f>IF($B370="","",354)</f>
        <v/>
      </c>
      <c r="B370" s="28">
        <f>IF($P370="","",IF(INDEX(CalcNormDate,$P370)=0,"",INDEX(CalcNormDate,$P370)))</f>
        <v/>
      </c>
      <c r="C370" s="28">
        <f>IF($P370="","",IF(INDEX(CalcTime,$P370)=0,"",INDEX(CalcTime,$P370)))</f>
        <v/>
      </c>
      <c r="D370" s="28">
        <f>IF($P370="","",IF(INDEX(EntryParty,$P370)=0,"",INDEX(EntryParty,$P370)))</f>
        <v/>
      </c>
      <c r="E370" s="28">
        <f>IF($P370="","",IF(INDEX(EntryPartyName,$P370)=0,"",INDEX(EntryPartyName,$P370)))</f>
        <v/>
      </c>
      <c r="F370" s="28">
        <f>IF($P370="","",IF(INDEX(EntryPartyType,$P370)=0,"",INDEX(EntryPartyType,$P370)))</f>
        <v/>
      </c>
      <c r="G370" s="28">
        <f>IF($P370="","",IF(INDEX(EntryTxnType,$P370)=0,"",INDEX(EntryTxnType,$P370)))</f>
        <v/>
      </c>
      <c r="H370" s="29">
        <f>IF($P370="","",IF(INDEX(EntryDep,$P370)=0,"",INDEX(EntryDep,$P370)))</f>
        <v/>
      </c>
      <c r="I370" s="29">
        <f>IF($P370="","",IF(INDEX(EntryWit,$P370)=0,"",INDEX(EntryWit,$P370)))</f>
        <v/>
      </c>
      <c r="J370" s="29">
        <f>IF($B370="","",IF($A370=1,$C$7,IF(J369="",0,J369))+IF($H370="",0,$H370)-IF($I370="",0,$I370))</f>
        <v/>
      </c>
      <c r="K370" s="29">
        <f>IF($P370="","",IF(INDEX(EntryMan,$P370)=0,"",INDEX(EntryMan,$P370)))</f>
        <v/>
      </c>
      <c r="L370" s="28">
        <f>IF($B370="","",IF($K370="","—",IF(ROUND($K370-$J370,0)=0,"√","×")))</f>
        <v/>
      </c>
      <c r="M370" s="28">
        <f>IF($B370="","",IF(COUNTIFS(EntryDates,$B370,CalcTime,$C370,CalcBank,$C$5,EntryParty,$D370,EntryDep,$H370,EntryWit,$I370)&gt;1,"تکرار",""))</f>
        <v/>
      </c>
      <c r="N370" s="28">
        <f>IF($P370="","",IF(INDEX(EntryNotes,$P370)=0,"",INDEX(EntryNotes,$P370)))</f>
        <v/>
      </c>
      <c r="O370" s="28">
        <f>IF($P370="","",IF(INDEX(EntryTxnID,$P370)=0,"",INDEX(EntryTxnID,$P370)))</f>
        <v/>
      </c>
      <c r="P370" s="28">
        <f>IFERROR(MATCH($C$5&amp;"|"&amp;RIGHT("000000"&amp;354,6),CalcRankKey,0),"")</f>
        <v/>
      </c>
    </row>
    <row r="371">
      <c r="A371" s="26">
        <f>IF($B371="","",355)</f>
        <v/>
      </c>
      <c r="B371" s="26">
        <f>IF($P371="","",IF(INDEX(CalcNormDate,$P371)=0,"",INDEX(CalcNormDate,$P371)))</f>
        <v/>
      </c>
      <c r="C371" s="26">
        <f>IF($P371="","",IF(INDEX(CalcTime,$P371)=0,"",INDEX(CalcTime,$P371)))</f>
        <v/>
      </c>
      <c r="D371" s="26">
        <f>IF($P371="","",IF(INDEX(EntryParty,$P371)=0,"",INDEX(EntryParty,$P371)))</f>
        <v/>
      </c>
      <c r="E371" s="26">
        <f>IF($P371="","",IF(INDEX(EntryPartyName,$P371)=0,"",INDEX(EntryPartyName,$P371)))</f>
        <v/>
      </c>
      <c r="F371" s="26">
        <f>IF($P371="","",IF(INDEX(EntryPartyType,$P371)=0,"",INDEX(EntryPartyType,$P371)))</f>
        <v/>
      </c>
      <c r="G371" s="26">
        <f>IF($P371="","",IF(INDEX(EntryTxnType,$P371)=0,"",INDEX(EntryTxnType,$P371)))</f>
        <v/>
      </c>
      <c r="H371" s="27">
        <f>IF($P371="","",IF(INDEX(EntryDep,$P371)=0,"",INDEX(EntryDep,$P371)))</f>
        <v/>
      </c>
      <c r="I371" s="27">
        <f>IF($P371="","",IF(INDEX(EntryWit,$P371)=0,"",INDEX(EntryWit,$P371)))</f>
        <v/>
      </c>
      <c r="J371" s="27">
        <f>IF($B371="","",IF($A371=1,$C$7,IF(J370="",0,J370))+IF($H371="",0,$H371)-IF($I371="",0,$I371))</f>
        <v/>
      </c>
      <c r="K371" s="27">
        <f>IF($P371="","",IF(INDEX(EntryMan,$P371)=0,"",INDEX(EntryMan,$P371)))</f>
        <v/>
      </c>
      <c r="L371" s="26">
        <f>IF($B371="","",IF($K371="","—",IF(ROUND($K371-$J371,0)=0,"√","×")))</f>
        <v/>
      </c>
      <c r="M371" s="26">
        <f>IF($B371="","",IF(COUNTIFS(EntryDates,$B371,CalcTime,$C371,CalcBank,$C$5,EntryParty,$D371,EntryDep,$H371,EntryWit,$I371)&gt;1,"تکرار",""))</f>
        <v/>
      </c>
      <c r="N371" s="26">
        <f>IF($P371="","",IF(INDEX(EntryNotes,$P371)=0,"",INDEX(EntryNotes,$P371)))</f>
        <v/>
      </c>
      <c r="O371" s="26">
        <f>IF($P371="","",IF(INDEX(EntryTxnID,$P371)=0,"",INDEX(EntryTxnID,$P371)))</f>
        <v/>
      </c>
      <c r="P371" s="26">
        <f>IFERROR(MATCH($C$5&amp;"|"&amp;RIGHT("000000"&amp;355,6),CalcRankKey,0),"")</f>
        <v/>
      </c>
    </row>
    <row r="372">
      <c r="A372" s="28">
        <f>IF($B372="","",356)</f>
        <v/>
      </c>
      <c r="B372" s="28">
        <f>IF($P372="","",IF(INDEX(CalcNormDate,$P372)=0,"",INDEX(CalcNormDate,$P372)))</f>
        <v/>
      </c>
      <c r="C372" s="28">
        <f>IF($P372="","",IF(INDEX(CalcTime,$P372)=0,"",INDEX(CalcTime,$P372)))</f>
        <v/>
      </c>
      <c r="D372" s="28">
        <f>IF($P372="","",IF(INDEX(EntryParty,$P372)=0,"",INDEX(EntryParty,$P372)))</f>
        <v/>
      </c>
      <c r="E372" s="28">
        <f>IF($P372="","",IF(INDEX(EntryPartyName,$P372)=0,"",INDEX(EntryPartyName,$P372)))</f>
        <v/>
      </c>
      <c r="F372" s="28">
        <f>IF($P372="","",IF(INDEX(EntryPartyType,$P372)=0,"",INDEX(EntryPartyType,$P372)))</f>
        <v/>
      </c>
      <c r="G372" s="28">
        <f>IF($P372="","",IF(INDEX(EntryTxnType,$P372)=0,"",INDEX(EntryTxnType,$P372)))</f>
        <v/>
      </c>
      <c r="H372" s="29">
        <f>IF($P372="","",IF(INDEX(EntryDep,$P372)=0,"",INDEX(EntryDep,$P372)))</f>
        <v/>
      </c>
      <c r="I372" s="29">
        <f>IF($P372="","",IF(INDEX(EntryWit,$P372)=0,"",INDEX(EntryWit,$P372)))</f>
        <v/>
      </c>
      <c r="J372" s="29">
        <f>IF($B372="","",IF($A372=1,$C$7,IF(J371="",0,J371))+IF($H372="",0,$H372)-IF($I372="",0,$I372))</f>
        <v/>
      </c>
      <c r="K372" s="29">
        <f>IF($P372="","",IF(INDEX(EntryMan,$P372)=0,"",INDEX(EntryMan,$P372)))</f>
        <v/>
      </c>
      <c r="L372" s="28">
        <f>IF($B372="","",IF($K372="","—",IF(ROUND($K372-$J372,0)=0,"√","×")))</f>
        <v/>
      </c>
      <c r="M372" s="28">
        <f>IF($B372="","",IF(COUNTIFS(EntryDates,$B372,CalcTime,$C372,CalcBank,$C$5,EntryParty,$D372,EntryDep,$H372,EntryWit,$I372)&gt;1,"تکرار",""))</f>
        <v/>
      </c>
      <c r="N372" s="28">
        <f>IF($P372="","",IF(INDEX(EntryNotes,$P372)=0,"",INDEX(EntryNotes,$P372)))</f>
        <v/>
      </c>
      <c r="O372" s="28">
        <f>IF($P372="","",IF(INDEX(EntryTxnID,$P372)=0,"",INDEX(EntryTxnID,$P372)))</f>
        <v/>
      </c>
      <c r="P372" s="28">
        <f>IFERROR(MATCH($C$5&amp;"|"&amp;RIGHT("000000"&amp;356,6),CalcRankKey,0),"")</f>
        <v/>
      </c>
    </row>
    <row r="373">
      <c r="A373" s="26">
        <f>IF($B373="","",357)</f>
        <v/>
      </c>
      <c r="B373" s="26">
        <f>IF($P373="","",IF(INDEX(CalcNormDate,$P373)=0,"",INDEX(CalcNormDate,$P373)))</f>
        <v/>
      </c>
      <c r="C373" s="26">
        <f>IF($P373="","",IF(INDEX(CalcTime,$P373)=0,"",INDEX(CalcTime,$P373)))</f>
        <v/>
      </c>
      <c r="D373" s="26">
        <f>IF($P373="","",IF(INDEX(EntryParty,$P373)=0,"",INDEX(EntryParty,$P373)))</f>
        <v/>
      </c>
      <c r="E373" s="26">
        <f>IF($P373="","",IF(INDEX(EntryPartyName,$P373)=0,"",INDEX(EntryPartyName,$P373)))</f>
        <v/>
      </c>
      <c r="F373" s="26">
        <f>IF($P373="","",IF(INDEX(EntryPartyType,$P373)=0,"",INDEX(EntryPartyType,$P373)))</f>
        <v/>
      </c>
      <c r="G373" s="26">
        <f>IF($P373="","",IF(INDEX(EntryTxnType,$P373)=0,"",INDEX(EntryTxnType,$P373)))</f>
        <v/>
      </c>
      <c r="H373" s="27">
        <f>IF($P373="","",IF(INDEX(EntryDep,$P373)=0,"",INDEX(EntryDep,$P373)))</f>
        <v/>
      </c>
      <c r="I373" s="27">
        <f>IF($P373="","",IF(INDEX(EntryWit,$P373)=0,"",INDEX(EntryWit,$P373)))</f>
        <v/>
      </c>
      <c r="J373" s="27">
        <f>IF($B373="","",IF($A373=1,$C$7,IF(J372="",0,J372))+IF($H373="",0,$H373)-IF($I373="",0,$I373))</f>
        <v/>
      </c>
      <c r="K373" s="27">
        <f>IF($P373="","",IF(INDEX(EntryMan,$P373)=0,"",INDEX(EntryMan,$P373)))</f>
        <v/>
      </c>
      <c r="L373" s="26">
        <f>IF($B373="","",IF($K373="","—",IF(ROUND($K373-$J373,0)=0,"√","×")))</f>
        <v/>
      </c>
      <c r="M373" s="26">
        <f>IF($B373="","",IF(COUNTIFS(EntryDates,$B373,CalcTime,$C373,CalcBank,$C$5,EntryParty,$D373,EntryDep,$H373,EntryWit,$I373)&gt;1,"تکرار",""))</f>
        <v/>
      </c>
      <c r="N373" s="26">
        <f>IF($P373="","",IF(INDEX(EntryNotes,$P373)=0,"",INDEX(EntryNotes,$P373)))</f>
        <v/>
      </c>
      <c r="O373" s="26">
        <f>IF($P373="","",IF(INDEX(EntryTxnID,$P373)=0,"",INDEX(EntryTxnID,$P373)))</f>
        <v/>
      </c>
      <c r="P373" s="26">
        <f>IFERROR(MATCH($C$5&amp;"|"&amp;RIGHT("000000"&amp;357,6),CalcRankKey,0),"")</f>
        <v/>
      </c>
    </row>
    <row r="374">
      <c r="A374" s="28">
        <f>IF($B374="","",358)</f>
        <v/>
      </c>
      <c r="B374" s="28">
        <f>IF($P374="","",IF(INDEX(CalcNormDate,$P374)=0,"",INDEX(CalcNormDate,$P374)))</f>
        <v/>
      </c>
      <c r="C374" s="28">
        <f>IF($P374="","",IF(INDEX(CalcTime,$P374)=0,"",INDEX(CalcTime,$P374)))</f>
        <v/>
      </c>
      <c r="D374" s="28">
        <f>IF($P374="","",IF(INDEX(EntryParty,$P374)=0,"",INDEX(EntryParty,$P374)))</f>
        <v/>
      </c>
      <c r="E374" s="28">
        <f>IF($P374="","",IF(INDEX(EntryPartyName,$P374)=0,"",INDEX(EntryPartyName,$P374)))</f>
        <v/>
      </c>
      <c r="F374" s="28">
        <f>IF($P374="","",IF(INDEX(EntryPartyType,$P374)=0,"",INDEX(EntryPartyType,$P374)))</f>
        <v/>
      </c>
      <c r="G374" s="28">
        <f>IF($P374="","",IF(INDEX(EntryTxnType,$P374)=0,"",INDEX(EntryTxnType,$P374)))</f>
        <v/>
      </c>
      <c r="H374" s="29">
        <f>IF($P374="","",IF(INDEX(EntryDep,$P374)=0,"",INDEX(EntryDep,$P374)))</f>
        <v/>
      </c>
      <c r="I374" s="29">
        <f>IF($P374="","",IF(INDEX(EntryWit,$P374)=0,"",INDEX(EntryWit,$P374)))</f>
        <v/>
      </c>
      <c r="J374" s="29">
        <f>IF($B374="","",IF($A374=1,$C$7,IF(J373="",0,J373))+IF($H374="",0,$H374)-IF($I374="",0,$I374))</f>
        <v/>
      </c>
      <c r="K374" s="29">
        <f>IF($P374="","",IF(INDEX(EntryMan,$P374)=0,"",INDEX(EntryMan,$P374)))</f>
        <v/>
      </c>
      <c r="L374" s="28">
        <f>IF($B374="","",IF($K374="","—",IF(ROUND($K374-$J374,0)=0,"√","×")))</f>
        <v/>
      </c>
      <c r="M374" s="28">
        <f>IF($B374="","",IF(COUNTIFS(EntryDates,$B374,CalcTime,$C374,CalcBank,$C$5,EntryParty,$D374,EntryDep,$H374,EntryWit,$I374)&gt;1,"تکرار",""))</f>
        <v/>
      </c>
      <c r="N374" s="28">
        <f>IF($P374="","",IF(INDEX(EntryNotes,$P374)=0,"",INDEX(EntryNotes,$P374)))</f>
        <v/>
      </c>
      <c r="O374" s="28">
        <f>IF($P374="","",IF(INDEX(EntryTxnID,$P374)=0,"",INDEX(EntryTxnID,$P374)))</f>
        <v/>
      </c>
      <c r="P374" s="28">
        <f>IFERROR(MATCH($C$5&amp;"|"&amp;RIGHT("000000"&amp;358,6),CalcRankKey,0),"")</f>
        <v/>
      </c>
    </row>
    <row r="375">
      <c r="A375" s="26">
        <f>IF($B375="","",359)</f>
        <v/>
      </c>
      <c r="B375" s="26">
        <f>IF($P375="","",IF(INDEX(CalcNormDate,$P375)=0,"",INDEX(CalcNormDate,$P375)))</f>
        <v/>
      </c>
      <c r="C375" s="26">
        <f>IF($P375="","",IF(INDEX(CalcTime,$P375)=0,"",INDEX(CalcTime,$P375)))</f>
        <v/>
      </c>
      <c r="D375" s="26">
        <f>IF($P375="","",IF(INDEX(EntryParty,$P375)=0,"",INDEX(EntryParty,$P375)))</f>
        <v/>
      </c>
      <c r="E375" s="26">
        <f>IF($P375="","",IF(INDEX(EntryPartyName,$P375)=0,"",INDEX(EntryPartyName,$P375)))</f>
        <v/>
      </c>
      <c r="F375" s="26">
        <f>IF($P375="","",IF(INDEX(EntryPartyType,$P375)=0,"",INDEX(EntryPartyType,$P375)))</f>
        <v/>
      </c>
      <c r="G375" s="26">
        <f>IF($P375="","",IF(INDEX(EntryTxnType,$P375)=0,"",INDEX(EntryTxnType,$P375)))</f>
        <v/>
      </c>
      <c r="H375" s="27">
        <f>IF($P375="","",IF(INDEX(EntryDep,$P375)=0,"",INDEX(EntryDep,$P375)))</f>
        <v/>
      </c>
      <c r="I375" s="27">
        <f>IF($P375="","",IF(INDEX(EntryWit,$P375)=0,"",INDEX(EntryWit,$P375)))</f>
        <v/>
      </c>
      <c r="J375" s="27">
        <f>IF($B375="","",IF($A375=1,$C$7,IF(J374="",0,J374))+IF($H375="",0,$H375)-IF($I375="",0,$I375))</f>
        <v/>
      </c>
      <c r="K375" s="27">
        <f>IF($P375="","",IF(INDEX(EntryMan,$P375)=0,"",INDEX(EntryMan,$P375)))</f>
        <v/>
      </c>
      <c r="L375" s="26">
        <f>IF($B375="","",IF($K375="","—",IF(ROUND($K375-$J375,0)=0,"√","×")))</f>
        <v/>
      </c>
      <c r="M375" s="26">
        <f>IF($B375="","",IF(COUNTIFS(EntryDates,$B375,CalcTime,$C375,CalcBank,$C$5,EntryParty,$D375,EntryDep,$H375,EntryWit,$I375)&gt;1,"تکرار",""))</f>
        <v/>
      </c>
      <c r="N375" s="26">
        <f>IF($P375="","",IF(INDEX(EntryNotes,$P375)=0,"",INDEX(EntryNotes,$P375)))</f>
        <v/>
      </c>
      <c r="O375" s="26">
        <f>IF($P375="","",IF(INDEX(EntryTxnID,$P375)=0,"",INDEX(EntryTxnID,$P375)))</f>
        <v/>
      </c>
      <c r="P375" s="26">
        <f>IFERROR(MATCH($C$5&amp;"|"&amp;RIGHT("000000"&amp;359,6),CalcRankKey,0),"")</f>
        <v/>
      </c>
    </row>
    <row r="376">
      <c r="A376" s="28">
        <f>IF($B376="","",360)</f>
        <v/>
      </c>
      <c r="B376" s="28">
        <f>IF($P376="","",IF(INDEX(CalcNormDate,$P376)=0,"",INDEX(CalcNormDate,$P376)))</f>
        <v/>
      </c>
      <c r="C376" s="28">
        <f>IF($P376="","",IF(INDEX(CalcTime,$P376)=0,"",INDEX(CalcTime,$P376)))</f>
        <v/>
      </c>
      <c r="D376" s="28">
        <f>IF($P376="","",IF(INDEX(EntryParty,$P376)=0,"",INDEX(EntryParty,$P376)))</f>
        <v/>
      </c>
      <c r="E376" s="28">
        <f>IF($P376="","",IF(INDEX(EntryPartyName,$P376)=0,"",INDEX(EntryPartyName,$P376)))</f>
        <v/>
      </c>
      <c r="F376" s="28">
        <f>IF($P376="","",IF(INDEX(EntryPartyType,$P376)=0,"",INDEX(EntryPartyType,$P376)))</f>
        <v/>
      </c>
      <c r="G376" s="28">
        <f>IF($P376="","",IF(INDEX(EntryTxnType,$P376)=0,"",INDEX(EntryTxnType,$P376)))</f>
        <v/>
      </c>
      <c r="H376" s="29">
        <f>IF($P376="","",IF(INDEX(EntryDep,$P376)=0,"",INDEX(EntryDep,$P376)))</f>
        <v/>
      </c>
      <c r="I376" s="29">
        <f>IF($P376="","",IF(INDEX(EntryWit,$P376)=0,"",INDEX(EntryWit,$P376)))</f>
        <v/>
      </c>
      <c r="J376" s="29">
        <f>IF($B376="","",IF($A376=1,$C$7,IF(J375="",0,J375))+IF($H376="",0,$H376)-IF($I376="",0,$I376))</f>
        <v/>
      </c>
      <c r="K376" s="29">
        <f>IF($P376="","",IF(INDEX(EntryMan,$P376)=0,"",INDEX(EntryMan,$P376)))</f>
        <v/>
      </c>
      <c r="L376" s="28">
        <f>IF($B376="","",IF($K376="","—",IF(ROUND($K376-$J376,0)=0,"√","×")))</f>
        <v/>
      </c>
      <c r="M376" s="28">
        <f>IF($B376="","",IF(COUNTIFS(EntryDates,$B376,CalcTime,$C376,CalcBank,$C$5,EntryParty,$D376,EntryDep,$H376,EntryWit,$I376)&gt;1,"تکرار",""))</f>
        <v/>
      </c>
      <c r="N376" s="28">
        <f>IF($P376="","",IF(INDEX(EntryNotes,$P376)=0,"",INDEX(EntryNotes,$P376)))</f>
        <v/>
      </c>
      <c r="O376" s="28">
        <f>IF($P376="","",IF(INDEX(EntryTxnID,$P376)=0,"",INDEX(EntryTxnID,$P376)))</f>
        <v/>
      </c>
      <c r="P376" s="28">
        <f>IFERROR(MATCH($C$5&amp;"|"&amp;RIGHT("000000"&amp;360,6),CalcRankKey,0),"")</f>
        <v/>
      </c>
    </row>
    <row r="377">
      <c r="A377" s="26">
        <f>IF($B377="","",361)</f>
        <v/>
      </c>
      <c r="B377" s="26">
        <f>IF($P377="","",IF(INDEX(CalcNormDate,$P377)=0,"",INDEX(CalcNormDate,$P377)))</f>
        <v/>
      </c>
      <c r="C377" s="26">
        <f>IF($P377="","",IF(INDEX(CalcTime,$P377)=0,"",INDEX(CalcTime,$P377)))</f>
        <v/>
      </c>
      <c r="D377" s="26">
        <f>IF($P377="","",IF(INDEX(EntryParty,$P377)=0,"",INDEX(EntryParty,$P377)))</f>
        <v/>
      </c>
      <c r="E377" s="26">
        <f>IF($P377="","",IF(INDEX(EntryPartyName,$P377)=0,"",INDEX(EntryPartyName,$P377)))</f>
        <v/>
      </c>
      <c r="F377" s="26">
        <f>IF($P377="","",IF(INDEX(EntryPartyType,$P377)=0,"",INDEX(EntryPartyType,$P377)))</f>
        <v/>
      </c>
      <c r="G377" s="26">
        <f>IF($P377="","",IF(INDEX(EntryTxnType,$P377)=0,"",INDEX(EntryTxnType,$P377)))</f>
        <v/>
      </c>
      <c r="H377" s="27">
        <f>IF($P377="","",IF(INDEX(EntryDep,$P377)=0,"",INDEX(EntryDep,$P377)))</f>
        <v/>
      </c>
      <c r="I377" s="27">
        <f>IF($P377="","",IF(INDEX(EntryWit,$P377)=0,"",INDEX(EntryWit,$P377)))</f>
        <v/>
      </c>
      <c r="J377" s="27">
        <f>IF($B377="","",IF($A377=1,$C$7,IF(J376="",0,J376))+IF($H377="",0,$H377)-IF($I377="",0,$I377))</f>
        <v/>
      </c>
      <c r="K377" s="27">
        <f>IF($P377="","",IF(INDEX(EntryMan,$P377)=0,"",INDEX(EntryMan,$P377)))</f>
        <v/>
      </c>
      <c r="L377" s="26">
        <f>IF($B377="","",IF($K377="","—",IF(ROUND($K377-$J377,0)=0,"√","×")))</f>
        <v/>
      </c>
      <c r="M377" s="26">
        <f>IF($B377="","",IF(COUNTIFS(EntryDates,$B377,CalcTime,$C377,CalcBank,$C$5,EntryParty,$D377,EntryDep,$H377,EntryWit,$I377)&gt;1,"تکرار",""))</f>
        <v/>
      </c>
      <c r="N377" s="26">
        <f>IF($P377="","",IF(INDEX(EntryNotes,$P377)=0,"",INDEX(EntryNotes,$P377)))</f>
        <v/>
      </c>
      <c r="O377" s="26">
        <f>IF($P377="","",IF(INDEX(EntryTxnID,$P377)=0,"",INDEX(EntryTxnID,$P377)))</f>
        <v/>
      </c>
      <c r="P377" s="26">
        <f>IFERROR(MATCH($C$5&amp;"|"&amp;RIGHT("000000"&amp;361,6),CalcRankKey,0),"")</f>
        <v/>
      </c>
    </row>
    <row r="378">
      <c r="A378" s="28">
        <f>IF($B378="","",362)</f>
        <v/>
      </c>
      <c r="B378" s="28">
        <f>IF($P378="","",IF(INDEX(CalcNormDate,$P378)=0,"",INDEX(CalcNormDate,$P378)))</f>
        <v/>
      </c>
      <c r="C378" s="28">
        <f>IF($P378="","",IF(INDEX(CalcTime,$P378)=0,"",INDEX(CalcTime,$P378)))</f>
        <v/>
      </c>
      <c r="D378" s="28">
        <f>IF($P378="","",IF(INDEX(EntryParty,$P378)=0,"",INDEX(EntryParty,$P378)))</f>
        <v/>
      </c>
      <c r="E378" s="28">
        <f>IF($P378="","",IF(INDEX(EntryPartyName,$P378)=0,"",INDEX(EntryPartyName,$P378)))</f>
        <v/>
      </c>
      <c r="F378" s="28">
        <f>IF($P378="","",IF(INDEX(EntryPartyType,$P378)=0,"",INDEX(EntryPartyType,$P378)))</f>
        <v/>
      </c>
      <c r="G378" s="28">
        <f>IF($P378="","",IF(INDEX(EntryTxnType,$P378)=0,"",INDEX(EntryTxnType,$P378)))</f>
        <v/>
      </c>
      <c r="H378" s="29">
        <f>IF($P378="","",IF(INDEX(EntryDep,$P378)=0,"",INDEX(EntryDep,$P378)))</f>
        <v/>
      </c>
      <c r="I378" s="29">
        <f>IF($P378="","",IF(INDEX(EntryWit,$P378)=0,"",INDEX(EntryWit,$P378)))</f>
        <v/>
      </c>
      <c r="J378" s="29">
        <f>IF($B378="","",IF($A378=1,$C$7,IF(J377="",0,J377))+IF($H378="",0,$H378)-IF($I378="",0,$I378))</f>
        <v/>
      </c>
      <c r="K378" s="29">
        <f>IF($P378="","",IF(INDEX(EntryMan,$P378)=0,"",INDEX(EntryMan,$P378)))</f>
        <v/>
      </c>
      <c r="L378" s="28">
        <f>IF($B378="","",IF($K378="","—",IF(ROUND($K378-$J378,0)=0,"√","×")))</f>
        <v/>
      </c>
      <c r="M378" s="28">
        <f>IF($B378="","",IF(COUNTIFS(EntryDates,$B378,CalcTime,$C378,CalcBank,$C$5,EntryParty,$D378,EntryDep,$H378,EntryWit,$I378)&gt;1,"تکرار",""))</f>
        <v/>
      </c>
      <c r="N378" s="28">
        <f>IF($P378="","",IF(INDEX(EntryNotes,$P378)=0,"",INDEX(EntryNotes,$P378)))</f>
        <v/>
      </c>
      <c r="O378" s="28">
        <f>IF($P378="","",IF(INDEX(EntryTxnID,$P378)=0,"",INDEX(EntryTxnID,$P378)))</f>
        <v/>
      </c>
      <c r="P378" s="28">
        <f>IFERROR(MATCH($C$5&amp;"|"&amp;RIGHT("000000"&amp;362,6),CalcRankKey,0),"")</f>
        <v/>
      </c>
    </row>
    <row r="379">
      <c r="A379" s="26">
        <f>IF($B379="","",363)</f>
        <v/>
      </c>
      <c r="B379" s="26">
        <f>IF($P379="","",IF(INDEX(CalcNormDate,$P379)=0,"",INDEX(CalcNormDate,$P379)))</f>
        <v/>
      </c>
      <c r="C379" s="26">
        <f>IF($P379="","",IF(INDEX(CalcTime,$P379)=0,"",INDEX(CalcTime,$P379)))</f>
        <v/>
      </c>
      <c r="D379" s="26">
        <f>IF($P379="","",IF(INDEX(EntryParty,$P379)=0,"",INDEX(EntryParty,$P379)))</f>
        <v/>
      </c>
      <c r="E379" s="26">
        <f>IF($P379="","",IF(INDEX(EntryPartyName,$P379)=0,"",INDEX(EntryPartyName,$P379)))</f>
        <v/>
      </c>
      <c r="F379" s="26">
        <f>IF($P379="","",IF(INDEX(EntryPartyType,$P379)=0,"",INDEX(EntryPartyType,$P379)))</f>
        <v/>
      </c>
      <c r="G379" s="26">
        <f>IF($P379="","",IF(INDEX(EntryTxnType,$P379)=0,"",INDEX(EntryTxnType,$P379)))</f>
        <v/>
      </c>
      <c r="H379" s="27">
        <f>IF($P379="","",IF(INDEX(EntryDep,$P379)=0,"",INDEX(EntryDep,$P379)))</f>
        <v/>
      </c>
      <c r="I379" s="27">
        <f>IF($P379="","",IF(INDEX(EntryWit,$P379)=0,"",INDEX(EntryWit,$P379)))</f>
        <v/>
      </c>
      <c r="J379" s="27">
        <f>IF($B379="","",IF($A379=1,$C$7,IF(J378="",0,J378))+IF($H379="",0,$H379)-IF($I379="",0,$I379))</f>
        <v/>
      </c>
      <c r="K379" s="27">
        <f>IF($P379="","",IF(INDEX(EntryMan,$P379)=0,"",INDEX(EntryMan,$P379)))</f>
        <v/>
      </c>
      <c r="L379" s="26">
        <f>IF($B379="","",IF($K379="","—",IF(ROUND($K379-$J379,0)=0,"√","×")))</f>
        <v/>
      </c>
      <c r="M379" s="26">
        <f>IF($B379="","",IF(COUNTIFS(EntryDates,$B379,CalcTime,$C379,CalcBank,$C$5,EntryParty,$D379,EntryDep,$H379,EntryWit,$I379)&gt;1,"تکرار",""))</f>
        <v/>
      </c>
      <c r="N379" s="26">
        <f>IF($P379="","",IF(INDEX(EntryNotes,$P379)=0,"",INDEX(EntryNotes,$P379)))</f>
        <v/>
      </c>
      <c r="O379" s="26">
        <f>IF($P379="","",IF(INDEX(EntryTxnID,$P379)=0,"",INDEX(EntryTxnID,$P379)))</f>
        <v/>
      </c>
      <c r="P379" s="26">
        <f>IFERROR(MATCH($C$5&amp;"|"&amp;RIGHT("000000"&amp;363,6),CalcRankKey,0),"")</f>
        <v/>
      </c>
    </row>
    <row r="380">
      <c r="A380" s="28">
        <f>IF($B380="","",364)</f>
        <v/>
      </c>
      <c r="B380" s="28">
        <f>IF($P380="","",IF(INDEX(CalcNormDate,$P380)=0,"",INDEX(CalcNormDate,$P380)))</f>
        <v/>
      </c>
      <c r="C380" s="28">
        <f>IF($P380="","",IF(INDEX(CalcTime,$P380)=0,"",INDEX(CalcTime,$P380)))</f>
        <v/>
      </c>
      <c r="D380" s="28">
        <f>IF($P380="","",IF(INDEX(EntryParty,$P380)=0,"",INDEX(EntryParty,$P380)))</f>
        <v/>
      </c>
      <c r="E380" s="28">
        <f>IF($P380="","",IF(INDEX(EntryPartyName,$P380)=0,"",INDEX(EntryPartyName,$P380)))</f>
        <v/>
      </c>
      <c r="F380" s="28">
        <f>IF($P380="","",IF(INDEX(EntryPartyType,$P380)=0,"",INDEX(EntryPartyType,$P380)))</f>
        <v/>
      </c>
      <c r="G380" s="28">
        <f>IF($P380="","",IF(INDEX(EntryTxnType,$P380)=0,"",INDEX(EntryTxnType,$P380)))</f>
        <v/>
      </c>
      <c r="H380" s="29">
        <f>IF($P380="","",IF(INDEX(EntryDep,$P380)=0,"",INDEX(EntryDep,$P380)))</f>
        <v/>
      </c>
      <c r="I380" s="29">
        <f>IF($P380="","",IF(INDEX(EntryWit,$P380)=0,"",INDEX(EntryWit,$P380)))</f>
        <v/>
      </c>
      <c r="J380" s="29">
        <f>IF($B380="","",IF($A380=1,$C$7,IF(J379="",0,J379))+IF($H380="",0,$H380)-IF($I380="",0,$I380))</f>
        <v/>
      </c>
      <c r="K380" s="29">
        <f>IF($P380="","",IF(INDEX(EntryMan,$P380)=0,"",INDEX(EntryMan,$P380)))</f>
        <v/>
      </c>
      <c r="L380" s="28">
        <f>IF($B380="","",IF($K380="","—",IF(ROUND($K380-$J380,0)=0,"√","×")))</f>
        <v/>
      </c>
      <c r="M380" s="28">
        <f>IF($B380="","",IF(COUNTIFS(EntryDates,$B380,CalcTime,$C380,CalcBank,$C$5,EntryParty,$D380,EntryDep,$H380,EntryWit,$I380)&gt;1,"تکرار",""))</f>
        <v/>
      </c>
      <c r="N380" s="28">
        <f>IF($P380="","",IF(INDEX(EntryNotes,$P380)=0,"",INDEX(EntryNotes,$P380)))</f>
        <v/>
      </c>
      <c r="O380" s="28">
        <f>IF($P380="","",IF(INDEX(EntryTxnID,$P380)=0,"",INDEX(EntryTxnID,$P380)))</f>
        <v/>
      </c>
      <c r="P380" s="28">
        <f>IFERROR(MATCH($C$5&amp;"|"&amp;RIGHT("000000"&amp;364,6),CalcRankKey,0),"")</f>
        <v/>
      </c>
    </row>
    <row r="381">
      <c r="A381" s="26">
        <f>IF($B381="","",365)</f>
        <v/>
      </c>
      <c r="B381" s="26">
        <f>IF($P381="","",IF(INDEX(CalcNormDate,$P381)=0,"",INDEX(CalcNormDate,$P381)))</f>
        <v/>
      </c>
      <c r="C381" s="26">
        <f>IF($P381="","",IF(INDEX(CalcTime,$P381)=0,"",INDEX(CalcTime,$P381)))</f>
        <v/>
      </c>
      <c r="D381" s="26">
        <f>IF($P381="","",IF(INDEX(EntryParty,$P381)=0,"",INDEX(EntryParty,$P381)))</f>
        <v/>
      </c>
      <c r="E381" s="26">
        <f>IF($P381="","",IF(INDEX(EntryPartyName,$P381)=0,"",INDEX(EntryPartyName,$P381)))</f>
        <v/>
      </c>
      <c r="F381" s="26">
        <f>IF($P381="","",IF(INDEX(EntryPartyType,$P381)=0,"",INDEX(EntryPartyType,$P381)))</f>
        <v/>
      </c>
      <c r="G381" s="26">
        <f>IF($P381="","",IF(INDEX(EntryTxnType,$P381)=0,"",INDEX(EntryTxnType,$P381)))</f>
        <v/>
      </c>
      <c r="H381" s="27">
        <f>IF($P381="","",IF(INDEX(EntryDep,$P381)=0,"",INDEX(EntryDep,$P381)))</f>
        <v/>
      </c>
      <c r="I381" s="27">
        <f>IF($P381="","",IF(INDEX(EntryWit,$P381)=0,"",INDEX(EntryWit,$P381)))</f>
        <v/>
      </c>
      <c r="J381" s="27">
        <f>IF($B381="","",IF($A381=1,$C$7,IF(J380="",0,J380))+IF($H381="",0,$H381)-IF($I381="",0,$I381))</f>
        <v/>
      </c>
      <c r="K381" s="27">
        <f>IF($P381="","",IF(INDEX(EntryMan,$P381)=0,"",INDEX(EntryMan,$P381)))</f>
        <v/>
      </c>
      <c r="L381" s="26">
        <f>IF($B381="","",IF($K381="","—",IF(ROUND($K381-$J381,0)=0,"√","×")))</f>
        <v/>
      </c>
      <c r="M381" s="26">
        <f>IF($B381="","",IF(COUNTIFS(EntryDates,$B381,CalcTime,$C381,CalcBank,$C$5,EntryParty,$D381,EntryDep,$H381,EntryWit,$I381)&gt;1,"تکرار",""))</f>
        <v/>
      </c>
      <c r="N381" s="26">
        <f>IF($P381="","",IF(INDEX(EntryNotes,$P381)=0,"",INDEX(EntryNotes,$P381)))</f>
        <v/>
      </c>
      <c r="O381" s="26">
        <f>IF($P381="","",IF(INDEX(EntryTxnID,$P381)=0,"",INDEX(EntryTxnID,$P381)))</f>
        <v/>
      </c>
      <c r="P381" s="26">
        <f>IFERROR(MATCH($C$5&amp;"|"&amp;RIGHT("000000"&amp;365,6),CalcRankKey,0),"")</f>
        <v/>
      </c>
    </row>
    <row r="382">
      <c r="A382" s="28">
        <f>IF($B382="","",366)</f>
        <v/>
      </c>
      <c r="B382" s="28">
        <f>IF($P382="","",IF(INDEX(CalcNormDate,$P382)=0,"",INDEX(CalcNormDate,$P382)))</f>
        <v/>
      </c>
      <c r="C382" s="28">
        <f>IF($P382="","",IF(INDEX(CalcTime,$P382)=0,"",INDEX(CalcTime,$P382)))</f>
        <v/>
      </c>
      <c r="D382" s="28">
        <f>IF($P382="","",IF(INDEX(EntryParty,$P382)=0,"",INDEX(EntryParty,$P382)))</f>
        <v/>
      </c>
      <c r="E382" s="28">
        <f>IF($P382="","",IF(INDEX(EntryPartyName,$P382)=0,"",INDEX(EntryPartyName,$P382)))</f>
        <v/>
      </c>
      <c r="F382" s="28">
        <f>IF($P382="","",IF(INDEX(EntryPartyType,$P382)=0,"",INDEX(EntryPartyType,$P382)))</f>
        <v/>
      </c>
      <c r="G382" s="28">
        <f>IF($P382="","",IF(INDEX(EntryTxnType,$P382)=0,"",INDEX(EntryTxnType,$P382)))</f>
        <v/>
      </c>
      <c r="H382" s="29">
        <f>IF($P382="","",IF(INDEX(EntryDep,$P382)=0,"",INDEX(EntryDep,$P382)))</f>
        <v/>
      </c>
      <c r="I382" s="29">
        <f>IF($P382="","",IF(INDEX(EntryWit,$P382)=0,"",INDEX(EntryWit,$P382)))</f>
        <v/>
      </c>
      <c r="J382" s="29">
        <f>IF($B382="","",IF($A382=1,$C$7,IF(J381="",0,J381))+IF($H382="",0,$H382)-IF($I382="",0,$I382))</f>
        <v/>
      </c>
      <c r="K382" s="29">
        <f>IF($P382="","",IF(INDEX(EntryMan,$P382)=0,"",INDEX(EntryMan,$P382)))</f>
        <v/>
      </c>
      <c r="L382" s="28">
        <f>IF($B382="","",IF($K382="","—",IF(ROUND($K382-$J382,0)=0,"√","×")))</f>
        <v/>
      </c>
      <c r="M382" s="28">
        <f>IF($B382="","",IF(COUNTIFS(EntryDates,$B382,CalcTime,$C382,CalcBank,$C$5,EntryParty,$D382,EntryDep,$H382,EntryWit,$I382)&gt;1,"تکرار",""))</f>
        <v/>
      </c>
      <c r="N382" s="28">
        <f>IF($P382="","",IF(INDEX(EntryNotes,$P382)=0,"",INDEX(EntryNotes,$P382)))</f>
        <v/>
      </c>
      <c r="O382" s="28">
        <f>IF($P382="","",IF(INDEX(EntryTxnID,$P382)=0,"",INDEX(EntryTxnID,$P382)))</f>
        <v/>
      </c>
      <c r="P382" s="28">
        <f>IFERROR(MATCH($C$5&amp;"|"&amp;RIGHT("000000"&amp;366,6),CalcRankKey,0),"")</f>
        <v/>
      </c>
    </row>
    <row r="383">
      <c r="A383" s="26">
        <f>IF($B383="","",367)</f>
        <v/>
      </c>
      <c r="B383" s="26">
        <f>IF($P383="","",IF(INDEX(CalcNormDate,$P383)=0,"",INDEX(CalcNormDate,$P383)))</f>
        <v/>
      </c>
      <c r="C383" s="26">
        <f>IF($P383="","",IF(INDEX(CalcTime,$P383)=0,"",INDEX(CalcTime,$P383)))</f>
        <v/>
      </c>
      <c r="D383" s="26">
        <f>IF($P383="","",IF(INDEX(EntryParty,$P383)=0,"",INDEX(EntryParty,$P383)))</f>
        <v/>
      </c>
      <c r="E383" s="26">
        <f>IF($P383="","",IF(INDEX(EntryPartyName,$P383)=0,"",INDEX(EntryPartyName,$P383)))</f>
        <v/>
      </c>
      <c r="F383" s="26">
        <f>IF($P383="","",IF(INDEX(EntryPartyType,$P383)=0,"",INDEX(EntryPartyType,$P383)))</f>
        <v/>
      </c>
      <c r="G383" s="26">
        <f>IF($P383="","",IF(INDEX(EntryTxnType,$P383)=0,"",INDEX(EntryTxnType,$P383)))</f>
        <v/>
      </c>
      <c r="H383" s="27">
        <f>IF($P383="","",IF(INDEX(EntryDep,$P383)=0,"",INDEX(EntryDep,$P383)))</f>
        <v/>
      </c>
      <c r="I383" s="27">
        <f>IF($P383="","",IF(INDEX(EntryWit,$P383)=0,"",INDEX(EntryWit,$P383)))</f>
        <v/>
      </c>
      <c r="J383" s="27">
        <f>IF($B383="","",IF($A383=1,$C$7,IF(J382="",0,J382))+IF($H383="",0,$H383)-IF($I383="",0,$I383))</f>
        <v/>
      </c>
      <c r="K383" s="27">
        <f>IF($P383="","",IF(INDEX(EntryMan,$P383)=0,"",INDEX(EntryMan,$P383)))</f>
        <v/>
      </c>
      <c r="L383" s="26">
        <f>IF($B383="","",IF($K383="","—",IF(ROUND($K383-$J383,0)=0,"√","×")))</f>
        <v/>
      </c>
      <c r="M383" s="26">
        <f>IF($B383="","",IF(COUNTIFS(EntryDates,$B383,CalcTime,$C383,CalcBank,$C$5,EntryParty,$D383,EntryDep,$H383,EntryWit,$I383)&gt;1,"تکرار",""))</f>
        <v/>
      </c>
      <c r="N383" s="26">
        <f>IF($P383="","",IF(INDEX(EntryNotes,$P383)=0,"",INDEX(EntryNotes,$P383)))</f>
        <v/>
      </c>
      <c r="O383" s="26">
        <f>IF($P383="","",IF(INDEX(EntryTxnID,$P383)=0,"",INDEX(EntryTxnID,$P383)))</f>
        <v/>
      </c>
      <c r="P383" s="26">
        <f>IFERROR(MATCH($C$5&amp;"|"&amp;RIGHT("000000"&amp;367,6),CalcRankKey,0),"")</f>
        <v/>
      </c>
    </row>
    <row r="384">
      <c r="A384" s="28">
        <f>IF($B384="","",368)</f>
        <v/>
      </c>
      <c r="B384" s="28">
        <f>IF($P384="","",IF(INDEX(CalcNormDate,$P384)=0,"",INDEX(CalcNormDate,$P384)))</f>
        <v/>
      </c>
      <c r="C384" s="28">
        <f>IF($P384="","",IF(INDEX(CalcTime,$P384)=0,"",INDEX(CalcTime,$P384)))</f>
        <v/>
      </c>
      <c r="D384" s="28">
        <f>IF($P384="","",IF(INDEX(EntryParty,$P384)=0,"",INDEX(EntryParty,$P384)))</f>
        <v/>
      </c>
      <c r="E384" s="28">
        <f>IF($P384="","",IF(INDEX(EntryPartyName,$P384)=0,"",INDEX(EntryPartyName,$P384)))</f>
        <v/>
      </c>
      <c r="F384" s="28">
        <f>IF($P384="","",IF(INDEX(EntryPartyType,$P384)=0,"",INDEX(EntryPartyType,$P384)))</f>
        <v/>
      </c>
      <c r="G384" s="28">
        <f>IF($P384="","",IF(INDEX(EntryTxnType,$P384)=0,"",INDEX(EntryTxnType,$P384)))</f>
        <v/>
      </c>
      <c r="H384" s="29">
        <f>IF($P384="","",IF(INDEX(EntryDep,$P384)=0,"",INDEX(EntryDep,$P384)))</f>
        <v/>
      </c>
      <c r="I384" s="29">
        <f>IF($P384="","",IF(INDEX(EntryWit,$P384)=0,"",INDEX(EntryWit,$P384)))</f>
        <v/>
      </c>
      <c r="J384" s="29">
        <f>IF($B384="","",IF($A384=1,$C$7,IF(J383="",0,J383))+IF($H384="",0,$H384)-IF($I384="",0,$I384))</f>
        <v/>
      </c>
      <c r="K384" s="29">
        <f>IF($P384="","",IF(INDEX(EntryMan,$P384)=0,"",INDEX(EntryMan,$P384)))</f>
        <v/>
      </c>
      <c r="L384" s="28">
        <f>IF($B384="","",IF($K384="","—",IF(ROUND($K384-$J384,0)=0,"√","×")))</f>
        <v/>
      </c>
      <c r="M384" s="28">
        <f>IF($B384="","",IF(COUNTIFS(EntryDates,$B384,CalcTime,$C384,CalcBank,$C$5,EntryParty,$D384,EntryDep,$H384,EntryWit,$I384)&gt;1,"تکرار",""))</f>
        <v/>
      </c>
      <c r="N384" s="28">
        <f>IF($P384="","",IF(INDEX(EntryNotes,$P384)=0,"",INDEX(EntryNotes,$P384)))</f>
        <v/>
      </c>
      <c r="O384" s="28">
        <f>IF($P384="","",IF(INDEX(EntryTxnID,$P384)=0,"",INDEX(EntryTxnID,$P384)))</f>
        <v/>
      </c>
      <c r="P384" s="28">
        <f>IFERROR(MATCH($C$5&amp;"|"&amp;RIGHT("000000"&amp;368,6),CalcRankKey,0),"")</f>
        <v/>
      </c>
    </row>
    <row r="385">
      <c r="A385" s="26">
        <f>IF($B385="","",369)</f>
        <v/>
      </c>
      <c r="B385" s="26">
        <f>IF($P385="","",IF(INDEX(CalcNormDate,$P385)=0,"",INDEX(CalcNormDate,$P385)))</f>
        <v/>
      </c>
      <c r="C385" s="26">
        <f>IF($P385="","",IF(INDEX(CalcTime,$P385)=0,"",INDEX(CalcTime,$P385)))</f>
        <v/>
      </c>
      <c r="D385" s="26">
        <f>IF($P385="","",IF(INDEX(EntryParty,$P385)=0,"",INDEX(EntryParty,$P385)))</f>
        <v/>
      </c>
      <c r="E385" s="26">
        <f>IF($P385="","",IF(INDEX(EntryPartyName,$P385)=0,"",INDEX(EntryPartyName,$P385)))</f>
        <v/>
      </c>
      <c r="F385" s="26">
        <f>IF($P385="","",IF(INDEX(EntryPartyType,$P385)=0,"",INDEX(EntryPartyType,$P385)))</f>
        <v/>
      </c>
      <c r="G385" s="26">
        <f>IF($P385="","",IF(INDEX(EntryTxnType,$P385)=0,"",INDEX(EntryTxnType,$P385)))</f>
        <v/>
      </c>
      <c r="H385" s="27">
        <f>IF($P385="","",IF(INDEX(EntryDep,$P385)=0,"",INDEX(EntryDep,$P385)))</f>
        <v/>
      </c>
      <c r="I385" s="27">
        <f>IF($P385="","",IF(INDEX(EntryWit,$P385)=0,"",INDEX(EntryWit,$P385)))</f>
        <v/>
      </c>
      <c r="J385" s="27">
        <f>IF($B385="","",IF($A385=1,$C$7,IF(J384="",0,J384))+IF($H385="",0,$H385)-IF($I385="",0,$I385))</f>
        <v/>
      </c>
      <c r="K385" s="27">
        <f>IF($P385="","",IF(INDEX(EntryMan,$P385)=0,"",INDEX(EntryMan,$P385)))</f>
        <v/>
      </c>
      <c r="L385" s="26">
        <f>IF($B385="","",IF($K385="","—",IF(ROUND($K385-$J385,0)=0,"√","×")))</f>
        <v/>
      </c>
      <c r="M385" s="26">
        <f>IF($B385="","",IF(COUNTIFS(EntryDates,$B385,CalcTime,$C385,CalcBank,$C$5,EntryParty,$D385,EntryDep,$H385,EntryWit,$I385)&gt;1,"تکرار",""))</f>
        <v/>
      </c>
      <c r="N385" s="26">
        <f>IF($P385="","",IF(INDEX(EntryNotes,$P385)=0,"",INDEX(EntryNotes,$P385)))</f>
        <v/>
      </c>
      <c r="O385" s="26">
        <f>IF($P385="","",IF(INDEX(EntryTxnID,$P385)=0,"",INDEX(EntryTxnID,$P385)))</f>
        <v/>
      </c>
      <c r="P385" s="26">
        <f>IFERROR(MATCH($C$5&amp;"|"&amp;RIGHT("000000"&amp;369,6),CalcRankKey,0),"")</f>
        <v/>
      </c>
    </row>
    <row r="386">
      <c r="A386" s="28">
        <f>IF($B386="","",370)</f>
        <v/>
      </c>
      <c r="B386" s="28">
        <f>IF($P386="","",IF(INDEX(CalcNormDate,$P386)=0,"",INDEX(CalcNormDate,$P386)))</f>
        <v/>
      </c>
      <c r="C386" s="28">
        <f>IF($P386="","",IF(INDEX(CalcTime,$P386)=0,"",INDEX(CalcTime,$P386)))</f>
        <v/>
      </c>
      <c r="D386" s="28">
        <f>IF($P386="","",IF(INDEX(EntryParty,$P386)=0,"",INDEX(EntryParty,$P386)))</f>
        <v/>
      </c>
      <c r="E386" s="28">
        <f>IF($P386="","",IF(INDEX(EntryPartyName,$P386)=0,"",INDEX(EntryPartyName,$P386)))</f>
        <v/>
      </c>
      <c r="F386" s="28">
        <f>IF($P386="","",IF(INDEX(EntryPartyType,$P386)=0,"",INDEX(EntryPartyType,$P386)))</f>
        <v/>
      </c>
      <c r="G386" s="28">
        <f>IF($P386="","",IF(INDEX(EntryTxnType,$P386)=0,"",INDEX(EntryTxnType,$P386)))</f>
        <v/>
      </c>
      <c r="H386" s="29">
        <f>IF($P386="","",IF(INDEX(EntryDep,$P386)=0,"",INDEX(EntryDep,$P386)))</f>
        <v/>
      </c>
      <c r="I386" s="29">
        <f>IF($P386="","",IF(INDEX(EntryWit,$P386)=0,"",INDEX(EntryWit,$P386)))</f>
        <v/>
      </c>
      <c r="J386" s="29">
        <f>IF($B386="","",IF($A386=1,$C$7,IF(J385="",0,J385))+IF($H386="",0,$H386)-IF($I386="",0,$I386))</f>
        <v/>
      </c>
      <c r="K386" s="29">
        <f>IF($P386="","",IF(INDEX(EntryMan,$P386)=0,"",INDEX(EntryMan,$P386)))</f>
        <v/>
      </c>
      <c r="L386" s="28">
        <f>IF($B386="","",IF($K386="","—",IF(ROUND($K386-$J386,0)=0,"√","×")))</f>
        <v/>
      </c>
      <c r="M386" s="28">
        <f>IF($B386="","",IF(COUNTIFS(EntryDates,$B386,CalcTime,$C386,CalcBank,$C$5,EntryParty,$D386,EntryDep,$H386,EntryWit,$I386)&gt;1,"تکرار",""))</f>
        <v/>
      </c>
      <c r="N386" s="28">
        <f>IF($P386="","",IF(INDEX(EntryNotes,$P386)=0,"",INDEX(EntryNotes,$P386)))</f>
        <v/>
      </c>
      <c r="O386" s="28">
        <f>IF($P386="","",IF(INDEX(EntryTxnID,$P386)=0,"",INDEX(EntryTxnID,$P386)))</f>
        <v/>
      </c>
      <c r="P386" s="28">
        <f>IFERROR(MATCH($C$5&amp;"|"&amp;RIGHT("000000"&amp;370,6),CalcRankKey,0),"")</f>
        <v/>
      </c>
    </row>
    <row r="387">
      <c r="A387" s="26">
        <f>IF($B387="","",371)</f>
        <v/>
      </c>
      <c r="B387" s="26">
        <f>IF($P387="","",IF(INDEX(CalcNormDate,$P387)=0,"",INDEX(CalcNormDate,$P387)))</f>
        <v/>
      </c>
      <c r="C387" s="26">
        <f>IF($P387="","",IF(INDEX(CalcTime,$P387)=0,"",INDEX(CalcTime,$P387)))</f>
        <v/>
      </c>
      <c r="D387" s="26">
        <f>IF($P387="","",IF(INDEX(EntryParty,$P387)=0,"",INDEX(EntryParty,$P387)))</f>
        <v/>
      </c>
      <c r="E387" s="26">
        <f>IF($P387="","",IF(INDEX(EntryPartyName,$P387)=0,"",INDEX(EntryPartyName,$P387)))</f>
        <v/>
      </c>
      <c r="F387" s="26">
        <f>IF($P387="","",IF(INDEX(EntryPartyType,$P387)=0,"",INDEX(EntryPartyType,$P387)))</f>
        <v/>
      </c>
      <c r="G387" s="26">
        <f>IF($P387="","",IF(INDEX(EntryTxnType,$P387)=0,"",INDEX(EntryTxnType,$P387)))</f>
        <v/>
      </c>
      <c r="H387" s="27">
        <f>IF($P387="","",IF(INDEX(EntryDep,$P387)=0,"",INDEX(EntryDep,$P387)))</f>
        <v/>
      </c>
      <c r="I387" s="27">
        <f>IF($P387="","",IF(INDEX(EntryWit,$P387)=0,"",INDEX(EntryWit,$P387)))</f>
        <v/>
      </c>
      <c r="J387" s="27">
        <f>IF($B387="","",IF($A387=1,$C$7,IF(J386="",0,J386))+IF($H387="",0,$H387)-IF($I387="",0,$I387))</f>
        <v/>
      </c>
      <c r="K387" s="27">
        <f>IF($P387="","",IF(INDEX(EntryMan,$P387)=0,"",INDEX(EntryMan,$P387)))</f>
        <v/>
      </c>
      <c r="L387" s="26">
        <f>IF($B387="","",IF($K387="","—",IF(ROUND($K387-$J387,0)=0,"√","×")))</f>
        <v/>
      </c>
      <c r="M387" s="26">
        <f>IF($B387="","",IF(COUNTIFS(EntryDates,$B387,CalcTime,$C387,CalcBank,$C$5,EntryParty,$D387,EntryDep,$H387,EntryWit,$I387)&gt;1,"تکرار",""))</f>
        <v/>
      </c>
      <c r="N387" s="26">
        <f>IF($P387="","",IF(INDEX(EntryNotes,$P387)=0,"",INDEX(EntryNotes,$P387)))</f>
        <v/>
      </c>
      <c r="O387" s="26">
        <f>IF($P387="","",IF(INDEX(EntryTxnID,$P387)=0,"",INDEX(EntryTxnID,$P387)))</f>
        <v/>
      </c>
      <c r="P387" s="26">
        <f>IFERROR(MATCH($C$5&amp;"|"&amp;RIGHT("000000"&amp;371,6),CalcRankKey,0),"")</f>
        <v/>
      </c>
    </row>
    <row r="388">
      <c r="A388" s="28">
        <f>IF($B388="","",372)</f>
        <v/>
      </c>
      <c r="B388" s="28">
        <f>IF($P388="","",IF(INDEX(CalcNormDate,$P388)=0,"",INDEX(CalcNormDate,$P388)))</f>
        <v/>
      </c>
      <c r="C388" s="28">
        <f>IF($P388="","",IF(INDEX(CalcTime,$P388)=0,"",INDEX(CalcTime,$P388)))</f>
        <v/>
      </c>
      <c r="D388" s="28">
        <f>IF($P388="","",IF(INDEX(EntryParty,$P388)=0,"",INDEX(EntryParty,$P388)))</f>
        <v/>
      </c>
      <c r="E388" s="28">
        <f>IF($P388="","",IF(INDEX(EntryPartyName,$P388)=0,"",INDEX(EntryPartyName,$P388)))</f>
        <v/>
      </c>
      <c r="F388" s="28">
        <f>IF($P388="","",IF(INDEX(EntryPartyType,$P388)=0,"",INDEX(EntryPartyType,$P388)))</f>
        <v/>
      </c>
      <c r="G388" s="28">
        <f>IF($P388="","",IF(INDEX(EntryTxnType,$P388)=0,"",INDEX(EntryTxnType,$P388)))</f>
        <v/>
      </c>
      <c r="H388" s="29">
        <f>IF($P388="","",IF(INDEX(EntryDep,$P388)=0,"",INDEX(EntryDep,$P388)))</f>
        <v/>
      </c>
      <c r="I388" s="29">
        <f>IF($P388="","",IF(INDEX(EntryWit,$P388)=0,"",INDEX(EntryWit,$P388)))</f>
        <v/>
      </c>
      <c r="J388" s="29">
        <f>IF($B388="","",IF($A388=1,$C$7,IF(J387="",0,J387))+IF($H388="",0,$H388)-IF($I388="",0,$I388))</f>
        <v/>
      </c>
      <c r="K388" s="29">
        <f>IF($P388="","",IF(INDEX(EntryMan,$P388)=0,"",INDEX(EntryMan,$P388)))</f>
        <v/>
      </c>
      <c r="L388" s="28">
        <f>IF($B388="","",IF($K388="","—",IF(ROUND($K388-$J388,0)=0,"√","×")))</f>
        <v/>
      </c>
      <c r="M388" s="28">
        <f>IF($B388="","",IF(COUNTIFS(EntryDates,$B388,CalcTime,$C388,CalcBank,$C$5,EntryParty,$D388,EntryDep,$H388,EntryWit,$I388)&gt;1,"تکرار",""))</f>
        <v/>
      </c>
      <c r="N388" s="28">
        <f>IF($P388="","",IF(INDEX(EntryNotes,$P388)=0,"",INDEX(EntryNotes,$P388)))</f>
        <v/>
      </c>
      <c r="O388" s="28">
        <f>IF($P388="","",IF(INDEX(EntryTxnID,$P388)=0,"",INDEX(EntryTxnID,$P388)))</f>
        <v/>
      </c>
      <c r="P388" s="28">
        <f>IFERROR(MATCH($C$5&amp;"|"&amp;RIGHT("000000"&amp;372,6),CalcRankKey,0),"")</f>
        <v/>
      </c>
    </row>
    <row r="389">
      <c r="A389" s="26">
        <f>IF($B389="","",373)</f>
        <v/>
      </c>
      <c r="B389" s="26">
        <f>IF($P389="","",IF(INDEX(CalcNormDate,$P389)=0,"",INDEX(CalcNormDate,$P389)))</f>
        <v/>
      </c>
      <c r="C389" s="26">
        <f>IF($P389="","",IF(INDEX(CalcTime,$P389)=0,"",INDEX(CalcTime,$P389)))</f>
        <v/>
      </c>
      <c r="D389" s="26">
        <f>IF($P389="","",IF(INDEX(EntryParty,$P389)=0,"",INDEX(EntryParty,$P389)))</f>
        <v/>
      </c>
      <c r="E389" s="26">
        <f>IF($P389="","",IF(INDEX(EntryPartyName,$P389)=0,"",INDEX(EntryPartyName,$P389)))</f>
        <v/>
      </c>
      <c r="F389" s="26">
        <f>IF($P389="","",IF(INDEX(EntryPartyType,$P389)=0,"",INDEX(EntryPartyType,$P389)))</f>
        <v/>
      </c>
      <c r="G389" s="26">
        <f>IF($P389="","",IF(INDEX(EntryTxnType,$P389)=0,"",INDEX(EntryTxnType,$P389)))</f>
        <v/>
      </c>
      <c r="H389" s="27">
        <f>IF($P389="","",IF(INDEX(EntryDep,$P389)=0,"",INDEX(EntryDep,$P389)))</f>
        <v/>
      </c>
      <c r="I389" s="27">
        <f>IF($P389="","",IF(INDEX(EntryWit,$P389)=0,"",INDEX(EntryWit,$P389)))</f>
        <v/>
      </c>
      <c r="J389" s="27">
        <f>IF($B389="","",IF($A389=1,$C$7,IF(J388="",0,J388))+IF($H389="",0,$H389)-IF($I389="",0,$I389))</f>
        <v/>
      </c>
      <c r="K389" s="27">
        <f>IF($P389="","",IF(INDEX(EntryMan,$P389)=0,"",INDEX(EntryMan,$P389)))</f>
        <v/>
      </c>
      <c r="L389" s="26">
        <f>IF($B389="","",IF($K389="","—",IF(ROUND($K389-$J389,0)=0,"√","×")))</f>
        <v/>
      </c>
      <c r="M389" s="26">
        <f>IF($B389="","",IF(COUNTIFS(EntryDates,$B389,CalcTime,$C389,CalcBank,$C$5,EntryParty,$D389,EntryDep,$H389,EntryWit,$I389)&gt;1,"تکرار",""))</f>
        <v/>
      </c>
      <c r="N389" s="26">
        <f>IF($P389="","",IF(INDEX(EntryNotes,$P389)=0,"",INDEX(EntryNotes,$P389)))</f>
        <v/>
      </c>
      <c r="O389" s="26">
        <f>IF($P389="","",IF(INDEX(EntryTxnID,$P389)=0,"",INDEX(EntryTxnID,$P389)))</f>
        <v/>
      </c>
      <c r="P389" s="26">
        <f>IFERROR(MATCH($C$5&amp;"|"&amp;RIGHT("000000"&amp;373,6),CalcRankKey,0),"")</f>
        <v/>
      </c>
    </row>
    <row r="390">
      <c r="A390" s="28">
        <f>IF($B390="","",374)</f>
        <v/>
      </c>
      <c r="B390" s="28">
        <f>IF($P390="","",IF(INDEX(CalcNormDate,$P390)=0,"",INDEX(CalcNormDate,$P390)))</f>
        <v/>
      </c>
      <c r="C390" s="28">
        <f>IF($P390="","",IF(INDEX(CalcTime,$P390)=0,"",INDEX(CalcTime,$P390)))</f>
        <v/>
      </c>
      <c r="D390" s="28">
        <f>IF($P390="","",IF(INDEX(EntryParty,$P390)=0,"",INDEX(EntryParty,$P390)))</f>
        <v/>
      </c>
      <c r="E390" s="28">
        <f>IF($P390="","",IF(INDEX(EntryPartyName,$P390)=0,"",INDEX(EntryPartyName,$P390)))</f>
        <v/>
      </c>
      <c r="F390" s="28">
        <f>IF($P390="","",IF(INDEX(EntryPartyType,$P390)=0,"",INDEX(EntryPartyType,$P390)))</f>
        <v/>
      </c>
      <c r="G390" s="28">
        <f>IF($P390="","",IF(INDEX(EntryTxnType,$P390)=0,"",INDEX(EntryTxnType,$P390)))</f>
        <v/>
      </c>
      <c r="H390" s="29">
        <f>IF($P390="","",IF(INDEX(EntryDep,$P390)=0,"",INDEX(EntryDep,$P390)))</f>
        <v/>
      </c>
      <c r="I390" s="29">
        <f>IF($P390="","",IF(INDEX(EntryWit,$P390)=0,"",INDEX(EntryWit,$P390)))</f>
        <v/>
      </c>
      <c r="J390" s="29">
        <f>IF($B390="","",IF($A390=1,$C$7,IF(J389="",0,J389))+IF($H390="",0,$H390)-IF($I390="",0,$I390))</f>
        <v/>
      </c>
      <c r="K390" s="29">
        <f>IF($P390="","",IF(INDEX(EntryMan,$P390)=0,"",INDEX(EntryMan,$P390)))</f>
        <v/>
      </c>
      <c r="L390" s="28">
        <f>IF($B390="","",IF($K390="","—",IF(ROUND($K390-$J390,0)=0,"√","×")))</f>
        <v/>
      </c>
      <c r="M390" s="28">
        <f>IF($B390="","",IF(COUNTIFS(EntryDates,$B390,CalcTime,$C390,CalcBank,$C$5,EntryParty,$D390,EntryDep,$H390,EntryWit,$I390)&gt;1,"تکرار",""))</f>
        <v/>
      </c>
      <c r="N390" s="28">
        <f>IF($P390="","",IF(INDEX(EntryNotes,$P390)=0,"",INDEX(EntryNotes,$P390)))</f>
        <v/>
      </c>
      <c r="O390" s="28">
        <f>IF($P390="","",IF(INDEX(EntryTxnID,$P390)=0,"",INDEX(EntryTxnID,$P390)))</f>
        <v/>
      </c>
      <c r="P390" s="28">
        <f>IFERROR(MATCH($C$5&amp;"|"&amp;RIGHT("000000"&amp;374,6),CalcRankKey,0),"")</f>
        <v/>
      </c>
    </row>
    <row r="391">
      <c r="A391" s="26">
        <f>IF($B391="","",375)</f>
        <v/>
      </c>
      <c r="B391" s="26">
        <f>IF($P391="","",IF(INDEX(CalcNormDate,$P391)=0,"",INDEX(CalcNormDate,$P391)))</f>
        <v/>
      </c>
      <c r="C391" s="26">
        <f>IF($P391="","",IF(INDEX(CalcTime,$P391)=0,"",INDEX(CalcTime,$P391)))</f>
        <v/>
      </c>
      <c r="D391" s="26">
        <f>IF($P391="","",IF(INDEX(EntryParty,$P391)=0,"",INDEX(EntryParty,$P391)))</f>
        <v/>
      </c>
      <c r="E391" s="26">
        <f>IF($P391="","",IF(INDEX(EntryPartyName,$P391)=0,"",INDEX(EntryPartyName,$P391)))</f>
        <v/>
      </c>
      <c r="F391" s="26">
        <f>IF($P391="","",IF(INDEX(EntryPartyType,$P391)=0,"",INDEX(EntryPartyType,$P391)))</f>
        <v/>
      </c>
      <c r="G391" s="26">
        <f>IF($P391="","",IF(INDEX(EntryTxnType,$P391)=0,"",INDEX(EntryTxnType,$P391)))</f>
        <v/>
      </c>
      <c r="H391" s="27">
        <f>IF($P391="","",IF(INDEX(EntryDep,$P391)=0,"",INDEX(EntryDep,$P391)))</f>
        <v/>
      </c>
      <c r="I391" s="27">
        <f>IF($P391="","",IF(INDEX(EntryWit,$P391)=0,"",INDEX(EntryWit,$P391)))</f>
        <v/>
      </c>
      <c r="J391" s="27">
        <f>IF($B391="","",IF($A391=1,$C$7,IF(J390="",0,J390))+IF($H391="",0,$H391)-IF($I391="",0,$I391))</f>
        <v/>
      </c>
      <c r="K391" s="27">
        <f>IF($P391="","",IF(INDEX(EntryMan,$P391)=0,"",INDEX(EntryMan,$P391)))</f>
        <v/>
      </c>
      <c r="L391" s="26">
        <f>IF($B391="","",IF($K391="","—",IF(ROUND($K391-$J391,0)=0,"√","×")))</f>
        <v/>
      </c>
      <c r="M391" s="26">
        <f>IF($B391="","",IF(COUNTIFS(EntryDates,$B391,CalcTime,$C391,CalcBank,$C$5,EntryParty,$D391,EntryDep,$H391,EntryWit,$I391)&gt;1,"تکرار",""))</f>
        <v/>
      </c>
      <c r="N391" s="26">
        <f>IF($P391="","",IF(INDEX(EntryNotes,$P391)=0,"",INDEX(EntryNotes,$P391)))</f>
        <v/>
      </c>
      <c r="O391" s="26">
        <f>IF($P391="","",IF(INDEX(EntryTxnID,$P391)=0,"",INDEX(EntryTxnID,$P391)))</f>
        <v/>
      </c>
      <c r="P391" s="26">
        <f>IFERROR(MATCH($C$5&amp;"|"&amp;RIGHT("000000"&amp;375,6),CalcRankKey,0),"")</f>
        <v/>
      </c>
    </row>
    <row r="392">
      <c r="A392" s="28">
        <f>IF($B392="","",376)</f>
        <v/>
      </c>
      <c r="B392" s="28">
        <f>IF($P392="","",IF(INDEX(CalcNormDate,$P392)=0,"",INDEX(CalcNormDate,$P392)))</f>
        <v/>
      </c>
      <c r="C392" s="28">
        <f>IF($P392="","",IF(INDEX(CalcTime,$P392)=0,"",INDEX(CalcTime,$P392)))</f>
        <v/>
      </c>
      <c r="D392" s="28">
        <f>IF($P392="","",IF(INDEX(EntryParty,$P392)=0,"",INDEX(EntryParty,$P392)))</f>
        <v/>
      </c>
      <c r="E392" s="28">
        <f>IF($P392="","",IF(INDEX(EntryPartyName,$P392)=0,"",INDEX(EntryPartyName,$P392)))</f>
        <v/>
      </c>
      <c r="F392" s="28">
        <f>IF($P392="","",IF(INDEX(EntryPartyType,$P392)=0,"",INDEX(EntryPartyType,$P392)))</f>
        <v/>
      </c>
      <c r="G392" s="28">
        <f>IF($P392="","",IF(INDEX(EntryTxnType,$P392)=0,"",INDEX(EntryTxnType,$P392)))</f>
        <v/>
      </c>
      <c r="H392" s="29">
        <f>IF($P392="","",IF(INDEX(EntryDep,$P392)=0,"",INDEX(EntryDep,$P392)))</f>
        <v/>
      </c>
      <c r="I392" s="29">
        <f>IF($P392="","",IF(INDEX(EntryWit,$P392)=0,"",INDEX(EntryWit,$P392)))</f>
        <v/>
      </c>
      <c r="J392" s="29">
        <f>IF($B392="","",IF($A392=1,$C$7,IF(J391="",0,J391))+IF($H392="",0,$H392)-IF($I392="",0,$I392))</f>
        <v/>
      </c>
      <c r="K392" s="29">
        <f>IF($P392="","",IF(INDEX(EntryMan,$P392)=0,"",INDEX(EntryMan,$P392)))</f>
        <v/>
      </c>
      <c r="L392" s="28">
        <f>IF($B392="","",IF($K392="","—",IF(ROUND($K392-$J392,0)=0,"√","×")))</f>
        <v/>
      </c>
      <c r="M392" s="28">
        <f>IF($B392="","",IF(COUNTIFS(EntryDates,$B392,CalcTime,$C392,CalcBank,$C$5,EntryParty,$D392,EntryDep,$H392,EntryWit,$I392)&gt;1,"تکرار",""))</f>
        <v/>
      </c>
      <c r="N392" s="28">
        <f>IF($P392="","",IF(INDEX(EntryNotes,$P392)=0,"",INDEX(EntryNotes,$P392)))</f>
        <v/>
      </c>
      <c r="O392" s="28">
        <f>IF($P392="","",IF(INDEX(EntryTxnID,$P392)=0,"",INDEX(EntryTxnID,$P392)))</f>
        <v/>
      </c>
      <c r="P392" s="28">
        <f>IFERROR(MATCH($C$5&amp;"|"&amp;RIGHT("000000"&amp;376,6),CalcRankKey,0),"")</f>
        <v/>
      </c>
    </row>
    <row r="393">
      <c r="A393" s="26">
        <f>IF($B393="","",377)</f>
        <v/>
      </c>
      <c r="B393" s="26">
        <f>IF($P393="","",IF(INDEX(CalcNormDate,$P393)=0,"",INDEX(CalcNormDate,$P393)))</f>
        <v/>
      </c>
      <c r="C393" s="26">
        <f>IF($P393="","",IF(INDEX(CalcTime,$P393)=0,"",INDEX(CalcTime,$P393)))</f>
        <v/>
      </c>
      <c r="D393" s="26">
        <f>IF($P393="","",IF(INDEX(EntryParty,$P393)=0,"",INDEX(EntryParty,$P393)))</f>
        <v/>
      </c>
      <c r="E393" s="26">
        <f>IF($P393="","",IF(INDEX(EntryPartyName,$P393)=0,"",INDEX(EntryPartyName,$P393)))</f>
        <v/>
      </c>
      <c r="F393" s="26">
        <f>IF($P393="","",IF(INDEX(EntryPartyType,$P393)=0,"",INDEX(EntryPartyType,$P393)))</f>
        <v/>
      </c>
      <c r="G393" s="26">
        <f>IF($P393="","",IF(INDEX(EntryTxnType,$P393)=0,"",INDEX(EntryTxnType,$P393)))</f>
        <v/>
      </c>
      <c r="H393" s="27">
        <f>IF($P393="","",IF(INDEX(EntryDep,$P393)=0,"",INDEX(EntryDep,$P393)))</f>
        <v/>
      </c>
      <c r="I393" s="27">
        <f>IF($P393="","",IF(INDEX(EntryWit,$P393)=0,"",INDEX(EntryWit,$P393)))</f>
        <v/>
      </c>
      <c r="J393" s="27">
        <f>IF($B393="","",IF($A393=1,$C$7,IF(J392="",0,J392))+IF($H393="",0,$H393)-IF($I393="",0,$I393))</f>
        <v/>
      </c>
      <c r="K393" s="27">
        <f>IF($P393="","",IF(INDEX(EntryMan,$P393)=0,"",INDEX(EntryMan,$P393)))</f>
        <v/>
      </c>
      <c r="L393" s="26">
        <f>IF($B393="","",IF($K393="","—",IF(ROUND($K393-$J393,0)=0,"√","×")))</f>
        <v/>
      </c>
      <c r="M393" s="26">
        <f>IF($B393="","",IF(COUNTIFS(EntryDates,$B393,CalcTime,$C393,CalcBank,$C$5,EntryParty,$D393,EntryDep,$H393,EntryWit,$I393)&gt;1,"تکرار",""))</f>
        <v/>
      </c>
      <c r="N393" s="26">
        <f>IF($P393="","",IF(INDEX(EntryNotes,$P393)=0,"",INDEX(EntryNotes,$P393)))</f>
        <v/>
      </c>
      <c r="O393" s="26">
        <f>IF($P393="","",IF(INDEX(EntryTxnID,$P393)=0,"",INDEX(EntryTxnID,$P393)))</f>
        <v/>
      </c>
      <c r="P393" s="26">
        <f>IFERROR(MATCH($C$5&amp;"|"&amp;RIGHT("000000"&amp;377,6),CalcRankKey,0),"")</f>
        <v/>
      </c>
    </row>
    <row r="394">
      <c r="A394" s="28">
        <f>IF($B394="","",378)</f>
        <v/>
      </c>
      <c r="B394" s="28">
        <f>IF($P394="","",IF(INDEX(CalcNormDate,$P394)=0,"",INDEX(CalcNormDate,$P394)))</f>
        <v/>
      </c>
      <c r="C394" s="28">
        <f>IF($P394="","",IF(INDEX(CalcTime,$P394)=0,"",INDEX(CalcTime,$P394)))</f>
        <v/>
      </c>
      <c r="D394" s="28">
        <f>IF($P394="","",IF(INDEX(EntryParty,$P394)=0,"",INDEX(EntryParty,$P394)))</f>
        <v/>
      </c>
      <c r="E394" s="28">
        <f>IF($P394="","",IF(INDEX(EntryPartyName,$P394)=0,"",INDEX(EntryPartyName,$P394)))</f>
        <v/>
      </c>
      <c r="F394" s="28">
        <f>IF($P394="","",IF(INDEX(EntryPartyType,$P394)=0,"",INDEX(EntryPartyType,$P394)))</f>
        <v/>
      </c>
      <c r="G394" s="28">
        <f>IF($P394="","",IF(INDEX(EntryTxnType,$P394)=0,"",INDEX(EntryTxnType,$P394)))</f>
        <v/>
      </c>
      <c r="H394" s="29">
        <f>IF($P394="","",IF(INDEX(EntryDep,$P394)=0,"",INDEX(EntryDep,$P394)))</f>
        <v/>
      </c>
      <c r="I394" s="29">
        <f>IF($P394="","",IF(INDEX(EntryWit,$P394)=0,"",INDEX(EntryWit,$P394)))</f>
        <v/>
      </c>
      <c r="J394" s="29">
        <f>IF($B394="","",IF($A394=1,$C$7,IF(J393="",0,J393))+IF($H394="",0,$H394)-IF($I394="",0,$I394))</f>
        <v/>
      </c>
      <c r="K394" s="29">
        <f>IF($P394="","",IF(INDEX(EntryMan,$P394)=0,"",INDEX(EntryMan,$P394)))</f>
        <v/>
      </c>
      <c r="L394" s="28">
        <f>IF($B394="","",IF($K394="","—",IF(ROUND($K394-$J394,0)=0,"√","×")))</f>
        <v/>
      </c>
      <c r="M394" s="28">
        <f>IF($B394="","",IF(COUNTIFS(EntryDates,$B394,CalcTime,$C394,CalcBank,$C$5,EntryParty,$D394,EntryDep,$H394,EntryWit,$I394)&gt;1,"تکرار",""))</f>
        <v/>
      </c>
      <c r="N394" s="28">
        <f>IF($P394="","",IF(INDEX(EntryNotes,$P394)=0,"",INDEX(EntryNotes,$P394)))</f>
        <v/>
      </c>
      <c r="O394" s="28">
        <f>IF($P394="","",IF(INDEX(EntryTxnID,$P394)=0,"",INDEX(EntryTxnID,$P394)))</f>
        <v/>
      </c>
      <c r="P394" s="28">
        <f>IFERROR(MATCH($C$5&amp;"|"&amp;RIGHT("000000"&amp;378,6),CalcRankKey,0),"")</f>
        <v/>
      </c>
    </row>
    <row r="395">
      <c r="A395" s="26">
        <f>IF($B395="","",379)</f>
        <v/>
      </c>
      <c r="B395" s="26">
        <f>IF($P395="","",IF(INDEX(CalcNormDate,$P395)=0,"",INDEX(CalcNormDate,$P395)))</f>
        <v/>
      </c>
      <c r="C395" s="26">
        <f>IF($P395="","",IF(INDEX(CalcTime,$P395)=0,"",INDEX(CalcTime,$P395)))</f>
        <v/>
      </c>
      <c r="D395" s="26">
        <f>IF($P395="","",IF(INDEX(EntryParty,$P395)=0,"",INDEX(EntryParty,$P395)))</f>
        <v/>
      </c>
      <c r="E395" s="26">
        <f>IF($P395="","",IF(INDEX(EntryPartyName,$P395)=0,"",INDEX(EntryPartyName,$P395)))</f>
        <v/>
      </c>
      <c r="F395" s="26">
        <f>IF($P395="","",IF(INDEX(EntryPartyType,$P395)=0,"",INDEX(EntryPartyType,$P395)))</f>
        <v/>
      </c>
      <c r="G395" s="26">
        <f>IF($P395="","",IF(INDEX(EntryTxnType,$P395)=0,"",INDEX(EntryTxnType,$P395)))</f>
        <v/>
      </c>
      <c r="H395" s="27">
        <f>IF($P395="","",IF(INDEX(EntryDep,$P395)=0,"",INDEX(EntryDep,$P395)))</f>
        <v/>
      </c>
      <c r="I395" s="27">
        <f>IF($P395="","",IF(INDEX(EntryWit,$P395)=0,"",INDEX(EntryWit,$P395)))</f>
        <v/>
      </c>
      <c r="J395" s="27">
        <f>IF($B395="","",IF($A395=1,$C$7,IF(J394="",0,J394))+IF($H395="",0,$H395)-IF($I395="",0,$I395))</f>
        <v/>
      </c>
      <c r="K395" s="27">
        <f>IF($P395="","",IF(INDEX(EntryMan,$P395)=0,"",INDEX(EntryMan,$P395)))</f>
        <v/>
      </c>
      <c r="L395" s="26">
        <f>IF($B395="","",IF($K395="","—",IF(ROUND($K395-$J395,0)=0,"√","×")))</f>
        <v/>
      </c>
      <c r="M395" s="26">
        <f>IF($B395="","",IF(COUNTIFS(EntryDates,$B395,CalcTime,$C395,CalcBank,$C$5,EntryParty,$D395,EntryDep,$H395,EntryWit,$I395)&gt;1,"تکرار",""))</f>
        <v/>
      </c>
      <c r="N395" s="26">
        <f>IF($P395="","",IF(INDEX(EntryNotes,$P395)=0,"",INDEX(EntryNotes,$P395)))</f>
        <v/>
      </c>
      <c r="O395" s="26">
        <f>IF($P395="","",IF(INDEX(EntryTxnID,$P395)=0,"",INDEX(EntryTxnID,$P395)))</f>
        <v/>
      </c>
      <c r="P395" s="26">
        <f>IFERROR(MATCH($C$5&amp;"|"&amp;RIGHT("000000"&amp;379,6),CalcRankKey,0),"")</f>
        <v/>
      </c>
    </row>
    <row r="396">
      <c r="A396" s="28">
        <f>IF($B396="","",380)</f>
        <v/>
      </c>
      <c r="B396" s="28">
        <f>IF($P396="","",IF(INDEX(CalcNormDate,$P396)=0,"",INDEX(CalcNormDate,$P396)))</f>
        <v/>
      </c>
      <c r="C396" s="28">
        <f>IF($P396="","",IF(INDEX(CalcTime,$P396)=0,"",INDEX(CalcTime,$P396)))</f>
        <v/>
      </c>
      <c r="D396" s="28">
        <f>IF($P396="","",IF(INDEX(EntryParty,$P396)=0,"",INDEX(EntryParty,$P396)))</f>
        <v/>
      </c>
      <c r="E396" s="28">
        <f>IF($P396="","",IF(INDEX(EntryPartyName,$P396)=0,"",INDEX(EntryPartyName,$P396)))</f>
        <v/>
      </c>
      <c r="F396" s="28">
        <f>IF($P396="","",IF(INDEX(EntryPartyType,$P396)=0,"",INDEX(EntryPartyType,$P396)))</f>
        <v/>
      </c>
      <c r="G396" s="28">
        <f>IF($P396="","",IF(INDEX(EntryTxnType,$P396)=0,"",INDEX(EntryTxnType,$P396)))</f>
        <v/>
      </c>
      <c r="H396" s="29">
        <f>IF($P396="","",IF(INDEX(EntryDep,$P396)=0,"",INDEX(EntryDep,$P396)))</f>
        <v/>
      </c>
      <c r="I396" s="29">
        <f>IF($P396="","",IF(INDEX(EntryWit,$P396)=0,"",INDEX(EntryWit,$P396)))</f>
        <v/>
      </c>
      <c r="J396" s="29">
        <f>IF($B396="","",IF($A396=1,$C$7,IF(J395="",0,J395))+IF($H396="",0,$H396)-IF($I396="",0,$I396))</f>
        <v/>
      </c>
      <c r="K396" s="29">
        <f>IF($P396="","",IF(INDEX(EntryMan,$P396)=0,"",INDEX(EntryMan,$P396)))</f>
        <v/>
      </c>
      <c r="L396" s="28">
        <f>IF($B396="","",IF($K396="","—",IF(ROUND($K396-$J396,0)=0,"√","×")))</f>
        <v/>
      </c>
      <c r="M396" s="28">
        <f>IF($B396="","",IF(COUNTIFS(EntryDates,$B396,CalcTime,$C396,CalcBank,$C$5,EntryParty,$D396,EntryDep,$H396,EntryWit,$I396)&gt;1,"تکرار",""))</f>
        <v/>
      </c>
      <c r="N396" s="28">
        <f>IF($P396="","",IF(INDEX(EntryNotes,$P396)=0,"",INDEX(EntryNotes,$P396)))</f>
        <v/>
      </c>
      <c r="O396" s="28">
        <f>IF($P396="","",IF(INDEX(EntryTxnID,$P396)=0,"",INDEX(EntryTxnID,$P396)))</f>
        <v/>
      </c>
      <c r="P396" s="28">
        <f>IFERROR(MATCH($C$5&amp;"|"&amp;RIGHT("000000"&amp;380,6),CalcRankKey,0),"")</f>
        <v/>
      </c>
    </row>
    <row r="397">
      <c r="A397" s="26">
        <f>IF($B397="","",381)</f>
        <v/>
      </c>
      <c r="B397" s="26">
        <f>IF($P397="","",IF(INDEX(CalcNormDate,$P397)=0,"",INDEX(CalcNormDate,$P397)))</f>
        <v/>
      </c>
      <c r="C397" s="26">
        <f>IF($P397="","",IF(INDEX(CalcTime,$P397)=0,"",INDEX(CalcTime,$P397)))</f>
        <v/>
      </c>
      <c r="D397" s="26">
        <f>IF($P397="","",IF(INDEX(EntryParty,$P397)=0,"",INDEX(EntryParty,$P397)))</f>
        <v/>
      </c>
      <c r="E397" s="26">
        <f>IF($P397="","",IF(INDEX(EntryPartyName,$P397)=0,"",INDEX(EntryPartyName,$P397)))</f>
        <v/>
      </c>
      <c r="F397" s="26">
        <f>IF($P397="","",IF(INDEX(EntryPartyType,$P397)=0,"",INDEX(EntryPartyType,$P397)))</f>
        <v/>
      </c>
      <c r="G397" s="26">
        <f>IF($P397="","",IF(INDEX(EntryTxnType,$P397)=0,"",INDEX(EntryTxnType,$P397)))</f>
        <v/>
      </c>
      <c r="H397" s="27">
        <f>IF($P397="","",IF(INDEX(EntryDep,$P397)=0,"",INDEX(EntryDep,$P397)))</f>
        <v/>
      </c>
      <c r="I397" s="27">
        <f>IF($P397="","",IF(INDEX(EntryWit,$P397)=0,"",INDEX(EntryWit,$P397)))</f>
        <v/>
      </c>
      <c r="J397" s="27">
        <f>IF($B397="","",IF($A397=1,$C$7,IF(J396="",0,J396))+IF($H397="",0,$H397)-IF($I397="",0,$I397))</f>
        <v/>
      </c>
      <c r="K397" s="27">
        <f>IF($P397="","",IF(INDEX(EntryMan,$P397)=0,"",INDEX(EntryMan,$P397)))</f>
        <v/>
      </c>
      <c r="L397" s="26">
        <f>IF($B397="","",IF($K397="","—",IF(ROUND($K397-$J397,0)=0,"√","×")))</f>
        <v/>
      </c>
      <c r="M397" s="26">
        <f>IF($B397="","",IF(COUNTIFS(EntryDates,$B397,CalcTime,$C397,CalcBank,$C$5,EntryParty,$D397,EntryDep,$H397,EntryWit,$I397)&gt;1,"تکرار",""))</f>
        <v/>
      </c>
      <c r="N397" s="26">
        <f>IF($P397="","",IF(INDEX(EntryNotes,$P397)=0,"",INDEX(EntryNotes,$P397)))</f>
        <v/>
      </c>
      <c r="O397" s="26">
        <f>IF($P397="","",IF(INDEX(EntryTxnID,$P397)=0,"",INDEX(EntryTxnID,$P397)))</f>
        <v/>
      </c>
      <c r="P397" s="26">
        <f>IFERROR(MATCH($C$5&amp;"|"&amp;RIGHT("000000"&amp;381,6),CalcRankKey,0),"")</f>
        <v/>
      </c>
    </row>
    <row r="398">
      <c r="A398" s="28">
        <f>IF($B398="","",382)</f>
        <v/>
      </c>
      <c r="B398" s="28">
        <f>IF($P398="","",IF(INDEX(CalcNormDate,$P398)=0,"",INDEX(CalcNormDate,$P398)))</f>
        <v/>
      </c>
      <c r="C398" s="28">
        <f>IF($P398="","",IF(INDEX(CalcTime,$P398)=0,"",INDEX(CalcTime,$P398)))</f>
        <v/>
      </c>
      <c r="D398" s="28">
        <f>IF($P398="","",IF(INDEX(EntryParty,$P398)=0,"",INDEX(EntryParty,$P398)))</f>
        <v/>
      </c>
      <c r="E398" s="28">
        <f>IF($P398="","",IF(INDEX(EntryPartyName,$P398)=0,"",INDEX(EntryPartyName,$P398)))</f>
        <v/>
      </c>
      <c r="F398" s="28">
        <f>IF($P398="","",IF(INDEX(EntryPartyType,$P398)=0,"",INDEX(EntryPartyType,$P398)))</f>
        <v/>
      </c>
      <c r="G398" s="28">
        <f>IF($P398="","",IF(INDEX(EntryTxnType,$P398)=0,"",INDEX(EntryTxnType,$P398)))</f>
        <v/>
      </c>
      <c r="H398" s="29">
        <f>IF($P398="","",IF(INDEX(EntryDep,$P398)=0,"",INDEX(EntryDep,$P398)))</f>
        <v/>
      </c>
      <c r="I398" s="29">
        <f>IF($P398="","",IF(INDEX(EntryWit,$P398)=0,"",INDEX(EntryWit,$P398)))</f>
        <v/>
      </c>
      <c r="J398" s="29">
        <f>IF($B398="","",IF($A398=1,$C$7,IF(J397="",0,J397))+IF($H398="",0,$H398)-IF($I398="",0,$I398))</f>
        <v/>
      </c>
      <c r="K398" s="29">
        <f>IF($P398="","",IF(INDEX(EntryMan,$P398)=0,"",INDEX(EntryMan,$P398)))</f>
        <v/>
      </c>
      <c r="L398" s="28">
        <f>IF($B398="","",IF($K398="","—",IF(ROUND($K398-$J398,0)=0,"√","×")))</f>
        <v/>
      </c>
      <c r="M398" s="28">
        <f>IF($B398="","",IF(COUNTIFS(EntryDates,$B398,CalcTime,$C398,CalcBank,$C$5,EntryParty,$D398,EntryDep,$H398,EntryWit,$I398)&gt;1,"تکرار",""))</f>
        <v/>
      </c>
      <c r="N398" s="28">
        <f>IF($P398="","",IF(INDEX(EntryNotes,$P398)=0,"",INDEX(EntryNotes,$P398)))</f>
        <v/>
      </c>
      <c r="O398" s="28">
        <f>IF($P398="","",IF(INDEX(EntryTxnID,$P398)=0,"",INDEX(EntryTxnID,$P398)))</f>
        <v/>
      </c>
      <c r="P398" s="28">
        <f>IFERROR(MATCH($C$5&amp;"|"&amp;RIGHT("000000"&amp;382,6),CalcRankKey,0),"")</f>
        <v/>
      </c>
    </row>
    <row r="399">
      <c r="A399" s="26">
        <f>IF($B399="","",383)</f>
        <v/>
      </c>
      <c r="B399" s="26">
        <f>IF($P399="","",IF(INDEX(CalcNormDate,$P399)=0,"",INDEX(CalcNormDate,$P399)))</f>
        <v/>
      </c>
      <c r="C399" s="26">
        <f>IF($P399="","",IF(INDEX(CalcTime,$P399)=0,"",INDEX(CalcTime,$P399)))</f>
        <v/>
      </c>
      <c r="D399" s="26">
        <f>IF($P399="","",IF(INDEX(EntryParty,$P399)=0,"",INDEX(EntryParty,$P399)))</f>
        <v/>
      </c>
      <c r="E399" s="26">
        <f>IF($P399="","",IF(INDEX(EntryPartyName,$P399)=0,"",INDEX(EntryPartyName,$P399)))</f>
        <v/>
      </c>
      <c r="F399" s="26">
        <f>IF($P399="","",IF(INDEX(EntryPartyType,$P399)=0,"",INDEX(EntryPartyType,$P399)))</f>
        <v/>
      </c>
      <c r="G399" s="26">
        <f>IF($P399="","",IF(INDEX(EntryTxnType,$P399)=0,"",INDEX(EntryTxnType,$P399)))</f>
        <v/>
      </c>
      <c r="H399" s="27">
        <f>IF($P399="","",IF(INDEX(EntryDep,$P399)=0,"",INDEX(EntryDep,$P399)))</f>
        <v/>
      </c>
      <c r="I399" s="27">
        <f>IF($P399="","",IF(INDEX(EntryWit,$P399)=0,"",INDEX(EntryWit,$P399)))</f>
        <v/>
      </c>
      <c r="J399" s="27">
        <f>IF($B399="","",IF($A399=1,$C$7,IF(J398="",0,J398))+IF($H399="",0,$H399)-IF($I399="",0,$I399))</f>
        <v/>
      </c>
      <c r="K399" s="27">
        <f>IF($P399="","",IF(INDEX(EntryMan,$P399)=0,"",INDEX(EntryMan,$P399)))</f>
        <v/>
      </c>
      <c r="L399" s="26">
        <f>IF($B399="","",IF($K399="","—",IF(ROUND($K399-$J399,0)=0,"√","×")))</f>
        <v/>
      </c>
      <c r="M399" s="26">
        <f>IF($B399="","",IF(COUNTIFS(EntryDates,$B399,CalcTime,$C399,CalcBank,$C$5,EntryParty,$D399,EntryDep,$H399,EntryWit,$I399)&gt;1,"تکرار",""))</f>
        <v/>
      </c>
      <c r="N399" s="26">
        <f>IF($P399="","",IF(INDEX(EntryNotes,$P399)=0,"",INDEX(EntryNotes,$P399)))</f>
        <v/>
      </c>
      <c r="O399" s="26">
        <f>IF($P399="","",IF(INDEX(EntryTxnID,$P399)=0,"",INDEX(EntryTxnID,$P399)))</f>
        <v/>
      </c>
      <c r="P399" s="26">
        <f>IFERROR(MATCH($C$5&amp;"|"&amp;RIGHT("000000"&amp;383,6),CalcRankKey,0),"")</f>
        <v/>
      </c>
    </row>
    <row r="400">
      <c r="A400" s="28">
        <f>IF($B400="","",384)</f>
        <v/>
      </c>
      <c r="B400" s="28">
        <f>IF($P400="","",IF(INDEX(CalcNormDate,$P400)=0,"",INDEX(CalcNormDate,$P400)))</f>
        <v/>
      </c>
      <c r="C400" s="28">
        <f>IF($P400="","",IF(INDEX(CalcTime,$P400)=0,"",INDEX(CalcTime,$P400)))</f>
        <v/>
      </c>
      <c r="D400" s="28">
        <f>IF($P400="","",IF(INDEX(EntryParty,$P400)=0,"",INDEX(EntryParty,$P400)))</f>
        <v/>
      </c>
      <c r="E400" s="28">
        <f>IF($P400="","",IF(INDEX(EntryPartyName,$P400)=0,"",INDEX(EntryPartyName,$P400)))</f>
        <v/>
      </c>
      <c r="F400" s="28">
        <f>IF($P400="","",IF(INDEX(EntryPartyType,$P400)=0,"",INDEX(EntryPartyType,$P400)))</f>
        <v/>
      </c>
      <c r="G400" s="28">
        <f>IF($P400="","",IF(INDEX(EntryTxnType,$P400)=0,"",INDEX(EntryTxnType,$P400)))</f>
        <v/>
      </c>
      <c r="H400" s="29">
        <f>IF($P400="","",IF(INDEX(EntryDep,$P400)=0,"",INDEX(EntryDep,$P400)))</f>
        <v/>
      </c>
      <c r="I400" s="29">
        <f>IF($P400="","",IF(INDEX(EntryWit,$P400)=0,"",INDEX(EntryWit,$P400)))</f>
        <v/>
      </c>
      <c r="J400" s="29">
        <f>IF($B400="","",IF($A400=1,$C$7,IF(J399="",0,J399))+IF($H400="",0,$H400)-IF($I400="",0,$I400))</f>
        <v/>
      </c>
      <c r="K400" s="29">
        <f>IF($P400="","",IF(INDEX(EntryMan,$P400)=0,"",INDEX(EntryMan,$P400)))</f>
        <v/>
      </c>
      <c r="L400" s="28">
        <f>IF($B400="","",IF($K400="","—",IF(ROUND($K400-$J400,0)=0,"√","×")))</f>
        <v/>
      </c>
      <c r="M400" s="28">
        <f>IF($B400="","",IF(COUNTIFS(EntryDates,$B400,CalcTime,$C400,CalcBank,$C$5,EntryParty,$D400,EntryDep,$H400,EntryWit,$I400)&gt;1,"تکرار",""))</f>
        <v/>
      </c>
      <c r="N400" s="28">
        <f>IF($P400="","",IF(INDEX(EntryNotes,$P400)=0,"",INDEX(EntryNotes,$P400)))</f>
        <v/>
      </c>
      <c r="O400" s="28">
        <f>IF($P400="","",IF(INDEX(EntryTxnID,$P400)=0,"",INDEX(EntryTxnID,$P400)))</f>
        <v/>
      </c>
      <c r="P400" s="28">
        <f>IFERROR(MATCH($C$5&amp;"|"&amp;RIGHT("000000"&amp;384,6),CalcRankKey,0),"")</f>
        <v/>
      </c>
    </row>
    <row r="401">
      <c r="A401" s="26">
        <f>IF($B401="","",385)</f>
        <v/>
      </c>
      <c r="B401" s="26">
        <f>IF($P401="","",IF(INDEX(CalcNormDate,$P401)=0,"",INDEX(CalcNormDate,$P401)))</f>
        <v/>
      </c>
      <c r="C401" s="26">
        <f>IF($P401="","",IF(INDEX(CalcTime,$P401)=0,"",INDEX(CalcTime,$P401)))</f>
        <v/>
      </c>
      <c r="D401" s="26">
        <f>IF($P401="","",IF(INDEX(EntryParty,$P401)=0,"",INDEX(EntryParty,$P401)))</f>
        <v/>
      </c>
      <c r="E401" s="26">
        <f>IF($P401="","",IF(INDEX(EntryPartyName,$P401)=0,"",INDEX(EntryPartyName,$P401)))</f>
        <v/>
      </c>
      <c r="F401" s="26">
        <f>IF($P401="","",IF(INDEX(EntryPartyType,$P401)=0,"",INDEX(EntryPartyType,$P401)))</f>
        <v/>
      </c>
      <c r="G401" s="26">
        <f>IF($P401="","",IF(INDEX(EntryTxnType,$P401)=0,"",INDEX(EntryTxnType,$P401)))</f>
        <v/>
      </c>
      <c r="H401" s="27">
        <f>IF($P401="","",IF(INDEX(EntryDep,$P401)=0,"",INDEX(EntryDep,$P401)))</f>
        <v/>
      </c>
      <c r="I401" s="27">
        <f>IF($P401="","",IF(INDEX(EntryWit,$P401)=0,"",INDEX(EntryWit,$P401)))</f>
        <v/>
      </c>
      <c r="J401" s="27">
        <f>IF($B401="","",IF($A401=1,$C$7,IF(J400="",0,J400))+IF($H401="",0,$H401)-IF($I401="",0,$I401))</f>
        <v/>
      </c>
      <c r="K401" s="27">
        <f>IF($P401="","",IF(INDEX(EntryMan,$P401)=0,"",INDEX(EntryMan,$P401)))</f>
        <v/>
      </c>
      <c r="L401" s="26">
        <f>IF($B401="","",IF($K401="","—",IF(ROUND($K401-$J401,0)=0,"√","×")))</f>
        <v/>
      </c>
      <c r="M401" s="26">
        <f>IF($B401="","",IF(COUNTIFS(EntryDates,$B401,CalcTime,$C401,CalcBank,$C$5,EntryParty,$D401,EntryDep,$H401,EntryWit,$I401)&gt;1,"تکرار",""))</f>
        <v/>
      </c>
      <c r="N401" s="26">
        <f>IF($P401="","",IF(INDEX(EntryNotes,$P401)=0,"",INDEX(EntryNotes,$P401)))</f>
        <v/>
      </c>
      <c r="O401" s="26">
        <f>IF($P401="","",IF(INDEX(EntryTxnID,$P401)=0,"",INDEX(EntryTxnID,$P401)))</f>
        <v/>
      </c>
      <c r="P401" s="26">
        <f>IFERROR(MATCH($C$5&amp;"|"&amp;RIGHT("000000"&amp;385,6),CalcRankKey,0),"")</f>
        <v/>
      </c>
    </row>
    <row r="402">
      <c r="A402" s="28">
        <f>IF($B402="","",386)</f>
        <v/>
      </c>
      <c r="B402" s="28">
        <f>IF($P402="","",IF(INDEX(CalcNormDate,$P402)=0,"",INDEX(CalcNormDate,$P402)))</f>
        <v/>
      </c>
      <c r="C402" s="28">
        <f>IF($P402="","",IF(INDEX(CalcTime,$P402)=0,"",INDEX(CalcTime,$P402)))</f>
        <v/>
      </c>
      <c r="D402" s="28">
        <f>IF($P402="","",IF(INDEX(EntryParty,$P402)=0,"",INDEX(EntryParty,$P402)))</f>
        <v/>
      </c>
      <c r="E402" s="28">
        <f>IF($P402="","",IF(INDEX(EntryPartyName,$P402)=0,"",INDEX(EntryPartyName,$P402)))</f>
        <v/>
      </c>
      <c r="F402" s="28">
        <f>IF($P402="","",IF(INDEX(EntryPartyType,$P402)=0,"",INDEX(EntryPartyType,$P402)))</f>
        <v/>
      </c>
      <c r="G402" s="28">
        <f>IF($P402="","",IF(INDEX(EntryTxnType,$P402)=0,"",INDEX(EntryTxnType,$P402)))</f>
        <v/>
      </c>
      <c r="H402" s="29">
        <f>IF($P402="","",IF(INDEX(EntryDep,$P402)=0,"",INDEX(EntryDep,$P402)))</f>
        <v/>
      </c>
      <c r="I402" s="29">
        <f>IF($P402="","",IF(INDEX(EntryWit,$P402)=0,"",INDEX(EntryWit,$P402)))</f>
        <v/>
      </c>
      <c r="J402" s="29">
        <f>IF($B402="","",IF($A402=1,$C$7,IF(J401="",0,J401))+IF($H402="",0,$H402)-IF($I402="",0,$I402))</f>
        <v/>
      </c>
      <c r="K402" s="29">
        <f>IF($P402="","",IF(INDEX(EntryMan,$P402)=0,"",INDEX(EntryMan,$P402)))</f>
        <v/>
      </c>
      <c r="L402" s="28">
        <f>IF($B402="","",IF($K402="","—",IF(ROUND($K402-$J402,0)=0,"√","×")))</f>
        <v/>
      </c>
      <c r="M402" s="28">
        <f>IF($B402="","",IF(COUNTIFS(EntryDates,$B402,CalcTime,$C402,CalcBank,$C$5,EntryParty,$D402,EntryDep,$H402,EntryWit,$I402)&gt;1,"تکرار",""))</f>
        <v/>
      </c>
      <c r="N402" s="28">
        <f>IF($P402="","",IF(INDEX(EntryNotes,$P402)=0,"",INDEX(EntryNotes,$P402)))</f>
        <v/>
      </c>
      <c r="O402" s="28">
        <f>IF($P402="","",IF(INDEX(EntryTxnID,$P402)=0,"",INDEX(EntryTxnID,$P402)))</f>
        <v/>
      </c>
      <c r="P402" s="28">
        <f>IFERROR(MATCH($C$5&amp;"|"&amp;RIGHT("000000"&amp;386,6),CalcRankKey,0),"")</f>
        <v/>
      </c>
    </row>
    <row r="403">
      <c r="A403" s="26">
        <f>IF($B403="","",387)</f>
        <v/>
      </c>
      <c r="B403" s="26">
        <f>IF($P403="","",IF(INDEX(CalcNormDate,$P403)=0,"",INDEX(CalcNormDate,$P403)))</f>
        <v/>
      </c>
      <c r="C403" s="26">
        <f>IF($P403="","",IF(INDEX(CalcTime,$P403)=0,"",INDEX(CalcTime,$P403)))</f>
        <v/>
      </c>
      <c r="D403" s="26">
        <f>IF($P403="","",IF(INDEX(EntryParty,$P403)=0,"",INDEX(EntryParty,$P403)))</f>
        <v/>
      </c>
      <c r="E403" s="26">
        <f>IF($P403="","",IF(INDEX(EntryPartyName,$P403)=0,"",INDEX(EntryPartyName,$P403)))</f>
        <v/>
      </c>
      <c r="F403" s="26">
        <f>IF($P403="","",IF(INDEX(EntryPartyType,$P403)=0,"",INDEX(EntryPartyType,$P403)))</f>
        <v/>
      </c>
      <c r="G403" s="26">
        <f>IF($P403="","",IF(INDEX(EntryTxnType,$P403)=0,"",INDEX(EntryTxnType,$P403)))</f>
        <v/>
      </c>
      <c r="H403" s="27">
        <f>IF($P403="","",IF(INDEX(EntryDep,$P403)=0,"",INDEX(EntryDep,$P403)))</f>
        <v/>
      </c>
      <c r="I403" s="27">
        <f>IF($P403="","",IF(INDEX(EntryWit,$P403)=0,"",INDEX(EntryWit,$P403)))</f>
        <v/>
      </c>
      <c r="J403" s="27">
        <f>IF($B403="","",IF($A403=1,$C$7,IF(J402="",0,J402))+IF($H403="",0,$H403)-IF($I403="",0,$I403))</f>
        <v/>
      </c>
      <c r="K403" s="27">
        <f>IF($P403="","",IF(INDEX(EntryMan,$P403)=0,"",INDEX(EntryMan,$P403)))</f>
        <v/>
      </c>
      <c r="L403" s="26">
        <f>IF($B403="","",IF($K403="","—",IF(ROUND($K403-$J403,0)=0,"√","×")))</f>
        <v/>
      </c>
      <c r="M403" s="26">
        <f>IF($B403="","",IF(COUNTIFS(EntryDates,$B403,CalcTime,$C403,CalcBank,$C$5,EntryParty,$D403,EntryDep,$H403,EntryWit,$I403)&gt;1,"تکرار",""))</f>
        <v/>
      </c>
      <c r="N403" s="26">
        <f>IF($P403="","",IF(INDEX(EntryNotes,$P403)=0,"",INDEX(EntryNotes,$P403)))</f>
        <v/>
      </c>
      <c r="O403" s="26">
        <f>IF($P403="","",IF(INDEX(EntryTxnID,$P403)=0,"",INDEX(EntryTxnID,$P403)))</f>
        <v/>
      </c>
      <c r="P403" s="26">
        <f>IFERROR(MATCH($C$5&amp;"|"&amp;RIGHT("000000"&amp;387,6),CalcRankKey,0),"")</f>
        <v/>
      </c>
    </row>
    <row r="404">
      <c r="A404" s="28">
        <f>IF($B404="","",388)</f>
        <v/>
      </c>
      <c r="B404" s="28">
        <f>IF($P404="","",IF(INDEX(CalcNormDate,$P404)=0,"",INDEX(CalcNormDate,$P404)))</f>
        <v/>
      </c>
      <c r="C404" s="28">
        <f>IF($P404="","",IF(INDEX(CalcTime,$P404)=0,"",INDEX(CalcTime,$P404)))</f>
        <v/>
      </c>
      <c r="D404" s="28">
        <f>IF($P404="","",IF(INDEX(EntryParty,$P404)=0,"",INDEX(EntryParty,$P404)))</f>
        <v/>
      </c>
      <c r="E404" s="28">
        <f>IF($P404="","",IF(INDEX(EntryPartyName,$P404)=0,"",INDEX(EntryPartyName,$P404)))</f>
        <v/>
      </c>
      <c r="F404" s="28">
        <f>IF($P404="","",IF(INDEX(EntryPartyType,$P404)=0,"",INDEX(EntryPartyType,$P404)))</f>
        <v/>
      </c>
      <c r="G404" s="28">
        <f>IF($P404="","",IF(INDEX(EntryTxnType,$P404)=0,"",INDEX(EntryTxnType,$P404)))</f>
        <v/>
      </c>
      <c r="H404" s="29">
        <f>IF($P404="","",IF(INDEX(EntryDep,$P404)=0,"",INDEX(EntryDep,$P404)))</f>
        <v/>
      </c>
      <c r="I404" s="29">
        <f>IF($P404="","",IF(INDEX(EntryWit,$P404)=0,"",INDEX(EntryWit,$P404)))</f>
        <v/>
      </c>
      <c r="J404" s="29">
        <f>IF($B404="","",IF($A404=1,$C$7,IF(J403="",0,J403))+IF($H404="",0,$H404)-IF($I404="",0,$I404))</f>
        <v/>
      </c>
      <c r="K404" s="29">
        <f>IF($P404="","",IF(INDEX(EntryMan,$P404)=0,"",INDEX(EntryMan,$P404)))</f>
        <v/>
      </c>
      <c r="L404" s="28">
        <f>IF($B404="","",IF($K404="","—",IF(ROUND($K404-$J404,0)=0,"√","×")))</f>
        <v/>
      </c>
      <c r="M404" s="28">
        <f>IF($B404="","",IF(COUNTIFS(EntryDates,$B404,CalcTime,$C404,CalcBank,$C$5,EntryParty,$D404,EntryDep,$H404,EntryWit,$I404)&gt;1,"تکرار",""))</f>
        <v/>
      </c>
      <c r="N404" s="28">
        <f>IF($P404="","",IF(INDEX(EntryNotes,$P404)=0,"",INDEX(EntryNotes,$P404)))</f>
        <v/>
      </c>
      <c r="O404" s="28">
        <f>IF($P404="","",IF(INDEX(EntryTxnID,$P404)=0,"",INDEX(EntryTxnID,$P404)))</f>
        <v/>
      </c>
      <c r="P404" s="28">
        <f>IFERROR(MATCH($C$5&amp;"|"&amp;RIGHT("000000"&amp;388,6),CalcRankKey,0),"")</f>
        <v/>
      </c>
    </row>
    <row r="405">
      <c r="A405" s="26">
        <f>IF($B405="","",389)</f>
        <v/>
      </c>
      <c r="B405" s="26">
        <f>IF($P405="","",IF(INDEX(CalcNormDate,$P405)=0,"",INDEX(CalcNormDate,$P405)))</f>
        <v/>
      </c>
      <c r="C405" s="26">
        <f>IF($P405="","",IF(INDEX(CalcTime,$P405)=0,"",INDEX(CalcTime,$P405)))</f>
        <v/>
      </c>
      <c r="D405" s="26">
        <f>IF($P405="","",IF(INDEX(EntryParty,$P405)=0,"",INDEX(EntryParty,$P405)))</f>
        <v/>
      </c>
      <c r="E405" s="26">
        <f>IF($P405="","",IF(INDEX(EntryPartyName,$P405)=0,"",INDEX(EntryPartyName,$P405)))</f>
        <v/>
      </c>
      <c r="F405" s="26">
        <f>IF($P405="","",IF(INDEX(EntryPartyType,$P405)=0,"",INDEX(EntryPartyType,$P405)))</f>
        <v/>
      </c>
      <c r="G405" s="26">
        <f>IF($P405="","",IF(INDEX(EntryTxnType,$P405)=0,"",INDEX(EntryTxnType,$P405)))</f>
        <v/>
      </c>
      <c r="H405" s="27">
        <f>IF($P405="","",IF(INDEX(EntryDep,$P405)=0,"",INDEX(EntryDep,$P405)))</f>
        <v/>
      </c>
      <c r="I405" s="27">
        <f>IF($P405="","",IF(INDEX(EntryWit,$P405)=0,"",INDEX(EntryWit,$P405)))</f>
        <v/>
      </c>
      <c r="J405" s="27">
        <f>IF($B405="","",IF($A405=1,$C$7,IF(J404="",0,J404))+IF($H405="",0,$H405)-IF($I405="",0,$I405))</f>
        <v/>
      </c>
      <c r="K405" s="27">
        <f>IF($P405="","",IF(INDEX(EntryMan,$P405)=0,"",INDEX(EntryMan,$P405)))</f>
        <v/>
      </c>
      <c r="L405" s="26">
        <f>IF($B405="","",IF($K405="","—",IF(ROUND($K405-$J405,0)=0,"√","×")))</f>
        <v/>
      </c>
      <c r="M405" s="26">
        <f>IF($B405="","",IF(COUNTIFS(EntryDates,$B405,CalcTime,$C405,CalcBank,$C$5,EntryParty,$D405,EntryDep,$H405,EntryWit,$I405)&gt;1,"تکرار",""))</f>
        <v/>
      </c>
      <c r="N405" s="26">
        <f>IF($P405="","",IF(INDEX(EntryNotes,$P405)=0,"",INDEX(EntryNotes,$P405)))</f>
        <v/>
      </c>
      <c r="O405" s="26">
        <f>IF($P405="","",IF(INDEX(EntryTxnID,$P405)=0,"",INDEX(EntryTxnID,$P405)))</f>
        <v/>
      </c>
      <c r="P405" s="26">
        <f>IFERROR(MATCH($C$5&amp;"|"&amp;RIGHT("000000"&amp;389,6),CalcRankKey,0),"")</f>
        <v/>
      </c>
    </row>
    <row r="406">
      <c r="A406" s="28">
        <f>IF($B406="","",390)</f>
        <v/>
      </c>
      <c r="B406" s="28">
        <f>IF($P406="","",IF(INDEX(CalcNormDate,$P406)=0,"",INDEX(CalcNormDate,$P406)))</f>
        <v/>
      </c>
      <c r="C406" s="28">
        <f>IF($P406="","",IF(INDEX(CalcTime,$P406)=0,"",INDEX(CalcTime,$P406)))</f>
        <v/>
      </c>
      <c r="D406" s="28">
        <f>IF($P406="","",IF(INDEX(EntryParty,$P406)=0,"",INDEX(EntryParty,$P406)))</f>
        <v/>
      </c>
      <c r="E406" s="28">
        <f>IF($P406="","",IF(INDEX(EntryPartyName,$P406)=0,"",INDEX(EntryPartyName,$P406)))</f>
        <v/>
      </c>
      <c r="F406" s="28">
        <f>IF($P406="","",IF(INDEX(EntryPartyType,$P406)=0,"",INDEX(EntryPartyType,$P406)))</f>
        <v/>
      </c>
      <c r="G406" s="28">
        <f>IF($P406="","",IF(INDEX(EntryTxnType,$P406)=0,"",INDEX(EntryTxnType,$P406)))</f>
        <v/>
      </c>
      <c r="H406" s="29">
        <f>IF($P406="","",IF(INDEX(EntryDep,$P406)=0,"",INDEX(EntryDep,$P406)))</f>
        <v/>
      </c>
      <c r="I406" s="29">
        <f>IF($P406="","",IF(INDEX(EntryWit,$P406)=0,"",INDEX(EntryWit,$P406)))</f>
        <v/>
      </c>
      <c r="J406" s="29">
        <f>IF($B406="","",IF($A406=1,$C$7,IF(J405="",0,J405))+IF($H406="",0,$H406)-IF($I406="",0,$I406))</f>
        <v/>
      </c>
      <c r="K406" s="29">
        <f>IF($P406="","",IF(INDEX(EntryMan,$P406)=0,"",INDEX(EntryMan,$P406)))</f>
        <v/>
      </c>
      <c r="L406" s="28">
        <f>IF($B406="","",IF($K406="","—",IF(ROUND($K406-$J406,0)=0,"√","×")))</f>
        <v/>
      </c>
      <c r="M406" s="28">
        <f>IF($B406="","",IF(COUNTIFS(EntryDates,$B406,CalcTime,$C406,CalcBank,$C$5,EntryParty,$D406,EntryDep,$H406,EntryWit,$I406)&gt;1,"تکرار",""))</f>
        <v/>
      </c>
      <c r="N406" s="28">
        <f>IF($P406="","",IF(INDEX(EntryNotes,$P406)=0,"",INDEX(EntryNotes,$P406)))</f>
        <v/>
      </c>
      <c r="O406" s="28">
        <f>IF($P406="","",IF(INDEX(EntryTxnID,$P406)=0,"",INDEX(EntryTxnID,$P406)))</f>
        <v/>
      </c>
      <c r="P406" s="28">
        <f>IFERROR(MATCH($C$5&amp;"|"&amp;RIGHT("000000"&amp;390,6),CalcRankKey,0),"")</f>
        <v/>
      </c>
    </row>
    <row r="407">
      <c r="A407" s="26">
        <f>IF($B407="","",391)</f>
        <v/>
      </c>
      <c r="B407" s="26">
        <f>IF($P407="","",IF(INDEX(CalcNormDate,$P407)=0,"",INDEX(CalcNormDate,$P407)))</f>
        <v/>
      </c>
      <c r="C407" s="26">
        <f>IF($P407="","",IF(INDEX(CalcTime,$P407)=0,"",INDEX(CalcTime,$P407)))</f>
        <v/>
      </c>
      <c r="D407" s="26">
        <f>IF($P407="","",IF(INDEX(EntryParty,$P407)=0,"",INDEX(EntryParty,$P407)))</f>
        <v/>
      </c>
      <c r="E407" s="26">
        <f>IF($P407="","",IF(INDEX(EntryPartyName,$P407)=0,"",INDEX(EntryPartyName,$P407)))</f>
        <v/>
      </c>
      <c r="F407" s="26">
        <f>IF($P407="","",IF(INDEX(EntryPartyType,$P407)=0,"",INDEX(EntryPartyType,$P407)))</f>
        <v/>
      </c>
      <c r="G407" s="26">
        <f>IF($P407="","",IF(INDEX(EntryTxnType,$P407)=0,"",INDEX(EntryTxnType,$P407)))</f>
        <v/>
      </c>
      <c r="H407" s="27">
        <f>IF($P407="","",IF(INDEX(EntryDep,$P407)=0,"",INDEX(EntryDep,$P407)))</f>
        <v/>
      </c>
      <c r="I407" s="27">
        <f>IF($P407="","",IF(INDEX(EntryWit,$P407)=0,"",INDEX(EntryWit,$P407)))</f>
        <v/>
      </c>
      <c r="J407" s="27">
        <f>IF($B407="","",IF($A407=1,$C$7,IF(J406="",0,J406))+IF($H407="",0,$H407)-IF($I407="",0,$I407))</f>
        <v/>
      </c>
      <c r="K407" s="27">
        <f>IF($P407="","",IF(INDEX(EntryMan,$P407)=0,"",INDEX(EntryMan,$P407)))</f>
        <v/>
      </c>
      <c r="L407" s="26">
        <f>IF($B407="","",IF($K407="","—",IF(ROUND($K407-$J407,0)=0,"√","×")))</f>
        <v/>
      </c>
      <c r="M407" s="26">
        <f>IF($B407="","",IF(COUNTIFS(EntryDates,$B407,CalcTime,$C407,CalcBank,$C$5,EntryParty,$D407,EntryDep,$H407,EntryWit,$I407)&gt;1,"تکرار",""))</f>
        <v/>
      </c>
      <c r="N407" s="26">
        <f>IF($P407="","",IF(INDEX(EntryNotes,$P407)=0,"",INDEX(EntryNotes,$P407)))</f>
        <v/>
      </c>
      <c r="O407" s="26">
        <f>IF($P407="","",IF(INDEX(EntryTxnID,$P407)=0,"",INDEX(EntryTxnID,$P407)))</f>
        <v/>
      </c>
      <c r="P407" s="26">
        <f>IFERROR(MATCH($C$5&amp;"|"&amp;RIGHT("000000"&amp;391,6),CalcRankKey,0),"")</f>
        <v/>
      </c>
    </row>
    <row r="408">
      <c r="A408" s="28">
        <f>IF($B408="","",392)</f>
        <v/>
      </c>
      <c r="B408" s="28">
        <f>IF($P408="","",IF(INDEX(CalcNormDate,$P408)=0,"",INDEX(CalcNormDate,$P408)))</f>
        <v/>
      </c>
      <c r="C408" s="28">
        <f>IF($P408="","",IF(INDEX(CalcTime,$P408)=0,"",INDEX(CalcTime,$P408)))</f>
        <v/>
      </c>
      <c r="D408" s="28">
        <f>IF($P408="","",IF(INDEX(EntryParty,$P408)=0,"",INDEX(EntryParty,$P408)))</f>
        <v/>
      </c>
      <c r="E408" s="28">
        <f>IF($P408="","",IF(INDEX(EntryPartyName,$P408)=0,"",INDEX(EntryPartyName,$P408)))</f>
        <v/>
      </c>
      <c r="F408" s="28">
        <f>IF($P408="","",IF(INDEX(EntryPartyType,$P408)=0,"",INDEX(EntryPartyType,$P408)))</f>
        <v/>
      </c>
      <c r="G408" s="28">
        <f>IF($P408="","",IF(INDEX(EntryTxnType,$P408)=0,"",INDEX(EntryTxnType,$P408)))</f>
        <v/>
      </c>
      <c r="H408" s="29">
        <f>IF($P408="","",IF(INDEX(EntryDep,$P408)=0,"",INDEX(EntryDep,$P408)))</f>
        <v/>
      </c>
      <c r="I408" s="29">
        <f>IF($P408="","",IF(INDEX(EntryWit,$P408)=0,"",INDEX(EntryWit,$P408)))</f>
        <v/>
      </c>
      <c r="J408" s="29">
        <f>IF($B408="","",IF($A408=1,$C$7,IF(J407="",0,J407))+IF($H408="",0,$H408)-IF($I408="",0,$I408))</f>
        <v/>
      </c>
      <c r="K408" s="29">
        <f>IF($P408="","",IF(INDEX(EntryMan,$P408)=0,"",INDEX(EntryMan,$P408)))</f>
        <v/>
      </c>
      <c r="L408" s="28">
        <f>IF($B408="","",IF($K408="","—",IF(ROUND($K408-$J408,0)=0,"√","×")))</f>
        <v/>
      </c>
      <c r="M408" s="28">
        <f>IF($B408="","",IF(COUNTIFS(EntryDates,$B408,CalcTime,$C408,CalcBank,$C$5,EntryParty,$D408,EntryDep,$H408,EntryWit,$I408)&gt;1,"تکرار",""))</f>
        <v/>
      </c>
      <c r="N408" s="28">
        <f>IF($P408="","",IF(INDEX(EntryNotes,$P408)=0,"",INDEX(EntryNotes,$P408)))</f>
        <v/>
      </c>
      <c r="O408" s="28">
        <f>IF($P408="","",IF(INDEX(EntryTxnID,$P408)=0,"",INDEX(EntryTxnID,$P408)))</f>
        <v/>
      </c>
      <c r="P408" s="28">
        <f>IFERROR(MATCH($C$5&amp;"|"&amp;RIGHT("000000"&amp;392,6),CalcRankKey,0),"")</f>
        <v/>
      </c>
    </row>
    <row r="409">
      <c r="A409" s="26">
        <f>IF($B409="","",393)</f>
        <v/>
      </c>
      <c r="B409" s="26">
        <f>IF($P409="","",IF(INDEX(CalcNormDate,$P409)=0,"",INDEX(CalcNormDate,$P409)))</f>
        <v/>
      </c>
      <c r="C409" s="26">
        <f>IF($P409="","",IF(INDEX(CalcTime,$P409)=0,"",INDEX(CalcTime,$P409)))</f>
        <v/>
      </c>
      <c r="D409" s="26">
        <f>IF($P409="","",IF(INDEX(EntryParty,$P409)=0,"",INDEX(EntryParty,$P409)))</f>
        <v/>
      </c>
      <c r="E409" s="26">
        <f>IF($P409="","",IF(INDEX(EntryPartyName,$P409)=0,"",INDEX(EntryPartyName,$P409)))</f>
        <v/>
      </c>
      <c r="F409" s="26">
        <f>IF($P409="","",IF(INDEX(EntryPartyType,$P409)=0,"",INDEX(EntryPartyType,$P409)))</f>
        <v/>
      </c>
      <c r="G409" s="26">
        <f>IF($P409="","",IF(INDEX(EntryTxnType,$P409)=0,"",INDEX(EntryTxnType,$P409)))</f>
        <v/>
      </c>
      <c r="H409" s="27">
        <f>IF($P409="","",IF(INDEX(EntryDep,$P409)=0,"",INDEX(EntryDep,$P409)))</f>
        <v/>
      </c>
      <c r="I409" s="27">
        <f>IF($P409="","",IF(INDEX(EntryWit,$P409)=0,"",INDEX(EntryWit,$P409)))</f>
        <v/>
      </c>
      <c r="J409" s="27">
        <f>IF($B409="","",IF($A409=1,$C$7,IF(J408="",0,J408))+IF($H409="",0,$H409)-IF($I409="",0,$I409))</f>
        <v/>
      </c>
      <c r="K409" s="27">
        <f>IF($P409="","",IF(INDEX(EntryMan,$P409)=0,"",INDEX(EntryMan,$P409)))</f>
        <v/>
      </c>
      <c r="L409" s="26">
        <f>IF($B409="","",IF($K409="","—",IF(ROUND($K409-$J409,0)=0,"√","×")))</f>
        <v/>
      </c>
      <c r="M409" s="26">
        <f>IF($B409="","",IF(COUNTIFS(EntryDates,$B409,CalcTime,$C409,CalcBank,$C$5,EntryParty,$D409,EntryDep,$H409,EntryWit,$I409)&gt;1,"تکرار",""))</f>
        <v/>
      </c>
      <c r="N409" s="26">
        <f>IF($P409="","",IF(INDEX(EntryNotes,$P409)=0,"",INDEX(EntryNotes,$P409)))</f>
        <v/>
      </c>
      <c r="O409" s="26">
        <f>IF($P409="","",IF(INDEX(EntryTxnID,$P409)=0,"",INDEX(EntryTxnID,$P409)))</f>
        <v/>
      </c>
      <c r="P409" s="26">
        <f>IFERROR(MATCH($C$5&amp;"|"&amp;RIGHT("000000"&amp;393,6),CalcRankKey,0),"")</f>
        <v/>
      </c>
    </row>
    <row r="410">
      <c r="A410" s="28">
        <f>IF($B410="","",394)</f>
        <v/>
      </c>
      <c r="B410" s="28">
        <f>IF($P410="","",IF(INDEX(CalcNormDate,$P410)=0,"",INDEX(CalcNormDate,$P410)))</f>
        <v/>
      </c>
      <c r="C410" s="28">
        <f>IF($P410="","",IF(INDEX(CalcTime,$P410)=0,"",INDEX(CalcTime,$P410)))</f>
        <v/>
      </c>
      <c r="D410" s="28">
        <f>IF($P410="","",IF(INDEX(EntryParty,$P410)=0,"",INDEX(EntryParty,$P410)))</f>
        <v/>
      </c>
      <c r="E410" s="28">
        <f>IF($P410="","",IF(INDEX(EntryPartyName,$P410)=0,"",INDEX(EntryPartyName,$P410)))</f>
        <v/>
      </c>
      <c r="F410" s="28">
        <f>IF($P410="","",IF(INDEX(EntryPartyType,$P410)=0,"",INDEX(EntryPartyType,$P410)))</f>
        <v/>
      </c>
      <c r="G410" s="28">
        <f>IF($P410="","",IF(INDEX(EntryTxnType,$P410)=0,"",INDEX(EntryTxnType,$P410)))</f>
        <v/>
      </c>
      <c r="H410" s="29">
        <f>IF($P410="","",IF(INDEX(EntryDep,$P410)=0,"",INDEX(EntryDep,$P410)))</f>
        <v/>
      </c>
      <c r="I410" s="29">
        <f>IF($P410="","",IF(INDEX(EntryWit,$P410)=0,"",INDEX(EntryWit,$P410)))</f>
        <v/>
      </c>
      <c r="J410" s="29">
        <f>IF($B410="","",IF($A410=1,$C$7,IF(J409="",0,J409))+IF($H410="",0,$H410)-IF($I410="",0,$I410))</f>
        <v/>
      </c>
      <c r="K410" s="29">
        <f>IF($P410="","",IF(INDEX(EntryMan,$P410)=0,"",INDEX(EntryMan,$P410)))</f>
        <v/>
      </c>
      <c r="L410" s="28">
        <f>IF($B410="","",IF($K410="","—",IF(ROUND($K410-$J410,0)=0,"√","×")))</f>
        <v/>
      </c>
      <c r="M410" s="28">
        <f>IF($B410="","",IF(COUNTIFS(EntryDates,$B410,CalcTime,$C410,CalcBank,$C$5,EntryParty,$D410,EntryDep,$H410,EntryWit,$I410)&gt;1,"تکرار",""))</f>
        <v/>
      </c>
      <c r="N410" s="28">
        <f>IF($P410="","",IF(INDEX(EntryNotes,$P410)=0,"",INDEX(EntryNotes,$P410)))</f>
        <v/>
      </c>
      <c r="O410" s="28">
        <f>IF($P410="","",IF(INDEX(EntryTxnID,$P410)=0,"",INDEX(EntryTxnID,$P410)))</f>
        <v/>
      </c>
      <c r="P410" s="28">
        <f>IFERROR(MATCH($C$5&amp;"|"&amp;RIGHT("000000"&amp;394,6),CalcRankKey,0),"")</f>
        <v/>
      </c>
    </row>
    <row r="411">
      <c r="A411" s="26">
        <f>IF($B411="","",395)</f>
        <v/>
      </c>
      <c r="B411" s="26">
        <f>IF($P411="","",IF(INDEX(CalcNormDate,$P411)=0,"",INDEX(CalcNormDate,$P411)))</f>
        <v/>
      </c>
      <c r="C411" s="26">
        <f>IF($P411="","",IF(INDEX(CalcTime,$P411)=0,"",INDEX(CalcTime,$P411)))</f>
        <v/>
      </c>
      <c r="D411" s="26">
        <f>IF($P411="","",IF(INDEX(EntryParty,$P411)=0,"",INDEX(EntryParty,$P411)))</f>
        <v/>
      </c>
      <c r="E411" s="26">
        <f>IF($P411="","",IF(INDEX(EntryPartyName,$P411)=0,"",INDEX(EntryPartyName,$P411)))</f>
        <v/>
      </c>
      <c r="F411" s="26">
        <f>IF($P411="","",IF(INDEX(EntryPartyType,$P411)=0,"",INDEX(EntryPartyType,$P411)))</f>
        <v/>
      </c>
      <c r="G411" s="26">
        <f>IF($P411="","",IF(INDEX(EntryTxnType,$P411)=0,"",INDEX(EntryTxnType,$P411)))</f>
        <v/>
      </c>
      <c r="H411" s="27">
        <f>IF($P411="","",IF(INDEX(EntryDep,$P411)=0,"",INDEX(EntryDep,$P411)))</f>
        <v/>
      </c>
      <c r="I411" s="27">
        <f>IF($P411="","",IF(INDEX(EntryWit,$P411)=0,"",INDEX(EntryWit,$P411)))</f>
        <v/>
      </c>
      <c r="J411" s="27">
        <f>IF($B411="","",IF($A411=1,$C$7,IF(J410="",0,J410))+IF($H411="",0,$H411)-IF($I411="",0,$I411))</f>
        <v/>
      </c>
      <c r="K411" s="27">
        <f>IF($P411="","",IF(INDEX(EntryMan,$P411)=0,"",INDEX(EntryMan,$P411)))</f>
        <v/>
      </c>
      <c r="L411" s="26">
        <f>IF($B411="","",IF($K411="","—",IF(ROUND($K411-$J411,0)=0,"√","×")))</f>
        <v/>
      </c>
      <c r="M411" s="26">
        <f>IF($B411="","",IF(COUNTIFS(EntryDates,$B411,CalcTime,$C411,CalcBank,$C$5,EntryParty,$D411,EntryDep,$H411,EntryWit,$I411)&gt;1,"تکرار",""))</f>
        <v/>
      </c>
      <c r="N411" s="26">
        <f>IF($P411="","",IF(INDEX(EntryNotes,$P411)=0,"",INDEX(EntryNotes,$P411)))</f>
        <v/>
      </c>
      <c r="O411" s="26">
        <f>IF($P411="","",IF(INDEX(EntryTxnID,$P411)=0,"",INDEX(EntryTxnID,$P411)))</f>
        <v/>
      </c>
      <c r="P411" s="26">
        <f>IFERROR(MATCH($C$5&amp;"|"&amp;RIGHT("000000"&amp;395,6),CalcRankKey,0),"")</f>
        <v/>
      </c>
    </row>
    <row r="412">
      <c r="A412" s="28">
        <f>IF($B412="","",396)</f>
        <v/>
      </c>
      <c r="B412" s="28">
        <f>IF($P412="","",IF(INDEX(CalcNormDate,$P412)=0,"",INDEX(CalcNormDate,$P412)))</f>
        <v/>
      </c>
      <c r="C412" s="28">
        <f>IF($P412="","",IF(INDEX(CalcTime,$P412)=0,"",INDEX(CalcTime,$P412)))</f>
        <v/>
      </c>
      <c r="D412" s="28">
        <f>IF($P412="","",IF(INDEX(EntryParty,$P412)=0,"",INDEX(EntryParty,$P412)))</f>
        <v/>
      </c>
      <c r="E412" s="28">
        <f>IF($P412="","",IF(INDEX(EntryPartyName,$P412)=0,"",INDEX(EntryPartyName,$P412)))</f>
        <v/>
      </c>
      <c r="F412" s="28">
        <f>IF($P412="","",IF(INDEX(EntryPartyType,$P412)=0,"",INDEX(EntryPartyType,$P412)))</f>
        <v/>
      </c>
      <c r="G412" s="28">
        <f>IF($P412="","",IF(INDEX(EntryTxnType,$P412)=0,"",INDEX(EntryTxnType,$P412)))</f>
        <v/>
      </c>
      <c r="H412" s="29">
        <f>IF($P412="","",IF(INDEX(EntryDep,$P412)=0,"",INDEX(EntryDep,$P412)))</f>
        <v/>
      </c>
      <c r="I412" s="29">
        <f>IF($P412="","",IF(INDEX(EntryWit,$P412)=0,"",INDEX(EntryWit,$P412)))</f>
        <v/>
      </c>
      <c r="J412" s="29">
        <f>IF($B412="","",IF($A412=1,$C$7,IF(J411="",0,J411))+IF($H412="",0,$H412)-IF($I412="",0,$I412))</f>
        <v/>
      </c>
      <c r="K412" s="29">
        <f>IF($P412="","",IF(INDEX(EntryMan,$P412)=0,"",INDEX(EntryMan,$P412)))</f>
        <v/>
      </c>
      <c r="L412" s="28">
        <f>IF($B412="","",IF($K412="","—",IF(ROUND($K412-$J412,0)=0,"√","×")))</f>
        <v/>
      </c>
      <c r="M412" s="28">
        <f>IF($B412="","",IF(COUNTIFS(EntryDates,$B412,CalcTime,$C412,CalcBank,$C$5,EntryParty,$D412,EntryDep,$H412,EntryWit,$I412)&gt;1,"تکرار",""))</f>
        <v/>
      </c>
      <c r="N412" s="28">
        <f>IF($P412="","",IF(INDEX(EntryNotes,$P412)=0,"",INDEX(EntryNotes,$P412)))</f>
        <v/>
      </c>
      <c r="O412" s="28">
        <f>IF($P412="","",IF(INDEX(EntryTxnID,$P412)=0,"",INDEX(EntryTxnID,$P412)))</f>
        <v/>
      </c>
      <c r="P412" s="28">
        <f>IFERROR(MATCH($C$5&amp;"|"&amp;RIGHT("000000"&amp;396,6),CalcRankKey,0),"")</f>
        <v/>
      </c>
    </row>
    <row r="413">
      <c r="A413" s="26">
        <f>IF($B413="","",397)</f>
        <v/>
      </c>
      <c r="B413" s="26">
        <f>IF($P413="","",IF(INDEX(CalcNormDate,$P413)=0,"",INDEX(CalcNormDate,$P413)))</f>
        <v/>
      </c>
      <c r="C413" s="26">
        <f>IF($P413="","",IF(INDEX(CalcTime,$P413)=0,"",INDEX(CalcTime,$P413)))</f>
        <v/>
      </c>
      <c r="D413" s="26">
        <f>IF($P413="","",IF(INDEX(EntryParty,$P413)=0,"",INDEX(EntryParty,$P413)))</f>
        <v/>
      </c>
      <c r="E413" s="26">
        <f>IF($P413="","",IF(INDEX(EntryPartyName,$P413)=0,"",INDEX(EntryPartyName,$P413)))</f>
        <v/>
      </c>
      <c r="F413" s="26">
        <f>IF($P413="","",IF(INDEX(EntryPartyType,$P413)=0,"",INDEX(EntryPartyType,$P413)))</f>
        <v/>
      </c>
      <c r="G413" s="26">
        <f>IF($P413="","",IF(INDEX(EntryTxnType,$P413)=0,"",INDEX(EntryTxnType,$P413)))</f>
        <v/>
      </c>
      <c r="H413" s="27">
        <f>IF($P413="","",IF(INDEX(EntryDep,$P413)=0,"",INDEX(EntryDep,$P413)))</f>
        <v/>
      </c>
      <c r="I413" s="27">
        <f>IF($P413="","",IF(INDEX(EntryWit,$P413)=0,"",INDEX(EntryWit,$P413)))</f>
        <v/>
      </c>
      <c r="J413" s="27">
        <f>IF($B413="","",IF($A413=1,$C$7,IF(J412="",0,J412))+IF($H413="",0,$H413)-IF($I413="",0,$I413))</f>
        <v/>
      </c>
      <c r="K413" s="27">
        <f>IF($P413="","",IF(INDEX(EntryMan,$P413)=0,"",INDEX(EntryMan,$P413)))</f>
        <v/>
      </c>
      <c r="L413" s="26">
        <f>IF($B413="","",IF($K413="","—",IF(ROUND($K413-$J413,0)=0,"√","×")))</f>
        <v/>
      </c>
      <c r="M413" s="26">
        <f>IF($B413="","",IF(COUNTIFS(EntryDates,$B413,CalcTime,$C413,CalcBank,$C$5,EntryParty,$D413,EntryDep,$H413,EntryWit,$I413)&gt;1,"تکرار",""))</f>
        <v/>
      </c>
      <c r="N413" s="26">
        <f>IF($P413="","",IF(INDEX(EntryNotes,$P413)=0,"",INDEX(EntryNotes,$P413)))</f>
        <v/>
      </c>
      <c r="O413" s="26">
        <f>IF($P413="","",IF(INDEX(EntryTxnID,$P413)=0,"",INDEX(EntryTxnID,$P413)))</f>
        <v/>
      </c>
      <c r="P413" s="26">
        <f>IFERROR(MATCH($C$5&amp;"|"&amp;RIGHT("000000"&amp;397,6),CalcRankKey,0),"")</f>
        <v/>
      </c>
    </row>
    <row r="414">
      <c r="A414" s="28">
        <f>IF($B414="","",398)</f>
        <v/>
      </c>
      <c r="B414" s="28">
        <f>IF($P414="","",IF(INDEX(CalcNormDate,$P414)=0,"",INDEX(CalcNormDate,$P414)))</f>
        <v/>
      </c>
      <c r="C414" s="28">
        <f>IF($P414="","",IF(INDEX(CalcTime,$P414)=0,"",INDEX(CalcTime,$P414)))</f>
        <v/>
      </c>
      <c r="D414" s="28">
        <f>IF($P414="","",IF(INDEX(EntryParty,$P414)=0,"",INDEX(EntryParty,$P414)))</f>
        <v/>
      </c>
      <c r="E414" s="28">
        <f>IF($P414="","",IF(INDEX(EntryPartyName,$P414)=0,"",INDEX(EntryPartyName,$P414)))</f>
        <v/>
      </c>
      <c r="F414" s="28">
        <f>IF($P414="","",IF(INDEX(EntryPartyType,$P414)=0,"",INDEX(EntryPartyType,$P414)))</f>
        <v/>
      </c>
      <c r="G414" s="28">
        <f>IF($P414="","",IF(INDEX(EntryTxnType,$P414)=0,"",INDEX(EntryTxnType,$P414)))</f>
        <v/>
      </c>
      <c r="H414" s="29">
        <f>IF($P414="","",IF(INDEX(EntryDep,$P414)=0,"",INDEX(EntryDep,$P414)))</f>
        <v/>
      </c>
      <c r="I414" s="29">
        <f>IF($P414="","",IF(INDEX(EntryWit,$P414)=0,"",INDEX(EntryWit,$P414)))</f>
        <v/>
      </c>
      <c r="J414" s="29">
        <f>IF($B414="","",IF($A414=1,$C$7,IF(J413="",0,J413))+IF($H414="",0,$H414)-IF($I414="",0,$I414))</f>
        <v/>
      </c>
      <c r="K414" s="29">
        <f>IF($P414="","",IF(INDEX(EntryMan,$P414)=0,"",INDEX(EntryMan,$P414)))</f>
        <v/>
      </c>
      <c r="L414" s="28">
        <f>IF($B414="","",IF($K414="","—",IF(ROUND($K414-$J414,0)=0,"√","×")))</f>
        <v/>
      </c>
      <c r="M414" s="28">
        <f>IF($B414="","",IF(COUNTIFS(EntryDates,$B414,CalcTime,$C414,CalcBank,$C$5,EntryParty,$D414,EntryDep,$H414,EntryWit,$I414)&gt;1,"تکرار",""))</f>
        <v/>
      </c>
      <c r="N414" s="28">
        <f>IF($P414="","",IF(INDEX(EntryNotes,$P414)=0,"",INDEX(EntryNotes,$P414)))</f>
        <v/>
      </c>
      <c r="O414" s="28">
        <f>IF($P414="","",IF(INDEX(EntryTxnID,$P414)=0,"",INDEX(EntryTxnID,$P414)))</f>
        <v/>
      </c>
      <c r="P414" s="28">
        <f>IFERROR(MATCH($C$5&amp;"|"&amp;RIGHT("000000"&amp;398,6),CalcRankKey,0),"")</f>
        <v/>
      </c>
    </row>
    <row r="415">
      <c r="A415" s="26">
        <f>IF($B415="","",399)</f>
        <v/>
      </c>
      <c r="B415" s="26">
        <f>IF($P415="","",IF(INDEX(CalcNormDate,$P415)=0,"",INDEX(CalcNormDate,$P415)))</f>
        <v/>
      </c>
      <c r="C415" s="26">
        <f>IF($P415="","",IF(INDEX(CalcTime,$P415)=0,"",INDEX(CalcTime,$P415)))</f>
        <v/>
      </c>
      <c r="D415" s="26">
        <f>IF($P415="","",IF(INDEX(EntryParty,$P415)=0,"",INDEX(EntryParty,$P415)))</f>
        <v/>
      </c>
      <c r="E415" s="26">
        <f>IF($P415="","",IF(INDEX(EntryPartyName,$P415)=0,"",INDEX(EntryPartyName,$P415)))</f>
        <v/>
      </c>
      <c r="F415" s="26">
        <f>IF($P415="","",IF(INDEX(EntryPartyType,$P415)=0,"",INDEX(EntryPartyType,$P415)))</f>
        <v/>
      </c>
      <c r="G415" s="26">
        <f>IF($P415="","",IF(INDEX(EntryTxnType,$P415)=0,"",INDEX(EntryTxnType,$P415)))</f>
        <v/>
      </c>
      <c r="H415" s="27">
        <f>IF($P415="","",IF(INDEX(EntryDep,$P415)=0,"",INDEX(EntryDep,$P415)))</f>
        <v/>
      </c>
      <c r="I415" s="27">
        <f>IF($P415="","",IF(INDEX(EntryWit,$P415)=0,"",INDEX(EntryWit,$P415)))</f>
        <v/>
      </c>
      <c r="J415" s="27">
        <f>IF($B415="","",IF($A415=1,$C$7,IF(J414="",0,J414))+IF($H415="",0,$H415)-IF($I415="",0,$I415))</f>
        <v/>
      </c>
      <c r="K415" s="27">
        <f>IF($P415="","",IF(INDEX(EntryMan,$P415)=0,"",INDEX(EntryMan,$P415)))</f>
        <v/>
      </c>
      <c r="L415" s="26">
        <f>IF($B415="","",IF($K415="","—",IF(ROUND($K415-$J415,0)=0,"√","×")))</f>
        <v/>
      </c>
      <c r="M415" s="26">
        <f>IF($B415="","",IF(COUNTIFS(EntryDates,$B415,CalcTime,$C415,CalcBank,$C$5,EntryParty,$D415,EntryDep,$H415,EntryWit,$I415)&gt;1,"تکرار",""))</f>
        <v/>
      </c>
      <c r="N415" s="26">
        <f>IF($P415="","",IF(INDEX(EntryNotes,$P415)=0,"",INDEX(EntryNotes,$P415)))</f>
        <v/>
      </c>
      <c r="O415" s="26">
        <f>IF($P415="","",IF(INDEX(EntryTxnID,$P415)=0,"",INDEX(EntryTxnID,$P415)))</f>
        <v/>
      </c>
      <c r="P415" s="26">
        <f>IFERROR(MATCH($C$5&amp;"|"&amp;RIGHT("000000"&amp;399,6),CalcRankKey,0),"")</f>
        <v/>
      </c>
    </row>
    <row r="416">
      <c r="A416" s="28">
        <f>IF($B416="","",400)</f>
        <v/>
      </c>
      <c r="B416" s="28">
        <f>IF($P416="","",IF(INDEX(CalcNormDate,$P416)=0,"",INDEX(CalcNormDate,$P416)))</f>
        <v/>
      </c>
      <c r="C416" s="28">
        <f>IF($P416="","",IF(INDEX(CalcTime,$P416)=0,"",INDEX(CalcTime,$P416)))</f>
        <v/>
      </c>
      <c r="D416" s="28">
        <f>IF($P416="","",IF(INDEX(EntryParty,$P416)=0,"",INDEX(EntryParty,$P416)))</f>
        <v/>
      </c>
      <c r="E416" s="28">
        <f>IF($P416="","",IF(INDEX(EntryPartyName,$P416)=0,"",INDEX(EntryPartyName,$P416)))</f>
        <v/>
      </c>
      <c r="F416" s="28">
        <f>IF($P416="","",IF(INDEX(EntryPartyType,$P416)=0,"",INDEX(EntryPartyType,$P416)))</f>
        <v/>
      </c>
      <c r="G416" s="28">
        <f>IF($P416="","",IF(INDEX(EntryTxnType,$P416)=0,"",INDEX(EntryTxnType,$P416)))</f>
        <v/>
      </c>
      <c r="H416" s="29">
        <f>IF($P416="","",IF(INDEX(EntryDep,$P416)=0,"",INDEX(EntryDep,$P416)))</f>
        <v/>
      </c>
      <c r="I416" s="29">
        <f>IF($P416="","",IF(INDEX(EntryWit,$P416)=0,"",INDEX(EntryWit,$P416)))</f>
        <v/>
      </c>
      <c r="J416" s="29">
        <f>IF($B416="","",IF($A416=1,$C$7,IF(J415="",0,J415))+IF($H416="",0,$H416)-IF($I416="",0,$I416))</f>
        <v/>
      </c>
      <c r="K416" s="29">
        <f>IF($P416="","",IF(INDEX(EntryMan,$P416)=0,"",INDEX(EntryMan,$P416)))</f>
        <v/>
      </c>
      <c r="L416" s="28">
        <f>IF($B416="","",IF($K416="","—",IF(ROUND($K416-$J416,0)=0,"√","×")))</f>
        <v/>
      </c>
      <c r="M416" s="28">
        <f>IF($B416="","",IF(COUNTIFS(EntryDates,$B416,CalcTime,$C416,CalcBank,$C$5,EntryParty,$D416,EntryDep,$H416,EntryWit,$I416)&gt;1,"تکرار",""))</f>
        <v/>
      </c>
      <c r="N416" s="28">
        <f>IF($P416="","",IF(INDEX(EntryNotes,$P416)=0,"",INDEX(EntryNotes,$P416)))</f>
        <v/>
      </c>
      <c r="O416" s="28">
        <f>IF($P416="","",IF(INDEX(EntryTxnID,$P416)=0,"",INDEX(EntryTxnID,$P416)))</f>
        <v/>
      </c>
      <c r="P416" s="28">
        <f>IFERROR(MATCH($C$5&amp;"|"&amp;RIGHT("000000"&amp;400,6),CalcRankKey,0),"")</f>
        <v/>
      </c>
    </row>
    <row r="417">
      <c r="A417" s="26">
        <f>IF($B417="","",401)</f>
        <v/>
      </c>
      <c r="B417" s="26">
        <f>IF($P417="","",IF(INDEX(CalcNormDate,$P417)=0,"",INDEX(CalcNormDate,$P417)))</f>
        <v/>
      </c>
      <c r="C417" s="26">
        <f>IF($P417="","",IF(INDEX(CalcTime,$P417)=0,"",INDEX(CalcTime,$P417)))</f>
        <v/>
      </c>
      <c r="D417" s="26">
        <f>IF($P417="","",IF(INDEX(EntryParty,$P417)=0,"",INDEX(EntryParty,$P417)))</f>
        <v/>
      </c>
      <c r="E417" s="26">
        <f>IF($P417="","",IF(INDEX(EntryPartyName,$P417)=0,"",INDEX(EntryPartyName,$P417)))</f>
        <v/>
      </c>
      <c r="F417" s="26">
        <f>IF($P417="","",IF(INDEX(EntryPartyType,$P417)=0,"",INDEX(EntryPartyType,$P417)))</f>
        <v/>
      </c>
      <c r="G417" s="26">
        <f>IF($P417="","",IF(INDEX(EntryTxnType,$P417)=0,"",INDEX(EntryTxnType,$P417)))</f>
        <v/>
      </c>
      <c r="H417" s="27">
        <f>IF($P417="","",IF(INDEX(EntryDep,$P417)=0,"",INDEX(EntryDep,$P417)))</f>
        <v/>
      </c>
      <c r="I417" s="27">
        <f>IF($P417="","",IF(INDEX(EntryWit,$P417)=0,"",INDEX(EntryWit,$P417)))</f>
        <v/>
      </c>
      <c r="J417" s="27">
        <f>IF($B417="","",IF($A417=1,$C$7,IF(J416="",0,J416))+IF($H417="",0,$H417)-IF($I417="",0,$I417))</f>
        <v/>
      </c>
      <c r="K417" s="27">
        <f>IF($P417="","",IF(INDEX(EntryMan,$P417)=0,"",INDEX(EntryMan,$P417)))</f>
        <v/>
      </c>
      <c r="L417" s="26">
        <f>IF($B417="","",IF($K417="","—",IF(ROUND($K417-$J417,0)=0,"√","×")))</f>
        <v/>
      </c>
      <c r="M417" s="26">
        <f>IF($B417="","",IF(COUNTIFS(EntryDates,$B417,CalcTime,$C417,CalcBank,$C$5,EntryParty,$D417,EntryDep,$H417,EntryWit,$I417)&gt;1,"تکرار",""))</f>
        <v/>
      </c>
      <c r="N417" s="26">
        <f>IF($P417="","",IF(INDEX(EntryNotes,$P417)=0,"",INDEX(EntryNotes,$P417)))</f>
        <v/>
      </c>
      <c r="O417" s="26">
        <f>IF($P417="","",IF(INDEX(EntryTxnID,$P417)=0,"",INDEX(EntryTxnID,$P417)))</f>
        <v/>
      </c>
      <c r="P417" s="26">
        <f>IFERROR(MATCH($C$5&amp;"|"&amp;RIGHT("000000"&amp;401,6),CalcRankKey,0),"")</f>
        <v/>
      </c>
    </row>
    <row r="418">
      <c r="A418" s="28">
        <f>IF($B418="","",402)</f>
        <v/>
      </c>
      <c r="B418" s="28">
        <f>IF($P418="","",IF(INDEX(CalcNormDate,$P418)=0,"",INDEX(CalcNormDate,$P418)))</f>
        <v/>
      </c>
      <c r="C418" s="28">
        <f>IF($P418="","",IF(INDEX(CalcTime,$P418)=0,"",INDEX(CalcTime,$P418)))</f>
        <v/>
      </c>
      <c r="D418" s="28">
        <f>IF($P418="","",IF(INDEX(EntryParty,$P418)=0,"",INDEX(EntryParty,$P418)))</f>
        <v/>
      </c>
      <c r="E418" s="28">
        <f>IF($P418="","",IF(INDEX(EntryPartyName,$P418)=0,"",INDEX(EntryPartyName,$P418)))</f>
        <v/>
      </c>
      <c r="F418" s="28">
        <f>IF($P418="","",IF(INDEX(EntryPartyType,$P418)=0,"",INDEX(EntryPartyType,$P418)))</f>
        <v/>
      </c>
      <c r="G418" s="28">
        <f>IF($P418="","",IF(INDEX(EntryTxnType,$P418)=0,"",INDEX(EntryTxnType,$P418)))</f>
        <v/>
      </c>
      <c r="H418" s="29">
        <f>IF($P418="","",IF(INDEX(EntryDep,$P418)=0,"",INDEX(EntryDep,$P418)))</f>
        <v/>
      </c>
      <c r="I418" s="29">
        <f>IF($P418="","",IF(INDEX(EntryWit,$P418)=0,"",INDEX(EntryWit,$P418)))</f>
        <v/>
      </c>
      <c r="J418" s="29">
        <f>IF($B418="","",IF($A418=1,$C$7,IF(J417="",0,J417))+IF($H418="",0,$H418)-IF($I418="",0,$I418))</f>
        <v/>
      </c>
      <c r="K418" s="29">
        <f>IF($P418="","",IF(INDEX(EntryMan,$P418)=0,"",INDEX(EntryMan,$P418)))</f>
        <v/>
      </c>
      <c r="L418" s="28">
        <f>IF($B418="","",IF($K418="","—",IF(ROUND($K418-$J418,0)=0,"√","×")))</f>
        <v/>
      </c>
      <c r="M418" s="28">
        <f>IF($B418="","",IF(COUNTIFS(EntryDates,$B418,CalcTime,$C418,CalcBank,$C$5,EntryParty,$D418,EntryDep,$H418,EntryWit,$I418)&gt;1,"تکرار",""))</f>
        <v/>
      </c>
      <c r="N418" s="28">
        <f>IF($P418="","",IF(INDEX(EntryNotes,$P418)=0,"",INDEX(EntryNotes,$P418)))</f>
        <v/>
      </c>
      <c r="O418" s="28">
        <f>IF($P418="","",IF(INDEX(EntryTxnID,$P418)=0,"",INDEX(EntryTxnID,$P418)))</f>
        <v/>
      </c>
      <c r="P418" s="28">
        <f>IFERROR(MATCH($C$5&amp;"|"&amp;RIGHT("000000"&amp;402,6),CalcRankKey,0),"")</f>
        <v/>
      </c>
    </row>
    <row r="419">
      <c r="A419" s="26">
        <f>IF($B419="","",403)</f>
        <v/>
      </c>
      <c r="B419" s="26">
        <f>IF($P419="","",IF(INDEX(CalcNormDate,$P419)=0,"",INDEX(CalcNormDate,$P419)))</f>
        <v/>
      </c>
      <c r="C419" s="26">
        <f>IF($P419="","",IF(INDEX(CalcTime,$P419)=0,"",INDEX(CalcTime,$P419)))</f>
        <v/>
      </c>
      <c r="D419" s="26">
        <f>IF($P419="","",IF(INDEX(EntryParty,$P419)=0,"",INDEX(EntryParty,$P419)))</f>
        <v/>
      </c>
      <c r="E419" s="26">
        <f>IF($P419="","",IF(INDEX(EntryPartyName,$P419)=0,"",INDEX(EntryPartyName,$P419)))</f>
        <v/>
      </c>
      <c r="F419" s="26">
        <f>IF($P419="","",IF(INDEX(EntryPartyType,$P419)=0,"",INDEX(EntryPartyType,$P419)))</f>
        <v/>
      </c>
      <c r="G419" s="26">
        <f>IF($P419="","",IF(INDEX(EntryTxnType,$P419)=0,"",INDEX(EntryTxnType,$P419)))</f>
        <v/>
      </c>
      <c r="H419" s="27">
        <f>IF($P419="","",IF(INDEX(EntryDep,$P419)=0,"",INDEX(EntryDep,$P419)))</f>
        <v/>
      </c>
      <c r="I419" s="27">
        <f>IF($P419="","",IF(INDEX(EntryWit,$P419)=0,"",INDEX(EntryWit,$P419)))</f>
        <v/>
      </c>
      <c r="J419" s="27">
        <f>IF($B419="","",IF($A419=1,$C$7,IF(J418="",0,J418))+IF($H419="",0,$H419)-IF($I419="",0,$I419))</f>
        <v/>
      </c>
      <c r="K419" s="27">
        <f>IF($P419="","",IF(INDEX(EntryMan,$P419)=0,"",INDEX(EntryMan,$P419)))</f>
        <v/>
      </c>
      <c r="L419" s="26">
        <f>IF($B419="","",IF($K419="","—",IF(ROUND($K419-$J419,0)=0,"√","×")))</f>
        <v/>
      </c>
      <c r="M419" s="26">
        <f>IF($B419="","",IF(COUNTIFS(EntryDates,$B419,CalcTime,$C419,CalcBank,$C$5,EntryParty,$D419,EntryDep,$H419,EntryWit,$I419)&gt;1,"تکرار",""))</f>
        <v/>
      </c>
      <c r="N419" s="26">
        <f>IF($P419="","",IF(INDEX(EntryNotes,$P419)=0,"",INDEX(EntryNotes,$P419)))</f>
        <v/>
      </c>
      <c r="O419" s="26">
        <f>IF($P419="","",IF(INDEX(EntryTxnID,$P419)=0,"",INDEX(EntryTxnID,$P419)))</f>
        <v/>
      </c>
      <c r="P419" s="26">
        <f>IFERROR(MATCH($C$5&amp;"|"&amp;RIGHT("000000"&amp;403,6),CalcRankKey,0),"")</f>
        <v/>
      </c>
    </row>
    <row r="420">
      <c r="A420" s="28">
        <f>IF($B420="","",404)</f>
        <v/>
      </c>
      <c r="B420" s="28">
        <f>IF($P420="","",IF(INDEX(CalcNormDate,$P420)=0,"",INDEX(CalcNormDate,$P420)))</f>
        <v/>
      </c>
      <c r="C420" s="28">
        <f>IF($P420="","",IF(INDEX(CalcTime,$P420)=0,"",INDEX(CalcTime,$P420)))</f>
        <v/>
      </c>
      <c r="D420" s="28">
        <f>IF($P420="","",IF(INDEX(EntryParty,$P420)=0,"",INDEX(EntryParty,$P420)))</f>
        <v/>
      </c>
      <c r="E420" s="28">
        <f>IF($P420="","",IF(INDEX(EntryPartyName,$P420)=0,"",INDEX(EntryPartyName,$P420)))</f>
        <v/>
      </c>
      <c r="F420" s="28">
        <f>IF($P420="","",IF(INDEX(EntryPartyType,$P420)=0,"",INDEX(EntryPartyType,$P420)))</f>
        <v/>
      </c>
      <c r="G420" s="28">
        <f>IF($P420="","",IF(INDEX(EntryTxnType,$P420)=0,"",INDEX(EntryTxnType,$P420)))</f>
        <v/>
      </c>
      <c r="H420" s="29">
        <f>IF($P420="","",IF(INDEX(EntryDep,$P420)=0,"",INDEX(EntryDep,$P420)))</f>
        <v/>
      </c>
      <c r="I420" s="29">
        <f>IF($P420="","",IF(INDEX(EntryWit,$P420)=0,"",INDEX(EntryWit,$P420)))</f>
        <v/>
      </c>
      <c r="J420" s="29">
        <f>IF($B420="","",IF($A420=1,$C$7,IF(J419="",0,J419))+IF($H420="",0,$H420)-IF($I420="",0,$I420))</f>
        <v/>
      </c>
      <c r="K420" s="29">
        <f>IF($P420="","",IF(INDEX(EntryMan,$P420)=0,"",INDEX(EntryMan,$P420)))</f>
        <v/>
      </c>
      <c r="L420" s="28">
        <f>IF($B420="","",IF($K420="","—",IF(ROUND($K420-$J420,0)=0,"√","×")))</f>
        <v/>
      </c>
      <c r="M420" s="28">
        <f>IF($B420="","",IF(COUNTIFS(EntryDates,$B420,CalcTime,$C420,CalcBank,$C$5,EntryParty,$D420,EntryDep,$H420,EntryWit,$I420)&gt;1,"تکرار",""))</f>
        <v/>
      </c>
      <c r="N420" s="28">
        <f>IF($P420="","",IF(INDEX(EntryNotes,$P420)=0,"",INDEX(EntryNotes,$P420)))</f>
        <v/>
      </c>
      <c r="O420" s="28">
        <f>IF($P420="","",IF(INDEX(EntryTxnID,$P420)=0,"",INDEX(EntryTxnID,$P420)))</f>
        <v/>
      </c>
      <c r="P420" s="28">
        <f>IFERROR(MATCH($C$5&amp;"|"&amp;RIGHT("000000"&amp;404,6),CalcRankKey,0),"")</f>
        <v/>
      </c>
    </row>
    <row r="421">
      <c r="A421" s="26">
        <f>IF($B421="","",405)</f>
        <v/>
      </c>
      <c r="B421" s="26">
        <f>IF($P421="","",IF(INDEX(CalcNormDate,$P421)=0,"",INDEX(CalcNormDate,$P421)))</f>
        <v/>
      </c>
      <c r="C421" s="26">
        <f>IF($P421="","",IF(INDEX(CalcTime,$P421)=0,"",INDEX(CalcTime,$P421)))</f>
        <v/>
      </c>
      <c r="D421" s="26">
        <f>IF($P421="","",IF(INDEX(EntryParty,$P421)=0,"",INDEX(EntryParty,$P421)))</f>
        <v/>
      </c>
      <c r="E421" s="26">
        <f>IF($P421="","",IF(INDEX(EntryPartyName,$P421)=0,"",INDEX(EntryPartyName,$P421)))</f>
        <v/>
      </c>
      <c r="F421" s="26">
        <f>IF($P421="","",IF(INDEX(EntryPartyType,$P421)=0,"",INDEX(EntryPartyType,$P421)))</f>
        <v/>
      </c>
      <c r="G421" s="26">
        <f>IF($P421="","",IF(INDEX(EntryTxnType,$P421)=0,"",INDEX(EntryTxnType,$P421)))</f>
        <v/>
      </c>
      <c r="H421" s="27">
        <f>IF($P421="","",IF(INDEX(EntryDep,$P421)=0,"",INDEX(EntryDep,$P421)))</f>
        <v/>
      </c>
      <c r="I421" s="27">
        <f>IF($P421="","",IF(INDEX(EntryWit,$P421)=0,"",INDEX(EntryWit,$P421)))</f>
        <v/>
      </c>
      <c r="J421" s="27">
        <f>IF($B421="","",IF($A421=1,$C$7,IF(J420="",0,J420))+IF($H421="",0,$H421)-IF($I421="",0,$I421))</f>
        <v/>
      </c>
      <c r="K421" s="27">
        <f>IF($P421="","",IF(INDEX(EntryMan,$P421)=0,"",INDEX(EntryMan,$P421)))</f>
        <v/>
      </c>
      <c r="L421" s="26">
        <f>IF($B421="","",IF($K421="","—",IF(ROUND($K421-$J421,0)=0,"√","×")))</f>
        <v/>
      </c>
      <c r="M421" s="26">
        <f>IF($B421="","",IF(COUNTIFS(EntryDates,$B421,CalcTime,$C421,CalcBank,$C$5,EntryParty,$D421,EntryDep,$H421,EntryWit,$I421)&gt;1,"تکرار",""))</f>
        <v/>
      </c>
      <c r="N421" s="26">
        <f>IF($P421="","",IF(INDEX(EntryNotes,$P421)=0,"",INDEX(EntryNotes,$P421)))</f>
        <v/>
      </c>
      <c r="O421" s="26">
        <f>IF($P421="","",IF(INDEX(EntryTxnID,$P421)=0,"",INDEX(EntryTxnID,$P421)))</f>
        <v/>
      </c>
      <c r="P421" s="26">
        <f>IFERROR(MATCH($C$5&amp;"|"&amp;RIGHT("000000"&amp;405,6),CalcRankKey,0),"")</f>
        <v/>
      </c>
    </row>
    <row r="422">
      <c r="A422" s="28">
        <f>IF($B422="","",406)</f>
        <v/>
      </c>
      <c r="B422" s="28">
        <f>IF($P422="","",IF(INDEX(CalcNormDate,$P422)=0,"",INDEX(CalcNormDate,$P422)))</f>
        <v/>
      </c>
      <c r="C422" s="28">
        <f>IF($P422="","",IF(INDEX(CalcTime,$P422)=0,"",INDEX(CalcTime,$P422)))</f>
        <v/>
      </c>
      <c r="D422" s="28">
        <f>IF($P422="","",IF(INDEX(EntryParty,$P422)=0,"",INDEX(EntryParty,$P422)))</f>
        <v/>
      </c>
      <c r="E422" s="28">
        <f>IF($P422="","",IF(INDEX(EntryPartyName,$P422)=0,"",INDEX(EntryPartyName,$P422)))</f>
        <v/>
      </c>
      <c r="F422" s="28">
        <f>IF($P422="","",IF(INDEX(EntryPartyType,$P422)=0,"",INDEX(EntryPartyType,$P422)))</f>
        <v/>
      </c>
      <c r="G422" s="28">
        <f>IF($P422="","",IF(INDEX(EntryTxnType,$P422)=0,"",INDEX(EntryTxnType,$P422)))</f>
        <v/>
      </c>
      <c r="H422" s="29">
        <f>IF($P422="","",IF(INDEX(EntryDep,$P422)=0,"",INDEX(EntryDep,$P422)))</f>
        <v/>
      </c>
      <c r="I422" s="29">
        <f>IF($P422="","",IF(INDEX(EntryWit,$P422)=0,"",INDEX(EntryWit,$P422)))</f>
        <v/>
      </c>
      <c r="J422" s="29">
        <f>IF($B422="","",IF($A422=1,$C$7,IF(J421="",0,J421))+IF($H422="",0,$H422)-IF($I422="",0,$I422))</f>
        <v/>
      </c>
      <c r="K422" s="29">
        <f>IF($P422="","",IF(INDEX(EntryMan,$P422)=0,"",INDEX(EntryMan,$P422)))</f>
        <v/>
      </c>
      <c r="L422" s="28">
        <f>IF($B422="","",IF($K422="","—",IF(ROUND($K422-$J422,0)=0,"√","×")))</f>
        <v/>
      </c>
      <c r="M422" s="28">
        <f>IF($B422="","",IF(COUNTIFS(EntryDates,$B422,CalcTime,$C422,CalcBank,$C$5,EntryParty,$D422,EntryDep,$H422,EntryWit,$I422)&gt;1,"تکرار",""))</f>
        <v/>
      </c>
      <c r="N422" s="28">
        <f>IF($P422="","",IF(INDEX(EntryNotes,$P422)=0,"",INDEX(EntryNotes,$P422)))</f>
        <v/>
      </c>
      <c r="O422" s="28">
        <f>IF($P422="","",IF(INDEX(EntryTxnID,$P422)=0,"",INDEX(EntryTxnID,$P422)))</f>
        <v/>
      </c>
      <c r="P422" s="28">
        <f>IFERROR(MATCH($C$5&amp;"|"&amp;RIGHT("000000"&amp;406,6),CalcRankKey,0),"")</f>
        <v/>
      </c>
    </row>
    <row r="423">
      <c r="A423" s="26">
        <f>IF($B423="","",407)</f>
        <v/>
      </c>
      <c r="B423" s="26">
        <f>IF($P423="","",IF(INDEX(CalcNormDate,$P423)=0,"",INDEX(CalcNormDate,$P423)))</f>
        <v/>
      </c>
      <c r="C423" s="26">
        <f>IF($P423="","",IF(INDEX(CalcTime,$P423)=0,"",INDEX(CalcTime,$P423)))</f>
        <v/>
      </c>
      <c r="D423" s="26">
        <f>IF($P423="","",IF(INDEX(EntryParty,$P423)=0,"",INDEX(EntryParty,$P423)))</f>
        <v/>
      </c>
      <c r="E423" s="26">
        <f>IF($P423="","",IF(INDEX(EntryPartyName,$P423)=0,"",INDEX(EntryPartyName,$P423)))</f>
        <v/>
      </c>
      <c r="F423" s="26">
        <f>IF($P423="","",IF(INDEX(EntryPartyType,$P423)=0,"",INDEX(EntryPartyType,$P423)))</f>
        <v/>
      </c>
      <c r="G423" s="26">
        <f>IF($P423="","",IF(INDEX(EntryTxnType,$P423)=0,"",INDEX(EntryTxnType,$P423)))</f>
        <v/>
      </c>
      <c r="H423" s="27">
        <f>IF($P423="","",IF(INDEX(EntryDep,$P423)=0,"",INDEX(EntryDep,$P423)))</f>
        <v/>
      </c>
      <c r="I423" s="27">
        <f>IF($P423="","",IF(INDEX(EntryWit,$P423)=0,"",INDEX(EntryWit,$P423)))</f>
        <v/>
      </c>
      <c r="J423" s="27">
        <f>IF($B423="","",IF($A423=1,$C$7,IF(J422="",0,J422))+IF($H423="",0,$H423)-IF($I423="",0,$I423))</f>
        <v/>
      </c>
      <c r="K423" s="27">
        <f>IF($P423="","",IF(INDEX(EntryMan,$P423)=0,"",INDEX(EntryMan,$P423)))</f>
        <v/>
      </c>
      <c r="L423" s="26">
        <f>IF($B423="","",IF($K423="","—",IF(ROUND($K423-$J423,0)=0,"√","×")))</f>
        <v/>
      </c>
      <c r="M423" s="26">
        <f>IF($B423="","",IF(COUNTIFS(EntryDates,$B423,CalcTime,$C423,CalcBank,$C$5,EntryParty,$D423,EntryDep,$H423,EntryWit,$I423)&gt;1,"تکرار",""))</f>
        <v/>
      </c>
      <c r="N423" s="26">
        <f>IF($P423="","",IF(INDEX(EntryNotes,$P423)=0,"",INDEX(EntryNotes,$P423)))</f>
        <v/>
      </c>
      <c r="O423" s="26">
        <f>IF($P423="","",IF(INDEX(EntryTxnID,$P423)=0,"",INDEX(EntryTxnID,$P423)))</f>
        <v/>
      </c>
      <c r="P423" s="26">
        <f>IFERROR(MATCH($C$5&amp;"|"&amp;RIGHT("000000"&amp;407,6),CalcRankKey,0),"")</f>
        <v/>
      </c>
    </row>
    <row r="424">
      <c r="A424" s="28">
        <f>IF($B424="","",408)</f>
        <v/>
      </c>
      <c r="B424" s="28">
        <f>IF($P424="","",IF(INDEX(CalcNormDate,$P424)=0,"",INDEX(CalcNormDate,$P424)))</f>
        <v/>
      </c>
      <c r="C424" s="28">
        <f>IF($P424="","",IF(INDEX(CalcTime,$P424)=0,"",INDEX(CalcTime,$P424)))</f>
        <v/>
      </c>
      <c r="D424" s="28">
        <f>IF($P424="","",IF(INDEX(EntryParty,$P424)=0,"",INDEX(EntryParty,$P424)))</f>
        <v/>
      </c>
      <c r="E424" s="28">
        <f>IF($P424="","",IF(INDEX(EntryPartyName,$P424)=0,"",INDEX(EntryPartyName,$P424)))</f>
        <v/>
      </c>
      <c r="F424" s="28">
        <f>IF($P424="","",IF(INDEX(EntryPartyType,$P424)=0,"",INDEX(EntryPartyType,$P424)))</f>
        <v/>
      </c>
      <c r="G424" s="28">
        <f>IF($P424="","",IF(INDEX(EntryTxnType,$P424)=0,"",INDEX(EntryTxnType,$P424)))</f>
        <v/>
      </c>
      <c r="H424" s="29">
        <f>IF($P424="","",IF(INDEX(EntryDep,$P424)=0,"",INDEX(EntryDep,$P424)))</f>
        <v/>
      </c>
      <c r="I424" s="29">
        <f>IF($P424="","",IF(INDEX(EntryWit,$P424)=0,"",INDEX(EntryWit,$P424)))</f>
        <v/>
      </c>
      <c r="J424" s="29">
        <f>IF($B424="","",IF($A424=1,$C$7,IF(J423="",0,J423))+IF($H424="",0,$H424)-IF($I424="",0,$I424))</f>
        <v/>
      </c>
      <c r="K424" s="29">
        <f>IF($P424="","",IF(INDEX(EntryMan,$P424)=0,"",INDEX(EntryMan,$P424)))</f>
        <v/>
      </c>
      <c r="L424" s="28">
        <f>IF($B424="","",IF($K424="","—",IF(ROUND($K424-$J424,0)=0,"√","×")))</f>
        <v/>
      </c>
      <c r="M424" s="28">
        <f>IF($B424="","",IF(COUNTIFS(EntryDates,$B424,CalcTime,$C424,CalcBank,$C$5,EntryParty,$D424,EntryDep,$H424,EntryWit,$I424)&gt;1,"تکرار",""))</f>
        <v/>
      </c>
      <c r="N424" s="28">
        <f>IF($P424="","",IF(INDEX(EntryNotes,$P424)=0,"",INDEX(EntryNotes,$P424)))</f>
        <v/>
      </c>
      <c r="O424" s="28">
        <f>IF($P424="","",IF(INDEX(EntryTxnID,$P424)=0,"",INDEX(EntryTxnID,$P424)))</f>
        <v/>
      </c>
      <c r="P424" s="28">
        <f>IFERROR(MATCH($C$5&amp;"|"&amp;RIGHT("000000"&amp;408,6),CalcRankKey,0),"")</f>
        <v/>
      </c>
    </row>
    <row r="425">
      <c r="A425" s="26">
        <f>IF($B425="","",409)</f>
        <v/>
      </c>
      <c r="B425" s="26">
        <f>IF($P425="","",IF(INDEX(CalcNormDate,$P425)=0,"",INDEX(CalcNormDate,$P425)))</f>
        <v/>
      </c>
      <c r="C425" s="26">
        <f>IF($P425="","",IF(INDEX(CalcTime,$P425)=0,"",INDEX(CalcTime,$P425)))</f>
        <v/>
      </c>
      <c r="D425" s="26">
        <f>IF($P425="","",IF(INDEX(EntryParty,$P425)=0,"",INDEX(EntryParty,$P425)))</f>
        <v/>
      </c>
      <c r="E425" s="26">
        <f>IF($P425="","",IF(INDEX(EntryPartyName,$P425)=0,"",INDEX(EntryPartyName,$P425)))</f>
        <v/>
      </c>
      <c r="F425" s="26">
        <f>IF($P425="","",IF(INDEX(EntryPartyType,$P425)=0,"",INDEX(EntryPartyType,$P425)))</f>
        <v/>
      </c>
      <c r="G425" s="26">
        <f>IF($P425="","",IF(INDEX(EntryTxnType,$P425)=0,"",INDEX(EntryTxnType,$P425)))</f>
        <v/>
      </c>
      <c r="H425" s="27">
        <f>IF($P425="","",IF(INDEX(EntryDep,$P425)=0,"",INDEX(EntryDep,$P425)))</f>
        <v/>
      </c>
      <c r="I425" s="27">
        <f>IF($P425="","",IF(INDEX(EntryWit,$P425)=0,"",INDEX(EntryWit,$P425)))</f>
        <v/>
      </c>
      <c r="J425" s="27">
        <f>IF($B425="","",IF($A425=1,$C$7,IF(J424="",0,J424))+IF($H425="",0,$H425)-IF($I425="",0,$I425))</f>
        <v/>
      </c>
      <c r="K425" s="27">
        <f>IF($P425="","",IF(INDEX(EntryMan,$P425)=0,"",INDEX(EntryMan,$P425)))</f>
        <v/>
      </c>
      <c r="L425" s="26">
        <f>IF($B425="","",IF($K425="","—",IF(ROUND($K425-$J425,0)=0,"√","×")))</f>
        <v/>
      </c>
      <c r="M425" s="26">
        <f>IF($B425="","",IF(COUNTIFS(EntryDates,$B425,CalcTime,$C425,CalcBank,$C$5,EntryParty,$D425,EntryDep,$H425,EntryWit,$I425)&gt;1,"تکرار",""))</f>
        <v/>
      </c>
      <c r="N425" s="26">
        <f>IF($P425="","",IF(INDEX(EntryNotes,$P425)=0,"",INDEX(EntryNotes,$P425)))</f>
        <v/>
      </c>
      <c r="O425" s="26">
        <f>IF($P425="","",IF(INDEX(EntryTxnID,$P425)=0,"",INDEX(EntryTxnID,$P425)))</f>
        <v/>
      </c>
      <c r="P425" s="26">
        <f>IFERROR(MATCH($C$5&amp;"|"&amp;RIGHT("000000"&amp;409,6),CalcRankKey,0),"")</f>
        <v/>
      </c>
    </row>
    <row r="426">
      <c r="A426" s="28">
        <f>IF($B426="","",410)</f>
        <v/>
      </c>
      <c r="B426" s="28">
        <f>IF($P426="","",IF(INDEX(CalcNormDate,$P426)=0,"",INDEX(CalcNormDate,$P426)))</f>
        <v/>
      </c>
      <c r="C426" s="28">
        <f>IF($P426="","",IF(INDEX(CalcTime,$P426)=0,"",INDEX(CalcTime,$P426)))</f>
        <v/>
      </c>
      <c r="D426" s="28">
        <f>IF($P426="","",IF(INDEX(EntryParty,$P426)=0,"",INDEX(EntryParty,$P426)))</f>
        <v/>
      </c>
      <c r="E426" s="28">
        <f>IF($P426="","",IF(INDEX(EntryPartyName,$P426)=0,"",INDEX(EntryPartyName,$P426)))</f>
        <v/>
      </c>
      <c r="F426" s="28">
        <f>IF($P426="","",IF(INDEX(EntryPartyType,$P426)=0,"",INDEX(EntryPartyType,$P426)))</f>
        <v/>
      </c>
      <c r="G426" s="28">
        <f>IF($P426="","",IF(INDEX(EntryTxnType,$P426)=0,"",INDEX(EntryTxnType,$P426)))</f>
        <v/>
      </c>
      <c r="H426" s="29">
        <f>IF($P426="","",IF(INDEX(EntryDep,$P426)=0,"",INDEX(EntryDep,$P426)))</f>
        <v/>
      </c>
      <c r="I426" s="29">
        <f>IF($P426="","",IF(INDEX(EntryWit,$P426)=0,"",INDEX(EntryWit,$P426)))</f>
        <v/>
      </c>
      <c r="J426" s="29">
        <f>IF($B426="","",IF($A426=1,$C$7,IF(J425="",0,J425))+IF($H426="",0,$H426)-IF($I426="",0,$I426))</f>
        <v/>
      </c>
      <c r="K426" s="29">
        <f>IF($P426="","",IF(INDEX(EntryMan,$P426)=0,"",INDEX(EntryMan,$P426)))</f>
        <v/>
      </c>
      <c r="L426" s="28">
        <f>IF($B426="","",IF($K426="","—",IF(ROUND($K426-$J426,0)=0,"√","×")))</f>
        <v/>
      </c>
      <c r="M426" s="28">
        <f>IF($B426="","",IF(COUNTIFS(EntryDates,$B426,CalcTime,$C426,CalcBank,$C$5,EntryParty,$D426,EntryDep,$H426,EntryWit,$I426)&gt;1,"تکرار",""))</f>
        <v/>
      </c>
      <c r="N426" s="28">
        <f>IF($P426="","",IF(INDEX(EntryNotes,$P426)=0,"",INDEX(EntryNotes,$P426)))</f>
        <v/>
      </c>
      <c r="O426" s="28">
        <f>IF($P426="","",IF(INDEX(EntryTxnID,$P426)=0,"",INDEX(EntryTxnID,$P426)))</f>
        <v/>
      </c>
      <c r="P426" s="28">
        <f>IFERROR(MATCH($C$5&amp;"|"&amp;RIGHT("000000"&amp;410,6),CalcRankKey,0),"")</f>
        <v/>
      </c>
    </row>
    <row r="427">
      <c r="A427" s="26">
        <f>IF($B427="","",411)</f>
        <v/>
      </c>
      <c r="B427" s="26">
        <f>IF($P427="","",IF(INDEX(CalcNormDate,$P427)=0,"",INDEX(CalcNormDate,$P427)))</f>
        <v/>
      </c>
      <c r="C427" s="26">
        <f>IF($P427="","",IF(INDEX(CalcTime,$P427)=0,"",INDEX(CalcTime,$P427)))</f>
        <v/>
      </c>
      <c r="D427" s="26">
        <f>IF($P427="","",IF(INDEX(EntryParty,$P427)=0,"",INDEX(EntryParty,$P427)))</f>
        <v/>
      </c>
      <c r="E427" s="26">
        <f>IF($P427="","",IF(INDEX(EntryPartyName,$P427)=0,"",INDEX(EntryPartyName,$P427)))</f>
        <v/>
      </c>
      <c r="F427" s="26">
        <f>IF($P427="","",IF(INDEX(EntryPartyType,$P427)=0,"",INDEX(EntryPartyType,$P427)))</f>
        <v/>
      </c>
      <c r="G427" s="26">
        <f>IF($P427="","",IF(INDEX(EntryTxnType,$P427)=0,"",INDEX(EntryTxnType,$P427)))</f>
        <v/>
      </c>
      <c r="H427" s="27">
        <f>IF($P427="","",IF(INDEX(EntryDep,$P427)=0,"",INDEX(EntryDep,$P427)))</f>
        <v/>
      </c>
      <c r="I427" s="27">
        <f>IF($P427="","",IF(INDEX(EntryWit,$P427)=0,"",INDEX(EntryWit,$P427)))</f>
        <v/>
      </c>
      <c r="J427" s="27">
        <f>IF($B427="","",IF($A427=1,$C$7,IF(J426="",0,J426))+IF($H427="",0,$H427)-IF($I427="",0,$I427))</f>
        <v/>
      </c>
      <c r="K427" s="27">
        <f>IF($P427="","",IF(INDEX(EntryMan,$P427)=0,"",INDEX(EntryMan,$P427)))</f>
        <v/>
      </c>
      <c r="L427" s="26">
        <f>IF($B427="","",IF($K427="","—",IF(ROUND($K427-$J427,0)=0,"√","×")))</f>
        <v/>
      </c>
      <c r="M427" s="26">
        <f>IF($B427="","",IF(COUNTIFS(EntryDates,$B427,CalcTime,$C427,CalcBank,$C$5,EntryParty,$D427,EntryDep,$H427,EntryWit,$I427)&gt;1,"تکرار",""))</f>
        <v/>
      </c>
      <c r="N427" s="26">
        <f>IF($P427="","",IF(INDEX(EntryNotes,$P427)=0,"",INDEX(EntryNotes,$P427)))</f>
        <v/>
      </c>
      <c r="O427" s="26">
        <f>IF($P427="","",IF(INDEX(EntryTxnID,$P427)=0,"",INDEX(EntryTxnID,$P427)))</f>
        <v/>
      </c>
      <c r="P427" s="26">
        <f>IFERROR(MATCH($C$5&amp;"|"&amp;RIGHT("000000"&amp;411,6),CalcRankKey,0),"")</f>
        <v/>
      </c>
    </row>
    <row r="428">
      <c r="A428" s="28">
        <f>IF($B428="","",412)</f>
        <v/>
      </c>
      <c r="B428" s="28">
        <f>IF($P428="","",IF(INDEX(CalcNormDate,$P428)=0,"",INDEX(CalcNormDate,$P428)))</f>
        <v/>
      </c>
      <c r="C428" s="28">
        <f>IF($P428="","",IF(INDEX(CalcTime,$P428)=0,"",INDEX(CalcTime,$P428)))</f>
        <v/>
      </c>
      <c r="D428" s="28">
        <f>IF($P428="","",IF(INDEX(EntryParty,$P428)=0,"",INDEX(EntryParty,$P428)))</f>
        <v/>
      </c>
      <c r="E428" s="28">
        <f>IF($P428="","",IF(INDEX(EntryPartyName,$P428)=0,"",INDEX(EntryPartyName,$P428)))</f>
        <v/>
      </c>
      <c r="F428" s="28">
        <f>IF($P428="","",IF(INDEX(EntryPartyType,$P428)=0,"",INDEX(EntryPartyType,$P428)))</f>
        <v/>
      </c>
      <c r="G428" s="28">
        <f>IF($P428="","",IF(INDEX(EntryTxnType,$P428)=0,"",INDEX(EntryTxnType,$P428)))</f>
        <v/>
      </c>
      <c r="H428" s="29">
        <f>IF($P428="","",IF(INDEX(EntryDep,$P428)=0,"",INDEX(EntryDep,$P428)))</f>
        <v/>
      </c>
      <c r="I428" s="29">
        <f>IF($P428="","",IF(INDEX(EntryWit,$P428)=0,"",INDEX(EntryWit,$P428)))</f>
        <v/>
      </c>
      <c r="J428" s="29">
        <f>IF($B428="","",IF($A428=1,$C$7,IF(J427="",0,J427))+IF($H428="",0,$H428)-IF($I428="",0,$I428))</f>
        <v/>
      </c>
      <c r="K428" s="29">
        <f>IF($P428="","",IF(INDEX(EntryMan,$P428)=0,"",INDEX(EntryMan,$P428)))</f>
        <v/>
      </c>
      <c r="L428" s="28">
        <f>IF($B428="","",IF($K428="","—",IF(ROUND($K428-$J428,0)=0,"√","×")))</f>
        <v/>
      </c>
      <c r="M428" s="28">
        <f>IF($B428="","",IF(COUNTIFS(EntryDates,$B428,CalcTime,$C428,CalcBank,$C$5,EntryParty,$D428,EntryDep,$H428,EntryWit,$I428)&gt;1,"تکرار",""))</f>
        <v/>
      </c>
      <c r="N428" s="28">
        <f>IF($P428="","",IF(INDEX(EntryNotes,$P428)=0,"",INDEX(EntryNotes,$P428)))</f>
        <v/>
      </c>
      <c r="O428" s="28">
        <f>IF($P428="","",IF(INDEX(EntryTxnID,$P428)=0,"",INDEX(EntryTxnID,$P428)))</f>
        <v/>
      </c>
      <c r="P428" s="28">
        <f>IFERROR(MATCH($C$5&amp;"|"&amp;RIGHT("000000"&amp;412,6),CalcRankKey,0),"")</f>
        <v/>
      </c>
    </row>
    <row r="429">
      <c r="A429" s="26">
        <f>IF($B429="","",413)</f>
        <v/>
      </c>
      <c r="B429" s="26">
        <f>IF($P429="","",IF(INDEX(CalcNormDate,$P429)=0,"",INDEX(CalcNormDate,$P429)))</f>
        <v/>
      </c>
      <c r="C429" s="26">
        <f>IF($P429="","",IF(INDEX(CalcTime,$P429)=0,"",INDEX(CalcTime,$P429)))</f>
        <v/>
      </c>
      <c r="D429" s="26">
        <f>IF($P429="","",IF(INDEX(EntryParty,$P429)=0,"",INDEX(EntryParty,$P429)))</f>
        <v/>
      </c>
      <c r="E429" s="26">
        <f>IF($P429="","",IF(INDEX(EntryPartyName,$P429)=0,"",INDEX(EntryPartyName,$P429)))</f>
        <v/>
      </c>
      <c r="F429" s="26">
        <f>IF($P429="","",IF(INDEX(EntryPartyType,$P429)=0,"",INDEX(EntryPartyType,$P429)))</f>
        <v/>
      </c>
      <c r="G429" s="26">
        <f>IF($P429="","",IF(INDEX(EntryTxnType,$P429)=0,"",INDEX(EntryTxnType,$P429)))</f>
        <v/>
      </c>
      <c r="H429" s="27">
        <f>IF($P429="","",IF(INDEX(EntryDep,$P429)=0,"",INDEX(EntryDep,$P429)))</f>
        <v/>
      </c>
      <c r="I429" s="27">
        <f>IF($P429="","",IF(INDEX(EntryWit,$P429)=0,"",INDEX(EntryWit,$P429)))</f>
        <v/>
      </c>
      <c r="J429" s="27">
        <f>IF($B429="","",IF($A429=1,$C$7,IF(J428="",0,J428))+IF($H429="",0,$H429)-IF($I429="",0,$I429))</f>
        <v/>
      </c>
      <c r="K429" s="27">
        <f>IF($P429="","",IF(INDEX(EntryMan,$P429)=0,"",INDEX(EntryMan,$P429)))</f>
        <v/>
      </c>
      <c r="L429" s="26">
        <f>IF($B429="","",IF($K429="","—",IF(ROUND($K429-$J429,0)=0,"√","×")))</f>
        <v/>
      </c>
      <c r="M429" s="26">
        <f>IF($B429="","",IF(COUNTIFS(EntryDates,$B429,CalcTime,$C429,CalcBank,$C$5,EntryParty,$D429,EntryDep,$H429,EntryWit,$I429)&gt;1,"تکرار",""))</f>
        <v/>
      </c>
      <c r="N429" s="26">
        <f>IF($P429="","",IF(INDEX(EntryNotes,$P429)=0,"",INDEX(EntryNotes,$P429)))</f>
        <v/>
      </c>
      <c r="O429" s="26">
        <f>IF($P429="","",IF(INDEX(EntryTxnID,$P429)=0,"",INDEX(EntryTxnID,$P429)))</f>
        <v/>
      </c>
      <c r="P429" s="26">
        <f>IFERROR(MATCH($C$5&amp;"|"&amp;RIGHT("000000"&amp;413,6),CalcRankKey,0),"")</f>
        <v/>
      </c>
    </row>
    <row r="430">
      <c r="A430" s="28">
        <f>IF($B430="","",414)</f>
        <v/>
      </c>
      <c r="B430" s="28">
        <f>IF($P430="","",IF(INDEX(CalcNormDate,$P430)=0,"",INDEX(CalcNormDate,$P430)))</f>
        <v/>
      </c>
      <c r="C430" s="28">
        <f>IF($P430="","",IF(INDEX(CalcTime,$P430)=0,"",INDEX(CalcTime,$P430)))</f>
        <v/>
      </c>
      <c r="D430" s="28">
        <f>IF($P430="","",IF(INDEX(EntryParty,$P430)=0,"",INDEX(EntryParty,$P430)))</f>
        <v/>
      </c>
      <c r="E430" s="28">
        <f>IF($P430="","",IF(INDEX(EntryPartyName,$P430)=0,"",INDEX(EntryPartyName,$P430)))</f>
        <v/>
      </c>
      <c r="F430" s="28">
        <f>IF($P430="","",IF(INDEX(EntryPartyType,$P430)=0,"",INDEX(EntryPartyType,$P430)))</f>
        <v/>
      </c>
      <c r="G430" s="28">
        <f>IF($P430="","",IF(INDEX(EntryTxnType,$P430)=0,"",INDEX(EntryTxnType,$P430)))</f>
        <v/>
      </c>
      <c r="H430" s="29">
        <f>IF($P430="","",IF(INDEX(EntryDep,$P430)=0,"",INDEX(EntryDep,$P430)))</f>
        <v/>
      </c>
      <c r="I430" s="29">
        <f>IF($P430="","",IF(INDEX(EntryWit,$P430)=0,"",INDEX(EntryWit,$P430)))</f>
        <v/>
      </c>
      <c r="J430" s="29">
        <f>IF($B430="","",IF($A430=1,$C$7,IF(J429="",0,J429))+IF($H430="",0,$H430)-IF($I430="",0,$I430))</f>
        <v/>
      </c>
      <c r="K430" s="29">
        <f>IF($P430="","",IF(INDEX(EntryMan,$P430)=0,"",INDEX(EntryMan,$P430)))</f>
        <v/>
      </c>
      <c r="L430" s="28">
        <f>IF($B430="","",IF($K430="","—",IF(ROUND($K430-$J430,0)=0,"√","×")))</f>
        <v/>
      </c>
      <c r="M430" s="28">
        <f>IF($B430="","",IF(COUNTIFS(EntryDates,$B430,CalcTime,$C430,CalcBank,$C$5,EntryParty,$D430,EntryDep,$H430,EntryWit,$I430)&gt;1,"تکرار",""))</f>
        <v/>
      </c>
      <c r="N430" s="28">
        <f>IF($P430="","",IF(INDEX(EntryNotes,$P430)=0,"",INDEX(EntryNotes,$P430)))</f>
        <v/>
      </c>
      <c r="O430" s="28">
        <f>IF($P430="","",IF(INDEX(EntryTxnID,$P430)=0,"",INDEX(EntryTxnID,$P430)))</f>
        <v/>
      </c>
      <c r="P430" s="28">
        <f>IFERROR(MATCH($C$5&amp;"|"&amp;RIGHT("000000"&amp;414,6),CalcRankKey,0),"")</f>
        <v/>
      </c>
    </row>
    <row r="431">
      <c r="A431" s="26">
        <f>IF($B431="","",415)</f>
        <v/>
      </c>
      <c r="B431" s="26">
        <f>IF($P431="","",IF(INDEX(CalcNormDate,$P431)=0,"",INDEX(CalcNormDate,$P431)))</f>
        <v/>
      </c>
      <c r="C431" s="26">
        <f>IF($P431="","",IF(INDEX(CalcTime,$P431)=0,"",INDEX(CalcTime,$P431)))</f>
        <v/>
      </c>
      <c r="D431" s="26">
        <f>IF($P431="","",IF(INDEX(EntryParty,$P431)=0,"",INDEX(EntryParty,$P431)))</f>
        <v/>
      </c>
      <c r="E431" s="26">
        <f>IF($P431="","",IF(INDEX(EntryPartyName,$P431)=0,"",INDEX(EntryPartyName,$P431)))</f>
        <v/>
      </c>
      <c r="F431" s="26">
        <f>IF($P431="","",IF(INDEX(EntryPartyType,$P431)=0,"",INDEX(EntryPartyType,$P431)))</f>
        <v/>
      </c>
      <c r="G431" s="26">
        <f>IF($P431="","",IF(INDEX(EntryTxnType,$P431)=0,"",INDEX(EntryTxnType,$P431)))</f>
        <v/>
      </c>
      <c r="H431" s="27">
        <f>IF($P431="","",IF(INDEX(EntryDep,$P431)=0,"",INDEX(EntryDep,$P431)))</f>
        <v/>
      </c>
      <c r="I431" s="27">
        <f>IF($P431="","",IF(INDEX(EntryWit,$P431)=0,"",INDEX(EntryWit,$P431)))</f>
        <v/>
      </c>
      <c r="J431" s="27">
        <f>IF($B431="","",IF($A431=1,$C$7,IF(J430="",0,J430))+IF($H431="",0,$H431)-IF($I431="",0,$I431))</f>
        <v/>
      </c>
      <c r="K431" s="27">
        <f>IF($P431="","",IF(INDEX(EntryMan,$P431)=0,"",INDEX(EntryMan,$P431)))</f>
        <v/>
      </c>
      <c r="L431" s="26">
        <f>IF($B431="","",IF($K431="","—",IF(ROUND($K431-$J431,0)=0,"√","×")))</f>
        <v/>
      </c>
      <c r="M431" s="26">
        <f>IF($B431="","",IF(COUNTIFS(EntryDates,$B431,CalcTime,$C431,CalcBank,$C$5,EntryParty,$D431,EntryDep,$H431,EntryWit,$I431)&gt;1,"تکرار",""))</f>
        <v/>
      </c>
      <c r="N431" s="26">
        <f>IF($P431="","",IF(INDEX(EntryNotes,$P431)=0,"",INDEX(EntryNotes,$P431)))</f>
        <v/>
      </c>
      <c r="O431" s="26">
        <f>IF($P431="","",IF(INDEX(EntryTxnID,$P431)=0,"",INDEX(EntryTxnID,$P431)))</f>
        <v/>
      </c>
      <c r="P431" s="26">
        <f>IFERROR(MATCH($C$5&amp;"|"&amp;RIGHT("000000"&amp;415,6),CalcRankKey,0),"")</f>
        <v/>
      </c>
    </row>
    <row r="432">
      <c r="A432" s="28">
        <f>IF($B432="","",416)</f>
        <v/>
      </c>
      <c r="B432" s="28">
        <f>IF($P432="","",IF(INDEX(CalcNormDate,$P432)=0,"",INDEX(CalcNormDate,$P432)))</f>
        <v/>
      </c>
      <c r="C432" s="28">
        <f>IF($P432="","",IF(INDEX(CalcTime,$P432)=0,"",INDEX(CalcTime,$P432)))</f>
        <v/>
      </c>
      <c r="D432" s="28">
        <f>IF($P432="","",IF(INDEX(EntryParty,$P432)=0,"",INDEX(EntryParty,$P432)))</f>
        <v/>
      </c>
      <c r="E432" s="28">
        <f>IF($P432="","",IF(INDEX(EntryPartyName,$P432)=0,"",INDEX(EntryPartyName,$P432)))</f>
        <v/>
      </c>
      <c r="F432" s="28">
        <f>IF($P432="","",IF(INDEX(EntryPartyType,$P432)=0,"",INDEX(EntryPartyType,$P432)))</f>
        <v/>
      </c>
      <c r="G432" s="28">
        <f>IF($P432="","",IF(INDEX(EntryTxnType,$P432)=0,"",INDEX(EntryTxnType,$P432)))</f>
        <v/>
      </c>
      <c r="H432" s="29">
        <f>IF($P432="","",IF(INDEX(EntryDep,$P432)=0,"",INDEX(EntryDep,$P432)))</f>
        <v/>
      </c>
      <c r="I432" s="29">
        <f>IF($P432="","",IF(INDEX(EntryWit,$P432)=0,"",INDEX(EntryWit,$P432)))</f>
        <v/>
      </c>
      <c r="J432" s="29">
        <f>IF($B432="","",IF($A432=1,$C$7,IF(J431="",0,J431))+IF($H432="",0,$H432)-IF($I432="",0,$I432))</f>
        <v/>
      </c>
      <c r="K432" s="29">
        <f>IF($P432="","",IF(INDEX(EntryMan,$P432)=0,"",INDEX(EntryMan,$P432)))</f>
        <v/>
      </c>
      <c r="L432" s="28">
        <f>IF($B432="","",IF($K432="","—",IF(ROUND($K432-$J432,0)=0,"√","×")))</f>
        <v/>
      </c>
      <c r="M432" s="28">
        <f>IF($B432="","",IF(COUNTIFS(EntryDates,$B432,CalcTime,$C432,CalcBank,$C$5,EntryParty,$D432,EntryDep,$H432,EntryWit,$I432)&gt;1,"تکرار",""))</f>
        <v/>
      </c>
      <c r="N432" s="28">
        <f>IF($P432="","",IF(INDEX(EntryNotes,$P432)=0,"",INDEX(EntryNotes,$P432)))</f>
        <v/>
      </c>
      <c r="O432" s="28">
        <f>IF($P432="","",IF(INDEX(EntryTxnID,$P432)=0,"",INDEX(EntryTxnID,$P432)))</f>
        <v/>
      </c>
      <c r="P432" s="28">
        <f>IFERROR(MATCH($C$5&amp;"|"&amp;RIGHT("000000"&amp;416,6),CalcRankKey,0),"")</f>
        <v/>
      </c>
    </row>
    <row r="433">
      <c r="A433" s="26">
        <f>IF($B433="","",417)</f>
        <v/>
      </c>
      <c r="B433" s="26">
        <f>IF($P433="","",IF(INDEX(CalcNormDate,$P433)=0,"",INDEX(CalcNormDate,$P433)))</f>
        <v/>
      </c>
      <c r="C433" s="26">
        <f>IF($P433="","",IF(INDEX(CalcTime,$P433)=0,"",INDEX(CalcTime,$P433)))</f>
        <v/>
      </c>
      <c r="D433" s="26">
        <f>IF($P433="","",IF(INDEX(EntryParty,$P433)=0,"",INDEX(EntryParty,$P433)))</f>
        <v/>
      </c>
      <c r="E433" s="26">
        <f>IF($P433="","",IF(INDEX(EntryPartyName,$P433)=0,"",INDEX(EntryPartyName,$P433)))</f>
        <v/>
      </c>
      <c r="F433" s="26">
        <f>IF($P433="","",IF(INDEX(EntryPartyType,$P433)=0,"",INDEX(EntryPartyType,$P433)))</f>
        <v/>
      </c>
      <c r="G433" s="26">
        <f>IF($P433="","",IF(INDEX(EntryTxnType,$P433)=0,"",INDEX(EntryTxnType,$P433)))</f>
        <v/>
      </c>
      <c r="H433" s="27">
        <f>IF($P433="","",IF(INDEX(EntryDep,$P433)=0,"",INDEX(EntryDep,$P433)))</f>
        <v/>
      </c>
      <c r="I433" s="27">
        <f>IF($P433="","",IF(INDEX(EntryWit,$P433)=0,"",INDEX(EntryWit,$P433)))</f>
        <v/>
      </c>
      <c r="J433" s="27">
        <f>IF($B433="","",IF($A433=1,$C$7,IF(J432="",0,J432))+IF($H433="",0,$H433)-IF($I433="",0,$I433))</f>
        <v/>
      </c>
      <c r="K433" s="27">
        <f>IF($P433="","",IF(INDEX(EntryMan,$P433)=0,"",INDEX(EntryMan,$P433)))</f>
        <v/>
      </c>
      <c r="L433" s="26">
        <f>IF($B433="","",IF($K433="","—",IF(ROUND($K433-$J433,0)=0,"√","×")))</f>
        <v/>
      </c>
      <c r="M433" s="26">
        <f>IF($B433="","",IF(COUNTIFS(EntryDates,$B433,CalcTime,$C433,CalcBank,$C$5,EntryParty,$D433,EntryDep,$H433,EntryWit,$I433)&gt;1,"تکرار",""))</f>
        <v/>
      </c>
      <c r="N433" s="26">
        <f>IF($P433="","",IF(INDEX(EntryNotes,$P433)=0,"",INDEX(EntryNotes,$P433)))</f>
        <v/>
      </c>
      <c r="O433" s="26">
        <f>IF($P433="","",IF(INDEX(EntryTxnID,$P433)=0,"",INDEX(EntryTxnID,$P433)))</f>
        <v/>
      </c>
      <c r="P433" s="26">
        <f>IFERROR(MATCH($C$5&amp;"|"&amp;RIGHT("000000"&amp;417,6),CalcRankKey,0),"")</f>
        <v/>
      </c>
    </row>
    <row r="434">
      <c r="A434" s="28">
        <f>IF($B434="","",418)</f>
        <v/>
      </c>
      <c r="B434" s="28">
        <f>IF($P434="","",IF(INDEX(CalcNormDate,$P434)=0,"",INDEX(CalcNormDate,$P434)))</f>
        <v/>
      </c>
      <c r="C434" s="28">
        <f>IF($P434="","",IF(INDEX(CalcTime,$P434)=0,"",INDEX(CalcTime,$P434)))</f>
        <v/>
      </c>
      <c r="D434" s="28">
        <f>IF($P434="","",IF(INDEX(EntryParty,$P434)=0,"",INDEX(EntryParty,$P434)))</f>
        <v/>
      </c>
      <c r="E434" s="28">
        <f>IF($P434="","",IF(INDEX(EntryPartyName,$P434)=0,"",INDEX(EntryPartyName,$P434)))</f>
        <v/>
      </c>
      <c r="F434" s="28">
        <f>IF($P434="","",IF(INDEX(EntryPartyType,$P434)=0,"",INDEX(EntryPartyType,$P434)))</f>
        <v/>
      </c>
      <c r="G434" s="28">
        <f>IF($P434="","",IF(INDEX(EntryTxnType,$P434)=0,"",INDEX(EntryTxnType,$P434)))</f>
        <v/>
      </c>
      <c r="H434" s="29">
        <f>IF($P434="","",IF(INDEX(EntryDep,$P434)=0,"",INDEX(EntryDep,$P434)))</f>
        <v/>
      </c>
      <c r="I434" s="29">
        <f>IF($P434="","",IF(INDEX(EntryWit,$P434)=0,"",INDEX(EntryWit,$P434)))</f>
        <v/>
      </c>
      <c r="J434" s="29">
        <f>IF($B434="","",IF($A434=1,$C$7,IF(J433="",0,J433))+IF($H434="",0,$H434)-IF($I434="",0,$I434))</f>
        <v/>
      </c>
      <c r="K434" s="29">
        <f>IF($P434="","",IF(INDEX(EntryMan,$P434)=0,"",INDEX(EntryMan,$P434)))</f>
        <v/>
      </c>
      <c r="L434" s="28">
        <f>IF($B434="","",IF($K434="","—",IF(ROUND($K434-$J434,0)=0,"√","×")))</f>
        <v/>
      </c>
      <c r="M434" s="28">
        <f>IF($B434="","",IF(COUNTIFS(EntryDates,$B434,CalcTime,$C434,CalcBank,$C$5,EntryParty,$D434,EntryDep,$H434,EntryWit,$I434)&gt;1,"تکرار",""))</f>
        <v/>
      </c>
      <c r="N434" s="28">
        <f>IF($P434="","",IF(INDEX(EntryNotes,$P434)=0,"",INDEX(EntryNotes,$P434)))</f>
        <v/>
      </c>
      <c r="O434" s="28">
        <f>IF($P434="","",IF(INDEX(EntryTxnID,$P434)=0,"",INDEX(EntryTxnID,$P434)))</f>
        <v/>
      </c>
      <c r="P434" s="28">
        <f>IFERROR(MATCH($C$5&amp;"|"&amp;RIGHT("000000"&amp;418,6),CalcRankKey,0),"")</f>
        <v/>
      </c>
    </row>
    <row r="435">
      <c r="A435" s="26">
        <f>IF($B435="","",419)</f>
        <v/>
      </c>
      <c r="B435" s="26">
        <f>IF($P435="","",IF(INDEX(CalcNormDate,$P435)=0,"",INDEX(CalcNormDate,$P435)))</f>
        <v/>
      </c>
      <c r="C435" s="26">
        <f>IF($P435="","",IF(INDEX(CalcTime,$P435)=0,"",INDEX(CalcTime,$P435)))</f>
        <v/>
      </c>
      <c r="D435" s="26">
        <f>IF($P435="","",IF(INDEX(EntryParty,$P435)=0,"",INDEX(EntryParty,$P435)))</f>
        <v/>
      </c>
      <c r="E435" s="26">
        <f>IF($P435="","",IF(INDEX(EntryPartyName,$P435)=0,"",INDEX(EntryPartyName,$P435)))</f>
        <v/>
      </c>
      <c r="F435" s="26">
        <f>IF($P435="","",IF(INDEX(EntryPartyType,$P435)=0,"",INDEX(EntryPartyType,$P435)))</f>
        <v/>
      </c>
      <c r="G435" s="26">
        <f>IF($P435="","",IF(INDEX(EntryTxnType,$P435)=0,"",INDEX(EntryTxnType,$P435)))</f>
        <v/>
      </c>
      <c r="H435" s="27">
        <f>IF($P435="","",IF(INDEX(EntryDep,$P435)=0,"",INDEX(EntryDep,$P435)))</f>
        <v/>
      </c>
      <c r="I435" s="27">
        <f>IF($P435="","",IF(INDEX(EntryWit,$P435)=0,"",INDEX(EntryWit,$P435)))</f>
        <v/>
      </c>
      <c r="J435" s="27">
        <f>IF($B435="","",IF($A435=1,$C$7,IF(J434="",0,J434))+IF($H435="",0,$H435)-IF($I435="",0,$I435))</f>
        <v/>
      </c>
      <c r="K435" s="27">
        <f>IF($P435="","",IF(INDEX(EntryMan,$P435)=0,"",INDEX(EntryMan,$P435)))</f>
        <v/>
      </c>
      <c r="L435" s="26">
        <f>IF($B435="","",IF($K435="","—",IF(ROUND($K435-$J435,0)=0,"√","×")))</f>
        <v/>
      </c>
      <c r="M435" s="26">
        <f>IF($B435="","",IF(COUNTIFS(EntryDates,$B435,CalcTime,$C435,CalcBank,$C$5,EntryParty,$D435,EntryDep,$H435,EntryWit,$I435)&gt;1,"تکرار",""))</f>
        <v/>
      </c>
      <c r="N435" s="26">
        <f>IF($P435="","",IF(INDEX(EntryNotes,$P435)=0,"",INDEX(EntryNotes,$P435)))</f>
        <v/>
      </c>
      <c r="O435" s="26">
        <f>IF($P435="","",IF(INDEX(EntryTxnID,$P435)=0,"",INDEX(EntryTxnID,$P435)))</f>
        <v/>
      </c>
      <c r="P435" s="26">
        <f>IFERROR(MATCH($C$5&amp;"|"&amp;RIGHT("000000"&amp;419,6),CalcRankKey,0),"")</f>
        <v/>
      </c>
    </row>
    <row r="436">
      <c r="A436" s="28">
        <f>IF($B436="","",420)</f>
        <v/>
      </c>
      <c r="B436" s="28">
        <f>IF($P436="","",IF(INDEX(CalcNormDate,$P436)=0,"",INDEX(CalcNormDate,$P436)))</f>
        <v/>
      </c>
      <c r="C436" s="28">
        <f>IF($P436="","",IF(INDEX(CalcTime,$P436)=0,"",INDEX(CalcTime,$P436)))</f>
        <v/>
      </c>
      <c r="D436" s="28">
        <f>IF($P436="","",IF(INDEX(EntryParty,$P436)=0,"",INDEX(EntryParty,$P436)))</f>
        <v/>
      </c>
      <c r="E436" s="28">
        <f>IF($P436="","",IF(INDEX(EntryPartyName,$P436)=0,"",INDEX(EntryPartyName,$P436)))</f>
        <v/>
      </c>
      <c r="F436" s="28">
        <f>IF($P436="","",IF(INDEX(EntryPartyType,$P436)=0,"",INDEX(EntryPartyType,$P436)))</f>
        <v/>
      </c>
      <c r="G436" s="28">
        <f>IF($P436="","",IF(INDEX(EntryTxnType,$P436)=0,"",INDEX(EntryTxnType,$P436)))</f>
        <v/>
      </c>
      <c r="H436" s="29">
        <f>IF($P436="","",IF(INDEX(EntryDep,$P436)=0,"",INDEX(EntryDep,$P436)))</f>
        <v/>
      </c>
      <c r="I436" s="29">
        <f>IF($P436="","",IF(INDEX(EntryWit,$P436)=0,"",INDEX(EntryWit,$P436)))</f>
        <v/>
      </c>
      <c r="J436" s="29">
        <f>IF($B436="","",IF($A436=1,$C$7,IF(J435="",0,J435))+IF($H436="",0,$H436)-IF($I436="",0,$I436))</f>
        <v/>
      </c>
      <c r="K436" s="29">
        <f>IF($P436="","",IF(INDEX(EntryMan,$P436)=0,"",INDEX(EntryMan,$P436)))</f>
        <v/>
      </c>
      <c r="L436" s="28">
        <f>IF($B436="","",IF($K436="","—",IF(ROUND($K436-$J436,0)=0,"√","×")))</f>
        <v/>
      </c>
      <c r="M436" s="28">
        <f>IF($B436="","",IF(COUNTIFS(EntryDates,$B436,CalcTime,$C436,CalcBank,$C$5,EntryParty,$D436,EntryDep,$H436,EntryWit,$I436)&gt;1,"تکرار",""))</f>
        <v/>
      </c>
      <c r="N436" s="28">
        <f>IF($P436="","",IF(INDEX(EntryNotes,$P436)=0,"",INDEX(EntryNotes,$P436)))</f>
        <v/>
      </c>
      <c r="O436" s="28">
        <f>IF($P436="","",IF(INDEX(EntryTxnID,$P436)=0,"",INDEX(EntryTxnID,$P436)))</f>
        <v/>
      </c>
      <c r="P436" s="28">
        <f>IFERROR(MATCH($C$5&amp;"|"&amp;RIGHT("000000"&amp;420,6),CalcRankKey,0),"")</f>
        <v/>
      </c>
    </row>
    <row r="437">
      <c r="A437" s="26">
        <f>IF($B437="","",421)</f>
        <v/>
      </c>
      <c r="B437" s="26">
        <f>IF($P437="","",IF(INDEX(CalcNormDate,$P437)=0,"",INDEX(CalcNormDate,$P437)))</f>
        <v/>
      </c>
      <c r="C437" s="26">
        <f>IF($P437="","",IF(INDEX(CalcTime,$P437)=0,"",INDEX(CalcTime,$P437)))</f>
        <v/>
      </c>
      <c r="D437" s="26">
        <f>IF($P437="","",IF(INDEX(EntryParty,$P437)=0,"",INDEX(EntryParty,$P437)))</f>
        <v/>
      </c>
      <c r="E437" s="26">
        <f>IF($P437="","",IF(INDEX(EntryPartyName,$P437)=0,"",INDEX(EntryPartyName,$P437)))</f>
        <v/>
      </c>
      <c r="F437" s="26">
        <f>IF($P437="","",IF(INDEX(EntryPartyType,$P437)=0,"",INDEX(EntryPartyType,$P437)))</f>
        <v/>
      </c>
      <c r="G437" s="26">
        <f>IF($P437="","",IF(INDEX(EntryTxnType,$P437)=0,"",INDEX(EntryTxnType,$P437)))</f>
        <v/>
      </c>
      <c r="H437" s="27">
        <f>IF($P437="","",IF(INDEX(EntryDep,$P437)=0,"",INDEX(EntryDep,$P437)))</f>
        <v/>
      </c>
      <c r="I437" s="27">
        <f>IF($P437="","",IF(INDEX(EntryWit,$P437)=0,"",INDEX(EntryWit,$P437)))</f>
        <v/>
      </c>
      <c r="J437" s="27">
        <f>IF($B437="","",IF($A437=1,$C$7,IF(J436="",0,J436))+IF($H437="",0,$H437)-IF($I437="",0,$I437))</f>
        <v/>
      </c>
      <c r="K437" s="27">
        <f>IF($P437="","",IF(INDEX(EntryMan,$P437)=0,"",INDEX(EntryMan,$P437)))</f>
        <v/>
      </c>
      <c r="L437" s="26">
        <f>IF($B437="","",IF($K437="","—",IF(ROUND($K437-$J437,0)=0,"√","×")))</f>
        <v/>
      </c>
      <c r="M437" s="26">
        <f>IF($B437="","",IF(COUNTIFS(EntryDates,$B437,CalcTime,$C437,CalcBank,$C$5,EntryParty,$D437,EntryDep,$H437,EntryWit,$I437)&gt;1,"تکرار",""))</f>
        <v/>
      </c>
      <c r="N437" s="26">
        <f>IF($P437="","",IF(INDEX(EntryNotes,$P437)=0,"",INDEX(EntryNotes,$P437)))</f>
        <v/>
      </c>
      <c r="O437" s="26">
        <f>IF($P437="","",IF(INDEX(EntryTxnID,$P437)=0,"",INDEX(EntryTxnID,$P437)))</f>
        <v/>
      </c>
      <c r="P437" s="26">
        <f>IFERROR(MATCH($C$5&amp;"|"&amp;RIGHT("000000"&amp;421,6),CalcRankKey,0),"")</f>
        <v/>
      </c>
    </row>
    <row r="438">
      <c r="A438" s="28">
        <f>IF($B438="","",422)</f>
        <v/>
      </c>
      <c r="B438" s="28">
        <f>IF($P438="","",IF(INDEX(CalcNormDate,$P438)=0,"",INDEX(CalcNormDate,$P438)))</f>
        <v/>
      </c>
      <c r="C438" s="28">
        <f>IF($P438="","",IF(INDEX(CalcTime,$P438)=0,"",INDEX(CalcTime,$P438)))</f>
        <v/>
      </c>
      <c r="D438" s="28">
        <f>IF($P438="","",IF(INDEX(EntryParty,$P438)=0,"",INDEX(EntryParty,$P438)))</f>
        <v/>
      </c>
      <c r="E438" s="28">
        <f>IF($P438="","",IF(INDEX(EntryPartyName,$P438)=0,"",INDEX(EntryPartyName,$P438)))</f>
        <v/>
      </c>
      <c r="F438" s="28">
        <f>IF($P438="","",IF(INDEX(EntryPartyType,$P438)=0,"",INDEX(EntryPartyType,$P438)))</f>
        <v/>
      </c>
      <c r="G438" s="28">
        <f>IF($P438="","",IF(INDEX(EntryTxnType,$P438)=0,"",INDEX(EntryTxnType,$P438)))</f>
        <v/>
      </c>
      <c r="H438" s="29">
        <f>IF($P438="","",IF(INDEX(EntryDep,$P438)=0,"",INDEX(EntryDep,$P438)))</f>
        <v/>
      </c>
      <c r="I438" s="29">
        <f>IF($P438="","",IF(INDEX(EntryWit,$P438)=0,"",INDEX(EntryWit,$P438)))</f>
        <v/>
      </c>
      <c r="J438" s="29">
        <f>IF($B438="","",IF($A438=1,$C$7,IF(J437="",0,J437))+IF($H438="",0,$H438)-IF($I438="",0,$I438))</f>
        <v/>
      </c>
      <c r="K438" s="29">
        <f>IF($P438="","",IF(INDEX(EntryMan,$P438)=0,"",INDEX(EntryMan,$P438)))</f>
        <v/>
      </c>
      <c r="L438" s="28">
        <f>IF($B438="","",IF($K438="","—",IF(ROUND($K438-$J438,0)=0,"√","×")))</f>
        <v/>
      </c>
      <c r="M438" s="28">
        <f>IF($B438="","",IF(COUNTIFS(EntryDates,$B438,CalcTime,$C438,CalcBank,$C$5,EntryParty,$D438,EntryDep,$H438,EntryWit,$I438)&gt;1,"تکرار",""))</f>
        <v/>
      </c>
      <c r="N438" s="28">
        <f>IF($P438="","",IF(INDEX(EntryNotes,$P438)=0,"",INDEX(EntryNotes,$P438)))</f>
        <v/>
      </c>
      <c r="O438" s="28">
        <f>IF($P438="","",IF(INDEX(EntryTxnID,$P438)=0,"",INDEX(EntryTxnID,$P438)))</f>
        <v/>
      </c>
      <c r="P438" s="28">
        <f>IFERROR(MATCH($C$5&amp;"|"&amp;RIGHT("000000"&amp;422,6),CalcRankKey,0),"")</f>
        <v/>
      </c>
    </row>
    <row r="439">
      <c r="A439" s="26">
        <f>IF($B439="","",423)</f>
        <v/>
      </c>
      <c r="B439" s="26">
        <f>IF($P439="","",IF(INDEX(CalcNormDate,$P439)=0,"",INDEX(CalcNormDate,$P439)))</f>
        <v/>
      </c>
      <c r="C439" s="26">
        <f>IF($P439="","",IF(INDEX(CalcTime,$P439)=0,"",INDEX(CalcTime,$P439)))</f>
        <v/>
      </c>
      <c r="D439" s="26">
        <f>IF($P439="","",IF(INDEX(EntryParty,$P439)=0,"",INDEX(EntryParty,$P439)))</f>
        <v/>
      </c>
      <c r="E439" s="26">
        <f>IF($P439="","",IF(INDEX(EntryPartyName,$P439)=0,"",INDEX(EntryPartyName,$P439)))</f>
        <v/>
      </c>
      <c r="F439" s="26">
        <f>IF($P439="","",IF(INDEX(EntryPartyType,$P439)=0,"",INDEX(EntryPartyType,$P439)))</f>
        <v/>
      </c>
      <c r="G439" s="26">
        <f>IF($P439="","",IF(INDEX(EntryTxnType,$P439)=0,"",INDEX(EntryTxnType,$P439)))</f>
        <v/>
      </c>
      <c r="H439" s="27">
        <f>IF($P439="","",IF(INDEX(EntryDep,$P439)=0,"",INDEX(EntryDep,$P439)))</f>
        <v/>
      </c>
      <c r="I439" s="27">
        <f>IF($P439="","",IF(INDEX(EntryWit,$P439)=0,"",INDEX(EntryWit,$P439)))</f>
        <v/>
      </c>
      <c r="J439" s="27">
        <f>IF($B439="","",IF($A439=1,$C$7,IF(J438="",0,J438))+IF($H439="",0,$H439)-IF($I439="",0,$I439))</f>
        <v/>
      </c>
      <c r="K439" s="27">
        <f>IF($P439="","",IF(INDEX(EntryMan,$P439)=0,"",INDEX(EntryMan,$P439)))</f>
        <v/>
      </c>
      <c r="L439" s="26">
        <f>IF($B439="","",IF($K439="","—",IF(ROUND($K439-$J439,0)=0,"√","×")))</f>
        <v/>
      </c>
      <c r="M439" s="26">
        <f>IF($B439="","",IF(COUNTIFS(EntryDates,$B439,CalcTime,$C439,CalcBank,$C$5,EntryParty,$D439,EntryDep,$H439,EntryWit,$I439)&gt;1,"تکرار",""))</f>
        <v/>
      </c>
      <c r="N439" s="26">
        <f>IF($P439="","",IF(INDEX(EntryNotes,$P439)=0,"",INDEX(EntryNotes,$P439)))</f>
        <v/>
      </c>
      <c r="O439" s="26">
        <f>IF($P439="","",IF(INDEX(EntryTxnID,$P439)=0,"",INDEX(EntryTxnID,$P439)))</f>
        <v/>
      </c>
      <c r="P439" s="26">
        <f>IFERROR(MATCH($C$5&amp;"|"&amp;RIGHT("000000"&amp;423,6),CalcRankKey,0),"")</f>
        <v/>
      </c>
    </row>
    <row r="440">
      <c r="A440" s="28">
        <f>IF($B440="","",424)</f>
        <v/>
      </c>
      <c r="B440" s="28">
        <f>IF($P440="","",IF(INDEX(CalcNormDate,$P440)=0,"",INDEX(CalcNormDate,$P440)))</f>
        <v/>
      </c>
      <c r="C440" s="28">
        <f>IF($P440="","",IF(INDEX(CalcTime,$P440)=0,"",INDEX(CalcTime,$P440)))</f>
        <v/>
      </c>
      <c r="D440" s="28">
        <f>IF($P440="","",IF(INDEX(EntryParty,$P440)=0,"",INDEX(EntryParty,$P440)))</f>
        <v/>
      </c>
      <c r="E440" s="28">
        <f>IF($P440="","",IF(INDEX(EntryPartyName,$P440)=0,"",INDEX(EntryPartyName,$P440)))</f>
        <v/>
      </c>
      <c r="F440" s="28">
        <f>IF($P440="","",IF(INDEX(EntryPartyType,$P440)=0,"",INDEX(EntryPartyType,$P440)))</f>
        <v/>
      </c>
      <c r="G440" s="28">
        <f>IF($P440="","",IF(INDEX(EntryTxnType,$P440)=0,"",INDEX(EntryTxnType,$P440)))</f>
        <v/>
      </c>
      <c r="H440" s="29">
        <f>IF($P440="","",IF(INDEX(EntryDep,$P440)=0,"",INDEX(EntryDep,$P440)))</f>
        <v/>
      </c>
      <c r="I440" s="29">
        <f>IF($P440="","",IF(INDEX(EntryWit,$P440)=0,"",INDEX(EntryWit,$P440)))</f>
        <v/>
      </c>
      <c r="J440" s="29">
        <f>IF($B440="","",IF($A440=1,$C$7,IF(J439="",0,J439))+IF($H440="",0,$H440)-IF($I440="",0,$I440))</f>
        <v/>
      </c>
      <c r="K440" s="29">
        <f>IF($P440="","",IF(INDEX(EntryMan,$P440)=0,"",INDEX(EntryMan,$P440)))</f>
        <v/>
      </c>
      <c r="L440" s="28">
        <f>IF($B440="","",IF($K440="","—",IF(ROUND($K440-$J440,0)=0,"√","×")))</f>
        <v/>
      </c>
      <c r="M440" s="28">
        <f>IF($B440="","",IF(COUNTIFS(EntryDates,$B440,CalcTime,$C440,CalcBank,$C$5,EntryParty,$D440,EntryDep,$H440,EntryWit,$I440)&gt;1,"تکرار",""))</f>
        <v/>
      </c>
      <c r="N440" s="28">
        <f>IF($P440="","",IF(INDEX(EntryNotes,$P440)=0,"",INDEX(EntryNotes,$P440)))</f>
        <v/>
      </c>
      <c r="O440" s="28">
        <f>IF($P440="","",IF(INDEX(EntryTxnID,$P440)=0,"",INDEX(EntryTxnID,$P440)))</f>
        <v/>
      </c>
      <c r="P440" s="28">
        <f>IFERROR(MATCH($C$5&amp;"|"&amp;RIGHT("000000"&amp;424,6),CalcRankKey,0),"")</f>
        <v/>
      </c>
    </row>
    <row r="441">
      <c r="A441" s="26">
        <f>IF($B441="","",425)</f>
        <v/>
      </c>
      <c r="B441" s="26">
        <f>IF($P441="","",IF(INDEX(CalcNormDate,$P441)=0,"",INDEX(CalcNormDate,$P441)))</f>
        <v/>
      </c>
      <c r="C441" s="26">
        <f>IF($P441="","",IF(INDEX(CalcTime,$P441)=0,"",INDEX(CalcTime,$P441)))</f>
        <v/>
      </c>
      <c r="D441" s="26">
        <f>IF($P441="","",IF(INDEX(EntryParty,$P441)=0,"",INDEX(EntryParty,$P441)))</f>
        <v/>
      </c>
      <c r="E441" s="26">
        <f>IF($P441="","",IF(INDEX(EntryPartyName,$P441)=0,"",INDEX(EntryPartyName,$P441)))</f>
        <v/>
      </c>
      <c r="F441" s="26">
        <f>IF($P441="","",IF(INDEX(EntryPartyType,$P441)=0,"",INDEX(EntryPartyType,$P441)))</f>
        <v/>
      </c>
      <c r="G441" s="26">
        <f>IF($P441="","",IF(INDEX(EntryTxnType,$P441)=0,"",INDEX(EntryTxnType,$P441)))</f>
        <v/>
      </c>
      <c r="H441" s="27">
        <f>IF($P441="","",IF(INDEX(EntryDep,$P441)=0,"",INDEX(EntryDep,$P441)))</f>
        <v/>
      </c>
      <c r="I441" s="27">
        <f>IF($P441="","",IF(INDEX(EntryWit,$P441)=0,"",INDEX(EntryWit,$P441)))</f>
        <v/>
      </c>
      <c r="J441" s="27">
        <f>IF($B441="","",IF($A441=1,$C$7,IF(J440="",0,J440))+IF($H441="",0,$H441)-IF($I441="",0,$I441))</f>
        <v/>
      </c>
      <c r="K441" s="27">
        <f>IF($P441="","",IF(INDEX(EntryMan,$P441)=0,"",INDEX(EntryMan,$P441)))</f>
        <v/>
      </c>
      <c r="L441" s="26">
        <f>IF($B441="","",IF($K441="","—",IF(ROUND($K441-$J441,0)=0,"√","×")))</f>
        <v/>
      </c>
      <c r="M441" s="26">
        <f>IF($B441="","",IF(COUNTIFS(EntryDates,$B441,CalcTime,$C441,CalcBank,$C$5,EntryParty,$D441,EntryDep,$H441,EntryWit,$I441)&gt;1,"تکرار",""))</f>
        <v/>
      </c>
      <c r="N441" s="26">
        <f>IF($P441="","",IF(INDEX(EntryNotes,$P441)=0,"",INDEX(EntryNotes,$P441)))</f>
        <v/>
      </c>
      <c r="O441" s="26">
        <f>IF($P441="","",IF(INDEX(EntryTxnID,$P441)=0,"",INDEX(EntryTxnID,$P441)))</f>
        <v/>
      </c>
      <c r="P441" s="26">
        <f>IFERROR(MATCH($C$5&amp;"|"&amp;RIGHT("000000"&amp;425,6),CalcRankKey,0),"")</f>
        <v/>
      </c>
    </row>
    <row r="442">
      <c r="A442" s="28">
        <f>IF($B442="","",426)</f>
        <v/>
      </c>
      <c r="B442" s="28">
        <f>IF($P442="","",IF(INDEX(CalcNormDate,$P442)=0,"",INDEX(CalcNormDate,$P442)))</f>
        <v/>
      </c>
      <c r="C442" s="28">
        <f>IF($P442="","",IF(INDEX(CalcTime,$P442)=0,"",INDEX(CalcTime,$P442)))</f>
        <v/>
      </c>
      <c r="D442" s="28">
        <f>IF($P442="","",IF(INDEX(EntryParty,$P442)=0,"",INDEX(EntryParty,$P442)))</f>
        <v/>
      </c>
      <c r="E442" s="28">
        <f>IF($P442="","",IF(INDEX(EntryPartyName,$P442)=0,"",INDEX(EntryPartyName,$P442)))</f>
        <v/>
      </c>
      <c r="F442" s="28">
        <f>IF($P442="","",IF(INDEX(EntryPartyType,$P442)=0,"",INDEX(EntryPartyType,$P442)))</f>
        <v/>
      </c>
      <c r="G442" s="28">
        <f>IF($P442="","",IF(INDEX(EntryTxnType,$P442)=0,"",INDEX(EntryTxnType,$P442)))</f>
        <v/>
      </c>
      <c r="H442" s="29">
        <f>IF($P442="","",IF(INDEX(EntryDep,$P442)=0,"",INDEX(EntryDep,$P442)))</f>
        <v/>
      </c>
      <c r="I442" s="29">
        <f>IF($P442="","",IF(INDEX(EntryWit,$P442)=0,"",INDEX(EntryWit,$P442)))</f>
        <v/>
      </c>
      <c r="J442" s="29">
        <f>IF($B442="","",IF($A442=1,$C$7,IF(J441="",0,J441))+IF($H442="",0,$H442)-IF($I442="",0,$I442))</f>
        <v/>
      </c>
      <c r="K442" s="29">
        <f>IF($P442="","",IF(INDEX(EntryMan,$P442)=0,"",INDEX(EntryMan,$P442)))</f>
        <v/>
      </c>
      <c r="L442" s="28">
        <f>IF($B442="","",IF($K442="","—",IF(ROUND($K442-$J442,0)=0,"√","×")))</f>
        <v/>
      </c>
      <c r="M442" s="28">
        <f>IF($B442="","",IF(COUNTIFS(EntryDates,$B442,CalcTime,$C442,CalcBank,$C$5,EntryParty,$D442,EntryDep,$H442,EntryWit,$I442)&gt;1,"تکرار",""))</f>
        <v/>
      </c>
      <c r="N442" s="28">
        <f>IF($P442="","",IF(INDEX(EntryNotes,$P442)=0,"",INDEX(EntryNotes,$P442)))</f>
        <v/>
      </c>
      <c r="O442" s="28">
        <f>IF($P442="","",IF(INDEX(EntryTxnID,$P442)=0,"",INDEX(EntryTxnID,$P442)))</f>
        <v/>
      </c>
      <c r="P442" s="28">
        <f>IFERROR(MATCH($C$5&amp;"|"&amp;RIGHT("000000"&amp;426,6),CalcRankKey,0),"")</f>
        <v/>
      </c>
    </row>
    <row r="443">
      <c r="A443" s="26">
        <f>IF($B443="","",427)</f>
        <v/>
      </c>
      <c r="B443" s="26">
        <f>IF($P443="","",IF(INDEX(CalcNormDate,$P443)=0,"",INDEX(CalcNormDate,$P443)))</f>
        <v/>
      </c>
      <c r="C443" s="26">
        <f>IF($P443="","",IF(INDEX(CalcTime,$P443)=0,"",INDEX(CalcTime,$P443)))</f>
        <v/>
      </c>
      <c r="D443" s="26">
        <f>IF($P443="","",IF(INDEX(EntryParty,$P443)=0,"",INDEX(EntryParty,$P443)))</f>
        <v/>
      </c>
      <c r="E443" s="26">
        <f>IF($P443="","",IF(INDEX(EntryPartyName,$P443)=0,"",INDEX(EntryPartyName,$P443)))</f>
        <v/>
      </c>
      <c r="F443" s="26">
        <f>IF($P443="","",IF(INDEX(EntryPartyType,$P443)=0,"",INDEX(EntryPartyType,$P443)))</f>
        <v/>
      </c>
      <c r="G443" s="26">
        <f>IF($P443="","",IF(INDEX(EntryTxnType,$P443)=0,"",INDEX(EntryTxnType,$P443)))</f>
        <v/>
      </c>
      <c r="H443" s="27">
        <f>IF($P443="","",IF(INDEX(EntryDep,$P443)=0,"",INDEX(EntryDep,$P443)))</f>
        <v/>
      </c>
      <c r="I443" s="27">
        <f>IF($P443="","",IF(INDEX(EntryWit,$P443)=0,"",INDEX(EntryWit,$P443)))</f>
        <v/>
      </c>
      <c r="J443" s="27">
        <f>IF($B443="","",IF($A443=1,$C$7,IF(J442="",0,J442))+IF($H443="",0,$H443)-IF($I443="",0,$I443))</f>
        <v/>
      </c>
      <c r="K443" s="27">
        <f>IF($P443="","",IF(INDEX(EntryMan,$P443)=0,"",INDEX(EntryMan,$P443)))</f>
        <v/>
      </c>
      <c r="L443" s="26">
        <f>IF($B443="","",IF($K443="","—",IF(ROUND($K443-$J443,0)=0,"√","×")))</f>
        <v/>
      </c>
      <c r="M443" s="26">
        <f>IF($B443="","",IF(COUNTIFS(EntryDates,$B443,CalcTime,$C443,CalcBank,$C$5,EntryParty,$D443,EntryDep,$H443,EntryWit,$I443)&gt;1,"تکرار",""))</f>
        <v/>
      </c>
      <c r="N443" s="26">
        <f>IF($P443="","",IF(INDEX(EntryNotes,$P443)=0,"",INDEX(EntryNotes,$P443)))</f>
        <v/>
      </c>
      <c r="O443" s="26">
        <f>IF($P443="","",IF(INDEX(EntryTxnID,$P443)=0,"",INDEX(EntryTxnID,$P443)))</f>
        <v/>
      </c>
      <c r="P443" s="26">
        <f>IFERROR(MATCH($C$5&amp;"|"&amp;RIGHT("000000"&amp;427,6),CalcRankKey,0),"")</f>
        <v/>
      </c>
    </row>
    <row r="444">
      <c r="A444" s="28">
        <f>IF($B444="","",428)</f>
        <v/>
      </c>
      <c r="B444" s="28">
        <f>IF($P444="","",IF(INDEX(CalcNormDate,$P444)=0,"",INDEX(CalcNormDate,$P444)))</f>
        <v/>
      </c>
      <c r="C444" s="28">
        <f>IF($P444="","",IF(INDEX(CalcTime,$P444)=0,"",INDEX(CalcTime,$P444)))</f>
        <v/>
      </c>
      <c r="D444" s="28">
        <f>IF($P444="","",IF(INDEX(EntryParty,$P444)=0,"",INDEX(EntryParty,$P444)))</f>
        <v/>
      </c>
      <c r="E444" s="28">
        <f>IF($P444="","",IF(INDEX(EntryPartyName,$P444)=0,"",INDEX(EntryPartyName,$P444)))</f>
        <v/>
      </c>
      <c r="F444" s="28">
        <f>IF($P444="","",IF(INDEX(EntryPartyType,$P444)=0,"",INDEX(EntryPartyType,$P444)))</f>
        <v/>
      </c>
      <c r="G444" s="28">
        <f>IF($P444="","",IF(INDEX(EntryTxnType,$P444)=0,"",INDEX(EntryTxnType,$P444)))</f>
        <v/>
      </c>
      <c r="H444" s="29">
        <f>IF($P444="","",IF(INDEX(EntryDep,$P444)=0,"",INDEX(EntryDep,$P444)))</f>
        <v/>
      </c>
      <c r="I444" s="29">
        <f>IF($P444="","",IF(INDEX(EntryWit,$P444)=0,"",INDEX(EntryWit,$P444)))</f>
        <v/>
      </c>
      <c r="J444" s="29">
        <f>IF($B444="","",IF($A444=1,$C$7,IF(J443="",0,J443))+IF($H444="",0,$H444)-IF($I444="",0,$I444))</f>
        <v/>
      </c>
      <c r="K444" s="29">
        <f>IF($P444="","",IF(INDEX(EntryMan,$P444)=0,"",INDEX(EntryMan,$P444)))</f>
        <v/>
      </c>
      <c r="L444" s="28">
        <f>IF($B444="","",IF($K444="","—",IF(ROUND($K444-$J444,0)=0,"√","×")))</f>
        <v/>
      </c>
      <c r="M444" s="28">
        <f>IF($B444="","",IF(COUNTIFS(EntryDates,$B444,CalcTime,$C444,CalcBank,$C$5,EntryParty,$D444,EntryDep,$H444,EntryWit,$I444)&gt;1,"تکرار",""))</f>
        <v/>
      </c>
      <c r="N444" s="28">
        <f>IF($P444="","",IF(INDEX(EntryNotes,$P444)=0,"",INDEX(EntryNotes,$P444)))</f>
        <v/>
      </c>
      <c r="O444" s="28">
        <f>IF($P444="","",IF(INDEX(EntryTxnID,$P444)=0,"",INDEX(EntryTxnID,$P444)))</f>
        <v/>
      </c>
      <c r="P444" s="28">
        <f>IFERROR(MATCH($C$5&amp;"|"&amp;RIGHT("000000"&amp;428,6),CalcRankKey,0),"")</f>
        <v/>
      </c>
    </row>
    <row r="445">
      <c r="A445" s="26">
        <f>IF($B445="","",429)</f>
        <v/>
      </c>
      <c r="B445" s="26">
        <f>IF($P445="","",IF(INDEX(CalcNormDate,$P445)=0,"",INDEX(CalcNormDate,$P445)))</f>
        <v/>
      </c>
      <c r="C445" s="26">
        <f>IF($P445="","",IF(INDEX(CalcTime,$P445)=0,"",INDEX(CalcTime,$P445)))</f>
        <v/>
      </c>
      <c r="D445" s="26">
        <f>IF($P445="","",IF(INDEX(EntryParty,$P445)=0,"",INDEX(EntryParty,$P445)))</f>
        <v/>
      </c>
      <c r="E445" s="26">
        <f>IF($P445="","",IF(INDEX(EntryPartyName,$P445)=0,"",INDEX(EntryPartyName,$P445)))</f>
        <v/>
      </c>
      <c r="F445" s="26">
        <f>IF($P445="","",IF(INDEX(EntryPartyType,$P445)=0,"",INDEX(EntryPartyType,$P445)))</f>
        <v/>
      </c>
      <c r="G445" s="26">
        <f>IF($P445="","",IF(INDEX(EntryTxnType,$P445)=0,"",INDEX(EntryTxnType,$P445)))</f>
        <v/>
      </c>
      <c r="H445" s="27">
        <f>IF($P445="","",IF(INDEX(EntryDep,$P445)=0,"",INDEX(EntryDep,$P445)))</f>
        <v/>
      </c>
      <c r="I445" s="27">
        <f>IF($P445="","",IF(INDEX(EntryWit,$P445)=0,"",INDEX(EntryWit,$P445)))</f>
        <v/>
      </c>
      <c r="J445" s="27">
        <f>IF($B445="","",IF($A445=1,$C$7,IF(J444="",0,J444))+IF($H445="",0,$H445)-IF($I445="",0,$I445))</f>
        <v/>
      </c>
      <c r="K445" s="27">
        <f>IF($P445="","",IF(INDEX(EntryMan,$P445)=0,"",INDEX(EntryMan,$P445)))</f>
        <v/>
      </c>
      <c r="L445" s="26">
        <f>IF($B445="","",IF($K445="","—",IF(ROUND($K445-$J445,0)=0,"√","×")))</f>
        <v/>
      </c>
      <c r="M445" s="26">
        <f>IF($B445="","",IF(COUNTIFS(EntryDates,$B445,CalcTime,$C445,CalcBank,$C$5,EntryParty,$D445,EntryDep,$H445,EntryWit,$I445)&gt;1,"تکرار",""))</f>
        <v/>
      </c>
      <c r="N445" s="26">
        <f>IF($P445="","",IF(INDEX(EntryNotes,$P445)=0,"",INDEX(EntryNotes,$P445)))</f>
        <v/>
      </c>
      <c r="O445" s="26">
        <f>IF($P445="","",IF(INDEX(EntryTxnID,$P445)=0,"",INDEX(EntryTxnID,$P445)))</f>
        <v/>
      </c>
      <c r="P445" s="26">
        <f>IFERROR(MATCH($C$5&amp;"|"&amp;RIGHT("000000"&amp;429,6),CalcRankKey,0),"")</f>
        <v/>
      </c>
    </row>
    <row r="446">
      <c r="A446" s="28">
        <f>IF($B446="","",430)</f>
        <v/>
      </c>
      <c r="B446" s="28">
        <f>IF($P446="","",IF(INDEX(CalcNormDate,$P446)=0,"",INDEX(CalcNormDate,$P446)))</f>
        <v/>
      </c>
      <c r="C446" s="28">
        <f>IF($P446="","",IF(INDEX(CalcTime,$P446)=0,"",INDEX(CalcTime,$P446)))</f>
        <v/>
      </c>
      <c r="D446" s="28">
        <f>IF($P446="","",IF(INDEX(EntryParty,$P446)=0,"",INDEX(EntryParty,$P446)))</f>
        <v/>
      </c>
      <c r="E446" s="28">
        <f>IF($P446="","",IF(INDEX(EntryPartyName,$P446)=0,"",INDEX(EntryPartyName,$P446)))</f>
        <v/>
      </c>
      <c r="F446" s="28">
        <f>IF($P446="","",IF(INDEX(EntryPartyType,$P446)=0,"",INDEX(EntryPartyType,$P446)))</f>
        <v/>
      </c>
      <c r="G446" s="28">
        <f>IF($P446="","",IF(INDEX(EntryTxnType,$P446)=0,"",INDEX(EntryTxnType,$P446)))</f>
        <v/>
      </c>
      <c r="H446" s="29">
        <f>IF($P446="","",IF(INDEX(EntryDep,$P446)=0,"",INDEX(EntryDep,$P446)))</f>
        <v/>
      </c>
      <c r="I446" s="29">
        <f>IF($P446="","",IF(INDEX(EntryWit,$P446)=0,"",INDEX(EntryWit,$P446)))</f>
        <v/>
      </c>
      <c r="J446" s="29">
        <f>IF($B446="","",IF($A446=1,$C$7,IF(J445="",0,J445))+IF($H446="",0,$H446)-IF($I446="",0,$I446))</f>
        <v/>
      </c>
      <c r="K446" s="29">
        <f>IF($P446="","",IF(INDEX(EntryMan,$P446)=0,"",INDEX(EntryMan,$P446)))</f>
        <v/>
      </c>
      <c r="L446" s="28">
        <f>IF($B446="","",IF($K446="","—",IF(ROUND($K446-$J446,0)=0,"√","×")))</f>
        <v/>
      </c>
      <c r="M446" s="28">
        <f>IF($B446="","",IF(COUNTIFS(EntryDates,$B446,CalcTime,$C446,CalcBank,$C$5,EntryParty,$D446,EntryDep,$H446,EntryWit,$I446)&gt;1,"تکرار",""))</f>
        <v/>
      </c>
      <c r="N446" s="28">
        <f>IF($P446="","",IF(INDEX(EntryNotes,$P446)=0,"",INDEX(EntryNotes,$P446)))</f>
        <v/>
      </c>
      <c r="O446" s="28">
        <f>IF($P446="","",IF(INDEX(EntryTxnID,$P446)=0,"",INDEX(EntryTxnID,$P446)))</f>
        <v/>
      </c>
      <c r="P446" s="28">
        <f>IFERROR(MATCH($C$5&amp;"|"&amp;RIGHT("000000"&amp;430,6),CalcRankKey,0),"")</f>
        <v/>
      </c>
    </row>
    <row r="447">
      <c r="A447" s="26">
        <f>IF($B447="","",431)</f>
        <v/>
      </c>
      <c r="B447" s="26">
        <f>IF($P447="","",IF(INDEX(CalcNormDate,$P447)=0,"",INDEX(CalcNormDate,$P447)))</f>
        <v/>
      </c>
      <c r="C447" s="26">
        <f>IF($P447="","",IF(INDEX(CalcTime,$P447)=0,"",INDEX(CalcTime,$P447)))</f>
        <v/>
      </c>
      <c r="D447" s="26">
        <f>IF($P447="","",IF(INDEX(EntryParty,$P447)=0,"",INDEX(EntryParty,$P447)))</f>
        <v/>
      </c>
      <c r="E447" s="26">
        <f>IF($P447="","",IF(INDEX(EntryPartyName,$P447)=0,"",INDEX(EntryPartyName,$P447)))</f>
        <v/>
      </c>
      <c r="F447" s="26">
        <f>IF($P447="","",IF(INDEX(EntryPartyType,$P447)=0,"",INDEX(EntryPartyType,$P447)))</f>
        <v/>
      </c>
      <c r="G447" s="26">
        <f>IF($P447="","",IF(INDEX(EntryTxnType,$P447)=0,"",INDEX(EntryTxnType,$P447)))</f>
        <v/>
      </c>
      <c r="H447" s="27">
        <f>IF($P447="","",IF(INDEX(EntryDep,$P447)=0,"",INDEX(EntryDep,$P447)))</f>
        <v/>
      </c>
      <c r="I447" s="27">
        <f>IF($P447="","",IF(INDEX(EntryWit,$P447)=0,"",INDEX(EntryWit,$P447)))</f>
        <v/>
      </c>
      <c r="J447" s="27">
        <f>IF($B447="","",IF($A447=1,$C$7,IF(J446="",0,J446))+IF($H447="",0,$H447)-IF($I447="",0,$I447))</f>
        <v/>
      </c>
      <c r="K447" s="27">
        <f>IF($P447="","",IF(INDEX(EntryMan,$P447)=0,"",INDEX(EntryMan,$P447)))</f>
        <v/>
      </c>
      <c r="L447" s="26">
        <f>IF($B447="","",IF($K447="","—",IF(ROUND($K447-$J447,0)=0,"√","×")))</f>
        <v/>
      </c>
      <c r="M447" s="26">
        <f>IF($B447="","",IF(COUNTIFS(EntryDates,$B447,CalcTime,$C447,CalcBank,$C$5,EntryParty,$D447,EntryDep,$H447,EntryWit,$I447)&gt;1,"تکرار",""))</f>
        <v/>
      </c>
      <c r="N447" s="26">
        <f>IF($P447="","",IF(INDEX(EntryNotes,$P447)=0,"",INDEX(EntryNotes,$P447)))</f>
        <v/>
      </c>
      <c r="O447" s="26">
        <f>IF($P447="","",IF(INDEX(EntryTxnID,$P447)=0,"",INDEX(EntryTxnID,$P447)))</f>
        <v/>
      </c>
      <c r="P447" s="26">
        <f>IFERROR(MATCH($C$5&amp;"|"&amp;RIGHT("000000"&amp;431,6),CalcRankKey,0),"")</f>
        <v/>
      </c>
    </row>
    <row r="448">
      <c r="A448" s="28">
        <f>IF($B448="","",432)</f>
        <v/>
      </c>
      <c r="B448" s="28">
        <f>IF($P448="","",IF(INDEX(CalcNormDate,$P448)=0,"",INDEX(CalcNormDate,$P448)))</f>
        <v/>
      </c>
      <c r="C448" s="28">
        <f>IF($P448="","",IF(INDEX(CalcTime,$P448)=0,"",INDEX(CalcTime,$P448)))</f>
        <v/>
      </c>
      <c r="D448" s="28">
        <f>IF($P448="","",IF(INDEX(EntryParty,$P448)=0,"",INDEX(EntryParty,$P448)))</f>
        <v/>
      </c>
      <c r="E448" s="28">
        <f>IF($P448="","",IF(INDEX(EntryPartyName,$P448)=0,"",INDEX(EntryPartyName,$P448)))</f>
        <v/>
      </c>
      <c r="F448" s="28">
        <f>IF($P448="","",IF(INDEX(EntryPartyType,$P448)=0,"",INDEX(EntryPartyType,$P448)))</f>
        <v/>
      </c>
      <c r="G448" s="28">
        <f>IF($P448="","",IF(INDEX(EntryTxnType,$P448)=0,"",INDEX(EntryTxnType,$P448)))</f>
        <v/>
      </c>
      <c r="H448" s="29">
        <f>IF($P448="","",IF(INDEX(EntryDep,$P448)=0,"",INDEX(EntryDep,$P448)))</f>
        <v/>
      </c>
      <c r="I448" s="29">
        <f>IF($P448="","",IF(INDEX(EntryWit,$P448)=0,"",INDEX(EntryWit,$P448)))</f>
        <v/>
      </c>
      <c r="J448" s="29">
        <f>IF($B448="","",IF($A448=1,$C$7,IF(J447="",0,J447))+IF($H448="",0,$H448)-IF($I448="",0,$I448))</f>
        <v/>
      </c>
      <c r="K448" s="29">
        <f>IF($P448="","",IF(INDEX(EntryMan,$P448)=0,"",INDEX(EntryMan,$P448)))</f>
        <v/>
      </c>
      <c r="L448" s="28">
        <f>IF($B448="","",IF($K448="","—",IF(ROUND($K448-$J448,0)=0,"√","×")))</f>
        <v/>
      </c>
      <c r="M448" s="28">
        <f>IF($B448="","",IF(COUNTIFS(EntryDates,$B448,CalcTime,$C448,CalcBank,$C$5,EntryParty,$D448,EntryDep,$H448,EntryWit,$I448)&gt;1,"تکرار",""))</f>
        <v/>
      </c>
      <c r="N448" s="28">
        <f>IF($P448="","",IF(INDEX(EntryNotes,$P448)=0,"",INDEX(EntryNotes,$P448)))</f>
        <v/>
      </c>
      <c r="O448" s="28">
        <f>IF($P448="","",IF(INDEX(EntryTxnID,$P448)=0,"",INDEX(EntryTxnID,$P448)))</f>
        <v/>
      </c>
      <c r="P448" s="28">
        <f>IFERROR(MATCH($C$5&amp;"|"&amp;RIGHT("000000"&amp;432,6),CalcRankKey,0),"")</f>
        <v/>
      </c>
    </row>
    <row r="449">
      <c r="A449" s="26">
        <f>IF($B449="","",433)</f>
        <v/>
      </c>
      <c r="B449" s="26">
        <f>IF($P449="","",IF(INDEX(CalcNormDate,$P449)=0,"",INDEX(CalcNormDate,$P449)))</f>
        <v/>
      </c>
      <c r="C449" s="26">
        <f>IF($P449="","",IF(INDEX(CalcTime,$P449)=0,"",INDEX(CalcTime,$P449)))</f>
        <v/>
      </c>
      <c r="D449" s="26">
        <f>IF($P449="","",IF(INDEX(EntryParty,$P449)=0,"",INDEX(EntryParty,$P449)))</f>
        <v/>
      </c>
      <c r="E449" s="26">
        <f>IF($P449="","",IF(INDEX(EntryPartyName,$P449)=0,"",INDEX(EntryPartyName,$P449)))</f>
        <v/>
      </c>
      <c r="F449" s="26">
        <f>IF($P449="","",IF(INDEX(EntryPartyType,$P449)=0,"",INDEX(EntryPartyType,$P449)))</f>
        <v/>
      </c>
      <c r="G449" s="26">
        <f>IF($P449="","",IF(INDEX(EntryTxnType,$P449)=0,"",INDEX(EntryTxnType,$P449)))</f>
        <v/>
      </c>
      <c r="H449" s="27">
        <f>IF($P449="","",IF(INDEX(EntryDep,$P449)=0,"",INDEX(EntryDep,$P449)))</f>
        <v/>
      </c>
      <c r="I449" s="27">
        <f>IF($P449="","",IF(INDEX(EntryWit,$P449)=0,"",INDEX(EntryWit,$P449)))</f>
        <v/>
      </c>
      <c r="J449" s="27">
        <f>IF($B449="","",IF($A449=1,$C$7,IF(J448="",0,J448))+IF($H449="",0,$H449)-IF($I449="",0,$I449))</f>
        <v/>
      </c>
      <c r="K449" s="27">
        <f>IF($P449="","",IF(INDEX(EntryMan,$P449)=0,"",INDEX(EntryMan,$P449)))</f>
        <v/>
      </c>
      <c r="L449" s="26">
        <f>IF($B449="","",IF($K449="","—",IF(ROUND($K449-$J449,0)=0,"√","×")))</f>
        <v/>
      </c>
      <c r="M449" s="26">
        <f>IF($B449="","",IF(COUNTIFS(EntryDates,$B449,CalcTime,$C449,CalcBank,$C$5,EntryParty,$D449,EntryDep,$H449,EntryWit,$I449)&gt;1,"تکرار",""))</f>
        <v/>
      </c>
      <c r="N449" s="26">
        <f>IF($P449="","",IF(INDEX(EntryNotes,$P449)=0,"",INDEX(EntryNotes,$P449)))</f>
        <v/>
      </c>
      <c r="O449" s="26">
        <f>IF($P449="","",IF(INDEX(EntryTxnID,$P449)=0,"",INDEX(EntryTxnID,$P449)))</f>
        <v/>
      </c>
      <c r="P449" s="26">
        <f>IFERROR(MATCH($C$5&amp;"|"&amp;RIGHT("000000"&amp;433,6),CalcRankKey,0),"")</f>
        <v/>
      </c>
    </row>
    <row r="450">
      <c r="A450" s="28">
        <f>IF($B450="","",434)</f>
        <v/>
      </c>
      <c r="B450" s="28">
        <f>IF($P450="","",IF(INDEX(CalcNormDate,$P450)=0,"",INDEX(CalcNormDate,$P450)))</f>
        <v/>
      </c>
      <c r="C450" s="28">
        <f>IF($P450="","",IF(INDEX(CalcTime,$P450)=0,"",INDEX(CalcTime,$P450)))</f>
        <v/>
      </c>
      <c r="D450" s="28">
        <f>IF($P450="","",IF(INDEX(EntryParty,$P450)=0,"",INDEX(EntryParty,$P450)))</f>
        <v/>
      </c>
      <c r="E450" s="28">
        <f>IF($P450="","",IF(INDEX(EntryPartyName,$P450)=0,"",INDEX(EntryPartyName,$P450)))</f>
        <v/>
      </c>
      <c r="F450" s="28">
        <f>IF($P450="","",IF(INDEX(EntryPartyType,$P450)=0,"",INDEX(EntryPartyType,$P450)))</f>
        <v/>
      </c>
      <c r="G450" s="28">
        <f>IF($P450="","",IF(INDEX(EntryTxnType,$P450)=0,"",INDEX(EntryTxnType,$P450)))</f>
        <v/>
      </c>
      <c r="H450" s="29">
        <f>IF($P450="","",IF(INDEX(EntryDep,$P450)=0,"",INDEX(EntryDep,$P450)))</f>
        <v/>
      </c>
      <c r="I450" s="29">
        <f>IF($P450="","",IF(INDEX(EntryWit,$P450)=0,"",INDEX(EntryWit,$P450)))</f>
        <v/>
      </c>
      <c r="J450" s="29">
        <f>IF($B450="","",IF($A450=1,$C$7,IF(J449="",0,J449))+IF($H450="",0,$H450)-IF($I450="",0,$I450))</f>
        <v/>
      </c>
      <c r="K450" s="29">
        <f>IF($P450="","",IF(INDEX(EntryMan,$P450)=0,"",INDEX(EntryMan,$P450)))</f>
        <v/>
      </c>
      <c r="L450" s="28">
        <f>IF($B450="","",IF($K450="","—",IF(ROUND($K450-$J450,0)=0,"√","×")))</f>
        <v/>
      </c>
      <c r="M450" s="28">
        <f>IF($B450="","",IF(COUNTIFS(EntryDates,$B450,CalcTime,$C450,CalcBank,$C$5,EntryParty,$D450,EntryDep,$H450,EntryWit,$I450)&gt;1,"تکرار",""))</f>
        <v/>
      </c>
      <c r="N450" s="28">
        <f>IF($P450="","",IF(INDEX(EntryNotes,$P450)=0,"",INDEX(EntryNotes,$P450)))</f>
        <v/>
      </c>
      <c r="O450" s="28">
        <f>IF($P450="","",IF(INDEX(EntryTxnID,$P450)=0,"",INDEX(EntryTxnID,$P450)))</f>
        <v/>
      </c>
      <c r="P450" s="28">
        <f>IFERROR(MATCH($C$5&amp;"|"&amp;RIGHT("000000"&amp;434,6),CalcRankKey,0),"")</f>
        <v/>
      </c>
    </row>
    <row r="451">
      <c r="A451" s="26">
        <f>IF($B451="","",435)</f>
        <v/>
      </c>
      <c r="B451" s="26">
        <f>IF($P451="","",IF(INDEX(CalcNormDate,$P451)=0,"",INDEX(CalcNormDate,$P451)))</f>
        <v/>
      </c>
      <c r="C451" s="26">
        <f>IF($P451="","",IF(INDEX(CalcTime,$P451)=0,"",INDEX(CalcTime,$P451)))</f>
        <v/>
      </c>
      <c r="D451" s="26">
        <f>IF($P451="","",IF(INDEX(EntryParty,$P451)=0,"",INDEX(EntryParty,$P451)))</f>
        <v/>
      </c>
      <c r="E451" s="26">
        <f>IF($P451="","",IF(INDEX(EntryPartyName,$P451)=0,"",INDEX(EntryPartyName,$P451)))</f>
        <v/>
      </c>
      <c r="F451" s="26">
        <f>IF($P451="","",IF(INDEX(EntryPartyType,$P451)=0,"",INDEX(EntryPartyType,$P451)))</f>
        <v/>
      </c>
      <c r="G451" s="26">
        <f>IF($P451="","",IF(INDEX(EntryTxnType,$P451)=0,"",INDEX(EntryTxnType,$P451)))</f>
        <v/>
      </c>
      <c r="H451" s="27">
        <f>IF($P451="","",IF(INDEX(EntryDep,$P451)=0,"",INDEX(EntryDep,$P451)))</f>
        <v/>
      </c>
      <c r="I451" s="27">
        <f>IF($P451="","",IF(INDEX(EntryWit,$P451)=0,"",INDEX(EntryWit,$P451)))</f>
        <v/>
      </c>
      <c r="J451" s="27">
        <f>IF($B451="","",IF($A451=1,$C$7,IF(J450="",0,J450))+IF($H451="",0,$H451)-IF($I451="",0,$I451))</f>
        <v/>
      </c>
      <c r="K451" s="27">
        <f>IF($P451="","",IF(INDEX(EntryMan,$P451)=0,"",INDEX(EntryMan,$P451)))</f>
        <v/>
      </c>
      <c r="L451" s="26">
        <f>IF($B451="","",IF($K451="","—",IF(ROUND($K451-$J451,0)=0,"√","×")))</f>
        <v/>
      </c>
      <c r="M451" s="26">
        <f>IF($B451="","",IF(COUNTIFS(EntryDates,$B451,CalcTime,$C451,CalcBank,$C$5,EntryParty,$D451,EntryDep,$H451,EntryWit,$I451)&gt;1,"تکرار",""))</f>
        <v/>
      </c>
      <c r="N451" s="26">
        <f>IF($P451="","",IF(INDEX(EntryNotes,$P451)=0,"",INDEX(EntryNotes,$P451)))</f>
        <v/>
      </c>
      <c r="O451" s="26">
        <f>IF($P451="","",IF(INDEX(EntryTxnID,$P451)=0,"",INDEX(EntryTxnID,$P451)))</f>
        <v/>
      </c>
      <c r="P451" s="26">
        <f>IFERROR(MATCH($C$5&amp;"|"&amp;RIGHT("000000"&amp;435,6),CalcRankKey,0),"")</f>
        <v/>
      </c>
    </row>
    <row r="452">
      <c r="A452" s="28">
        <f>IF($B452="","",436)</f>
        <v/>
      </c>
      <c r="B452" s="28">
        <f>IF($P452="","",IF(INDEX(CalcNormDate,$P452)=0,"",INDEX(CalcNormDate,$P452)))</f>
        <v/>
      </c>
      <c r="C452" s="28">
        <f>IF($P452="","",IF(INDEX(CalcTime,$P452)=0,"",INDEX(CalcTime,$P452)))</f>
        <v/>
      </c>
      <c r="D452" s="28">
        <f>IF($P452="","",IF(INDEX(EntryParty,$P452)=0,"",INDEX(EntryParty,$P452)))</f>
        <v/>
      </c>
      <c r="E452" s="28">
        <f>IF($P452="","",IF(INDEX(EntryPartyName,$P452)=0,"",INDEX(EntryPartyName,$P452)))</f>
        <v/>
      </c>
      <c r="F452" s="28">
        <f>IF($P452="","",IF(INDEX(EntryPartyType,$P452)=0,"",INDEX(EntryPartyType,$P452)))</f>
        <v/>
      </c>
      <c r="G452" s="28">
        <f>IF($P452="","",IF(INDEX(EntryTxnType,$P452)=0,"",INDEX(EntryTxnType,$P452)))</f>
        <v/>
      </c>
      <c r="H452" s="29">
        <f>IF($P452="","",IF(INDEX(EntryDep,$P452)=0,"",INDEX(EntryDep,$P452)))</f>
        <v/>
      </c>
      <c r="I452" s="29">
        <f>IF($P452="","",IF(INDEX(EntryWit,$P452)=0,"",INDEX(EntryWit,$P452)))</f>
        <v/>
      </c>
      <c r="J452" s="29">
        <f>IF($B452="","",IF($A452=1,$C$7,IF(J451="",0,J451))+IF($H452="",0,$H452)-IF($I452="",0,$I452))</f>
        <v/>
      </c>
      <c r="K452" s="29">
        <f>IF($P452="","",IF(INDEX(EntryMan,$P452)=0,"",INDEX(EntryMan,$P452)))</f>
        <v/>
      </c>
      <c r="L452" s="28">
        <f>IF($B452="","",IF($K452="","—",IF(ROUND($K452-$J452,0)=0,"√","×")))</f>
        <v/>
      </c>
      <c r="M452" s="28">
        <f>IF($B452="","",IF(COUNTIFS(EntryDates,$B452,CalcTime,$C452,CalcBank,$C$5,EntryParty,$D452,EntryDep,$H452,EntryWit,$I452)&gt;1,"تکرار",""))</f>
        <v/>
      </c>
      <c r="N452" s="28">
        <f>IF($P452="","",IF(INDEX(EntryNotes,$P452)=0,"",INDEX(EntryNotes,$P452)))</f>
        <v/>
      </c>
      <c r="O452" s="28">
        <f>IF($P452="","",IF(INDEX(EntryTxnID,$P452)=0,"",INDEX(EntryTxnID,$P452)))</f>
        <v/>
      </c>
      <c r="P452" s="28">
        <f>IFERROR(MATCH($C$5&amp;"|"&amp;RIGHT("000000"&amp;436,6),CalcRankKey,0),"")</f>
        <v/>
      </c>
    </row>
    <row r="453">
      <c r="A453" s="26">
        <f>IF($B453="","",437)</f>
        <v/>
      </c>
      <c r="B453" s="26">
        <f>IF($P453="","",IF(INDEX(CalcNormDate,$P453)=0,"",INDEX(CalcNormDate,$P453)))</f>
        <v/>
      </c>
      <c r="C453" s="26">
        <f>IF($P453="","",IF(INDEX(CalcTime,$P453)=0,"",INDEX(CalcTime,$P453)))</f>
        <v/>
      </c>
      <c r="D453" s="26">
        <f>IF($P453="","",IF(INDEX(EntryParty,$P453)=0,"",INDEX(EntryParty,$P453)))</f>
        <v/>
      </c>
      <c r="E453" s="26">
        <f>IF($P453="","",IF(INDEX(EntryPartyName,$P453)=0,"",INDEX(EntryPartyName,$P453)))</f>
        <v/>
      </c>
      <c r="F453" s="26">
        <f>IF($P453="","",IF(INDEX(EntryPartyType,$P453)=0,"",INDEX(EntryPartyType,$P453)))</f>
        <v/>
      </c>
      <c r="G453" s="26">
        <f>IF($P453="","",IF(INDEX(EntryTxnType,$P453)=0,"",INDEX(EntryTxnType,$P453)))</f>
        <v/>
      </c>
      <c r="H453" s="27">
        <f>IF($P453="","",IF(INDEX(EntryDep,$P453)=0,"",INDEX(EntryDep,$P453)))</f>
        <v/>
      </c>
      <c r="I453" s="27">
        <f>IF($P453="","",IF(INDEX(EntryWit,$P453)=0,"",INDEX(EntryWit,$P453)))</f>
        <v/>
      </c>
      <c r="J453" s="27">
        <f>IF($B453="","",IF($A453=1,$C$7,IF(J452="",0,J452))+IF($H453="",0,$H453)-IF($I453="",0,$I453))</f>
        <v/>
      </c>
      <c r="K453" s="27">
        <f>IF($P453="","",IF(INDEX(EntryMan,$P453)=0,"",INDEX(EntryMan,$P453)))</f>
        <v/>
      </c>
      <c r="L453" s="26">
        <f>IF($B453="","",IF($K453="","—",IF(ROUND($K453-$J453,0)=0,"√","×")))</f>
        <v/>
      </c>
      <c r="M453" s="26">
        <f>IF($B453="","",IF(COUNTIFS(EntryDates,$B453,CalcTime,$C453,CalcBank,$C$5,EntryParty,$D453,EntryDep,$H453,EntryWit,$I453)&gt;1,"تکرار",""))</f>
        <v/>
      </c>
      <c r="N453" s="26">
        <f>IF($P453="","",IF(INDEX(EntryNotes,$P453)=0,"",INDEX(EntryNotes,$P453)))</f>
        <v/>
      </c>
      <c r="O453" s="26">
        <f>IF($P453="","",IF(INDEX(EntryTxnID,$P453)=0,"",INDEX(EntryTxnID,$P453)))</f>
        <v/>
      </c>
      <c r="P453" s="26">
        <f>IFERROR(MATCH($C$5&amp;"|"&amp;RIGHT("000000"&amp;437,6),CalcRankKey,0),"")</f>
        <v/>
      </c>
    </row>
    <row r="454">
      <c r="A454" s="28">
        <f>IF($B454="","",438)</f>
        <v/>
      </c>
      <c r="B454" s="28">
        <f>IF($P454="","",IF(INDEX(CalcNormDate,$P454)=0,"",INDEX(CalcNormDate,$P454)))</f>
        <v/>
      </c>
      <c r="C454" s="28">
        <f>IF($P454="","",IF(INDEX(CalcTime,$P454)=0,"",INDEX(CalcTime,$P454)))</f>
        <v/>
      </c>
      <c r="D454" s="28">
        <f>IF($P454="","",IF(INDEX(EntryParty,$P454)=0,"",INDEX(EntryParty,$P454)))</f>
        <v/>
      </c>
      <c r="E454" s="28">
        <f>IF($P454="","",IF(INDEX(EntryPartyName,$P454)=0,"",INDEX(EntryPartyName,$P454)))</f>
        <v/>
      </c>
      <c r="F454" s="28">
        <f>IF($P454="","",IF(INDEX(EntryPartyType,$P454)=0,"",INDEX(EntryPartyType,$P454)))</f>
        <v/>
      </c>
      <c r="G454" s="28">
        <f>IF($P454="","",IF(INDEX(EntryTxnType,$P454)=0,"",INDEX(EntryTxnType,$P454)))</f>
        <v/>
      </c>
      <c r="H454" s="29">
        <f>IF($P454="","",IF(INDEX(EntryDep,$P454)=0,"",INDEX(EntryDep,$P454)))</f>
        <v/>
      </c>
      <c r="I454" s="29">
        <f>IF($P454="","",IF(INDEX(EntryWit,$P454)=0,"",INDEX(EntryWit,$P454)))</f>
        <v/>
      </c>
      <c r="J454" s="29">
        <f>IF($B454="","",IF($A454=1,$C$7,IF(J453="",0,J453))+IF($H454="",0,$H454)-IF($I454="",0,$I454))</f>
        <v/>
      </c>
      <c r="K454" s="29">
        <f>IF($P454="","",IF(INDEX(EntryMan,$P454)=0,"",INDEX(EntryMan,$P454)))</f>
        <v/>
      </c>
      <c r="L454" s="28">
        <f>IF($B454="","",IF($K454="","—",IF(ROUND($K454-$J454,0)=0,"√","×")))</f>
        <v/>
      </c>
      <c r="M454" s="28">
        <f>IF($B454="","",IF(COUNTIFS(EntryDates,$B454,CalcTime,$C454,CalcBank,$C$5,EntryParty,$D454,EntryDep,$H454,EntryWit,$I454)&gt;1,"تکرار",""))</f>
        <v/>
      </c>
      <c r="N454" s="28">
        <f>IF($P454="","",IF(INDEX(EntryNotes,$P454)=0,"",INDEX(EntryNotes,$P454)))</f>
        <v/>
      </c>
      <c r="O454" s="28">
        <f>IF($P454="","",IF(INDEX(EntryTxnID,$P454)=0,"",INDEX(EntryTxnID,$P454)))</f>
        <v/>
      </c>
      <c r="P454" s="28">
        <f>IFERROR(MATCH($C$5&amp;"|"&amp;RIGHT("000000"&amp;438,6),CalcRankKey,0),"")</f>
        <v/>
      </c>
    </row>
    <row r="455">
      <c r="A455" s="26">
        <f>IF($B455="","",439)</f>
        <v/>
      </c>
      <c r="B455" s="26">
        <f>IF($P455="","",IF(INDEX(CalcNormDate,$P455)=0,"",INDEX(CalcNormDate,$P455)))</f>
        <v/>
      </c>
      <c r="C455" s="26">
        <f>IF($P455="","",IF(INDEX(CalcTime,$P455)=0,"",INDEX(CalcTime,$P455)))</f>
        <v/>
      </c>
      <c r="D455" s="26">
        <f>IF($P455="","",IF(INDEX(EntryParty,$P455)=0,"",INDEX(EntryParty,$P455)))</f>
        <v/>
      </c>
      <c r="E455" s="26">
        <f>IF($P455="","",IF(INDEX(EntryPartyName,$P455)=0,"",INDEX(EntryPartyName,$P455)))</f>
        <v/>
      </c>
      <c r="F455" s="26">
        <f>IF($P455="","",IF(INDEX(EntryPartyType,$P455)=0,"",INDEX(EntryPartyType,$P455)))</f>
        <v/>
      </c>
      <c r="G455" s="26">
        <f>IF($P455="","",IF(INDEX(EntryTxnType,$P455)=0,"",INDEX(EntryTxnType,$P455)))</f>
        <v/>
      </c>
      <c r="H455" s="27">
        <f>IF($P455="","",IF(INDEX(EntryDep,$P455)=0,"",INDEX(EntryDep,$P455)))</f>
        <v/>
      </c>
      <c r="I455" s="27">
        <f>IF($P455="","",IF(INDEX(EntryWit,$P455)=0,"",INDEX(EntryWit,$P455)))</f>
        <v/>
      </c>
      <c r="J455" s="27">
        <f>IF($B455="","",IF($A455=1,$C$7,IF(J454="",0,J454))+IF($H455="",0,$H455)-IF($I455="",0,$I455))</f>
        <v/>
      </c>
      <c r="K455" s="27">
        <f>IF($P455="","",IF(INDEX(EntryMan,$P455)=0,"",INDEX(EntryMan,$P455)))</f>
        <v/>
      </c>
      <c r="L455" s="26">
        <f>IF($B455="","",IF($K455="","—",IF(ROUND($K455-$J455,0)=0,"√","×")))</f>
        <v/>
      </c>
      <c r="M455" s="26">
        <f>IF($B455="","",IF(COUNTIFS(EntryDates,$B455,CalcTime,$C455,CalcBank,$C$5,EntryParty,$D455,EntryDep,$H455,EntryWit,$I455)&gt;1,"تکرار",""))</f>
        <v/>
      </c>
      <c r="N455" s="26">
        <f>IF($P455="","",IF(INDEX(EntryNotes,$P455)=0,"",INDEX(EntryNotes,$P455)))</f>
        <v/>
      </c>
      <c r="O455" s="26">
        <f>IF($P455="","",IF(INDEX(EntryTxnID,$P455)=0,"",INDEX(EntryTxnID,$P455)))</f>
        <v/>
      </c>
      <c r="P455" s="26">
        <f>IFERROR(MATCH($C$5&amp;"|"&amp;RIGHT("000000"&amp;439,6),CalcRankKey,0),"")</f>
        <v/>
      </c>
    </row>
    <row r="456">
      <c r="A456" s="28">
        <f>IF($B456="","",440)</f>
        <v/>
      </c>
      <c r="B456" s="28">
        <f>IF($P456="","",IF(INDEX(CalcNormDate,$P456)=0,"",INDEX(CalcNormDate,$P456)))</f>
        <v/>
      </c>
      <c r="C456" s="28">
        <f>IF($P456="","",IF(INDEX(CalcTime,$P456)=0,"",INDEX(CalcTime,$P456)))</f>
        <v/>
      </c>
      <c r="D456" s="28">
        <f>IF($P456="","",IF(INDEX(EntryParty,$P456)=0,"",INDEX(EntryParty,$P456)))</f>
        <v/>
      </c>
      <c r="E456" s="28">
        <f>IF($P456="","",IF(INDEX(EntryPartyName,$P456)=0,"",INDEX(EntryPartyName,$P456)))</f>
        <v/>
      </c>
      <c r="F456" s="28">
        <f>IF($P456="","",IF(INDEX(EntryPartyType,$P456)=0,"",INDEX(EntryPartyType,$P456)))</f>
        <v/>
      </c>
      <c r="G456" s="28">
        <f>IF($P456="","",IF(INDEX(EntryTxnType,$P456)=0,"",INDEX(EntryTxnType,$P456)))</f>
        <v/>
      </c>
      <c r="H456" s="29">
        <f>IF($P456="","",IF(INDEX(EntryDep,$P456)=0,"",INDEX(EntryDep,$P456)))</f>
        <v/>
      </c>
      <c r="I456" s="29">
        <f>IF($P456="","",IF(INDEX(EntryWit,$P456)=0,"",INDEX(EntryWit,$P456)))</f>
        <v/>
      </c>
      <c r="J456" s="29">
        <f>IF($B456="","",IF($A456=1,$C$7,IF(J455="",0,J455))+IF($H456="",0,$H456)-IF($I456="",0,$I456))</f>
        <v/>
      </c>
      <c r="K456" s="29">
        <f>IF($P456="","",IF(INDEX(EntryMan,$P456)=0,"",INDEX(EntryMan,$P456)))</f>
        <v/>
      </c>
      <c r="L456" s="28">
        <f>IF($B456="","",IF($K456="","—",IF(ROUND($K456-$J456,0)=0,"√","×")))</f>
        <v/>
      </c>
      <c r="M456" s="28">
        <f>IF($B456="","",IF(COUNTIFS(EntryDates,$B456,CalcTime,$C456,CalcBank,$C$5,EntryParty,$D456,EntryDep,$H456,EntryWit,$I456)&gt;1,"تکرار",""))</f>
        <v/>
      </c>
      <c r="N456" s="28">
        <f>IF($P456="","",IF(INDEX(EntryNotes,$P456)=0,"",INDEX(EntryNotes,$P456)))</f>
        <v/>
      </c>
      <c r="O456" s="28">
        <f>IF($P456="","",IF(INDEX(EntryTxnID,$P456)=0,"",INDEX(EntryTxnID,$P456)))</f>
        <v/>
      </c>
      <c r="P456" s="28">
        <f>IFERROR(MATCH($C$5&amp;"|"&amp;RIGHT("000000"&amp;440,6),CalcRankKey,0),"")</f>
        <v/>
      </c>
    </row>
    <row r="457">
      <c r="A457" s="26">
        <f>IF($B457="","",441)</f>
        <v/>
      </c>
      <c r="B457" s="26">
        <f>IF($P457="","",IF(INDEX(CalcNormDate,$P457)=0,"",INDEX(CalcNormDate,$P457)))</f>
        <v/>
      </c>
      <c r="C457" s="26">
        <f>IF($P457="","",IF(INDEX(CalcTime,$P457)=0,"",INDEX(CalcTime,$P457)))</f>
        <v/>
      </c>
      <c r="D457" s="26">
        <f>IF($P457="","",IF(INDEX(EntryParty,$P457)=0,"",INDEX(EntryParty,$P457)))</f>
        <v/>
      </c>
      <c r="E457" s="26">
        <f>IF($P457="","",IF(INDEX(EntryPartyName,$P457)=0,"",INDEX(EntryPartyName,$P457)))</f>
        <v/>
      </c>
      <c r="F457" s="26">
        <f>IF($P457="","",IF(INDEX(EntryPartyType,$P457)=0,"",INDEX(EntryPartyType,$P457)))</f>
        <v/>
      </c>
      <c r="G457" s="26">
        <f>IF($P457="","",IF(INDEX(EntryTxnType,$P457)=0,"",INDEX(EntryTxnType,$P457)))</f>
        <v/>
      </c>
      <c r="H457" s="27">
        <f>IF($P457="","",IF(INDEX(EntryDep,$P457)=0,"",INDEX(EntryDep,$P457)))</f>
        <v/>
      </c>
      <c r="I457" s="27">
        <f>IF($P457="","",IF(INDEX(EntryWit,$P457)=0,"",INDEX(EntryWit,$P457)))</f>
        <v/>
      </c>
      <c r="J457" s="27">
        <f>IF($B457="","",IF($A457=1,$C$7,IF(J456="",0,J456))+IF($H457="",0,$H457)-IF($I457="",0,$I457))</f>
        <v/>
      </c>
      <c r="K457" s="27">
        <f>IF($P457="","",IF(INDEX(EntryMan,$P457)=0,"",INDEX(EntryMan,$P457)))</f>
        <v/>
      </c>
      <c r="L457" s="26">
        <f>IF($B457="","",IF($K457="","—",IF(ROUND($K457-$J457,0)=0,"√","×")))</f>
        <v/>
      </c>
      <c r="M457" s="26">
        <f>IF($B457="","",IF(COUNTIFS(EntryDates,$B457,CalcTime,$C457,CalcBank,$C$5,EntryParty,$D457,EntryDep,$H457,EntryWit,$I457)&gt;1,"تکرار",""))</f>
        <v/>
      </c>
      <c r="N457" s="26">
        <f>IF($P457="","",IF(INDEX(EntryNotes,$P457)=0,"",INDEX(EntryNotes,$P457)))</f>
        <v/>
      </c>
      <c r="O457" s="26">
        <f>IF($P457="","",IF(INDEX(EntryTxnID,$P457)=0,"",INDEX(EntryTxnID,$P457)))</f>
        <v/>
      </c>
      <c r="P457" s="26">
        <f>IFERROR(MATCH($C$5&amp;"|"&amp;RIGHT("000000"&amp;441,6),CalcRankKey,0),"")</f>
        <v/>
      </c>
    </row>
    <row r="458">
      <c r="A458" s="28">
        <f>IF($B458="","",442)</f>
        <v/>
      </c>
      <c r="B458" s="28">
        <f>IF($P458="","",IF(INDEX(CalcNormDate,$P458)=0,"",INDEX(CalcNormDate,$P458)))</f>
        <v/>
      </c>
      <c r="C458" s="28">
        <f>IF($P458="","",IF(INDEX(CalcTime,$P458)=0,"",INDEX(CalcTime,$P458)))</f>
        <v/>
      </c>
      <c r="D458" s="28">
        <f>IF($P458="","",IF(INDEX(EntryParty,$P458)=0,"",INDEX(EntryParty,$P458)))</f>
        <v/>
      </c>
      <c r="E458" s="28">
        <f>IF($P458="","",IF(INDEX(EntryPartyName,$P458)=0,"",INDEX(EntryPartyName,$P458)))</f>
        <v/>
      </c>
      <c r="F458" s="28">
        <f>IF($P458="","",IF(INDEX(EntryPartyType,$P458)=0,"",INDEX(EntryPartyType,$P458)))</f>
        <v/>
      </c>
      <c r="G458" s="28">
        <f>IF($P458="","",IF(INDEX(EntryTxnType,$P458)=0,"",INDEX(EntryTxnType,$P458)))</f>
        <v/>
      </c>
      <c r="H458" s="29">
        <f>IF($P458="","",IF(INDEX(EntryDep,$P458)=0,"",INDEX(EntryDep,$P458)))</f>
        <v/>
      </c>
      <c r="I458" s="29">
        <f>IF($P458="","",IF(INDEX(EntryWit,$P458)=0,"",INDEX(EntryWit,$P458)))</f>
        <v/>
      </c>
      <c r="J458" s="29">
        <f>IF($B458="","",IF($A458=1,$C$7,IF(J457="",0,J457))+IF($H458="",0,$H458)-IF($I458="",0,$I458))</f>
        <v/>
      </c>
      <c r="K458" s="29">
        <f>IF($P458="","",IF(INDEX(EntryMan,$P458)=0,"",INDEX(EntryMan,$P458)))</f>
        <v/>
      </c>
      <c r="L458" s="28">
        <f>IF($B458="","",IF($K458="","—",IF(ROUND($K458-$J458,0)=0,"√","×")))</f>
        <v/>
      </c>
      <c r="M458" s="28">
        <f>IF($B458="","",IF(COUNTIFS(EntryDates,$B458,CalcTime,$C458,CalcBank,$C$5,EntryParty,$D458,EntryDep,$H458,EntryWit,$I458)&gt;1,"تکرار",""))</f>
        <v/>
      </c>
      <c r="N458" s="28">
        <f>IF($P458="","",IF(INDEX(EntryNotes,$P458)=0,"",INDEX(EntryNotes,$P458)))</f>
        <v/>
      </c>
      <c r="O458" s="28">
        <f>IF($P458="","",IF(INDEX(EntryTxnID,$P458)=0,"",INDEX(EntryTxnID,$P458)))</f>
        <v/>
      </c>
      <c r="P458" s="28">
        <f>IFERROR(MATCH($C$5&amp;"|"&amp;RIGHT("000000"&amp;442,6),CalcRankKey,0),"")</f>
        <v/>
      </c>
    </row>
    <row r="459">
      <c r="A459" s="26">
        <f>IF($B459="","",443)</f>
        <v/>
      </c>
      <c r="B459" s="26">
        <f>IF($P459="","",IF(INDEX(CalcNormDate,$P459)=0,"",INDEX(CalcNormDate,$P459)))</f>
        <v/>
      </c>
      <c r="C459" s="26">
        <f>IF($P459="","",IF(INDEX(CalcTime,$P459)=0,"",INDEX(CalcTime,$P459)))</f>
        <v/>
      </c>
      <c r="D459" s="26">
        <f>IF($P459="","",IF(INDEX(EntryParty,$P459)=0,"",INDEX(EntryParty,$P459)))</f>
        <v/>
      </c>
      <c r="E459" s="26">
        <f>IF($P459="","",IF(INDEX(EntryPartyName,$P459)=0,"",INDEX(EntryPartyName,$P459)))</f>
        <v/>
      </c>
      <c r="F459" s="26">
        <f>IF($P459="","",IF(INDEX(EntryPartyType,$P459)=0,"",INDEX(EntryPartyType,$P459)))</f>
        <v/>
      </c>
      <c r="G459" s="26">
        <f>IF($P459="","",IF(INDEX(EntryTxnType,$P459)=0,"",INDEX(EntryTxnType,$P459)))</f>
        <v/>
      </c>
      <c r="H459" s="27">
        <f>IF($P459="","",IF(INDEX(EntryDep,$P459)=0,"",INDEX(EntryDep,$P459)))</f>
        <v/>
      </c>
      <c r="I459" s="27">
        <f>IF($P459="","",IF(INDEX(EntryWit,$P459)=0,"",INDEX(EntryWit,$P459)))</f>
        <v/>
      </c>
      <c r="J459" s="27">
        <f>IF($B459="","",IF($A459=1,$C$7,IF(J458="",0,J458))+IF($H459="",0,$H459)-IF($I459="",0,$I459))</f>
        <v/>
      </c>
      <c r="K459" s="27">
        <f>IF($P459="","",IF(INDEX(EntryMan,$P459)=0,"",INDEX(EntryMan,$P459)))</f>
        <v/>
      </c>
      <c r="L459" s="26">
        <f>IF($B459="","",IF($K459="","—",IF(ROUND($K459-$J459,0)=0,"√","×")))</f>
        <v/>
      </c>
      <c r="M459" s="26">
        <f>IF($B459="","",IF(COUNTIFS(EntryDates,$B459,CalcTime,$C459,CalcBank,$C$5,EntryParty,$D459,EntryDep,$H459,EntryWit,$I459)&gt;1,"تکرار",""))</f>
        <v/>
      </c>
      <c r="N459" s="26">
        <f>IF($P459="","",IF(INDEX(EntryNotes,$P459)=0,"",INDEX(EntryNotes,$P459)))</f>
        <v/>
      </c>
      <c r="O459" s="26">
        <f>IF($P459="","",IF(INDEX(EntryTxnID,$P459)=0,"",INDEX(EntryTxnID,$P459)))</f>
        <v/>
      </c>
      <c r="P459" s="26">
        <f>IFERROR(MATCH($C$5&amp;"|"&amp;RIGHT("000000"&amp;443,6),CalcRankKey,0),"")</f>
        <v/>
      </c>
    </row>
    <row r="460">
      <c r="A460" s="28">
        <f>IF($B460="","",444)</f>
        <v/>
      </c>
      <c r="B460" s="28">
        <f>IF($P460="","",IF(INDEX(CalcNormDate,$P460)=0,"",INDEX(CalcNormDate,$P460)))</f>
        <v/>
      </c>
      <c r="C460" s="28">
        <f>IF($P460="","",IF(INDEX(CalcTime,$P460)=0,"",INDEX(CalcTime,$P460)))</f>
        <v/>
      </c>
      <c r="D460" s="28">
        <f>IF($P460="","",IF(INDEX(EntryParty,$P460)=0,"",INDEX(EntryParty,$P460)))</f>
        <v/>
      </c>
      <c r="E460" s="28">
        <f>IF($P460="","",IF(INDEX(EntryPartyName,$P460)=0,"",INDEX(EntryPartyName,$P460)))</f>
        <v/>
      </c>
      <c r="F460" s="28">
        <f>IF($P460="","",IF(INDEX(EntryPartyType,$P460)=0,"",INDEX(EntryPartyType,$P460)))</f>
        <v/>
      </c>
      <c r="G460" s="28">
        <f>IF($P460="","",IF(INDEX(EntryTxnType,$P460)=0,"",INDEX(EntryTxnType,$P460)))</f>
        <v/>
      </c>
      <c r="H460" s="29">
        <f>IF($P460="","",IF(INDEX(EntryDep,$P460)=0,"",INDEX(EntryDep,$P460)))</f>
        <v/>
      </c>
      <c r="I460" s="29">
        <f>IF($P460="","",IF(INDEX(EntryWit,$P460)=0,"",INDEX(EntryWit,$P460)))</f>
        <v/>
      </c>
      <c r="J460" s="29">
        <f>IF($B460="","",IF($A460=1,$C$7,IF(J459="",0,J459))+IF($H460="",0,$H460)-IF($I460="",0,$I460))</f>
        <v/>
      </c>
      <c r="K460" s="29">
        <f>IF($P460="","",IF(INDEX(EntryMan,$P460)=0,"",INDEX(EntryMan,$P460)))</f>
        <v/>
      </c>
      <c r="L460" s="28">
        <f>IF($B460="","",IF($K460="","—",IF(ROUND($K460-$J460,0)=0,"√","×")))</f>
        <v/>
      </c>
      <c r="M460" s="28">
        <f>IF($B460="","",IF(COUNTIFS(EntryDates,$B460,CalcTime,$C460,CalcBank,$C$5,EntryParty,$D460,EntryDep,$H460,EntryWit,$I460)&gt;1,"تکرار",""))</f>
        <v/>
      </c>
      <c r="N460" s="28">
        <f>IF($P460="","",IF(INDEX(EntryNotes,$P460)=0,"",INDEX(EntryNotes,$P460)))</f>
        <v/>
      </c>
      <c r="O460" s="28">
        <f>IF($P460="","",IF(INDEX(EntryTxnID,$P460)=0,"",INDEX(EntryTxnID,$P460)))</f>
        <v/>
      </c>
      <c r="P460" s="28">
        <f>IFERROR(MATCH($C$5&amp;"|"&amp;RIGHT("000000"&amp;444,6),CalcRankKey,0),"")</f>
        <v/>
      </c>
    </row>
    <row r="461">
      <c r="A461" s="26">
        <f>IF($B461="","",445)</f>
        <v/>
      </c>
      <c r="B461" s="26">
        <f>IF($P461="","",IF(INDEX(CalcNormDate,$P461)=0,"",INDEX(CalcNormDate,$P461)))</f>
        <v/>
      </c>
      <c r="C461" s="26">
        <f>IF($P461="","",IF(INDEX(CalcTime,$P461)=0,"",INDEX(CalcTime,$P461)))</f>
        <v/>
      </c>
      <c r="D461" s="26">
        <f>IF($P461="","",IF(INDEX(EntryParty,$P461)=0,"",INDEX(EntryParty,$P461)))</f>
        <v/>
      </c>
      <c r="E461" s="26">
        <f>IF($P461="","",IF(INDEX(EntryPartyName,$P461)=0,"",INDEX(EntryPartyName,$P461)))</f>
        <v/>
      </c>
      <c r="F461" s="26">
        <f>IF($P461="","",IF(INDEX(EntryPartyType,$P461)=0,"",INDEX(EntryPartyType,$P461)))</f>
        <v/>
      </c>
      <c r="G461" s="26">
        <f>IF($P461="","",IF(INDEX(EntryTxnType,$P461)=0,"",INDEX(EntryTxnType,$P461)))</f>
        <v/>
      </c>
      <c r="H461" s="27">
        <f>IF($P461="","",IF(INDEX(EntryDep,$P461)=0,"",INDEX(EntryDep,$P461)))</f>
        <v/>
      </c>
      <c r="I461" s="27">
        <f>IF($P461="","",IF(INDEX(EntryWit,$P461)=0,"",INDEX(EntryWit,$P461)))</f>
        <v/>
      </c>
      <c r="J461" s="27">
        <f>IF($B461="","",IF($A461=1,$C$7,IF(J460="",0,J460))+IF($H461="",0,$H461)-IF($I461="",0,$I461))</f>
        <v/>
      </c>
      <c r="K461" s="27">
        <f>IF($P461="","",IF(INDEX(EntryMan,$P461)=0,"",INDEX(EntryMan,$P461)))</f>
        <v/>
      </c>
      <c r="L461" s="26">
        <f>IF($B461="","",IF($K461="","—",IF(ROUND($K461-$J461,0)=0,"√","×")))</f>
        <v/>
      </c>
      <c r="M461" s="26">
        <f>IF($B461="","",IF(COUNTIFS(EntryDates,$B461,CalcTime,$C461,CalcBank,$C$5,EntryParty,$D461,EntryDep,$H461,EntryWit,$I461)&gt;1,"تکرار",""))</f>
        <v/>
      </c>
      <c r="N461" s="26">
        <f>IF($P461="","",IF(INDEX(EntryNotes,$P461)=0,"",INDEX(EntryNotes,$P461)))</f>
        <v/>
      </c>
      <c r="O461" s="26">
        <f>IF($P461="","",IF(INDEX(EntryTxnID,$P461)=0,"",INDEX(EntryTxnID,$P461)))</f>
        <v/>
      </c>
      <c r="P461" s="26">
        <f>IFERROR(MATCH($C$5&amp;"|"&amp;RIGHT("000000"&amp;445,6),CalcRankKey,0),"")</f>
        <v/>
      </c>
    </row>
    <row r="462">
      <c r="A462" s="28">
        <f>IF($B462="","",446)</f>
        <v/>
      </c>
      <c r="B462" s="28">
        <f>IF($P462="","",IF(INDEX(CalcNormDate,$P462)=0,"",INDEX(CalcNormDate,$P462)))</f>
        <v/>
      </c>
      <c r="C462" s="28">
        <f>IF($P462="","",IF(INDEX(CalcTime,$P462)=0,"",INDEX(CalcTime,$P462)))</f>
        <v/>
      </c>
      <c r="D462" s="28">
        <f>IF($P462="","",IF(INDEX(EntryParty,$P462)=0,"",INDEX(EntryParty,$P462)))</f>
        <v/>
      </c>
      <c r="E462" s="28">
        <f>IF($P462="","",IF(INDEX(EntryPartyName,$P462)=0,"",INDEX(EntryPartyName,$P462)))</f>
        <v/>
      </c>
      <c r="F462" s="28">
        <f>IF($P462="","",IF(INDEX(EntryPartyType,$P462)=0,"",INDEX(EntryPartyType,$P462)))</f>
        <v/>
      </c>
      <c r="G462" s="28">
        <f>IF($P462="","",IF(INDEX(EntryTxnType,$P462)=0,"",INDEX(EntryTxnType,$P462)))</f>
        <v/>
      </c>
      <c r="H462" s="29">
        <f>IF($P462="","",IF(INDEX(EntryDep,$P462)=0,"",INDEX(EntryDep,$P462)))</f>
        <v/>
      </c>
      <c r="I462" s="29">
        <f>IF($P462="","",IF(INDEX(EntryWit,$P462)=0,"",INDEX(EntryWit,$P462)))</f>
        <v/>
      </c>
      <c r="J462" s="29">
        <f>IF($B462="","",IF($A462=1,$C$7,IF(J461="",0,J461))+IF($H462="",0,$H462)-IF($I462="",0,$I462))</f>
        <v/>
      </c>
      <c r="K462" s="29">
        <f>IF($P462="","",IF(INDEX(EntryMan,$P462)=0,"",INDEX(EntryMan,$P462)))</f>
        <v/>
      </c>
      <c r="L462" s="28">
        <f>IF($B462="","",IF($K462="","—",IF(ROUND($K462-$J462,0)=0,"√","×")))</f>
        <v/>
      </c>
      <c r="M462" s="28">
        <f>IF($B462="","",IF(COUNTIFS(EntryDates,$B462,CalcTime,$C462,CalcBank,$C$5,EntryParty,$D462,EntryDep,$H462,EntryWit,$I462)&gt;1,"تکرار",""))</f>
        <v/>
      </c>
      <c r="N462" s="28">
        <f>IF($P462="","",IF(INDEX(EntryNotes,$P462)=0,"",INDEX(EntryNotes,$P462)))</f>
        <v/>
      </c>
      <c r="O462" s="28">
        <f>IF($P462="","",IF(INDEX(EntryTxnID,$P462)=0,"",INDEX(EntryTxnID,$P462)))</f>
        <v/>
      </c>
      <c r="P462" s="28">
        <f>IFERROR(MATCH($C$5&amp;"|"&amp;RIGHT("000000"&amp;446,6),CalcRankKey,0),"")</f>
        <v/>
      </c>
    </row>
    <row r="463">
      <c r="A463" s="26">
        <f>IF($B463="","",447)</f>
        <v/>
      </c>
      <c r="B463" s="26">
        <f>IF($P463="","",IF(INDEX(CalcNormDate,$P463)=0,"",INDEX(CalcNormDate,$P463)))</f>
        <v/>
      </c>
      <c r="C463" s="26">
        <f>IF($P463="","",IF(INDEX(CalcTime,$P463)=0,"",INDEX(CalcTime,$P463)))</f>
        <v/>
      </c>
      <c r="D463" s="26">
        <f>IF($P463="","",IF(INDEX(EntryParty,$P463)=0,"",INDEX(EntryParty,$P463)))</f>
        <v/>
      </c>
      <c r="E463" s="26">
        <f>IF($P463="","",IF(INDEX(EntryPartyName,$P463)=0,"",INDEX(EntryPartyName,$P463)))</f>
        <v/>
      </c>
      <c r="F463" s="26">
        <f>IF($P463="","",IF(INDEX(EntryPartyType,$P463)=0,"",INDEX(EntryPartyType,$P463)))</f>
        <v/>
      </c>
      <c r="G463" s="26">
        <f>IF($P463="","",IF(INDEX(EntryTxnType,$P463)=0,"",INDEX(EntryTxnType,$P463)))</f>
        <v/>
      </c>
      <c r="H463" s="27">
        <f>IF($P463="","",IF(INDEX(EntryDep,$P463)=0,"",INDEX(EntryDep,$P463)))</f>
        <v/>
      </c>
      <c r="I463" s="27">
        <f>IF($P463="","",IF(INDEX(EntryWit,$P463)=0,"",INDEX(EntryWit,$P463)))</f>
        <v/>
      </c>
      <c r="J463" s="27">
        <f>IF($B463="","",IF($A463=1,$C$7,IF(J462="",0,J462))+IF($H463="",0,$H463)-IF($I463="",0,$I463))</f>
        <v/>
      </c>
      <c r="K463" s="27">
        <f>IF($P463="","",IF(INDEX(EntryMan,$P463)=0,"",INDEX(EntryMan,$P463)))</f>
        <v/>
      </c>
      <c r="L463" s="26">
        <f>IF($B463="","",IF($K463="","—",IF(ROUND($K463-$J463,0)=0,"√","×")))</f>
        <v/>
      </c>
      <c r="M463" s="26">
        <f>IF($B463="","",IF(COUNTIFS(EntryDates,$B463,CalcTime,$C463,CalcBank,$C$5,EntryParty,$D463,EntryDep,$H463,EntryWit,$I463)&gt;1,"تکرار",""))</f>
        <v/>
      </c>
      <c r="N463" s="26">
        <f>IF($P463="","",IF(INDEX(EntryNotes,$P463)=0,"",INDEX(EntryNotes,$P463)))</f>
        <v/>
      </c>
      <c r="O463" s="26">
        <f>IF($P463="","",IF(INDEX(EntryTxnID,$P463)=0,"",INDEX(EntryTxnID,$P463)))</f>
        <v/>
      </c>
      <c r="P463" s="26">
        <f>IFERROR(MATCH($C$5&amp;"|"&amp;RIGHT("000000"&amp;447,6),CalcRankKey,0),"")</f>
        <v/>
      </c>
    </row>
    <row r="464">
      <c r="A464" s="28">
        <f>IF($B464="","",448)</f>
        <v/>
      </c>
      <c r="B464" s="28">
        <f>IF($P464="","",IF(INDEX(CalcNormDate,$P464)=0,"",INDEX(CalcNormDate,$P464)))</f>
        <v/>
      </c>
      <c r="C464" s="28">
        <f>IF($P464="","",IF(INDEX(CalcTime,$P464)=0,"",INDEX(CalcTime,$P464)))</f>
        <v/>
      </c>
      <c r="D464" s="28">
        <f>IF($P464="","",IF(INDEX(EntryParty,$P464)=0,"",INDEX(EntryParty,$P464)))</f>
        <v/>
      </c>
      <c r="E464" s="28">
        <f>IF($P464="","",IF(INDEX(EntryPartyName,$P464)=0,"",INDEX(EntryPartyName,$P464)))</f>
        <v/>
      </c>
      <c r="F464" s="28">
        <f>IF($P464="","",IF(INDEX(EntryPartyType,$P464)=0,"",INDEX(EntryPartyType,$P464)))</f>
        <v/>
      </c>
      <c r="G464" s="28">
        <f>IF($P464="","",IF(INDEX(EntryTxnType,$P464)=0,"",INDEX(EntryTxnType,$P464)))</f>
        <v/>
      </c>
      <c r="H464" s="29">
        <f>IF($P464="","",IF(INDEX(EntryDep,$P464)=0,"",INDEX(EntryDep,$P464)))</f>
        <v/>
      </c>
      <c r="I464" s="29">
        <f>IF($P464="","",IF(INDEX(EntryWit,$P464)=0,"",INDEX(EntryWit,$P464)))</f>
        <v/>
      </c>
      <c r="J464" s="29">
        <f>IF($B464="","",IF($A464=1,$C$7,IF(J463="",0,J463))+IF($H464="",0,$H464)-IF($I464="",0,$I464))</f>
        <v/>
      </c>
      <c r="K464" s="29">
        <f>IF($P464="","",IF(INDEX(EntryMan,$P464)=0,"",INDEX(EntryMan,$P464)))</f>
        <v/>
      </c>
      <c r="L464" s="28">
        <f>IF($B464="","",IF($K464="","—",IF(ROUND($K464-$J464,0)=0,"√","×")))</f>
        <v/>
      </c>
      <c r="M464" s="28">
        <f>IF($B464="","",IF(COUNTIFS(EntryDates,$B464,CalcTime,$C464,CalcBank,$C$5,EntryParty,$D464,EntryDep,$H464,EntryWit,$I464)&gt;1,"تکرار",""))</f>
        <v/>
      </c>
      <c r="N464" s="28">
        <f>IF($P464="","",IF(INDEX(EntryNotes,$P464)=0,"",INDEX(EntryNotes,$P464)))</f>
        <v/>
      </c>
      <c r="O464" s="28">
        <f>IF($P464="","",IF(INDEX(EntryTxnID,$P464)=0,"",INDEX(EntryTxnID,$P464)))</f>
        <v/>
      </c>
      <c r="P464" s="28">
        <f>IFERROR(MATCH($C$5&amp;"|"&amp;RIGHT("000000"&amp;448,6),CalcRankKey,0),"")</f>
        <v/>
      </c>
    </row>
    <row r="465">
      <c r="A465" s="26">
        <f>IF($B465="","",449)</f>
        <v/>
      </c>
      <c r="B465" s="26">
        <f>IF($P465="","",IF(INDEX(CalcNormDate,$P465)=0,"",INDEX(CalcNormDate,$P465)))</f>
        <v/>
      </c>
      <c r="C465" s="26">
        <f>IF($P465="","",IF(INDEX(CalcTime,$P465)=0,"",INDEX(CalcTime,$P465)))</f>
        <v/>
      </c>
      <c r="D465" s="26">
        <f>IF($P465="","",IF(INDEX(EntryParty,$P465)=0,"",INDEX(EntryParty,$P465)))</f>
        <v/>
      </c>
      <c r="E465" s="26">
        <f>IF($P465="","",IF(INDEX(EntryPartyName,$P465)=0,"",INDEX(EntryPartyName,$P465)))</f>
        <v/>
      </c>
      <c r="F465" s="26">
        <f>IF($P465="","",IF(INDEX(EntryPartyType,$P465)=0,"",INDEX(EntryPartyType,$P465)))</f>
        <v/>
      </c>
      <c r="G465" s="26">
        <f>IF($P465="","",IF(INDEX(EntryTxnType,$P465)=0,"",INDEX(EntryTxnType,$P465)))</f>
        <v/>
      </c>
      <c r="H465" s="27">
        <f>IF($P465="","",IF(INDEX(EntryDep,$P465)=0,"",INDEX(EntryDep,$P465)))</f>
        <v/>
      </c>
      <c r="I465" s="27">
        <f>IF($P465="","",IF(INDEX(EntryWit,$P465)=0,"",INDEX(EntryWit,$P465)))</f>
        <v/>
      </c>
      <c r="J465" s="27">
        <f>IF($B465="","",IF($A465=1,$C$7,IF(J464="",0,J464))+IF($H465="",0,$H465)-IF($I465="",0,$I465))</f>
        <v/>
      </c>
      <c r="K465" s="27">
        <f>IF($P465="","",IF(INDEX(EntryMan,$P465)=0,"",INDEX(EntryMan,$P465)))</f>
        <v/>
      </c>
      <c r="L465" s="26">
        <f>IF($B465="","",IF($K465="","—",IF(ROUND($K465-$J465,0)=0,"√","×")))</f>
        <v/>
      </c>
      <c r="M465" s="26">
        <f>IF($B465="","",IF(COUNTIFS(EntryDates,$B465,CalcTime,$C465,CalcBank,$C$5,EntryParty,$D465,EntryDep,$H465,EntryWit,$I465)&gt;1,"تکرار",""))</f>
        <v/>
      </c>
      <c r="N465" s="26">
        <f>IF($P465="","",IF(INDEX(EntryNotes,$P465)=0,"",INDEX(EntryNotes,$P465)))</f>
        <v/>
      </c>
      <c r="O465" s="26">
        <f>IF($P465="","",IF(INDEX(EntryTxnID,$P465)=0,"",INDEX(EntryTxnID,$P465)))</f>
        <v/>
      </c>
      <c r="P465" s="26">
        <f>IFERROR(MATCH($C$5&amp;"|"&amp;RIGHT("000000"&amp;449,6),CalcRankKey,0),"")</f>
        <v/>
      </c>
    </row>
    <row r="466">
      <c r="A466" s="28">
        <f>IF($B466="","",450)</f>
        <v/>
      </c>
      <c r="B466" s="28">
        <f>IF($P466="","",IF(INDEX(CalcNormDate,$P466)=0,"",INDEX(CalcNormDate,$P466)))</f>
        <v/>
      </c>
      <c r="C466" s="28">
        <f>IF($P466="","",IF(INDEX(CalcTime,$P466)=0,"",INDEX(CalcTime,$P466)))</f>
        <v/>
      </c>
      <c r="D466" s="28">
        <f>IF($P466="","",IF(INDEX(EntryParty,$P466)=0,"",INDEX(EntryParty,$P466)))</f>
        <v/>
      </c>
      <c r="E466" s="28">
        <f>IF($P466="","",IF(INDEX(EntryPartyName,$P466)=0,"",INDEX(EntryPartyName,$P466)))</f>
        <v/>
      </c>
      <c r="F466" s="28">
        <f>IF($P466="","",IF(INDEX(EntryPartyType,$P466)=0,"",INDEX(EntryPartyType,$P466)))</f>
        <v/>
      </c>
      <c r="G466" s="28">
        <f>IF($P466="","",IF(INDEX(EntryTxnType,$P466)=0,"",INDEX(EntryTxnType,$P466)))</f>
        <v/>
      </c>
      <c r="H466" s="29">
        <f>IF($P466="","",IF(INDEX(EntryDep,$P466)=0,"",INDEX(EntryDep,$P466)))</f>
        <v/>
      </c>
      <c r="I466" s="29">
        <f>IF($P466="","",IF(INDEX(EntryWit,$P466)=0,"",INDEX(EntryWit,$P466)))</f>
        <v/>
      </c>
      <c r="J466" s="29">
        <f>IF($B466="","",IF($A466=1,$C$7,IF(J465="",0,J465))+IF($H466="",0,$H466)-IF($I466="",0,$I466))</f>
        <v/>
      </c>
      <c r="K466" s="29">
        <f>IF($P466="","",IF(INDEX(EntryMan,$P466)=0,"",INDEX(EntryMan,$P466)))</f>
        <v/>
      </c>
      <c r="L466" s="28">
        <f>IF($B466="","",IF($K466="","—",IF(ROUND($K466-$J466,0)=0,"√","×")))</f>
        <v/>
      </c>
      <c r="M466" s="28">
        <f>IF($B466="","",IF(COUNTIFS(EntryDates,$B466,CalcTime,$C466,CalcBank,$C$5,EntryParty,$D466,EntryDep,$H466,EntryWit,$I466)&gt;1,"تکرار",""))</f>
        <v/>
      </c>
      <c r="N466" s="28">
        <f>IF($P466="","",IF(INDEX(EntryNotes,$P466)=0,"",INDEX(EntryNotes,$P466)))</f>
        <v/>
      </c>
      <c r="O466" s="28">
        <f>IF($P466="","",IF(INDEX(EntryTxnID,$P466)=0,"",INDEX(EntryTxnID,$P466)))</f>
        <v/>
      </c>
      <c r="P466" s="28">
        <f>IFERROR(MATCH($C$5&amp;"|"&amp;RIGHT("000000"&amp;450,6),CalcRankKey,0),"")</f>
        <v/>
      </c>
    </row>
    <row r="467">
      <c r="A467" s="26">
        <f>IF($B467="","",451)</f>
        <v/>
      </c>
      <c r="B467" s="26">
        <f>IF($P467="","",IF(INDEX(CalcNormDate,$P467)=0,"",INDEX(CalcNormDate,$P467)))</f>
        <v/>
      </c>
      <c r="C467" s="26">
        <f>IF($P467="","",IF(INDEX(CalcTime,$P467)=0,"",INDEX(CalcTime,$P467)))</f>
        <v/>
      </c>
      <c r="D467" s="26">
        <f>IF($P467="","",IF(INDEX(EntryParty,$P467)=0,"",INDEX(EntryParty,$P467)))</f>
        <v/>
      </c>
      <c r="E467" s="26">
        <f>IF($P467="","",IF(INDEX(EntryPartyName,$P467)=0,"",INDEX(EntryPartyName,$P467)))</f>
        <v/>
      </c>
      <c r="F467" s="26">
        <f>IF($P467="","",IF(INDEX(EntryPartyType,$P467)=0,"",INDEX(EntryPartyType,$P467)))</f>
        <v/>
      </c>
      <c r="G467" s="26">
        <f>IF($P467="","",IF(INDEX(EntryTxnType,$P467)=0,"",INDEX(EntryTxnType,$P467)))</f>
        <v/>
      </c>
      <c r="H467" s="27">
        <f>IF($P467="","",IF(INDEX(EntryDep,$P467)=0,"",INDEX(EntryDep,$P467)))</f>
        <v/>
      </c>
      <c r="I467" s="27">
        <f>IF($P467="","",IF(INDEX(EntryWit,$P467)=0,"",INDEX(EntryWit,$P467)))</f>
        <v/>
      </c>
      <c r="J467" s="27">
        <f>IF($B467="","",IF($A467=1,$C$7,IF(J466="",0,J466))+IF($H467="",0,$H467)-IF($I467="",0,$I467))</f>
        <v/>
      </c>
      <c r="K467" s="27">
        <f>IF($P467="","",IF(INDEX(EntryMan,$P467)=0,"",INDEX(EntryMan,$P467)))</f>
        <v/>
      </c>
      <c r="L467" s="26">
        <f>IF($B467="","",IF($K467="","—",IF(ROUND($K467-$J467,0)=0,"√","×")))</f>
        <v/>
      </c>
      <c r="M467" s="26">
        <f>IF($B467="","",IF(COUNTIFS(EntryDates,$B467,CalcTime,$C467,CalcBank,$C$5,EntryParty,$D467,EntryDep,$H467,EntryWit,$I467)&gt;1,"تکرار",""))</f>
        <v/>
      </c>
      <c r="N467" s="26">
        <f>IF($P467="","",IF(INDEX(EntryNotes,$P467)=0,"",INDEX(EntryNotes,$P467)))</f>
        <v/>
      </c>
      <c r="O467" s="26">
        <f>IF($P467="","",IF(INDEX(EntryTxnID,$P467)=0,"",INDEX(EntryTxnID,$P467)))</f>
        <v/>
      </c>
      <c r="P467" s="26">
        <f>IFERROR(MATCH($C$5&amp;"|"&amp;RIGHT("000000"&amp;451,6),CalcRankKey,0),"")</f>
        <v/>
      </c>
    </row>
    <row r="468">
      <c r="A468" s="28">
        <f>IF($B468="","",452)</f>
        <v/>
      </c>
      <c r="B468" s="28">
        <f>IF($P468="","",IF(INDEX(CalcNormDate,$P468)=0,"",INDEX(CalcNormDate,$P468)))</f>
        <v/>
      </c>
      <c r="C468" s="28">
        <f>IF($P468="","",IF(INDEX(CalcTime,$P468)=0,"",INDEX(CalcTime,$P468)))</f>
        <v/>
      </c>
      <c r="D468" s="28">
        <f>IF($P468="","",IF(INDEX(EntryParty,$P468)=0,"",INDEX(EntryParty,$P468)))</f>
        <v/>
      </c>
      <c r="E468" s="28">
        <f>IF($P468="","",IF(INDEX(EntryPartyName,$P468)=0,"",INDEX(EntryPartyName,$P468)))</f>
        <v/>
      </c>
      <c r="F468" s="28">
        <f>IF($P468="","",IF(INDEX(EntryPartyType,$P468)=0,"",INDEX(EntryPartyType,$P468)))</f>
        <v/>
      </c>
      <c r="G468" s="28">
        <f>IF($P468="","",IF(INDEX(EntryTxnType,$P468)=0,"",INDEX(EntryTxnType,$P468)))</f>
        <v/>
      </c>
      <c r="H468" s="29">
        <f>IF($P468="","",IF(INDEX(EntryDep,$P468)=0,"",INDEX(EntryDep,$P468)))</f>
        <v/>
      </c>
      <c r="I468" s="29">
        <f>IF($P468="","",IF(INDEX(EntryWit,$P468)=0,"",INDEX(EntryWit,$P468)))</f>
        <v/>
      </c>
      <c r="J468" s="29">
        <f>IF($B468="","",IF($A468=1,$C$7,IF(J467="",0,J467))+IF($H468="",0,$H468)-IF($I468="",0,$I468))</f>
        <v/>
      </c>
      <c r="K468" s="29">
        <f>IF($P468="","",IF(INDEX(EntryMan,$P468)=0,"",INDEX(EntryMan,$P468)))</f>
        <v/>
      </c>
      <c r="L468" s="28">
        <f>IF($B468="","",IF($K468="","—",IF(ROUND($K468-$J468,0)=0,"√","×")))</f>
        <v/>
      </c>
      <c r="M468" s="28">
        <f>IF($B468="","",IF(COUNTIFS(EntryDates,$B468,CalcTime,$C468,CalcBank,$C$5,EntryParty,$D468,EntryDep,$H468,EntryWit,$I468)&gt;1,"تکرار",""))</f>
        <v/>
      </c>
      <c r="N468" s="28">
        <f>IF($P468="","",IF(INDEX(EntryNotes,$P468)=0,"",INDEX(EntryNotes,$P468)))</f>
        <v/>
      </c>
      <c r="O468" s="28">
        <f>IF($P468="","",IF(INDEX(EntryTxnID,$P468)=0,"",INDEX(EntryTxnID,$P468)))</f>
        <v/>
      </c>
      <c r="P468" s="28">
        <f>IFERROR(MATCH($C$5&amp;"|"&amp;RIGHT("000000"&amp;452,6),CalcRankKey,0),"")</f>
        <v/>
      </c>
    </row>
    <row r="469">
      <c r="A469" s="26">
        <f>IF($B469="","",453)</f>
        <v/>
      </c>
      <c r="B469" s="26">
        <f>IF($P469="","",IF(INDEX(CalcNormDate,$P469)=0,"",INDEX(CalcNormDate,$P469)))</f>
        <v/>
      </c>
      <c r="C469" s="26">
        <f>IF($P469="","",IF(INDEX(CalcTime,$P469)=0,"",INDEX(CalcTime,$P469)))</f>
        <v/>
      </c>
      <c r="D469" s="26">
        <f>IF($P469="","",IF(INDEX(EntryParty,$P469)=0,"",INDEX(EntryParty,$P469)))</f>
        <v/>
      </c>
      <c r="E469" s="26">
        <f>IF($P469="","",IF(INDEX(EntryPartyName,$P469)=0,"",INDEX(EntryPartyName,$P469)))</f>
        <v/>
      </c>
      <c r="F469" s="26">
        <f>IF($P469="","",IF(INDEX(EntryPartyType,$P469)=0,"",INDEX(EntryPartyType,$P469)))</f>
        <v/>
      </c>
      <c r="G469" s="26">
        <f>IF($P469="","",IF(INDEX(EntryTxnType,$P469)=0,"",INDEX(EntryTxnType,$P469)))</f>
        <v/>
      </c>
      <c r="H469" s="27">
        <f>IF($P469="","",IF(INDEX(EntryDep,$P469)=0,"",INDEX(EntryDep,$P469)))</f>
        <v/>
      </c>
      <c r="I469" s="27">
        <f>IF($P469="","",IF(INDEX(EntryWit,$P469)=0,"",INDEX(EntryWit,$P469)))</f>
        <v/>
      </c>
      <c r="J469" s="27">
        <f>IF($B469="","",IF($A469=1,$C$7,IF(J468="",0,J468))+IF($H469="",0,$H469)-IF($I469="",0,$I469))</f>
        <v/>
      </c>
      <c r="K469" s="27">
        <f>IF($P469="","",IF(INDEX(EntryMan,$P469)=0,"",INDEX(EntryMan,$P469)))</f>
        <v/>
      </c>
      <c r="L469" s="26">
        <f>IF($B469="","",IF($K469="","—",IF(ROUND($K469-$J469,0)=0,"√","×")))</f>
        <v/>
      </c>
      <c r="M469" s="26">
        <f>IF($B469="","",IF(COUNTIFS(EntryDates,$B469,CalcTime,$C469,CalcBank,$C$5,EntryParty,$D469,EntryDep,$H469,EntryWit,$I469)&gt;1,"تکرار",""))</f>
        <v/>
      </c>
      <c r="N469" s="26">
        <f>IF($P469="","",IF(INDEX(EntryNotes,$P469)=0,"",INDEX(EntryNotes,$P469)))</f>
        <v/>
      </c>
      <c r="O469" s="26">
        <f>IF($P469="","",IF(INDEX(EntryTxnID,$P469)=0,"",INDEX(EntryTxnID,$P469)))</f>
        <v/>
      </c>
      <c r="P469" s="26">
        <f>IFERROR(MATCH($C$5&amp;"|"&amp;RIGHT("000000"&amp;453,6),CalcRankKey,0),"")</f>
        <v/>
      </c>
    </row>
    <row r="470">
      <c r="A470" s="28">
        <f>IF($B470="","",454)</f>
        <v/>
      </c>
      <c r="B470" s="28">
        <f>IF($P470="","",IF(INDEX(CalcNormDate,$P470)=0,"",INDEX(CalcNormDate,$P470)))</f>
        <v/>
      </c>
      <c r="C470" s="28">
        <f>IF($P470="","",IF(INDEX(CalcTime,$P470)=0,"",INDEX(CalcTime,$P470)))</f>
        <v/>
      </c>
      <c r="D470" s="28">
        <f>IF($P470="","",IF(INDEX(EntryParty,$P470)=0,"",INDEX(EntryParty,$P470)))</f>
        <v/>
      </c>
      <c r="E470" s="28">
        <f>IF($P470="","",IF(INDEX(EntryPartyName,$P470)=0,"",INDEX(EntryPartyName,$P470)))</f>
        <v/>
      </c>
      <c r="F470" s="28">
        <f>IF($P470="","",IF(INDEX(EntryPartyType,$P470)=0,"",INDEX(EntryPartyType,$P470)))</f>
        <v/>
      </c>
      <c r="G470" s="28">
        <f>IF($P470="","",IF(INDEX(EntryTxnType,$P470)=0,"",INDEX(EntryTxnType,$P470)))</f>
        <v/>
      </c>
      <c r="H470" s="29">
        <f>IF($P470="","",IF(INDEX(EntryDep,$P470)=0,"",INDEX(EntryDep,$P470)))</f>
        <v/>
      </c>
      <c r="I470" s="29">
        <f>IF($P470="","",IF(INDEX(EntryWit,$P470)=0,"",INDEX(EntryWit,$P470)))</f>
        <v/>
      </c>
      <c r="J470" s="29">
        <f>IF($B470="","",IF($A470=1,$C$7,IF(J469="",0,J469))+IF($H470="",0,$H470)-IF($I470="",0,$I470))</f>
        <v/>
      </c>
      <c r="K470" s="29">
        <f>IF($P470="","",IF(INDEX(EntryMan,$P470)=0,"",INDEX(EntryMan,$P470)))</f>
        <v/>
      </c>
      <c r="L470" s="28">
        <f>IF($B470="","",IF($K470="","—",IF(ROUND($K470-$J470,0)=0,"√","×")))</f>
        <v/>
      </c>
      <c r="M470" s="28">
        <f>IF($B470="","",IF(COUNTIFS(EntryDates,$B470,CalcTime,$C470,CalcBank,$C$5,EntryParty,$D470,EntryDep,$H470,EntryWit,$I470)&gt;1,"تکرار",""))</f>
        <v/>
      </c>
      <c r="N470" s="28">
        <f>IF($P470="","",IF(INDEX(EntryNotes,$P470)=0,"",INDEX(EntryNotes,$P470)))</f>
        <v/>
      </c>
      <c r="O470" s="28">
        <f>IF($P470="","",IF(INDEX(EntryTxnID,$P470)=0,"",INDEX(EntryTxnID,$P470)))</f>
        <v/>
      </c>
      <c r="P470" s="28">
        <f>IFERROR(MATCH($C$5&amp;"|"&amp;RIGHT("000000"&amp;454,6),CalcRankKey,0),"")</f>
        <v/>
      </c>
    </row>
    <row r="471">
      <c r="A471" s="26">
        <f>IF($B471="","",455)</f>
        <v/>
      </c>
      <c r="B471" s="26">
        <f>IF($P471="","",IF(INDEX(CalcNormDate,$P471)=0,"",INDEX(CalcNormDate,$P471)))</f>
        <v/>
      </c>
      <c r="C471" s="26">
        <f>IF($P471="","",IF(INDEX(CalcTime,$P471)=0,"",INDEX(CalcTime,$P471)))</f>
        <v/>
      </c>
      <c r="D471" s="26">
        <f>IF($P471="","",IF(INDEX(EntryParty,$P471)=0,"",INDEX(EntryParty,$P471)))</f>
        <v/>
      </c>
      <c r="E471" s="26">
        <f>IF($P471="","",IF(INDEX(EntryPartyName,$P471)=0,"",INDEX(EntryPartyName,$P471)))</f>
        <v/>
      </c>
      <c r="F471" s="26">
        <f>IF($P471="","",IF(INDEX(EntryPartyType,$P471)=0,"",INDEX(EntryPartyType,$P471)))</f>
        <v/>
      </c>
      <c r="G471" s="26">
        <f>IF($P471="","",IF(INDEX(EntryTxnType,$P471)=0,"",INDEX(EntryTxnType,$P471)))</f>
        <v/>
      </c>
      <c r="H471" s="27">
        <f>IF($P471="","",IF(INDEX(EntryDep,$P471)=0,"",INDEX(EntryDep,$P471)))</f>
        <v/>
      </c>
      <c r="I471" s="27">
        <f>IF($P471="","",IF(INDEX(EntryWit,$P471)=0,"",INDEX(EntryWit,$P471)))</f>
        <v/>
      </c>
      <c r="J471" s="27">
        <f>IF($B471="","",IF($A471=1,$C$7,IF(J470="",0,J470))+IF($H471="",0,$H471)-IF($I471="",0,$I471))</f>
        <v/>
      </c>
      <c r="K471" s="27">
        <f>IF($P471="","",IF(INDEX(EntryMan,$P471)=0,"",INDEX(EntryMan,$P471)))</f>
        <v/>
      </c>
      <c r="L471" s="26">
        <f>IF($B471="","",IF($K471="","—",IF(ROUND($K471-$J471,0)=0,"√","×")))</f>
        <v/>
      </c>
      <c r="M471" s="26">
        <f>IF($B471="","",IF(COUNTIFS(EntryDates,$B471,CalcTime,$C471,CalcBank,$C$5,EntryParty,$D471,EntryDep,$H471,EntryWit,$I471)&gt;1,"تکرار",""))</f>
        <v/>
      </c>
      <c r="N471" s="26">
        <f>IF($P471="","",IF(INDEX(EntryNotes,$P471)=0,"",INDEX(EntryNotes,$P471)))</f>
        <v/>
      </c>
      <c r="O471" s="26">
        <f>IF($P471="","",IF(INDEX(EntryTxnID,$P471)=0,"",INDEX(EntryTxnID,$P471)))</f>
        <v/>
      </c>
      <c r="P471" s="26">
        <f>IFERROR(MATCH($C$5&amp;"|"&amp;RIGHT("000000"&amp;455,6),CalcRankKey,0),"")</f>
        <v/>
      </c>
    </row>
    <row r="472">
      <c r="A472" s="28">
        <f>IF($B472="","",456)</f>
        <v/>
      </c>
      <c r="B472" s="28">
        <f>IF($P472="","",IF(INDEX(CalcNormDate,$P472)=0,"",INDEX(CalcNormDate,$P472)))</f>
        <v/>
      </c>
      <c r="C472" s="28">
        <f>IF($P472="","",IF(INDEX(CalcTime,$P472)=0,"",INDEX(CalcTime,$P472)))</f>
        <v/>
      </c>
      <c r="D472" s="28">
        <f>IF($P472="","",IF(INDEX(EntryParty,$P472)=0,"",INDEX(EntryParty,$P472)))</f>
        <v/>
      </c>
      <c r="E472" s="28">
        <f>IF($P472="","",IF(INDEX(EntryPartyName,$P472)=0,"",INDEX(EntryPartyName,$P472)))</f>
        <v/>
      </c>
      <c r="F472" s="28">
        <f>IF($P472="","",IF(INDEX(EntryPartyType,$P472)=0,"",INDEX(EntryPartyType,$P472)))</f>
        <v/>
      </c>
      <c r="G472" s="28">
        <f>IF($P472="","",IF(INDEX(EntryTxnType,$P472)=0,"",INDEX(EntryTxnType,$P472)))</f>
        <v/>
      </c>
      <c r="H472" s="29">
        <f>IF($P472="","",IF(INDEX(EntryDep,$P472)=0,"",INDEX(EntryDep,$P472)))</f>
        <v/>
      </c>
      <c r="I472" s="29">
        <f>IF($P472="","",IF(INDEX(EntryWit,$P472)=0,"",INDEX(EntryWit,$P472)))</f>
        <v/>
      </c>
      <c r="J472" s="29">
        <f>IF($B472="","",IF($A472=1,$C$7,IF(J471="",0,J471))+IF($H472="",0,$H472)-IF($I472="",0,$I472))</f>
        <v/>
      </c>
      <c r="K472" s="29">
        <f>IF($P472="","",IF(INDEX(EntryMan,$P472)=0,"",INDEX(EntryMan,$P472)))</f>
        <v/>
      </c>
      <c r="L472" s="28">
        <f>IF($B472="","",IF($K472="","—",IF(ROUND($K472-$J472,0)=0,"√","×")))</f>
        <v/>
      </c>
      <c r="M472" s="28">
        <f>IF($B472="","",IF(COUNTIFS(EntryDates,$B472,CalcTime,$C472,CalcBank,$C$5,EntryParty,$D472,EntryDep,$H472,EntryWit,$I472)&gt;1,"تکرار",""))</f>
        <v/>
      </c>
      <c r="N472" s="28">
        <f>IF($P472="","",IF(INDEX(EntryNotes,$P472)=0,"",INDEX(EntryNotes,$P472)))</f>
        <v/>
      </c>
      <c r="O472" s="28">
        <f>IF($P472="","",IF(INDEX(EntryTxnID,$P472)=0,"",INDEX(EntryTxnID,$P472)))</f>
        <v/>
      </c>
      <c r="P472" s="28">
        <f>IFERROR(MATCH($C$5&amp;"|"&amp;RIGHT("000000"&amp;456,6),CalcRankKey,0),"")</f>
        <v/>
      </c>
    </row>
    <row r="473">
      <c r="A473" s="26">
        <f>IF($B473="","",457)</f>
        <v/>
      </c>
      <c r="B473" s="26">
        <f>IF($P473="","",IF(INDEX(CalcNormDate,$P473)=0,"",INDEX(CalcNormDate,$P473)))</f>
        <v/>
      </c>
      <c r="C473" s="26">
        <f>IF($P473="","",IF(INDEX(CalcTime,$P473)=0,"",INDEX(CalcTime,$P473)))</f>
        <v/>
      </c>
      <c r="D473" s="26">
        <f>IF($P473="","",IF(INDEX(EntryParty,$P473)=0,"",INDEX(EntryParty,$P473)))</f>
        <v/>
      </c>
      <c r="E473" s="26">
        <f>IF($P473="","",IF(INDEX(EntryPartyName,$P473)=0,"",INDEX(EntryPartyName,$P473)))</f>
        <v/>
      </c>
      <c r="F473" s="26">
        <f>IF($P473="","",IF(INDEX(EntryPartyType,$P473)=0,"",INDEX(EntryPartyType,$P473)))</f>
        <v/>
      </c>
      <c r="G473" s="26">
        <f>IF($P473="","",IF(INDEX(EntryTxnType,$P473)=0,"",INDEX(EntryTxnType,$P473)))</f>
        <v/>
      </c>
      <c r="H473" s="27">
        <f>IF($P473="","",IF(INDEX(EntryDep,$P473)=0,"",INDEX(EntryDep,$P473)))</f>
        <v/>
      </c>
      <c r="I473" s="27">
        <f>IF($P473="","",IF(INDEX(EntryWit,$P473)=0,"",INDEX(EntryWit,$P473)))</f>
        <v/>
      </c>
      <c r="J473" s="27">
        <f>IF($B473="","",IF($A473=1,$C$7,IF(J472="",0,J472))+IF($H473="",0,$H473)-IF($I473="",0,$I473))</f>
        <v/>
      </c>
      <c r="K473" s="27">
        <f>IF($P473="","",IF(INDEX(EntryMan,$P473)=0,"",INDEX(EntryMan,$P473)))</f>
        <v/>
      </c>
      <c r="L473" s="26">
        <f>IF($B473="","",IF($K473="","—",IF(ROUND($K473-$J473,0)=0,"√","×")))</f>
        <v/>
      </c>
      <c r="M473" s="26">
        <f>IF($B473="","",IF(COUNTIFS(EntryDates,$B473,CalcTime,$C473,CalcBank,$C$5,EntryParty,$D473,EntryDep,$H473,EntryWit,$I473)&gt;1,"تکرار",""))</f>
        <v/>
      </c>
      <c r="N473" s="26">
        <f>IF($P473="","",IF(INDEX(EntryNotes,$P473)=0,"",INDEX(EntryNotes,$P473)))</f>
        <v/>
      </c>
      <c r="O473" s="26">
        <f>IF($P473="","",IF(INDEX(EntryTxnID,$P473)=0,"",INDEX(EntryTxnID,$P473)))</f>
        <v/>
      </c>
      <c r="P473" s="26">
        <f>IFERROR(MATCH($C$5&amp;"|"&amp;RIGHT("000000"&amp;457,6),CalcRankKey,0),"")</f>
        <v/>
      </c>
    </row>
    <row r="474">
      <c r="A474" s="28">
        <f>IF($B474="","",458)</f>
        <v/>
      </c>
      <c r="B474" s="28">
        <f>IF($P474="","",IF(INDEX(CalcNormDate,$P474)=0,"",INDEX(CalcNormDate,$P474)))</f>
        <v/>
      </c>
      <c r="C474" s="28">
        <f>IF($P474="","",IF(INDEX(CalcTime,$P474)=0,"",INDEX(CalcTime,$P474)))</f>
        <v/>
      </c>
      <c r="D474" s="28">
        <f>IF($P474="","",IF(INDEX(EntryParty,$P474)=0,"",INDEX(EntryParty,$P474)))</f>
        <v/>
      </c>
      <c r="E474" s="28">
        <f>IF($P474="","",IF(INDEX(EntryPartyName,$P474)=0,"",INDEX(EntryPartyName,$P474)))</f>
        <v/>
      </c>
      <c r="F474" s="28">
        <f>IF($P474="","",IF(INDEX(EntryPartyType,$P474)=0,"",INDEX(EntryPartyType,$P474)))</f>
        <v/>
      </c>
      <c r="G474" s="28">
        <f>IF($P474="","",IF(INDEX(EntryTxnType,$P474)=0,"",INDEX(EntryTxnType,$P474)))</f>
        <v/>
      </c>
      <c r="H474" s="29">
        <f>IF($P474="","",IF(INDEX(EntryDep,$P474)=0,"",INDEX(EntryDep,$P474)))</f>
        <v/>
      </c>
      <c r="I474" s="29">
        <f>IF($P474="","",IF(INDEX(EntryWit,$P474)=0,"",INDEX(EntryWit,$P474)))</f>
        <v/>
      </c>
      <c r="J474" s="29">
        <f>IF($B474="","",IF($A474=1,$C$7,IF(J473="",0,J473))+IF($H474="",0,$H474)-IF($I474="",0,$I474))</f>
        <v/>
      </c>
      <c r="K474" s="29">
        <f>IF($P474="","",IF(INDEX(EntryMan,$P474)=0,"",INDEX(EntryMan,$P474)))</f>
        <v/>
      </c>
      <c r="L474" s="28">
        <f>IF($B474="","",IF($K474="","—",IF(ROUND($K474-$J474,0)=0,"√","×")))</f>
        <v/>
      </c>
      <c r="M474" s="28">
        <f>IF($B474="","",IF(COUNTIFS(EntryDates,$B474,CalcTime,$C474,CalcBank,$C$5,EntryParty,$D474,EntryDep,$H474,EntryWit,$I474)&gt;1,"تکرار",""))</f>
        <v/>
      </c>
      <c r="N474" s="28">
        <f>IF($P474="","",IF(INDEX(EntryNotes,$P474)=0,"",INDEX(EntryNotes,$P474)))</f>
        <v/>
      </c>
      <c r="O474" s="28">
        <f>IF($P474="","",IF(INDEX(EntryTxnID,$P474)=0,"",INDEX(EntryTxnID,$P474)))</f>
        <v/>
      </c>
      <c r="P474" s="28">
        <f>IFERROR(MATCH($C$5&amp;"|"&amp;RIGHT("000000"&amp;458,6),CalcRankKey,0),"")</f>
        <v/>
      </c>
    </row>
    <row r="475">
      <c r="A475" s="26">
        <f>IF($B475="","",459)</f>
        <v/>
      </c>
      <c r="B475" s="26">
        <f>IF($P475="","",IF(INDEX(CalcNormDate,$P475)=0,"",INDEX(CalcNormDate,$P475)))</f>
        <v/>
      </c>
      <c r="C475" s="26">
        <f>IF($P475="","",IF(INDEX(CalcTime,$P475)=0,"",INDEX(CalcTime,$P475)))</f>
        <v/>
      </c>
      <c r="D475" s="26">
        <f>IF($P475="","",IF(INDEX(EntryParty,$P475)=0,"",INDEX(EntryParty,$P475)))</f>
        <v/>
      </c>
      <c r="E475" s="26">
        <f>IF($P475="","",IF(INDEX(EntryPartyName,$P475)=0,"",INDEX(EntryPartyName,$P475)))</f>
        <v/>
      </c>
      <c r="F475" s="26">
        <f>IF($P475="","",IF(INDEX(EntryPartyType,$P475)=0,"",INDEX(EntryPartyType,$P475)))</f>
        <v/>
      </c>
      <c r="G475" s="26">
        <f>IF($P475="","",IF(INDEX(EntryTxnType,$P475)=0,"",INDEX(EntryTxnType,$P475)))</f>
        <v/>
      </c>
      <c r="H475" s="27">
        <f>IF($P475="","",IF(INDEX(EntryDep,$P475)=0,"",INDEX(EntryDep,$P475)))</f>
        <v/>
      </c>
      <c r="I475" s="27">
        <f>IF($P475="","",IF(INDEX(EntryWit,$P475)=0,"",INDEX(EntryWit,$P475)))</f>
        <v/>
      </c>
      <c r="J475" s="27">
        <f>IF($B475="","",IF($A475=1,$C$7,IF(J474="",0,J474))+IF($H475="",0,$H475)-IF($I475="",0,$I475))</f>
        <v/>
      </c>
      <c r="K475" s="27">
        <f>IF($P475="","",IF(INDEX(EntryMan,$P475)=0,"",INDEX(EntryMan,$P475)))</f>
        <v/>
      </c>
      <c r="L475" s="26">
        <f>IF($B475="","",IF($K475="","—",IF(ROUND($K475-$J475,0)=0,"√","×")))</f>
        <v/>
      </c>
      <c r="M475" s="26">
        <f>IF($B475="","",IF(COUNTIFS(EntryDates,$B475,CalcTime,$C475,CalcBank,$C$5,EntryParty,$D475,EntryDep,$H475,EntryWit,$I475)&gt;1,"تکرار",""))</f>
        <v/>
      </c>
      <c r="N475" s="26">
        <f>IF($P475="","",IF(INDEX(EntryNotes,$P475)=0,"",INDEX(EntryNotes,$P475)))</f>
        <v/>
      </c>
      <c r="O475" s="26">
        <f>IF($P475="","",IF(INDEX(EntryTxnID,$P475)=0,"",INDEX(EntryTxnID,$P475)))</f>
        <v/>
      </c>
      <c r="P475" s="26">
        <f>IFERROR(MATCH($C$5&amp;"|"&amp;RIGHT("000000"&amp;459,6),CalcRankKey,0),"")</f>
        <v/>
      </c>
    </row>
    <row r="476">
      <c r="A476" s="28">
        <f>IF($B476="","",460)</f>
        <v/>
      </c>
      <c r="B476" s="28">
        <f>IF($P476="","",IF(INDEX(CalcNormDate,$P476)=0,"",INDEX(CalcNormDate,$P476)))</f>
        <v/>
      </c>
      <c r="C476" s="28">
        <f>IF($P476="","",IF(INDEX(CalcTime,$P476)=0,"",INDEX(CalcTime,$P476)))</f>
        <v/>
      </c>
      <c r="D476" s="28">
        <f>IF($P476="","",IF(INDEX(EntryParty,$P476)=0,"",INDEX(EntryParty,$P476)))</f>
        <v/>
      </c>
      <c r="E476" s="28">
        <f>IF($P476="","",IF(INDEX(EntryPartyName,$P476)=0,"",INDEX(EntryPartyName,$P476)))</f>
        <v/>
      </c>
      <c r="F476" s="28">
        <f>IF($P476="","",IF(INDEX(EntryPartyType,$P476)=0,"",INDEX(EntryPartyType,$P476)))</f>
        <v/>
      </c>
      <c r="G476" s="28">
        <f>IF($P476="","",IF(INDEX(EntryTxnType,$P476)=0,"",INDEX(EntryTxnType,$P476)))</f>
        <v/>
      </c>
      <c r="H476" s="29">
        <f>IF($P476="","",IF(INDEX(EntryDep,$P476)=0,"",INDEX(EntryDep,$P476)))</f>
        <v/>
      </c>
      <c r="I476" s="29">
        <f>IF($P476="","",IF(INDEX(EntryWit,$P476)=0,"",INDEX(EntryWit,$P476)))</f>
        <v/>
      </c>
      <c r="J476" s="29">
        <f>IF($B476="","",IF($A476=1,$C$7,IF(J475="",0,J475))+IF($H476="",0,$H476)-IF($I476="",0,$I476))</f>
        <v/>
      </c>
      <c r="K476" s="29">
        <f>IF($P476="","",IF(INDEX(EntryMan,$P476)=0,"",INDEX(EntryMan,$P476)))</f>
        <v/>
      </c>
      <c r="L476" s="28">
        <f>IF($B476="","",IF($K476="","—",IF(ROUND($K476-$J476,0)=0,"√","×")))</f>
        <v/>
      </c>
      <c r="M476" s="28">
        <f>IF($B476="","",IF(COUNTIFS(EntryDates,$B476,CalcTime,$C476,CalcBank,$C$5,EntryParty,$D476,EntryDep,$H476,EntryWit,$I476)&gt;1,"تکرار",""))</f>
        <v/>
      </c>
      <c r="N476" s="28">
        <f>IF($P476="","",IF(INDEX(EntryNotes,$P476)=0,"",INDEX(EntryNotes,$P476)))</f>
        <v/>
      </c>
      <c r="O476" s="28">
        <f>IF($P476="","",IF(INDEX(EntryTxnID,$P476)=0,"",INDEX(EntryTxnID,$P476)))</f>
        <v/>
      </c>
      <c r="P476" s="28">
        <f>IFERROR(MATCH($C$5&amp;"|"&amp;RIGHT("000000"&amp;460,6),CalcRankKey,0),"")</f>
        <v/>
      </c>
    </row>
    <row r="477">
      <c r="A477" s="26">
        <f>IF($B477="","",461)</f>
        <v/>
      </c>
      <c r="B477" s="26">
        <f>IF($P477="","",IF(INDEX(CalcNormDate,$P477)=0,"",INDEX(CalcNormDate,$P477)))</f>
        <v/>
      </c>
      <c r="C477" s="26">
        <f>IF($P477="","",IF(INDEX(CalcTime,$P477)=0,"",INDEX(CalcTime,$P477)))</f>
        <v/>
      </c>
      <c r="D477" s="26">
        <f>IF($P477="","",IF(INDEX(EntryParty,$P477)=0,"",INDEX(EntryParty,$P477)))</f>
        <v/>
      </c>
      <c r="E477" s="26">
        <f>IF($P477="","",IF(INDEX(EntryPartyName,$P477)=0,"",INDEX(EntryPartyName,$P477)))</f>
        <v/>
      </c>
      <c r="F477" s="26">
        <f>IF($P477="","",IF(INDEX(EntryPartyType,$P477)=0,"",INDEX(EntryPartyType,$P477)))</f>
        <v/>
      </c>
      <c r="G477" s="26">
        <f>IF($P477="","",IF(INDEX(EntryTxnType,$P477)=0,"",INDEX(EntryTxnType,$P477)))</f>
        <v/>
      </c>
      <c r="H477" s="27">
        <f>IF($P477="","",IF(INDEX(EntryDep,$P477)=0,"",INDEX(EntryDep,$P477)))</f>
        <v/>
      </c>
      <c r="I477" s="27">
        <f>IF($P477="","",IF(INDEX(EntryWit,$P477)=0,"",INDEX(EntryWit,$P477)))</f>
        <v/>
      </c>
      <c r="J477" s="27">
        <f>IF($B477="","",IF($A477=1,$C$7,IF(J476="",0,J476))+IF($H477="",0,$H477)-IF($I477="",0,$I477))</f>
        <v/>
      </c>
      <c r="K477" s="27">
        <f>IF($P477="","",IF(INDEX(EntryMan,$P477)=0,"",INDEX(EntryMan,$P477)))</f>
        <v/>
      </c>
      <c r="L477" s="26">
        <f>IF($B477="","",IF($K477="","—",IF(ROUND($K477-$J477,0)=0,"√","×")))</f>
        <v/>
      </c>
      <c r="M477" s="26">
        <f>IF($B477="","",IF(COUNTIFS(EntryDates,$B477,CalcTime,$C477,CalcBank,$C$5,EntryParty,$D477,EntryDep,$H477,EntryWit,$I477)&gt;1,"تکرار",""))</f>
        <v/>
      </c>
      <c r="N477" s="26">
        <f>IF($P477="","",IF(INDEX(EntryNotes,$P477)=0,"",INDEX(EntryNotes,$P477)))</f>
        <v/>
      </c>
      <c r="O477" s="26">
        <f>IF($P477="","",IF(INDEX(EntryTxnID,$P477)=0,"",INDEX(EntryTxnID,$P477)))</f>
        <v/>
      </c>
      <c r="P477" s="26">
        <f>IFERROR(MATCH($C$5&amp;"|"&amp;RIGHT("000000"&amp;461,6),CalcRankKey,0),"")</f>
        <v/>
      </c>
    </row>
    <row r="478">
      <c r="A478" s="28">
        <f>IF($B478="","",462)</f>
        <v/>
      </c>
      <c r="B478" s="28">
        <f>IF($P478="","",IF(INDEX(CalcNormDate,$P478)=0,"",INDEX(CalcNormDate,$P478)))</f>
        <v/>
      </c>
      <c r="C478" s="28">
        <f>IF($P478="","",IF(INDEX(CalcTime,$P478)=0,"",INDEX(CalcTime,$P478)))</f>
        <v/>
      </c>
      <c r="D478" s="28">
        <f>IF($P478="","",IF(INDEX(EntryParty,$P478)=0,"",INDEX(EntryParty,$P478)))</f>
        <v/>
      </c>
      <c r="E478" s="28">
        <f>IF($P478="","",IF(INDEX(EntryPartyName,$P478)=0,"",INDEX(EntryPartyName,$P478)))</f>
        <v/>
      </c>
      <c r="F478" s="28">
        <f>IF($P478="","",IF(INDEX(EntryPartyType,$P478)=0,"",INDEX(EntryPartyType,$P478)))</f>
        <v/>
      </c>
      <c r="G478" s="28">
        <f>IF($P478="","",IF(INDEX(EntryTxnType,$P478)=0,"",INDEX(EntryTxnType,$P478)))</f>
        <v/>
      </c>
      <c r="H478" s="29">
        <f>IF($P478="","",IF(INDEX(EntryDep,$P478)=0,"",INDEX(EntryDep,$P478)))</f>
        <v/>
      </c>
      <c r="I478" s="29">
        <f>IF($P478="","",IF(INDEX(EntryWit,$P478)=0,"",INDEX(EntryWit,$P478)))</f>
        <v/>
      </c>
      <c r="J478" s="29">
        <f>IF($B478="","",IF($A478=1,$C$7,IF(J477="",0,J477))+IF($H478="",0,$H478)-IF($I478="",0,$I478))</f>
        <v/>
      </c>
      <c r="K478" s="29">
        <f>IF($P478="","",IF(INDEX(EntryMan,$P478)=0,"",INDEX(EntryMan,$P478)))</f>
        <v/>
      </c>
      <c r="L478" s="28">
        <f>IF($B478="","",IF($K478="","—",IF(ROUND($K478-$J478,0)=0,"√","×")))</f>
        <v/>
      </c>
      <c r="M478" s="28">
        <f>IF($B478="","",IF(COUNTIFS(EntryDates,$B478,CalcTime,$C478,CalcBank,$C$5,EntryParty,$D478,EntryDep,$H478,EntryWit,$I478)&gt;1,"تکرار",""))</f>
        <v/>
      </c>
      <c r="N478" s="28">
        <f>IF($P478="","",IF(INDEX(EntryNotes,$P478)=0,"",INDEX(EntryNotes,$P478)))</f>
        <v/>
      </c>
      <c r="O478" s="28">
        <f>IF($P478="","",IF(INDEX(EntryTxnID,$P478)=0,"",INDEX(EntryTxnID,$P478)))</f>
        <v/>
      </c>
      <c r="P478" s="28">
        <f>IFERROR(MATCH($C$5&amp;"|"&amp;RIGHT("000000"&amp;462,6),CalcRankKey,0),"")</f>
        <v/>
      </c>
    </row>
    <row r="479">
      <c r="A479" s="26">
        <f>IF($B479="","",463)</f>
        <v/>
      </c>
      <c r="B479" s="26">
        <f>IF($P479="","",IF(INDEX(CalcNormDate,$P479)=0,"",INDEX(CalcNormDate,$P479)))</f>
        <v/>
      </c>
      <c r="C479" s="26">
        <f>IF($P479="","",IF(INDEX(CalcTime,$P479)=0,"",INDEX(CalcTime,$P479)))</f>
        <v/>
      </c>
      <c r="D479" s="26">
        <f>IF($P479="","",IF(INDEX(EntryParty,$P479)=0,"",INDEX(EntryParty,$P479)))</f>
        <v/>
      </c>
      <c r="E479" s="26">
        <f>IF($P479="","",IF(INDEX(EntryPartyName,$P479)=0,"",INDEX(EntryPartyName,$P479)))</f>
        <v/>
      </c>
      <c r="F479" s="26">
        <f>IF($P479="","",IF(INDEX(EntryPartyType,$P479)=0,"",INDEX(EntryPartyType,$P479)))</f>
        <v/>
      </c>
      <c r="G479" s="26">
        <f>IF($P479="","",IF(INDEX(EntryTxnType,$P479)=0,"",INDEX(EntryTxnType,$P479)))</f>
        <v/>
      </c>
      <c r="H479" s="27">
        <f>IF($P479="","",IF(INDEX(EntryDep,$P479)=0,"",INDEX(EntryDep,$P479)))</f>
        <v/>
      </c>
      <c r="I479" s="27">
        <f>IF($P479="","",IF(INDEX(EntryWit,$P479)=0,"",INDEX(EntryWit,$P479)))</f>
        <v/>
      </c>
      <c r="J479" s="27">
        <f>IF($B479="","",IF($A479=1,$C$7,IF(J478="",0,J478))+IF($H479="",0,$H479)-IF($I479="",0,$I479))</f>
        <v/>
      </c>
      <c r="K479" s="27">
        <f>IF($P479="","",IF(INDEX(EntryMan,$P479)=0,"",INDEX(EntryMan,$P479)))</f>
        <v/>
      </c>
      <c r="L479" s="26">
        <f>IF($B479="","",IF($K479="","—",IF(ROUND($K479-$J479,0)=0,"√","×")))</f>
        <v/>
      </c>
      <c r="M479" s="26">
        <f>IF($B479="","",IF(COUNTIFS(EntryDates,$B479,CalcTime,$C479,CalcBank,$C$5,EntryParty,$D479,EntryDep,$H479,EntryWit,$I479)&gt;1,"تکرار",""))</f>
        <v/>
      </c>
      <c r="N479" s="26">
        <f>IF($P479="","",IF(INDEX(EntryNotes,$P479)=0,"",INDEX(EntryNotes,$P479)))</f>
        <v/>
      </c>
      <c r="O479" s="26">
        <f>IF($P479="","",IF(INDEX(EntryTxnID,$P479)=0,"",INDEX(EntryTxnID,$P479)))</f>
        <v/>
      </c>
      <c r="P479" s="26">
        <f>IFERROR(MATCH($C$5&amp;"|"&amp;RIGHT("000000"&amp;463,6),CalcRankKey,0),"")</f>
        <v/>
      </c>
    </row>
    <row r="480">
      <c r="A480" s="28">
        <f>IF($B480="","",464)</f>
        <v/>
      </c>
      <c r="B480" s="28">
        <f>IF($P480="","",IF(INDEX(CalcNormDate,$P480)=0,"",INDEX(CalcNormDate,$P480)))</f>
        <v/>
      </c>
      <c r="C480" s="28">
        <f>IF($P480="","",IF(INDEX(CalcTime,$P480)=0,"",INDEX(CalcTime,$P480)))</f>
        <v/>
      </c>
      <c r="D480" s="28">
        <f>IF($P480="","",IF(INDEX(EntryParty,$P480)=0,"",INDEX(EntryParty,$P480)))</f>
        <v/>
      </c>
      <c r="E480" s="28">
        <f>IF($P480="","",IF(INDEX(EntryPartyName,$P480)=0,"",INDEX(EntryPartyName,$P480)))</f>
        <v/>
      </c>
      <c r="F480" s="28">
        <f>IF($P480="","",IF(INDEX(EntryPartyType,$P480)=0,"",INDEX(EntryPartyType,$P480)))</f>
        <v/>
      </c>
      <c r="G480" s="28">
        <f>IF($P480="","",IF(INDEX(EntryTxnType,$P480)=0,"",INDEX(EntryTxnType,$P480)))</f>
        <v/>
      </c>
      <c r="H480" s="29">
        <f>IF($P480="","",IF(INDEX(EntryDep,$P480)=0,"",INDEX(EntryDep,$P480)))</f>
        <v/>
      </c>
      <c r="I480" s="29">
        <f>IF($P480="","",IF(INDEX(EntryWit,$P480)=0,"",INDEX(EntryWit,$P480)))</f>
        <v/>
      </c>
      <c r="J480" s="29">
        <f>IF($B480="","",IF($A480=1,$C$7,IF(J479="",0,J479))+IF($H480="",0,$H480)-IF($I480="",0,$I480))</f>
        <v/>
      </c>
      <c r="K480" s="29">
        <f>IF($P480="","",IF(INDEX(EntryMan,$P480)=0,"",INDEX(EntryMan,$P480)))</f>
        <v/>
      </c>
      <c r="L480" s="28">
        <f>IF($B480="","",IF($K480="","—",IF(ROUND($K480-$J480,0)=0,"√","×")))</f>
        <v/>
      </c>
      <c r="M480" s="28">
        <f>IF($B480="","",IF(COUNTIFS(EntryDates,$B480,CalcTime,$C480,CalcBank,$C$5,EntryParty,$D480,EntryDep,$H480,EntryWit,$I480)&gt;1,"تکرار",""))</f>
        <v/>
      </c>
      <c r="N480" s="28">
        <f>IF($P480="","",IF(INDEX(EntryNotes,$P480)=0,"",INDEX(EntryNotes,$P480)))</f>
        <v/>
      </c>
      <c r="O480" s="28">
        <f>IF($P480="","",IF(INDEX(EntryTxnID,$P480)=0,"",INDEX(EntryTxnID,$P480)))</f>
        <v/>
      </c>
      <c r="P480" s="28">
        <f>IFERROR(MATCH($C$5&amp;"|"&amp;RIGHT("000000"&amp;464,6),CalcRankKey,0),"")</f>
        <v/>
      </c>
    </row>
    <row r="481">
      <c r="A481" s="26">
        <f>IF($B481="","",465)</f>
        <v/>
      </c>
      <c r="B481" s="26">
        <f>IF($P481="","",IF(INDEX(CalcNormDate,$P481)=0,"",INDEX(CalcNormDate,$P481)))</f>
        <v/>
      </c>
      <c r="C481" s="26">
        <f>IF($P481="","",IF(INDEX(CalcTime,$P481)=0,"",INDEX(CalcTime,$P481)))</f>
        <v/>
      </c>
      <c r="D481" s="26">
        <f>IF($P481="","",IF(INDEX(EntryParty,$P481)=0,"",INDEX(EntryParty,$P481)))</f>
        <v/>
      </c>
      <c r="E481" s="26">
        <f>IF($P481="","",IF(INDEX(EntryPartyName,$P481)=0,"",INDEX(EntryPartyName,$P481)))</f>
        <v/>
      </c>
      <c r="F481" s="26">
        <f>IF($P481="","",IF(INDEX(EntryPartyType,$P481)=0,"",INDEX(EntryPartyType,$P481)))</f>
        <v/>
      </c>
      <c r="G481" s="26">
        <f>IF($P481="","",IF(INDEX(EntryTxnType,$P481)=0,"",INDEX(EntryTxnType,$P481)))</f>
        <v/>
      </c>
      <c r="H481" s="27">
        <f>IF($P481="","",IF(INDEX(EntryDep,$P481)=0,"",INDEX(EntryDep,$P481)))</f>
        <v/>
      </c>
      <c r="I481" s="27">
        <f>IF($P481="","",IF(INDEX(EntryWit,$P481)=0,"",INDEX(EntryWit,$P481)))</f>
        <v/>
      </c>
      <c r="J481" s="27">
        <f>IF($B481="","",IF($A481=1,$C$7,IF(J480="",0,J480))+IF($H481="",0,$H481)-IF($I481="",0,$I481))</f>
        <v/>
      </c>
      <c r="K481" s="27">
        <f>IF($P481="","",IF(INDEX(EntryMan,$P481)=0,"",INDEX(EntryMan,$P481)))</f>
        <v/>
      </c>
      <c r="L481" s="26">
        <f>IF($B481="","",IF($K481="","—",IF(ROUND($K481-$J481,0)=0,"√","×")))</f>
        <v/>
      </c>
      <c r="M481" s="26">
        <f>IF($B481="","",IF(COUNTIFS(EntryDates,$B481,CalcTime,$C481,CalcBank,$C$5,EntryParty,$D481,EntryDep,$H481,EntryWit,$I481)&gt;1,"تکرار",""))</f>
        <v/>
      </c>
      <c r="N481" s="26">
        <f>IF($P481="","",IF(INDEX(EntryNotes,$P481)=0,"",INDEX(EntryNotes,$P481)))</f>
        <v/>
      </c>
      <c r="O481" s="26">
        <f>IF($P481="","",IF(INDEX(EntryTxnID,$P481)=0,"",INDEX(EntryTxnID,$P481)))</f>
        <v/>
      </c>
      <c r="P481" s="26">
        <f>IFERROR(MATCH($C$5&amp;"|"&amp;RIGHT("000000"&amp;465,6),CalcRankKey,0),"")</f>
        <v/>
      </c>
    </row>
    <row r="482">
      <c r="A482" s="28">
        <f>IF($B482="","",466)</f>
        <v/>
      </c>
      <c r="B482" s="28">
        <f>IF($P482="","",IF(INDEX(CalcNormDate,$P482)=0,"",INDEX(CalcNormDate,$P482)))</f>
        <v/>
      </c>
      <c r="C482" s="28">
        <f>IF($P482="","",IF(INDEX(CalcTime,$P482)=0,"",INDEX(CalcTime,$P482)))</f>
        <v/>
      </c>
      <c r="D482" s="28">
        <f>IF($P482="","",IF(INDEX(EntryParty,$P482)=0,"",INDEX(EntryParty,$P482)))</f>
        <v/>
      </c>
      <c r="E482" s="28">
        <f>IF($P482="","",IF(INDEX(EntryPartyName,$P482)=0,"",INDEX(EntryPartyName,$P482)))</f>
        <v/>
      </c>
      <c r="F482" s="28">
        <f>IF($P482="","",IF(INDEX(EntryPartyType,$P482)=0,"",INDEX(EntryPartyType,$P482)))</f>
        <v/>
      </c>
      <c r="G482" s="28">
        <f>IF($P482="","",IF(INDEX(EntryTxnType,$P482)=0,"",INDEX(EntryTxnType,$P482)))</f>
        <v/>
      </c>
      <c r="H482" s="29">
        <f>IF($P482="","",IF(INDEX(EntryDep,$P482)=0,"",INDEX(EntryDep,$P482)))</f>
        <v/>
      </c>
      <c r="I482" s="29">
        <f>IF($P482="","",IF(INDEX(EntryWit,$P482)=0,"",INDEX(EntryWit,$P482)))</f>
        <v/>
      </c>
      <c r="J482" s="29">
        <f>IF($B482="","",IF($A482=1,$C$7,IF(J481="",0,J481))+IF($H482="",0,$H482)-IF($I482="",0,$I482))</f>
        <v/>
      </c>
      <c r="K482" s="29">
        <f>IF($P482="","",IF(INDEX(EntryMan,$P482)=0,"",INDEX(EntryMan,$P482)))</f>
        <v/>
      </c>
      <c r="L482" s="28">
        <f>IF($B482="","",IF($K482="","—",IF(ROUND($K482-$J482,0)=0,"√","×")))</f>
        <v/>
      </c>
      <c r="M482" s="28">
        <f>IF($B482="","",IF(COUNTIFS(EntryDates,$B482,CalcTime,$C482,CalcBank,$C$5,EntryParty,$D482,EntryDep,$H482,EntryWit,$I482)&gt;1,"تکرار",""))</f>
        <v/>
      </c>
      <c r="N482" s="28">
        <f>IF($P482="","",IF(INDEX(EntryNotes,$P482)=0,"",INDEX(EntryNotes,$P482)))</f>
        <v/>
      </c>
      <c r="O482" s="28">
        <f>IF($P482="","",IF(INDEX(EntryTxnID,$P482)=0,"",INDEX(EntryTxnID,$P482)))</f>
        <v/>
      </c>
      <c r="P482" s="28">
        <f>IFERROR(MATCH($C$5&amp;"|"&amp;RIGHT("000000"&amp;466,6),CalcRankKey,0),"")</f>
        <v/>
      </c>
    </row>
    <row r="483">
      <c r="A483" s="26">
        <f>IF($B483="","",467)</f>
        <v/>
      </c>
      <c r="B483" s="26">
        <f>IF($P483="","",IF(INDEX(CalcNormDate,$P483)=0,"",INDEX(CalcNormDate,$P483)))</f>
        <v/>
      </c>
      <c r="C483" s="26">
        <f>IF($P483="","",IF(INDEX(CalcTime,$P483)=0,"",INDEX(CalcTime,$P483)))</f>
        <v/>
      </c>
      <c r="D483" s="26">
        <f>IF($P483="","",IF(INDEX(EntryParty,$P483)=0,"",INDEX(EntryParty,$P483)))</f>
        <v/>
      </c>
      <c r="E483" s="26">
        <f>IF($P483="","",IF(INDEX(EntryPartyName,$P483)=0,"",INDEX(EntryPartyName,$P483)))</f>
        <v/>
      </c>
      <c r="F483" s="26">
        <f>IF($P483="","",IF(INDEX(EntryPartyType,$P483)=0,"",INDEX(EntryPartyType,$P483)))</f>
        <v/>
      </c>
      <c r="G483" s="26">
        <f>IF($P483="","",IF(INDEX(EntryTxnType,$P483)=0,"",INDEX(EntryTxnType,$P483)))</f>
        <v/>
      </c>
      <c r="H483" s="27">
        <f>IF($P483="","",IF(INDEX(EntryDep,$P483)=0,"",INDEX(EntryDep,$P483)))</f>
        <v/>
      </c>
      <c r="I483" s="27">
        <f>IF($P483="","",IF(INDEX(EntryWit,$P483)=0,"",INDEX(EntryWit,$P483)))</f>
        <v/>
      </c>
      <c r="J483" s="27">
        <f>IF($B483="","",IF($A483=1,$C$7,IF(J482="",0,J482))+IF($H483="",0,$H483)-IF($I483="",0,$I483))</f>
        <v/>
      </c>
      <c r="K483" s="27">
        <f>IF($P483="","",IF(INDEX(EntryMan,$P483)=0,"",INDEX(EntryMan,$P483)))</f>
        <v/>
      </c>
      <c r="L483" s="26">
        <f>IF($B483="","",IF($K483="","—",IF(ROUND($K483-$J483,0)=0,"√","×")))</f>
        <v/>
      </c>
      <c r="M483" s="26">
        <f>IF($B483="","",IF(COUNTIFS(EntryDates,$B483,CalcTime,$C483,CalcBank,$C$5,EntryParty,$D483,EntryDep,$H483,EntryWit,$I483)&gt;1,"تکرار",""))</f>
        <v/>
      </c>
      <c r="N483" s="26">
        <f>IF($P483="","",IF(INDEX(EntryNotes,$P483)=0,"",INDEX(EntryNotes,$P483)))</f>
        <v/>
      </c>
      <c r="O483" s="26">
        <f>IF($P483="","",IF(INDEX(EntryTxnID,$P483)=0,"",INDEX(EntryTxnID,$P483)))</f>
        <v/>
      </c>
      <c r="P483" s="26">
        <f>IFERROR(MATCH($C$5&amp;"|"&amp;RIGHT("000000"&amp;467,6),CalcRankKey,0),"")</f>
        <v/>
      </c>
    </row>
    <row r="484">
      <c r="A484" s="28">
        <f>IF($B484="","",468)</f>
        <v/>
      </c>
      <c r="B484" s="28">
        <f>IF($P484="","",IF(INDEX(CalcNormDate,$P484)=0,"",INDEX(CalcNormDate,$P484)))</f>
        <v/>
      </c>
      <c r="C484" s="28">
        <f>IF($P484="","",IF(INDEX(CalcTime,$P484)=0,"",INDEX(CalcTime,$P484)))</f>
        <v/>
      </c>
      <c r="D484" s="28">
        <f>IF($P484="","",IF(INDEX(EntryParty,$P484)=0,"",INDEX(EntryParty,$P484)))</f>
        <v/>
      </c>
      <c r="E484" s="28">
        <f>IF($P484="","",IF(INDEX(EntryPartyName,$P484)=0,"",INDEX(EntryPartyName,$P484)))</f>
        <v/>
      </c>
      <c r="F484" s="28">
        <f>IF($P484="","",IF(INDEX(EntryPartyType,$P484)=0,"",INDEX(EntryPartyType,$P484)))</f>
        <v/>
      </c>
      <c r="G484" s="28">
        <f>IF($P484="","",IF(INDEX(EntryTxnType,$P484)=0,"",INDEX(EntryTxnType,$P484)))</f>
        <v/>
      </c>
      <c r="H484" s="29">
        <f>IF($P484="","",IF(INDEX(EntryDep,$P484)=0,"",INDEX(EntryDep,$P484)))</f>
        <v/>
      </c>
      <c r="I484" s="29">
        <f>IF($P484="","",IF(INDEX(EntryWit,$P484)=0,"",INDEX(EntryWit,$P484)))</f>
        <v/>
      </c>
      <c r="J484" s="29">
        <f>IF($B484="","",IF($A484=1,$C$7,IF(J483="",0,J483))+IF($H484="",0,$H484)-IF($I484="",0,$I484))</f>
        <v/>
      </c>
      <c r="K484" s="29">
        <f>IF($P484="","",IF(INDEX(EntryMan,$P484)=0,"",INDEX(EntryMan,$P484)))</f>
        <v/>
      </c>
      <c r="L484" s="28">
        <f>IF($B484="","",IF($K484="","—",IF(ROUND($K484-$J484,0)=0,"√","×")))</f>
        <v/>
      </c>
      <c r="M484" s="28">
        <f>IF($B484="","",IF(COUNTIFS(EntryDates,$B484,CalcTime,$C484,CalcBank,$C$5,EntryParty,$D484,EntryDep,$H484,EntryWit,$I484)&gt;1,"تکرار",""))</f>
        <v/>
      </c>
      <c r="N484" s="28">
        <f>IF($P484="","",IF(INDEX(EntryNotes,$P484)=0,"",INDEX(EntryNotes,$P484)))</f>
        <v/>
      </c>
      <c r="O484" s="28">
        <f>IF($P484="","",IF(INDEX(EntryTxnID,$P484)=0,"",INDEX(EntryTxnID,$P484)))</f>
        <v/>
      </c>
      <c r="P484" s="28">
        <f>IFERROR(MATCH($C$5&amp;"|"&amp;RIGHT("000000"&amp;468,6),CalcRankKey,0),"")</f>
        <v/>
      </c>
    </row>
    <row r="485">
      <c r="A485" s="26">
        <f>IF($B485="","",469)</f>
        <v/>
      </c>
      <c r="B485" s="26">
        <f>IF($P485="","",IF(INDEX(CalcNormDate,$P485)=0,"",INDEX(CalcNormDate,$P485)))</f>
        <v/>
      </c>
      <c r="C485" s="26">
        <f>IF($P485="","",IF(INDEX(CalcTime,$P485)=0,"",INDEX(CalcTime,$P485)))</f>
        <v/>
      </c>
      <c r="D485" s="26">
        <f>IF($P485="","",IF(INDEX(EntryParty,$P485)=0,"",INDEX(EntryParty,$P485)))</f>
        <v/>
      </c>
      <c r="E485" s="26">
        <f>IF($P485="","",IF(INDEX(EntryPartyName,$P485)=0,"",INDEX(EntryPartyName,$P485)))</f>
        <v/>
      </c>
      <c r="F485" s="26">
        <f>IF($P485="","",IF(INDEX(EntryPartyType,$P485)=0,"",INDEX(EntryPartyType,$P485)))</f>
        <v/>
      </c>
      <c r="G485" s="26">
        <f>IF($P485="","",IF(INDEX(EntryTxnType,$P485)=0,"",INDEX(EntryTxnType,$P485)))</f>
        <v/>
      </c>
      <c r="H485" s="27">
        <f>IF($P485="","",IF(INDEX(EntryDep,$P485)=0,"",INDEX(EntryDep,$P485)))</f>
        <v/>
      </c>
      <c r="I485" s="27">
        <f>IF($P485="","",IF(INDEX(EntryWit,$P485)=0,"",INDEX(EntryWit,$P485)))</f>
        <v/>
      </c>
      <c r="J485" s="27">
        <f>IF($B485="","",IF($A485=1,$C$7,IF(J484="",0,J484))+IF($H485="",0,$H485)-IF($I485="",0,$I485))</f>
        <v/>
      </c>
      <c r="K485" s="27">
        <f>IF($P485="","",IF(INDEX(EntryMan,$P485)=0,"",INDEX(EntryMan,$P485)))</f>
        <v/>
      </c>
      <c r="L485" s="26">
        <f>IF($B485="","",IF($K485="","—",IF(ROUND($K485-$J485,0)=0,"√","×")))</f>
        <v/>
      </c>
      <c r="M485" s="26">
        <f>IF($B485="","",IF(COUNTIFS(EntryDates,$B485,CalcTime,$C485,CalcBank,$C$5,EntryParty,$D485,EntryDep,$H485,EntryWit,$I485)&gt;1,"تکرار",""))</f>
        <v/>
      </c>
      <c r="N485" s="26">
        <f>IF($P485="","",IF(INDEX(EntryNotes,$P485)=0,"",INDEX(EntryNotes,$P485)))</f>
        <v/>
      </c>
      <c r="O485" s="26">
        <f>IF($P485="","",IF(INDEX(EntryTxnID,$P485)=0,"",INDEX(EntryTxnID,$P485)))</f>
        <v/>
      </c>
      <c r="P485" s="26">
        <f>IFERROR(MATCH($C$5&amp;"|"&amp;RIGHT("000000"&amp;469,6),CalcRankKey,0),"")</f>
        <v/>
      </c>
    </row>
    <row r="486">
      <c r="A486" s="28">
        <f>IF($B486="","",470)</f>
        <v/>
      </c>
      <c r="B486" s="28">
        <f>IF($P486="","",IF(INDEX(CalcNormDate,$P486)=0,"",INDEX(CalcNormDate,$P486)))</f>
        <v/>
      </c>
      <c r="C486" s="28">
        <f>IF($P486="","",IF(INDEX(CalcTime,$P486)=0,"",INDEX(CalcTime,$P486)))</f>
        <v/>
      </c>
      <c r="D486" s="28">
        <f>IF($P486="","",IF(INDEX(EntryParty,$P486)=0,"",INDEX(EntryParty,$P486)))</f>
        <v/>
      </c>
      <c r="E486" s="28">
        <f>IF($P486="","",IF(INDEX(EntryPartyName,$P486)=0,"",INDEX(EntryPartyName,$P486)))</f>
        <v/>
      </c>
      <c r="F486" s="28">
        <f>IF($P486="","",IF(INDEX(EntryPartyType,$P486)=0,"",INDEX(EntryPartyType,$P486)))</f>
        <v/>
      </c>
      <c r="G486" s="28">
        <f>IF($P486="","",IF(INDEX(EntryTxnType,$P486)=0,"",INDEX(EntryTxnType,$P486)))</f>
        <v/>
      </c>
      <c r="H486" s="29">
        <f>IF($P486="","",IF(INDEX(EntryDep,$P486)=0,"",INDEX(EntryDep,$P486)))</f>
        <v/>
      </c>
      <c r="I486" s="29">
        <f>IF($P486="","",IF(INDEX(EntryWit,$P486)=0,"",INDEX(EntryWit,$P486)))</f>
        <v/>
      </c>
      <c r="J486" s="29">
        <f>IF($B486="","",IF($A486=1,$C$7,IF(J485="",0,J485))+IF($H486="",0,$H486)-IF($I486="",0,$I486))</f>
        <v/>
      </c>
      <c r="K486" s="29">
        <f>IF($P486="","",IF(INDEX(EntryMan,$P486)=0,"",INDEX(EntryMan,$P486)))</f>
        <v/>
      </c>
      <c r="L486" s="28">
        <f>IF($B486="","",IF($K486="","—",IF(ROUND($K486-$J486,0)=0,"√","×")))</f>
        <v/>
      </c>
      <c r="M486" s="28">
        <f>IF($B486="","",IF(COUNTIFS(EntryDates,$B486,CalcTime,$C486,CalcBank,$C$5,EntryParty,$D486,EntryDep,$H486,EntryWit,$I486)&gt;1,"تکرار",""))</f>
        <v/>
      </c>
      <c r="N486" s="28">
        <f>IF($P486="","",IF(INDEX(EntryNotes,$P486)=0,"",INDEX(EntryNotes,$P486)))</f>
        <v/>
      </c>
      <c r="O486" s="28">
        <f>IF($P486="","",IF(INDEX(EntryTxnID,$P486)=0,"",INDEX(EntryTxnID,$P486)))</f>
        <v/>
      </c>
      <c r="P486" s="28">
        <f>IFERROR(MATCH($C$5&amp;"|"&amp;RIGHT("000000"&amp;470,6),CalcRankKey,0),"")</f>
        <v/>
      </c>
    </row>
    <row r="487">
      <c r="A487" s="26">
        <f>IF($B487="","",471)</f>
        <v/>
      </c>
      <c r="B487" s="26">
        <f>IF($P487="","",IF(INDEX(CalcNormDate,$P487)=0,"",INDEX(CalcNormDate,$P487)))</f>
        <v/>
      </c>
      <c r="C487" s="26">
        <f>IF($P487="","",IF(INDEX(CalcTime,$P487)=0,"",INDEX(CalcTime,$P487)))</f>
        <v/>
      </c>
      <c r="D487" s="26">
        <f>IF($P487="","",IF(INDEX(EntryParty,$P487)=0,"",INDEX(EntryParty,$P487)))</f>
        <v/>
      </c>
      <c r="E487" s="26">
        <f>IF($P487="","",IF(INDEX(EntryPartyName,$P487)=0,"",INDEX(EntryPartyName,$P487)))</f>
        <v/>
      </c>
      <c r="F487" s="26">
        <f>IF($P487="","",IF(INDEX(EntryPartyType,$P487)=0,"",INDEX(EntryPartyType,$P487)))</f>
        <v/>
      </c>
      <c r="G487" s="26">
        <f>IF($P487="","",IF(INDEX(EntryTxnType,$P487)=0,"",INDEX(EntryTxnType,$P487)))</f>
        <v/>
      </c>
      <c r="H487" s="27">
        <f>IF($P487="","",IF(INDEX(EntryDep,$P487)=0,"",INDEX(EntryDep,$P487)))</f>
        <v/>
      </c>
      <c r="I487" s="27">
        <f>IF($P487="","",IF(INDEX(EntryWit,$P487)=0,"",INDEX(EntryWit,$P487)))</f>
        <v/>
      </c>
      <c r="J487" s="27">
        <f>IF($B487="","",IF($A487=1,$C$7,IF(J486="",0,J486))+IF($H487="",0,$H487)-IF($I487="",0,$I487))</f>
        <v/>
      </c>
      <c r="K487" s="27">
        <f>IF($P487="","",IF(INDEX(EntryMan,$P487)=0,"",INDEX(EntryMan,$P487)))</f>
        <v/>
      </c>
      <c r="L487" s="26">
        <f>IF($B487="","",IF($K487="","—",IF(ROUND($K487-$J487,0)=0,"√","×")))</f>
        <v/>
      </c>
      <c r="M487" s="26">
        <f>IF($B487="","",IF(COUNTIFS(EntryDates,$B487,CalcTime,$C487,CalcBank,$C$5,EntryParty,$D487,EntryDep,$H487,EntryWit,$I487)&gt;1,"تکرار",""))</f>
        <v/>
      </c>
      <c r="N487" s="26">
        <f>IF($P487="","",IF(INDEX(EntryNotes,$P487)=0,"",INDEX(EntryNotes,$P487)))</f>
        <v/>
      </c>
      <c r="O487" s="26">
        <f>IF($P487="","",IF(INDEX(EntryTxnID,$P487)=0,"",INDEX(EntryTxnID,$P487)))</f>
        <v/>
      </c>
      <c r="P487" s="26">
        <f>IFERROR(MATCH($C$5&amp;"|"&amp;RIGHT("000000"&amp;471,6),CalcRankKey,0),"")</f>
        <v/>
      </c>
    </row>
    <row r="488">
      <c r="A488" s="28">
        <f>IF($B488="","",472)</f>
        <v/>
      </c>
      <c r="B488" s="28">
        <f>IF($P488="","",IF(INDEX(CalcNormDate,$P488)=0,"",INDEX(CalcNormDate,$P488)))</f>
        <v/>
      </c>
      <c r="C488" s="28">
        <f>IF($P488="","",IF(INDEX(CalcTime,$P488)=0,"",INDEX(CalcTime,$P488)))</f>
        <v/>
      </c>
      <c r="D488" s="28">
        <f>IF($P488="","",IF(INDEX(EntryParty,$P488)=0,"",INDEX(EntryParty,$P488)))</f>
        <v/>
      </c>
      <c r="E488" s="28">
        <f>IF($P488="","",IF(INDEX(EntryPartyName,$P488)=0,"",INDEX(EntryPartyName,$P488)))</f>
        <v/>
      </c>
      <c r="F488" s="28">
        <f>IF($P488="","",IF(INDEX(EntryPartyType,$P488)=0,"",INDEX(EntryPartyType,$P488)))</f>
        <v/>
      </c>
      <c r="G488" s="28">
        <f>IF($P488="","",IF(INDEX(EntryTxnType,$P488)=0,"",INDEX(EntryTxnType,$P488)))</f>
        <v/>
      </c>
      <c r="H488" s="29">
        <f>IF($P488="","",IF(INDEX(EntryDep,$P488)=0,"",INDEX(EntryDep,$P488)))</f>
        <v/>
      </c>
      <c r="I488" s="29">
        <f>IF($P488="","",IF(INDEX(EntryWit,$P488)=0,"",INDEX(EntryWit,$P488)))</f>
        <v/>
      </c>
      <c r="J488" s="29">
        <f>IF($B488="","",IF($A488=1,$C$7,IF(J487="",0,J487))+IF($H488="",0,$H488)-IF($I488="",0,$I488))</f>
        <v/>
      </c>
      <c r="K488" s="29">
        <f>IF($P488="","",IF(INDEX(EntryMan,$P488)=0,"",INDEX(EntryMan,$P488)))</f>
        <v/>
      </c>
      <c r="L488" s="28">
        <f>IF($B488="","",IF($K488="","—",IF(ROUND($K488-$J488,0)=0,"√","×")))</f>
        <v/>
      </c>
      <c r="M488" s="28">
        <f>IF($B488="","",IF(COUNTIFS(EntryDates,$B488,CalcTime,$C488,CalcBank,$C$5,EntryParty,$D488,EntryDep,$H488,EntryWit,$I488)&gt;1,"تکرار",""))</f>
        <v/>
      </c>
      <c r="N488" s="28">
        <f>IF($P488="","",IF(INDEX(EntryNotes,$P488)=0,"",INDEX(EntryNotes,$P488)))</f>
        <v/>
      </c>
      <c r="O488" s="28">
        <f>IF($P488="","",IF(INDEX(EntryTxnID,$P488)=0,"",INDEX(EntryTxnID,$P488)))</f>
        <v/>
      </c>
      <c r="P488" s="28">
        <f>IFERROR(MATCH($C$5&amp;"|"&amp;RIGHT("000000"&amp;472,6),CalcRankKey,0),"")</f>
        <v/>
      </c>
    </row>
    <row r="489">
      <c r="A489" s="26">
        <f>IF($B489="","",473)</f>
        <v/>
      </c>
      <c r="B489" s="26">
        <f>IF($P489="","",IF(INDEX(CalcNormDate,$P489)=0,"",INDEX(CalcNormDate,$P489)))</f>
        <v/>
      </c>
      <c r="C489" s="26">
        <f>IF($P489="","",IF(INDEX(CalcTime,$P489)=0,"",INDEX(CalcTime,$P489)))</f>
        <v/>
      </c>
      <c r="D489" s="26">
        <f>IF($P489="","",IF(INDEX(EntryParty,$P489)=0,"",INDEX(EntryParty,$P489)))</f>
        <v/>
      </c>
      <c r="E489" s="26">
        <f>IF($P489="","",IF(INDEX(EntryPartyName,$P489)=0,"",INDEX(EntryPartyName,$P489)))</f>
        <v/>
      </c>
      <c r="F489" s="26">
        <f>IF($P489="","",IF(INDEX(EntryPartyType,$P489)=0,"",INDEX(EntryPartyType,$P489)))</f>
        <v/>
      </c>
      <c r="G489" s="26">
        <f>IF($P489="","",IF(INDEX(EntryTxnType,$P489)=0,"",INDEX(EntryTxnType,$P489)))</f>
        <v/>
      </c>
      <c r="H489" s="27">
        <f>IF($P489="","",IF(INDEX(EntryDep,$P489)=0,"",INDEX(EntryDep,$P489)))</f>
        <v/>
      </c>
      <c r="I489" s="27">
        <f>IF($P489="","",IF(INDEX(EntryWit,$P489)=0,"",INDEX(EntryWit,$P489)))</f>
        <v/>
      </c>
      <c r="J489" s="27">
        <f>IF($B489="","",IF($A489=1,$C$7,IF(J488="",0,J488))+IF($H489="",0,$H489)-IF($I489="",0,$I489))</f>
        <v/>
      </c>
      <c r="K489" s="27">
        <f>IF($P489="","",IF(INDEX(EntryMan,$P489)=0,"",INDEX(EntryMan,$P489)))</f>
        <v/>
      </c>
      <c r="L489" s="26">
        <f>IF($B489="","",IF($K489="","—",IF(ROUND($K489-$J489,0)=0,"√","×")))</f>
        <v/>
      </c>
      <c r="M489" s="26">
        <f>IF($B489="","",IF(COUNTIFS(EntryDates,$B489,CalcTime,$C489,CalcBank,$C$5,EntryParty,$D489,EntryDep,$H489,EntryWit,$I489)&gt;1,"تکرار",""))</f>
        <v/>
      </c>
      <c r="N489" s="26">
        <f>IF($P489="","",IF(INDEX(EntryNotes,$P489)=0,"",INDEX(EntryNotes,$P489)))</f>
        <v/>
      </c>
      <c r="O489" s="26">
        <f>IF($P489="","",IF(INDEX(EntryTxnID,$P489)=0,"",INDEX(EntryTxnID,$P489)))</f>
        <v/>
      </c>
      <c r="P489" s="26">
        <f>IFERROR(MATCH($C$5&amp;"|"&amp;RIGHT("000000"&amp;473,6),CalcRankKey,0),"")</f>
        <v/>
      </c>
    </row>
    <row r="490">
      <c r="A490" s="28">
        <f>IF($B490="","",474)</f>
        <v/>
      </c>
      <c r="B490" s="28">
        <f>IF($P490="","",IF(INDEX(CalcNormDate,$P490)=0,"",INDEX(CalcNormDate,$P490)))</f>
        <v/>
      </c>
      <c r="C490" s="28">
        <f>IF($P490="","",IF(INDEX(CalcTime,$P490)=0,"",INDEX(CalcTime,$P490)))</f>
        <v/>
      </c>
      <c r="D490" s="28">
        <f>IF($P490="","",IF(INDEX(EntryParty,$P490)=0,"",INDEX(EntryParty,$P490)))</f>
        <v/>
      </c>
      <c r="E490" s="28">
        <f>IF($P490="","",IF(INDEX(EntryPartyName,$P490)=0,"",INDEX(EntryPartyName,$P490)))</f>
        <v/>
      </c>
      <c r="F490" s="28">
        <f>IF($P490="","",IF(INDEX(EntryPartyType,$P490)=0,"",INDEX(EntryPartyType,$P490)))</f>
        <v/>
      </c>
      <c r="G490" s="28">
        <f>IF($P490="","",IF(INDEX(EntryTxnType,$P490)=0,"",INDEX(EntryTxnType,$P490)))</f>
        <v/>
      </c>
      <c r="H490" s="29">
        <f>IF($P490="","",IF(INDEX(EntryDep,$P490)=0,"",INDEX(EntryDep,$P490)))</f>
        <v/>
      </c>
      <c r="I490" s="29">
        <f>IF($P490="","",IF(INDEX(EntryWit,$P490)=0,"",INDEX(EntryWit,$P490)))</f>
        <v/>
      </c>
      <c r="J490" s="29">
        <f>IF($B490="","",IF($A490=1,$C$7,IF(J489="",0,J489))+IF($H490="",0,$H490)-IF($I490="",0,$I490))</f>
        <v/>
      </c>
      <c r="K490" s="29">
        <f>IF($P490="","",IF(INDEX(EntryMan,$P490)=0,"",INDEX(EntryMan,$P490)))</f>
        <v/>
      </c>
      <c r="L490" s="28">
        <f>IF($B490="","",IF($K490="","—",IF(ROUND($K490-$J490,0)=0,"√","×")))</f>
        <v/>
      </c>
      <c r="M490" s="28">
        <f>IF($B490="","",IF(COUNTIFS(EntryDates,$B490,CalcTime,$C490,CalcBank,$C$5,EntryParty,$D490,EntryDep,$H490,EntryWit,$I490)&gt;1,"تکرار",""))</f>
        <v/>
      </c>
      <c r="N490" s="28">
        <f>IF($P490="","",IF(INDEX(EntryNotes,$P490)=0,"",INDEX(EntryNotes,$P490)))</f>
        <v/>
      </c>
      <c r="O490" s="28">
        <f>IF($P490="","",IF(INDEX(EntryTxnID,$P490)=0,"",INDEX(EntryTxnID,$P490)))</f>
        <v/>
      </c>
      <c r="P490" s="28">
        <f>IFERROR(MATCH($C$5&amp;"|"&amp;RIGHT("000000"&amp;474,6),CalcRankKey,0),"")</f>
        <v/>
      </c>
    </row>
    <row r="491">
      <c r="A491" s="26">
        <f>IF($B491="","",475)</f>
        <v/>
      </c>
      <c r="B491" s="26">
        <f>IF($P491="","",IF(INDEX(CalcNormDate,$P491)=0,"",INDEX(CalcNormDate,$P491)))</f>
        <v/>
      </c>
      <c r="C491" s="26">
        <f>IF($P491="","",IF(INDEX(CalcTime,$P491)=0,"",INDEX(CalcTime,$P491)))</f>
        <v/>
      </c>
      <c r="D491" s="26">
        <f>IF($P491="","",IF(INDEX(EntryParty,$P491)=0,"",INDEX(EntryParty,$P491)))</f>
        <v/>
      </c>
      <c r="E491" s="26">
        <f>IF($P491="","",IF(INDEX(EntryPartyName,$P491)=0,"",INDEX(EntryPartyName,$P491)))</f>
        <v/>
      </c>
      <c r="F491" s="26">
        <f>IF($P491="","",IF(INDEX(EntryPartyType,$P491)=0,"",INDEX(EntryPartyType,$P491)))</f>
        <v/>
      </c>
      <c r="G491" s="26">
        <f>IF($P491="","",IF(INDEX(EntryTxnType,$P491)=0,"",INDEX(EntryTxnType,$P491)))</f>
        <v/>
      </c>
      <c r="H491" s="27">
        <f>IF($P491="","",IF(INDEX(EntryDep,$P491)=0,"",INDEX(EntryDep,$P491)))</f>
        <v/>
      </c>
      <c r="I491" s="27">
        <f>IF($P491="","",IF(INDEX(EntryWit,$P491)=0,"",INDEX(EntryWit,$P491)))</f>
        <v/>
      </c>
      <c r="J491" s="27">
        <f>IF($B491="","",IF($A491=1,$C$7,IF(J490="",0,J490))+IF($H491="",0,$H491)-IF($I491="",0,$I491))</f>
        <v/>
      </c>
      <c r="K491" s="27">
        <f>IF($P491="","",IF(INDEX(EntryMan,$P491)=0,"",INDEX(EntryMan,$P491)))</f>
        <v/>
      </c>
      <c r="L491" s="26">
        <f>IF($B491="","",IF($K491="","—",IF(ROUND($K491-$J491,0)=0,"√","×")))</f>
        <v/>
      </c>
      <c r="M491" s="26">
        <f>IF($B491="","",IF(COUNTIFS(EntryDates,$B491,CalcTime,$C491,CalcBank,$C$5,EntryParty,$D491,EntryDep,$H491,EntryWit,$I491)&gt;1,"تکرار",""))</f>
        <v/>
      </c>
      <c r="N491" s="26">
        <f>IF($P491="","",IF(INDEX(EntryNotes,$P491)=0,"",INDEX(EntryNotes,$P491)))</f>
        <v/>
      </c>
      <c r="O491" s="26">
        <f>IF($P491="","",IF(INDEX(EntryTxnID,$P491)=0,"",INDEX(EntryTxnID,$P491)))</f>
        <v/>
      </c>
      <c r="P491" s="26">
        <f>IFERROR(MATCH($C$5&amp;"|"&amp;RIGHT("000000"&amp;475,6),CalcRankKey,0),"")</f>
        <v/>
      </c>
    </row>
    <row r="492">
      <c r="A492" s="28">
        <f>IF($B492="","",476)</f>
        <v/>
      </c>
      <c r="B492" s="28">
        <f>IF($P492="","",IF(INDEX(CalcNormDate,$P492)=0,"",INDEX(CalcNormDate,$P492)))</f>
        <v/>
      </c>
      <c r="C492" s="28">
        <f>IF($P492="","",IF(INDEX(CalcTime,$P492)=0,"",INDEX(CalcTime,$P492)))</f>
        <v/>
      </c>
      <c r="D492" s="28">
        <f>IF($P492="","",IF(INDEX(EntryParty,$P492)=0,"",INDEX(EntryParty,$P492)))</f>
        <v/>
      </c>
      <c r="E492" s="28">
        <f>IF($P492="","",IF(INDEX(EntryPartyName,$P492)=0,"",INDEX(EntryPartyName,$P492)))</f>
        <v/>
      </c>
      <c r="F492" s="28">
        <f>IF($P492="","",IF(INDEX(EntryPartyType,$P492)=0,"",INDEX(EntryPartyType,$P492)))</f>
        <v/>
      </c>
      <c r="G492" s="28">
        <f>IF($P492="","",IF(INDEX(EntryTxnType,$P492)=0,"",INDEX(EntryTxnType,$P492)))</f>
        <v/>
      </c>
      <c r="H492" s="29">
        <f>IF($P492="","",IF(INDEX(EntryDep,$P492)=0,"",INDEX(EntryDep,$P492)))</f>
        <v/>
      </c>
      <c r="I492" s="29">
        <f>IF($P492="","",IF(INDEX(EntryWit,$P492)=0,"",INDEX(EntryWit,$P492)))</f>
        <v/>
      </c>
      <c r="J492" s="29">
        <f>IF($B492="","",IF($A492=1,$C$7,IF(J491="",0,J491))+IF($H492="",0,$H492)-IF($I492="",0,$I492))</f>
        <v/>
      </c>
      <c r="K492" s="29">
        <f>IF($P492="","",IF(INDEX(EntryMan,$P492)=0,"",INDEX(EntryMan,$P492)))</f>
        <v/>
      </c>
      <c r="L492" s="28">
        <f>IF($B492="","",IF($K492="","—",IF(ROUND($K492-$J492,0)=0,"√","×")))</f>
        <v/>
      </c>
      <c r="M492" s="28">
        <f>IF($B492="","",IF(COUNTIFS(EntryDates,$B492,CalcTime,$C492,CalcBank,$C$5,EntryParty,$D492,EntryDep,$H492,EntryWit,$I492)&gt;1,"تکرار",""))</f>
        <v/>
      </c>
      <c r="N492" s="28">
        <f>IF($P492="","",IF(INDEX(EntryNotes,$P492)=0,"",INDEX(EntryNotes,$P492)))</f>
        <v/>
      </c>
      <c r="O492" s="28">
        <f>IF($P492="","",IF(INDEX(EntryTxnID,$P492)=0,"",INDEX(EntryTxnID,$P492)))</f>
        <v/>
      </c>
      <c r="P492" s="28">
        <f>IFERROR(MATCH($C$5&amp;"|"&amp;RIGHT("000000"&amp;476,6),CalcRankKey,0),"")</f>
        <v/>
      </c>
    </row>
    <row r="493">
      <c r="A493" s="26">
        <f>IF($B493="","",477)</f>
        <v/>
      </c>
      <c r="B493" s="26">
        <f>IF($P493="","",IF(INDEX(CalcNormDate,$P493)=0,"",INDEX(CalcNormDate,$P493)))</f>
        <v/>
      </c>
      <c r="C493" s="26">
        <f>IF($P493="","",IF(INDEX(CalcTime,$P493)=0,"",INDEX(CalcTime,$P493)))</f>
        <v/>
      </c>
      <c r="D493" s="26">
        <f>IF($P493="","",IF(INDEX(EntryParty,$P493)=0,"",INDEX(EntryParty,$P493)))</f>
        <v/>
      </c>
      <c r="E493" s="26">
        <f>IF($P493="","",IF(INDEX(EntryPartyName,$P493)=0,"",INDEX(EntryPartyName,$P493)))</f>
        <v/>
      </c>
      <c r="F493" s="26">
        <f>IF($P493="","",IF(INDEX(EntryPartyType,$P493)=0,"",INDEX(EntryPartyType,$P493)))</f>
        <v/>
      </c>
      <c r="G493" s="26">
        <f>IF($P493="","",IF(INDEX(EntryTxnType,$P493)=0,"",INDEX(EntryTxnType,$P493)))</f>
        <v/>
      </c>
      <c r="H493" s="27">
        <f>IF($P493="","",IF(INDEX(EntryDep,$P493)=0,"",INDEX(EntryDep,$P493)))</f>
        <v/>
      </c>
      <c r="I493" s="27">
        <f>IF($P493="","",IF(INDEX(EntryWit,$P493)=0,"",INDEX(EntryWit,$P493)))</f>
        <v/>
      </c>
      <c r="J493" s="27">
        <f>IF($B493="","",IF($A493=1,$C$7,IF(J492="",0,J492))+IF($H493="",0,$H493)-IF($I493="",0,$I493))</f>
        <v/>
      </c>
      <c r="K493" s="27">
        <f>IF($P493="","",IF(INDEX(EntryMan,$P493)=0,"",INDEX(EntryMan,$P493)))</f>
        <v/>
      </c>
      <c r="L493" s="26">
        <f>IF($B493="","",IF($K493="","—",IF(ROUND($K493-$J493,0)=0,"√","×")))</f>
        <v/>
      </c>
      <c r="M493" s="26">
        <f>IF($B493="","",IF(COUNTIFS(EntryDates,$B493,CalcTime,$C493,CalcBank,$C$5,EntryParty,$D493,EntryDep,$H493,EntryWit,$I493)&gt;1,"تکرار",""))</f>
        <v/>
      </c>
      <c r="N493" s="26">
        <f>IF($P493="","",IF(INDEX(EntryNotes,$P493)=0,"",INDEX(EntryNotes,$P493)))</f>
        <v/>
      </c>
      <c r="O493" s="26">
        <f>IF($P493="","",IF(INDEX(EntryTxnID,$P493)=0,"",INDEX(EntryTxnID,$P493)))</f>
        <v/>
      </c>
      <c r="P493" s="26">
        <f>IFERROR(MATCH($C$5&amp;"|"&amp;RIGHT("000000"&amp;477,6),CalcRankKey,0),"")</f>
        <v/>
      </c>
    </row>
    <row r="494">
      <c r="A494" s="28">
        <f>IF($B494="","",478)</f>
        <v/>
      </c>
      <c r="B494" s="28">
        <f>IF($P494="","",IF(INDEX(CalcNormDate,$P494)=0,"",INDEX(CalcNormDate,$P494)))</f>
        <v/>
      </c>
      <c r="C494" s="28">
        <f>IF($P494="","",IF(INDEX(CalcTime,$P494)=0,"",INDEX(CalcTime,$P494)))</f>
        <v/>
      </c>
      <c r="D494" s="28">
        <f>IF($P494="","",IF(INDEX(EntryParty,$P494)=0,"",INDEX(EntryParty,$P494)))</f>
        <v/>
      </c>
      <c r="E494" s="28">
        <f>IF($P494="","",IF(INDEX(EntryPartyName,$P494)=0,"",INDEX(EntryPartyName,$P494)))</f>
        <v/>
      </c>
      <c r="F494" s="28">
        <f>IF($P494="","",IF(INDEX(EntryPartyType,$P494)=0,"",INDEX(EntryPartyType,$P494)))</f>
        <v/>
      </c>
      <c r="G494" s="28">
        <f>IF($P494="","",IF(INDEX(EntryTxnType,$P494)=0,"",INDEX(EntryTxnType,$P494)))</f>
        <v/>
      </c>
      <c r="H494" s="29">
        <f>IF($P494="","",IF(INDEX(EntryDep,$P494)=0,"",INDEX(EntryDep,$P494)))</f>
        <v/>
      </c>
      <c r="I494" s="29">
        <f>IF($P494="","",IF(INDEX(EntryWit,$P494)=0,"",INDEX(EntryWit,$P494)))</f>
        <v/>
      </c>
      <c r="J494" s="29">
        <f>IF($B494="","",IF($A494=1,$C$7,IF(J493="",0,J493))+IF($H494="",0,$H494)-IF($I494="",0,$I494))</f>
        <v/>
      </c>
      <c r="K494" s="29">
        <f>IF($P494="","",IF(INDEX(EntryMan,$P494)=0,"",INDEX(EntryMan,$P494)))</f>
        <v/>
      </c>
      <c r="L494" s="28">
        <f>IF($B494="","",IF($K494="","—",IF(ROUND($K494-$J494,0)=0,"√","×")))</f>
        <v/>
      </c>
      <c r="M494" s="28">
        <f>IF($B494="","",IF(COUNTIFS(EntryDates,$B494,CalcTime,$C494,CalcBank,$C$5,EntryParty,$D494,EntryDep,$H494,EntryWit,$I494)&gt;1,"تکرار",""))</f>
        <v/>
      </c>
      <c r="N494" s="28">
        <f>IF($P494="","",IF(INDEX(EntryNotes,$P494)=0,"",INDEX(EntryNotes,$P494)))</f>
        <v/>
      </c>
      <c r="O494" s="28">
        <f>IF($P494="","",IF(INDEX(EntryTxnID,$P494)=0,"",INDEX(EntryTxnID,$P494)))</f>
        <v/>
      </c>
      <c r="P494" s="28">
        <f>IFERROR(MATCH($C$5&amp;"|"&amp;RIGHT("000000"&amp;478,6),CalcRankKey,0),"")</f>
        <v/>
      </c>
    </row>
    <row r="495">
      <c r="A495" s="26">
        <f>IF($B495="","",479)</f>
        <v/>
      </c>
      <c r="B495" s="26">
        <f>IF($P495="","",IF(INDEX(CalcNormDate,$P495)=0,"",INDEX(CalcNormDate,$P495)))</f>
        <v/>
      </c>
      <c r="C495" s="26">
        <f>IF($P495="","",IF(INDEX(CalcTime,$P495)=0,"",INDEX(CalcTime,$P495)))</f>
        <v/>
      </c>
      <c r="D495" s="26">
        <f>IF($P495="","",IF(INDEX(EntryParty,$P495)=0,"",INDEX(EntryParty,$P495)))</f>
        <v/>
      </c>
      <c r="E495" s="26">
        <f>IF($P495="","",IF(INDEX(EntryPartyName,$P495)=0,"",INDEX(EntryPartyName,$P495)))</f>
        <v/>
      </c>
      <c r="F495" s="26">
        <f>IF($P495="","",IF(INDEX(EntryPartyType,$P495)=0,"",INDEX(EntryPartyType,$P495)))</f>
        <v/>
      </c>
      <c r="G495" s="26">
        <f>IF($P495="","",IF(INDEX(EntryTxnType,$P495)=0,"",INDEX(EntryTxnType,$P495)))</f>
        <v/>
      </c>
      <c r="H495" s="27">
        <f>IF($P495="","",IF(INDEX(EntryDep,$P495)=0,"",INDEX(EntryDep,$P495)))</f>
        <v/>
      </c>
      <c r="I495" s="27">
        <f>IF($P495="","",IF(INDEX(EntryWit,$P495)=0,"",INDEX(EntryWit,$P495)))</f>
        <v/>
      </c>
      <c r="J495" s="27">
        <f>IF($B495="","",IF($A495=1,$C$7,IF(J494="",0,J494))+IF($H495="",0,$H495)-IF($I495="",0,$I495))</f>
        <v/>
      </c>
      <c r="K495" s="27">
        <f>IF($P495="","",IF(INDEX(EntryMan,$P495)=0,"",INDEX(EntryMan,$P495)))</f>
        <v/>
      </c>
      <c r="L495" s="26">
        <f>IF($B495="","",IF($K495="","—",IF(ROUND($K495-$J495,0)=0,"√","×")))</f>
        <v/>
      </c>
      <c r="M495" s="26">
        <f>IF($B495="","",IF(COUNTIFS(EntryDates,$B495,CalcTime,$C495,CalcBank,$C$5,EntryParty,$D495,EntryDep,$H495,EntryWit,$I495)&gt;1,"تکرار",""))</f>
        <v/>
      </c>
      <c r="N495" s="26">
        <f>IF($P495="","",IF(INDEX(EntryNotes,$P495)=0,"",INDEX(EntryNotes,$P495)))</f>
        <v/>
      </c>
      <c r="O495" s="26">
        <f>IF($P495="","",IF(INDEX(EntryTxnID,$P495)=0,"",INDEX(EntryTxnID,$P495)))</f>
        <v/>
      </c>
      <c r="P495" s="26">
        <f>IFERROR(MATCH($C$5&amp;"|"&amp;RIGHT("000000"&amp;479,6),CalcRankKey,0),"")</f>
        <v/>
      </c>
    </row>
    <row r="496">
      <c r="A496" s="28">
        <f>IF($B496="","",480)</f>
        <v/>
      </c>
      <c r="B496" s="28">
        <f>IF($P496="","",IF(INDEX(CalcNormDate,$P496)=0,"",INDEX(CalcNormDate,$P496)))</f>
        <v/>
      </c>
      <c r="C496" s="28">
        <f>IF($P496="","",IF(INDEX(CalcTime,$P496)=0,"",INDEX(CalcTime,$P496)))</f>
        <v/>
      </c>
      <c r="D496" s="28">
        <f>IF($P496="","",IF(INDEX(EntryParty,$P496)=0,"",INDEX(EntryParty,$P496)))</f>
        <v/>
      </c>
      <c r="E496" s="28">
        <f>IF($P496="","",IF(INDEX(EntryPartyName,$P496)=0,"",INDEX(EntryPartyName,$P496)))</f>
        <v/>
      </c>
      <c r="F496" s="28">
        <f>IF($P496="","",IF(INDEX(EntryPartyType,$P496)=0,"",INDEX(EntryPartyType,$P496)))</f>
        <v/>
      </c>
      <c r="G496" s="28">
        <f>IF($P496="","",IF(INDEX(EntryTxnType,$P496)=0,"",INDEX(EntryTxnType,$P496)))</f>
        <v/>
      </c>
      <c r="H496" s="29">
        <f>IF($P496="","",IF(INDEX(EntryDep,$P496)=0,"",INDEX(EntryDep,$P496)))</f>
        <v/>
      </c>
      <c r="I496" s="29">
        <f>IF($P496="","",IF(INDEX(EntryWit,$P496)=0,"",INDEX(EntryWit,$P496)))</f>
        <v/>
      </c>
      <c r="J496" s="29">
        <f>IF($B496="","",IF($A496=1,$C$7,IF(J495="",0,J495))+IF($H496="",0,$H496)-IF($I496="",0,$I496))</f>
        <v/>
      </c>
      <c r="K496" s="29">
        <f>IF($P496="","",IF(INDEX(EntryMan,$P496)=0,"",INDEX(EntryMan,$P496)))</f>
        <v/>
      </c>
      <c r="L496" s="28">
        <f>IF($B496="","",IF($K496="","—",IF(ROUND($K496-$J496,0)=0,"√","×")))</f>
        <v/>
      </c>
      <c r="M496" s="28">
        <f>IF($B496="","",IF(COUNTIFS(EntryDates,$B496,CalcTime,$C496,CalcBank,$C$5,EntryParty,$D496,EntryDep,$H496,EntryWit,$I496)&gt;1,"تکرار",""))</f>
        <v/>
      </c>
      <c r="N496" s="28">
        <f>IF($P496="","",IF(INDEX(EntryNotes,$P496)=0,"",INDEX(EntryNotes,$P496)))</f>
        <v/>
      </c>
      <c r="O496" s="28">
        <f>IF($P496="","",IF(INDEX(EntryTxnID,$P496)=0,"",INDEX(EntryTxnID,$P496)))</f>
        <v/>
      </c>
      <c r="P496" s="28">
        <f>IFERROR(MATCH($C$5&amp;"|"&amp;RIGHT("000000"&amp;480,6),CalcRankKey,0),"")</f>
        <v/>
      </c>
    </row>
    <row r="497">
      <c r="A497" s="26">
        <f>IF($B497="","",481)</f>
        <v/>
      </c>
      <c r="B497" s="26">
        <f>IF($P497="","",IF(INDEX(CalcNormDate,$P497)=0,"",INDEX(CalcNormDate,$P497)))</f>
        <v/>
      </c>
      <c r="C497" s="26">
        <f>IF($P497="","",IF(INDEX(CalcTime,$P497)=0,"",INDEX(CalcTime,$P497)))</f>
        <v/>
      </c>
      <c r="D497" s="26">
        <f>IF($P497="","",IF(INDEX(EntryParty,$P497)=0,"",INDEX(EntryParty,$P497)))</f>
        <v/>
      </c>
      <c r="E497" s="26">
        <f>IF($P497="","",IF(INDEX(EntryPartyName,$P497)=0,"",INDEX(EntryPartyName,$P497)))</f>
        <v/>
      </c>
      <c r="F497" s="26">
        <f>IF($P497="","",IF(INDEX(EntryPartyType,$P497)=0,"",INDEX(EntryPartyType,$P497)))</f>
        <v/>
      </c>
      <c r="G497" s="26">
        <f>IF($P497="","",IF(INDEX(EntryTxnType,$P497)=0,"",INDEX(EntryTxnType,$P497)))</f>
        <v/>
      </c>
      <c r="H497" s="27">
        <f>IF($P497="","",IF(INDEX(EntryDep,$P497)=0,"",INDEX(EntryDep,$P497)))</f>
        <v/>
      </c>
      <c r="I497" s="27">
        <f>IF($P497="","",IF(INDEX(EntryWit,$P497)=0,"",INDEX(EntryWit,$P497)))</f>
        <v/>
      </c>
      <c r="J497" s="27">
        <f>IF($B497="","",IF($A497=1,$C$7,IF(J496="",0,J496))+IF($H497="",0,$H497)-IF($I497="",0,$I497))</f>
        <v/>
      </c>
      <c r="K497" s="27">
        <f>IF($P497="","",IF(INDEX(EntryMan,$P497)=0,"",INDEX(EntryMan,$P497)))</f>
        <v/>
      </c>
      <c r="L497" s="26">
        <f>IF($B497="","",IF($K497="","—",IF(ROUND($K497-$J497,0)=0,"√","×")))</f>
        <v/>
      </c>
      <c r="M497" s="26">
        <f>IF($B497="","",IF(COUNTIFS(EntryDates,$B497,CalcTime,$C497,CalcBank,$C$5,EntryParty,$D497,EntryDep,$H497,EntryWit,$I497)&gt;1,"تکرار",""))</f>
        <v/>
      </c>
      <c r="N497" s="26">
        <f>IF($P497="","",IF(INDEX(EntryNotes,$P497)=0,"",INDEX(EntryNotes,$P497)))</f>
        <v/>
      </c>
      <c r="O497" s="26">
        <f>IF($P497="","",IF(INDEX(EntryTxnID,$P497)=0,"",INDEX(EntryTxnID,$P497)))</f>
        <v/>
      </c>
      <c r="P497" s="26">
        <f>IFERROR(MATCH($C$5&amp;"|"&amp;RIGHT("000000"&amp;481,6),CalcRankKey,0),"")</f>
        <v/>
      </c>
    </row>
    <row r="498">
      <c r="A498" s="28">
        <f>IF($B498="","",482)</f>
        <v/>
      </c>
      <c r="B498" s="28">
        <f>IF($P498="","",IF(INDEX(CalcNormDate,$P498)=0,"",INDEX(CalcNormDate,$P498)))</f>
        <v/>
      </c>
      <c r="C498" s="28">
        <f>IF($P498="","",IF(INDEX(CalcTime,$P498)=0,"",INDEX(CalcTime,$P498)))</f>
        <v/>
      </c>
      <c r="D498" s="28">
        <f>IF($P498="","",IF(INDEX(EntryParty,$P498)=0,"",INDEX(EntryParty,$P498)))</f>
        <v/>
      </c>
      <c r="E498" s="28">
        <f>IF($P498="","",IF(INDEX(EntryPartyName,$P498)=0,"",INDEX(EntryPartyName,$P498)))</f>
        <v/>
      </c>
      <c r="F498" s="28">
        <f>IF($P498="","",IF(INDEX(EntryPartyType,$P498)=0,"",INDEX(EntryPartyType,$P498)))</f>
        <v/>
      </c>
      <c r="G498" s="28">
        <f>IF($P498="","",IF(INDEX(EntryTxnType,$P498)=0,"",INDEX(EntryTxnType,$P498)))</f>
        <v/>
      </c>
      <c r="H498" s="29">
        <f>IF($P498="","",IF(INDEX(EntryDep,$P498)=0,"",INDEX(EntryDep,$P498)))</f>
        <v/>
      </c>
      <c r="I498" s="29">
        <f>IF($P498="","",IF(INDEX(EntryWit,$P498)=0,"",INDEX(EntryWit,$P498)))</f>
        <v/>
      </c>
      <c r="J498" s="29">
        <f>IF($B498="","",IF($A498=1,$C$7,IF(J497="",0,J497))+IF($H498="",0,$H498)-IF($I498="",0,$I498))</f>
        <v/>
      </c>
      <c r="K498" s="29">
        <f>IF($P498="","",IF(INDEX(EntryMan,$P498)=0,"",INDEX(EntryMan,$P498)))</f>
        <v/>
      </c>
      <c r="L498" s="28">
        <f>IF($B498="","",IF($K498="","—",IF(ROUND($K498-$J498,0)=0,"√","×")))</f>
        <v/>
      </c>
      <c r="M498" s="28">
        <f>IF($B498="","",IF(COUNTIFS(EntryDates,$B498,CalcTime,$C498,CalcBank,$C$5,EntryParty,$D498,EntryDep,$H498,EntryWit,$I498)&gt;1,"تکرار",""))</f>
        <v/>
      </c>
      <c r="N498" s="28">
        <f>IF($P498="","",IF(INDEX(EntryNotes,$P498)=0,"",INDEX(EntryNotes,$P498)))</f>
        <v/>
      </c>
      <c r="O498" s="28">
        <f>IF($P498="","",IF(INDEX(EntryTxnID,$P498)=0,"",INDEX(EntryTxnID,$P498)))</f>
        <v/>
      </c>
      <c r="P498" s="28">
        <f>IFERROR(MATCH($C$5&amp;"|"&amp;RIGHT("000000"&amp;482,6),CalcRankKey,0),"")</f>
        <v/>
      </c>
    </row>
    <row r="499">
      <c r="A499" s="26">
        <f>IF($B499="","",483)</f>
        <v/>
      </c>
      <c r="B499" s="26">
        <f>IF($P499="","",IF(INDEX(CalcNormDate,$P499)=0,"",INDEX(CalcNormDate,$P499)))</f>
        <v/>
      </c>
      <c r="C499" s="26">
        <f>IF($P499="","",IF(INDEX(CalcTime,$P499)=0,"",INDEX(CalcTime,$P499)))</f>
        <v/>
      </c>
      <c r="D499" s="26">
        <f>IF($P499="","",IF(INDEX(EntryParty,$P499)=0,"",INDEX(EntryParty,$P499)))</f>
        <v/>
      </c>
      <c r="E499" s="26">
        <f>IF($P499="","",IF(INDEX(EntryPartyName,$P499)=0,"",INDEX(EntryPartyName,$P499)))</f>
        <v/>
      </c>
      <c r="F499" s="26">
        <f>IF($P499="","",IF(INDEX(EntryPartyType,$P499)=0,"",INDEX(EntryPartyType,$P499)))</f>
        <v/>
      </c>
      <c r="G499" s="26">
        <f>IF($P499="","",IF(INDEX(EntryTxnType,$P499)=0,"",INDEX(EntryTxnType,$P499)))</f>
        <v/>
      </c>
      <c r="H499" s="27">
        <f>IF($P499="","",IF(INDEX(EntryDep,$P499)=0,"",INDEX(EntryDep,$P499)))</f>
        <v/>
      </c>
      <c r="I499" s="27">
        <f>IF($P499="","",IF(INDEX(EntryWit,$P499)=0,"",INDEX(EntryWit,$P499)))</f>
        <v/>
      </c>
      <c r="J499" s="27">
        <f>IF($B499="","",IF($A499=1,$C$7,IF(J498="",0,J498))+IF($H499="",0,$H499)-IF($I499="",0,$I499))</f>
        <v/>
      </c>
      <c r="K499" s="27">
        <f>IF($P499="","",IF(INDEX(EntryMan,$P499)=0,"",INDEX(EntryMan,$P499)))</f>
        <v/>
      </c>
      <c r="L499" s="26">
        <f>IF($B499="","",IF($K499="","—",IF(ROUND($K499-$J499,0)=0,"√","×")))</f>
        <v/>
      </c>
      <c r="M499" s="26">
        <f>IF($B499="","",IF(COUNTIFS(EntryDates,$B499,CalcTime,$C499,CalcBank,$C$5,EntryParty,$D499,EntryDep,$H499,EntryWit,$I499)&gt;1,"تکرار",""))</f>
        <v/>
      </c>
      <c r="N499" s="26">
        <f>IF($P499="","",IF(INDEX(EntryNotes,$P499)=0,"",INDEX(EntryNotes,$P499)))</f>
        <v/>
      </c>
      <c r="O499" s="26">
        <f>IF($P499="","",IF(INDEX(EntryTxnID,$P499)=0,"",INDEX(EntryTxnID,$P499)))</f>
        <v/>
      </c>
      <c r="P499" s="26">
        <f>IFERROR(MATCH($C$5&amp;"|"&amp;RIGHT("000000"&amp;483,6),CalcRankKey,0),"")</f>
        <v/>
      </c>
    </row>
    <row r="500">
      <c r="A500" s="28">
        <f>IF($B500="","",484)</f>
        <v/>
      </c>
      <c r="B500" s="28">
        <f>IF($P500="","",IF(INDEX(CalcNormDate,$P500)=0,"",INDEX(CalcNormDate,$P500)))</f>
        <v/>
      </c>
      <c r="C500" s="28">
        <f>IF($P500="","",IF(INDEX(CalcTime,$P500)=0,"",INDEX(CalcTime,$P500)))</f>
        <v/>
      </c>
      <c r="D500" s="28">
        <f>IF($P500="","",IF(INDEX(EntryParty,$P500)=0,"",INDEX(EntryParty,$P500)))</f>
        <v/>
      </c>
      <c r="E500" s="28">
        <f>IF($P500="","",IF(INDEX(EntryPartyName,$P500)=0,"",INDEX(EntryPartyName,$P500)))</f>
        <v/>
      </c>
      <c r="F500" s="28">
        <f>IF($P500="","",IF(INDEX(EntryPartyType,$P500)=0,"",INDEX(EntryPartyType,$P500)))</f>
        <v/>
      </c>
      <c r="G500" s="28">
        <f>IF($P500="","",IF(INDEX(EntryTxnType,$P500)=0,"",INDEX(EntryTxnType,$P500)))</f>
        <v/>
      </c>
      <c r="H500" s="29">
        <f>IF($P500="","",IF(INDEX(EntryDep,$P500)=0,"",INDEX(EntryDep,$P500)))</f>
        <v/>
      </c>
      <c r="I500" s="29">
        <f>IF($P500="","",IF(INDEX(EntryWit,$P500)=0,"",INDEX(EntryWit,$P500)))</f>
        <v/>
      </c>
      <c r="J500" s="29">
        <f>IF($B500="","",IF($A500=1,$C$7,IF(J499="",0,J499))+IF($H500="",0,$H500)-IF($I500="",0,$I500))</f>
        <v/>
      </c>
      <c r="K500" s="29">
        <f>IF($P500="","",IF(INDEX(EntryMan,$P500)=0,"",INDEX(EntryMan,$P500)))</f>
        <v/>
      </c>
      <c r="L500" s="28">
        <f>IF($B500="","",IF($K500="","—",IF(ROUND($K500-$J500,0)=0,"√","×")))</f>
        <v/>
      </c>
      <c r="M500" s="28">
        <f>IF($B500="","",IF(COUNTIFS(EntryDates,$B500,CalcTime,$C500,CalcBank,$C$5,EntryParty,$D500,EntryDep,$H500,EntryWit,$I500)&gt;1,"تکرار",""))</f>
        <v/>
      </c>
      <c r="N500" s="28">
        <f>IF($P500="","",IF(INDEX(EntryNotes,$P500)=0,"",INDEX(EntryNotes,$P500)))</f>
        <v/>
      </c>
      <c r="O500" s="28">
        <f>IF($P500="","",IF(INDEX(EntryTxnID,$P500)=0,"",INDEX(EntryTxnID,$P500)))</f>
        <v/>
      </c>
      <c r="P500" s="28">
        <f>IFERROR(MATCH($C$5&amp;"|"&amp;RIGHT("000000"&amp;484,6),CalcRankKey,0),"")</f>
        <v/>
      </c>
    </row>
    <row r="501">
      <c r="A501" s="26">
        <f>IF($B501="","",485)</f>
        <v/>
      </c>
      <c r="B501" s="26">
        <f>IF($P501="","",IF(INDEX(CalcNormDate,$P501)=0,"",INDEX(CalcNormDate,$P501)))</f>
        <v/>
      </c>
      <c r="C501" s="26">
        <f>IF($P501="","",IF(INDEX(CalcTime,$P501)=0,"",INDEX(CalcTime,$P501)))</f>
        <v/>
      </c>
      <c r="D501" s="26">
        <f>IF($P501="","",IF(INDEX(EntryParty,$P501)=0,"",INDEX(EntryParty,$P501)))</f>
        <v/>
      </c>
      <c r="E501" s="26">
        <f>IF($P501="","",IF(INDEX(EntryPartyName,$P501)=0,"",INDEX(EntryPartyName,$P501)))</f>
        <v/>
      </c>
      <c r="F501" s="26">
        <f>IF($P501="","",IF(INDEX(EntryPartyType,$P501)=0,"",INDEX(EntryPartyType,$P501)))</f>
        <v/>
      </c>
      <c r="G501" s="26">
        <f>IF($P501="","",IF(INDEX(EntryTxnType,$P501)=0,"",INDEX(EntryTxnType,$P501)))</f>
        <v/>
      </c>
      <c r="H501" s="27">
        <f>IF($P501="","",IF(INDEX(EntryDep,$P501)=0,"",INDEX(EntryDep,$P501)))</f>
        <v/>
      </c>
      <c r="I501" s="27">
        <f>IF($P501="","",IF(INDEX(EntryWit,$P501)=0,"",INDEX(EntryWit,$P501)))</f>
        <v/>
      </c>
      <c r="J501" s="27">
        <f>IF($B501="","",IF($A501=1,$C$7,IF(J500="",0,J500))+IF($H501="",0,$H501)-IF($I501="",0,$I501))</f>
        <v/>
      </c>
      <c r="K501" s="27">
        <f>IF($P501="","",IF(INDEX(EntryMan,$P501)=0,"",INDEX(EntryMan,$P501)))</f>
        <v/>
      </c>
      <c r="L501" s="26">
        <f>IF($B501="","",IF($K501="","—",IF(ROUND($K501-$J501,0)=0,"√","×")))</f>
        <v/>
      </c>
      <c r="M501" s="26">
        <f>IF($B501="","",IF(COUNTIFS(EntryDates,$B501,CalcTime,$C501,CalcBank,$C$5,EntryParty,$D501,EntryDep,$H501,EntryWit,$I501)&gt;1,"تکرار",""))</f>
        <v/>
      </c>
      <c r="N501" s="26">
        <f>IF($P501="","",IF(INDEX(EntryNotes,$P501)=0,"",INDEX(EntryNotes,$P501)))</f>
        <v/>
      </c>
      <c r="O501" s="26">
        <f>IF($P501="","",IF(INDEX(EntryTxnID,$P501)=0,"",INDEX(EntryTxnID,$P501)))</f>
        <v/>
      </c>
      <c r="P501" s="26">
        <f>IFERROR(MATCH($C$5&amp;"|"&amp;RIGHT("000000"&amp;485,6),CalcRankKey,0),"")</f>
        <v/>
      </c>
    </row>
    <row r="502">
      <c r="A502" s="28">
        <f>IF($B502="","",486)</f>
        <v/>
      </c>
      <c r="B502" s="28">
        <f>IF($P502="","",IF(INDEX(CalcNormDate,$P502)=0,"",INDEX(CalcNormDate,$P502)))</f>
        <v/>
      </c>
      <c r="C502" s="28">
        <f>IF($P502="","",IF(INDEX(CalcTime,$P502)=0,"",INDEX(CalcTime,$P502)))</f>
        <v/>
      </c>
      <c r="D502" s="28">
        <f>IF($P502="","",IF(INDEX(EntryParty,$P502)=0,"",INDEX(EntryParty,$P502)))</f>
        <v/>
      </c>
      <c r="E502" s="28">
        <f>IF($P502="","",IF(INDEX(EntryPartyName,$P502)=0,"",INDEX(EntryPartyName,$P502)))</f>
        <v/>
      </c>
      <c r="F502" s="28">
        <f>IF($P502="","",IF(INDEX(EntryPartyType,$P502)=0,"",INDEX(EntryPartyType,$P502)))</f>
        <v/>
      </c>
      <c r="G502" s="28">
        <f>IF($P502="","",IF(INDEX(EntryTxnType,$P502)=0,"",INDEX(EntryTxnType,$P502)))</f>
        <v/>
      </c>
      <c r="H502" s="29">
        <f>IF($P502="","",IF(INDEX(EntryDep,$P502)=0,"",INDEX(EntryDep,$P502)))</f>
        <v/>
      </c>
      <c r="I502" s="29">
        <f>IF($P502="","",IF(INDEX(EntryWit,$P502)=0,"",INDEX(EntryWit,$P502)))</f>
        <v/>
      </c>
      <c r="J502" s="29">
        <f>IF($B502="","",IF($A502=1,$C$7,IF(J501="",0,J501))+IF($H502="",0,$H502)-IF($I502="",0,$I502))</f>
        <v/>
      </c>
      <c r="K502" s="29">
        <f>IF($P502="","",IF(INDEX(EntryMan,$P502)=0,"",INDEX(EntryMan,$P502)))</f>
        <v/>
      </c>
      <c r="L502" s="28">
        <f>IF($B502="","",IF($K502="","—",IF(ROUND($K502-$J502,0)=0,"√","×")))</f>
        <v/>
      </c>
      <c r="M502" s="28">
        <f>IF($B502="","",IF(COUNTIFS(EntryDates,$B502,CalcTime,$C502,CalcBank,$C$5,EntryParty,$D502,EntryDep,$H502,EntryWit,$I502)&gt;1,"تکرار",""))</f>
        <v/>
      </c>
      <c r="N502" s="28">
        <f>IF($P502="","",IF(INDEX(EntryNotes,$P502)=0,"",INDEX(EntryNotes,$P502)))</f>
        <v/>
      </c>
      <c r="O502" s="28">
        <f>IF($P502="","",IF(INDEX(EntryTxnID,$P502)=0,"",INDEX(EntryTxnID,$P502)))</f>
        <v/>
      </c>
      <c r="P502" s="28">
        <f>IFERROR(MATCH($C$5&amp;"|"&amp;RIGHT("000000"&amp;486,6),CalcRankKey,0),"")</f>
        <v/>
      </c>
    </row>
    <row r="503">
      <c r="A503" s="26">
        <f>IF($B503="","",487)</f>
        <v/>
      </c>
      <c r="B503" s="26">
        <f>IF($P503="","",IF(INDEX(CalcNormDate,$P503)=0,"",INDEX(CalcNormDate,$P503)))</f>
        <v/>
      </c>
      <c r="C503" s="26">
        <f>IF($P503="","",IF(INDEX(CalcTime,$P503)=0,"",INDEX(CalcTime,$P503)))</f>
        <v/>
      </c>
      <c r="D503" s="26">
        <f>IF($P503="","",IF(INDEX(EntryParty,$P503)=0,"",INDEX(EntryParty,$P503)))</f>
        <v/>
      </c>
      <c r="E503" s="26">
        <f>IF($P503="","",IF(INDEX(EntryPartyName,$P503)=0,"",INDEX(EntryPartyName,$P503)))</f>
        <v/>
      </c>
      <c r="F503" s="26">
        <f>IF($P503="","",IF(INDEX(EntryPartyType,$P503)=0,"",INDEX(EntryPartyType,$P503)))</f>
        <v/>
      </c>
      <c r="G503" s="26">
        <f>IF($P503="","",IF(INDEX(EntryTxnType,$P503)=0,"",INDEX(EntryTxnType,$P503)))</f>
        <v/>
      </c>
      <c r="H503" s="27">
        <f>IF($P503="","",IF(INDEX(EntryDep,$P503)=0,"",INDEX(EntryDep,$P503)))</f>
        <v/>
      </c>
      <c r="I503" s="27">
        <f>IF($P503="","",IF(INDEX(EntryWit,$P503)=0,"",INDEX(EntryWit,$P503)))</f>
        <v/>
      </c>
      <c r="J503" s="27">
        <f>IF($B503="","",IF($A503=1,$C$7,IF(J502="",0,J502))+IF($H503="",0,$H503)-IF($I503="",0,$I503))</f>
        <v/>
      </c>
      <c r="K503" s="27">
        <f>IF($P503="","",IF(INDEX(EntryMan,$P503)=0,"",INDEX(EntryMan,$P503)))</f>
        <v/>
      </c>
      <c r="L503" s="26">
        <f>IF($B503="","",IF($K503="","—",IF(ROUND($K503-$J503,0)=0,"√","×")))</f>
        <v/>
      </c>
      <c r="M503" s="26">
        <f>IF($B503="","",IF(COUNTIFS(EntryDates,$B503,CalcTime,$C503,CalcBank,$C$5,EntryParty,$D503,EntryDep,$H503,EntryWit,$I503)&gt;1,"تکرار",""))</f>
        <v/>
      </c>
      <c r="N503" s="26">
        <f>IF($P503="","",IF(INDEX(EntryNotes,$P503)=0,"",INDEX(EntryNotes,$P503)))</f>
        <v/>
      </c>
      <c r="O503" s="26">
        <f>IF($P503="","",IF(INDEX(EntryTxnID,$P503)=0,"",INDEX(EntryTxnID,$P503)))</f>
        <v/>
      </c>
      <c r="P503" s="26">
        <f>IFERROR(MATCH($C$5&amp;"|"&amp;RIGHT("000000"&amp;487,6),CalcRankKey,0),"")</f>
        <v/>
      </c>
    </row>
    <row r="504">
      <c r="A504" s="28">
        <f>IF($B504="","",488)</f>
        <v/>
      </c>
      <c r="B504" s="28">
        <f>IF($P504="","",IF(INDEX(CalcNormDate,$P504)=0,"",INDEX(CalcNormDate,$P504)))</f>
        <v/>
      </c>
      <c r="C504" s="28">
        <f>IF($P504="","",IF(INDEX(CalcTime,$P504)=0,"",INDEX(CalcTime,$P504)))</f>
        <v/>
      </c>
      <c r="D504" s="28">
        <f>IF($P504="","",IF(INDEX(EntryParty,$P504)=0,"",INDEX(EntryParty,$P504)))</f>
        <v/>
      </c>
      <c r="E504" s="28">
        <f>IF($P504="","",IF(INDEX(EntryPartyName,$P504)=0,"",INDEX(EntryPartyName,$P504)))</f>
        <v/>
      </c>
      <c r="F504" s="28">
        <f>IF($P504="","",IF(INDEX(EntryPartyType,$P504)=0,"",INDEX(EntryPartyType,$P504)))</f>
        <v/>
      </c>
      <c r="G504" s="28">
        <f>IF($P504="","",IF(INDEX(EntryTxnType,$P504)=0,"",INDEX(EntryTxnType,$P504)))</f>
        <v/>
      </c>
      <c r="H504" s="29">
        <f>IF($P504="","",IF(INDEX(EntryDep,$P504)=0,"",INDEX(EntryDep,$P504)))</f>
        <v/>
      </c>
      <c r="I504" s="29">
        <f>IF($P504="","",IF(INDEX(EntryWit,$P504)=0,"",INDEX(EntryWit,$P504)))</f>
        <v/>
      </c>
      <c r="J504" s="29">
        <f>IF($B504="","",IF($A504=1,$C$7,IF(J503="",0,J503))+IF($H504="",0,$H504)-IF($I504="",0,$I504))</f>
        <v/>
      </c>
      <c r="K504" s="29">
        <f>IF($P504="","",IF(INDEX(EntryMan,$P504)=0,"",INDEX(EntryMan,$P504)))</f>
        <v/>
      </c>
      <c r="L504" s="28">
        <f>IF($B504="","",IF($K504="","—",IF(ROUND($K504-$J504,0)=0,"√","×")))</f>
        <v/>
      </c>
      <c r="M504" s="28">
        <f>IF($B504="","",IF(COUNTIFS(EntryDates,$B504,CalcTime,$C504,CalcBank,$C$5,EntryParty,$D504,EntryDep,$H504,EntryWit,$I504)&gt;1,"تکرار",""))</f>
        <v/>
      </c>
      <c r="N504" s="28">
        <f>IF($P504="","",IF(INDEX(EntryNotes,$P504)=0,"",INDEX(EntryNotes,$P504)))</f>
        <v/>
      </c>
      <c r="O504" s="28">
        <f>IF($P504="","",IF(INDEX(EntryTxnID,$P504)=0,"",INDEX(EntryTxnID,$P504)))</f>
        <v/>
      </c>
      <c r="P504" s="28">
        <f>IFERROR(MATCH($C$5&amp;"|"&amp;RIGHT("000000"&amp;488,6),CalcRankKey,0),"")</f>
        <v/>
      </c>
    </row>
    <row r="505">
      <c r="A505" s="26">
        <f>IF($B505="","",489)</f>
        <v/>
      </c>
      <c r="B505" s="26">
        <f>IF($P505="","",IF(INDEX(CalcNormDate,$P505)=0,"",INDEX(CalcNormDate,$P505)))</f>
        <v/>
      </c>
      <c r="C505" s="26">
        <f>IF($P505="","",IF(INDEX(CalcTime,$P505)=0,"",INDEX(CalcTime,$P505)))</f>
        <v/>
      </c>
      <c r="D505" s="26">
        <f>IF($P505="","",IF(INDEX(EntryParty,$P505)=0,"",INDEX(EntryParty,$P505)))</f>
        <v/>
      </c>
      <c r="E505" s="26">
        <f>IF($P505="","",IF(INDEX(EntryPartyName,$P505)=0,"",INDEX(EntryPartyName,$P505)))</f>
        <v/>
      </c>
      <c r="F505" s="26">
        <f>IF($P505="","",IF(INDEX(EntryPartyType,$P505)=0,"",INDEX(EntryPartyType,$P505)))</f>
        <v/>
      </c>
      <c r="G505" s="26">
        <f>IF($P505="","",IF(INDEX(EntryTxnType,$P505)=0,"",INDEX(EntryTxnType,$P505)))</f>
        <v/>
      </c>
      <c r="H505" s="27">
        <f>IF($P505="","",IF(INDEX(EntryDep,$P505)=0,"",INDEX(EntryDep,$P505)))</f>
        <v/>
      </c>
      <c r="I505" s="27">
        <f>IF($P505="","",IF(INDEX(EntryWit,$P505)=0,"",INDEX(EntryWit,$P505)))</f>
        <v/>
      </c>
      <c r="J505" s="27">
        <f>IF($B505="","",IF($A505=1,$C$7,IF(J504="",0,J504))+IF($H505="",0,$H505)-IF($I505="",0,$I505))</f>
        <v/>
      </c>
      <c r="K505" s="27">
        <f>IF($P505="","",IF(INDEX(EntryMan,$P505)=0,"",INDEX(EntryMan,$P505)))</f>
        <v/>
      </c>
      <c r="L505" s="26">
        <f>IF($B505="","",IF($K505="","—",IF(ROUND($K505-$J505,0)=0,"√","×")))</f>
        <v/>
      </c>
      <c r="M505" s="26">
        <f>IF($B505="","",IF(COUNTIFS(EntryDates,$B505,CalcTime,$C505,CalcBank,$C$5,EntryParty,$D505,EntryDep,$H505,EntryWit,$I505)&gt;1,"تکرار",""))</f>
        <v/>
      </c>
      <c r="N505" s="26">
        <f>IF($P505="","",IF(INDEX(EntryNotes,$P505)=0,"",INDEX(EntryNotes,$P505)))</f>
        <v/>
      </c>
      <c r="O505" s="26">
        <f>IF($P505="","",IF(INDEX(EntryTxnID,$P505)=0,"",INDEX(EntryTxnID,$P505)))</f>
        <v/>
      </c>
      <c r="P505" s="26">
        <f>IFERROR(MATCH($C$5&amp;"|"&amp;RIGHT("000000"&amp;489,6),CalcRankKey,0),"")</f>
        <v/>
      </c>
    </row>
    <row r="506">
      <c r="A506" s="28">
        <f>IF($B506="","",490)</f>
        <v/>
      </c>
      <c r="B506" s="28">
        <f>IF($P506="","",IF(INDEX(CalcNormDate,$P506)=0,"",INDEX(CalcNormDate,$P506)))</f>
        <v/>
      </c>
      <c r="C506" s="28">
        <f>IF($P506="","",IF(INDEX(CalcTime,$P506)=0,"",INDEX(CalcTime,$P506)))</f>
        <v/>
      </c>
      <c r="D506" s="28">
        <f>IF($P506="","",IF(INDEX(EntryParty,$P506)=0,"",INDEX(EntryParty,$P506)))</f>
        <v/>
      </c>
      <c r="E506" s="28">
        <f>IF($P506="","",IF(INDEX(EntryPartyName,$P506)=0,"",INDEX(EntryPartyName,$P506)))</f>
        <v/>
      </c>
      <c r="F506" s="28">
        <f>IF($P506="","",IF(INDEX(EntryPartyType,$P506)=0,"",INDEX(EntryPartyType,$P506)))</f>
        <v/>
      </c>
      <c r="G506" s="28">
        <f>IF($P506="","",IF(INDEX(EntryTxnType,$P506)=0,"",INDEX(EntryTxnType,$P506)))</f>
        <v/>
      </c>
      <c r="H506" s="29">
        <f>IF($P506="","",IF(INDEX(EntryDep,$P506)=0,"",INDEX(EntryDep,$P506)))</f>
        <v/>
      </c>
      <c r="I506" s="29">
        <f>IF($P506="","",IF(INDEX(EntryWit,$P506)=0,"",INDEX(EntryWit,$P506)))</f>
        <v/>
      </c>
      <c r="J506" s="29">
        <f>IF($B506="","",IF($A506=1,$C$7,IF(J505="",0,J505))+IF($H506="",0,$H506)-IF($I506="",0,$I506))</f>
        <v/>
      </c>
      <c r="K506" s="29">
        <f>IF($P506="","",IF(INDEX(EntryMan,$P506)=0,"",INDEX(EntryMan,$P506)))</f>
        <v/>
      </c>
      <c r="L506" s="28">
        <f>IF($B506="","",IF($K506="","—",IF(ROUND($K506-$J506,0)=0,"√","×")))</f>
        <v/>
      </c>
      <c r="M506" s="28">
        <f>IF($B506="","",IF(COUNTIFS(EntryDates,$B506,CalcTime,$C506,CalcBank,$C$5,EntryParty,$D506,EntryDep,$H506,EntryWit,$I506)&gt;1,"تکرار",""))</f>
        <v/>
      </c>
      <c r="N506" s="28">
        <f>IF($P506="","",IF(INDEX(EntryNotes,$P506)=0,"",INDEX(EntryNotes,$P506)))</f>
        <v/>
      </c>
      <c r="O506" s="28">
        <f>IF($P506="","",IF(INDEX(EntryTxnID,$P506)=0,"",INDEX(EntryTxnID,$P506)))</f>
        <v/>
      </c>
      <c r="P506" s="28">
        <f>IFERROR(MATCH($C$5&amp;"|"&amp;RIGHT("000000"&amp;490,6),CalcRankKey,0),"")</f>
        <v/>
      </c>
    </row>
    <row r="507">
      <c r="A507" s="26">
        <f>IF($B507="","",491)</f>
        <v/>
      </c>
      <c r="B507" s="26">
        <f>IF($P507="","",IF(INDEX(CalcNormDate,$P507)=0,"",INDEX(CalcNormDate,$P507)))</f>
        <v/>
      </c>
      <c r="C507" s="26">
        <f>IF($P507="","",IF(INDEX(CalcTime,$P507)=0,"",INDEX(CalcTime,$P507)))</f>
        <v/>
      </c>
      <c r="D507" s="26">
        <f>IF($P507="","",IF(INDEX(EntryParty,$P507)=0,"",INDEX(EntryParty,$P507)))</f>
        <v/>
      </c>
      <c r="E507" s="26">
        <f>IF($P507="","",IF(INDEX(EntryPartyName,$P507)=0,"",INDEX(EntryPartyName,$P507)))</f>
        <v/>
      </c>
      <c r="F507" s="26">
        <f>IF($P507="","",IF(INDEX(EntryPartyType,$P507)=0,"",INDEX(EntryPartyType,$P507)))</f>
        <v/>
      </c>
      <c r="G507" s="26">
        <f>IF($P507="","",IF(INDEX(EntryTxnType,$P507)=0,"",INDEX(EntryTxnType,$P507)))</f>
        <v/>
      </c>
      <c r="H507" s="27">
        <f>IF($P507="","",IF(INDEX(EntryDep,$P507)=0,"",INDEX(EntryDep,$P507)))</f>
        <v/>
      </c>
      <c r="I507" s="27">
        <f>IF($P507="","",IF(INDEX(EntryWit,$P507)=0,"",INDEX(EntryWit,$P507)))</f>
        <v/>
      </c>
      <c r="J507" s="27">
        <f>IF($B507="","",IF($A507=1,$C$7,IF(J506="",0,J506))+IF($H507="",0,$H507)-IF($I507="",0,$I507))</f>
        <v/>
      </c>
      <c r="K507" s="27">
        <f>IF($P507="","",IF(INDEX(EntryMan,$P507)=0,"",INDEX(EntryMan,$P507)))</f>
        <v/>
      </c>
      <c r="L507" s="26">
        <f>IF($B507="","",IF($K507="","—",IF(ROUND($K507-$J507,0)=0,"√","×")))</f>
        <v/>
      </c>
      <c r="M507" s="26">
        <f>IF($B507="","",IF(COUNTIFS(EntryDates,$B507,CalcTime,$C507,CalcBank,$C$5,EntryParty,$D507,EntryDep,$H507,EntryWit,$I507)&gt;1,"تکرار",""))</f>
        <v/>
      </c>
      <c r="N507" s="26">
        <f>IF($P507="","",IF(INDEX(EntryNotes,$P507)=0,"",INDEX(EntryNotes,$P507)))</f>
        <v/>
      </c>
      <c r="O507" s="26">
        <f>IF($P507="","",IF(INDEX(EntryTxnID,$P507)=0,"",INDEX(EntryTxnID,$P507)))</f>
        <v/>
      </c>
      <c r="P507" s="26">
        <f>IFERROR(MATCH($C$5&amp;"|"&amp;RIGHT("000000"&amp;491,6),CalcRankKey,0),"")</f>
        <v/>
      </c>
    </row>
    <row r="508">
      <c r="A508" s="28">
        <f>IF($B508="","",492)</f>
        <v/>
      </c>
      <c r="B508" s="28">
        <f>IF($P508="","",IF(INDEX(CalcNormDate,$P508)=0,"",INDEX(CalcNormDate,$P508)))</f>
        <v/>
      </c>
      <c r="C508" s="28">
        <f>IF($P508="","",IF(INDEX(CalcTime,$P508)=0,"",INDEX(CalcTime,$P508)))</f>
        <v/>
      </c>
      <c r="D508" s="28">
        <f>IF($P508="","",IF(INDEX(EntryParty,$P508)=0,"",INDEX(EntryParty,$P508)))</f>
        <v/>
      </c>
      <c r="E508" s="28">
        <f>IF($P508="","",IF(INDEX(EntryPartyName,$P508)=0,"",INDEX(EntryPartyName,$P508)))</f>
        <v/>
      </c>
      <c r="F508" s="28">
        <f>IF($P508="","",IF(INDEX(EntryPartyType,$P508)=0,"",INDEX(EntryPartyType,$P508)))</f>
        <v/>
      </c>
      <c r="G508" s="28">
        <f>IF($P508="","",IF(INDEX(EntryTxnType,$P508)=0,"",INDEX(EntryTxnType,$P508)))</f>
        <v/>
      </c>
      <c r="H508" s="29">
        <f>IF($P508="","",IF(INDEX(EntryDep,$P508)=0,"",INDEX(EntryDep,$P508)))</f>
        <v/>
      </c>
      <c r="I508" s="29">
        <f>IF($P508="","",IF(INDEX(EntryWit,$P508)=0,"",INDEX(EntryWit,$P508)))</f>
        <v/>
      </c>
      <c r="J508" s="29">
        <f>IF($B508="","",IF($A508=1,$C$7,IF(J507="",0,J507))+IF($H508="",0,$H508)-IF($I508="",0,$I508))</f>
        <v/>
      </c>
      <c r="K508" s="29">
        <f>IF($P508="","",IF(INDEX(EntryMan,$P508)=0,"",INDEX(EntryMan,$P508)))</f>
        <v/>
      </c>
      <c r="L508" s="28">
        <f>IF($B508="","",IF($K508="","—",IF(ROUND($K508-$J508,0)=0,"√","×")))</f>
        <v/>
      </c>
      <c r="M508" s="28">
        <f>IF($B508="","",IF(COUNTIFS(EntryDates,$B508,CalcTime,$C508,CalcBank,$C$5,EntryParty,$D508,EntryDep,$H508,EntryWit,$I508)&gt;1,"تکرار",""))</f>
        <v/>
      </c>
      <c r="N508" s="28">
        <f>IF($P508="","",IF(INDEX(EntryNotes,$P508)=0,"",INDEX(EntryNotes,$P508)))</f>
        <v/>
      </c>
      <c r="O508" s="28">
        <f>IF($P508="","",IF(INDEX(EntryTxnID,$P508)=0,"",INDEX(EntryTxnID,$P508)))</f>
        <v/>
      </c>
      <c r="P508" s="28">
        <f>IFERROR(MATCH($C$5&amp;"|"&amp;RIGHT("000000"&amp;492,6),CalcRankKey,0),"")</f>
        <v/>
      </c>
    </row>
    <row r="509">
      <c r="A509" s="26">
        <f>IF($B509="","",493)</f>
        <v/>
      </c>
      <c r="B509" s="26">
        <f>IF($P509="","",IF(INDEX(CalcNormDate,$P509)=0,"",INDEX(CalcNormDate,$P509)))</f>
        <v/>
      </c>
      <c r="C509" s="26">
        <f>IF($P509="","",IF(INDEX(CalcTime,$P509)=0,"",INDEX(CalcTime,$P509)))</f>
        <v/>
      </c>
      <c r="D509" s="26">
        <f>IF($P509="","",IF(INDEX(EntryParty,$P509)=0,"",INDEX(EntryParty,$P509)))</f>
        <v/>
      </c>
      <c r="E509" s="26">
        <f>IF($P509="","",IF(INDEX(EntryPartyName,$P509)=0,"",INDEX(EntryPartyName,$P509)))</f>
        <v/>
      </c>
      <c r="F509" s="26">
        <f>IF($P509="","",IF(INDEX(EntryPartyType,$P509)=0,"",INDEX(EntryPartyType,$P509)))</f>
        <v/>
      </c>
      <c r="G509" s="26">
        <f>IF($P509="","",IF(INDEX(EntryTxnType,$P509)=0,"",INDEX(EntryTxnType,$P509)))</f>
        <v/>
      </c>
      <c r="H509" s="27">
        <f>IF($P509="","",IF(INDEX(EntryDep,$P509)=0,"",INDEX(EntryDep,$P509)))</f>
        <v/>
      </c>
      <c r="I509" s="27">
        <f>IF($P509="","",IF(INDEX(EntryWit,$P509)=0,"",INDEX(EntryWit,$P509)))</f>
        <v/>
      </c>
      <c r="J509" s="27">
        <f>IF($B509="","",IF($A509=1,$C$7,IF(J508="",0,J508))+IF($H509="",0,$H509)-IF($I509="",0,$I509))</f>
        <v/>
      </c>
      <c r="K509" s="27">
        <f>IF($P509="","",IF(INDEX(EntryMan,$P509)=0,"",INDEX(EntryMan,$P509)))</f>
        <v/>
      </c>
      <c r="L509" s="26">
        <f>IF($B509="","",IF($K509="","—",IF(ROUND($K509-$J509,0)=0,"√","×")))</f>
        <v/>
      </c>
      <c r="M509" s="26">
        <f>IF($B509="","",IF(COUNTIFS(EntryDates,$B509,CalcTime,$C509,CalcBank,$C$5,EntryParty,$D509,EntryDep,$H509,EntryWit,$I509)&gt;1,"تکرار",""))</f>
        <v/>
      </c>
      <c r="N509" s="26">
        <f>IF($P509="","",IF(INDEX(EntryNotes,$P509)=0,"",INDEX(EntryNotes,$P509)))</f>
        <v/>
      </c>
      <c r="O509" s="26">
        <f>IF($P509="","",IF(INDEX(EntryTxnID,$P509)=0,"",INDEX(EntryTxnID,$P509)))</f>
        <v/>
      </c>
      <c r="P509" s="26">
        <f>IFERROR(MATCH($C$5&amp;"|"&amp;RIGHT("000000"&amp;493,6),CalcRankKey,0),"")</f>
        <v/>
      </c>
    </row>
    <row r="510">
      <c r="A510" s="28">
        <f>IF($B510="","",494)</f>
        <v/>
      </c>
      <c r="B510" s="28">
        <f>IF($P510="","",IF(INDEX(CalcNormDate,$P510)=0,"",INDEX(CalcNormDate,$P510)))</f>
        <v/>
      </c>
      <c r="C510" s="28">
        <f>IF($P510="","",IF(INDEX(CalcTime,$P510)=0,"",INDEX(CalcTime,$P510)))</f>
        <v/>
      </c>
      <c r="D510" s="28">
        <f>IF($P510="","",IF(INDEX(EntryParty,$P510)=0,"",INDEX(EntryParty,$P510)))</f>
        <v/>
      </c>
      <c r="E510" s="28">
        <f>IF($P510="","",IF(INDEX(EntryPartyName,$P510)=0,"",INDEX(EntryPartyName,$P510)))</f>
        <v/>
      </c>
      <c r="F510" s="28">
        <f>IF($P510="","",IF(INDEX(EntryPartyType,$P510)=0,"",INDEX(EntryPartyType,$P510)))</f>
        <v/>
      </c>
      <c r="G510" s="28">
        <f>IF($P510="","",IF(INDEX(EntryTxnType,$P510)=0,"",INDEX(EntryTxnType,$P510)))</f>
        <v/>
      </c>
      <c r="H510" s="29">
        <f>IF($P510="","",IF(INDEX(EntryDep,$P510)=0,"",INDEX(EntryDep,$P510)))</f>
        <v/>
      </c>
      <c r="I510" s="29">
        <f>IF($P510="","",IF(INDEX(EntryWit,$P510)=0,"",INDEX(EntryWit,$P510)))</f>
        <v/>
      </c>
      <c r="J510" s="29">
        <f>IF($B510="","",IF($A510=1,$C$7,IF(J509="",0,J509))+IF($H510="",0,$H510)-IF($I510="",0,$I510))</f>
        <v/>
      </c>
      <c r="K510" s="29">
        <f>IF($P510="","",IF(INDEX(EntryMan,$P510)=0,"",INDEX(EntryMan,$P510)))</f>
        <v/>
      </c>
      <c r="L510" s="28">
        <f>IF($B510="","",IF($K510="","—",IF(ROUND($K510-$J510,0)=0,"√","×")))</f>
        <v/>
      </c>
      <c r="M510" s="28">
        <f>IF($B510="","",IF(COUNTIFS(EntryDates,$B510,CalcTime,$C510,CalcBank,$C$5,EntryParty,$D510,EntryDep,$H510,EntryWit,$I510)&gt;1,"تکرار",""))</f>
        <v/>
      </c>
      <c r="N510" s="28">
        <f>IF($P510="","",IF(INDEX(EntryNotes,$P510)=0,"",INDEX(EntryNotes,$P510)))</f>
        <v/>
      </c>
      <c r="O510" s="28">
        <f>IF($P510="","",IF(INDEX(EntryTxnID,$P510)=0,"",INDEX(EntryTxnID,$P510)))</f>
        <v/>
      </c>
      <c r="P510" s="28">
        <f>IFERROR(MATCH($C$5&amp;"|"&amp;RIGHT("000000"&amp;494,6),CalcRankKey,0),"")</f>
        <v/>
      </c>
    </row>
    <row r="511">
      <c r="A511" s="26">
        <f>IF($B511="","",495)</f>
        <v/>
      </c>
      <c r="B511" s="26">
        <f>IF($P511="","",IF(INDEX(CalcNormDate,$P511)=0,"",INDEX(CalcNormDate,$P511)))</f>
        <v/>
      </c>
      <c r="C511" s="26">
        <f>IF($P511="","",IF(INDEX(CalcTime,$P511)=0,"",INDEX(CalcTime,$P511)))</f>
        <v/>
      </c>
      <c r="D511" s="26">
        <f>IF($P511="","",IF(INDEX(EntryParty,$P511)=0,"",INDEX(EntryParty,$P511)))</f>
        <v/>
      </c>
      <c r="E511" s="26">
        <f>IF($P511="","",IF(INDEX(EntryPartyName,$P511)=0,"",INDEX(EntryPartyName,$P511)))</f>
        <v/>
      </c>
      <c r="F511" s="26">
        <f>IF($P511="","",IF(INDEX(EntryPartyType,$P511)=0,"",INDEX(EntryPartyType,$P511)))</f>
        <v/>
      </c>
      <c r="G511" s="26">
        <f>IF($P511="","",IF(INDEX(EntryTxnType,$P511)=0,"",INDEX(EntryTxnType,$P511)))</f>
        <v/>
      </c>
      <c r="H511" s="27">
        <f>IF($P511="","",IF(INDEX(EntryDep,$P511)=0,"",INDEX(EntryDep,$P511)))</f>
        <v/>
      </c>
      <c r="I511" s="27">
        <f>IF($P511="","",IF(INDEX(EntryWit,$P511)=0,"",INDEX(EntryWit,$P511)))</f>
        <v/>
      </c>
      <c r="J511" s="27">
        <f>IF($B511="","",IF($A511=1,$C$7,IF(J510="",0,J510))+IF($H511="",0,$H511)-IF($I511="",0,$I511))</f>
        <v/>
      </c>
      <c r="K511" s="27">
        <f>IF($P511="","",IF(INDEX(EntryMan,$P511)=0,"",INDEX(EntryMan,$P511)))</f>
        <v/>
      </c>
      <c r="L511" s="26">
        <f>IF($B511="","",IF($K511="","—",IF(ROUND($K511-$J511,0)=0,"√","×")))</f>
        <v/>
      </c>
      <c r="M511" s="26">
        <f>IF($B511="","",IF(COUNTIFS(EntryDates,$B511,CalcTime,$C511,CalcBank,$C$5,EntryParty,$D511,EntryDep,$H511,EntryWit,$I511)&gt;1,"تکرار",""))</f>
        <v/>
      </c>
      <c r="N511" s="26">
        <f>IF($P511="","",IF(INDEX(EntryNotes,$P511)=0,"",INDEX(EntryNotes,$P511)))</f>
        <v/>
      </c>
      <c r="O511" s="26">
        <f>IF($P511="","",IF(INDEX(EntryTxnID,$P511)=0,"",INDEX(EntryTxnID,$P511)))</f>
        <v/>
      </c>
      <c r="P511" s="26">
        <f>IFERROR(MATCH($C$5&amp;"|"&amp;RIGHT("000000"&amp;495,6),CalcRankKey,0),"")</f>
        <v/>
      </c>
    </row>
    <row r="512">
      <c r="A512" s="28">
        <f>IF($B512="","",496)</f>
        <v/>
      </c>
      <c r="B512" s="28">
        <f>IF($P512="","",IF(INDEX(CalcNormDate,$P512)=0,"",INDEX(CalcNormDate,$P512)))</f>
        <v/>
      </c>
      <c r="C512" s="28">
        <f>IF($P512="","",IF(INDEX(CalcTime,$P512)=0,"",INDEX(CalcTime,$P512)))</f>
        <v/>
      </c>
      <c r="D512" s="28">
        <f>IF($P512="","",IF(INDEX(EntryParty,$P512)=0,"",INDEX(EntryParty,$P512)))</f>
        <v/>
      </c>
      <c r="E512" s="28">
        <f>IF($P512="","",IF(INDEX(EntryPartyName,$P512)=0,"",INDEX(EntryPartyName,$P512)))</f>
        <v/>
      </c>
      <c r="F512" s="28">
        <f>IF($P512="","",IF(INDEX(EntryPartyType,$P512)=0,"",INDEX(EntryPartyType,$P512)))</f>
        <v/>
      </c>
      <c r="G512" s="28">
        <f>IF($P512="","",IF(INDEX(EntryTxnType,$P512)=0,"",INDEX(EntryTxnType,$P512)))</f>
        <v/>
      </c>
      <c r="H512" s="29">
        <f>IF($P512="","",IF(INDEX(EntryDep,$P512)=0,"",INDEX(EntryDep,$P512)))</f>
        <v/>
      </c>
      <c r="I512" s="29">
        <f>IF($P512="","",IF(INDEX(EntryWit,$P512)=0,"",INDEX(EntryWit,$P512)))</f>
        <v/>
      </c>
      <c r="J512" s="29">
        <f>IF($B512="","",IF($A512=1,$C$7,IF(J511="",0,J511))+IF($H512="",0,$H512)-IF($I512="",0,$I512))</f>
        <v/>
      </c>
      <c r="K512" s="29">
        <f>IF($P512="","",IF(INDEX(EntryMan,$P512)=0,"",INDEX(EntryMan,$P512)))</f>
        <v/>
      </c>
      <c r="L512" s="28">
        <f>IF($B512="","",IF($K512="","—",IF(ROUND($K512-$J512,0)=0,"√","×")))</f>
        <v/>
      </c>
      <c r="M512" s="28">
        <f>IF($B512="","",IF(COUNTIFS(EntryDates,$B512,CalcTime,$C512,CalcBank,$C$5,EntryParty,$D512,EntryDep,$H512,EntryWit,$I512)&gt;1,"تکرار",""))</f>
        <v/>
      </c>
      <c r="N512" s="28">
        <f>IF($P512="","",IF(INDEX(EntryNotes,$P512)=0,"",INDEX(EntryNotes,$P512)))</f>
        <v/>
      </c>
      <c r="O512" s="28">
        <f>IF($P512="","",IF(INDEX(EntryTxnID,$P512)=0,"",INDEX(EntryTxnID,$P512)))</f>
        <v/>
      </c>
      <c r="P512" s="28">
        <f>IFERROR(MATCH($C$5&amp;"|"&amp;RIGHT("000000"&amp;496,6),CalcRankKey,0),"")</f>
        <v/>
      </c>
    </row>
    <row r="513">
      <c r="A513" s="26">
        <f>IF($B513="","",497)</f>
        <v/>
      </c>
      <c r="B513" s="26">
        <f>IF($P513="","",IF(INDEX(CalcNormDate,$P513)=0,"",INDEX(CalcNormDate,$P513)))</f>
        <v/>
      </c>
      <c r="C513" s="26">
        <f>IF($P513="","",IF(INDEX(CalcTime,$P513)=0,"",INDEX(CalcTime,$P513)))</f>
        <v/>
      </c>
      <c r="D513" s="26">
        <f>IF($P513="","",IF(INDEX(EntryParty,$P513)=0,"",INDEX(EntryParty,$P513)))</f>
        <v/>
      </c>
      <c r="E513" s="26">
        <f>IF($P513="","",IF(INDEX(EntryPartyName,$P513)=0,"",INDEX(EntryPartyName,$P513)))</f>
        <v/>
      </c>
      <c r="F513" s="26">
        <f>IF($P513="","",IF(INDEX(EntryPartyType,$P513)=0,"",INDEX(EntryPartyType,$P513)))</f>
        <v/>
      </c>
      <c r="G513" s="26">
        <f>IF($P513="","",IF(INDEX(EntryTxnType,$P513)=0,"",INDEX(EntryTxnType,$P513)))</f>
        <v/>
      </c>
      <c r="H513" s="27">
        <f>IF($P513="","",IF(INDEX(EntryDep,$P513)=0,"",INDEX(EntryDep,$P513)))</f>
        <v/>
      </c>
      <c r="I513" s="27">
        <f>IF($P513="","",IF(INDEX(EntryWit,$P513)=0,"",INDEX(EntryWit,$P513)))</f>
        <v/>
      </c>
      <c r="J513" s="27">
        <f>IF($B513="","",IF($A513=1,$C$7,IF(J512="",0,J512))+IF($H513="",0,$H513)-IF($I513="",0,$I513))</f>
        <v/>
      </c>
      <c r="K513" s="27">
        <f>IF($P513="","",IF(INDEX(EntryMan,$P513)=0,"",INDEX(EntryMan,$P513)))</f>
        <v/>
      </c>
      <c r="L513" s="26">
        <f>IF($B513="","",IF($K513="","—",IF(ROUND($K513-$J513,0)=0,"√","×")))</f>
        <v/>
      </c>
      <c r="M513" s="26">
        <f>IF($B513="","",IF(COUNTIFS(EntryDates,$B513,CalcTime,$C513,CalcBank,$C$5,EntryParty,$D513,EntryDep,$H513,EntryWit,$I513)&gt;1,"تکرار",""))</f>
        <v/>
      </c>
      <c r="N513" s="26">
        <f>IF($P513="","",IF(INDEX(EntryNotes,$P513)=0,"",INDEX(EntryNotes,$P513)))</f>
        <v/>
      </c>
      <c r="O513" s="26">
        <f>IF($P513="","",IF(INDEX(EntryTxnID,$P513)=0,"",INDEX(EntryTxnID,$P513)))</f>
        <v/>
      </c>
      <c r="P513" s="26">
        <f>IFERROR(MATCH($C$5&amp;"|"&amp;RIGHT("000000"&amp;497,6),CalcRankKey,0),"")</f>
        <v/>
      </c>
    </row>
    <row r="514">
      <c r="A514" s="28">
        <f>IF($B514="","",498)</f>
        <v/>
      </c>
      <c r="B514" s="28">
        <f>IF($P514="","",IF(INDEX(CalcNormDate,$P514)=0,"",INDEX(CalcNormDate,$P514)))</f>
        <v/>
      </c>
      <c r="C514" s="28">
        <f>IF($P514="","",IF(INDEX(CalcTime,$P514)=0,"",INDEX(CalcTime,$P514)))</f>
        <v/>
      </c>
      <c r="D514" s="28">
        <f>IF($P514="","",IF(INDEX(EntryParty,$P514)=0,"",INDEX(EntryParty,$P514)))</f>
        <v/>
      </c>
      <c r="E514" s="28">
        <f>IF($P514="","",IF(INDEX(EntryPartyName,$P514)=0,"",INDEX(EntryPartyName,$P514)))</f>
        <v/>
      </c>
      <c r="F514" s="28">
        <f>IF($P514="","",IF(INDEX(EntryPartyType,$P514)=0,"",INDEX(EntryPartyType,$P514)))</f>
        <v/>
      </c>
      <c r="G514" s="28">
        <f>IF($P514="","",IF(INDEX(EntryTxnType,$P514)=0,"",INDEX(EntryTxnType,$P514)))</f>
        <v/>
      </c>
      <c r="H514" s="29">
        <f>IF($P514="","",IF(INDEX(EntryDep,$P514)=0,"",INDEX(EntryDep,$P514)))</f>
        <v/>
      </c>
      <c r="I514" s="29">
        <f>IF($P514="","",IF(INDEX(EntryWit,$P514)=0,"",INDEX(EntryWit,$P514)))</f>
        <v/>
      </c>
      <c r="J514" s="29">
        <f>IF($B514="","",IF($A514=1,$C$7,IF(J513="",0,J513))+IF($H514="",0,$H514)-IF($I514="",0,$I514))</f>
        <v/>
      </c>
      <c r="K514" s="29">
        <f>IF($P514="","",IF(INDEX(EntryMan,$P514)=0,"",INDEX(EntryMan,$P514)))</f>
        <v/>
      </c>
      <c r="L514" s="28">
        <f>IF($B514="","",IF($K514="","—",IF(ROUND($K514-$J514,0)=0,"√","×")))</f>
        <v/>
      </c>
      <c r="M514" s="28">
        <f>IF($B514="","",IF(COUNTIFS(EntryDates,$B514,CalcTime,$C514,CalcBank,$C$5,EntryParty,$D514,EntryDep,$H514,EntryWit,$I514)&gt;1,"تکرار",""))</f>
        <v/>
      </c>
      <c r="N514" s="28">
        <f>IF($P514="","",IF(INDEX(EntryNotes,$P514)=0,"",INDEX(EntryNotes,$P514)))</f>
        <v/>
      </c>
      <c r="O514" s="28">
        <f>IF($P514="","",IF(INDEX(EntryTxnID,$P514)=0,"",INDEX(EntryTxnID,$P514)))</f>
        <v/>
      </c>
      <c r="P514" s="28">
        <f>IFERROR(MATCH($C$5&amp;"|"&amp;RIGHT("000000"&amp;498,6),CalcRankKey,0),"")</f>
        <v/>
      </c>
    </row>
    <row r="515">
      <c r="A515" s="26">
        <f>IF($B515="","",499)</f>
        <v/>
      </c>
      <c r="B515" s="26">
        <f>IF($P515="","",IF(INDEX(CalcNormDate,$P515)=0,"",INDEX(CalcNormDate,$P515)))</f>
        <v/>
      </c>
      <c r="C515" s="26">
        <f>IF($P515="","",IF(INDEX(CalcTime,$P515)=0,"",INDEX(CalcTime,$P515)))</f>
        <v/>
      </c>
      <c r="D515" s="26">
        <f>IF($P515="","",IF(INDEX(EntryParty,$P515)=0,"",INDEX(EntryParty,$P515)))</f>
        <v/>
      </c>
      <c r="E515" s="26">
        <f>IF($P515="","",IF(INDEX(EntryPartyName,$P515)=0,"",INDEX(EntryPartyName,$P515)))</f>
        <v/>
      </c>
      <c r="F515" s="26">
        <f>IF($P515="","",IF(INDEX(EntryPartyType,$P515)=0,"",INDEX(EntryPartyType,$P515)))</f>
        <v/>
      </c>
      <c r="G515" s="26">
        <f>IF($P515="","",IF(INDEX(EntryTxnType,$P515)=0,"",INDEX(EntryTxnType,$P515)))</f>
        <v/>
      </c>
      <c r="H515" s="27">
        <f>IF($P515="","",IF(INDEX(EntryDep,$P515)=0,"",INDEX(EntryDep,$P515)))</f>
        <v/>
      </c>
      <c r="I515" s="27">
        <f>IF($P515="","",IF(INDEX(EntryWit,$P515)=0,"",INDEX(EntryWit,$P515)))</f>
        <v/>
      </c>
      <c r="J515" s="27">
        <f>IF($B515="","",IF($A515=1,$C$7,IF(J514="",0,J514))+IF($H515="",0,$H515)-IF($I515="",0,$I515))</f>
        <v/>
      </c>
      <c r="K515" s="27">
        <f>IF($P515="","",IF(INDEX(EntryMan,$P515)=0,"",INDEX(EntryMan,$P515)))</f>
        <v/>
      </c>
      <c r="L515" s="26">
        <f>IF($B515="","",IF($K515="","—",IF(ROUND($K515-$J515,0)=0,"√","×")))</f>
        <v/>
      </c>
      <c r="M515" s="26">
        <f>IF($B515="","",IF(COUNTIFS(EntryDates,$B515,CalcTime,$C515,CalcBank,$C$5,EntryParty,$D515,EntryDep,$H515,EntryWit,$I515)&gt;1,"تکرار",""))</f>
        <v/>
      </c>
      <c r="N515" s="26">
        <f>IF($P515="","",IF(INDEX(EntryNotes,$P515)=0,"",INDEX(EntryNotes,$P515)))</f>
        <v/>
      </c>
      <c r="O515" s="26">
        <f>IF($P515="","",IF(INDEX(EntryTxnID,$P515)=0,"",INDEX(EntryTxnID,$P515)))</f>
        <v/>
      </c>
      <c r="P515" s="26">
        <f>IFERROR(MATCH($C$5&amp;"|"&amp;RIGHT("000000"&amp;499,6),CalcRankKey,0),"")</f>
        <v/>
      </c>
    </row>
    <row r="516">
      <c r="A516" s="28">
        <f>IF($B516="","",500)</f>
        <v/>
      </c>
      <c r="B516" s="28">
        <f>IF($P516="","",IF(INDEX(CalcNormDate,$P516)=0,"",INDEX(CalcNormDate,$P516)))</f>
        <v/>
      </c>
      <c r="C516" s="28">
        <f>IF($P516="","",IF(INDEX(CalcTime,$P516)=0,"",INDEX(CalcTime,$P516)))</f>
        <v/>
      </c>
      <c r="D516" s="28">
        <f>IF($P516="","",IF(INDEX(EntryParty,$P516)=0,"",INDEX(EntryParty,$P516)))</f>
        <v/>
      </c>
      <c r="E516" s="28">
        <f>IF($P516="","",IF(INDEX(EntryPartyName,$P516)=0,"",INDEX(EntryPartyName,$P516)))</f>
        <v/>
      </c>
      <c r="F516" s="28">
        <f>IF($P516="","",IF(INDEX(EntryPartyType,$P516)=0,"",INDEX(EntryPartyType,$P516)))</f>
        <v/>
      </c>
      <c r="G516" s="28">
        <f>IF($P516="","",IF(INDEX(EntryTxnType,$P516)=0,"",INDEX(EntryTxnType,$P516)))</f>
        <v/>
      </c>
      <c r="H516" s="29">
        <f>IF($P516="","",IF(INDEX(EntryDep,$P516)=0,"",INDEX(EntryDep,$P516)))</f>
        <v/>
      </c>
      <c r="I516" s="29">
        <f>IF($P516="","",IF(INDEX(EntryWit,$P516)=0,"",INDEX(EntryWit,$P516)))</f>
        <v/>
      </c>
      <c r="J516" s="29">
        <f>IF($B516="","",IF($A516=1,$C$7,IF(J515="",0,J515))+IF($H516="",0,$H516)-IF($I516="",0,$I516))</f>
        <v/>
      </c>
      <c r="K516" s="29">
        <f>IF($P516="","",IF(INDEX(EntryMan,$P516)=0,"",INDEX(EntryMan,$P516)))</f>
        <v/>
      </c>
      <c r="L516" s="28">
        <f>IF($B516="","",IF($K516="","—",IF(ROUND($K516-$J516,0)=0,"√","×")))</f>
        <v/>
      </c>
      <c r="M516" s="28">
        <f>IF($B516="","",IF(COUNTIFS(EntryDates,$B516,CalcTime,$C516,CalcBank,$C$5,EntryParty,$D516,EntryDep,$H516,EntryWit,$I516)&gt;1,"تکرار",""))</f>
        <v/>
      </c>
      <c r="N516" s="28">
        <f>IF($P516="","",IF(INDEX(EntryNotes,$P516)=0,"",INDEX(EntryNotes,$P516)))</f>
        <v/>
      </c>
      <c r="O516" s="28">
        <f>IF($P516="","",IF(INDEX(EntryTxnID,$P516)=0,"",INDEX(EntryTxnID,$P516)))</f>
        <v/>
      </c>
      <c r="P516" s="28">
        <f>IFERROR(MATCH($C$5&amp;"|"&amp;RIGHT("000000"&amp;500,6),CalcRankKey,0),"")</f>
        <v/>
      </c>
    </row>
  </sheetData>
  <mergeCells count="43">
    <mergeCell ref="E12:F12"/>
    <mergeCell ref="G12:H12"/>
    <mergeCell ref="O12"/>
    <mergeCell ref="H10:I10"/>
    <mergeCell ref="I4:O4"/>
    <mergeCell ref="A6:B6"/>
    <mergeCell ref="H9:I9"/>
    <mergeCell ref="J7:O7"/>
    <mergeCell ref="O13"/>
    <mergeCell ref="A2:O2"/>
    <mergeCell ref="A7:B7"/>
    <mergeCell ref="H6:I6"/>
    <mergeCell ref="C8:E8"/>
    <mergeCell ref="E13:F13"/>
    <mergeCell ref="G13:H13"/>
    <mergeCell ref="C7:E7"/>
    <mergeCell ref="A9:E10"/>
    <mergeCell ref="A12:B12"/>
    <mergeCell ref="M13:N13"/>
    <mergeCell ref="C12:D12"/>
    <mergeCell ref="A3:H3"/>
    <mergeCell ref="I12:J12"/>
    <mergeCell ref="K12:L12"/>
    <mergeCell ref="M12:N12"/>
    <mergeCell ref="H7:I7"/>
    <mergeCell ref="A5:B5"/>
    <mergeCell ref="J8:O8"/>
    <mergeCell ref="A8:B8"/>
    <mergeCell ref="C6:E6"/>
    <mergeCell ref="A4:H4"/>
    <mergeCell ref="J5:O5"/>
    <mergeCell ref="C5:E5"/>
    <mergeCell ref="J10:O10"/>
    <mergeCell ref="I3:O3"/>
    <mergeCell ref="A1:O1"/>
    <mergeCell ref="A13:B13"/>
    <mergeCell ref="H5:I5"/>
    <mergeCell ref="J9:O9"/>
    <mergeCell ref="C13:D13"/>
    <mergeCell ref="H8:I8"/>
    <mergeCell ref="I13:J13"/>
    <mergeCell ref="K13:L13"/>
    <mergeCell ref="J6:O6"/>
  </mergeCells>
  <conditionalFormatting sqref="L17:L516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3">
      <formula>"—"</formula>
    </cfRule>
  </conditionalFormatting>
  <conditionalFormatting sqref="M17:M516">
    <cfRule type="cellIs" priority="4" operator="equal" dxfId="4">
      <formula>"تکرار"</formula>
    </cfRule>
  </conditionalFormatting>
  <conditionalFormatting sqref="J17:J516">
    <cfRule type="cellIs" priority="5" operator="lessThan" dxfId="5">
      <formula>0</formula>
    </cfRule>
  </conditionalFormatting>
  <conditionalFormatting sqref="H17:H516">
    <cfRule type="dataBar" priority="6">
      <dataBar showValue="1">
        <cfvo type="num" val="0"/>
        <cfvo type="max"/>
        <color rgb="0081C784"/>
      </dataBar>
    </cfRule>
  </conditionalFormatting>
  <conditionalFormatting sqref="I17:I516">
    <cfRule type="dataBar" priority="7">
      <dataBar showValue="1">
        <cfvo type="num" val="0"/>
        <cfvo type="max"/>
        <color rgb="00FF8A65"/>
      </dataBar>
    </cfRule>
  </conditionalFormatting>
  <conditionalFormatting sqref="A4:H4">
    <cfRule type="expression" priority="8" dxfId="6">
      <formula>LEN($A$4)&gt;0</formula>
    </cfRule>
  </conditionalFormatting>
  <conditionalFormatting sqref="I13">
    <cfRule type="expression" priority="9" dxfId="7">
      <formula>ISNUMBER(SEARCH("×",$I$13))</formula>
    </cfRule>
    <cfRule type="expression" priority="10" dxfId="8">
      <formula>ISNUMBER(SEARCH("√",$I$13))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بانکی — BANK08&amp;R&amp;"Tahoma"&amp;8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P5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.5" customWidth="1" min="3" max="3"/>
    <col width="10" customWidth="1" min="4" max="4"/>
    <col width="2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0" customWidth="1" min="13" max="13"/>
    <col width="27" customWidth="1" min="14" max="14"/>
    <col width="11" customWidth="1" min="15" max="15"/>
    <col hidden="1" width="6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15">
        <f>IFERROR("صورت حساب بانکی — "&amp;IF(VLOOKUP("BANK09",BankTbl,2,0)="","(بدون عنوان)",VLOOKUP("BANK09",BankTbl,2,0)),"صورت حساب بانکی")</f>
        <v/>
      </c>
      <c r="B3" s="15" t="n"/>
      <c r="C3" s="15" t="n"/>
      <c r="D3" s="15" t="n"/>
      <c r="E3" s="15" t="n"/>
      <c r="F3" s="15" t="n"/>
      <c r="G3" s="15" t="n"/>
      <c r="H3" s="15" t="n"/>
      <c r="I3" s="16">
        <f>"کد حساب: BANK09"</f>
        <v/>
      </c>
      <c r="J3" s="16" t="n"/>
      <c r="K3" s="16" t="n"/>
      <c r="L3" s="16" t="n"/>
      <c r="M3" s="16" t="n"/>
      <c r="N3" s="16" t="n"/>
      <c r="O3" s="16" t="n"/>
    </row>
    <row r="4" ht="14" customHeight="1">
      <c r="A4" s="17">
        <f>IF(COUNTIFS(CalcBank,"BANK09")&gt;500,"× ظرفیت 500 ردیف این برگه پر شده — آخرین ردیف را به پایین کپی کنید","")</f>
        <v/>
      </c>
      <c r="B4" s="17" t="n"/>
      <c r="C4" s="17" t="n"/>
      <c r="D4" s="17" t="n"/>
      <c r="E4" s="17" t="n"/>
      <c r="F4" s="17" t="n"/>
      <c r="G4" s="17" t="n"/>
      <c r="H4" s="17" t="n"/>
      <c r="I4" s="18" t="inlineStr">
        <is>
          <t>مشخصات رسمی زیر، دستی وارد می‌شود (زردرنگ).</t>
        </is>
      </c>
      <c r="J4" s="18" t="n"/>
      <c r="K4" s="18" t="n"/>
      <c r="L4" s="18" t="n"/>
      <c r="M4" s="18" t="n"/>
      <c r="N4" s="18" t="n"/>
      <c r="O4" s="18" t="n"/>
    </row>
    <row r="5" ht="18" customHeight="1">
      <c r="A5" s="19" t="inlineStr">
        <is>
          <t>کد حساب:</t>
        </is>
      </c>
      <c r="B5" s="19" t="n"/>
      <c r="C5" s="20" t="inlineStr">
        <is>
          <t>BANK09</t>
        </is>
      </c>
      <c r="D5" s="20" t="n"/>
      <c r="E5" s="20" t="n"/>
      <c r="H5" s="19" t="inlineStr">
        <is>
          <t>نام رسمی بانک:</t>
        </is>
      </c>
      <c r="I5" s="19" t="n"/>
      <c r="J5" s="21" t="n"/>
      <c r="K5" s="21" t="n"/>
      <c r="L5" s="21" t="n"/>
      <c r="M5" s="21" t="n"/>
      <c r="N5" s="21" t="n"/>
      <c r="O5" s="21" t="n"/>
    </row>
    <row r="6" ht="18" customHeight="1">
      <c r="A6" s="19" t="inlineStr">
        <is>
          <t>عنوان نمایشی:</t>
        </is>
      </c>
      <c r="B6" s="19" t="n"/>
      <c r="C6" s="22">
        <f>IFERROR(IF(VLOOKUP("BANK09",BankTbl,2,0)="","(بدون عنوان)",VLOOKUP("BANK09",BankTbl,2,0)),"—")</f>
        <v/>
      </c>
      <c r="D6" s="22" t="n"/>
      <c r="E6" s="22" t="n"/>
      <c r="H6" s="19" t="inlineStr">
        <is>
          <t>شعبه:</t>
        </is>
      </c>
      <c r="I6" s="19" t="n"/>
      <c r="J6" s="21" t="n"/>
      <c r="K6" s="21" t="n"/>
      <c r="L6" s="21" t="n"/>
      <c r="M6" s="21" t="n"/>
      <c r="N6" s="21" t="n"/>
      <c r="O6" s="21" t="n"/>
    </row>
    <row r="7" ht="18" customHeight="1">
      <c r="A7" s="19" t="inlineStr">
        <is>
          <t>مانده اولیه (ریال):</t>
        </is>
      </c>
      <c r="B7" s="19" t="n"/>
      <c r="C7" s="23">
        <f>IFERROR(VLOOKUP("BANK09",BankTbl,3,0),0)</f>
        <v/>
      </c>
      <c r="D7" s="23" t="n"/>
      <c r="E7" s="23" t="n"/>
      <c r="H7" s="19" t="inlineStr">
        <is>
          <t>شماره حساب:</t>
        </is>
      </c>
      <c r="I7" s="19" t="n"/>
      <c r="J7" s="24" t="n"/>
      <c r="K7" s="24" t="n"/>
      <c r="L7" s="24" t="n"/>
      <c r="M7" s="24" t="n"/>
      <c r="N7" s="24" t="n"/>
      <c r="O7" s="24" t="n"/>
    </row>
    <row r="8" ht="18" customHeight="1">
      <c r="A8" s="19" t="inlineStr">
        <is>
          <t>وضعیت فعال:</t>
        </is>
      </c>
      <c r="B8" s="19" t="n"/>
      <c r="C8" s="10">
        <f>IFERROR(IF(VLOOKUP("BANK09",BankTbl,4,0)=0,"—",VLOOKUP("BANK09",BankTbl,4,0)),"—")</f>
        <v/>
      </c>
      <c r="D8" s="10" t="n"/>
      <c r="E8" s="10" t="n"/>
      <c r="H8" s="19" t="inlineStr">
        <is>
          <t>شماره شبا (۲۴ رقم):</t>
        </is>
      </c>
      <c r="I8" s="19" t="n"/>
      <c r="J8" s="24" t="n"/>
      <c r="K8" s="24" t="n"/>
      <c r="L8" s="24" t="n"/>
      <c r="M8" s="24" t="n"/>
      <c r="N8" s="24" t="n"/>
      <c r="O8" s="24" t="n"/>
    </row>
    <row r="9" ht="18" customHeight="1">
      <c r="A9" s="25" t="inlineStr">
        <is>
          <t>این چهار سلول از فایل مادر خوانده می‌شوند؛ برای تغییر: Mazandasht_INFO.xlsx ← شیت Banks. مشخصات رسمی (زردرنگ) دستی وارد می‌شود.</t>
        </is>
      </c>
      <c r="B9" s="25" t="n"/>
      <c r="C9" s="25" t="n"/>
      <c r="D9" s="25" t="n"/>
      <c r="E9" s="25" t="n"/>
      <c r="H9" s="19" t="inlineStr">
        <is>
          <t>صاحب حساب:</t>
        </is>
      </c>
      <c r="I9" s="19" t="n"/>
      <c r="J9" s="21" t="n"/>
      <c r="K9" s="21" t="n"/>
      <c r="L9" s="21" t="n"/>
      <c r="M9" s="21" t="n"/>
      <c r="N9" s="21" t="n"/>
      <c r="O9" s="21" t="n"/>
    </row>
    <row r="10" ht="18" customHeight="1">
      <c r="A10" s="25" t="n"/>
      <c r="B10" s="25" t="n"/>
      <c r="C10" s="25" t="n"/>
      <c r="D10" s="25" t="n"/>
      <c r="E10" s="25" t="n"/>
      <c r="H10" s="19" t="inlineStr">
        <is>
          <t>تلفن شعبه:</t>
        </is>
      </c>
      <c r="I10" s="19" t="n"/>
      <c r="J10" s="21" t="n"/>
      <c r="K10" s="21" t="n"/>
      <c r="L10" s="21" t="n"/>
      <c r="M10" s="21" t="n"/>
      <c r="N10" s="21" t="n"/>
      <c r="O10" s="21" t="n"/>
    </row>
    <row r="12" ht="13" customHeight="1">
      <c r="A12" s="5" t="inlineStr">
        <is>
          <t>جمع واریز (ریال)</t>
        </is>
      </c>
      <c r="B12" s="5" t="n"/>
      <c r="C12" s="5" t="inlineStr">
        <is>
          <t>جمع برداشت (ریال)</t>
        </is>
      </c>
      <c r="D12" s="5" t="n"/>
      <c r="E12" s="5" t="inlineStr">
        <is>
          <t>مانده نهایی سیستم</t>
        </is>
      </c>
      <c r="F12" s="5" t="n"/>
      <c r="G12" s="5" t="inlineStr">
        <is>
          <t>آخرین موجودی بانک</t>
        </is>
      </c>
      <c r="H12" s="5" t="n"/>
      <c r="I12" s="5" t="inlineStr">
        <is>
          <t>وضعیت مغایرت</t>
        </is>
      </c>
      <c r="J12" s="5" t="n"/>
      <c r="K12" s="5" t="inlineStr">
        <is>
          <t>تعداد تراکنش</t>
        </is>
      </c>
      <c r="L12" s="5" t="n"/>
      <c r="M12" s="5" t="inlineStr">
        <is>
          <t>ردیف تکراری</t>
        </is>
      </c>
      <c r="N12" s="5" t="n"/>
      <c r="O12" s="5" t="inlineStr">
        <is>
          <t>آخرین تاریخ</t>
        </is>
      </c>
    </row>
    <row r="13" ht="22" customHeight="1">
      <c r="A13" s="7">
        <f>SUM($H$17:$H$516)</f>
        <v/>
      </c>
      <c r="B13" s="7" t="n"/>
      <c r="C13" s="7">
        <f>SUM($I$17:$I$516)</f>
        <v/>
      </c>
      <c r="D13" s="7" t="n"/>
      <c r="E13" s="7">
        <f>IFERROR(LOOKUP(9.99E+307,$J$17:$J$516),$C$7)</f>
        <v/>
      </c>
      <c r="F13" s="7" t="n"/>
      <c r="G13" s="7">
        <f>IFERROR(LOOKUP(9.99E+307,$K$17:$K$516),"—")</f>
        <v/>
      </c>
      <c r="H13" s="7" t="n"/>
      <c r="I13" s="7">
        <f>IF(NOT(ISNUMBER($G$13)),"— بدون کنترل",IF(ROUND($G$13-$E$13,0)=0,"√ منطبق","× مغایرت ("&amp;TEXT(ROUND($G$13-$E$13,0),"#,##0")&amp;" ریال)"))</f>
        <v/>
      </c>
      <c r="J13" s="7" t="n"/>
      <c r="K13" s="7">
        <f>COUNT($A$17:$A$516)</f>
        <v/>
      </c>
      <c r="L13" s="7" t="n"/>
      <c r="M13" s="7">
        <f>COUNTIF($M$17:$M$516,"تکرار")</f>
        <v/>
      </c>
      <c r="N13" s="7" t="n"/>
      <c r="O13" s="7">
        <f>IF(COUNT($A$17:$A$516)=0,"—",INDEX($B$17:$B$516,COUNT($A$17:$A$516)))</f>
        <v/>
      </c>
    </row>
    <row r="14" ht="6" customHeight="1"/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ساعت</t>
        </is>
      </c>
      <c r="D15" s="8" t="inlineStr">
        <is>
          <t>کد طرف</t>
        </is>
      </c>
      <c r="E15" s="8" t="inlineStr">
        <is>
          <t>طرف حساب</t>
        </is>
      </c>
      <c r="F15" s="8" t="inlineStr">
        <is>
          <t>نوع طرف حساب</t>
        </is>
      </c>
      <c r="G15" s="8" t="inlineStr">
        <is>
          <t>نوع تراکنش</t>
        </is>
      </c>
      <c r="H15" s="8" t="inlineStr">
        <is>
          <t>واریز (ریال)</t>
        </is>
      </c>
      <c r="I15" s="8" t="inlineStr">
        <is>
          <t>برداشت (ریال)</t>
        </is>
      </c>
      <c r="J15" s="8" t="inlineStr">
        <is>
          <t>مانده سیستم (ریال)</t>
        </is>
      </c>
      <c r="K15" s="8" t="inlineStr">
        <is>
          <t>موجودی بانک (ریال)</t>
        </is>
      </c>
      <c r="L15" s="8" t="inlineStr">
        <is>
          <t>وضعیت</t>
        </is>
      </c>
      <c r="M15" s="8" t="inlineStr">
        <is>
          <t>کنترل تکرار</t>
        </is>
      </c>
      <c r="N15" s="8" t="inlineStr">
        <is>
          <t>توضیحات</t>
        </is>
      </c>
      <c r="O15" s="8" t="inlineStr">
        <is>
          <t>شناسه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Time</t>
        </is>
      </c>
      <c r="D16" s="9" t="inlineStr">
        <is>
          <t>Party Code</t>
        </is>
      </c>
      <c r="E16" s="9" t="inlineStr">
        <is>
          <t>Party</t>
        </is>
      </c>
      <c r="F16" s="9" t="inlineStr">
        <is>
          <t>Party Type</t>
        </is>
      </c>
      <c r="G16" s="9" t="inlineStr">
        <is>
          <t>Txn Type</t>
        </is>
      </c>
      <c r="H16" s="9" t="inlineStr">
        <is>
          <t>Deposit</t>
        </is>
      </c>
      <c r="I16" s="9" t="inlineStr">
        <is>
          <t>Withdrawal</t>
        </is>
      </c>
      <c r="J16" s="9" t="inlineStr">
        <is>
          <t>System Balance</t>
        </is>
      </c>
      <c r="K16" s="9" t="inlineStr">
        <is>
          <t>Bank Balance</t>
        </is>
      </c>
      <c r="L16" s="9" t="inlineStr">
        <is>
          <t>Status</t>
        </is>
      </c>
      <c r="M16" s="9" t="inlineStr">
        <is>
          <t>Dup Check</t>
        </is>
      </c>
      <c r="N16" s="9" t="inlineStr">
        <is>
          <t>Notes</t>
        </is>
      </c>
      <c r="O16" s="9" t="inlineStr">
        <is>
          <t>TxnID</t>
        </is>
      </c>
    </row>
    <row r="17">
      <c r="A17" s="26">
        <f>IF($B17="","",1)</f>
        <v/>
      </c>
      <c r="B17" s="26">
        <f>IF($P17="","",IF(INDEX(CalcNormDate,$P17)=0,"",INDEX(CalcNormDate,$P17)))</f>
        <v/>
      </c>
      <c r="C17" s="26">
        <f>IF($P17="","",IF(INDEX(CalcTime,$P17)=0,"",INDEX(CalcTime,$P17)))</f>
        <v/>
      </c>
      <c r="D17" s="26">
        <f>IF($P17="","",IF(INDEX(EntryParty,$P17)=0,"",INDEX(EntryParty,$P17)))</f>
        <v/>
      </c>
      <c r="E17" s="26">
        <f>IF($P17="","",IF(INDEX(EntryPartyName,$P17)=0,"",INDEX(EntryPartyName,$P17)))</f>
        <v/>
      </c>
      <c r="F17" s="26">
        <f>IF($P17="","",IF(INDEX(EntryPartyType,$P17)=0,"",INDEX(EntryPartyType,$P17)))</f>
        <v/>
      </c>
      <c r="G17" s="26">
        <f>IF($P17="","",IF(INDEX(EntryTxnType,$P17)=0,"",INDEX(EntryTxnType,$P17)))</f>
        <v/>
      </c>
      <c r="H17" s="27">
        <f>IF($P17="","",IF(INDEX(EntryDep,$P17)=0,"",INDEX(EntryDep,$P17)))</f>
        <v/>
      </c>
      <c r="I17" s="27">
        <f>IF($P17="","",IF(INDEX(EntryWit,$P17)=0,"",INDEX(EntryWit,$P17)))</f>
        <v/>
      </c>
      <c r="J17" s="27">
        <f>IF($B17="","",IF($A17=1,$C$7,IF(J16="",0,J16))+IF($H17="",0,$H17)-IF($I17="",0,$I17))</f>
        <v/>
      </c>
      <c r="K17" s="27">
        <f>IF($P17="","",IF(INDEX(EntryMan,$P17)=0,"",INDEX(EntryMan,$P17)))</f>
        <v/>
      </c>
      <c r="L17" s="26">
        <f>IF($B17="","",IF($K17="","—",IF(ROUND($K17-$J17,0)=0,"√","×")))</f>
        <v/>
      </c>
      <c r="M17" s="26">
        <f>IF($B17="","",IF(COUNTIFS(EntryDates,$B17,CalcTime,$C17,CalcBank,$C$5,EntryParty,$D17,EntryDep,$H17,EntryWit,$I17)&gt;1,"تکرار",""))</f>
        <v/>
      </c>
      <c r="N17" s="26">
        <f>IF($P17="","",IF(INDEX(EntryNotes,$P17)=0,"",INDEX(EntryNotes,$P17)))</f>
        <v/>
      </c>
      <c r="O17" s="26">
        <f>IF($P17="","",IF(INDEX(EntryTxnID,$P17)=0,"",INDEX(EntryTxnID,$P17)))</f>
        <v/>
      </c>
      <c r="P17" s="26">
        <f>IFERROR(MATCH($C$5&amp;"|"&amp;RIGHT("000000"&amp;1,6),CalcRankKey,0),"")</f>
        <v/>
      </c>
    </row>
    <row r="18">
      <c r="A18" s="28">
        <f>IF($B18="","",2)</f>
        <v/>
      </c>
      <c r="B18" s="28">
        <f>IF($P18="","",IF(INDEX(CalcNormDate,$P18)=0,"",INDEX(CalcNormDate,$P18)))</f>
        <v/>
      </c>
      <c r="C18" s="28">
        <f>IF($P18="","",IF(INDEX(CalcTime,$P18)=0,"",INDEX(CalcTime,$P18)))</f>
        <v/>
      </c>
      <c r="D18" s="28">
        <f>IF($P18="","",IF(INDEX(EntryParty,$P18)=0,"",INDEX(EntryParty,$P18)))</f>
        <v/>
      </c>
      <c r="E18" s="28">
        <f>IF($P18="","",IF(INDEX(EntryPartyName,$P18)=0,"",INDEX(EntryPartyName,$P18)))</f>
        <v/>
      </c>
      <c r="F18" s="28">
        <f>IF($P18="","",IF(INDEX(EntryPartyType,$P18)=0,"",INDEX(EntryPartyType,$P18)))</f>
        <v/>
      </c>
      <c r="G18" s="28">
        <f>IF($P18="","",IF(INDEX(EntryTxnType,$P18)=0,"",INDEX(EntryTxnType,$P18)))</f>
        <v/>
      </c>
      <c r="H18" s="29">
        <f>IF($P18="","",IF(INDEX(EntryDep,$P18)=0,"",INDEX(EntryDep,$P18)))</f>
        <v/>
      </c>
      <c r="I18" s="29">
        <f>IF($P18="","",IF(INDEX(EntryWit,$P18)=0,"",INDEX(EntryWit,$P18)))</f>
        <v/>
      </c>
      <c r="J18" s="29">
        <f>IF($B18="","",IF($A18=1,$C$7,IF(J17="",0,J17))+IF($H18="",0,$H18)-IF($I18="",0,$I18))</f>
        <v/>
      </c>
      <c r="K18" s="29">
        <f>IF($P18="","",IF(INDEX(EntryMan,$P18)=0,"",INDEX(EntryMan,$P18)))</f>
        <v/>
      </c>
      <c r="L18" s="28">
        <f>IF($B18="","",IF($K18="","—",IF(ROUND($K18-$J18,0)=0,"√","×")))</f>
        <v/>
      </c>
      <c r="M18" s="28">
        <f>IF($B18="","",IF(COUNTIFS(EntryDates,$B18,CalcTime,$C18,CalcBank,$C$5,EntryParty,$D18,EntryDep,$H18,EntryWit,$I18)&gt;1,"تکرار",""))</f>
        <v/>
      </c>
      <c r="N18" s="28">
        <f>IF($P18="","",IF(INDEX(EntryNotes,$P18)=0,"",INDEX(EntryNotes,$P18)))</f>
        <v/>
      </c>
      <c r="O18" s="28">
        <f>IF($P18="","",IF(INDEX(EntryTxnID,$P18)=0,"",INDEX(EntryTxnID,$P18)))</f>
        <v/>
      </c>
      <c r="P18" s="28">
        <f>IFERROR(MATCH($C$5&amp;"|"&amp;RIGHT("000000"&amp;2,6),CalcRankKey,0),"")</f>
        <v/>
      </c>
    </row>
    <row r="19">
      <c r="A19" s="26">
        <f>IF($B19="","",3)</f>
        <v/>
      </c>
      <c r="B19" s="26">
        <f>IF($P19="","",IF(INDEX(CalcNormDate,$P19)=0,"",INDEX(CalcNormDate,$P19)))</f>
        <v/>
      </c>
      <c r="C19" s="26">
        <f>IF($P19="","",IF(INDEX(CalcTime,$P19)=0,"",INDEX(CalcTime,$P19)))</f>
        <v/>
      </c>
      <c r="D19" s="26">
        <f>IF($P19="","",IF(INDEX(EntryParty,$P19)=0,"",INDEX(EntryParty,$P19)))</f>
        <v/>
      </c>
      <c r="E19" s="26">
        <f>IF($P19="","",IF(INDEX(EntryPartyName,$P19)=0,"",INDEX(EntryPartyName,$P19)))</f>
        <v/>
      </c>
      <c r="F19" s="26">
        <f>IF($P19="","",IF(INDEX(EntryPartyType,$P19)=0,"",INDEX(EntryPartyType,$P19)))</f>
        <v/>
      </c>
      <c r="G19" s="26">
        <f>IF($P19="","",IF(INDEX(EntryTxnType,$P19)=0,"",INDEX(EntryTxnType,$P19)))</f>
        <v/>
      </c>
      <c r="H19" s="27">
        <f>IF($P19="","",IF(INDEX(EntryDep,$P19)=0,"",INDEX(EntryDep,$P19)))</f>
        <v/>
      </c>
      <c r="I19" s="27">
        <f>IF($P19="","",IF(INDEX(EntryWit,$P19)=0,"",INDEX(EntryWit,$P19)))</f>
        <v/>
      </c>
      <c r="J19" s="27">
        <f>IF($B19="","",IF($A19=1,$C$7,IF(J18="",0,J18))+IF($H19="",0,$H19)-IF($I19="",0,$I19))</f>
        <v/>
      </c>
      <c r="K19" s="27">
        <f>IF($P19="","",IF(INDEX(EntryMan,$P19)=0,"",INDEX(EntryMan,$P19)))</f>
        <v/>
      </c>
      <c r="L19" s="26">
        <f>IF($B19="","",IF($K19="","—",IF(ROUND($K19-$J19,0)=0,"√","×")))</f>
        <v/>
      </c>
      <c r="M19" s="26">
        <f>IF($B19="","",IF(COUNTIFS(EntryDates,$B19,CalcTime,$C19,CalcBank,$C$5,EntryParty,$D19,EntryDep,$H19,EntryWit,$I19)&gt;1,"تکرار",""))</f>
        <v/>
      </c>
      <c r="N19" s="26">
        <f>IF($P19="","",IF(INDEX(EntryNotes,$P19)=0,"",INDEX(EntryNotes,$P19)))</f>
        <v/>
      </c>
      <c r="O19" s="26">
        <f>IF($P19="","",IF(INDEX(EntryTxnID,$P19)=0,"",INDEX(EntryTxnID,$P19)))</f>
        <v/>
      </c>
      <c r="P19" s="26">
        <f>IFERROR(MATCH($C$5&amp;"|"&amp;RIGHT("000000"&amp;3,6),CalcRankKey,0),"")</f>
        <v/>
      </c>
    </row>
    <row r="20">
      <c r="A20" s="28">
        <f>IF($B20="","",4)</f>
        <v/>
      </c>
      <c r="B20" s="28">
        <f>IF($P20="","",IF(INDEX(CalcNormDate,$P20)=0,"",INDEX(CalcNormDate,$P20)))</f>
        <v/>
      </c>
      <c r="C20" s="28">
        <f>IF($P20="","",IF(INDEX(CalcTime,$P20)=0,"",INDEX(CalcTime,$P20)))</f>
        <v/>
      </c>
      <c r="D20" s="28">
        <f>IF($P20="","",IF(INDEX(EntryParty,$P20)=0,"",INDEX(EntryParty,$P20)))</f>
        <v/>
      </c>
      <c r="E20" s="28">
        <f>IF($P20="","",IF(INDEX(EntryPartyName,$P20)=0,"",INDEX(EntryPartyName,$P20)))</f>
        <v/>
      </c>
      <c r="F20" s="28">
        <f>IF($P20="","",IF(INDEX(EntryPartyType,$P20)=0,"",INDEX(EntryPartyType,$P20)))</f>
        <v/>
      </c>
      <c r="G20" s="28">
        <f>IF($P20="","",IF(INDEX(EntryTxnType,$P20)=0,"",INDEX(EntryTxnType,$P20)))</f>
        <v/>
      </c>
      <c r="H20" s="29">
        <f>IF($P20="","",IF(INDEX(EntryDep,$P20)=0,"",INDEX(EntryDep,$P20)))</f>
        <v/>
      </c>
      <c r="I20" s="29">
        <f>IF($P20="","",IF(INDEX(EntryWit,$P20)=0,"",INDEX(EntryWit,$P20)))</f>
        <v/>
      </c>
      <c r="J20" s="29">
        <f>IF($B20="","",IF($A20=1,$C$7,IF(J19="",0,J19))+IF($H20="",0,$H20)-IF($I20="",0,$I20))</f>
        <v/>
      </c>
      <c r="K20" s="29">
        <f>IF($P20="","",IF(INDEX(EntryMan,$P20)=0,"",INDEX(EntryMan,$P20)))</f>
        <v/>
      </c>
      <c r="L20" s="28">
        <f>IF($B20="","",IF($K20="","—",IF(ROUND($K20-$J20,0)=0,"√","×")))</f>
        <v/>
      </c>
      <c r="M20" s="28">
        <f>IF($B20="","",IF(COUNTIFS(EntryDates,$B20,CalcTime,$C20,CalcBank,$C$5,EntryParty,$D20,EntryDep,$H20,EntryWit,$I20)&gt;1,"تکرار",""))</f>
        <v/>
      </c>
      <c r="N20" s="28">
        <f>IF($P20="","",IF(INDEX(EntryNotes,$P20)=0,"",INDEX(EntryNotes,$P20)))</f>
        <v/>
      </c>
      <c r="O20" s="28">
        <f>IF($P20="","",IF(INDEX(EntryTxnID,$P20)=0,"",INDEX(EntryTxnID,$P20)))</f>
        <v/>
      </c>
      <c r="P20" s="28">
        <f>IFERROR(MATCH($C$5&amp;"|"&amp;RIGHT("000000"&amp;4,6),CalcRankKey,0),"")</f>
        <v/>
      </c>
    </row>
    <row r="21">
      <c r="A21" s="26">
        <f>IF($B21="","",5)</f>
        <v/>
      </c>
      <c r="B21" s="26">
        <f>IF($P21="","",IF(INDEX(CalcNormDate,$P21)=0,"",INDEX(CalcNormDate,$P21)))</f>
        <v/>
      </c>
      <c r="C21" s="26">
        <f>IF($P21="","",IF(INDEX(CalcTime,$P21)=0,"",INDEX(CalcTime,$P21)))</f>
        <v/>
      </c>
      <c r="D21" s="26">
        <f>IF($P21="","",IF(INDEX(EntryParty,$P21)=0,"",INDEX(EntryParty,$P21)))</f>
        <v/>
      </c>
      <c r="E21" s="26">
        <f>IF($P21="","",IF(INDEX(EntryPartyName,$P21)=0,"",INDEX(EntryPartyName,$P21)))</f>
        <v/>
      </c>
      <c r="F21" s="26">
        <f>IF($P21="","",IF(INDEX(EntryPartyType,$P21)=0,"",INDEX(EntryPartyType,$P21)))</f>
        <v/>
      </c>
      <c r="G21" s="26">
        <f>IF($P21="","",IF(INDEX(EntryTxnType,$P21)=0,"",INDEX(EntryTxnType,$P21)))</f>
        <v/>
      </c>
      <c r="H21" s="27">
        <f>IF($P21="","",IF(INDEX(EntryDep,$P21)=0,"",INDEX(EntryDep,$P21)))</f>
        <v/>
      </c>
      <c r="I21" s="27">
        <f>IF($P21="","",IF(INDEX(EntryWit,$P21)=0,"",INDEX(EntryWit,$P21)))</f>
        <v/>
      </c>
      <c r="J21" s="27">
        <f>IF($B21="","",IF($A21=1,$C$7,IF(J20="",0,J20))+IF($H21="",0,$H21)-IF($I21="",0,$I21))</f>
        <v/>
      </c>
      <c r="K21" s="27">
        <f>IF($P21="","",IF(INDEX(EntryMan,$P21)=0,"",INDEX(EntryMan,$P21)))</f>
        <v/>
      </c>
      <c r="L21" s="26">
        <f>IF($B21="","",IF($K21="","—",IF(ROUND($K21-$J21,0)=0,"√","×")))</f>
        <v/>
      </c>
      <c r="M21" s="26">
        <f>IF($B21="","",IF(COUNTIFS(EntryDates,$B21,CalcTime,$C21,CalcBank,$C$5,EntryParty,$D21,EntryDep,$H21,EntryWit,$I21)&gt;1,"تکرار",""))</f>
        <v/>
      </c>
      <c r="N21" s="26">
        <f>IF($P21="","",IF(INDEX(EntryNotes,$P21)=0,"",INDEX(EntryNotes,$P21)))</f>
        <v/>
      </c>
      <c r="O21" s="26">
        <f>IF($P21="","",IF(INDEX(EntryTxnID,$P21)=0,"",INDEX(EntryTxnID,$P21)))</f>
        <v/>
      </c>
      <c r="P21" s="26">
        <f>IFERROR(MATCH($C$5&amp;"|"&amp;RIGHT("000000"&amp;5,6),CalcRankKey,0),"")</f>
        <v/>
      </c>
    </row>
    <row r="22">
      <c r="A22" s="28">
        <f>IF($B22="","",6)</f>
        <v/>
      </c>
      <c r="B22" s="28">
        <f>IF($P22="","",IF(INDEX(CalcNormDate,$P22)=0,"",INDEX(CalcNormDate,$P22)))</f>
        <v/>
      </c>
      <c r="C22" s="28">
        <f>IF($P22="","",IF(INDEX(CalcTime,$P22)=0,"",INDEX(CalcTime,$P22)))</f>
        <v/>
      </c>
      <c r="D22" s="28">
        <f>IF($P22="","",IF(INDEX(EntryParty,$P22)=0,"",INDEX(EntryParty,$P22)))</f>
        <v/>
      </c>
      <c r="E22" s="28">
        <f>IF($P22="","",IF(INDEX(EntryPartyName,$P22)=0,"",INDEX(EntryPartyName,$P22)))</f>
        <v/>
      </c>
      <c r="F22" s="28">
        <f>IF($P22="","",IF(INDEX(EntryPartyType,$P22)=0,"",INDEX(EntryPartyType,$P22)))</f>
        <v/>
      </c>
      <c r="G22" s="28">
        <f>IF($P22="","",IF(INDEX(EntryTxnType,$P22)=0,"",INDEX(EntryTxnType,$P22)))</f>
        <v/>
      </c>
      <c r="H22" s="29">
        <f>IF($P22="","",IF(INDEX(EntryDep,$P22)=0,"",INDEX(EntryDep,$P22)))</f>
        <v/>
      </c>
      <c r="I22" s="29">
        <f>IF($P22="","",IF(INDEX(EntryWit,$P22)=0,"",INDEX(EntryWit,$P22)))</f>
        <v/>
      </c>
      <c r="J22" s="29">
        <f>IF($B22="","",IF($A22=1,$C$7,IF(J21="",0,J21))+IF($H22="",0,$H22)-IF($I22="",0,$I22))</f>
        <v/>
      </c>
      <c r="K22" s="29">
        <f>IF($P22="","",IF(INDEX(EntryMan,$P22)=0,"",INDEX(EntryMan,$P22)))</f>
        <v/>
      </c>
      <c r="L22" s="28">
        <f>IF($B22="","",IF($K22="","—",IF(ROUND($K22-$J22,0)=0,"√","×")))</f>
        <v/>
      </c>
      <c r="M22" s="28">
        <f>IF($B22="","",IF(COUNTIFS(EntryDates,$B22,CalcTime,$C22,CalcBank,$C$5,EntryParty,$D22,EntryDep,$H22,EntryWit,$I22)&gt;1,"تکرار",""))</f>
        <v/>
      </c>
      <c r="N22" s="28">
        <f>IF($P22="","",IF(INDEX(EntryNotes,$P22)=0,"",INDEX(EntryNotes,$P22)))</f>
        <v/>
      </c>
      <c r="O22" s="28">
        <f>IF($P22="","",IF(INDEX(EntryTxnID,$P22)=0,"",INDEX(EntryTxnID,$P22)))</f>
        <v/>
      </c>
      <c r="P22" s="28">
        <f>IFERROR(MATCH($C$5&amp;"|"&amp;RIGHT("000000"&amp;6,6),CalcRankKey,0),"")</f>
        <v/>
      </c>
    </row>
    <row r="23">
      <c r="A23" s="26">
        <f>IF($B23="","",7)</f>
        <v/>
      </c>
      <c r="B23" s="26">
        <f>IF($P23="","",IF(INDEX(CalcNormDate,$P23)=0,"",INDEX(CalcNormDate,$P23)))</f>
        <v/>
      </c>
      <c r="C23" s="26">
        <f>IF($P23="","",IF(INDEX(CalcTime,$P23)=0,"",INDEX(CalcTime,$P23)))</f>
        <v/>
      </c>
      <c r="D23" s="26">
        <f>IF($P23="","",IF(INDEX(EntryParty,$P23)=0,"",INDEX(EntryParty,$P23)))</f>
        <v/>
      </c>
      <c r="E23" s="26">
        <f>IF($P23="","",IF(INDEX(EntryPartyName,$P23)=0,"",INDEX(EntryPartyName,$P23)))</f>
        <v/>
      </c>
      <c r="F23" s="26">
        <f>IF($P23="","",IF(INDEX(EntryPartyType,$P23)=0,"",INDEX(EntryPartyType,$P23)))</f>
        <v/>
      </c>
      <c r="G23" s="26">
        <f>IF($P23="","",IF(INDEX(EntryTxnType,$P23)=0,"",INDEX(EntryTxnType,$P23)))</f>
        <v/>
      </c>
      <c r="H23" s="27">
        <f>IF($P23="","",IF(INDEX(EntryDep,$P23)=0,"",INDEX(EntryDep,$P23)))</f>
        <v/>
      </c>
      <c r="I23" s="27">
        <f>IF($P23="","",IF(INDEX(EntryWit,$P23)=0,"",INDEX(EntryWit,$P23)))</f>
        <v/>
      </c>
      <c r="J23" s="27">
        <f>IF($B23="","",IF($A23=1,$C$7,IF(J22="",0,J22))+IF($H23="",0,$H23)-IF($I23="",0,$I23))</f>
        <v/>
      </c>
      <c r="K23" s="27">
        <f>IF($P23="","",IF(INDEX(EntryMan,$P23)=0,"",INDEX(EntryMan,$P23)))</f>
        <v/>
      </c>
      <c r="L23" s="26">
        <f>IF($B23="","",IF($K23="","—",IF(ROUND($K23-$J23,0)=0,"√","×")))</f>
        <v/>
      </c>
      <c r="M23" s="26">
        <f>IF($B23="","",IF(COUNTIFS(EntryDates,$B23,CalcTime,$C23,CalcBank,$C$5,EntryParty,$D23,EntryDep,$H23,EntryWit,$I23)&gt;1,"تکرار",""))</f>
        <v/>
      </c>
      <c r="N23" s="26">
        <f>IF($P23="","",IF(INDEX(EntryNotes,$P23)=0,"",INDEX(EntryNotes,$P23)))</f>
        <v/>
      </c>
      <c r="O23" s="26">
        <f>IF($P23="","",IF(INDEX(EntryTxnID,$P23)=0,"",INDEX(EntryTxnID,$P23)))</f>
        <v/>
      </c>
      <c r="P23" s="26">
        <f>IFERROR(MATCH($C$5&amp;"|"&amp;RIGHT("000000"&amp;7,6),CalcRankKey,0),"")</f>
        <v/>
      </c>
    </row>
    <row r="24">
      <c r="A24" s="28">
        <f>IF($B24="","",8)</f>
        <v/>
      </c>
      <c r="B24" s="28">
        <f>IF($P24="","",IF(INDEX(CalcNormDate,$P24)=0,"",INDEX(CalcNormDate,$P24)))</f>
        <v/>
      </c>
      <c r="C24" s="28">
        <f>IF($P24="","",IF(INDEX(CalcTime,$P24)=0,"",INDEX(CalcTime,$P24)))</f>
        <v/>
      </c>
      <c r="D24" s="28">
        <f>IF($P24="","",IF(INDEX(EntryParty,$P24)=0,"",INDEX(EntryParty,$P24)))</f>
        <v/>
      </c>
      <c r="E24" s="28">
        <f>IF($P24="","",IF(INDEX(EntryPartyName,$P24)=0,"",INDEX(EntryPartyName,$P24)))</f>
        <v/>
      </c>
      <c r="F24" s="28">
        <f>IF($P24="","",IF(INDEX(EntryPartyType,$P24)=0,"",INDEX(EntryPartyType,$P24)))</f>
        <v/>
      </c>
      <c r="G24" s="28">
        <f>IF($P24="","",IF(INDEX(EntryTxnType,$P24)=0,"",INDEX(EntryTxnType,$P24)))</f>
        <v/>
      </c>
      <c r="H24" s="29">
        <f>IF($P24="","",IF(INDEX(EntryDep,$P24)=0,"",INDEX(EntryDep,$P24)))</f>
        <v/>
      </c>
      <c r="I24" s="29">
        <f>IF($P24="","",IF(INDEX(EntryWit,$P24)=0,"",INDEX(EntryWit,$P24)))</f>
        <v/>
      </c>
      <c r="J24" s="29">
        <f>IF($B24="","",IF($A24=1,$C$7,IF(J23="",0,J23))+IF($H24="",0,$H24)-IF($I24="",0,$I24))</f>
        <v/>
      </c>
      <c r="K24" s="29">
        <f>IF($P24="","",IF(INDEX(EntryMan,$P24)=0,"",INDEX(EntryMan,$P24)))</f>
        <v/>
      </c>
      <c r="L24" s="28">
        <f>IF($B24="","",IF($K24="","—",IF(ROUND($K24-$J24,0)=0,"√","×")))</f>
        <v/>
      </c>
      <c r="M24" s="28">
        <f>IF($B24="","",IF(COUNTIFS(EntryDates,$B24,CalcTime,$C24,CalcBank,$C$5,EntryParty,$D24,EntryDep,$H24,EntryWit,$I24)&gt;1,"تکرار",""))</f>
        <v/>
      </c>
      <c r="N24" s="28">
        <f>IF($P24="","",IF(INDEX(EntryNotes,$P24)=0,"",INDEX(EntryNotes,$P24)))</f>
        <v/>
      </c>
      <c r="O24" s="28">
        <f>IF($P24="","",IF(INDEX(EntryTxnID,$P24)=0,"",INDEX(EntryTxnID,$P24)))</f>
        <v/>
      </c>
      <c r="P24" s="28">
        <f>IFERROR(MATCH($C$5&amp;"|"&amp;RIGHT("000000"&amp;8,6),CalcRankKey,0),"")</f>
        <v/>
      </c>
    </row>
    <row r="25">
      <c r="A25" s="26">
        <f>IF($B25="","",9)</f>
        <v/>
      </c>
      <c r="B25" s="26">
        <f>IF($P25="","",IF(INDEX(CalcNormDate,$P25)=0,"",INDEX(CalcNormDate,$P25)))</f>
        <v/>
      </c>
      <c r="C25" s="26">
        <f>IF($P25="","",IF(INDEX(CalcTime,$P25)=0,"",INDEX(CalcTime,$P25)))</f>
        <v/>
      </c>
      <c r="D25" s="26">
        <f>IF($P25="","",IF(INDEX(EntryParty,$P25)=0,"",INDEX(EntryParty,$P25)))</f>
        <v/>
      </c>
      <c r="E25" s="26">
        <f>IF($P25="","",IF(INDEX(EntryPartyName,$P25)=0,"",INDEX(EntryPartyName,$P25)))</f>
        <v/>
      </c>
      <c r="F25" s="26">
        <f>IF($P25="","",IF(INDEX(EntryPartyType,$P25)=0,"",INDEX(EntryPartyType,$P25)))</f>
        <v/>
      </c>
      <c r="G25" s="26">
        <f>IF($P25="","",IF(INDEX(EntryTxnType,$P25)=0,"",INDEX(EntryTxnType,$P25)))</f>
        <v/>
      </c>
      <c r="H25" s="27">
        <f>IF($P25="","",IF(INDEX(EntryDep,$P25)=0,"",INDEX(EntryDep,$P25)))</f>
        <v/>
      </c>
      <c r="I25" s="27">
        <f>IF($P25="","",IF(INDEX(EntryWit,$P25)=0,"",INDEX(EntryWit,$P25)))</f>
        <v/>
      </c>
      <c r="J25" s="27">
        <f>IF($B25="","",IF($A25=1,$C$7,IF(J24="",0,J24))+IF($H25="",0,$H25)-IF($I25="",0,$I25))</f>
        <v/>
      </c>
      <c r="K25" s="27">
        <f>IF($P25="","",IF(INDEX(EntryMan,$P25)=0,"",INDEX(EntryMan,$P25)))</f>
        <v/>
      </c>
      <c r="L25" s="26">
        <f>IF($B25="","",IF($K25="","—",IF(ROUND($K25-$J25,0)=0,"√","×")))</f>
        <v/>
      </c>
      <c r="M25" s="26">
        <f>IF($B25="","",IF(COUNTIFS(EntryDates,$B25,CalcTime,$C25,CalcBank,$C$5,EntryParty,$D25,EntryDep,$H25,EntryWit,$I25)&gt;1,"تکرار",""))</f>
        <v/>
      </c>
      <c r="N25" s="26">
        <f>IF($P25="","",IF(INDEX(EntryNotes,$P25)=0,"",INDEX(EntryNotes,$P25)))</f>
        <v/>
      </c>
      <c r="O25" s="26">
        <f>IF($P25="","",IF(INDEX(EntryTxnID,$P25)=0,"",INDEX(EntryTxnID,$P25)))</f>
        <v/>
      </c>
      <c r="P25" s="26">
        <f>IFERROR(MATCH($C$5&amp;"|"&amp;RIGHT("000000"&amp;9,6),CalcRankKey,0),"")</f>
        <v/>
      </c>
    </row>
    <row r="26">
      <c r="A26" s="28">
        <f>IF($B26="","",10)</f>
        <v/>
      </c>
      <c r="B26" s="28">
        <f>IF($P26="","",IF(INDEX(CalcNormDate,$P26)=0,"",INDEX(CalcNormDate,$P26)))</f>
        <v/>
      </c>
      <c r="C26" s="28">
        <f>IF($P26="","",IF(INDEX(CalcTime,$P26)=0,"",INDEX(CalcTime,$P26)))</f>
        <v/>
      </c>
      <c r="D26" s="28">
        <f>IF($P26="","",IF(INDEX(EntryParty,$P26)=0,"",INDEX(EntryParty,$P26)))</f>
        <v/>
      </c>
      <c r="E26" s="28">
        <f>IF($P26="","",IF(INDEX(EntryPartyName,$P26)=0,"",INDEX(EntryPartyName,$P26)))</f>
        <v/>
      </c>
      <c r="F26" s="28">
        <f>IF($P26="","",IF(INDEX(EntryPartyType,$P26)=0,"",INDEX(EntryPartyType,$P26)))</f>
        <v/>
      </c>
      <c r="G26" s="28">
        <f>IF($P26="","",IF(INDEX(EntryTxnType,$P26)=0,"",INDEX(EntryTxnType,$P26)))</f>
        <v/>
      </c>
      <c r="H26" s="29">
        <f>IF($P26="","",IF(INDEX(EntryDep,$P26)=0,"",INDEX(EntryDep,$P26)))</f>
        <v/>
      </c>
      <c r="I26" s="29">
        <f>IF($P26="","",IF(INDEX(EntryWit,$P26)=0,"",INDEX(EntryWit,$P26)))</f>
        <v/>
      </c>
      <c r="J26" s="29">
        <f>IF($B26="","",IF($A26=1,$C$7,IF(J25="",0,J25))+IF($H26="",0,$H26)-IF($I26="",0,$I26))</f>
        <v/>
      </c>
      <c r="K26" s="29">
        <f>IF($P26="","",IF(INDEX(EntryMan,$P26)=0,"",INDEX(EntryMan,$P26)))</f>
        <v/>
      </c>
      <c r="L26" s="28">
        <f>IF($B26="","",IF($K26="","—",IF(ROUND($K26-$J26,0)=0,"√","×")))</f>
        <v/>
      </c>
      <c r="M26" s="28">
        <f>IF($B26="","",IF(COUNTIFS(EntryDates,$B26,CalcTime,$C26,CalcBank,$C$5,EntryParty,$D26,EntryDep,$H26,EntryWit,$I26)&gt;1,"تکرار",""))</f>
        <v/>
      </c>
      <c r="N26" s="28">
        <f>IF($P26="","",IF(INDEX(EntryNotes,$P26)=0,"",INDEX(EntryNotes,$P26)))</f>
        <v/>
      </c>
      <c r="O26" s="28">
        <f>IF($P26="","",IF(INDEX(EntryTxnID,$P26)=0,"",INDEX(EntryTxnID,$P26)))</f>
        <v/>
      </c>
      <c r="P26" s="28">
        <f>IFERROR(MATCH($C$5&amp;"|"&amp;RIGHT("000000"&amp;10,6),CalcRankKey,0),"")</f>
        <v/>
      </c>
    </row>
    <row r="27">
      <c r="A27" s="26">
        <f>IF($B27="","",11)</f>
        <v/>
      </c>
      <c r="B27" s="26">
        <f>IF($P27="","",IF(INDEX(CalcNormDate,$P27)=0,"",INDEX(CalcNormDate,$P27)))</f>
        <v/>
      </c>
      <c r="C27" s="26">
        <f>IF($P27="","",IF(INDEX(CalcTime,$P27)=0,"",INDEX(CalcTime,$P27)))</f>
        <v/>
      </c>
      <c r="D27" s="26">
        <f>IF($P27="","",IF(INDEX(EntryParty,$P27)=0,"",INDEX(EntryParty,$P27)))</f>
        <v/>
      </c>
      <c r="E27" s="26">
        <f>IF($P27="","",IF(INDEX(EntryPartyName,$P27)=0,"",INDEX(EntryPartyName,$P27)))</f>
        <v/>
      </c>
      <c r="F27" s="26">
        <f>IF($P27="","",IF(INDEX(EntryPartyType,$P27)=0,"",INDEX(EntryPartyType,$P27)))</f>
        <v/>
      </c>
      <c r="G27" s="26">
        <f>IF($P27="","",IF(INDEX(EntryTxnType,$P27)=0,"",INDEX(EntryTxnType,$P27)))</f>
        <v/>
      </c>
      <c r="H27" s="27">
        <f>IF($P27="","",IF(INDEX(EntryDep,$P27)=0,"",INDEX(EntryDep,$P27)))</f>
        <v/>
      </c>
      <c r="I27" s="27">
        <f>IF($P27="","",IF(INDEX(EntryWit,$P27)=0,"",INDEX(EntryWit,$P27)))</f>
        <v/>
      </c>
      <c r="J27" s="27">
        <f>IF($B27="","",IF($A27=1,$C$7,IF(J26="",0,J26))+IF($H27="",0,$H27)-IF($I27="",0,$I27))</f>
        <v/>
      </c>
      <c r="K27" s="27">
        <f>IF($P27="","",IF(INDEX(EntryMan,$P27)=0,"",INDEX(EntryMan,$P27)))</f>
        <v/>
      </c>
      <c r="L27" s="26">
        <f>IF($B27="","",IF($K27="","—",IF(ROUND($K27-$J27,0)=0,"√","×")))</f>
        <v/>
      </c>
      <c r="M27" s="26">
        <f>IF($B27="","",IF(COUNTIFS(EntryDates,$B27,CalcTime,$C27,CalcBank,$C$5,EntryParty,$D27,EntryDep,$H27,EntryWit,$I27)&gt;1,"تکرار",""))</f>
        <v/>
      </c>
      <c r="N27" s="26">
        <f>IF($P27="","",IF(INDEX(EntryNotes,$P27)=0,"",INDEX(EntryNotes,$P27)))</f>
        <v/>
      </c>
      <c r="O27" s="26">
        <f>IF($P27="","",IF(INDEX(EntryTxnID,$P27)=0,"",INDEX(EntryTxnID,$P27)))</f>
        <v/>
      </c>
      <c r="P27" s="26">
        <f>IFERROR(MATCH($C$5&amp;"|"&amp;RIGHT("000000"&amp;11,6),CalcRankKey,0),"")</f>
        <v/>
      </c>
    </row>
    <row r="28">
      <c r="A28" s="28">
        <f>IF($B28="","",12)</f>
        <v/>
      </c>
      <c r="B28" s="28">
        <f>IF($P28="","",IF(INDEX(CalcNormDate,$P28)=0,"",INDEX(CalcNormDate,$P28)))</f>
        <v/>
      </c>
      <c r="C28" s="28">
        <f>IF($P28="","",IF(INDEX(CalcTime,$P28)=0,"",INDEX(CalcTime,$P28)))</f>
        <v/>
      </c>
      <c r="D28" s="28">
        <f>IF($P28="","",IF(INDEX(EntryParty,$P28)=0,"",INDEX(EntryParty,$P28)))</f>
        <v/>
      </c>
      <c r="E28" s="28">
        <f>IF($P28="","",IF(INDEX(EntryPartyName,$P28)=0,"",INDEX(EntryPartyName,$P28)))</f>
        <v/>
      </c>
      <c r="F28" s="28">
        <f>IF($P28="","",IF(INDEX(EntryPartyType,$P28)=0,"",INDEX(EntryPartyType,$P28)))</f>
        <v/>
      </c>
      <c r="G28" s="28">
        <f>IF($P28="","",IF(INDEX(EntryTxnType,$P28)=0,"",INDEX(EntryTxnType,$P28)))</f>
        <v/>
      </c>
      <c r="H28" s="29">
        <f>IF($P28="","",IF(INDEX(EntryDep,$P28)=0,"",INDEX(EntryDep,$P28)))</f>
        <v/>
      </c>
      <c r="I28" s="29">
        <f>IF($P28="","",IF(INDEX(EntryWit,$P28)=0,"",INDEX(EntryWit,$P28)))</f>
        <v/>
      </c>
      <c r="J28" s="29">
        <f>IF($B28="","",IF($A28=1,$C$7,IF(J27="",0,J27))+IF($H28="",0,$H28)-IF($I28="",0,$I28))</f>
        <v/>
      </c>
      <c r="K28" s="29">
        <f>IF($P28="","",IF(INDEX(EntryMan,$P28)=0,"",INDEX(EntryMan,$P28)))</f>
        <v/>
      </c>
      <c r="L28" s="28">
        <f>IF($B28="","",IF($K28="","—",IF(ROUND($K28-$J28,0)=0,"√","×")))</f>
        <v/>
      </c>
      <c r="M28" s="28">
        <f>IF($B28="","",IF(COUNTIFS(EntryDates,$B28,CalcTime,$C28,CalcBank,$C$5,EntryParty,$D28,EntryDep,$H28,EntryWit,$I28)&gt;1,"تکرار",""))</f>
        <v/>
      </c>
      <c r="N28" s="28">
        <f>IF($P28="","",IF(INDEX(EntryNotes,$P28)=0,"",INDEX(EntryNotes,$P28)))</f>
        <v/>
      </c>
      <c r="O28" s="28">
        <f>IF($P28="","",IF(INDEX(EntryTxnID,$P28)=0,"",INDEX(EntryTxnID,$P28)))</f>
        <v/>
      </c>
      <c r="P28" s="28">
        <f>IFERROR(MATCH($C$5&amp;"|"&amp;RIGHT("000000"&amp;12,6),CalcRankKey,0),"")</f>
        <v/>
      </c>
    </row>
    <row r="29">
      <c r="A29" s="26">
        <f>IF($B29="","",13)</f>
        <v/>
      </c>
      <c r="B29" s="26">
        <f>IF($P29="","",IF(INDEX(CalcNormDate,$P29)=0,"",INDEX(CalcNormDate,$P29)))</f>
        <v/>
      </c>
      <c r="C29" s="26">
        <f>IF($P29="","",IF(INDEX(CalcTime,$P29)=0,"",INDEX(CalcTime,$P29)))</f>
        <v/>
      </c>
      <c r="D29" s="26">
        <f>IF($P29="","",IF(INDEX(EntryParty,$P29)=0,"",INDEX(EntryParty,$P29)))</f>
        <v/>
      </c>
      <c r="E29" s="26">
        <f>IF($P29="","",IF(INDEX(EntryPartyName,$P29)=0,"",INDEX(EntryPartyName,$P29)))</f>
        <v/>
      </c>
      <c r="F29" s="26">
        <f>IF($P29="","",IF(INDEX(EntryPartyType,$P29)=0,"",INDEX(EntryPartyType,$P29)))</f>
        <v/>
      </c>
      <c r="G29" s="26">
        <f>IF($P29="","",IF(INDEX(EntryTxnType,$P29)=0,"",INDEX(EntryTxnType,$P29)))</f>
        <v/>
      </c>
      <c r="H29" s="27">
        <f>IF($P29="","",IF(INDEX(EntryDep,$P29)=0,"",INDEX(EntryDep,$P29)))</f>
        <v/>
      </c>
      <c r="I29" s="27">
        <f>IF($P29="","",IF(INDEX(EntryWit,$P29)=0,"",INDEX(EntryWit,$P29)))</f>
        <v/>
      </c>
      <c r="J29" s="27">
        <f>IF($B29="","",IF($A29=1,$C$7,IF(J28="",0,J28))+IF($H29="",0,$H29)-IF($I29="",0,$I29))</f>
        <v/>
      </c>
      <c r="K29" s="27">
        <f>IF($P29="","",IF(INDEX(EntryMan,$P29)=0,"",INDEX(EntryMan,$P29)))</f>
        <v/>
      </c>
      <c r="L29" s="26">
        <f>IF($B29="","",IF($K29="","—",IF(ROUND($K29-$J29,0)=0,"√","×")))</f>
        <v/>
      </c>
      <c r="M29" s="26">
        <f>IF($B29="","",IF(COUNTIFS(EntryDates,$B29,CalcTime,$C29,CalcBank,$C$5,EntryParty,$D29,EntryDep,$H29,EntryWit,$I29)&gt;1,"تکرار",""))</f>
        <v/>
      </c>
      <c r="N29" s="26">
        <f>IF($P29="","",IF(INDEX(EntryNotes,$P29)=0,"",INDEX(EntryNotes,$P29)))</f>
        <v/>
      </c>
      <c r="O29" s="26">
        <f>IF($P29="","",IF(INDEX(EntryTxnID,$P29)=0,"",INDEX(EntryTxnID,$P29)))</f>
        <v/>
      </c>
      <c r="P29" s="26">
        <f>IFERROR(MATCH($C$5&amp;"|"&amp;RIGHT("000000"&amp;13,6),CalcRankKey,0),"")</f>
        <v/>
      </c>
    </row>
    <row r="30">
      <c r="A30" s="28">
        <f>IF($B30="","",14)</f>
        <v/>
      </c>
      <c r="B30" s="28">
        <f>IF($P30="","",IF(INDEX(CalcNormDate,$P30)=0,"",INDEX(CalcNormDate,$P30)))</f>
        <v/>
      </c>
      <c r="C30" s="28">
        <f>IF($P30="","",IF(INDEX(CalcTime,$P30)=0,"",INDEX(CalcTime,$P30)))</f>
        <v/>
      </c>
      <c r="D30" s="28">
        <f>IF($P30="","",IF(INDEX(EntryParty,$P30)=0,"",INDEX(EntryParty,$P30)))</f>
        <v/>
      </c>
      <c r="E30" s="28">
        <f>IF($P30="","",IF(INDEX(EntryPartyName,$P30)=0,"",INDEX(EntryPartyName,$P30)))</f>
        <v/>
      </c>
      <c r="F30" s="28">
        <f>IF($P30="","",IF(INDEX(EntryPartyType,$P30)=0,"",INDEX(EntryPartyType,$P30)))</f>
        <v/>
      </c>
      <c r="G30" s="28">
        <f>IF($P30="","",IF(INDEX(EntryTxnType,$P30)=0,"",INDEX(EntryTxnType,$P30)))</f>
        <v/>
      </c>
      <c r="H30" s="29">
        <f>IF($P30="","",IF(INDEX(EntryDep,$P30)=0,"",INDEX(EntryDep,$P30)))</f>
        <v/>
      </c>
      <c r="I30" s="29">
        <f>IF($P30="","",IF(INDEX(EntryWit,$P30)=0,"",INDEX(EntryWit,$P30)))</f>
        <v/>
      </c>
      <c r="J30" s="29">
        <f>IF($B30="","",IF($A30=1,$C$7,IF(J29="",0,J29))+IF($H30="",0,$H30)-IF($I30="",0,$I30))</f>
        <v/>
      </c>
      <c r="K30" s="29">
        <f>IF($P30="","",IF(INDEX(EntryMan,$P30)=0,"",INDEX(EntryMan,$P30)))</f>
        <v/>
      </c>
      <c r="L30" s="28">
        <f>IF($B30="","",IF($K30="","—",IF(ROUND($K30-$J30,0)=0,"√","×")))</f>
        <v/>
      </c>
      <c r="M30" s="28">
        <f>IF($B30="","",IF(COUNTIFS(EntryDates,$B30,CalcTime,$C30,CalcBank,$C$5,EntryParty,$D30,EntryDep,$H30,EntryWit,$I30)&gt;1,"تکرار",""))</f>
        <v/>
      </c>
      <c r="N30" s="28">
        <f>IF($P30="","",IF(INDEX(EntryNotes,$P30)=0,"",INDEX(EntryNotes,$P30)))</f>
        <v/>
      </c>
      <c r="O30" s="28">
        <f>IF($P30="","",IF(INDEX(EntryTxnID,$P30)=0,"",INDEX(EntryTxnID,$P30)))</f>
        <v/>
      </c>
      <c r="P30" s="28">
        <f>IFERROR(MATCH($C$5&amp;"|"&amp;RIGHT("000000"&amp;14,6),CalcRankKey,0),"")</f>
        <v/>
      </c>
    </row>
    <row r="31">
      <c r="A31" s="26">
        <f>IF($B31="","",15)</f>
        <v/>
      </c>
      <c r="B31" s="26">
        <f>IF($P31="","",IF(INDEX(CalcNormDate,$P31)=0,"",INDEX(CalcNormDate,$P31)))</f>
        <v/>
      </c>
      <c r="C31" s="26">
        <f>IF($P31="","",IF(INDEX(CalcTime,$P31)=0,"",INDEX(CalcTime,$P31)))</f>
        <v/>
      </c>
      <c r="D31" s="26">
        <f>IF($P31="","",IF(INDEX(EntryParty,$P31)=0,"",INDEX(EntryParty,$P31)))</f>
        <v/>
      </c>
      <c r="E31" s="26">
        <f>IF($P31="","",IF(INDEX(EntryPartyName,$P31)=0,"",INDEX(EntryPartyName,$P31)))</f>
        <v/>
      </c>
      <c r="F31" s="26">
        <f>IF($P31="","",IF(INDEX(EntryPartyType,$P31)=0,"",INDEX(EntryPartyType,$P31)))</f>
        <v/>
      </c>
      <c r="G31" s="26">
        <f>IF($P31="","",IF(INDEX(EntryTxnType,$P31)=0,"",INDEX(EntryTxnType,$P31)))</f>
        <v/>
      </c>
      <c r="H31" s="27">
        <f>IF($P31="","",IF(INDEX(EntryDep,$P31)=0,"",INDEX(EntryDep,$P31)))</f>
        <v/>
      </c>
      <c r="I31" s="27">
        <f>IF($P31="","",IF(INDEX(EntryWit,$P31)=0,"",INDEX(EntryWit,$P31)))</f>
        <v/>
      </c>
      <c r="J31" s="27">
        <f>IF($B31="","",IF($A31=1,$C$7,IF(J30="",0,J30))+IF($H31="",0,$H31)-IF($I31="",0,$I31))</f>
        <v/>
      </c>
      <c r="K31" s="27">
        <f>IF($P31="","",IF(INDEX(EntryMan,$P31)=0,"",INDEX(EntryMan,$P31)))</f>
        <v/>
      </c>
      <c r="L31" s="26">
        <f>IF($B31="","",IF($K31="","—",IF(ROUND($K31-$J31,0)=0,"√","×")))</f>
        <v/>
      </c>
      <c r="M31" s="26">
        <f>IF($B31="","",IF(COUNTIFS(EntryDates,$B31,CalcTime,$C31,CalcBank,$C$5,EntryParty,$D31,EntryDep,$H31,EntryWit,$I31)&gt;1,"تکرار",""))</f>
        <v/>
      </c>
      <c r="N31" s="26">
        <f>IF($P31="","",IF(INDEX(EntryNotes,$P31)=0,"",INDEX(EntryNotes,$P31)))</f>
        <v/>
      </c>
      <c r="O31" s="26">
        <f>IF($P31="","",IF(INDEX(EntryTxnID,$P31)=0,"",INDEX(EntryTxnID,$P31)))</f>
        <v/>
      </c>
      <c r="P31" s="26">
        <f>IFERROR(MATCH($C$5&amp;"|"&amp;RIGHT("000000"&amp;15,6),CalcRankKey,0),"")</f>
        <v/>
      </c>
    </row>
    <row r="32">
      <c r="A32" s="28">
        <f>IF($B32="","",16)</f>
        <v/>
      </c>
      <c r="B32" s="28">
        <f>IF($P32="","",IF(INDEX(CalcNormDate,$P32)=0,"",INDEX(CalcNormDate,$P32)))</f>
        <v/>
      </c>
      <c r="C32" s="28">
        <f>IF($P32="","",IF(INDEX(CalcTime,$P32)=0,"",INDEX(CalcTime,$P32)))</f>
        <v/>
      </c>
      <c r="D32" s="28">
        <f>IF($P32="","",IF(INDEX(EntryParty,$P32)=0,"",INDEX(EntryParty,$P32)))</f>
        <v/>
      </c>
      <c r="E32" s="28">
        <f>IF($P32="","",IF(INDEX(EntryPartyName,$P32)=0,"",INDEX(EntryPartyName,$P32)))</f>
        <v/>
      </c>
      <c r="F32" s="28">
        <f>IF($P32="","",IF(INDEX(EntryPartyType,$P32)=0,"",INDEX(EntryPartyType,$P32)))</f>
        <v/>
      </c>
      <c r="G32" s="28">
        <f>IF($P32="","",IF(INDEX(EntryTxnType,$P32)=0,"",INDEX(EntryTxnType,$P32)))</f>
        <v/>
      </c>
      <c r="H32" s="29">
        <f>IF($P32="","",IF(INDEX(EntryDep,$P32)=0,"",INDEX(EntryDep,$P32)))</f>
        <v/>
      </c>
      <c r="I32" s="29">
        <f>IF($P32="","",IF(INDEX(EntryWit,$P32)=0,"",INDEX(EntryWit,$P32)))</f>
        <v/>
      </c>
      <c r="J32" s="29">
        <f>IF($B32="","",IF($A32=1,$C$7,IF(J31="",0,J31))+IF($H32="",0,$H32)-IF($I32="",0,$I32))</f>
        <v/>
      </c>
      <c r="K32" s="29">
        <f>IF($P32="","",IF(INDEX(EntryMan,$P32)=0,"",INDEX(EntryMan,$P32)))</f>
        <v/>
      </c>
      <c r="L32" s="28">
        <f>IF($B32="","",IF($K32="","—",IF(ROUND($K32-$J32,0)=0,"√","×")))</f>
        <v/>
      </c>
      <c r="M32" s="28">
        <f>IF($B32="","",IF(COUNTIFS(EntryDates,$B32,CalcTime,$C32,CalcBank,$C$5,EntryParty,$D32,EntryDep,$H32,EntryWit,$I32)&gt;1,"تکرار",""))</f>
        <v/>
      </c>
      <c r="N32" s="28">
        <f>IF($P32="","",IF(INDEX(EntryNotes,$P32)=0,"",INDEX(EntryNotes,$P32)))</f>
        <v/>
      </c>
      <c r="O32" s="28">
        <f>IF($P32="","",IF(INDEX(EntryTxnID,$P32)=0,"",INDEX(EntryTxnID,$P32)))</f>
        <v/>
      </c>
      <c r="P32" s="28">
        <f>IFERROR(MATCH($C$5&amp;"|"&amp;RIGHT("000000"&amp;16,6),CalcRankKey,0),"")</f>
        <v/>
      </c>
    </row>
    <row r="33">
      <c r="A33" s="26">
        <f>IF($B33="","",17)</f>
        <v/>
      </c>
      <c r="B33" s="26">
        <f>IF($P33="","",IF(INDEX(CalcNormDate,$P33)=0,"",INDEX(CalcNormDate,$P33)))</f>
        <v/>
      </c>
      <c r="C33" s="26">
        <f>IF($P33="","",IF(INDEX(CalcTime,$P33)=0,"",INDEX(CalcTime,$P33)))</f>
        <v/>
      </c>
      <c r="D33" s="26">
        <f>IF($P33="","",IF(INDEX(EntryParty,$P33)=0,"",INDEX(EntryParty,$P33)))</f>
        <v/>
      </c>
      <c r="E33" s="26">
        <f>IF($P33="","",IF(INDEX(EntryPartyName,$P33)=0,"",INDEX(EntryPartyName,$P33)))</f>
        <v/>
      </c>
      <c r="F33" s="26">
        <f>IF($P33="","",IF(INDEX(EntryPartyType,$P33)=0,"",INDEX(EntryPartyType,$P33)))</f>
        <v/>
      </c>
      <c r="G33" s="26">
        <f>IF($P33="","",IF(INDEX(EntryTxnType,$P33)=0,"",INDEX(EntryTxnType,$P33)))</f>
        <v/>
      </c>
      <c r="H33" s="27">
        <f>IF($P33="","",IF(INDEX(EntryDep,$P33)=0,"",INDEX(EntryDep,$P33)))</f>
        <v/>
      </c>
      <c r="I33" s="27">
        <f>IF($P33="","",IF(INDEX(EntryWit,$P33)=0,"",INDEX(EntryWit,$P33)))</f>
        <v/>
      </c>
      <c r="J33" s="27">
        <f>IF($B33="","",IF($A33=1,$C$7,IF(J32="",0,J32))+IF($H33="",0,$H33)-IF($I33="",0,$I33))</f>
        <v/>
      </c>
      <c r="K33" s="27">
        <f>IF($P33="","",IF(INDEX(EntryMan,$P33)=0,"",INDEX(EntryMan,$P33)))</f>
        <v/>
      </c>
      <c r="L33" s="26">
        <f>IF($B33="","",IF($K33="","—",IF(ROUND($K33-$J33,0)=0,"√","×")))</f>
        <v/>
      </c>
      <c r="M33" s="26">
        <f>IF($B33="","",IF(COUNTIFS(EntryDates,$B33,CalcTime,$C33,CalcBank,$C$5,EntryParty,$D33,EntryDep,$H33,EntryWit,$I33)&gt;1,"تکرار",""))</f>
        <v/>
      </c>
      <c r="N33" s="26">
        <f>IF($P33="","",IF(INDEX(EntryNotes,$P33)=0,"",INDEX(EntryNotes,$P33)))</f>
        <v/>
      </c>
      <c r="O33" s="26">
        <f>IF($P33="","",IF(INDEX(EntryTxnID,$P33)=0,"",INDEX(EntryTxnID,$P33)))</f>
        <v/>
      </c>
      <c r="P33" s="26">
        <f>IFERROR(MATCH($C$5&amp;"|"&amp;RIGHT("000000"&amp;17,6),CalcRankKey,0),"")</f>
        <v/>
      </c>
    </row>
    <row r="34">
      <c r="A34" s="28">
        <f>IF($B34="","",18)</f>
        <v/>
      </c>
      <c r="B34" s="28">
        <f>IF($P34="","",IF(INDEX(CalcNormDate,$P34)=0,"",INDEX(CalcNormDate,$P34)))</f>
        <v/>
      </c>
      <c r="C34" s="28">
        <f>IF($P34="","",IF(INDEX(CalcTime,$P34)=0,"",INDEX(CalcTime,$P34)))</f>
        <v/>
      </c>
      <c r="D34" s="28">
        <f>IF($P34="","",IF(INDEX(EntryParty,$P34)=0,"",INDEX(EntryParty,$P34)))</f>
        <v/>
      </c>
      <c r="E34" s="28">
        <f>IF($P34="","",IF(INDEX(EntryPartyName,$P34)=0,"",INDEX(EntryPartyName,$P34)))</f>
        <v/>
      </c>
      <c r="F34" s="28">
        <f>IF($P34="","",IF(INDEX(EntryPartyType,$P34)=0,"",INDEX(EntryPartyType,$P34)))</f>
        <v/>
      </c>
      <c r="G34" s="28">
        <f>IF($P34="","",IF(INDEX(EntryTxnType,$P34)=0,"",INDEX(EntryTxnType,$P34)))</f>
        <v/>
      </c>
      <c r="H34" s="29">
        <f>IF($P34="","",IF(INDEX(EntryDep,$P34)=0,"",INDEX(EntryDep,$P34)))</f>
        <v/>
      </c>
      <c r="I34" s="29">
        <f>IF($P34="","",IF(INDEX(EntryWit,$P34)=0,"",INDEX(EntryWit,$P34)))</f>
        <v/>
      </c>
      <c r="J34" s="29">
        <f>IF($B34="","",IF($A34=1,$C$7,IF(J33="",0,J33))+IF($H34="",0,$H34)-IF($I34="",0,$I34))</f>
        <v/>
      </c>
      <c r="K34" s="29">
        <f>IF($P34="","",IF(INDEX(EntryMan,$P34)=0,"",INDEX(EntryMan,$P34)))</f>
        <v/>
      </c>
      <c r="L34" s="28">
        <f>IF($B34="","",IF($K34="","—",IF(ROUND($K34-$J34,0)=0,"√","×")))</f>
        <v/>
      </c>
      <c r="M34" s="28">
        <f>IF($B34="","",IF(COUNTIFS(EntryDates,$B34,CalcTime,$C34,CalcBank,$C$5,EntryParty,$D34,EntryDep,$H34,EntryWit,$I34)&gt;1,"تکرار",""))</f>
        <v/>
      </c>
      <c r="N34" s="28">
        <f>IF($P34="","",IF(INDEX(EntryNotes,$P34)=0,"",INDEX(EntryNotes,$P34)))</f>
        <v/>
      </c>
      <c r="O34" s="28">
        <f>IF($P34="","",IF(INDEX(EntryTxnID,$P34)=0,"",INDEX(EntryTxnID,$P34)))</f>
        <v/>
      </c>
      <c r="P34" s="28">
        <f>IFERROR(MATCH($C$5&amp;"|"&amp;RIGHT("000000"&amp;18,6),CalcRankKey,0),"")</f>
        <v/>
      </c>
    </row>
    <row r="35">
      <c r="A35" s="26">
        <f>IF($B35="","",19)</f>
        <v/>
      </c>
      <c r="B35" s="26">
        <f>IF($P35="","",IF(INDEX(CalcNormDate,$P35)=0,"",INDEX(CalcNormDate,$P35)))</f>
        <v/>
      </c>
      <c r="C35" s="26">
        <f>IF($P35="","",IF(INDEX(CalcTime,$P35)=0,"",INDEX(CalcTime,$P35)))</f>
        <v/>
      </c>
      <c r="D35" s="26">
        <f>IF($P35="","",IF(INDEX(EntryParty,$P35)=0,"",INDEX(EntryParty,$P35)))</f>
        <v/>
      </c>
      <c r="E35" s="26">
        <f>IF($P35="","",IF(INDEX(EntryPartyName,$P35)=0,"",INDEX(EntryPartyName,$P35)))</f>
        <v/>
      </c>
      <c r="F35" s="26">
        <f>IF($P35="","",IF(INDEX(EntryPartyType,$P35)=0,"",INDEX(EntryPartyType,$P35)))</f>
        <v/>
      </c>
      <c r="G35" s="26">
        <f>IF($P35="","",IF(INDEX(EntryTxnType,$P35)=0,"",INDEX(EntryTxnType,$P35)))</f>
        <v/>
      </c>
      <c r="H35" s="27">
        <f>IF($P35="","",IF(INDEX(EntryDep,$P35)=0,"",INDEX(EntryDep,$P35)))</f>
        <v/>
      </c>
      <c r="I35" s="27">
        <f>IF($P35="","",IF(INDEX(EntryWit,$P35)=0,"",INDEX(EntryWit,$P35)))</f>
        <v/>
      </c>
      <c r="J35" s="27">
        <f>IF($B35="","",IF($A35=1,$C$7,IF(J34="",0,J34))+IF($H35="",0,$H35)-IF($I35="",0,$I35))</f>
        <v/>
      </c>
      <c r="K35" s="27">
        <f>IF($P35="","",IF(INDEX(EntryMan,$P35)=0,"",INDEX(EntryMan,$P35)))</f>
        <v/>
      </c>
      <c r="L35" s="26">
        <f>IF($B35="","",IF($K35="","—",IF(ROUND($K35-$J35,0)=0,"√","×")))</f>
        <v/>
      </c>
      <c r="M35" s="26">
        <f>IF($B35="","",IF(COUNTIFS(EntryDates,$B35,CalcTime,$C35,CalcBank,$C$5,EntryParty,$D35,EntryDep,$H35,EntryWit,$I35)&gt;1,"تکرار",""))</f>
        <v/>
      </c>
      <c r="N35" s="26">
        <f>IF($P35="","",IF(INDEX(EntryNotes,$P35)=0,"",INDEX(EntryNotes,$P35)))</f>
        <v/>
      </c>
      <c r="O35" s="26">
        <f>IF($P35="","",IF(INDEX(EntryTxnID,$P35)=0,"",INDEX(EntryTxnID,$P35)))</f>
        <v/>
      </c>
      <c r="P35" s="26">
        <f>IFERROR(MATCH($C$5&amp;"|"&amp;RIGHT("000000"&amp;19,6),CalcRankKey,0),"")</f>
        <v/>
      </c>
    </row>
    <row r="36">
      <c r="A36" s="28">
        <f>IF($B36="","",20)</f>
        <v/>
      </c>
      <c r="B36" s="28">
        <f>IF($P36="","",IF(INDEX(CalcNormDate,$P36)=0,"",INDEX(CalcNormDate,$P36)))</f>
        <v/>
      </c>
      <c r="C36" s="28">
        <f>IF($P36="","",IF(INDEX(CalcTime,$P36)=0,"",INDEX(CalcTime,$P36)))</f>
        <v/>
      </c>
      <c r="D36" s="28">
        <f>IF($P36="","",IF(INDEX(EntryParty,$P36)=0,"",INDEX(EntryParty,$P36)))</f>
        <v/>
      </c>
      <c r="E36" s="28">
        <f>IF($P36="","",IF(INDEX(EntryPartyName,$P36)=0,"",INDEX(EntryPartyName,$P36)))</f>
        <v/>
      </c>
      <c r="F36" s="28">
        <f>IF($P36="","",IF(INDEX(EntryPartyType,$P36)=0,"",INDEX(EntryPartyType,$P36)))</f>
        <v/>
      </c>
      <c r="G36" s="28">
        <f>IF($P36="","",IF(INDEX(EntryTxnType,$P36)=0,"",INDEX(EntryTxnType,$P36)))</f>
        <v/>
      </c>
      <c r="H36" s="29">
        <f>IF($P36="","",IF(INDEX(EntryDep,$P36)=0,"",INDEX(EntryDep,$P36)))</f>
        <v/>
      </c>
      <c r="I36" s="29">
        <f>IF($P36="","",IF(INDEX(EntryWit,$P36)=0,"",INDEX(EntryWit,$P36)))</f>
        <v/>
      </c>
      <c r="J36" s="29">
        <f>IF($B36="","",IF($A36=1,$C$7,IF(J35="",0,J35))+IF($H36="",0,$H36)-IF($I36="",0,$I36))</f>
        <v/>
      </c>
      <c r="K36" s="29">
        <f>IF($P36="","",IF(INDEX(EntryMan,$P36)=0,"",INDEX(EntryMan,$P36)))</f>
        <v/>
      </c>
      <c r="L36" s="28">
        <f>IF($B36="","",IF($K36="","—",IF(ROUND($K36-$J36,0)=0,"√","×")))</f>
        <v/>
      </c>
      <c r="M36" s="28">
        <f>IF($B36="","",IF(COUNTIFS(EntryDates,$B36,CalcTime,$C36,CalcBank,$C$5,EntryParty,$D36,EntryDep,$H36,EntryWit,$I36)&gt;1,"تکرار",""))</f>
        <v/>
      </c>
      <c r="N36" s="28">
        <f>IF($P36="","",IF(INDEX(EntryNotes,$P36)=0,"",INDEX(EntryNotes,$P36)))</f>
        <v/>
      </c>
      <c r="O36" s="28">
        <f>IF($P36="","",IF(INDEX(EntryTxnID,$P36)=0,"",INDEX(EntryTxnID,$P36)))</f>
        <v/>
      </c>
      <c r="P36" s="28">
        <f>IFERROR(MATCH($C$5&amp;"|"&amp;RIGHT("000000"&amp;20,6),CalcRankKey,0),"")</f>
        <v/>
      </c>
    </row>
    <row r="37">
      <c r="A37" s="26">
        <f>IF($B37="","",21)</f>
        <v/>
      </c>
      <c r="B37" s="26">
        <f>IF($P37="","",IF(INDEX(CalcNormDate,$P37)=0,"",INDEX(CalcNormDate,$P37)))</f>
        <v/>
      </c>
      <c r="C37" s="26">
        <f>IF($P37="","",IF(INDEX(CalcTime,$P37)=0,"",INDEX(CalcTime,$P37)))</f>
        <v/>
      </c>
      <c r="D37" s="26">
        <f>IF($P37="","",IF(INDEX(EntryParty,$P37)=0,"",INDEX(EntryParty,$P37)))</f>
        <v/>
      </c>
      <c r="E37" s="26">
        <f>IF($P37="","",IF(INDEX(EntryPartyName,$P37)=0,"",INDEX(EntryPartyName,$P37)))</f>
        <v/>
      </c>
      <c r="F37" s="26">
        <f>IF($P37="","",IF(INDEX(EntryPartyType,$P37)=0,"",INDEX(EntryPartyType,$P37)))</f>
        <v/>
      </c>
      <c r="G37" s="26">
        <f>IF($P37="","",IF(INDEX(EntryTxnType,$P37)=0,"",INDEX(EntryTxnType,$P37)))</f>
        <v/>
      </c>
      <c r="H37" s="27">
        <f>IF($P37="","",IF(INDEX(EntryDep,$P37)=0,"",INDEX(EntryDep,$P37)))</f>
        <v/>
      </c>
      <c r="I37" s="27">
        <f>IF($P37="","",IF(INDEX(EntryWit,$P37)=0,"",INDEX(EntryWit,$P37)))</f>
        <v/>
      </c>
      <c r="J37" s="27">
        <f>IF($B37="","",IF($A37=1,$C$7,IF(J36="",0,J36))+IF($H37="",0,$H37)-IF($I37="",0,$I37))</f>
        <v/>
      </c>
      <c r="K37" s="27">
        <f>IF($P37="","",IF(INDEX(EntryMan,$P37)=0,"",INDEX(EntryMan,$P37)))</f>
        <v/>
      </c>
      <c r="L37" s="26">
        <f>IF($B37="","",IF($K37="","—",IF(ROUND($K37-$J37,0)=0,"√","×")))</f>
        <v/>
      </c>
      <c r="M37" s="26">
        <f>IF($B37="","",IF(COUNTIFS(EntryDates,$B37,CalcTime,$C37,CalcBank,$C$5,EntryParty,$D37,EntryDep,$H37,EntryWit,$I37)&gt;1,"تکرار",""))</f>
        <v/>
      </c>
      <c r="N37" s="26">
        <f>IF($P37="","",IF(INDEX(EntryNotes,$P37)=0,"",INDEX(EntryNotes,$P37)))</f>
        <v/>
      </c>
      <c r="O37" s="26">
        <f>IF($P37="","",IF(INDEX(EntryTxnID,$P37)=0,"",INDEX(EntryTxnID,$P37)))</f>
        <v/>
      </c>
      <c r="P37" s="26">
        <f>IFERROR(MATCH($C$5&amp;"|"&amp;RIGHT("000000"&amp;21,6),CalcRankKey,0),"")</f>
        <v/>
      </c>
    </row>
    <row r="38">
      <c r="A38" s="28">
        <f>IF($B38="","",22)</f>
        <v/>
      </c>
      <c r="B38" s="28">
        <f>IF($P38="","",IF(INDEX(CalcNormDate,$P38)=0,"",INDEX(CalcNormDate,$P38)))</f>
        <v/>
      </c>
      <c r="C38" s="28">
        <f>IF($P38="","",IF(INDEX(CalcTime,$P38)=0,"",INDEX(CalcTime,$P38)))</f>
        <v/>
      </c>
      <c r="D38" s="28">
        <f>IF($P38="","",IF(INDEX(EntryParty,$P38)=0,"",INDEX(EntryParty,$P38)))</f>
        <v/>
      </c>
      <c r="E38" s="28">
        <f>IF($P38="","",IF(INDEX(EntryPartyName,$P38)=0,"",INDEX(EntryPartyName,$P38)))</f>
        <v/>
      </c>
      <c r="F38" s="28">
        <f>IF($P38="","",IF(INDEX(EntryPartyType,$P38)=0,"",INDEX(EntryPartyType,$P38)))</f>
        <v/>
      </c>
      <c r="G38" s="28">
        <f>IF($P38="","",IF(INDEX(EntryTxnType,$P38)=0,"",INDEX(EntryTxnType,$P38)))</f>
        <v/>
      </c>
      <c r="H38" s="29">
        <f>IF($P38="","",IF(INDEX(EntryDep,$P38)=0,"",INDEX(EntryDep,$P38)))</f>
        <v/>
      </c>
      <c r="I38" s="29">
        <f>IF($P38="","",IF(INDEX(EntryWit,$P38)=0,"",INDEX(EntryWit,$P38)))</f>
        <v/>
      </c>
      <c r="J38" s="29">
        <f>IF($B38="","",IF($A38=1,$C$7,IF(J37="",0,J37))+IF($H38="",0,$H38)-IF($I38="",0,$I38))</f>
        <v/>
      </c>
      <c r="K38" s="29">
        <f>IF($P38="","",IF(INDEX(EntryMan,$P38)=0,"",INDEX(EntryMan,$P38)))</f>
        <v/>
      </c>
      <c r="L38" s="28">
        <f>IF($B38="","",IF($K38="","—",IF(ROUND($K38-$J38,0)=0,"√","×")))</f>
        <v/>
      </c>
      <c r="M38" s="28">
        <f>IF($B38="","",IF(COUNTIFS(EntryDates,$B38,CalcTime,$C38,CalcBank,$C$5,EntryParty,$D38,EntryDep,$H38,EntryWit,$I38)&gt;1,"تکرار",""))</f>
        <v/>
      </c>
      <c r="N38" s="28">
        <f>IF($P38="","",IF(INDEX(EntryNotes,$P38)=0,"",INDEX(EntryNotes,$P38)))</f>
        <v/>
      </c>
      <c r="O38" s="28">
        <f>IF($P38="","",IF(INDEX(EntryTxnID,$P38)=0,"",INDEX(EntryTxnID,$P38)))</f>
        <v/>
      </c>
      <c r="P38" s="28">
        <f>IFERROR(MATCH($C$5&amp;"|"&amp;RIGHT("000000"&amp;22,6),CalcRankKey,0),"")</f>
        <v/>
      </c>
    </row>
    <row r="39">
      <c r="A39" s="26">
        <f>IF($B39="","",23)</f>
        <v/>
      </c>
      <c r="B39" s="26">
        <f>IF($P39="","",IF(INDEX(CalcNormDate,$P39)=0,"",INDEX(CalcNormDate,$P39)))</f>
        <v/>
      </c>
      <c r="C39" s="26">
        <f>IF($P39="","",IF(INDEX(CalcTime,$P39)=0,"",INDEX(CalcTime,$P39)))</f>
        <v/>
      </c>
      <c r="D39" s="26">
        <f>IF($P39="","",IF(INDEX(EntryParty,$P39)=0,"",INDEX(EntryParty,$P39)))</f>
        <v/>
      </c>
      <c r="E39" s="26">
        <f>IF($P39="","",IF(INDEX(EntryPartyName,$P39)=0,"",INDEX(EntryPartyName,$P39)))</f>
        <v/>
      </c>
      <c r="F39" s="26">
        <f>IF($P39="","",IF(INDEX(EntryPartyType,$P39)=0,"",INDEX(EntryPartyType,$P39)))</f>
        <v/>
      </c>
      <c r="G39" s="26">
        <f>IF($P39="","",IF(INDEX(EntryTxnType,$P39)=0,"",INDEX(EntryTxnType,$P39)))</f>
        <v/>
      </c>
      <c r="H39" s="27">
        <f>IF($P39="","",IF(INDEX(EntryDep,$P39)=0,"",INDEX(EntryDep,$P39)))</f>
        <v/>
      </c>
      <c r="I39" s="27">
        <f>IF($P39="","",IF(INDEX(EntryWit,$P39)=0,"",INDEX(EntryWit,$P39)))</f>
        <v/>
      </c>
      <c r="J39" s="27">
        <f>IF($B39="","",IF($A39=1,$C$7,IF(J38="",0,J38))+IF($H39="",0,$H39)-IF($I39="",0,$I39))</f>
        <v/>
      </c>
      <c r="K39" s="27">
        <f>IF($P39="","",IF(INDEX(EntryMan,$P39)=0,"",INDEX(EntryMan,$P39)))</f>
        <v/>
      </c>
      <c r="L39" s="26">
        <f>IF($B39="","",IF($K39="","—",IF(ROUND($K39-$J39,0)=0,"√","×")))</f>
        <v/>
      </c>
      <c r="M39" s="26">
        <f>IF($B39="","",IF(COUNTIFS(EntryDates,$B39,CalcTime,$C39,CalcBank,$C$5,EntryParty,$D39,EntryDep,$H39,EntryWit,$I39)&gt;1,"تکرار",""))</f>
        <v/>
      </c>
      <c r="N39" s="26">
        <f>IF($P39="","",IF(INDEX(EntryNotes,$P39)=0,"",INDEX(EntryNotes,$P39)))</f>
        <v/>
      </c>
      <c r="O39" s="26">
        <f>IF($P39="","",IF(INDEX(EntryTxnID,$P39)=0,"",INDEX(EntryTxnID,$P39)))</f>
        <v/>
      </c>
      <c r="P39" s="26">
        <f>IFERROR(MATCH($C$5&amp;"|"&amp;RIGHT("000000"&amp;23,6),CalcRankKey,0),"")</f>
        <v/>
      </c>
    </row>
    <row r="40">
      <c r="A40" s="28">
        <f>IF($B40="","",24)</f>
        <v/>
      </c>
      <c r="B40" s="28">
        <f>IF($P40="","",IF(INDEX(CalcNormDate,$P40)=0,"",INDEX(CalcNormDate,$P40)))</f>
        <v/>
      </c>
      <c r="C40" s="28">
        <f>IF($P40="","",IF(INDEX(CalcTime,$P40)=0,"",INDEX(CalcTime,$P40)))</f>
        <v/>
      </c>
      <c r="D40" s="28">
        <f>IF($P40="","",IF(INDEX(EntryParty,$P40)=0,"",INDEX(EntryParty,$P40)))</f>
        <v/>
      </c>
      <c r="E40" s="28">
        <f>IF($P40="","",IF(INDEX(EntryPartyName,$P40)=0,"",INDEX(EntryPartyName,$P40)))</f>
        <v/>
      </c>
      <c r="F40" s="28">
        <f>IF($P40="","",IF(INDEX(EntryPartyType,$P40)=0,"",INDEX(EntryPartyType,$P40)))</f>
        <v/>
      </c>
      <c r="G40" s="28">
        <f>IF($P40="","",IF(INDEX(EntryTxnType,$P40)=0,"",INDEX(EntryTxnType,$P40)))</f>
        <v/>
      </c>
      <c r="H40" s="29">
        <f>IF($P40="","",IF(INDEX(EntryDep,$P40)=0,"",INDEX(EntryDep,$P40)))</f>
        <v/>
      </c>
      <c r="I40" s="29">
        <f>IF($P40="","",IF(INDEX(EntryWit,$P40)=0,"",INDEX(EntryWit,$P40)))</f>
        <v/>
      </c>
      <c r="J40" s="29">
        <f>IF($B40="","",IF($A40=1,$C$7,IF(J39="",0,J39))+IF($H40="",0,$H40)-IF($I40="",0,$I40))</f>
        <v/>
      </c>
      <c r="K40" s="29">
        <f>IF($P40="","",IF(INDEX(EntryMan,$P40)=0,"",INDEX(EntryMan,$P40)))</f>
        <v/>
      </c>
      <c r="L40" s="28">
        <f>IF($B40="","",IF($K40="","—",IF(ROUND($K40-$J40,0)=0,"√","×")))</f>
        <v/>
      </c>
      <c r="M40" s="28">
        <f>IF($B40="","",IF(COUNTIFS(EntryDates,$B40,CalcTime,$C40,CalcBank,$C$5,EntryParty,$D40,EntryDep,$H40,EntryWit,$I40)&gt;1,"تکرار",""))</f>
        <v/>
      </c>
      <c r="N40" s="28">
        <f>IF($P40="","",IF(INDEX(EntryNotes,$P40)=0,"",INDEX(EntryNotes,$P40)))</f>
        <v/>
      </c>
      <c r="O40" s="28">
        <f>IF($P40="","",IF(INDEX(EntryTxnID,$P40)=0,"",INDEX(EntryTxnID,$P40)))</f>
        <v/>
      </c>
      <c r="P40" s="28">
        <f>IFERROR(MATCH($C$5&amp;"|"&amp;RIGHT("000000"&amp;24,6),CalcRankKey,0),"")</f>
        <v/>
      </c>
    </row>
    <row r="41">
      <c r="A41" s="26">
        <f>IF($B41="","",25)</f>
        <v/>
      </c>
      <c r="B41" s="26">
        <f>IF($P41="","",IF(INDEX(CalcNormDate,$P41)=0,"",INDEX(CalcNormDate,$P41)))</f>
        <v/>
      </c>
      <c r="C41" s="26">
        <f>IF($P41="","",IF(INDEX(CalcTime,$P41)=0,"",INDEX(CalcTime,$P41)))</f>
        <v/>
      </c>
      <c r="D41" s="26">
        <f>IF($P41="","",IF(INDEX(EntryParty,$P41)=0,"",INDEX(EntryParty,$P41)))</f>
        <v/>
      </c>
      <c r="E41" s="26">
        <f>IF($P41="","",IF(INDEX(EntryPartyName,$P41)=0,"",INDEX(EntryPartyName,$P41)))</f>
        <v/>
      </c>
      <c r="F41" s="26">
        <f>IF($P41="","",IF(INDEX(EntryPartyType,$P41)=0,"",INDEX(EntryPartyType,$P41)))</f>
        <v/>
      </c>
      <c r="G41" s="26">
        <f>IF($P41="","",IF(INDEX(EntryTxnType,$P41)=0,"",INDEX(EntryTxnType,$P41)))</f>
        <v/>
      </c>
      <c r="H41" s="27">
        <f>IF($P41="","",IF(INDEX(EntryDep,$P41)=0,"",INDEX(EntryDep,$P41)))</f>
        <v/>
      </c>
      <c r="I41" s="27">
        <f>IF($P41="","",IF(INDEX(EntryWit,$P41)=0,"",INDEX(EntryWit,$P41)))</f>
        <v/>
      </c>
      <c r="J41" s="27">
        <f>IF($B41="","",IF($A41=1,$C$7,IF(J40="",0,J40))+IF($H41="",0,$H41)-IF($I41="",0,$I41))</f>
        <v/>
      </c>
      <c r="K41" s="27">
        <f>IF($P41="","",IF(INDEX(EntryMan,$P41)=0,"",INDEX(EntryMan,$P41)))</f>
        <v/>
      </c>
      <c r="L41" s="26">
        <f>IF($B41="","",IF($K41="","—",IF(ROUND($K41-$J41,0)=0,"√","×")))</f>
        <v/>
      </c>
      <c r="M41" s="26">
        <f>IF($B41="","",IF(COUNTIFS(EntryDates,$B41,CalcTime,$C41,CalcBank,$C$5,EntryParty,$D41,EntryDep,$H41,EntryWit,$I41)&gt;1,"تکرار",""))</f>
        <v/>
      </c>
      <c r="N41" s="26">
        <f>IF($P41="","",IF(INDEX(EntryNotes,$P41)=0,"",INDEX(EntryNotes,$P41)))</f>
        <v/>
      </c>
      <c r="O41" s="26">
        <f>IF($P41="","",IF(INDEX(EntryTxnID,$P41)=0,"",INDEX(EntryTxnID,$P41)))</f>
        <v/>
      </c>
      <c r="P41" s="26">
        <f>IFERROR(MATCH($C$5&amp;"|"&amp;RIGHT("000000"&amp;25,6),CalcRankKey,0),"")</f>
        <v/>
      </c>
    </row>
    <row r="42">
      <c r="A42" s="28">
        <f>IF($B42="","",26)</f>
        <v/>
      </c>
      <c r="B42" s="28">
        <f>IF($P42="","",IF(INDEX(CalcNormDate,$P42)=0,"",INDEX(CalcNormDate,$P42)))</f>
        <v/>
      </c>
      <c r="C42" s="28">
        <f>IF($P42="","",IF(INDEX(CalcTime,$P42)=0,"",INDEX(CalcTime,$P42)))</f>
        <v/>
      </c>
      <c r="D42" s="28">
        <f>IF($P42="","",IF(INDEX(EntryParty,$P42)=0,"",INDEX(EntryParty,$P42)))</f>
        <v/>
      </c>
      <c r="E42" s="28">
        <f>IF($P42="","",IF(INDEX(EntryPartyName,$P42)=0,"",INDEX(EntryPartyName,$P42)))</f>
        <v/>
      </c>
      <c r="F42" s="28">
        <f>IF($P42="","",IF(INDEX(EntryPartyType,$P42)=0,"",INDEX(EntryPartyType,$P42)))</f>
        <v/>
      </c>
      <c r="G42" s="28">
        <f>IF($P42="","",IF(INDEX(EntryTxnType,$P42)=0,"",INDEX(EntryTxnType,$P42)))</f>
        <v/>
      </c>
      <c r="H42" s="29">
        <f>IF($P42="","",IF(INDEX(EntryDep,$P42)=0,"",INDEX(EntryDep,$P42)))</f>
        <v/>
      </c>
      <c r="I42" s="29">
        <f>IF($P42="","",IF(INDEX(EntryWit,$P42)=0,"",INDEX(EntryWit,$P42)))</f>
        <v/>
      </c>
      <c r="J42" s="29">
        <f>IF($B42="","",IF($A42=1,$C$7,IF(J41="",0,J41))+IF($H42="",0,$H42)-IF($I42="",0,$I42))</f>
        <v/>
      </c>
      <c r="K42" s="29">
        <f>IF($P42="","",IF(INDEX(EntryMan,$P42)=0,"",INDEX(EntryMan,$P42)))</f>
        <v/>
      </c>
      <c r="L42" s="28">
        <f>IF($B42="","",IF($K42="","—",IF(ROUND($K42-$J42,0)=0,"√","×")))</f>
        <v/>
      </c>
      <c r="M42" s="28">
        <f>IF($B42="","",IF(COUNTIFS(EntryDates,$B42,CalcTime,$C42,CalcBank,$C$5,EntryParty,$D42,EntryDep,$H42,EntryWit,$I42)&gt;1,"تکرار",""))</f>
        <v/>
      </c>
      <c r="N42" s="28">
        <f>IF($P42="","",IF(INDEX(EntryNotes,$P42)=0,"",INDEX(EntryNotes,$P42)))</f>
        <v/>
      </c>
      <c r="O42" s="28">
        <f>IF($P42="","",IF(INDEX(EntryTxnID,$P42)=0,"",INDEX(EntryTxnID,$P42)))</f>
        <v/>
      </c>
      <c r="P42" s="28">
        <f>IFERROR(MATCH($C$5&amp;"|"&amp;RIGHT("000000"&amp;26,6),CalcRankKey,0),"")</f>
        <v/>
      </c>
    </row>
    <row r="43">
      <c r="A43" s="26">
        <f>IF($B43="","",27)</f>
        <v/>
      </c>
      <c r="B43" s="26">
        <f>IF($P43="","",IF(INDEX(CalcNormDate,$P43)=0,"",INDEX(CalcNormDate,$P43)))</f>
        <v/>
      </c>
      <c r="C43" s="26">
        <f>IF($P43="","",IF(INDEX(CalcTime,$P43)=0,"",INDEX(CalcTime,$P43)))</f>
        <v/>
      </c>
      <c r="D43" s="26">
        <f>IF($P43="","",IF(INDEX(EntryParty,$P43)=0,"",INDEX(EntryParty,$P43)))</f>
        <v/>
      </c>
      <c r="E43" s="26">
        <f>IF($P43="","",IF(INDEX(EntryPartyName,$P43)=0,"",INDEX(EntryPartyName,$P43)))</f>
        <v/>
      </c>
      <c r="F43" s="26">
        <f>IF($P43="","",IF(INDEX(EntryPartyType,$P43)=0,"",INDEX(EntryPartyType,$P43)))</f>
        <v/>
      </c>
      <c r="G43" s="26">
        <f>IF($P43="","",IF(INDEX(EntryTxnType,$P43)=0,"",INDEX(EntryTxnType,$P43)))</f>
        <v/>
      </c>
      <c r="H43" s="27">
        <f>IF($P43="","",IF(INDEX(EntryDep,$P43)=0,"",INDEX(EntryDep,$P43)))</f>
        <v/>
      </c>
      <c r="I43" s="27">
        <f>IF($P43="","",IF(INDEX(EntryWit,$P43)=0,"",INDEX(EntryWit,$P43)))</f>
        <v/>
      </c>
      <c r="J43" s="27">
        <f>IF($B43="","",IF($A43=1,$C$7,IF(J42="",0,J42))+IF($H43="",0,$H43)-IF($I43="",0,$I43))</f>
        <v/>
      </c>
      <c r="K43" s="27">
        <f>IF($P43="","",IF(INDEX(EntryMan,$P43)=0,"",INDEX(EntryMan,$P43)))</f>
        <v/>
      </c>
      <c r="L43" s="26">
        <f>IF($B43="","",IF($K43="","—",IF(ROUND($K43-$J43,0)=0,"√","×")))</f>
        <v/>
      </c>
      <c r="M43" s="26">
        <f>IF($B43="","",IF(COUNTIFS(EntryDates,$B43,CalcTime,$C43,CalcBank,$C$5,EntryParty,$D43,EntryDep,$H43,EntryWit,$I43)&gt;1,"تکرار",""))</f>
        <v/>
      </c>
      <c r="N43" s="26">
        <f>IF($P43="","",IF(INDEX(EntryNotes,$P43)=0,"",INDEX(EntryNotes,$P43)))</f>
        <v/>
      </c>
      <c r="O43" s="26">
        <f>IF($P43="","",IF(INDEX(EntryTxnID,$P43)=0,"",INDEX(EntryTxnID,$P43)))</f>
        <v/>
      </c>
      <c r="P43" s="26">
        <f>IFERROR(MATCH($C$5&amp;"|"&amp;RIGHT("000000"&amp;27,6),CalcRankKey,0),"")</f>
        <v/>
      </c>
    </row>
    <row r="44">
      <c r="A44" s="28">
        <f>IF($B44="","",28)</f>
        <v/>
      </c>
      <c r="B44" s="28">
        <f>IF($P44="","",IF(INDEX(CalcNormDate,$P44)=0,"",INDEX(CalcNormDate,$P44)))</f>
        <v/>
      </c>
      <c r="C44" s="28">
        <f>IF($P44="","",IF(INDEX(CalcTime,$P44)=0,"",INDEX(CalcTime,$P44)))</f>
        <v/>
      </c>
      <c r="D44" s="28">
        <f>IF($P44="","",IF(INDEX(EntryParty,$P44)=0,"",INDEX(EntryParty,$P44)))</f>
        <v/>
      </c>
      <c r="E44" s="28">
        <f>IF($P44="","",IF(INDEX(EntryPartyName,$P44)=0,"",INDEX(EntryPartyName,$P44)))</f>
        <v/>
      </c>
      <c r="F44" s="28">
        <f>IF($P44="","",IF(INDEX(EntryPartyType,$P44)=0,"",INDEX(EntryPartyType,$P44)))</f>
        <v/>
      </c>
      <c r="G44" s="28">
        <f>IF($P44="","",IF(INDEX(EntryTxnType,$P44)=0,"",INDEX(EntryTxnType,$P44)))</f>
        <v/>
      </c>
      <c r="H44" s="29">
        <f>IF($P44="","",IF(INDEX(EntryDep,$P44)=0,"",INDEX(EntryDep,$P44)))</f>
        <v/>
      </c>
      <c r="I44" s="29">
        <f>IF($P44="","",IF(INDEX(EntryWit,$P44)=0,"",INDEX(EntryWit,$P44)))</f>
        <v/>
      </c>
      <c r="J44" s="29">
        <f>IF($B44="","",IF($A44=1,$C$7,IF(J43="",0,J43))+IF($H44="",0,$H44)-IF($I44="",0,$I44))</f>
        <v/>
      </c>
      <c r="K44" s="29">
        <f>IF($P44="","",IF(INDEX(EntryMan,$P44)=0,"",INDEX(EntryMan,$P44)))</f>
        <v/>
      </c>
      <c r="L44" s="28">
        <f>IF($B44="","",IF($K44="","—",IF(ROUND($K44-$J44,0)=0,"√","×")))</f>
        <v/>
      </c>
      <c r="M44" s="28">
        <f>IF($B44="","",IF(COUNTIFS(EntryDates,$B44,CalcTime,$C44,CalcBank,$C$5,EntryParty,$D44,EntryDep,$H44,EntryWit,$I44)&gt;1,"تکرار",""))</f>
        <v/>
      </c>
      <c r="N44" s="28">
        <f>IF($P44="","",IF(INDEX(EntryNotes,$P44)=0,"",INDEX(EntryNotes,$P44)))</f>
        <v/>
      </c>
      <c r="O44" s="28">
        <f>IF($P44="","",IF(INDEX(EntryTxnID,$P44)=0,"",INDEX(EntryTxnID,$P44)))</f>
        <v/>
      </c>
      <c r="P44" s="28">
        <f>IFERROR(MATCH($C$5&amp;"|"&amp;RIGHT("000000"&amp;28,6),CalcRankKey,0),"")</f>
        <v/>
      </c>
    </row>
    <row r="45">
      <c r="A45" s="26">
        <f>IF($B45="","",29)</f>
        <v/>
      </c>
      <c r="B45" s="26">
        <f>IF($P45="","",IF(INDEX(CalcNormDate,$P45)=0,"",INDEX(CalcNormDate,$P45)))</f>
        <v/>
      </c>
      <c r="C45" s="26">
        <f>IF($P45="","",IF(INDEX(CalcTime,$P45)=0,"",INDEX(CalcTime,$P45)))</f>
        <v/>
      </c>
      <c r="D45" s="26">
        <f>IF($P45="","",IF(INDEX(EntryParty,$P45)=0,"",INDEX(EntryParty,$P45)))</f>
        <v/>
      </c>
      <c r="E45" s="26">
        <f>IF($P45="","",IF(INDEX(EntryPartyName,$P45)=0,"",INDEX(EntryPartyName,$P45)))</f>
        <v/>
      </c>
      <c r="F45" s="26">
        <f>IF($P45="","",IF(INDEX(EntryPartyType,$P45)=0,"",INDEX(EntryPartyType,$P45)))</f>
        <v/>
      </c>
      <c r="G45" s="26">
        <f>IF($P45="","",IF(INDEX(EntryTxnType,$P45)=0,"",INDEX(EntryTxnType,$P45)))</f>
        <v/>
      </c>
      <c r="H45" s="27">
        <f>IF($P45="","",IF(INDEX(EntryDep,$P45)=0,"",INDEX(EntryDep,$P45)))</f>
        <v/>
      </c>
      <c r="I45" s="27">
        <f>IF($P45="","",IF(INDEX(EntryWit,$P45)=0,"",INDEX(EntryWit,$P45)))</f>
        <v/>
      </c>
      <c r="J45" s="27">
        <f>IF($B45="","",IF($A45=1,$C$7,IF(J44="",0,J44))+IF($H45="",0,$H45)-IF($I45="",0,$I45))</f>
        <v/>
      </c>
      <c r="K45" s="27">
        <f>IF($P45="","",IF(INDEX(EntryMan,$P45)=0,"",INDEX(EntryMan,$P45)))</f>
        <v/>
      </c>
      <c r="L45" s="26">
        <f>IF($B45="","",IF($K45="","—",IF(ROUND($K45-$J45,0)=0,"√","×")))</f>
        <v/>
      </c>
      <c r="M45" s="26">
        <f>IF($B45="","",IF(COUNTIFS(EntryDates,$B45,CalcTime,$C45,CalcBank,$C$5,EntryParty,$D45,EntryDep,$H45,EntryWit,$I45)&gt;1,"تکرار",""))</f>
        <v/>
      </c>
      <c r="N45" s="26">
        <f>IF($P45="","",IF(INDEX(EntryNotes,$P45)=0,"",INDEX(EntryNotes,$P45)))</f>
        <v/>
      </c>
      <c r="O45" s="26">
        <f>IF($P45="","",IF(INDEX(EntryTxnID,$P45)=0,"",INDEX(EntryTxnID,$P45)))</f>
        <v/>
      </c>
      <c r="P45" s="26">
        <f>IFERROR(MATCH($C$5&amp;"|"&amp;RIGHT("000000"&amp;29,6),CalcRankKey,0),"")</f>
        <v/>
      </c>
    </row>
    <row r="46">
      <c r="A46" s="28">
        <f>IF($B46="","",30)</f>
        <v/>
      </c>
      <c r="B46" s="28">
        <f>IF($P46="","",IF(INDEX(CalcNormDate,$P46)=0,"",INDEX(CalcNormDate,$P46)))</f>
        <v/>
      </c>
      <c r="C46" s="28">
        <f>IF($P46="","",IF(INDEX(CalcTime,$P46)=0,"",INDEX(CalcTime,$P46)))</f>
        <v/>
      </c>
      <c r="D46" s="28">
        <f>IF($P46="","",IF(INDEX(EntryParty,$P46)=0,"",INDEX(EntryParty,$P46)))</f>
        <v/>
      </c>
      <c r="E46" s="28">
        <f>IF($P46="","",IF(INDEX(EntryPartyName,$P46)=0,"",INDEX(EntryPartyName,$P46)))</f>
        <v/>
      </c>
      <c r="F46" s="28">
        <f>IF($P46="","",IF(INDEX(EntryPartyType,$P46)=0,"",INDEX(EntryPartyType,$P46)))</f>
        <v/>
      </c>
      <c r="G46" s="28">
        <f>IF($P46="","",IF(INDEX(EntryTxnType,$P46)=0,"",INDEX(EntryTxnType,$P46)))</f>
        <v/>
      </c>
      <c r="H46" s="29">
        <f>IF($P46="","",IF(INDEX(EntryDep,$P46)=0,"",INDEX(EntryDep,$P46)))</f>
        <v/>
      </c>
      <c r="I46" s="29">
        <f>IF($P46="","",IF(INDEX(EntryWit,$P46)=0,"",INDEX(EntryWit,$P46)))</f>
        <v/>
      </c>
      <c r="J46" s="29">
        <f>IF($B46="","",IF($A46=1,$C$7,IF(J45="",0,J45))+IF($H46="",0,$H46)-IF($I46="",0,$I46))</f>
        <v/>
      </c>
      <c r="K46" s="29">
        <f>IF($P46="","",IF(INDEX(EntryMan,$P46)=0,"",INDEX(EntryMan,$P46)))</f>
        <v/>
      </c>
      <c r="L46" s="28">
        <f>IF($B46="","",IF($K46="","—",IF(ROUND($K46-$J46,0)=0,"√","×")))</f>
        <v/>
      </c>
      <c r="M46" s="28">
        <f>IF($B46="","",IF(COUNTIFS(EntryDates,$B46,CalcTime,$C46,CalcBank,$C$5,EntryParty,$D46,EntryDep,$H46,EntryWit,$I46)&gt;1,"تکرار",""))</f>
        <v/>
      </c>
      <c r="N46" s="28">
        <f>IF($P46="","",IF(INDEX(EntryNotes,$P46)=0,"",INDEX(EntryNotes,$P46)))</f>
        <v/>
      </c>
      <c r="O46" s="28">
        <f>IF($P46="","",IF(INDEX(EntryTxnID,$P46)=0,"",INDEX(EntryTxnID,$P46)))</f>
        <v/>
      </c>
      <c r="P46" s="28">
        <f>IFERROR(MATCH($C$5&amp;"|"&amp;RIGHT("000000"&amp;30,6),CalcRankKey,0),"")</f>
        <v/>
      </c>
    </row>
    <row r="47">
      <c r="A47" s="26">
        <f>IF($B47="","",31)</f>
        <v/>
      </c>
      <c r="B47" s="26">
        <f>IF($P47="","",IF(INDEX(CalcNormDate,$P47)=0,"",INDEX(CalcNormDate,$P47)))</f>
        <v/>
      </c>
      <c r="C47" s="26">
        <f>IF($P47="","",IF(INDEX(CalcTime,$P47)=0,"",INDEX(CalcTime,$P47)))</f>
        <v/>
      </c>
      <c r="D47" s="26">
        <f>IF($P47="","",IF(INDEX(EntryParty,$P47)=0,"",INDEX(EntryParty,$P47)))</f>
        <v/>
      </c>
      <c r="E47" s="26">
        <f>IF($P47="","",IF(INDEX(EntryPartyName,$P47)=0,"",INDEX(EntryPartyName,$P47)))</f>
        <v/>
      </c>
      <c r="F47" s="26">
        <f>IF($P47="","",IF(INDEX(EntryPartyType,$P47)=0,"",INDEX(EntryPartyType,$P47)))</f>
        <v/>
      </c>
      <c r="G47" s="26">
        <f>IF($P47="","",IF(INDEX(EntryTxnType,$P47)=0,"",INDEX(EntryTxnType,$P47)))</f>
        <v/>
      </c>
      <c r="H47" s="27">
        <f>IF($P47="","",IF(INDEX(EntryDep,$P47)=0,"",INDEX(EntryDep,$P47)))</f>
        <v/>
      </c>
      <c r="I47" s="27">
        <f>IF($P47="","",IF(INDEX(EntryWit,$P47)=0,"",INDEX(EntryWit,$P47)))</f>
        <v/>
      </c>
      <c r="J47" s="27">
        <f>IF($B47="","",IF($A47=1,$C$7,IF(J46="",0,J46))+IF($H47="",0,$H47)-IF($I47="",0,$I47))</f>
        <v/>
      </c>
      <c r="K47" s="27">
        <f>IF($P47="","",IF(INDEX(EntryMan,$P47)=0,"",INDEX(EntryMan,$P47)))</f>
        <v/>
      </c>
      <c r="L47" s="26">
        <f>IF($B47="","",IF($K47="","—",IF(ROUND($K47-$J47,0)=0,"√","×")))</f>
        <v/>
      </c>
      <c r="M47" s="26">
        <f>IF($B47="","",IF(COUNTIFS(EntryDates,$B47,CalcTime,$C47,CalcBank,$C$5,EntryParty,$D47,EntryDep,$H47,EntryWit,$I47)&gt;1,"تکرار",""))</f>
        <v/>
      </c>
      <c r="N47" s="26">
        <f>IF($P47="","",IF(INDEX(EntryNotes,$P47)=0,"",INDEX(EntryNotes,$P47)))</f>
        <v/>
      </c>
      <c r="O47" s="26">
        <f>IF($P47="","",IF(INDEX(EntryTxnID,$P47)=0,"",INDEX(EntryTxnID,$P47)))</f>
        <v/>
      </c>
      <c r="P47" s="26">
        <f>IFERROR(MATCH($C$5&amp;"|"&amp;RIGHT("000000"&amp;31,6),CalcRankKey,0),"")</f>
        <v/>
      </c>
    </row>
    <row r="48">
      <c r="A48" s="28">
        <f>IF($B48="","",32)</f>
        <v/>
      </c>
      <c r="B48" s="28">
        <f>IF($P48="","",IF(INDEX(CalcNormDate,$P48)=0,"",INDEX(CalcNormDate,$P48)))</f>
        <v/>
      </c>
      <c r="C48" s="28">
        <f>IF($P48="","",IF(INDEX(CalcTime,$P48)=0,"",INDEX(CalcTime,$P48)))</f>
        <v/>
      </c>
      <c r="D48" s="28">
        <f>IF($P48="","",IF(INDEX(EntryParty,$P48)=0,"",INDEX(EntryParty,$P48)))</f>
        <v/>
      </c>
      <c r="E48" s="28">
        <f>IF($P48="","",IF(INDEX(EntryPartyName,$P48)=0,"",INDEX(EntryPartyName,$P48)))</f>
        <v/>
      </c>
      <c r="F48" s="28">
        <f>IF($P48="","",IF(INDEX(EntryPartyType,$P48)=0,"",INDEX(EntryPartyType,$P48)))</f>
        <v/>
      </c>
      <c r="G48" s="28">
        <f>IF($P48="","",IF(INDEX(EntryTxnType,$P48)=0,"",INDEX(EntryTxnType,$P48)))</f>
        <v/>
      </c>
      <c r="H48" s="29">
        <f>IF($P48="","",IF(INDEX(EntryDep,$P48)=0,"",INDEX(EntryDep,$P48)))</f>
        <v/>
      </c>
      <c r="I48" s="29">
        <f>IF($P48="","",IF(INDEX(EntryWit,$P48)=0,"",INDEX(EntryWit,$P48)))</f>
        <v/>
      </c>
      <c r="J48" s="29">
        <f>IF($B48="","",IF($A48=1,$C$7,IF(J47="",0,J47))+IF($H48="",0,$H48)-IF($I48="",0,$I48))</f>
        <v/>
      </c>
      <c r="K48" s="29">
        <f>IF($P48="","",IF(INDEX(EntryMan,$P48)=0,"",INDEX(EntryMan,$P48)))</f>
        <v/>
      </c>
      <c r="L48" s="28">
        <f>IF($B48="","",IF($K48="","—",IF(ROUND($K48-$J48,0)=0,"√","×")))</f>
        <v/>
      </c>
      <c r="M48" s="28">
        <f>IF($B48="","",IF(COUNTIFS(EntryDates,$B48,CalcTime,$C48,CalcBank,$C$5,EntryParty,$D48,EntryDep,$H48,EntryWit,$I48)&gt;1,"تکرار",""))</f>
        <v/>
      </c>
      <c r="N48" s="28">
        <f>IF($P48="","",IF(INDEX(EntryNotes,$P48)=0,"",INDEX(EntryNotes,$P48)))</f>
        <v/>
      </c>
      <c r="O48" s="28">
        <f>IF($P48="","",IF(INDEX(EntryTxnID,$P48)=0,"",INDEX(EntryTxnID,$P48)))</f>
        <v/>
      </c>
      <c r="P48" s="28">
        <f>IFERROR(MATCH($C$5&amp;"|"&amp;RIGHT("000000"&amp;32,6),CalcRankKey,0),"")</f>
        <v/>
      </c>
    </row>
    <row r="49">
      <c r="A49" s="26">
        <f>IF($B49="","",33)</f>
        <v/>
      </c>
      <c r="B49" s="26">
        <f>IF($P49="","",IF(INDEX(CalcNormDate,$P49)=0,"",INDEX(CalcNormDate,$P49)))</f>
        <v/>
      </c>
      <c r="C49" s="26">
        <f>IF($P49="","",IF(INDEX(CalcTime,$P49)=0,"",INDEX(CalcTime,$P49)))</f>
        <v/>
      </c>
      <c r="D49" s="26">
        <f>IF($P49="","",IF(INDEX(EntryParty,$P49)=0,"",INDEX(EntryParty,$P49)))</f>
        <v/>
      </c>
      <c r="E49" s="26">
        <f>IF($P49="","",IF(INDEX(EntryPartyName,$P49)=0,"",INDEX(EntryPartyName,$P49)))</f>
        <v/>
      </c>
      <c r="F49" s="26">
        <f>IF($P49="","",IF(INDEX(EntryPartyType,$P49)=0,"",INDEX(EntryPartyType,$P49)))</f>
        <v/>
      </c>
      <c r="G49" s="26">
        <f>IF($P49="","",IF(INDEX(EntryTxnType,$P49)=0,"",INDEX(EntryTxnType,$P49)))</f>
        <v/>
      </c>
      <c r="H49" s="27">
        <f>IF($P49="","",IF(INDEX(EntryDep,$P49)=0,"",INDEX(EntryDep,$P49)))</f>
        <v/>
      </c>
      <c r="I49" s="27">
        <f>IF($P49="","",IF(INDEX(EntryWit,$P49)=0,"",INDEX(EntryWit,$P49)))</f>
        <v/>
      </c>
      <c r="J49" s="27">
        <f>IF($B49="","",IF($A49=1,$C$7,IF(J48="",0,J48))+IF($H49="",0,$H49)-IF($I49="",0,$I49))</f>
        <v/>
      </c>
      <c r="K49" s="27">
        <f>IF($P49="","",IF(INDEX(EntryMan,$P49)=0,"",INDEX(EntryMan,$P49)))</f>
        <v/>
      </c>
      <c r="L49" s="26">
        <f>IF($B49="","",IF($K49="","—",IF(ROUND($K49-$J49,0)=0,"√","×")))</f>
        <v/>
      </c>
      <c r="M49" s="26">
        <f>IF($B49="","",IF(COUNTIFS(EntryDates,$B49,CalcTime,$C49,CalcBank,$C$5,EntryParty,$D49,EntryDep,$H49,EntryWit,$I49)&gt;1,"تکرار",""))</f>
        <v/>
      </c>
      <c r="N49" s="26">
        <f>IF($P49="","",IF(INDEX(EntryNotes,$P49)=0,"",INDEX(EntryNotes,$P49)))</f>
        <v/>
      </c>
      <c r="O49" s="26">
        <f>IF($P49="","",IF(INDEX(EntryTxnID,$P49)=0,"",INDEX(EntryTxnID,$P49)))</f>
        <v/>
      </c>
      <c r="P49" s="26">
        <f>IFERROR(MATCH($C$5&amp;"|"&amp;RIGHT("000000"&amp;33,6),CalcRankKey,0),"")</f>
        <v/>
      </c>
    </row>
    <row r="50">
      <c r="A50" s="28">
        <f>IF($B50="","",34)</f>
        <v/>
      </c>
      <c r="B50" s="28">
        <f>IF($P50="","",IF(INDEX(CalcNormDate,$P50)=0,"",INDEX(CalcNormDate,$P50)))</f>
        <v/>
      </c>
      <c r="C50" s="28">
        <f>IF($P50="","",IF(INDEX(CalcTime,$P50)=0,"",INDEX(CalcTime,$P50)))</f>
        <v/>
      </c>
      <c r="D50" s="28">
        <f>IF($P50="","",IF(INDEX(EntryParty,$P50)=0,"",INDEX(EntryParty,$P50)))</f>
        <v/>
      </c>
      <c r="E50" s="28">
        <f>IF($P50="","",IF(INDEX(EntryPartyName,$P50)=0,"",INDEX(EntryPartyName,$P50)))</f>
        <v/>
      </c>
      <c r="F50" s="28">
        <f>IF($P50="","",IF(INDEX(EntryPartyType,$P50)=0,"",INDEX(EntryPartyType,$P50)))</f>
        <v/>
      </c>
      <c r="G50" s="28">
        <f>IF($P50="","",IF(INDEX(EntryTxnType,$P50)=0,"",INDEX(EntryTxnType,$P50)))</f>
        <v/>
      </c>
      <c r="H50" s="29">
        <f>IF($P50="","",IF(INDEX(EntryDep,$P50)=0,"",INDEX(EntryDep,$P50)))</f>
        <v/>
      </c>
      <c r="I50" s="29">
        <f>IF($P50="","",IF(INDEX(EntryWit,$P50)=0,"",INDEX(EntryWit,$P50)))</f>
        <v/>
      </c>
      <c r="J50" s="29">
        <f>IF($B50="","",IF($A50=1,$C$7,IF(J49="",0,J49))+IF($H50="",0,$H50)-IF($I50="",0,$I50))</f>
        <v/>
      </c>
      <c r="K50" s="29">
        <f>IF($P50="","",IF(INDEX(EntryMan,$P50)=0,"",INDEX(EntryMan,$P50)))</f>
        <v/>
      </c>
      <c r="L50" s="28">
        <f>IF($B50="","",IF($K50="","—",IF(ROUND($K50-$J50,0)=0,"√","×")))</f>
        <v/>
      </c>
      <c r="M50" s="28">
        <f>IF($B50="","",IF(COUNTIFS(EntryDates,$B50,CalcTime,$C50,CalcBank,$C$5,EntryParty,$D50,EntryDep,$H50,EntryWit,$I50)&gt;1,"تکرار",""))</f>
        <v/>
      </c>
      <c r="N50" s="28">
        <f>IF($P50="","",IF(INDEX(EntryNotes,$P50)=0,"",INDEX(EntryNotes,$P50)))</f>
        <v/>
      </c>
      <c r="O50" s="28">
        <f>IF($P50="","",IF(INDEX(EntryTxnID,$P50)=0,"",INDEX(EntryTxnID,$P50)))</f>
        <v/>
      </c>
      <c r="P50" s="28">
        <f>IFERROR(MATCH($C$5&amp;"|"&amp;RIGHT("000000"&amp;34,6),CalcRankKey,0),"")</f>
        <v/>
      </c>
    </row>
    <row r="51">
      <c r="A51" s="26">
        <f>IF($B51="","",35)</f>
        <v/>
      </c>
      <c r="B51" s="26">
        <f>IF($P51="","",IF(INDEX(CalcNormDate,$P51)=0,"",INDEX(CalcNormDate,$P51)))</f>
        <v/>
      </c>
      <c r="C51" s="26">
        <f>IF($P51="","",IF(INDEX(CalcTime,$P51)=0,"",INDEX(CalcTime,$P51)))</f>
        <v/>
      </c>
      <c r="D51" s="26">
        <f>IF($P51="","",IF(INDEX(EntryParty,$P51)=0,"",INDEX(EntryParty,$P51)))</f>
        <v/>
      </c>
      <c r="E51" s="26">
        <f>IF($P51="","",IF(INDEX(EntryPartyName,$P51)=0,"",INDEX(EntryPartyName,$P51)))</f>
        <v/>
      </c>
      <c r="F51" s="26">
        <f>IF($P51="","",IF(INDEX(EntryPartyType,$P51)=0,"",INDEX(EntryPartyType,$P51)))</f>
        <v/>
      </c>
      <c r="G51" s="26">
        <f>IF($P51="","",IF(INDEX(EntryTxnType,$P51)=0,"",INDEX(EntryTxnType,$P51)))</f>
        <v/>
      </c>
      <c r="H51" s="27">
        <f>IF($P51="","",IF(INDEX(EntryDep,$P51)=0,"",INDEX(EntryDep,$P51)))</f>
        <v/>
      </c>
      <c r="I51" s="27">
        <f>IF($P51="","",IF(INDEX(EntryWit,$P51)=0,"",INDEX(EntryWit,$P51)))</f>
        <v/>
      </c>
      <c r="J51" s="27">
        <f>IF($B51="","",IF($A51=1,$C$7,IF(J50="",0,J50))+IF($H51="",0,$H51)-IF($I51="",0,$I51))</f>
        <v/>
      </c>
      <c r="K51" s="27">
        <f>IF($P51="","",IF(INDEX(EntryMan,$P51)=0,"",INDEX(EntryMan,$P51)))</f>
        <v/>
      </c>
      <c r="L51" s="26">
        <f>IF($B51="","",IF($K51="","—",IF(ROUND($K51-$J51,0)=0,"√","×")))</f>
        <v/>
      </c>
      <c r="M51" s="26">
        <f>IF($B51="","",IF(COUNTIFS(EntryDates,$B51,CalcTime,$C51,CalcBank,$C$5,EntryParty,$D51,EntryDep,$H51,EntryWit,$I51)&gt;1,"تکرار",""))</f>
        <v/>
      </c>
      <c r="N51" s="26">
        <f>IF($P51="","",IF(INDEX(EntryNotes,$P51)=0,"",INDEX(EntryNotes,$P51)))</f>
        <v/>
      </c>
      <c r="O51" s="26">
        <f>IF($P51="","",IF(INDEX(EntryTxnID,$P51)=0,"",INDEX(EntryTxnID,$P51)))</f>
        <v/>
      </c>
      <c r="P51" s="26">
        <f>IFERROR(MATCH($C$5&amp;"|"&amp;RIGHT("000000"&amp;35,6),CalcRankKey,0),"")</f>
        <v/>
      </c>
    </row>
    <row r="52">
      <c r="A52" s="28">
        <f>IF($B52="","",36)</f>
        <v/>
      </c>
      <c r="B52" s="28">
        <f>IF($P52="","",IF(INDEX(CalcNormDate,$P52)=0,"",INDEX(CalcNormDate,$P52)))</f>
        <v/>
      </c>
      <c r="C52" s="28">
        <f>IF($P52="","",IF(INDEX(CalcTime,$P52)=0,"",INDEX(CalcTime,$P52)))</f>
        <v/>
      </c>
      <c r="D52" s="28">
        <f>IF($P52="","",IF(INDEX(EntryParty,$P52)=0,"",INDEX(EntryParty,$P52)))</f>
        <v/>
      </c>
      <c r="E52" s="28">
        <f>IF($P52="","",IF(INDEX(EntryPartyName,$P52)=0,"",INDEX(EntryPartyName,$P52)))</f>
        <v/>
      </c>
      <c r="F52" s="28">
        <f>IF($P52="","",IF(INDEX(EntryPartyType,$P52)=0,"",INDEX(EntryPartyType,$P52)))</f>
        <v/>
      </c>
      <c r="G52" s="28">
        <f>IF($P52="","",IF(INDEX(EntryTxnType,$P52)=0,"",INDEX(EntryTxnType,$P52)))</f>
        <v/>
      </c>
      <c r="H52" s="29">
        <f>IF($P52="","",IF(INDEX(EntryDep,$P52)=0,"",INDEX(EntryDep,$P52)))</f>
        <v/>
      </c>
      <c r="I52" s="29">
        <f>IF($P52="","",IF(INDEX(EntryWit,$P52)=0,"",INDEX(EntryWit,$P52)))</f>
        <v/>
      </c>
      <c r="J52" s="29">
        <f>IF($B52="","",IF($A52=1,$C$7,IF(J51="",0,J51))+IF($H52="",0,$H52)-IF($I52="",0,$I52))</f>
        <v/>
      </c>
      <c r="K52" s="29">
        <f>IF($P52="","",IF(INDEX(EntryMan,$P52)=0,"",INDEX(EntryMan,$P52)))</f>
        <v/>
      </c>
      <c r="L52" s="28">
        <f>IF($B52="","",IF($K52="","—",IF(ROUND($K52-$J52,0)=0,"√","×")))</f>
        <v/>
      </c>
      <c r="M52" s="28">
        <f>IF($B52="","",IF(COUNTIFS(EntryDates,$B52,CalcTime,$C52,CalcBank,$C$5,EntryParty,$D52,EntryDep,$H52,EntryWit,$I52)&gt;1,"تکرار",""))</f>
        <v/>
      </c>
      <c r="N52" s="28">
        <f>IF($P52="","",IF(INDEX(EntryNotes,$P52)=0,"",INDEX(EntryNotes,$P52)))</f>
        <v/>
      </c>
      <c r="O52" s="28">
        <f>IF($P52="","",IF(INDEX(EntryTxnID,$P52)=0,"",INDEX(EntryTxnID,$P52)))</f>
        <v/>
      </c>
      <c r="P52" s="28">
        <f>IFERROR(MATCH($C$5&amp;"|"&amp;RIGHT("000000"&amp;36,6),CalcRankKey,0),"")</f>
        <v/>
      </c>
    </row>
    <row r="53">
      <c r="A53" s="26">
        <f>IF($B53="","",37)</f>
        <v/>
      </c>
      <c r="B53" s="26">
        <f>IF($P53="","",IF(INDEX(CalcNormDate,$P53)=0,"",INDEX(CalcNormDate,$P53)))</f>
        <v/>
      </c>
      <c r="C53" s="26">
        <f>IF($P53="","",IF(INDEX(CalcTime,$P53)=0,"",INDEX(CalcTime,$P53)))</f>
        <v/>
      </c>
      <c r="D53" s="26">
        <f>IF($P53="","",IF(INDEX(EntryParty,$P53)=0,"",INDEX(EntryParty,$P53)))</f>
        <v/>
      </c>
      <c r="E53" s="26">
        <f>IF($P53="","",IF(INDEX(EntryPartyName,$P53)=0,"",INDEX(EntryPartyName,$P53)))</f>
        <v/>
      </c>
      <c r="F53" s="26">
        <f>IF($P53="","",IF(INDEX(EntryPartyType,$P53)=0,"",INDEX(EntryPartyType,$P53)))</f>
        <v/>
      </c>
      <c r="G53" s="26">
        <f>IF($P53="","",IF(INDEX(EntryTxnType,$P53)=0,"",INDEX(EntryTxnType,$P53)))</f>
        <v/>
      </c>
      <c r="H53" s="27">
        <f>IF($P53="","",IF(INDEX(EntryDep,$P53)=0,"",INDEX(EntryDep,$P53)))</f>
        <v/>
      </c>
      <c r="I53" s="27">
        <f>IF($P53="","",IF(INDEX(EntryWit,$P53)=0,"",INDEX(EntryWit,$P53)))</f>
        <v/>
      </c>
      <c r="J53" s="27">
        <f>IF($B53="","",IF($A53=1,$C$7,IF(J52="",0,J52))+IF($H53="",0,$H53)-IF($I53="",0,$I53))</f>
        <v/>
      </c>
      <c r="K53" s="27">
        <f>IF($P53="","",IF(INDEX(EntryMan,$P53)=0,"",INDEX(EntryMan,$P53)))</f>
        <v/>
      </c>
      <c r="L53" s="26">
        <f>IF($B53="","",IF($K53="","—",IF(ROUND($K53-$J53,0)=0,"√","×")))</f>
        <v/>
      </c>
      <c r="M53" s="26">
        <f>IF($B53="","",IF(COUNTIFS(EntryDates,$B53,CalcTime,$C53,CalcBank,$C$5,EntryParty,$D53,EntryDep,$H53,EntryWit,$I53)&gt;1,"تکرار",""))</f>
        <v/>
      </c>
      <c r="N53" s="26">
        <f>IF($P53="","",IF(INDEX(EntryNotes,$P53)=0,"",INDEX(EntryNotes,$P53)))</f>
        <v/>
      </c>
      <c r="O53" s="26">
        <f>IF($P53="","",IF(INDEX(EntryTxnID,$P53)=0,"",INDEX(EntryTxnID,$P53)))</f>
        <v/>
      </c>
      <c r="P53" s="26">
        <f>IFERROR(MATCH($C$5&amp;"|"&amp;RIGHT("000000"&amp;37,6),CalcRankKey,0),"")</f>
        <v/>
      </c>
    </row>
    <row r="54">
      <c r="A54" s="28">
        <f>IF($B54="","",38)</f>
        <v/>
      </c>
      <c r="B54" s="28">
        <f>IF($P54="","",IF(INDEX(CalcNormDate,$P54)=0,"",INDEX(CalcNormDate,$P54)))</f>
        <v/>
      </c>
      <c r="C54" s="28">
        <f>IF($P54="","",IF(INDEX(CalcTime,$P54)=0,"",INDEX(CalcTime,$P54)))</f>
        <v/>
      </c>
      <c r="D54" s="28">
        <f>IF($P54="","",IF(INDEX(EntryParty,$P54)=0,"",INDEX(EntryParty,$P54)))</f>
        <v/>
      </c>
      <c r="E54" s="28">
        <f>IF($P54="","",IF(INDEX(EntryPartyName,$P54)=0,"",INDEX(EntryPartyName,$P54)))</f>
        <v/>
      </c>
      <c r="F54" s="28">
        <f>IF($P54="","",IF(INDEX(EntryPartyType,$P54)=0,"",INDEX(EntryPartyType,$P54)))</f>
        <v/>
      </c>
      <c r="G54" s="28">
        <f>IF($P54="","",IF(INDEX(EntryTxnType,$P54)=0,"",INDEX(EntryTxnType,$P54)))</f>
        <v/>
      </c>
      <c r="H54" s="29">
        <f>IF($P54="","",IF(INDEX(EntryDep,$P54)=0,"",INDEX(EntryDep,$P54)))</f>
        <v/>
      </c>
      <c r="I54" s="29">
        <f>IF($P54="","",IF(INDEX(EntryWit,$P54)=0,"",INDEX(EntryWit,$P54)))</f>
        <v/>
      </c>
      <c r="J54" s="29">
        <f>IF($B54="","",IF($A54=1,$C$7,IF(J53="",0,J53))+IF($H54="",0,$H54)-IF($I54="",0,$I54))</f>
        <v/>
      </c>
      <c r="K54" s="29">
        <f>IF($P54="","",IF(INDEX(EntryMan,$P54)=0,"",INDEX(EntryMan,$P54)))</f>
        <v/>
      </c>
      <c r="L54" s="28">
        <f>IF($B54="","",IF($K54="","—",IF(ROUND($K54-$J54,0)=0,"√","×")))</f>
        <v/>
      </c>
      <c r="M54" s="28">
        <f>IF($B54="","",IF(COUNTIFS(EntryDates,$B54,CalcTime,$C54,CalcBank,$C$5,EntryParty,$D54,EntryDep,$H54,EntryWit,$I54)&gt;1,"تکرار",""))</f>
        <v/>
      </c>
      <c r="N54" s="28">
        <f>IF($P54="","",IF(INDEX(EntryNotes,$P54)=0,"",INDEX(EntryNotes,$P54)))</f>
        <v/>
      </c>
      <c r="O54" s="28">
        <f>IF($P54="","",IF(INDEX(EntryTxnID,$P54)=0,"",INDEX(EntryTxnID,$P54)))</f>
        <v/>
      </c>
      <c r="P54" s="28">
        <f>IFERROR(MATCH($C$5&amp;"|"&amp;RIGHT("000000"&amp;38,6),CalcRankKey,0),"")</f>
        <v/>
      </c>
    </row>
    <row r="55">
      <c r="A55" s="26">
        <f>IF($B55="","",39)</f>
        <v/>
      </c>
      <c r="B55" s="26">
        <f>IF($P55="","",IF(INDEX(CalcNormDate,$P55)=0,"",INDEX(CalcNormDate,$P55)))</f>
        <v/>
      </c>
      <c r="C55" s="26">
        <f>IF($P55="","",IF(INDEX(CalcTime,$P55)=0,"",INDEX(CalcTime,$P55)))</f>
        <v/>
      </c>
      <c r="D55" s="26">
        <f>IF($P55="","",IF(INDEX(EntryParty,$P55)=0,"",INDEX(EntryParty,$P55)))</f>
        <v/>
      </c>
      <c r="E55" s="26">
        <f>IF($P55="","",IF(INDEX(EntryPartyName,$P55)=0,"",INDEX(EntryPartyName,$P55)))</f>
        <v/>
      </c>
      <c r="F55" s="26">
        <f>IF($P55="","",IF(INDEX(EntryPartyType,$P55)=0,"",INDEX(EntryPartyType,$P55)))</f>
        <v/>
      </c>
      <c r="G55" s="26">
        <f>IF($P55="","",IF(INDEX(EntryTxnType,$P55)=0,"",INDEX(EntryTxnType,$P55)))</f>
        <v/>
      </c>
      <c r="H55" s="27">
        <f>IF($P55="","",IF(INDEX(EntryDep,$P55)=0,"",INDEX(EntryDep,$P55)))</f>
        <v/>
      </c>
      <c r="I55" s="27">
        <f>IF($P55="","",IF(INDEX(EntryWit,$P55)=0,"",INDEX(EntryWit,$P55)))</f>
        <v/>
      </c>
      <c r="J55" s="27">
        <f>IF($B55="","",IF($A55=1,$C$7,IF(J54="",0,J54))+IF($H55="",0,$H55)-IF($I55="",0,$I55))</f>
        <v/>
      </c>
      <c r="K55" s="27">
        <f>IF($P55="","",IF(INDEX(EntryMan,$P55)=0,"",INDEX(EntryMan,$P55)))</f>
        <v/>
      </c>
      <c r="L55" s="26">
        <f>IF($B55="","",IF($K55="","—",IF(ROUND($K55-$J55,0)=0,"√","×")))</f>
        <v/>
      </c>
      <c r="M55" s="26">
        <f>IF($B55="","",IF(COUNTIFS(EntryDates,$B55,CalcTime,$C55,CalcBank,$C$5,EntryParty,$D55,EntryDep,$H55,EntryWit,$I55)&gt;1,"تکرار",""))</f>
        <v/>
      </c>
      <c r="N55" s="26">
        <f>IF($P55="","",IF(INDEX(EntryNotes,$P55)=0,"",INDEX(EntryNotes,$P55)))</f>
        <v/>
      </c>
      <c r="O55" s="26">
        <f>IF($P55="","",IF(INDEX(EntryTxnID,$P55)=0,"",INDEX(EntryTxnID,$P55)))</f>
        <v/>
      </c>
      <c r="P55" s="26">
        <f>IFERROR(MATCH($C$5&amp;"|"&amp;RIGHT("000000"&amp;39,6),CalcRankKey,0),"")</f>
        <v/>
      </c>
    </row>
    <row r="56">
      <c r="A56" s="28">
        <f>IF($B56="","",40)</f>
        <v/>
      </c>
      <c r="B56" s="28">
        <f>IF($P56="","",IF(INDEX(CalcNormDate,$P56)=0,"",INDEX(CalcNormDate,$P56)))</f>
        <v/>
      </c>
      <c r="C56" s="28">
        <f>IF($P56="","",IF(INDEX(CalcTime,$P56)=0,"",INDEX(CalcTime,$P56)))</f>
        <v/>
      </c>
      <c r="D56" s="28">
        <f>IF($P56="","",IF(INDEX(EntryParty,$P56)=0,"",INDEX(EntryParty,$P56)))</f>
        <v/>
      </c>
      <c r="E56" s="28">
        <f>IF($P56="","",IF(INDEX(EntryPartyName,$P56)=0,"",INDEX(EntryPartyName,$P56)))</f>
        <v/>
      </c>
      <c r="F56" s="28">
        <f>IF($P56="","",IF(INDEX(EntryPartyType,$P56)=0,"",INDEX(EntryPartyType,$P56)))</f>
        <v/>
      </c>
      <c r="G56" s="28">
        <f>IF($P56="","",IF(INDEX(EntryTxnType,$P56)=0,"",INDEX(EntryTxnType,$P56)))</f>
        <v/>
      </c>
      <c r="H56" s="29">
        <f>IF($P56="","",IF(INDEX(EntryDep,$P56)=0,"",INDEX(EntryDep,$P56)))</f>
        <v/>
      </c>
      <c r="I56" s="29">
        <f>IF($P56="","",IF(INDEX(EntryWit,$P56)=0,"",INDEX(EntryWit,$P56)))</f>
        <v/>
      </c>
      <c r="J56" s="29">
        <f>IF($B56="","",IF($A56=1,$C$7,IF(J55="",0,J55))+IF($H56="",0,$H56)-IF($I56="",0,$I56))</f>
        <v/>
      </c>
      <c r="K56" s="29">
        <f>IF($P56="","",IF(INDEX(EntryMan,$P56)=0,"",INDEX(EntryMan,$P56)))</f>
        <v/>
      </c>
      <c r="L56" s="28">
        <f>IF($B56="","",IF($K56="","—",IF(ROUND($K56-$J56,0)=0,"√","×")))</f>
        <v/>
      </c>
      <c r="M56" s="28">
        <f>IF($B56="","",IF(COUNTIFS(EntryDates,$B56,CalcTime,$C56,CalcBank,$C$5,EntryParty,$D56,EntryDep,$H56,EntryWit,$I56)&gt;1,"تکرار",""))</f>
        <v/>
      </c>
      <c r="N56" s="28">
        <f>IF($P56="","",IF(INDEX(EntryNotes,$P56)=0,"",INDEX(EntryNotes,$P56)))</f>
        <v/>
      </c>
      <c r="O56" s="28">
        <f>IF($P56="","",IF(INDEX(EntryTxnID,$P56)=0,"",INDEX(EntryTxnID,$P56)))</f>
        <v/>
      </c>
      <c r="P56" s="28">
        <f>IFERROR(MATCH($C$5&amp;"|"&amp;RIGHT("000000"&amp;40,6),CalcRankKey,0),"")</f>
        <v/>
      </c>
    </row>
    <row r="57">
      <c r="A57" s="26">
        <f>IF($B57="","",41)</f>
        <v/>
      </c>
      <c r="B57" s="26">
        <f>IF($P57="","",IF(INDEX(CalcNormDate,$P57)=0,"",INDEX(CalcNormDate,$P57)))</f>
        <v/>
      </c>
      <c r="C57" s="26">
        <f>IF($P57="","",IF(INDEX(CalcTime,$P57)=0,"",INDEX(CalcTime,$P57)))</f>
        <v/>
      </c>
      <c r="D57" s="26">
        <f>IF($P57="","",IF(INDEX(EntryParty,$P57)=0,"",INDEX(EntryParty,$P57)))</f>
        <v/>
      </c>
      <c r="E57" s="26">
        <f>IF($P57="","",IF(INDEX(EntryPartyName,$P57)=0,"",INDEX(EntryPartyName,$P57)))</f>
        <v/>
      </c>
      <c r="F57" s="26">
        <f>IF($P57="","",IF(INDEX(EntryPartyType,$P57)=0,"",INDEX(EntryPartyType,$P57)))</f>
        <v/>
      </c>
      <c r="G57" s="26">
        <f>IF($P57="","",IF(INDEX(EntryTxnType,$P57)=0,"",INDEX(EntryTxnType,$P57)))</f>
        <v/>
      </c>
      <c r="H57" s="27">
        <f>IF($P57="","",IF(INDEX(EntryDep,$P57)=0,"",INDEX(EntryDep,$P57)))</f>
        <v/>
      </c>
      <c r="I57" s="27">
        <f>IF($P57="","",IF(INDEX(EntryWit,$P57)=0,"",INDEX(EntryWit,$P57)))</f>
        <v/>
      </c>
      <c r="J57" s="27">
        <f>IF($B57="","",IF($A57=1,$C$7,IF(J56="",0,J56))+IF($H57="",0,$H57)-IF($I57="",0,$I57))</f>
        <v/>
      </c>
      <c r="K57" s="27">
        <f>IF($P57="","",IF(INDEX(EntryMan,$P57)=0,"",INDEX(EntryMan,$P57)))</f>
        <v/>
      </c>
      <c r="L57" s="26">
        <f>IF($B57="","",IF($K57="","—",IF(ROUND($K57-$J57,0)=0,"√","×")))</f>
        <v/>
      </c>
      <c r="M57" s="26">
        <f>IF($B57="","",IF(COUNTIFS(EntryDates,$B57,CalcTime,$C57,CalcBank,$C$5,EntryParty,$D57,EntryDep,$H57,EntryWit,$I57)&gt;1,"تکرار",""))</f>
        <v/>
      </c>
      <c r="N57" s="26">
        <f>IF($P57="","",IF(INDEX(EntryNotes,$P57)=0,"",INDEX(EntryNotes,$P57)))</f>
        <v/>
      </c>
      <c r="O57" s="26">
        <f>IF($P57="","",IF(INDEX(EntryTxnID,$P57)=0,"",INDEX(EntryTxnID,$P57)))</f>
        <v/>
      </c>
      <c r="P57" s="26">
        <f>IFERROR(MATCH($C$5&amp;"|"&amp;RIGHT("000000"&amp;41,6),CalcRankKey,0),"")</f>
        <v/>
      </c>
    </row>
    <row r="58">
      <c r="A58" s="28">
        <f>IF($B58="","",42)</f>
        <v/>
      </c>
      <c r="B58" s="28">
        <f>IF($P58="","",IF(INDEX(CalcNormDate,$P58)=0,"",INDEX(CalcNormDate,$P58)))</f>
        <v/>
      </c>
      <c r="C58" s="28">
        <f>IF($P58="","",IF(INDEX(CalcTime,$P58)=0,"",INDEX(CalcTime,$P58)))</f>
        <v/>
      </c>
      <c r="D58" s="28">
        <f>IF($P58="","",IF(INDEX(EntryParty,$P58)=0,"",INDEX(EntryParty,$P58)))</f>
        <v/>
      </c>
      <c r="E58" s="28">
        <f>IF($P58="","",IF(INDEX(EntryPartyName,$P58)=0,"",INDEX(EntryPartyName,$P58)))</f>
        <v/>
      </c>
      <c r="F58" s="28">
        <f>IF($P58="","",IF(INDEX(EntryPartyType,$P58)=0,"",INDEX(EntryPartyType,$P58)))</f>
        <v/>
      </c>
      <c r="G58" s="28">
        <f>IF($P58="","",IF(INDEX(EntryTxnType,$P58)=0,"",INDEX(EntryTxnType,$P58)))</f>
        <v/>
      </c>
      <c r="H58" s="29">
        <f>IF($P58="","",IF(INDEX(EntryDep,$P58)=0,"",INDEX(EntryDep,$P58)))</f>
        <v/>
      </c>
      <c r="I58" s="29">
        <f>IF($P58="","",IF(INDEX(EntryWit,$P58)=0,"",INDEX(EntryWit,$P58)))</f>
        <v/>
      </c>
      <c r="J58" s="29">
        <f>IF($B58="","",IF($A58=1,$C$7,IF(J57="",0,J57))+IF($H58="",0,$H58)-IF($I58="",0,$I58))</f>
        <v/>
      </c>
      <c r="K58" s="29">
        <f>IF($P58="","",IF(INDEX(EntryMan,$P58)=0,"",INDEX(EntryMan,$P58)))</f>
        <v/>
      </c>
      <c r="L58" s="28">
        <f>IF($B58="","",IF($K58="","—",IF(ROUND($K58-$J58,0)=0,"√","×")))</f>
        <v/>
      </c>
      <c r="M58" s="28">
        <f>IF($B58="","",IF(COUNTIFS(EntryDates,$B58,CalcTime,$C58,CalcBank,$C$5,EntryParty,$D58,EntryDep,$H58,EntryWit,$I58)&gt;1,"تکرار",""))</f>
        <v/>
      </c>
      <c r="N58" s="28">
        <f>IF($P58="","",IF(INDEX(EntryNotes,$P58)=0,"",INDEX(EntryNotes,$P58)))</f>
        <v/>
      </c>
      <c r="O58" s="28">
        <f>IF($P58="","",IF(INDEX(EntryTxnID,$P58)=0,"",INDEX(EntryTxnID,$P58)))</f>
        <v/>
      </c>
      <c r="P58" s="28">
        <f>IFERROR(MATCH($C$5&amp;"|"&amp;RIGHT("000000"&amp;42,6),CalcRankKey,0),"")</f>
        <v/>
      </c>
    </row>
    <row r="59">
      <c r="A59" s="26">
        <f>IF($B59="","",43)</f>
        <v/>
      </c>
      <c r="B59" s="26">
        <f>IF($P59="","",IF(INDEX(CalcNormDate,$P59)=0,"",INDEX(CalcNormDate,$P59)))</f>
        <v/>
      </c>
      <c r="C59" s="26">
        <f>IF($P59="","",IF(INDEX(CalcTime,$P59)=0,"",INDEX(CalcTime,$P59)))</f>
        <v/>
      </c>
      <c r="D59" s="26">
        <f>IF($P59="","",IF(INDEX(EntryParty,$P59)=0,"",INDEX(EntryParty,$P59)))</f>
        <v/>
      </c>
      <c r="E59" s="26">
        <f>IF($P59="","",IF(INDEX(EntryPartyName,$P59)=0,"",INDEX(EntryPartyName,$P59)))</f>
        <v/>
      </c>
      <c r="F59" s="26">
        <f>IF($P59="","",IF(INDEX(EntryPartyType,$P59)=0,"",INDEX(EntryPartyType,$P59)))</f>
        <v/>
      </c>
      <c r="G59" s="26">
        <f>IF($P59="","",IF(INDEX(EntryTxnType,$P59)=0,"",INDEX(EntryTxnType,$P59)))</f>
        <v/>
      </c>
      <c r="H59" s="27">
        <f>IF($P59="","",IF(INDEX(EntryDep,$P59)=0,"",INDEX(EntryDep,$P59)))</f>
        <v/>
      </c>
      <c r="I59" s="27">
        <f>IF($P59="","",IF(INDEX(EntryWit,$P59)=0,"",INDEX(EntryWit,$P59)))</f>
        <v/>
      </c>
      <c r="J59" s="27">
        <f>IF($B59="","",IF($A59=1,$C$7,IF(J58="",0,J58))+IF($H59="",0,$H59)-IF($I59="",0,$I59))</f>
        <v/>
      </c>
      <c r="K59" s="27">
        <f>IF($P59="","",IF(INDEX(EntryMan,$P59)=0,"",INDEX(EntryMan,$P59)))</f>
        <v/>
      </c>
      <c r="L59" s="26">
        <f>IF($B59="","",IF($K59="","—",IF(ROUND($K59-$J59,0)=0,"√","×")))</f>
        <v/>
      </c>
      <c r="M59" s="26">
        <f>IF($B59="","",IF(COUNTIFS(EntryDates,$B59,CalcTime,$C59,CalcBank,$C$5,EntryParty,$D59,EntryDep,$H59,EntryWit,$I59)&gt;1,"تکرار",""))</f>
        <v/>
      </c>
      <c r="N59" s="26">
        <f>IF($P59="","",IF(INDEX(EntryNotes,$P59)=0,"",INDEX(EntryNotes,$P59)))</f>
        <v/>
      </c>
      <c r="O59" s="26">
        <f>IF($P59="","",IF(INDEX(EntryTxnID,$P59)=0,"",INDEX(EntryTxnID,$P59)))</f>
        <v/>
      </c>
      <c r="P59" s="26">
        <f>IFERROR(MATCH($C$5&amp;"|"&amp;RIGHT("000000"&amp;43,6),CalcRankKey,0),"")</f>
        <v/>
      </c>
    </row>
    <row r="60">
      <c r="A60" s="28">
        <f>IF($B60="","",44)</f>
        <v/>
      </c>
      <c r="B60" s="28">
        <f>IF($P60="","",IF(INDEX(CalcNormDate,$P60)=0,"",INDEX(CalcNormDate,$P60)))</f>
        <v/>
      </c>
      <c r="C60" s="28">
        <f>IF($P60="","",IF(INDEX(CalcTime,$P60)=0,"",INDEX(CalcTime,$P60)))</f>
        <v/>
      </c>
      <c r="D60" s="28">
        <f>IF($P60="","",IF(INDEX(EntryParty,$P60)=0,"",INDEX(EntryParty,$P60)))</f>
        <v/>
      </c>
      <c r="E60" s="28">
        <f>IF($P60="","",IF(INDEX(EntryPartyName,$P60)=0,"",INDEX(EntryPartyName,$P60)))</f>
        <v/>
      </c>
      <c r="F60" s="28">
        <f>IF($P60="","",IF(INDEX(EntryPartyType,$P60)=0,"",INDEX(EntryPartyType,$P60)))</f>
        <v/>
      </c>
      <c r="G60" s="28">
        <f>IF($P60="","",IF(INDEX(EntryTxnType,$P60)=0,"",INDEX(EntryTxnType,$P60)))</f>
        <v/>
      </c>
      <c r="H60" s="29">
        <f>IF($P60="","",IF(INDEX(EntryDep,$P60)=0,"",INDEX(EntryDep,$P60)))</f>
        <v/>
      </c>
      <c r="I60" s="29">
        <f>IF($P60="","",IF(INDEX(EntryWit,$P60)=0,"",INDEX(EntryWit,$P60)))</f>
        <v/>
      </c>
      <c r="J60" s="29">
        <f>IF($B60="","",IF($A60=1,$C$7,IF(J59="",0,J59))+IF($H60="",0,$H60)-IF($I60="",0,$I60))</f>
        <v/>
      </c>
      <c r="K60" s="29">
        <f>IF($P60="","",IF(INDEX(EntryMan,$P60)=0,"",INDEX(EntryMan,$P60)))</f>
        <v/>
      </c>
      <c r="L60" s="28">
        <f>IF($B60="","",IF($K60="","—",IF(ROUND($K60-$J60,0)=0,"√","×")))</f>
        <v/>
      </c>
      <c r="M60" s="28">
        <f>IF($B60="","",IF(COUNTIFS(EntryDates,$B60,CalcTime,$C60,CalcBank,$C$5,EntryParty,$D60,EntryDep,$H60,EntryWit,$I60)&gt;1,"تکرار",""))</f>
        <v/>
      </c>
      <c r="N60" s="28">
        <f>IF($P60="","",IF(INDEX(EntryNotes,$P60)=0,"",INDEX(EntryNotes,$P60)))</f>
        <v/>
      </c>
      <c r="O60" s="28">
        <f>IF($P60="","",IF(INDEX(EntryTxnID,$P60)=0,"",INDEX(EntryTxnID,$P60)))</f>
        <v/>
      </c>
      <c r="P60" s="28">
        <f>IFERROR(MATCH($C$5&amp;"|"&amp;RIGHT("000000"&amp;44,6),CalcRankKey,0),"")</f>
        <v/>
      </c>
    </row>
    <row r="61">
      <c r="A61" s="26">
        <f>IF($B61="","",45)</f>
        <v/>
      </c>
      <c r="B61" s="26">
        <f>IF($P61="","",IF(INDEX(CalcNormDate,$P61)=0,"",INDEX(CalcNormDate,$P61)))</f>
        <v/>
      </c>
      <c r="C61" s="26">
        <f>IF($P61="","",IF(INDEX(CalcTime,$P61)=0,"",INDEX(CalcTime,$P61)))</f>
        <v/>
      </c>
      <c r="D61" s="26">
        <f>IF($P61="","",IF(INDEX(EntryParty,$P61)=0,"",INDEX(EntryParty,$P61)))</f>
        <v/>
      </c>
      <c r="E61" s="26">
        <f>IF($P61="","",IF(INDEX(EntryPartyName,$P61)=0,"",INDEX(EntryPartyName,$P61)))</f>
        <v/>
      </c>
      <c r="F61" s="26">
        <f>IF($P61="","",IF(INDEX(EntryPartyType,$P61)=0,"",INDEX(EntryPartyType,$P61)))</f>
        <v/>
      </c>
      <c r="G61" s="26">
        <f>IF($P61="","",IF(INDEX(EntryTxnType,$P61)=0,"",INDEX(EntryTxnType,$P61)))</f>
        <v/>
      </c>
      <c r="H61" s="27">
        <f>IF($P61="","",IF(INDEX(EntryDep,$P61)=0,"",INDEX(EntryDep,$P61)))</f>
        <v/>
      </c>
      <c r="I61" s="27">
        <f>IF($P61="","",IF(INDEX(EntryWit,$P61)=0,"",INDEX(EntryWit,$P61)))</f>
        <v/>
      </c>
      <c r="J61" s="27">
        <f>IF($B61="","",IF($A61=1,$C$7,IF(J60="",0,J60))+IF($H61="",0,$H61)-IF($I61="",0,$I61))</f>
        <v/>
      </c>
      <c r="K61" s="27">
        <f>IF($P61="","",IF(INDEX(EntryMan,$P61)=0,"",INDEX(EntryMan,$P61)))</f>
        <v/>
      </c>
      <c r="L61" s="26">
        <f>IF($B61="","",IF($K61="","—",IF(ROUND($K61-$J61,0)=0,"√","×")))</f>
        <v/>
      </c>
      <c r="M61" s="26">
        <f>IF($B61="","",IF(COUNTIFS(EntryDates,$B61,CalcTime,$C61,CalcBank,$C$5,EntryParty,$D61,EntryDep,$H61,EntryWit,$I61)&gt;1,"تکرار",""))</f>
        <v/>
      </c>
      <c r="N61" s="26">
        <f>IF($P61="","",IF(INDEX(EntryNotes,$P61)=0,"",INDEX(EntryNotes,$P61)))</f>
        <v/>
      </c>
      <c r="O61" s="26">
        <f>IF($P61="","",IF(INDEX(EntryTxnID,$P61)=0,"",INDEX(EntryTxnID,$P61)))</f>
        <v/>
      </c>
      <c r="P61" s="26">
        <f>IFERROR(MATCH($C$5&amp;"|"&amp;RIGHT("000000"&amp;45,6),CalcRankKey,0),"")</f>
        <v/>
      </c>
    </row>
    <row r="62">
      <c r="A62" s="28">
        <f>IF($B62="","",46)</f>
        <v/>
      </c>
      <c r="B62" s="28">
        <f>IF($P62="","",IF(INDEX(CalcNormDate,$P62)=0,"",INDEX(CalcNormDate,$P62)))</f>
        <v/>
      </c>
      <c r="C62" s="28">
        <f>IF($P62="","",IF(INDEX(CalcTime,$P62)=0,"",INDEX(CalcTime,$P62)))</f>
        <v/>
      </c>
      <c r="D62" s="28">
        <f>IF($P62="","",IF(INDEX(EntryParty,$P62)=0,"",INDEX(EntryParty,$P62)))</f>
        <v/>
      </c>
      <c r="E62" s="28">
        <f>IF($P62="","",IF(INDEX(EntryPartyName,$P62)=0,"",INDEX(EntryPartyName,$P62)))</f>
        <v/>
      </c>
      <c r="F62" s="28">
        <f>IF($P62="","",IF(INDEX(EntryPartyType,$P62)=0,"",INDEX(EntryPartyType,$P62)))</f>
        <v/>
      </c>
      <c r="G62" s="28">
        <f>IF($P62="","",IF(INDEX(EntryTxnType,$P62)=0,"",INDEX(EntryTxnType,$P62)))</f>
        <v/>
      </c>
      <c r="H62" s="29">
        <f>IF($P62="","",IF(INDEX(EntryDep,$P62)=0,"",INDEX(EntryDep,$P62)))</f>
        <v/>
      </c>
      <c r="I62" s="29">
        <f>IF($P62="","",IF(INDEX(EntryWit,$P62)=0,"",INDEX(EntryWit,$P62)))</f>
        <v/>
      </c>
      <c r="J62" s="29">
        <f>IF($B62="","",IF($A62=1,$C$7,IF(J61="",0,J61))+IF($H62="",0,$H62)-IF($I62="",0,$I62))</f>
        <v/>
      </c>
      <c r="K62" s="29">
        <f>IF($P62="","",IF(INDEX(EntryMan,$P62)=0,"",INDEX(EntryMan,$P62)))</f>
        <v/>
      </c>
      <c r="L62" s="28">
        <f>IF($B62="","",IF($K62="","—",IF(ROUND($K62-$J62,0)=0,"√","×")))</f>
        <v/>
      </c>
      <c r="M62" s="28">
        <f>IF($B62="","",IF(COUNTIFS(EntryDates,$B62,CalcTime,$C62,CalcBank,$C$5,EntryParty,$D62,EntryDep,$H62,EntryWit,$I62)&gt;1,"تکرار",""))</f>
        <v/>
      </c>
      <c r="N62" s="28">
        <f>IF($P62="","",IF(INDEX(EntryNotes,$P62)=0,"",INDEX(EntryNotes,$P62)))</f>
        <v/>
      </c>
      <c r="O62" s="28">
        <f>IF($P62="","",IF(INDEX(EntryTxnID,$P62)=0,"",INDEX(EntryTxnID,$P62)))</f>
        <v/>
      </c>
      <c r="P62" s="28">
        <f>IFERROR(MATCH($C$5&amp;"|"&amp;RIGHT("000000"&amp;46,6),CalcRankKey,0),"")</f>
        <v/>
      </c>
    </row>
    <row r="63">
      <c r="A63" s="26">
        <f>IF($B63="","",47)</f>
        <v/>
      </c>
      <c r="B63" s="26">
        <f>IF($P63="","",IF(INDEX(CalcNormDate,$P63)=0,"",INDEX(CalcNormDate,$P63)))</f>
        <v/>
      </c>
      <c r="C63" s="26">
        <f>IF($P63="","",IF(INDEX(CalcTime,$P63)=0,"",INDEX(CalcTime,$P63)))</f>
        <v/>
      </c>
      <c r="D63" s="26">
        <f>IF($P63="","",IF(INDEX(EntryParty,$P63)=0,"",INDEX(EntryParty,$P63)))</f>
        <v/>
      </c>
      <c r="E63" s="26">
        <f>IF($P63="","",IF(INDEX(EntryPartyName,$P63)=0,"",INDEX(EntryPartyName,$P63)))</f>
        <v/>
      </c>
      <c r="F63" s="26">
        <f>IF($P63="","",IF(INDEX(EntryPartyType,$P63)=0,"",INDEX(EntryPartyType,$P63)))</f>
        <v/>
      </c>
      <c r="G63" s="26">
        <f>IF($P63="","",IF(INDEX(EntryTxnType,$P63)=0,"",INDEX(EntryTxnType,$P63)))</f>
        <v/>
      </c>
      <c r="H63" s="27">
        <f>IF($P63="","",IF(INDEX(EntryDep,$P63)=0,"",INDEX(EntryDep,$P63)))</f>
        <v/>
      </c>
      <c r="I63" s="27">
        <f>IF($P63="","",IF(INDEX(EntryWit,$P63)=0,"",INDEX(EntryWit,$P63)))</f>
        <v/>
      </c>
      <c r="J63" s="27">
        <f>IF($B63="","",IF($A63=1,$C$7,IF(J62="",0,J62))+IF($H63="",0,$H63)-IF($I63="",0,$I63))</f>
        <v/>
      </c>
      <c r="K63" s="27">
        <f>IF($P63="","",IF(INDEX(EntryMan,$P63)=0,"",INDEX(EntryMan,$P63)))</f>
        <v/>
      </c>
      <c r="L63" s="26">
        <f>IF($B63="","",IF($K63="","—",IF(ROUND($K63-$J63,0)=0,"√","×")))</f>
        <v/>
      </c>
      <c r="M63" s="26">
        <f>IF($B63="","",IF(COUNTIFS(EntryDates,$B63,CalcTime,$C63,CalcBank,$C$5,EntryParty,$D63,EntryDep,$H63,EntryWit,$I63)&gt;1,"تکرار",""))</f>
        <v/>
      </c>
      <c r="N63" s="26">
        <f>IF($P63="","",IF(INDEX(EntryNotes,$P63)=0,"",INDEX(EntryNotes,$P63)))</f>
        <v/>
      </c>
      <c r="O63" s="26">
        <f>IF($P63="","",IF(INDEX(EntryTxnID,$P63)=0,"",INDEX(EntryTxnID,$P63)))</f>
        <v/>
      </c>
      <c r="P63" s="26">
        <f>IFERROR(MATCH($C$5&amp;"|"&amp;RIGHT("000000"&amp;47,6),CalcRankKey,0),"")</f>
        <v/>
      </c>
    </row>
    <row r="64">
      <c r="A64" s="28">
        <f>IF($B64="","",48)</f>
        <v/>
      </c>
      <c r="B64" s="28">
        <f>IF($P64="","",IF(INDEX(CalcNormDate,$P64)=0,"",INDEX(CalcNormDate,$P64)))</f>
        <v/>
      </c>
      <c r="C64" s="28">
        <f>IF($P64="","",IF(INDEX(CalcTime,$P64)=0,"",INDEX(CalcTime,$P64)))</f>
        <v/>
      </c>
      <c r="D64" s="28">
        <f>IF($P64="","",IF(INDEX(EntryParty,$P64)=0,"",INDEX(EntryParty,$P64)))</f>
        <v/>
      </c>
      <c r="E64" s="28">
        <f>IF($P64="","",IF(INDEX(EntryPartyName,$P64)=0,"",INDEX(EntryPartyName,$P64)))</f>
        <v/>
      </c>
      <c r="F64" s="28">
        <f>IF($P64="","",IF(INDEX(EntryPartyType,$P64)=0,"",INDEX(EntryPartyType,$P64)))</f>
        <v/>
      </c>
      <c r="G64" s="28">
        <f>IF($P64="","",IF(INDEX(EntryTxnType,$P64)=0,"",INDEX(EntryTxnType,$P64)))</f>
        <v/>
      </c>
      <c r="H64" s="29">
        <f>IF($P64="","",IF(INDEX(EntryDep,$P64)=0,"",INDEX(EntryDep,$P64)))</f>
        <v/>
      </c>
      <c r="I64" s="29">
        <f>IF($P64="","",IF(INDEX(EntryWit,$P64)=0,"",INDEX(EntryWit,$P64)))</f>
        <v/>
      </c>
      <c r="J64" s="29">
        <f>IF($B64="","",IF($A64=1,$C$7,IF(J63="",0,J63))+IF($H64="",0,$H64)-IF($I64="",0,$I64))</f>
        <v/>
      </c>
      <c r="K64" s="29">
        <f>IF($P64="","",IF(INDEX(EntryMan,$P64)=0,"",INDEX(EntryMan,$P64)))</f>
        <v/>
      </c>
      <c r="L64" s="28">
        <f>IF($B64="","",IF($K64="","—",IF(ROUND($K64-$J64,0)=0,"√","×")))</f>
        <v/>
      </c>
      <c r="M64" s="28">
        <f>IF($B64="","",IF(COUNTIFS(EntryDates,$B64,CalcTime,$C64,CalcBank,$C$5,EntryParty,$D64,EntryDep,$H64,EntryWit,$I64)&gt;1,"تکرار",""))</f>
        <v/>
      </c>
      <c r="N64" s="28">
        <f>IF($P64="","",IF(INDEX(EntryNotes,$P64)=0,"",INDEX(EntryNotes,$P64)))</f>
        <v/>
      </c>
      <c r="O64" s="28">
        <f>IF($P64="","",IF(INDEX(EntryTxnID,$P64)=0,"",INDEX(EntryTxnID,$P64)))</f>
        <v/>
      </c>
      <c r="P64" s="28">
        <f>IFERROR(MATCH($C$5&amp;"|"&amp;RIGHT("000000"&amp;48,6),CalcRankKey,0),"")</f>
        <v/>
      </c>
    </row>
    <row r="65">
      <c r="A65" s="26">
        <f>IF($B65="","",49)</f>
        <v/>
      </c>
      <c r="B65" s="26">
        <f>IF($P65="","",IF(INDEX(CalcNormDate,$P65)=0,"",INDEX(CalcNormDate,$P65)))</f>
        <v/>
      </c>
      <c r="C65" s="26">
        <f>IF($P65="","",IF(INDEX(CalcTime,$P65)=0,"",INDEX(CalcTime,$P65)))</f>
        <v/>
      </c>
      <c r="D65" s="26">
        <f>IF($P65="","",IF(INDEX(EntryParty,$P65)=0,"",INDEX(EntryParty,$P65)))</f>
        <v/>
      </c>
      <c r="E65" s="26">
        <f>IF($P65="","",IF(INDEX(EntryPartyName,$P65)=0,"",INDEX(EntryPartyName,$P65)))</f>
        <v/>
      </c>
      <c r="F65" s="26">
        <f>IF($P65="","",IF(INDEX(EntryPartyType,$P65)=0,"",INDEX(EntryPartyType,$P65)))</f>
        <v/>
      </c>
      <c r="G65" s="26">
        <f>IF($P65="","",IF(INDEX(EntryTxnType,$P65)=0,"",INDEX(EntryTxnType,$P65)))</f>
        <v/>
      </c>
      <c r="H65" s="27">
        <f>IF($P65="","",IF(INDEX(EntryDep,$P65)=0,"",INDEX(EntryDep,$P65)))</f>
        <v/>
      </c>
      <c r="I65" s="27">
        <f>IF($P65="","",IF(INDEX(EntryWit,$P65)=0,"",INDEX(EntryWit,$P65)))</f>
        <v/>
      </c>
      <c r="J65" s="27">
        <f>IF($B65="","",IF($A65=1,$C$7,IF(J64="",0,J64))+IF($H65="",0,$H65)-IF($I65="",0,$I65))</f>
        <v/>
      </c>
      <c r="K65" s="27">
        <f>IF($P65="","",IF(INDEX(EntryMan,$P65)=0,"",INDEX(EntryMan,$P65)))</f>
        <v/>
      </c>
      <c r="L65" s="26">
        <f>IF($B65="","",IF($K65="","—",IF(ROUND($K65-$J65,0)=0,"√","×")))</f>
        <v/>
      </c>
      <c r="M65" s="26">
        <f>IF($B65="","",IF(COUNTIFS(EntryDates,$B65,CalcTime,$C65,CalcBank,$C$5,EntryParty,$D65,EntryDep,$H65,EntryWit,$I65)&gt;1,"تکرار",""))</f>
        <v/>
      </c>
      <c r="N65" s="26">
        <f>IF($P65="","",IF(INDEX(EntryNotes,$P65)=0,"",INDEX(EntryNotes,$P65)))</f>
        <v/>
      </c>
      <c r="O65" s="26">
        <f>IF($P65="","",IF(INDEX(EntryTxnID,$P65)=0,"",INDEX(EntryTxnID,$P65)))</f>
        <v/>
      </c>
      <c r="P65" s="26">
        <f>IFERROR(MATCH($C$5&amp;"|"&amp;RIGHT("000000"&amp;49,6),CalcRankKey,0),"")</f>
        <v/>
      </c>
    </row>
    <row r="66">
      <c r="A66" s="28">
        <f>IF($B66="","",50)</f>
        <v/>
      </c>
      <c r="B66" s="28">
        <f>IF($P66="","",IF(INDEX(CalcNormDate,$P66)=0,"",INDEX(CalcNormDate,$P66)))</f>
        <v/>
      </c>
      <c r="C66" s="28">
        <f>IF($P66="","",IF(INDEX(CalcTime,$P66)=0,"",INDEX(CalcTime,$P66)))</f>
        <v/>
      </c>
      <c r="D66" s="28">
        <f>IF($P66="","",IF(INDEX(EntryParty,$P66)=0,"",INDEX(EntryParty,$P66)))</f>
        <v/>
      </c>
      <c r="E66" s="28">
        <f>IF($P66="","",IF(INDEX(EntryPartyName,$P66)=0,"",INDEX(EntryPartyName,$P66)))</f>
        <v/>
      </c>
      <c r="F66" s="28">
        <f>IF($P66="","",IF(INDEX(EntryPartyType,$P66)=0,"",INDEX(EntryPartyType,$P66)))</f>
        <v/>
      </c>
      <c r="G66" s="28">
        <f>IF($P66="","",IF(INDEX(EntryTxnType,$P66)=0,"",INDEX(EntryTxnType,$P66)))</f>
        <v/>
      </c>
      <c r="H66" s="29">
        <f>IF($P66="","",IF(INDEX(EntryDep,$P66)=0,"",INDEX(EntryDep,$P66)))</f>
        <v/>
      </c>
      <c r="I66" s="29">
        <f>IF($P66="","",IF(INDEX(EntryWit,$P66)=0,"",INDEX(EntryWit,$P66)))</f>
        <v/>
      </c>
      <c r="J66" s="29">
        <f>IF($B66="","",IF($A66=1,$C$7,IF(J65="",0,J65))+IF($H66="",0,$H66)-IF($I66="",0,$I66))</f>
        <v/>
      </c>
      <c r="K66" s="29">
        <f>IF($P66="","",IF(INDEX(EntryMan,$P66)=0,"",INDEX(EntryMan,$P66)))</f>
        <v/>
      </c>
      <c r="L66" s="28">
        <f>IF($B66="","",IF($K66="","—",IF(ROUND($K66-$J66,0)=0,"√","×")))</f>
        <v/>
      </c>
      <c r="M66" s="28">
        <f>IF($B66="","",IF(COUNTIFS(EntryDates,$B66,CalcTime,$C66,CalcBank,$C$5,EntryParty,$D66,EntryDep,$H66,EntryWit,$I66)&gt;1,"تکرار",""))</f>
        <v/>
      </c>
      <c r="N66" s="28">
        <f>IF($P66="","",IF(INDEX(EntryNotes,$P66)=0,"",INDEX(EntryNotes,$P66)))</f>
        <v/>
      </c>
      <c r="O66" s="28">
        <f>IF($P66="","",IF(INDEX(EntryTxnID,$P66)=0,"",INDEX(EntryTxnID,$P66)))</f>
        <v/>
      </c>
      <c r="P66" s="28">
        <f>IFERROR(MATCH($C$5&amp;"|"&amp;RIGHT("000000"&amp;50,6),CalcRankKey,0),"")</f>
        <v/>
      </c>
    </row>
    <row r="67">
      <c r="A67" s="26">
        <f>IF($B67="","",51)</f>
        <v/>
      </c>
      <c r="B67" s="26">
        <f>IF($P67="","",IF(INDEX(CalcNormDate,$P67)=0,"",INDEX(CalcNormDate,$P67)))</f>
        <v/>
      </c>
      <c r="C67" s="26">
        <f>IF($P67="","",IF(INDEX(CalcTime,$P67)=0,"",INDEX(CalcTime,$P67)))</f>
        <v/>
      </c>
      <c r="D67" s="26">
        <f>IF($P67="","",IF(INDEX(EntryParty,$P67)=0,"",INDEX(EntryParty,$P67)))</f>
        <v/>
      </c>
      <c r="E67" s="26">
        <f>IF($P67="","",IF(INDEX(EntryPartyName,$P67)=0,"",INDEX(EntryPartyName,$P67)))</f>
        <v/>
      </c>
      <c r="F67" s="26">
        <f>IF($P67="","",IF(INDEX(EntryPartyType,$P67)=0,"",INDEX(EntryPartyType,$P67)))</f>
        <v/>
      </c>
      <c r="G67" s="26">
        <f>IF($P67="","",IF(INDEX(EntryTxnType,$P67)=0,"",INDEX(EntryTxnType,$P67)))</f>
        <v/>
      </c>
      <c r="H67" s="27">
        <f>IF($P67="","",IF(INDEX(EntryDep,$P67)=0,"",INDEX(EntryDep,$P67)))</f>
        <v/>
      </c>
      <c r="I67" s="27">
        <f>IF($P67="","",IF(INDEX(EntryWit,$P67)=0,"",INDEX(EntryWit,$P67)))</f>
        <v/>
      </c>
      <c r="J67" s="27">
        <f>IF($B67="","",IF($A67=1,$C$7,IF(J66="",0,J66))+IF($H67="",0,$H67)-IF($I67="",0,$I67))</f>
        <v/>
      </c>
      <c r="K67" s="27">
        <f>IF($P67="","",IF(INDEX(EntryMan,$P67)=0,"",INDEX(EntryMan,$P67)))</f>
        <v/>
      </c>
      <c r="L67" s="26">
        <f>IF($B67="","",IF($K67="","—",IF(ROUND($K67-$J67,0)=0,"√","×")))</f>
        <v/>
      </c>
      <c r="M67" s="26">
        <f>IF($B67="","",IF(COUNTIFS(EntryDates,$B67,CalcTime,$C67,CalcBank,$C$5,EntryParty,$D67,EntryDep,$H67,EntryWit,$I67)&gt;1,"تکرار",""))</f>
        <v/>
      </c>
      <c r="N67" s="26">
        <f>IF($P67="","",IF(INDEX(EntryNotes,$P67)=0,"",INDEX(EntryNotes,$P67)))</f>
        <v/>
      </c>
      <c r="O67" s="26">
        <f>IF($P67="","",IF(INDEX(EntryTxnID,$P67)=0,"",INDEX(EntryTxnID,$P67)))</f>
        <v/>
      </c>
      <c r="P67" s="26">
        <f>IFERROR(MATCH($C$5&amp;"|"&amp;RIGHT("000000"&amp;51,6),CalcRankKey,0),"")</f>
        <v/>
      </c>
    </row>
    <row r="68">
      <c r="A68" s="28">
        <f>IF($B68="","",52)</f>
        <v/>
      </c>
      <c r="B68" s="28">
        <f>IF($P68="","",IF(INDEX(CalcNormDate,$P68)=0,"",INDEX(CalcNormDate,$P68)))</f>
        <v/>
      </c>
      <c r="C68" s="28">
        <f>IF($P68="","",IF(INDEX(CalcTime,$P68)=0,"",INDEX(CalcTime,$P68)))</f>
        <v/>
      </c>
      <c r="D68" s="28">
        <f>IF($P68="","",IF(INDEX(EntryParty,$P68)=0,"",INDEX(EntryParty,$P68)))</f>
        <v/>
      </c>
      <c r="E68" s="28">
        <f>IF($P68="","",IF(INDEX(EntryPartyName,$P68)=0,"",INDEX(EntryPartyName,$P68)))</f>
        <v/>
      </c>
      <c r="F68" s="28">
        <f>IF($P68="","",IF(INDEX(EntryPartyType,$P68)=0,"",INDEX(EntryPartyType,$P68)))</f>
        <v/>
      </c>
      <c r="G68" s="28">
        <f>IF($P68="","",IF(INDEX(EntryTxnType,$P68)=0,"",INDEX(EntryTxnType,$P68)))</f>
        <v/>
      </c>
      <c r="H68" s="29">
        <f>IF($P68="","",IF(INDEX(EntryDep,$P68)=0,"",INDEX(EntryDep,$P68)))</f>
        <v/>
      </c>
      <c r="I68" s="29">
        <f>IF($P68="","",IF(INDEX(EntryWit,$P68)=0,"",INDEX(EntryWit,$P68)))</f>
        <v/>
      </c>
      <c r="J68" s="29">
        <f>IF($B68="","",IF($A68=1,$C$7,IF(J67="",0,J67))+IF($H68="",0,$H68)-IF($I68="",0,$I68))</f>
        <v/>
      </c>
      <c r="K68" s="29">
        <f>IF($P68="","",IF(INDEX(EntryMan,$P68)=0,"",INDEX(EntryMan,$P68)))</f>
        <v/>
      </c>
      <c r="L68" s="28">
        <f>IF($B68="","",IF($K68="","—",IF(ROUND($K68-$J68,0)=0,"√","×")))</f>
        <v/>
      </c>
      <c r="M68" s="28">
        <f>IF($B68="","",IF(COUNTIFS(EntryDates,$B68,CalcTime,$C68,CalcBank,$C$5,EntryParty,$D68,EntryDep,$H68,EntryWit,$I68)&gt;1,"تکرار",""))</f>
        <v/>
      </c>
      <c r="N68" s="28">
        <f>IF($P68="","",IF(INDEX(EntryNotes,$P68)=0,"",INDEX(EntryNotes,$P68)))</f>
        <v/>
      </c>
      <c r="O68" s="28">
        <f>IF($P68="","",IF(INDEX(EntryTxnID,$P68)=0,"",INDEX(EntryTxnID,$P68)))</f>
        <v/>
      </c>
      <c r="P68" s="28">
        <f>IFERROR(MATCH($C$5&amp;"|"&amp;RIGHT("000000"&amp;52,6),CalcRankKey,0),"")</f>
        <v/>
      </c>
    </row>
    <row r="69">
      <c r="A69" s="26">
        <f>IF($B69="","",53)</f>
        <v/>
      </c>
      <c r="B69" s="26">
        <f>IF($P69="","",IF(INDEX(CalcNormDate,$P69)=0,"",INDEX(CalcNormDate,$P69)))</f>
        <v/>
      </c>
      <c r="C69" s="26">
        <f>IF($P69="","",IF(INDEX(CalcTime,$P69)=0,"",INDEX(CalcTime,$P69)))</f>
        <v/>
      </c>
      <c r="D69" s="26">
        <f>IF($P69="","",IF(INDEX(EntryParty,$P69)=0,"",INDEX(EntryParty,$P69)))</f>
        <v/>
      </c>
      <c r="E69" s="26">
        <f>IF($P69="","",IF(INDEX(EntryPartyName,$P69)=0,"",INDEX(EntryPartyName,$P69)))</f>
        <v/>
      </c>
      <c r="F69" s="26">
        <f>IF($P69="","",IF(INDEX(EntryPartyType,$P69)=0,"",INDEX(EntryPartyType,$P69)))</f>
        <v/>
      </c>
      <c r="G69" s="26">
        <f>IF($P69="","",IF(INDEX(EntryTxnType,$P69)=0,"",INDEX(EntryTxnType,$P69)))</f>
        <v/>
      </c>
      <c r="H69" s="27">
        <f>IF($P69="","",IF(INDEX(EntryDep,$P69)=0,"",INDEX(EntryDep,$P69)))</f>
        <v/>
      </c>
      <c r="I69" s="27">
        <f>IF($P69="","",IF(INDEX(EntryWit,$P69)=0,"",INDEX(EntryWit,$P69)))</f>
        <v/>
      </c>
      <c r="J69" s="27">
        <f>IF($B69="","",IF($A69=1,$C$7,IF(J68="",0,J68))+IF($H69="",0,$H69)-IF($I69="",0,$I69))</f>
        <v/>
      </c>
      <c r="K69" s="27">
        <f>IF($P69="","",IF(INDEX(EntryMan,$P69)=0,"",INDEX(EntryMan,$P69)))</f>
        <v/>
      </c>
      <c r="L69" s="26">
        <f>IF($B69="","",IF($K69="","—",IF(ROUND($K69-$J69,0)=0,"√","×")))</f>
        <v/>
      </c>
      <c r="M69" s="26">
        <f>IF($B69="","",IF(COUNTIFS(EntryDates,$B69,CalcTime,$C69,CalcBank,$C$5,EntryParty,$D69,EntryDep,$H69,EntryWit,$I69)&gt;1,"تکرار",""))</f>
        <v/>
      </c>
      <c r="N69" s="26">
        <f>IF($P69="","",IF(INDEX(EntryNotes,$P69)=0,"",INDEX(EntryNotes,$P69)))</f>
        <v/>
      </c>
      <c r="O69" s="26">
        <f>IF($P69="","",IF(INDEX(EntryTxnID,$P69)=0,"",INDEX(EntryTxnID,$P69)))</f>
        <v/>
      </c>
      <c r="P69" s="26">
        <f>IFERROR(MATCH($C$5&amp;"|"&amp;RIGHT("000000"&amp;53,6),CalcRankKey,0),"")</f>
        <v/>
      </c>
    </row>
    <row r="70">
      <c r="A70" s="28">
        <f>IF($B70="","",54)</f>
        <v/>
      </c>
      <c r="B70" s="28">
        <f>IF($P70="","",IF(INDEX(CalcNormDate,$P70)=0,"",INDEX(CalcNormDate,$P70)))</f>
        <v/>
      </c>
      <c r="C70" s="28">
        <f>IF($P70="","",IF(INDEX(CalcTime,$P70)=0,"",INDEX(CalcTime,$P70)))</f>
        <v/>
      </c>
      <c r="D70" s="28">
        <f>IF($P70="","",IF(INDEX(EntryParty,$P70)=0,"",INDEX(EntryParty,$P70)))</f>
        <v/>
      </c>
      <c r="E70" s="28">
        <f>IF($P70="","",IF(INDEX(EntryPartyName,$P70)=0,"",INDEX(EntryPartyName,$P70)))</f>
        <v/>
      </c>
      <c r="F70" s="28">
        <f>IF($P70="","",IF(INDEX(EntryPartyType,$P70)=0,"",INDEX(EntryPartyType,$P70)))</f>
        <v/>
      </c>
      <c r="G70" s="28">
        <f>IF($P70="","",IF(INDEX(EntryTxnType,$P70)=0,"",INDEX(EntryTxnType,$P70)))</f>
        <v/>
      </c>
      <c r="H70" s="29">
        <f>IF($P70="","",IF(INDEX(EntryDep,$P70)=0,"",INDEX(EntryDep,$P70)))</f>
        <v/>
      </c>
      <c r="I70" s="29">
        <f>IF($P70="","",IF(INDEX(EntryWit,$P70)=0,"",INDEX(EntryWit,$P70)))</f>
        <v/>
      </c>
      <c r="J70" s="29">
        <f>IF($B70="","",IF($A70=1,$C$7,IF(J69="",0,J69))+IF($H70="",0,$H70)-IF($I70="",0,$I70))</f>
        <v/>
      </c>
      <c r="K70" s="29">
        <f>IF($P70="","",IF(INDEX(EntryMan,$P70)=0,"",INDEX(EntryMan,$P70)))</f>
        <v/>
      </c>
      <c r="L70" s="28">
        <f>IF($B70="","",IF($K70="","—",IF(ROUND($K70-$J70,0)=0,"√","×")))</f>
        <v/>
      </c>
      <c r="M70" s="28">
        <f>IF($B70="","",IF(COUNTIFS(EntryDates,$B70,CalcTime,$C70,CalcBank,$C$5,EntryParty,$D70,EntryDep,$H70,EntryWit,$I70)&gt;1,"تکرار",""))</f>
        <v/>
      </c>
      <c r="N70" s="28">
        <f>IF($P70="","",IF(INDEX(EntryNotes,$P70)=0,"",INDEX(EntryNotes,$P70)))</f>
        <v/>
      </c>
      <c r="O70" s="28">
        <f>IF($P70="","",IF(INDEX(EntryTxnID,$P70)=0,"",INDEX(EntryTxnID,$P70)))</f>
        <v/>
      </c>
      <c r="P70" s="28">
        <f>IFERROR(MATCH($C$5&amp;"|"&amp;RIGHT("000000"&amp;54,6),CalcRankKey,0),"")</f>
        <v/>
      </c>
    </row>
    <row r="71">
      <c r="A71" s="26">
        <f>IF($B71="","",55)</f>
        <v/>
      </c>
      <c r="B71" s="26">
        <f>IF($P71="","",IF(INDEX(CalcNormDate,$P71)=0,"",INDEX(CalcNormDate,$P71)))</f>
        <v/>
      </c>
      <c r="C71" s="26">
        <f>IF($P71="","",IF(INDEX(CalcTime,$P71)=0,"",INDEX(CalcTime,$P71)))</f>
        <v/>
      </c>
      <c r="D71" s="26">
        <f>IF($P71="","",IF(INDEX(EntryParty,$P71)=0,"",INDEX(EntryParty,$P71)))</f>
        <v/>
      </c>
      <c r="E71" s="26">
        <f>IF($P71="","",IF(INDEX(EntryPartyName,$P71)=0,"",INDEX(EntryPartyName,$P71)))</f>
        <v/>
      </c>
      <c r="F71" s="26">
        <f>IF($P71="","",IF(INDEX(EntryPartyType,$P71)=0,"",INDEX(EntryPartyType,$P71)))</f>
        <v/>
      </c>
      <c r="G71" s="26">
        <f>IF($P71="","",IF(INDEX(EntryTxnType,$P71)=0,"",INDEX(EntryTxnType,$P71)))</f>
        <v/>
      </c>
      <c r="H71" s="27">
        <f>IF($P71="","",IF(INDEX(EntryDep,$P71)=0,"",INDEX(EntryDep,$P71)))</f>
        <v/>
      </c>
      <c r="I71" s="27">
        <f>IF($P71="","",IF(INDEX(EntryWit,$P71)=0,"",INDEX(EntryWit,$P71)))</f>
        <v/>
      </c>
      <c r="J71" s="27">
        <f>IF($B71="","",IF($A71=1,$C$7,IF(J70="",0,J70))+IF($H71="",0,$H71)-IF($I71="",0,$I71))</f>
        <v/>
      </c>
      <c r="K71" s="27">
        <f>IF($P71="","",IF(INDEX(EntryMan,$P71)=0,"",INDEX(EntryMan,$P71)))</f>
        <v/>
      </c>
      <c r="L71" s="26">
        <f>IF($B71="","",IF($K71="","—",IF(ROUND($K71-$J71,0)=0,"√","×")))</f>
        <v/>
      </c>
      <c r="M71" s="26">
        <f>IF($B71="","",IF(COUNTIFS(EntryDates,$B71,CalcTime,$C71,CalcBank,$C$5,EntryParty,$D71,EntryDep,$H71,EntryWit,$I71)&gt;1,"تکرار",""))</f>
        <v/>
      </c>
      <c r="N71" s="26">
        <f>IF($P71="","",IF(INDEX(EntryNotes,$P71)=0,"",INDEX(EntryNotes,$P71)))</f>
        <v/>
      </c>
      <c r="O71" s="26">
        <f>IF($P71="","",IF(INDEX(EntryTxnID,$P71)=0,"",INDEX(EntryTxnID,$P71)))</f>
        <v/>
      </c>
      <c r="P71" s="26">
        <f>IFERROR(MATCH($C$5&amp;"|"&amp;RIGHT("000000"&amp;55,6),CalcRankKey,0),"")</f>
        <v/>
      </c>
    </row>
    <row r="72">
      <c r="A72" s="28">
        <f>IF($B72="","",56)</f>
        <v/>
      </c>
      <c r="B72" s="28">
        <f>IF($P72="","",IF(INDEX(CalcNormDate,$P72)=0,"",INDEX(CalcNormDate,$P72)))</f>
        <v/>
      </c>
      <c r="C72" s="28">
        <f>IF($P72="","",IF(INDEX(CalcTime,$P72)=0,"",INDEX(CalcTime,$P72)))</f>
        <v/>
      </c>
      <c r="D72" s="28">
        <f>IF($P72="","",IF(INDEX(EntryParty,$P72)=0,"",INDEX(EntryParty,$P72)))</f>
        <v/>
      </c>
      <c r="E72" s="28">
        <f>IF($P72="","",IF(INDEX(EntryPartyName,$P72)=0,"",INDEX(EntryPartyName,$P72)))</f>
        <v/>
      </c>
      <c r="F72" s="28">
        <f>IF($P72="","",IF(INDEX(EntryPartyType,$P72)=0,"",INDEX(EntryPartyType,$P72)))</f>
        <v/>
      </c>
      <c r="G72" s="28">
        <f>IF($P72="","",IF(INDEX(EntryTxnType,$P72)=0,"",INDEX(EntryTxnType,$P72)))</f>
        <v/>
      </c>
      <c r="H72" s="29">
        <f>IF($P72="","",IF(INDEX(EntryDep,$P72)=0,"",INDEX(EntryDep,$P72)))</f>
        <v/>
      </c>
      <c r="I72" s="29">
        <f>IF($P72="","",IF(INDEX(EntryWit,$P72)=0,"",INDEX(EntryWit,$P72)))</f>
        <v/>
      </c>
      <c r="J72" s="29">
        <f>IF($B72="","",IF($A72=1,$C$7,IF(J71="",0,J71))+IF($H72="",0,$H72)-IF($I72="",0,$I72))</f>
        <v/>
      </c>
      <c r="K72" s="29">
        <f>IF($P72="","",IF(INDEX(EntryMan,$P72)=0,"",INDEX(EntryMan,$P72)))</f>
        <v/>
      </c>
      <c r="L72" s="28">
        <f>IF($B72="","",IF($K72="","—",IF(ROUND($K72-$J72,0)=0,"√","×")))</f>
        <v/>
      </c>
      <c r="M72" s="28">
        <f>IF($B72="","",IF(COUNTIFS(EntryDates,$B72,CalcTime,$C72,CalcBank,$C$5,EntryParty,$D72,EntryDep,$H72,EntryWit,$I72)&gt;1,"تکرار",""))</f>
        <v/>
      </c>
      <c r="N72" s="28">
        <f>IF($P72="","",IF(INDEX(EntryNotes,$P72)=0,"",INDEX(EntryNotes,$P72)))</f>
        <v/>
      </c>
      <c r="O72" s="28">
        <f>IF($P72="","",IF(INDEX(EntryTxnID,$P72)=0,"",INDEX(EntryTxnID,$P72)))</f>
        <v/>
      </c>
      <c r="P72" s="28">
        <f>IFERROR(MATCH($C$5&amp;"|"&amp;RIGHT("000000"&amp;56,6),CalcRankKey,0),"")</f>
        <v/>
      </c>
    </row>
    <row r="73">
      <c r="A73" s="26">
        <f>IF($B73="","",57)</f>
        <v/>
      </c>
      <c r="B73" s="26">
        <f>IF($P73="","",IF(INDEX(CalcNormDate,$P73)=0,"",INDEX(CalcNormDate,$P73)))</f>
        <v/>
      </c>
      <c r="C73" s="26">
        <f>IF($P73="","",IF(INDEX(CalcTime,$P73)=0,"",INDEX(CalcTime,$P73)))</f>
        <v/>
      </c>
      <c r="D73" s="26">
        <f>IF($P73="","",IF(INDEX(EntryParty,$P73)=0,"",INDEX(EntryParty,$P73)))</f>
        <v/>
      </c>
      <c r="E73" s="26">
        <f>IF($P73="","",IF(INDEX(EntryPartyName,$P73)=0,"",INDEX(EntryPartyName,$P73)))</f>
        <v/>
      </c>
      <c r="F73" s="26">
        <f>IF($P73="","",IF(INDEX(EntryPartyType,$P73)=0,"",INDEX(EntryPartyType,$P73)))</f>
        <v/>
      </c>
      <c r="G73" s="26">
        <f>IF($P73="","",IF(INDEX(EntryTxnType,$P73)=0,"",INDEX(EntryTxnType,$P73)))</f>
        <v/>
      </c>
      <c r="H73" s="27">
        <f>IF($P73="","",IF(INDEX(EntryDep,$P73)=0,"",INDEX(EntryDep,$P73)))</f>
        <v/>
      </c>
      <c r="I73" s="27">
        <f>IF($P73="","",IF(INDEX(EntryWit,$P73)=0,"",INDEX(EntryWit,$P73)))</f>
        <v/>
      </c>
      <c r="J73" s="27">
        <f>IF($B73="","",IF($A73=1,$C$7,IF(J72="",0,J72))+IF($H73="",0,$H73)-IF($I73="",0,$I73))</f>
        <v/>
      </c>
      <c r="K73" s="27">
        <f>IF($P73="","",IF(INDEX(EntryMan,$P73)=0,"",INDEX(EntryMan,$P73)))</f>
        <v/>
      </c>
      <c r="L73" s="26">
        <f>IF($B73="","",IF($K73="","—",IF(ROUND($K73-$J73,0)=0,"√","×")))</f>
        <v/>
      </c>
      <c r="M73" s="26">
        <f>IF($B73="","",IF(COUNTIFS(EntryDates,$B73,CalcTime,$C73,CalcBank,$C$5,EntryParty,$D73,EntryDep,$H73,EntryWit,$I73)&gt;1,"تکرار",""))</f>
        <v/>
      </c>
      <c r="N73" s="26">
        <f>IF($P73="","",IF(INDEX(EntryNotes,$P73)=0,"",INDEX(EntryNotes,$P73)))</f>
        <v/>
      </c>
      <c r="O73" s="26">
        <f>IF($P73="","",IF(INDEX(EntryTxnID,$P73)=0,"",INDEX(EntryTxnID,$P73)))</f>
        <v/>
      </c>
      <c r="P73" s="26">
        <f>IFERROR(MATCH($C$5&amp;"|"&amp;RIGHT("000000"&amp;57,6),CalcRankKey,0),"")</f>
        <v/>
      </c>
    </row>
    <row r="74">
      <c r="A74" s="28">
        <f>IF($B74="","",58)</f>
        <v/>
      </c>
      <c r="B74" s="28">
        <f>IF($P74="","",IF(INDEX(CalcNormDate,$P74)=0,"",INDEX(CalcNormDate,$P74)))</f>
        <v/>
      </c>
      <c r="C74" s="28">
        <f>IF($P74="","",IF(INDEX(CalcTime,$P74)=0,"",INDEX(CalcTime,$P74)))</f>
        <v/>
      </c>
      <c r="D74" s="28">
        <f>IF($P74="","",IF(INDEX(EntryParty,$P74)=0,"",INDEX(EntryParty,$P74)))</f>
        <v/>
      </c>
      <c r="E74" s="28">
        <f>IF($P74="","",IF(INDEX(EntryPartyName,$P74)=0,"",INDEX(EntryPartyName,$P74)))</f>
        <v/>
      </c>
      <c r="F74" s="28">
        <f>IF($P74="","",IF(INDEX(EntryPartyType,$P74)=0,"",INDEX(EntryPartyType,$P74)))</f>
        <v/>
      </c>
      <c r="G74" s="28">
        <f>IF($P74="","",IF(INDEX(EntryTxnType,$P74)=0,"",INDEX(EntryTxnType,$P74)))</f>
        <v/>
      </c>
      <c r="H74" s="29">
        <f>IF($P74="","",IF(INDEX(EntryDep,$P74)=0,"",INDEX(EntryDep,$P74)))</f>
        <v/>
      </c>
      <c r="I74" s="29">
        <f>IF($P74="","",IF(INDEX(EntryWit,$P74)=0,"",INDEX(EntryWit,$P74)))</f>
        <v/>
      </c>
      <c r="J74" s="29">
        <f>IF($B74="","",IF($A74=1,$C$7,IF(J73="",0,J73))+IF($H74="",0,$H74)-IF($I74="",0,$I74))</f>
        <v/>
      </c>
      <c r="K74" s="29">
        <f>IF($P74="","",IF(INDEX(EntryMan,$P74)=0,"",INDEX(EntryMan,$P74)))</f>
        <v/>
      </c>
      <c r="L74" s="28">
        <f>IF($B74="","",IF($K74="","—",IF(ROUND($K74-$J74,0)=0,"√","×")))</f>
        <v/>
      </c>
      <c r="M74" s="28">
        <f>IF($B74="","",IF(COUNTIFS(EntryDates,$B74,CalcTime,$C74,CalcBank,$C$5,EntryParty,$D74,EntryDep,$H74,EntryWit,$I74)&gt;1,"تکرار",""))</f>
        <v/>
      </c>
      <c r="N74" s="28">
        <f>IF($P74="","",IF(INDEX(EntryNotes,$P74)=0,"",INDEX(EntryNotes,$P74)))</f>
        <v/>
      </c>
      <c r="O74" s="28">
        <f>IF($P74="","",IF(INDEX(EntryTxnID,$P74)=0,"",INDEX(EntryTxnID,$P74)))</f>
        <v/>
      </c>
      <c r="P74" s="28">
        <f>IFERROR(MATCH($C$5&amp;"|"&amp;RIGHT("000000"&amp;58,6),CalcRankKey,0),"")</f>
        <v/>
      </c>
    </row>
    <row r="75">
      <c r="A75" s="26">
        <f>IF($B75="","",59)</f>
        <v/>
      </c>
      <c r="B75" s="26">
        <f>IF($P75="","",IF(INDEX(CalcNormDate,$P75)=0,"",INDEX(CalcNormDate,$P75)))</f>
        <v/>
      </c>
      <c r="C75" s="26">
        <f>IF($P75="","",IF(INDEX(CalcTime,$P75)=0,"",INDEX(CalcTime,$P75)))</f>
        <v/>
      </c>
      <c r="D75" s="26">
        <f>IF($P75="","",IF(INDEX(EntryParty,$P75)=0,"",INDEX(EntryParty,$P75)))</f>
        <v/>
      </c>
      <c r="E75" s="26">
        <f>IF($P75="","",IF(INDEX(EntryPartyName,$P75)=0,"",INDEX(EntryPartyName,$P75)))</f>
        <v/>
      </c>
      <c r="F75" s="26">
        <f>IF($P75="","",IF(INDEX(EntryPartyType,$P75)=0,"",INDEX(EntryPartyType,$P75)))</f>
        <v/>
      </c>
      <c r="G75" s="26">
        <f>IF($P75="","",IF(INDEX(EntryTxnType,$P75)=0,"",INDEX(EntryTxnType,$P75)))</f>
        <v/>
      </c>
      <c r="H75" s="27">
        <f>IF($P75="","",IF(INDEX(EntryDep,$P75)=0,"",INDEX(EntryDep,$P75)))</f>
        <v/>
      </c>
      <c r="I75" s="27">
        <f>IF($P75="","",IF(INDEX(EntryWit,$P75)=0,"",INDEX(EntryWit,$P75)))</f>
        <v/>
      </c>
      <c r="J75" s="27">
        <f>IF($B75="","",IF($A75=1,$C$7,IF(J74="",0,J74))+IF($H75="",0,$H75)-IF($I75="",0,$I75))</f>
        <v/>
      </c>
      <c r="K75" s="27">
        <f>IF($P75="","",IF(INDEX(EntryMan,$P75)=0,"",INDEX(EntryMan,$P75)))</f>
        <v/>
      </c>
      <c r="L75" s="26">
        <f>IF($B75="","",IF($K75="","—",IF(ROUND($K75-$J75,0)=0,"√","×")))</f>
        <v/>
      </c>
      <c r="M75" s="26">
        <f>IF($B75="","",IF(COUNTIFS(EntryDates,$B75,CalcTime,$C75,CalcBank,$C$5,EntryParty,$D75,EntryDep,$H75,EntryWit,$I75)&gt;1,"تکرار",""))</f>
        <v/>
      </c>
      <c r="N75" s="26">
        <f>IF($P75="","",IF(INDEX(EntryNotes,$P75)=0,"",INDEX(EntryNotes,$P75)))</f>
        <v/>
      </c>
      <c r="O75" s="26">
        <f>IF($P75="","",IF(INDEX(EntryTxnID,$P75)=0,"",INDEX(EntryTxnID,$P75)))</f>
        <v/>
      </c>
      <c r="P75" s="26">
        <f>IFERROR(MATCH($C$5&amp;"|"&amp;RIGHT("000000"&amp;59,6),CalcRankKey,0),"")</f>
        <v/>
      </c>
    </row>
    <row r="76">
      <c r="A76" s="28">
        <f>IF($B76="","",60)</f>
        <v/>
      </c>
      <c r="B76" s="28">
        <f>IF($P76="","",IF(INDEX(CalcNormDate,$P76)=0,"",INDEX(CalcNormDate,$P76)))</f>
        <v/>
      </c>
      <c r="C76" s="28">
        <f>IF($P76="","",IF(INDEX(CalcTime,$P76)=0,"",INDEX(CalcTime,$P76)))</f>
        <v/>
      </c>
      <c r="D76" s="28">
        <f>IF($P76="","",IF(INDEX(EntryParty,$P76)=0,"",INDEX(EntryParty,$P76)))</f>
        <v/>
      </c>
      <c r="E76" s="28">
        <f>IF($P76="","",IF(INDEX(EntryPartyName,$P76)=0,"",INDEX(EntryPartyName,$P76)))</f>
        <v/>
      </c>
      <c r="F76" s="28">
        <f>IF($P76="","",IF(INDEX(EntryPartyType,$P76)=0,"",INDEX(EntryPartyType,$P76)))</f>
        <v/>
      </c>
      <c r="G76" s="28">
        <f>IF($P76="","",IF(INDEX(EntryTxnType,$P76)=0,"",INDEX(EntryTxnType,$P76)))</f>
        <v/>
      </c>
      <c r="H76" s="29">
        <f>IF($P76="","",IF(INDEX(EntryDep,$P76)=0,"",INDEX(EntryDep,$P76)))</f>
        <v/>
      </c>
      <c r="I76" s="29">
        <f>IF($P76="","",IF(INDEX(EntryWit,$P76)=0,"",INDEX(EntryWit,$P76)))</f>
        <v/>
      </c>
      <c r="J76" s="29">
        <f>IF($B76="","",IF($A76=1,$C$7,IF(J75="",0,J75))+IF($H76="",0,$H76)-IF($I76="",0,$I76))</f>
        <v/>
      </c>
      <c r="K76" s="29">
        <f>IF($P76="","",IF(INDEX(EntryMan,$P76)=0,"",INDEX(EntryMan,$P76)))</f>
        <v/>
      </c>
      <c r="L76" s="28">
        <f>IF($B76="","",IF($K76="","—",IF(ROUND($K76-$J76,0)=0,"√","×")))</f>
        <v/>
      </c>
      <c r="M76" s="28">
        <f>IF($B76="","",IF(COUNTIFS(EntryDates,$B76,CalcTime,$C76,CalcBank,$C$5,EntryParty,$D76,EntryDep,$H76,EntryWit,$I76)&gt;1,"تکرار",""))</f>
        <v/>
      </c>
      <c r="N76" s="28">
        <f>IF($P76="","",IF(INDEX(EntryNotes,$P76)=0,"",INDEX(EntryNotes,$P76)))</f>
        <v/>
      </c>
      <c r="O76" s="28">
        <f>IF($P76="","",IF(INDEX(EntryTxnID,$P76)=0,"",INDEX(EntryTxnID,$P76)))</f>
        <v/>
      </c>
      <c r="P76" s="28">
        <f>IFERROR(MATCH($C$5&amp;"|"&amp;RIGHT("000000"&amp;60,6),CalcRankKey,0),"")</f>
        <v/>
      </c>
    </row>
    <row r="77">
      <c r="A77" s="26">
        <f>IF($B77="","",61)</f>
        <v/>
      </c>
      <c r="B77" s="26">
        <f>IF($P77="","",IF(INDEX(CalcNormDate,$P77)=0,"",INDEX(CalcNormDate,$P77)))</f>
        <v/>
      </c>
      <c r="C77" s="26">
        <f>IF($P77="","",IF(INDEX(CalcTime,$P77)=0,"",INDEX(CalcTime,$P77)))</f>
        <v/>
      </c>
      <c r="D77" s="26">
        <f>IF($P77="","",IF(INDEX(EntryParty,$P77)=0,"",INDEX(EntryParty,$P77)))</f>
        <v/>
      </c>
      <c r="E77" s="26">
        <f>IF($P77="","",IF(INDEX(EntryPartyName,$P77)=0,"",INDEX(EntryPartyName,$P77)))</f>
        <v/>
      </c>
      <c r="F77" s="26">
        <f>IF($P77="","",IF(INDEX(EntryPartyType,$P77)=0,"",INDEX(EntryPartyType,$P77)))</f>
        <v/>
      </c>
      <c r="G77" s="26">
        <f>IF($P77="","",IF(INDEX(EntryTxnType,$P77)=0,"",INDEX(EntryTxnType,$P77)))</f>
        <v/>
      </c>
      <c r="H77" s="27">
        <f>IF($P77="","",IF(INDEX(EntryDep,$P77)=0,"",INDEX(EntryDep,$P77)))</f>
        <v/>
      </c>
      <c r="I77" s="27">
        <f>IF($P77="","",IF(INDEX(EntryWit,$P77)=0,"",INDEX(EntryWit,$P77)))</f>
        <v/>
      </c>
      <c r="J77" s="27">
        <f>IF($B77="","",IF($A77=1,$C$7,IF(J76="",0,J76))+IF($H77="",0,$H77)-IF($I77="",0,$I77))</f>
        <v/>
      </c>
      <c r="K77" s="27">
        <f>IF($P77="","",IF(INDEX(EntryMan,$P77)=0,"",INDEX(EntryMan,$P77)))</f>
        <v/>
      </c>
      <c r="L77" s="26">
        <f>IF($B77="","",IF($K77="","—",IF(ROUND($K77-$J77,0)=0,"√","×")))</f>
        <v/>
      </c>
      <c r="M77" s="26">
        <f>IF($B77="","",IF(COUNTIFS(EntryDates,$B77,CalcTime,$C77,CalcBank,$C$5,EntryParty,$D77,EntryDep,$H77,EntryWit,$I77)&gt;1,"تکرار",""))</f>
        <v/>
      </c>
      <c r="N77" s="26">
        <f>IF($P77="","",IF(INDEX(EntryNotes,$P77)=0,"",INDEX(EntryNotes,$P77)))</f>
        <v/>
      </c>
      <c r="O77" s="26">
        <f>IF($P77="","",IF(INDEX(EntryTxnID,$P77)=0,"",INDEX(EntryTxnID,$P77)))</f>
        <v/>
      </c>
      <c r="P77" s="26">
        <f>IFERROR(MATCH($C$5&amp;"|"&amp;RIGHT("000000"&amp;61,6),CalcRankKey,0),"")</f>
        <v/>
      </c>
    </row>
    <row r="78">
      <c r="A78" s="28">
        <f>IF($B78="","",62)</f>
        <v/>
      </c>
      <c r="B78" s="28">
        <f>IF($P78="","",IF(INDEX(CalcNormDate,$P78)=0,"",INDEX(CalcNormDate,$P78)))</f>
        <v/>
      </c>
      <c r="C78" s="28">
        <f>IF($P78="","",IF(INDEX(CalcTime,$P78)=0,"",INDEX(CalcTime,$P78)))</f>
        <v/>
      </c>
      <c r="D78" s="28">
        <f>IF($P78="","",IF(INDEX(EntryParty,$P78)=0,"",INDEX(EntryParty,$P78)))</f>
        <v/>
      </c>
      <c r="E78" s="28">
        <f>IF($P78="","",IF(INDEX(EntryPartyName,$P78)=0,"",INDEX(EntryPartyName,$P78)))</f>
        <v/>
      </c>
      <c r="F78" s="28">
        <f>IF($P78="","",IF(INDEX(EntryPartyType,$P78)=0,"",INDEX(EntryPartyType,$P78)))</f>
        <v/>
      </c>
      <c r="G78" s="28">
        <f>IF($P78="","",IF(INDEX(EntryTxnType,$P78)=0,"",INDEX(EntryTxnType,$P78)))</f>
        <v/>
      </c>
      <c r="H78" s="29">
        <f>IF($P78="","",IF(INDEX(EntryDep,$P78)=0,"",INDEX(EntryDep,$P78)))</f>
        <v/>
      </c>
      <c r="I78" s="29">
        <f>IF($P78="","",IF(INDEX(EntryWit,$P78)=0,"",INDEX(EntryWit,$P78)))</f>
        <v/>
      </c>
      <c r="J78" s="29">
        <f>IF($B78="","",IF($A78=1,$C$7,IF(J77="",0,J77))+IF($H78="",0,$H78)-IF($I78="",0,$I78))</f>
        <v/>
      </c>
      <c r="K78" s="29">
        <f>IF($P78="","",IF(INDEX(EntryMan,$P78)=0,"",INDEX(EntryMan,$P78)))</f>
        <v/>
      </c>
      <c r="L78" s="28">
        <f>IF($B78="","",IF($K78="","—",IF(ROUND($K78-$J78,0)=0,"√","×")))</f>
        <v/>
      </c>
      <c r="M78" s="28">
        <f>IF($B78="","",IF(COUNTIFS(EntryDates,$B78,CalcTime,$C78,CalcBank,$C$5,EntryParty,$D78,EntryDep,$H78,EntryWit,$I78)&gt;1,"تکرار",""))</f>
        <v/>
      </c>
      <c r="N78" s="28">
        <f>IF($P78="","",IF(INDEX(EntryNotes,$P78)=0,"",INDEX(EntryNotes,$P78)))</f>
        <v/>
      </c>
      <c r="O78" s="28">
        <f>IF($P78="","",IF(INDEX(EntryTxnID,$P78)=0,"",INDEX(EntryTxnID,$P78)))</f>
        <v/>
      </c>
      <c r="P78" s="28">
        <f>IFERROR(MATCH($C$5&amp;"|"&amp;RIGHT("000000"&amp;62,6),CalcRankKey,0),"")</f>
        <v/>
      </c>
    </row>
    <row r="79">
      <c r="A79" s="26">
        <f>IF($B79="","",63)</f>
        <v/>
      </c>
      <c r="B79" s="26">
        <f>IF($P79="","",IF(INDEX(CalcNormDate,$P79)=0,"",INDEX(CalcNormDate,$P79)))</f>
        <v/>
      </c>
      <c r="C79" s="26">
        <f>IF($P79="","",IF(INDEX(CalcTime,$P79)=0,"",INDEX(CalcTime,$P79)))</f>
        <v/>
      </c>
      <c r="D79" s="26">
        <f>IF($P79="","",IF(INDEX(EntryParty,$P79)=0,"",INDEX(EntryParty,$P79)))</f>
        <v/>
      </c>
      <c r="E79" s="26">
        <f>IF($P79="","",IF(INDEX(EntryPartyName,$P79)=0,"",INDEX(EntryPartyName,$P79)))</f>
        <v/>
      </c>
      <c r="F79" s="26">
        <f>IF($P79="","",IF(INDEX(EntryPartyType,$P79)=0,"",INDEX(EntryPartyType,$P79)))</f>
        <v/>
      </c>
      <c r="G79" s="26">
        <f>IF($P79="","",IF(INDEX(EntryTxnType,$P79)=0,"",INDEX(EntryTxnType,$P79)))</f>
        <v/>
      </c>
      <c r="H79" s="27">
        <f>IF($P79="","",IF(INDEX(EntryDep,$P79)=0,"",INDEX(EntryDep,$P79)))</f>
        <v/>
      </c>
      <c r="I79" s="27">
        <f>IF($P79="","",IF(INDEX(EntryWit,$P79)=0,"",INDEX(EntryWit,$P79)))</f>
        <v/>
      </c>
      <c r="J79" s="27">
        <f>IF($B79="","",IF($A79=1,$C$7,IF(J78="",0,J78))+IF($H79="",0,$H79)-IF($I79="",0,$I79))</f>
        <v/>
      </c>
      <c r="K79" s="27">
        <f>IF($P79="","",IF(INDEX(EntryMan,$P79)=0,"",INDEX(EntryMan,$P79)))</f>
        <v/>
      </c>
      <c r="L79" s="26">
        <f>IF($B79="","",IF($K79="","—",IF(ROUND($K79-$J79,0)=0,"√","×")))</f>
        <v/>
      </c>
      <c r="M79" s="26">
        <f>IF($B79="","",IF(COUNTIFS(EntryDates,$B79,CalcTime,$C79,CalcBank,$C$5,EntryParty,$D79,EntryDep,$H79,EntryWit,$I79)&gt;1,"تکرار",""))</f>
        <v/>
      </c>
      <c r="N79" s="26">
        <f>IF($P79="","",IF(INDEX(EntryNotes,$P79)=0,"",INDEX(EntryNotes,$P79)))</f>
        <v/>
      </c>
      <c r="O79" s="26">
        <f>IF($P79="","",IF(INDEX(EntryTxnID,$P79)=0,"",INDEX(EntryTxnID,$P79)))</f>
        <v/>
      </c>
      <c r="P79" s="26">
        <f>IFERROR(MATCH($C$5&amp;"|"&amp;RIGHT("000000"&amp;63,6),CalcRankKey,0),"")</f>
        <v/>
      </c>
    </row>
    <row r="80">
      <c r="A80" s="28">
        <f>IF($B80="","",64)</f>
        <v/>
      </c>
      <c r="B80" s="28">
        <f>IF($P80="","",IF(INDEX(CalcNormDate,$P80)=0,"",INDEX(CalcNormDate,$P80)))</f>
        <v/>
      </c>
      <c r="C80" s="28">
        <f>IF($P80="","",IF(INDEX(CalcTime,$P80)=0,"",INDEX(CalcTime,$P80)))</f>
        <v/>
      </c>
      <c r="D80" s="28">
        <f>IF($P80="","",IF(INDEX(EntryParty,$P80)=0,"",INDEX(EntryParty,$P80)))</f>
        <v/>
      </c>
      <c r="E80" s="28">
        <f>IF($P80="","",IF(INDEX(EntryPartyName,$P80)=0,"",INDEX(EntryPartyName,$P80)))</f>
        <v/>
      </c>
      <c r="F80" s="28">
        <f>IF($P80="","",IF(INDEX(EntryPartyType,$P80)=0,"",INDEX(EntryPartyType,$P80)))</f>
        <v/>
      </c>
      <c r="G80" s="28">
        <f>IF($P80="","",IF(INDEX(EntryTxnType,$P80)=0,"",INDEX(EntryTxnType,$P80)))</f>
        <v/>
      </c>
      <c r="H80" s="29">
        <f>IF($P80="","",IF(INDEX(EntryDep,$P80)=0,"",INDEX(EntryDep,$P80)))</f>
        <v/>
      </c>
      <c r="I80" s="29">
        <f>IF($P80="","",IF(INDEX(EntryWit,$P80)=0,"",INDEX(EntryWit,$P80)))</f>
        <v/>
      </c>
      <c r="J80" s="29">
        <f>IF($B80="","",IF($A80=1,$C$7,IF(J79="",0,J79))+IF($H80="",0,$H80)-IF($I80="",0,$I80))</f>
        <v/>
      </c>
      <c r="K80" s="29">
        <f>IF($P80="","",IF(INDEX(EntryMan,$P80)=0,"",INDEX(EntryMan,$P80)))</f>
        <v/>
      </c>
      <c r="L80" s="28">
        <f>IF($B80="","",IF($K80="","—",IF(ROUND($K80-$J80,0)=0,"√","×")))</f>
        <v/>
      </c>
      <c r="M80" s="28">
        <f>IF($B80="","",IF(COUNTIFS(EntryDates,$B80,CalcTime,$C80,CalcBank,$C$5,EntryParty,$D80,EntryDep,$H80,EntryWit,$I80)&gt;1,"تکرار",""))</f>
        <v/>
      </c>
      <c r="N80" s="28">
        <f>IF($P80="","",IF(INDEX(EntryNotes,$P80)=0,"",INDEX(EntryNotes,$P80)))</f>
        <v/>
      </c>
      <c r="O80" s="28">
        <f>IF($P80="","",IF(INDEX(EntryTxnID,$P80)=0,"",INDEX(EntryTxnID,$P80)))</f>
        <v/>
      </c>
      <c r="P80" s="28">
        <f>IFERROR(MATCH($C$5&amp;"|"&amp;RIGHT("000000"&amp;64,6),CalcRankKey,0),"")</f>
        <v/>
      </c>
    </row>
    <row r="81">
      <c r="A81" s="26">
        <f>IF($B81="","",65)</f>
        <v/>
      </c>
      <c r="B81" s="26">
        <f>IF($P81="","",IF(INDEX(CalcNormDate,$P81)=0,"",INDEX(CalcNormDate,$P81)))</f>
        <v/>
      </c>
      <c r="C81" s="26">
        <f>IF($P81="","",IF(INDEX(CalcTime,$P81)=0,"",INDEX(CalcTime,$P81)))</f>
        <v/>
      </c>
      <c r="D81" s="26">
        <f>IF($P81="","",IF(INDEX(EntryParty,$P81)=0,"",INDEX(EntryParty,$P81)))</f>
        <v/>
      </c>
      <c r="E81" s="26">
        <f>IF($P81="","",IF(INDEX(EntryPartyName,$P81)=0,"",INDEX(EntryPartyName,$P81)))</f>
        <v/>
      </c>
      <c r="F81" s="26">
        <f>IF($P81="","",IF(INDEX(EntryPartyType,$P81)=0,"",INDEX(EntryPartyType,$P81)))</f>
        <v/>
      </c>
      <c r="G81" s="26">
        <f>IF($P81="","",IF(INDEX(EntryTxnType,$P81)=0,"",INDEX(EntryTxnType,$P81)))</f>
        <v/>
      </c>
      <c r="H81" s="27">
        <f>IF($P81="","",IF(INDEX(EntryDep,$P81)=0,"",INDEX(EntryDep,$P81)))</f>
        <v/>
      </c>
      <c r="I81" s="27">
        <f>IF($P81="","",IF(INDEX(EntryWit,$P81)=0,"",INDEX(EntryWit,$P81)))</f>
        <v/>
      </c>
      <c r="J81" s="27">
        <f>IF($B81="","",IF($A81=1,$C$7,IF(J80="",0,J80))+IF($H81="",0,$H81)-IF($I81="",0,$I81))</f>
        <v/>
      </c>
      <c r="K81" s="27">
        <f>IF($P81="","",IF(INDEX(EntryMan,$P81)=0,"",INDEX(EntryMan,$P81)))</f>
        <v/>
      </c>
      <c r="L81" s="26">
        <f>IF($B81="","",IF($K81="","—",IF(ROUND($K81-$J81,0)=0,"√","×")))</f>
        <v/>
      </c>
      <c r="M81" s="26">
        <f>IF($B81="","",IF(COUNTIFS(EntryDates,$B81,CalcTime,$C81,CalcBank,$C$5,EntryParty,$D81,EntryDep,$H81,EntryWit,$I81)&gt;1,"تکرار",""))</f>
        <v/>
      </c>
      <c r="N81" s="26">
        <f>IF($P81="","",IF(INDEX(EntryNotes,$P81)=0,"",INDEX(EntryNotes,$P81)))</f>
        <v/>
      </c>
      <c r="O81" s="26">
        <f>IF($P81="","",IF(INDEX(EntryTxnID,$P81)=0,"",INDEX(EntryTxnID,$P81)))</f>
        <v/>
      </c>
      <c r="P81" s="26">
        <f>IFERROR(MATCH($C$5&amp;"|"&amp;RIGHT("000000"&amp;65,6),CalcRankKey,0),"")</f>
        <v/>
      </c>
    </row>
    <row r="82">
      <c r="A82" s="28">
        <f>IF($B82="","",66)</f>
        <v/>
      </c>
      <c r="B82" s="28">
        <f>IF($P82="","",IF(INDEX(CalcNormDate,$P82)=0,"",INDEX(CalcNormDate,$P82)))</f>
        <v/>
      </c>
      <c r="C82" s="28">
        <f>IF($P82="","",IF(INDEX(CalcTime,$P82)=0,"",INDEX(CalcTime,$P82)))</f>
        <v/>
      </c>
      <c r="D82" s="28">
        <f>IF($P82="","",IF(INDEX(EntryParty,$P82)=0,"",INDEX(EntryParty,$P82)))</f>
        <v/>
      </c>
      <c r="E82" s="28">
        <f>IF($P82="","",IF(INDEX(EntryPartyName,$P82)=0,"",INDEX(EntryPartyName,$P82)))</f>
        <v/>
      </c>
      <c r="F82" s="28">
        <f>IF($P82="","",IF(INDEX(EntryPartyType,$P82)=0,"",INDEX(EntryPartyType,$P82)))</f>
        <v/>
      </c>
      <c r="G82" s="28">
        <f>IF($P82="","",IF(INDEX(EntryTxnType,$P82)=0,"",INDEX(EntryTxnType,$P82)))</f>
        <v/>
      </c>
      <c r="H82" s="29">
        <f>IF($P82="","",IF(INDEX(EntryDep,$P82)=0,"",INDEX(EntryDep,$P82)))</f>
        <v/>
      </c>
      <c r="I82" s="29">
        <f>IF($P82="","",IF(INDEX(EntryWit,$P82)=0,"",INDEX(EntryWit,$P82)))</f>
        <v/>
      </c>
      <c r="J82" s="29">
        <f>IF($B82="","",IF($A82=1,$C$7,IF(J81="",0,J81))+IF($H82="",0,$H82)-IF($I82="",0,$I82))</f>
        <v/>
      </c>
      <c r="K82" s="29">
        <f>IF($P82="","",IF(INDEX(EntryMan,$P82)=0,"",INDEX(EntryMan,$P82)))</f>
        <v/>
      </c>
      <c r="L82" s="28">
        <f>IF($B82="","",IF($K82="","—",IF(ROUND($K82-$J82,0)=0,"√","×")))</f>
        <v/>
      </c>
      <c r="M82" s="28">
        <f>IF($B82="","",IF(COUNTIFS(EntryDates,$B82,CalcTime,$C82,CalcBank,$C$5,EntryParty,$D82,EntryDep,$H82,EntryWit,$I82)&gt;1,"تکرار",""))</f>
        <v/>
      </c>
      <c r="N82" s="28">
        <f>IF($P82="","",IF(INDEX(EntryNotes,$P82)=0,"",INDEX(EntryNotes,$P82)))</f>
        <v/>
      </c>
      <c r="O82" s="28">
        <f>IF($P82="","",IF(INDEX(EntryTxnID,$P82)=0,"",INDEX(EntryTxnID,$P82)))</f>
        <v/>
      </c>
      <c r="P82" s="28">
        <f>IFERROR(MATCH($C$5&amp;"|"&amp;RIGHT("000000"&amp;66,6),CalcRankKey,0),"")</f>
        <v/>
      </c>
    </row>
    <row r="83">
      <c r="A83" s="26">
        <f>IF($B83="","",67)</f>
        <v/>
      </c>
      <c r="B83" s="26">
        <f>IF($P83="","",IF(INDEX(CalcNormDate,$P83)=0,"",INDEX(CalcNormDate,$P83)))</f>
        <v/>
      </c>
      <c r="C83" s="26">
        <f>IF($P83="","",IF(INDEX(CalcTime,$P83)=0,"",INDEX(CalcTime,$P83)))</f>
        <v/>
      </c>
      <c r="D83" s="26">
        <f>IF($P83="","",IF(INDEX(EntryParty,$P83)=0,"",INDEX(EntryParty,$P83)))</f>
        <v/>
      </c>
      <c r="E83" s="26">
        <f>IF($P83="","",IF(INDEX(EntryPartyName,$P83)=0,"",INDEX(EntryPartyName,$P83)))</f>
        <v/>
      </c>
      <c r="F83" s="26">
        <f>IF($P83="","",IF(INDEX(EntryPartyType,$P83)=0,"",INDEX(EntryPartyType,$P83)))</f>
        <v/>
      </c>
      <c r="G83" s="26">
        <f>IF($P83="","",IF(INDEX(EntryTxnType,$P83)=0,"",INDEX(EntryTxnType,$P83)))</f>
        <v/>
      </c>
      <c r="H83" s="27">
        <f>IF($P83="","",IF(INDEX(EntryDep,$P83)=0,"",INDEX(EntryDep,$P83)))</f>
        <v/>
      </c>
      <c r="I83" s="27">
        <f>IF($P83="","",IF(INDEX(EntryWit,$P83)=0,"",INDEX(EntryWit,$P83)))</f>
        <v/>
      </c>
      <c r="J83" s="27">
        <f>IF($B83="","",IF($A83=1,$C$7,IF(J82="",0,J82))+IF($H83="",0,$H83)-IF($I83="",0,$I83))</f>
        <v/>
      </c>
      <c r="K83" s="27">
        <f>IF($P83="","",IF(INDEX(EntryMan,$P83)=0,"",INDEX(EntryMan,$P83)))</f>
        <v/>
      </c>
      <c r="L83" s="26">
        <f>IF($B83="","",IF($K83="","—",IF(ROUND($K83-$J83,0)=0,"√","×")))</f>
        <v/>
      </c>
      <c r="M83" s="26">
        <f>IF($B83="","",IF(COUNTIFS(EntryDates,$B83,CalcTime,$C83,CalcBank,$C$5,EntryParty,$D83,EntryDep,$H83,EntryWit,$I83)&gt;1,"تکرار",""))</f>
        <v/>
      </c>
      <c r="N83" s="26">
        <f>IF($P83="","",IF(INDEX(EntryNotes,$P83)=0,"",INDEX(EntryNotes,$P83)))</f>
        <v/>
      </c>
      <c r="O83" s="26">
        <f>IF($P83="","",IF(INDEX(EntryTxnID,$P83)=0,"",INDEX(EntryTxnID,$P83)))</f>
        <v/>
      </c>
      <c r="P83" s="26">
        <f>IFERROR(MATCH($C$5&amp;"|"&amp;RIGHT("000000"&amp;67,6),CalcRankKey,0),"")</f>
        <v/>
      </c>
    </row>
    <row r="84">
      <c r="A84" s="28">
        <f>IF($B84="","",68)</f>
        <v/>
      </c>
      <c r="B84" s="28">
        <f>IF($P84="","",IF(INDEX(CalcNormDate,$P84)=0,"",INDEX(CalcNormDate,$P84)))</f>
        <v/>
      </c>
      <c r="C84" s="28">
        <f>IF($P84="","",IF(INDEX(CalcTime,$P84)=0,"",INDEX(CalcTime,$P84)))</f>
        <v/>
      </c>
      <c r="D84" s="28">
        <f>IF($P84="","",IF(INDEX(EntryParty,$P84)=0,"",INDEX(EntryParty,$P84)))</f>
        <v/>
      </c>
      <c r="E84" s="28">
        <f>IF($P84="","",IF(INDEX(EntryPartyName,$P84)=0,"",INDEX(EntryPartyName,$P84)))</f>
        <v/>
      </c>
      <c r="F84" s="28">
        <f>IF($P84="","",IF(INDEX(EntryPartyType,$P84)=0,"",INDEX(EntryPartyType,$P84)))</f>
        <v/>
      </c>
      <c r="G84" s="28">
        <f>IF($P84="","",IF(INDEX(EntryTxnType,$P84)=0,"",INDEX(EntryTxnType,$P84)))</f>
        <v/>
      </c>
      <c r="H84" s="29">
        <f>IF($P84="","",IF(INDEX(EntryDep,$P84)=0,"",INDEX(EntryDep,$P84)))</f>
        <v/>
      </c>
      <c r="I84" s="29">
        <f>IF($P84="","",IF(INDEX(EntryWit,$P84)=0,"",INDEX(EntryWit,$P84)))</f>
        <v/>
      </c>
      <c r="J84" s="29">
        <f>IF($B84="","",IF($A84=1,$C$7,IF(J83="",0,J83))+IF($H84="",0,$H84)-IF($I84="",0,$I84))</f>
        <v/>
      </c>
      <c r="K84" s="29">
        <f>IF($P84="","",IF(INDEX(EntryMan,$P84)=0,"",INDEX(EntryMan,$P84)))</f>
        <v/>
      </c>
      <c r="L84" s="28">
        <f>IF($B84="","",IF($K84="","—",IF(ROUND($K84-$J84,0)=0,"√","×")))</f>
        <v/>
      </c>
      <c r="M84" s="28">
        <f>IF($B84="","",IF(COUNTIFS(EntryDates,$B84,CalcTime,$C84,CalcBank,$C$5,EntryParty,$D84,EntryDep,$H84,EntryWit,$I84)&gt;1,"تکرار",""))</f>
        <v/>
      </c>
      <c r="N84" s="28">
        <f>IF($P84="","",IF(INDEX(EntryNotes,$P84)=0,"",INDEX(EntryNotes,$P84)))</f>
        <v/>
      </c>
      <c r="O84" s="28">
        <f>IF($P84="","",IF(INDEX(EntryTxnID,$P84)=0,"",INDEX(EntryTxnID,$P84)))</f>
        <v/>
      </c>
      <c r="P84" s="28">
        <f>IFERROR(MATCH($C$5&amp;"|"&amp;RIGHT("000000"&amp;68,6),CalcRankKey,0),"")</f>
        <v/>
      </c>
    </row>
    <row r="85">
      <c r="A85" s="26">
        <f>IF($B85="","",69)</f>
        <v/>
      </c>
      <c r="B85" s="26">
        <f>IF($P85="","",IF(INDEX(CalcNormDate,$P85)=0,"",INDEX(CalcNormDate,$P85)))</f>
        <v/>
      </c>
      <c r="C85" s="26">
        <f>IF($P85="","",IF(INDEX(CalcTime,$P85)=0,"",INDEX(CalcTime,$P85)))</f>
        <v/>
      </c>
      <c r="D85" s="26">
        <f>IF($P85="","",IF(INDEX(EntryParty,$P85)=0,"",INDEX(EntryParty,$P85)))</f>
        <v/>
      </c>
      <c r="E85" s="26">
        <f>IF($P85="","",IF(INDEX(EntryPartyName,$P85)=0,"",INDEX(EntryPartyName,$P85)))</f>
        <v/>
      </c>
      <c r="F85" s="26">
        <f>IF($P85="","",IF(INDEX(EntryPartyType,$P85)=0,"",INDEX(EntryPartyType,$P85)))</f>
        <v/>
      </c>
      <c r="G85" s="26">
        <f>IF($P85="","",IF(INDEX(EntryTxnType,$P85)=0,"",INDEX(EntryTxnType,$P85)))</f>
        <v/>
      </c>
      <c r="H85" s="27">
        <f>IF($P85="","",IF(INDEX(EntryDep,$P85)=0,"",INDEX(EntryDep,$P85)))</f>
        <v/>
      </c>
      <c r="I85" s="27">
        <f>IF($P85="","",IF(INDEX(EntryWit,$P85)=0,"",INDEX(EntryWit,$P85)))</f>
        <v/>
      </c>
      <c r="J85" s="27">
        <f>IF($B85="","",IF($A85=1,$C$7,IF(J84="",0,J84))+IF($H85="",0,$H85)-IF($I85="",0,$I85))</f>
        <v/>
      </c>
      <c r="K85" s="27">
        <f>IF($P85="","",IF(INDEX(EntryMan,$P85)=0,"",INDEX(EntryMan,$P85)))</f>
        <v/>
      </c>
      <c r="L85" s="26">
        <f>IF($B85="","",IF($K85="","—",IF(ROUND($K85-$J85,0)=0,"√","×")))</f>
        <v/>
      </c>
      <c r="M85" s="26">
        <f>IF($B85="","",IF(COUNTIFS(EntryDates,$B85,CalcTime,$C85,CalcBank,$C$5,EntryParty,$D85,EntryDep,$H85,EntryWit,$I85)&gt;1,"تکرار",""))</f>
        <v/>
      </c>
      <c r="N85" s="26">
        <f>IF($P85="","",IF(INDEX(EntryNotes,$P85)=0,"",INDEX(EntryNotes,$P85)))</f>
        <v/>
      </c>
      <c r="O85" s="26">
        <f>IF($P85="","",IF(INDEX(EntryTxnID,$P85)=0,"",INDEX(EntryTxnID,$P85)))</f>
        <v/>
      </c>
      <c r="P85" s="26">
        <f>IFERROR(MATCH($C$5&amp;"|"&amp;RIGHT("000000"&amp;69,6),CalcRankKey,0),"")</f>
        <v/>
      </c>
    </row>
    <row r="86">
      <c r="A86" s="28">
        <f>IF($B86="","",70)</f>
        <v/>
      </c>
      <c r="B86" s="28">
        <f>IF($P86="","",IF(INDEX(CalcNormDate,$P86)=0,"",INDEX(CalcNormDate,$P86)))</f>
        <v/>
      </c>
      <c r="C86" s="28">
        <f>IF($P86="","",IF(INDEX(CalcTime,$P86)=0,"",INDEX(CalcTime,$P86)))</f>
        <v/>
      </c>
      <c r="D86" s="28">
        <f>IF($P86="","",IF(INDEX(EntryParty,$P86)=0,"",INDEX(EntryParty,$P86)))</f>
        <v/>
      </c>
      <c r="E86" s="28">
        <f>IF($P86="","",IF(INDEX(EntryPartyName,$P86)=0,"",INDEX(EntryPartyName,$P86)))</f>
        <v/>
      </c>
      <c r="F86" s="28">
        <f>IF($P86="","",IF(INDEX(EntryPartyType,$P86)=0,"",INDEX(EntryPartyType,$P86)))</f>
        <v/>
      </c>
      <c r="G86" s="28">
        <f>IF($P86="","",IF(INDEX(EntryTxnType,$P86)=0,"",INDEX(EntryTxnType,$P86)))</f>
        <v/>
      </c>
      <c r="H86" s="29">
        <f>IF($P86="","",IF(INDEX(EntryDep,$P86)=0,"",INDEX(EntryDep,$P86)))</f>
        <v/>
      </c>
      <c r="I86" s="29">
        <f>IF($P86="","",IF(INDEX(EntryWit,$P86)=0,"",INDEX(EntryWit,$P86)))</f>
        <v/>
      </c>
      <c r="J86" s="29">
        <f>IF($B86="","",IF($A86=1,$C$7,IF(J85="",0,J85))+IF($H86="",0,$H86)-IF($I86="",0,$I86))</f>
        <v/>
      </c>
      <c r="K86" s="29">
        <f>IF($P86="","",IF(INDEX(EntryMan,$P86)=0,"",INDEX(EntryMan,$P86)))</f>
        <v/>
      </c>
      <c r="L86" s="28">
        <f>IF($B86="","",IF($K86="","—",IF(ROUND($K86-$J86,0)=0,"√","×")))</f>
        <v/>
      </c>
      <c r="M86" s="28">
        <f>IF($B86="","",IF(COUNTIFS(EntryDates,$B86,CalcTime,$C86,CalcBank,$C$5,EntryParty,$D86,EntryDep,$H86,EntryWit,$I86)&gt;1,"تکرار",""))</f>
        <v/>
      </c>
      <c r="N86" s="28">
        <f>IF($P86="","",IF(INDEX(EntryNotes,$P86)=0,"",INDEX(EntryNotes,$P86)))</f>
        <v/>
      </c>
      <c r="O86" s="28">
        <f>IF($P86="","",IF(INDEX(EntryTxnID,$P86)=0,"",INDEX(EntryTxnID,$P86)))</f>
        <v/>
      </c>
      <c r="P86" s="28">
        <f>IFERROR(MATCH($C$5&amp;"|"&amp;RIGHT("000000"&amp;70,6),CalcRankKey,0),"")</f>
        <v/>
      </c>
    </row>
    <row r="87">
      <c r="A87" s="26">
        <f>IF($B87="","",71)</f>
        <v/>
      </c>
      <c r="B87" s="26">
        <f>IF($P87="","",IF(INDEX(CalcNormDate,$P87)=0,"",INDEX(CalcNormDate,$P87)))</f>
        <v/>
      </c>
      <c r="C87" s="26">
        <f>IF($P87="","",IF(INDEX(CalcTime,$P87)=0,"",INDEX(CalcTime,$P87)))</f>
        <v/>
      </c>
      <c r="D87" s="26">
        <f>IF($P87="","",IF(INDEX(EntryParty,$P87)=0,"",INDEX(EntryParty,$P87)))</f>
        <v/>
      </c>
      <c r="E87" s="26">
        <f>IF($P87="","",IF(INDEX(EntryPartyName,$P87)=0,"",INDEX(EntryPartyName,$P87)))</f>
        <v/>
      </c>
      <c r="F87" s="26">
        <f>IF($P87="","",IF(INDEX(EntryPartyType,$P87)=0,"",INDEX(EntryPartyType,$P87)))</f>
        <v/>
      </c>
      <c r="G87" s="26">
        <f>IF($P87="","",IF(INDEX(EntryTxnType,$P87)=0,"",INDEX(EntryTxnType,$P87)))</f>
        <v/>
      </c>
      <c r="H87" s="27">
        <f>IF($P87="","",IF(INDEX(EntryDep,$P87)=0,"",INDEX(EntryDep,$P87)))</f>
        <v/>
      </c>
      <c r="I87" s="27">
        <f>IF($P87="","",IF(INDEX(EntryWit,$P87)=0,"",INDEX(EntryWit,$P87)))</f>
        <v/>
      </c>
      <c r="J87" s="27">
        <f>IF($B87="","",IF($A87=1,$C$7,IF(J86="",0,J86))+IF($H87="",0,$H87)-IF($I87="",0,$I87))</f>
        <v/>
      </c>
      <c r="K87" s="27">
        <f>IF($P87="","",IF(INDEX(EntryMan,$P87)=0,"",INDEX(EntryMan,$P87)))</f>
        <v/>
      </c>
      <c r="L87" s="26">
        <f>IF($B87="","",IF($K87="","—",IF(ROUND($K87-$J87,0)=0,"√","×")))</f>
        <v/>
      </c>
      <c r="M87" s="26">
        <f>IF($B87="","",IF(COUNTIFS(EntryDates,$B87,CalcTime,$C87,CalcBank,$C$5,EntryParty,$D87,EntryDep,$H87,EntryWit,$I87)&gt;1,"تکرار",""))</f>
        <v/>
      </c>
      <c r="N87" s="26">
        <f>IF($P87="","",IF(INDEX(EntryNotes,$P87)=0,"",INDEX(EntryNotes,$P87)))</f>
        <v/>
      </c>
      <c r="O87" s="26">
        <f>IF($P87="","",IF(INDEX(EntryTxnID,$P87)=0,"",INDEX(EntryTxnID,$P87)))</f>
        <v/>
      </c>
      <c r="P87" s="26">
        <f>IFERROR(MATCH($C$5&amp;"|"&amp;RIGHT("000000"&amp;71,6),CalcRankKey,0),"")</f>
        <v/>
      </c>
    </row>
    <row r="88">
      <c r="A88" s="28">
        <f>IF($B88="","",72)</f>
        <v/>
      </c>
      <c r="B88" s="28">
        <f>IF($P88="","",IF(INDEX(CalcNormDate,$P88)=0,"",INDEX(CalcNormDate,$P88)))</f>
        <v/>
      </c>
      <c r="C88" s="28">
        <f>IF($P88="","",IF(INDEX(CalcTime,$P88)=0,"",INDEX(CalcTime,$P88)))</f>
        <v/>
      </c>
      <c r="D88" s="28">
        <f>IF($P88="","",IF(INDEX(EntryParty,$P88)=0,"",INDEX(EntryParty,$P88)))</f>
        <v/>
      </c>
      <c r="E88" s="28">
        <f>IF($P88="","",IF(INDEX(EntryPartyName,$P88)=0,"",INDEX(EntryPartyName,$P88)))</f>
        <v/>
      </c>
      <c r="F88" s="28">
        <f>IF($P88="","",IF(INDEX(EntryPartyType,$P88)=0,"",INDEX(EntryPartyType,$P88)))</f>
        <v/>
      </c>
      <c r="G88" s="28">
        <f>IF($P88="","",IF(INDEX(EntryTxnType,$P88)=0,"",INDEX(EntryTxnType,$P88)))</f>
        <v/>
      </c>
      <c r="H88" s="29">
        <f>IF($P88="","",IF(INDEX(EntryDep,$P88)=0,"",INDEX(EntryDep,$P88)))</f>
        <v/>
      </c>
      <c r="I88" s="29">
        <f>IF($P88="","",IF(INDEX(EntryWit,$P88)=0,"",INDEX(EntryWit,$P88)))</f>
        <v/>
      </c>
      <c r="J88" s="29">
        <f>IF($B88="","",IF($A88=1,$C$7,IF(J87="",0,J87))+IF($H88="",0,$H88)-IF($I88="",0,$I88))</f>
        <v/>
      </c>
      <c r="K88" s="29">
        <f>IF($P88="","",IF(INDEX(EntryMan,$P88)=0,"",INDEX(EntryMan,$P88)))</f>
        <v/>
      </c>
      <c r="L88" s="28">
        <f>IF($B88="","",IF($K88="","—",IF(ROUND($K88-$J88,0)=0,"√","×")))</f>
        <v/>
      </c>
      <c r="M88" s="28">
        <f>IF($B88="","",IF(COUNTIFS(EntryDates,$B88,CalcTime,$C88,CalcBank,$C$5,EntryParty,$D88,EntryDep,$H88,EntryWit,$I88)&gt;1,"تکرار",""))</f>
        <v/>
      </c>
      <c r="N88" s="28">
        <f>IF($P88="","",IF(INDEX(EntryNotes,$P88)=0,"",INDEX(EntryNotes,$P88)))</f>
        <v/>
      </c>
      <c r="O88" s="28">
        <f>IF($P88="","",IF(INDEX(EntryTxnID,$P88)=0,"",INDEX(EntryTxnID,$P88)))</f>
        <v/>
      </c>
      <c r="P88" s="28">
        <f>IFERROR(MATCH($C$5&amp;"|"&amp;RIGHT("000000"&amp;72,6),CalcRankKey,0),"")</f>
        <v/>
      </c>
    </row>
    <row r="89">
      <c r="A89" s="26">
        <f>IF($B89="","",73)</f>
        <v/>
      </c>
      <c r="B89" s="26">
        <f>IF($P89="","",IF(INDEX(CalcNormDate,$P89)=0,"",INDEX(CalcNormDate,$P89)))</f>
        <v/>
      </c>
      <c r="C89" s="26">
        <f>IF($P89="","",IF(INDEX(CalcTime,$P89)=0,"",INDEX(CalcTime,$P89)))</f>
        <v/>
      </c>
      <c r="D89" s="26">
        <f>IF($P89="","",IF(INDEX(EntryParty,$P89)=0,"",INDEX(EntryParty,$P89)))</f>
        <v/>
      </c>
      <c r="E89" s="26">
        <f>IF($P89="","",IF(INDEX(EntryPartyName,$P89)=0,"",INDEX(EntryPartyName,$P89)))</f>
        <v/>
      </c>
      <c r="F89" s="26">
        <f>IF($P89="","",IF(INDEX(EntryPartyType,$P89)=0,"",INDEX(EntryPartyType,$P89)))</f>
        <v/>
      </c>
      <c r="G89" s="26">
        <f>IF($P89="","",IF(INDEX(EntryTxnType,$P89)=0,"",INDEX(EntryTxnType,$P89)))</f>
        <v/>
      </c>
      <c r="H89" s="27">
        <f>IF($P89="","",IF(INDEX(EntryDep,$P89)=0,"",INDEX(EntryDep,$P89)))</f>
        <v/>
      </c>
      <c r="I89" s="27">
        <f>IF($P89="","",IF(INDEX(EntryWit,$P89)=0,"",INDEX(EntryWit,$P89)))</f>
        <v/>
      </c>
      <c r="J89" s="27">
        <f>IF($B89="","",IF($A89=1,$C$7,IF(J88="",0,J88))+IF($H89="",0,$H89)-IF($I89="",0,$I89))</f>
        <v/>
      </c>
      <c r="K89" s="27">
        <f>IF($P89="","",IF(INDEX(EntryMan,$P89)=0,"",INDEX(EntryMan,$P89)))</f>
        <v/>
      </c>
      <c r="L89" s="26">
        <f>IF($B89="","",IF($K89="","—",IF(ROUND($K89-$J89,0)=0,"√","×")))</f>
        <v/>
      </c>
      <c r="M89" s="26">
        <f>IF($B89="","",IF(COUNTIFS(EntryDates,$B89,CalcTime,$C89,CalcBank,$C$5,EntryParty,$D89,EntryDep,$H89,EntryWit,$I89)&gt;1,"تکرار",""))</f>
        <v/>
      </c>
      <c r="N89" s="26">
        <f>IF($P89="","",IF(INDEX(EntryNotes,$P89)=0,"",INDEX(EntryNotes,$P89)))</f>
        <v/>
      </c>
      <c r="O89" s="26">
        <f>IF($P89="","",IF(INDEX(EntryTxnID,$P89)=0,"",INDEX(EntryTxnID,$P89)))</f>
        <v/>
      </c>
      <c r="P89" s="26">
        <f>IFERROR(MATCH($C$5&amp;"|"&amp;RIGHT("000000"&amp;73,6),CalcRankKey,0),"")</f>
        <v/>
      </c>
    </row>
    <row r="90">
      <c r="A90" s="28">
        <f>IF($B90="","",74)</f>
        <v/>
      </c>
      <c r="B90" s="28">
        <f>IF($P90="","",IF(INDEX(CalcNormDate,$P90)=0,"",INDEX(CalcNormDate,$P90)))</f>
        <v/>
      </c>
      <c r="C90" s="28">
        <f>IF($P90="","",IF(INDEX(CalcTime,$P90)=0,"",INDEX(CalcTime,$P90)))</f>
        <v/>
      </c>
      <c r="D90" s="28">
        <f>IF($P90="","",IF(INDEX(EntryParty,$P90)=0,"",INDEX(EntryParty,$P90)))</f>
        <v/>
      </c>
      <c r="E90" s="28">
        <f>IF($P90="","",IF(INDEX(EntryPartyName,$P90)=0,"",INDEX(EntryPartyName,$P90)))</f>
        <v/>
      </c>
      <c r="F90" s="28">
        <f>IF($P90="","",IF(INDEX(EntryPartyType,$P90)=0,"",INDEX(EntryPartyType,$P90)))</f>
        <v/>
      </c>
      <c r="G90" s="28">
        <f>IF($P90="","",IF(INDEX(EntryTxnType,$P90)=0,"",INDEX(EntryTxnType,$P90)))</f>
        <v/>
      </c>
      <c r="H90" s="29">
        <f>IF($P90="","",IF(INDEX(EntryDep,$P90)=0,"",INDEX(EntryDep,$P90)))</f>
        <v/>
      </c>
      <c r="I90" s="29">
        <f>IF($P90="","",IF(INDEX(EntryWit,$P90)=0,"",INDEX(EntryWit,$P90)))</f>
        <v/>
      </c>
      <c r="J90" s="29">
        <f>IF($B90="","",IF($A90=1,$C$7,IF(J89="",0,J89))+IF($H90="",0,$H90)-IF($I90="",0,$I90))</f>
        <v/>
      </c>
      <c r="K90" s="29">
        <f>IF($P90="","",IF(INDEX(EntryMan,$P90)=0,"",INDEX(EntryMan,$P90)))</f>
        <v/>
      </c>
      <c r="L90" s="28">
        <f>IF($B90="","",IF($K90="","—",IF(ROUND($K90-$J90,0)=0,"√","×")))</f>
        <v/>
      </c>
      <c r="M90" s="28">
        <f>IF($B90="","",IF(COUNTIFS(EntryDates,$B90,CalcTime,$C90,CalcBank,$C$5,EntryParty,$D90,EntryDep,$H90,EntryWit,$I90)&gt;1,"تکرار",""))</f>
        <v/>
      </c>
      <c r="N90" s="28">
        <f>IF($P90="","",IF(INDEX(EntryNotes,$P90)=0,"",INDEX(EntryNotes,$P90)))</f>
        <v/>
      </c>
      <c r="O90" s="28">
        <f>IF($P90="","",IF(INDEX(EntryTxnID,$P90)=0,"",INDEX(EntryTxnID,$P90)))</f>
        <v/>
      </c>
      <c r="P90" s="28">
        <f>IFERROR(MATCH($C$5&amp;"|"&amp;RIGHT("000000"&amp;74,6),CalcRankKey,0),"")</f>
        <v/>
      </c>
    </row>
    <row r="91">
      <c r="A91" s="26">
        <f>IF($B91="","",75)</f>
        <v/>
      </c>
      <c r="B91" s="26">
        <f>IF($P91="","",IF(INDEX(CalcNormDate,$P91)=0,"",INDEX(CalcNormDate,$P91)))</f>
        <v/>
      </c>
      <c r="C91" s="26">
        <f>IF($P91="","",IF(INDEX(CalcTime,$P91)=0,"",INDEX(CalcTime,$P91)))</f>
        <v/>
      </c>
      <c r="D91" s="26">
        <f>IF($P91="","",IF(INDEX(EntryParty,$P91)=0,"",INDEX(EntryParty,$P91)))</f>
        <v/>
      </c>
      <c r="E91" s="26">
        <f>IF($P91="","",IF(INDEX(EntryPartyName,$P91)=0,"",INDEX(EntryPartyName,$P91)))</f>
        <v/>
      </c>
      <c r="F91" s="26">
        <f>IF($P91="","",IF(INDEX(EntryPartyType,$P91)=0,"",INDEX(EntryPartyType,$P91)))</f>
        <v/>
      </c>
      <c r="G91" s="26">
        <f>IF($P91="","",IF(INDEX(EntryTxnType,$P91)=0,"",INDEX(EntryTxnType,$P91)))</f>
        <v/>
      </c>
      <c r="H91" s="27">
        <f>IF($P91="","",IF(INDEX(EntryDep,$P91)=0,"",INDEX(EntryDep,$P91)))</f>
        <v/>
      </c>
      <c r="I91" s="27">
        <f>IF($P91="","",IF(INDEX(EntryWit,$P91)=0,"",INDEX(EntryWit,$P91)))</f>
        <v/>
      </c>
      <c r="J91" s="27">
        <f>IF($B91="","",IF($A91=1,$C$7,IF(J90="",0,J90))+IF($H91="",0,$H91)-IF($I91="",0,$I91))</f>
        <v/>
      </c>
      <c r="K91" s="27">
        <f>IF($P91="","",IF(INDEX(EntryMan,$P91)=0,"",INDEX(EntryMan,$P91)))</f>
        <v/>
      </c>
      <c r="L91" s="26">
        <f>IF($B91="","",IF($K91="","—",IF(ROUND($K91-$J91,0)=0,"√","×")))</f>
        <v/>
      </c>
      <c r="M91" s="26">
        <f>IF($B91="","",IF(COUNTIFS(EntryDates,$B91,CalcTime,$C91,CalcBank,$C$5,EntryParty,$D91,EntryDep,$H91,EntryWit,$I91)&gt;1,"تکرار",""))</f>
        <v/>
      </c>
      <c r="N91" s="26">
        <f>IF($P91="","",IF(INDEX(EntryNotes,$P91)=0,"",INDEX(EntryNotes,$P91)))</f>
        <v/>
      </c>
      <c r="O91" s="26">
        <f>IF($P91="","",IF(INDEX(EntryTxnID,$P91)=0,"",INDEX(EntryTxnID,$P91)))</f>
        <v/>
      </c>
      <c r="P91" s="26">
        <f>IFERROR(MATCH($C$5&amp;"|"&amp;RIGHT("000000"&amp;75,6),CalcRankKey,0),"")</f>
        <v/>
      </c>
    </row>
    <row r="92">
      <c r="A92" s="28">
        <f>IF($B92="","",76)</f>
        <v/>
      </c>
      <c r="B92" s="28">
        <f>IF($P92="","",IF(INDEX(CalcNormDate,$P92)=0,"",INDEX(CalcNormDate,$P92)))</f>
        <v/>
      </c>
      <c r="C92" s="28">
        <f>IF($P92="","",IF(INDEX(CalcTime,$P92)=0,"",INDEX(CalcTime,$P92)))</f>
        <v/>
      </c>
      <c r="D92" s="28">
        <f>IF($P92="","",IF(INDEX(EntryParty,$P92)=0,"",INDEX(EntryParty,$P92)))</f>
        <v/>
      </c>
      <c r="E92" s="28">
        <f>IF($P92="","",IF(INDEX(EntryPartyName,$P92)=0,"",INDEX(EntryPartyName,$P92)))</f>
        <v/>
      </c>
      <c r="F92" s="28">
        <f>IF($P92="","",IF(INDEX(EntryPartyType,$P92)=0,"",INDEX(EntryPartyType,$P92)))</f>
        <v/>
      </c>
      <c r="G92" s="28">
        <f>IF($P92="","",IF(INDEX(EntryTxnType,$P92)=0,"",INDEX(EntryTxnType,$P92)))</f>
        <v/>
      </c>
      <c r="H92" s="29">
        <f>IF($P92="","",IF(INDEX(EntryDep,$P92)=0,"",INDEX(EntryDep,$P92)))</f>
        <v/>
      </c>
      <c r="I92" s="29">
        <f>IF($P92="","",IF(INDEX(EntryWit,$P92)=0,"",INDEX(EntryWit,$P92)))</f>
        <v/>
      </c>
      <c r="J92" s="29">
        <f>IF($B92="","",IF($A92=1,$C$7,IF(J91="",0,J91))+IF($H92="",0,$H92)-IF($I92="",0,$I92))</f>
        <v/>
      </c>
      <c r="K92" s="29">
        <f>IF($P92="","",IF(INDEX(EntryMan,$P92)=0,"",INDEX(EntryMan,$P92)))</f>
        <v/>
      </c>
      <c r="L92" s="28">
        <f>IF($B92="","",IF($K92="","—",IF(ROUND($K92-$J92,0)=0,"√","×")))</f>
        <v/>
      </c>
      <c r="M92" s="28">
        <f>IF($B92="","",IF(COUNTIFS(EntryDates,$B92,CalcTime,$C92,CalcBank,$C$5,EntryParty,$D92,EntryDep,$H92,EntryWit,$I92)&gt;1,"تکرار",""))</f>
        <v/>
      </c>
      <c r="N92" s="28">
        <f>IF($P92="","",IF(INDEX(EntryNotes,$P92)=0,"",INDEX(EntryNotes,$P92)))</f>
        <v/>
      </c>
      <c r="O92" s="28">
        <f>IF($P92="","",IF(INDEX(EntryTxnID,$P92)=0,"",INDEX(EntryTxnID,$P92)))</f>
        <v/>
      </c>
      <c r="P92" s="28">
        <f>IFERROR(MATCH($C$5&amp;"|"&amp;RIGHT("000000"&amp;76,6),CalcRankKey,0),"")</f>
        <v/>
      </c>
    </row>
    <row r="93">
      <c r="A93" s="26">
        <f>IF($B93="","",77)</f>
        <v/>
      </c>
      <c r="B93" s="26">
        <f>IF($P93="","",IF(INDEX(CalcNormDate,$P93)=0,"",INDEX(CalcNormDate,$P93)))</f>
        <v/>
      </c>
      <c r="C93" s="26">
        <f>IF($P93="","",IF(INDEX(CalcTime,$P93)=0,"",INDEX(CalcTime,$P93)))</f>
        <v/>
      </c>
      <c r="D93" s="26">
        <f>IF($P93="","",IF(INDEX(EntryParty,$P93)=0,"",INDEX(EntryParty,$P93)))</f>
        <v/>
      </c>
      <c r="E93" s="26">
        <f>IF($P93="","",IF(INDEX(EntryPartyName,$P93)=0,"",INDEX(EntryPartyName,$P93)))</f>
        <v/>
      </c>
      <c r="F93" s="26">
        <f>IF($P93="","",IF(INDEX(EntryPartyType,$P93)=0,"",INDEX(EntryPartyType,$P93)))</f>
        <v/>
      </c>
      <c r="G93" s="26">
        <f>IF($P93="","",IF(INDEX(EntryTxnType,$P93)=0,"",INDEX(EntryTxnType,$P93)))</f>
        <v/>
      </c>
      <c r="H93" s="27">
        <f>IF($P93="","",IF(INDEX(EntryDep,$P93)=0,"",INDEX(EntryDep,$P93)))</f>
        <v/>
      </c>
      <c r="I93" s="27">
        <f>IF($P93="","",IF(INDEX(EntryWit,$P93)=0,"",INDEX(EntryWit,$P93)))</f>
        <v/>
      </c>
      <c r="J93" s="27">
        <f>IF($B93="","",IF($A93=1,$C$7,IF(J92="",0,J92))+IF($H93="",0,$H93)-IF($I93="",0,$I93))</f>
        <v/>
      </c>
      <c r="K93" s="27">
        <f>IF($P93="","",IF(INDEX(EntryMan,$P93)=0,"",INDEX(EntryMan,$P93)))</f>
        <v/>
      </c>
      <c r="L93" s="26">
        <f>IF($B93="","",IF($K93="","—",IF(ROUND($K93-$J93,0)=0,"√","×")))</f>
        <v/>
      </c>
      <c r="M93" s="26">
        <f>IF($B93="","",IF(COUNTIFS(EntryDates,$B93,CalcTime,$C93,CalcBank,$C$5,EntryParty,$D93,EntryDep,$H93,EntryWit,$I93)&gt;1,"تکرار",""))</f>
        <v/>
      </c>
      <c r="N93" s="26">
        <f>IF($P93="","",IF(INDEX(EntryNotes,$P93)=0,"",INDEX(EntryNotes,$P93)))</f>
        <v/>
      </c>
      <c r="O93" s="26">
        <f>IF($P93="","",IF(INDEX(EntryTxnID,$P93)=0,"",INDEX(EntryTxnID,$P93)))</f>
        <v/>
      </c>
      <c r="P93" s="26">
        <f>IFERROR(MATCH($C$5&amp;"|"&amp;RIGHT("000000"&amp;77,6),CalcRankKey,0),"")</f>
        <v/>
      </c>
    </row>
    <row r="94">
      <c r="A94" s="28">
        <f>IF($B94="","",78)</f>
        <v/>
      </c>
      <c r="B94" s="28">
        <f>IF($P94="","",IF(INDEX(CalcNormDate,$P94)=0,"",INDEX(CalcNormDate,$P94)))</f>
        <v/>
      </c>
      <c r="C94" s="28">
        <f>IF($P94="","",IF(INDEX(CalcTime,$P94)=0,"",INDEX(CalcTime,$P94)))</f>
        <v/>
      </c>
      <c r="D94" s="28">
        <f>IF($P94="","",IF(INDEX(EntryParty,$P94)=0,"",INDEX(EntryParty,$P94)))</f>
        <v/>
      </c>
      <c r="E94" s="28">
        <f>IF($P94="","",IF(INDEX(EntryPartyName,$P94)=0,"",INDEX(EntryPartyName,$P94)))</f>
        <v/>
      </c>
      <c r="F94" s="28">
        <f>IF($P94="","",IF(INDEX(EntryPartyType,$P94)=0,"",INDEX(EntryPartyType,$P94)))</f>
        <v/>
      </c>
      <c r="G94" s="28">
        <f>IF($P94="","",IF(INDEX(EntryTxnType,$P94)=0,"",INDEX(EntryTxnType,$P94)))</f>
        <v/>
      </c>
      <c r="H94" s="29">
        <f>IF($P94="","",IF(INDEX(EntryDep,$P94)=0,"",INDEX(EntryDep,$P94)))</f>
        <v/>
      </c>
      <c r="I94" s="29">
        <f>IF($P94="","",IF(INDEX(EntryWit,$P94)=0,"",INDEX(EntryWit,$P94)))</f>
        <v/>
      </c>
      <c r="J94" s="29">
        <f>IF($B94="","",IF($A94=1,$C$7,IF(J93="",0,J93))+IF($H94="",0,$H94)-IF($I94="",0,$I94))</f>
        <v/>
      </c>
      <c r="K94" s="29">
        <f>IF($P94="","",IF(INDEX(EntryMan,$P94)=0,"",INDEX(EntryMan,$P94)))</f>
        <v/>
      </c>
      <c r="L94" s="28">
        <f>IF($B94="","",IF($K94="","—",IF(ROUND($K94-$J94,0)=0,"√","×")))</f>
        <v/>
      </c>
      <c r="M94" s="28">
        <f>IF($B94="","",IF(COUNTIFS(EntryDates,$B94,CalcTime,$C94,CalcBank,$C$5,EntryParty,$D94,EntryDep,$H94,EntryWit,$I94)&gt;1,"تکرار",""))</f>
        <v/>
      </c>
      <c r="N94" s="28">
        <f>IF($P94="","",IF(INDEX(EntryNotes,$P94)=0,"",INDEX(EntryNotes,$P94)))</f>
        <v/>
      </c>
      <c r="O94" s="28">
        <f>IF($P94="","",IF(INDEX(EntryTxnID,$P94)=0,"",INDEX(EntryTxnID,$P94)))</f>
        <v/>
      </c>
      <c r="P94" s="28">
        <f>IFERROR(MATCH($C$5&amp;"|"&amp;RIGHT("000000"&amp;78,6),CalcRankKey,0),"")</f>
        <v/>
      </c>
    </row>
    <row r="95">
      <c r="A95" s="26">
        <f>IF($B95="","",79)</f>
        <v/>
      </c>
      <c r="B95" s="26">
        <f>IF($P95="","",IF(INDEX(CalcNormDate,$P95)=0,"",INDEX(CalcNormDate,$P95)))</f>
        <v/>
      </c>
      <c r="C95" s="26">
        <f>IF($P95="","",IF(INDEX(CalcTime,$P95)=0,"",INDEX(CalcTime,$P95)))</f>
        <v/>
      </c>
      <c r="D95" s="26">
        <f>IF($P95="","",IF(INDEX(EntryParty,$P95)=0,"",INDEX(EntryParty,$P95)))</f>
        <v/>
      </c>
      <c r="E95" s="26">
        <f>IF($P95="","",IF(INDEX(EntryPartyName,$P95)=0,"",INDEX(EntryPartyName,$P95)))</f>
        <v/>
      </c>
      <c r="F95" s="26">
        <f>IF($P95="","",IF(INDEX(EntryPartyType,$P95)=0,"",INDEX(EntryPartyType,$P95)))</f>
        <v/>
      </c>
      <c r="G95" s="26">
        <f>IF($P95="","",IF(INDEX(EntryTxnType,$P95)=0,"",INDEX(EntryTxnType,$P95)))</f>
        <v/>
      </c>
      <c r="H95" s="27">
        <f>IF($P95="","",IF(INDEX(EntryDep,$P95)=0,"",INDEX(EntryDep,$P95)))</f>
        <v/>
      </c>
      <c r="I95" s="27">
        <f>IF($P95="","",IF(INDEX(EntryWit,$P95)=0,"",INDEX(EntryWit,$P95)))</f>
        <v/>
      </c>
      <c r="J95" s="27">
        <f>IF($B95="","",IF($A95=1,$C$7,IF(J94="",0,J94))+IF($H95="",0,$H95)-IF($I95="",0,$I95))</f>
        <v/>
      </c>
      <c r="K95" s="27">
        <f>IF($P95="","",IF(INDEX(EntryMan,$P95)=0,"",INDEX(EntryMan,$P95)))</f>
        <v/>
      </c>
      <c r="L95" s="26">
        <f>IF($B95="","",IF($K95="","—",IF(ROUND($K95-$J95,0)=0,"√","×")))</f>
        <v/>
      </c>
      <c r="M95" s="26">
        <f>IF($B95="","",IF(COUNTIFS(EntryDates,$B95,CalcTime,$C95,CalcBank,$C$5,EntryParty,$D95,EntryDep,$H95,EntryWit,$I95)&gt;1,"تکرار",""))</f>
        <v/>
      </c>
      <c r="N95" s="26">
        <f>IF($P95="","",IF(INDEX(EntryNotes,$P95)=0,"",INDEX(EntryNotes,$P95)))</f>
        <v/>
      </c>
      <c r="O95" s="26">
        <f>IF($P95="","",IF(INDEX(EntryTxnID,$P95)=0,"",INDEX(EntryTxnID,$P95)))</f>
        <v/>
      </c>
      <c r="P95" s="26">
        <f>IFERROR(MATCH($C$5&amp;"|"&amp;RIGHT("000000"&amp;79,6),CalcRankKey,0),"")</f>
        <v/>
      </c>
    </row>
    <row r="96">
      <c r="A96" s="28">
        <f>IF($B96="","",80)</f>
        <v/>
      </c>
      <c r="B96" s="28">
        <f>IF($P96="","",IF(INDEX(CalcNormDate,$P96)=0,"",INDEX(CalcNormDate,$P96)))</f>
        <v/>
      </c>
      <c r="C96" s="28">
        <f>IF($P96="","",IF(INDEX(CalcTime,$P96)=0,"",INDEX(CalcTime,$P96)))</f>
        <v/>
      </c>
      <c r="D96" s="28">
        <f>IF($P96="","",IF(INDEX(EntryParty,$P96)=0,"",INDEX(EntryParty,$P96)))</f>
        <v/>
      </c>
      <c r="E96" s="28">
        <f>IF($P96="","",IF(INDEX(EntryPartyName,$P96)=0,"",INDEX(EntryPartyName,$P96)))</f>
        <v/>
      </c>
      <c r="F96" s="28">
        <f>IF($P96="","",IF(INDEX(EntryPartyType,$P96)=0,"",INDEX(EntryPartyType,$P96)))</f>
        <v/>
      </c>
      <c r="G96" s="28">
        <f>IF($P96="","",IF(INDEX(EntryTxnType,$P96)=0,"",INDEX(EntryTxnType,$P96)))</f>
        <v/>
      </c>
      <c r="H96" s="29">
        <f>IF($P96="","",IF(INDEX(EntryDep,$P96)=0,"",INDEX(EntryDep,$P96)))</f>
        <v/>
      </c>
      <c r="I96" s="29">
        <f>IF($P96="","",IF(INDEX(EntryWit,$P96)=0,"",INDEX(EntryWit,$P96)))</f>
        <v/>
      </c>
      <c r="J96" s="29">
        <f>IF($B96="","",IF($A96=1,$C$7,IF(J95="",0,J95))+IF($H96="",0,$H96)-IF($I96="",0,$I96))</f>
        <v/>
      </c>
      <c r="K96" s="29">
        <f>IF($P96="","",IF(INDEX(EntryMan,$P96)=0,"",INDEX(EntryMan,$P96)))</f>
        <v/>
      </c>
      <c r="L96" s="28">
        <f>IF($B96="","",IF($K96="","—",IF(ROUND($K96-$J96,0)=0,"√","×")))</f>
        <v/>
      </c>
      <c r="M96" s="28">
        <f>IF($B96="","",IF(COUNTIFS(EntryDates,$B96,CalcTime,$C96,CalcBank,$C$5,EntryParty,$D96,EntryDep,$H96,EntryWit,$I96)&gt;1,"تکرار",""))</f>
        <v/>
      </c>
      <c r="N96" s="28">
        <f>IF($P96="","",IF(INDEX(EntryNotes,$P96)=0,"",INDEX(EntryNotes,$P96)))</f>
        <v/>
      </c>
      <c r="O96" s="28">
        <f>IF($P96="","",IF(INDEX(EntryTxnID,$P96)=0,"",INDEX(EntryTxnID,$P96)))</f>
        <v/>
      </c>
      <c r="P96" s="28">
        <f>IFERROR(MATCH($C$5&amp;"|"&amp;RIGHT("000000"&amp;80,6),CalcRankKey,0),"")</f>
        <v/>
      </c>
    </row>
    <row r="97">
      <c r="A97" s="26">
        <f>IF($B97="","",81)</f>
        <v/>
      </c>
      <c r="B97" s="26">
        <f>IF($P97="","",IF(INDEX(CalcNormDate,$P97)=0,"",INDEX(CalcNormDate,$P97)))</f>
        <v/>
      </c>
      <c r="C97" s="26">
        <f>IF($P97="","",IF(INDEX(CalcTime,$P97)=0,"",INDEX(CalcTime,$P97)))</f>
        <v/>
      </c>
      <c r="D97" s="26">
        <f>IF($P97="","",IF(INDEX(EntryParty,$P97)=0,"",INDEX(EntryParty,$P97)))</f>
        <v/>
      </c>
      <c r="E97" s="26">
        <f>IF($P97="","",IF(INDEX(EntryPartyName,$P97)=0,"",INDEX(EntryPartyName,$P97)))</f>
        <v/>
      </c>
      <c r="F97" s="26">
        <f>IF($P97="","",IF(INDEX(EntryPartyType,$P97)=0,"",INDEX(EntryPartyType,$P97)))</f>
        <v/>
      </c>
      <c r="G97" s="26">
        <f>IF($P97="","",IF(INDEX(EntryTxnType,$P97)=0,"",INDEX(EntryTxnType,$P97)))</f>
        <v/>
      </c>
      <c r="H97" s="27">
        <f>IF($P97="","",IF(INDEX(EntryDep,$P97)=0,"",INDEX(EntryDep,$P97)))</f>
        <v/>
      </c>
      <c r="I97" s="27">
        <f>IF($P97="","",IF(INDEX(EntryWit,$P97)=0,"",INDEX(EntryWit,$P97)))</f>
        <v/>
      </c>
      <c r="J97" s="27">
        <f>IF($B97="","",IF($A97=1,$C$7,IF(J96="",0,J96))+IF($H97="",0,$H97)-IF($I97="",0,$I97))</f>
        <v/>
      </c>
      <c r="K97" s="27">
        <f>IF($P97="","",IF(INDEX(EntryMan,$P97)=0,"",INDEX(EntryMan,$P97)))</f>
        <v/>
      </c>
      <c r="L97" s="26">
        <f>IF($B97="","",IF($K97="","—",IF(ROUND($K97-$J97,0)=0,"√","×")))</f>
        <v/>
      </c>
      <c r="M97" s="26">
        <f>IF($B97="","",IF(COUNTIFS(EntryDates,$B97,CalcTime,$C97,CalcBank,$C$5,EntryParty,$D97,EntryDep,$H97,EntryWit,$I97)&gt;1,"تکرار",""))</f>
        <v/>
      </c>
      <c r="N97" s="26">
        <f>IF($P97="","",IF(INDEX(EntryNotes,$P97)=0,"",INDEX(EntryNotes,$P97)))</f>
        <v/>
      </c>
      <c r="O97" s="26">
        <f>IF($P97="","",IF(INDEX(EntryTxnID,$P97)=0,"",INDEX(EntryTxnID,$P97)))</f>
        <v/>
      </c>
      <c r="P97" s="26">
        <f>IFERROR(MATCH($C$5&amp;"|"&amp;RIGHT("000000"&amp;81,6),CalcRankKey,0),"")</f>
        <v/>
      </c>
    </row>
    <row r="98">
      <c r="A98" s="28">
        <f>IF($B98="","",82)</f>
        <v/>
      </c>
      <c r="B98" s="28">
        <f>IF($P98="","",IF(INDEX(CalcNormDate,$P98)=0,"",INDEX(CalcNormDate,$P98)))</f>
        <v/>
      </c>
      <c r="C98" s="28">
        <f>IF($P98="","",IF(INDEX(CalcTime,$P98)=0,"",INDEX(CalcTime,$P98)))</f>
        <v/>
      </c>
      <c r="D98" s="28">
        <f>IF($P98="","",IF(INDEX(EntryParty,$P98)=0,"",INDEX(EntryParty,$P98)))</f>
        <v/>
      </c>
      <c r="E98" s="28">
        <f>IF($P98="","",IF(INDEX(EntryPartyName,$P98)=0,"",INDEX(EntryPartyName,$P98)))</f>
        <v/>
      </c>
      <c r="F98" s="28">
        <f>IF($P98="","",IF(INDEX(EntryPartyType,$P98)=0,"",INDEX(EntryPartyType,$P98)))</f>
        <v/>
      </c>
      <c r="G98" s="28">
        <f>IF($P98="","",IF(INDEX(EntryTxnType,$P98)=0,"",INDEX(EntryTxnType,$P98)))</f>
        <v/>
      </c>
      <c r="H98" s="29">
        <f>IF($P98="","",IF(INDEX(EntryDep,$P98)=0,"",INDEX(EntryDep,$P98)))</f>
        <v/>
      </c>
      <c r="I98" s="29">
        <f>IF($P98="","",IF(INDEX(EntryWit,$P98)=0,"",INDEX(EntryWit,$P98)))</f>
        <v/>
      </c>
      <c r="J98" s="29">
        <f>IF($B98="","",IF($A98=1,$C$7,IF(J97="",0,J97))+IF($H98="",0,$H98)-IF($I98="",0,$I98))</f>
        <v/>
      </c>
      <c r="K98" s="29">
        <f>IF($P98="","",IF(INDEX(EntryMan,$P98)=0,"",INDEX(EntryMan,$P98)))</f>
        <v/>
      </c>
      <c r="L98" s="28">
        <f>IF($B98="","",IF($K98="","—",IF(ROUND($K98-$J98,0)=0,"√","×")))</f>
        <v/>
      </c>
      <c r="M98" s="28">
        <f>IF($B98="","",IF(COUNTIFS(EntryDates,$B98,CalcTime,$C98,CalcBank,$C$5,EntryParty,$D98,EntryDep,$H98,EntryWit,$I98)&gt;1,"تکرار",""))</f>
        <v/>
      </c>
      <c r="N98" s="28">
        <f>IF($P98="","",IF(INDEX(EntryNotes,$P98)=0,"",INDEX(EntryNotes,$P98)))</f>
        <v/>
      </c>
      <c r="O98" s="28">
        <f>IF($P98="","",IF(INDEX(EntryTxnID,$P98)=0,"",INDEX(EntryTxnID,$P98)))</f>
        <v/>
      </c>
      <c r="P98" s="28">
        <f>IFERROR(MATCH($C$5&amp;"|"&amp;RIGHT("000000"&amp;82,6),CalcRankKey,0),"")</f>
        <v/>
      </c>
    </row>
    <row r="99">
      <c r="A99" s="26">
        <f>IF($B99="","",83)</f>
        <v/>
      </c>
      <c r="B99" s="26">
        <f>IF($P99="","",IF(INDEX(CalcNormDate,$P99)=0,"",INDEX(CalcNormDate,$P99)))</f>
        <v/>
      </c>
      <c r="C99" s="26">
        <f>IF($P99="","",IF(INDEX(CalcTime,$P99)=0,"",INDEX(CalcTime,$P99)))</f>
        <v/>
      </c>
      <c r="D99" s="26">
        <f>IF($P99="","",IF(INDEX(EntryParty,$P99)=0,"",INDEX(EntryParty,$P99)))</f>
        <v/>
      </c>
      <c r="E99" s="26">
        <f>IF($P99="","",IF(INDEX(EntryPartyName,$P99)=0,"",INDEX(EntryPartyName,$P99)))</f>
        <v/>
      </c>
      <c r="F99" s="26">
        <f>IF($P99="","",IF(INDEX(EntryPartyType,$P99)=0,"",INDEX(EntryPartyType,$P99)))</f>
        <v/>
      </c>
      <c r="G99" s="26">
        <f>IF($P99="","",IF(INDEX(EntryTxnType,$P99)=0,"",INDEX(EntryTxnType,$P99)))</f>
        <v/>
      </c>
      <c r="H99" s="27">
        <f>IF($P99="","",IF(INDEX(EntryDep,$P99)=0,"",INDEX(EntryDep,$P99)))</f>
        <v/>
      </c>
      <c r="I99" s="27">
        <f>IF($P99="","",IF(INDEX(EntryWit,$P99)=0,"",INDEX(EntryWit,$P99)))</f>
        <v/>
      </c>
      <c r="J99" s="27">
        <f>IF($B99="","",IF($A99=1,$C$7,IF(J98="",0,J98))+IF($H99="",0,$H99)-IF($I99="",0,$I99))</f>
        <v/>
      </c>
      <c r="K99" s="27">
        <f>IF($P99="","",IF(INDEX(EntryMan,$P99)=0,"",INDEX(EntryMan,$P99)))</f>
        <v/>
      </c>
      <c r="L99" s="26">
        <f>IF($B99="","",IF($K99="","—",IF(ROUND($K99-$J99,0)=0,"√","×")))</f>
        <v/>
      </c>
      <c r="M99" s="26">
        <f>IF($B99="","",IF(COUNTIFS(EntryDates,$B99,CalcTime,$C99,CalcBank,$C$5,EntryParty,$D99,EntryDep,$H99,EntryWit,$I99)&gt;1,"تکرار",""))</f>
        <v/>
      </c>
      <c r="N99" s="26">
        <f>IF($P99="","",IF(INDEX(EntryNotes,$P99)=0,"",INDEX(EntryNotes,$P99)))</f>
        <v/>
      </c>
      <c r="O99" s="26">
        <f>IF($P99="","",IF(INDEX(EntryTxnID,$P99)=0,"",INDEX(EntryTxnID,$P99)))</f>
        <v/>
      </c>
      <c r="P99" s="26">
        <f>IFERROR(MATCH($C$5&amp;"|"&amp;RIGHT("000000"&amp;83,6),CalcRankKey,0),"")</f>
        <v/>
      </c>
    </row>
    <row r="100">
      <c r="A100" s="28">
        <f>IF($B100="","",84)</f>
        <v/>
      </c>
      <c r="B100" s="28">
        <f>IF($P100="","",IF(INDEX(CalcNormDate,$P100)=0,"",INDEX(CalcNormDate,$P100)))</f>
        <v/>
      </c>
      <c r="C100" s="28">
        <f>IF($P100="","",IF(INDEX(CalcTime,$P100)=0,"",INDEX(CalcTime,$P100)))</f>
        <v/>
      </c>
      <c r="D100" s="28">
        <f>IF($P100="","",IF(INDEX(EntryParty,$P100)=0,"",INDEX(EntryParty,$P100)))</f>
        <v/>
      </c>
      <c r="E100" s="28">
        <f>IF($P100="","",IF(INDEX(EntryPartyName,$P100)=0,"",INDEX(EntryPartyName,$P100)))</f>
        <v/>
      </c>
      <c r="F100" s="28">
        <f>IF($P100="","",IF(INDEX(EntryPartyType,$P100)=0,"",INDEX(EntryPartyType,$P100)))</f>
        <v/>
      </c>
      <c r="G100" s="28">
        <f>IF($P100="","",IF(INDEX(EntryTxnType,$P100)=0,"",INDEX(EntryTxnType,$P100)))</f>
        <v/>
      </c>
      <c r="H100" s="29">
        <f>IF($P100="","",IF(INDEX(EntryDep,$P100)=0,"",INDEX(EntryDep,$P100)))</f>
        <v/>
      </c>
      <c r="I100" s="29">
        <f>IF($P100="","",IF(INDEX(EntryWit,$P100)=0,"",INDEX(EntryWit,$P100)))</f>
        <v/>
      </c>
      <c r="J100" s="29">
        <f>IF($B100="","",IF($A100=1,$C$7,IF(J99="",0,J99))+IF($H100="",0,$H100)-IF($I100="",0,$I100))</f>
        <v/>
      </c>
      <c r="K100" s="29">
        <f>IF($P100="","",IF(INDEX(EntryMan,$P100)=0,"",INDEX(EntryMan,$P100)))</f>
        <v/>
      </c>
      <c r="L100" s="28">
        <f>IF($B100="","",IF($K100="","—",IF(ROUND($K100-$J100,0)=0,"√","×")))</f>
        <v/>
      </c>
      <c r="M100" s="28">
        <f>IF($B100="","",IF(COUNTIFS(EntryDates,$B100,CalcTime,$C100,CalcBank,$C$5,EntryParty,$D100,EntryDep,$H100,EntryWit,$I100)&gt;1,"تکرار",""))</f>
        <v/>
      </c>
      <c r="N100" s="28">
        <f>IF($P100="","",IF(INDEX(EntryNotes,$P100)=0,"",INDEX(EntryNotes,$P100)))</f>
        <v/>
      </c>
      <c r="O100" s="28">
        <f>IF($P100="","",IF(INDEX(EntryTxnID,$P100)=0,"",INDEX(EntryTxnID,$P100)))</f>
        <v/>
      </c>
      <c r="P100" s="28">
        <f>IFERROR(MATCH($C$5&amp;"|"&amp;RIGHT("000000"&amp;84,6),CalcRankKey,0),"")</f>
        <v/>
      </c>
    </row>
    <row r="101">
      <c r="A101" s="26">
        <f>IF($B101="","",85)</f>
        <v/>
      </c>
      <c r="B101" s="26">
        <f>IF($P101="","",IF(INDEX(CalcNormDate,$P101)=0,"",INDEX(CalcNormDate,$P101)))</f>
        <v/>
      </c>
      <c r="C101" s="26">
        <f>IF($P101="","",IF(INDEX(CalcTime,$P101)=0,"",INDEX(CalcTime,$P101)))</f>
        <v/>
      </c>
      <c r="D101" s="26">
        <f>IF($P101="","",IF(INDEX(EntryParty,$P101)=0,"",INDEX(EntryParty,$P101)))</f>
        <v/>
      </c>
      <c r="E101" s="26">
        <f>IF($P101="","",IF(INDEX(EntryPartyName,$P101)=0,"",INDEX(EntryPartyName,$P101)))</f>
        <v/>
      </c>
      <c r="F101" s="26">
        <f>IF($P101="","",IF(INDEX(EntryPartyType,$P101)=0,"",INDEX(EntryPartyType,$P101)))</f>
        <v/>
      </c>
      <c r="G101" s="26">
        <f>IF($P101="","",IF(INDEX(EntryTxnType,$P101)=0,"",INDEX(EntryTxnType,$P101)))</f>
        <v/>
      </c>
      <c r="H101" s="27">
        <f>IF($P101="","",IF(INDEX(EntryDep,$P101)=0,"",INDEX(EntryDep,$P101)))</f>
        <v/>
      </c>
      <c r="I101" s="27">
        <f>IF($P101="","",IF(INDEX(EntryWit,$P101)=0,"",INDEX(EntryWit,$P101)))</f>
        <v/>
      </c>
      <c r="J101" s="27">
        <f>IF($B101="","",IF($A101=1,$C$7,IF(J100="",0,J100))+IF($H101="",0,$H101)-IF($I101="",0,$I101))</f>
        <v/>
      </c>
      <c r="K101" s="27">
        <f>IF($P101="","",IF(INDEX(EntryMan,$P101)=0,"",INDEX(EntryMan,$P101)))</f>
        <v/>
      </c>
      <c r="L101" s="26">
        <f>IF($B101="","",IF($K101="","—",IF(ROUND($K101-$J101,0)=0,"√","×")))</f>
        <v/>
      </c>
      <c r="M101" s="26">
        <f>IF($B101="","",IF(COUNTIFS(EntryDates,$B101,CalcTime,$C101,CalcBank,$C$5,EntryParty,$D101,EntryDep,$H101,EntryWit,$I101)&gt;1,"تکرار",""))</f>
        <v/>
      </c>
      <c r="N101" s="26">
        <f>IF($P101="","",IF(INDEX(EntryNotes,$P101)=0,"",INDEX(EntryNotes,$P101)))</f>
        <v/>
      </c>
      <c r="O101" s="26">
        <f>IF($P101="","",IF(INDEX(EntryTxnID,$P101)=0,"",INDEX(EntryTxnID,$P101)))</f>
        <v/>
      </c>
      <c r="P101" s="26">
        <f>IFERROR(MATCH($C$5&amp;"|"&amp;RIGHT("000000"&amp;85,6),CalcRankKey,0),"")</f>
        <v/>
      </c>
    </row>
    <row r="102">
      <c r="A102" s="28">
        <f>IF($B102="","",86)</f>
        <v/>
      </c>
      <c r="B102" s="28">
        <f>IF($P102="","",IF(INDEX(CalcNormDate,$P102)=0,"",INDEX(CalcNormDate,$P102)))</f>
        <v/>
      </c>
      <c r="C102" s="28">
        <f>IF($P102="","",IF(INDEX(CalcTime,$P102)=0,"",INDEX(CalcTime,$P102)))</f>
        <v/>
      </c>
      <c r="D102" s="28">
        <f>IF($P102="","",IF(INDEX(EntryParty,$P102)=0,"",INDEX(EntryParty,$P102)))</f>
        <v/>
      </c>
      <c r="E102" s="28">
        <f>IF($P102="","",IF(INDEX(EntryPartyName,$P102)=0,"",INDEX(EntryPartyName,$P102)))</f>
        <v/>
      </c>
      <c r="F102" s="28">
        <f>IF($P102="","",IF(INDEX(EntryPartyType,$P102)=0,"",INDEX(EntryPartyType,$P102)))</f>
        <v/>
      </c>
      <c r="G102" s="28">
        <f>IF($P102="","",IF(INDEX(EntryTxnType,$P102)=0,"",INDEX(EntryTxnType,$P102)))</f>
        <v/>
      </c>
      <c r="H102" s="29">
        <f>IF($P102="","",IF(INDEX(EntryDep,$P102)=0,"",INDEX(EntryDep,$P102)))</f>
        <v/>
      </c>
      <c r="I102" s="29">
        <f>IF($P102="","",IF(INDEX(EntryWit,$P102)=0,"",INDEX(EntryWit,$P102)))</f>
        <v/>
      </c>
      <c r="J102" s="29">
        <f>IF($B102="","",IF($A102=1,$C$7,IF(J101="",0,J101))+IF($H102="",0,$H102)-IF($I102="",0,$I102))</f>
        <v/>
      </c>
      <c r="K102" s="29">
        <f>IF($P102="","",IF(INDEX(EntryMan,$P102)=0,"",INDEX(EntryMan,$P102)))</f>
        <v/>
      </c>
      <c r="L102" s="28">
        <f>IF($B102="","",IF($K102="","—",IF(ROUND($K102-$J102,0)=0,"√","×")))</f>
        <v/>
      </c>
      <c r="M102" s="28">
        <f>IF($B102="","",IF(COUNTIFS(EntryDates,$B102,CalcTime,$C102,CalcBank,$C$5,EntryParty,$D102,EntryDep,$H102,EntryWit,$I102)&gt;1,"تکرار",""))</f>
        <v/>
      </c>
      <c r="N102" s="28">
        <f>IF($P102="","",IF(INDEX(EntryNotes,$P102)=0,"",INDEX(EntryNotes,$P102)))</f>
        <v/>
      </c>
      <c r="O102" s="28">
        <f>IF($P102="","",IF(INDEX(EntryTxnID,$P102)=0,"",INDEX(EntryTxnID,$P102)))</f>
        <v/>
      </c>
      <c r="P102" s="28">
        <f>IFERROR(MATCH($C$5&amp;"|"&amp;RIGHT("000000"&amp;86,6),CalcRankKey,0),"")</f>
        <v/>
      </c>
    </row>
    <row r="103">
      <c r="A103" s="26">
        <f>IF($B103="","",87)</f>
        <v/>
      </c>
      <c r="B103" s="26">
        <f>IF($P103="","",IF(INDEX(CalcNormDate,$P103)=0,"",INDEX(CalcNormDate,$P103)))</f>
        <v/>
      </c>
      <c r="C103" s="26">
        <f>IF($P103="","",IF(INDEX(CalcTime,$P103)=0,"",INDEX(CalcTime,$P103)))</f>
        <v/>
      </c>
      <c r="D103" s="26">
        <f>IF($P103="","",IF(INDEX(EntryParty,$P103)=0,"",INDEX(EntryParty,$P103)))</f>
        <v/>
      </c>
      <c r="E103" s="26">
        <f>IF($P103="","",IF(INDEX(EntryPartyName,$P103)=0,"",INDEX(EntryPartyName,$P103)))</f>
        <v/>
      </c>
      <c r="F103" s="26">
        <f>IF($P103="","",IF(INDEX(EntryPartyType,$P103)=0,"",INDEX(EntryPartyType,$P103)))</f>
        <v/>
      </c>
      <c r="G103" s="26">
        <f>IF($P103="","",IF(INDEX(EntryTxnType,$P103)=0,"",INDEX(EntryTxnType,$P103)))</f>
        <v/>
      </c>
      <c r="H103" s="27">
        <f>IF($P103="","",IF(INDEX(EntryDep,$P103)=0,"",INDEX(EntryDep,$P103)))</f>
        <v/>
      </c>
      <c r="I103" s="27">
        <f>IF($P103="","",IF(INDEX(EntryWit,$P103)=0,"",INDEX(EntryWit,$P103)))</f>
        <v/>
      </c>
      <c r="J103" s="27">
        <f>IF($B103="","",IF($A103=1,$C$7,IF(J102="",0,J102))+IF($H103="",0,$H103)-IF($I103="",0,$I103))</f>
        <v/>
      </c>
      <c r="K103" s="27">
        <f>IF($P103="","",IF(INDEX(EntryMan,$P103)=0,"",INDEX(EntryMan,$P103)))</f>
        <v/>
      </c>
      <c r="L103" s="26">
        <f>IF($B103="","",IF($K103="","—",IF(ROUND($K103-$J103,0)=0,"√","×")))</f>
        <v/>
      </c>
      <c r="M103" s="26">
        <f>IF($B103="","",IF(COUNTIFS(EntryDates,$B103,CalcTime,$C103,CalcBank,$C$5,EntryParty,$D103,EntryDep,$H103,EntryWit,$I103)&gt;1,"تکرار",""))</f>
        <v/>
      </c>
      <c r="N103" s="26">
        <f>IF($P103="","",IF(INDEX(EntryNotes,$P103)=0,"",INDEX(EntryNotes,$P103)))</f>
        <v/>
      </c>
      <c r="O103" s="26">
        <f>IF($P103="","",IF(INDEX(EntryTxnID,$P103)=0,"",INDEX(EntryTxnID,$P103)))</f>
        <v/>
      </c>
      <c r="P103" s="26">
        <f>IFERROR(MATCH($C$5&amp;"|"&amp;RIGHT("000000"&amp;87,6),CalcRankKey,0),"")</f>
        <v/>
      </c>
    </row>
    <row r="104">
      <c r="A104" s="28">
        <f>IF($B104="","",88)</f>
        <v/>
      </c>
      <c r="B104" s="28">
        <f>IF($P104="","",IF(INDEX(CalcNormDate,$P104)=0,"",INDEX(CalcNormDate,$P104)))</f>
        <v/>
      </c>
      <c r="C104" s="28">
        <f>IF($P104="","",IF(INDEX(CalcTime,$P104)=0,"",INDEX(CalcTime,$P104)))</f>
        <v/>
      </c>
      <c r="D104" s="28">
        <f>IF($P104="","",IF(INDEX(EntryParty,$P104)=0,"",INDEX(EntryParty,$P104)))</f>
        <v/>
      </c>
      <c r="E104" s="28">
        <f>IF($P104="","",IF(INDEX(EntryPartyName,$P104)=0,"",INDEX(EntryPartyName,$P104)))</f>
        <v/>
      </c>
      <c r="F104" s="28">
        <f>IF($P104="","",IF(INDEX(EntryPartyType,$P104)=0,"",INDEX(EntryPartyType,$P104)))</f>
        <v/>
      </c>
      <c r="G104" s="28">
        <f>IF($P104="","",IF(INDEX(EntryTxnType,$P104)=0,"",INDEX(EntryTxnType,$P104)))</f>
        <v/>
      </c>
      <c r="H104" s="29">
        <f>IF($P104="","",IF(INDEX(EntryDep,$P104)=0,"",INDEX(EntryDep,$P104)))</f>
        <v/>
      </c>
      <c r="I104" s="29">
        <f>IF($P104="","",IF(INDEX(EntryWit,$P104)=0,"",INDEX(EntryWit,$P104)))</f>
        <v/>
      </c>
      <c r="J104" s="29">
        <f>IF($B104="","",IF($A104=1,$C$7,IF(J103="",0,J103))+IF($H104="",0,$H104)-IF($I104="",0,$I104))</f>
        <v/>
      </c>
      <c r="K104" s="29">
        <f>IF($P104="","",IF(INDEX(EntryMan,$P104)=0,"",INDEX(EntryMan,$P104)))</f>
        <v/>
      </c>
      <c r="L104" s="28">
        <f>IF($B104="","",IF($K104="","—",IF(ROUND($K104-$J104,0)=0,"√","×")))</f>
        <v/>
      </c>
      <c r="M104" s="28">
        <f>IF($B104="","",IF(COUNTIFS(EntryDates,$B104,CalcTime,$C104,CalcBank,$C$5,EntryParty,$D104,EntryDep,$H104,EntryWit,$I104)&gt;1,"تکرار",""))</f>
        <v/>
      </c>
      <c r="N104" s="28">
        <f>IF($P104="","",IF(INDEX(EntryNotes,$P104)=0,"",INDEX(EntryNotes,$P104)))</f>
        <v/>
      </c>
      <c r="O104" s="28">
        <f>IF($P104="","",IF(INDEX(EntryTxnID,$P104)=0,"",INDEX(EntryTxnID,$P104)))</f>
        <v/>
      </c>
      <c r="P104" s="28">
        <f>IFERROR(MATCH($C$5&amp;"|"&amp;RIGHT("000000"&amp;88,6),CalcRankKey,0),"")</f>
        <v/>
      </c>
    </row>
    <row r="105">
      <c r="A105" s="26">
        <f>IF($B105="","",89)</f>
        <v/>
      </c>
      <c r="B105" s="26">
        <f>IF($P105="","",IF(INDEX(CalcNormDate,$P105)=0,"",INDEX(CalcNormDate,$P105)))</f>
        <v/>
      </c>
      <c r="C105" s="26">
        <f>IF($P105="","",IF(INDEX(CalcTime,$P105)=0,"",INDEX(CalcTime,$P105)))</f>
        <v/>
      </c>
      <c r="D105" s="26">
        <f>IF($P105="","",IF(INDEX(EntryParty,$P105)=0,"",INDEX(EntryParty,$P105)))</f>
        <v/>
      </c>
      <c r="E105" s="26">
        <f>IF($P105="","",IF(INDEX(EntryPartyName,$P105)=0,"",INDEX(EntryPartyName,$P105)))</f>
        <v/>
      </c>
      <c r="F105" s="26">
        <f>IF($P105="","",IF(INDEX(EntryPartyType,$P105)=0,"",INDEX(EntryPartyType,$P105)))</f>
        <v/>
      </c>
      <c r="G105" s="26">
        <f>IF($P105="","",IF(INDEX(EntryTxnType,$P105)=0,"",INDEX(EntryTxnType,$P105)))</f>
        <v/>
      </c>
      <c r="H105" s="27">
        <f>IF($P105="","",IF(INDEX(EntryDep,$P105)=0,"",INDEX(EntryDep,$P105)))</f>
        <v/>
      </c>
      <c r="I105" s="27">
        <f>IF($P105="","",IF(INDEX(EntryWit,$P105)=0,"",INDEX(EntryWit,$P105)))</f>
        <v/>
      </c>
      <c r="J105" s="27">
        <f>IF($B105="","",IF($A105=1,$C$7,IF(J104="",0,J104))+IF($H105="",0,$H105)-IF($I105="",0,$I105))</f>
        <v/>
      </c>
      <c r="K105" s="27">
        <f>IF($P105="","",IF(INDEX(EntryMan,$P105)=0,"",INDEX(EntryMan,$P105)))</f>
        <v/>
      </c>
      <c r="L105" s="26">
        <f>IF($B105="","",IF($K105="","—",IF(ROUND($K105-$J105,0)=0,"√","×")))</f>
        <v/>
      </c>
      <c r="M105" s="26">
        <f>IF($B105="","",IF(COUNTIFS(EntryDates,$B105,CalcTime,$C105,CalcBank,$C$5,EntryParty,$D105,EntryDep,$H105,EntryWit,$I105)&gt;1,"تکرار",""))</f>
        <v/>
      </c>
      <c r="N105" s="26">
        <f>IF($P105="","",IF(INDEX(EntryNotes,$P105)=0,"",INDEX(EntryNotes,$P105)))</f>
        <v/>
      </c>
      <c r="O105" s="26">
        <f>IF($P105="","",IF(INDEX(EntryTxnID,$P105)=0,"",INDEX(EntryTxnID,$P105)))</f>
        <v/>
      </c>
      <c r="P105" s="26">
        <f>IFERROR(MATCH($C$5&amp;"|"&amp;RIGHT("000000"&amp;89,6),CalcRankKey,0),"")</f>
        <v/>
      </c>
    </row>
    <row r="106">
      <c r="A106" s="28">
        <f>IF($B106="","",90)</f>
        <v/>
      </c>
      <c r="B106" s="28">
        <f>IF($P106="","",IF(INDEX(CalcNormDate,$P106)=0,"",INDEX(CalcNormDate,$P106)))</f>
        <v/>
      </c>
      <c r="C106" s="28">
        <f>IF($P106="","",IF(INDEX(CalcTime,$P106)=0,"",INDEX(CalcTime,$P106)))</f>
        <v/>
      </c>
      <c r="D106" s="28">
        <f>IF($P106="","",IF(INDEX(EntryParty,$P106)=0,"",INDEX(EntryParty,$P106)))</f>
        <v/>
      </c>
      <c r="E106" s="28">
        <f>IF($P106="","",IF(INDEX(EntryPartyName,$P106)=0,"",INDEX(EntryPartyName,$P106)))</f>
        <v/>
      </c>
      <c r="F106" s="28">
        <f>IF($P106="","",IF(INDEX(EntryPartyType,$P106)=0,"",INDEX(EntryPartyType,$P106)))</f>
        <v/>
      </c>
      <c r="G106" s="28">
        <f>IF($P106="","",IF(INDEX(EntryTxnType,$P106)=0,"",INDEX(EntryTxnType,$P106)))</f>
        <v/>
      </c>
      <c r="H106" s="29">
        <f>IF($P106="","",IF(INDEX(EntryDep,$P106)=0,"",INDEX(EntryDep,$P106)))</f>
        <v/>
      </c>
      <c r="I106" s="29">
        <f>IF($P106="","",IF(INDEX(EntryWit,$P106)=0,"",INDEX(EntryWit,$P106)))</f>
        <v/>
      </c>
      <c r="J106" s="29">
        <f>IF($B106="","",IF($A106=1,$C$7,IF(J105="",0,J105))+IF($H106="",0,$H106)-IF($I106="",0,$I106))</f>
        <v/>
      </c>
      <c r="K106" s="29">
        <f>IF($P106="","",IF(INDEX(EntryMan,$P106)=0,"",INDEX(EntryMan,$P106)))</f>
        <v/>
      </c>
      <c r="L106" s="28">
        <f>IF($B106="","",IF($K106="","—",IF(ROUND($K106-$J106,0)=0,"√","×")))</f>
        <v/>
      </c>
      <c r="M106" s="28">
        <f>IF($B106="","",IF(COUNTIFS(EntryDates,$B106,CalcTime,$C106,CalcBank,$C$5,EntryParty,$D106,EntryDep,$H106,EntryWit,$I106)&gt;1,"تکرار",""))</f>
        <v/>
      </c>
      <c r="N106" s="28">
        <f>IF($P106="","",IF(INDEX(EntryNotes,$P106)=0,"",INDEX(EntryNotes,$P106)))</f>
        <v/>
      </c>
      <c r="O106" s="28">
        <f>IF($P106="","",IF(INDEX(EntryTxnID,$P106)=0,"",INDEX(EntryTxnID,$P106)))</f>
        <v/>
      </c>
      <c r="P106" s="28">
        <f>IFERROR(MATCH($C$5&amp;"|"&amp;RIGHT("000000"&amp;90,6),CalcRankKey,0),"")</f>
        <v/>
      </c>
    </row>
    <row r="107">
      <c r="A107" s="26">
        <f>IF($B107="","",91)</f>
        <v/>
      </c>
      <c r="B107" s="26">
        <f>IF($P107="","",IF(INDEX(CalcNormDate,$P107)=0,"",INDEX(CalcNormDate,$P107)))</f>
        <v/>
      </c>
      <c r="C107" s="26">
        <f>IF($P107="","",IF(INDEX(CalcTime,$P107)=0,"",INDEX(CalcTime,$P107)))</f>
        <v/>
      </c>
      <c r="D107" s="26">
        <f>IF($P107="","",IF(INDEX(EntryParty,$P107)=0,"",INDEX(EntryParty,$P107)))</f>
        <v/>
      </c>
      <c r="E107" s="26">
        <f>IF($P107="","",IF(INDEX(EntryPartyName,$P107)=0,"",INDEX(EntryPartyName,$P107)))</f>
        <v/>
      </c>
      <c r="F107" s="26">
        <f>IF($P107="","",IF(INDEX(EntryPartyType,$P107)=0,"",INDEX(EntryPartyType,$P107)))</f>
        <v/>
      </c>
      <c r="G107" s="26">
        <f>IF($P107="","",IF(INDEX(EntryTxnType,$P107)=0,"",INDEX(EntryTxnType,$P107)))</f>
        <v/>
      </c>
      <c r="H107" s="27">
        <f>IF($P107="","",IF(INDEX(EntryDep,$P107)=0,"",INDEX(EntryDep,$P107)))</f>
        <v/>
      </c>
      <c r="I107" s="27">
        <f>IF($P107="","",IF(INDEX(EntryWit,$P107)=0,"",INDEX(EntryWit,$P107)))</f>
        <v/>
      </c>
      <c r="J107" s="27">
        <f>IF($B107="","",IF($A107=1,$C$7,IF(J106="",0,J106))+IF($H107="",0,$H107)-IF($I107="",0,$I107))</f>
        <v/>
      </c>
      <c r="K107" s="27">
        <f>IF($P107="","",IF(INDEX(EntryMan,$P107)=0,"",INDEX(EntryMan,$P107)))</f>
        <v/>
      </c>
      <c r="L107" s="26">
        <f>IF($B107="","",IF($K107="","—",IF(ROUND($K107-$J107,0)=0,"√","×")))</f>
        <v/>
      </c>
      <c r="M107" s="26">
        <f>IF($B107="","",IF(COUNTIFS(EntryDates,$B107,CalcTime,$C107,CalcBank,$C$5,EntryParty,$D107,EntryDep,$H107,EntryWit,$I107)&gt;1,"تکرار",""))</f>
        <v/>
      </c>
      <c r="N107" s="26">
        <f>IF($P107="","",IF(INDEX(EntryNotes,$P107)=0,"",INDEX(EntryNotes,$P107)))</f>
        <v/>
      </c>
      <c r="O107" s="26">
        <f>IF($P107="","",IF(INDEX(EntryTxnID,$P107)=0,"",INDEX(EntryTxnID,$P107)))</f>
        <v/>
      </c>
      <c r="P107" s="26">
        <f>IFERROR(MATCH($C$5&amp;"|"&amp;RIGHT("000000"&amp;91,6),CalcRankKey,0),"")</f>
        <v/>
      </c>
    </row>
    <row r="108">
      <c r="A108" s="28">
        <f>IF($B108="","",92)</f>
        <v/>
      </c>
      <c r="B108" s="28">
        <f>IF($P108="","",IF(INDEX(CalcNormDate,$P108)=0,"",INDEX(CalcNormDate,$P108)))</f>
        <v/>
      </c>
      <c r="C108" s="28">
        <f>IF($P108="","",IF(INDEX(CalcTime,$P108)=0,"",INDEX(CalcTime,$P108)))</f>
        <v/>
      </c>
      <c r="D108" s="28">
        <f>IF($P108="","",IF(INDEX(EntryParty,$P108)=0,"",INDEX(EntryParty,$P108)))</f>
        <v/>
      </c>
      <c r="E108" s="28">
        <f>IF($P108="","",IF(INDEX(EntryPartyName,$P108)=0,"",INDEX(EntryPartyName,$P108)))</f>
        <v/>
      </c>
      <c r="F108" s="28">
        <f>IF($P108="","",IF(INDEX(EntryPartyType,$P108)=0,"",INDEX(EntryPartyType,$P108)))</f>
        <v/>
      </c>
      <c r="G108" s="28">
        <f>IF($P108="","",IF(INDEX(EntryTxnType,$P108)=0,"",INDEX(EntryTxnType,$P108)))</f>
        <v/>
      </c>
      <c r="H108" s="29">
        <f>IF($P108="","",IF(INDEX(EntryDep,$P108)=0,"",INDEX(EntryDep,$P108)))</f>
        <v/>
      </c>
      <c r="I108" s="29">
        <f>IF($P108="","",IF(INDEX(EntryWit,$P108)=0,"",INDEX(EntryWit,$P108)))</f>
        <v/>
      </c>
      <c r="J108" s="29">
        <f>IF($B108="","",IF($A108=1,$C$7,IF(J107="",0,J107))+IF($H108="",0,$H108)-IF($I108="",0,$I108))</f>
        <v/>
      </c>
      <c r="K108" s="29">
        <f>IF($P108="","",IF(INDEX(EntryMan,$P108)=0,"",INDEX(EntryMan,$P108)))</f>
        <v/>
      </c>
      <c r="L108" s="28">
        <f>IF($B108="","",IF($K108="","—",IF(ROUND($K108-$J108,0)=0,"√","×")))</f>
        <v/>
      </c>
      <c r="M108" s="28">
        <f>IF($B108="","",IF(COUNTIFS(EntryDates,$B108,CalcTime,$C108,CalcBank,$C$5,EntryParty,$D108,EntryDep,$H108,EntryWit,$I108)&gt;1,"تکرار",""))</f>
        <v/>
      </c>
      <c r="N108" s="28">
        <f>IF($P108="","",IF(INDEX(EntryNotes,$P108)=0,"",INDEX(EntryNotes,$P108)))</f>
        <v/>
      </c>
      <c r="O108" s="28">
        <f>IF($P108="","",IF(INDEX(EntryTxnID,$P108)=0,"",INDEX(EntryTxnID,$P108)))</f>
        <v/>
      </c>
      <c r="P108" s="28">
        <f>IFERROR(MATCH($C$5&amp;"|"&amp;RIGHT("000000"&amp;92,6),CalcRankKey,0),"")</f>
        <v/>
      </c>
    </row>
    <row r="109">
      <c r="A109" s="26">
        <f>IF($B109="","",93)</f>
        <v/>
      </c>
      <c r="B109" s="26">
        <f>IF($P109="","",IF(INDEX(CalcNormDate,$P109)=0,"",INDEX(CalcNormDate,$P109)))</f>
        <v/>
      </c>
      <c r="C109" s="26">
        <f>IF($P109="","",IF(INDEX(CalcTime,$P109)=0,"",INDEX(CalcTime,$P109)))</f>
        <v/>
      </c>
      <c r="D109" s="26">
        <f>IF($P109="","",IF(INDEX(EntryParty,$P109)=0,"",INDEX(EntryParty,$P109)))</f>
        <v/>
      </c>
      <c r="E109" s="26">
        <f>IF($P109="","",IF(INDEX(EntryPartyName,$P109)=0,"",INDEX(EntryPartyName,$P109)))</f>
        <v/>
      </c>
      <c r="F109" s="26">
        <f>IF($P109="","",IF(INDEX(EntryPartyType,$P109)=0,"",INDEX(EntryPartyType,$P109)))</f>
        <v/>
      </c>
      <c r="G109" s="26">
        <f>IF($P109="","",IF(INDEX(EntryTxnType,$P109)=0,"",INDEX(EntryTxnType,$P109)))</f>
        <v/>
      </c>
      <c r="H109" s="27">
        <f>IF($P109="","",IF(INDEX(EntryDep,$P109)=0,"",INDEX(EntryDep,$P109)))</f>
        <v/>
      </c>
      <c r="I109" s="27">
        <f>IF($P109="","",IF(INDEX(EntryWit,$P109)=0,"",INDEX(EntryWit,$P109)))</f>
        <v/>
      </c>
      <c r="J109" s="27">
        <f>IF($B109="","",IF($A109=1,$C$7,IF(J108="",0,J108))+IF($H109="",0,$H109)-IF($I109="",0,$I109))</f>
        <v/>
      </c>
      <c r="K109" s="27">
        <f>IF($P109="","",IF(INDEX(EntryMan,$P109)=0,"",INDEX(EntryMan,$P109)))</f>
        <v/>
      </c>
      <c r="L109" s="26">
        <f>IF($B109="","",IF($K109="","—",IF(ROUND($K109-$J109,0)=0,"√","×")))</f>
        <v/>
      </c>
      <c r="M109" s="26">
        <f>IF($B109="","",IF(COUNTIFS(EntryDates,$B109,CalcTime,$C109,CalcBank,$C$5,EntryParty,$D109,EntryDep,$H109,EntryWit,$I109)&gt;1,"تکرار",""))</f>
        <v/>
      </c>
      <c r="N109" s="26">
        <f>IF($P109="","",IF(INDEX(EntryNotes,$P109)=0,"",INDEX(EntryNotes,$P109)))</f>
        <v/>
      </c>
      <c r="O109" s="26">
        <f>IF($P109="","",IF(INDEX(EntryTxnID,$P109)=0,"",INDEX(EntryTxnID,$P109)))</f>
        <v/>
      </c>
      <c r="P109" s="26">
        <f>IFERROR(MATCH($C$5&amp;"|"&amp;RIGHT("000000"&amp;93,6),CalcRankKey,0),"")</f>
        <v/>
      </c>
    </row>
    <row r="110">
      <c r="A110" s="28">
        <f>IF($B110="","",94)</f>
        <v/>
      </c>
      <c r="B110" s="28">
        <f>IF($P110="","",IF(INDEX(CalcNormDate,$P110)=0,"",INDEX(CalcNormDate,$P110)))</f>
        <v/>
      </c>
      <c r="C110" s="28">
        <f>IF($P110="","",IF(INDEX(CalcTime,$P110)=0,"",INDEX(CalcTime,$P110)))</f>
        <v/>
      </c>
      <c r="D110" s="28">
        <f>IF($P110="","",IF(INDEX(EntryParty,$P110)=0,"",INDEX(EntryParty,$P110)))</f>
        <v/>
      </c>
      <c r="E110" s="28">
        <f>IF($P110="","",IF(INDEX(EntryPartyName,$P110)=0,"",INDEX(EntryPartyName,$P110)))</f>
        <v/>
      </c>
      <c r="F110" s="28">
        <f>IF($P110="","",IF(INDEX(EntryPartyType,$P110)=0,"",INDEX(EntryPartyType,$P110)))</f>
        <v/>
      </c>
      <c r="G110" s="28">
        <f>IF($P110="","",IF(INDEX(EntryTxnType,$P110)=0,"",INDEX(EntryTxnType,$P110)))</f>
        <v/>
      </c>
      <c r="H110" s="29">
        <f>IF($P110="","",IF(INDEX(EntryDep,$P110)=0,"",INDEX(EntryDep,$P110)))</f>
        <v/>
      </c>
      <c r="I110" s="29">
        <f>IF($P110="","",IF(INDEX(EntryWit,$P110)=0,"",INDEX(EntryWit,$P110)))</f>
        <v/>
      </c>
      <c r="J110" s="29">
        <f>IF($B110="","",IF($A110=1,$C$7,IF(J109="",0,J109))+IF($H110="",0,$H110)-IF($I110="",0,$I110))</f>
        <v/>
      </c>
      <c r="K110" s="29">
        <f>IF($P110="","",IF(INDEX(EntryMan,$P110)=0,"",INDEX(EntryMan,$P110)))</f>
        <v/>
      </c>
      <c r="L110" s="28">
        <f>IF($B110="","",IF($K110="","—",IF(ROUND($K110-$J110,0)=0,"√","×")))</f>
        <v/>
      </c>
      <c r="M110" s="28">
        <f>IF($B110="","",IF(COUNTIFS(EntryDates,$B110,CalcTime,$C110,CalcBank,$C$5,EntryParty,$D110,EntryDep,$H110,EntryWit,$I110)&gt;1,"تکرار",""))</f>
        <v/>
      </c>
      <c r="N110" s="28">
        <f>IF($P110="","",IF(INDEX(EntryNotes,$P110)=0,"",INDEX(EntryNotes,$P110)))</f>
        <v/>
      </c>
      <c r="O110" s="28">
        <f>IF($P110="","",IF(INDEX(EntryTxnID,$P110)=0,"",INDEX(EntryTxnID,$P110)))</f>
        <v/>
      </c>
      <c r="P110" s="28">
        <f>IFERROR(MATCH($C$5&amp;"|"&amp;RIGHT("000000"&amp;94,6),CalcRankKey,0),"")</f>
        <v/>
      </c>
    </row>
    <row r="111">
      <c r="A111" s="26">
        <f>IF($B111="","",95)</f>
        <v/>
      </c>
      <c r="B111" s="26">
        <f>IF($P111="","",IF(INDEX(CalcNormDate,$P111)=0,"",INDEX(CalcNormDate,$P111)))</f>
        <v/>
      </c>
      <c r="C111" s="26">
        <f>IF($P111="","",IF(INDEX(CalcTime,$P111)=0,"",INDEX(CalcTime,$P111)))</f>
        <v/>
      </c>
      <c r="D111" s="26">
        <f>IF($P111="","",IF(INDEX(EntryParty,$P111)=0,"",INDEX(EntryParty,$P111)))</f>
        <v/>
      </c>
      <c r="E111" s="26">
        <f>IF($P111="","",IF(INDEX(EntryPartyName,$P111)=0,"",INDEX(EntryPartyName,$P111)))</f>
        <v/>
      </c>
      <c r="F111" s="26">
        <f>IF($P111="","",IF(INDEX(EntryPartyType,$P111)=0,"",INDEX(EntryPartyType,$P111)))</f>
        <v/>
      </c>
      <c r="G111" s="26">
        <f>IF($P111="","",IF(INDEX(EntryTxnType,$P111)=0,"",INDEX(EntryTxnType,$P111)))</f>
        <v/>
      </c>
      <c r="H111" s="27">
        <f>IF($P111="","",IF(INDEX(EntryDep,$P111)=0,"",INDEX(EntryDep,$P111)))</f>
        <v/>
      </c>
      <c r="I111" s="27">
        <f>IF($P111="","",IF(INDEX(EntryWit,$P111)=0,"",INDEX(EntryWit,$P111)))</f>
        <v/>
      </c>
      <c r="J111" s="27">
        <f>IF($B111="","",IF($A111=1,$C$7,IF(J110="",0,J110))+IF($H111="",0,$H111)-IF($I111="",0,$I111))</f>
        <v/>
      </c>
      <c r="K111" s="27">
        <f>IF($P111="","",IF(INDEX(EntryMan,$P111)=0,"",INDEX(EntryMan,$P111)))</f>
        <v/>
      </c>
      <c r="L111" s="26">
        <f>IF($B111="","",IF($K111="","—",IF(ROUND($K111-$J111,0)=0,"√","×")))</f>
        <v/>
      </c>
      <c r="M111" s="26">
        <f>IF($B111="","",IF(COUNTIFS(EntryDates,$B111,CalcTime,$C111,CalcBank,$C$5,EntryParty,$D111,EntryDep,$H111,EntryWit,$I111)&gt;1,"تکرار",""))</f>
        <v/>
      </c>
      <c r="N111" s="26">
        <f>IF($P111="","",IF(INDEX(EntryNotes,$P111)=0,"",INDEX(EntryNotes,$P111)))</f>
        <v/>
      </c>
      <c r="O111" s="26">
        <f>IF($P111="","",IF(INDEX(EntryTxnID,$P111)=0,"",INDEX(EntryTxnID,$P111)))</f>
        <v/>
      </c>
      <c r="P111" s="26">
        <f>IFERROR(MATCH($C$5&amp;"|"&amp;RIGHT("000000"&amp;95,6),CalcRankKey,0),"")</f>
        <v/>
      </c>
    </row>
    <row r="112">
      <c r="A112" s="28">
        <f>IF($B112="","",96)</f>
        <v/>
      </c>
      <c r="B112" s="28">
        <f>IF($P112="","",IF(INDEX(CalcNormDate,$P112)=0,"",INDEX(CalcNormDate,$P112)))</f>
        <v/>
      </c>
      <c r="C112" s="28">
        <f>IF($P112="","",IF(INDEX(CalcTime,$P112)=0,"",INDEX(CalcTime,$P112)))</f>
        <v/>
      </c>
      <c r="D112" s="28">
        <f>IF($P112="","",IF(INDEX(EntryParty,$P112)=0,"",INDEX(EntryParty,$P112)))</f>
        <v/>
      </c>
      <c r="E112" s="28">
        <f>IF($P112="","",IF(INDEX(EntryPartyName,$P112)=0,"",INDEX(EntryPartyName,$P112)))</f>
        <v/>
      </c>
      <c r="F112" s="28">
        <f>IF($P112="","",IF(INDEX(EntryPartyType,$P112)=0,"",INDEX(EntryPartyType,$P112)))</f>
        <v/>
      </c>
      <c r="G112" s="28">
        <f>IF($P112="","",IF(INDEX(EntryTxnType,$P112)=0,"",INDEX(EntryTxnType,$P112)))</f>
        <v/>
      </c>
      <c r="H112" s="29">
        <f>IF($P112="","",IF(INDEX(EntryDep,$P112)=0,"",INDEX(EntryDep,$P112)))</f>
        <v/>
      </c>
      <c r="I112" s="29">
        <f>IF($P112="","",IF(INDEX(EntryWit,$P112)=0,"",INDEX(EntryWit,$P112)))</f>
        <v/>
      </c>
      <c r="J112" s="29">
        <f>IF($B112="","",IF($A112=1,$C$7,IF(J111="",0,J111))+IF($H112="",0,$H112)-IF($I112="",0,$I112))</f>
        <v/>
      </c>
      <c r="K112" s="29">
        <f>IF($P112="","",IF(INDEX(EntryMan,$P112)=0,"",INDEX(EntryMan,$P112)))</f>
        <v/>
      </c>
      <c r="L112" s="28">
        <f>IF($B112="","",IF($K112="","—",IF(ROUND($K112-$J112,0)=0,"√","×")))</f>
        <v/>
      </c>
      <c r="M112" s="28">
        <f>IF($B112="","",IF(COUNTIFS(EntryDates,$B112,CalcTime,$C112,CalcBank,$C$5,EntryParty,$D112,EntryDep,$H112,EntryWit,$I112)&gt;1,"تکرار",""))</f>
        <v/>
      </c>
      <c r="N112" s="28">
        <f>IF($P112="","",IF(INDEX(EntryNotes,$P112)=0,"",INDEX(EntryNotes,$P112)))</f>
        <v/>
      </c>
      <c r="O112" s="28">
        <f>IF($P112="","",IF(INDEX(EntryTxnID,$P112)=0,"",INDEX(EntryTxnID,$P112)))</f>
        <v/>
      </c>
      <c r="P112" s="28">
        <f>IFERROR(MATCH($C$5&amp;"|"&amp;RIGHT("000000"&amp;96,6),CalcRankKey,0),"")</f>
        <v/>
      </c>
    </row>
    <row r="113">
      <c r="A113" s="26">
        <f>IF($B113="","",97)</f>
        <v/>
      </c>
      <c r="B113" s="26">
        <f>IF($P113="","",IF(INDEX(CalcNormDate,$P113)=0,"",INDEX(CalcNormDate,$P113)))</f>
        <v/>
      </c>
      <c r="C113" s="26">
        <f>IF($P113="","",IF(INDEX(CalcTime,$P113)=0,"",INDEX(CalcTime,$P113)))</f>
        <v/>
      </c>
      <c r="D113" s="26">
        <f>IF($P113="","",IF(INDEX(EntryParty,$P113)=0,"",INDEX(EntryParty,$P113)))</f>
        <v/>
      </c>
      <c r="E113" s="26">
        <f>IF($P113="","",IF(INDEX(EntryPartyName,$P113)=0,"",INDEX(EntryPartyName,$P113)))</f>
        <v/>
      </c>
      <c r="F113" s="26">
        <f>IF($P113="","",IF(INDEX(EntryPartyType,$P113)=0,"",INDEX(EntryPartyType,$P113)))</f>
        <v/>
      </c>
      <c r="G113" s="26">
        <f>IF($P113="","",IF(INDEX(EntryTxnType,$P113)=0,"",INDEX(EntryTxnType,$P113)))</f>
        <v/>
      </c>
      <c r="H113" s="27">
        <f>IF($P113="","",IF(INDEX(EntryDep,$P113)=0,"",INDEX(EntryDep,$P113)))</f>
        <v/>
      </c>
      <c r="I113" s="27">
        <f>IF($P113="","",IF(INDEX(EntryWit,$P113)=0,"",INDEX(EntryWit,$P113)))</f>
        <v/>
      </c>
      <c r="J113" s="27">
        <f>IF($B113="","",IF($A113=1,$C$7,IF(J112="",0,J112))+IF($H113="",0,$H113)-IF($I113="",0,$I113))</f>
        <v/>
      </c>
      <c r="K113" s="27">
        <f>IF($P113="","",IF(INDEX(EntryMan,$P113)=0,"",INDEX(EntryMan,$P113)))</f>
        <v/>
      </c>
      <c r="L113" s="26">
        <f>IF($B113="","",IF($K113="","—",IF(ROUND($K113-$J113,0)=0,"√","×")))</f>
        <v/>
      </c>
      <c r="M113" s="26">
        <f>IF($B113="","",IF(COUNTIFS(EntryDates,$B113,CalcTime,$C113,CalcBank,$C$5,EntryParty,$D113,EntryDep,$H113,EntryWit,$I113)&gt;1,"تکرار",""))</f>
        <v/>
      </c>
      <c r="N113" s="26">
        <f>IF($P113="","",IF(INDEX(EntryNotes,$P113)=0,"",INDEX(EntryNotes,$P113)))</f>
        <v/>
      </c>
      <c r="O113" s="26">
        <f>IF($P113="","",IF(INDEX(EntryTxnID,$P113)=0,"",INDEX(EntryTxnID,$P113)))</f>
        <v/>
      </c>
      <c r="P113" s="26">
        <f>IFERROR(MATCH($C$5&amp;"|"&amp;RIGHT("000000"&amp;97,6),CalcRankKey,0),"")</f>
        <v/>
      </c>
    </row>
    <row r="114">
      <c r="A114" s="28">
        <f>IF($B114="","",98)</f>
        <v/>
      </c>
      <c r="B114" s="28">
        <f>IF($P114="","",IF(INDEX(CalcNormDate,$P114)=0,"",INDEX(CalcNormDate,$P114)))</f>
        <v/>
      </c>
      <c r="C114" s="28">
        <f>IF($P114="","",IF(INDEX(CalcTime,$P114)=0,"",INDEX(CalcTime,$P114)))</f>
        <v/>
      </c>
      <c r="D114" s="28">
        <f>IF($P114="","",IF(INDEX(EntryParty,$P114)=0,"",INDEX(EntryParty,$P114)))</f>
        <v/>
      </c>
      <c r="E114" s="28">
        <f>IF($P114="","",IF(INDEX(EntryPartyName,$P114)=0,"",INDEX(EntryPartyName,$P114)))</f>
        <v/>
      </c>
      <c r="F114" s="28">
        <f>IF($P114="","",IF(INDEX(EntryPartyType,$P114)=0,"",INDEX(EntryPartyType,$P114)))</f>
        <v/>
      </c>
      <c r="G114" s="28">
        <f>IF($P114="","",IF(INDEX(EntryTxnType,$P114)=0,"",INDEX(EntryTxnType,$P114)))</f>
        <v/>
      </c>
      <c r="H114" s="29">
        <f>IF($P114="","",IF(INDEX(EntryDep,$P114)=0,"",INDEX(EntryDep,$P114)))</f>
        <v/>
      </c>
      <c r="I114" s="29">
        <f>IF($P114="","",IF(INDEX(EntryWit,$P114)=0,"",INDEX(EntryWit,$P114)))</f>
        <v/>
      </c>
      <c r="J114" s="29">
        <f>IF($B114="","",IF($A114=1,$C$7,IF(J113="",0,J113))+IF($H114="",0,$H114)-IF($I114="",0,$I114))</f>
        <v/>
      </c>
      <c r="K114" s="29">
        <f>IF($P114="","",IF(INDEX(EntryMan,$P114)=0,"",INDEX(EntryMan,$P114)))</f>
        <v/>
      </c>
      <c r="L114" s="28">
        <f>IF($B114="","",IF($K114="","—",IF(ROUND($K114-$J114,0)=0,"√","×")))</f>
        <v/>
      </c>
      <c r="M114" s="28">
        <f>IF($B114="","",IF(COUNTIFS(EntryDates,$B114,CalcTime,$C114,CalcBank,$C$5,EntryParty,$D114,EntryDep,$H114,EntryWit,$I114)&gt;1,"تکرار",""))</f>
        <v/>
      </c>
      <c r="N114" s="28">
        <f>IF($P114="","",IF(INDEX(EntryNotes,$P114)=0,"",INDEX(EntryNotes,$P114)))</f>
        <v/>
      </c>
      <c r="O114" s="28">
        <f>IF($P114="","",IF(INDEX(EntryTxnID,$P114)=0,"",INDEX(EntryTxnID,$P114)))</f>
        <v/>
      </c>
      <c r="P114" s="28">
        <f>IFERROR(MATCH($C$5&amp;"|"&amp;RIGHT("000000"&amp;98,6),CalcRankKey,0),"")</f>
        <v/>
      </c>
    </row>
    <row r="115">
      <c r="A115" s="26">
        <f>IF($B115="","",99)</f>
        <v/>
      </c>
      <c r="B115" s="26">
        <f>IF($P115="","",IF(INDEX(CalcNormDate,$P115)=0,"",INDEX(CalcNormDate,$P115)))</f>
        <v/>
      </c>
      <c r="C115" s="26">
        <f>IF($P115="","",IF(INDEX(CalcTime,$P115)=0,"",INDEX(CalcTime,$P115)))</f>
        <v/>
      </c>
      <c r="D115" s="26">
        <f>IF($P115="","",IF(INDEX(EntryParty,$P115)=0,"",INDEX(EntryParty,$P115)))</f>
        <v/>
      </c>
      <c r="E115" s="26">
        <f>IF($P115="","",IF(INDEX(EntryPartyName,$P115)=0,"",INDEX(EntryPartyName,$P115)))</f>
        <v/>
      </c>
      <c r="F115" s="26">
        <f>IF($P115="","",IF(INDEX(EntryPartyType,$P115)=0,"",INDEX(EntryPartyType,$P115)))</f>
        <v/>
      </c>
      <c r="G115" s="26">
        <f>IF($P115="","",IF(INDEX(EntryTxnType,$P115)=0,"",INDEX(EntryTxnType,$P115)))</f>
        <v/>
      </c>
      <c r="H115" s="27">
        <f>IF($P115="","",IF(INDEX(EntryDep,$P115)=0,"",INDEX(EntryDep,$P115)))</f>
        <v/>
      </c>
      <c r="I115" s="27">
        <f>IF($P115="","",IF(INDEX(EntryWit,$P115)=0,"",INDEX(EntryWit,$P115)))</f>
        <v/>
      </c>
      <c r="J115" s="27">
        <f>IF($B115="","",IF($A115=1,$C$7,IF(J114="",0,J114))+IF($H115="",0,$H115)-IF($I115="",0,$I115))</f>
        <v/>
      </c>
      <c r="K115" s="27">
        <f>IF($P115="","",IF(INDEX(EntryMan,$P115)=0,"",INDEX(EntryMan,$P115)))</f>
        <v/>
      </c>
      <c r="L115" s="26">
        <f>IF($B115="","",IF($K115="","—",IF(ROUND($K115-$J115,0)=0,"√","×")))</f>
        <v/>
      </c>
      <c r="M115" s="26">
        <f>IF($B115="","",IF(COUNTIFS(EntryDates,$B115,CalcTime,$C115,CalcBank,$C$5,EntryParty,$D115,EntryDep,$H115,EntryWit,$I115)&gt;1,"تکرار",""))</f>
        <v/>
      </c>
      <c r="N115" s="26">
        <f>IF($P115="","",IF(INDEX(EntryNotes,$P115)=0,"",INDEX(EntryNotes,$P115)))</f>
        <v/>
      </c>
      <c r="O115" s="26">
        <f>IF($P115="","",IF(INDEX(EntryTxnID,$P115)=0,"",INDEX(EntryTxnID,$P115)))</f>
        <v/>
      </c>
      <c r="P115" s="26">
        <f>IFERROR(MATCH($C$5&amp;"|"&amp;RIGHT("000000"&amp;99,6),CalcRankKey,0),"")</f>
        <v/>
      </c>
    </row>
    <row r="116">
      <c r="A116" s="28">
        <f>IF($B116="","",100)</f>
        <v/>
      </c>
      <c r="B116" s="28">
        <f>IF($P116="","",IF(INDEX(CalcNormDate,$P116)=0,"",INDEX(CalcNormDate,$P116)))</f>
        <v/>
      </c>
      <c r="C116" s="28">
        <f>IF($P116="","",IF(INDEX(CalcTime,$P116)=0,"",INDEX(CalcTime,$P116)))</f>
        <v/>
      </c>
      <c r="D116" s="28">
        <f>IF($P116="","",IF(INDEX(EntryParty,$P116)=0,"",INDEX(EntryParty,$P116)))</f>
        <v/>
      </c>
      <c r="E116" s="28">
        <f>IF($P116="","",IF(INDEX(EntryPartyName,$P116)=0,"",INDEX(EntryPartyName,$P116)))</f>
        <v/>
      </c>
      <c r="F116" s="28">
        <f>IF($P116="","",IF(INDEX(EntryPartyType,$P116)=0,"",INDEX(EntryPartyType,$P116)))</f>
        <v/>
      </c>
      <c r="G116" s="28">
        <f>IF($P116="","",IF(INDEX(EntryTxnType,$P116)=0,"",INDEX(EntryTxnType,$P116)))</f>
        <v/>
      </c>
      <c r="H116" s="29">
        <f>IF($P116="","",IF(INDEX(EntryDep,$P116)=0,"",INDEX(EntryDep,$P116)))</f>
        <v/>
      </c>
      <c r="I116" s="29">
        <f>IF($P116="","",IF(INDEX(EntryWit,$P116)=0,"",INDEX(EntryWit,$P116)))</f>
        <v/>
      </c>
      <c r="J116" s="29">
        <f>IF($B116="","",IF($A116=1,$C$7,IF(J115="",0,J115))+IF($H116="",0,$H116)-IF($I116="",0,$I116))</f>
        <v/>
      </c>
      <c r="K116" s="29">
        <f>IF($P116="","",IF(INDEX(EntryMan,$P116)=0,"",INDEX(EntryMan,$P116)))</f>
        <v/>
      </c>
      <c r="L116" s="28">
        <f>IF($B116="","",IF($K116="","—",IF(ROUND($K116-$J116,0)=0,"√","×")))</f>
        <v/>
      </c>
      <c r="M116" s="28">
        <f>IF($B116="","",IF(COUNTIFS(EntryDates,$B116,CalcTime,$C116,CalcBank,$C$5,EntryParty,$D116,EntryDep,$H116,EntryWit,$I116)&gt;1,"تکرار",""))</f>
        <v/>
      </c>
      <c r="N116" s="28">
        <f>IF($P116="","",IF(INDEX(EntryNotes,$P116)=0,"",INDEX(EntryNotes,$P116)))</f>
        <v/>
      </c>
      <c r="O116" s="28">
        <f>IF($P116="","",IF(INDEX(EntryTxnID,$P116)=0,"",INDEX(EntryTxnID,$P116)))</f>
        <v/>
      </c>
      <c r="P116" s="28">
        <f>IFERROR(MATCH($C$5&amp;"|"&amp;RIGHT("000000"&amp;100,6),CalcRankKey,0),"")</f>
        <v/>
      </c>
    </row>
    <row r="117">
      <c r="A117" s="26">
        <f>IF($B117="","",101)</f>
        <v/>
      </c>
      <c r="B117" s="26">
        <f>IF($P117="","",IF(INDEX(CalcNormDate,$P117)=0,"",INDEX(CalcNormDate,$P117)))</f>
        <v/>
      </c>
      <c r="C117" s="26">
        <f>IF($P117="","",IF(INDEX(CalcTime,$P117)=0,"",INDEX(CalcTime,$P117)))</f>
        <v/>
      </c>
      <c r="D117" s="26">
        <f>IF($P117="","",IF(INDEX(EntryParty,$P117)=0,"",INDEX(EntryParty,$P117)))</f>
        <v/>
      </c>
      <c r="E117" s="26">
        <f>IF($P117="","",IF(INDEX(EntryPartyName,$P117)=0,"",INDEX(EntryPartyName,$P117)))</f>
        <v/>
      </c>
      <c r="F117" s="26">
        <f>IF($P117="","",IF(INDEX(EntryPartyType,$P117)=0,"",INDEX(EntryPartyType,$P117)))</f>
        <v/>
      </c>
      <c r="G117" s="26">
        <f>IF($P117="","",IF(INDEX(EntryTxnType,$P117)=0,"",INDEX(EntryTxnType,$P117)))</f>
        <v/>
      </c>
      <c r="H117" s="27">
        <f>IF($P117="","",IF(INDEX(EntryDep,$P117)=0,"",INDEX(EntryDep,$P117)))</f>
        <v/>
      </c>
      <c r="I117" s="27">
        <f>IF($P117="","",IF(INDEX(EntryWit,$P117)=0,"",INDEX(EntryWit,$P117)))</f>
        <v/>
      </c>
      <c r="J117" s="27">
        <f>IF($B117="","",IF($A117=1,$C$7,IF(J116="",0,J116))+IF($H117="",0,$H117)-IF($I117="",0,$I117))</f>
        <v/>
      </c>
      <c r="K117" s="27">
        <f>IF($P117="","",IF(INDEX(EntryMan,$P117)=0,"",INDEX(EntryMan,$P117)))</f>
        <v/>
      </c>
      <c r="L117" s="26">
        <f>IF($B117="","",IF($K117="","—",IF(ROUND($K117-$J117,0)=0,"√","×")))</f>
        <v/>
      </c>
      <c r="M117" s="26">
        <f>IF($B117="","",IF(COUNTIFS(EntryDates,$B117,CalcTime,$C117,CalcBank,$C$5,EntryParty,$D117,EntryDep,$H117,EntryWit,$I117)&gt;1,"تکرار",""))</f>
        <v/>
      </c>
      <c r="N117" s="26">
        <f>IF($P117="","",IF(INDEX(EntryNotes,$P117)=0,"",INDEX(EntryNotes,$P117)))</f>
        <v/>
      </c>
      <c r="O117" s="26">
        <f>IF($P117="","",IF(INDEX(EntryTxnID,$P117)=0,"",INDEX(EntryTxnID,$P117)))</f>
        <v/>
      </c>
      <c r="P117" s="26">
        <f>IFERROR(MATCH($C$5&amp;"|"&amp;RIGHT("000000"&amp;101,6),CalcRankKey,0),"")</f>
        <v/>
      </c>
    </row>
    <row r="118">
      <c r="A118" s="28">
        <f>IF($B118="","",102)</f>
        <v/>
      </c>
      <c r="B118" s="28">
        <f>IF($P118="","",IF(INDEX(CalcNormDate,$P118)=0,"",INDEX(CalcNormDate,$P118)))</f>
        <v/>
      </c>
      <c r="C118" s="28">
        <f>IF($P118="","",IF(INDEX(CalcTime,$P118)=0,"",INDEX(CalcTime,$P118)))</f>
        <v/>
      </c>
      <c r="D118" s="28">
        <f>IF($P118="","",IF(INDEX(EntryParty,$P118)=0,"",INDEX(EntryParty,$P118)))</f>
        <v/>
      </c>
      <c r="E118" s="28">
        <f>IF($P118="","",IF(INDEX(EntryPartyName,$P118)=0,"",INDEX(EntryPartyName,$P118)))</f>
        <v/>
      </c>
      <c r="F118" s="28">
        <f>IF($P118="","",IF(INDEX(EntryPartyType,$P118)=0,"",INDEX(EntryPartyType,$P118)))</f>
        <v/>
      </c>
      <c r="G118" s="28">
        <f>IF($P118="","",IF(INDEX(EntryTxnType,$P118)=0,"",INDEX(EntryTxnType,$P118)))</f>
        <v/>
      </c>
      <c r="H118" s="29">
        <f>IF($P118="","",IF(INDEX(EntryDep,$P118)=0,"",INDEX(EntryDep,$P118)))</f>
        <v/>
      </c>
      <c r="I118" s="29">
        <f>IF($P118="","",IF(INDEX(EntryWit,$P118)=0,"",INDEX(EntryWit,$P118)))</f>
        <v/>
      </c>
      <c r="J118" s="29">
        <f>IF($B118="","",IF($A118=1,$C$7,IF(J117="",0,J117))+IF($H118="",0,$H118)-IF($I118="",0,$I118))</f>
        <v/>
      </c>
      <c r="K118" s="29">
        <f>IF($P118="","",IF(INDEX(EntryMan,$P118)=0,"",INDEX(EntryMan,$P118)))</f>
        <v/>
      </c>
      <c r="L118" s="28">
        <f>IF($B118="","",IF($K118="","—",IF(ROUND($K118-$J118,0)=0,"√","×")))</f>
        <v/>
      </c>
      <c r="M118" s="28">
        <f>IF($B118="","",IF(COUNTIFS(EntryDates,$B118,CalcTime,$C118,CalcBank,$C$5,EntryParty,$D118,EntryDep,$H118,EntryWit,$I118)&gt;1,"تکرار",""))</f>
        <v/>
      </c>
      <c r="N118" s="28">
        <f>IF($P118="","",IF(INDEX(EntryNotes,$P118)=0,"",INDEX(EntryNotes,$P118)))</f>
        <v/>
      </c>
      <c r="O118" s="28">
        <f>IF($P118="","",IF(INDEX(EntryTxnID,$P118)=0,"",INDEX(EntryTxnID,$P118)))</f>
        <v/>
      </c>
      <c r="P118" s="28">
        <f>IFERROR(MATCH($C$5&amp;"|"&amp;RIGHT("000000"&amp;102,6),CalcRankKey,0),"")</f>
        <v/>
      </c>
    </row>
    <row r="119">
      <c r="A119" s="26">
        <f>IF($B119="","",103)</f>
        <v/>
      </c>
      <c r="B119" s="26">
        <f>IF($P119="","",IF(INDEX(CalcNormDate,$P119)=0,"",INDEX(CalcNormDate,$P119)))</f>
        <v/>
      </c>
      <c r="C119" s="26">
        <f>IF($P119="","",IF(INDEX(CalcTime,$P119)=0,"",INDEX(CalcTime,$P119)))</f>
        <v/>
      </c>
      <c r="D119" s="26">
        <f>IF($P119="","",IF(INDEX(EntryParty,$P119)=0,"",INDEX(EntryParty,$P119)))</f>
        <v/>
      </c>
      <c r="E119" s="26">
        <f>IF($P119="","",IF(INDEX(EntryPartyName,$P119)=0,"",INDEX(EntryPartyName,$P119)))</f>
        <v/>
      </c>
      <c r="F119" s="26">
        <f>IF($P119="","",IF(INDEX(EntryPartyType,$P119)=0,"",INDEX(EntryPartyType,$P119)))</f>
        <v/>
      </c>
      <c r="G119" s="26">
        <f>IF($P119="","",IF(INDEX(EntryTxnType,$P119)=0,"",INDEX(EntryTxnType,$P119)))</f>
        <v/>
      </c>
      <c r="H119" s="27">
        <f>IF($P119="","",IF(INDEX(EntryDep,$P119)=0,"",INDEX(EntryDep,$P119)))</f>
        <v/>
      </c>
      <c r="I119" s="27">
        <f>IF($P119="","",IF(INDEX(EntryWit,$P119)=0,"",INDEX(EntryWit,$P119)))</f>
        <v/>
      </c>
      <c r="J119" s="27">
        <f>IF($B119="","",IF($A119=1,$C$7,IF(J118="",0,J118))+IF($H119="",0,$H119)-IF($I119="",0,$I119))</f>
        <v/>
      </c>
      <c r="K119" s="27">
        <f>IF($P119="","",IF(INDEX(EntryMan,$P119)=0,"",INDEX(EntryMan,$P119)))</f>
        <v/>
      </c>
      <c r="L119" s="26">
        <f>IF($B119="","",IF($K119="","—",IF(ROUND($K119-$J119,0)=0,"√","×")))</f>
        <v/>
      </c>
      <c r="M119" s="26">
        <f>IF($B119="","",IF(COUNTIFS(EntryDates,$B119,CalcTime,$C119,CalcBank,$C$5,EntryParty,$D119,EntryDep,$H119,EntryWit,$I119)&gt;1,"تکرار",""))</f>
        <v/>
      </c>
      <c r="N119" s="26">
        <f>IF($P119="","",IF(INDEX(EntryNotes,$P119)=0,"",INDEX(EntryNotes,$P119)))</f>
        <v/>
      </c>
      <c r="O119" s="26">
        <f>IF($P119="","",IF(INDEX(EntryTxnID,$P119)=0,"",INDEX(EntryTxnID,$P119)))</f>
        <v/>
      </c>
      <c r="P119" s="26">
        <f>IFERROR(MATCH($C$5&amp;"|"&amp;RIGHT("000000"&amp;103,6),CalcRankKey,0),"")</f>
        <v/>
      </c>
    </row>
    <row r="120">
      <c r="A120" s="28">
        <f>IF($B120="","",104)</f>
        <v/>
      </c>
      <c r="B120" s="28">
        <f>IF($P120="","",IF(INDEX(CalcNormDate,$P120)=0,"",INDEX(CalcNormDate,$P120)))</f>
        <v/>
      </c>
      <c r="C120" s="28">
        <f>IF($P120="","",IF(INDEX(CalcTime,$P120)=0,"",INDEX(CalcTime,$P120)))</f>
        <v/>
      </c>
      <c r="D120" s="28">
        <f>IF($P120="","",IF(INDEX(EntryParty,$P120)=0,"",INDEX(EntryParty,$P120)))</f>
        <v/>
      </c>
      <c r="E120" s="28">
        <f>IF($P120="","",IF(INDEX(EntryPartyName,$P120)=0,"",INDEX(EntryPartyName,$P120)))</f>
        <v/>
      </c>
      <c r="F120" s="28">
        <f>IF($P120="","",IF(INDEX(EntryPartyType,$P120)=0,"",INDEX(EntryPartyType,$P120)))</f>
        <v/>
      </c>
      <c r="G120" s="28">
        <f>IF($P120="","",IF(INDEX(EntryTxnType,$P120)=0,"",INDEX(EntryTxnType,$P120)))</f>
        <v/>
      </c>
      <c r="H120" s="29">
        <f>IF($P120="","",IF(INDEX(EntryDep,$P120)=0,"",INDEX(EntryDep,$P120)))</f>
        <v/>
      </c>
      <c r="I120" s="29">
        <f>IF($P120="","",IF(INDEX(EntryWit,$P120)=0,"",INDEX(EntryWit,$P120)))</f>
        <v/>
      </c>
      <c r="J120" s="29">
        <f>IF($B120="","",IF($A120=1,$C$7,IF(J119="",0,J119))+IF($H120="",0,$H120)-IF($I120="",0,$I120))</f>
        <v/>
      </c>
      <c r="K120" s="29">
        <f>IF($P120="","",IF(INDEX(EntryMan,$P120)=0,"",INDEX(EntryMan,$P120)))</f>
        <v/>
      </c>
      <c r="L120" s="28">
        <f>IF($B120="","",IF($K120="","—",IF(ROUND($K120-$J120,0)=0,"√","×")))</f>
        <v/>
      </c>
      <c r="M120" s="28">
        <f>IF($B120="","",IF(COUNTIFS(EntryDates,$B120,CalcTime,$C120,CalcBank,$C$5,EntryParty,$D120,EntryDep,$H120,EntryWit,$I120)&gt;1,"تکرار",""))</f>
        <v/>
      </c>
      <c r="N120" s="28">
        <f>IF($P120="","",IF(INDEX(EntryNotes,$P120)=0,"",INDEX(EntryNotes,$P120)))</f>
        <v/>
      </c>
      <c r="O120" s="28">
        <f>IF($P120="","",IF(INDEX(EntryTxnID,$P120)=0,"",INDEX(EntryTxnID,$P120)))</f>
        <v/>
      </c>
      <c r="P120" s="28">
        <f>IFERROR(MATCH($C$5&amp;"|"&amp;RIGHT("000000"&amp;104,6),CalcRankKey,0),"")</f>
        <v/>
      </c>
    </row>
    <row r="121">
      <c r="A121" s="26">
        <f>IF($B121="","",105)</f>
        <v/>
      </c>
      <c r="B121" s="26">
        <f>IF($P121="","",IF(INDEX(CalcNormDate,$P121)=0,"",INDEX(CalcNormDate,$P121)))</f>
        <v/>
      </c>
      <c r="C121" s="26">
        <f>IF($P121="","",IF(INDEX(CalcTime,$P121)=0,"",INDEX(CalcTime,$P121)))</f>
        <v/>
      </c>
      <c r="D121" s="26">
        <f>IF($P121="","",IF(INDEX(EntryParty,$P121)=0,"",INDEX(EntryParty,$P121)))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IF($P121="","",IF(INDEX(EntryPartyType,$P121)=0,"",INDEX(EntryPartyType,$P121)))</f>
        <v/>
      </c>
      <c r="G121" s="26">
        <f>IF($P121="","",IF(INDEX(EntryTxnType,$P121)=0,"",INDEX(EntryTxnType,$P121)))</f>
        <v/>
      </c>
      <c r="H121" s="27">
        <f>IF($P121="","",IF(INDEX(EntryDep,$P121)=0,"",INDEX(EntryDep,$P121)))</f>
        <v/>
      </c>
      <c r="I121" s="27">
        <f>IF($P121="","",IF(INDEX(EntryWit,$P121)=0,"",INDEX(EntryWit,$P121)))</f>
        <v/>
      </c>
      <c r="J121" s="27">
        <f>IF($B121="","",IF($A121=1,$C$7,IF(J120="",0,J120))+IF($H121="",0,$H121)-IF($I121="",0,$I121))</f>
        <v/>
      </c>
      <c r="K121" s="27">
        <f>IF($P121="","",IF(INDEX(EntryMan,$P121)=0,"",INDEX(EntryMan,$P121)))</f>
        <v/>
      </c>
      <c r="L121" s="26">
        <f>IF($B121="","",IF($K121="","—",IF(ROUND($K121-$J121,0)=0,"√","×")))</f>
        <v/>
      </c>
      <c r="M121" s="26">
        <f>IF($B121="","",IF(COUNTIFS(EntryDates,$B121,CalcTime,$C121,CalcBank,$C$5,EntryParty,$D121,EntryDep,$H121,EntryWit,$I121)&gt;1,"تکرار",""))</f>
        <v/>
      </c>
      <c r="N121" s="26">
        <f>IF($P121="","",IF(INDEX(EntryNotes,$P121)=0,"",INDEX(EntryNotes,$P121)))</f>
        <v/>
      </c>
      <c r="O121" s="26">
        <f>IF($P121="","",IF(INDEX(EntryTxnID,$P121)=0,"",INDEX(EntryTxnID,$P121)))</f>
        <v/>
      </c>
      <c r="P121" s="26">
        <f>IFERROR(MATCH($C$5&amp;"|"&amp;RIGHT("000000"&amp;105,6),CalcRankKey,0),"")</f>
        <v/>
      </c>
    </row>
    <row r="122">
      <c r="A122" s="28">
        <f>IF($B122="","",106)</f>
        <v/>
      </c>
      <c r="B122" s="28">
        <f>IF($P122="","",IF(INDEX(CalcNormDate,$P122)=0,"",INDEX(CalcNormDate,$P122)))</f>
        <v/>
      </c>
      <c r="C122" s="28">
        <f>IF($P122="","",IF(INDEX(CalcTime,$P122)=0,"",INDEX(CalcTime,$P122)))</f>
        <v/>
      </c>
      <c r="D122" s="28">
        <f>IF($P122="","",IF(INDEX(EntryParty,$P122)=0,"",INDEX(EntryParty,$P122)))</f>
        <v/>
      </c>
      <c r="E122" s="28">
        <f>IF($P122="","",IF(INDEX(EntryPartyName,$P122)=0,"",INDEX(EntryPartyName,$P122)))</f>
        <v/>
      </c>
      <c r="F122" s="28">
        <f>IF($P122="","",IF(INDEX(EntryPartyType,$P122)=0,"",INDEX(EntryPartyType,$P122)))</f>
        <v/>
      </c>
      <c r="G122" s="28">
        <f>IF($P122="","",IF(INDEX(EntryTxnType,$P122)=0,"",INDEX(EntryTxnType,$P122)))</f>
        <v/>
      </c>
      <c r="H122" s="29">
        <f>IF($P122="","",IF(INDEX(EntryDep,$P122)=0,"",INDEX(EntryDep,$P122)))</f>
        <v/>
      </c>
      <c r="I122" s="29">
        <f>IF($P122="","",IF(INDEX(EntryWit,$P122)=0,"",INDEX(EntryWit,$P122)))</f>
        <v/>
      </c>
      <c r="J122" s="29">
        <f>IF($B122="","",IF($A122=1,$C$7,IF(J121="",0,J121))+IF($H122="",0,$H122)-IF($I122="",0,$I122))</f>
        <v/>
      </c>
      <c r="K122" s="29">
        <f>IF($P122="","",IF(INDEX(EntryMan,$P122)=0,"",INDEX(EntryMan,$P122)))</f>
        <v/>
      </c>
      <c r="L122" s="28">
        <f>IF($B122="","",IF($K122="","—",IF(ROUND($K122-$J122,0)=0,"√","×")))</f>
        <v/>
      </c>
      <c r="M122" s="28">
        <f>IF($B122="","",IF(COUNTIFS(EntryDates,$B122,CalcTime,$C122,CalcBank,$C$5,EntryParty,$D122,EntryDep,$H122,EntryWit,$I122)&gt;1,"تکرار",""))</f>
        <v/>
      </c>
      <c r="N122" s="28">
        <f>IF($P122="","",IF(INDEX(EntryNotes,$P122)=0,"",INDEX(EntryNotes,$P122)))</f>
        <v/>
      </c>
      <c r="O122" s="28">
        <f>IF($P122="","",IF(INDEX(EntryTxnID,$P122)=0,"",INDEX(EntryTxnID,$P122)))</f>
        <v/>
      </c>
      <c r="P122" s="28">
        <f>IFERROR(MATCH($C$5&amp;"|"&amp;RIGHT("000000"&amp;106,6),CalcRankKey,0),"")</f>
        <v/>
      </c>
    </row>
    <row r="123">
      <c r="A123" s="26">
        <f>IF($B123="","",107)</f>
        <v/>
      </c>
      <c r="B123" s="26">
        <f>IF($P123="","",IF(INDEX(CalcNormDate,$P123)=0,"",INDEX(CalcNormDate,$P123)))</f>
        <v/>
      </c>
      <c r="C123" s="26">
        <f>IF($P123="","",IF(INDEX(CalcTime,$P123)=0,"",INDEX(CalcTime,$P123)))</f>
        <v/>
      </c>
      <c r="D123" s="26">
        <f>IF($P123="","",IF(INDEX(EntryParty,$P123)=0,"",INDEX(EntryParty,$P123)))</f>
        <v/>
      </c>
      <c r="E123" s="26">
        <f>IF($P123="","",IF(INDEX(EntryPartyName,$P123)=0,"",INDEX(EntryPartyName,$P123)))</f>
        <v/>
      </c>
      <c r="F123" s="26">
        <f>IF($P123="","",IF(INDEX(EntryPartyType,$P123)=0,"",INDEX(EntryPartyType,$P123)))</f>
        <v/>
      </c>
      <c r="G123" s="26">
        <f>IF($P123="","",IF(INDEX(EntryTxnType,$P123)=0,"",INDEX(EntryTxnType,$P123)))</f>
        <v/>
      </c>
      <c r="H123" s="27">
        <f>IF($P123="","",IF(INDEX(EntryDep,$P123)=0,"",INDEX(EntryDep,$P123)))</f>
        <v/>
      </c>
      <c r="I123" s="27">
        <f>IF($P123="","",IF(INDEX(EntryWit,$P123)=0,"",INDEX(EntryWit,$P123)))</f>
        <v/>
      </c>
      <c r="J123" s="27">
        <f>IF($B123="","",IF($A123=1,$C$7,IF(J122="",0,J122))+IF($H123="",0,$H123)-IF($I123="",0,$I123))</f>
        <v/>
      </c>
      <c r="K123" s="27">
        <f>IF($P123="","",IF(INDEX(EntryMan,$P123)=0,"",INDEX(EntryMan,$P123)))</f>
        <v/>
      </c>
      <c r="L123" s="26">
        <f>IF($B123="","",IF($K123="","—",IF(ROUND($K123-$J123,0)=0,"√","×")))</f>
        <v/>
      </c>
      <c r="M123" s="26">
        <f>IF($B123="","",IF(COUNTIFS(EntryDates,$B123,CalcTime,$C123,CalcBank,$C$5,EntryParty,$D123,EntryDep,$H123,EntryWit,$I123)&gt;1,"تکرار",""))</f>
        <v/>
      </c>
      <c r="N123" s="26">
        <f>IF($P123="","",IF(INDEX(EntryNotes,$P123)=0,"",INDEX(EntryNotes,$P123)))</f>
        <v/>
      </c>
      <c r="O123" s="26">
        <f>IF($P123="","",IF(INDEX(EntryTxnID,$P123)=0,"",INDEX(EntryTxnID,$P123)))</f>
        <v/>
      </c>
      <c r="P123" s="26">
        <f>IFERROR(MATCH($C$5&amp;"|"&amp;RIGHT("000000"&amp;107,6),CalcRankKey,0),"")</f>
        <v/>
      </c>
    </row>
    <row r="124">
      <c r="A124" s="28">
        <f>IF($B124="","",108)</f>
        <v/>
      </c>
      <c r="B124" s="28">
        <f>IF($P124="","",IF(INDEX(CalcNormDate,$P124)=0,"",INDEX(CalcNormDate,$P124)))</f>
        <v/>
      </c>
      <c r="C124" s="28">
        <f>IF($P124="","",IF(INDEX(CalcTime,$P124)=0,"",INDEX(CalcTime,$P124)))</f>
        <v/>
      </c>
      <c r="D124" s="28">
        <f>IF($P124="","",IF(INDEX(EntryParty,$P124)=0,"",INDEX(EntryParty,$P124)))</f>
        <v/>
      </c>
      <c r="E124" s="28">
        <f>IF($P124="","",IF(INDEX(EntryPartyName,$P124)=0,"",INDEX(EntryPartyName,$P124)))</f>
        <v/>
      </c>
      <c r="F124" s="28">
        <f>IF($P124="","",IF(INDEX(EntryPartyType,$P124)=0,"",INDEX(EntryPartyType,$P124)))</f>
        <v/>
      </c>
      <c r="G124" s="28">
        <f>IF($P124="","",IF(INDEX(EntryTxnType,$P124)=0,"",INDEX(EntryTxnType,$P124)))</f>
        <v/>
      </c>
      <c r="H124" s="29">
        <f>IF($P124="","",IF(INDEX(EntryDep,$P124)=0,"",INDEX(EntryDep,$P124)))</f>
        <v/>
      </c>
      <c r="I124" s="29">
        <f>IF($P124="","",IF(INDEX(EntryWit,$P124)=0,"",INDEX(EntryWit,$P124)))</f>
        <v/>
      </c>
      <c r="J124" s="29">
        <f>IF($B124="","",IF($A124=1,$C$7,IF(J123="",0,J123))+IF($H124="",0,$H124)-IF($I124="",0,$I124))</f>
        <v/>
      </c>
      <c r="K124" s="29">
        <f>IF($P124="","",IF(INDEX(EntryMan,$P124)=0,"",INDEX(EntryMan,$P124)))</f>
        <v/>
      </c>
      <c r="L124" s="28">
        <f>IF($B124="","",IF($K124="","—",IF(ROUND($K124-$J124,0)=0,"√","×")))</f>
        <v/>
      </c>
      <c r="M124" s="28">
        <f>IF($B124="","",IF(COUNTIFS(EntryDates,$B124,CalcTime,$C124,CalcBank,$C$5,EntryParty,$D124,EntryDep,$H124,EntryWit,$I124)&gt;1,"تکرار",""))</f>
        <v/>
      </c>
      <c r="N124" s="28">
        <f>IF($P124="","",IF(INDEX(EntryNotes,$P124)=0,"",INDEX(EntryNotes,$P124)))</f>
        <v/>
      </c>
      <c r="O124" s="28">
        <f>IF($P124="","",IF(INDEX(EntryTxnID,$P124)=0,"",INDEX(EntryTxnID,$P124)))</f>
        <v/>
      </c>
      <c r="P124" s="28">
        <f>IFERROR(MATCH($C$5&amp;"|"&amp;RIGHT("000000"&amp;108,6),CalcRankKey,0),"")</f>
        <v/>
      </c>
    </row>
    <row r="125">
      <c r="A125" s="26">
        <f>IF($B125="","",109)</f>
        <v/>
      </c>
      <c r="B125" s="26">
        <f>IF($P125="","",IF(INDEX(CalcNormDate,$P125)=0,"",INDEX(CalcNormDate,$P125)))</f>
        <v/>
      </c>
      <c r="C125" s="26">
        <f>IF($P125="","",IF(INDEX(CalcTime,$P125)=0,"",INDEX(CalcTime,$P125)))</f>
        <v/>
      </c>
      <c r="D125" s="26">
        <f>IF($P125="","",IF(INDEX(EntryParty,$P125)=0,"",INDEX(EntryParty,$P125)))</f>
        <v/>
      </c>
      <c r="E125" s="26">
        <f>IF($P125="","",IF(INDEX(EntryPartyName,$P125)=0,"",INDEX(EntryPartyName,$P125)))</f>
        <v/>
      </c>
      <c r="F125" s="26">
        <f>IF($P125="","",IF(INDEX(EntryPartyType,$P125)=0,"",INDEX(EntryPartyType,$P125)))</f>
        <v/>
      </c>
      <c r="G125" s="26">
        <f>IF($P125="","",IF(INDEX(EntryTxnType,$P125)=0,"",INDEX(EntryTxnType,$P125)))</f>
        <v/>
      </c>
      <c r="H125" s="27">
        <f>IF($P125="","",IF(INDEX(EntryDep,$P125)=0,"",INDEX(EntryDep,$P125)))</f>
        <v/>
      </c>
      <c r="I125" s="27">
        <f>IF($P125="","",IF(INDEX(EntryWit,$P125)=0,"",INDEX(EntryWit,$P125)))</f>
        <v/>
      </c>
      <c r="J125" s="27">
        <f>IF($B125="","",IF($A125=1,$C$7,IF(J124="",0,J124))+IF($H125="",0,$H125)-IF($I125="",0,$I125))</f>
        <v/>
      </c>
      <c r="K125" s="27">
        <f>IF($P125="","",IF(INDEX(EntryMan,$P125)=0,"",INDEX(EntryMan,$P125)))</f>
        <v/>
      </c>
      <c r="L125" s="26">
        <f>IF($B125="","",IF($K125="","—",IF(ROUND($K125-$J125,0)=0,"√","×")))</f>
        <v/>
      </c>
      <c r="M125" s="26">
        <f>IF($B125="","",IF(COUNTIFS(EntryDates,$B125,CalcTime,$C125,CalcBank,$C$5,EntryParty,$D125,EntryDep,$H125,EntryWit,$I125)&gt;1,"تکرار",""))</f>
        <v/>
      </c>
      <c r="N125" s="26">
        <f>IF($P125="","",IF(INDEX(EntryNotes,$P125)=0,"",INDEX(EntryNotes,$P125)))</f>
        <v/>
      </c>
      <c r="O125" s="26">
        <f>IF($P125="","",IF(INDEX(EntryTxnID,$P125)=0,"",INDEX(EntryTxnID,$P125)))</f>
        <v/>
      </c>
      <c r="P125" s="26">
        <f>IFERROR(MATCH($C$5&amp;"|"&amp;RIGHT("000000"&amp;109,6),CalcRankKey,0),"")</f>
        <v/>
      </c>
    </row>
    <row r="126">
      <c r="A126" s="28">
        <f>IF($B126="","",110)</f>
        <v/>
      </c>
      <c r="B126" s="28">
        <f>IF($P126="","",IF(INDEX(CalcNormDate,$P126)=0,"",INDEX(CalcNormDate,$P126)))</f>
        <v/>
      </c>
      <c r="C126" s="28">
        <f>IF($P126="","",IF(INDEX(CalcTime,$P126)=0,"",INDEX(CalcTime,$P126)))</f>
        <v/>
      </c>
      <c r="D126" s="28">
        <f>IF($P126="","",IF(INDEX(EntryParty,$P126)=0,"",INDEX(EntryParty,$P126)))</f>
        <v/>
      </c>
      <c r="E126" s="28">
        <f>IF($P126="","",IF(INDEX(EntryPartyName,$P126)=0,"",INDEX(EntryPartyName,$P126)))</f>
        <v/>
      </c>
      <c r="F126" s="28">
        <f>IF($P126="","",IF(INDEX(EntryPartyType,$P126)=0,"",INDEX(EntryPartyType,$P126)))</f>
        <v/>
      </c>
      <c r="G126" s="28">
        <f>IF($P126="","",IF(INDEX(EntryTxnType,$P126)=0,"",INDEX(EntryTxnType,$P126)))</f>
        <v/>
      </c>
      <c r="H126" s="29">
        <f>IF($P126="","",IF(INDEX(EntryDep,$P126)=0,"",INDEX(EntryDep,$P126)))</f>
        <v/>
      </c>
      <c r="I126" s="29">
        <f>IF($P126="","",IF(INDEX(EntryWit,$P126)=0,"",INDEX(EntryWit,$P126)))</f>
        <v/>
      </c>
      <c r="J126" s="29">
        <f>IF($B126="","",IF($A126=1,$C$7,IF(J125="",0,J125))+IF($H126="",0,$H126)-IF($I126="",0,$I126))</f>
        <v/>
      </c>
      <c r="K126" s="29">
        <f>IF($P126="","",IF(INDEX(EntryMan,$P126)=0,"",INDEX(EntryMan,$P126)))</f>
        <v/>
      </c>
      <c r="L126" s="28">
        <f>IF($B126="","",IF($K126="","—",IF(ROUND($K126-$J126,0)=0,"√","×")))</f>
        <v/>
      </c>
      <c r="M126" s="28">
        <f>IF($B126="","",IF(COUNTIFS(EntryDates,$B126,CalcTime,$C126,CalcBank,$C$5,EntryParty,$D126,EntryDep,$H126,EntryWit,$I126)&gt;1,"تکرار",""))</f>
        <v/>
      </c>
      <c r="N126" s="28">
        <f>IF($P126="","",IF(INDEX(EntryNotes,$P126)=0,"",INDEX(EntryNotes,$P126)))</f>
        <v/>
      </c>
      <c r="O126" s="28">
        <f>IF($P126="","",IF(INDEX(EntryTxnID,$P126)=0,"",INDEX(EntryTxnID,$P126)))</f>
        <v/>
      </c>
      <c r="P126" s="28">
        <f>IFERROR(MATCH($C$5&amp;"|"&amp;RIGHT("000000"&amp;110,6),CalcRankKey,0),"")</f>
        <v/>
      </c>
    </row>
    <row r="127">
      <c r="A127" s="26">
        <f>IF($B127="","",111)</f>
        <v/>
      </c>
      <c r="B127" s="26">
        <f>IF($P127="","",IF(INDEX(CalcNormDate,$P127)=0,"",INDEX(CalcNormDate,$P127)))</f>
        <v/>
      </c>
      <c r="C127" s="26">
        <f>IF($P127="","",IF(INDEX(CalcTime,$P127)=0,"",INDEX(CalcTime,$P127)))</f>
        <v/>
      </c>
      <c r="D127" s="26">
        <f>IF($P127="","",IF(INDEX(EntryParty,$P127)=0,"",INDEX(EntryParty,$P127)))</f>
        <v/>
      </c>
      <c r="E127" s="26">
        <f>IF($P127="","",IF(INDEX(EntryPartyName,$P127)=0,"",INDEX(EntryPartyName,$P127)))</f>
        <v/>
      </c>
      <c r="F127" s="26">
        <f>IF($P127="","",IF(INDEX(EntryPartyType,$P127)=0,"",INDEX(EntryPartyType,$P127)))</f>
        <v/>
      </c>
      <c r="G127" s="26">
        <f>IF($P127="","",IF(INDEX(EntryTxnType,$P127)=0,"",INDEX(EntryTxnType,$P127)))</f>
        <v/>
      </c>
      <c r="H127" s="27">
        <f>IF($P127="","",IF(INDEX(EntryDep,$P127)=0,"",INDEX(EntryDep,$P127)))</f>
        <v/>
      </c>
      <c r="I127" s="27">
        <f>IF($P127="","",IF(INDEX(EntryWit,$P127)=0,"",INDEX(EntryWit,$P127)))</f>
        <v/>
      </c>
      <c r="J127" s="27">
        <f>IF($B127="","",IF($A127=1,$C$7,IF(J126="",0,J126))+IF($H127="",0,$H127)-IF($I127="",0,$I127))</f>
        <v/>
      </c>
      <c r="K127" s="27">
        <f>IF($P127="","",IF(INDEX(EntryMan,$P127)=0,"",INDEX(EntryMan,$P127)))</f>
        <v/>
      </c>
      <c r="L127" s="26">
        <f>IF($B127="","",IF($K127="","—",IF(ROUND($K127-$J127,0)=0,"√","×")))</f>
        <v/>
      </c>
      <c r="M127" s="26">
        <f>IF($B127="","",IF(COUNTIFS(EntryDates,$B127,CalcTime,$C127,CalcBank,$C$5,EntryParty,$D127,EntryDep,$H127,EntryWit,$I127)&gt;1,"تکرار",""))</f>
        <v/>
      </c>
      <c r="N127" s="26">
        <f>IF($P127="","",IF(INDEX(EntryNotes,$P127)=0,"",INDEX(EntryNotes,$P127)))</f>
        <v/>
      </c>
      <c r="O127" s="26">
        <f>IF($P127="","",IF(INDEX(EntryTxnID,$P127)=0,"",INDEX(EntryTxnID,$P127)))</f>
        <v/>
      </c>
      <c r="P127" s="26">
        <f>IFERROR(MATCH($C$5&amp;"|"&amp;RIGHT("000000"&amp;111,6),CalcRankKey,0),"")</f>
        <v/>
      </c>
    </row>
    <row r="128">
      <c r="A128" s="28">
        <f>IF($B128="","",112)</f>
        <v/>
      </c>
      <c r="B128" s="28">
        <f>IF($P128="","",IF(INDEX(CalcNormDate,$P128)=0,"",INDEX(CalcNormDate,$P128)))</f>
        <v/>
      </c>
      <c r="C128" s="28">
        <f>IF($P128="","",IF(INDEX(CalcTime,$P128)=0,"",INDEX(CalcTime,$P128)))</f>
        <v/>
      </c>
      <c r="D128" s="28">
        <f>IF($P128="","",IF(INDEX(EntryParty,$P128)=0,"",INDEX(EntryParty,$P128)))</f>
        <v/>
      </c>
      <c r="E128" s="28">
        <f>IF($P128="","",IF(INDEX(EntryPartyName,$P128)=0,"",INDEX(EntryPartyName,$P128)))</f>
        <v/>
      </c>
      <c r="F128" s="28">
        <f>IF($P128="","",IF(INDEX(EntryPartyType,$P128)=0,"",INDEX(EntryPartyType,$P128)))</f>
        <v/>
      </c>
      <c r="G128" s="28">
        <f>IF($P128="","",IF(INDEX(EntryTxnType,$P128)=0,"",INDEX(EntryTxnType,$P128)))</f>
        <v/>
      </c>
      <c r="H128" s="29">
        <f>IF($P128="","",IF(INDEX(EntryDep,$P128)=0,"",INDEX(EntryDep,$P128)))</f>
        <v/>
      </c>
      <c r="I128" s="29">
        <f>IF($P128="","",IF(INDEX(EntryWit,$P128)=0,"",INDEX(EntryWit,$P128)))</f>
        <v/>
      </c>
      <c r="J128" s="29">
        <f>IF($B128="","",IF($A128=1,$C$7,IF(J127="",0,J127))+IF($H128="",0,$H128)-IF($I128="",0,$I128))</f>
        <v/>
      </c>
      <c r="K128" s="29">
        <f>IF($P128="","",IF(INDEX(EntryMan,$P128)=0,"",INDEX(EntryMan,$P128)))</f>
        <v/>
      </c>
      <c r="L128" s="28">
        <f>IF($B128="","",IF($K128="","—",IF(ROUND($K128-$J128,0)=0,"√","×")))</f>
        <v/>
      </c>
      <c r="M128" s="28">
        <f>IF($B128="","",IF(COUNTIFS(EntryDates,$B128,CalcTime,$C128,CalcBank,$C$5,EntryParty,$D128,EntryDep,$H128,EntryWit,$I128)&gt;1,"تکرار",""))</f>
        <v/>
      </c>
      <c r="N128" s="28">
        <f>IF($P128="","",IF(INDEX(EntryNotes,$P128)=0,"",INDEX(EntryNotes,$P128)))</f>
        <v/>
      </c>
      <c r="O128" s="28">
        <f>IF($P128="","",IF(INDEX(EntryTxnID,$P128)=0,"",INDEX(EntryTxnID,$P128)))</f>
        <v/>
      </c>
      <c r="P128" s="28">
        <f>IFERROR(MATCH($C$5&amp;"|"&amp;RIGHT("000000"&amp;112,6),CalcRankKey,0),"")</f>
        <v/>
      </c>
    </row>
    <row r="129">
      <c r="A129" s="26">
        <f>IF($B129="","",113)</f>
        <v/>
      </c>
      <c r="B129" s="26">
        <f>IF($P129="","",IF(INDEX(CalcNormDate,$P129)=0,"",INDEX(CalcNormDate,$P129)))</f>
        <v/>
      </c>
      <c r="C129" s="26">
        <f>IF($P129="","",IF(INDEX(CalcTime,$P129)=0,"",INDEX(CalcTime,$P129)))</f>
        <v/>
      </c>
      <c r="D129" s="26">
        <f>IF($P129="","",IF(INDEX(EntryParty,$P129)=0,"",INDEX(EntryParty,$P129)))</f>
        <v/>
      </c>
      <c r="E129" s="26">
        <f>IF($P129="","",IF(INDEX(EntryPartyName,$P129)=0,"",INDEX(EntryPartyName,$P129)))</f>
        <v/>
      </c>
      <c r="F129" s="26">
        <f>IF($P129="","",IF(INDEX(EntryPartyType,$P129)=0,"",INDEX(EntryPartyType,$P129)))</f>
        <v/>
      </c>
      <c r="G129" s="26">
        <f>IF($P129="","",IF(INDEX(EntryTxnType,$P129)=0,"",INDEX(EntryTxnType,$P129)))</f>
        <v/>
      </c>
      <c r="H129" s="27">
        <f>IF($P129="","",IF(INDEX(EntryDep,$P129)=0,"",INDEX(EntryDep,$P129)))</f>
        <v/>
      </c>
      <c r="I129" s="27">
        <f>IF($P129="","",IF(INDEX(EntryWit,$P129)=0,"",INDEX(EntryWit,$P129)))</f>
        <v/>
      </c>
      <c r="J129" s="27">
        <f>IF($B129="","",IF($A129=1,$C$7,IF(J128="",0,J128))+IF($H129="",0,$H129)-IF($I129="",0,$I129))</f>
        <v/>
      </c>
      <c r="K129" s="27">
        <f>IF($P129="","",IF(INDEX(EntryMan,$P129)=0,"",INDEX(EntryMan,$P129)))</f>
        <v/>
      </c>
      <c r="L129" s="26">
        <f>IF($B129="","",IF($K129="","—",IF(ROUND($K129-$J129,0)=0,"√","×")))</f>
        <v/>
      </c>
      <c r="M129" s="26">
        <f>IF($B129="","",IF(COUNTIFS(EntryDates,$B129,CalcTime,$C129,CalcBank,$C$5,EntryParty,$D129,EntryDep,$H129,EntryWit,$I129)&gt;1,"تکرار",""))</f>
        <v/>
      </c>
      <c r="N129" s="26">
        <f>IF($P129="","",IF(INDEX(EntryNotes,$P129)=0,"",INDEX(EntryNotes,$P129)))</f>
        <v/>
      </c>
      <c r="O129" s="26">
        <f>IF($P129="","",IF(INDEX(EntryTxnID,$P129)=0,"",INDEX(EntryTxnID,$P129)))</f>
        <v/>
      </c>
      <c r="P129" s="26">
        <f>IFERROR(MATCH($C$5&amp;"|"&amp;RIGHT("000000"&amp;113,6),CalcRankKey,0),"")</f>
        <v/>
      </c>
    </row>
    <row r="130">
      <c r="A130" s="28">
        <f>IF($B130="","",114)</f>
        <v/>
      </c>
      <c r="B130" s="28">
        <f>IF($P130="","",IF(INDEX(CalcNormDate,$P130)=0,"",INDEX(CalcNormDate,$P130)))</f>
        <v/>
      </c>
      <c r="C130" s="28">
        <f>IF($P130="","",IF(INDEX(CalcTime,$P130)=0,"",INDEX(CalcTime,$P130)))</f>
        <v/>
      </c>
      <c r="D130" s="28">
        <f>IF($P130="","",IF(INDEX(EntryParty,$P130)=0,"",INDEX(EntryParty,$P130)))</f>
        <v/>
      </c>
      <c r="E130" s="28">
        <f>IF($P130="","",IF(INDEX(EntryPartyName,$P130)=0,"",INDEX(EntryPartyName,$P130)))</f>
        <v/>
      </c>
      <c r="F130" s="28">
        <f>IF($P130="","",IF(INDEX(EntryPartyType,$P130)=0,"",INDEX(EntryPartyType,$P130)))</f>
        <v/>
      </c>
      <c r="G130" s="28">
        <f>IF($P130="","",IF(INDEX(EntryTxnType,$P130)=0,"",INDEX(EntryTxnType,$P130)))</f>
        <v/>
      </c>
      <c r="H130" s="29">
        <f>IF($P130="","",IF(INDEX(EntryDep,$P130)=0,"",INDEX(EntryDep,$P130)))</f>
        <v/>
      </c>
      <c r="I130" s="29">
        <f>IF($P130="","",IF(INDEX(EntryWit,$P130)=0,"",INDEX(EntryWit,$P130)))</f>
        <v/>
      </c>
      <c r="J130" s="29">
        <f>IF($B130="","",IF($A130=1,$C$7,IF(J129="",0,J129))+IF($H130="",0,$H130)-IF($I130="",0,$I130))</f>
        <v/>
      </c>
      <c r="K130" s="29">
        <f>IF($P130="","",IF(INDEX(EntryMan,$P130)=0,"",INDEX(EntryMan,$P130)))</f>
        <v/>
      </c>
      <c r="L130" s="28">
        <f>IF($B130="","",IF($K130="","—",IF(ROUND($K130-$J130,0)=0,"√","×")))</f>
        <v/>
      </c>
      <c r="M130" s="28">
        <f>IF($B130="","",IF(COUNTIFS(EntryDates,$B130,CalcTime,$C130,CalcBank,$C$5,EntryParty,$D130,EntryDep,$H130,EntryWit,$I130)&gt;1,"تکرار",""))</f>
        <v/>
      </c>
      <c r="N130" s="28">
        <f>IF($P130="","",IF(INDEX(EntryNotes,$P130)=0,"",INDEX(EntryNotes,$P130)))</f>
        <v/>
      </c>
      <c r="O130" s="28">
        <f>IF($P130="","",IF(INDEX(EntryTxnID,$P130)=0,"",INDEX(EntryTxnID,$P130)))</f>
        <v/>
      </c>
      <c r="P130" s="28">
        <f>IFERROR(MATCH($C$5&amp;"|"&amp;RIGHT("000000"&amp;114,6),CalcRankKey,0),"")</f>
        <v/>
      </c>
    </row>
    <row r="131">
      <c r="A131" s="26">
        <f>IF($B131="","",115)</f>
        <v/>
      </c>
      <c r="B131" s="26">
        <f>IF($P131="","",IF(INDEX(CalcNormDate,$P131)=0,"",INDEX(CalcNormDate,$P131)))</f>
        <v/>
      </c>
      <c r="C131" s="26">
        <f>IF($P131="","",IF(INDEX(CalcTime,$P131)=0,"",INDEX(CalcTime,$P131)))</f>
        <v/>
      </c>
      <c r="D131" s="26">
        <f>IF($P131="","",IF(INDEX(EntryParty,$P131)=0,"",INDEX(EntryParty,$P131)))</f>
        <v/>
      </c>
      <c r="E131" s="26">
        <f>IF($P131="","",IF(INDEX(EntryPartyName,$P131)=0,"",INDEX(EntryPartyName,$P131)))</f>
        <v/>
      </c>
      <c r="F131" s="26">
        <f>IF($P131="","",IF(INDEX(EntryPartyType,$P131)=0,"",INDEX(EntryPartyType,$P131)))</f>
        <v/>
      </c>
      <c r="G131" s="26">
        <f>IF($P131="","",IF(INDEX(EntryTxnType,$P131)=0,"",INDEX(EntryTxnType,$P131)))</f>
        <v/>
      </c>
      <c r="H131" s="27">
        <f>IF($P131="","",IF(INDEX(EntryDep,$P131)=0,"",INDEX(EntryDep,$P131)))</f>
        <v/>
      </c>
      <c r="I131" s="27">
        <f>IF($P131="","",IF(INDEX(EntryWit,$P131)=0,"",INDEX(EntryWit,$P131)))</f>
        <v/>
      </c>
      <c r="J131" s="27">
        <f>IF($B131="","",IF($A131=1,$C$7,IF(J130="",0,J130))+IF($H131="",0,$H131)-IF($I131="",0,$I131))</f>
        <v/>
      </c>
      <c r="K131" s="27">
        <f>IF($P131="","",IF(INDEX(EntryMan,$P131)=0,"",INDEX(EntryMan,$P131)))</f>
        <v/>
      </c>
      <c r="L131" s="26">
        <f>IF($B131="","",IF($K131="","—",IF(ROUND($K131-$J131,0)=0,"√","×")))</f>
        <v/>
      </c>
      <c r="M131" s="26">
        <f>IF($B131="","",IF(COUNTIFS(EntryDates,$B131,CalcTime,$C131,CalcBank,$C$5,EntryParty,$D131,EntryDep,$H131,EntryWit,$I131)&gt;1,"تکرار",""))</f>
        <v/>
      </c>
      <c r="N131" s="26">
        <f>IF($P131="","",IF(INDEX(EntryNotes,$P131)=0,"",INDEX(EntryNotes,$P131)))</f>
        <v/>
      </c>
      <c r="O131" s="26">
        <f>IF($P131="","",IF(INDEX(EntryTxnID,$P131)=0,"",INDEX(EntryTxnID,$P131)))</f>
        <v/>
      </c>
      <c r="P131" s="26">
        <f>IFERROR(MATCH($C$5&amp;"|"&amp;RIGHT("000000"&amp;115,6),CalcRankKey,0),"")</f>
        <v/>
      </c>
    </row>
    <row r="132">
      <c r="A132" s="28">
        <f>IF($B132="","",116)</f>
        <v/>
      </c>
      <c r="B132" s="28">
        <f>IF($P132="","",IF(INDEX(CalcNormDate,$P132)=0,"",INDEX(CalcNormDate,$P132)))</f>
        <v/>
      </c>
      <c r="C132" s="28">
        <f>IF($P132="","",IF(INDEX(CalcTime,$P132)=0,"",INDEX(CalcTime,$P132)))</f>
        <v/>
      </c>
      <c r="D132" s="28">
        <f>IF($P132="","",IF(INDEX(EntryParty,$P132)=0,"",INDEX(EntryParty,$P132)))</f>
        <v/>
      </c>
      <c r="E132" s="28">
        <f>IF($P132="","",IF(INDEX(EntryPartyName,$P132)=0,"",INDEX(EntryPartyName,$P132)))</f>
        <v/>
      </c>
      <c r="F132" s="28">
        <f>IF($P132="","",IF(INDEX(EntryPartyType,$P132)=0,"",INDEX(EntryPartyType,$P132)))</f>
        <v/>
      </c>
      <c r="G132" s="28">
        <f>IF($P132="","",IF(INDEX(EntryTxnType,$P132)=0,"",INDEX(EntryTxnType,$P132)))</f>
        <v/>
      </c>
      <c r="H132" s="29">
        <f>IF($P132="","",IF(INDEX(EntryDep,$P132)=0,"",INDEX(EntryDep,$P132)))</f>
        <v/>
      </c>
      <c r="I132" s="29">
        <f>IF($P132="","",IF(INDEX(EntryWit,$P132)=0,"",INDEX(EntryWit,$P132)))</f>
        <v/>
      </c>
      <c r="J132" s="29">
        <f>IF($B132="","",IF($A132=1,$C$7,IF(J131="",0,J131))+IF($H132="",0,$H132)-IF($I132="",0,$I132))</f>
        <v/>
      </c>
      <c r="K132" s="29">
        <f>IF($P132="","",IF(INDEX(EntryMan,$P132)=0,"",INDEX(EntryMan,$P132)))</f>
        <v/>
      </c>
      <c r="L132" s="28">
        <f>IF($B132="","",IF($K132="","—",IF(ROUND($K132-$J132,0)=0,"√","×")))</f>
        <v/>
      </c>
      <c r="M132" s="28">
        <f>IF($B132="","",IF(COUNTIFS(EntryDates,$B132,CalcTime,$C132,CalcBank,$C$5,EntryParty,$D132,EntryDep,$H132,EntryWit,$I132)&gt;1,"تکرار",""))</f>
        <v/>
      </c>
      <c r="N132" s="28">
        <f>IF($P132="","",IF(INDEX(EntryNotes,$P132)=0,"",INDEX(EntryNotes,$P132)))</f>
        <v/>
      </c>
      <c r="O132" s="28">
        <f>IF($P132="","",IF(INDEX(EntryTxnID,$P132)=0,"",INDEX(EntryTxnID,$P132)))</f>
        <v/>
      </c>
      <c r="P132" s="28">
        <f>IFERROR(MATCH($C$5&amp;"|"&amp;RIGHT("000000"&amp;116,6),CalcRankKey,0),"")</f>
        <v/>
      </c>
    </row>
    <row r="133">
      <c r="A133" s="26">
        <f>IF($B133="","",117)</f>
        <v/>
      </c>
      <c r="B133" s="26">
        <f>IF($P133="","",IF(INDEX(CalcNormDate,$P133)=0,"",INDEX(CalcNormDate,$P133)))</f>
        <v/>
      </c>
      <c r="C133" s="26">
        <f>IF($P133="","",IF(INDEX(CalcTime,$P133)=0,"",INDEX(CalcTime,$P133)))</f>
        <v/>
      </c>
      <c r="D133" s="26">
        <f>IF($P133="","",IF(INDEX(EntryParty,$P133)=0,"",INDEX(EntryParty,$P133)))</f>
        <v/>
      </c>
      <c r="E133" s="26">
        <f>IF($P133="","",IF(INDEX(EntryPartyName,$P133)=0,"",INDEX(EntryPartyName,$P133)))</f>
        <v/>
      </c>
      <c r="F133" s="26">
        <f>IF($P133="","",IF(INDEX(EntryPartyType,$P133)=0,"",INDEX(EntryPartyType,$P133)))</f>
        <v/>
      </c>
      <c r="G133" s="26">
        <f>IF($P133="","",IF(INDEX(EntryTxnType,$P133)=0,"",INDEX(EntryTxnType,$P133)))</f>
        <v/>
      </c>
      <c r="H133" s="27">
        <f>IF($P133="","",IF(INDEX(EntryDep,$P133)=0,"",INDEX(EntryDep,$P133)))</f>
        <v/>
      </c>
      <c r="I133" s="27">
        <f>IF($P133="","",IF(INDEX(EntryWit,$P133)=0,"",INDEX(EntryWit,$P133)))</f>
        <v/>
      </c>
      <c r="J133" s="27">
        <f>IF($B133="","",IF($A133=1,$C$7,IF(J132="",0,J132))+IF($H133="",0,$H133)-IF($I133="",0,$I133))</f>
        <v/>
      </c>
      <c r="K133" s="27">
        <f>IF($P133="","",IF(INDEX(EntryMan,$P133)=0,"",INDEX(EntryMan,$P133)))</f>
        <v/>
      </c>
      <c r="L133" s="26">
        <f>IF($B133="","",IF($K133="","—",IF(ROUND($K133-$J133,0)=0,"√","×")))</f>
        <v/>
      </c>
      <c r="M133" s="26">
        <f>IF($B133="","",IF(COUNTIFS(EntryDates,$B133,CalcTime,$C133,CalcBank,$C$5,EntryParty,$D133,EntryDep,$H133,EntryWit,$I133)&gt;1,"تکرار",""))</f>
        <v/>
      </c>
      <c r="N133" s="26">
        <f>IF($P133="","",IF(INDEX(EntryNotes,$P133)=0,"",INDEX(EntryNotes,$P133)))</f>
        <v/>
      </c>
      <c r="O133" s="26">
        <f>IF($P133="","",IF(INDEX(EntryTxnID,$P133)=0,"",INDEX(EntryTxnID,$P133)))</f>
        <v/>
      </c>
      <c r="P133" s="26">
        <f>IFERROR(MATCH($C$5&amp;"|"&amp;RIGHT("000000"&amp;117,6),CalcRankKey,0),"")</f>
        <v/>
      </c>
    </row>
    <row r="134">
      <c r="A134" s="28">
        <f>IF($B134="","",118)</f>
        <v/>
      </c>
      <c r="B134" s="28">
        <f>IF($P134="","",IF(INDEX(CalcNormDate,$P134)=0,"",INDEX(CalcNormDate,$P134)))</f>
        <v/>
      </c>
      <c r="C134" s="28">
        <f>IF($P134="","",IF(INDEX(CalcTime,$P134)=0,"",INDEX(CalcTime,$P134)))</f>
        <v/>
      </c>
      <c r="D134" s="28">
        <f>IF($P134="","",IF(INDEX(EntryParty,$P134)=0,"",INDEX(EntryParty,$P134)))</f>
        <v/>
      </c>
      <c r="E134" s="28">
        <f>IF($P134="","",IF(INDEX(EntryPartyName,$P134)=0,"",INDEX(EntryPartyName,$P134)))</f>
        <v/>
      </c>
      <c r="F134" s="28">
        <f>IF($P134="","",IF(INDEX(EntryPartyType,$P134)=0,"",INDEX(EntryPartyType,$P134)))</f>
        <v/>
      </c>
      <c r="G134" s="28">
        <f>IF($P134="","",IF(INDEX(EntryTxnType,$P134)=0,"",INDEX(EntryTxnType,$P134)))</f>
        <v/>
      </c>
      <c r="H134" s="29">
        <f>IF($P134="","",IF(INDEX(EntryDep,$P134)=0,"",INDEX(EntryDep,$P134)))</f>
        <v/>
      </c>
      <c r="I134" s="29">
        <f>IF($P134="","",IF(INDEX(EntryWit,$P134)=0,"",INDEX(EntryWit,$P134)))</f>
        <v/>
      </c>
      <c r="J134" s="29">
        <f>IF($B134="","",IF($A134=1,$C$7,IF(J133="",0,J133))+IF($H134="",0,$H134)-IF($I134="",0,$I134))</f>
        <v/>
      </c>
      <c r="K134" s="29">
        <f>IF($P134="","",IF(INDEX(EntryMan,$P134)=0,"",INDEX(EntryMan,$P134)))</f>
        <v/>
      </c>
      <c r="L134" s="28">
        <f>IF($B134="","",IF($K134="","—",IF(ROUND($K134-$J134,0)=0,"√","×")))</f>
        <v/>
      </c>
      <c r="M134" s="28">
        <f>IF($B134="","",IF(COUNTIFS(EntryDates,$B134,CalcTime,$C134,CalcBank,$C$5,EntryParty,$D134,EntryDep,$H134,EntryWit,$I134)&gt;1,"تکرار",""))</f>
        <v/>
      </c>
      <c r="N134" s="28">
        <f>IF($P134="","",IF(INDEX(EntryNotes,$P134)=0,"",INDEX(EntryNotes,$P134)))</f>
        <v/>
      </c>
      <c r="O134" s="28">
        <f>IF($P134="","",IF(INDEX(EntryTxnID,$P134)=0,"",INDEX(EntryTxnID,$P134)))</f>
        <v/>
      </c>
      <c r="P134" s="28">
        <f>IFERROR(MATCH($C$5&amp;"|"&amp;RIGHT("000000"&amp;118,6),CalcRankKey,0),"")</f>
        <v/>
      </c>
    </row>
    <row r="135">
      <c r="A135" s="26">
        <f>IF($B135="","",119)</f>
        <v/>
      </c>
      <c r="B135" s="26">
        <f>IF($P135="","",IF(INDEX(CalcNormDate,$P135)=0,"",INDEX(CalcNormDate,$P135)))</f>
        <v/>
      </c>
      <c r="C135" s="26">
        <f>IF($P135="","",IF(INDEX(CalcTime,$P135)=0,"",INDEX(CalcTime,$P135)))</f>
        <v/>
      </c>
      <c r="D135" s="26">
        <f>IF($P135="","",IF(INDEX(EntryParty,$P135)=0,"",INDEX(EntryParty,$P135)))</f>
        <v/>
      </c>
      <c r="E135" s="26">
        <f>IF($P135="","",IF(INDEX(EntryPartyName,$P135)=0,"",INDEX(EntryPartyName,$P135)))</f>
        <v/>
      </c>
      <c r="F135" s="26">
        <f>IF($P135="","",IF(INDEX(EntryPartyType,$P135)=0,"",INDEX(EntryPartyType,$P135)))</f>
        <v/>
      </c>
      <c r="G135" s="26">
        <f>IF($P135="","",IF(INDEX(EntryTxnType,$P135)=0,"",INDEX(EntryTxnType,$P135)))</f>
        <v/>
      </c>
      <c r="H135" s="27">
        <f>IF($P135="","",IF(INDEX(EntryDep,$P135)=0,"",INDEX(EntryDep,$P135)))</f>
        <v/>
      </c>
      <c r="I135" s="27">
        <f>IF($P135="","",IF(INDEX(EntryWit,$P135)=0,"",INDEX(EntryWit,$P135)))</f>
        <v/>
      </c>
      <c r="J135" s="27">
        <f>IF($B135="","",IF($A135=1,$C$7,IF(J134="",0,J134))+IF($H135="",0,$H135)-IF($I135="",0,$I135))</f>
        <v/>
      </c>
      <c r="K135" s="27">
        <f>IF($P135="","",IF(INDEX(EntryMan,$P135)=0,"",INDEX(EntryMan,$P135)))</f>
        <v/>
      </c>
      <c r="L135" s="26">
        <f>IF($B135="","",IF($K135="","—",IF(ROUND($K135-$J135,0)=0,"√","×")))</f>
        <v/>
      </c>
      <c r="M135" s="26">
        <f>IF($B135="","",IF(COUNTIFS(EntryDates,$B135,CalcTime,$C135,CalcBank,$C$5,EntryParty,$D135,EntryDep,$H135,EntryWit,$I135)&gt;1,"تکرار",""))</f>
        <v/>
      </c>
      <c r="N135" s="26">
        <f>IF($P135="","",IF(INDEX(EntryNotes,$P135)=0,"",INDEX(EntryNotes,$P135)))</f>
        <v/>
      </c>
      <c r="O135" s="26">
        <f>IF($P135="","",IF(INDEX(EntryTxnID,$P135)=0,"",INDEX(EntryTxnID,$P135)))</f>
        <v/>
      </c>
      <c r="P135" s="26">
        <f>IFERROR(MATCH($C$5&amp;"|"&amp;RIGHT("000000"&amp;119,6),CalcRankKey,0),"")</f>
        <v/>
      </c>
    </row>
    <row r="136">
      <c r="A136" s="28">
        <f>IF($B136="","",120)</f>
        <v/>
      </c>
      <c r="B136" s="28">
        <f>IF($P136="","",IF(INDEX(CalcNormDate,$P136)=0,"",INDEX(CalcNormDate,$P136)))</f>
        <v/>
      </c>
      <c r="C136" s="28">
        <f>IF($P136="","",IF(INDEX(CalcTime,$P136)=0,"",INDEX(CalcTime,$P136)))</f>
        <v/>
      </c>
      <c r="D136" s="28">
        <f>IF($P136="","",IF(INDEX(EntryParty,$P136)=0,"",INDEX(EntryParty,$P136)))</f>
        <v/>
      </c>
      <c r="E136" s="28">
        <f>IF($P136="","",IF(INDEX(EntryPartyName,$P136)=0,"",INDEX(EntryPartyName,$P136)))</f>
        <v/>
      </c>
      <c r="F136" s="28">
        <f>IF($P136="","",IF(INDEX(EntryPartyType,$P136)=0,"",INDEX(EntryPartyType,$P136)))</f>
        <v/>
      </c>
      <c r="G136" s="28">
        <f>IF($P136="","",IF(INDEX(EntryTxnType,$P136)=0,"",INDEX(EntryTxnType,$P136)))</f>
        <v/>
      </c>
      <c r="H136" s="29">
        <f>IF($P136="","",IF(INDEX(EntryDep,$P136)=0,"",INDEX(EntryDep,$P136)))</f>
        <v/>
      </c>
      <c r="I136" s="29">
        <f>IF($P136="","",IF(INDEX(EntryWit,$P136)=0,"",INDEX(EntryWit,$P136)))</f>
        <v/>
      </c>
      <c r="J136" s="29">
        <f>IF($B136="","",IF($A136=1,$C$7,IF(J135="",0,J135))+IF($H136="",0,$H136)-IF($I136="",0,$I136))</f>
        <v/>
      </c>
      <c r="K136" s="29">
        <f>IF($P136="","",IF(INDEX(EntryMan,$P136)=0,"",INDEX(EntryMan,$P136)))</f>
        <v/>
      </c>
      <c r="L136" s="28">
        <f>IF($B136="","",IF($K136="","—",IF(ROUND($K136-$J136,0)=0,"√","×")))</f>
        <v/>
      </c>
      <c r="M136" s="28">
        <f>IF($B136="","",IF(COUNTIFS(EntryDates,$B136,CalcTime,$C136,CalcBank,$C$5,EntryParty,$D136,EntryDep,$H136,EntryWit,$I136)&gt;1,"تکرار",""))</f>
        <v/>
      </c>
      <c r="N136" s="28">
        <f>IF($P136="","",IF(INDEX(EntryNotes,$P136)=0,"",INDEX(EntryNotes,$P136)))</f>
        <v/>
      </c>
      <c r="O136" s="28">
        <f>IF($P136="","",IF(INDEX(EntryTxnID,$P136)=0,"",INDEX(EntryTxnID,$P136)))</f>
        <v/>
      </c>
      <c r="P136" s="28">
        <f>IFERROR(MATCH($C$5&amp;"|"&amp;RIGHT("000000"&amp;120,6),CalcRankKey,0),"")</f>
        <v/>
      </c>
    </row>
    <row r="137">
      <c r="A137" s="26">
        <f>IF($B137="","",121)</f>
        <v/>
      </c>
      <c r="B137" s="26">
        <f>IF($P137="","",IF(INDEX(CalcNormDate,$P137)=0,"",INDEX(CalcNormDate,$P137)))</f>
        <v/>
      </c>
      <c r="C137" s="26">
        <f>IF($P137="","",IF(INDEX(CalcTime,$P137)=0,"",INDEX(CalcTime,$P137)))</f>
        <v/>
      </c>
      <c r="D137" s="26">
        <f>IF($P137="","",IF(INDEX(EntryParty,$P137)=0,"",INDEX(EntryParty,$P137)))</f>
        <v/>
      </c>
      <c r="E137" s="26">
        <f>IF($P137="","",IF(INDEX(EntryPartyName,$P137)=0,"",INDEX(EntryPartyName,$P137)))</f>
        <v/>
      </c>
      <c r="F137" s="26">
        <f>IF($P137="","",IF(INDEX(EntryPartyType,$P137)=0,"",INDEX(EntryPartyType,$P137)))</f>
        <v/>
      </c>
      <c r="G137" s="26">
        <f>IF($P137="","",IF(INDEX(EntryTxnType,$P137)=0,"",INDEX(EntryTxnType,$P137)))</f>
        <v/>
      </c>
      <c r="H137" s="27">
        <f>IF($P137="","",IF(INDEX(EntryDep,$P137)=0,"",INDEX(EntryDep,$P137)))</f>
        <v/>
      </c>
      <c r="I137" s="27">
        <f>IF($P137="","",IF(INDEX(EntryWit,$P137)=0,"",INDEX(EntryWit,$P137)))</f>
        <v/>
      </c>
      <c r="J137" s="27">
        <f>IF($B137="","",IF($A137=1,$C$7,IF(J136="",0,J136))+IF($H137="",0,$H137)-IF($I137="",0,$I137))</f>
        <v/>
      </c>
      <c r="K137" s="27">
        <f>IF($P137="","",IF(INDEX(EntryMan,$P137)=0,"",INDEX(EntryMan,$P137)))</f>
        <v/>
      </c>
      <c r="L137" s="26">
        <f>IF($B137="","",IF($K137="","—",IF(ROUND($K137-$J137,0)=0,"√","×")))</f>
        <v/>
      </c>
      <c r="M137" s="26">
        <f>IF($B137="","",IF(COUNTIFS(EntryDates,$B137,CalcTime,$C137,CalcBank,$C$5,EntryParty,$D137,EntryDep,$H137,EntryWit,$I137)&gt;1,"تکرار",""))</f>
        <v/>
      </c>
      <c r="N137" s="26">
        <f>IF($P137="","",IF(INDEX(EntryNotes,$P137)=0,"",INDEX(EntryNotes,$P137)))</f>
        <v/>
      </c>
      <c r="O137" s="26">
        <f>IF($P137="","",IF(INDEX(EntryTxnID,$P137)=0,"",INDEX(EntryTxnID,$P137)))</f>
        <v/>
      </c>
      <c r="P137" s="26">
        <f>IFERROR(MATCH($C$5&amp;"|"&amp;RIGHT("000000"&amp;121,6),CalcRankKey,0),"")</f>
        <v/>
      </c>
    </row>
    <row r="138">
      <c r="A138" s="28">
        <f>IF($B138="","",122)</f>
        <v/>
      </c>
      <c r="B138" s="28">
        <f>IF($P138="","",IF(INDEX(CalcNormDate,$P138)=0,"",INDEX(CalcNormDate,$P138)))</f>
        <v/>
      </c>
      <c r="C138" s="28">
        <f>IF($P138="","",IF(INDEX(CalcTime,$P138)=0,"",INDEX(CalcTime,$P138)))</f>
        <v/>
      </c>
      <c r="D138" s="28">
        <f>IF($P138="","",IF(INDEX(EntryParty,$P138)=0,"",INDEX(EntryParty,$P138)))</f>
        <v/>
      </c>
      <c r="E138" s="28">
        <f>IF($P138="","",IF(INDEX(EntryPartyName,$P138)=0,"",INDEX(EntryPartyName,$P138)))</f>
        <v/>
      </c>
      <c r="F138" s="28">
        <f>IF($P138="","",IF(INDEX(EntryPartyType,$P138)=0,"",INDEX(EntryPartyType,$P138)))</f>
        <v/>
      </c>
      <c r="G138" s="28">
        <f>IF($P138="","",IF(INDEX(EntryTxnType,$P138)=0,"",INDEX(EntryTxnType,$P138)))</f>
        <v/>
      </c>
      <c r="H138" s="29">
        <f>IF($P138="","",IF(INDEX(EntryDep,$P138)=0,"",INDEX(EntryDep,$P138)))</f>
        <v/>
      </c>
      <c r="I138" s="29">
        <f>IF($P138="","",IF(INDEX(EntryWit,$P138)=0,"",INDEX(EntryWit,$P138)))</f>
        <v/>
      </c>
      <c r="J138" s="29">
        <f>IF($B138="","",IF($A138=1,$C$7,IF(J137="",0,J137))+IF($H138="",0,$H138)-IF($I138="",0,$I138))</f>
        <v/>
      </c>
      <c r="K138" s="29">
        <f>IF($P138="","",IF(INDEX(EntryMan,$P138)=0,"",INDEX(EntryMan,$P138)))</f>
        <v/>
      </c>
      <c r="L138" s="28">
        <f>IF($B138="","",IF($K138="","—",IF(ROUND($K138-$J138,0)=0,"√","×")))</f>
        <v/>
      </c>
      <c r="M138" s="28">
        <f>IF($B138="","",IF(COUNTIFS(EntryDates,$B138,CalcTime,$C138,CalcBank,$C$5,EntryParty,$D138,EntryDep,$H138,EntryWit,$I138)&gt;1,"تکرار",""))</f>
        <v/>
      </c>
      <c r="N138" s="28">
        <f>IF($P138="","",IF(INDEX(EntryNotes,$P138)=0,"",INDEX(EntryNotes,$P138)))</f>
        <v/>
      </c>
      <c r="O138" s="28">
        <f>IF($P138="","",IF(INDEX(EntryTxnID,$P138)=0,"",INDEX(EntryTxnID,$P138)))</f>
        <v/>
      </c>
      <c r="P138" s="28">
        <f>IFERROR(MATCH($C$5&amp;"|"&amp;RIGHT("000000"&amp;122,6),CalcRankKey,0),"")</f>
        <v/>
      </c>
    </row>
    <row r="139">
      <c r="A139" s="26">
        <f>IF($B139="","",123)</f>
        <v/>
      </c>
      <c r="B139" s="26">
        <f>IF($P139="","",IF(INDEX(CalcNormDate,$P139)=0,"",INDEX(CalcNormDate,$P139)))</f>
        <v/>
      </c>
      <c r="C139" s="26">
        <f>IF($P139="","",IF(INDEX(CalcTime,$P139)=0,"",INDEX(CalcTime,$P139)))</f>
        <v/>
      </c>
      <c r="D139" s="26">
        <f>IF($P139="","",IF(INDEX(EntryParty,$P139)=0,"",INDEX(EntryParty,$P139)))</f>
        <v/>
      </c>
      <c r="E139" s="26">
        <f>IF($P139="","",IF(INDEX(EntryPartyName,$P139)=0,"",INDEX(EntryPartyName,$P139)))</f>
        <v/>
      </c>
      <c r="F139" s="26">
        <f>IF($P139="","",IF(INDEX(EntryPartyType,$P139)=0,"",INDEX(EntryPartyType,$P139)))</f>
        <v/>
      </c>
      <c r="G139" s="26">
        <f>IF($P139="","",IF(INDEX(EntryTxnType,$P139)=0,"",INDEX(EntryTxnType,$P139)))</f>
        <v/>
      </c>
      <c r="H139" s="27">
        <f>IF($P139="","",IF(INDEX(EntryDep,$P139)=0,"",INDEX(EntryDep,$P139)))</f>
        <v/>
      </c>
      <c r="I139" s="27">
        <f>IF($P139="","",IF(INDEX(EntryWit,$P139)=0,"",INDEX(EntryWit,$P139)))</f>
        <v/>
      </c>
      <c r="J139" s="27">
        <f>IF($B139="","",IF($A139=1,$C$7,IF(J138="",0,J138))+IF($H139="",0,$H139)-IF($I139="",0,$I139))</f>
        <v/>
      </c>
      <c r="K139" s="27">
        <f>IF($P139="","",IF(INDEX(EntryMan,$P139)=0,"",INDEX(EntryMan,$P139)))</f>
        <v/>
      </c>
      <c r="L139" s="26">
        <f>IF($B139="","",IF($K139="","—",IF(ROUND($K139-$J139,0)=0,"√","×")))</f>
        <v/>
      </c>
      <c r="M139" s="26">
        <f>IF($B139="","",IF(COUNTIFS(EntryDates,$B139,CalcTime,$C139,CalcBank,$C$5,EntryParty,$D139,EntryDep,$H139,EntryWit,$I139)&gt;1,"تکرار",""))</f>
        <v/>
      </c>
      <c r="N139" s="26">
        <f>IF($P139="","",IF(INDEX(EntryNotes,$P139)=0,"",INDEX(EntryNotes,$P139)))</f>
        <v/>
      </c>
      <c r="O139" s="26">
        <f>IF($P139="","",IF(INDEX(EntryTxnID,$P139)=0,"",INDEX(EntryTxnID,$P139)))</f>
        <v/>
      </c>
      <c r="P139" s="26">
        <f>IFERROR(MATCH($C$5&amp;"|"&amp;RIGHT("000000"&amp;123,6),CalcRankKey,0),"")</f>
        <v/>
      </c>
    </row>
    <row r="140">
      <c r="A140" s="28">
        <f>IF($B140="","",124)</f>
        <v/>
      </c>
      <c r="B140" s="28">
        <f>IF($P140="","",IF(INDEX(CalcNormDate,$P140)=0,"",INDEX(CalcNormDate,$P140)))</f>
        <v/>
      </c>
      <c r="C140" s="28">
        <f>IF($P140="","",IF(INDEX(CalcTime,$P140)=0,"",INDEX(CalcTime,$P140)))</f>
        <v/>
      </c>
      <c r="D140" s="28">
        <f>IF($P140="","",IF(INDEX(EntryParty,$P140)=0,"",INDEX(EntryParty,$P140)))</f>
        <v/>
      </c>
      <c r="E140" s="28">
        <f>IF($P140="","",IF(INDEX(EntryPartyName,$P140)=0,"",INDEX(EntryPartyName,$P140)))</f>
        <v/>
      </c>
      <c r="F140" s="28">
        <f>IF($P140="","",IF(INDEX(EntryPartyType,$P140)=0,"",INDEX(EntryPartyType,$P140)))</f>
        <v/>
      </c>
      <c r="G140" s="28">
        <f>IF($P140="","",IF(INDEX(EntryTxnType,$P140)=0,"",INDEX(EntryTxnType,$P140)))</f>
        <v/>
      </c>
      <c r="H140" s="29">
        <f>IF($P140="","",IF(INDEX(EntryDep,$P140)=0,"",INDEX(EntryDep,$P140)))</f>
        <v/>
      </c>
      <c r="I140" s="29">
        <f>IF($P140="","",IF(INDEX(EntryWit,$P140)=0,"",INDEX(EntryWit,$P140)))</f>
        <v/>
      </c>
      <c r="J140" s="29">
        <f>IF($B140="","",IF($A140=1,$C$7,IF(J139="",0,J139))+IF($H140="",0,$H140)-IF($I140="",0,$I140))</f>
        <v/>
      </c>
      <c r="K140" s="29">
        <f>IF($P140="","",IF(INDEX(EntryMan,$P140)=0,"",INDEX(EntryMan,$P140)))</f>
        <v/>
      </c>
      <c r="L140" s="28">
        <f>IF($B140="","",IF($K140="","—",IF(ROUND($K140-$J140,0)=0,"√","×")))</f>
        <v/>
      </c>
      <c r="M140" s="28">
        <f>IF($B140="","",IF(COUNTIFS(EntryDates,$B140,CalcTime,$C140,CalcBank,$C$5,EntryParty,$D140,EntryDep,$H140,EntryWit,$I140)&gt;1,"تکرار",""))</f>
        <v/>
      </c>
      <c r="N140" s="28">
        <f>IF($P140="","",IF(INDEX(EntryNotes,$P140)=0,"",INDEX(EntryNotes,$P140)))</f>
        <v/>
      </c>
      <c r="O140" s="28">
        <f>IF($P140="","",IF(INDEX(EntryTxnID,$P140)=0,"",INDEX(EntryTxnID,$P140)))</f>
        <v/>
      </c>
      <c r="P140" s="28">
        <f>IFERROR(MATCH($C$5&amp;"|"&amp;RIGHT("000000"&amp;124,6),CalcRankKey,0),"")</f>
        <v/>
      </c>
    </row>
    <row r="141">
      <c r="A141" s="26">
        <f>IF($B141="","",125)</f>
        <v/>
      </c>
      <c r="B141" s="26">
        <f>IF($P141="","",IF(INDEX(CalcNormDate,$P141)=0,"",INDEX(CalcNormDate,$P141)))</f>
        <v/>
      </c>
      <c r="C141" s="26">
        <f>IF($P141="","",IF(INDEX(CalcTime,$P141)=0,"",INDEX(CalcTime,$P141)))</f>
        <v/>
      </c>
      <c r="D141" s="26">
        <f>IF($P141="","",IF(INDEX(EntryParty,$P141)=0,"",INDEX(EntryParty,$P141)))</f>
        <v/>
      </c>
      <c r="E141" s="26">
        <f>IF($P141="","",IF(INDEX(EntryPartyName,$P141)=0,"",INDEX(EntryPartyName,$P141)))</f>
        <v/>
      </c>
      <c r="F141" s="26">
        <f>IF($P141="","",IF(INDEX(EntryPartyType,$P141)=0,"",INDEX(EntryPartyType,$P141)))</f>
        <v/>
      </c>
      <c r="G141" s="26">
        <f>IF($P141="","",IF(INDEX(EntryTxnType,$P141)=0,"",INDEX(EntryTxnType,$P141)))</f>
        <v/>
      </c>
      <c r="H141" s="27">
        <f>IF($P141="","",IF(INDEX(EntryDep,$P141)=0,"",INDEX(EntryDep,$P141)))</f>
        <v/>
      </c>
      <c r="I141" s="27">
        <f>IF($P141="","",IF(INDEX(EntryWit,$P141)=0,"",INDEX(EntryWit,$P141)))</f>
        <v/>
      </c>
      <c r="J141" s="27">
        <f>IF($B141="","",IF($A141=1,$C$7,IF(J140="",0,J140))+IF($H141="",0,$H141)-IF($I141="",0,$I141))</f>
        <v/>
      </c>
      <c r="K141" s="27">
        <f>IF($P141="","",IF(INDEX(EntryMan,$P141)=0,"",INDEX(EntryMan,$P141)))</f>
        <v/>
      </c>
      <c r="L141" s="26">
        <f>IF($B141="","",IF($K141="","—",IF(ROUND($K141-$J141,0)=0,"√","×")))</f>
        <v/>
      </c>
      <c r="M141" s="26">
        <f>IF($B141="","",IF(COUNTIFS(EntryDates,$B141,CalcTime,$C141,CalcBank,$C$5,EntryParty,$D141,EntryDep,$H141,EntryWit,$I141)&gt;1,"تکرار",""))</f>
        <v/>
      </c>
      <c r="N141" s="26">
        <f>IF($P141="","",IF(INDEX(EntryNotes,$P141)=0,"",INDEX(EntryNotes,$P141)))</f>
        <v/>
      </c>
      <c r="O141" s="26">
        <f>IF($P141="","",IF(INDEX(EntryTxnID,$P141)=0,"",INDEX(EntryTxnID,$P141)))</f>
        <v/>
      </c>
      <c r="P141" s="26">
        <f>IFERROR(MATCH($C$5&amp;"|"&amp;RIGHT("000000"&amp;125,6),CalcRankKey,0),"")</f>
        <v/>
      </c>
    </row>
    <row r="142">
      <c r="A142" s="28">
        <f>IF($B142="","",126)</f>
        <v/>
      </c>
      <c r="B142" s="28">
        <f>IF($P142="","",IF(INDEX(CalcNormDate,$P142)=0,"",INDEX(CalcNormDate,$P142)))</f>
        <v/>
      </c>
      <c r="C142" s="28">
        <f>IF($P142="","",IF(INDEX(CalcTime,$P142)=0,"",INDEX(CalcTime,$P142)))</f>
        <v/>
      </c>
      <c r="D142" s="28">
        <f>IF($P142="","",IF(INDEX(EntryParty,$P142)=0,"",INDEX(EntryParty,$P142)))</f>
        <v/>
      </c>
      <c r="E142" s="28">
        <f>IF($P142="","",IF(INDEX(EntryPartyName,$P142)=0,"",INDEX(EntryPartyName,$P142)))</f>
        <v/>
      </c>
      <c r="F142" s="28">
        <f>IF($P142="","",IF(INDEX(EntryPartyType,$P142)=0,"",INDEX(EntryPartyType,$P142)))</f>
        <v/>
      </c>
      <c r="G142" s="28">
        <f>IF($P142="","",IF(INDEX(EntryTxnType,$P142)=0,"",INDEX(EntryTxnType,$P142)))</f>
        <v/>
      </c>
      <c r="H142" s="29">
        <f>IF($P142="","",IF(INDEX(EntryDep,$P142)=0,"",INDEX(EntryDep,$P142)))</f>
        <v/>
      </c>
      <c r="I142" s="29">
        <f>IF($P142="","",IF(INDEX(EntryWit,$P142)=0,"",INDEX(EntryWit,$P142)))</f>
        <v/>
      </c>
      <c r="J142" s="29">
        <f>IF($B142="","",IF($A142=1,$C$7,IF(J141="",0,J141))+IF($H142="",0,$H142)-IF($I142="",0,$I142))</f>
        <v/>
      </c>
      <c r="K142" s="29">
        <f>IF($P142="","",IF(INDEX(EntryMan,$P142)=0,"",INDEX(EntryMan,$P142)))</f>
        <v/>
      </c>
      <c r="L142" s="28">
        <f>IF($B142="","",IF($K142="","—",IF(ROUND($K142-$J142,0)=0,"√","×")))</f>
        <v/>
      </c>
      <c r="M142" s="28">
        <f>IF($B142="","",IF(COUNTIFS(EntryDates,$B142,CalcTime,$C142,CalcBank,$C$5,EntryParty,$D142,EntryDep,$H142,EntryWit,$I142)&gt;1,"تکرار",""))</f>
        <v/>
      </c>
      <c r="N142" s="28">
        <f>IF($P142="","",IF(INDEX(EntryNotes,$P142)=0,"",INDEX(EntryNotes,$P142)))</f>
        <v/>
      </c>
      <c r="O142" s="28">
        <f>IF($P142="","",IF(INDEX(EntryTxnID,$P142)=0,"",INDEX(EntryTxnID,$P142)))</f>
        <v/>
      </c>
      <c r="P142" s="28">
        <f>IFERROR(MATCH($C$5&amp;"|"&amp;RIGHT("000000"&amp;126,6),CalcRankKey,0),"")</f>
        <v/>
      </c>
    </row>
    <row r="143">
      <c r="A143" s="26">
        <f>IF($B143="","",127)</f>
        <v/>
      </c>
      <c r="B143" s="26">
        <f>IF($P143="","",IF(INDEX(CalcNormDate,$P143)=0,"",INDEX(CalcNormDate,$P143)))</f>
        <v/>
      </c>
      <c r="C143" s="26">
        <f>IF($P143="","",IF(INDEX(CalcTime,$P143)=0,"",INDEX(CalcTime,$P143)))</f>
        <v/>
      </c>
      <c r="D143" s="26">
        <f>IF($P143="","",IF(INDEX(EntryParty,$P143)=0,"",INDEX(EntryParty,$P143)))</f>
        <v/>
      </c>
      <c r="E143" s="26">
        <f>IF($P143="","",IF(INDEX(EntryPartyName,$P143)=0,"",INDEX(EntryPartyName,$P143)))</f>
        <v/>
      </c>
      <c r="F143" s="26">
        <f>IF($P143="","",IF(INDEX(EntryPartyType,$P143)=0,"",INDEX(EntryPartyType,$P143)))</f>
        <v/>
      </c>
      <c r="G143" s="26">
        <f>IF($P143="","",IF(INDEX(EntryTxnType,$P143)=0,"",INDEX(EntryTxnType,$P143)))</f>
        <v/>
      </c>
      <c r="H143" s="27">
        <f>IF($P143="","",IF(INDEX(EntryDep,$P143)=0,"",INDEX(EntryDep,$P143)))</f>
        <v/>
      </c>
      <c r="I143" s="27">
        <f>IF($P143="","",IF(INDEX(EntryWit,$P143)=0,"",INDEX(EntryWit,$P143)))</f>
        <v/>
      </c>
      <c r="J143" s="27">
        <f>IF($B143="","",IF($A143=1,$C$7,IF(J142="",0,J142))+IF($H143="",0,$H143)-IF($I143="",0,$I143))</f>
        <v/>
      </c>
      <c r="K143" s="27">
        <f>IF($P143="","",IF(INDEX(EntryMan,$P143)=0,"",INDEX(EntryMan,$P143)))</f>
        <v/>
      </c>
      <c r="L143" s="26">
        <f>IF($B143="","",IF($K143="","—",IF(ROUND($K143-$J143,0)=0,"√","×")))</f>
        <v/>
      </c>
      <c r="M143" s="26">
        <f>IF($B143="","",IF(COUNTIFS(EntryDates,$B143,CalcTime,$C143,CalcBank,$C$5,EntryParty,$D143,EntryDep,$H143,EntryWit,$I143)&gt;1,"تکرار",""))</f>
        <v/>
      </c>
      <c r="N143" s="26">
        <f>IF($P143="","",IF(INDEX(EntryNotes,$P143)=0,"",INDEX(EntryNotes,$P143)))</f>
        <v/>
      </c>
      <c r="O143" s="26">
        <f>IF($P143="","",IF(INDEX(EntryTxnID,$P143)=0,"",INDEX(EntryTxnID,$P143)))</f>
        <v/>
      </c>
      <c r="P143" s="26">
        <f>IFERROR(MATCH($C$5&amp;"|"&amp;RIGHT("000000"&amp;127,6),CalcRankKey,0),"")</f>
        <v/>
      </c>
    </row>
    <row r="144">
      <c r="A144" s="28">
        <f>IF($B144="","",128)</f>
        <v/>
      </c>
      <c r="B144" s="28">
        <f>IF($P144="","",IF(INDEX(CalcNormDate,$P144)=0,"",INDEX(CalcNormDate,$P144)))</f>
        <v/>
      </c>
      <c r="C144" s="28">
        <f>IF($P144="","",IF(INDEX(CalcTime,$P144)=0,"",INDEX(CalcTime,$P144)))</f>
        <v/>
      </c>
      <c r="D144" s="28">
        <f>IF($P144="","",IF(INDEX(EntryParty,$P144)=0,"",INDEX(EntryParty,$P144)))</f>
        <v/>
      </c>
      <c r="E144" s="28">
        <f>IF($P144="","",IF(INDEX(EntryPartyName,$P144)=0,"",INDEX(EntryPartyName,$P144)))</f>
        <v/>
      </c>
      <c r="F144" s="28">
        <f>IF($P144="","",IF(INDEX(EntryPartyType,$P144)=0,"",INDEX(EntryPartyType,$P144)))</f>
        <v/>
      </c>
      <c r="G144" s="28">
        <f>IF($P144="","",IF(INDEX(EntryTxnType,$P144)=0,"",INDEX(EntryTxnType,$P144)))</f>
        <v/>
      </c>
      <c r="H144" s="29">
        <f>IF($P144="","",IF(INDEX(EntryDep,$P144)=0,"",INDEX(EntryDep,$P144)))</f>
        <v/>
      </c>
      <c r="I144" s="29">
        <f>IF($P144="","",IF(INDEX(EntryWit,$P144)=0,"",INDEX(EntryWit,$P144)))</f>
        <v/>
      </c>
      <c r="J144" s="29">
        <f>IF($B144="","",IF($A144=1,$C$7,IF(J143="",0,J143))+IF($H144="",0,$H144)-IF($I144="",0,$I144))</f>
        <v/>
      </c>
      <c r="K144" s="29">
        <f>IF($P144="","",IF(INDEX(EntryMan,$P144)=0,"",INDEX(EntryMan,$P144)))</f>
        <v/>
      </c>
      <c r="L144" s="28">
        <f>IF($B144="","",IF($K144="","—",IF(ROUND($K144-$J144,0)=0,"√","×")))</f>
        <v/>
      </c>
      <c r="M144" s="28">
        <f>IF($B144="","",IF(COUNTIFS(EntryDates,$B144,CalcTime,$C144,CalcBank,$C$5,EntryParty,$D144,EntryDep,$H144,EntryWit,$I144)&gt;1,"تکرار",""))</f>
        <v/>
      </c>
      <c r="N144" s="28">
        <f>IF($P144="","",IF(INDEX(EntryNotes,$P144)=0,"",INDEX(EntryNotes,$P144)))</f>
        <v/>
      </c>
      <c r="O144" s="28">
        <f>IF($P144="","",IF(INDEX(EntryTxnID,$P144)=0,"",INDEX(EntryTxnID,$P144)))</f>
        <v/>
      </c>
      <c r="P144" s="28">
        <f>IFERROR(MATCH($C$5&amp;"|"&amp;RIGHT("000000"&amp;128,6),CalcRankKey,0),"")</f>
        <v/>
      </c>
    </row>
    <row r="145">
      <c r="A145" s="26">
        <f>IF($B145="","",129)</f>
        <v/>
      </c>
      <c r="B145" s="26">
        <f>IF($P145="","",IF(INDEX(CalcNormDate,$P145)=0,"",INDEX(CalcNormDate,$P145)))</f>
        <v/>
      </c>
      <c r="C145" s="26">
        <f>IF($P145="","",IF(INDEX(CalcTime,$P145)=0,"",INDEX(CalcTime,$P145)))</f>
        <v/>
      </c>
      <c r="D145" s="26">
        <f>IF($P145="","",IF(INDEX(EntryParty,$P145)=0,"",INDEX(EntryParty,$P145)))</f>
        <v/>
      </c>
      <c r="E145" s="26">
        <f>IF($P145="","",IF(INDEX(EntryPartyName,$P145)=0,"",INDEX(EntryPartyName,$P145)))</f>
        <v/>
      </c>
      <c r="F145" s="26">
        <f>IF($P145="","",IF(INDEX(EntryPartyType,$P145)=0,"",INDEX(EntryPartyType,$P145)))</f>
        <v/>
      </c>
      <c r="G145" s="26">
        <f>IF($P145="","",IF(INDEX(EntryTxnType,$P145)=0,"",INDEX(EntryTxnType,$P145)))</f>
        <v/>
      </c>
      <c r="H145" s="27">
        <f>IF($P145="","",IF(INDEX(EntryDep,$P145)=0,"",INDEX(EntryDep,$P145)))</f>
        <v/>
      </c>
      <c r="I145" s="27">
        <f>IF($P145="","",IF(INDEX(EntryWit,$P145)=0,"",INDEX(EntryWit,$P145)))</f>
        <v/>
      </c>
      <c r="J145" s="27">
        <f>IF($B145="","",IF($A145=1,$C$7,IF(J144="",0,J144))+IF($H145="",0,$H145)-IF($I145="",0,$I145))</f>
        <v/>
      </c>
      <c r="K145" s="27">
        <f>IF($P145="","",IF(INDEX(EntryMan,$P145)=0,"",INDEX(EntryMan,$P145)))</f>
        <v/>
      </c>
      <c r="L145" s="26">
        <f>IF($B145="","",IF($K145="","—",IF(ROUND($K145-$J145,0)=0,"√","×")))</f>
        <v/>
      </c>
      <c r="M145" s="26">
        <f>IF($B145="","",IF(COUNTIFS(EntryDates,$B145,CalcTime,$C145,CalcBank,$C$5,EntryParty,$D145,EntryDep,$H145,EntryWit,$I145)&gt;1,"تکرار",""))</f>
        <v/>
      </c>
      <c r="N145" s="26">
        <f>IF($P145="","",IF(INDEX(EntryNotes,$P145)=0,"",INDEX(EntryNotes,$P145)))</f>
        <v/>
      </c>
      <c r="O145" s="26">
        <f>IF($P145="","",IF(INDEX(EntryTxnID,$P145)=0,"",INDEX(EntryTxnID,$P145)))</f>
        <v/>
      </c>
      <c r="P145" s="26">
        <f>IFERROR(MATCH($C$5&amp;"|"&amp;RIGHT("000000"&amp;129,6),CalcRankKey,0),"")</f>
        <v/>
      </c>
    </row>
    <row r="146">
      <c r="A146" s="28">
        <f>IF($B146="","",130)</f>
        <v/>
      </c>
      <c r="B146" s="28">
        <f>IF($P146="","",IF(INDEX(CalcNormDate,$P146)=0,"",INDEX(CalcNormDate,$P146)))</f>
        <v/>
      </c>
      <c r="C146" s="28">
        <f>IF($P146="","",IF(INDEX(CalcTime,$P146)=0,"",INDEX(CalcTime,$P146)))</f>
        <v/>
      </c>
      <c r="D146" s="28">
        <f>IF($P146="","",IF(INDEX(EntryParty,$P146)=0,"",INDEX(EntryParty,$P146)))</f>
        <v/>
      </c>
      <c r="E146" s="28">
        <f>IF($P146="","",IF(INDEX(EntryPartyName,$P146)=0,"",INDEX(EntryPartyName,$P146)))</f>
        <v/>
      </c>
      <c r="F146" s="28">
        <f>IF($P146="","",IF(INDEX(EntryPartyType,$P146)=0,"",INDEX(EntryPartyType,$P146)))</f>
        <v/>
      </c>
      <c r="G146" s="28">
        <f>IF($P146="","",IF(INDEX(EntryTxnType,$P146)=0,"",INDEX(EntryTxnType,$P146)))</f>
        <v/>
      </c>
      <c r="H146" s="29">
        <f>IF($P146="","",IF(INDEX(EntryDep,$P146)=0,"",INDEX(EntryDep,$P146)))</f>
        <v/>
      </c>
      <c r="I146" s="29">
        <f>IF($P146="","",IF(INDEX(EntryWit,$P146)=0,"",INDEX(EntryWit,$P146)))</f>
        <v/>
      </c>
      <c r="J146" s="29">
        <f>IF($B146="","",IF($A146=1,$C$7,IF(J145="",0,J145))+IF($H146="",0,$H146)-IF($I146="",0,$I146))</f>
        <v/>
      </c>
      <c r="K146" s="29">
        <f>IF($P146="","",IF(INDEX(EntryMan,$P146)=0,"",INDEX(EntryMan,$P146)))</f>
        <v/>
      </c>
      <c r="L146" s="28">
        <f>IF($B146="","",IF($K146="","—",IF(ROUND($K146-$J146,0)=0,"√","×")))</f>
        <v/>
      </c>
      <c r="M146" s="28">
        <f>IF($B146="","",IF(COUNTIFS(EntryDates,$B146,CalcTime,$C146,CalcBank,$C$5,EntryParty,$D146,EntryDep,$H146,EntryWit,$I146)&gt;1,"تکرار",""))</f>
        <v/>
      </c>
      <c r="N146" s="28">
        <f>IF($P146="","",IF(INDEX(EntryNotes,$P146)=0,"",INDEX(EntryNotes,$P146)))</f>
        <v/>
      </c>
      <c r="O146" s="28">
        <f>IF($P146="","",IF(INDEX(EntryTxnID,$P146)=0,"",INDEX(EntryTxnID,$P146)))</f>
        <v/>
      </c>
      <c r="P146" s="28">
        <f>IFERROR(MATCH($C$5&amp;"|"&amp;RIGHT("000000"&amp;130,6),CalcRankKey,0),"")</f>
        <v/>
      </c>
    </row>
    <row r="147">
      <c r="A147" s="26">
        <f>IF($B147="","",131)</f>
        <v/>
      </c>
      <c r="B147" s="26">
        <f>IF($P147="","",IF(INDEX(CalcNormDate,$P147)=0,"",INDEX(CalcNormDate,$P147)))</f>
        <v/>
      </c>
      <c r="C147" s="26">
        <f>IF($P147="","",IF(INDEX(CalcTime,$P147)=0,"",INDEX(CalcTime,$P147)))</f>
        <v/>
      </c>
      <c r="D147" s="26">
        <f>IF($P147="","",IF(INDEX(EntryParty,$P147)=0,"",INDEX(EntryParty,$P147)))</f>
        <v/>
      </c>
      <c r="E147" s="26">
        <f>IF($P147="","",IF(INDEX(EntryPartyName,$P147)=0,"",INDEX(EntryPartyName,$P147)))</f>
        <v/>
      </c>
      <c r="F147" s="26">
        <f>IF($P147="","",IF(INDEX(EntryPartyType,$P147)=0,"",INDEX(EntryPartyType,$P147)))</f>
        <v/>
      </c>
      <c r="G147" s="26">
        <f>IF($P147="","",IF(INDEX(EntryTxnType,$P147)=0,"",INDEX(EntryTxnType,$P147)))</f>
        <v/>
      </c>
      <c r="H147" s="27">
        <f>IF($P147="","",IF(INDEX(EntryDep,$P147)=0,"",INDEX(EntryDep,$P147)))</f>
        <v/>
      </c>
      <c r="I147" s="27">
        <f>IF($P147="","",IF(INDEX(EntryWit,$P147)=0,"",INDEX(EntryWit,$P147)))</f>
        <v/>
      </c>
      <c r="J147" s="27">
        <f>IF($B147="","",IF($A147=1,$C$7,IF(J146="",0,J146))+IF($H147="",0,$H147)-IF($I147="",0,$I147))</f>
        <v/>
      </c>
      <c r="K147" s="27">
        <f>IF($P147="","",IF(INDEX(EntryMan,$P147)=0,"",INDEX(EntryMan,$P147)))</f>
        <v/>
      </c>
      <c r="L147" s="26">
        <f>IF($B147="","",IF($K147="","—",IF(ROUND($K147-$J147,0)=0,"√","×")))</f>
        <v/>
      </c>
      <c r="M147" s="26">
        <f>IF($B147="","",IF(COUNTIFS(EntryDates,$B147,CalcTime,$C147,CalcBank,$C$5,EntryParty,$D147,EntryDep,$H147,EntryWit,$I147)&gt;1,"تکرار",""))</f>
        <v/>
      </c>
      <c r="N147" s="26">
        <f>IF($P147="","",IF(INDEX(EntryNotes,$P147)=0,"",INDEX(EntryNotes,$P147)))</f>
        <v/>
      </c>
      <c r="O147" s="26">
        <f>IF($P147="","",IF(INDEX(EntryTxnID,$P147)=0,"",INDEX(EntryTxnID,$P147)))</f>
        <v/>
      </c>
      <c r="P147" s="26">
        <f>IFERROR(MATCH($C$5&amp;"|"&amp;RIGHT("000000"&amp;131,6),CalcRankKey,0),"")</f>
        <v/>
      </c>
    </row>
    <row r="148">
      <c r="A148" s="28">
        <f>IF($B148="","",132)</f>
        <v/>
      </c>
      <c r="B148" s="28">
        <f>IF($P148="","",IF(INDEX(CalcNormDate,$P148)=0,"",INDEX(CalcNormDate,$P148)))</f>
        <v/>
      </c>
      <c r="C148" s="28">
        <f>IF($P148="","",IF(INDEX(CalcTime,$P148)=0,"",INDEX(CalcTime,$P148)))</f>
        <v/>
      </c>
      <c r="D148" s="28">
        <f>IF($P148="","",IF(INDEX(EntryParty,$P148)=0,"",INDEX(EntryParty,$P148)))</f>
        <v/>
      </c>
      <c r="E148" s="28">
        <f>IF($P148="","",IF(INDEX(EntryPartyName,$P148)=0,"",INDEX(EntryPartyName,$P148)))</f>
        <v/>
      </c>
      <c r="F148" s="28">
        <f>IF($P148="","",IF(INDEX(EntryPartyType,$P148)=0,"",INDEX(EntryPartyType,$P148)))</f>
        <v/>
      </c>
      <c r="G148" s="28">
        <f>IF($P148="","",IF(INDEX(EntryTxnType,$P148)=0,"",INDEX(EntryTxnType,$P148)))</f>
        <v/>
      </c>
      <c r="H148" s="29">
        <f>IF($P148="","",IF(INDEX(EntryDep,$P148)=0,"",INDEX(EntryDep,$P148)))</f>
        <v/>
      </c>
      <c r="I148" s="29">
        <f>IF($P148="","",IF(INDEX(EntryWit,$P148)=0,"",INDEX(EntryWit,$P148)))</f>
        <v/>
      </c>
      <c r="J148" s="29">
        <f>IF($B148="","",IF($A148=1,$C$7,IF(J147="",0,J147))+IF($H148="",0,$H148)-IF($I148="",0,$I148))</f>
        <v/>
      </c>
      <c r="K148" s="29">
        <f>IF($P148="","",IF(INDEX(EntryMan,$P148)=0,"",INDEX(EntryMan,$P148)))</f>
        <v/>
      </c>
      <c r="L148" s="28">
        <f>IF($B148="","",IF($K148="","—",IF(ROUND($K148-$J148,0)=0,"√","×")))</f>
        <v/>
      </c>
      <c r="M148" s="28">
        <f>IF($B148="","",IF(COUNTIFS(EntryDates,$B148,CalcTime,$C148,CalcBank,$C$5,EntryParty,$D148,EntryDep,$H148,EntryWit,$I148)&gt;1,"تکرار",""))</f>
        <v/>
      </c>
      <c r="N148" s="28">
        <f>IF($P148="","",IF(INDEX(EntryNotes,$P148)=0,"",INDEX(EntryNotes,$P148)))</f>
        <v/>
      </c>
      <c r="O148" s="28">
        <f>IF($P148="","",IF(INDEX(EntryTxnID,$P148)=0,"",INDEX(EntryTxnID,$P148)))</f>
        <v/>
      </c>
      <c r="P148" s="28">
        <f>IFERROR(MATCH($C$5&amp;"|"&amp;RIGHT("000000"&amp;132,6),CalcRankKey,0),"")</f>
        <v/>
      </c>
    </row>
    <row r="149">
      <c r="A149" s="26">
        <f>IF($B149="","",133)</f>
        <v/>
      </c>
      <c r="B149" s="26">
        <f>IF($P149="","",IF(INDEX(CalcNormDate,$P149)=0,"",INDEX(CalcNormDate,$P149)))</f>
        <v/>
      </c>
      <c r="C149" s="26">
        <f>IF($P149="","",IF(INDEX(CalcTime,$P149)=0,"",INDEX(CalcTime,$P149)))</f>
        <v/>
      </c>
      <c r="D149" s="26">
        <f>IF($P149="","",IF(INDEX(EntryParty,$P149)=0,"",INDEX(EntryParty,$P149)))</f>
        <v/>
      </c>
      <c r="E149" s="26">
        <f>IF($P149="","",IF(INDEX(EntryPartyName,$P149)=0,"",INDEX(EntryPartyName,$P149)))</f>
        <v/>
      </c>
      <c r="F149" s="26">
        <f>IF($P149="","",IF(INDEX(EntryPartyType,$P149)=0,"",INDEX(EntryPartyType,$P149)))</f>
        <v/>
      </c>
      <c r="G149" s="26">
        <f>IF($P149="","",IF(INDEX(EntryTxnType,$P149)=0,"",INDEX(EntryTxnType,$P149)))</f>
        <v/>
      </c>
      <c r="H149" s="27">
        <f>IF($P149="","",IF(INDEX(EntryDep,$P149)=0,"",INDEX(EntryDep,$P149)))</f>
        <v/>
      </c>
      <c r="I149" s="27">
        <f>IF($P149="","",IF(INDEX(EntryWit,$P149)=0,"",INDEX(EntryWit,$P149)))</f>
        <v/>
      </c>
      <c r="J149" s="27">
        <f>IF($B149="","",IF($A149=1,$C$7,IF(J148="",0,J148))+IF($H149="",0,$H149)-IF($I149="",0,$I149))</f>
        <v/>
      </c>
      <c r="K149" s="27">
        <f>IF($P149="","",IF(INDEX(EntryMan,$P149)=0,"",INDEX(EntryMan,$P149)))</f>
        <v/>
      </c>
      <c r="L149" s="26">
        <f>IF($B149="","",IF($K149="","—",IF(ROUND($K149-$J149,0)=0,"√","×")))</f>
        <v/>
      </c>
      <c r="M149" s="26">
        <f>IF($B149="","",IF(COUNTIFS(EntryDates,$B149,CalcTime,$C149,CalcBank,$C$5,EntryParty,$D149,EntryDep,$H149,EntryWit,$I149)&gt;1,"تکرار",""))</f>
        <v/>
      </c>
      <c r="N149" s="26">
        <f>IF($P149="","",IF(INDEX(EntryNotes,$P149)=0,"",INDEX(EntryNotes,$P149)))</f>
        <v/>
      </c>
      <c r="O149" s="26">
        <f>IF($P149="","",IF(INDEX(EntryTxnID,$P149)=0,"",INDEX(EntryTxnID,$P149)))</f>
        <v/>
      </c>
      <c r="P149" s="26">
        <f>IFERROR(MATCH($C$5&amp;"|"&amp;RIGHT("000000"&amp;133,6),CalcRankKey,0),"")</f>
        <v/>
      </c>
    </row>
    <row r="150">
      <c r="A150" s="28">
        <f>IF($B150="","",134)</f>
        <v/>
      </c>
      <c r="B150" s="28">
        <f>IF($P150="","",IF(INDEX(CalcNormDate,$P150)=0,"",INDEX(CalcNormDate,$P150)))</f>
        <v/>
      </c>
      <c r="C150" s="28">
        <f>IF($P150="","",IF(INDEX(CalcTime,$P150)=0,"",INDEX(CalcTime,$P150)))</f>
        <v/>
      </c>
      <c r="D150" s="28">
        <f>IF($P150="","",IF(INDEX(EntryParty,$P150)=0,"",INDEX(EntryParty,$P150)))</f>
        <v/>
      </c>
      <c r="E150" s="28">
        <f>IF($P150="","",IF(INDEX(EntryPartyName,$P150)=0,"",INDEX(EntryPartyName,$P150)))</f>
        <v/>
      </c>
      <c r="F150" s="28">
        <f>IF($P150="","",IF(INDEX(EntryPartyType,$P150)=0,"",INDEX(EntryPartyType,$P150)))</f>
        <v/>
      </c>
      <c r="G150" s="28">
        <f>IF($P150="","",IF(INDEX(EntryTxnType,$P150)=0,"",INDEX(EntryTxnType,$P150)))</f>
        <v/>
      </c>
      <c r="H150" s="29">
        <f>IF($P150="","",IF(INDEX(EntryDep,$P150)=0,"",INDEX(EntryDep,$P150)))</f>
        <v/>
      </c>
      <c r="I150" s="29">
        <f>IF($P150="","",IF(INDEX(EntryWit,$P150)=0,"",INDEX(EntryWit,$P150)))</f>
        <v/>
      </c>
      <c r="J150" s="29">
        <f>IF($B150="","",IF($A150=1,$C$7,IF(J149="",0,J149))+IF($H150="",0,$H150)-IF($I150="",0,$I150))</f>
        <v/>
      </c>
      <c r="K150" s="29">
        <f>IF($P150="","",IF(INDEX(EntryMan,$P150)=0,"",INDEX(EntryMan,$P150)))</f>
        <v/>
      </c>
      <c r="L150" s="28">
        <f>IF($B150="","",IF($K150="","—",IF(ROUND($K150-$J150,0)=0,"√","×")))</f>
        <v/>
      </c>
      <c r="M150" s="28">
        <f>IF($B150="","",IF(COUNTIFS(EntryDates,$B150,CalcTime,$C150,CalcBank,$C$5,EntryParty,$D150,EntryDep,$H150,EntryWit,$I150)&gt;1,"تکرار",""))</f>
        <v/>
      </c>
      <c r="N150" s="28">
        <f>IF($P150="","",IF(INDEX(EntryNotes,$P150)=0,"",INDEX(EntryNotes,$P150)))</f>
        <v/>
      </c>
      <c r="O150" s="28">
        <f>IF($P150="","",IF(INDEX(EntryTxnID,$P150)=0,"",INDEX(EntryTxnID,$P150)))</f>
        <v/>
      </c>
      <c r="P150" s="28">
        <f>IFERROR(MATCH($C$5&amp;"|"&amp;RIGHT("000000"&amp;134,6),CalcRankKey,0),"")</f>
        <v/>
      </c>
    </row>
    <row r="151">
      <c r="A151" s="26">
        <f>IF($B151="","",135)</f>
        <v/>
      </c>
      <c r="B151" s="26">
        <f>IF($P151="","",IF(INDEX(CalcNormDate,$P151)=0,"",INDEX(CalcNormDate,$P151)))</f>
        <v/>
      </c>
      <c r="C151" s="26">
        <f>IF($P151="","",IF(INDEX(CalcTime,$P151)=0,"",INDEX(CalcTime,$P151)))</f>
        <v/>
      </c>
      <c r="D151" s="26">
        <f>IF($P151="","",IF(INDEX(EntryParty,$P151)=0,"",INDEX(EntryParty,$P151)))</f>
        <v/>
      </c>
      <c r="E151" s="26">
        <f>IF($P151="","",IF(INDEX(EntryPartyName,$P151)=0,"",INDEX(EntryPartyName,$P151)))</f>
        <v/>
      </c>
      <c r="F151" s="26">
        <f>IF($P151="","",IF(INDEX(EntryPartyType,$P151)=0,"",INDEX(EntryPartyType,$P151)))</f>
        <v/>
      </c>
      <c r="G151" s="26">
        <f>IF($P151="","",IF(INDEX(EntryTxnType,$P151)=0,"",INDEX(EntryTxnType,$P151)))</f>
        <v/>
      </c>
      <c r="H151" s="27">
        <f>IF($P151="","",IF(INDEX(EntryDep,$P151)=0,"",INDEX(EntryDep,$P151)))</f>
        <v/>
      </c>
      <c r="I151" s="27">
        <f>IF($P151="","",IF(INDEX(EntryWit,$P151)=0,"",INDEX(EntryWit,$P151)))</f>
        <v/>
      </c>
      <c r="J151" s="27">
        <f>IF($B151="","",IF($A151=1,$C$7,IF(J150="",0,J150))+IF($H151="",0,$H151)-IF($I151="",0,$I151))</f>
        <v/>
      </c>
      <c r="K151" s="27">
        <f>IF($P151="","",IF(INDEX(EntryMan,$P151)=0,"",INDEX(EntryMan,$P151)))</f>
        <v/>
      </c>
      <c r="L151" s="26">
        <f>IF($B151="","",IF($K151="","—",IF(ROUND($K151-$J151,0)=0,"√","×")))</f>
        <v/>
      </c>
      <c r="M151" s="26">
        <f>IF($B151="","",IF(COUNTIFS(EntryDates,$B151,CalcTime,$C151,CalcBank,$C$5,EntryParty,$D151,EntryDep,$H151,EntryWit,$I151)&gt;1,"تکرار",""))</f>
        <v/>
      </c>
      <c r="N151" s="26">
        <f>IF($P151="","",IF(INDEX(EntryNotes,$P151)=0,"",INDEX(EntryNotes,$P151)))</f>
        <v/>
      </c>
      <c r="O151" s="26">
        <f>IF($P151="","",IF(INDEX(EntryTxnID,$P151)=0,"",INDEX(EntryTxnID,$P151)))</f>
        <v/>
      </c>
      <c r="P151" s="26">
        <f>IFERROR(MATCH($C$5&amp;"|"&amp;RIGHT("000000"&amp;135,6),CalcRankKey,0),"")</f>
        <v/>
      </c>
    </row>
    <row r="152">
      <c r="A152" s="28">
        <f>IF($B152="","",136)</f>
        <v/>
      </c>
      <c r="B152" s="28">
        <f>IF($P152="","",IF(INDEX(CalcNormDate,$P152)=0,"",INDEX(CalcNormDate,$P152)))</f>
        <v/>
      </c>
      <c r="C152" s="28">
        <f>IF($P152="","",IF(INDEX(CalcTime,$P152)=0,"",INDEX(CalcTime,$P152)))</f>
        <v/>
      </c>
      <c r="D152" s="28">
        <f>IF($P152="","",IF(INDEX(EntryParty,$P152)=0,"",INDEX(EntryParty,$P152)))</f>
        <v/>
      </c>
      <c r="E152" s="28">
        <f>IF($P152="","",IF(INDEX(EntryPartyName,$P152)=0,"",INDEX(EntryPartyName,$P152)))</f>
        <v/>
      </c>
      <c r="F152" s="28">
        <f>IF($P152="","",IF(INDEX(EntryPartyType,$P152)=0,"",INDEX(EntryPartyType,$P152)))</f>
        <v/>
      </c>
      <c r="G152" s="28">
        <f>IF($P152="","",IF(INDEX(EntryTxnType,$P152)=0,"",INDEX(EntryTxnType,$P152)))</f>
        <v/>
      </c>
      <c r="H152" s="29">
        <f>IF($P152="","",IF(INDEX(EntryDep,$P152)=0,"",INDEX(EntryDep,$P152)))</f>
        <v/>
      </c>
      <c r="I152" s="29">
        <f>IF($P152="","",IF(INDEX(EntryWit,$P152)=0,"",INDEX(EntryWit,$P152)))</f>
        <v/>
      </c>
      <c r="J152" s="29">
        <f>IF($B152="","",IF($A152=1,$C$7,IF(J151="",0,J151))+IF($H152="",0,$H152)-IF($I152="",0,$I152))</f>
        <v/>
      </c>
      <c r="K152" s="29">
        <f>IF($P152="","",IF(INDEX(EntryMan,$P152)=0,"",INDEX(EntryMan,$P152)))</f>
        <v/>
      </c>
      <c r="L152" s="28">
        <f>IF($B152="","",IF($K152="","—",IF(ROUND($K152-$J152,0)=0,"√","×")))</f>
        <v/>
      </c>
      <c r="M152" s="28">
        <f>IF($B152="","",IF(COUNTIFS(EntryDates,$B152,CalcTime,$C152,CalcBank,$C$5,EntryParty,$D152,EntryDep,$H152,EntryWit,$I152)&gt;1,"تکرار",""))</f>
        <v/>
      </c>
      <c r="N152" s="28">
        <f>IF($P152="","",IF(INDEX(EntryNotes,$P152)=0,"",INDEX(EntryNotes,$P152)))</f>
        <v/>
      </c>
      <c r="O152" s="28">
        <f>IF($P152="","",IF(INDEX(EntryTxnID,$P152)=0,"",INDEX(EntryTxnID,$P152)))</f>
        <v/>
      </c>
      <c r="P152" s="28">
        <f>IFERROR(MATCH($C$5&amp;"|"&amp;RIGHT("000000"&amp;136,6),CalcRankKey,0),"")</f>
        <v/>
      </c>
    </row>
    <row r="153">
      <c r="A153" s="26">
        <f>IF($B153="","",137)</f>
        <v/>
      </c>
      <c r="B153" s="26">
        <f>IF($P153="","",IF(INDEX(CalcNormDate,$P153)=0,"",INDEX(CalcNormDate,$P153)))</f>
        <v/>
      </c>
      <c r="C153" s="26">
        <f>IF($P153="","",IF(INDEX(CalcTime,$P153)=0,"",INDEX(CalcTime,$P153)))</f>
        <v/>
      </c>
      <c r="D153" s="26">
        <f>IF($P153="","",IF(INDEX(EntryParty,$P153)=0,"",INDEX(EntryParty,$P153)))</f>
        <v/>
      </c>
      <c r="E153" s="26">
        <f>IF($P153="","",IF(INDEX(EntryPartyName,$P153)=0,"",INDEX(EntryPartyName,$P153)))</f>
        <v/>
      </c>
      <c r="F153" s="26">
        <f>IF($P153="","",IF(INDEX(EntryPartyType,$P153)=0,"",INDEX(EntryPartyType,$P153)))</f>
        <v/>
      </c>
      <c r="G153" s="26">
        <f>IF($P153="","",IF(INDEX(EntryTxnType,$P153)=0,"",INDEX(EntryTxnType,$P153)))</f>
        <v/>
      </c>
      <c r="H153" s="27">
        <f>IF($P153="","",IF(INDEX(EntryDep,$P153)=0,"",INDEX(EntryDep,$P153)))</f>
        <v/>
      </c>
      <c r="I153" s="27">
        <f>IF($P153="","",IF(INDEX(EntryWit,$P153)=0,"",INDEX(EntryWit,$P153)))</f>
        <v/>
      </c>
      <c r="J153" s="27">
        <f>IF($B153="","",IF($A153=1,$C$7,IF(J152="",0,J152))+IF($H153="",0,$H153)-IF($I153="",0,$I153))</f>
        <v/>
      </c>
      <c r="K153" s="27">
        <f>IF($P153="","",IF(INDEX(EntryMan,$P153)=0,"",INDEX(EntryMan,$P153)))</f>
        <v/>
      </c>
      <c r="L153" s="26">
        <f>IF($B153="","",IF($K153="","—",IF(ROUND($K153-$J153,0)=0,"√","×")))</f>
        <v/>
      </c>
      <c r="M153" s="26">
        <f>IF($B153="","",IF(COUNTIFS(EntryDates,$B153,CalcTime,$C153,CalcBank,$C$5,EntryParty,$D153,EntryDep,$H153,EntryWit,$I153)&gt;1,"تکرار",""))</f>
        <v/>
      </c>
      <c r="N153" s="26">
        <f>IF($P153="","",IF(INDEX(EntryNotes,$P153)=0,"",INDEX(EntryNotes,$P153)))</f>
        <v/>
      </c>
      <c r="O153" s="26">
        <f>IF($P153="","",IF(INDEX(EntryTxnID,$P153)=0,"",INDEX(EntryTxnID,$P153)))</f>
        <v/>
      </c>
      <c r="P153" s="26">
        <f>IFERROR(MATCH($C$5&amp;"|"&amp;RIGHT("000000"&amp;137,6),CalcRankKey,0),"")</f>
        <v/>
      </c>
    </row>
    <row r="154">
      <c r="A154" s="28">
        <f>IF($B154="","",138)</f>
        <v/>
      </c>
      <c r="B154" s="28">
        <f>IF($P154="","",IF(INDEX(CalcNormDate,$P154)=0,"",INDEX(CalcNormDate,$P154)))</f>
        <v/>
      </c>
      <c r="C154" s="28">
        <f>IF($P154="","",IF(INDEX(CalcTime,$P154)=0,"",INDEX(CalcTime,$P154)))</f>
        <v/>
      </c>
      <c r="D154" s="28">
        <f>IF($P154="","",IF(INDEX(EntryParty,$P154)=0,"",INDEX(EntryParty,$P154)))</f>
        <v/>
      </c>
      <c r="E154" s="28">
        <f>IF($P154="","",IF(INDEX(EntryPartyName,$P154)=0,"",INDEX(EntryPartyName,$P154)))</f>
        <v/>
      </c>
      <c r="F154" s="28">
        <f>IF($P154="","",IF(INDEX(EntryPartyType,$P154)=0,"",INDEX(EntryPartyType,$P154)))</f>
        <v/>
      </c>
      <c r="G154" s="28">
        <f>IF($P154="","",IF(INDEX(EntryTxnType,$P154)=0,"",INDEX(EntryTxnType,$P154)))</f>
        <v/>
      </c>
      <c r="H154" s="29">
        <f>IF($P154="","",IF(INDEX(EntryDep,$P154)=0,"",INDEX(EntryDep,$P154)))</f>
        <v/>
      </c>
      <c r="I154" s="29">
        <f>IF($P154="","",IF(INDEX(EntryWit,$P154)=0,"",INDEX(EntryWit,$P154)))</f>
        <v/>
      </c>
      <c r="J154" s="29">
        <f>IF($B154="","",IF($A154=1,$C$7,IF(J153="",0,J153))+IF($H154="",0,$H154)-IF($I154="",0,$I154))</f>
        <v/>
      </c>
      <c r="K154" s="29">
        <f>IF($P154="","",IF(INDEX(EntryMan,$P154)=0,"",INDEX(EntryMan,$P154)))</f>
        <v/>
      </c>
      <c r="L154" s="28">
        <f>IF($B154="","",IF($K154="","—",IF(ROUND($K154-$J154,0)=0,"√","×")))</f>
        <v/>
      </c>
      <c r="M154" s="28">
        <f>IF($B154="","",IF(COUNTIFS(EntryDates,$B154,CalcTime,$C154,CalcBank,$C$5,EntryParty,$D154,EntryDep,$H154,EntryWit,$I154)&gt;1,"تکرار",""))</f>
        <v/>
      </c>
      <c r="N154" s="28">
        <f>IF($P154="","",IF(INDEX(EntryNotes,$P154)=0,"",INDEX(EntryNotes,$P154)))</f>
        <v/>
      </c>
      <c r="O154" s="28">
        <f>IF($P154="","",IF(INDEX(EntryTxnID,$P154)=0,"",INDEX(EntryTxnID,$P154)))</f>
        <v/>
      </c>
      <c r="P154" s="28">
        <f>IFERROR(MATCH($C$5&amp;"|"&amp;RIGHT("000000"&amp;138,6),CalcRankKey,0),"")</f>
        <v/>
      </c>
    </row>
    <row r="155">
      <c r="A155" s="26">
        <f>IF($B155="","",139)</f>
        <v/>
      </c>
      <c r="B155" s="26">
        <f>IF($P155="","",IF(INDEX(CalcNormDate,$P155)=0,"",INDEX(CalcNormDate,$P155)))</f>
        <v/>
      </c>
      <c r="C155" s="26">
        <f>IF($P155="","",IF(INDEX(CalcTime,$P155)=0,"",INDEX(CalcTime,$P155)))</f>
        <v/>
      </c>
      <c r="D155" s="26">
        <f>IF($P155="","",IF(INDEX(EntryParty,$P155)=0,"",INDEX(EntryParty,$P155)))</f>
        <v/>
      </c>
      <c r="E155" s="26">
        <f>IF($P155="","",IF(INDEX(EntryPartyName,$P155)=0,"",INDEX(EntryPartyName,$P155)))</f>
        <v/>
      </c>
      <c r="F155" s="26">
        <f>IF($P155="","",IF(INDEX(EntryPartyType,$P155)=0,"",INDEX(EntryPartyType,$P155)))</f>
        <v/>
      </c>
      <c r="G155" s="26">
        <f>IF($P155="","",IF(INDEX(EntryTxnType,$P155)=0,"",INDEX(EntryTxnType,$P155)))</f>
        <v/>
      </c>
      <c r="H155" s="27">
        <f>IF($P155="","",IF(INDEX(EntryDep,$P155)=0,"",INDEX(EntryDep,$P155)))</f>
        <v/>
      </c>
      <c r="I155" s="27">
        <f>IF($P155="","",IF(INDEX(EntryWit,$P155)=0,"",INDEX(EntryWit,$P155)))</f>
        <v/>
      </c>
      <c r="J155" s="27">
        <f>IF($B155="","",IF($A155=1,$C$7,IF(J154="",0,J154))+IF($H155="",0,$H155)-IF($I155="",0,$I155))</f>
        <v/>
      </c>
      <c r="K155" s="27">
        <f>IF($P155="","",IF(INDEX(EntryMan,$P155)=0,"",INDEX(EntryMan,$P155)))</f>
        <v/>
      </c>
      <c r="L155" s="26">
        <f>IF($B155="","",IF($K155="","—",IF(ROUND($K155-$J155,0)=0,"√","×")))</f>
        <v/>
      </c>
      <c r="M155" s="26">
        <f>IF($B155="","",IF(COUNTIFS(EntryDates,$B155,CalcTime,$C155,CalcBank,$C$5,EntryParty,$D155,EntryDep,$H155,EntryWit,$I155)&gt;1,"تکرار",""))</f>
        <v/>
      </c>
      <c r="N155" s="26">
        <f>IF($P155="","",IF(INDEX(EntryNotes,$P155)=0,"",INDEX(EntryNotes,$P155)))</f>
        <v/>
      </c>
      <c r="O155" s="26">
        <f>IF($P155="","",IF(INDEX(EntryTxnID,$P155)=0,"",INDEX(EntryTxnID,$P155)))</f>
        <v/>
      </c>
      <c r="P155" s="26">
        <f>IFERROR(MATCH($C$5&amp;"|"&amp;RIGHT("000000"&amp;139,6),CalcRankKey,0),"")</f>
        <v/>
      </c>
    </row>
    <row r="156">
      <c r="A156" s="28">
        <f>IF($B156="","",140)</f>
        <v/>
      </c>
      <c r="B156" s="28">
        <f>IF($P156="","",IF(INDEX(CalcNormDate,$P156)=0,"",INDEX(CalcNormDate,$P156)))</f>
        <v/>
      </c>
      <c r="C156" s="28">
        <f>IF($P156="","",IF(INDEX(CalcTime,$P156)=0,"",INDEX(CalcTime,$P156)))</f>
        <v/>
      </c>
      <c r="D156" s="28">
        <f>IF($P156="","",IF(INDEX(EntryParty,$P156)=0,"",INDEX(EntryParty,$P156)))</f>
        <v/>
      </c>
      <c r="E156" s="28">
        <f>IF($P156="","",IF(INDEX(EntryPartyName,$P156)=0,"",INDEX(EntryPartyName,$P156)))</f>
        <v/>
      </c>
      <c r="F156" s="28">
        <f>IF($P156="","",IF(INDEX(EntryPartyType,$P156)=0,"",INDEX(EntryPartyType,$P156)))</f>
        <v/>
      </c>
      <c r="G156" s="28">
        <f>IF($P156="","",IF(INDEX(EntryTxnType,$P156)=0,"",INDEX(EntryTxnType,$P156)))</f>
        <v/>
      </c>
      <c r="H156" s="29">
        <f>IF($P156="","",IF(INDEX(EntryDep,$P156)=0,"",INDEX(EntryDep,$P156)))</f>
        <v/>
      </c>
      <c r="I156" s="29">
        <f>IF($P156="","",IF(INDEX(EntryWit,$P156)=0,"",INDEX(EntryWit,$P156)))</f>
        <v/>
      </c>
      <c r="J156" s="29">
        <f>IF($B156="","",IF($A156=1,$C$7,IF(J155="",0,J155))+IF($H156="",0,$H156)-IF($I156="",0,$I156))</f>
        <v/>
      </c>
      <c r="K156" s="29">
        <f>IF($P156="","",IF(INDEX(EntryMan,$P156)=0,"",INDEX(EntryMan,$P156)))</f>
        <v/>
      </c>
      <c r="L156" s="28">
        <f>IF($B156="","",IF($K156="","—",IF(ROUND($K156-$J156,0)=0,"√","×")))</f>
        <v/>
      </c>
      <c r="M156" s="28">
        <f>IF($B156="","",IF(COUNTIFS(EntryDates,$B156,CalcTime,$C156,CalcBank,$C$5,EntryParty,$D156,EntryDep,$H156,EntryWit,$I156)&gt;1,"تکرار",""))</f>
        <v/>
      </c>
      <c r="N156" s="28">
        <f>IF($P156="","",IF(INDEX(EntryNotes,$P156)=0,"",INDEX(EntryNotes,$P156)))</f>
        <v/>
      </c>
      <c r="O156" s="28">
        <f>IF($P156="","",IF(INDEX(EntryTxnID,$P156)=0,"",INDEX(EntryTxnID,$P156)))</f>
        <v/>
      </c>
      <c r="P156" s="28">
        <f>IFERROR(MATCH($C$5&amp;"|"&amp;RIGHT("000000"&amp;140,6),CalcRankKey,0),"")</f>
        <v/>
      </c>
    </row>
    <row r="157">
      <c r="A157" s="26">
        <f>IF($B157="","",141)</f>
        <v/>
      </c>
      <c r="B157" s="26">
        <f>IF($P157="","",IF(INDEX(CalcNormDate,$P157)=0,"",INDEX(CalcNormDate,$P157)))</f>
        <v/>
      </c>
      <c r="C157" s="26">
        <f>IF($P157="","",IF(INDEX(CalcTime,$P157)=0,"",INDEX(CalcTime,$P157)))</f>
        <v/>
      </c>
      <c r="D157" s="26">
        <f>IF($P157="","",IF(INDEX(EntryParty,$P157)=0,"",INDEX(EntryParty,$P157)))</f>
        <v/>
      </c>
      <c r="E157" s="26">
        <f>IF($P157="","",IF(INDEX(EntryPartyName,$P157)=0,"",INDEX(EntryPartyName,$P157)))</f>
        <v/>
      </c>
      <c r="F157" s="26">
        <f>IF($P157="","",IF(INDEX(EntryPartyType,$P157)=0,"",INDEX(EntryPartyType,$P157)))</f>
        <v/>
      </c>
      <c r="G157" s="26">
        <f>IF($P157="","",IF(INDEX(EntryTxnType,$P157)=0,"",INDEX(EntryTxnType,$P157)))</f>
        <v/>
      </c>
      <c r="H157" s="27">
        <f>IF($P157="","",IF(INDEX(EntryDep,$P157)=0,"",INDEX(EntryDep,$P157)))</f>
        <v/>
      </c>
      <c r="I157" s="27">
        <f>IF($P157="","",IF(INDEX(EntryWit,$P157)=0,"",INDEX(EntryWit,$P157)))</f>
        <v/>
      </c>
      <c r="J157" s="27">
        <f>IF($B157="","",IF($A157=1,$C$7,IF(J156="",0,J156))+IF($H157="",0,$H157)-IF($I157="",0,$I157))</f>
        <v/>
      </c>
      <c r="K157" s="27">
        <f>IF($P157="","",IF(INDEX(EntryMan,$P157)=0,"",INDEX(EntryMan,$P157)))</f>
        <v/>
      </c>
      <c r="L157" s="26">
        <f>IF($B157="","",IF($K157="","—",IF(ROUND($K157-$J157,0)=0,"√","×")))</f>
        <v/>
      </c>
      <c r="M157" s="26">
        <f>IF($B157="","",IF(COUNTIFS(EntryDates,$B157,CalcTime,$C157,CalcBank,$C$5,EntryParty,$D157,EntryDep,$H157,EntryWit,$I157)&gt;1,"تکرار",""))</f>
        <v/>
      </c>
      <c r="N157" s="26">
        <f>IF($P157="","",IF(INDEX(EntryNotes,$P157)=0,"",INDEX(EntryNotes,$P157)))</f>
        <v/>
      </c>
      <c r="O157" s="26">
        <f>IF($P157="","",IF(INDEX(EntryTxnID,$P157)=0,"",INDEX(EntryTxnID,$P157)))</f>
        <v/>
      </c>
      <c r="P157" s="26">
        <f>IFERROR(MATCH($C$5&amp;"|"&amp;RIGHT("000000"&amp;141,6),CalcRankKey,0),"")</f>
        <v/>
      </c>
    </row>
    <row r="158">
      <c r="A158" s="28">
        <f>IF($B158="","",142)</f>
        <v/>
      </c>
      <c r="B158" s="28">
        <f>IF($P158="","",IF(INDEX(CalcNormDate,$P158)=0,"",INDEX(CalcNormDate,$P158)))</f>
        <v/>
      </c>
      <c r="C158" s="28">
        <f>IF($P158="","",IF(INDEX(CalcTime,$P158)=0,"",INDEX(CalcTime,$P158)))</f>
        <v/>
      </c>
      <c r="D158" s="28">
        <f>IF($P158="","",IF(INDEX(EntryParty,$P158)=0,"",INDEX(EntryParty,$P158)))</f>
        <v/>
      </c>
      <c r="E158" s="28">
        <f>IF($P158="","",IF(INDEX(EntryPartyName,$P158)=0,"",INDEX(EntryPartyName,$P158)))</f>
        <v/>
      </c>
      <c r="F158" s="28">
        <f>IF($P158="","",IF(INDEX(EntryPartyType,$P158)=0,"",INDEX(EntryPartyType,$P158)))</f>
        <v/>
      </c>
      <c r="G158" s="28">
        <f>IF($P158="","",IF(INDEX(EntryTxnType,$P158)=0,"",INDEX(EntryTxnType,$P158)))</f>
        <v/>
      </c>
      <c r="H158" s="29">
        <f>IF($P158="","",IF(INDEX(EntryDep,$P158)=0,"",INDEX(EntryDep,$P158)))</f>
        <v/>
      </c>
      <c r="I158" s="29">
        <f>IF($P158="","",IF(INDEX(EntryWit,$P158)=0,"",INDEX(EntryWit,$P158)))</f>
        <v/>
      </c>
      <c r="J158" s="29">
        <f>IF($B158="","",IF($A158=1,$C$7,IF(J157="",0,J157))+IF($H158="",0,$H158)-IF($I158="",0,$I158))</f>
        <v/>
      </c>
      <c r="K158" s="29">
        <f>IF($P158="","",IF(INDEX(EntryMan,$P158)=0,"",INDEX(EntryMan,$P158)))</f>
        <v/>
      </c>
      <c r="L158" s="28">
        <f>IF($B158="","",IF($K158="","—",IF(ROUND($K158-$J158,0)=0,"√","×")))</f>
        <v/>
      </c>
      <c r="M158" s="28">
        <f>IF($B158="","",IF(COUNTIFS(EntryDates,$B158,CalcTime,$C158,CalcBank,$C$5,EntryParty,$D158,EntryDep,$H158,EntryWit,$I158)&gt;1,"تکرار",""))</f>
        <v/>
      </c>
      <c r="N158" s="28">
        <f>IF($P158="","",IF(INDEX(EntryNotes,$P158)=0,"",INDEX(EntryNotes,$P158)))</f>
        <v/>
      </c>
      <c r="O158" s="28">
        <f>IF($P158="","",IF(INDEX(EntryTxnID,$P158)=0,"",INDEX(EntryTxnID,$P158)))</f>
        <v/>
      </c>
      <c r="P158" s="28">
        <f>IFERROR(MATCH($C$5&amp;"|"&amp;RIGHT("000000"&amp;142,6),CalcRankKey,0),"")</f>
        <v/>
      </c>
    </row>
    <row r="159">
      <c r="A159" s="26">
        <f>IF($B159="","",143)</f>
        <v/>
      </c>
      <c r="B159" s="26">
        <f>IF($P159="","",IF(INDEX(CalcNormDate,$P159)=0,"",INDEX(CalcNormDate,$P159)))</f>
        <v/>
      </c>
      <c r="C159" s="26">
        <f>IF($P159="","",IF(INDEX(CalcTime,$P159)=0,"",INDEX(CalcTime,$P159)))</f>
        <v/>
      </c>
      <c r="D159" s="26">
        <f>IF($P159="","",IF(INDEX(EntryParty,$P159)=0,"",INDEX(EntryParty,$P159)))</f>
        <v/>
      </c>
      <c r="E159" s="26">
        <f>IF($P159="","",IF(INDEX(EntryPartyName,$P159)=0,"",INDEX(EntryPartyName,$P159)))</f>
        <v/>
      </c>
      <c r="F159" s="26">
        <f>IF($P159="","",IF(INDEX(EntryPartyType,$P159)=0,"",INDEX(EntryPartyType,$P159)))</f>
        <v/>
      </c>
      <c r="G159" s="26">
        <f>IF($P159="","",IF(INDEX(EntryTxnType,$P159)=0,"",INDEX(EntryTxnType,$P159)))</f>
        <v/>
      </c>
      <c r="H159" s="27">
        <f>IF($P159="","",IF(INDEX(EntryDep,$P159)=0,"",INDEX(EntryDep,$P159)))</f>
        <v/>
      </c>
      <c r="I159" s="27">
        <f>IF($P159="","",IF(INDEX(EntryWit,$P159)=0,"",INDEX(EntryWit,$P159)))</f>
        <v/>
      </c>
      <c r="J159" s="27">
        <f>IF($B159="","",IF($A159=1,$C$7,IF(J158="",0,J158))+IF($H159="",0,$H159)-IF($I159="",0,$I159))</f>
        <v/>
      </c>
      <c r="K159" s="27">
        <f>IF($P159="","",IF(INDEX(EntryMan,$P159)=0,"",INDEX(EntryMan,$P159)))</f>
        <v/>
      </c>
      <c r="L159" s="26">
        <f>IF($B159="","",IF($K159="","—",IF(ROUND($K159-$J159,0)=0,"√","×")))</f>
        <v/>
      </c>
      <c r="M159" s="26">
        <f>IF($B159="","",IF(COUNTIFS(EntryDates,$B159,CalcTime,$C159,CalcBank,$C$5,EntryParty,$D159,EntryDep,$H159,EntryWit,$I159)&gt;1,"تکرار",""))</f>
        <v/>
      </c>
      <c r="N159" s="26">
        <f>IF($P159="","",IF(INDEX(EntryNotes,$P159)=0,"",INDEX(EntryNotes,$P159)))</f>
        <v/>
      </c>
      <c r="O159" s="26">
        <f>IF($P159="","",IF(INDEX(EntryTxnID,$P159)=0,"",INDEX(EntryTxnID,$P159)))</f>
        <v/>
      </c>
      <c r="P159" s="26">
        <f>IFERROR(MATCH($C$5&amp;"|"&amp;RIGHT("000000"&amp;143,6),CalcRankKey,0),"")</f>
        <v/>
      </c>
    </row>
    <row r="160">
      <c r="A160" s="28">
        <f>IF($B160="","",144)</f>
        <v/>
      </c>
      <c r="B160" s="28">
        <f>IF($P160="","",IF(INDEX(CalcNormDate,$P160)=0,"",INDEX(CalcNormDate,$P160)))</f>
        <v/>
      </c>
      <c r="C160" s="28">
        <f>IF($P160="","",IF(INDEX(CalcTime,$P160)=0,"",INDEX(CalcTime,$P160)))</f>
        <v/>
      </c>
      <c r="D160" s="28">
        <f>IF($P160="","",IF(INDEX(EntryParty,$P160)=0,"",INDEX(EntryParty,$P160)))</f>
        <v/>
      </c>
      <c r="E160" s="28">
        <f>IF($P160="","",IF(INDEX(EntryPartyName,$P160)=0,"",INDEX(EntryPartyName,$P160)))</f>
        <v/>
      </c>
      <c r="F160" s="28">
        <f>IF($P160="","",IF(INDEX(EntryPartyType,$P160)=0,"",INDEX(EntryPartyType,$P160)))</f>
        <v/>
      </c>
      <c r="G160" s="28">
        <f>IF($P160="","",IF(INDEX(EntryTxnType,$P160)=0,"",INDEX(EntryTxnType,$P160)))</f>
        <v/>
      </c>
      <c r="H160" s="29">
        <f>IF($P160="","",IF(INDEX(EntryDep,$P160)=0,"",INDEX(EntryDep,$P160)))</f>
        <v/>
      </c>
      <c r="I160" s="29">
        <f>IF($P160="","",IF(INDEX(EntryWit,$P160)=0,"",INDEX(EntryWit,$P160)))</f>
        <v/>
      </c>
      <c r="J160" s="29">
        <f>IF($B160="","",IF($A160=1,$C$7,IF(J159="",0,J159))+IF($H160="",0,$H160)-IF($I160="",0,$I160))</f>
        <v/>
      </c>
      <c r="K160" s="29">
        <f>IF($P160="","",IF(INDEX(EntryMan,$P160)=0,"",INDEX(EntryMan,$P160)))</f>
        <v/>
      </c>
      <c r="L160" s="28">
        <f>IF($B160="","",IF($K160="","—",IF(ROUND($K160-$J160,0)=0,"√","×")))</f>
        <v/>
      </c>
      <c r="M160" s="28">
        <f>IF($B160="","",IF(COUNTIFS(EntryDates,$B160,CalcTime,$C160,CalcBank,$C$5,EntryParty,$D160,EntryDep,$H160,EntryWit,$I160)&gt;1,"تکرار",""))</f>
        <v/>
      </c>
      <c r="N160" s="28">
        <f>IF($P160="","",IF(INDEX(EntryNotes,$P160)=0,"",INDEX(EntryNotes,$P160)))</f>
        <v/>
      </c>
      <c r="O160" s="28">
        <f>IF($P160="","",IF(INDEX(EntryTxnID,$P160)=0,"",INDEX(EntryTxnID,$P160)))</f>
        <v/>
      </c>
      <c r="P160" s="28">
        <f>IFERROR(MATCH($C$5&amp;"|"&amp;RIGHT("000000"&amp;144,6),CalcRankKey,0),"")</f>
        <v/>
      </c>
    </row>
    <row r="161">
      <c r="A161" s="26">
        <f>IF($B161="","",145)</f>
        <v/>
      </c>
      <c r="B161" s="26">
        <f>IF($P161="","",IF(INDEX(CalcNormDate,$P161)=0,"",INDEX(CalcNormDate,$P161)))</f>
        <v/>
      </c>
      <c r="C161" s="26">
        <f>IF($P161="","",IF(INDEX(CalcTime,$P161)=0,"",INDEX(CalcTime,$P161)))</f>
        <v/>
      </c>
      <c r="D161" s="26">
        <f>IF($P161="","",IF(INDEX(EntryParty,$P161)=0,"",INDEX(EntryParty,$P161)))</f>
        <v/>
      </c>
      <c r="E161" s="26">
        <f>IF($P161="","",IF(INDEX(EntryPartyName,$P161)=0,"",INDEX(EntryPartyName,$P161)))</f>
        <v/>
      </c>
      <c r="F161" s="26">
        <f>IF($P161="","",IF(INDEX(EntryPartyType,$P161)=0,"",INDEX(EntryPartyType,$P161)))</f>
        <v/>
      </c>
      <c r="G161" s="26">
        <f>IF($P161="","",IF(INDEX(EntryTxnType,$P161)=0,"",INDEX(EntryTxnType,$P161)))</f>
        <v/>
      </c>
      <c r="H161" s="27">
        <f>IF($P161="","",IF(INDEX(EntryDep,$P161)=0,"",INDEX(EntryDep,$P161)))</f>
        <v/>
      </c>
      <c r="I161" s="27">
        <f>IF($P161="","",IF(INDEX(EntryWit,$P161)=0,"",INDEX(EntryWit,$P161)))</f>
        <v/>
      </c>
      <c r="J161" s="27">
        <f>IF($B161="","",IF($A161=1,$C$7,IF(J160="",0,J160))+IF($H161="",0,$H161)-IF($I161="",0,$I161))</f>
        <v/>
      </c>
      <c r="K161" s="27">
        <f>IF($P161="","",IF(INDEX(EntryMan,$P161)=0,"",INDEX(EntryMan,$P161)))</f>
        <v/>
      </c>
      <c r="L161" s="26">
        <f>IF($B161="","",IF($K161="","—",IF(ROUND($K161-$J161,0)=0,"√","×")))</f>
        <v/>
      </c>
      <c r="M161" s="26">
        <f>IF($B161="","",IF(COUNTIFS(EntryDates,$B161,CalcTime,$C161,CalcBank,$C$5,EntryParty,$D161,EntryDep,$H161,EntryWit,$I161)&gt;1,"تکرار",""))</f>
        <v/>
      </c>
      <c r="N161" s="26">
        <f>IF($P161="","",IF(INDEX(EntryNotes,$P161)=0,"",INDEX(EntryNotes,$P161)))</f>
        <v/>
      </c>
      <c r="O161" s="26">
        <f>IF($P161="","",IF(INDEX(EntryTxnID,$P161)=0,"",INDEX(EntryTxnID,$P161)))</f>
        <v/>
      </c>
      <c r="P161" s="26">
        <f>IFERROR(MATCH($C$5&amp;"|"&amp;RIGHT("000000"&amp;145,6),CalcRankKey,0),"")</f>
        <v/>
      </c>
    </row>
    <row r="162">
      <c r="A162" s="28">
        <f>IF($B162="","",146)</f>
        <v/>
      </c>
      <c r="B162" s="28">
        <f>IF($P162="","",IF(INDEX(CalcNormDate,$P162)=0,"",INDEX(CalcNormDate,$P162)))</f>
        <v/>
      </c>
      <c r="C162" s="28">
        <f>IF($P162="","",IF(INDEX(CalcTime,$P162)=0,"",INDEX(CalcTime,$P162)))</f>
        <v/>
      </c>
      <c r="D162" s="28">
        <f>IF($P162="","",IF(INDEX(EntryParty,$P162)=0,"",INDEX(EntryParty,$P162)))</f>
        <v/>
      </c>
      <c r="E162" s="28">
        <f>IF($P162="","",IF(INDEX(EntryPartyName,$P162)=0,"",INDEX(EntryPartyName,$P162)))</f>
        <v/>
      </c>
      <c r="F162" s="28">
        <f>IF($P162="","",IF(INDEX(EntryPartyType,$P162)=0,"",INDEX(EntryPartyType,$P162)))</f>
        <v/>
      </c>
      <c r="G162" s="28">
        <f>IF($P162="","",IF(INDEX(EntryTxnType,$P162)=0,"",INDEX(EntryTxnType,$P162)))</f>
        <v/>
      </c>
      <c r="H162" s="29">
        <f>IF($P162="","",IF(INDEX(EntryDep,$P162)=0,"",INDEX(EntryDep,$P162)))</f>
        <v/>
      </c>
      <c r="I162" s="29">
        <f>IF($P162="","",IF(INDEX(EntryWit,$P162)=0,"",INDEX(EntryWit,$P162)))</f>
        <v/>
      </c>
      <c r="J162" s="29">
        <f>IF($B162="","",IF($A162=1,$C$7,IF(J161="",0,J161))+IF($H162="",0,$H162)-IF($I162="",0,$I162))</f>
        <v/>
      </c>
      <c r="K162" s="29">
        <f>IF($P162="","",IF(INDEX(EntryMan,$P162)=0,"",INDEX(EntryMan,$P162)))</f>
        <v/>
      </c>
      <c r="L162" s="28">
        <f>IF($B162="","",IF($K162="","—",IF(ROUND($K162-$J162,0)=0,"√","×")))</f>
        <v/>
      </c>
      <c r="M162" s="28">
        <f>IF($B162="","",IF(COUNTIFS(EntryDates,$B162,CalcTime,$C162,CalcBank,$C$5,EntryParty,$D162,EntryDep,$H162,EntryWit,$I162)&gt;1,"تکرار",""))</f>
        <v/>
      </c>
      <c r="N162" s="28">
        <f>IF($P162="","",IF(INDEX(EntryNotes,$P162)=0,"",INDEX(EntryNotes,$P162)))</f>
        <v/>
      </c>
      <c r="O162" s="28">
        <f>IF($P162="","",IF(INDEX(EntryTxnID,$P162)=0,"",INDEX(EntryTxnID,$P162)))</f>
        <v/>
      </c>
      <c r="P162" s="28">
        <f>IFERROR(MATCH($C$5&amp;"|"&amp;RIGHT("000000"&amp;146,6),CalcRankKey,0),"")</f>
        <v/>
      </c>
    </row>
    <row r="163">
      <c r="A163" s="26">
        <f>IF($B163="","",147)</f>
        <v/>
      </c>
      <c r="B163" s="26">
        <f>IF($P163="","",IF(INDEX(CalcNormDate,$P163)=0,"",INDEX(CalcNormDate,$P163)))</f>
        <v/>
      </c>
      <c r="C163" s="26">
        <f>IF($P163="","",IF(INDEX(CalcTime,$P163)=0,"",INDEX(CalcTime,$P163)))</f>
        <v/>
      </c>
      <c r="D163" s="26">
        <f>IF($P163="","",IF(INDEX(EntryParty,$P163)=0,"",INDEX(EntryParty,$P163)))</f>
        <v/>
      </c>
      <c r="E163" s="26">
        <f>IF($P163="","",IF(INDEX(EntryPartyName,$P163)=0,"",INDEX(EntryPartyName,$P163)))</f>
        <v/>
      </c>
      <c r="F163" s="26">
        <f>IF($P163="","",IF(INDEX(EntryPartyType,$P163)=0,"",INDEX(EntryPartyType,$P163)))</f>
        <v/>
      </c>
      <c r="G163" s="26">
        <f>IF($P163="","",IF(INDEX(EntryTxnType,$P163)=0,"",INDEX(EntryTxnType,$P163)))</f>
        <v/>
      </c>
      <c r="H163" s="27">
        <f>IF($P163="","",IF(INDEX(EntryDep,$P163)=0,"",INDEX(EntryDep,$P163)))</f>
        <v/>
      </c>
      <c r="I163" s="27">
        <f>IF($P163="","",IF(INDEX(EntryWit,$P163)=0,"",INDEX(EntryWit,$P163)))</f>
        <v/>
      </c>
      <c r="J163" s="27">
        <f>IF($B163="","",IF($A163=1,$C$7,IF(J162="",0,J162))+IF($H163="",0,$H163)-IF($I163="",0,$I163))</f>
        <v/>
      </c>
      <c r="K163" s="27">
        <f>IF($P163="","",IF(INDEX(EntryMan,$P163)=0,"",INDEX(EntryMan,$P163)))</f>
        <v/>
      </c>
      <c r="L163" s="26">
        <f>IF($B163="","",IF($K163="","—",IF(ROUND($K163-$J163,0)=0,"√","×")))</f>
        <v/>
      </c>
      <c r="M163" s="26">
        <f>IF($B163="","",IF(COUNTIFS(EntryDates,$B163,CalcTime,$C163,CalcBank,$C$5,EntryParty,$D163,EntryDep,$H163,EntryWit,$I163)&gt;1,"تکرار",""))</f>
        <v/>
      </c>
      <c r="N163" s="26">
        <f>IF($P163="","",IF(INDEX(EntryNotes,$P163)=0,"",INDEX(EntryNotes,$P163)))</f>
        <v/>
      </c>
      <c r="O163" s="26">
        <f>IF($P163="","",IF(INDEX(EntryTxnID,$P163)=0,"",INDEX(EntryTxnID,$P163)))</f>
        <v/>
      </c>
      <c r="P163" s="26">
        <f>IFERROR(MATCH($C$5&amp;"|"&amp;RIGHT("000000"&amp;147,6),CalcRankKey,0),"")</f>
        <v/>
      </c>
    </row>
    <row r="164">
      <c r="A164" s="28">
        <f>IF($B164="","",148)</f>
        <v/>
      </c>
      <c r="B164" s="28">
        <f>IF($P164="","",IF(INDEX(CalcNormDate,$P164)=0,"",INDEX(CalcNormDate,$P164)))</f>
        <v/>
      </c>
      <c r="C164" s="28">
        <f>IF($P164="","",IF(INDEX(CalcTime,$P164)=0,"",INDEX(CalcTime,$P164)))</f>
        <v/>
      </c>
      <c r="D164" s="28">
        <f>IF($P164="","",IF(INDEX(EntryParty,$P164)=0,"",INDEX(EntryParty,$P164)))</f>
        <v/>
      </c>
      <c r="E164" s="28">
        <f>IF($P164="","",IF(INDEX(EntryPartyName,$P164)=0,"",INDEX(EntryPartyName,$P164)))</f>
        <v/>
      </c>
      <c r="F164" s="28">
        <f>IF($P164="","",IF(INDEX(EntryPartyType,$P164)=0,"",INDEX(EntryPartyType,$P164)))</f>
        <v/>
      </c>
      <c r="G164" s="28">
        <f>IF($P164="","",IF(INDEX(EntryTxnType,$P164)=0,"",INDEX(EntryTxnType,$P164)))</f>
        <v/>
      </c>
      <c r="H164" s="29">
        <f>IF($P164="","",IF(INDEX(EntryDep,$P164)=0,"",INDEX(EntryDep,$P164)))</f>
        <v/>
      </c>
      <c r="I164" s="29">
        <f>IF($P164="","",IF(INDEX(EntryWit,$P164)=0,"",INDEX(EntryWit,$P164)))</f>
        <v/>
      </c>
      <c r="J164" s="29">
        <f>IF($B164="","",IF($A164=1,$C$7,IF(J163="",0,J163))+IF($H164="",0,$H164)-IF($I164="",0,$I164))</f>
        <v/>
      </c>
      <c r="K164" s="29">
        <f>IF($P164="","",IF(INDEX(EntryMan,$P164)=0,"",INDEX(EntryMan,$P164)))</f>
        <v/>
      </c>
      <c r="L164" s="28">
        <f>IF($B164="","",IF($K164="","—",IF(ROUND($K164-$J164,0)=0,"√","×")))</f>
        <v/>
      </c>
      <c r="M164" s="28">
        <f>IF($B164="","",IF(COUNTIFS(EntryDates,$B164,CalcTime,$C164,CalcBank,$C$5,EntryParty,$D164,EntryDep,$H164,EntryWit,$I164)&gt;1,"تکرار",""))</f>
        <v/>
      </c>
      <c r="N164" s="28">
        <f>IF($P164="","",IF(INDEX(EntryNotes,$P164)=0,"",INDEX(EntryNotes,$P164)))</f>
        <v/>
      </c>
      <c r="O164" s="28">
        <f>IF($P164="","",IF(INDEX(EntryTxnID,$P164)=0,"",INDEX(EntryTxnID,$P164)))</f>
        <v/>
      </c>
      <c r="P164" s="28">
        <f>IFERROR(MATCH($C$5&amp;"|"&amp;RIGHT("000000"&amp;148,6),CalcRankKey,0),"")</f>
        <v/>
      </c>
    </row>
    <row r="165">
      <c r="A165" s="26">
        <f>IF($B165="","",149)</f>
        <v/>
      </c>
      <c r="B165" s="26">
        <f>IF($P165="","",IF(INDEX(CalcNormDate,$P165)=0,"",INDEX(CalcNormDate,$P165)))</f>
        <v/>
      </c>
      <c r="C165" s="26">
        <f>IF($P165="","",IF(INDEX(CalcTime,$P165)=0,"",INDEX(CalcTime,$P165)))</f>
        <v/>
      </c>
      <c r="D165" s="26">
        <f>IF($P165="","",IF(INDEX(EntryParty,$P165)=0,"",INDEX(EntryParty,$P165)))</f>
        <v/>
      </c>
      <c r="E165" s="26">
        <f>IF($P165="","",IF(INDEX(EntryPartyName,$P165)=0,"",INDEX(EntryPartyName,$P165)))</f>
        <v/>
      </c>
      <c r="F165" s="26">
        <f>IF($P165="","",IF(INDEX(EntryPartyType,$P165)=0,"",INDEX(EntryPartyType,$P165)))</f>
        <v/>
      </c>
      <c r="G165" s="26">
        <f>IF($P165="","",IF(INDEX(EntryTxnType,$P165)=0,"",INDEX(EntryTxnType,$P165)))</f>
        <v/>
      </c>
      <c r="H165" s="27">
        <f>IF($P165="","",IF(INDEX(EntryDep,$P165)=0,"",INDEX(EntryDep,$P165)))</f>
        <v/>
      </c>
      <c r="I165" s="27">
        <f>IF($P165="","",IF(INDEX(EntryWit,$P165)=0,"",INDEX(EntryWit,$P165)))</f>
        <v/>
      </c>
      <c r="J165" s="27">
        <f>IF($B165="","",IF($A165=1,$C$7,IF(J164="",0,J164))+IF($H165="",0,$H165)-IF($I165="",0,$I165))</f>
        <v/>
      </c>
      <c r="K165" s="27">
        <f>IF($P165="","",IF(INDEX(EntryMan,$P165)=0,"",INDEX(EntryMan,$P165)))</f>
        <v/>
      </c>
      <c r="L165" s="26">
        <f>IF($B165="","",IF($K165="","—",IF(ROUND($K165-$J165,0)=0,"√","×")))</f>
        <v/>
      </c>
      <c r="M165" s="26">
        <f>IF($B165="","",IF(COUNTIFS(EntryDates,$B165,CalcTime,$C165,CalcBank,$C$5,EntryParty,$D165,EntryDep,$H165,EntryWit,$I165)&gt;1,"تکرار",""))</f>
        <v/>
      </c>
      <c r="N165" s="26">
        <f>IF($P165="","",IF(INDEX(EntryNotes,$P165)=0,"",INDEX(EntryNotes,$P165)))</f>
        <v/>
      </c>
      <c r="O165" s="26">
        <f>IF($P165="","",IF(INDEX(EntryTxnID,$P165)=0,"",INDEX(EntryTxnID,$P165)))</f>
        <v/>
      </c>
      <c r="P165" s="26">
        <f>IFERROR(MATCH($C$5&amp;"|"&amp;RIGHT("000000"&amp;149,6),CalcRankKey,0),"")</f>
        <v/>
      </c>
    </row>
    <row r="166">
      <c r="A166" s="28">
        <f>IF($B166="","",150)</f>
        <v/>
      </c>
      <c r="B166" s="28">
        <f>IF($P166="","",IF(INDEX(CalcNormDate,$P166)=0,"",INDEX(CalcNormDate,$P166)))</f>
        <v/>
      </c>
      <c r="C166" s="28">
        <f>IF($P166="","",IF(INDEX(CalcTime,$P166)=0,"",INDEX(CalcTime,$P166)))</f>
        <v/>
      </c>
      <c r="D166" s="28">
        <f>IF($P166="","",IF(INDEX(EntryParty,$P166)=0,"",INDEX(EntryParty,$P166)))</f>
        <v/>
      </c>
      <c r="E166" s="28">
        <f>IF($P166="","",IF(INDEX(EntryPartyName,$P166)=0,"",INDEX(EntryPartyName,$P166)))</f>
        <v/>
      </c>
      <c r="F166" s="28">
        <f>IF($P166="","",IF(INDEX(EntryPartyType,$P166)=0,"",INDEX(EntryPartyType,$P166)))</f>
        <v/>
      </c>
      <c r="G166" s="28">
        <f>IF($P166="","",IF(INDEX(EntryTxnType,$P166)=0,"",INDEX(EntryTxnType,$P166)))</f>
        <v/>
      </c>
      <c r="H166" s="29">
        <f>IF($P166="","",IF(INDEX(EntryDep,$P166)=0,"",INDEX(EntryDep,$P166)))</f>
        <v/>
      </c>
      <c r="I166" s="29">
        <f>IF($P166="","",IF(INDEX(EntryWit,$P166)=0,"",INDEX(EntryWit,$P166)))</f>
        <v/>
      </c>
      <c r="J166" s="29">
        <f>IF($B166="","",IF($A166=1,$C$7,IF(J165="",0,J165))+IF($H166="",0,$H166)-IF($I166="",0,$I166))</f>
        <v/>
      </c>
      <c r="K166" s="29">
        <f>IF($P166="","",IF(INDEX(EntryMan,$P166)=0,"",INDEX(EntryMan,$P166)))</f>
        <v/>
      </c>
      <c r="L166" s="28">
        <f>IF($B166="","",IF($K166="","—",IF(ROUND($K166-$J166,0)=0,"√","×")))</f>
        <v/>
      </c>
      <c r="M166" s="28">
        <f>IF($B166="","",IF(COUNTIFS(EntryDates,$B166,CalcTime,$C166,CalcBank,$C$5,EntryParty,$D166,EntryDep,$H166,EntryWit,$I166)&gt;1,"تکرار",""))</f>
        <v/>
      </c>
      <c r="N166" s="28">
        <f>IF($P166="","",IF(INDEX(EntryNotes,$P166)=0,"",INDEX(EntryNotes,$P166)))</f>
        <v/>
      </c>
      <c r="O166" s="28">
        <f>IF($P166="","",IF(INDEX(EntryTxnID,$P166)=0,"",INDEX(EntryTxnID,$P166)))</f>
        <v/>
      </c>
      <c r="P166" s="28">
        <f>IFERROR(MATCH($C$5&amp;"|"&amp;RIGHT("000000"&amp;150,6),CalcRankKey,0),"")</f>
        <v/>
      </c>
    </row>
    <row r="167">
      <c r="A167" s="26">
        <f>IF($B167="","",151)</f>
        <v/>
      </c>
      <c r="B167" s="26">
        <f>IF($P167="","",IF(INDEX(CalcNormDate,$P167)=0,"",INDEX(CalcNormDate,$P167)))</f>
        <v/>
      </c>
      <c r="C167" s="26">
        <f>IF($P167="","",IF(INDEX(CalcTime,$P167)=0,"",INDEX(CalcTime,$P167)))</f>
        <v/>
      </c>
      <c r="D167" s="26">
        <f>IF($P167="","",IF(INDEX(EntryParty,$P167)=0,"",INDEX(EntryParty,$P167)))</f>
        <v/>
      </c>
      <c r="E167" s="26">
        <f>IF($P167="","",IF(INDEX(EntryPartyName,$P167)=0,"",INDEX(EntryPartyName,$P167)))</f>
        <v/>
      </c>
      <c r="F167" s="26">
        <f>IF($P167="","",IF(INDEX(EntryPartyType,$P167)=0,"",INDEX(EntryPartyType,$P167)))</f>
        <v/>
      </c>
      <c r="G167" s="26">
        <f>IF($P167="","",IF(INDEX(EntryTxnType,$P167)=0,"",INDEX(EntryTxnType,$P167)))</f>
        <v/>
      </c>
      <c r="H167" s="27">
        <f>IF($P167="","",IF(INDEX(EntryDep,$P167)=0,"",INDEX(EntryDep,$P167)))</f>
        <v/>
      </c>
      <c r="I167" s="27">
        <f>IF($P167="","",IF(INDEX(EntryWit,$P167)=0,"",INDEX(EntryWit,$P167)))</f>
        <v/>
      </c>
      <c r="J167" s="27">
        <f>IF($B167="","",IF($A167=1,$C$7,IF(J166="",0,J166))+IF($H167="",0,$H167)-IF($I167="",0,$I167))</f>
        <v/>
      </c>
      <c r="K167" s="27">
        <f>IF($P167="","",IF(INDEX(EntryMan,$P167)=0,"",INDEX(EntryMan,$P167)))</f>
        <v/>
      </c>
      <c r="L167" s="26">
        <f>IF($B167="","",IF($K167="","—",IF(ROUND($K167-$J167,0)=0,"√","×")))</f>
        <v/>
      </c>
      <c r="M167" s="26">
        <f>IF($B167="","",IF(COUNTIFS(EntryDates,$B167,CalcTime,$C167,CalcBank,$C$5,EntryParty,$D167,EntryDep,$H167,EntryWit,$I167)&gt;1,"تکرار",""))</f>
        <v/>
      </c>
      <c r="N167" s="26">
        <f>IF($P167="","",IF(INDEX(EntryNotes,$P167)=0,"",INDEX(EntryNotes,$P167)))</f>
        <v/>
      </c>
      <c r="O167" s="26">
        <f>IF($P167="","",IF(INDEX(EntryTxnID,$P167)=0,"",INDEX(EntryTxnID,$P167)))</f>
        <v/>
      </c>
      <c r="P167" s="26">
        <f>IFERROR(MATCH($C$5&amp;"|"&amp;RIGHT("000000"&amp;151,6),CalcRankKey,0),"")</f>
        <v/>
      </c>
    </row>
    <row r="168">
      <c r="A168" s="28">
        <f>IF($B168="","",152)</f>
        <v/>
      </c>
      <c r="B168" s="28">
        <f>IF($P168="","",IF(INDEX(CalcNormDate,$P168)=0,"",INDEX(CalcNormDate,$P168)))</f>
        <v/>
      </c>
      <c r="C168" s="28">
        <f>IF($P168="","",IF(INDEX(CalcTime,$P168)=0,"",INDEX(CalcTime,$P168)))</f>
        <v/>
      </c>
      <c r="D168" s="28">
        <f>IF($P168="","",IF(INDEX(EntryParty,$P168)=0,"",INDEX(EntryParty,$P168)))</f>
        <v/>
      </c>
      <c r="E168" s="28">
        <f>IF($P168="","",IF(INDEX(EntryPartyName,$P168)=0,"",INDEX(EntryPartyName,$P168)))</f>
        <v/>
      </c>
      <c r="F168" s="28">
        <f>IF($P168="","",IF(INDEX(EntryPartyType,$P168)=0,"",INDEX(EntryPartyType,$P168)))</f>
        <v/>
      </c>
      <c r="G168" s="28">
        <f>IF($P168="","",IF(INDEX(EntryTxnType,$P168)=0,"",INDEX(EntryTxnType,$P168)))</f>
        <v/>
      </c>
      <c r="H168" s="29">
        <f>IF($P168="","",IF(INDEX(EntryDep,$P168)=0,"",INDEX(EntryDep,$P168)))</f>
        <v/>
      </c>
      <c r="I168" s="29">
        <f>IF($P168="","",IF(INDEX(EntryWit,$P168)=0,"",INDEX(EntryWit,$P168)))</f>
        <v/>
      </c>
      <c r="J168" s="29">
        <f>IF($B168="","",IF($A168=1,$C$7,IF(J167="",0,J167))+IF($H168="",0,$H168)-IF($I168="",0,$I168))</f>
        <v/>
      </c>
      <c r="K168" s="29">
        <f>IF($P168="","",IF(INDEX(EntryMan,$P168)=0,"",INDEX(EntryMan,$P168)))</f>
        <v/>
      </c>
      <c r="L168" s="28">
        <f>IF($B168="","",IF($K168="","—",IF(ROUND($K168-$J168,0)=0,"√","×")))</f>
        <v/>
      </c>
      <c r="M168" s="28">
        <f>IF($B168="","",IF(COUNTIFS(EntryDates,$B168,CalcTime,$C168,CalcBank,$C$5,EntryParty,$D168,EntryDep,$H168,EntryWit,$I168)&gt;1,"تکرار",""))</f>
        <v/>
      </c>
      <c r="N168" s="28">
        <f>IF($P168="","",IF(INDEX(EntryNotes,$P168)=0,"",INDEX(EntryNotes,$P168)))</f>
        <v/>
      </c>
      <c r="O168" s="28">
        <f>IF($P168="","",IF(INDEX(EntryTxnID,$P168)=0,"",INDEX(EntryTxnID,$P168)))</f>
        <v/>
      </c>
      <c r="P168" s="28">
        <f>IFERROR(MATCH($C$5&amp;"|"&amp;RIGHT("000000"&amp;152,6),CalcRankKey,0),"")</f>
        <v/>
      </c>
    </row>
    <row r="169">
      <c r="A169" s="26">
        <f>IF($B169="","",153)</f>
        <v/>
      </c>
      <c r="B169" s="26">
        <f>IF($P169="","",IF(INDEX(CalcNormDate,$P169)=0,"",INDEX(CalcNormDate,$P169)))</f>
        <v/>
      </c>
      <c r="C169" s="26">
        <f>IF($P169="","",IF(INDEX(CalcTime,$P169)=0,"",INDEX(CalcTime,$P169)))</f>
        <v/>
      </c>
      <c r="D169" s="26">
        <f>IF($P169="","",IF(INDEX(EntryParty,$P169)=0,"",INDEX(EntryParty,$P169)))</f>
        <v/>
      </c>
      <c r="E169" s="26">
        <f>IF($P169="","",IF(INDEX(EntryPartyName,$P169)=0,"",INDEX(EntryPartyName,$P169)))</f>
        <v/>
      </c>
      <c r="F169" s="26">
        <f>IF($P169="","",IF(INDEX(EntryPartyType,$P169)=0,"",INDEX(EntryPartyType,$P169)))</f>
        <v/>
      </c>
      <c r="G169" s="26">
        <f>IF($P169="","",IF(INDEX(EntryTxnType,$P169)=0,"",INDEX(EntryTxnType,$P169)))</f>
        <v/>
      </c>
      <c r="H169" s="27">
        <f>IF($P169="","",IF(INDEX(EntryDep,$P169)=0,"",INDEX(EntryDep,$P169)))</f>
        <v/>
      </c>
      <c r="I169" s="27">
        <f>IF($P169="","",IF(INDEX(EntryWit,$P169)=0,"",INDEX(EntryWit,$P169)))</f>
        <v/>
      </c>
      <c r="J169" s="27">
        <f>IF($B169="","",IF($A169=1,$C$7,IF(J168="",0,J168))+IF($H169="",0,$H169)-IF($I169="",0,$I169))</f>
        <v/>
      </c>
      <c r="K169" s="27">
        <f>IF($P169="","",IF(INDEX(EntryMan,$P169)=0,"",INDEX(EntryMan,$P169)))</f>
        <v/>
      </c>
      <c r="L169" s="26">
        <f>IF($B169="","",IF($K169="","—",IF(ROUND($K169-$J169,0)=0,"√","×")))</f>
        <v/>
      </c>
      <c r="M169" s="26">
        <f>IF($B169="","",IF(COUNTIFS(EntryDates,$B169,CalcTime,$C169,CalcBank,$C$5,EntryParty,$D169,EntryDep,$H169,EntryWit,$I169)&gt;1,"تکرار",""))</f>
        <v/>
      </c>
      <c r="N169" s="26">
        <f>IF($P169="","",IF(INDEX(EntryNotes,$P169)=0,"",INDEX(EntryNotes,$P169)))</f>
        <v/>
      </c>
      <c r="O169" s="26">
        <f>IF($P169="","",IF(INDEX(EntryTxnID,$P169)=0,"",INDEX(EntryTxnID,$P169)))</f>
        <v/>
      </c>
      <c r="P169" s="26">
        <f>IFERROR(MATCH($C$5&amp;"|"&amp;RIGHT("000000"&amp;153,6),CalcRankKey,0),"")</f>
        <v/>
      </c>
    </row>
    <row r="170">
      <c r="A170" s="28">
        <f>IF($B170="","",154)</f>
        <v/>
      </c>
      <c r="B170" s="28">
        <f>IF($P170="","",IF(INDEX(CalcNormDate,$P170)=0,"",INDEX(CalcNormDate,$P170)))</f>
        <v/>
      </c>
      <c r="C170" s="28">
        <f>IF($P170="","",IF(INDEX(CalcTime,$P170)=0,"",INDEX(CalcTime,$P170)))</f>
        <v/>
      </c>
      <c r="D170" s="28">
        <f>IF($P170="","",IF(INDEX(EntryParty,$P170)=0,"",INDEX(EntryParty,$P170)))</f>
        <v/>
      </c>
      <c r="E170" s="28">
        <f>IF($P170="","",IF(INDEX(EntryPartyName,$P170)=0,"",INDEX(EntryPartyName,$P170)))</f>
        <v/>
      </c>
      <c r="F170" s="28">
        <f>IF($P170="","",IF(INDEX(EntryPartyType,$P170)=0,"",INDEX(EntryPartyType,$P170)))</f>
        <v/>
      </c>
      <c r="G170" s="28">
        <f>IF($P170="","",IF(INDEX(EntryTxnType,$P170)=0,"",INDEX(EntryTxnType,$P170)))</f>
        <v/>
      </c>
      <c r="H170" s="29">
        <f>IF($P170="","",IF(INDEX(EntryDep,$P170)=0,"",INDEX(EntryDep,$P170)))</f>
        <v/>
      </c>
      <c r="I170" s="29">
        <f>IF($P170="","",IF(INDEX(EntryWit,$P170)=0,"",INDEX(EntryWit,$P170)))</f>
        <v/>
      </c>
      <c r="J170" s="29">
        <f>IF($B170="","",IF($A170=1,$C$7,IF(J169="",0,J169))+IF($H170="",0,$H170)-IF($I170="",0,$I170))</f>
        <v/>
      </c>
      <c r="K170" s="29">
        <f>IF($P170="","",IF(INDEX(EntryMan,$P170)=0,"",INDEX(EntryMan,$P170)))</f>
        <v/>
      </c>
      <c r="L170" s="28">
        <f>IF($B170="","",IF($K170="","—",IF(ROUND($K170-$J170,0)=0,"√","×")))</f>
        <v/>
      </c>
      <c r="M170" s="28">
        <f>IF($B170="","",IF(COUNTIFS(EntryDates,$B170,CalcTime,$C170,CalcBank,$C$5,EntryParty,$D170,EntryDep,$H170,EntryWit,$I170)&gt;1,"تکرار",""))</f>
        <v/>
      </c>
      <c r="N170" s="28">
        <f>IF($P170="","",IF(INDEX(EntryNotes,$P170)=0,"",INDEX(EntryNotes,$P170)))</f>
        <v/>
      </c>
      <c r="O170" s="28">
        <f>IF($P170="","",IF(INDEX(EntryTxnID,$P170)=0,"",INDEX(EntryTxnID,$P170)))</f>
        <v/>
      </c>
      <c r="P170" s="28">
        <f>IFERROR(MATCH($C$5&amp;"|"&amp;RIGHT("000000"&amp;154,6),CalcRankKey,0),"")</f>
        <v/>
      </c>
    </row>
    <row r="171">
      <c r="A171" s="26">
        <f>IF($B171="","",155)</f>
        <v/>
      </c>
      <c r="B171" s="26">
        <f>IF($P171="","",IF(INDEX(CalcNormDate,$P171)=0,"",INDEX(CalcNormDate,$P171)))</f>
        <v/>
      </c>
      <c r="C171" s="26">
        <f>IF($P171="","",IF(INDEX(CalcTime,$P171)=0,"",INDEX(CalcTime,$P171)))</f>
        <v/>
      </c>
      <c r="D171" s="26">
        <f>IF($P171="","",IF(INDEX(EntryParty,$P171)=0,"",INDEX(EntryParty,$P171)))</f>
        <v/>
      </c>
      <c r="E171" s="26">
        <f>IF($P171="","",IF(INDEX(EntryPartyName,$P171)=0,"",INDEX(EntryPartyName,$P171)))</f>
        <v/>
      </c>
      <c r="F171" s="26">
        <f>IF($P171="","",IF(INDEX(EntryPartyType,$P171)=0,"",INDEX(EntryPartyType,$P171)))</f>
        <v/>
      </c>
      <c r="G171" s="26">
        <f>IF($P171="","",IF(INDEX(EntryTxnType,$P171)=0,"",INDEX(EntryTxnType,$P171)))</f>
        <v/>
      </c>
      <c r="H171" s="27">
        <f>IF($P171="","",IF(INDEX(EntryDep,$P171)=0,"",INDEX(EntryDep,$P171)))</f>
        <v/>
      </c>
      <c r="I171" s="27">
        <f>IF($P171="","",IF(INDEX(EntryWit,$P171)=0,"",INDEX(EntryWit,$P171)))</f>
        <v/>
      </c>
      <c r="J171" s="27">
        <f>IF($B171="","",IF($A171=1,$C$7,IF(J170="",0,J170))+IF($H171="",0,$H171)-IF($I171="",0,$I171))</f>
        <v/>
      </c>
      <c r="K171" s="27">
        <f>IF($P171="","",IF(INDEX(EntryMan,$P171)=0,"",INDEX(EntryMan,$P171)))</f>
        <v/>
      </c>
      <c r="L171" s="26">
        <f>IF($B171="","",IF($K171="","—",IF(ROUND($K171-$J171,0)=0,"√","×")))</f>
        <v/>
      </c>
      <c r="M171" s="26">
        <f>IF($B171="","",IF(COUNTIFS(EntryDates,$B171,CalcTime,$C171,CalcBank,$C$5,EntryParty,$D171,EntryDep,$H171,EntryWit,$I171)&gt;1,"تکرار",""))</f>
        <v/>
      </c>
      <c r="N171" s="26">
        <f>IF($P171="","",IF(INDEX(EntryNotes,$P171)=0,"",INDEX(EntryNotes,$P171)))</f>
        <v/>
      </c>
      <c r="O171" s="26">
        <f>IF($P171="","",IF(INDEX(EntryTxnID,$P171)=0,"",INDEX(EntryTxnID,$P171)))</f>
        <v/>
      </c>
      <c r="P171" s="26">
        <f>IFERROR(MATCH($C$5&amp;"|"&amp;RIGHT("000000"&amp;155,6),CalcRankKey,0),"")</f>
        <v/>
      </c>
    </row>
    <row r="172">
      <c r="A172" s="28">
        <f>IF($B172="","",156)</f>
        <v/>
      </c>
      <c r="B172" s="28">
        <f>IF($P172="","",IF(INDEX(CalcNormDate,$P172)=0,"",INDEX(CalcNormDate,$P172)))</f>
        <v/>
      </c>
      <c r="C172" s="28">
        <f>IF($P172="","",IF(INDEX(CalcTime,$P172)=0,"",INDEX(CalcTime,$P172)))</f>
        <v/>
      </c>
      <c r="D172" s="28">
        <f>IF($P172="","",IF(INDEX(EntryParty,$P172)=0,"",INDEX(EntryParty,$P172)))</f>
        <v/>
      </c>
      <c r="E172" s="28">
        <f>IF($P172="","",IF(INDEX(EntryPartyName,$P172)=0,"",INDEX(EntryPartyName,$P172)))</f>
        <v/>
      </c>
      <c r="F172" s="28">
        <f>IF($P172="","",IF(INDEX(EntryPartyType,$P172)=0,"",INDEX(EntryPartyType,$P172)))</f>
        <v/>
      </c>
      <c r="G172" s="28">
        <f>IF($P172="","",IF(INDEX(EntryTxnType,$P172)=0,"",INDEX(EntryTxnType,$P172)))</f>
        <v/>
      </c>
      <c r="H172" s="29">
        <f>IF($P172="","",IF(INDEX(EntryDep,$P172)=0,"",INDEX(EntryDep,$P172)))</f>
        <v/>
      </c>
      <c r="I172" s="29">
        <f>IF($P172="","",IF(INDEX(EntryWit,$P172)=0,"",INDEX(EntryWit,$P172)))</f>
        <v/>
      </c>
      <c r="J172" s="29">
        <f>IF($B172="","",IF($A172=1,$C$7,IF(J171="",0,J171))+IF($H172="",0,$H172)-IF($I172="",0,$I172))</f>
        <v/>
      </c>
      <c r="K172" s="29">
        <f>IF($P172="","",IF(INDEX(EntryMan,$P172)=0,"",INDEX(EntryMan,$P172)))</f>
        <v/>
      </c>
      <c r="L172" s="28">
        <f>IF($B172="","",IF($K172="","—",IF(ROUND($K172-$J172,0)=0,"√","×")))</f>
        <v/>
      </c>
      <c r="M172" s="28">
        <f>IF($B172="","",IF(COUNTIFS(EntryDates,$B172,CalcTime,$C172,CalcBank,$C$5,EntryParty,$D172,EntryDep,$H172,EntryWit,$I172)&gt;1,"تکرار",""))</f>
        <v/>
      </c>
      <c r="N172" s="28">
        <f>IF($P172="","",IF(INDEX(EntryNotes,$P172)=0,"",INDEX(EntryNotes,$P172)))</f>
        <v/>
      </c>
      <c r="O172" s="28">
        <f>IF($P172="","",IF(INDEX(EntryTxnID,$P172)=0,"",INDEX(EntryTxnID,$P172)))</f>
        <v/>
      </c>
      <c r="P172" s="28">
        <f>IFERROR(MATCH($C$5&amp;"|"&amp;RIGHT("000000"&amp;156,6),CalcRankKey,0),"")</f>
        <v/>
      </c>
    </row>
    <row r="173">
      <c r="A173" s="26">
        <f>IF($B173="","",157)</f>
        <v/>
      </c>
      <c r="B173" s="26">
        <f>IF($P173="","",IF(INDEX(CalcNormDate,$P173)=0,"",INDEX(CalcNormDate,$P173)))</f>
        <v/>
      </c>
      <c r="C173" s="26">
        <f>IF($P173="","",IF(INDEX(CalcTime,$P173)=0,"",INDEX(CalcTime,$P173)))</f>
        <v/>
      </c>
      <c r="D173" s="26">
        <f>IF($P173="","",IF(INDEX(EntryParty,$P173)=0,"",INDEX(EntryParty,$P173)))</f>
        <v/>
      </c>
      <c r="E173" s="26">
        <f>IF($P173="","",IF(INDEX(EntryPartyName,$P173)=0,"",INDEX(EntryPartyName,$P173)))</f>
        <v/>
      </c>
      <c r="F173" s="26">
        <f>IF($P173="","",IF(INDEX(EntryPartyType,$P173)=0,"",INDEX(EntryPartyType,$P173)))</f>
        <v/>
      </c>
      <c r="G173" s="26">
        <f>IF($P173="","",IF(INDEX(EntryTxnType,$P173)=0,"",INDEX(EntryTxnType,$P173)))</f>
        <v/>
      </c>
      <c r="H173" s="27">
        <f>IF($P173="","",IF(INDEX(EntryDep,$P173)=0,"",INDEX(EntryDep,$P173)))</f>
        <v/>
      </c>
      <c r="I173" s="27">
        <f>IF($P173="","",IF(INDEX(EntryWit,$P173)=0,"",INDEX(EntryWit,$P173)))</f>
        <v/>
      </c>
      <c r="J173" s="27">
        <f>IF($B173="","",IF($A173=1,$C$7,IF(J172="",0,J172))+IF($H173="",0,$H173)-IF($I173="",0,$I173))</f>
        <v/>
      </c>
      <c r="K173" s="27">
        <f>IF($P173="","",IF(INDEX(EntryMan,$P173)=0,"",INDEX(EntryMan,$P173)))</f>
        <v/>
      </c>
      <c r="L173" s="26">
        <f>IF($B173="","",IF($K173="","—",IF(ROUND($K173-$J173,0)=0,"√","×")))</f>
        <v/>
      </c>
      <c r="M173" s="26">
        <f>IF($B173="","",IF(COUNTIFS(EntryDates,$B173,CalcTime,$C173,CalcBank,$C$5,EntryParty,$D173,EntryDep,$H173,EntryWit,$I173)&gt;1,"تکرار",""))</f>
        <v/>
      </c>
      <c r="N173" s="26">
        <f>IF($P173="","",IF(INDEX(EntryNotes,$P173)=0,"",INDEX(EntryNotes,$P173)))</f>
        <v/>
      </c>
      <c r="O173" s="26">
        <f>IF($P173="","",IF(INDEX(EntryTxnID,$P173)=0,"",INDEX(EntryTxnID,$P173)))</f>
        <v/>
      </c>
      <c r="P173" s="26">
        <f>IFERROR(MATCH($C$5&amp;"|"&amp;RIGHT("000000"&amp;157,6),CalcRankKey,0),"")</f>
        <v/>
      </c>
    </row>
    <row r="174">
      <c r="A174" s="28">
        <f>IF($B174="","",158)</f>
        <v/>
      </c>
      <c r="B174" s="28">
        <f>IF($P174="","",IF(INDEX(CalcNormDate,$P174)=0,"",INDEX(CalcNormDate,$P174)))</f>
        <v/>
      </c>
      <c r="C174" s="28">
        <f>IF($P174="","",IF(INDEX(CalcTime,$P174)=0,"",INDEX(CalcTime,$P174)))</f>
        <v/>
      </c>
      <c r="D174" s="28">
        <f>IF($P174="","",IF(INDEX(EntryParty,$P174)=0,"",INDEX(EntryParty,$P174)))</f>
        <v/>
      </c>
      <c r="E174" s="28">
        <f>IF($P174="","",IF(INDEX(EntryPartyName,$P174)=0,"",INDEX(EntryPartyName,$P174)))</f>
        <v/>
      </c>
      <c r="F174" s="28">
        <f>IF($P174="","",IF(INDEX(EntryPartyType,$P174)=0,"",INDEX(EntryPartyType,$P174)))</f>
        <v/>
      </c>
      <c r="G174" s="28">
        <f>IF($P174="","",IF(INDEX(EntryTxnType,$P174)=0,"",INDEX(EntryTxnType,$P174)))</f>
        <v/>
      </c>
      <c r="H174" s="29">
        <f>IF($P174="","",IF(INDEX(EntryDep,$P174)=0,"",INDEX(EntryDep,$P174)))</f>
        <v/>
      </c>
      <c r="I174" s="29">
        <f>IF($P174="","",IF(INDEX(EntryWit,$P174)=0,"",INDEX(EntryWit,$P174)))</f>
        <v/>
      </c>
      <c r="J174" s="29">
        <f>IF($B174="","",IF($A174=1,$C$7,IF(J173="",0,J173))+IF($H174="",0,$H174)-IF($I174="",0,$I174))</f>
        <v/>
      </c>
      <c r="K174" s="29">
        <f>IF($P174="","",IF(INDEX(EntryMan,$P174)=0,"",INDEX(EntryMan,$P174)))</f>
        <v/>
      </c>
      <c r="L174" s="28">
        <f>IF($B174="","",IF($K174="","—",IF(ROUND($K174-$J174,0)=0,"√","×")))</f>
        <v/>
      </c>
      <c r="M174" s="28">
        <f>IF($B174="","",IF(COUNTIFS(EntryDates,$B174,CalcTime,$C174,CalcBank,$C$5,EntryParty,$D174,EntryDep,$H174,EntryWit,$I174)&gt;1,"تکرار",""))</f>
        <v/>
      </c>
      <c r="N174" s="28">
        <f>IF($P174="","",IF(INDEX(EntryNotes,$P174)=0,"",INDEX(EntryNotes,$P174)))</f>
        <v/>
      </c>
      <c r="O174" s="28">
        <f>IF($P174="","",IF(INDEX(EntryTxnID,$P174)=0,"",INDEX(EntryTxnID,$P174)))</f>
        <v/>
      </c>
      <c r="P174" s="28">
        <f>IFERROR(MATCH($C$5&amp;"|"&amp;RIGHT("000000"&amp;158,6),CalcRankKey,0),"")</f>
        <v/>
      </c>
    </row>
    <row r="175">
      <c r="A175" s="26">
        <f>IF($B175="","",159)</f>
        <v/>
      </c>
      <c r="B175" s="26">
        <f>IF($P175="","",IF(INDEX(CalcNormDate,$P175)=0,"",INDEX(CalcNormDate,$P175)))</f>
        <v/>
      </c>
      <c r="C175" s="26">
        <f>IF($P175="","",IF(INDEX(CalcTime,$P175)=0,"",INDEX(CalcTime,$P175)))</f>
        <v/>
      </c>
      <c r="D175" s="26">
        <f>IF($P175="","",IF(INDEX(EntryParty,$P175)=0,"",INDEX(EntryParty,$P175)))</f>
        <v/>
      </c>
      <c r="E175" s="26">
        <f>IF($P175="","",IF(INDEX(EntryPartyName,$P175)=0,"",INDEX(EntryPartyName,$P175)))</f>
        <v/>
      </c>
      <c r="F175" s="26">
        <f>IF($P175="","",IF(INDEX(EntryPartyType,$P175)=0,"",INDEX(EntryPartyType,$P175)))</f>
        <v/>
      </c>
      <c r="G175" s="26">
        <f>IF($P175="","",IF(INDEX(EntryTxnType,$P175)=0,"",INDEX(EntryTxnType,$P175)))</f>
        <v/>
      </c>
      <c r="H175" s="27">
        <f>IF($P175="","",IF(INDEX(EntryDep,$P175)=0,"",INDEX(EntryDep,$P175)))</f>
        <v/>
      </c>
      <c r="I175" s="27">
        <f>IF($P175="","",IF(INDEX(EntryWit,$P175)=0,"",INDEX(EntryWit,$P175)))</f>
        <v/>
      </c>
      <c r="J175" s="27">
        <f>IF($B175="","",IF($A175=1,$C$7,IF(J174="",0,J174))+IF($H175="",0,$H175)-IF($I175="",0,$I175))</f>
        <v/>
      </c>
      <c r="K175" s="27">
        <f>IF($P175="","",IF(INDEX(EntryMan,$P175)=0,"",INDEX(EntryMan,$P175)))</f>
        <v/>
      </c>
      <c r="L175" s="26">
        <f>IF($B175="","",IF($K175="","—",IF(ROUND($K175-$J175,0)=0,"√","×")))</f>
        <v/>
      </c>
      <c r="M175" s="26">
        <f>IF($B175="","",IF(COUNTIFS(EntryDates,$B175,CalcTime,$C175,CalcBank,$C$5,EntryParty,$D175,EntryDep,$H175,EntryWit,$I175)&gt;1,"تکرار",""))</f>
        <v/>
      </c>
      <c r="N175" s="26">
        <f>IF($P175="","",IF(INDEX(EntryNotes,$P175)=0,"",INDEX(EntryNotes,$P175)))</f>
        <v/>
      </c>
      <c r="O175" s="26">
        <f>IF($P175="","",IF(INDEX(EntryTxnID,$P175)=0,"",INDEX(EntryTxnID,$P175)))</f>
        <v/>
      </c>
      <c r="P175" s="26">
        <f>IFERROR(MATCH($C$5&amp;"|"&amp;RIGHT("000000"&amp;159,6),CalcRankKey,0),"")</f>
        <v/>
      </c>
    </row>
    <row r="176">
      <c r="A176" s="28">
        <f>IF($B176="","",160)</f>
        <v/>
      </c>
      <c r="B176" s="28">
        <f>IF($P176="","",IF(INDEX(CalcNormDate,$P176)=0,"",INDEX(CalcNormDate,$P176)))</f>
        <v/>
      </c>
      <c r="C176" s="28">
        <f>IF($P176="","",IF(INDEX(CalcTime,$P176)=0,"",INDEX(CalcTime,$P176)))</f>
        <v/>
      </c>
      <c r="D176" s="28">
        <f>IF($P176="","",IF(INDEX(EntryParty,$P176)=0,"",INDEX(EntryParty,$P176)))</f>
        <v/>
      </c>
      <c r="E176" s="28">
        <f>IF($P176="","",IF(INDEX(EntryPartyName,$P176)=0,"",INDEX(EntryPartyName,$P176)))</f>
        <v/>
      </c>
      <c r="F176" s="28">
        <f>IF($P176="","",IF(INDEX(EntryPartyType,$P176)=0,"",INDEX(EntryPartyType,$P176)))</f>
        <v/>
      </c>
      <c r="G176" s="28">
        <f>IF($P176="","",IF(INDEX(EntryTxnType,$P176)=0,"",INDEX(EntryTxnType,$P176)))</f>
        <v/>
      </c>
      <c r="H176" s="29">
        <f>IF($P176="","",IF(INDEX(EntryDep,$P176)=0,"",INDEX(EntryDep,$P176)))</f>
        <v/>
      </c>
      <c r="I176" s="29">
        <f>IF($P176="","",IF(INDEX(EntryWit,$P176)=0,"",INDEX(EntryWit,$P176)))</f>
        <v/>
      </c>
      <c r="J176" s="29">
        <f>IF($B176="","",IF($A176=1,$C$7,IF(J175="",0,J175))+IF($H176="",0,$H176)-IF($I176="",0,$I176))</f>
        <v/>
      </c>
      <c r="K176" s="29">
        <f>IF($P176="","",IF(INDEX(EntryMan,$P176)=0,"",INDEX(EntryMan,$P176)))</f>
        <v/>
      </c>
      <c r="L176" s="28">
        <f>IF($B176="","",IF($K176="","—",IF(ROUND($K176-$J176,0)=0,"√","×")))</f>
        <v/>
      </c>
      <c r="M176" s="28">
        <f>IF($B176="","",IF(COUNTIFS(EntryDates,$B176,CalcTime,$C176,CalcBank,$C$5,EntryParty,$D176,EntryDep,$H176,EntryWit,$I176)&gt;1,"تکرار",""))</f>
        <v/>
      </c>
      <c r="N176" s="28">
        <f>IF($P176="","",IF(INDEX(EntryNotes,$P176)=0,"",INDEX(EntryNotes,$P176)))</f>
        <v/>
      </c>
      <c r="O176" s="28">
        <f>IF($P176="","",IF(INDEX(EntryTxnID,$P176)=0,"",INDEX(EntryTxnID,$P176)))</f>
        <v/>
      </c>
      <c r="P176" s="28">
        <f>IFERROR(MATCH($C$5&amp;"|"&amp;RIGHT("000000"&amp;160,6),CalcRankKey,0),"")</f>
        <v/>
      </c>
    </row>
    <row r="177">
      <c r="A177" s="26">
        <f>IF($B177="","",161)</f>
        <v/>
      </c>
      <c r="B177" s="26">
        <f>IF($P177="","",IF(INDEX(CalcNormDate,$P177)=0,"",INDEX(CalcNormDate,$P177)))</f>
        <v/>
      </c>
      <c r="C177" s="26">
        <f>IF($P177="","",IF(INDEX(CalcTime,$P177)=0,"",INDEX(CalcTime,$P177)))</f>
        <v/>
      </c>
      <c r="D177" s="26">
        <f>IF($P177="","",IF(INDEX(EntryParty,$P177)=0,"",INDEX(EntryParty,$P177)))</f>
        <v/>
      </c>
      <c r="E177" s="26">
        <f>IF($P177="","",IF(INDEX(EntryPartyName,$P177)=0,"",INDEX(EntryPartyName,$P177)))</f>
        <v/>
      </c>
      <c r="F177" s="26">
        <f>IF($P177="","",IF(INDEX(EntryPartyType,$P177)=0,"",INDEX(EntryPartyType,$P177)))</f>
        <v/>
      </c>
      <c r="G177" s="26">
        <f>IF($P177="","",IF(INDEX(EntryTxnType,$P177)=0,"",INDEX(EntryTxnType,$P177)))</f>
        <v/>
      </c>
      <c r="H177" s="27">
        <f>IF($P177="","",IF(INDEX(EntryDep,$P177)=0,"",INDEX(EntryDep,$P177)))</f>
        <v/>
      </c>
      <c r="I177" s="27">
        <f>IF($P177="","",IF(INDEX(EntryWit,$P177)=0,"",INDEX(EntryWit,$P177)))</f>
        <v/>
      </c>
      <c r="J177" s="27">
        <f>IF($B177="","",IF($A177=1,$C$7,IF(J176="",0,J176))+IF($H177="",0,$H177)-IF($I177="",0,$I177))</f>
        <v/>
      </c>
      <c r="K177" s="27">
        <f>IF($P177="","",IF(INDEX(EntryMan,$P177)=0,"",INDEX(EntryMan,$P177)))</f>
        <v/>
      </c>
      <c r="L177" s="26">
        <f>IF($B177="","",IF($K177="","—",IF(ROUND($K177-$J177,0)=0,"√","×")))</f>
        <v/>
      </c>
      <c r="M177" s="26">
        <f>IF($B177="","",IF(COUNTIFS(EntryDates,$B177,CalcTime,$C177,CalcBank,$C$5,EntryParty,$D177,EntryDep,$H177,EntryWit,$I177)&gt;1,"تکرار",""))</f>
        <v/>
      </c>
      <c r="N177" s="26">
        <f>IF($P177="","",IF(INDEX(EntryNotes,$P177)=0,"",INDEX(EntryNotes,$P177)))</f>
        <v/>
      </c>
      <c r="O177" s="26">
        <f>IF($P177="","",IF(INDEX(EntryTxnID,$P177)=0,"",INDEX(EntryTxnID,$P177)))</f>
        <v/>
      </c>
      <c r="P177" s="26">
        <f>IFERROR(MATCH($C$5&amp;"|"&amp;RIGHT("000000"&amp;161,6),CalcRankKey,0),"")</f>
        <v/>
      </c>
    </row>
    <row r="178">
      <c r="A178" s="28">
        <f>IF($B178="","",162)</f>
        <v/>
      </c>
      <c r="B178" s="28">
        <f>IF($P178="","",IF(INDEX(CalcNormDate,$P178)=0,"",INDEX(CalcNormDate,$P178)))</f>
        <v/>
      </c>
      <c r="C178" s="28">
        <f>IF($P178="","",IF(INDEX(CalcTime,$P178)=0,"",INDEX(CalcTime,$P178)))</f>
        <v/>
      </c>
      <c r="D178" s="28">
        <f>IF($P178="","",IF(INDEX(EntryParty,$P178)=0,"",INDEX(EntryParty,$P178)))</f>
        <v/>
      </c>
      <c r="E178" s="28">
        <f>IF($P178="","",IF(INDEX(EntryPartyName,$P178)=0,"",INDEX(EntryPartyName,$P178)))</f>
        <v/>
      </c>
      <c r="F178" s="28">
        <f>IF($P178="","",IF(INDEX(EntryPartyType,$P178)=0,"",INDEX(EntryPartyType,$P178)))</f>
        <v/>
      </c>
      <c r="G178" s="28">
        <f>IF($P178="","",IF(INDEX(EntryTxnType,$P178)=0,"",INDEX(EntryTxnType,$P178)))</f>
        <v/>
      </c>
      <c r="H178" s="29">
        <f>IF($P178="","",IF(INDEX(EntryDep,$P178)=0,"",INDEX(EntryDep,$P178)))</f>
        <v/>
      </c>
      <c r="I178" s="29">
        <f>IF($P178="","",IF(INDEX(EntryWit,$P178)=0,"",INDEX(EntryWit,$P178)))</f>
        <v/>
      </c>
      <c r="J178" s="29">
        <f>IF($B178="","",IF($A178=1,$C$7,IF(J177="",0,J177))+IF($H178="",0,$H178)-IF($I178="",0,$I178))</f>
        <v/>
      </c>
      <c r="K178" s="29">
        <f>IF($P178="","",IF(INDEX(EntryMan,$P178)=0,"",INDEX(EntryMan,$P178)))</f>
        <v/>
      </c>
      <c r="L178" s="28">
        <f>IF($B178="","",IF($K178="","—",IF(ROUND($K178-$J178,0)=0,"√","×")))</f>
        <v/>
      </c>
      <c r="M178" s="28">
        <f>IF($B178="","",IF(COUNTIFS(EntryDates,$B178,CalcTime,$C178,CalcBank,$C$5,EntryParty,$D178,EntryDep,$H178,EntryWit,$I178)&gt;1,"تکرار",""))</f>
        <v/>
      </c>
      <c r="N178" s="28">
        <f>IF($P178="","",IF(INDEX(EntryNotes,$P178)=0,"",INDEX(EntryNotes,$P178)))</f>
        <v/>
      </c>
      <c r="O178" s="28">
        <f>IF($P178="","",IF(INDEX(EntryTxnID,$P178)=0,"",INDEX(EntryTxnID,$P178)))</f>
        <v/>
      </c>
      <c r="P178" s="28">
        <f>IFERROR(MATCH($C$5&amp;"|"&amp;RIGHT("000000"&amp;162,6),CalcRankKey,0),"")</f>
        <v/>
      </c>
    </row>
    <row r="179">
      <c r="A179" s="26">
        <f>IF($B179="","",163)</f>
        <v/>
      </c>
      <c r="B179" s="26">
        <f>IF($P179="","",IF(INDEX(CalcNormDate,$P179)=0,"",INDEX(CalcNormDate,$P179)))</f>
        <v/>
      </c>
      <c r="C179" s="26">
        <f>IF($P179="","",IF(INDEX(CalcTime,$P179)=0,"",INDEX(CalcTime,$P179)))</f>
        <v/>
      </c>
      <c r="D179" s="26">
        <f>IF($P179="","",IF(INDEX(EntryParty,$P179)=0,"",INDEX(EntryParty,$P179)))</f>
        <v/>
      </c>
      <c r="E179" s="26">
        <f>IF($P179="","",IF(INDEX(EntryPartyName,$P179)=0,"",INDEX(EntryPartyName,$P179)))</f>
        <v/>
      </c>
      <c r="F179" s="26">
        <f>IF($P179="","",IF(INDEX(EntryPartyType,$P179)=0,"",INDEX(EntryPartyType,$P179)))</f>
        <v/>
      </c>
      <c r="G179" s="26">
        <f>IF($P179="","",IF(INDEX(EntryTxnType,$P179)=0,"",INDEX(EntryTxnType,$P179)))</f>
        <v/>
      </c>
      <c r="H179" s="27">
        <f>IF($P179="","",IF(INDEX(EntryDep,$P179)=0,"",INDEX(EntryDep,$P179)))</f>
        <v/>
      </c>
      <c r="I179" s="27">
        <f>IF($P179="","",IF(INDEX(EntryWit,$P179)=0,"",INDEX(EntryWit,$P179)))</f>
        <v/>
      </c>
      <c r="J179" s="27">
        <f>IF($B179="","",IF($A179=1,$C$7,IF(J178="",0,J178))+IF($H179="",0,$H179)-IF($I179="",0,$I179))</f>
        <v/>
      </c>
      <c r="K179" s="27">
        <f>IF($P179="","",IF(INDEX(EntryMan,$P179)=0,"",INDEX(EntryMan,$P179)))</f>
        <v/>
      </c>
      <c r="L179" s="26">
        <f>IF($B179="","",IF($K179="","—",IF(ROUND($K179-$J179,0)=0,"√","×")))</f>
        <v/>
      </c>
      <c r="M179" s="26">
        <f>IF($B179="","",IF(COUNTIFS(EntryDates,$B179,CalcTime,$C179,CalcBank,$C$5,EntryParty,$D179,EntryDep,$H179,EntryWit,$I179)&gt;1,"تکرار",""))</f>
        <v/>
      </c>
      <c r="N179" s="26">
        <f>IF($P179="","",IF(INDEX(EntryNotes,$P179)=0,"",INDEX(EntryNotes,$P179)))</f>
        <v/>
      </c>
      <c r="O179" s="26">
        <f>IF($P179="","",IF(INDEX(EntryTxnID,$P179)=0,"",INDEX(EntryTxnID,$P179)))</f>
        <v/>
      </c>
      <c r="P179" s="26">
        <f>IFERROR(MATCH($C$5&amp;"|"&amp;RIGHT("000000"&amp;163,6),CalcRankKey,0),"")</f>
        <v/>
      </c>
    </row>
    <row r="180">
      <c r="A180" s="28">
        <f>IF($B180="","",164)</f>
        <v/>
      </c>
      <c r="B180" s="28">
        <f>IF($P180="","",IF(INDEX(CalcNormDate,$P180)=0,"",INDEX(CalcNormDate,$P180)))</f>
        <v/>
      </c>
      <c r="C180" s="28">
        <f>IF($P180="","",IF(INDEX(CalcTime,$P180)=0,"",INDEX(CalcTime,$P180)))</f>
        <v/>
      </c>
      <c r="D180" s="28">
        <f>IF($P180="","",IF(INDEX(EntryParty,$P180)=0,"",INDEX(EntryParty,$P180)))</f>
        <v/>
      </c>
      <c r="E180" s="28">
        <f>IF($P180="","",IF(INDEX(EntryPartyName,$P180)=0,"",INDEX(EntryPartyName,$P180)))</f>
        <v/>
      </c>
      <c r="F180" s="28">
        <f>IF($P180="","",IF(INDEX(EntryPartyType,$P180)=0,"",INDEX(EntryPartyType,$P180)))</f>
        <v/>
      </c>
      <c r="G180" s="28">
        <f>IF($P180="","",IF(INDEX(EntryTxnType,$P180)=0,"",INDEX(EntryTxnType,$P180)))</f>
        <v/>
      </c>
      <c r="H180" s="29">
        <f>IF($P180="","",IF(INDEX(EntryDep,$P180)=0,"",INDEX(EntryDep,$P180)))</f>
        <v/>
      </c>
      <c r="I180" s="29">
        <f>IF($P180="","",IF(INDEX(EntryWit,$P180)=0,"",INDEX(EntryWit,$P180)))</f>
        <v/>
      </c>
      <c r="J180" s="29">
        <f>IF($B180="","",IF($A180=1,$C$7,IF(J179="",0,J179))+IF($H180="",0,$H180)-IF($I180="",0,$I180))</f>
        <v/>
      </c>
      <c r="K180" s="29">
        <f>IF($P180="","",IF(INDEX(EntryMan,$P180)=0,"",INDEX(EntryMan,$P180)))</f>
        <v/>
      </c>
      <c r="L180" s="28">
        <f>IF($B180="","",IF($K180="","—",IF(ROUND($K180-$J180,0)=0,"√","×")))</f>
        <v/>
      </c>
      <c r="M180" s="28">
        <f>IF($B180="","",IF(COUNTIFS(EntryDates,$B180,CalcTime,$C180,CalcBank,$C$5,EntryParty,$D180,EntryDep,$H180,EntryWit,$I180)&gt;1,"تکرار",""))</f>
        <v/>
      </c>
      <c r="N180" s="28">
        <f>IF($P180="","",IF(INDEX(EntryNotes,$P180)=0,"",INDEX(EntryNotes,$P180)))</f>
        <v/>
      </c>
      <c r="O180" s="28">
        <f>IF($P180="","",IF(INDEX(EntryTxnID,$P180)=0,"",INDEX(EntryTxnID,$P180)))</f>
        <v/>
      </c>
      <c r="P180" s="28">
        <f>IFERROR(MATCH($C$5&amp;"|"&amp;RIGHT("000000"&amp;164,6),CalcRankKey,0),"")</f>
        <v/>
      </c>
    </row>
    <row r="181">
      <c r="A181" s="26">
        <f>IF($B181="","",165)</f>
        <v/>
      </c>
      <c r="B181" s="26">
        <f>IF($P181="","",IF(INDEX(CalcNormDate,$P181)=0,"",INDEX(CalcNormDate,$P181)))</f>
        <v/>
      </c>
      <c r="C181" s="26">
        <f>IF($P181="","",IF(INDEX(CalcTime,$P181)=0,"",INDEX(CalcTime,$P181)))</f>
        <v/>
      </c>
      <c r="D181" s="26">
        <f>IF($P181="","",IF(INDEX(EntryParty,$P181)=0,"",INDEX(EntryParty,$P181)))</f>
        <v/>
      </c>
      <c r="E181" s="26">
        <f>IF($P181="","",IF(INDEX(EntryPartyName,$P181)=0,"",INDEX(EntryPartyName,$P181)))</f>
        <v/>
      </c>
      <c r="F181" s="26">
        <f>IF($P181="","",IF(INDEX(EntryPartyType,$P181)=0,"",INDEX(EntryPartyType,$P181)))</f>
        <v/>
      </c>
      <c r="G181" s="26">
        <f>IF($P181="","",IF(INDEX(EntryTxnType,$P181)=0,"",INDEX(EntryTxnType,$P181)))</f>
        <v/>
      </c>
      <c r="H181" s="27">
        <f>IF($P181="","",IF(INDEX(EntryDep,$P181)=0,"",INDEX(EntryDep,$P181)))</f>
        <v/>
      </c>
      <c r="I181" s="27">
        <f>IF($P181="","",IF(INDEX(EntryWit,$P181)=0,"",INDEX(EntryWit,$P181)))</f>
        <v/>
      </c>
      <c r="J181" s="27">
        <f>IF($B181="","",IF($A181=1,$C$7,IF(J180="",0,J180))+IF($H181="",0,$H181)-IF($I181="",0,$I181))</f>
        <v/>
      </c>
      <c r="K181" s="27">
        <f>IF($P181="","",IF(INDEX(EntryMan,$P181)=0,"",INDEX(EntryMan,$P181)))</f>
        <v/>
      </c>
      <c r="L181" s="26">
        <f>IF($B181="","",IF($K181="","—",IF(ROUND($K181-$J181,0)=0,"√","×")))</f>
        <v/>
      </c>
      <c r="M181" s="26">
        <f>IF($B181="","",IF(COUNTIFS(EntryDates,$B181,CalcTime,$C181,CalcBank,$C$5,EntryParty,$D181,EntryDep,$H181,EntryWit,$I181)&gt;1,"تکرار",""))</f>
        <v/>
      </c>
      <c r="N181" s="26">
        <f>IF($P181="","",IF(INDEX(EntryNotes,$P181)=0,"",INDEX(EntryNotes,$P181)))</f>
        <v/>
      </c>
      <c r="O181" s="26">
        <f>IF($P181="","",IF(INDEX(EntryTxnID,$P181)=0,"",INDEX(EntryTxnID,$P181)))</f>
        <v/>
      </c>
      <c r="P181" s="26">
        <f>IFERROR(MATCH($C$5&amp;"|"&amp;RIGHT("000000"&amp;165,6),CalcRankKey,0),"")</f>
        <v/>
      </c>
    </row>
    <row r="182">
      <c r="A182" s="28">
        <f>IF($B182="","",166)</f>
        <v/>
      </c>
      <c r="B182" s="28">
        <f>IF($P182="","",IF(INDEX(CalcNormDate,$P182)=0,"",INDEX(CalcNormDate,$P182)))</f>
        <v/>
      </c>
      <c r="C182" s="28">
        <f>IF($P182="","",IF(INDEX(CalcTime,$P182)=0,"",INDEX(CalcTime,$P182)))</f>
        <v/>
      </c>
      <c r="D182" s="28">
        <f>IF($P182="","",IF(INDEX(EntryParty,$P182)=0,"",INDEX(EntryParty,$P182)))</f>
        <v/>
      </c>
      <c r="E182" s="28">
        <f>IF($P182="","",IF(INDEX(EntryPartyName,$P182)=0,"",INDEX(EntryPartyName,$P182)))</f>
        <v/>
      </c>
      <c r="F182" s="28">
        <f>IF($P182="","",IF(INDEX(EntryPartyType,$P182)=0,"",INDEX(EntryPartyType,$P182)))</f>
        <v/>
      </c>
      <c r="G182" s="28">
        <f>IF($P182="","",IF(INDEX(EntryTxnType,$P182)=0,"",INDEX(EntryTxnType,$P182)))</f>
        <v/>
      </c>
      <c r="H182" s="29">
        <f>IF($P182="","",IF(INDEX(EntryDep,$P182)=0,"",INDEX(EntryDep,$P182)))</f>
        <v/>
      </c>
      <c r="I182" s="29">
        <f>IF($P182="","",IF(INDEX(EntryWit,$P182)=0,"",INDEX(EntryWit,$P182)))</f>
        <v/>
      </c>
      <c r="J182" s="29">
        <f>IF($B182="","",IF($A182=1,$C$7,IF(J181="",0,J181))+IF($H182="",0,$H182)-IF($I182="",0,$I182))</f>
        <v/>
      </c>
      <c r="K182" s="29">
        <f>IF($P182="","",IF(INDEX(EntryMan,$P182)=0,"",INDEX(EntryMan,$P182)))</f>
        <v/>
      </c>
      <c r="L182" s="28">
        <f>IF($B182="","",IF($K182="","—",IF(ROUND($K182-$J182,0)=0,"√","×")))</f>
        <v/>
      </c>
      <c r="M182" s="28">
        <f>IF($B182="","",IF(COUNTIFS(EntryDates,$B182,CalcTime,$C182,CalcBank,$C$5,EntryParty,$D182,EntryDep,$H182,EntryWit,$I182)&gt;1,"تکرار",""))</f>
        <v/>
      </c>
      <c r="N182" s="28">
        <f>IF($P182="","",IF(INDEX(EntryNotes,$P182)=0,"",INDEX(EntryNotes,$P182)))</f>
        <v/>
      </c>
      <c r="O182" s="28">
        <f>IF($P182="","",IF(INDEX(EntryTxnID,$P182)=0,"",INDEX(EntryTxnID,$P182)))</f>
        <v/>
      </c>
      <c r="P182" s="28">
        <f>IFERROR(MATCH($C$5&amp;"|"&amp;RIGHT("000000"&amp;166,6),CalcRankKey,0),"")</f>
        <v/>
      </c>
    </row>
    <row r="183">
      <c r="A183" s="26">
        <f>IF($B183="","",167)</f>
        <v/>
      </c>
      <c r="B183" s="26">
        <f>IF($P183="","",IF(INDEX(CalcNormDate,$P183)=0,"",INDEX(CalcNormDate,$P183)))</f>
        <v/>
      </c>
      <c r="C183" s="26">
        <f>IF($P183="","",IF(INDEX(CalcTime,$P183)=0,"",INDEX(CalcTime,$P183)))</f>
        <v/>
      </c>
      <c r="D183" s="26">
        <f>IF($P183="","",IF(INDEX(EntryParty,$P183)=0,"",INDEX(EntryParty,$P183)))</f>
        <v/>
      </c>
      <c r="E183" s="26">
        <f>IF($P183="","",IF(INDEX(EntryPartyName,$P183)=0,"",INDEX(EntryPartyName,$P183)))</f>
        <v/>
      </c>
      <c r="F183" s="26">
        <f>IF($P183="","",IF(INDEX(EntryPartyType,$P183)=0,"",INDEX(EntryPartyType,$P183)))</f>
        <v/>
      </c>
      <c r="G183" s="26">
        <f>IF($P183="","",IF(INDEX(EntryTxnType,$P183)=0,"",INDEX(EntryTxnType,$P183)))</f>
        <v/>
      </c>
      <c r="H183" s="27">
        <f>IF($P183="","",IF(INDEX(EntryDep,$P183)=0,"",INDEX(EntryDep,$P183)))</f>
        <v/>
      </c>
      <c r="I183" s="27">
        <f>IF($P183="","",IF(INDEX(EntryWit,$P183)=0,"",INDEX(EntryWit,$P183)))</f>
        <v/>
      </c>
      <c r="J183" s="27">
        <f>IF($B183="","",IF($A183=1,$C$7,IF(J182="",0,J182))+IF($H183="",0,$H183)-IF($I183="",0,$I183))</f>
        <v/>
      </c>
      <c r="K183" s="27">
        <f>IF($P183="","",IF(INDEX(EntryMan,$P183)=0,"",INDEX(EntryMan,$P183)))</f>
        <v/>
      </c>
      <c r="L183" s="26">
        <f>IF($B183="","",IF($K183="","—",IF(ROUND($K183-$J183,0)=0,"√","×")))</f>
        <v/>
      </c>
      <c r="M183" s="26">
        <f>IF($B183="","",IF(COUNTIFS(EntryDates,$B183,CalcTime,$C183,CalcBank,$C$5,EntryParty,$D183,EntryDep,$H183,EntryWit,$I183)&gt;1,"تکرار",""))</f>
        <v/>
      </c>
      <c r="N183" s="26">
        <f>IF($P183="","",IF(INDEX(EntryNotes,$P183)=0,"",INDEX(EntryNotes,$P183)))</f>
        <v/>
      </c>
      <c r="O183" s="26">
        <f>IF($P183="","",IF(INDEX(EntryTxnID,$P183)=0,"",INDEX(EntryTxnID,$P183)))</f>
        <v/>
      </c>
      <c r="P183" s="26">
        <f>IFERROR(MATCH($C$5&amp;"|"&amp;RIGHT("000000"&amp;167,6),CalcRankKey,0),"")</f>
        <v/>
      </c>
    </row>
    <row r="184">
      <c r="A184" s="28">
        <f>IF($B184="","",168)</f>
        <v/>
      </c>
      <c r="B184" s="28">
        <f>IF($P184="","",IF(INDEX(CalcNormDate,$P184)=0,"",INDEX(CalcNormDate,$P184)))</f>
        <v/>
      </c>
      <c r="C184" s="28">
        <f>IF($P184="","",IF(INDEX(CalcTime,$P184)=0,"",INDEX(CalcTime,$P184)))</f>
        <v/>
      </c>
      <c r="D184" s="28">
        <f>IF($P184="","",IF(INDEX(EntryParty,$P184)=0,"",INDEX(EntryParty,$P184)))</f>
        <v/>
      </c>
      <c r="E184" s="28">
        <f>IF($P184="","",IF(INDEX(EntryPartyName,$P184)=0,"",INDEX(EntryPartyName,$P184)))</f>
        <v/>
      </c>
      <c r="F184" s="28">
        <f>IF($P184="","",IF(INDEX(EntryPartyType,$P184)=0,"",INDEX(EntryPartyType,$P184)))</f>
        <v/>
      </c>
      <c r="G184" s="28">
        <f>IF($P184="","",IF(INDEX(EntryTxnType,$P184)=0,"",INDEX(EntryTxnType,$P184)))</f>
        <v/>
      </c>
      <c r="H184" s="29">
        <f>IF($P184="","",IF(INDEX(EntryDep,$P184)=0,"",INDEX(EntryDep,$P184)))</f>
        <v/>
      </c>
      <c r="I184" s="29">
        <f>IF($P184="","",IF(INDEX(EntryWit,$P184)=0,"",INDEX(EntryWit,$P184)))</f>
        <v/>
      </c>
      <c r="J184" s="29">
        <f>IF($B184="","",IF($A184=1,$C$7,IF(J183="",0,J183))+IF($H184="",0,$H184)-IF($I184="",0,$I184))</f>
        <v/>
      </c>
      <c r="K184" s="29">
        <f>IF($P184="","",IF(INDEX(EntryMan,$P184)=0,"",INDEX(EntryMan,$P184)))</f>
        <v/>
      </c>
      <c r="L184" s="28">
        <f>IF($B184="","",IF($K184="","—",IF(ROUND($K184-$J184,0)=0,"√","×")))</f>
        <v/>
      </c>
      <c r="M184" s="28">
        <f>IF($B184="","",IF(COUNTIFS(EntryDates,$B184,CalcTime,$C184,CalcBank,$C$5,EntryParty,$D184,EntryDep,$H184,EntryWit,$I184)&gt;1,"تکرار",""))</f>
        <v/>
      </c>
      <c r="N184" s="28">
        <f>IF($P184="","",IF(INDEX(EntryNotes,$P184)=0,"",INDEX(EntryNotes,$P184)))</f>
        <v/>
      </c>
      <c r="O184" s="28">
        <f>IF($P184="","",IF(INDEX(EntryTxnID,$P184)=0,"",INDEX(EntryTxnID,$P184)))</f>
        <v/>
      </c>
      <c r="P184" s="28">
        <f>IFERROR(MATCH($C$5&amp;"|"&amp;RIGHT("000000"&amp;168,6),CalcRankKey,0),"")</f>
        <v/>
      </c>
    </row>
    <row r="185">
      <c r="A185" s="26">
        <f>IF($B185="","",169)</f>
        <v/>
      </c>
      <c r="B185" s="26">
        <f>IF($P185="","",IF(INDEX(CalcNormDate,$P185)=0,"",INDEX(CalcNormDate,$P185)))</f>
        <v/>
      </c>
      <c r="C185" s="26">
        <f>IF($P185="","",IF(INDEX(CalcTime,$P185)=0,"",INDEX(CalcTime,$P185)))</f>
        <v/>
      </c>
      <c r="D185" s="26">
        <f>IF($P185="","",IF(INDEX(EntryParty,$P185)=0,"",INDEX(EntryParty,$P185)))</f>
        <v/>
      </c>
      <c r="E185" s="26">
        <f>IF($P185="","",IF(INDEX(EntryPartyName,$P185)=0,"",INDEX(EntryPartyName,$P185)))</f>
        <v/>
      </c>
      <c r="F185" s="26">
        <f>IF($P185="","",IF(INDEX(EntryPartyType,$P185)=0,"",INDEX(EntryPartyType,$P185)))</f>
        <v/>
      </c>
      <c r="G185" s="26">
        <f>IF($P185="","",IF(INDEX(EntryTxnType,$P185)=0,"",INDEX(EntryTxnType,$P185)))</f>
        <v/>
      </c>
      <c r="H185" s="27">
        <f>IF($P185="","",IF(INDEX(EntryDep,$P185)=0,"",INDEX(EntryDep,$P185)))</f>
        <v/>
      </c>
      <c r="I185" s="27">
        <f>IF($P185="","",IF(INDEX(EntryWit,$P185)=0,"",INDEX(EntryWit,$P185)))</f>
        <v/>
      </c>
      <c r="J185" s="27">
        <f>IF($B185="","",IF($A185=1,$C$7,IF(J184="",0,J184))+IF($H185="",0,$H185)-IF($I185="",0,$I185))</f>
        <v/>
      </c>
      <c r="K185" s="27">
        <f>IF($P185="","",IF(INDEX(EntryMan,$P185)=0,"",INDEX(EntryMan,$P185)))</f>
        <v/>
      </c>
      <c r="L185" s="26">
        <f>IF($B185="","",IF($K185="","—",IF(ROUND($K185-$J185,0)=0,"√","×")))</f>
        <v/>
      </c>
      <c r="M185" s="26">
        <f>IF($B185="","",IF(COUNTIFS(EntryDates,$B185,CalcTime,$C185,CalcBank,$C$5,EntryParty,$D185,EntryDep,$H185,EntryWit,$I185)&gt;1,"تکرار",""))</f>
        <v/>
      </c>
      <c r="N185" s="26">
        <f>IF($P185="","",IF(INDEX(EntryNotes,$P185)=0,"",INDEX(EntryNotes,$P185)))</f>
        <v/>
      </c>
      <c r="O185" s="26">
        <f>IF($P185="","",IF(INDEX(EntryTxnID,$P185)=0,"",INDEX(EntryTxnID,$P185)))</f>
        <v/>
      </c>
      <c r="P185" s="26">
        <f>IFERROR(MATCH($C$5&amp;"|"&amp;RIGHT("000000"&amp;169,6),CalcRankKey,0),"")</f>
        <v/>
      </c>
    </row>
    <row r="186">
      <c r="A186" s="28">
        <f>IF($B186="","",170)</f>
        <v/>
      </c>
      <c r="B186" s="28">
        <f>IF($P186="","",IF(INDEX(CalcNormDate,$P186)=0,"",INDEX(CalcNormDate,$P186)))</f>
        <v/>
      </c>
      <c r="C186" s="28">
        <f>IF($P186="","",IF(INDEX(CalcTime,$P186)=0,"",INDEX(CalcTime,$P186)))</f>
        <v/>
      </c>
      <c r="D186" s="28">
        <f>IF($P186="","",IF(INDEX(EntryParty,$P186)=0,"",INDEX(EntryParty,$P186)))</f>
        <v/>
      </c>
      <c r="E186" s="28">
        <f>IF($P186="","",IF(INDEX(EntryPartyName,$P186)=0,"",INDEX(EntryPartyName,$P186)))</f>
        <v/>
      </c>
      <c r="F186" s="28">
        <f>IF($P186="","",IF(INDEX(EntryPartyType,$P186)=0,"",INDEX(EntryPartyType,$P186)))</f>
        <v/>
      </c>
      <c r="G186" s="28">
        <f>IF($P186="","",IF(INDEX(EntryTxnType,$P186)=0,"",INDEX(EntryTxnType,$P186)))</f>
        <v/>
      </c>
      <c r="H186" s="29">
        <f>IF($P186="","",IF(INDEX(EntryDep,$P186)=0,"",INDEX(EntryDep,$P186)))</f>
        <v/>
      </c>
      <c r="I186" s="29">
        <f>IF($P186="","",IF(INDEX(EntryWit,$P186)=0,"",INDEX(EntryWit,$P186)))</f>
        <v/>
      </c>
      <c r="J186" s="29">
        <f>IF($B186="","",IF($A186=1,$C$7,IF(J185="",0,J185))+IF($H186="",0,$H186)-IF($I186="",0,$I186))</f>
        <v/>
      </c>
      <c r="K186" s="29">
        <f>IF($P186="","",IF(INDEX(EntryMan,$P186)=0,"",INDEX(EntryMan,$P186)))</f>
        <v/>
      </c>
      <c r="L186" s="28">
        <f>IF($B186="","",IF($K186="","—",IF(ROUND($K186-$J186,0)=0,"√","×")))</f>
        <v/>
      </c>
      <c r="M186" s="28">
        <f>IF($B186="","",IF(COUNTIFS(EntryDates,$B186,CalcTime,$C186,CalcBank,$C$5,EntryParty,$D186,EntryDep,$H186,EntryWit,$I186)&gt;1,"تکرار",""))</f>
        <v/>
      </c>
      <c r="N186" s="28">
        <f>IF($P186="","",IF(INDEX(EntryNotes,$P186)=0,"",INDEX(EntryNotes,$P186)))</f>
        <v/>
      </c>
      <c r="O186" s="28">
        <f>IF($P186="","",IF(INDEX(EntryTxnID,$P186)=0,"",INDEX(EntryTxnID,$P186)))</f>
        <v/>
      </c>
      <c r="P186" s="28">
        <f>IFERROR(MATCH($C$5&amp;"|"&amp;RIGHT("000000"&amp;170,6),CalcRankKey,0),"")</f>
        <v/>
      </c>
    </row>
    <row r="187">
      <c r="A187" s="26">
        <f>IF($B187="","",171)</f>
        <v/>
      </c>
      <c r="B187" s="26">
        <f>IF($P187="","",IF(INDEX(CalcNormDate,$P187)=0,"",INDEX(CalcNormDate,$P187)))</f>
        <v/>
      </c>
      <c r="C187" s="26">
        <f>IF($P187="","",IF(INDEX(CalcTime,$P187)=0,"",INDEX(CalcTime,$P187)))</f>
        <v/>
      </c>
      <c r="D187" s="26">
        <f>IF($P187="","",IF(INDEX(EntryParty,$P187)=0,"",INDEX(EntryParty,$P187)))</f>
        <v/>
      </c>
      <c r="E187" s="26">
        <f>IF($P187="","",IF(INDEX(EntryPartyName,$P187)=0,"",INDEX(EntryPartyName,$P187)))</f>
        <v/>
      </c>
      <c r="F187" s="26">
        <f>IF($P187="","",IF(INDEX(EntryPartyType,$P187)=0,"",INDEX(EntryPartyType,$P187)))</f>
        <v/>
      </c>
      <c r="G187" s="26">
        <f>IF($P187="","",IF(INDEX(EntryTxnType,$P187)=0,"",INDEX(EntryTxnType,$P187)))</f>
        <v/>
      </c>
      <c r="H187" s="27">
        <f>IF($P187="","",IF(INDEX(EntryDep,$P187)=0,"",INDEX(EntryDep,$P187)))</f>
        <v/>
      </c>
      <c r="I187" s="27">
        <f>IF($P187="","",IF(INDEX(EntryWit,$P187)=0,"",INDEX(EntryWit,$P187)))</f>
        <v/>
      </c>
      <c r="J187" s="27">
        <f>IF($B187="","",IF($A187=1,$C$7,IF(J186="",0,J186))+IF($H187="",0,$H187)-IF($I187="",0,$I187))</f>
        <v/>
      </c>
      <c r="K187" s="27">
        <f>IF($P187="","",IF(INDEX(EntryMan,$P187)=0,"",INDEX(EntryMan,$P187)))</f>
        <v/>
      </c>
      <c r="L187" s="26">
        <f>IF($B187="","",IF($K187="","—",IF(ROUND($K187-$J187,0)=0,"√","×")))</f>
        <v/>
      </c>
      <c r="M187" s="26">
        <f>IF($B187="","",IF(COUNTIFS(EntryDates,$B187,CalcTime,$C187,CalcBank,$C$5,EntryParty,$D187,EntryDep,$H187,EntryWit,$I187)&gt;1,"تکرار",""))</f>
        <v/>
      </c>
      <c r="N187" s="26">
        <f>IF($P187="","",IF(INDEX(EntryNotes,$P187)=0,"",INDEX(EntryNotes,$P187)))</f>
        <v/>
      </c>
      <c r="O187" s="26">
        <f>IF($P187="","",IF(INDEX(EntryTxnID,$P187)=0,"",INDEX(EntryTxnID,$P187)))</f>
        <v/>
      </c>
      <c r="P187" s="26">
        <f>IFERROR(MATCH($C$5&amp;"|"&amp;RIGHT("000000"&amp;171,6),CalcRankKey,0),"")</f>
        <v/>
      </c>
    </row>
    <row r="188">
      <c r="A188" s="28">
        <f>IF($B188="","",172)</f>
        <v/>
      </c>
      <c r="B188" s="28">
        <f>IF($P188="","",IF(INDEX(CalcNormDate,$P188)=0,"",INDEX(CalcNormDate,$P188)))</f>
        <v/>
      </c>
      <c r="C188" s="28">
        <f>IF($P188="","",IF(INDEX(CalcTime,$P188)=0,"",INDEX(CalcTime,$P188)))</f>
        <v/>
      </c>
      <c r="D188" s="28">
        <f>IF($P188="","",IF(INDEX(EntryParty,$P188)=0,"",INDEX(EntryParty,$P188)))</f>
        <v/>
      </c>
      <c r="E188" s="28">
        <f>IF($P188="","",IF(INDEX(EntryPartyName,$P188)=0,"",INDEX(EntryPartyName,$P188)))</f>
        <v/>
      </c>
      <c r="F188" s="28">
        <f>IF($P188="","",IF(INDEX(EntryPartyType,$P188)=0,"",INDEX(EntryPartyType,$P188)))</f>
        <v/>
      </c>
      <c r="G188" s="28">
        <f>IF($P188="","",IF(INDEX(EntryTxnType,$P188)=0,"",INDEX(EntryTxnType,$P188)))</f>
        <v/>
      </c>
      <c r="H188" s="29">
        <f>IF($P188="","",IF(INDEX(EntryDep,$P188)=0,"",INDEX(EntryDep,$P188)))</f>
        <v/>
      </c>
      <c r="I188" s="29">
        <f>IF($P188="","",IF(INDEX(EntryWit,$P188)=0,"",INDEX(EntryWit,$P188)))</f>
        <v/>
      </c>
      <c r="J188" s="29">
        <f>IF($B188="","",IF($A188=1,$C$7,IF(J187="",0,J187))+IF($H188="",0,$H188)-IF($I188="",0,$I188))</f>
        <v/>
      </c>
      <c r="K188" s="29">
        <f>IF($P188="","",IF(INDEX(EntryMan,$P188)=0,"",INDEX(EntryMan,$P188)))</f>
        <v/>
      </c>
      <c r="L188" s="28">
        <f>IF($B188="","",IF($K188="","—",IF(ROUND($K188-$J188,0)=0,"√","×")))</f>
        <v/>
      </c>
      <c r="M188" s="28">
        <f>IF($B188="","",IF(COUNTIFS(EntryDates,$B188,CalcTime,$C188,CalcBank,$C$5,EntryParty,$D188,EntryDep,$H188,EntryWit,$I188)&gt;1,"تکرار",""))</f>
        <v/>
      </c>
      <c r="N188" s="28">
        <f>IF($P188="","",IF(INDEX(EntryNotes,$P188)=0,"",INDEX(EntryNotes,$P188)))</f>
        <v/>
      </c>
      <c r="O188" s="28">
        <f>IF($P188="","",IF(INDEX(EntryTxnID,$P188)=0,"",INDEX(EntryTxnID,$P188)))</f>
        <v/>
      </c>
      <c r="P188" s="28">
        <f>IFERROR(MATCH($C$5&amp;"|"&amp;RIGHT("000000"&amp;172,6),CalcRankKey,0),"")</f>
        <v/>
      </c>
    </row>
    <row r="189">
      <c r="A189" s="26">
        <f>IF($B189="","",173)</f>
        <v/>
      </c>
      <c r="B189" s="26">
        <f>IF($P189="","",IF(INDEX(CalcNormDate,$P189)=0,"",INDEX(CalcNormDate,$P189)))</f>
        <v/>
      </c>
      <c r="C189" s="26">
        <f>IF($P189="","",IF(INDEX(CalcTime,$P189)=0,"",INDEX(CalcTime,$P189)))</f>
        <v/>
      </c>
      <c r="D189" s="26">
        <f>IF($P189="","",IF(INDEX(EntryParty,$P189)=0,"",INDEX(EntryParty,$P189)))</f>
        <v/>
      </c>
      <c r="E189" s="26">
        <f>IF($P189="","",IF(INDEX(EntryPartyName,$P189)=0,"",INDEX(EntryPartyName,$P189)))</f>
        <v/>
      </c>
      <c r="F189" s="26">
        <f>IF($P189="","",IF(INDEX(EntryPartyType,$P189)=0,"",INDEX(EntryPartyType,$P189)))</f>
        <v/>
      </c>
      <c r="G189" s="26">
        <f>IF($P189="","",IF(INDEX(EntryTxnType,$P189)=0,"",INDEX(EntryTxnType,$P189)))</f>
        <v/>
      </c>
      <c r="H189" s="27">
        <f>IF($P189="","",IF(INDEX(EntryDep,$P189)=0,"",INDEX(EntryDep,$P189)))</f>
        <v/>
      </c>
      <c r="I189" s="27">
        <f>IF($P189="","",IF(INDEX(EntryWit,$P189)=0,"",INDEX(EntryWit,$P189)))</f>
        <v/>
      </c>
      <c r="J189" s="27">
        <f>IF($B189="","",IF($A189=1,$C$7,IF(J188="",0,J188))+IF($H189="",0,$H189)-IF($I189="",0,$I189))</f>
        <v/>
      </c>
      <c r="K189" s="27">
        <f>IF($P189="","",IF(INDEX(EntryMan,$P189)=0,"",INDEX(EntryMan,$P189)))</f>
        <v/>
      </c>
      <c r="L189" s="26">
        <f>IF($B189="","",IF($K189="","—",IF(ROUND($K189-$J189,0)=0,"√","×")))</f>
        <v/>
      </c>
      <c r="M189" s="26">
        <f>IF($B189="","",IF(COUNTIFS(EntryDates,$B189,CalcTime,$C189,CalcBank,$C$5,EntryParty,$D189,EntryDep,$H189,EntryWit,$I189)&gt;1,"تکرار",""))</f>
        <v/>
      </c>
      <c r="N189" s="26">
        <f>IF($P189="","",IF(INDEX(EntryNotes,$P189)=0,"",INDEX(EntryNotes,$P189)))</f>
        <v/>
      </c>
      <c r="O189" s="26">
        <f>IF($P189="","",IF(INDEX(EntryTxnID,$P189)=0,"",INDEX(EntryTxnID,$P189)))</f>
        <v/>
      </c>
      <c r="P189" s="26">
        <f>IFERROR(MATCH($C$5&amp;"|"&amp;RIGHT("000000"&amp;173,6),CalcRankKey,0),"")</f>
        <v/>
      </c>
    </row>
    <row r="190">
      <c r="A190" s="28">
        <f>IF($B190="","",174)</f>
        <v/>
      </c>
      <c r="B190" s="28">
        <f>IF($P190="","",IF(INDEX(CalcNormDate,$P190)=0,"",INDEX(CalcNormDate,$P190)))</f>
        <v/>
      </c>
      <c r="C190" s="28">
        <f>IF($P190="","",IF(INDEX(CalcTime,$P190)=0,"",INDEX(CalcTime,$P190)))</f>
        <v/>
      </c>
      <c r="D190" s="28">
        <f>IF($P190="","",IF(INDEX(EntryParty,$P190)=0,"",INDEX(EntryParty,$P190)))</f>
        <v/>
      </c>
      <c r="E190" s="28">
        <f>IF($P190="","",IF(INDEX(EntryPartyName,$P190)=0,"",INDEX(EntryPartyName,$P190)))</f>
        <v/>
      </c>
      <c r="F190" s="28">
        <f>IF($P190="","",IF(INDEX(EntryPartyType,$P190)=0,"",INDEX(EntryPartyType,$P190)))</f>
        <v/>
      </c>
      <c r="G190" s="28">
        <f>IF($P190="","",IF(INDEX(EntryTxnType,$P190)=0,"",INDEX(EntryTxnType,$P190)))</f>
        <v/>
      </c>
      <c r="H190" s="29">
        <f>IF($P190="","",IF(INDEX(EntryDep,$P190)=0,"",INDEX(EntryDep,$P190)))</f>
        <v/>
      </c>
      <c r="I190" s="29">
        <f>IF($P190="","",IF(INDEX(EntryWit,$P190)=0,"",INDEX(EntryWit,$P190)))</f>
        <v/>
      </c>
      <c r="J190" s="29">
        <f>IF($B190="","",IF($A190=1,$C$7,IF(J189="",0,J189))+IF($H190="",0,$H190)-IF($I190="",0,$I190))</f>
        <v/>
      </c>
      <c r="K190" s="29">
        <f>IF($P190="","",IF(INDEX(EntryMan,$P190)=0,"",INDEX(EntryMan,$P190)))</f>
        <v/>
      </c>
      <c r="L190" s="28">
        <f>IF($B190="","",IF($K190="","—",IF(ROUND($K190-$J190,0)=0,"√","×")))</f>
        <v/>
      </c>
      <c r="M190" s="28">
        <f>IF($B190="","",IF(COUNTIFS(EntryDates,$B190,CalcTime,$C190,CalcBank,$C$5,EntryParty,$D190,EntryDep,$H190,EntryWit,$I190)&gt;1,"تکرار",""))</f>
        <v/>
      </c>
      <c r="N190" s="28">
        <f>IF($P190="","",IF(INDEX(EntryNotes,$P190)=0,"",INDEX(EntryNotes,$P190)))</f>
        <v/>
      </c>
      <c r="O190" s="28">
        <f>IF($P190="","",IF(INDEX(EntryTxnID,$P190)=0,"",INDEX(EntryTxnID,$P190)))</f>
        <v/>
      </c>
      <c r="P190" s="28">
        <f>IFERROR(MATCH($C$5&amp;"|"&amp;RIGHT("000000"&amp;174,6),CalcRankKey,0),"")</f>
        <v/>
      </c>
    </row>
    <row r="191">
      <c r="A191" s="26">
        <f>IF($B191="","",175)</f>
        <v/>
      </c>
      <c r="B191" s="26">
        <f>IF($P191="","",IF(INDEX(CalcNormDate,$P191)=0,"",INDEX(CalcNormDate,$P191)))</f>
        <v/>
      </c>
      <c r="C191" s="26">
        <f>IF($P191="","",IF(INDEX(CalcTime,$P191)=0,"",INDEX(CalcTime,$P191)))</f>
        <v/>
      </c>
      <c r="D191" s="26">
        <f>IF($P191="","",IF(INDEX(EntryParty,$P191)=0,"",INDEX(EntryParty,$P191)))</f>
        <v/>
      </c>
      <c r="E191" s="26">
        <f>IF($P191="","",IF(INDEX(EntryPartyName,$P191)=0,"",INDEX(EntryPartyName,$P191)))</f>
        <v/>
      </c>
      <c r="F191" s="26">
        <f>IF($P191="","",IF(INDEX(EntryPartyType,$P191)=0,"",INDEX(EntryPartyType,$P191)))</f>
        <v/>
      </c>
      <c r="G191" s="26">
        <f>IF($P191="","",IF(INDEX(EntryTxnType,$P191)=0,"",INDEX(EntryTxnType,$P191)))</f>
        <v/>
      </c>
      <c r="H191" s="27">
        <f>IF($P191="","",IF(INDEX(EntryDep,$P191)=0,"",INDEX(EntryDep,$P191)))</f>
        <v/>
      </c>
      <c r="I191" s="27">
        <f>IF($P191="","",IF(INDEX(EntryWit,$P191)=0,"",INDEX(EntryWit,$P191)))</f>
        <v/>
      </c>
      <c r="J191" s="27">
        <f>IF($B191="","",IF($A191=1,$C$7,IF(J190="",0,J190))+IF($H191="",0,$H191)-IF($I191="",0,$I191))</f>
        <v/>
      </c>
      <c r="K191" s="27">
        <f>IF($P191="","",IF(INDEX(EntryMan,$P191)=0,"",INDEX(EntryMan,$P191)))</f>
        <v/>
      </c>
      <c r="L191" s="26">
        <f>IF($B191="","",IF($K191="","—",IF(ROUND($K191-$J191,0)=0,"√","×")))</f>
        <v/>
      </c>
      <c r="M191" s="26">
        <f>IF($B191="","",IF(COUNTIFS(EntryDates,$B191,CalcTime,$C191,CalcBank,$C$5,EntryParty,$D191,EntryDep,$H191,EntryWit,$I191)&gt;1,"تکرار",""))</f>
        <v/>
      </c>
      <c r="N191" s="26">
        <f>IF($P191="","",IF(INDEX(EntryNotes,$P191)=0,"",INDEX(EntryNotes,$P191)))</f>
        <v/>
      </c>
      <c r="O191" s="26">
        <f>IF($P191="","",IF(INDEX(EntryTxnID,$P191)=0,"",INDEX(EntryTxnID,$P191)))</f>
        <v/>
      </c>
      <c r="P191" s="26">
        <f>IFERROR(MATCH($C$5&amp;"|"&amp;RIGHT("000000"&amp;175,6),CalcRankKey,0),"")</f>
        <v/>
      </c>
    </row>
    <row r="192">
      <c r="A192" s="28">
        <f>IF($B192="","",176)</f>
        <v/>
      </c>
      <c r="B192" s="28">
        <f>IF($P192="","",IF(INDEX(CalcNormDate,$P192)=0,"",INDEX(CalcNormDate,$P192)))</f>
        <v/>
      </c>
      <c r="C192" s="28">
        <f>IF($P192="","",IF(INDEX(CalcTime,$P192)=0,"",INDEX(CalcTime,$P192)))</f>
        <v/>
      </c>
      <c r="D192" s="28">
        <f>IF($P192="","",IF(INDEX(EntryParty,$P192)=0,"",INDEX(EntryParty,$P192)))</f>
        <v/>
      </c>
      <c r="E192" s="28">
        <f>IF($P192="","",IF(INDEX(EntryPartyName,$P192)=0,"",INDEX(EntryPartyName,$P192)))</f>
        <v/>
      </c>
      <c r="F192" s="28">
        <f>IF($P192="","",IF(INDEX(EntryPartyType,$P192)=0,"",INDEX(EntryPartyType,$P192)))</f>
        <v/>
      </c>
      <c r="G192" s="28">
        <f>IF($P192="","",IF(INDEX(EntryTxnType,$P192)=0,"",INDEX(EntryTxnType,$P192)))</f>
        <v/>
      </c>
      <c r="H192" s="29">
        <f>IF($P192="","",IF(INDEX(EntryDep,$P192)=0,"",INDEX(EntryDep,$P192)))</f>
        <v/>
      </c>
      <c r="I192" s="29">
        <f>IF($P192="","",IF(INDEX(EntryWit,$P192)=0,"",INDEX(EntryWit,$P192)))</f>
        <v/>
      </c>
      <c r="J192" s="29">
        <f>IF($B192="","",IF($A192=1,$C$7,IF(J191="",0,J191))+IF($H192="",0,$H192)-IF($I192="",0,$I192))</f>
        <v/>
      </c>
      <c r="K192" s="29">
        <f>IF($P192="","",IF(INDEX(EntryMan,$P192)=0,"",INDEX(EntryMan,$P192)))</f>
        <v/>
      </c>
      <c r="L192" s="28">
        <f>IF($B192="","",IF($K192="","—",IF(ROUND($K192-$J192,0)=0,"√","×")))</f>
        <v/>
      </c>
      <c r="M192" s="28">
        <f>IF($B192="","",IF(COUNTIFS(EntryDates,$B192,CalcTime,$C192,CalcBank,$C$5,EntryParty,$D192,EntryDep,$H192,EntryWit,$I192)&gt;1,"تکرار",""))</f>
        <v/>
      </c>
      <c r="N192" s="28">
        <f>IF($P192="","",IF(INDEX(EntryNotes,$P192)=0,"",INDEX(EntryNotes,$P192)))</f>
        <v/>
      </c>
      <c r="O192" s="28">
        <f>IF($P192="","",IF(INDEX(EntryTxnID,$P192)=0,"",INDEX(EntryTxnID,$P192)))</f>
        <v/>
      </c>
      <c r="P192" s="28">
        <f>IFERROR(MATCH($C$5&amp;"|"&amp;RIGHT("000000"&amp;176,6),CalcRankKey,0),"")</f>
        <v/>
      </c>
    </row>
    <row r="193">
      <c r="A193" s="26">
        <f>IF($B193="","",177)</f>
        <v/>
      </c>
      <c r="B193" s="26">
        <f>IF($P193="","",IF(INDEX(CalcNormDate,$P193)=0,"",INDEX(CalcNormDate,$P193)))</f>
        <v/>
      </c>
      <c r="C193" s="26">
        <f>IF($P193="","",IF(INDEX(CalcTime,$P193)=0,"",INDEX(CalcTime,$P193)))</f>
        <v/>
      </c>
      <c r="D193" s="26">
        <f>IF($P193="","",IF(INDEX(EntryParty,$P193)=0,"",INDEX(EntryParty,$P193)))</f>
        <v/>
      </c>
      <c r="E193" s="26">
        <f>IF($P193="","",IF(INDEX(EntryPartyName,$P193)=0,"",INDEX(EntryPartyName,$P193)))</f>
        <v/>
      </c>
      <c r="F193" s="26">
        <f>IF($P193="","",IF(INDEX(EntryPartyType,$P193)=0,"",INDEX(EntryPartyType,$P193)))</f>
        <v/>
      </c>
      <c r="G193" s="26">
        <f>IF($P193="","",IF(INDEX(EntryTxnType,$P193)=0,"",INDEX(EntryTxnType,$P193)))</f>
        <v/>
      </c>
      <c r="H193" s="27">
        <f>IF($P193="","",IF(INDEX(EntryDep,$P193)=0,"",INDEX(EntryDep,$P193)))</f>
        <v/>
      </c>
      <c r="I193" s="27">
        <f>IF($P193="","",IF(INDEX(EntryWit,$P193)=0,"",INDEX(EntryWit,$P193)))</f>
        <v/>
      </c>
      <c r="J193" s="27">
        <f>IF($B193="","",IF($A193=1,$C$7,IF(J192="",0,J192))+IF($H193="",0,$H193)-IF($I193="",0,$I193))</f>
        <v/>
      </c>
      <c r="K193" s="27">
        <f>IF($P193="","",IF(INDEX(EntryMan,$P193)=0,"",INDEX(EntryMan,$P193)))</f>
        <v/>
      </c>
      <c r="L193" s="26">
        <f>IF($B193="","",IF($K193="","—",IF(ROUND($K193-$J193,0)=0,"√","×")))</f>
        <v/>
      </c>
      <c r="M193" s="26">
        <f>IF($B193="","",IF(COUNTIFS(EntryDates,$B193,CalcTime,$C193,CalcBank,$C$5,EntryParty,$D193,EntryDep,$H193,EntryWit,$I193)&gt;1,"تکرار",""))</f>
        <v/>
      </c>
      <c r="N193" s="26">
        <f>IF($P193="","",IF(INDEX(EntryNotes,$P193)=0,"",INDEX(EntryNotes,$P193)))</f>
        <v/>
      </c>
      <c r="O193" s="26">
        <f>IF($P193="","",IF(INDEX(EntryTxnID,$P193)=0,"",INDEX(EntryTxnID,$P193)))</f>
        <v/>
      </c>
      <c r="P193" s="26">
        <f>IFERROR(MATCH($C$5&amp;"|"&amp;RIGHT("000000"&amp;177,6),CalcRankKey,0),"")</f>
        <v/>
      </c>
    </row>
    <row r="194">
      <c r="A194" s="28">
        <f>IF($B194="","",178)</f>
        <v/>
      </c>
      <c r="B194" s="28">
        <f>IF($P194="","",IF(INDEX(CalcNormDate,$P194)=0,"",INDEX(CalcNormDate,$P194)))</f>
        <v/>
      </c>
      <c r="C194" s="28">
        <f>IF($P194="","",IF(INDEX(CalcTime,$P194)=0,"",INDEX(CalcTime,$P194)))</f>
        <v/>
      </c>
      <c r="D194" s="28">
        <f>IF($P194="","",IF(INDEX(EntryParty,$P194)=0,"",INDEX(EntryParty,$P194)))</f>
        <v/>
      </c>
      <c r="E194" s="28">
        <f>IF($P194="","",IF(INDEX(EntryPartyName,$P194)=0,"",INDEX(EntryPartyName,$P194)))</f>
        <v/>
      </c>
      <c r="F194" s="28">
        <f>IF($P194="","",IF(INDEX(EntryPartyType,$P194)=0,"",INDEX(EntryPartyType,$P194)))</f>
        <v/>
      </c>
      <c r="G194" s="28">
        <f>IF($P194="","",IF(INDEX(EntryTxnType,$P194)=0,"",INDEX(EntryTxnType,$P194)))</f>
        <v/>
      </c>
      <c r="H194" s="29">
        <f>IF($P194="","",IF(INDEX(EntryDep,$P194)=0,"",INDEX(EntryDep,$P194)))</f>
        <v/>
      </c>
      <c r="I194" s="29">
        <f>IF($P194="","",IF(INDEX(EntryWit,$P194)=0,"",INDEX(EntryWit,$P194)))</f>
        <v/>
      </c>
      <c r="J194" s="29">
        <f>IF($B194="","",IF($A194=1,$C$7,IF(J193="",0,J193))+IF($H194="",0,$H194)-IF($I194="",0,$I194))</f>
        <v/>
      </c>
      <c r="K194" s="29">
        <f>IF($P194="","",IF(INDEX(EntryMan,$P194)=0,"",INDEX(EntryMan,$P194)))</f>
        <v/>
      </c>
      <c r="L194" s="28">
        <f>IF($B194="","",IF($K194="","—",IF(ROUND($K194-$J194,0)=0,"√","×")))</f>
        <v/>
      </c>
      <c r="M194" s="28">
        <f>IF($B194="","",IF(COUNTIFS(EntryDates,$B194,CalcTime,$C194,CalcBank,$C$5,EntryParty,$D194,EntryDep,$H194,EntryWit,$I194)&gt;1,"تکرار",""))</f>
        <v/>
      </c>
      <c r="N194" s="28">
        <f>IF($P194="","",IF(INDEX(EntryNotes,$P194)=0,"",INDEX(EntryNotes,$P194)))</f>
        <v/>
      </c>
      <c r="O194" s="28">
        <f>IF($P194="","",IF(INDEX(EntryTxnID,$P194)=0,"",INDEX(EntryTxnID,$P194)))</f>
        <v/>
      </c>
      <c r="P194" s="28">
        <f>IFERROR(MATCH($C$5&amp;"|"&amp;RIGHT("000000"&amp;178,6),CalcRankKey,0),"")</f>
        <v/>
      </c>
    </row>
    <row r="195">
      <c r="A195" s="26">
        <f>IF($B195="","",179)</f>
        <v/>
      </c>
      <c r="B195" s="26">
        <f>IF($P195="","",IF(INDEX(CalcNormDate,$P195)=0,"",INDEX(CalcNormDate,$P195)))</f>
        <v/>
      </c>
      <c r="C195" s="26">
        <f>IF($P195="","",IF(INDEX(CalcTime,$P195)=0,"",INDEX(CalcTime,$P195)))</f>
        <v/>
      </c>
      <c r="D195" s="26">
        <f>IF($P195="","",IF(INDEX(EntryParty,$P195)=0,"",INDEX(EntryParty,$P195)))</f>
        <v/>
      </c>
      <c r="E195" s="26">
        <f>IF($P195="","",IF(INDEX(EntryPartyName,$P195)=0,"",INDEX(EntryPartyName,$P195)))</f>
        <v/>
      </c>
      <c r="F195" s="26">
        <f>IF($P195="","",IF(INDEX(EntryPartyType,$P195)=0,"",INDEX(EntryPartyType,$P195)))</f>
        <v/>
      </c>
      <c r="G195" s="26">
        <f>IF($P195="","",IF(INDEX(EntryTxnType,$P195)=0,"",INDEX(EntryTxnType,$P195)))</f>
        <v/>
      </c>
      <c r="H195" s="27">
        <f>IF($P195="","",IF(INDEX(EntryDep,$P195)=0,"",INDEX(EntryDep,$P195)))</f>
        <v/>
      </c>
      <c r="I195" s="27">
        <f>IF($P195="","",IF(INDEX(EntryWit,$P195)=0,"",INDEX(EntryWit,$P195)))</f>
        <v/>
      </c>
      <c r="J195" s="27">
        <f>IF($B195="","",IF($A195=1,$C$7,IF(J194="",0,J194))+IF($H195="",0,$H195)-IF($I195="",0,$I195))</f>
        <v/>
      </c>
      <c r="K195" s="27">
        <f>IF($P195="","",IF(INDEX(EntryMan,$P195)=0,"",INDEX(EntryMan,$P195)))</f>
        <v/>
      </c>
      <c r="L195" s="26">
        <f>IF($B195="","",IF($K195="","—",IF(ROUND($K195-$J195,0)=0,"√","×")))</f>
        <v/>
      </c>
      <c r="M195" s="26">
        <f>IF($B195="","",IF(COUNTIFS(EntryDates,$B195,CalcTime,$C195,CalcBank,$C$5,EntryParty,$D195,EntryDep,$H195,EntryWit,$I195)&gt;1,"تکرار",""))</f>
        <v/>
      </c>
      <c r="N195" s="26">
        <f>IF($P195="","",IF(INDEX(EntryNotes,$P195)=0,"",INDEX(EntryNotes,$P195)))</f>
        <v/>
      </c>
      <c r="O195" s="26">
        <f>IF($P195="","",IF(INDEX(EntryTxnID,$P195)=0,"",INDEX(EntryTxnID,$P195)))</f>
        <v/>
      </c>
      <c r="P195" s="26">
        <f>IFERROR(MATCH($C$5&amp;"|"&amp;RIGHT("000000"&amp;179,6),CalcRankKey,0),"")</f>
        <v/>
      </c>
    </row>
    <row r="196">
      <c r="A196" s="28">
        <f>IF($B196="","",180)</f>
        <v/>
      </c>
      <c r="B196" s="28">
        <f>IF($P196="","",IF(INDEX(CalcNormDate,$P196)=0,"",INDEX(CalcNormDate,$P196)))</f>
        <v/>
      </c>
      <c r="C196" s="28">
        <f>IF($P196="","",IF(INDEX(CalcTime,$P196)=0,"",INDEX(CalcTime,$P196)))</f>
        <v/>
      </c>
      <c r="D196" s="28">
        <f>IF($P196="","",IF(INDEX(EntryParty,$P196)=0,"",INDEX(EntryParty,$P196)))</f>
        <v/>
      </c>
      <c r="E196" s="28">
        <f>IF($P196="","",IF(INDEX(EntryPartyName,$P196)=0,"",INDEX(EntryPartyName,$P196)))</f>
        <v/>
      </c>
      <c r="F196" s="28">
        <f>IF($P196="","",IF(INDEX(EntryPartyType,$P196)=0,"",INDEX(EntryPartyType,$P196)))</f>
        <v/>
      </c>
      <c r="G196" s="28">
        <f>IF($P196="","",IF(INDEX(EntryTxnType,$P196)=0,"",INDEX(EntryTxnType,$P196)))</f>
        <v/>
      </c>
      <c r="H196" s="29">
        <f>IF($P196="","",IF(INDEX(EntryDep,$P196)=0,"",INDEX(EntryDep,$P196)))</f>
        <v/>
      </c>
      <c r="I196" s="29">
        <f>IF($P196="","",IF(INDEX(EntryWit,$P196)=0,"",INDEX(EntryWit,$P196)))</f>
        <v/>
      </c>
      <c r="J196" s="29">
        <f>IF($B196="","",IF($A196=1,$C$7,IF(J195="",0,J195))+IF($H196="",0,$H196)-IF($I196="",0,$I196))</f>
        <v/>
      </c>
      <c r="K196" s="29">
        <f>IF($P196="","",IF(INDEX(EntryMan,$P196)=0,"",INDEX(EntryMan,$P196)))</f>
        <v/>
      </c>
      <c r="L196" s="28">
        <f>IF($B196="","",IF($K196="","—",IF(ROUND($K196-$J196,0)=0,"√","×")))</f>
        <v/>
      </c>
      <c r="M196" s="28">
        <f>IF($B196="","",IF(COUNTIFS(EntryDates,$B196,CalcTime,$C196,CalcBank,$C$5,EntryParty,$D196,EntryDep,$H196,EntryWit,$I196)&gt;1,"تکرار",""))</f>
        <v/>
      </c>
      <c r="N196" s="28">
        <f>IF($P196="","",IF(INDEX(EntryNotes,$P196)=0,"",INDEX(EntryNotes,$P196)))</f>
        <v/>
      </c>
      <c r="O196" s="28">
        <f>IF($P196="","",IF(INDEX(EntryTxnID,$P196)=0,"",INDEX(EntryTxnID,$P196)))</f>
        <v/>
      </c>
      <c r="P196" s="28">
        <f>IFERROR(MATCH($C$5&amp;"|"&amp;RIGHT("000000"&amp;180,6),CalcRankKey,0),"")</f>
        <v/>
      </c>
    </row>
    <row r="197">
      <c r="A197" s="26">
        <f>IF($B197="","",181)</f>
        <v/>
      </c>
      <c r="B197" s="26">
        <f>IF($P197="","",IF(INDEX(CalcNormDate,$P197)=0,"",INDEX(CalcNormDate,$P197)))</f>
        <v/>
      </c>
      <c r="C197" s="26">
        <f>IF($P197="","",IF(INDEX(CalcTime,$P197)=0,"",INDEX(CalcTime,$P197)))</f>
        <v/>
      </c>
      <c r="D197" s="26">
        <f>IF($P197="","",IF(INDEX(EntryParty,$P197)=0,"",INDEX(EntryParty,$P197)))</f>
        <v/>
      </c>
      <c r="E197" s="26">
        <f>IF($P197="","",IF(INDEX(EntryPartyName,$P197)=0,"",INDEX(EntryPartyName,$P197)))</f>
        <v/>
      </c>
      <c r="F197" s="26">
        <f>IF($P197="","",IF(INDEX(EntryPartyType,$P197)=0,"",INDEX(EntryPartyType,$P197)))</f>
        <v/>
      </c>
      <c r="G197" s="26">
        <f>IF($P197="","",IF(INDEX(EntryTxnType,$P197)=0,"",INDEX(EntryTxnType,$P197)))</f>
        <v/>
      </c>
      <c r="H197" s="27">
        <f>IF($P197="","",IF(INDEX(EntryDep,$P197)=0,"",INDEX(EntryDep,$P197)))</f>
        <v/>
      </c>
      <c r="I197" s="27">
        <f>IF($P197="","",IF(INDEX(EntryWit,$P197)=0,"",INDEX(EntryWit,$P197)))</f>
        <v/>
      </c>
      <c r="J197" s="27">
        <f>IF($B197="","",IF($A197=1,$C$7,IF(J196="",0,J196))+IF($H197="",0,$H197)-IF($I197="",0,$I197))</f>
        <v/>
      </c>
      <c r="K197" s="27">
        <f>IF($P197="","",IF(INDEX(EntryMan,$P197)=0,"",INDEX(EntryMan,$P197)))</f>
        <v/>
      </c>
      <c r="L197" s="26">
        <f>IF($B197="","",IF($K197="","—",IF(ROUND($K197-$J197,0)=0,"√","×")))</f>
        <v/>
      </c>
      <c r="M197" s="26">
        <f>IF($B197="","",IF(COUNTIFS(EntryDates,$B197,CalcTime,$C197,CalcBank,$C$5,EntryParty,$D197,EntryDep,$H197,EntryWit,$I197)&gt;1,"تکرار",""))</f>
        <v/>
      </c>
      <c r="N197" s="26">
        <f>IF($P197="","",IF(INDEX(EntryNotes,$P197)=0,"",INDEX(EntryNotes,$P197)))</f>
        <v/>
      </c>
      <c r="O197" s="26">
        <f>IF($P197="","",IF(INDEX(EntryTxnID,$P197)=0,"",INDEX(EntryTxnID,$P197)))</f>
        <v/>
      </c>
      <c r="P197" s="26">
        <f>IFERROR(MATCH($C$5&amp;"|"&amp;RIGHT("000000"&amp;181,6),CalcRankKey,0),"")</f>
        <v/>
      </c>
    </row>
    <row r="198">
      <c r="A198" s="28">
        <f>IF($B198="","",182)</f>
        <v/>
      </c>
      <c r="B198" s="28">
        <f>IF($P198="","",IF(INDEX(CalcNormDate,$P198)=0,"",INDEX(CalcNormDate,$P198)))</f>
        <v/>
      </c>
      <c r="C198" s="28">
        <f>IF($P198="","",IF(INDEX(CalcTime,$P198)=0,"",INDEX(CalcTime,$P198)))</f>
        <v/>
      </c>
      <c r="D198" s="28">
        <f>IF($P198="","",IF(INDEX(EntryParty,$P198)=0,"",INDEX(EntryParty,$P198)))</f>
        <v/>
      </c>
      <c r="E198" s="28">
        <f>IF($P198="","",IF(INDEX(EntryPartyName,$P198)=0,"",INDEX(EntryPartyName,$P198)))</f>
        <v/>
      </c>
      <c r="F198" s="28">
        <f>IF($P198="","",IF(INDEX(EntryPartyType,$P198)=0,"",INDEX(EntryPartyType,$P198)))</f>
        <v/>
      </c>
      <c r="G198" s="28">
        <f>IF($P198="","",IF(INDEX(EntryTxnType,$P198)=0,"",INDEX(EntryTxnType,$P198)))</f>
        <v/>
      </c>
      <c r="H198" s="29">
        <f>IF($P198="","",IF(INDEX(EntryDep,$P198)=0,"",INDEX(EntryDep,$P198)))</f>
        <v/>
      </c>
      <c r="I198" s="29">
        <f>IF($P198="","",IF(INDEX(EntryWit,$P198)=0,"",INDEX(EntryWit,$P198)))</f>
        <v/>
      </c>
      <c r="J198" s="29">
        <f>IF($B198="","",IF($A198=1,$C$7,IF(J197="",0,J197))+IF($H198="",0,$H198)-IF($I198="",0,$I198))</f>
        <v/>
      </c>
      <c r="K198" s="29">
        <f>IF($P198="","",IF(INDEX(EntryMan,$P198)=0,"",INDEX(EntryMan,$P198)))</f>
        <v/>
      </c>
      <c r="L198" s="28">
        <f>IF($B198="","",IF($K198="","—",IF(ROUND($K198-$J198,0)=0,"√","×")))</f>
        <v/>
      </c>
      <c r="M198" s="28">
        <f>IF($B198="","",IF(COUNTIFS(EntryDates,$B198,CalcTime,$C198,CalcBank,$C$5,EntryParty,$D198,EntryDep,$H198,EntryWit,$I198)&gt;1,"تکرار",""))</f>
        <v/>
      </c>
      <c r="N198" s="28">
        <f>IF($P198="","",IF(INDEX(EntryNotes,$P198)=0,"",INDEX(EntryNotes,$P198)))</f>
        <v/>
      </c>
      <c r="O198" s="28">
        <f>IF($P198="","",IF(INDEX(EntryTxnID,$P198)=0,"",INDEX(EntryTxnID,$P198)))</f>
        <v/>
      </c>
      <c r="P198" s="28">
        <f>IFERROR(MATCH($C$5&amp;"|"&amp;RIGHT("000000"&amp;182,6),CalcRankKey,0),"")</f>
        <v/>
      </c>
    </row>
    <row r="199">
      <c r="A199" s="26">
        <f>IF($B199="","",183)</f>
        <v/>
      </c>
      <c r="B199" s="26">
        <f>IF($P199="","",IF(INDEX(CalcNormDate,$P199)=0,"",INDEX(CalcNormDate,$P199)))</f>
        <v/>
      </c>
      <c r="C199" s="26">
        <f>IF($P199="","",IF(INDEX(CalcTime,$P199)=0,"",INDEX(CalcTime,$P199)))</f>
        <v/>
      </c>
      <c r="D199" s="26">
        <f>IF($P199="","",IF(INDEX(EntryParty,$P199)=0,"",INDEX(EntryParty,$P199)))</f>
        <v/>
      </c>
      <c r="E199" s="26">
        <f>IF($P199="","",IF(INDEX(EntryPartyName,$P199)=0,"",INDEX(EntryPartyName,$P199)))</f>
        <v/>
      </c>
      <c r="F199" s="26">
        <f>IF($P199="","",IF(INDEX(EntryPartyType,$P199)=0,"",INDEX(EntryPartyType,$P199)))</f>
        <v/>
      </c>
      <c r="G199" s="26">
        <f>IF($P199="","",IF(INDEX(EntryTxnType,$P199)=0,"",INDEX(EntryTxnType,$P199)))</f>
        <v/>
      </c>
      <c r="H199" s="27">
        <f>IF($P199="","",IF(INDEX(EntryDep,$P199)=0,"",INDEX(EntryDep,$P199)))</f>
        <v/>
      </c>
      <c r="I199" s="27">
        <f>IF($P199="","",IF(INDEX(EntryWit,$P199)=0,"",INDEX(EntryWit,$P199)))</f>
        <v/>
      </c>
      <c r="J199" s="27">
        <f>IF($B199="","",IF($A199=1,$C$7,IF(J198="",0,J198))+IF($H199="",0,$H199)-IF($I199="",0,$I199))</f>
        <v/>
      </c>
      <c r="K199" s="27">
        <f>IF($P199="","",IF(INDEX(EntryMan,$P199)=0,"",INDEX(EntryMan,$P199)))</f>
        <v/>
      </c>
      <c r="L199" s="26">
        <f>IF($B199="","",IF($K199="","—",IF(ROUND($K199-$J199,0)=0,"√","×")))</f>
        <v/>
      </c>
      <c r="M199" s="26">
        <f>IF($B199="","",IF(COUNTIFS(EntryDates,$B199,CalcTime,$C199,CalcBank,$C$5,EntryParty,$D199,EntryDep,$H199,EntryWit,$I199)&gt;1,"تکرار",""))</f>
        <v/>
      </c>
      <c r="N199" s="26">
        <f>IF($P199="","",IF(INDEX(EntryNotes,$P199)=0,"",INDEX(EntryNotes,$P199)))</f>
        <v/>
      </c>
      <c r="O199" s="26">
        <f>IF($P199="","",IF(INDEX(EntryTxnID,$P199)=0,"",INDEX(EntryTxnID,$P199)))</f>
        <v/>
      </c>
      <c r="P199" s="26">
        <f>IFERROR(MATCH($C$5&amp;"|"&amp;RIGHT("000000"&amp;183,6),CalcRankKey,0),"")</f>
        <v/>
      </c>
    </row>
    <row r="200">
      <c r="A200" s="28">
        <f>IF($B200="","",184)</f>
        <v/>
      </c>
      <c r="B200" s="28">
        <f>IF($P200="","",IF(INDEX(CalcNormDate,$P200)=0,"",INDEX(CalcNormDate,$P200)))</f>
        <v/>
      </c>
      <c r="C200" s="28">
        <f>IF($P200="","",IF(INDEX(CalcTime,$P200)=0,"",INDEX(CalcTime,$P200)))</f>
        <v/>
      </c>
      <c r="D200" s="28">
        <f>IF($P200="","",IF(INDEX(EntryParty,$P200)=0,"",INDEX(EntryParty,$P200)))</f>
        <v/>
      </c>
      <c r="E200" s="28">
        <f>IF($P200="","",IF(INDEX(EntryPartyName,$P200)=0,"",INDEX(EntryPartyName,$P200)))</f>
        <v/>
      </c>
      <c r="F200" s="28">
        <f>IF($P200="","",IF(INDEX(EntryPartyType,$P200)=0,"",INDEX(EntryPartyType,$P200)))</f>
        <v/>
      </c>
      <c r="G200" s="28">
        <f>IF($P200="","",IF(INDEX(EntryTxnType,$P200)=0,"",INDEX(EntryTxnType,$P200)))</f>
        <v/>
      </c>
      <c r="H200" s="29">
        <f>IF($P200="","",IF(INDEX(EntryDep,$P200)=0,"",INDEX(EntryDep,$P200)))</f>
        <v/>
      </c>
      <c r="I200" s="29">
        <f>IF($P200="","",IF(INDEX(EntryWit,$P200)=0,"",INDEX(EntryWit,$P200)))</f>
        <v/>
      </c>
      <c r="J200" s="29">
        <f>IF($B200="","",IF($A200=1,$C$7,IF(J199="",0,J199))+IF($H200="",0,$H200)-IF($I200="",0,$I200))</f>
        <v/>
      </c>
      <c r="K200" s="29">
        <f>IF($P200="","",IF(INDEX(EntryMan,$P200)=0,"",INDEX(EntryMan,$P200)))</f>
        <v/>
      </c>
      <c r="L200" s="28">
        <f>IF($B200="","",IF($K200="","—",IF(ROUND($K200-$J200,0)=0,"√","×")))</f>
        <v/>
      </c>
      <c r="M200" s="28">
        <f>IF($B200="","",IF(COUNTIFS(EntryDates,$B200,CalcTime,$C200,CalcBank,$C$5,EntryParty,$D200,EntryDep,$H200,EntryWit,$I200)&gt;1,"تکرار",""))</f>
        <v/>
      </c>
      <c r="N200" s="28">
        <f>IF($P200="","",IF(INDEX(EntryNotes,$P200)=0,"",INDEX(EntryNotes,$P200)))</f>
        <v/>
      </c>
      <c r="O200" s="28">
        <f>IF($P200="","",IF(INDEX(EntryTxnID,$P200)=0,"",INDEX(EntryTxnID,$P200)))</f>
        <v/>
      </c>
      <c r="P200" s="28">
        <f>IFERROR(MATCH($C$5&amp;"|"&amp;RIGHT("000000"&amp;184,6),CalcRankKey,0),"")</f>
        <v/>
      </c>
    </row>
    <row r="201">
      <c r="A201" s="26">
        <f>IF($B201="","",185)</f>
        <v/>
      </c>
      <c r="B201" s="26">
        <f>IF($P201="","",IF(INDEX(CalcNormDate,$P201)=0,"",INDEX(CalcNormDate,$P201)))</f>
        <v/>
      </c>
      <c r="C201" s="26">
        <f>IF($P201="","",IF(INDEX(CalcTime,$P201)=0,"",INDEX(CalcTime,$P201)))</f>
        <v/>
      </c>
      <c r="D201" s="26">
        <f>IF($P201="","",IF(INDEX(EntryParty,$P201)=0,"",INDEX(EntryParty,$P201)))</f>
        <v/>
      </c>
      <c r="E201" s="26">
        <f>IF($P201="","",IF(INDEX(EntryPartyName,$P201)=0,"",INDEX(EntryPartyName,$P201)))</f>
        <v/>
      </c>
      <c r="F201" s="26">
        <f>IF($P201="","",IF(INDEX(EntryPartyType,$P201)=0,"",INDEX(EntryPartyType,$P201)))</f>
        <v/>
      </c>
      <c r="G201" s="26">
        <f>IF($P201="","",IF(INDEX(EntryTxnType,$P201)=0,"",INDEX(EntryTxnType,$P201)))</f>
        <v/>
      </c>
      <c r="H201" s="27">
        <f>IF($P201="","",IF(INDEX(EntryDep,$P201)=0,"",INDEX(EntryDep,$P201)))</f>
        <v/>
      </c>
      <c r="I201" s="27">
        <f>IF($P201="","",IF(INDEX(EntryWit,$P201)=0,"",INDEX(EntryWit,$P201)))</f>
        <v/>
      </c>
      <c r="J201" s="27">
        <f>IF($B201="","",IF($A201=1,$C$7,IF(J200="",0,J200))+IF($H201="",0,$H201)-IF($I201="",0,$I201))</f>
        <v/>
      </c>
      <c r="K201" s="27">
        <f>IF($P201="","",IF(INDEX(EntryMan,$P201)=0,"",INDEX(EntryMan,$P201)))</f>
        <v/>
      </c>
      <c r="L201" s="26">
        <f>IF($B201="","",IF($K201="","—",IF(ROUND($K201-$J201,0)=0,"√","×")))</f>
        <v/>
      </c>
      <c r="M201" s="26">
        <f>IF($B201="","",IF(COUNTIFS(EntryDates,$B201,CalcTime,$C201,CalcBank,$C$5,EntryParty,$D201,EntryDep,$H201,EntryWit,$I201)&gt;1,"تکرار",""))</f>
        <v/>
      </c>
      <c r="N201" s="26">
        <f>IF($P201="","",IF(INDEX(EntryNotes,$P201)=0,"",INDEX(EntryNotes,$P201)))</f>
        <v/>
      </c>
      <c r="O201" s="26">
        <f>IF($P201="","",IF(INDEX(EntryTxnID,$P201)=0,"",INDEX(EntryTxnID,$P201)))</f>
        <v/>
      </c>
      <c r="P201" s="26">
        <f>IFERROR(MATCH($C$5&amp;"|"&amp;RIGHT("000000"&amp;185,6),CalcRankKey,0),"")</f>
        <v/>
      </c>
    </row>
    <row r="202">
      <c r="A202" s="28">
        <f>IF($B202="","",186)</f>
        <v/>
      </c>
      <c r="B202" s="28">
        <f>IF($P202="","",IF(INDEX(CalcNormDate,$P202)=0,"",INDEX(CalcNormDate,$P202)))</f>
        <v/>
      </c>
      <c r="C202" s="28">
        <f>IF($P202="","",IF(INDEX(CalcTime,$P202)=0,"",INDEX(CalcTime,$P202)))</f>
        <v/>
      </c>
      <c r="D202" s="28">
        <f>IF($P202="","",IF(INDEX(EntryParty,$P202)=0,"",INDEX(EntryParty,$P202)))</f>
        <v/>
      </c>
      <c r="E202" s="28">
        <f>IF($P202="","",IF(INDEX(EntryPartyName,$P202)=0,"",INDEX(EntryPartyName,$P202)))</f>
        <v/>
      </c>
      <c r="F202" s="28">
        <f>IF($P202="","",IF(INDEX(EntryPartyType,$P202)=0,"",INDEX(EntryPartyType,$P202)))</f>
        <v/>
      </c>
      <c r="G202" s="28">
        <f>IF($P202="","",IF(INDEX(EntryTxnType,$P202)=0,"",INDEX(EntryTxnType,$P202)))</f>
        <v/>
      </c>
      <c r="H202" s="29">
        <f>IF($P202="","",IF(INDEX(EntryDep,$P202)=0,"",INDEX(EntryDep,$P202)))</f>
        <v/>
      </c>
      <c r="I202" s="29">
        <f>IF($P202="","",IF(INDEX(EntryWit,$P202)=0,"",INDEX(EntryWit,$P202)))</f>
        <v/>
      </c>
      <c r="J202" s="29">
        <f>IF($B202="","",IF($A202=1,$C$7,IF(J201="",0,J201))+IF($H202="",0,$H202)-IF($I202="",0,$I202))</f>
        <v/>
      </c>
      <c r="K202" s="29">
        <f>IF($P202="","",IF(INDEX(EntryMan,$P202)=0,"",INDEX(EntryMan,$P202)))</f>
        <v/>
      </c>
      <c r="L202" s="28">
        <f>IF($B202="","",IF($K202="","—",IF(ROUND($K202-$J202,0)=0,"√","×")))</f>
        <v/>
      </c>
      <c r="M202" s="28">
        <f>IF($B202="","",IF(COUNTIFS(EntryDates,$B202,CalcTime,$C202,CalcBank,$C$5,EntryParty,$D202,EntryDep,$H202,EntryWit,$I202)&gt;1,"تکرار",""))</f>
        <v/>
      </c>
      <c r="N202" s="28">
        <f>IF($P202="","",IF(INDEX(EntryNotes,$P202)=0,"",INDEX(EntryNotes,$P202)))</f>
        <v/>
      </c>
      <c r="O202" s="28">
        <f>IF($P202="","",IF(INDEX(EntryTxnID,$P202)=0,"",INDEX(EntryTxnID,$P202)))</f>
        <v/>
      </c>
      <c r="P202" s="28">
        <f>IFERROR(MATCH($C$5&amp;"|"&amp;RIGHT("000000"&amp;186,6),CalcRankKey,0),"")</f>
        <v/>
      </c>
    </row>
    <row r="203">
      <c r="A203" s="26">
        <f>IF($B203="","",187)</f>
        <v/>
      </c>
      <c r="B203" s="26">
        <f>IF($P203="","",IF(INDEX(CalcNormDate,$P203)=0,"",INDEX(CalcNormDate,$P203)))</f>
        <v/>
      </c>
      <c r="C203" s="26">
        <f>IF($P203="","",IF(INDEX(CalcTime,$P203)=0,"",INDEX(CalcTime,$P203)))</f>
        <v/>
      </c>
      <c r="D203" s="26">
        <f>IF($P203="","",IF(INDEX(EntryParty,$P203)=0,"",INDEX(EntryParty,$P203)))</f>
        <v/>
      </c>
      <c r="E203" s="26">
        <f>IF($P203="","",IF(INDEX(EntryPartyName,$P203)=0,"",INDEX(EntryPartyName,$P203)))</f>
        <v/>
      </c>
      <c r="F203" s="26">
        <f>IF($P203="","",IF(INDEX(EntryPartyType,$P203)=0,"",INDEX(EntryPartyType,$P203)))</f>
        <v/>
      </c>
      <c r="G203" s="26">
        <f>IF($P203="","",IF(INDEX(EntryTxnType,$P203)=0,"",INDEX(EntryTxnType,$P203)))</f>
        <v/>
      </c>
      <c r="H203" s="27">
        <f>IF($P203="","",IF(INDEX(EntryDep,$P203)=0,"",INDEX(EntryDep,$P203)))</f>
        <v/>
      </c>
      <c r="I203" s="27">
        <f>IF($P203="","",IF(INDEX(EntryWit,$P203)=0,"",INDEX(EntryWit,$P203)))</f>
        <v/>
      </c>
      <c r="J203" s="27">
        <f>IF($B203="","",IF($A203=1,$C$7,IF(J202="",0,J202))+IF($H203="",0,$H203)-IF($I203="",0,$I203))</f>
        <v/>
      </c>
      <c r="K203" s="27">
        <f>IF($P203="","",IF(INDEX(EntryMan,$P203)=0,"",INDEX(EntryMan,$P203)))</f>
        <v/>
      </c>
      <c r="L203" s="26">
        <f>IF($B203="","",IF($K203="","—",IF(ROUND($K203-$J203,0)=0,"√","×")))</f>
        <v/>
      </c>
      <c r="M203" s="26">
        <f>IF($B203="","",IF(COUNTIFS(EntryDates,$B203,CalcTime,$C203,CalcBank,$C$5,EntryParty,$D203,EntryDep,$H203,EntryWit,$I203)&gt;1,"تکرار",""))</f>
        <v/>
      </c>
      <c r="N203" s="26">
        <f>IF($P203="","",IF(INDEX(EntryNotes,$P203)=0,"",INDEX(EntryNotes,$P203)))</f>
        <v/>
      </c>
      <c r="O203" s="26">
        <f>IF($P203="","",IF(INDEX(EntryTxnID,$P203)=0,"",INDEX(EntryTxnID,$P203)))</f>
        <v/>
      </c>
      <c r="P203" s="26">
        <f>IFERROR(MATCH($C$5&amp;"|"&amp;RIGHT("000000"&amp;187,6),CalcRankKey,0),"")</f>
        <v/>
      </c>
    </row>
    <row r="204">
      <c r="A204" s="28">
        <f>IF($B204="","",188)</f>
        <v/>
      </c>
      <c r="B204" s="28">
        <f>IF($P204="","",IF(INDEX(CalcNormDate,$P204)=0,"",INDEX(CalcNormDate,$P204)))</f>
        <v/>
      </c>
      <c r="C204" s="28">
        <f>IF($P204="","",IF(INDEX(CalcTime,$P204)=0,"",INDEX(CalcTime,$P204)))</f>
        <v/>
      </c>
      <c r="D204" s="28">
        <f>IF($P204="","",IF(INDEX(EntryParty,$P204)=0,"",INDEX(EntryParty,$P204)))</f>
        <v/>
      </c>
      <c r="E204" s="28">
        <f>IF($P204="","",IF(INDEX(EntryPartyName,$P204)=0,"",INDEX(EntryPartyName,$P204)))</f>
        <v/>
      </c>
      <c r="F204" s="28">
        <f>IF($P204="","",IF(INDEX(EntryPartyType,$P204)=0,"",INDEX(EntryPartyType,$P204)))</f>
        <v/>
      </c>
      <c r="G204" s="28">
        <f>IF($P204="","",IF(INDEX(EntryTxnType,$P204)=0,"",INDEX(EntryTxnType,$P204)))</f>
        <v/>
      </c>
      <c r="H204" s="29">
        <f>IF($P204="","",IF(INDEX(EntryDep,$P204)=0,"",INDEX(EntryDep,$P204)))</f>
        <v/>
      </c>
      <c r="I204" s="29">
        <f>IF($P204="","",IF(INDEX(EntryWit,$P204)=0,"",INDEX(EntryWit,$P204)))</f>
        <v/>
      </c>
      <c r="J204" s="29">
        <f>IF($B204="","",IF($A204=1,$C$7,IF(J203="",0,J203))+IF($H204="",0,$H204)-IF($I204="",0,$I204))</f>
        <v/>
      </c>
      <c r="K204" s="29">
        <f>IF($P204="","",IF(INDEX(EntryMan,$P204)=0,"",INDEX(EntryMan,$P204)))</f>
        <v/>
      </c>
      <c r="L204" s="28">
        <f>IF($B204="","",IF($K204="","—",IF(ROUND($K204-$J204,0)=0,"√","×")))</f>
        <v/>
      </c>
      <c r="M204" s="28">
        <f>IF($B204="","",IF(COUNTIFS(EntryDates,$B204,CalcTime,$C204,CalcBank,$C$5,EntryParty,$D204,EntryDep,$H204,EntryWit,$I204)&gt;1,"تکرار",""))</f>
        <v/>
      </c>
      <c r="N204" s="28">
        <f>IF($P204="","",IF(INDEX(EntryNotes,$P204)=0,"",INDEX(EntryNotes,$P204)))</f>
        <v/>
      </c>
      <c r="O204" s="28">
        <f>IF($P204="","",IF(INDEX(EntryTxnID,$P204)=0,"",INDEX(EntryTxnID,$P204)))</f>
        <v/>
      </c>
      <c r="P204" s="28">
        <f>IFERROR(MATCH($C$5&amp;"|"&amp;RIGHT("000000"&amp;188,6),CalcRankKey,0),"")</f>
        <v/>
      </c>
    </row>
    <row r="205">
      <c r="A205" s="26">
        <f>IF($B205="","",189)</f>
        <v/>
      </c>
      <c r="B205" s="26">
        <f>IF($P205="","",IF(INDEX(CalcNormDate,$P205)=0,"",INDEX(CalcNormDate,$P205)))</f>
        <v/>
      </c>
      <c r="C205" s="26">
        <f>IF($P205="","",IF(INDEX(CalcTime,$P205)=0,"",INDEX(CalcTime,$P205)))</f>
        <v/>
      </c>
      <c r="D205" s="26">
        <f>IF($P205="","",IF(INDEX(EntryParty,$P205)=0,"",INDEX(EntryParty,$P205)))</f>
        <v/>
      </c>
      <c r="E205" s="26">
        <f>IF($P205="","",IF(INDEX(EntryPartyName,$P205)=0,"",INDEX(EntryPartyName,$P205)))</f>
        <v/>
      </c>
      <c r="F205" s="26">
        <f>IF($P205="","",IF(INDEX(EntryPartyType,$P205)=0,"",INDEX(EntryPartyType,$P205)))</f>
        <v/>
      </c>
      <c r="G205" s="26">
        <f>IF($P205="","",IF(INDEX(EntryTxnType,$P205)=0,"",INDEX(EntryTxnType,$P205)))</f>
        <v/>
      </c>
      <c r="H205" s="27">
        <f>IF($P205="","",IF(INDEX(EntryDep,$P205)=0,"",INDEX(EntryDep,$P205)))</f>
        <v/>
      </c>
      <c r="I205" s="27">
        <f>IF($P205="","",IF(INDEX(EntryWit,$P205)=0,"",INDEX(EntryWit,$P205)))</f>
        <v/>
      </c>
      <c r="J205" s="27">
        <f>IF($B205="","",IF($A205=1,$C$7,IF(J204="",0,J204))+IF($H205="",0,$H205)-IF($I205="",0,$I205))</f>
        <v/>
      </c>
      <c r="K205" s="27">
        <f>IF($P205="","",IF(INDEX(EntryMan,$P205)=0,"",INDEX(EntryMan,$P205)))</f>
        <v/>
      </c>
      <c r="L205" s="26">
        <f>IF($B205="","",IF($K205="","—",IF(ROUND($K205-$J205,0)=0,"√","×")))</f>
        <v/>
      </c>
      <c r="M205" s="26">
        <f>IF($B205="","",IF(COUNTIFS(EntryDates,$B205,CalcTime,$C205,CalcBank,$C$5,EntryParty,$D205,EntryDep,$H205,EntryWit,$I205)&gt;1,"تکرار",""))</f>
        <v/>
      </c>
      <c r="N205" s="26">
        <f>IF($P205="","",IF(INDEX(EntryNotes,$P205)=0,"",INDEX(EntryNotes,$P205)))</f>
        <v/>
      </c>
      <c r="O205" s="26">
        <f>IF($P205="","",IF(INDEX(EntryTxnID,$P205)=0,"",INDEX(EntryTxnID,$P205)))</f>
        <v/>
      </c>
      <c r="P205" s="26">
        <f>IFERROR(MATCH($C$5&amp;"|"&amp;RIGHT("000000"&amp;189,6),CalcRankKey,0),"")</f>
        <v/>
      </c>
    </row>
    <row r="206">
      <c r="A206" s="28">
        <f>IF($B206="","",190)</f>
        <v/>
      </c>
      <c r="B206" s="28">
        <f>IF($P206="","",IF(INDEX(CalcNormDate,$P206)=0,"",INDEX(CalcNormDate,$P206)))</f>
        <v/>
      </c>
      <c r="C206" s="28">
        <f>IF($P206="","",IF(INDEX(CalcTime,$P206)=0,"",INDEX(CalcTime,$P206)))</f>
        <v/>
      </c>
      <c r="D206" s="28">
        <f>IF($P206="","",IF(INDEX(EntryParty,$P206)=0,"",INDEX(EntryParty,$P206)))</f>
        <v/>
      </c>
      <c r="E206" s="28">
        <f>IF($P206="","",IF(INDEX(EntryPartyName,$P206)=0,"",INDEX(EntryPartyName,$P206)))</f>
        <v/>
      </c>
      <c r="F206" s="28">
        <f>IF($P206="","",IF(INDEX(EntryPartyType,$P206)=0,"",INDEX(EntryPartyType,$P206)))</f>
        <v/>
      </c>
      <c r="G206" s="28">
        <f>IF($P206="","",IF(INDEX(EntryTxnType,$P206)=0,"",INDEX(EntryTxnType,$P206)))</f>
        <v/>
      </c>
      <c r="H206" s="29">
        <f>IF($P206="","",IF(INDEX(EntryDep,$P206)=0,"",INDEX(EntryDep,$P206)))</f>
        <v/>
      </c>
      <c r="I206" s="29">
        <f>IF($P206="","",IF(INDEX(EntryWit,$P206)=0,"",INDEX(EntryWit,$P206)))</f>
        <v/>
      </c>
      <c r="J206" s="29">
        <f>IF($B206="","",IF($A206=1,$C$7,IF(J205="",0,J205))+IF($H206="",0,$H206)-IF($I206="",0,$I206))</f>
        <v/>
      </c>
      <c r="K206" s="29">
        <f>IF($P206="","",IF(INDEX(EntryMan,$P206)=0,"",INDEX(EntryMan,$P206)))</f>
        <v/>
      </c>
      <c r="L206" s="28">
        <f>IF($B206="","",IF($K206="","—",IF(ROUND($K206-$J206,0)=0,"√","×")))</f>
        <v/>
      </c>
      <c r="M206" s="28">
        <f>IF($B206="","",IF(COUNTIFS(EntryDates,$B206,CalcTime,$C206,CalcBank,$C$5,EntryParty,$D206,EntryDep,$H206,EntryWit,$I206)&gt;1,"تکرار",""))</f>
        <v/>
      </c>
      <c r="N206" s="28">
        <f>IF($P206="","",IF(INDEX(EntryNotes,$P206)=0,"",INDEX(EntryNotes,$P206)))</f>
        <v/>
      </c>
      <c r="O206" s="28">
        <f>IF($P206="","",IF(INDEX(EntryTxnID,$P206)=0,"",INDEX(EntryTxnID,$P206)))</f>
        <v/>
      </c>
      <c r="P206" s="28">
        <f>IFERROR(MATCH($C$5&amp;"|"&amp;RIGHT("000000"&amp;190,6),CalcRankKey,0),"")</f>
        <v/>
      </c>
    </row>
    <row r="207">
      <c r="A207" s="26">
        <f>IF($B207="","",191)</f>
        <v/>
      </c>
      <c r="B207" s="26">
        <f>IF($P207="","",IF(INDEX(CalcNormDate,$P207)=0,"",INDEX(CalcNormDate,$P207)))</f>
        <v/>
      </c>
      <c r="C207" s="26">
        <f>IF($P207="","",IF(INDEX(CalcTime,$P207)=0,"",INDEX(CalcTime,$P207)))</f>
        <v/>
      </c>
      <c r="D207" s="26">
        <f>IF($P207="","",IF(INDEX(EntryParty,$P207)=0,"",INDEX(EntryParty,$P207)))</f>
        <v/>
      </c>
      <c r="E207" s="26">
        <f>IF($P207="","",IF(INDEX(EntryPartyName,$P207)=0,"",INDEX(EntryPartyName,$P207)))</f>
        <v/>
      </c>
      <c r="F207" s="26">
        <f>IF($P207="","",IF(INDEX(EntryPartyType,$P207)=0,"",INDEX(EntryPartyType,$P207)))</f>
        <v/>
      </c>
      <c r="G207" s="26">
        <f>IF($P207="","",IF(INDEX(EntryTxnType,$P207)=0,"",INDEX(EntryTxnType,$P207)))</f>
        <v/>
      </c>
      <c r="H207" s="27">
        <f>IF($P207="","",IF(INDEX(EntryDep,$P207)=0,"",INDEX(EntryDep,$P207)))</f>
        <v/>
      </c>
      <c r="I207" s="27">
        <f>IF($P207="","",IF(INDEX(EntryWit,$P207)=0,"",INDEX(EntryWit,$P207)))</f>
        <v/>
      </c>
      <c r="J207" s="27">
        <f>IF($B207="","",IF($A207=1,$C$7,IF(J206="",0,J206))+IF($H207="",0,$H207)-IF($I207="",0,$I207))</f>
        <v/>
      </c>
      <c r="K207" s="27">
        <f>IF($P207="","",IF(INDEX(EntryMan,$P207)=0,"",INDEX(EntryMan,$P207)))</f>
        <v/>
      </c>
      <c r="L207" s="26">
        <f>IF($B207="","",IF($K207="","—",IF(ROUND($K207-$J207,0)=0,"√","×")))</f>
        <v/>
      </c>
      <c r="M207" s="26">
        <f>IF($B207="","",IF(COUNTIFS(EntryDates,$B207,CalcTime,$C207,CalcBank,$C$5,EntryParty,$D207,EntryDep,$H207,EntryWit,$I207)&gt;1,"تکرار",""))</f>
        <v/>
      </c>
      <c r="N207" s="26">
        <f>IF($P207="","",IF(INDEX(EntryNotes,$P207)=0,"",INDEX(EntryNotes,$P207)))</f>
        <v/>
      </c>
      <c r="O207" s="26">
        <f>IF($P207="","",IF(INDEX(EntryTxnID,$P207)=0,"",INDEX(EntryTxnID,$P207)))</f>
        <v/>
      </c>
      <c r="P207" s="26">
        <f>IFERROR(MATCH($C$5&amp;"|"&amp;RIGHT("000000"&amp;191,6),CalcRankKey,0),"")</f>
        <v/>
      </c>
    </row>
    <row r="208">
      <c r="A208" s="28">
        <f>IF($B208="","",192)</f>
        <v/>
      </c>
      <c r="B208" s="28">
        <f>IF($P208="","",IF(INDEX(CalcNormDate,$P208)=0,"",INDEX(CalcNormDate,$P208)))</f>
        <v/>
      </c>
      <c r="C208" s="28">
        <f>IF($P208="","",IF(INDEX(CalcTime,$P208)=0,"",INDEX(CalcTime,$P208)))</f>
        <v/>
      </c>
      <c r="D208" s="28">
        <f>IF($P208="","",IF(INDEX(EntryParty,$P208)=0,"",INDEX(EntryParty,$P208)))</f>
        <v/>
      </c>
      <c r="E208" s="28">
        <f>IF($P208="","",IF(INDEX(EntryPartyName,$P208)=0,"",INDEX(EntryPartyName,$P208)))</f>
        <v/>
      </c>
      <c r="F208" s="28">
        <f>IF($P208="","",IF(INDEX(EntryPartyType,$P208)=0,"",INDEX(EntryPartyType,$P208)))</f>
        <v/>
      </c>
      <c r="G208" s="28">
        <f>IF($P208="","",IF(INDEX(EntryTxnType,$P208)=0,"",INDEX(EntryTxnType,$P208)))</f>
        <v/>
      </c>
      <c r="H208" s="29">
        <f>IF($P208="","",IF(INDEX(EntryDep,$P208)=0,"",INDEX(EntryDep,$P208)))</f>
        <v/>
      </c>
      <c r="I208" s="29">
        <f>IF($P208="","",IF(INDEX(EntryWit,$P208)=0,"",INDEX(EntryWit,$P208)))</f>
        <v/>
      </c>
      <c r="J208" s="29">
        <f>IF($B208="","",IF($A208=1,$C$7,IF(J207="",0,J207))+IF($H208="",0,$H208)-IF($I208="",0,$I208))</f>
        <v/>
      </c>
      <c r="K208" s="29">
        <f>IF($P208="","",IF(INDEX(EntryMan,$P208)=0,"",INDEX(EntryMan,$P208)))</f>
        <v/>
      </c>
      <c r="L208" s="28">
        <f>IF($B208="","",IF($K208="","—",IF(ROUND($K208-$J208,0)=0,"√","×")))</f>
        <v/>
      </c>
      <c r="M208" s="28">
        <f>IF($B208="","",IF(COUNTIFS(EntryDates,$B208,CalcTime,$C208,CalcBank,$C$5,EntryParty,$D208,EntryDep,$H208,EntryWit,$I208)&gt;1,"تکرار",""))</f>
        <v/>
      </c>
      <c r="N208" s="28">
        <f>IF($P208="","",IF(INDEX(EntryNotes,$P208)=0,"",INDEX(EntryNotes,$P208)))</f>
        <v/>
      </c>
      <c r="O208" s="28">
        <f>IF($P208="","",IF(INDEX(EntryTxnID,$P208)=0,"",INDEX(EntryTxnID,$P208)))</f>
        <v/>
      </c>
      <c r="P208" s="28">
        <f>IFERROR(MATCH($C$5&amp;"|"&amp;RIGHT("000000"&amp;192,6),CalcRankKey,0),"")</f>
        <v/>
      </c>
    </row>
    <row r="209">
      <c r="A209" s="26">
        <f>IF($B209="","",193)</f>
        <v/>
      </c>
      <c r="B209" s="26">
        <f>IF($P209="","",IF(INDEX(CalcNormDate,$P209)=0,"",INDEX(CalcNormDate,$P209)))</f>
        <v/>
      </c>
      <c r="C209" s="26">
        <f>IF($P209="","",IF(INDEX(CalcTime,$P209)=0,"",INDEX(CalcTime,$P209)))</f>
        <v/>
      </c>
      <c r="D209" s="26">
        <f>IF($P209="","",IF(INDEX(EntryParty,$P209)=0,"",INDEX(EntryParty,$P209)))</f>
        <v/>
      </c>
      <c r="E209" s="26">
        <f>IF($P209="","",IF(INDEX(EntryPartyName,$P209)=0,"",INDEX(EntryPartyName,$P209)))</f>
        <v/>
      </c>
      <c r="F209" s="26">
        <f>IF($P209="","",IF(INDEX(EntryPartyType,$P209)=0,"",INDEX(EntryPartyType,$P209)))</f>
        <v/>
      </c>
      <c r="G209" s="26">
        <f>IF($P209="","",IF(INDEX(EntryTxnType,$P209)=0,"",INDEX(EntryTxnType,$P209)))</f>
        <v/>
      </c>
      <c r="H209" s="27">
        <f>IF($P209="","",IF(INDEX(EntryDep,$P209)=0,"",INDEX(EntryDep,$P209)))</f>
        <v/>
      </c>
      <c r="I209" s="27">
        <f>IF($P209="","",IF(INDEX(EntryWit,$P209)=0,"",INDEX(EntryWit,$P209)))</f>
        <v/>
      </c>
      <c r="J209" s="27">
        <f>IF($B209="","",IF($A209=1,$C$7,IF(J208="",0,J208))+IF($H209="",0,$H209)-IF($I209="",0,$I209))</f>
        <v/>
      </c>
      <c r="K209" s="27">
        <f>IF($P209="","",IF(INDEX(EntryMan,$P209)=0,"",INDEX(EntryMan,$P209)))</f>
        <v/>
      </c>
      <c r="L209" s="26">
        <f>IF($B209="","",IF($K209="","—",IF(ROUND($K209-$J209,0)=0,"√","×")))</f>
        <v/>
      </c>
      <c r="M209" s="26">
        <f>IF($B209="","",IF(COUNTIFS(EntryDates,$B209,CalcTime,$C209,CalcBank,$C$5,EntryParty,$D209,EntryDep,$H209,EntryWit,$I209)&gt;1,"تکرار",""))</f>
        <v/>
      </c>
      <c r="N209" s="26">
        <f>IF($P209="","",IF(INDEX(EntryNotes,$P209)=0,"",INDEX(EntryNotes,$P209)))</f>
        <v/>
      </c>
      <c r="O209" s="26">
        <f>IF($P209="","",IF(INDEX(EntryTxnID,$P209)=0,"",INDEX(EntryTxnID,$P209)))</f>
        <v/>
      </c>
      <c r="P209" s="26">
        <f>IFERROR(MATCH($C$5&amp;"|"&amp;RIGHT("000000"&amp;193,6),CalcRankKey,0),"")</f>
        <v/>
      </c>
    </row>
    <row r="210">
      <c r="A210" s="28">
        <f>IF($B210="","",194)</f>
        <v/>
      </c>
      <c r="B210" s="28">
        <f>IF($P210="","",IF(INDEX(CalcNormDate,$P210)=0,"",INDEX(CalcNormDate,$P210)))</f>
        <v/>
      </c>
      <c r="C210" s="28">
        <f>IF($P210="","",IF(INDEX(CalcTime,$P210)=0,"",INDEX(CalcTime,$P210)))</f>
        <v/>
      </c>
      <c r="D210" s="28">
        <f>IF($P210="","",IF(INDEX(EntryParty,$P210)=0,"",INDEX(EntryParty,$P210)))</f>
        <v/>
      </c>
      <c r="E210" s="28">
        <f>IF($P210="","",IF(INDEX(EntryPartyName,$P210)=0,"",INDEX(EntryPartyName,$P210)))</f>
        <v/>
      </c>
      <c r="F210" s="28">
        <f>IF($P210="","",IF(INDEX(EntryPartyType,$P210)=0,"",INDEX(EntryPartyType,$P210)))</f>
        <v/>
      </c>
      <c r="G210" s="28">
        <f>IF($P210="","",IF(INDEX(EntryTxnType,$P210)=0,"",INDEX(EntryTxnType,$P210)))</f>
        <v/>
      </c>
      <c r="H210" s="29">
        <f>IF($P210="","",IF(INDEX(EntryDep,$P210)=0,"",INDEX(EntryDep,$P210)))</f>
        <v/>
      </c>
      <c r="I210" s="29">
        <f>IF($P210="","",IF(INDEX(EntryWit,$P210)=0,"",INDEX(EntryWit,$P210)))</f>
        <v/>
      </c>
      <c r="J210" s="29">
        <f>IF($B210="","",IF($A210=1,$C$7,IF(J209="",0,J209))+IF($H210="",0,$H210)-IF($I210="",0,$I210))</f>
        <v/>
      </c>
      <c r="K210" s="29">
        <f>IF($P210="","",IF(INDEX(EntryMan,$P210)=0,"",INDEX(EntryMan,$P210)))</f>
        <v/>
      </c>
      <c r="L210" s="28">
        <f>IF($B210="","",IF($K210="","—",IF(ROUND($K210-$J210,0)=0,"√","×")))</f>
        <v/>
      </c>
      <c r="M210" s="28">
        <f>IF($B210="","",IF(COUNTIFS(EntryDates,$B210,CalcTime,$C210,CalcBank,$C$5,EntryParty,$D210,EntryDep,$H210,EntryWit,$I210)&gt;1,"تکرار",""))</f>
        <v/>
      </c>
      <c r="N210" s="28">
        <f>IF($P210="","",IF(INDEX(EntryNotes,$P210)=0,"",INDEX(EntryNotes,$P210)))</f>
        <v/>
      </c>
      <c r="O210" s="28">
        <f>IF($P210="","",IF(INDEX(EntryTxnID,$P210)=0,"",INDEX(EntryTxnID,$P210)))</f>
        <v/>
      </c>
      <c r="P210" s="28">
        <f>IFERROR(MATCH($C$5&amp;"|"&amp;RIGHT("000000"&amp;194,6),CalcRankKey,0),"")</f>
        <v/>
      </c>
    </row>
    <row r="211">
      <c r="A211" s="26">
        <f>IF($B211="","",195)</f>
        <v/>
      </c>
      <c r="B211" s="26">
        <f>IF($P211="","",IF(INDEX(CalcNormDate,$P211)=0,"",INDEX(CalcNormDate,$P211)))</f>
        <v/>
      </c>
      <c r="C211" s="26">
        <f>IF($P211="","",IF(INDEX(CalcTime,$P211)=0,"",INDEX(CalcTime,$P211)))</f>
        <v/>
      </c>
      <c r="D211" s="26">
        <f>IF($P211="","",IF(INDEX(EntryParty,$P211)=0,"",INDEX(EntryParty,$P211)))</f>
        <v/>
      </c>
      <c r="E211" s="26">
        <f>IF($P211="","",IF(INDEX(EntryPartyName,$P211)=0,"",INDEX(EntryPartyName,$P211)))</f>
        <v/>
      </c>
      <c r="F211" s="26">
        <f>IF($P211="","",IF(INDEX(EntryPartyType,$P211)=0,"",INDEX(EntryPartyType,$P211)))</f>
        <v/>
      </c>
      <c r="G211" s="26">
        <f>IF($P211="","",IF(INDEX(EntryTxnType,$P211)=0,"",INDEX(EntryTxnType,$P211)))</f>
        <v/>
      </c>
      <c r="H211" s="27">
        <f>IF($P211="","",IF(INDEX(EntryDep,$P211)=0,"",INDEX(EntryDep,$P211)))</f>
        <v/>
      </c>
      <c r="I211" s="27">
        <f>IF($P211="","",IF(INDEX(EntryWit,$P211)=0,"",INDEX(EntryWit,$P211)))</f>
        <v/>
      </c>
      <c r="J211" s="27">
        <f>IF($B211="","",IF($A211=1,$C$7,IF(J210="",0,J210))+IF($H211="",0,$H211)-IF($I211="",0,$I211))</f>
        <v/>
      </c>
      <c r="K211" s="27">
        <f>IF($P211="","",IF(INDEX(EntryMan,$P211)=0,"",INDEX(EntryMan,$P211)))</f>
        <v/>
      </c>
      <c r="L211" s="26">
        <f>IF($B211="","",IF($K211="","—",IF(ROUND($K211-$J211,0)=0,"√","×")))</f>
        <v/>
      </c>
      <c r="M211" s="26">
        <f>IF($B211="","",IF(COUNTIFS(EntryDates,$B211,CalcTime,$C211,CalcBank,$C$5,EntryParty,$D211,EntryDep,$H211,EntryWit,$I211)&gt;1,"تکرار",""))</f>
        <v/>
      </c>
      <c r="N211" s="26">
        <f>IF($P211="","",IF(INDEX(EntryNotes,$P211)=0,"",INDEX(EntryNotes,$P211)))</f>
        <v/>
      </c>
      <c r="O211" s="26">
        <f>IF($P211="","",IF(INDEX(EntryTxnID,$P211)=0,"",INDEX(EntryTxnID,$P211)))</f>
        <v/>
      </c>
      <c r="P211" s="26">
        <f>IFERROR(MATCH($C$5&amp;"|"&amp;RIGHT("000000"&amp;195,6),CalcRankKey,0),"")</f>
        <v/>
      </c>
    </row>
    <row r="212">
      <c r="A212" s="28">
        <f>IF($B212="","",196)</f>
        <v/>
      </c>
      <c r="B212" s="28">
        <f>IF($P212="","",IF(INDEX(CalcNormDate,$P212)=0,"",INDEX(CalcNormDate,$P212)))</f>
        <v/>
      </c>
      <c r="C212" s="28">
        <f>IF($P212="","",IF(INDEX(CalcTime,$P212)=0,"",INDEX(CalcTime,$P212)))</f>
        <v/>
      </c>
      <c r="D212" s="28">
        <f>IF($P212="","",IF(INDEX(EntryParty,$P212)=0,"",INDEX(EntryParty,$P212)))</f>
        <v/>
      </c>
      <c r="E212" s="28">
        <f>IF($P212="","",IF(INDEX(EntryPartyName,$P212)=0,"",INDEX(EntryPartyName,$P212)))</f>
        <v/>
      </c>
      <c r="F212" s="28">
        <f>IF($P212="","",IF(INDEX(EntryPartyType,$P212)=0,"",INDEX(EntryPartyType,$P212)))</f>
        <v/>
      </c>
      <c r="G212" s="28">
        <f>IF($P212="","",IF(INDEX(EntryTxnType,$P212)=0,"",INDEX(EntryTxnType,$P212)))</f>
        <v/>
      </c>
      <c r="H212" s="29">
        <f>IF($P212="","",IF(INDEX(EntryDep,$P212)=0,"",INDEX(EntryDep,$P212)))</f>
        <v/>
      </c>
      <c r="I212" s="29">
        <f>IF($P212="","",IF(INDEX(EntryWit,$P212)=0,"",INDEX(EntryWit,$P212)))</f>
        <v/>
      </c>
      <c r="J212" s="29">
        <f>IF($B212="","",IF($A212=1,$C$7,IF(J211="",0,J211))+IF($H212="",0,$H212)-IF($I212="",0,$I212))</f>
        <v/>
      </c>
      <c r="K212" s="29">
        <f>IF($P212="","",IF(INDEX(EntryMan,$P212)=0,"",INDEX(EntryMan,$P212)))</f>
        <v/>
      </c>
      <c r="L212" s="28">
        <f>IF($B212="","",IF($K212="","—",IF(ROUND($K212-$J212,0)=0,"√","×")))</f>
        <v/>
      </c>
      <c r="M212" s="28">
        <f>IF($B212="","",IF(COUNTIFS(EntryDates,$B212,CalcTime,$C212,CalcBank,$C$5,EntryParty,$D212,EntryDep,$H212,EntryWit,$I212)&gt;1,"تکرار",""))</f>
        <v/>
      </c>
      <c r="N212" s="28">
        <f>IF($P212="","",IF(INDEX(EntryNotes,$P212)=0,"",INDEX(EntryNotes,$P212)))</f>
        <v/>
      </c>
      <c r="O212" s="28">
        <f>IF($P212="","",IF(INDEX(EntryTxnID,$P212)=0,"",INDEX(EntryTxnID,$P212)))</f>
        <v/>
      </c>
      <c r="P212" s="28">
        <f>IFERROR(MATCH($C$5&amp;"|"&amp;RIGHT("000000"&amp;196,6),CalcRankKey,0),"")</f>
        <v/>
      </c>
    </row>
    <row r="213">
      <c r="A213" s="26">
        <f>IF($B213="","",197)</f>
        <v/>
      </c>
      <c r="B213" s="26">
        <f>IF($P213="","",IF(INDEX(CalcNormDate,$P213)=0,"",INDEX(CalcNormDate,$P213)))</f>
        <v/>
      </c>
      <c r="C213" s="26">
        <f>IF($P213="","",IF(INDEX(CalcTime,$P213)=0,"",INDEX(CalcTime,$P213)))</f>
        <v/>
      </c>
      <c r="D213" s="26">
        <f>IF($P213="","",IF(INDEX(EntryParty,$P213)=0,"",INDEX(EntryParty,$P213)))</f>
        <v/>
      </c>
      <c r="E213" s="26">
        <f>IF($P213="","",IF(INDEX(EntryPartyName,$P213)=0,"",INDEX(EntryPartyName,$P213)))</f>
        <v/>
      </c>
      <c r="F213" s="26">
        <f>IF($P213="","",IF(INDEX(EntryPartyType,$P213)=0,"",INDEX(EntryPartyType,$P213)))</f>
        <v/>
      </c>
      <c r="G213" s="26">
        <f>IF($P213="","",IF(INDEX(EntryTxnType,$P213)=0,"",INDEX(EntryTxnType,$P213)))</f>
        <v/>
      </c>
      <c r="H213" s="27">
        <f>IF($P213="","",IF(INDEX(EntryDep,$P213)=0,"",INDEX(EntryDep,$P213)))</f>
        <v/>
      </c>
      <c r="I213" s="27">
        <f>IF($P213="","",IF(INDEX(EntryWit,$P213)=0,"",INDEX(EntryWit,$P213)))</f>
        <v/>
      </c>
      <c r="J213" s="27">
        <f>IF($B213="","",IF($A213=1,$C$7,IF(J212="",0,J212))+IF($H213="",0,$H213)-IF($I213="",0,$I213))</f>
        <v/>
      </c>
      <c r="K213" s="27">
        <f>IF($P213="","",IF(INDEX(EntryMan,$P213)=0,"",INDEX(EntryMan,$P213)))</f>
        <v/>
      </c>
      <c r="L213" s="26">
        <f>IF($B213="","",IF($K213="","—",IF(ROUND($K213-$J213,0)=0,"√","×")))</f>
        <v/>
      </c>
      <c r="M213" s="26">
        <f>IF($B213="","",IF(COUNTIFS(EntryDates,$B213,CalcTime,$C213,CalcBank,$C$5,EntryParty,$D213,EntryDep,$H213,EntryWit,$I213)&gt;1,"تکرار",""))</f>
        <v/>
      </c>
      <c r="N213" s="26">
        <f>IF($P213="","",IF(INDEX(EntryNotes,$P213)=0,"",INDEX(EntryNotes,$P213)))</f>
        <v/>
      </c>
      <c r="O213" s="26">
        <f>IF($P213="","",IF(INDEX(EntryTxnID,$P213)=0,"",INDEX(EntryTxnID,$P213)))</f>
        <v/>
      </c>
      <c r="P213" s="26">
        <f>IFERROR(MATCH($C$5&amp;"|"&amp;RIGHT("000000"&amp;197,6),CalcRankKey,0),"")</f>
        <v/>
      </c>
    </row>
    <row r="214">
      <c r="A214" s="28">
        <f>IF($B214="","",198)</f>
        <v/>
      </c>
      <c r="B214" s="28">
        <f>IF($P214="","",IF(INDEX(CalcNormDate,$P214)=0,"",INDEX(CalcNormDate,$P214)))</f>
        <v/>
      </c>
      <c r="C214" s="28">
        <f>IF($P214="","",IF(INDEX(CalcTime,$P214)=0,"",INDEX(CalcTime,$P214)))</f>
        <v/>
      </c>
      <c r="D214" s="28">
        <f>IF($P214="","",IF(INDEX(EntryParty,$P214)=0,"",INDEX(EntryParty,$P214)))</f>
        <v/>
      </c>
      <c r="E214" s="28">
        <f>IF($P214="","",IF(INDEX(EntryPartyName,$P214)=0,"",INDEX(EntryPartyName,$P214)))</f>
        <v/>
      </c>
      <c r="F214" s="28">
        <f>IF($P214="","",IF(INDEX(EntryPartyType,$P214)=0,"",INDEX(EntryPartyType,$P214)))</f>
        <v/>
      </c>
      <c r="G214" s="28">
        <f>IF($P214="","",IF(INDEX(EntryTxnType,$P214)=0,"",INDEX(EntryTxnType,$P214)))</f>
        <v/>
      </c>
      <c r="H214" s="29">
        <f>IF($P214="","",IF(INDEX(EntryDep,$P214)=0,"",INDEX(EntryDep,$P214)))</f>
        <v/>
      </c>
      <c r="I214" s="29">
        <f>IF($P214="","",IF(INDEX(EntryWit,$P214)=0,"",INDEX(EntryWit,$P214)))</f>
        <v/>
      </c>
      <c r="J214" s="29">
        <f>IF($B214="","",IF($A214=1,$C$7,IF(J213="",0,J213))+IF($H214="",0,$H214)-IF($I214="",0,$I214))</f>
        <v/>
      </c>
      <c r="K214" s="29">
        <f>IF($P214="","",IF(INDEX(EntryMan,$P214)=0,"",INDEX(EntryMan,$P214)))</f>
        <v/>
      </c>
      <c r="L214" s="28">
        <f>IF($B214="","",IF($K214="","—",IF(ROUND($K214-$J214,0)=0,"√","×")))</f>
        <v/>
      </c>
      <c r="M214" s="28">
        <f>IF($B214="","",IF(COUNTIFS(EntryDates,$B214,CalcTime,$C214,CalcBank,$C$5,EntryParty,$D214,EntryDep,$H214,EntryWit,$I214)&gt;1,"تکرار",""))</f>
        <v/>
      </c>
      <c r="N214" s="28">
        <f>IF($P214="","",IF(INDEX(EntryNotes,$P214)=0,"",INDEX(EntryNotes,$P214)))</f>
        <v/>
      </c>
      <c r="O214" s="28">
        <f>IF($P214="","",IF(INDEX(EntryTxnID,$P214)=0,"",INDEX(EntryTxnID,$P214)))</f>
        <v/>
      </c>
      <c r="P214" s="28">
        <f>IFERROR(MATCH($C$5&amp;"|"&amp;RIGHT("000000"&amp;198,6),CalcRankKey,0),"")</f>
        <v/>
      </c>
    </row>
    <row r="215">
      <c r="A215" s="26">
        <f>IF($B215="","",199)</f>
        <v/>
      </c>
      <c r="B215" s="26">
        <f>IF($P215="","",IF(INDEX(CalcNormDate,$P215)=0,"",INDEX(CalcNormDate,$P215)))</f>
        <v/>
      </c>
      <c r="C215" s="26">
        <f>IF($P215="","",IF(INDEX(CalcTime,$P215)=0,"",INDEX(CalcTime,$P215)))</f>
        <v/>
      </c>
      <c r="D215" s="26">
        <f>IF($P215="","",IF(INDEX(EntryParty,$P215)=0,"",INDEX(EntryParty,$P215)))</f>
        <v/>
      </c>
      <c r="E215" s="26">
        <f>IF($P215="","",IF(INDEX(EntryPartyName,$P215)=0,"",INDEX(EntryPartyName,$P215)))</f>
        <v/>
      </c>
      <c r="F215" s="26">
        <f>IF($P215="","",IF(INDEX(EntryPartyType,$P215)=0,"",INDEX(EntryPartyType,$P215)))</f>
        <v/>
      </c>
      <c r="G215" s="26">
        <f>IF($P215="","",IF(INDEX(EntryTxnType,$P215)=0,"",INDEX(EntryTxnType,$P215)))</f>
        <v/>
      </c>
      <c r="H215" s="27">
        <f>IF($P215="","",IF(INDEX(EntryDep,$P215)=0,"",INDEX(EntryDep,$P215)))</f>
        <v/>
      </c>
      <c r="I215" s="27">
        <f>IF($P215="","",IF(INDEX(EntryWit,$P215)=0,"",INDEX(EntryWit,$P215)))</f>
        <v/>
      </c>
      <c r="J215" s="27">
        <f>IF($B215="","",IF($A215=1,$C$7,IF(J214="",0,J214))+IF($H215="",0,$H215)-IF($I215="",0,$I215))</f>
        <v/>
      </c>
      <c r="K215" s="27">
        <f>IF($P215="","",IF(INDEX(EntryMan,$P215)=0,"",INDEX(EntryMan,$P215)))</f>
        <v/>
      </c>
      <c r="L215" s="26">
        <f>IF($B215="","",IF($K215="","—",IF(ROUND($K215-$J215,0)=0,"√","×")))</f>
        <v/>
      </c>
      <c r="M215" s="26">
        <f>IF($B215="","",IF(COUNTIFS(EntryDates,$B215,CalcTime,$C215,CalcBank,$C$5,EntryParty,$D215,EntryDep,$H215,EntryWit,$I215)&gt;1,"تکرار",""))</f>
        <v/>
      </c>
      <c r="N215" s="26">
        <f>IF($P215="","",IF(INDEX(EntryNotes,$P215)=0,"",INDEX(EntryNotes,$P215)))</f>
        <v/>
      </c>
      <c r="O215" s="26">
        <f>IF($P215="","",IF(INDEX(EntryTxnID,$P215)=0,"",INDEX(EntryTxnID,$P215)))</f>
        <v/>
      </c>
      <c r="P215" s="26">
        <f>IFERROR(MATCH($C$5&amp;"|"&amp;RIGHT("000000"&amp;199,6),CalcRankKey,0),"")</f>
        <v/>
      </c>
    </row>
    <row r="216">
      <c r="A216" s="28">
        <f>IF($B216="","",200)</f>
        <v/>
      </c>
      <c r="B216" s="28">
        <f>IF($P216="","",IF(INDEX(CalcNormDate,$P216)=0,"",INDEX(CalcNormDate,$P216)))</f>
        <v/>
      </c>
      <c r="C216" s="28">
        <f>IF($P216="","",IF(INDEX(CalcTime,$P216)=0,"",INDEX(CalcTime,$P216)))</f>
        <v/>
      </c>
      <c r="D216" s="28">
        <f>IF($P216="","",IF(INDEX(EntryParty,$P216)=0,"",INDEX(EntryParty,$P216)))</f>
        <v/>
      </c>
      <c r="E216" s="28">
        <f>IF($P216="","",IF(INDEX(EntryPartyName,$P216)=0,"",INDEX(EntryPartyName,$P216)))</f>
        <v/>
      </c>
      <c r="F216" s="28">
        <f>IF($P216="","",IF(INDEX(EntryPartyType,$P216)=0,"",INDEX(EntryPartyType,$P216)))</f>
        <v/>
      </c>
      <c r="G216" s="28">
        <f>IF($P216="","",IF(INDEX(EntryTxnType,$P216)=0,"",INDEX(EntryTxnType,$P216)))</f>
        <v/>
      </c>
      <c r="H216" s="29">
        <f>IF($P216="","",IF(INDEX(EntryDep,$P216)=0,"",INDEX(EntryDep,$P216)))</f>
        <v/>
      </c>
      <c r="I216" s="29">
        <f>IF($P216="","",IF(INDEX(EntryWit,$P216)=0,"",INDEX(EntryWit,$P216)))</f>
        <v/>
      </c>
      <c r="J216" s="29">
        <f>IF($B216="","",IF($A216=1,$C$7,IF(J215="",0,J215))+IF($H216="",0,$H216)-IF($I216="",0,$I216))</f>
        <v/>
      </c>
      <c r="K216" s="29">
        <f>IF($P216="","",IF(INDEX(EntryMan,$P216)=0,"",INDEX(EntryMan,$P216)))</f>
        <v/>
      </c>
      <c r="L216" s="28">
        <f>IF($B216="","",IF($K216="","—",IF(ROUND($K216-$J216,0)=0,"√","×")))</f>
        <v/>
      </c>
      <c r="M216" s="28">
        <f>IF($B216="","",IF(COUNTIFS(EntryDates,$B216,CalcTime,$C216,CalcBank,$C$5,EntryParty,$D216,EntryDep,$H216,EntryWit,$I216)&gt;1,"تکرار",""))</f>
        <v/>
      </c>
      <c r="N216" s="28">
        <f>IF($P216="","",IF(INDEX(EntryNotes,$P216)=0,"",INDEX(EntryNotes,$P216)))</f>
        <v/>
      </c>
      <c r="O216" s="28">
        <f>IF($P216="","",IF(INDEX(EntryTxnID,$P216)=0,"",INDEX(EntryTxnID,$P216)))</f>
        <v/>
      </c>
      <c r="P216" s="28">
        <f>IFERROR(MATCH($C$5&amp;"|"&amp;RIGHT("000000"&amp;200,6),CalcRankKey,0),"")</f>
        <v/>
      </c>
    </row>
    <row r="217">
      <c r="A217" s="26">
        <f>IF($B217="","",201)</f>
        <v/>
      </c>
      <c r="B217" s="26">
        <f>IF($P217="","",IF(INDEX(CalcNormDate,$P217)=0,"",INDEX(CalcNormDate,$P217)))</f>
        <v/>
      </c>
      <c r="C217" s="26">
        <f>IF($P217="","",IF(INDEX(CalcTime,$P217)=0,"",INDEX(CalcTime,$P217)))</f>
        <v/>
      </c>
      <c r="D217" s="26">
        <f>IF($P217="","",IF(INDEX(EntryParty,$P217)=0,"",INDEX(EntryParty,$P217)))</f>
        <v/>
      </c>
      <c r="E217" s="26">
        <f>IF($P217="","",IF(INDEX(EntryPartyName,$P217)=0,"",INDEX(EntryPartyName,$P217)))</f>
        <v/>
      </c>
      <c r="F217" s="26">
        <f>IF($P217="","",IF(INDEX(EntryPartyType,$P217)=0,"",INDEX(EntryPartyType,$P217)))</f>
        <v/>
      </c>
      <c r="G217" s="26">
        <f>IF($P217="","",IF(INDEX(EntryTxnType,$P217)=0,"",INDEX(EntryTxnType,$P217)))</f>
        <v/>
      </c>
      <c r="H217" s="27">
        <f>IF($P217="","",IF(INDEX(EntryDep,$P217)=0,"",INDEX(EntryDep,$P217)))</f>
        <v/>
      </c>
      <c r="I217" s="27">
        <f>IF($P217="","",IF(INDEX(EntryWit,$P217)=0,"",INDEX(EntryWit,$P217)))</f>
        <v/>
      </c>
      <c r="J217" s="27">
        <f>IF($B217="","",IF($A217=1,$C$7,IF(J216="",0,J216))+IF($H217="",0,$H217)-IF($I217="",0,$I217))</f>
        <v/>
      </c>
      <c r="K217" s="27">
        <f>IF($P217="","",IF(INDEX(EntryMan,$P217)=0,"",INDEX(EntryMan,$P217)))</f>
        <v/>
      </c>
      <c r="L217" s="26">
        <f>IF($B217="","",IF($K217="","—",IF(ROUND($K217-$J217,0)=0,"√","×")))</f>
        <v/>
      </c>
      <c r="M217" s="26">
        <f>IF($B217="","",IF(COUNTIFS(EntryDates,$B217,CalcTime,$C217,CalcBank,$C$5,EntryParty,$D217,EntryDep,$H217,EntryWit,$I217)&gt;1,"تکرار",""))</f>
        <v/>
      </c>
      <c r="N217" s="26">
        <f>IF($P217="","",IF(INDEX(EntryNotes,$P217)=0,"",INDEX(EntryNotes,$P217)))</f>
        <v/>
      </c>
      <c r="O217" s="26">
        <f>IF($P217="","",IF(INDEX(EntryTxnID,$P217)=0,"",INDEX(EntryTxnID,$P217)))</f>
        <v/>
      </c>
      <c r="P217" s="26">
        <f>IFERROR(MATCH($C$5&amp;"|"&amp;RIGHT("000000"&amp;201,6),CalcRankKey,0),"")</f>
        <v/>
      </c>
    </row>
    <row r="218">
      <c r="A218" s="28">
        <f>IF($B218="","",202)</f>
        <v/>
      </c>
      <c r="B218" s="28">
        <f>IF($P218="","",IF(INDEX(CalcNormDate,$P218)=0,"",INDEX(CalcNormDate,$P218)))</f>
        <v/>
      </c>
      <c r="C218" s="28">
        <f>IF($P218="","",IF(INDEX(CalcTime,$P218)=0,"",INDEX(CalcTime,$P218)))</f>
        <v/>
      </c>
      <c r="D218" s="28">
        <f>IF($P218="","",IF(INDEX(EntryParty,$P218)=0,"",INDEX(EntryParty,$P218)))</f>
        <v/>
      </c>
      <c r="E218" s="28">
        <f>IF($P218="","",IF(INDEX(EntryPartyName,$P218)=0,"",INDEX(EntryPartyName,$P218)))</f>
        <v/>
      </c>
      <c r="F218" s="28">
        <f>IF($P218="","",IF(INDEX(EntryPartyType,$P218)=0,"",INDEX(EntryPartyType,$P218)))</f>
        <v/>
      </c>
      <c r="G218" s="28">
        <f>IF($P218="","",IF(INDEX(EntryTxnType,$P218)=0,"",INDEX(EntryTxnType,$P218)))</f>
        <v/>
      </c>
      <c r="H218" s="29">
        <f>IF($P218="","",IF(INDEX(EntryDep,$P218)=0,"",INDEX(EntryDep,$P218)))</f>
        <v/>
      </c>
      <c r="I218" s="29">
        <f>IF($P218="","",IF(INDEX(EntryWit,$P218)=0,"",INDEX(EntryWit,$P218)))</f>
        <v/>
      </c>
      <c r="J218" s="29">
        <f>IF($B218="","",IF($A218=1,$C$7,IF(J217="",0,J217))+IF($H218="",0,$H218)-IF($I218="",0,$I218))</f>
        <v/>
      </c>
      <c r="K218" s="29">
        <f>IF($P218="","",IF(INDEX(EntryMan,$P218)=0,"",INDEX(EntryMan,$P218)))</f>
        <v/>
      </c>
      <c r="L218" s="28">
        <f>IF($B218="","",IF($K218="","—",IF(ROUND($K218-$J218,0)=0,"√","×")))</f>
        <v/>
      </c>
      <c r="M218" s="28">
        <f>IF($B218="","",IF(COUNTIFS(EntryDates,$B218,CalcTime,$C218,CalcBank,$C$5,EntryParty,$D218,EntryDep,$H218,EntryWit,$I218)&gt;1,"تکرار",""))</f>
        <v/>
      </c>
      <c r="N218" s="28">
        <f>IF($P218="","",IF(INDEX(EntryNotes,$P218)=0,"",INDEX(EntryNotes,$P218)))</f>
        <v/>
      </c>
      <c r="O218" s="28">
        <f>IF($P218="","",IF(INDEX(EntryTxnID,$P218)=0,"",INDEX(EntryTxnID,$P218)))</f>
        <v/>
      </c>
      <c r="P218" s="28">
        <f>IFERROR(MATCH($C$5&amp;"|"&amp;RIGHT("000000"&amp;202,6),CalcRankKey,0),"")</f>
        <v/>
      </c>
    </row>
    <row r="219">
      <c r="A219" s="26">
        <f>IF($B219="","",203)</f>
        <v/>
      </c>
      <c r="B219" s="26">
        <f>IF($P219="","",IF(INDEX(CalcNormDate,$P219)=0,"",INDEX(CalcNormDate,$P219)))</f>
        <v/>
      </c>
      <c r="C219" s="26">
        <f>IF($P219="","",IF(INDEX(CalcTime,$P219)=0,"",INDEX(CalcTime,$P219)))</f>
        <v/>
      </c>
      <c r="D219" s="26">
        <f>IF($P219="","",IF(INDEX(EntryParty,$P219)=0,"",INDEX(EntryParty,$P219)))</f>
        <v/>
      </c>
      <c r="E219" s="26">
        <f>IF($P219="","",IF(INDEX(EntryPartyName,$P219)=0,"",INDEX(EntryPartyName,$P219)))</f>
        <v/>
      </c>
      <c r="F219" s="26">
        <f>IF($P219="","",IF(INDEX(EntryPartyType,$P219)=0,"",INDEX(EntryPartyType,$P219)))</f>
        <v/>
      </c>
      <c r="G219" s="26">
        <f>IF($P219="","",IF(INDEX(EntryTxnType,$P219)=0,"",INDEX(EntryTxnType,$P219)))</f>
        <v/>
      </c>
      <c r="H219" s="27">
        <f>IF($P219="","",IF(INDEX(EntryDep,$P219)=0,"",INDEX(EntryDep,$P219)))</f>
        <v/>
      </c>
      <c r="I219" s="27">
        <f>IF($P219="","",IF(INDEX(EntryWit,$P219)=0,"",INDEX(EntryWit,$P219)))</f>
        <v/>
      </c>
      <c r="J219" s="27">
        <f>IF($B219="","",IF($A219=1,$C$7,IF(J218="",0,J218))+IF($H219="",0,$H219)-IF($I219="",0,$I219))</f>
        <v/>
      </c>
      <c r="K219" s="27">
        <f>IF($P219="","",IF(INDEX(EntryMan,$P219)=0,"",INDEX(EntryMan,$P219)))</f>
        <v/>
      </c>
      <c r="L219" s="26">
        <f>IF($B219="","",IF($K219="","—",IF(ROUND($K219-$J219,0)=0,"√","×")))</f>
        <v/>
      </c>
      <c r="M219" s="26">
        <f>IF($B219="","",IF(COUNTIFS(EntryDates,$B219,CalcTime,$C219,CalcBank,$C$5,EntryParty,$D219,EntryDep,$H219,EntryWit,$I219)&gt;1,"تکرار",""))</f>
        <v/>
      </c>
      <c r="N219" s="26">
        <f>IF($P219="","",IF(INDEX(EntryNotes,$P219)=0,"",INDEX(EntryNotes,$P219)))</f>
        <v/>
      </c>
      <c r="O219" s="26">
        <f>IF($P219="","",IF(INDEX(EntryTxnID,$P219)=0,"",INDEX(EntryTxnID,$P219)))</f>
        <v/>
      </c>
      <c r="P219" s="26">
        <f>IFERROR(MATCH($C$5&amp;"|"&amp;RIGHT("000000"&amp;203,6),CalcRankKey,0),"")</f>
        <v/>
      </c>
    </row>
    <row r="220">
      <c r="A220" s="28">
        <f>IF($B220="","",204)</f>
        <v/>
      </c>
      <c r="B220" s="28">
        <f>IF($P220="","",IF(INDEX(CalcNormDate,$P220)=0,"",INDEX(CalcNormDate,$P220)))</f>
        <v/>
      </c>
      <c r="C220" s="28">
        <f>IF($P220="","",IF(INDEX(CalcTime,$P220)=0,"",INDEX(CalcTime,$P220)))</f>
        <v/>
      </c>
      <c r="D220" s="28">
        <f>IF($P220="","",IF(INDEX(EntryParty,$P220)=0,"",INDEX(EntryParty,$P220)))</f>
        <v/>
      </c>
      <c r="E220" s="28">
        <f>IF($P220="","",IF(INDEX(EntryPartyName,$P220)=0,"",INDEX(EntryPartyName,$P220)))</f>
        <v/>
      </c>
      <c r="F220" s="28">
        <f>IF($P220="","",IF(INDEX(EntryPartyType,$P220)=0,"",INDEX(EntryPartyType,$P220)))</f>
        <v/>
      </c>
      <c r="G220" s="28">
        <f>IF($P220="","",IF(INDEX(EntryTxnType,$P220)=0,"",INDEX(EntryTxnType,$P220)))</f>
        <v/>
      </c>
      <c r="H220" s="29">
        <f>IF($P220="","",IF(INDEX(EntryDep,$P220)=0,"",INDEX(EntryDep,$P220)))</f>
        <v/>
      </c>
      <c r="I220" s="29">
        <f>IF($P220="","",IF(INDEX(EntryWit,$P220)=0,"",INDEX(EntryWit,$P220)))</f>
        <v/>
      </c>
      <c r="J220" s="29">
        <f>IF($B220="","",IF($A220=1,$C$7,IF(J219="",0,J219))+IF($H220="",0,$H220)-IF($I220="",0,$I220))</f>
        <v/>
      </c>
      <c r="K220" s="29">
        <f>IF($P220="","",IF(INDEX(EntryMan,$P220)=0,"",INDEX(EntryMan,$P220)))</f>
        <v/>
      </c>
      <c r="L220" s="28">
        <f>IF($B220="","",IF($K220="","—",IF(ROUND($K220-$J220,0)=0,"√","×")))</f>
        <v/>
      </c>
      <c r="M220" s="28">
        <f>IF($B220="","",IF(COUNTIFS(EntryDates,$B220,CalcTime,$C220,CalcBank,$C$5,EntryParty,$D220,EntryDep,$H220,EntryWit,$I220)&gt;1,"تکرار",""))</f>
        <v/>
      </c>
      <c r="N220" s="28">
        <f>IF($P220="","",IF(INDEX(EntryNotes,$P220)=0,"",INDEX(EntryNotes,$P220)))</f>
        <v/>
      </c>
      <c r="O220" s="28">
        <f>IF($P220="","",IF(INDEX(EntryTxnID,$P220)=0,"",INDEX(EntryTxnID,$P220)))</f>
        <v/>
      </c>
      <c r="P220" s="28">
        <f>IFERROR(MATCH($C$5&amp;"|"&amp;RIGHT("000000"&amp;204,6),CalcRankKey,0),"")</f>
        <v/>
      </c>
    </row>
    <row r="221">
      <c r="A221" s="26">
        <f>IF($B221="","",205)</f>
        <v/>
      </c>
      <c r="B221" s="26">
        <f>IF($P221="","",IF(INDEX(CalcNormDate,$P221)=0,"",INDEX(CalcNormDate,$P221)))</f>
        <v/>
      </c>
      <c r="C221" s="26">
        <f>IF($P221="","",IF(INDEX(CalcTime,$P221)=0,"",INDEX(CalcTime,$P221)))</f>
        <v/>
      </c>
      <c r="D221" s="26">
        <f>IF($P221="","",IF(INDEX(EntryParty,$P221)=0,"",INDEX(EntryParty,$P221)))</f>
        <v/>
      </c>
      <c r="E221" s="26">
        <f>IF($P221="","",IF(INDEX(EntryPartyName,$P221)=0,"",INDEX(EntryPartyName,$P221)))</f>
        <v/>
      </c>
      <c r="F221" s="26">
        <f>IF($P221="","",IF(INDEX(EntryPartyType,$P221)=0,"",INDEX(EntryPartyType,$P221)))</f>
        <v/>
      </c>
      <c r="G221" s="26">
        <f>IF($P221="","",IF(INDEX(EntryTxnType,$P221)=0,"",INDEX(EntryTxnType,$P221)))</f>
        <v/>
      </c>
      <c r="H221" s="27">
        <f>IF($P221="","",IF(INDEX(EntryDep,$P221)=0,"",INDEX(EntryDep,$P221)))</f>
        <v/>
      </c>
      <c r="I221" s="27">
        <f>IF($P221="","",IF(INDEX(EntryWit,$P221)=0,"",INDEX(EntryWit,$P221)))</f>
        <v/>
      </c>
      <c r="J221" s="27">
        <f>IF($B221="","",IF($A221=1,$C$7,IF(J220="",0,J220))+IF($H221="",0,$H221)-IF($I221="",0,$I221))</f>
        <v/>
      </c>
      <c r="K221" s="27">
        <f>IF($P221="","",IF(INDEX(EntryMan,$P221)=0,"",INDEX(EntryMan,$P221)))</f>
        <v/>
      </c>
      <c r="L221" s="26">
        <f>IF($B221="","",IF($K221="","—",IF(ROUND($K221-$J221,0)=0,"√","×")))</f>
        <v/>
      </c>
      <c r="M221" s="26">
        <f>IF($B221="","",IF(COUNTIFS(EntryDates,$B221,CalcTime,$C221,CalcBank,$C$5,EntryParty,$D221,EntryDep,$H221,EntryWit,$I221)&gt;1,"تکرار",""))</f>
        <v/>
      </c>
      <c r="N221" s="26">
        <f>IF($P221="","",IF(INDEX(EntryNotes,$P221)=0,"",INDEX(EntryNotes,$P221)))</f>
        <v/>
      </c>
      <c r="O221" s="26">
        <f>IF($P221="","",IF(INDEX(EntryTxnID,$P221)=0,"",INDEX(EntryTxnID,$P221)))</f>
        <v/>
      </c>
      <c r="P221" s="26">
        <f>IFERROR(MATCH($C$5&amp;"|"&amp;RIGHT("000000"&amp;205,6),CalcRankKey,0),"")</f>
        <v/>
      </c>
    </row>
    <row r="222">
      <c r="A222" s="28">
        <f>IF($B222="","",206)</f>
        <v/>
      </c>
      <c r="B222" s="28">
        <f>IF($P222="","",IF(INDEX(CalcNormDate,$P222)=0,"",INDEX(CalcNormDate,$P222)))</f>
        <v/>
      </c>
      <c r="C222" s="28">
        <f>IF($P222="","",IF(INDEX(CalcTime,$P222)=0,"",INDEX(CalcTime,$P222)))</f>
        <v/>
      </c>
      <c r="D222" s="28">
        <f>IF($P222="","",IF(INDEX(EntryParty,$P222)=0,"",INDEX(EntryParty,$P222)))</f>
        <v/>
      </c>
      <c r="E222" s="28">
        <f>IF($P222="","",IF(INDEX(EntryPartyName,$P222)=0,"",INDEX(EntryPartyName,$P222)))</f>
        <v/>
      </c>
      <c r="F222" s="28">
        <f>IF($P222="","",IF(INDEX(EntryPartyType,$P222)=0,"",INDEX(EntryPartyType,$P222)))</f>
        <v/>
      </c>
      <c r="G222" s="28">
        <f>IF($P222="","",IF(INDEX(EntryTxnType,$P222)=0,"",INDEX(EntryTxnType,$P222)))</f>
        <v/>
      </c>
      <c r="H222" s="29">
        <f>IF($P222="","",IF(INDEX(EntryDep,$P222)=0,"",INDEX(EntryDep,$P222)))</f>
        <v/>
      </c>
      <c r="I222" s="29">
        <f>IF($P222="","",IF(INDEX(EntryWit,$P222)=0,"",INDEX(EntryWit,$P222)))</f>
        <v/>
      </c>
      <c r="J222" s="29">
        <f>IF($B222="","",IF($A222=1,$C$7,IF(J221="",0,J221))+IF($H222="",0,$H222)-IF($I222="",0,$I222))</f>
        <v/>
      </c>
      <c r="K222" s="29">
        <f>IF($P222="","",IF(INDEX(EntryMan,$P222)=0,"",INDEX(EntryMan,$P222)))</f>
        <v/>
      </c>
      <c r="L222" s="28">
        <f>IF($B222="","",IF($K222="","—",IF(ROUND($K222-$J222,0)=0,"√","×")))</f>
        <v/>
      </c>
      <c r="M222" s="28">
        <f>IF($B222="","",IF(COUNTIFS(EntryDates,$B222,CalcTime,$C222,CalcBank,$C$5,EntryParty,$D222,EntryDep,$H222,EntryWit,$I222)&gt;1,"تکرار",""))</f>
        <v/>
      </c>
      <c r="N222" s="28">
        <f>IF($P222="","",IF(INDEX(EntryNotes,$P222)=0,"",INDEX(EntryNotes,$P222)))</f>
        <v/>
      </c>
      <c r="O222" s="28">
        <f>IF($P222="","",IF(INDEX(EntryTxnID,$P222)=0,"",INDEX(EntryTxnID,$P222)))</f>
        <v/>
      </c>
      <c r="P222" s="28">
        <f>IFERROR(MATCH($C$5&amp;"|"&amp;RIGHT("000000"&amp;206,6),CalcRankKey,0),"")</f>
        <v/>
      </c>
    </row>
    <row r="223">
      <c r="A223" s="26">
        <f>IF($B223="","",207)</f>
        <v/>
      </c>
      <c r="B223" s="26">
        <f>IF($P223="","",IF(INDEX(CalcNormDate,$P223)=0,"",INDEX(CalcNormDate,$P223)))</f>
        <v/>
      </c>
      <c r="C223" s="26">
        <f>IF($P223="","",IF(INDEX(CalcTime,$P223)=0,"",INDEX(CalcTime,$P223)))</f>
        <v/>
      </c>
      <c r="D223" s="26">
        <f>IF($P223="","",IF(INDEX(EntryParty,$P223)=0,"",INDEX(EntryParty,$P223)))</f>
        <v/>
      </c>
      <c r="E223" s="26">
        <f>IF($P223="","",IF(INDEX(EntryPartyName,$P223)=0,"",INDEX(EntryPartyName,$P223)))</f>
        <v/>
      </c>
      <c r="F223" s="26">
        <f>IF($P223="","",IF(INDEX(EntryPartyType,$P223)=0,"",INDEX(EntryPartyType,$P223)))</f>
        <v/>
      </c>
      <c r="G223" s="26">
        <f>IF($P223="","",IF(INDEX(EntryTxnType,$P223)=0,"",INDEX(EntryTxnType,$P223)))</f>
        <v/>
      </c>
      <c r="H223" s="27">
        <f>IF($P223="","",IF(INDEX(EntryDep,$P223)=0,"",INDEX(EntryDep,$P223)))</f>
        <v/>
      </c>
      <c r="I223" s="27">
        <f>IF($P223="","",IF(INDEX(EntryWit,$P223)=0,"",INDEX(EntryWit,$P223)))</f>
        <v/>
      </c>
      <c r="J223" s="27">
        <f>IF($B223="","",IF($A223=1,$C$7,IF(J222="",0,J222))+IF($H223="",0,$H223)-IF($I223="",0,$I223))</f>
        <v/>
      </c>
      <c r="K223" s="27">
        <f>IF($P223="","",IF(INDEX(EntryMan,$P223)=0,"",INDEX(EntryMan,$P223)))</f>
        <v/>
      </c>
      <c r="L223" s="26">
        <f>IF($B223="","",IF($K223="","—",IF(ROUND($K223-$J223,0)=0,"√","×")))</f>
        <v/>
      </c>
      <c r="M223" s="26">
        <f>IF($B223="","",IF(COUNTIFS(EntryDates,$B223,CalcTime,$C223,CalcBank,$C$5,EntryParty,$D223,EntryDep,$H223,EntryWit,$I223)&gt;1,"تکرار",""))</f>
        <v/>
      </c>
      <c r="N223" s="26">
        <f>IF($P223="","",IF(INDEX(EntryNotes,$P223)=0,"",INDEX(EntryNotes,$P223)))</f>
        <v/>
      </c>
      <c r="O223" s="26">
        <f>IF($P223="","",IF(INDEX(EntryTxnID,$P223)=0,"",INDEX(EntryTxnID,$P223)))</f>
        <v/>
      </c>
      <c r="P223" s="26">
        <f>IFERROR(MATCH($C$5&amp;"|"&amp;RIGHT("000000"&amp;207,6),CalcRankKey,0),"")</f>
        <v/>
      </c>
    </row>
    <row r="224">
      <c r="A224" s="28">
        <f>IF($B224="","",208)</f>
        <v/>
      </c>
      <c r="B224" s="28">
        <f>IF($P224="","",IF(INDEX(CalcNormDate,$P224)=0,"",INDEX(CalcNormDate,$P224)))</f>
        <v/>
      </c>
      <c r="C224" s="28">
        <f>IF($P224="","",IF(INDEX(CalcTime,$P224)=0,"",INDEX(CalcTime,$P224)))</f>
        <v/>
      </c>
      <c r="D224" s="28">
        <f>IF($P224="","",IF(INDEX(EntryParty,$P224)=0,"",INDEX(EntryParty,$P224)))</f>
        <v/>
      </c>
      <c r="E224" s="28">
        <f>IF($P224="","",IF(INDEX(EntryPartyName,$P224)=0,"",INDEX(EntryPartyName,$P224)))</f>
        <v/>
      </c>
      <c r="F224" s="28">
        <f>IF($P224="","",IF(INDEX(EntryPartyType,$P224)=0,"",INDEX(EntryPartyType,$P224)))</f>
        <v/>
      </c>
      <c r="G224" s="28">
        <f>IF($P224="","",IF(INDEX(EntryTxnType,$P224)=0,"",INDEX(EntryTxnType,$P224)))</f>
        <v/>
      </c>
      <c r="H224" s="29">
        <f>IF($P224="","",IF(INDEX(EntryDep,$P224)=0,"",INDEX(EntryDep,$P224)))</f>
        <v/>
      </c>
      <c r="I224" s="29">
        <f>IF($P224="","",IF(INDEX(EntryWit,$P224)=0,"",INDEX(EntryWit,$P224)))</f>
        <v/>
      </c>
      <c r="J224" s="29">
        <f>IF($B224="","",IF($A224=1,$C$7,IF(J223="",0,J223))+IF($H224="",0,$H224)-IF($I224="",0,$I224))</f>
        <v/>
      </c>
      <c r="K224" s="29">
        <f>IF($P224="","",IF(INDEX(EntryMan,$P224)=0,"",INDEX(EntryMan,$P224)))</f>
        <v/>
      </c>
      <c r="L224" s="28">
        <f>IF($B224="","",IF($K224="","—",IF(ROUND($K224-$J224,0)=0,"√","×")))</f>
        <v/>
      </c>
      <c r="M224" s="28">
        <f>IF($B224="","",IF(COUNTIFS(EntryDates,$B224,CalcTime,$C224,CalcBank,$C$5,EntryParty,$D224,EntryDep,$H224,EntryWit,$I224)&gt;1,"تکرار",""))</f>
        <v/>
      </c>
      <c r="N224" s="28">
        <f>IF($P224="","",IF(INDEX(EntryNotes,$P224)=0,"",INDEX(EntryNotes,$P224)))</f>
        <v/>
      </c>
      <c r="O224" s="28">
        <f>IF($P224="","",IF(INDEX(EntryTxnID,$P224)=0,"",INDEX(EntryTxnID,$P224)))</f>
        <v/>
      </c>
      <c r="P224" s="28">
        <f>IFERROR(MATCH($C$5&amp;"|"&amp;RIGHT("000000"&amp;208,6),CalcRankKey,0),"")</f>
        <v/>
      </c>
    </row>
    <row r="225">
      <c r="A225" s="26">
        <f>IF($B225="","",209)</f>
        <v/>
      </c>
      <c r="B225" s="26">
        <f>IF($P225="","",IF(INDEX(CalcNormDate,$P225)=0,"",INDEX(CalcNormDate,$P225)))</f>
        <v/>
      </c>
      <c r="C225" s="26">
        <f>IF($P225="","",IF(INDEX(CalcTime,$P225)=0,"",INDEX(CalcTime,$P225)))</f>
        <v/>
      </c>
      <c r="D225" s="26">
        <f>IF($P225="","",IF(INDEX(EntryParty,$P225)=0,"",INDEX(EntryParty,$P225)))</f>
        <v/>
      </c>
      <c r="E225" s="26">
        <f>IF($P225="","",IF(INDEX(EntryPartyName,$P225)=0,"",INDEX(EntryPartyName,$P225)))</f>
        <v/>
      </c>
      <c r="F225" s="26">
        <f>IF($P225="","",IF(INDEX(EntryPartyType,$P225)=0,"",INDEX(EntryPartyType,$P225)))</f>
        <v/>
      </c>
      <c r="G225" s="26">
        <f>IF($P225="","",IF(INDEX(EntryTxnType,$P225)=0,"",INDEX(EntryTxnType,$P225)))</f>
        <v/>
      </c>
      <c r="H225" s="27">
        <f>IF($P225="","",IF(INDEX(EntryDep,$P225)=0,"",INDEX(EntryDep,$P225)))</f>
        <v/>
      </c>
      <c r="I225" s="27">
        <f>IF($P225="","",IF(INDEX(EntryWit,$P225)=0,"",INDEX(EntryWit,$P225)))</f>
        <v/>
      </c>
      <c r="J225" s="27">
        <f>IF($B225="","",IF($A225=1,$C$7,IF(J224="",0,J224))+IF($H225="",0,$H225)-IF($I225="",0,$I225))</f>
        <v/>
      </c>
      <c r="K225" s="27">
        <f>IF($P225="","",IF(INDEX(EntryMan,$P225)=0,"",INDEX(EntryMan,$P225)))</f>
        <v/>
      </c>
      <c r="L225" s="26">
        <f>IF($B225="","",IF($K225="","—",IF(ROUND($K225-$J225,0)=0,"√","×")))</f>
        <v/>
      </c>
      <c r="M225" s="26">
        <f>IF($B225="","",IF(COUNTIFS(EntryDates,$B225,CalcTime,$C225,CalcBank,$C$5,EntryParty,$D225,EntryDep,$H225,EntryWit,$I225)&gt;1,"تکرار",""))</f>
        <v/>
      </c>
      <c r="N225" s="26">
        <f>IF($P225="","",IF(INDEX(EntryNotes,$P225)=0,"",INDEX(EntryNotes,$P225)))</f>
        <v/>
      </c>
      <c r="O225" s="26">
        <f>IF($P225="","",IF(INDEX(EntryTxnID,$P225)=0,"",INDEX(EntryTxnID,$P225)))</f>
        <v/>
      </c>
      <c r="P225" s="26">
        <f>IFERROR(MATCH($C$5&amp;"|"&amp;RIGHT("000000"&amp;209,6),CalcRankKey,0),"")</f>
        <v/>
      </c>
    </row>
    <row r="226">
      <c r="A226" s="28">
        <f>IF($B226="","",210)</f>
        <v/>
      </c>
      <c r="B226" s="28">
        <f>IF($P226="","",IF(INDEX(CalcNormDate,$P226)=0,"",INDEX(CalcNormDate,$P226)))</f>
        <v/>
      </c>
      <c r="C226" s="28">
        <f>IF($P226="","",IF(INDEX(CalcTime,$P226)=0,"",INDEX(CalcTime,$P226)))</f>
        <v/>
      </c>
      <c r="D226" s="28">
        <f>IF($P226="","",IF(INDEX(EntryParty,$P226)=0,"",INDEX(EntryParty,$P226)))</f>
        <v/>
      </c>
      <c r="E226" s="28">
        <f>IF($P226="","",IF(INDEX(EntryPartyName,$P226)=0,"",INDEX(EntryPartyName,$P226)))</f>
        <v/>
      </c>
      <c r="F226" s="28">
        <f>IF($P226="","",IF(INDEX(EntryPartyType,$P226)=0,"",INDEX(EntryPartyType,$P226)))</f>
        <v/>
      </c>
      <c r="G226" s="28">
        <f>IF($P226="","",IF(INDEX(EntryTxnType,$P226)=0,"",INDEX(EntryTxnType,$P226)))</f>
        <v/>
      </c>
      <c r="H226" s="29">
        <f>IF($P226="","",IF(INDEX(EntryDep,$P226)=0,"",INDEX(EntryDep,$P226)))</f>
        <v/>
      </c>
      <c r="I226" s="29">
        <f>IF($P226="","",IF(INDEX(EntryWit,$P226)=0,"",INDEX(EntryWit,$P226)))</f>
        <v/>
      </c>
      <c r="J226" s="29">
        <f>IF($B226="","",IF($A226=1,$C$7,IF(J225="",0,J225))+IF($H226="",0,$H226)-IF($I226="",0,$I226))</f>
        <v/>
      </c>
      <c r="K226" s="29">
        <f>IF($P226="","",IF(INDEX(EntryMan,$P226)=0,"",INDEX(EntryMan,$P226)))</f>
        <v/>
      </c>
      <c r="L226" s="28">
        <f>IF($B226="","",IF($K226="","—",IF(ROUND($K226-$J226,0)=0,"√","×")))</f>
        <v/>
      </c>
      <c r="M226" s="28">
        <f>IF($B226="","",IF(COUNTIFS(EntryDates,$B226,CalcTime,$C226,CalcBank,$C$5,EntryParty,$D226,EntryDep,$H226,EntryWit,$I226)&gt;1,"تکرار",""))</f>
        <v/>
      </c>
      <c r="N226" s="28">
        <f>IF($P226="","",IF(INDEX(EntryNotes,$P226)=0,"",INDEX(EntryNotes,$P226)))</f>
        <v/>
      </c>
      <c r="O226" s="28">
        <f>IF($P226="","",IF(INDEX(EntryTxnID,$P226)=0,"",INDEX(EntryTxnID,$P226)))</f>
        <v/>
      </c>
      <c r="P226" s="28">
        <f>IFERROR(MATCH($C$5&amp;"|"&amp;RIGHT("000000"&amp;210,6),CalcRankKey,0),"")</f>
        <v/>
      </c>
    </row>
    <row r="227">
      <c r="A227" s="26">
        <f>IF($B227="","",211)</f>
        <v/>
      </c>
      <c r="B227" s="26">
        <f>IF($P227="","",IF(INDEX(CalcNormDate,$P227)=0,"",INDEX(CalcNormDate,$P227)))</f>
        <v/>
      </c>
      <c r="C227" s="26">
        <f>IF($P227="","",IF(INDEX(CalcTime,$P227)=0,"",INDEX(CalcTime,$P227)))</f>
        <v/>
      </c>
      <c r="D227" s="26">
        <f>IF($P227="","",IF(INDEX(EntryParty,$P227)=0,"",INDEX(EntryParty,$P227)))</f>
        <v/>
      </c>
      <c r="E227" s="26">
        <f>IF($P227="","",IF(INDEX(EntryPartyName,$P227)=0,"",INDEX(EntryPartyName,$P227)))</f>
        <v/>
      </c>
      <c r="F227" s="26">
        <f>IF($P227="","",IF(INDEX(EntryPartyType,$P227)=0,"",INDEX(EntryPartyType,$P227)))</f>
        <v/>
      </c>
      <c r="G227" s="26">
        <f>IF($P227="","",IF(INDEX(EntryTxnType,$P227)=0,"",INDEX(EntryTxnType,$P227)))</f>
        <v/>
      </c>
      <c r="H227" s="27">
        <f>IF($P227="","",IF(INDEX(EntryDep,$P227)=0,"",INDEX(EntryDep,$P227)))</f>
        <v/>
      </c>
      <c r="I227" s="27">
        <f>IF($P227="","",IF(INDEX(EntryWit,$P227)=0,"",INDEX(EntryWit,$P227)))</f>
        <v/>
      </c>
      <c r="J227" s="27">
        <f>IF($B227="","",IF($A227=1,$C$7,IF(J226="",0,J226))+IF($H227="",0,$H227)-IF($I227="",0,$I227))</f>
        <v/>
      </c>
      <c r="K227" s="27">
        <f>IF($P227="","",IF(INDEX(EntryMan,$P227)=0,"",INDEX(EntryMan,$P227)))</f>
        <v/>
      </c>
      <c r="L227" s="26">
        <f>IF($B227="","",IF($K227="","—",IF(ROUND($K227-$J227,0)=0,"√","×")))</f>
        <v/>
      </c>
      <c r="M227" s="26">
        <f>IF($B227="","",IF(COUNTIFS(EntryDates,$B227,CalcTime,$C227,CalcBank,$C$5,EntryParty,$D227,EntryDep,$H227,EntryWit,$I227)&gt;1,"تکرار",""))</f>
        <v/>
      </c>
      <c r="N227" s="26">
        <f>IF($P227="","",IF(INDEX(EntryNotes,$P227)=0,"",INDEX(EntryNotes,$P227)))</f>
        <v/>
      </c>
      <c r="O227" s="26">
        <f>IF($P227="","",IF(INDEX(EntryTxnID,$P227)=0,"",INDEX(EntryTxnID,$P227)))</f>
        <v/>
      </c>
      <c r="P227" s="26">
        <f>IFERROR(MATCH($C$5&amp;"|"&amp;RIGHT("000000"&amp;211,6),CalcRankKey,0),"")</f>
        <v/>
      </c>
    </row>
    <row r="228">
      <c r="A228" s="28">
        <f>IF($B228="","",212)</f>
        <v/>
      </c>
      <c r="B228" s="28">
        <f>IF($P228="","",IF(INDEX(CalcNormDate,$P228)=0,"",INDEX(CalcNormDate,$P228)))</f>
        <v/>
      </c>
      <c r="C228" s="28">
        <f>IF($P228="","",IF(INDEX(CalcTime,$P228)=0,"",INDEX(CalcTime,$P228)))</f>
        <v/>
      </c>
      <c r="D228" s="28">
        <f>IF($P228="","",IF(INDEX(EntryParty,$P228)=0,"",INDEX(EntryParty,$P228)))</f>
        <v/>
      </c>
      <c r="E228" s="28">
        <f>IF($P228="","",IF(INDEX(EntryPartyName,$P228)=0,"",INDEX(EntryPartyName,$P228)))</f>
        <v/>
      </c>
      <c r="F228" s="28">
        <f>IF($P228="","",IF(INDEX(EntryPartyType,$P228)=0,"",INDEX(EntryPartyType,$P228)))</f>
        <v/>
      </c>
      <c r="G228" s="28">
        <f>IF($P228="","",IF(INDEX(EntryTxnType,$P228)=0,"",INDEX(EntryTxnType,$P228)))</f>
        <v/>
      </c>
      <c r="H228" s="29">
        <f>IF($P228="","",IF(INDEX(EntryDep,$P228)=0,"",INDEX(EntryDep,$P228)))</f>
        <v/>
      </c>
      <c r="I228" s="29">
        <f>IF($P228="","",IF(INDEX(EntryWit,$P228)=0,"",INDEX(EntryWit,$P228)))</f>
        <v/>
      </c>
      <c r="J228" s="29">
        <f>IF($B228="","",IF($A228=1,$C$7,IF(J227="",0,J227))+IF($H228="",0,$H228)-IF($I228="",0,$I228))</f>
        <v/>
      </c>
      <c r="K228" s="29">
        <f>IF($P228="","",IF(INDEX(EntryMan,$P228)=0,"",INDEX(EntryMan,$P228)))</f>
        <v/>
      </c>
      <c r="L228" s="28">
        <f>IF($B228="","",IF($K228="","—",IF(ROUND($K228-$J228,0)=0,"√","×")))</f>
        <v/>
      </c>
      <c r="M228" s="28">
        <f>IF($B228="","",IF(COUNTIFS(EntryDates,$B228,CalcTime,$C228,CalcBank,$C$5,EntryParty,$D228,EntryDep,$H228,EntryWit,$I228)&gt;1,"تکرار",""))</f>
        <v/>
      </c>
      <c r="N228" s="28">
        <f>IF($P228="","",IF(INDEX(EntryNotes,$P228)=0,"",INDEX(EntryNotes,$P228)))</f>
        <v/>
      </c>
      <c r="O228" s="28">
        <f>IF($P228="","",IF(INDEX(EntryTxnID,$P228)=0,"",INDEX(EntryTxnID,$P228)))</f>
        <v/>
      </c>
      <c r="P228" s="28">
        <f>IFERROR(MATCH($C$5&amp;"|"&amp;RIGHT("000000"&amp;212,6),CalcRankKey,0),"")</f>
        <v/>
      </c>
    </row>
    <row r="229">
      <c r="A229" s="26">
        <f>IF($B229="","",213)</f>
        <v/>
      </c>
      <c r="B229" s="26">
        <f>IF($P229="","",IF(INDEX(CalcNormDate,$P229)=0,"",INDEX(CalcNormDate,$P229)))</f>
        <v/>
      </c>
      <c r="C229" s="26">
        <f>IF($P229="","",IF(INDEX(CalcTime,$P229)=0,"",INDEX(CalcTime,$P229)))</f>
        <v/>
      </c>
      <c r="D229" s="26">
        <f>IF($P229="","",IF(INDEX(EntryParty,$P229)=0,"",INDEX(EntryParty,$P229)))</f>
        <v/>
      </c>
      <c r="E229" s="26">
        <f>IF($P229="","",IF(INDEX(EntryPartyName,$P229)=0,"",INDEX(EntryPartyName,$P229)))</f>
        <v/>
      </c>
      <c r="F229" s="26">
        <f>IF($P229="","",IF(INDEX(EntryPartyType,$P229)=0,"",INDEX(EntryPartyType,$P229)))</f>
        <v/>
      </c>
      <c r="G229" s="26">
        <f>IF($P229="","",IF(INDEX(EntryTxnType,$P229)=0,"",INDEX(EntryTxnType,$P229)))</f>
        <v/>
      </c>
      <c r="H229" s="27">
        <f>IF($P229="","",IF(INDEX(EntryDep,$P229)=0,"",INDEX(EntryDep,$P229)))</f>
        <v/>
      </c>
      <c r="I229" s="27">
        <f>IF($P229="","",IF(INDEX(EntryWit,$P229)=0,"",INDEX(EntryWit,$P229)))</f>
        <v/>
      </c>
      <c r="J229" s="27">
        <f>IF($B229="","",IF($A229=1,$C$7,IF(J228="",0,J228))+IF($H229="",0,$H229)-IF($I229="",0,$I229))</f>
        <v/>
      </c>
      <c r="K229" s="27">
        <f>IF($P229="","",IF(INDEX(EntryMan,$P229)=0,"",INDEX(EntryMan,$P229)))</f>
        <v/>
      </c>
      <c r="L229" s="26">
        <f>IF($B229="","",IF($K229="","—",IF(ROUND($K229-$J229,0)=0,"√","×")))</f>
        <v/>
      </c>
      <c r="M229" s="26">
        <f>IF($B229="","",IF(COUNTIFS(EntryDates,$B229,CalcTime,$C229,CalcBank,$C$5,EntryParty,$D229,EntryDep,$H229,EntryWit,$I229)&gt;1,"تکرار",""))</f>
        <v/>
      </c>
      <c r="N229" s="26">
        <f>IF($P229="","",IF(INDEX(EntryNotes,$P229)=0,"",INDEX(EntryNotes,$P229)))</f>
        <v/>
      </c>
      <c r="O229" s="26">
        <f>IF($P229="","",IF(INDEX(EntryTxnID,$P229)=0,"",INDEX(EntryTxnID,$P229)))</f>
        <v/>
      </c>
      <c r="P229" s="26">
        <f>IFERROR(MATCH($C$5&amp;"|"&amp;RIGHT("000000"&amp;213,6),CalcRankKey,0),"")</f>
        <v/>
      </c>
    </row>
    <row r="230">
      <c r="A230" s="28">
        <f>IF($B230="","",214)</f>
        <v/>
      </c>
      <c r="B230" s="28">
        <f>IF($P230="","",IF(INDEX(CalcNormDate,$P230)=0,"",INDEX(CalcNormDate,$P230)))</f>
        <v/>
      </c>
      <c r="C230" s="28">
        <f>IF($P230="","",IF(INDEX(CalcTime,$P230)=0,"",INDEX(CalcTime,$P230)))</f>
        <v/>
      </c>
      <c r="D230" s="28">
        <f>IF($P230="","",IF(INDEX(EntryParty,$P230)=0,"",INDEX(EntryParty,$P230)))</f>
        <v/>
      </c>
      <c r="E230" s="28">
        <f>IF($P230="","",IF(INDEX(EntryPartyName,$P230)=0,"",INDEX(EntryPartyName,$P230)))</f>
        <v/>
      </c>
      <c r="F230" s="28">
        <f>IF($P230="","",IF(INDEX(EntryPartyType,$P230)=0,"",INDEX(EntryPartyType,$P230)))</f>
        <v/>
      </c>
      <c r="G230" s="28">
        <f>IF($P230="","",IF(INDEX(EntryTxnType,$P230)=0,"",INDEX(EntryTxnType,$P230)))</f>
        <v/>
      </c>
      <c r="H230" s="29">
        <f>IF($P230="","",IF(INDEX(EntryDep,$P230)=0,"",INDEX(EntryDep,$P230)))</f>
        <v/>
      </c>
      <c r="I230" s="29">
        <f>IF($P230="","",IF(INDEX(EntryWit,$P230)=0,"",INDEX(EntryWit,$P230)))</f>
        <v/>
      </c>
      <c r="J230" s="29">
        <f>IF($B230="","",IF($A230=1,$C$7,IF(J229="",0,J229))+IF($H230="",0,$H230)-IF($I230="",0,$I230))</f>
        <v/>
      </c>
      <c r="K230" s="29">
        <f>IF($P230="","",IF(INDEX(EntryMan,$P230)=0,"",INDEX(EntryMan,$P230)))</f>
        <v/>
      </c>
      <c r="L230" s="28">
        <f>IF($B230="","",IF($K230="","—",IF(ROUND($K230-$J230,0)=0,"√","×")))</f>
        <v/>
      </c>
      <c r="M230" s="28">
        <f>IF($B230="","",IF(COUNTIFS(EntryDates,$B230,CalcTime,$C230,CalcBank,$C$5,EntryParty,$D230,EntryDep,$H230,EntryWit,$I230)&gt;1,"تکرار",""))</f>
        <v/>
      </c>
      <c r="N230" s="28">
        <f>IF($P230="","",IF(INDEX(EntryNotes,$P230)=0,"",INDEX(EntryNotes,$P230)))</f>
        <v/>
      </c>
      <c r="O230" s="28">
        <f>IF($P230="","",IF(INDEX(EntryTxnID,$P230)=0,"",INDEX(EntryTxnID,$P230)))</f>
        <v/>
      </c>
      <c r="P230" s="28">
        <f>IFERROR(MATCH($C$5&amp;"|"&amp;RIGHT("000000"&amp;214,6),CalcRankKey,0),"")</f>
        <v/>
      </c>
    </row>
    <row r="231">
      <c r="A231" s="26">
        <f>IF($B231="","",215)</f>
        <v/>
      </c>
      <c r="B231" s="26">
        <f>IF($P231="","",IF(INDEX(CalcNormDate,$P231)=0,"",INDEX(CalcNormDate,$P231)))</f>
        <v/>
      </c>
      <c r="C231" s="26">
        <f>IF($P231="","",IF(INDEX(CalcTime,$P231)=0,"",INDEX(CalcTime,$P231)))</f>
        <v/>
      </c>
      <c r="D231" s="26">
        <f>IF($P231="","",IF(INDEX(EntryParty,$P231)=0,"",INDEX(EntryParty,$P231)))</f>
        <v/>
      </c>
      <c r="E231" s="26">
        <f>IF($P231="","",IF(INDEX(EntryPartyName,$P231)=0,"",INDEX(EntryPartyName,$P231)))</f>
        <v/>
      </c>
      <c r="F231" s="26">
        <f>IF($P231="","",IF(INDEX(EntryPartyType,$P231)=0,"",INDEX(EntryPartyType,$P231)))</f>
        <v/>
      </c>
      <c r="G231" s="26">
        <f>IF($P231="","",IF(INDEX(EntryTxnType,$P231)=0,"",INDEX(EntryTxnType,$P231)))</f>
        <v/>
      </c>
      <c r="H231" s="27">
        <f>IF($P231="","",IF(INDEX(EntryDep,$P231)=0,"",INDEX(EntryDep,$P231)))</f>
        <v/>
      </c>
      <c r="I231" s="27">
        <f>IF($P231="","",IF(INDEX(EntryWit,$P231)=0,"",INDEX(EntryWit,$P231)))</f>
        <v/>
      </c>
      <c r="J231" s="27">
        <f>IF($B231="","",IF($A231=1,$C$7,IF(J230="",0,J230))+IF($H231="",0,$H231)-IF($I231="",0,$I231))</f>
        <v/>
      </c>
      <c r="K231" s="27">
        <f>IF($P231="","",IF(INDEX(EntryMan,$P231)=0,"",INDEX(EntryMan,$P231)))</f>
        <v/>
      </c>
      <c r="L231" s="26">
        <f>IF($B231="","",IF($K231="","—",IF(ROUND($K231-$J231,0)=0,"√","×")))</f>
        <v/>
      </c>
      <c r="M231" s="26">
        <f>IF($B231="","",IF(COUNTIFS(EntryDates,$B231,CalcTime,$C231,CalcBank,$C$5,EntryParty,$D231,EntryDep,$H231,EntryWit,$I231)&gt;1,"تکرار",""))</f>
        <v/>
      </c>
      <c r="N231" s="26">
        <f>IF($P231="","",IF(INDEX(EntryNotes,$P231)=0,"",INDEX(EntryNotes,$P231)))</f>
        <v/>
      </c>
      <c r="O231" s="26">
        <f>IF($P231="","",IF(INDEX(EntryTxnID,$P231)=0,"",INDEX(EntryTxnID,$P231)))</f>
        <v/>
      </c>
      <c r="P231" s="26">
        <f>IFERROR(MATCH($C$5&amp;"|"&amp;RIGHT("000000"&amp;215,6),CalcRankKey,0),"")</f>
        <v/>
      </c>
    </row>
    <row r="232">
      <c r="A232" s="28">
        <f>IF($B232="","",216)</f>
        <v/>
      </c>
      <c r="B232" s="28">
        <f>IF($P232="","",IF(INDEX(CalcNormDate,$P232)=0,"",INDEX(CalcNormDate,$P232)))</f>
        <v/>
      </c>
      <c r="C232" s="28">
        <f>IF($P232="","",IF(INDEX(CalcTime,$P232)=0,"",INDEX(CalcTime,$P232)))</f>
        <v/>
      </c>
      <c r="D232" s="28">
        <f>IF($P232="","",IF(INDEX(EntryParty,$P232)=0,"",INDEX(EntryParty,$P232)))</f>
        <v/>
      </c>
      <c r="E232" s="28">
        <f>IF($P232="","",IF(INDEX(EntryPartyName,$P232)=0,"",INDEX(EntryPartyName,$P232)))</f>
        <v/>
      </c>
      <c r="F232" s="28">
        <f>IF($P232="","",IF(INDEX(EntryPartyType,$P232)=0,"",INDEX(EntryPartyType,$P232)))</f>
        <v/>
      </c>
      <c r="G232" s="28">
        <f>IF($P232="","",IF(INDEX(EntryTxnType,$P232)=0,"",INDEX(EntryTxnType,$P232)))</f>
        <v/>
      </c>
      <c r="H232" s="29">
        <f>IF($P232="","",IF(INDEX(EntryDep,$P232)=0,"",INDEX(EntryDep,$P232)))</f>
        <v/>
      </c>
      <c r="I232" s="29">
        <f>IF($P232="","",IF(INDEX(EntryWit,$P232)=0,"",INDEX(EntryWit,$P232)))</f>
        <v/>
      </c>
      <c r="J232" s="29">
        <f>IF($B232="","",IF($A232=1,$C$7,IF(J231="",0,J231))+IF($H232="",0,$H232)-IF($I232="",0,$I232))</f>
        <v/>
      </c>
      <c r="K232" s="29">
        <f>IF($P232="","",IF(INDEX(EntryMan,$P232)=0,"",INDEX(EntryMan,$P232)))</f>
        <v/>
      </c>
      <c r="L232" s="28">
        <f>IF($B232="","",IF($K232="","—",IF(ROUND($K232-$J232,0)=0,"√","×")))</f>
        <v/>
      </c>
      <c r="M232" s="28">
        <f>IF($B232="","",IF(COUNTIFS(EntryDates,$B232,CalcTime,$C232,CalcBank,$C$5,EntryParty,$D232,EntryDep,$H232,EntryWit,$I232)&gt;1,"تکرار",""))</f>
        <v/>
      </c>
      <c r="N232" s="28">
        <f>IF($P232="","",IF(INDEX(EntryNotes,$P232)=0,"",INDEX(EntryNotes,$P232)))</f>
        <v/>
      </c>
      <c r="O232" s="28">
        <f>IF($P232="","",IF(INDEX(EntryTxnID,$P232)=0,"",INDEX(EntryTxnID,$P232)))</f>
        <v/>
      </c>
      <c r="P232" s="28">
        <f>IFERROR(MATCH($C$5&amp;"|"&amp;RIGHT("000000"&amp;216,6),CalcRankKey,0),"")</f>
        <v/>
      </c>
    </row>
    <row r="233">
      <c r="A233" s="26">
        <f>IF($B233="","",217)</f>
        <v/>
      </c>
      <c r="B233" s="26">
        <f>IF($P233="","",IF(INDEX(CalcNormDate,$P233)=0,"",INDEX(CalcNormDate,$P233)))</f>
        <v/>
      </c>
      <c r="C233" s="26">
        <f>IF($P233="","",IF(INDEX(CalcTime,$P233)=0,"",INDEX(CalcTime,$P233)))</f>
        <v/>
      </c>
      <c r="D233" s="26">
        <f>IF($P233="","",IF(INDEX(EntryParty,$P233)=0,"",INDEX(EntryParty,$P233)))</f>
        <v/>
      </c>
      <c r="E233" s="26">
        <f>IF($P233="","",IF(INDEX(EntryPartyName,$P233)=0,"",INDEX(EntryPartyName,$P233)))</f>
        <v/>
      </c>
      <c r="F233" s="26">
        <f>IF($P233="","",IF(INDEX(EntryPartyType,$P233)=0,"",INDEX(EntryPartyType,$P233)))</f>
        <v/>
      </c>
      <c r="G233" s="26">
        <f>IF($P233="","",IF(INDEX(EntryTxnType,$P233)=0,"",INDEX(EntryTxnType,$P233)))</f>
        <v/>
      </c>
      <c r="H233" s="27">
        <f>IF($P233="","",IF(INDEX(EntryDep,$P233)=0,"",INDEX(EntryDep,$P233)))</f>
        <v/>
      </c>
      <c r="I233" s="27">
        <f>IF($P233="","",IF(INDEX(EntryWit,$P233)=0,"",INDEX(EntryWit,$P233)))</f>
        <v/>
      </c>
      <c r="J233" s="27">
        <f>IF($B233="","",IF($A233=1,$C$7,IF(J232="",0,J232))+IF($H233="",0,$H233)-IF($I233="",0,$I233))</f>
        <v/>
      </c>
      <c r="K233" s="27">
        <f>IF($P233="","",IF(INDEX(EntryMan,$P233)=0,"",INDEX(EntryMan,$P233)))</f>
        <v/>
      </c>
      <c r="L233" s="26">
        <f>IF($B233="","",IF($K233="","—",IF(ROUND($K233-$J233,0)=0,"√","×")))</f>
        <v/>
      </c>
      <c r="M233" s="26">
        <f>IF($B233="","",IF(COUNTIFS(EntryDates,$B233,CalcTime,$C233,CalcBank,$C$5,EntryParty,$D233,EntryDep,$H233,EntryWit,$I233)&gt;1,"تکرار",""))</f>
        <v/>
      </c>
      <c r="N233" s="26">
        <f>IF($P233="","",IF(INDEX(EntryNotes,$P233)=0,"",INDEX(EntryNotes,$P233)))</f>
        <v/>
      </c>
      <c r="O233" s="26">
        <f>IF($P233="","",IF(INDEX(EntryTxnID,$P233)=0,"",INDEX(EntryTxnID,$P233)))</f>
        <v/>
      </c>
      <c r="P233" s="26">
        <f>IFERROR(MATCH($C$5&amp;"|"&amp;RIGHT("000000"&amp;217,6),CalcRankKey,0),"")</f>
        <v/>
      </c>
    </row>
    <row r="234">
      <c r="A234" s="28">
        <f>IF($B234="","",218)</f>
        <v/>
      </c>
      <c r="B234" s="28">
        <f>IF($P234="","",IF(INDEX(CalcNormDate,$P234)=0,"",INDEX(CalcNormDate,$P234)))</f>
        <v/>
      </c>
      <c r="C234" s="28">
        <f>IF($P234="","",IF(INDEX(CalcTime,$P234)=0,"",INDEX(CalcTime,$P234)))</f>
        <v/>
      </c>
      <c r="D234" s="28">
        <f>IF($P234="","",IF(INDEX(EntryParty,$P234)=0,"",INDEX(EntryParty,$P234)))</f>
        <v/>
      </c>
      <c r="E234" s="28">
        <f>IF($P234="","",IF(INDEX(EntryPartyName,$P234)=0,"",INDEX(EntryPartyName,$P234)))</f>
        <v/>
      </c>
      <c r="F234" s="28">
        <f>IF($P234="","",IF(INDEX(EntryPartyType,$P234)=0,"",INDEX(EntryPartyType,$P234)))</f>
        <v/>
      </c>
      <c r="G234" s="28">
        <f>IF($P234="","",IF(INDEX(EntryTxnType,$P234)=0,"",INDEX(EntryTxnType,$P234)))</f>
        <v/>
      </c>
      <c r="H234" s="29">
        <f>IF($P234="","",IF(INDEX(EntryDep,$P234)=0,"",INDEX(EntryDep,$P234)))</f>
        <v/>
      </c>
      <c r="I234" s="29">
        <f>IF($P234="","",IF(INDEX(EntryWit,$P234)=0,"",INDEX(EntryWit,$P234)))</f>
        <v/>
      </c>
      <c r="J234" s="29">
        <f>IF($B234="","",IF($A234=1,$C$7,IF(J233="",0,J233))+IF($H234="",0,$H234)-IF($I234="",0,$I234))</f>
        <v/>
      </c>
      <c r="K234" s="29">
        <f>IF($P234="","",IF(INDEX(EntryMan,$P234)=0,"",INDEX(EntryMan,$P234)))</f>
        <v/>
      </c>
      <c r="L234" s="28">
        <f>IF($B234="","",IF($K234="","—",IF(ROUND($K234-$J234,0)=0,"√","×")))</f>
        <v/>
      </c>
      <c r="M234" s="28">
        <f>IF($B234="","",IF(COUNTIFS(EntryDates,$B234,CalcTime,$C234,CalcBank,$C$5,EntryParty,$D234,EntryDep,$H234,EntryWit,$I234)&gt;1,"تکرار",""))</f>
        <v/>
      </c>
      <c r="N234" s="28">
        <f>IF($P234="","",IF(INDEX(EntryNotes,$P234)=0,"",INDEX(EntryNotes,$P234)))</f>
        <v/>
      </c>
      <c r="O234" s="28">
        <f>IF($P234="","",IF(INDEX(EntryTxnID,$P234)=0,"",INDEX(EntryTxnID,$P234)))</f>
        <v/>
      </c>
      <c r="P234" s="28">
        <f>IFERROR(MATCH($C$5&amp;"|"&amp;RIGHT("000000"&amp;218,6),CalcRankKey,0),"")</f>
        <v/>
      </c>
    </row>
    <row r="235">
      <c r="A235" s="26">
        <f>IF($B235="","",219)</f>
        <v/>
      </c>
      <c r="B235" s="26">
        <f>IF($P235="","",IF(INDEX(CalcNormDate,$P235)=0,"",INDEX(CalcNormDate,$P235)))</f>
        <v/>
      </c>
      <c r="C235" s="26">
        <f>IF($P235="","",IF(INDEX(CalcTime,$P235)=0,"",INDEX(CalcTime,$P235)))</f>
        <v/>
      </c>
      <c r="D235" s="26">
        <f>IF($P235="","",IF(INDEX(EntryParty,$P235)=0,"",INDEX(EntryParty,$P235)))</f>
        <v/>
      </c>
      <c r="E235" s="26">
        <f>IF($P235="","",IF(INDEX(EntryPartyName,$P235)=0,"",INDEX(EntryPartyName,$P235)))</f>
        <v/>
      </c>
      <c r="F235" s="26">
        <f>IF($P235="","",IF(INDEX(EntryPartyType,$P235)=0,"",INDEX(EntryPartyType,$P235)))</f>
        <v/>
      </c>
      <c r="G235" s="26">
        <f>IF($P235="","",IF(INDEX(EntryTxnType,$P235)=0,"",INDEX(EntryTxnType,$P235)))</f>
        <v/>
      </c>
      <c r="H235" s="27">
        <f>IF($P235="","",IF(INDEX(EntryDep,$P235)=0,"",INDEX(EntryDep,$P235)))</f>
        <v/>
      </c>
      <c r="I235" s="27">
        <f>IF($P235="","",IF(INDEX(EntryWit,$P235)=0,"",INDEX(EntryWit,$P235)))</f>
        <v/>
      </c>
      <c r="J235" s="27">
        <f>IF($B235="","",IF($A235=1,$C$7,IF(J234="",0,J234))+IF($H235="",0,$H235)-IF($I235="",0,$I235))</f>
        <v/>
      </c>
      <c r="K235" s="27">
        <f>IF($P235="","",IF(INDEX(EntryMan,$P235)=0,"",INDEX(EntryMan,$P235)))</f>
        <v/>
      </c>
      <c r="L235" s="26">
        <f>IF($B235="","",IF($K235="","—",IF(ROUND($K235-$J235,0)=0,"√","×")))</f>
        <v/>
      </c>
      <c r="M235" s="26">
        <f>IF($B235="","",IF(COUNTIFS(EntryDates,$B235,CalcTime,$C235,CalcBank,$C$5,EntryParty,$D235,EntryDep,$H235,EntryWit,$I235)&gt;1,"تکرار",""))</f>
        <v/>
      </c>
      <c r="N235" s="26">
        <f>IF($P235="","",IF(INDEX(EntryNotes,$P235)=0,"",INDEX(EntryNotes,$P235)))</f>
        <v/>
      </c>
      <c r="O235" s="26">
        <f>IF($P235="","",IF(INDEX(EntryTxnID,$P235)=0,"",INDEX(EntryTxnID,$P235)))</f>
        <v/>
      </c>
      <c r="P235" s="26">
        <f>IFERROR(MATCH($C$5&amp;"|"&amp;RIGHT("000000"&amp;219,6),CalcRankKey,0),"")</f>
        <v/>
      </c>
    </row>
    <row r="236">
      <c r="A236" s="28">
        <f>IF($B236="","",220)</f>
        <v/>
      </c>
      <c r="B236" s="28">
        <f>IF($P236="","",IF(INDEX(CalcNormDate,$P236)=0,"",INDEX(CalcNormDate,$P236)))</f>
        <v/>
      </c>
      <c r="C236" s="28">
        <f>IF($P236="","",IF(INDEX(CalcTime,$P236)=0,"",INDEX(CalcTime,$P236)))</f>
        <v/>
      </c>
      <c r="D236" s="28">
        <f>IF($P236="","",IF(INDEX(EntryParty,$P236)=0,"",INDEX(EntryParty,$P236)))</f>
        <v/>
      </c>
      <c r="E236" s="28">
        <f>IF($P236="","",IF(INDEX(EntryPartyName,$P236)=0,"",INDEX(EntryPartyName,$P236)))</f>
        <v/>
      </c>
      <c r="F236" s="28">
        <f>IF($P236="","",IF(INDEX(EntryPartyType,$P236)=0,"",INDEX(EntryPartyType,$P236)))</f>
        <v/>
      </c>
      <c r="G236" s="28">
        <f>IF($P236="","",IF(INDEX(EntryTxnType,$P236)=0,"",INDEX(EntryTxnType,$P236)))</f>
        <v/>
      </c>
      <c r="H236" s="29">
        <f>IF($P236="","",IF(INDEX(EntryDep,$P236)=0,"",INDEX(EntryDep,$P236)))</f>
        <v/>
      </c>
      <c r="I236" s="29">
        <f>IF($P236="","",IF(INDEX(EntryWit,$P236)=0,"",INDEX(EntryWit,$P236)))</f>
        <v/>
      </c>
      <c r="J236" s="29">
        <f>IF($B236="","",IF($A236=1,$C$7,IF(J235="",0,J235))+IF($H236="",0,$H236)-IF($I236="",0,$I236))</f>
        <v/>
      </c>
      <c r="K236" s="29">
        <f>IF($P236="","",IF(INDEX(EntryMan,$P236)=0,"",INDEX(EntryMan,$P236)))</f>
        <v/>
      </c>
      <c r="L236" s="28">
        <f>IF($B236="","",IF($K236="","—",IF(ROUND($K236-$J236,0)=0,"√","×")))</f>
        <v/>
      </c>
      <c r="M236" s="28">
        <f>IF($B236="","",IF(COUNTIFS(EntryDates,$B236,CalcTime,$C236,CalcBank,$C$5,EntryParty,$D236,EntryDep,$H236,EntryWit,$I236)&gt;1,"تکرار",""))</f>
        <v/>
      </c>
      <c r="N236" s="28">
        <f>IF($P236="","",IF(INDEX(EntryNotes,$P236)=0,"",INDEX(EntryNotes,$P236)))</f>
        <v/>
      </c>
      <c r="O236" s="28">
        <f>IF($P236="","",IF(INDEX(EntryTxnID,$P236)=0,"",INDEX(EntryTxnID,$P236)))</f>
        <v/>
      </c>
      <c r="P236" s="28">
        <f>IFERROR(MATCH($C$5&amp;"|"&amp;RIGHT("000000"&amp;220,6),CalcRankKey,0),"")</f>
        <v/>
      </c>
    </row>
    <row r="237">
      <c r="A237" s="26">
        <f>IF($B237="","",221)</f>
        <v/>
      </c>
      <c r="B237" s="26">
        <f>IF($P237="","",IF(INDEX(CalcNormDate,$P237)=0,"",INDEX(CalcNormDate,$P237)))</f>
        <v/>
      </c>
      <c r="C237" s="26">
        <f>IF($P237="","",IF(INDEX(CalcTime,$P237)=0,"",INDEX(CalcTime,$P237)))</f>
        <v/>
      </c>
      <c r="D237" s="26">
        <f>IF($P237="","",IF(INDEX(EntryParty,$P237)=0,"",INDEX(EntryParty,$P237)))</f>
        <v/>
      </c>
      <c r="E237" s="26">
        <f>IF($P237="","",IF(INDEX(EntryPartyName,$P237)=0,"",INDEX(EntryPartyName,$P237)))</f>
        <v/>
      </c>
      <c r="F237" s="26">
        <f>IF($P237="","",IF(INDEX(EntryPartyType,$P237)=0,"",INDEX(EntryPartyType,$P237)))</f>
        <v/>
      </c>
      <c r="G237" s="26">
        <f>IF($P237="","",IF(INDEX(EntryTxnType,$P237)=0,"",INDEX(EntryTxnType,$P237)))</f>
        <v/>
      </c>
      <c r="H237" s="27">
        <f>IF($P237="","",IF(INDEX(EntryDep,$P237)=0,"",INDEX(EntryDep,$P237)))</f>
        <v/>
      </c>
      <c r="I237" s="27">
        <f>IF($P237="","",IF(INDEX(EntryWit,$P237)=0,"",INDEX(EntryWit,$P237)))</f>
        <v/>
      </c>
      <c r="J237" s="27">
        <f>IF($B237="","",IF($A237=1,$C$7,IF(J236="",0,J236))+IF($H237="",0,$H237)-IF($I237="",0,$I237))</f>
        <v/>
      </c>
      <c r="K237" s="27">
        <f>IF($P237="","",IF(INDEX(EntryMan,$P237)=0,"",INDEX(EntryMan,$P237)))</f>
        <v/>
      </c>
      <c r="L237" s="26">
        <f>IF($B237="","",IF($K237="","—",IF(ROUND($K237-$J237,0)=0,"√","×")))</f>
        <v/>
      </c>
      <c r="M237" s="26">
        <f>IF($B237="","",IF(COUNTIFS(EntryDates,$B237,CalcTime,$C237,CalcBank,$C$5,EntryParty,$D237,EntryDep,$H237,EntryWit,$I237)&gt;1,"تکرار",""))</f>
        <v/>
      </c>
      <c r="N237" s="26">
        <f>IF($P237="","",IF(INDEX(EntryNotes,$P237)=0,"",INDEX(EntryNotes,$P237)))</f>
        <v/>
      </c>
      <c r="O237" s="26">
        <f>IF($P237="","",IF(INDEX(EntryTxnID,$P237)=0,"",INDEX(EntryTxnID,$P237)))</f>
        <v/>
      </c>
      <c r="P237" s="26">
        <f>IFERROR(MATCH($C$5&amp;"|"&amp;RIGHT("000000"&amp;221,6),CalcRankKey,0),"")</f>
        <v/>
      </c>
    </row>
    <row r="238">
      <c r="A238" s="28">
        <f>IF($B238="","",222)</f>
        <v/>
      </c>
      <c r="B238" s="28">
        <f>IF($P238="","",IF(INDEX(CalcNormDate,$P238)=0,"",INDEX(CalcNormDate,$P238)))</f>
        <v/>
      </c>
      <c r="C238" s="28">
        <f>IF($P238="","",IF(INDEX(CalcTime,$P238)=0,"",INDEX(CalcTime,$P238)))</f>
        <v/>
      </c>
      <c r="D238" s="28">
        <f>IF($P238="","",IF(INDEX(EntryParty,$P238)=0,"",INDEX(EntryParty,$P238)))</f>
        <v/>
      </c>
      <c r="E238" s="28">
        <f>IF($P238="","",IF(INDEX(EntryPartyName,$P238)=0,"",INDEX(EntryPartyName,$P238)))</f>
        <v/>
      </c>
      <c r="F238" s="28">
        <f>IF($P238="","",IF(INDEX(EntryPartyType,$P238)=0,"",INDEX(EntryPartyType,$P238)))</f>
        <v/>
      </c>
      <c r="G238" s="28">
        <f>IF($P238="","",IF(INDEX(EntryTxnType,$P238)=0,"",INDEX(EntryTxnType,$P238)))</f>
        <v/>
      </c>
      <c r="H238" s="29">
        <f>IF($P238="","",IF(INDEX(EntryDep,$P238)=0,"",INDEX(EntryDep,$P238)))</f>
        <v/>
      </c>
      <c r="I238" s="29">
        <f>IF($P238="","",IF(INDEX(EntryWit,$P238)=0,"",INDEX(EntryWit,$P238)))</f>
        <v/>
      </c>
      <c r="J238" s="29">
        <f>IF($B238="","",IF($A238=1,$C$7,IF(J237="",0,J237))+IF($H238="",0,$H238)-IF($I238="",0,$I238))</f>
        <v/>
      </c>
      <c r="K238" s="29">
        <f>IF($P238="","",IF(INDEX(EntryMan,$P238)=0,"",INDEX(EntryMan,$P238)))</f>
        <v/>
      </c>
      <c r="L238" s="28">
        <f>IF($B238="","",IF($K238="","—",IF(ROUND($K238-$J238,0)=0,"√","×")))</f>
        <v/>
      </c>
      <c r="M238" s="28">
        <f>IF($B238="","",IF(COUNTIFS(EntryDates,$B238,CalcTime,$C238,CalcBank,$C$5,EntryParty,$D238,EntryDep,$H238,EntryWit,$I238)&gt;1,"تکرار",""))</f>
        <v/>
      </c>
      <c r="N238" s="28">
        <f>IF($P238="","",IF(INDEX(EntryNotes,$P238)=0,"",INDEX(EntryNotes,$P238)))</f>
        <v/>
      </c>
      <c r="O238" s="28">
        <f>IF($P238="","",IF(INDEX(EntryTxnID,$P238)=0,"",INDEX(EntryTxnID,$P238)))</f>
        <v/>
      </c>
      <c r="P238" s="28">
        <f>IFERROR(MATCH($C$5&amp;"|"&amp;RIGHT("000000"&amp;222,6),CalcRankKey,0),"")</f>
        <v/>
      </c>
    </row>
    <row r="239">
      <c r="A239" s="26">
        <f>IF($B239="","",223)</f>
        <v/>
      </c>
      <c r="B239" s="26">
        <f>IF($P239="","",IF(INDEX(CalcNormDate,$P239)=0,"",INDEX(CalcNormDate,$P239)))</f>
        <v/>
      </c>
      <c r="C239" s="26">
        <f>IF($P239="","",IF(INDEX(CalcTime,$P239)=0,"",INDEX(CalcTime,$P239)))</f>
        <v/>
      </c>
      <c r="D239" s="26">
        <f>IF($P239="","",IF(INDEX(EntryParty,$P239)=0,"",INDEX(EntryParty,$P239)))</f>
        <v/>
      </c>
      <c r="E239" s="26">
        <f>IF($P239="","",IF(INDEX(EntryPartyName,$P239)=0,"",INDEX(EntryPartyName,$P239)))</f>
        <v/>
      </c>
      <c r="F239" s="26">
        <f>IF($P239="","",IF(INDEX(EntryPartyType,$P239)=0,"",INDEX(EntryPartyType,$P239)))</f>
        <v/>
      </c>
      <c r="G239" s="26">
        <f>IF($P239="","",IF(INDEX(EntryTxnType,$P239)=0,"",INDEX(EntryTxnType,$P239)))</f>
        <v/>
      </c>
      <c r="H239" s="27">
        <f>IF($P239="","",IF(INDEX(EntryDep,$P239)=0,"",INDEX(EntryDep,$P239)))</f>
        <v/>
      </c>
      <c r="I239" s="27">
        <f>IF($P239="","",IF(INDEX(EntryWit,$P239)=0,"",INDEX(EntryWit,$P239)))</f>
        <v/>
      </c>
      <c r="J239" s="27">
        <f>IF($B239="","",IF($A239=1,$C$7,IF(J238="",0,J238))+IF($H239="",0,$H239)-IF($I239="",0,$I239))</f>
        <v/>
      </c>
      <c r="K239" s="27">
        <f>IF($P239="","",IF(INDEX(EntryMan,$P239)=0,"",INDEX(EntryMan,$P239)))</f>
        <v/>
      </c>
      <c r="L239" s="26">
        <f>IF($B239="","",IF($K239="","—",IF(ROUND($K239-$J239,0)=0,"√","×")))</f>
        <v/>
      </c>
      <c r="M239" s="26">
        <f>IF($B239="","",IF(COUNTIFS(EntryDates,$B239,CalcTime,$C239,CalcBank,$C$5,EntryParty,$D239,EntryDep,$H239,EntryWit,$I239)&gt;1,"تکرار",""))</f>
        <v/>
      </c>
      <c r="N239" s="26">
        <f>IF($P239="","",IF(INDEX(EntryNotes,$P239)=0,"",INDEX(EntryNotes,$P239)))</f>
        <v/>
      </c>
      <c r="O239" s="26">
        <f>IF($P239="","",IF(INDEX(EntryTxnID,$P239)=0,"",INDEX(EntryTxnID,$P239)))</f>
        <v/>
      </c>
      <c r="P239" s="26">
        <f>IFERROR(MATCH($C$5&amp;"|"&amp;RIGHT("000000"&amp;223,6),CalcRankKey,0),"")</f>
        <v/>
      </c>
    </row>
    <row r="240">
      <c r="A240" s="28">
        <f>IF($B240="","",224)</f>
        <v/>
      </c>
      <c r="B240" s="28">
        <f>IF($P240="","",IF(INDEX(CalcNormDate,$P240)=0,"",INDEX(CalcNormDate,$P240)))</f>
        <v/>
      </c>
      <c r="C240" s="28">
        <f>IF($P240="","",IF(INDEX(CalcTime,$P240)=0,"",INDEX(CalcTime,$P240)))</f>
        <v/>
      </c>
      <c r="D240" s="28">
        <f>IF($P240="","",IF(INDEX(EntryParty,$P240)=0,"",INDEX(EntryParty,$P240)))</f>
        <v/>
      </c>
      <c r="E240" s="28">
        <f>IF($P240="","",IF(INDEX(EntryPartyName,$P240)=0,"",INDEX(EntryPartyName,$P240)))</f>
        <v/>
      </c>
      <c r="F240" s="28">
        <f>IF($P240="","",IF(INDEX(EntryPartyType,$P240)=0,"",INDEX(EntryPartyType,$P240)))</f>
        <v/>
      </c>
      <c r="G240" s="28">
        <f>IF($P240="","",IF(INDEX(EntryTxnType,$P240)=0,"",INDEX(EntryTxnType,$P240)))</f>
        <v/>
      </c>
      <c r="H240" s="29">
        <f>IF($P240="","",IF(INDEX(EntryDep,$P240)=0,"",INDEX(EntryDep,$P240)))</f>
        <v/>
      </c>
      <c r="I240" s="29">
        <f>IF($P240="","",IF(INDEX(EntryWit,$P240)=0,"",INDEX(EntryWit,$P240)))</f>
        <v/>
      </c>
      <c r="J240" s="29">
        <f>IF($B240="","",IF($A240=1,$C$7,IF(J239="",0,J239))+IF($H240="",0,$H240)-IF($I240="",0,$I240))</f>
        <v/>
      </c>
      <c r="K240" s="29">
        <f>IF($P240="","",IF(INDEX(EntryMan,$P240)=0,"",INDEX(EntryMan,$P240)))</f>
        <v/>
      </c>
      <c r="L240" s="28">
        <f>IF($B240="","",IF($K240="","—",IF(ROUND($K240-$J240,0)=0,"√","×")))</f>
        <v/>
      </c>
      <c r="M240" s="28">
        <f>IF($B240="","",IF(COUNTIFS(EntryDates,$B240,CalcTime,$C240,CalcBank,$C$5,EntryParty,$D240,EntryDep,$H240,EntryWit,$I240)&gt;1,"تکرار",""))</f>
        <v/>
      </c>
      <c r="N240" s="28">
        <f>IF($P240="","",IF(INDEX(EntryNotes,$P240)=0,"",INDEX(EntryNotes,$P240)))</f>
        <v/>
      </c>
      <c r="O240" s="28">
        <f>IF($P240="","",IF(INDEX(EntryTxnID,$P240)=0,"",INDEX(EntryTxnID,$P240)))</f>
        <v/>
      </c>
      <c r="P240" s="28">
        <f>IFERROR(MATCH($C$5&amp;"|"&amp;RIGHT("000000"&amp;224,6),CalcRankKey,0),"")</f>
        <v/>
      </c>
    </row>
    <row r="241">
      <c r="A241" s="26">
        <f>IF($B241="","",225)</f>
        <v/>
      </c>
      <c r="B241" s="26">
        <f>IF($P241="","",IF(INDEX(CalcNormDate,$P241)=0,"",INDEX(CalcNormDate,$P241)))</f>
        <v/>
      </c>
      <c r="C241" s="26">
        <f>IF($P241="","",IF(INDEX(CalcTime,$P241)=0,"",INDEX(CalcTime,$P241)))</f>
        <v/>
      </c>
      <c r="D241" s="26">
        <f>IF($P241="","",IF(INDEX(EntryParty,$P241)=0,"",INDEX(EntryParty,$P241)))</f>
        <v/>
      </c>
      <c r="E241" s="26">
        <f>IF($P241="","",IF(INDEX(EntryPartyName,$P241)=0,"",INDEX(EntryPartyName,$P241)))</f>
        <v/>
      </c>
      <c r="F241" s="26">
        <f>IF($P241="","",IF(INDEX(EntryPartyType,$P241)=0,"",INDEX(EntryPartyType,$P241)))</f>
        <v/>
      </c>
      <c r="G241" s="26">
        <f>IF($P241="","",IF(INDEX(EntryTxnType,$P241)=0,"",INDEX(EntryTxnType,$P241)))</f>
        <v/>
      </c>
      <c r="H241" s="27">
        <f>IF($P241="","",IF(INDEX(EntryDep,$P241)=0,"",INDEX(EntryDep,$P241)))</f>
        <v/>
      </c>
      <c r="I241" s="27">
        <f>IF($P241="","",IF(INDEX(EntryWit,$P241)=0,"",INDEX(EntryWit,$P241)))</f>
        <v/>
      </c>
      <c r="J241" s="27">
        <f>IF($B241="","",IF($A241=1,$C$7,IF(J240="",0,J240))+IF($H241="",0,$H241)-IF($I241="",0,$I241))</f>
        <v/>
      </c>
      <c r="K241" s="27">
        <f>IF($P241="","",IF(INDEX(EntryMan,$P241)=0,"",INDEX(EntryMan,$P241)))</f>
        <v/>
      </c>
      <c r="L241" s="26">
        <f>IF($B241="","",IF($K241="","—",IF(ROUND($K241-$J241,0)=0,"√","×")))</f>
        <v/>
      </c>
      <c r="M241" s="26">
        <f>IF($B241="","",IF(COUNTIFS(EntryDates,$B241,CalcTime,$C241,CalcBank,$C$5,EntryParty,$D241,EntryDep,$H241,EntryWit,$I241)&gt;1,"تکرار",""))</f>
        <v/>
      </c>
      <c r="N241" s="26">
        <f>IF($P241="","",IF(INDEX(EntryNotes,$P241)=0,"",INDEX(EntryNotes,$P241)))</f>
        <v/>
      </c>
      <c r="O241" s="26">
        <f>IF($P241="","",IF(INDEX(EntryTxnID,$P241)=0,"",INDEX(EntryTxnID,$P241)))</f>
        <v/>
      </c>
      <c r="P241" s="26">
        <f>IFERROR(MATCH($C$5&amp;"|"&amp;RIGHT("000000"&amp;225,6),CalcRankKey,0),"")</f>
        <v/>
      </c>
    </row>
    <row r="242">
      <c r="A242" s="28">
        <f>IF($B242="","",226)</f>
        <v/>
      </c>
      <c r="B242" s="28">
        <f>IF($P242="","",IF(INDEX(CalcNormDate,$P242)=0,"",INDEX(CalcNormDate,$P242)))</f>
        <v/>
      </c>
      <c r="C242" s="28">
        <f>IF($P242="","",IF(INDEX(CalcTime,$P242)=0,"",INDEX(CalcTime,$P242)))</f>
        <v/>
      </c>
      <c r="D242" s="28">
        <f>IF($P242="","",IF(INDEX(EntryParty,$P242)=0,"",INDEX(EntryParty,$P242)))</f>
        <v/>
      </c>
      <c r="E242" s="28">
        <f>IF($P242="","",IF(INDEX(EntryPartyName,$P242)=0,"",INDEX(EntryPartyName,$P242)))</f>
        <v/>
      </c>
      <c r="F242" s="28">
        <f>IF($P242="","",IF(INDEX(EntryPartyType,$P242)=0,"",INDEX(EntryPartyType,$P242)))</f>
        <v/>
      </c>
      <c r="G242" s="28">
        <f>IF($P242="","",IF(INDEX(EntryTxnType,$P242)=0,"",INDEX(EntryTxnType,$P242)))</f>
        <v/>
      </c>
      <c r="H242" s="29">
        <f>IF($P242="","",IF(INDEX(EntryDep,$P242)=0,"",INDEX(EntryDep,$P242)))</f>
        <v/>
      </c>
      <c r="I242" s="29">
        <f>IF($P242="","",IF(INDEX(EntryWit,$P242)=0,"",INDEX(EntryWit,$P242)))</f>
        <v/>
      </c>
      <c r="J242" s="29">
        <f>IF($B242="","",IF($A242=1,$C$7,IF(J241="",0,J241))+IF($H242="",0,$H242)-IF($I242="",0,$I242))</f>
        <v/>
      </c>
      <c r="K242" s="29">
        <f>IF($P242="","",IF(INDEX(EntryMan,$P242)=0,"",INDEX(EntryMan,$P242)))</f>
        <v/>
      </c>
      <c r="L242" s="28">
        <f>IF($B242="","",IF($K242="","—",IF(ROUND($K242-$J242,0)=0,"√","×")))</f>
        <v/>
      </c>
      <c r="M242" s="28">
        <f>IF($B242="","",IF(COUNTIFS(EntryDates,$B242,CalcTime,$C242,CalcBank,$C$5,EntryParty,$D242,EntryDep,$H242,EntryWit,$I242)&gt;1,"تکرار",""))</f>
        <v/>
      </c>
      <c r="N242" s="28">
        <f>IF($P242="","",IF(INDEX(EntryNotes,$P242)=0,"",INDEX(EntryNotes,$P242)))</f>
        <v/>
      </c>
      <c r="O242" s="28">
        <f>IF($P242="","",IF(INDEX(EntryTxnID,$P242)=0,"",INDEX(EntryTxnID,$P242)))</f>
        <v/>
      </c>
      <c r="P242" s="28">
        <f>IFERROR(MATCH($C$5&amp;"|"&amp;RIGHT("000000"&amp;226,6),CalcRankKey,0),"")</f>
        <v/>
      </c>
    </row>
    <row r="243">
      <c r="A243" s="26">
        <f>IF($B243="","",227)</f>
        <v/>
      </c>
      <c r="B243" s="26">
        <f>IF($P243="","",IF(INDEX(CalcNormDate,$P243)=0,"",INDEX(CalcNormDate,$P243)))</f>
        <v/>
      </c>
      <c r="C243" s="26">
        <f>IF($P243="","",IF(INDEX(CalcTime,$P243)=0,"",INDEX(CalcTime,$P243)))</f>
        <v/>
      </c>
      <c r="D243" s="26">
        <f>IF($P243="","",IF(INDEX(EntryParty,$P243)=0,"",INDEX(EntryParty,$P243)))</f>
        <v/>
      </c>
      <c r="E243" s="26">
        <f>IF($P243="","",IF(INDEX(EntryPartyName,$P243)=0,"",INDEX(EntryPartyName,$P243)))</f>
        <v/>
      </c>
      <c r="F243" s="26">
        <f>IF($P243="","",IF(INDEX(EntryPartyType,$P243)=0,"",INDEX(EntryPartyType,$P243)))</f>
        <v/>
      </c>
      <c r="G243" s="26">
        <f>IF($P243="","",IF(INDEX(EntryTxnType,$P243)=0,"",INDEX(EntryTxnType,$P243)))</f>
        <v/>
      </c>
      <c r="H243" s="27">
        <f>IF($P243="","",IF(INDEX(EntryDep,$P243)=0,"",INDEX(EntryDep,$P243)))</f>
        <v/>
      </c>
      <c r="I243" s="27">
        <f>IF($P243="","",IF(INDEX(EntryWit,$P243)=0,"",INDEX(EntryWit,$P243)))</f>
        <v/>
      </c>
      <c r="J243" s="27">
        <f>IF($B243="","",IF($A243=1,$C$7,IF(J242="",0,J242))+IF($H243="",0,$H243)-IF($I243="",0,$I243))</f>
        <v/>
      </c>
      <c r="K243" s="27">
        <f>IF($P243="","",IF(INDEX(EntryMan,$P243)=0,"",INDEX(EntryMan,$P243)))</f>
        <v/>
      </c>
      <c r="L243" s="26">
        <f>IF($B243="","",IF($K243="","—",IF(ROUND($K243-$J243,0)=0,"√","×")))</f>
        <v/>
      </c>
      <c r="M243" s="26">
        <f>IF($B243="","",IF(COUNTIFS(EntryDates,$B243,CalcTime,$C243,CalcBank,$C$5,EntryParty,$D243,EntryDep,$H243,EntryWit,$I243)&gt;1,"تکرار",""))</f>
        <v/>
      </c>
      <c r="N243" s="26">
        <f>IF($P243="","",IF(INDEX(EntryNotes,$P243)=0,"",INDEX(EntryNotes,$P243)))</f>
        <v/>
      </c>
      <c r="O243" s="26">
        <f>IF($P243="","",IF(INDEX(EntryTxnID,$P243)=0,"",INDEX(EntryTxnID,$P243)))</f>
        <v/>
      </c>
      <c r="P243" s="26">
        <f>IFERROR(MATCH($C$5&amp;"|"&amp;RIGHT("000000"&amp;227,6),CalcRankKey,0),"")</f>
        <v/>
      </c>
    </row>
    <row r="244">
      <c r="A244" s="28">
        <f>IF($B244="","",228)</f>
        <v/>
      </c>
      <c r="B244" s="28">
        <f>IF($P244="","",IF(INDEX(CalcNormDate,$P244)=0,"",INDEX(CalcNormDate,$P244)))</f>
        <v/>
      </c>
      <c r="C244" s="28">
        <f>IF($P244="","",IF(INDEX(CalcTime,$P244)=0,"",INDEX(CalcTime,$P244)))</f>
        <v/>
      </c>
      <c r="D244" s="28">
        <f>IF($P244="","",IF(INDEX(EntryParty,$P244)=0,"",INDEX(EntryParty,$P244)))</f>
        <v/>
      </c>
      <c r="E244" s="28">
        <f>IF($P244="","",IF(INDEX(EntryPartyName,$P244)=0,"",INDEX(EntryPartyName,$P244)))</f>
        <v/>
      </c>
      <c r="F244" s="28">
        <f>IF($P244="","",IF(INDEX(EntryPartyType,$P244)=0,"",INDEX(EntryPartyType,$P244)))</f>
        <v/>
      </c>
      <c r="G244" s="28">
        <f>IF($P244="","",IF(INDEX(EntryTxnType,$P244)=0,"",INDEX(EntryTxnType,$P244)))</f>
        <v/>
      </c>
      <c r="H244" s="29">
        <f>IF($P244="","",IF(INDEX(EntryDep,$P244)=0,"",INDEX(EntryDep,$P244)))</f>
        <v/>
      </c>
      <c r="I244" s="29">
        <f>IF($P244="","",IF(INDEX(EntryWit,$P244)=0,"",INDEX(EntryWit,$P244)))</f>
        <v/>
      </c>
      <c r="J244" s="29">
        <f>IF($B244="","",IF($A244=1,$C$7,IF(J243="",0,J243))+IF($H244="",0,$H244)-IF($I244="",0,$I244))</f>
        <v/>
      </c>
      <c r="K244" s="29">
        <f>IF($P244="","",IF(INDEX(EntryMan,$P244)=0,"",INDEX(EntryMan,$P244)))</f>
        <v/>
      </c>
      <c r="L244" s="28">
        <f>IF($B244="","",IF($K244="","—",IF(ROUND($K244-$J244,0)=0,"√","×")))</f>
        <v/>
      </c>
      <c r="M244" s="28">
        <f>IF($B244="","",IF(COUNTIFS(EntryDates,$B244,CalcTime,$C244,CalcBank,$C$5,EntryParty,$D244,EntryDep,$H244,EntryWit,$I244)&gt;1,"تکرار",""))</f>
        <v/>
      </c>
      <c r="N244" s="28">
        <f>IF($P244="","",IF(INDEX(EntryNotes,$P244)=0,"",INDEX(EntryNotes,$P244)))</f>
        <v/>
      </c>
      <c r="O244" s="28">
        <f>IF($P244="","",IF(INDEX(EntryTxnID,$P244)=0,"",INDEX(EntryTxnID,$P244)))</f>
        <v/>
      </c>
      <c r="P244" s="28">
        <f>IFERROR(MATCH($C$5&amp;"|"&amp;RIGHT("000000"&amp;228,6),CalcRankKey,0),"")</f>
        <v/>
      </c>
    </row>
    <row r="245">
      <c r="A245" s="26">
        <f>IF($B245="","",229)</f>
        <v/>
      </c>
      <c r="B245" s="26">
        <f>IF($P245="","",IF(INDEX(CalcNormDate,$P245)=0,"",INDEX(CalcNormDate,$P245)))</f>
        <v/>
      </c>
      <c r="C245" s="26">
        <f>IF($P245="","",IF(INDEX(CalcTime,$P245)=0,"",INDEX(CalcTime,$P245)))</f>
        <v/>
      </c>
      <c r="D245" s="26">
        <f>IF($P245="","",IF(INDEX(EntryParty,$P245)=0,"",INDEX(EntryParty,$P245)))</f>
        <v/>
      </c>
      <c r="E245" s="26">
        <f>IF($P245="","",IF(INDEX(EntryPartyName,$P245)=0,"",INDEX(EntryPartyName,$P245)))</f>
        <v/>
      </c>
      <c r="F245" s="26">
        <f>IF($P245="","",IF(INDEX(EntryPartyType,$P245)=0,"",INDEX(EntryPartyType,$P245)))</f>
        <v/>
      </c>
      <c r="G245" s="26">
        <f>IF($P245="","",IF(INDEX(EntryTxnType,$P245)=0,"",INDEX(EntryTxnType,$P245)))</f>
        <v/>
      </c>
      <c r="H245" s="27">
        <f>IF($P245="","",IF(INDEX(EntryDep,$P245)=0,"",INDEX(EntryDep,$P245)))</f>
        <v/>
      </c>
      <c r="I245" s="27">
        <f>IF($P245="","",IF(INDEX(EntryWit,$P245)=0,"",INDEX(EntryWit,$P245)))</f>
        <v/>
      </c>
      <c r="J245" s="27">
        <f>IF($B245="","",IF($A245=1,$C$7,IF(J244="",0,J244))+IF($H245="",0,$H245)-IF($I245="",0,$I245))</f>
        <v/>
      </c>
      <c r="K245" s="27">
        <f>IF($P245="","",IF(INDEX(EntryMan,$P245)=0,"",INDEX(EntryMan,$P245)))</f>
        <v/>
      </c>
      <c r="L245" s="26">
        <f>IF($B245="","",IF($K245="","—",IF(ROUND($K245-$J245,0)=0,"√","×")))</f>
        <v/>
      </c>
      <c r="M245" s="26">
        <f>IF($B245="","",IF(COUNTIFS(EntryDates,$B245,CalcTime,$C245,CalcBank,$C$5,EntryParty,$D245,EntryDep,$H245,EntryWit,$I245)&gt;1,"تکرار",""))</f>
        <v/>
      </c>
      <c r="N245" s="26">
        <f>IF($P245="","",IF(INDEX(EntryNotes,$P245)=0,"",INDEX(EntryNotes,$P245)))</f>
        <v/>
      </c>
      <c r="O245" s="26">
        <f>IF($P245="","",IF(INDEX(EntryTxnID,$P245)=0,"",INDEX(EntryTxnID,$P245)))</f>
        <v/>
      </c>
      <c r="P245" s="26">
        <f>IFERROR(MATCH($C$5&amp;"|"&amp;RIGHT("000000"&amp;229,6),CalcRankKey,0),"")</f>
        <v/>
      </c>
    </row>
    <row r="246">
      <c r="A246" s="28">
        <f>IF($B246="","",230)</f>
        <v/>
      </c>
      <c r="B246" s="28">
        <f>IF($P246="","",IF(INDEX(CalcNormDate,$P246)=0,"",INDEX(CalcNormDate,$P246)))</f>
        <v/>
      </c>
      <c r="C246" s="28">
        <f>IF($P246="","",IF(INDEX(CalcTime,$P246)=0,"",INDEX(CalcTime,$P246)))</f>
        <v/>
      </c>
      <c r="D246" s="28">
        <f>IF($P246="","",IF(INDEX(EntryParty,$P246)=0,"",INDEX(EntryParty,$P246)))</f>
        <v/>
      </c>
      <c r="E246" s="28">
        <f>IF($P246="","",IF(INDEX(EntryPartyName,$P246)=0,"",INDEX(EntryPartyName,$P246)))</f>
        <v/>
      </c>
      <c r="F246" s="28">
        <f>IF($P246="","",IF(INDEX(EntryPartyType,$P246)=0,"",INDEX(EntryPartyType,$P246)))</f>
        <v/>
      </c>
      <c r="G246" s="28">
        <f>IF($P246="","",IF(INDEX(EntryTxnType,$P246)=0,"",INDEX(EntryTxnType,$P246)))</f>
        <v/>
      </c>
      <c r="H246" s="29">
        <f>IF($P246="","",IF(INDEX(EntryDep,$P246)=0,"",INDEX(EntryDep,$P246)))</f>
        <v/>
      </c>
      <c r="I246" s="29">
        <f>IF($P246="","",IF(INDEX(EntryWit,$P246)=0,"",INDEX(EntryWit,$P246)))</f>
        <v/>
      </c>
      <c r="J246" s="29">
        <f>IF($B246="","",IF($A246=1,$C$7,IF(J245="",0,J245))+IF($H246="",0,$H246)-IF($I246="",0,$I246))</f>
        <v/>
      </c>
      <c r="K246" s="29">
        <f>IF($P246="","",IF(INDEX(EntryMan,$P246)=0,"",INDEX(EntryMan,$P246)))</f>
        <v/>
      </c>
      <c r="L246" s="28">
        <f>IF($B246="","",IF($K246="","—",IF(ROUND($K246-$J246,0)=0,"√","×")))</f>
        <v/>
      </c>
      <c r="M246" s="28">
        <f>IF($B246="","",IF(COUNTIFS(EntryDates,$B246,CalcTime,$C246,CalcBank,$C$5,EntryParty,$D246,EntryDep,$H246,EntryWit,$I246)&gt;1,"تکرار",""))</f>
        <v/>
      </c>
      <c r="N246" s="28">
        <f>IF($P246="","",IF(INDEX(EntryNotes,$P246)=0,"",INDEX(EntryNotes,$P246)))</f>
        <v/>
      </c>
      <c r="O246" s="28">
        <f>IF($P246="","",IF(INDEX(EntryTxnID,$P246)=0,"",INDEX(EntryTxnID,$P246)))</f>
        <v/>
      </c>
      <c r="P246" s="28">
        <f>IFERROR(MATCH($C$5&amp;"|"&amp;RIGHT("000000"&amp;230,6),CalcRankKey,0),"")</f>
        <v/>
      </c>
    </row>
    <row r="247">
      <c r="A247" s="26">
        <f>IF($B247="","",231)</f>
        <v/>
      </c>
      <c r="B247" s="26">
        <f>IF($P247="","",IF(INDEX(CalcNormDate,$P247)=0,"",INDEX(CalcNormDate,$P247)))</f>
        <v/>
      </c>
      <c r="C247" s="26">
        <f>IF($P247="","",IF(INDEX(CalcTime,$P247)=0,"",INDEX(CalcTime,$P247)))</f>
        <v/>
      </c>
      <c r="D247" s="26">
        <f>IF($P247="","",IF(INDEX(EntryParty,$P247)=0,"",INDEX(EntryParty,$P247)))</f>
        <v/>
      </c>
      <c r="E247" s="26">
        <f>IF($P247="","",IF(INDEX(EntryPartyName,$P247)=0,"",INDEX(EntryPartyName,$P247)))</f>
        <v/>
      </c>
      <c r="F247" s="26">
        <f>IF($P247="","",IF(INDEX(EntryPartyType,$P247)=0,"",INDEX(EntryPartyType,$P247)))</f>
        <v/>
      </c>
      <c r="G247" s="26">
        <f>IF($P247="","",IF(INDEX(EntryTxnType,$P247)=0,"",INDEX(EntryTxnType,$P247)))</f>
        <v/>
      </c>
      <c r="H247" s="27">
        <f>IF($P247="","",IF(INDEX(EntryDep,$P247)=0,"",INDEX(EntryDep,$P247)))</f>
        <v/>
      </c>
      <c r="I247" s="27">
        <f>IF($P247="","",IF(INDEX(EntryWit,$P247)=0,"",INDEX(EntryWit,$P247)))</f>
        <v/>
      </c>
      <c r="J247" s="27">
        <f>IF($B247="","",IF($A247=1,$C$7,IF(J246="",0,J246))+IF($H247="",0,$H247)-IF($I247="",0,$I247))</f>
        <v/>
      </c>
      <c r="K247" s="27">
        <f>IF($P247="","",IF(INDEX(EntryMan,$P247)=0,"",INDEX(EntryMan,$P247)))</f>
        <v/>
      </c>
      <c r="L247" s="26">
        <f>IF($B247="","",IF($K247="","—",IF(ROUND($K247-$J247,0)=0,"√","×")))</f>
        <v/>
      </c>
      <c r="M247" s="26">
        <f>IF($B247="","",IF(COUNTIFS(EntryDates,$B247,CalcTime,$C247,CalcBank,$C$5,EntryParty,$D247,EntryDep,$H247,EntryWit,$I247)&gt;1,"تکرار",""))</f>
        <v/>
      </c>
      <c r="N247" s="26">
        <f>IF($P247="","",IF(INDEX(EntryNotes,$P247)=0,"",INDEX(EntryNotes,$P247)))</f>
        <v/>
      </c>
      <c r="O247" s="26">
        <f>IF($P247="","",IF(INDEX(EntryTxnID,$P247)=0,"",INDEX(EntryTxnID,$P247)))</f>
        <v/>
      </c>
      <c r="P247" s="26">
        <f>IFERROR(MATCH($C$5&amp;"|"&amp;RIGHT("000000"&amp;231,6),CalcRankKey,0),"")</f>
        <v/>
      </c>
    </row>
    <row r="248">
      <c r="A248" s="28">
        <f>IF($B248="","",232)</f>
        <v/>
      </c>
      <c r="B248" s="28">
        <f>IF($P248="","",IF(INDEX(CalcNormDate,$P248)=0,"",INDEX(CalcNormDate,$P248)))</f>
        <v/>
      </c>
      <c r="C248" s="28">
        <f>IF($P248="","",IF(INDEX(CalcTime,$P248)=0,"",INDEX(CalcTime,$P248)))</f>
        <v/>
      </c>
      <c r="D248" s="28">
        <f>IF($P248="","",IF(INDEX(EntryParty,$P248)=0,"",INDEX(EntryParty,$P248)))</f>
        <v/>
      </c>
      <c r="E248" s="28">
        <f>IF($P248="","",IF(INDEX(EntryPartyName,$P248)=0,"",INDEX(EntryPartyName,$P248)))</f>
        <v/>
      </c>
      <c r="F248" s="28">
        <f>IF($P248="","",IF(INDEX(EntryPartyType,$P248)=0,"",INDEX(EntryPartyType,$P248)))</f>
        <v/>
      </c>
      <c r="G248" s="28">
        <f>IF($P248="","",IF(INDEX(EntryTxnType,$P248)=0,"",INDEX(EntryTxnType,$P248)))</f>
        <v/>
      </c>
      <c r="H248" s="29">
        <f>IF($P248="","",IF(INDEX(EntryDep,$P248)=0,"",INDEX(EntryDep,$P248)))</f>
        <v/>
      </c>
      <c r="I248" s="29">
        <f>IF($P248="","",IF(INDEX(EntryWit,$P248)=0,"",INDEX(EntryWit,$P248)))</f>
        <v/>
      </c>
      <c r="J248" s="29">
        <f>IF($B248="","",IF($A248=1,$C$7,IF(J247="",0,J247))+IF($H248="",0,$H248)-IF($I248="",0,$I248))</f>
        <v/>
      </c>
      <c r="K248" s="29">
        <f>IF($P248="","",IF(INDEX(EntryMan,$P248)=0,"",INDEX(EntryMan,$P248)))</f>
        <v/>
      </c>
      <c r="L248" s="28">
        <f>IF($B248="","",IF($K248="","—",IF(ROUND($K248-$J248,0)=0,"√","×")))</f>
        <v/>
      </c>
      <c r="M248" s="28">
        <f>IF($B248="","",IF(COUNTIFS(EntryDates,$B248,CalcTime,$C248,CalcBank,$C$5,EntryParty,$D248,EntryDep,$H248,EntryWit,$I248)&gt;1,"تکرار",""))</f>
        <v/>
      </c>
      <c r="N248" s="28">
        <f>IF($P248="","",IF(INDEX(EntryNotes,$P248)=0,"",INDEX(EntryNotes,$P248)))</f>
        <v/>
      </c>
      <c r="O248" s="28">
        <f>IF($P248="","",IF(INDEX(EntryTxnID,$P248)=0,"",INDEX(EntryTxnID,$P248)))</f>
        <v/>
      </c>
      <c r="P248" s="28">
        <f>IFERROR(MATCH($C$5&amp;"|"&amp;RIGHT("000000"&amp;232,6),CalcRankKey,0),"")</f>
        <v/>
      </c>
    </row>
    <row r="249">
      <c r="A249" s="26">
        <f>IF($B249="","",233)</f>
        <v/>
      </c>
      <c r="B249" s="26">
        <f>IF($P249="","",IF(INDEX(CalcNormDate,$P249)=0,"",INDEX(CalcNormDate,$P249)))</f>
        <v/>
      </c>
      <c r="C249" s="26">
        <f>IF($P249="","",IF(INDEX(CalcTime,$P249)=0,"",INDEX(CalcTime,$P249)))</f>
        <v/>
      </c>
      <c r="D249" s="26">
        <f>IF($P249="","",IF(INDEX(EntryParty,$P249)=0,"",INDEX(EntryParty,$P249)))</f>
        <v/>
      </c>
      <c r="E249" s="26">
        <f>IF($P249="","",IF(INDEX(EntryPartyName,$P249)=0,"",INDEX(EntryPartyName,$P249)))</f>
        <v/>
      </c>
      <c r="F249" s="26">
        <f>IF($P249="","",IF(INDEX(EntryPartyType,$P249)=0,"",INDEX(EntryPartyType,$P249)))</f>
        <v/>
      </c>
      <c r="G249" s="26">
        <f>IF($P249="","",IF(INDEX(EntryTxnType,$P249)=0,"",INDEX(EntryTxnType,$P249)))</f>
        <v/>
      </c>
      <c r="H249" s="27">
        <f>IF($P249="","",IF(INDEX(EntryDep,$P249)=0,"",INDEX(EntryDep,$P249)))</f>
        <v/>
      </c>
      <c r="I249" s="27">
        <f>IF($P249="","",IF(INDEX(EntryWit,$P249)=0,"",INDEX(EntryWit,$P249)))</f>
        <v/>
      </c>
      <c r="J249" s="27">
        <f>IF($B249="","",IF($A249=1,$C$7,IF(J248="",0,J248))+IF($H249="",0,$H249)-IF($I249="",0,$I249))</f>
        <v/>
      </c>
      <c r="K249" s="27">
        <f>IF($P249="","",IF(INDEX(EntryMan,$P249)=0,"",INDEX(EntryMan,$P249)))</f>
        <v/>
      </c>
      <c r="L249" s="26">
        <f>IF($B249="","",IF($K249="","—",IF(ROUND($K249-$J249,0)=0,"√","×")))</f>
        <v/>
      </c>
      <c r="M249" s="26">
        <f>IF($B249="","",IF(COUNTIFS(EntryDates,$B249,CalcTime,$C249,CalcBank,$C$5,EntryParty,$D249,EntryDep,$H249,EntryWit,$I249)&gt;1,"تکرار",""))</f>
        <v/>
      </c>
      <c r="N249" s="26">
        <f>IF($P249="","",IF(INDEX(EntryNotes,$P249)=0,"",INDEX(EntryNotes,$P249)))</f>
        <v/>
      </c>
      <c r="O249" s="26">
        <f>IF($P249="","",IF(INDEX(EntryTxnID,$P249)=0,"",INDEX(EntryTxnID,$P249)))</f>
        <v/>
      </c>
      <c r="P249" s="26">
        <f>IFERROR(MATCH($C$5&amp;"|"&amp;RIGHT("000000"&amp;233,6),CalcRankKey,0),"")</f>
        <v/>
      </c>
    </row>
    <row r="250">
      <c r="A250" s="28">
        <f>IF($B250="","",234)</f>
        <v/>
      </c>
      <c r="B250" s="28">
        <f>IF($P250="","",IF(INDEX(CalcNormDate,$P250)=0,"",INDEX(CalcNormDate,$P250)))</f>
        <v/>
      </c>
      <c r="C250" s="28">
        <f>IF($P250="","",IF(INDEX(CalcTime,$P250)=0,"",INDEX(CalcTime,$P250)))</f>
        <v/>
      </c>
      <c r="D250" s="28">
        <f>IF($P250="","",IF(INDEX(EntryParty,$P250)=0,"",INDEX(EntryParty,$P250)))</f>
        <v/>
      </c>
      <c r="E250" s="28">
        <f>IF($P250="","",IF(INDEX(EntryPartyName,$P250)=0,"",INDEX(EntryPartyName,$P250)))</f>
        <v/>
      </c>
      <c r="F250" s="28">
        <f>IF($P250="","",IF(INDEX(EntryPartyType,$P250)=0,"",INDEX(EntryPartyType,$P250)))</f>
        <v/>
      </c>
      <c r="G250" s="28">
        <f>IF($P250="","",IF(INDEX(EntryTxnType,$P250)=0,"",INDEX(EntryTxnType,$P250)))</f>
        <v/>
      </c>
      <c r="H250" s="29">
        <f>IF($P250="","",IF(INDEX(EntryDep,$P250)=0,"",INDEX(EntryDep,$P250)))</f>
        <v/>
      </c>
      <c r="I250" s="29">
        <f>IF($P250="","",IF(INDEX(EntryWit,$P250)=0,"",INDEX(EntryWit,$P250)))</f>
        <v/>
      </c>
      <c r="J250" s="29">
        <f>IF($B250="","",IF($A250=1,$C$7,IF(J249="",0,J249))+IF($H250="",0,$H250)-IF($I250="",0,$I250))</f>
        <v/>
      </c>
      <c r="K250" s="29">
        <f>IF($P250="","",IF(INDEX(EntryMan,$P250)=0,"",INDEX(EntryMan,$P250)))</f>
        <v/>
      </c>
      <c r="L250" s="28">
        <f>IF($B250="","",IF($K250="","—",IF(ROUND($K250-$J250,0)=0,"√","×")))</f>
        <v/>
      </c>
      <c r="M250" s="28">
        <f>IF($B250="","",IF(COUNTIFS(EntryDates,$B250,CalcTime,$C250,CalcBank,$C$5,EntryParty,$D250,EntryDep,$H250,EntryWit,$I250)&gt;1,"تکرار",""))</f>
        <v/>
      </c>
      <c r="N250" s="28">
        <f>IF($P250="","",IF(INDEX(EntryNotes,$P250)=0,"",INDEX(EntryNotes,$P250)))</f>
        <v/>
      </c>
      <c r="O250" s="28">
        <f>IF($P250="","",IF(INDEX(EntryTxnID,$P250)=0,"",INDEX(EntryTxnID,$P250)))</f>
        <v/>
      </c>
      <c r="P250" s="28">
        <f>IFERROR(MATCH($C$5&amp;"|"&amp;RIGHT("000000"&amp;234,6),CalcRankKey,0),"")</f>
        <v/>
      </c>
    </row>
    <row r="251">
      <c r="A251" s="26">
        <f>IF($B251="","",235)</f>
        <v/>
      </c>
      <c r="B251" s="26">
        <f>IF($P251="","",IF(INDEX(CalcNormDate,$P251)=0,"",INDEX(CalcNormDate,$P251)))</f>
        <v/>
      </c>
      <c r="C251" s="26">
        <f>IF($P251="","",IF(INDEX(CalcTime,$P251)=0,"",INDEX(CalcTime,$P251)))</f>
        <v/>
      </c>
      <c r="D251" s="26">
        <f>IF($P251="","",IF(INDEX(EntryParty,$P251)=0,"",INDEX(EntryParty,$P251)))</f>
        <v/>
      </c>
      <c r="E251" s="26">
        <f>IF($P251="","",IF(INDEX(EntryPartyName,$P251)=0,"",INDEX(EntryPartyName,$P251)))</f>
        <v/>
      </c>
      <c r="F251" s="26">
        <f>IF($P251="","",IF(INDEX(EntryPartyType,$P251)=0,"",INDEX(EntryPartyType,$P251)))</f>
        <v/>
      </c>
      <c r="G251" s="26">
        <f>IF($P251="","",IF(INDEX(EntryTxnType,$P251)=0,"",INDEX(EntryTxnType,$P251)))</f>
        <v/>
      </c>
      <c r="H251" s="27">
        <f>IF($P251="","",IF(INDEX(EntryDep,$P251)=0,"",INDEX(EntryDep,$P251)))</f>
        <v/>
      </c>
      <c r="I251" s="27">
        <f>IF($P251="","",IF(INDEX(EntryWit,$P251)=0,"",INDEX(EntryWit,$P251)))</f>
        <v/>
      </c>
      <c r="J251" s="27">
        <f>IF($B251="","",IF($A251=1,$C$7,IF(J250="",0,J250))+IF($H251="",0,$H251)-IF($I251="",0,$I251))</f>
        <v/>
      </c>
      <c r="K251" s="27">
        <f>IF($P251="","",IF(INDEX(EntryMan,$P251)=0,"",INDEX(EntryMan,$P251)))</f>
        <v/>
      </c>
      <c r="L251" s="26">
        <f>IF($B251="","",IF($K251="","—",IF(ROUND($K251-$J251,0)=0,"√","×")))</f>
        <v/>
      </c>
      <c r="M251" s="26">
        <f>IF($B251="","",IF(COUNTIFS(EntryDates,$B251,CalcTime,$C251,CalcBank,$C$5,EntryParty,$D251,EntryDep,$H251,EntryWit,$I251)&gt;1,"تکرار",""))</f>
        <v/>
      </c>
      <c r="N251" s="26">
        <f>IF($P251="","",IF(INDEX(EntryNotes,$P251)=0,"",INDEX(EntryNotes,$P251)))</f>
        <v/>
      </c>
      <c r="O251" s="26">
        <f>IF($P251="","",IF(INDEX(EntryTxnID,$P251)=0,"",INDEX(EntryTxnID,$P251)))</f>
        <v/>
      </c>
      <c r="P251" s="26">
        <f>IFERROR(MATCH($C$5&amp;"|"&amp;RIGHT("000000"&amp;235,6),CalcRankKey,0),"")</f>
        <v/>
      </c>
    </row>
    <row r="252">
      <c r="A252" s="28">
        <f>IF($B252="","",236)</f>
        <v/>
      </c>
      <c r="B252" s="28">
        <f>IF($P252="","",IF(INDEX(CalcNormDate,$P252)=0,"",INDEX(CalcNormDate,$P252)))</f>
        <v/>
      </c>
      <c r="C252" s="28">
        <f>IF($P252="","",IF(INDEX(CalcTime,$P252)=0,"",INDEX(CalcTime,$P252)))</f>
        <v/>
      </c>
      <c r="D252" s="28">
        <f>IF($P252="","",IF(INDEX(EntryParty,$P252)=0,"",INDEX(EntryParty,$P252)))</f>
        <v/>
      </c>
      <c r="E252" s="28">
        <f>IF($P252="","",IF(INDEX(EntryPartyName,$P252)=0,"",INDEX(EntryPartyName,$P252)))</f>
        <v/>
      </c>
      <c r="F252" s="28">
        <f>IF($P252="","",IF(INDEX(EntryPartyType,$P252)=0,"",INDEX(EntryPartyType,$P252)))</f>
        <v/>
      </c>
      <c r="G252" s="28">
        <f>IF($P252="","",IF(INDEX(EntryTxnType,$P252)=0,"",INDEX(EntryTxnType,$P252)))</f>
        <v/>
      </c>
      <c r="H252" s="29">
        <f>IF($P252="","",IF(INDEX(EntryDep,$P252)=0,"",INDEX(EntryDep,$P252)))</f>
        <v/>
      </c>
      <c r="I252" s="29">
        <f>IF($P252="","",IF(INDEX(EntryWit,$P252)=0,"",INDEX(EntryWit,$P252)))</f>
        <v/>
      </c>
      <c r="J252" s="29">
        <f>IF($B252="","",IF($A252=1,$C$7,IF(J251="",0,J251))+IF($H252="",0,$H252)-IF($I252="",0,$I252))</f>
        <v/>
      </c>
      <c r="K252" s="29">
        <f>IF($P252="","",IF(INDEX(EntryMan,$P252)=0,"",INDEX(EntryMan,$P252)))</f>
        <v/>
      </c>
      <c r="L252" s="28">
        <f>IF($B252="","",IF($K252="","—",IF(ROUND($K252-$J252,0)=0,"√","×")))</f>
        <v/>
      </c>
      <c r="M252" s="28">
        <f>IF($B252="","",IF(COUNTIFS(EntryDates,$B252,CalcTime,$C252,CalcBank,$C$5,EntryParty,$D252,EntryDep,$H252,EntryWit,$I252)&gt;1,"تکرار",""))</f>
        <v/>
      </c>
      <c r="N252" s="28">
        <f>IF($P252="","",IF(INDEX(EntryNotes,$P252)=0,"",INDEX(EntryNotes,$P252)))</f>
        <v/>
      </c>
      <c r="O252" s="28">
        <f>IF($P252="","",IF(INDEX(EntryTxnID,$P252)=0,"",INDEX(EntryTxnID,$P252)))</f>
        <v/>
      </c>
      <c r="P252" s="28">
        <f>IFERROR(MATCH($C$5&amp;"|"&amp;RIGHT("000000"&amp;236,6),CalcRankKey,0),"")</f>
        <v/>
      </c>
    </row>
    <row r="253">
      <c r="A253" s="26">
        <f>IF($B253="","",237)</f>
        <v/>
      </c>
      <c r="B253" s="26">
        <f>IF($P253="","",IF(INDEX(CalcNormDate,$P253)=0,"",INDEX(CalcNormDate,$P253)))</f>
        <v/>
      </c>
      <c r="C253" s="26">
        <f>IF($P253="","",IF(INDEX(CalcTime,$P253)=0,"",INDEX(CalcTime,$P253)))</f>
        <v/>
      </c>
      <c r="D253" s="26">
        <f>IF($P253="","",IF(INDEX(EntryParty,$P253)=0,"",INDEX(EntryParty,$P253)))</f>
        <v/>
      </c>
      <c r="E253" s="26">
        <f>IF($P253="","",IF(INDEX(EntryPartyName,$P253)=0,"",INDEX(EntryPartyName,$P253)))</f>
        <v/>
      </c>
      <c r="F253" s="26">
        <f>IF($P253="","",IF(INDEX(EntryPartyType,$P253)=0,"",INDEX(EntryPartyType,$P253)))</f>
        <v/>
      </c>
      <c r="G253" s="26">
        <f>IF($P253="","",IF(INDEX(EntryTxnType,$P253)=0,"",INDEX(EntryTxnType,$P253)))</f>
        <v/>
      </c>
      <c r="H253" s="27">
        <f>IF($P253="","",IF(INDEX(EntryDep,$P253)=0,"",INDEX(EntryDep,$P253)))</f>
        <v/>
      </c>
      <c r="I253" s="27">
        <f>IF($P253="","",IF(INDEX(EntryWit,$P253)=0,"",INDEX(EntryWit,$P253)))</f>
        <v/>
      </c>
      <c r="J253" s="27">
        <f>IF($B253="","",IF($A253=1,$C$7,IF(J252="",0,J252))+IF($H253="",0,$H253)-IF($I253="",0,$I253))</f>
        <v/>
      </c>
      <c r="K253" s="27">
        <f>IF($P253="","",IF(INDEX(EntryMan,$P253)=0,"",INDEX(EntryMan,$P253)))</f>
        <v/>
      </c>
      <c r="L253" s="26">
        <f>IF($B253="","",IF($K253="","—",IF(ROUND($K253-$J253,0)=0,"√","×")))</f>
        <v/>
      </c>
      <c r="M253" s="26">
        <f>IF($B253="","",IF(COUNTIFS(EntryDates,$B253,CalcTime,$C253,CalcBank,$C$5,EntryParty,$D253,EntryDep,$H253,EntryWit,$I253)&gt;1,"تکرار",""))</f>
        <v/>
      </c>
      <c r="N253" s="26">
        <f>IF($P253="","",IF(INDEX(EntryNotes,$P253)=0,"",INDEX(EntryNotes,$P253)))</f>
        <v/>
      </c>
      <c r="O253" s="26">
        <f>IF($P253="","",IF(INDEX(EntryTxnID,$P253)=0,"",INDEX(EntryTxnID,$P253)))</f>
        <v/>
      </c>
      <c r="P253" s="26">
        <f>IFERROR(MATCH($C$5&amp;"|"&amp;RIGHT("000000"&amp;237,6),CalcRankKey,0),"")</f>
        <v/>
      </c>
    </row>
    <row r="254">
      <c r="A254" s="28">
        <f>IF($B254="","",238)</f>
        <v/>
      </c>
      <c r="B254" s="28">
        <f>IF($P254="","",IF(INDEX(CalcNormDate,$P254)=0,"",INDEX(CalcNormDate,$P254)))</f>
        <v/>
      </c>
      <c r="C254" s="28">
        <f>IF($P254="","",IF(INDEX(CalcTime,$P254)=0,"",INDEX(CalcTime,$P254)))</f>
        <v/>
      </c>
      <c r="D254" s="28">
        <f>IF($P254="","",IF(INDEX(EntryParty,$P254)=0,"",INDEX(EntryParty,$P254)))</f>
        <v/>
      </c>
      <c r="E254" s="28">
        <f>IF($P254="","",IF(INDEX(EntryPartyName,$P254)=0,"",INDEX(EntryPartyName,$P254)))</f>
        <v/>
      </c>
      <c r="F254" s="28">
        <f>IF($P254="","",IF(INDEX(EntryPartyType,$P254)=0,"",INDEX(EntryPartyType,$P254)))</f>
        <v/>
      </c>
      <c r="G254" s="28">
        <f>IF($P254="","",IF(INDEX(EntryTxnType,$P254)=0,"",INDEX(EntryTxnType,$P254)))</f>
        <v/>
      </c>
      <c r="H254" s="29">
        <f>IF($P254="","",IF(INDEX(EntryDep,$P254)=0,"",INDEX(EntryDep,$P254)))</f>
        <v/>
      </c>
      <c r="I254" s="29">
        <f>IF($P254="","",IF(INDEX(EntryWit,$P254)=0,"",INDEX(EntryWit,$P254)))</f>
        <v/>
      </c>
      <c r="J254" s="29">
        <f>IF($B254="","",IF($A254=1,$C$7,IF(J253="",0,J253))+IF($H254="",0,$H254)-IF($I254="",0,$I254))</f>
        <v/>
      </c>
      <c r="K254" s="29">
        <f>IF($P254="","",IF(INDEX(EntryMan,$P254)=0,"",INDEX(EntryMan,$P254)))</f>
        <v/>
      </c>
      <c r="L254" s="28">
        <f>IF($B254="","",IF($K254="","—",IF(ROUND($K254-$J254,0)=0,"√","×")))</f>
        <v/>
      </c>
      <c r="M254" s="28">
        <f>IF($B254="","",IF(COUNTIFS(EntryDates,$B254,CalcTime,$C254,CalcBank,$C$5,EntryParty,$D254,EntryDep,$H254,EntryWit,$I254)&gt;1,"تکرار",""))</f>
        <v/>
      </c>
      <c r="N254" s="28">
        <f>IF($P254="","",IF(INDEX(EntryNotes,$P254)=0,"",INDEX(EntryNotes,$P254)))</f>
        <v/>
      </c>
      <c r="O254" s="28">
        <f>IF($P254="","",IF(INDEX(EntryTxnID,$P254)=0,"",INDEX(EntryTxnID,$P254)))</f>
        <v/>
      </c>
      <c r="P254" s="28">
        <f>IFERROR(MATCH($C$5&amp;"|"&amp;RIGHT("000000"&amp;238,6),CalcRankKey,0),"")</f>
        <v/>
      </c>
    </row>
    <row r="255">
      <c r="A255" s="26">
        <f>IF($B255="","",239)</f>
        <v/>
      </c>
      <c r="B255" s="26">
        <f>IF($P255="","",IF(INDEX(CalcNormDate,$P255)=0,"",INDEX(CalcNormDate,$P255)))</f>
        <v/>
      </c>
      <c r="C255" s="26">
        <f>IF($P255="","",IF(INDEX(CalcTime,$P255)=0,"",INDEX(CalcTime,$P255)))</f>
        <v/>
      </c>
      <c r="D255" s="26">
        <f>IF($P255="","",IF(INDEX(EntryParty,$P255)=0,"",INDEX(EntryParty,$P255)))</f>
        <v/>
      </c>
      <c r="E255" s="26">
        <f>IF($P255="","",IF(INDEX(EntryPartyName,$P255)=0,"",INDEX(EntryPartyName,$P255)))</f>
        <v/>
      </c>
      <c r="F255" s="26">
        <f>IF($P255="","",IF(INDEX(EntryPartyType,$P255)=0,"",INDEX(EntryPartyType,$P255)))</f>
        <v/>
      </c>
      <c r="G255" s="26">
        <f>IF($P255="","",IF(INDEX(EntryTxnType,$P255)=0,"",INDEX(EntryTxnType,$P255)))</f>
        <v/>
      </c>
      <c r="H255" s="27">
        <f>IF($P255="","",IF(INDEX(EntryDep,$P255)=0,"",INDEX(EntryDep,$P255)))</f>
        <v/>
      </c>
      <c r="I255" s="27">
        <f>IF($P255="","",IF(INDEX(EntryWit,$P255)=0,"",INDEX(EntryWit,$P255)))</f>
        <v/>
      </c>
      <c r="J255" s="27">
        <f>IF($B255="","",IF($A255=1,$C$7,IF(J254="",0,J254))+IF($H255="",0,$H255)-IF($I255="",0,$I255))</f>
        <v/>
      </c>
      <c r="K255" s="27">
        <f>IF($P255="","",IF(INDEX(EntryMan,$P255)=0,"",INDEX(EntryMan,$P255)))</f>
        <v/>
      </c>
      <c r="L255" s="26">
        <f>IF($B255="","",IF($K255="","—",IF(ROUND($K255-$J255,0)=0,"√","×")))</f>
        <v/>
      </c>
      <c r="M255" s="26">
        <f>IF($B255="","",IF(COUNTIFS(EntryDates,$B255,CalcTime,$C255,CalcBank,$C$5,EntryParty,$D255,EntryDep,$H255,EntryWit,$I255)&gt;1,"تکرار",""))</f>
        <v/>
      </c>
      <c r="N255" s="26">
        <f>IF($P255="","",IF(INDEX(EntryNotes,$P255)=0,"",INDEX(EntryNotes,$P255)))</f>
        <v/>
      </c>
      <c r="O255" s="26">
        <f>IF($P255="","",IF(INDEX(EntryTxnID,$P255)=0,"",INDEX(EntryTxnID,$P255)))</f>
        <v/>
      </c>
      <c r="P255" s="26">
        <f>IFERROR(MATCH($C$5&amp;"|"&amp;RIGHT("000000"&amp;239,6),CalcRankKey,0),"")</f>
        <v/>
      </c>
    </row>
    <row r="256">
      <c r="A256" s="28">
        <f>IF($B256="","",240)</f>
        <v/>
      </c>
      <c r="B256" s="28">
        <f>IF($P256="","",IF(INDEX(CalcNormDate,$P256)=0,"",INDEX(CalcNormDate,$P256)))</f>
        <v/>
      </c>
      <c r="C256" s="28">
        <f>IF($P256="","",IF(INDEX(CalcTime,$P256)=0,"",INDEX(CalcTime,$P256)))</f>
        <v/>
      </c>
      <c r="D256" s="28">
        <f>IF($P256="","",IF(INDEX(EntryParty,$P256)=0,"",INDEX(EntryParty,$P256)))</f>
        <v/>
      </c>
      <c r="E256" s="28">
        <f>IF($P256="","",IF(INDEX(EntryPartyName,$P256)=0,"",INDEX(EntryPartyName,$P256)))</f>
        <v/>
      </c>
      <c r="F256" s="28">
        <f>IF($P256="","",IF(INDEX(EntryPartyType,$P256)=0,"",INDEX(EntryPartyType,$P256)))</f>
        <v/>
      </c>
      <c r="G256" s="28">
        <f>IF($P256="","",IF(INDEX(EntryTxnType,$P256)=0,"",INDEX(EntryTxnType,$P256)))</f>
        <v/>
      </c>
      <c r="H256" s="29">
        <f>IF($P256="","",IF(INDEX(EntryDep,$P256)=0,"",INDEX(EntryDep,$P256)))</f>
        <v/>
      </c>
      <c r="I256" s="29">
        <f>IF($P256="","",IF(INDEX(EntryWit,$P256)=0,"",INDEX(EntryWit,$P256)))</f>
        <v/>
      </c>
      <c r="J256" s="29">
        <f>IF($B256="","",IF($A256=1,$C$7,IF(J255="",0,J255))+IF($H256="",0,$H256)-IF($I256="",0,$I256))</f>
        <v/>
      </c>
      <c r="K256" s="29">
        <f>IF($P256="","",IF(INDEX(EntryMan,$P256)=0,"",INDEX(EntryMan,$P256)))</f>
        <v/>
      </c>
      <c r="L256" s="28">
        <f>IF($B256="","",IF($K256="","—",IF(ROUND($K256-$J256,0)=0,"√","×")))</f>
        <v/>
      </c>
      <c r="M256" s="28">
        <f>IF($B256="","",IF(COUNTIFS(EntryDates,$B256,CalcTime,$C256,CalcBank,$C$5,EntryParty,$D256,EntryDep,$H256,EntryWit,$I256)&gt;1,"تکرار",""))</f>
        <v/>
      </c>
      <c r="N256" s="28">
        <f>IF($P256="","",IF(INDEX(EntryNotes,$P256)=0,"",INDEX(EntryNotes,$P256)))</f>
        <v/>
      </c>
      <c r="O256" s="28">
        <f>IF($P256="","",IF(INDEX(EntryTxnID,$P256)=0,"",INDEX(EntryTxnID,$P256)))</f>
        <v/>
      </c>
      <c r="P256" s="28">
        <f>IFERROR(MATCH($C$5&amp;"|"&amp;RIGHT("000000"&amp;240,6),CalcRankKey,0),"")</f>
        <v/>
      </c>
    </row>
    <row r="257">
      <c r="A257" s="26">
        <f>IF($B257="","",241)</f>
        <v/>
      </c>
      <c r="B257" s="26">
        <f>IF($P257="","",IF(INDEX(CalcNormDate,$P257)=0,"",INDEX(CalcNormDate,$P257)))</f>
        <v/>
      </c>
      <c r="C257" s="26">
        <f>IF($P257="","",IF(INDEX(CalcTime,$P257)=0,"",INDEX(CalcTime,$P257)))</f>
        <v/>
      </c>
      <c r="D257" s="26">
        <f>IF($P257="","",IF(INDEX(EntryParty,$P257)=0,"",INDEX(EntryParty,$P257)))</f>
        <v/>
      </c>
      <c r="E257" s="26">
        <f>IF($P257="","",IF(INDEX(EntryPartyName,$P257)=0,"",INDEX(EntryPartyName,$P257)))</f>
        <v/>
      </c>
      <c r="F257" s="26">
        <f>IF($P257="","",IF(INDEX(EntryPartyType,$P257)=0,"",INDEX(EntryPartyType,$P257)))</f>
        <v/>
      </c>
      <c r="G257" s="26">
        <f>IF($P257="","",IF(INDEX(EntryTxnType,$P257)=0,"",INDEX(EntryTxnType,$P257)))</f>
        <v/>
      </c>
      <c r="H257" s="27">
        <f>IF($P257="","",IF(INDEX(EntryDep,$P257)=0,"",INDEX(EntryDep,$P257)))</f>
        <v/>
      </c>
      <c r="I257" s="27">
        <f>IF($P257="","",IF(INDEX(EntryWit,$P257)=0,"",INDEX(EntryWit,$P257)))</f>
        <v/>
      </c>
      <c r="J257" s="27">
        <f>IF($B257="","",IF($A257=1,$C$7,IF(J256="",0,J256))+IF($H257="",0,$H257)-IF($I257="",0,$I257))</f>
        <v/>
      </c>
      <c r="K257" s="27">
        <f>IF($P257="","",IF(INDEX(EntryMan,$P257)=0,"",INDEX(EntryMan,$P257)))</f>
        <v/>
      </c>
      <c r="L257" s="26">
        <f>IF($B257="","",IF($K257="","—",IF(ROUND($K257-$J257,0)=0,"√","×")))</f>
        <v/>
      </c>
      <c r="M257" s="26">
        <f>IF($B257="","",IF(COUNTIFS(EntryDates,$B257,CalcTime,$C257,CalcBank,$C$5,EntryParty,$D257,EntryDep,$H257,EntryWit,$I257)&gt;1,"تکرار",""))</f>
        <v/>
      </c>
      <c r="N257" s="26">
        <f>IF($P257="","",IF(INDEX(EntryNotes,$P257)=0,"",INDEX(EntryNotes,$P257)))</f>
        <v/>
      </c>
      <c r="O257" s="26">
        <f>IF($P257="","",IF(INDEX(EntryTxnID,$P257)=0,"",INDEX(EntryTxnID,$P257)))</f>
        <v/>
      </c>
      <c r="P257" s="26">
        <f>IFERROR(MATCH($C$5&amp;"|"&amp;RIGHT("000000"&amp;241,6),CalcRankKey,0),"")</f>
        <v/>
      </c>
    </row>
    <row r="258">
      <c r="A258" s="28">
        <f>IF($B258="","",242)</f>
        <v/>
      </c>
      <c r="B258" s="28">
        <f>IF($P258="","",IF(INDEX(CalcNormDate,$P258)=0,"",INDEX(CalcNormDate,$P258)))</f>
        <v/>
      </c>
      <c r="C258" s="28">
        <f>IF($P258="","",IF(INDEX(CalcTime,$P258)=0,"",INDEX(CalcTime,$P258)))</f>
        <v/>
      </c>
      <c r="D258" s="28">
        <f>IF($P258="","",IF(INDEX(EntryParty,$P258)=0,"",INDEX(EntryParty,$P258)))</f>
        <v/>
      </c>
      <c r="E258" s="28">
        <f>IF($P258="","",IF(INDEX(EntryPartyName,$P258)=0,"",INDEX(EntryPartyName,$P258)))</f>
        <v/>
      </c>
      <c r="F258" s="28">
        <f>IF($P258="","",IF(INDEX(EntryPartyType,$P258)=0,"",INDEX(EntryPartyType,$P258)))</f>
        <v/>
      </c>
      <c r="G258" s="28">
        <f>IF($P258="","",IF(INDEX(EntryTxnType,$P258)=0,"",INDEX(EntryTxnType,$P258)))</f>
        <v/>
      </c>
      <c r="H258" s="29">
        <f>IF($P258="","",IF(INDEX(EntryDep,$P258)=0,"",INDEX(EntryDep,$P258)))</f>
        <v/>
      </c>
      <c r="I258" s="29">
        <f>IF($P258="","",IF(INDEX(EntryWit,$P258)=0,"",INDEX(EntryWit,$P258)))</f>
        <v/>
      </c>
      <c r="J258" s="29">
        <f>IF($B258="","",IF($A258=1,$C$7,IF(J257="",0,J257))+IF($H258="",0,$H258)-IF($I258="",0,$I258))</f>
        <v/>
      </c>
      <c r="K258" s="29">
        <f>IF($P258="","",IF(INDEX(EntryMan,$P258)=0,"",INDEX(EntryMan,$P258)))</f>
        <v/>
      </c>
      <c r="L258" s="28">
        <f>IF($B258="","",IF($K258="","—",IF(ROUND($K258-$J258,0)=0,"√","×")))</f>
        <v/>
      </c>
      <c r="M258" s="28">
        <f>IF($B258="","",IF(COUNTIFS(EntryDates,$B258,CalcTime,$C258,CalcBank,$C$5,EntryParty,$D258,EntryDep,$H258,EntryWit,$I258)&gt;1,"تکرار",""))</f>
        <v/>
      </c>
      <c r="N258" s="28">
        <f>IF($P258="","",IF(INDEX(EntryNotes,$P258)=0,"",INDEX(EntryNotes,$P258)))</f>
        <v/>
      </c>
      <c r="O258" s="28">
        <f>IF($P258="","",IF(INDEX(EntryTxnID,$P258)=0,"",INDEX(EntryTxnID,$P258)))</f>
        <v/>
      </c>
      <c r="P258" s="28">
        <f>IFERROR(MATCH($C$5&amp;"|"&amp;RIGHT("000000"&amp;242,6),CalcRankKey,0),"")</f>
        <v/>
      </c>
    </row>
    <row r="259">
      <c r="A259" s="26">
        <f>IF($B259="","",243)</f>
        <v/>
      </c>
      <c r="B259" s="26">
        <f>IF($P259="","",IF(INDEX(CalcNormDate,$P259)=0,"",INDEX(CalcNormDate,$P259)))</f>
        <v/>
      </c>
      <c r="C259" s="26">
        <f>IF($P259="","",IF(INDEX(CalcTime,$P259)=0,"",INDEX(CalcTime,$P259)))</f>
        <v/>
      </c>
      <c r="D259" s="26">
        <f>IF($P259="","",IF(INDEX(EntryParty,$P259)=0,"",INDEX(EntryParty,$P259)))</f>
        <v/>
      </c>
      <c r="E259" s="26">
        <f>IF($P259="","",IF(INDEX(EntryPartyName,$P259)=0,"",INDEX(EntryPartyName,$P259)))</f>
        <v/>
      </c>
      <c r="F259" s="26">
        <f>IF($P259="","",IF(INDEX(EntryPartyType,$P259)=0,"",INDEX(EntryPartyType,$P259)))</f>
        <v/>
      </c>
      <c r="G259" s="26">
        <f>IF($P259="","",IF(INDEX(EntryTxnType,$P259)=0,"",INDEX(EntryTxnType,$P259)))</f>
        <v/>
      </c>
      <c r="H259" s="27">
        <f>IF($P259="","",IF(INDEX(EntryDep,$P259)=0,"",INDEX(EntryDep,$P259)))</f>
        <v/>
      </c>
      <c r="I259" s="27">
        <f>IF($P259="","",IF(INDEX(EntryWit,$P259)=0,"",INDEX(EntryWit,$P259)))</f>
        <v/>
      </c>
      <c r="J259" s="27">
        <f>IF($B259="","",IF($A259=1,$C$7,IF(J258="",0,J258))+IF($H259="",0,$H259)-IF($I259="",0,$I259))</f>
        <v/>
      </c>
      <c r="K259" s="27">
        <f>IF($P259="","",IF(INDEX(EntryMan,$P259)=0,"",INDEX(EntryMan,$P259)))</f>
        <v/>
      </c>
      <c r="L259" s="26">
        <f>IF($B259="","",IF($K259="","—",IF(ROUND($K259-$J259,0)=0,"√","×")))</f>
        <v/>
      </c>
      <c r="M259" s="26">
        <f>IF($B259="","",IF(COUNTIFS(EntryDates,$B259,CalcTime,$C259,CalcBank,$C$5,EntryParty,$D259,EntryDep,$H259,EntryWit,$I259)&gt;1,"تکرار",""))</f>
        <v/>
      </c>
      <c r="N259" s="26">
        <f>IF($P259="","",IF(INDEX(EntryNotes,$P259)=0,"",INDEX(EntryNotes,$P259)))</f>
        <v/>
      </c>
      <c r="O259" s="26">
        <f>IF($P259="","",IF(INDEX(EntryTxnID,$P259)=0,"",INDEX(EntryTxnID,$P259)))</f>
        <v/>
      </c>
      <c r="P259" s="26">
        <f>IFERROR(MATCH($C$5&amp;"|"&amp;RIGHT("000000"&amp;243,6),CalcRankKey,0),"")</f>
        <v/>
      </c>
    </row>
    <row r="260">
      <c r="A260" s="28">
        <f>IF($B260="","",244)</f>
        <v/>
      </c>
      <c r="B260" s="28">
        <f>IF($P260="","",IF(INDEX(CalcNormDate,$P260)=0,"",INDEX(CalcNormDate,$P260)))</f>
        <v/>
      </c>
      <c r="C260" s="28">
        <f>IF($P260="","",IF(INDEX(CalcTime,$P260)=0,"",INDEX(CalcTime,$P260)))</f>
        <v/>
      </c>
      <c r="D260" s="28">
        <f>IF($P260="","",IF(INDEX(EntryParty,$P260)=0,"",INDEX(EntryParty,$P260)))</f>
        <v/>
      </c>
      <c r="E260" s="28">
        <f>IF($P260="","",IF(INDEX(EntryPartyName,$P260)=0,"",INDEX(EntryPartyName,$P260)))</f>
        <v/>
      </c>
      <c r="F260" s="28">
        <f>IF($P260="","",IF(INDEX(EntryPartyType,$P260)=0,"",INDEX(EntryPartyType,$P260)))</f>
        <v/>
      </c>
      <c r="G260" s="28">
        <f>IF($P260="","",IF(INDEX(EntryTxnType,$P260)=0,"",INDEX(EntryTxnType,$P260)))</f>
        <v/>
      </c>
      <c r="H260" s="29">
        <f>IF($P260="","",IF(INDEX(EntryDep,$P260)=0,"",INDEX(EntryDep,$P260)))</f>
        <v/>
      </c>
      <c r="I260" s="29">
        <f>IF($P260="","",IF(INDEX(EntryWit,$P260)=0,"",INDEX(EntryWit,$P260)))</f>
        <v/>
      </c>
      <c r="J260" s="29">
        <f>IF($B260="","",IF($A260=1,$C$7,IF(J259="",0,J259))+IF($H260="",0,$H260)-IF($I260="",0,$I260))</f>
        <v/>
      </c>
      <c r="K260" s="29">
        <f>IF($P260="","",IF(INDEX(EntryMan,$P260)=0,"",INDEX(EntryMan,$P260)))</f>
        <v/>
      </c>
      <c r="L260" s="28">
        <f>IF($B260="","",IF($K260="","—",IF(ROUND($K260-$J260,0)=0,"√","×")))</f>
        <v/>
      </c>
      <c r="M260" s="28">
        <f>IF($B260="","",IF(COUNTIFS(EntryDates,$B260,CalcTime,$C260,CalcBank,$C$5,EntryParty,$D260,EntryDep,$H260,EntryWit,$I260)&gt;1,"تکرار",""))</f>
        <v/>
      </c>
      <c r="N260" s="28">
        <f>IF($P260="","",IF(INDEX(EntryNotes,$P260)=0,"",INDEX(EntryNotes,$P260)))</f>
        <v/>
      </c>
      <c r="O260" s="28">
        <f>IF($P260="","",IF(INDEX(EntryTxnID,$P260)=0,"",INDEX(EntryTxnID,$P260)))</f>
        <v/>
      </c>
      <c r="P260" s="28">
        <f>IFERROR(MATCH($C$5&amp;"|"&amp;RIGHT("000000"&amp;244,6),CalcRankKey,0),"")</f>
        <v/>
      </c>
    </row>
    <row r="261">
      <c r="A261" s="26">
        <f>IF($B261="","",245)</f>
        <v/>
      </c>
      <c r="B261" s="26">
        <f>IF($P261="","",IF(INDEX(CalcNormDate,$P261)=0,"",INDEX(CalcNormDate,$P261)))</f>
        <v/>
      </c>
      <c r="C261" s="26">
        <f>IF($P261="","",IF(INDEX(CalcTime,$P261)=0,"",INDEX(CalcTime,$P261)))</f>
        <v/>
      </c>
      <c r="D261" s="26">
        <f>IF($P261="","",IF(INDEX(EntryParty,$P261)=0,"",INDEX(EntryParty,$P261)))</f>
        <v/>
      </c>
      <c r="E261" s="26">
        <f>IF($P261="","",IF(INDEX(EntryPartyName,$P261)=0,"",INDEX(EntryPartyName,$P261)))</f>
        <v/>
      </c>
      <c r="F261" s="26">
        <f>IF($P261="","",IF(INDEX(EntryPartyType,$P261)=0,"",INDEX(EntryPartyType,$P261)))</f>
        <v/>
      </c>
      <c r="G261" s="26">
        <f>IF($P261="","",IF(INDEX(EntryTxnType,$P261)=0,"",INDEX(EntryTxnType,$P261)))</f>
        <v/>
      </c>
      <c r="H261" s="27">
        <f>IF($P261="","",IF(INDEX(EntryDep,$P261)=0,"",INDEX(EntryDep,$P261)))</f>
        <v/>
      </c>
      <c r="I261" s="27">
        <f>IF($P261="","",IF(INDEX(EntryWit,$P261)=0,"",INDEX(EntryWit,$P261)))</f>
        <v/>
      </c>
      <c r="J261" s="27">
        <f>IF($B261="","",IF($A261=1,$C$7,IF(J260="",0,J260))+IF($H261="",0,$H261)-IF($I261="",0,$I261))</f>
        <v/>
      </c>
      <c r="K261" s="27">
        <f>IF($P261="","",IF(INDEX(EntryMan,$P261)=0,"",INDEX(EntryMan,$P261)))</f>
        <v/>
      </c>
      <c r="L261" s="26">
        <f>IF($B261="","",IF($K261="","—",IF(ROUND($K261-$J261,0)=0,"√","×")))</f>
        <v/>
      </c>
      <c r="M261" s="26">
        <f>IF($B261="","",IF(COUNTIFS(EntryDates,$B261,CalcTime,$C261,CalcBank,$C$5,EntryParty,$D261,EntryDep,$H261,EntryWit,$I261)&gt;1,"تکرار",""))</f>
        <v/>
      </c>
      <c r="N261" s="26">
        <f>IF($P261="","",IF(INDEX(EntryNotes,$P261)=0,"",INDEX(EntryNotes,$P261)))</f>
        <v/>
      </c>
      <c r="O261" s="26">
        <f>IF($P261="","",IF(INDEX(EntryTxnID,$P261)=0,"",INDEX(EntryTxnID,$P261)))</f>
        <v/>
      </c>
      <c r="P261" s="26">
        <f>IFERROR(MATCH($C$5&amp;"|"&amp;RIGHT("000000"&amp;245,6),CalcRankKey,0),"")</f>
        <v/>
      </c>
    </row>
    <row r="262">
      <c r="A262" s="28">
        <f>IF($B262="","",246)</f>
        <v/>
      </c>
      <c r="B262" s="28">
        <f>IF($P262="","",IF(INDEX(CalcNormDate,$P262)=0,"",INDEX(CalcNormDate,$P262)))</f>
        <v/>
      </c>
      <c r="C262" s="28">
        <f>IF($P262="","",IF(INDEX(CalcTime,$P262)=0,"",INDEX(CalcTime,$P262)))</f>
        <v/>
      </c>
      <c r="D262" s="28">
        <f>IF($P262="","",IF(INDEX(EntryParty,$P262)=0,"",INDEX(EntryParty,$P262)))</f>
        <v/>
      </c>
      <c r="E262" s="28">
        <f>IF($P262="","",IF(INDEX(EntryPartyName,$P262)=0,"",INDEX(EntryPartyName,$P262)))</f>
        <v/>
      </c>
      <c r="F262" s="28">
        <f>IF($P262="","",IF(INDEX(EntryPartyType,$P262)=0,"",INDEX(EntryPartyType,$P262)))</f>
        <v/>
      </c>
      <c r="G262" s="28">
        <f>IF($P262="","",IF(INDEX(EntryTxnType,$P262)=0,"",INDEX(EntryTxnType,$P262)))</f>
        <v/>
      </c>
      <c r="H262" s="29">
        <f>IF($P262="","",IF(INDEX(EntryDep,$P262)=0,"",INDEX(EntryDep,$P262)))</f>
        <v/>
      </c>
      <c r="I262" s="29">
        <f>IF($P262="","",IF(INDEX(EntryWit,$P262)=0,"",INDEX(EntryWit,$P262)))</f>
        <v/>
      </c>
      <c r="J262" s="29">
        <f>IF($B262="","",IF($A262=1,$C$7,IF(J261="",0,J261))+IF($H262="",0,$H262)-IF($I262="",0,$I262))</f>
        <v/>
      </c>
      <c r="K262" s="29">
        <f>IF($P262="","",IF(INDEX(EntryMan,$P262)=0,"",INDEX(EntryMan,$P262)))</f>
        <v/>
      </c>
      <c r="L262" s="28">
        <f>IF($B262="","",IF($K262="","—",IF(ROUND($K262-$J262,0)=0,"√","×")))</f>
        <v/>
      </c>
      <c r="M262" s="28">
        <f>IF($B262="","",IF(COUNTIFS(EntryDates,$B262,CalcTime,$C262,CalcBank,$C$5,EntryParty,$D262,EntryDep,$H262,EntryWit,$I262)&gt;1,"تکرار",""))</f>
        <v/>
      </c>
      <c r="N262" s="28">
        <f>IF($P262="","",IF(INDEX(EntryNotes,$P262)=0,"",INDEX(EntryNotes,$P262)))</f>
        <v/>
      </c>
      <c r="O262" s="28">
        <f>IF($P262="","",IF(INDEX(EntryTxnID,$P262)=0,"",INDEX(EntryTxnID,$P262)))</f>
        <v/>
      </c>
      <c r="P262" s="28">
        <f>IFERROR(MATCH($C$5&amp;"|"&amp;RIGHT("000000"&amp;246,6),CalcRankKey,0),"")</f>
        <v/>
      </c>
    </row>
    <row r="263">
      <c r="A263" s="26">
        <f>IF($B263="","",247)</f>
        <v/>
      </c>
      <c r="B263" s="26">
        <f>IF($P263="","",IF(INDEX(CalcNormDate,$P263)=0,"",INDEX(CalcNormDate,$P263)))</f>
        <v/>
      </c>
      <c r="C263" s="26">
        <f>IF($P263="","",IF(INDEX(CalcTime,$P263)=0,"",INDEX(CalcTime,$P263)))</f>
        <v/>
      </c>
      <c r="D263" s="26">
        <f>IF($P263="","",IF(INDEX(EntryParty,$P263)=0,"",INDEX(EntryParty,$P263)))</f>
        <v/>
      </c>
      <c r="E263" s="26">
        <f>IF($P263="","",IF(INDEX(EntryPartyName,$P263)=0,"",INDEX(EntryPartyName,$P263)))</f>
        <v/>
      </c>
      <c r="F263" s="26">
        <f>IF($P263="","",IF(INDEX(EntryPartyType,$P263)=0,"",INDEX(EntryPartyType,$P263)))</f>
        <v/>
      </c>
      <c r="G263" s="26">
        <f>IF($P263="","",IF(INDEX(EntryTxnType,$P263)=0,"",INDEX(EntryTxnType,$P263)))</f>
        <v/>
      </c>
      <c r="H263" s="27">
        <f>IF($P263="","",IF(INDEX(EntryDep,$P263)=0,"",INDEX(EntryDep,$P263)))</f>
        <v/>
      </c>
      <c r="I263" s="27">
        <f>IF($P263="","",IF(INDEX(EntryWit,$P263)=0,"",INDEX(EntryWit,$P263)))</f>
        <v/>
      </c>
      <c r="J263" s="27">
        <f>IF($B263="","",IF($A263=1,$C$7,IF(J262="",0,J262))+IF($H263="",0,$H263)-IF($I263="",0,$I263))</f>
        <v/>
      </c>
      <c r="K263" s="27">
        <f>IF($P263="","",IF(INDEX(EntryMan,$P263)=0,"",INDEX(EntryMan,$P263)))</f>
        <v/>
      </c>
      <c r="L263" s="26">
        <f>IF($B263="","",IF($K263="","—",IF(ROUND($K263-$J263,0)=0,"√","×")))</f>
        <v/>
      </c>
      <c r="M263" s="26">
        <f>IF($B263="","",IF(COUNTIFS(EntryDates,$B263,CalcTime,$C263,CalcBank,$C$5,EntryParty,$D263,EntryDep,$H263,EntryWit,$I263)&gt;1,"تکرار",""))</f>
        <v/>
      </c>
      <c r="N263" s="26">
        <f>IF($P263="","",IF(INDEX(EntryNotes,$P263)=0,"",INDEX(EntryNotes,$P263)))</f>
        <v/>
      </c>
      <c r="O263" s="26">
        <f>IF($P263="","",IF(INDEX(EntryTxnID,$P263)=0,"",INDEX(EntryTxnID,$P263)))</f>
        <v/>
      </c>
      <c r="P263" s="26">
        <f>IFERROR(MATCH($C$5&amp;"|"&amp;RIGHT("000000"&amp;247,6),CalcRankKey,0),"")</f>
        <v/>
      </c>
    </row>
    <row r="264">
      <c r="A264" s="28">
        <f>IF($B264="","",248)</f>
        <v/>
      </c>
      <c r="B264" s="28">
        <f>IF($P264="","",IF(INDEX(CalcNormDate,$P264)=0,"",INDEX(CalcNormDate,$P264)))</f>
        <v/>
      </c>
      <c r="C264" s="28">
        <f>IF($P264="","",IF(INDEX(CalcTime,$P264)=0,"",INDEX(CalcTime,$P264)))</f>
        <v/>
      </c>
      <c r="D264" s="28">
        <f>IF($P264="","",IF(INDEX(EntryParty,$P264)=0,"",INDEX(EntryParty,$P264)))</f>
        <v/>
      </c>
      <c r="E264" s="28">
        <f>IF($P264="","",IF(INDEX(EntryPartyName,$P264)=0,"",INDEX(EntryPartyName,$P264)))</f>
        <v/>
      </c>
      <c r="F264" s="28">
        <f>IF($P264="","",IF(INDEX(EntryPartyType,$P264)=0,"",INDEX(EntryPartyType,$P264)))</f>
        <v/>
      </c>
      <c r="G264" s="28">
        <f>IF($P264="","",IF(INDEX(EntryTxnType,$P264)=0,"",INDEX(EntryTxnType,$P264)))</f>
        <v/>
      </c>
      <c r="H264" s="29">
        <f>IF($P264="","",IF(INDEX(EntryDep,$P264)=0,"",INDEX(EntryDep,$P264)))</f>
        <v/>
      </c>
      <c r="I264" s="29">
        <f>IF($P264="","",IF(INDEX(EntryWit,$P264)=0,"",INDEX(EntryWit,$P264)))</f>
        <v/>
      </c>
      <c r="J264" s="29">
        <f>IF($B264="","",IF($A264=1,$C$7,IF(J263="",0,J263))+IF($H264="",0,$H264)-IF($I264="",0,$I264))</f>
        <v/>
      </c>
      <c r="K264" s="29">
        <f>IF($P264="","",IF(INDEX(EntryMan,$P264)=0,"",INDEX(EntryMan,$P264)))</f>
        <v/>
      </c>
      <c r="L264" s="28">
        <f>IF($B264="","",IF($K264="","—",IF(ROUND($K264-$J264,0)=0,"√","×")))</f>
        <v/>
      </c>
      <c r="M264" s="28">
        <f>IF($B264="","",IF(COUNTIFS(EntryDates,$B264,CalcTime,$C264,CalcBank,$C$5,EntryParty,$D264,EntryDep,$H264,EntryWit,$I264)&gt;1,"تکرار",""))</f>
        <v/>
      </c>
      <c r="N264" s="28">
        <f>IF($P264="","",IF(INDEX(EntryNotes,$P264)=0,"",INDEX(EntryNotes,$P264)))</f>
        <v/>
      </c>
      <c r="O264" s="28">
        <f>IF($P264="","",IF(INDEX(EntryTxnID,$P264)=0,"",INDEX(EntryTxnID,$P264)))</f>
        <v/>
      </c>
      <c r="P264" s="28">
        <f>IFERROR(MATCH($C$5&amp;"|"&amp;RIGHT("000000"&amp;248,6),CalcRankKey,0),"")</f>
        <v/>
      </c>
    </row>
    <row r="265">
      <c r="A265" s="26">
        <f>IF($B265="","",249)</f>
        <v/>
      </c>
      <c r="B265" s="26">
        <f>IF($P265="","",IF(INDEX(CalcNormDate,$P265)=0,"",INDEX(CalcNormDate,$P265)))</f>
        <v/>
      </c>
      <c r="C265" s="26">
        <f>IF($P265="","",IF(INDEX(CalcTime,$P265)=0,"",INDEX(CalcTime,$P265)))</f>
        <v/>
      </c>
      <c r="D265" s="26">
        <f>IF($P265="","",IF(INDEX(EntryParty,$P265)=0,"",INDEX(EntryParty,$P265)))</f>
        <v/>
      </c>
      <c r="E265" s="26">
        <f>IF($P265="","",IF(INDEX(EntryPartyName,$P265)=0,"",INDEX(EntryPartyName,$P265)))</f>
        <v/>
      </c>
      <c r="F265" s="26">
        <f>IF($P265="","",IF(INDEX(EntryPartyType,$P265)=0,"",INDEX(EntryPartyType,$P265)))</f>
        <v/>
      </c>
      <c r="G265" s="26">
        <f>IF($P265="","",IF(INDEX(EntryTxnType,$P265)=0,"",INDEX(EntryTxnType,$P265)))</f>
        <v/>
      </c>
      <c r="H265" s="27">
        <f>IF($P265="","",IF(INDEX(EntryDep,$P265)=0,"",INDEX(EntryDep,$P265)))</f>
        <v/>
      </c>
      <c r="I265" s="27">
        <f>IF($P265="","",IF(INDEX(EntryWit,$P265)=0,"",INDEX(EntryWit,$P265)))</f>
        <v/>
      </c>
      <c r="J265" s="27">
        <f>IF($B265="","",IF($A265=1,$C$7,IF(J264="",0,J264))+IF($H265="",0,$H265)-IF($I265="",0,$I265))</f>
        <v/>
      </c>
      <c r="K265" s="27">
        <f>IF($P265="","",IF(INDEX(EntryMan,$P265)=0,"",INDEX(EntryMan,$P265)))</f>
        <v/>
      </c>
      <c r="L265" s="26">
        <f>IF($B265="","",IF($K265="","—",IF(ROUND($K265-$J265,0)=0,"√","×")))</f>
        <v/>
      </c>
      <c r="M265" s="26">
        <f>IF($B265="","",IF(COUNTIFS(EntryDates,$B265,CalcTime,$C265,CalcBank,$C$5,EntryParty,$D265,EntryDep,$H265,EntryWit,$I265)&gt;1,"تکرار",""))</f>
        <v/>
      </c>
      <c r="N265" s="26">
        <f>IF($P265="","",IF(INDEX(EntryNotes,$P265)=0,"",INDEX(EntryNotes,$P265)))</f>
        <v/>
      </c>
      <c r="O265" s="26">
        <f>IF($P265="","",IF(INDEX(EntryTxnID,$P265)=0,"",INDEX(EntryTxnID,$P265)))</f>
        <v/>
      </c>
      <c r="P265" s="26">
        <f>IFERROR(MATCH($C$5&amp;"|"&amp;RIGHT("000000"&amp;249,6),CalcRankKey,0),"")</f>
        <v/>
      </c>
    </row>
    <row r="266">
      <c r="A266" s="28">
        <f>IF($B266="","",250)</f>
        <v/>
      </c>
      <c r="B266" s="28">
        <f>IF($P266="","",IF(INDEX(CalcNormDate,$P266)=0,"",INDEX(CalcNormDate,$P266)))</f>
        <v/>
      </c>
      <c r="C266" s="28">
        <f>IF($P266="","",IF(INDEX(CalcTime,$P266)=0,"",INDEX(CalcTime,$P266)))</f>
        <v/>
      </c>
      <c r="D266" s="28">
        <f>IF($P266="","",IF(INDEX(EntryParty,$P266)=0,"",INDEX(EntryParty,$P266)))</f>
        <v/>
      </c>
      <c r="E266" s="28">
        <f>IF($P266="","",IF(INDEX(EntryPartyName,$P266)=0,"",INDEX(EntryPartyName,$P266)))</f>
        <v/>
      </c>
      <c r="F266" s="28">
        <f>IF($P266="","",IF(INDEX(EntryPartyType,$P266)=0,"",INDEX(EntryPartyType,$P266)))</f>
        <v/>
      </c>
      <c r="G266" s="28">
        <f>IF($P266="","",IF(INDEX(EntryTxnType,$P266)=0,"",INDEX(EntryTxnType,$P266)))</f>
        <v/>
      </c>
      <c r="H266" s="29">
        <f>IF($P266="","",IF(INDEX(EntryDep,$P266)=0,"",INDEX(EntryDep,$P266)))</f>
        <v/>
      </c>
      <c r="I266" s="29">
        <f>IF($P266="","",IF(INDEX(EntryWit,$P266)=0,"",INDEX(EntryWit,$P266)))</f>
        <v/>
      </c>
      <c r="J266" s="29">
        <f>IF($B266="","",IF($A266=1,$C$7,IF(J265="",0,J265))+IF($H266="",0,$H266)-IF($I266="",0,$I266))</f>
        <v/>
      </c>
      <c r="K266" s="29">
        <f>IF($P266="","",IF(INDEX(EntryMan,$P266)=0,"",INDEX(EntryMan,$P266)))</f>
        <v/>
      </c>
      <c r="L266" s="28">
        <f>IF($B266="","",IF($K266="","—",IF(ROUND($K266-$J266,0)=0,"√","×")))</f>
        <v/>
      </c>
      <c r="M266" s="28">
        <f>IF($B266="","",IF(COUNTIFS(EntryDates,$B266,CalcTime,$C266,CalcBank,$C$5,EntryParty,$D266,EntryDep,$H266,EntryWit,$I266)&gt;1,"تکرار",""))</f>
        <v/>
      </c>
      <c r="N266" s="28">
        <f>IF($P266="","",IF(INDEX(EntryNotes,$P266)=0,"",INDEX(EntryNotes,$P266)))</f>
        <v/>
      </c>
      <c r="O266" s="28">
        <f>IF($P266="","",IF(INDEX(EntryTxnID,$P266)=0,"",INDEX(EntryTxnID,$P266)))</f>
        <v/>
      </c>
      <c r="P266" s="28">
        <f>IFERROR(MATCH($C$5&amp;"|"&amp;RIGHT("000000"&amp;250,6),CalcRankKey,0),"")</f>
        <v/>
      </c>
    </row>
    <row r="267">
      <c r="A267" s="26">
        <f>IF($B267="","",251)</f>
        <v/>
      </c>
      <c r="B267" s="26">
        <f>IF($P267="","",IF(INDEX(CalcNormDate,$P267)=0,"",INDEX(CalcNormDate,$P267)))</f>
        <v/>
      </c>
      <c r="C267" s="26">
        <f>IF($P267="","",IF(INDEX(CalcTime,$P267)=0,"",INDEX(CalcTime,$P267)))</f>
        <v/>
      </c>
      <c r="D267" s="26">
        <f>IF($P267="","",IF(INDEX(EntryParty,$P267)=0,"",INDEX(EntryParty,$P267)))</f>
        <v/>
      </c>
      <c r="E267" s="26">
        <f>IF($P267="","",IF(INDEX(EntryPartyName,$P267)=0,"",INDEX(EntryPartyName,$P267)))</f>
        <v/>
      </c>
      <c r="F267" s="26">
        <f>IF($P267="","",IF(INDEX(EntryPartyType,$P267)=0,"",INDEX(EntryPartyType,$P267)))</f>
        <v/>
      </c>
      <c r="G267" s="26">
        <f>IF($P267="","",IF(INDEX(EntryTxnType,$P267)=0,"",INDEX(EntryTxnType,$P267)))</f>
        <v/>
      </c>
      <c r="H267" s="27">
        <f>IF($P267="","",IF(INDEX(EntryDep,$P267)=0,"",INDEX(EntryDep,$P267)))</f>
        <v/>
      </c>
      <c r="I267" s="27">
        <f>IF($P267="","",IF(INDEX(EntryWit,$P267)=0,"",INDEX(EntryWit,$P267)))</f>
        <v/>
      </c>
      <c r="J267" s="27">
        <f>IF($B267="","",IF($A267=1,$C$7,IF(J266="",0,J266))+IF($H267="",0,$H267)-IF($I267="",0,$I267))</f>
        <v/>
      </c>
      <c r="K267" s="27">
        <f>IF($P267="","",IF(INDEX(EntryMan,$P267)=0,"",INDEX(EntryMan,$P267)))</f>
        <v/>
      </c>
      <c r="L267" s="26">
        <f>IF($B267="","",IF($K267="","—",IF(ROUND($K267-$J267,0)=0,"√","×")))</f>
        <v/>
      </c>
      <c r="M267" s="26">
        <f>IF($B267="","",IF(COUNTIFS(EntryDates,$B267,CalcTime,$C267,CalcBank,$C$5,EntryParty,$D267,EntryDep,$H267,EntryWit,$I267)&gt;1,"تکرار",""))</f>
        <v/>
      </c>
      <c r="N267" s="26">
        <f>IF($P267="","",IF(INDEX(EntryNotes,$P267)=0,"",INDEX(EntryNotes,$P267)))</f>
        <v/>
      </c>
      <c r="O267" s="26">
        <f>IF($P267="","",IF(INDEX(EntryTxnID,$P267)=0,"",INDEX(EntryTxnID,$P267)))</f>
        <v/>
      </c>
      <c r="P267" s="26">
        <f>IFERROR(MATCH($C$5&amp;"|"&amp;RIGHT("000000"&amp;251,6),CalcRankKey,0),"")</f>
        <v/>
      </c>
    </row>
    <row r="268">
      <c r="A268" s="28">
        <f>IF($B268="","",252)</f>
        <v/>
      </c>
      <c r="B268" s="28">
        <f>IF($P268="","",IF(INDEX(CalcNormDate,$P268)=0,"",INDEX(CalcNormDate,$P268)))</f>
        <v/>
      </c>
      <c r="C268" s="28">
        <f>IF($P268="","",IF(INDEX(CalcTime,$P268)=0,"",INDEX(CalcTime,$P268)))</f>
        <v/>
      </c>
      <c r="D268" s="28">
        <f>IF($P268="","",IF(INDEX(EntryParty,$P268)=0,"",INDEX(EntryParty,$P268)))</f>
        <v/>
      </c>
      <c r="E268" s="28">
        <f>IF($P268="","",IF(INDEX(EntryPartyName,$P268)=0,"",INDEX(EntryPartyName,$P268)))</f>
        <v/>
      </c>
      <c r="F268" s="28">
        <f>IF($P268="","",IF(INDEX(EntryPartyType,$P268)=0,"",INDEX(EntryPartyType,$P268)))</f>
        <v/>
      </c>
      <c r="G268" s="28">
        <f>IF($P268="","",IF(INDEX(EntryTxnType,$P268)=0,"",INDEX(EntryTxnType,$P268)))</f>
        <v/>
      </c>
      <c r="H268" s="29">
        <f>IF($P268="","",IF(INDEX(EntryDep,$P268)=0,"",INDEX(EntryDep,$P268)))</f>
        <v/>
      </c>
      <c r="I268" s="29">
        <f>IF($P268="","",IF(INDEX(EntryWit,$P268)=0,"",INDEX(EntryWit,$P268)))</f>
        <v/>
      </c>
      <c r="J268" s="29">
        <f>IF($B268="","",IF($A268=1,$C$7,IF(J267="",0,J267))+IF($H268="",0,$H268)-IF($I268="",0,$I268))</f>
        <v/>
      </c>
      <c r="K268" s="29">
        <f>IF($P268="","",IF(INDEX(EntryMan,$P268)=0,"",INDEX(EntryMan,$P268)))</f>
        <v/>
      </c>
      <c r="L268" s="28">
        <f>IF($B268="","",IF($K268="","—",IF(ROUND($K268-$J268,0)=0,"√","×")))</f>
        <v/>
      </c>
      <c r="M268" s="28">
        <f>IF($B268="","",IF(COUNTIFS(EntryDates,$B268,CalcTime,$C268,CalcBank,$C$5,EntryParty,$D268,EntryDep,$H268,EntryWit,$I268)&gt;1,"تکرار",""))</f>
        <v/>
      </c>
      <c r="N268" s="28">
        <f>IF($P268="","",IF(INDEX(EntryNotes,$P268)=0,"",INDEX(EntryNotes,$P268)))</f>
        <v/>
      </c>
      <c r="O268" s="28">
        <f>IF($P268="","",IF(INDEX(EntryTxnID,$P268)=0,"",INDEX(EntryTxnID,$P268)))</f>
        <v/>
      </c>
      <c r="P268" s="28">
        <f>IFERROR(MATCH($C$5&amp;"|"&amp;RIGHT("000000"&amp;252,6),CalcRankKey,0),"")</f>
        <v/>
      </c>
    </row>
    <row r="269">
      <c r="A269" s="26">
        <f>IF($B269="","",253)</f>
        <v/>
      </c>
      <c r="B269" s="26">
        <f>IF($P269="","",IF(INDEX(CalcNormDate,$P269)=0,"",INDEX(CalcNormDate,$P269)))</f>
        <v/>
      </c>
      <c r="C269" s="26">
        <f>IF($P269="","",IF(INDEX(CalcTime,$P269)=0,"",INDEX(CalcTime,$P269)))</f>
        <v/>
      </c>
      <c r="D269" s="26">
        <f>IF($P269="","",IF(INDEX(EntryParty,$P269)=0,"",INDEX(EntryParty,$P269)))</f>
        <v/>
      </c>
      <c r="E269" s="26">
        <f>IF($P269="","",IF(INDEX(EntryPartyName,$P269)=0,"",INDEX(EntryPartyName,$P269)))</f>
        <v/>
      </c>
      <c r="F269" s="26">
        <f>IF($P269="","",IF(INDEX(EntryPartyType,$P269)=0,"",INDEX(EntryPartyType,$P269)))</f>
        <v/>
      </c>
      <c r="G269" s="26">
        <f>IF($P269="","",IF(INDEX(EntryTxnType,$P269)=0,"",INDEX(EntryTxnType,$P269)))</f>
        <v/>
      </c>
      <c r="H269" s="27">
        <f>IF($P269="","",IF(INDEX(EntryDep,$P269)=0,"",INDEX(EntryDep,$P269)))</f>
        <v/>
      </c>
      <c r="I269" s="27">
        <f>IF($P269="","",IF(INDEX(EntryWit,$P269)=0,"",INDEX(EntryWit,$P269)))</f>
        <v/>
      </c>
      <c r="J269" s="27">
        <f>IF($B269="","",IF($A269=1,$C$7,IF(J268="",0,J268))+IF($H269="",0,$H269)-IF($I269="",0,$I269))</f>
        <v/>
      </c>
      <c r="K269" s="27">
        <f>IF($P269="","",IF(INDEX(EntryMan,$P269)=0,"",INDEX(EntryMan,$P269)))</f>
        <v/>
      </c>
      <c r="L269" s="26">
        <f>IF($B269="","",IF($K269="","—",IF(ROUND($K269-$J269,0)=0,"√","×")))</f>
        <v/>
      </c>
      <c r="M269" s="26">
        <f>IF($B269="","",IF(COUNTIFS(EntryDates,$B269,CalcTime,$C269,CalcBank,$C$5,EntryParty,$D269,EntryDep,$H269,EntryWit,$I269)&gt;1,"تکرار",""))</f>
        <v/>
      </c>
      <c r="N269" s="26">
        <f>IF($P269="","",IF(INDEX(EntryNotes,$P269)=0,"",INDEX(EntryNotes,$P269)))</f>
        <v/>
      </c>
      <c r="O269" s="26">
        <f>IF($P269="","",IF(INDEX(EntryTxnID,$P269)=0,"",INDEX(EntryTxnID,$P269)))</f>
        <v/>
      </c>
      <c r="P269" s="26">
        <f>IFERROR(MATCH($C$5&amp;"|"&amp;RIGHT("000000"&amp;253,6),CalcRankKey,0),"")</f>
        <v/>
      </c>
    </row>
    <row r="270">
      <c r="A270" s="28">
        <f>IF($B270="","",254)</f>
        <v/>
      </c>
      <c r="B270" s="28">
        <f>IF($P270="","",IF(INDEX(CalcNormDate,$P270)=0,"",INDEX(CalcNormDate,$P270)))</f>
        <v/>
      </c>
      <c r="C270" s="28">
        <f>IF($P270="","",IF(INDEX(CalcTime,$P270)=0,"",INDEX(CalcTime,$P270)))</f>
        <v/>
      </c>
      <c r="D270" s="28">
        <f>IF($P270="","",IF(INDEX(EntryParty,$P270)=0,"",INDEX(EntryParty,$P270)))</f>
        <v/>
      </c>
      <c r="E270" s="28">
        <f>IF($P270="","",IF(INDEX(EntryPartyName,$P270)=0,"",INDEX(EntryPartyName,$P270)))</f>
        <v/>
      </c>
      <c r="F270" s="28">
        <f>IF($P270="","",IF(INDEX(EntryPartyType,$P270)=0,"",INDEX(EntryPartyType,$P270)))</f>
        <v/>
      </c>
      <c r="G270" s="28">
        <f>IF($P270="","",IF(INDEX(EntryTxnType,$P270)=0,"",INDEX(EntryTxnType,$P270)))</f>
        <v/>
      </c>
      <c r="H270" s="29">
        <f>IF($P270="","",IF(INDEX(EntryDep,$P270)=0,"",INDEX(EntryDep,$P270)))</f>
        <v/>
      </c>
      <c r="I270" s="29">
        <f>IF($P270="","",IF(INDEX(EntryWit,$P270)=0,"",INDEX(EntryWit,$P270)))</f>
        <v/>
      </c>
      <c r="J270" s="29">
        <f>IF($B270="","",IF($A270=1,$C$7,IF(J269="",0,J269))+IF($H270="",0,$H270)-IF($I270="",0,$I270))</f>
        <v/>
      </c>
      <c r="K270" s="29">
        <f>IF($P270="","",IF(INDEX(EntryMan,$P270)=0,"",INDEX(EntryMan,$P270)))</f>
        <v/>
      </c>
      <c r="L270" s="28">
        <f>IF($B270="","",IF($K270="","—",IF(ROUND($K270-$J270,0)=0,"√","×")))</f>
        <v/>
      </c>
      <c r="M270" s="28">
        <f>IF($B270="","",IF(COUNTIFS(EntryDates,$B270,CalcTime,$C270,CalcBank,$C$5,EntryParty,$D270,EntryDep,$H270,EntryWit,$I270)&gt;1,"تکرار",""))</f>
        <v/>
      </c>
      <c r="N270" s="28">
        <f>IF($P270="","",IF(INDEX(EntryNotes,$P270)=0,"",INDEX(EntryNotes,$P270)))</f>
        <v/>
      </c>
      <c r="O270" s="28">
        <f>IF($P270="","",IF(INDEX(EntryTxnID,$P270)=0,"",INDEX(EntryTxnID,$P270)))</f>
        <v/>
      </c>
      <c r="P270" s="28">
        <f>IFERROR(MATCH($C$5&amp;"|"&amp;RIGHT("000000"&amp;254,6),CalcRankKey,0),"")</f>
        <v/>
      </c>
    </row>
    <row r="271">
      <c r="A271" s="26">
        <f>IF($B271="","",255)</f>
        <v/>
      </c>
      <c r="B271" s="26">
        <f>IF($P271="","",IF(INDEX(CalcNormDate,$P271)=0,"",INDEX(CalcNormDate,$P271)))</f>
        <v/>
      </c>
      <c r="C271" s="26">
        <f>IF($P271="","",IF(INDEX(CalcTime,$P271)=0,"",INDEX(CalcTime,$P271)))</f>
        <v/>
      </c>
      <c r="D271" s="26">
        <f>IF($P271="","",IF(INDEX(EntryParty,$P271)=0,"",INDEX(EntryParty,$P271)))</f>
        <v/>
      </c>
      <c r="E271" s="26">
        <f>IF($P271="","",IF(INDEX(EntryPartyName,$P271)=0,"",INDEX(EntryPartyName,$P271)))</f>
        <v/>
      </c>
      <c r="F271" s="26">
        <f>IF($P271="","",IF(INDEX(EntryPartyType,$P271)=0,"",INDEX(EntryPartyType,$P271)))</f>
        <v/>
      </c>
      <c r="G271" s="26">
        <f>IF($P271="","",IF(INDEX(EntryTxnType,$P271)=0,"",INDEX(EntryTxnType,$P271)))</f>
        <v/>
      </c>
      <c r="H271" s="27">
        <f>IF($P271="","",IF(INDEX(EntryDep,$P271)=0,"",INDEX(EntryDep,$P271)))</f>
        <v/>
      </c>
      <c r="I271" s="27">
        <f>IF($P271="","",IF(INDEX(EntryWit,$P271)=0,"",INDEX(EntryWit,$P271)))</f>
        <v/>
      </c>
      <c r="J271" s="27">
        <f>IF($B271="","",IF($A271=1,$C$7,IF(J270="",0,J270))+IF($H271="",0,$H271)-IF($I271="",0,$I271))</f>
        <v/>
      </c>
      <c r="K271" s="27">
        <f>IF($P271="","",IF(INDEX(EntryMan,$P271)=0,"",INDEX(EntryMan,$P271)))</f>
        <v/>
      </c>
      <c r="L271" s="26">
        <f>IF($B271="","",IF($K271="","—",IF(ROUND($K271-$J271,0)=0,"√","×")))</f>
        <v/>
      </c>
      <c r="M271" s="26">
        <f>IF($B271="","",IF(COUNTIFS(EntryDates,$B271,CalcTime,$C271,CalcBank,$C$5,EntryParty,$D271,EntryDep,$H271,EntryWit,$I271)&gt;1,"تکرار",""))</f>
        <v/>
      </c>
      <c r="N271" s="26">
        <f>IF($P271="","",IF(INDEX(EntryNotes,$P271)=0,"",INDEX(EntryNotes,$P271)))</f>
        <v/>
      </c>
      <c r="O271" s="26">
        <f>IF($P271="","",IF(INDEX(EntryTxnID,$P271)=0,"",INDEX(EntryTxnID,$P271)))</f>
        <v/>
      </c>
      <c r="P271" s="26">
        <f>IFERROR(MATCH($C$5&amp;"|"&amp;RIGHT("000000"&amp;255,6),CalcRankKey,0),"")</f>
        <v/>
      </c>
    </row>
    <row r="272">
      <c r="A272" s="28">
        <f>IF($B272="","",256)</f>
        <v/>
      </c>
      <c r="B272" s="28">
        <f>IF($P272="","",IF(INDEX(CalcNormDate,$P272)=0,"",INDEX(CalcNormDate,$P272)))</f>
        <v/>
      </c>
      <c r="C272" s="28">
        <f>IF($P272="","",IF(INDEX(CalcTime,$P272)=0,"",INDEX(CalcTime,$P272)))</f>
        <v/>
      </c>
      <c r="D272" s="28">
        <f>IF($P272="","",IF(INDEX(EntryParty,$P272)=0,"",INDEX(EntryParty,$P272)))</f>
        <v/>
      </c>
      <c r="E272" s="28">
        <f>IF($P272="","",IF(INDEX(EntryPartyName,$P272)=0,"",INDEX(EntryPartyName,$P272)))</f>
        <v/>
      </c>
      <c r="F272" s="28">
        <f>IF($P272="","",IF(INDEX(EntryPartyType,$P272)=0,"",INDEX(EntryPartyType,$P272)))</f>
        <v/>
      </c>
      <c r="G272" s="28">
        <f>IF($P272="","",IF(INDEX(EntryTxnType,$P272)=0,"",INDEX(EntryTxnType,$P272)))</f>
        <v/>
      </c>
      <c r="H272" s="29">
        <f>IF($P272="","",IF(INDEX(EntryDep,$P272)=0,"",INDEX(EntryDep,$P272)))</f>
        <v/>
      </c>
      <c r="I272" s="29">
        <f>IF($P272="","",IF(INDEX(EntryWit,$P272)=0,"",INDEX(EntryWit,$P272)))</f>
        <v/>
      </c>
      <c r="J272" s="29">
        <f>IF($B272="","",IF($A272=1,$C$7,IF(J271="",0,J271))+IF($H272="",0,$H272)-IF($I272="",0,$I272))</f>
        <v/>
      </c>
      <c r="K272" s="29">
        <f>IF($P272="","",IF(INDEX(EntryMan,$P272)=0,"",INDEX(EntryMan,$P272)))</f>
        <v/>
      </c>
      <c r="L272" s="28">
        <f>IF($B272="","",IF($K272="","—",IF(ROUND($K272-$J272,0)=0,"√","×")))</f>
        <v/>
      </c>
      <c r="M272" s="28">
        <f>IF($B272="","",IF(COUNTIFS(EntryDates,$B272,CalcTime,$C272,CalcBank,$C$5,EntryParty,$D272,EntryDep,$H272,EntryWit,$I272)&gt;1,"تکرار",""))</f>
        <v/>
      </c>
      <c r="N272" s="28">
        <f>IF($P272="","",IF(INDEX(EntryNotes,$P272)=0,"",INDEX(EntryNotes,$P272)))</f>
        <v/>
      </c>
      <c r="O272" s="28">
        <f>IF($P272="","",IF(INDEX(EntryTxnID,$P272)=0,"",INDEX(EntryTxnID,$P272)))</f>
        <v/>
      </c>
      <c r="P272" s="28">
        <f>IFERROR(MATCH($C$5&amp;"|"&amp;RIGHT("000000"&amp;256,6),CalcRankKey,0),"")</f>
        <v/>
      </c>
    </row>
    <row r="273">
      <c r="A273" s="26">
        <f>IF($B273="","",257)</f>
        <v/>
      </c>
      <c r="B273" s="26">
        <f>IF($P273="","",IF(INDEX(CalcNormDate,$P273)=0,"",INDEX(CalcNormDate,$P273)))</f>
        <v/>
      </c>
      <c r="C273" s="26">
        <f>IF($P273="","",IF(INDEX(CalcTime,$P273)=0,"",INDEX(CalcTime,$P273)))</f>
        <v/>
      </c>
      <c r="D273" s="26">
        <f>IF($P273="","",IF(INDEX(EntryParty,$P273)=0,"",INDEX(EntryParty,$P273)))</f>
        <v/>
      </c>
      <c r="E273" s="26">
        <f>IF($P273="","",IF(INDEX(EntryPartyName,$P273)=0,"",INDEX(EntryPartyName,$P273)))</f>
        <v/>
      </c>
      <c r="F273" s="26">
        <f>IF($P273="","",IF(INDEX(EntryPartyType,$P273)=0,"",INDEX(EntryPartyType,$P273)))</f>
        <v/>
      </c>
      <c r="G273" s="26">
        <f>IF($P273="","",IF(INDEX(EntryTxnType,$P273)=0,"",INDEX(EntryTxnType,$P273)))</f>
        <v/>
      </c>
      <c r="H273" s="27">
        <f>IF($P273="","",IF(INDEX(EntryDep,$P273)=0,"",INDEX(EntryDep,$P273)))</f>
        <v/>
      </c>
      <c r="I273" s="27">
        <f>IF($P273="","",IF(INDEX(EntryWit,$P273)=0,"",INDEX(EntryWit,$P273)))</f>
        <v/>
      </c>
      <c r="J273" s="27">
        <f>IF($B273="","",IF($A273=1,$C$7,IF(J272="",0,J272))+IF($H273="",0,$H273)-IF($I273="",0,$I273))</f>
        <v/>
      </c>
      <c r="K273" s="27">
        <f>IF($P273="","",IF(INDEX(EntryMan,$P273)=0,"",INDEX(EntryMan,$P273)))</f>
        <v/>
      </c>
      <c r="L273" s="26">
        <f>IF($B273="","",IF($K273="","—",IF(ROUND($K273-$J273,0)=0,"√","×")))</f>
        <v/>
      </c>
      <c r="M273" s="26">
        <f>IF($B273="","",IF(COUNTIFS(EntryDates,$B273,CalcTime,$C273,CalcBank,$C$5,EntryParty,$D273,EntryDep,$H273,EntryWit,$I273)&gt;1,"تکرار",""))</f>
        <v/>
      </c>
      <c r="N273" s="26">
        <f>IF($P273="","",IF(INDEX(EntryNotes,$P273)=0,"",INDEX(EntryNotes,$P273)))</f>
        <v/>
      </c>
      <c r="O273" s="26">
        <f>IF($P273="","",IF(INDEX(EntryTxnID,$P273)=0,"",INDEX(EntryTxnID,$P273)))</f>
        <v/>
      </c>
      <c r="P273" s="26">
        <f>IFERROR(MATCH($C$5&amp;"|"&amp;RIGHT("000000"&amp;257,6),CalcRankKey,0),"")</f>
        <v/>
      </c>
    </row>
    <row r="274">
      <c r="A274" s="28">
        <f>IF($B274="","",258)</f>
        <v/>
      </c>
      <c r="B274" s="28">
        <f>IF($P274="","",IF(INDEX(CalcNormDate,$P274)=0,"",INDEX(CalcNormDate,$P274)))</f>
        <v/>
      </c>
      <c r="C274" s="28">
        <f>IF($P274="","",IF(INDEX(CalcTime,$P274)=0,"",INDEX(CalcTime,$P274)))</f>
        <v/>
      </c>
      <c r="D274" s="28">
        <f>IF($P274="","",IF(INDEX(EntryParty,$P274)=0,"",INDEX(EntryParty,$P274)))</f>
        <v/>
      </c>
      <c r="E274" s="28">
        <f>IF($P274="","",IF(INDEX(EntryPartyName,$P274)=0,"",INDEX(EntryPartyName,$P274)))</f>
        <v/>
      </c>
      <c r="F274" s="28">
        <f>IF($P274="","",IF(INDEX(EntryPartyType,$P274)=0,"",INDEX(EntryPartyType,$P274)))</f>
        <v/>
      </c>
      <c r="G274" s="28">
        <f>IF($P274="","",IF(INDEX(EntryTxnType,$P274)=0,"",INDEX(EntryTxnType,$P274)))</f>
        <v/>
      </c>
      <c r="H274" s="29">
        <f>IF($P274="","",IF(INDEX(EntryDep,$P274)=0,"",INDEX(EntryDep,$P274)))</f>
        <v/>
      </c>
      <c r="I274" s="29">
        <f>IF($P274="","",IF(INDEX(EntryWit,$P274)=0,"",INDEX(EntryWit,$P274)))</f>
        <v/>
      </c>
      <c r="J274" s="29">
        <f>IF($B274="","",IF($A274=1,$C$7,IF(J273="",0,J273))+IF($H274="",0,$H274)-IF($I274="",0,$I274))</f>
        <v/>
      </c>
      <c r="K274" s="29">
        <f>IF($P274="","",IF(INDEX(EntryMan,$P274)=0,"",INDEX(EntryMan,$P274)))</f>
        <v/>
      </c>
      <c r="L274" s="28">
        <f>IF($B274="","",IF($K274="","—",IF(ROUND($K274-$J274,0)=0,"√","×")))</f>
        <v/>
      </c>
      <c r="M274" s="28">
        <f>IF($B274="","",IF(COUNTIFS(EntryDates,$B274,CalcTime,$C274,CalcBank,$C$5,EntryParty,$D274,EntryDep,$H274,EntryWit,$I274)&gt;1,"تکرار",""))</f>
        <v/>
      </c>
      <c r="N274" s="28">
        <f>IF($P274="","",IF(INDEX(EntryNotes,$P274)=0,"",INDEX(EntryNotes,$P274)))</f>
        <v/>
      </c>
      <c r="O274" s="28">
        <f>IF($P274="","",IF(INDEX(EntryTxnID,$P274)=0,"",INDEX(EntryTxnID,$P274)))</f>
        <v/>
      </c>
      <c r="P274" s="28">
        <f>IFERROR(MATCH($C$5&amp;"|"&amp;RIGHT("000000"&amp;258,6),CalcRankKey,0),"")</f>
        <v/>
      </c>
    </row>
    <row r="275">
      <c r="A275" s="26">
        <f>IF($B275="","",259)</f>
        <v/>
      </c>
      <c r="B275" s="26">
        <f>IF($P275="","",IF(INDEX(CalcNormDate,$P275)=0,"",INDEX(CalcNormDate,$P275)))</f>
        <v/>
      </c>
      <c r="C275" s="26">
        <f>IF($P275="","",IF(INDEX(CalcTime,$P275)=0,"",INDEX(CalcTime,$P275)))</f>
        <v/>
      </c>
      <c r="D275" s="26">
        <f>IF($P275="","",IF(INDEX(EntryParty,$P275)=0,"",INDEX(EntryParty,$P275)))</f>
        <v/>
      </c>
      <c r="E275" s="26">
        <f>IF($P275="","",IF(INDEX(EntryPartyName,$P275)=0,"",INDEX(EntryPartyName,$P275)))</f>
        <v/>
      </c>
      <c r="F275" s="26">
        <f>IF($P275="","",IF(INDEX(EntryPartyType,$P275)=0,"",INDEX(EntryPartyType,$P275)))</f>
        <v/>
      </c>
      <c r="G275" s="26">
        <f>IF($P275="","",IF(INDEX(EntryTxnType,$P275)=0,"",INDEX(EntryTxnType,$P275)))</f>
        <v/>
      </c>
      <c r="H275" s="27">
        <f>IF($P275="","",IF(INDEX(EntryDep,$P275)=0,"",INDEX(EntryDep,$P275)))</f>
        <v/>
      </c>
      <c r="I275" s="27">
        <f>IF($P275="","",IF(INDEX(EntryWit,$P275)=0,"",INDEX(EntryWit,$P275)))</f>
        <v/>
      </c>
      <c r="J275" s="27">
        <f>IF($B275="","",IF($A275=1,$C$7,IF(J274="",0,J274))+IF($H275="",0,$H275)-IF($I275="",0,$I275))</f>
        <v/>
      </c>
      <c r="K275" s="27">
        <f>IF($P275="","",IF(INDEX(EntryMan,$P275)=0,"",INDEX(EntryMan,$P275)))</f>
        <v/>
      </c>
      <c r="L275" s="26">
        <f>IF($B275="","",IF($K275="","—",IF(ROUND($K275-$J275,0)=0,"√","×")))</f>
        <v/>
      </c>
      <c r="M275" s="26">
        <f>IF($B275="","",IF(COUNTIFS(EntryDates,$B275,CalcTime,$C275,CalcBank,$C$5,EntryParty,$D275,EntryDep,$H275,EntryWit,$I275)&gt;1,"تکرار",""))</f>
        <v/>
      </c>
      <c r="N275" s="26">
        <f>IF($P275="","",IF(INDEX(EntryNotes,$P275)=0,"",INDEX(EntryNotes,$P275)))</f>
        <v/>
      </c>
      <c r="O275" s="26">
        <f>IF($P275="","",IF(INDEX(EntryTxnID,$P275)=0,"",INDEX(EntryTxnID,$P275)))</f>
        <v/>
      </c>
      <c r="P275" s="26">
        <f>IFERROR(MATCH($C$5&amp;"|"&amp;RIGHT("000000"&amp;259,6),CalcRankKey,0),"")</f>
        <v/>
      </c>
    </row>
    <row r="276">
      <c r="A276" s="28">
        <f>IF($B276="","",260)</f>
        <v/>
      </c>
      <c r="B276" s="28">
        <f>IF($P276="","",IF(INDEX(CalcNormDate,$P276)=0,"",INDEX(CalcNormDate,$P276)))</f>
        <v/>
      </c>
      <c r="C276" s="28">
        <f>IF($P276="","",IF(INDEX(CalcTime,$P276)=0,"",INDEX(CalcTime,$P276)))</f>
        <v/>
      </c>
      <c r="D276" s="28">
        <f>IF($P276="","",IF(INDEX(EntryParty,$P276)=0,"",INDEX(EntryParty,$P276)))</f>
        <v/>
      </c>
      <c r="E276" s="28">
        <f>IF($P276="","",IF(INDEX(EntryPartyName,$P276)=0,"",INDEX(EntryPartyName,$P276)))</f>
        <v/>
      </c>
      <c r="F276" s="28">
        <f>IF($P276="","",IF(INDEX(EntryPartyType,$P276)=0,"",INDEX(EntryPartyType,$P276)))</f>
        <v/>
      </c>
      <c r="G276" s="28">
        <f>IF($P276="","",IF(INDEX(EntryTxnType,$P276)=0,"",INDEX(EntryTxnType,$P276)))</f>
        <v/>
      </c>
      <c r="H276" s="29">
        <f>IF($P276="","",IF(INDEX(EntryDep,$P276)=0,"",INDEX(EntryDep,$P276)))</f>
        <v/>
      </c>
      <c r="I276" s="29">
        <f>IF($P276="","",IF(INDEX(EntryWit,$P276)=0,"",INDEX(EntryWit,$P276)))</f>
        <v/>
      </c>
      <c r="J276" s="29">
        <f>IF($B276="","",IF($A276=1,$C$7,IF(J275="",0,J275))+IF($H276="",0,$H276)-IF($I276="",0,$I276))</f>
        <v/>
      </c>
      <c r="K276" s="29">
        <f>IF($P276="","",IF(INDEX(EntryMan,$P276)=0,"",INDEX(EntryMan,$P276)))</f>
        <v/>
      </c>
      <c r="L276" s="28">
        <f>IF($B276="","",IF($K276="","—",IF(ROUND($K276-$J276,0)=0,"√","×")))</f>
        <v/>
      </c>
      <c r="M276" s="28">
        <f>IF($B276="","",IF(COUNTIFS(EntryDates,$B276,CalcTime,$C276,CalcBank,$C$5,EntryParty,$D276,EntryDep,$H276,EntryWit,$I276)&gt;1,"تکرار",""))</f>
        <v/>
      </c>
      <c r="N276" s="28">
        <f>IF($P276="","",IF(INDEX(EntryNotes,$P276)=0,"",INDEX(EntryNotes,$P276)))</f>
        <v/>
      </c>
      <c r="O276" s="28">
        <f>IF($P276="","",IF(INDEX(EntryTxnID,$P276)=0,"",INDEX(EntryTxnID,$P276)))</f>
        <v/>
      </c>
      <c r="P276" s="28">
        <f>IFERROR(MATCH($C$5&amp;"|"&amp;RIGHT("000000"&amp;260,6),CalcRankKey,0),"")</f>
        <v/>
      </c>
    </row>
    <row r="277">
      <c r="A277" s="26">
        <f>IF($B277="","",261)</f>
        <v/>
      </c>
      <c r="B277" s="26">
        <f>IF($P277="","",IF(INDEX(CalcNormDate,$P277)=0,"",INDEX(CalcNormDate,$P277)))</f>
        <v/>
      </c>
      <c r="C277" s="26">
        <f>IF($P277="","",IF(INDEX(CalcTime,$P277)=0,"",INDEX(CalcTime,$P277)))</f>
        <v/>
      </c>
      <c r="D277" s="26">
        <f>IF($P277="","",IF(INDEX(EntryParty,$P277)=0,"",INDEX(EntryParty,$P277)))</f>
        <v/>
      </c>
      <c r="E277" s="26">
        <f>IF($P277="","",IF(INDEX(EntryPartyName,$P277)=0,"",INDEX(EntryPartyName,$P277)))</f>
        <v/>
      </c>
      <c r="F277" s="26">
        <f>IF($P277="","",IF(INDEX(EntryPartyType,$P277)=0,"",INDEX(EntryPartyType,$P277)))</f>
        <v/>
      </c>
      <c r="G277" s="26">
        <f>IF($P277="","",IF(INDEX(EntryTxnType,$P277)=0,"",INDEX(EntryTxnType,$P277)))</f>
        <v/>
      </c>
      <c r="H277" s="27">
        <f>IF($P277="","",IF(INDEX(EntryDep,$P277)=0,"",INDEX(EntryDep,$P277)))</f>
        <v/>
      </c>
      <c r="I277" s="27">
        <f>IF($P277="","",IF(INDEX(EntryWit,$P277)=0,"",INDEX(EntryWit,$P277)))</f>
        <v/>
      </c>
      <c r="J277" s="27">
        <f>IF($B277="","",IF($A277=1,$C$7,IF(J276="",0,J276))+IF($H277="",0,$H277)-IF($I277="",0,$I277))</f>
        <v/>
      </c>
      <c r="K277" s="27">
        <f>IF($P277="","",IF(INDEX(EntryMan,$P277)=0,"",INDEX(EntryMan,$P277)))</f>
        <v/>
      </c>
      <c r="L277" s="26">
        <f>IF($B277="","",IF($K277="","—",IF(ROUND($K277-$J277,0)=0,"√","×")))</f>
        <v/>
      </c>
      <c r="M277" s="26">
        <f>IF($B277="","",IF(COUNTIFS(EntryDates,$B277,CalcTime,$C277,CalcBank,$C$5,EntryParty,$D277,EntryDep,$H277,EntryWit,$I277)&gt;1,"تکرار",""))</f>
        <v/>
      </c>
      <c r="N277" s="26">
        <f>IF($P277="","",IF(INDEX(EntryNotes,$P277)=0,"",INDEX(EntryNotes,$P277)))</f>
        <v/>
      </c>
      <c r="O277" s="26">
        <f>IF($P277="","",IF(INDEX(EntryTxnID,$P277)=0,"",INDEX(EntryTxnID,$P277)))</f>
        <v/>
      </c>
      <c r="P277" s="26">
        <f>IFERROR(MATCH($C$5&amp;"|"&amp;RIGHT("000000"&amp;261,6),CalcRankKey,0),"")</f>
        <v/>
      </c>
    </row>
    <row r="278">
      <c r="A278" s="28">
        <f>IF($B278="","",262)</f>
        <v/>
      </c>
      <c r="B278" s="28">
        <f>IF($P278="","",IF(INDEX(CalcNormDate,$P278)=0,"",INDEX(CalcNormDate,$P278)))</f>
        <v/>
      </c>
      <c r="C278" s="28">
        <f>IF($P278="","",IF(INDEX(CalcTime,$P278)=0,"",INDEX(CalcTime,$P278)))</f>
        <v/>
      </c>
      <c r="D278" s="28">
        <f>IF($P278="","",IF(INDEX(EntryParty,$P278)=0,"",INDEX(EntryParty,$P278)))</f>
        <v/>
      </c>
      <c r="E278" s="28">
        <f>IF($P278="","",IF(INDEX(EntryPartyName,$P278)=0,"",INDEX(EntryPartyName,$P278)))</f>
        <v/>
      </c>
      <c r="F278" s="28">
        <f>IF($P278="","",IF(INDEX(EntryPartyType,$P278)=0,"",INDEX(EntryPartyType,$P278)))</f>
        <v/>
      </c>
      <c r="G278" s="28">
        <f>IF($P278="","",IF(INDEX(EntryTxnType,$P278)=0,"",INDEX(EntryTxnType,$P278)))</f>
        <v/>
      </c>
      <c r="H278" s="29">
        <f>IF($P278="","",IF(INDEX(EntryDep,$P278)=0,"",INDEX(EntryDep,$P278)))</f>
        <v/>
      </c>
      <c r="I278" s="29">
        <f>IF($P278="","",IF(INDEX(EntryWit,$P278)=0,"",INDEX(EntryWit,$P278)))</f>
        <v/>
      </c>
      <c r="J278" s="29">
        <f>IF($B278="","",IF($A278=1,$C$7,IF(J277="",0,J277))+IF($H278="",0,$H278)-IF($I278="",0,$I278))</f>
        <v/>
      </c>
      <c r="K278" s="29">
        <f>IF($P278="","",IF(INDEX(EntryMan,$P278)=0,"",INDEX(EntryMan,$P278)))</f>
        <v/>
      </c>
      <c r="L278" s="28">
        <f>IF($B278="","",IF($K278="","—",IF(ROUND($K278-$J278,0)=0,"√","×")))</f>
        <v/>
      </c>
      <c r="M278" s="28">
        <f>IF($B278="","",IF(COUNTIFS(EntryDates,$B278,CalcTime,$C278,CalcBank,$C$5,EntryParty,$D278,EntryDep,$H278,EntryWit,$I278)&gt;1,"تکرار",""))</f>
        <v/>
      </c>
      <c r="N278" s="28">
        <f>IF($P278="","",IF(INDEX(EntryNotes,$P278)=0,"",INDEX(EntryNotes,$P278)))</f>
        <v/>
      </c>
      <c r="O278" s="28">
        <f>IF($P278="","",IF(INDEX(EntryTxnID,$P278)=0,"",INDEX(EntryTxnID,$P278)))</f>
        <v/>
      </c>
      <c r="P278" s="28">
        <f>IFERROR(MATCH($C$5&amp;"|"&amp;RIGHT("000000"&amp;262,6),CalcRankKey,0),"")</f>
        <v/>
      </c>
    </row>
    <row r="279">
      <c r="A279" s="26">
        <f>IF($B279="","",263)</f>
        <v/>
      </c>
      <c r="B279" s="26">
        <f>IF($P279="","",IF(INDEX(CalcNormDate,$P279)=0,"",INDEX(CalcNormDate,$P279)))</f>
        <v/>
      </c>
      <c r="C279" s="26">
        <f>IF($P279="","",IF(INDEX(CalcTime,$P279)=0,"",INDEX(CalcTime,$P279)))</f>
        <v/>
      </c>
      <c r="D279" s="26">
        <f>IF($P279="","",IF(INDEX(EntryParty,$P279)=0,"",INDEX(EntryParty,$P279)))</f>
        <v/>
      </c>
      <c r="E279" s="26">
        <f>IF($P279="","",IF(INDEX(EntryPartyName,$P279)=0,"",INDEX(EntryPartyName,$P279)))</f>
        <v/>
      </c>
      <c r="F279" s="26">
        <f>IF($P279="","",IF(INDEX(EntryPartyType,$P279)=0,"",INDEX(EntryPartyType,$P279)))</f>
        <v/>
      </c>
      <c r="G279" s="26">
        <f>IF($P279="","",IF(INDEX(EntryTxnType,$P279)=0,"",INDEX(EntryTxnType,$P279)))</f>
        <v/>
      </c>
      <c r="H279" s="27">
        <f>IF($P279="","",IF(INDEX(EntryDep,$P279)=0,"",INDEX(EntryDep,$P279)))</f>
        <v/>
      </c>
      <c r="I279" s="27">
        <f>IF($P279="","",IF(INDEX(EntryWit,$P279)=0,"",INDEX(EntryWit,$P279)))</f>
        <v/>
      </c>
      <c r="J279" s="27">
        <f>IF($B279="","",IF($A279=1,$C$7,IF(J278="",0,J278))+IF($H279="",0,$H279)-IF($I279="",0,$I279))</f>
        <v/>
      </c>
      <c r="K279" s="27">
        <f>IF($P279="","",IF(INDEX(EntryMan,$P279)=0,"",INDEX(EntryMan,$P279)))</f>
        <v/>
      </c>
      <c r="L279" s="26">
        <f>IF($B279="","",IF($K279="","—",IF(ROUND($K279-$J279,0)=0,"√","×")))</f>
        <v/>
      </c>
      <c r="M279" s="26">
        <f>IF($B279="","",IF(COUNTIFS(EntryDates,$B279,CalcTime,$C279,CalcBank,$C$5,EntryParty,$D279,EntryDep,$H279,EntryWit,$I279)&gt;1,"تکرار",""))</f>
        <v/>
      </c>
      <c r="N279" s="26">
        <f>IF($P279="","",IF(INDEX(EntryNotes,$P279)=0,"",INDEX(EntryNotes,$P279)))</f>
        <v/>
      </c>
      <c r="O279" s="26">
        <f>IF($P279="","",IF(INDEX(EntryTxnID,$P279)=0,"",INDEX(EntryTxnID,$P279)))</f>
        <v/>
      </c>
      <c r="P279" s="26">
        <f>IFERROR(MATCH($C$5&amp;"|"&amp;RIGHT("000000"&amp;263,6),CalcRankKey,0),"")</f>
        <v/>
      </c>
    </row>
    <row r="280">
      <c r="A280" s="28">
        <f>IF($B280="","",264)</f>
        <v/>
      </c>
      <c r="B280" s="28">
        <f>IF($P280="","",IF(INDEX(CalcNormDate,$P280)=0,"",INDEX(CalcNormDate,$P280)))</f>
        <v/>
      </c>
      <c r="C280" s="28">
        <f>IF($P280="","",IF(INDEX(CalcTime,$P280)=0,"",INDEX(CalcTime,$P280)))</f>
        <v/>
      </c>
      <c r="D280" s="28">
        <f>IF($P280="","",IF(INDEX(EntryParty,$P280)=0,"",INDEX(EntryParty,$P280)))</f>
        <v/>
      </c>
      <c r="E280" s="28">
        <f>IF($P280="","",IF(INDEX(EntryPartyName,$P280)=0,"",INDEX(EntryPartyName,$P280)))</f>
        <v/>
      </c>
      <c r="F280" s="28">
        <f>IF($P280="","",IF(INDEX(EntryPartyType,$P280)=0,"",INDEX(EntryPartyType,$P280)))</f>
        <v/>
      </c>
      <c r="G280" s="28">
        <f>IF($P280="","",IF(INDEX(EntryTxnType,$P280)=0,"",INDEX(EntryTxnType,$P280)))</f>
        <v/>
      </c>
      <c r="H280" s="29">
        <f>IF($P280="","",IF(INDEX(EntryDep,$P280)=0,"",INDEX(EntryDep,$P280)))</f>
        <v/>
      </c>
      <c r="I280" s="29">
        <f>IF($P280="","",IF(INDEX(EntryWit,$P280)=0,"",INDEX(EntryWit,$P280)))</f>
        <v/>
      </c>
      <c r="J280" s="29">
        <f>IF($B280="","",IF($A280=1,$C$7,IF(J279="",0,J279))+IF($H280="",0,$H280)-IF($I280="",0,$I280))</f>
        <v/>
      </c>
      <c r="K280" s="29">
        <f>IF($P280="","",IF(INDEX(EntryMan,$P280)=0,"",INDEX(EntryMan,$P280)))</f>
        <v/>
      </c>
      <c r="L280" s="28">
        <f>IF($B280="","",IF($K280="","—",IF(ROUND($K280-$J280,0)=0,"√","×")))</f>
        <v/>
      </c>
      <c r="M280" s="28">
        <f>IF($B280="","",IF(COUNTIFS(EntryDates,$B280,CalcTime,$C280,CalcBank,$C$5,EntryParty,$D280,EntryDep,$H280,EntryWit,$I280)&gt;1,"تکرار",""))</f>
        <v/>
      </c>
      <c r="N280" s="28">
        <f>IF($P280="","",IF(INDEX(EntryNotes,$P280)=0,"",INDEX(EntryNotes,$P280)))</f>
        <v/>
      </c>
      <c r="O280" s="28">
        <f>IF($P280="","",IF(INDEX(EntryTxnID,$P280)=0,"",INDEX(EntryTxnID,$P280)))</f>
        <v/>
      </c>
      <c r="P280" s="28">
        <f>IFERROR(MATCH($C$5&amp;"|"&amp;RIGHT("000000"&amp;264,6),CalcRankKey,0),"")</f>
        <v/>
      </c>
    </row>
    <row r="281">
      <c r="A281" s="26">
        <f>IF($B281="","",265)</f>
        <v/>
      </c>
      <c r="B281" s="26">
        <f>IF($P281="","",IF(INDEX(CalcNormDate,$P281)=0,"",INDEX(CalcNormDate,$P281)))</f>
        <v/>
      </c>
      <c r="C281" s="26">
        <f>IF($P281="","",IF(INDEX(CalcTime,$P281)=0,"",INDEX(CalcTime,$P281)))</f>
        <v/>
      </c>
      <c r="D281" s="26">
        <f>IF($P281="","",IF(INDEX(EntryParty,$P281)=0,"",INDEX(EntryParty,$P281)))</f>
        <v/>
      </c>
      <c r="E281" s="26">
        <f>IF($P281="","",IF(INDEX(EntryPartyName,$P281)=0,"",INDEX(EntryPartyName,$P281)))</f>
        <v/>
      </c>
      <c r="F281" s="26">
        <f>IF($P281="","",IF(INDEX(EntryPartyType,$P281)=0,"",INDEX(EntryPartyType,$P281)))</f>
        <v/>
      </c>
      <c r="G281" s="26">
        <f>IF($P281="","",IF(INDEX(EntryTxnType,$P281)=0,"",INDEX(EntryTxnType,$P281)))</f>
        <v/>
      </c>
      <c r="H281" s="27">
        <f>IF($P281="","",IF(INDEX(EntryDep,$P281)=0,"",INDEX(EntryDep,$P281)))</f>
        <v/>
      </c>
      <c r="I281" s="27">
        <f>IF($P281="","",IF(INDEX(EntryWit,$P281)=0,"",INDEX(EntryWit,$P281)))</f>
        <v/>
      </c>
      <c r="J281" s="27">
        <f>IF($B281="","",IF($A281=1,$C$7,IF(J280="",0,J280))+IF($H281="",0,$H281)-IF($I281="",0,$I281))</f>
        <v/>
      </c>
      <c r="K281" s="27">
        <f>IF($P281="","",IF(INDEX(EntryMan,$P281)=0,"",INDEX(EntryMan,$P281)))</f>
        <v/>
      </c>
      <c r="L281" s="26">
        <f>IF($B281="","",IF($K281="","—",IF(ROUND($K281-$J281,0)=0,"√","×")))</f>
        <v/>
      </c>
      <c r="M281" s="26">
        <f>IF($B281="","",IF(COUNTIFS(EntryDates,$B281,CalcTime,$C281,CalcBank,$C$5,EntryParty,$D281,EntryDep,$H281,EntryWit,$I281)&gt;1,"تکرار",""))</f>
        <v/>
      </c>
      <c r="N281" s="26">
        <f>IF($P281="","",IF(INDEX(EntryNotes,$P281)=0,"",INDEX(EntryNotes,$P281)))</f>
        <v/>
      </c>
      <c r="O281" s="26">
        <f>IF($P281="","",IF(INDEX(EntryTxnID,$P281)=0,"",INDEX(EntryTxnID,$P281)))</f>
        <v/>
      </c>
      <c r="P281" s="26">
        <f>IFERROR(MATCH($C$5&amp;"|"&amp;RIGHT("000000"&amp;265,6),CalcRankKey,0),"")</f>
        <v/>
      </c>
    </row>
    <row r="282">
      <c r="A282" s="28">
        <f>IF($B282="","",266)</f>
        <v/>
      </c>
      <c r="B282" s="28">
        <f>IF($P282="","",IF(INDEX(CalcNormDate,$P282)=0,"",INDEX(CalcNormDate,$P282)))</f>
        <v/>
      </c>
      <c r="C282" s="28">
        <f>IF($P282="","",IF(INDEX(CalcTime,$P282)=0,"",INDEX(CalcTime,$P282)))</f>
        <v/>
      </c>
      <c r="D282" s="28">
        <f>IF($P282="","",IF(INDEX(EntryParty,$P282)=0,"",INDEX(EntryParty,$P282)))</f>
        <v/>
      </c>
      <c r="E282" s="28">
        <f>IF($P282="","",IF(INDEX(EntryPartyName,$P282)=0,"",INDEX(EntryPartyName,$P282)))</f>
        <v/>
      </c>
      <c r="F282" s="28">
        <f>IF($P282="","",IF(INDEX(EntryPartyType,$P282)=0,"",INDEX(EntryPartyType,$P282)))</f>
        <v/>
      </c>
      <c r="G282" s="28">
        <f>IF($P282="","",IF(INDEX(EntryTxnType,$P282)=0,"",INDEX(EntryTxnType,$P282)))</f>
        <v/>
      </c>
      <c r="H282" s="29">
        <f>IF($P282="","",IF(INDEX(EntryDep,$P282)=0,"",INDEX(EntryDep,$P282)))</f>
        <v/>
      </c>
      <c r="I282" s="29">
        <f>IF($P282="","",IF(INDEX(EntryWit,$P282)=0,"",INDEX(EntryWit,$P282)))</f>
        <v/>
      </c>
      <c r="J282" s="29">
        <f>IF($B282="","",IF($A282=1,$C$7,IF(J281="",0,J281))+IF($H282="",0,$H282)-IF($I282="",0,$I282))</f>
        <v/>
      </c>
      <c r="K282" s="29">
        <f>IF($P282="","",IF(INDEX(EntryMan,$P282)=0,"",INDEX(EntryMan,$P282)))</f>
        <v/>
      </c>
      <c r="L282" s="28">
        <f>IF($B282="","",IF($K282="","—",IF(ROUND($K282-$J282,0)=0,"√","×")))</f>
        <v/>
      </c>
      <c r="M282" s="28">
        <f>IF($B282="","",IF(COUNTIFS(EntryDates,$B282,CalcTime,$C282,CalcBank,$C$5,EntryParty,$D282,EntryDep,$H282,EntryWit,$I282)&gt;1,"تکرار",""))</f>
        <v/>
      </c>
      <c r="N282" s="28">
        <f>IF($P282="","",IF(INDEX(EntryNotes,$P282)=0,"",INDEX(EntryNotes,$P282)))</f>
        <v/>
      </c>
      <c r="O282" s="28">
        <f>IF($P282="","",IF(INDEX(EntryTxnID,$P282)=0,"",INDEX(EntryTxnID,$P282)))</f>
        <v/>
      </c>
      <c r="P282" s="28">
        <f>IFERROR(MATCH($C$5&amp;"|"&amp;RIGHT("000000"&amp;266,6),CalcRankKey,0),"")</f>
        <v/>
      </c>
    </row>
    <row r="283">
      <c r="A283" s="26">
        <f>IF($B283="","",267)</f>
        <v/>
      </c>
      <c r="B283" s="26">
        <f>IF($P283="","",IF(INDEX(CalcNormDate,$P283)=0,"",INDEX(CalcNormDate,$P283)))</f>
        <v/>
      </c>
      <c r="C283" s="26">
        <f>IF($P283="","",IF(INDEX(CalcTime,$P283)=0,"",INDEX(CalcTime,$P283)))</f>
        <v/>
      </c>
      <c r="D283" s="26">
        <f>IF($P283="","",IF(INDEX(EntryParty,$P283)=0,"",INDEX(EntryParty,$P283)))</f>
        <v/>
      </c>
      <c r="E283" s="26">
        <f>IF($P283="","",IF(INDEX(EntryPartyName,$P283)=0,"",INDEX(EntryPartyName,$P283)))</f>
        <v/>
      </c>
      <c r="F283" s="26">
        <f>IF($P283="","",IF(INDEX(EntryPartyType,$P283)=0,"",INDEX(EntryPartyType,$P283)))</f>
        <v/>
      </c>
      <c r="G283" s="26">
        <f>IF($P283="","",IF(INDEX(EntryTxnType,$P283)=0,"",INDEX(EntryTxnType,$P283)))</f>
        <v/>
      </c>
      <c r="H283" s="27">
        <f>IF($P283="","",IF(INDEX(EntryDep,$P283)=0,"",INDEX(EntryDep,$P283)))</f>
        <v/>
      </c>
      <c r="I283" s="27">
        <f>IF($P283="","",IF(INDEX(EntryWit,$P283)=0,"",INDEX(EntryWit,$P283)))</f>
        <v/>
      </c>
      <c r="J283" s="27">
        <f>IF($B283="","",IF($A283=1,$C$7,IF(J282="",0,J282))+IF($H283="",0,$H283)-IF($I283="",0,$I283))</f>
        <v/>
      </c>
      <c r="K283" s="27">
        <f>IF($P283="","",IF(INDEX(EntryMan,$P283)=0,"",INDEX(EntryMan,$P283)))</f>
        <v/>
      </c>
      <c r="L283" s="26">
        <f>IF($B283="","",IF($K283="","—",IF(ROUND($K283-$J283,0)=0,"√","×")))</f>
        <v/>
      </c>
      <c r="M283" s="26">
        <f>IF($B283="","",IF(COUNTIFS(EntryDates,$B283,CalcTime,$C283,CalcBank,$C$5,EntryParty,$D283,EntryDep,$H283,EntryWit,$I283)&gt;1,"تکرار",""))</f>
        <v/>
      </c>
      <c r="N283" s="26">
        <f>IF($P283="","",IF(INDEX(EntryNotes,$P283)=0,"",INDEX(EntryNotes,$P283)))</f>
        <v/>
      </c>
      <c r="O283" s="26">
        <f>IF($P283="","",IF(INDEX(EntryTxnID,$P283)=0,"",INDEX(EntryTxnID,$P283)))</f>
        <v/>
      </c>
      <c r="P283" s="26">
        <f>IFERROR(MATCH($C$5&amp;"|"&amp;RIGHT("000000"&amp;267,6),CalcRankKey,0),"")</f>
        <v/>
      </c>
    </row>
    <row r="284">
      <c r="A284" s="28">
        <f>IF($B284="","",268)</f>
        <v/>
      </c>
      <c r="B284" s="28">
        <f>IF($P284="","",IF(INDEX(CalcNormDate,$P284)=0,"",INDEX(CalcNormDate,$P284)))</f>
        <v/>
      </c>
      <c r="C284" s="28">
        <f>IF($P284="","",IF(INDEX(CalcTime,$P284)=0,"",INDEX(CalcTime,$P284)))</f>
        <v/>
      </c>
      <c r="D284" s="28">
        <f>IF($P284="","",IF(INDEX(EntryParty,$P284)=0,"",INDEX(EntryParty,$P284)))</f>
        <v/>
      </c>
      <c r="E284" s="28">
        <f>IF($P284="","",IF(INDEX(EntryPartyName,$P284)=0,"",INDEX(EntryPartyName,$P284)))</f>
        <v/>
      </c>
      <c r="F284" s="28">
        <f>IF($P284="","",IF(INDEX(EntryPartyType,$P284)=0,"",INDEX(EntryPartyType,$P284)))</f>
        <v/>
      </c>
      <c r="G284" s="28">
        <f>IF($P284="","",IF(INDEX(EntryTxnType,$P284)=0,"",INDEX(EntryTxnType,$P284)))</f>
        <v/>
      </c>
      <c r="H284" s="29">
        <f>IF($P284="","",IF(INDEX(EntryDep,$P284)=0,"",INDEX(EntryDep,$P284)))</f>
        <v/>
      </c>
      <c r="I284" s="29">
        <f>IF($P284="","",IF(INDEX(EntryWit,$P284)=0,"",INDEX(EntryWit,$P284)))</f>
        <v/>
      </c>
      <c r="J284" s="29">
        <f>IF($B284="","",IF($A284=1,$C$7,IF(J283="",0,J283))+IF($H284="",0,$H284)-IF($I284="",0,$I284))</f>
        <v/>
      </c>
      <c r="K284" s="29">
        <f>IF($P284="","",IF(INDEX(EntryMan,$P284)=0,"",INDEX(EntryMan,$P284)))</f>
        <v/>
      </c>
      <c r="L284" s="28">
        <f>IF($B284="","",IF($K284="","—",IF(ROUND($K284-$J284,0)=0,"√","×")))</f>
        <v/>
      </c>
      <c r="M284" s="28">
        <f>IF($B284="","",IF(COUNTIFS(EntryDates,$B284,CalcTime,$C284,CalcBank,$C$5,EntryParty,$D284,EntryDep,$H284,EntryWit,$I284)&gt;1,"تکرار",""))</f>
        <v/>
      </c>
      <c r="N284" s="28">
        <f>IF($P284="","",IF(INDEX(EntryNotes,$P284)=0,"",INDEX(EntryNotes,$P284)))</f>
        <v/>
      </c>
      <c r="O284" s="28">
        <f>IF($P284="","",IF(INDEX(EntryTxnID,$P284)=0,"",INDEX(EntryTxnID,$P284)))</f>
        <v/>
      </c>
      <c r="P284" s="28">
        <f>IFERROR(MATCH($C$5&amp;"|"&amp;RIGHT("000000"&amp;268,6),CalcRankKey,0),"")</f>
        <v/>
      </c>
    </row>
    <row r="285">
      <c r="A285" s="26">
        <f>IF($B285="","",269)</f>
        <v/>
      </c>
      <c r="B285" s="26">
        <f>IF($P285="","",IF(INDEX(CalcNormDate,$P285)=0,"",INDEX(CalcNormDate,$P285)))</f>
        <v/>
      </c>
      <c r="C285" s="26">
        <f>IF($P285="","",IF(INDEX(CalcTime,$P285)=0,"",INDEX(CalcTime,$P285)))</f>
        <v/>
      </c>
      <c r="D285" s="26">
        <f>IF($P285="","",IF(INDEX(EntryParty,$P285)=0,"",INDEX(EntryParty,$P285)))</f>
        <v/>
      </c>
      <c r="E285" s="26">
        <f>IF($P285="","",IF(INDEX(EntryPartyName,$P285)=0,"",INDEX(EntryPartyName,$P285)))</f>
        <v/>
      </c>
      <c r="F285" s="26">
        <f>IF($P285="","",IF(INDEX(EntryPartyType,$P285)=0,"",INDEX(EntryPartyType,$P285)))</f>
        <v/>
      </c>
      <c r="G285" s="26">
        <f>IF($P285="","",IF(INDEX(EntryTxnType,$P285)=0,"",INDEX(EntryTxnType,$P285)))</f>
        <v/>
      </c>
      <c r="H285" s="27">
        <f>IF($P285="","",IF(INDEX(EntryDep,$P285)=0,"",INDEX(EntryDep,$P285)))</f>
        <v/>
      </c>
      <c r="I285" s="27">
        <f>IF($P285="","",IF(INDEX(EntryWit,$P285)=0,"",INDEX(EntryWit,$P285)))</f>
        <v/>
      </c>
      <c r="J285" s="27">
        <f>IF($B285="","",IF($A285=1,$C$7,IF(J284="",0,J284))+IF($H285="",0,$H285)-IF($I285="",0,$I285))</f>
        <v/>
      </c>
      <c r="K285" s="27">
        <f>IF($P285="","",IF(INDEX(EntryMan,$P285)=0,"",INDEX(EntryMan,$P285)))</f>
        <v/>
      </c>
      <c r="L285" s="26">
        <f>IF($B285="","",IF($K285="","—",IF(ROUND($K285-$J285,0)=0,"√","×")))</f>
        <v/>
      </c>
      <c r="M285" s="26">
        <f>IF($B285="","",IF(COUNTIFS(EntryDates,$B285,CalcTime,$C285,CalcBank,$C$5,EntryParty,$D285,EntryDep,$H285,EntryWit,$I285)&gt;1,"تکرار",""))</f>
        <v/>
      </c>
      <c r="N285" s="26">
        <f>IF($P285="","",IF(INDEX(EntryNotes,$P285)=0,"",INDEX(EntryNotes,$P285)))</f>
        <v/>
      </c>
      <c r="O285" s="26">
        <f>IF($P285="","",IF(INDEX(EntryTxnID,$P285)=0,"",INDEX(EntryTxnID,$P285)))</f>
        <v/>
      </c>
      <c r="P285" s="26">
        <f>IFERROR(MATCH($C$5&amp;"|"&amp;RIGHT("000000"&amp;269,6),CalcRankKey,0),"")</f>
        <v/>
      </c>
    </row>
    <row r="286">
      <c r="A286" s="28">
        <f>IF($B286="","",270)</f>
        <v/>
      </c>
      <c r="B286" s="28">
        <f>IF($P286="","",IF(INDEX(CalcNormDate,$P286)=0,"",INDEX(CalcNormDate,$P286)))</f>
        <v/>
      </c>
      <c r="C286" s="28">
        <f>IF($P286="","",IF(INDEX(CalcTime,$P286)=0,"",INDEX(CalcTime,$P286)))</f>
        <v/>
      </c>
      <c r="D286" s="28">
        <f>IF($P286="","",IF(INDEX(EntryParty,$P286)=0,"",INDEX(EntryParty,$P286)))</f>
        <v/>
      </c>
      <c r="E286" s="28">
        <f>IF($P286="","",IF(INDEX(EntryPartyName,$P286)=0,"",INDEX(EntryPartyName,$P286)))</f>
        <v/>
      </c>
      <c r="F286" s="28">
        <f>IF($P286="","",IF(INDEX(EntryPartyType,$P286)=0,"",INDEX(EntryPartyType,$P286)))</f>
        <v/>
      </c>
      <c r="G286" s="28">
        <f>IF($P286="","",IF(INDEX(EntryTxnType,$P286)=0,"",INDEX(EntryTxnType,$P286)))</f>
        <v/>
      </c>
      <c r="H286" s="29">
        <f>IF($P286="","",IF(INDEX(EntryDep,$P286)=0,"",INDEX(EntryDep,$P286)))</f>
        <v/>
      </c>
      <c r="I286" s="29">
        <f>IF($P286="","",IF(INDEX(EntryWit,$P286)=0,"",INDEX(EntryWit,$P286)))</f>
        <v/>
      </c>
      <c r="J286" s="29">
        <f>IF($B286="","",IF($A286=1,$C$7,IF(J285="",0,J285))+IF($H286="",0,$H286)-IF($I286="",0,$I286))</f>
        <v/>
      </c>
      <c r="K286" s="29">
        <f>IF($P286="","",IF(INDEX(EntryMan,$P286)=0,"",INDEX(EntryMan,$P286)))</f>
        <v/>
      </c>
      <c r="L286" s="28">
        <f>IF($B286="","",IF($K286="","—",IF(ROUND($K286-$J286,0)=0,"√","×")))</f>
        <v/>
      </c>
      <c r="M286" s="28">
        <f>IF($B286="","",IF(COUNTIFS(EntryDates,$B286,CalcTime,$C286,CalcBank,$C$5,EntryParty,$D286,EntryDep,$H286,EntryWit,$I286)&gt;1,"تکرار",""))</f>
        <v/>
      </c>
      <c r="N286" s="28">
        <f>IF($P286="","",IF(INDEX(EntryNotes,$P286)=0,"",INDEX(EntryNotes,$P286)))</f>
        <v/>
      </c>
      <c r="O286" s="28">
        <f>IF($P286="","",IF(INDEX(EntryTxnID,$P286)=0,"",INDEX(EntryTxnID,$P286)))</f>
        <v/>
      </c>
      <c r="P286" s="28">
        <f>IFERROR(MATCH($C$5&amp;"|"&amp;RIGHT("000000"&amp;270,6),CalcRankKey,0),"")</f>
        <v/>
      </c>
    </row>
    <row r="287">
      <c r="A287" s="26">
        <f>IF($B287="","",271)</f>
        <v/>
      </c>
      <c r="B287" s="26">
        <f>IF($P287="","",IF(INDEX(CalcNormDate,$P287)=0,"",INDEX(CalcNormDate,$P287)))</f>
        <v/>
      </c>
      <c r="C287" s="26">
        <f>IF($P287="","",IF(INDEX(CalcTime,$P287)=0,"",INDEX(CalcTime,$P287)))</f>
        <v/>
      </c>
      <c r="D287" s="26">
        <f>IF($P287="","",IF(INDEX(EntryParty,$P287)=0,"",INDEX(EntryParty,$P287)))</f>
        <v/>
      </c>
      <c r="E287" s="26">
        <f>IF($P287="","",IF(INDEX(EntryPartyName,$P287)=0,"",INDEX(EntryPartyName,$P287)))</f>
        <v/>
      </c>
      <c r="F287" s="26">
        <f>IF($P287="","",IF(INDEX(EntryPartyType,$P287)=0,"",INDEX(EntryPartyType,$P287)))</f>
        <v/>
      </c>
      <c r="G287" s="26">
        <f>IF($P287="","",IF(INDEX(EntryTxnType,$P287)=0,"",INDEX(EntryTxnType,$P287)))</f>
        <v/>
      </c>
      <c r="H287" s="27">
        <f>IF($P287="","",IF(INDEX(EntryDep,$P287)=0,"",INDEX(EntryDep,$P287)))</f>
        <v/>
      </c>
      <c r="I287" s="27">
        <f>IF($P287="","",IF(INDEX(EntryWit,$P287)=0,"",INDEX(EntryWit,$P287)))</f>
        <v/>
      </c>
      <c r="J287" s="27">
        <f>IF($B287="","",IF($A287=1,$C$7,IF(J286="",0,J286))+IF($H287="",0,$H287)-IF($I287="",0,$I287))</f>
        <v/>
      </c>
      <c r="K287" s="27">
        <f>IF($P287="","",IF(INDEX(EntryMan,$P287)=0,"",INDEX(EntryMan,$P287)))</f>
        <v/>
      </c>
      <c r="L287" s="26">
        <f>IF($B287="","",IF($K287="","—",IF(ROUND($K287-$J287,0)=0,"√","×")))</f>
        <v/>
      </c>
      <c r="M287" s="26">
        <f>IF($B287="","",IF(COUNTIFS(EntryDates,$B287,CalcTime,$C287,CalcBank,$C$5,EntryParty,$D287,EntryDep,$H287,EntryWit,$I287)&gt;1,"تکرار",""))</f>
        <v/>
      </c>
      <c r="N287" s="26">
        <f>IF($P287="","",IF(INDEX(EntryNotes,$P287)=0,"",INDEX(EntryNotes,$P287)))</f>
        <v/>
      </c>
      <c r="O287" s="26">
        <f>IF($P287="","",IF(INDEX(EntryTxnID,$P287)=0,"",INDEX(EntryTxnID,$P287)))</f>
        <v/>
      </c>
      <c r="P287" s="26">
        <f>IFERROR(MATCH($C$5&amp;"|"&amp;RIGHT("000000"&amp;271,6),CalcRankKey,0),"")</f>
        <v/>
      </c>
    </row>
    <row r="288">
      <c r="A288" s="28">
        <f>IF($B288="","",272)</f>
        <v/>
      </c>
      <c r="B288" s="28">
        <f>IF($P288="","",IF(INDEX(CalcNormDate,$P288)=0,"",INDEX(CalcNormDate,$P288)))</f>
        <v/>
      </c>
      <c r="C288" s="28">
        <f>IF($P288="","",IF(INDEX(CalcTime,$P288)=0,"",INDEX(CalcTime,$P288)))</f>
        <v/>
      </c>
      <c r="D288" s="28">
        <f>IF($P288="","",IF(INDEX(EntryParty,$P288)=0,"",INDEX(EntryParty,$P288)))</f>
        <v/>
      </c>
      <c r="E288" s="28">
        <f>IF($P288="","",IF(INDEX(EntryPartyName,$P288)=0,"",INDEX(EntryPartyName,$P288)))</f>
        <v/>
      </c>
      <c r="F288" s="28">
        <f>IF($P288="","",IF(INDEX(EntryPartyType,$P288)=0,"",INDEX(EntryPartyType,$P288)))</f>
        <v/>
      </c>
      <c r="G288" s="28">
        <f>IF($P288="","",IF(INDEX(EntryTxnType,$P288)=0,"",INDEX(EntryTxnType,$P288)))</f>
        <v/>
      </c>
      <c r="H288" s="29">
        <f>IF($P288="","",IF(INDEX(EntryDep,$P288)=0,"",INDEX(EntryDep,$P288)))</f>
        <v/>
      </c>
      <c r="I288" s="29">
        <f>IF($P288="","",IF(INDEX(EntryWit,$P288)=0,"",INDEX(EntryWit,$P288)))</f>
        <v/>
      </c>
      <c r="J288" s="29">
        <f>IF($B288="","",IF($A288=1,$C$7,IF(J287="",0,J287))+IF($H288="",0,$H288)-IF($I288="",0,$I288))</f>
        <v/>
      </c>
      <c r="K288" s="29">
        <f>IF($P288="","",IF(INDEX(EntryMan,$P288)=0,"",INDEX(EntryMan,$P288)))</f>
        <v/>
      </c>
      <c r="L288" s="28">
        <f>IF($B288="","",IF($K288="","—",IF(ROUND($K288-$J288,0)=0,"√","×")))</f>
        <v/>
      </c>
      <c r="M288" s="28">
        <f>IF($B288="","",IF(COUNTIFS(EntryDates,$B288,CalcTime,$C288,CalcBank,$C$5,EntryParty,$D288,EntryDep,$H288,EntryWit,$I288)&gt;1,"تکرار",""))</f>
        <v/>
      </c>
      <c r="N288" s="28">
        <f>IF($P288="","",IF(INDEX(EntryNotes,$P288)=0,"",INDEX(EntryNotes,$P288)))</f>
        <v/>
      </c>
      <c r="O288" s="28">
        <f>IF($P288="","",IF(INDEX(EntryTxnID,$P288)=0,"",INDEX(EntryTxnID,$P288)))</f>
        <v/>
      </c>
      <c r="P288" s="28">
        <f>IFERROR(MATCH($C$5&amp;"|"&amp;RIGHT("000000"&amp;272,6),CalcRankKey,0),"")</f>
        <v/>
      </c>
    </row>
    <row r="289">
      <c r="A289" s="26">
        <f>IF($B289="","",273)</f>
        <v/>
      </c>
      <c r="B289" s="26">
        <f>IF($P289="","",IF(INDEX(CalcNormDate,$P289)=0,"",INDEX(CalcNormDate,$P289)))</f>
        <v/>
      </c>
      <c r="C289" s="26">
        <f>IF($P289="","",IF(INDEX(CalcTime,$P289)=0,"",INDEX(CalcTime,$P289)))</f>
        <v/>
      </c>
      <c r="D289" s="26">
        <f>IF($P289="","",IF(INDEX(EntryParty,$P289)=0,"",INDEX(EntryParty,$P289)))</f>
        <v/>
      </c>
      <c r="E289" s="26">
        <f>IF($P289="","",IF(INDEX(EntryPartyName,$P289)=0,"",INDEX(EntryPartyName,$P289)))</f>
        <v/>
      </c>
      <c r="F289" s="26">
        <f>IF($P289="","",IF(INDEX(EntryPartyType,$P289)=0,"",INDEX(EntryPartyType,$P289)))</f>
        <v/>
      </c>
      <c r="G289" s="26">
        <f>IF($P289="","",IF(INDEX(EntryTxnType,$P289)=0,"",INDEX(EntryTxnType,$P289)))</f>
        <v/>
      </c>
      <c r="H289" s="27">
        <f>IF($P289="","",IF(INDEX(EntryDep,$P289)=0,"",INDEX(EntryDep,$P289)))</f>
        <v/>
      </c>
      <c r="I289" s="27">
        <f>IF($P289="","",IF(INDEX(EntryWit,$P289)=0,"",INDEX(EntryWit,$P289)))</f>
        <v/>
      </c>
      <c r="J289" s="27">
        <f>IF($B289="","",IF($A289=1,$C$7,IF(J288="",0,J288))+IF($H289="",0,$H289)-IF($I289="",0,$I289))</f>
        <v/>
      </c>
      <c r="K289" s="27">
        <f>IF($P289="","",IF(INDEX(EntryMan,$P289)=0,"",INDEX(EntryMan,$P289)))</f>
        <v/>
      </c>
      <c r="L289" s="26">
        <f>IF($B289="","",IF($K289="","—",IF(ROUND($K289-$J289,0)=0,"√","×")))</f>
        <v/>
      </c>
      <c r="M289" s="26">
        <f>IF($B289="","",IF(COUNTIFS(EntryDates,$B289,CalcTime,$C289,CalcBank,$C$5,EntryParty,$D289,EntryDep,$H289,EntryWit,$I289)&gt;1,"تکرار",""))</f>
        <v/>
      </c>
      <c r="N289" s="26">
        <f>IF($P289="","",IF(INDEX(EntryNotes,$P289)=0,"",INDEX(EntryNotes,$P289)))</f>
        <v/>
      </c>
      <c r="O289" s="26">
        <f>IF($P289="","",IF(INDEX(EntryTxnID,$P289)=0,"",INDEX(EntryTxnID,$P289)))</f>
        <v/>
      </c>
      <c r="P289" s="26">
        <f>IFERROR(MATCH($C$5&amp;"|"&amp;RIGHT("000000"&amp;273,6),CalcRankKey,0),"")</f>
        <v/>
      </c>
    </row>
    <row r="290">
      <c r="A290" s="28">
        <f>IF($B290="","",274)</f>
        <v/>
      </c>
      <c r="B290" s="28">
        <f>IF($P290="","",IF(INDEX(CalcNormDate,$P290)=0,"",INDEX(CalcNormDate,$P290)))</f>
        <v/>
      </c>
      <c r="C290" s="28">
        <f>IF($P290="","",IF(INDEX(CalcTime,$P290)=0,"",INDEX(CalcTime,$P290)))</f>
        <v/>
      </c>
      <c r="D290" s="28">
        <f>IF($P290="","",IF(INDEX(EntryParty,$P290)=0,"",INDEX(EntryParty,$P290)))</f>
        <v/>
      </c>
      <c r="E290" s="28">
        <f>IF($P290="","",IF(INDEX(EntryPartyName,$P290)=0,"",INDEX(EntryPartyName,$P290)))</f>
        <v/>
      </c>
      <c r="F290" s="28">
        <f>IF($P290="","",IF(INDEX(EntryPartyType,$P290)=0,"",INDEX(EntryPartyType,$P290)))</f>
        <v/>
      </c>
      <c r="G290" s="28">
        <f>IF($P290="","",IF(INDEX(EntryTxnType,$P290)=0,"",INDEX(EntryTxnType,$P290)))</f>
        <v/>
      </c>
      <c r="H290" s="29">
        <f>IF($P290="","",IF(INDEX(EntryDep,$P290)=0,"",INDEX(EntryDep,$P290)))</f>
        <v/>
      </c>
      <c r="I290" s="29">
        <f>IF($P290="","",IF(INDEX(EntryWit,$P290)=0,"",INDEX(EntryWit,$P290)))</f>
        <v/>
      </c>
      <c r="J290" s="29">
        <f>IF($B290="","",IF($A290=1,$C$7,IF(J289="",0,J289))+IF($H290="",0,$H290)-IF($I290="",0,$I290))</f>
        <v/>
      </c>
      <c r="K290" s="29">
        <f>IF($P290="","",IF(INDEX(EntryMan,$P290)=0,"",INDEX(EntryMan,$P290)))</f>
        <v/>
      </c>
      <c r="L290" s="28">
        <f>IF($B290="","",IF($K290="","—",IF(ROUND($K290-$J290,0)=0,"√","×")))</f>
        <v/>
      </c>
      <c r="M290" s="28">
        <f>IF($B290="","",IF(COUNTIFS(EntryDates,$B290,CalcTime,$C290,CalcBank,$C$5,EntryParty,$D290,EntryDep,$H290,EntryWit,$I290)&gt;1,"تکرار",""))</f>
        <v/>
      </c>
      <c r="N290" s="28">
        <f>IF($P290="","",IF(INDEX(EntryNotes,$P290)=0,"",INDEX(EntryNotes,$P290)))</f>
        <v/>
      </c>
      <c r="O290" s="28">
        <f>IF($P290="","",IF(INDEX(EntryTxnID,$P290)=0,"",INDEX(EntryTxnID,$P290)))</f>
        <v/>
      </c>
      <c r="P290" s="28">
        <f>IFERROR(MATCH($C$5&amp;"|"&amp;RIGHT("000000"&amp;274,6),CalcRankKey,0),"")</f>
        <v/>
      </c>
    </row>
    <row r="291">
      <c r="A291" s="26">
        <f>IF($B291="","",275)</f>
        <v/>
      </c>
      <c r="B291" s="26">
        <f>IF($P291="","",IF(INDEX(CalcNormDate,$P291)=0,"",INDEX(CalcNormDate,$P291)))</f>
        <v/>
      </c>
      <c r="C291" s="26">
        <f>IF($P291="","",IF(INDEX(CalcTime,$P291)=0,"",INDEX(CalcTime,$P291)))</f>
        <v/>
      </c>
      <c r="D291" s="26">
        <f>IF($P291="","",IF(INDEX(EntryParty,$P291)=0,"",INDEX(EntryParty,$P291)))</f>
        <v/>
      </c>
      <c r="E291" s="26">
        <f>IF($P291="","",IF(INDEX(EntryPartyName,$P291)=0,"",INDEX(EntryPartyName,$P291)))</f>
        <v/>
      </c>
      <c r="F291" s="26">
        <f>IF($P291="","",IF(INDEX(EntryPartyType,$P291)=0,"",INDEX(EntryPartyType,$P291)))</f>
        <v/>
      </c>
      <c r="G291" s="26">
        <f>IF($P291="","",IF(INDEX(EntryTxnType,$P291)=0,"",INDEX(EntryTxnType,$P291)))</f>
        <v/>
      </c>
      <c r="H291" s="27">
        <f>IF($P291="","",IF(INDEX(EntryDep,$P291)=0,"",INDEX(EntryDep,$P291)))</f>
        <v/>
      </c>
      <c r="I291" s="27">
        <f>IF($P291="","",IF(INDEX(EntryWit,$P291)=0,"",INDEX(EntryWit,$P291)))</f>
        <v/>
      </c>
      <c r="J291" s="27">
        <f>IF($B291="","",IF($A291=1,$C$7,IF(J290="",0,J290))+IF($H291="",0,$H291)-IF($I291="",0,$I291))</f>
        <v/>
      </c>
      <c r="K291" s="27">
        <f>IF($P291="","",IF(INDEX(EntryMan,$P291)=0,"",INDEX(EntryMan,$P291)))</f>
        <v/>
      </c>
      <c r="L291" s="26">
        <f>IF($B291="","",IF($K291="","—",IF(ROUND($K291-$J291,0)=0,"√","×")))</f>
        <v/>
      </c>
      <c r="M291" s="26">
        <f>IF($B291="","",IF(COUNTIFS(EntryDates,$B291,CalcTime,$C291,CalcBank,$C$5,EntryParty,$D291,EntryDep,$H291,EntryWit,$I291)&gt;1,"تکرار",""))</f>
        <v/>
      </c>
      <c r="N291" s="26">
        <f>IF($P291="","",IF(INDEX(EntryNotes,$P291)=0,"",INDEX(EntryNotes,$P291)))</f>
        <v/>
      </c>
      <c r="O291" s="26">
        <f>IF($P291="","",IF(INDEX(EntryTxnID,$P291)=0,"",INDEX(EntryTxnID,$P291)))</f>
        <v/>
      </c>
      <c r="P291" s="26">
        <f>IFERROR(MATCH($C$5&amp;"|"&amp;RIGHT("000000"&amp;275,6),CalcRankKey,0),"")</f>
        <v/>
      </c>
    </row>
    <row r="292">
      <c r="A292" s="28">
        <f>IF($B292="","",276)</f>
        <v/>
      </c>
      <c r="B292" s="28">
        <f>IF($P292="","",IF(INDEX(CalcNormDate,$P292)=0,"",INDEX(CalcNormDate,$P292)))</f>
        <v/>
      </c>
      <c r="C292" s="28">
        <f>IF($P292="","",IF(INDEX(CalcTime,$P292)=0,"",INDEX(CalcTime,$P292)))</f>
        <v/>
      </c>
      <c r="D292" s="28">
        <f>IF($P292="","",IF(INDEX(EntryParty,$P292)=0,"",INDEX(EntryParty,$P292)))</f>
        <v/>
      </c>
      <c r="E292" s="28">
        <f>IF($P292="","",IF(INDEX(EntryPartyName,$P292)=0,"",INDEX(EntryPartyName,$P292)))</f>
        <v/>
      </c>
      <c r="F292" s="28">
        <f>IF($P292="","",IF(INDEX(EntryPartyType,$P292)=0,"",INDEX(EntryPartyType,$P292)))</f>
        <v/>
      </c>
      <c r="G292" s="28">
        <f>IF($P292="","",IF(INDEX(EntryTxnType,$P292)=0,"",INDEX(EntryTxnType,$P292)))</f>
        <v/>
      </c>
      <c r="H292" s="29">
        <f>IF($P292="","",IF(INDEX(EntryDep,$P292)=0,"",INDEX(EntryDep,$P292)))</f>
        <v/>
      </c>
      <c r="I292" s="29">
        <f>IF($P292="","",IF(INDEX(EntryWit,$P292)=0,"",INDEX(EntryWit,$P292)))</f>
        <v/>
      </c>
      <c r="J292" s="29">
        <f>IF($B292="","",IF($A292=1,$C$7,IF(J291="",0,J291))+IF($H292="",0,$H292)-IF($I292="",0,$I292))</f>
        <v/>
      </c>
      <c r="K292" s="29">
        <f>IF($P292="","",IF(INDEX(EntryMan,$P292)=0,"",INDEX(EntryMan,$P292)))</f>
        <v/>
      </c>
      <c r="L292" s="28">
        <f>IF($B292="","",IF($K292="","—",IF(ROUND($K292-$J292,0)=0,"√","×")))</f>
        <v/>
      </c>
      <c r="M292" s="28">
        <f>IF($B292="","",IF(COUNTIFS(EntryDates,$B292,CalcTime,$C292,CalcBank,$C$5,EntryParty,$D292,EntryDep,$H292,EntryWit,$I292)&gt;1,"تکرار",""))</f>
        <v/>
      </c>
      <c r="N292" s="28">
        <f>IF($P292="","",IF(INDEX(EntryNotes,$P292)=0,"",INDEX(EntryNotes,$P292)))</f>
        <v/>
      </c>
      <c r="O292" s="28">
        <f>IF($P292="","",IF(INDEX(EntryTxnID,$P292)=0,"",INDEX(EntryTxnID,$P292)))</f>
        <v/>
      </c>
      <c r="P292" s="28">
        <f>IFERROR(MATCH($C$5&amp;"|"&amp;RIGHT("000000"&amp;276,6),CalcRankKey,0),"")</f>
        <v/>
      </c>
    </row>
    <row r="293">
      <c r="A293" s="26">
        <f>IF($B293="","",277)</f>
        <v/>
      </c>
      <c r="B293" s="26">
        <f>IF($P293="","",IF(INDEX(CalcNormDate,$P293)=0,"",INDEX(CalcNormDate,$P293)))</f>
        <v/>
      </c>
      <c r="C293" s="26">
        <f>IF($P293="","",IF(INDEX(CalcTime,$P293)=0,"",INDEX(CalcTime,$P293)))</f>
        <v/>
      </c>
      <c r="D293" s="26">
        <f>IF($P293="","",IF(INDEX(EntryParty,$P293)=0,"",INDEX(EntryParty,$P293)))</f>
        <v/>
      </c>
      <c r="E293" s="26">
        <f>IF($P293="","",IF(INDEX(EntryPartyName,$P293)=0,"",INDEX(EntryPartyName,$P293)))</f>
        <v/>
      </c>
      <c r="F293" s="26">
        <f>IF($P293="","",IF(INDEX(EntryPartyType,$P293)=0,"",INDEX(EntryPartyType,$P293)))</f>
        <v/>
      </c>
      <c r="G293" s="26">
        <f>IF($P293="","",IF(INDEX(EntryTxnType,$P293)=0,"",INDEX(EntryTxnType,$P293)))</f>
        <v/>
      </c>
      <c r="H293" s="27">
        <f>IF($P293="","",IF(INDEX(EntryDep,$P293)=0,"",INDEX(EntryDep,$P293)))</f>
        <v/>
      </c>
      <c r="I293" s="27">
        <f>IF($P293="","",IF(INDEX(EntryWit,$P293)=0,"",INDEX(EntryWit,$P293)))</f>
        <v/>
      </c>
      <c r="J293" s="27">
        <f>IF($B293="","",IF($A293=1,$C$7,IF(J292="",0,J292))+IF($H293="",0,$H293)-IF($I293="",0,$I293))</f>
        <v/>
      </c>
      <c r="K293" s="27">
        <f>IF($P293="","",IF(INDEX(EntryMan,$P293)=0,"",INDEX(EntryMan,$P293)))</f>
        <v/>
      </c>
      <c r="L293" s="26">
        <f>IF($B293="","",IF($K293="","—",IF(ROUND($K293-$J293,0)=0,"√","×")))</f>
        <v/>
      </c>
      <c r="M293" s="26">
        <f>IF($B293="","",IF(COUNTIFS(EntryDates,$B293,CalcTime,$C293,CalcBank,$C$5,EntryParty,$D293,EntryDep,$H293,EntryWit,$I293)&gt;1,"تکرار",""))</f>
        <v/>
      </c>
      <c r="N293" s="26">
        <f>IF($P293="","",IF(INDEX(EntryNotes,$P293)=0,"",INDEX(EntryNotes,$P293)))</f>
        <v/>
      </c>
      <c r="O293" s="26">
        <f>IF($P293="","",IF(INDEX(EntryTxnID,$P293)=0,"",INDEX(EntryTxnID,$P293)))</f>
        <v/>
      </c>
      <c r="P293" s="26">
        <f>IFERROR(MATCH($C$5&amp;"|"&amp;RIGHT("000000"&amp;277,6),CalcRankKey,0),"")</f>
        <v/>
      </c>
    </row>
    <row r="294">
      <c r="A294" s="28">
        <f>IF($B294="","",278)</f>
        <v/>
      </c>
      <c r="B294" s="28">
        <f>IF($P294="","",IF(INDEX(CalcNormDate,$P294)=0,"",INDEX(CalcNormDate,$P294)))</f>
        <v/>
      </c>
      <c r="C294" s="28">
        <f>IF($P294="","",IF(INDEX(CalcTime,$P294)=0,"",INDEX(CalcTime,$P294)))</f>
        <v/>
      </c>
      <c r="D294" s="28">
        <f>IF($P294="","",IF(INDEX(EntryParty,$P294)=0,"",INDEX(EntryParty,$P294)))</f>
        <v/>
      </c>
      <c r="E294" s="28">
        <f>IF($P294="","",IF(INDEX(EntryPartyName,$P294)=0,"",INDEX(EntryPartyName,$P294)))</f>
        <v/>
      </c>
      <c r="F294" s="28">
        <f>IF($P294="","",IF(INDEX(EntryPartyType,$P294)=0,"",INDEX(EntryPartyType,$P294)))</f>
        <v/>
      </c>
      <c r="G294" s="28">
        <f>IF($P294="","",IF(INDEX(EntryTxnType,$P294)=0,"",INDEX(EntryTxnType,$P294)))</f>
        <v/>
      </c>
      <c r="H294" s="29">
        <f>IF($P294="","",IF(INDEX(EntryDep,$P294)=0,"",INDEX(EntryDep,$P294)))</f>
        <v/>
      </c>
      <c r="I294" s="29">
        <f>IF($P294="","",IF(INDEX(EntryWit,$P294)=0,"",INDEX(EntryWit,$P294)))</f>
        <v/>
      </c>
      <c r="J294" s="29">
        <f>IF($B294="","",IF($A294=1,$C$7,IF(J293="",0,J293))+IF($H294="",0,$H294)-IF($I294="",0,$I294))</f>
        <v/>
      </c>
      <c r="K294" s="29">
        <f>IF($P294="","",IF(INDEX(EntryMan,$P294)=0,"",INDEX(EntryMan,$P294)))</f>
        <v/>
      </c>
      <c r="L294" s="28">
        <f>IF($B294="","",IF($K294="","—",IF(ROUND($K294-$J294,0)=0,"√","×")))</f>
        <v/>
      </c>
      <c r="M294" s="28">
        <f>IF($B294="","",IF(COUNTIFS(EntryDates,$B294,CalcTime,$C294,CalcBank,$C$5,EntryParty,$D294,EntryDep,$H294,EntryWit,$I294)&gt;1,"تکرار",""))</f>
        <v/>
      </c>
      <c r="N294" s="28">
        <f>IF($P294="","",IF(INDEX(EntryNotes,$P294)=0,"",INDEX(EntryNotes,$P294)))</f>
        <v/>
      </c>
      <c r="O294" s="28">
        <f>IF($P294="","",IF(INDEX(EntryTxnID,$P294)=0,"",INDEX(EntryTxnID,$P294)))</f>
        <v/>
      </c>
      <c r="P294" s="28">
        <f>IFERROR(MATCH($C$5&amp;"|"&amp;RIGHT("000000"&amp;278,6),CalcRankKey,0),"")</f>
        <v/>
      </c>
    </row>
    <row r="295">
      <c r="A295" s="26">
        <f>IF($B295="","",279)</f>
        <v/>
      </c>
      <c r="B295" s="26">
        <f>IF($P295="","",IF(INDEX(CalcNormDate,$P295)=0,"",INDEX(CalcNormDate,$P295)))</f>
        <v/>
      </c>
      <c r="C295" s="26">
        <f>IF($P295="","",IF(INDEX(CalcTime,$P295)=0,"",INDEX(CalcTime,$P295)))</f>
        <v/>
      </c>
      <c r="D295" s="26">
        <f>IF($P295="","",IF(INDEX(EntryParty,$P295)=0,"",INDEX(EntryParty,$P295)))</f>
        <v/>
      </c>
      <c r="E295" s="26">
        <f>IF($P295="","",IF(INDEX(EntryPartyName,$P295)=0,"",INDEX(EntryPartyName,$P295)))</f>
        <v/>
      </c>
      <c r="F295" s="26">
        <f>IF($P295="","",IF(INDEX(EntryPartyType,$P295)=0,"",INDEX(EntryPartyType,$P295)))</f>
        <v/>
      </c>
      <c r="G295" s="26">
        <f>IF($P295="","",IF(INDEX(EntryTxnType,$P295)=0,"",INDEX(EntryTxnType,$P295)))</f>
        <v/>
      </c>
      <c r="H295" s="27">
        <f>IF($P295="","",IF(INDEX(EntryDep,$P295)=0,"",INDEX(EntryDep,$P295)))</f>
        <v/>
      </c>
      <c r="I295" s="27">
        <f>IF($P295="","",IF(INDEX(EntryWit,$P295)=0,"",INDEX(EntryWit,$P295)))</f>
        <v/>
      </c>
      <c r="J295" s="27">
        <f>IF($B295="","",IF($A295=1,$C$7,IF(J294="",0,J294))+IF($H295="",0,$H295)-IF($I295="",0,$I295))</f>
        <v/>
      </c>
      <c r="K295" s="27">
        <f>IF($P295="","",IF(INDEX(EntryMan,$P295)=0,"",INDEX(EntryMan,$P295)))</f>
        <v/>
      </c>
      <c r="L295" s="26">
        <f>IF($B295="","",IF($K295="","—",IF(ROUND($K295-$J295,0)=0,"√","×")))</f>
        <v/>
      </c>
      <c r="M295" s="26">
        <f>IF($B295="","",IF(COUNTIFS(EntryDates,$B295,CalcTime,$C295,CalcBank,$C$5,EntryParty,$D295,EntryDep,$H295,EntryWit,$I295)&gt;1,"تکرار",""))</f>
        <v/>
      </c>
      <c r="N295" s="26">
        <f>IF($P295="","",IF(INDEX(EntryNotes,$P295)=0,"",INDEX(EntryNotes,$P295)))</f>
        <v/>
      </c>
      <c r="O295" s="26">
        <f>IF($P295="","",IF(INDEX(EntryTxnID,$P295)=0,"",INDEX(EntryTxnID,$P295)))</f>
        <v/>
      </c>
      <c r="P295" s="26">
        <f>IFERROR(MATCH($C$5&amp;"|"&amp;RIGHT("000000"&amp;279,6),CalcRankKey,0),"")</f>
        <v/>
      </c>
    </row>
    <row r="296">
      <c r="A296" s="28">
        <f>IF($B296="","",280)</f>
        <v/>
      </c>
      <c r="B296" s="28">
        <f>IF($P296="","",IF(INDEX(CalcNormDate,$P296)=0,"",INDEX(CalcNormDate,$P296)))</f>
        <v/>
      </c>
      <c r="C296" s="28">
        <f>IF($P296="","",IF(INDEX(CalcTime,$P296)=0,"",INDEX(CalcTime,$P296)))</f>
        <v/>
      </c>
      <c r="D296" s="28">
        <f>IF($P296="","",IF(INDEX(EntryParty,$P296)=0,"",INDEX(EntryParty,$P296)))</f>
        <v/>
      </c>
      <c r="E296" s="28">
        <f>IF($P296="","",IF(INDEX(EntryPartyName,$P296)=0,"",INDEX(EntryPartyName,$P296)))</f>
        <v/>
      </c>
      <c r="F296" s="28">
        <f>IF($P296="","",IF(INDEX(EntryPartyType,$P296)=0,"",INDEX(EntryPartyType,$P296)))</f>
        <v/>
      </c>
      <c r="G296" s="28">
        <f>IF($P296="","",IF(INDEX(EntryTxnType,$P296)=0,"",INDEX(EntryTxnType,$P296)))</f>
        <v/>
      </c>
      <c r="H296" s="29">
        <f>IF($P296="","",IF(INDEX(EntryDep,$P296)=0,"",INDEX(EntryDep,$P296)))</f>
        <v/>
      </c>
      <c r="I296" s="29">
        <f>IF($P296="","",IF(INDEX(EntryWit,$P296)=0,"",INDEX(EntryWit,$P296)))</f>
        <v/>
      </c>
      <c r="J296" s="29">
        <f>IF($B296="","",IF($A296=1,$C$7,IF(J295="",0,J295))+IF($H296="",0,$H296)-IF($I296="",0,$I296))</f>
        <v/>
      </c>
      <c r="K296" s="29">
        <f>IF($P296="","",IF(INDEX(EntryMan,$P296)=0,"",INDEX(EntryMan,$P296)))</f>
        <v/>
      </c>
      <c r="L296" s="28">
        <f>IF($B296="","",IF($K296="","—",IF(ROUND($K296-$J296,0)=0,"√","×")))</f>
        <v/>
      </c>
      <c r="M296" s="28">
        <f>IF($B296="","",IF(COUNTIFS(EntryDates,$B296,CalcTime,$C296,CalcBank,$C$5,EntryParty,$D296,EntryDep,$H296,EntryWit,$I296)&gt;1,"تکرار",""))</f>
        <v/>
      </c>
      <c r="N296" s="28">
        <f>IF($P296="","",IF(INDEX(EntryNotes,$P296)=0,"",INDEX(EntryNotes,$P296)))</f>
        <v/>
      </c>
      <c r="O296" s="28">
        <f>IF($P296="","",IF(INDEX(EntryTxnID,$P296)=0,"",INDEX(EntryTxnID,$P296)))</f>
        <v/>
      </c>
      <c r="P296" s="28">
        <f>IFERROR(MATCH($C$5&amp;"|"&amp;RIGHT("000000"&amp;280,6),CalcRankKey,0),"")</f>
        <v/>
      </c>
    </row>
    <row r="297">
      <c r="A297" s="26">
        <f>IF($B297="","",281)</f>
        <v/>
      </c>
      <c r="B297" s="26">
        <f>IF($P297="","",IF(INDEX(CalcNormDate,$P297)=0,"",INDEX(CalcNormDate,$P297)))</f>
        <v/>
      </c>
      <c r="C297" s="26">
        <f>IF($P297="","",IF(INDEX(CalcTime,$P297)=0,"",INDEX(CalcTime,$P297)))</f>
        <v/>
      </c>
      <c r="D297" s="26">
        <f>IF($P297="","",IF(INDEX(EntryParty,$P297)=0,"",INDEX(EntryParty,$P297)))</f>
        <v/>
      </c>
      <c r="E297" s="26">
        <f>IF($P297="","",IF(INDEX(EntryPartyName,$P297)=0,"",INDEX(EntryPartyName,$P297)))</f>
        <v/>
      </c>
      <c r="F297" s="26">
        <f>IF($P297="","",IF(INDEX(EntryPartyType,$P297)=0,"",INDEX(EntryPartyType,$P297)))</f>
        <v/>
      </c>
      <c r="G297" s="26">
        <f>IF($P297="","",IF(INDEX(EntryTxnType,$P297)=0,"",INDEX(EntryTxnType,$P297)))</f>
        <v/>
      </c>
      <c r="H297" s="27">
        <f>IF($P297="","",IF(INDEX(EntryDep,$P297)=0,"",INDEX(EntryDep,$P297)))</f>
        <v/>
      </c>
      <c r="I297" s="27">
        <f>IF($P297="","",IF(INDEX(EntryWit,$P297)=0,"",INDEX(EntryWit,$P297)))</f>
        <v/>
      </c>
      <c r="J297" s="27">
        <f>IF($B297="","",IF($A297=1,$C$7,IF(J296="",0,J296))+IF($H297="",0,$H297)-IF($I297="",0,$I297))</f>
        <v/>
      </c>
      <c r="K297" s="27">
        <f>IF($P297="","",IF(INDEX(EntryMan,$P297)=0,"",INDEX(EntryMan,$P297)))</f>
        <v/>
      </c>
      <c r="L297" s="26">
        <f>IF($B297="","",IF($K297="","—",IF(ROUND($K297-$J297,0)=0,"√","×")))</f>
        <v/>
      </c>
      <c r="M297" s="26">
        <f>IF($B297="","",IF(COUNTIFS(EntryDates,$B297,CalcTime,$C297,CalcBank,$C$5,EntryParty,$D297,EntryDep,$H297,EntryWit,$I297)&gt;1,"تکرار",""))</f>
        <v/>
      </c>
      <c r="N297" s="26">
        <f>IF($P297="","",IF(INDEX(EntryNotes,$P297)=0,"",INDEX(EntryNotes,$P297)))</f>
        <v/>
      </c>
      <c r="O297" s="26">
        <f>IF($P297="","",IF(INDEX(EntryTxnID,$P297)=0,"",INDEX(EntryTxnID,$P297)))</f>
        <v/>
      </c>
      <c r="P297" s="26">
        <f>IFERROR(MATCH($C$5&amp;"|"&amp;RIGHT("000000"&amp;281,6),CalcRankKey,0),"")</f>
        <v/>
      </c>
    </row>
    <row r="298">
      <c r="A298" s="28">
        <f>IF($B298="","",282)</f>
        <v/>
      </c>
      <c r="B298" s="28">
        <f>IF($P298="","",IF(INDEX(CalcNormDate,$P298)=0,"",INDEX(CalcNormDate,$P298)))</f>
        <v/>
      </c>
      <c r="C298" s="28">
        <f>IF($P298="","",IF(INDEX(CalcTime,$P298)=0,"",INDEX(CalcTime,$P298)))</f>
        <v/>
      </c>
      <c r="D298" s="28">
        <f>IF($P298="","",IF(INDEX(EntryParty,$P298)=0,"",INDEX(EntryParty,$P298)))</f>
        <v/>
      </c>
      <c r="E298" s="28">
        <f>IF($P298="","",IF(INDEX(EntryPartyName,$P298)=0,"",INDEX(EntryPartyName,$P298)))</f>
        <v/>
      </c>
      <c r="F298" s="28">
        <f>IF($P298="","",IF(INDEX(EntryPartyType,$P298)=0,"",INDEX(EntryPartyType,$P298)))</f>
        <v/>
      </c>
      <c r="G298" s="28">
        <f>IF($P298="","",IF(INDEX(EntryTxnType,$P298)=0,"",INDEX(EntryTxnType,$P298)))</f>
        <v/>
      </c>
      <c r="H298" s="29">
        <f>IF($P298="","",IF(INDEX(EntryDep,$P298)=0,"",INDEX(EntryDep,$P298)))</f>
        <v/>
      </c>
      <c r="I298" s="29">
        <f>IF($P298="","",IF(INDEX(EntryWit,$P298)=0,"",INDEX(EntryWit,$P298)))</f>
        <v/>
      </c>
      <c r="J298" s="29">
        <f>IF($B298="","",IF($A298=1,$C$7,IF(J297="",0,J297))+IF($H298="",0,$H298)-IF($I298="",0,$I298))</f>
        <v/>
      </c>
      <c r="K298" s="29">
        <f>IF($P298="","",IF(INDEX(EntryMan,$P298)=0,"",INDEX(EntryMan,$P298)))</f>
        <v/>
      </c>
      <c r="L298" s="28">
        <f>IF($B298="","",IF($K298="","—",IF(ROUND($K298-$J298,0)=0,"√","×")))</f>
        <v/>
      </c>
      <c r="M298" s="28">
        <f>IF($B298="","",IF(COUNTIFS(EntryDates,$B298,CalcTime,$C298,CalcBank,$C$5,EntryParty,$D298,EntryDep,$H298,EntryWit,$I298)&gt;1,"تکرار",""))</f>
        <v/>
      </c>
      <c r="N298" s="28">
        <f>IF($P298="","",IF(INDEX(EntryNotes,$P298)=0,"",INDEX(EntryNotes,$P298)))</f>
        <v/>
      </c>
      <c r="O298" s="28">
        <f>IF($P298="","",IF(INDEX(EntryTxnID,$P298)=0,"",INDEX(EntryTxnID,$P298)))</f>
        <v/>
      </c>
      <c r="P298" s="28">
        <f>IFERROR(MATCH($C$5&amp;"|"&amp;RIGHT("000000"&amp;282,6),CalcRankKey,0),"")</f>
        <v/>
      </c>
    </row>
    <row r="299">
      <c r="A299" s="26">
        <f>IF($B299="","",283)</f>
        <v/>
      </c>
      <c r="B299" s="26">
        <f>IF($P299="","",IF(INDEX(CalcNormDate,$P299)=0,"",INDEX(CalcNormDate,$P299)))</f>
        <v/>
      </c>
      <c r="C299" s="26">
        <f>IF($P299="","",IF(INDEX(CalcTime,$P299)=0,"",INDEX(CalcTime,$P299)))</f>
        <v/>
      </c>
      <c r="D299" s="26">
        <f>IF($P299="","",IF(INDEX(EntryParty,$P299)=0,"",INDEX(EntryParty,$P299)))</f>
        <v/>
      </c>
      <c r="E299" s="26">
        <f>IF($P299="","",IF(INDEX(EntryPartyName,$P299)=0,"",INDEX(EntryPartyName,$P299)))</f>
        <v/>
      </c>
      <c r="F299" s="26">
        <f>IF($P299="","",IF(INDEX(EntryPartyType,$P299)=0,"",INDEX(EntryPartyType,$P299)))</f>
        <v/>
      </c>
      <c r="G299" s="26">
        <f>IF($P299="","",IF(INDEX(EntryTxnType,$P299)=0,"",INDEX(EntryTxnType,$P299)))</f>
        <v/>
      </c>
      <c r="H299" s="27">
        <f>IF($P299="","",IF(INDEX(EntryDep,$P299)=0,"",INDEX(EntryDep,$P299)))</f>
        <v/>
      </c>
      <c r="I299" s="27">
        <f>IF($P299="","",IF(INDEX(EntryWit,$P299)=0,"",INDEX(EntryWit,$P299)))</f>
        <v/>
      </c>
      <c r="J299" s="27">
        <f>IF($B299="","",IF($A299=1,$C$7,IF(J298="",0,J298))+IF($H299="",0,$H299)-IF($I299="",0,$I299))</f>
        <v/>
      </c>
      <c r="K299" s="27">
        <f>IF($P299="","",IF(INDEX(EntryMan,$P299)=0,"",INDEX(EntryMan,$P299)))</f>
        <v/>
      </c>
      <c r="L299" s="26">
        <f>IF($B299="","",IF($K299="","—",IF(ROUND($K299-$J299,0)=0,"√","×")))</f>
        <v/>
      </c>
      <c r="M299" s="26">
        <f>IF($B299="","",IF(COUNTIFS(EntryDates,$B299,CalcTime,$C299,CalcBank,$C$5,EntryParty,$D299,EntryDep,$H299,EntryWit,$I299)&gt;1,"تکرار",""))</f>
        <v/>
      </c>
      <c r="N299" s="26">
        <f>IF($P299="","",IF(INDEX(EntryNotes,$P299)=0,"",INDEX(EntryNotes,$P299)))</f>
        <v/>
      </c>
      <c r="O299" s="26">
        <f>IF($P299="","",IF(INDEX(EntryTxnID,$P299)=0,"",INDEX(EntryTxnID,$P299)))</f>
        <v/>
      </c>
      <c r="P299" s="26">
        <f>IFERROR(MATCH($C$5&amp;"|"&amp;RIGHT("000000"&amp;283,6),CalcRankKey,0),"")</f>
        <v/>
      </c>
    </row>
    <row r="300">
      <c r="A300" s="28">
        <f>IF($B300="","",284)</f>
        <v/>
      </c>
      <c r="B300" s="28">
        <f>IF($P300="","",IF(INDEX(CalcNormDate,$P300)=0,"",INDEX(CalcNormDate,$P300)))</f>
        <v/>
      </c>
      <c r="C300" s="28">
        <f>IF($P300="","",IF(INDEX(CalcTime,$P300)=0,"",INDEX(CalcTime,$P300)))</f>
        <v/>
      </c>
      <c r="D300" s="28">
        <f>IF($P300="","",IF(INDEX(EntryParty,$P300)=0,"",INDEX(EntryParty,$P300)))</f>
        <v/>
      </c>
      <c r="E300" s="28">
        <f>IF($P300="","",IF(INDEX(EntryPartyName,$P300)=0,"",INDEX(EntryPartyName,$P300)))</f>
        <v/>
      </c>
      <c r="F300" s="28">
        <f>IF($P300="","",IF(INDEX(EntryPartyType,$P300)=0,"",INDEX(EntryPartyType,$P300)))</f>
        <v/>
      </c>
      <c r="G300" s="28">
        <f>IF($P300="","",IF(INDEX(EntryTxnType,$P300)=0,"",INDEX(EntryTxnType,$P300)))</f>
        <v/>
      </c>
      <c r="H300" s="29">
        <f>IF($P300="","",IF(INDEX(EntryDep,$P300)=0,"",INDEX(EntryDep,$P300)))</f>
        <v/>
      </c>
      <c r="I300" s="29">
        <f>IF($P300="","",IF(INDEX(EntryWit,$P300)=0,"",INDEX(EntryWit,$P300)))</f>
        <v/>
      </c>
      <c r="J300" s="29">
        <f>IF($B300="","",IF($A300=1,$C$7,IF(J299="",0,J299))+IF($H300="",0,$H300)-IF($I300="",0,$I300))</f>
        <v/>
      </c>
      <c r="K300" s="29">
        <f>IF($P300="","",IF(INDEX(EntryMan,$P300)=0,"",INDEX(EntryMan,$P300)))</f>
        <v/>
      </c>
      <c r="L300" s="28">
        <f>IF($B300="","",IF($K300="","—",IF(ROUND($K300-$J300,0)=0,"√","×")))</f>
        <v/>
      </c>
      <c r="M300" s="28">
        <f>IF($B300="","",IF(COUNTIFS(EntryDates,$B300,CalcTime,$C300,CalcBank,$C$5,EntryParty,$D300,EntryDep,$H300,EntryWit,$I300)&gt;1,"تکرار",""))</f>
        <v/>
      </c>
      <c r="N300" s="28">
        <f>IF($P300="","",IF(INDEX(EntryNotes,$P300)=0,"",INDEX(EntryNotes,$P300)))</f>
        <v/>
      </c>
      <c r="O300" s="28">
        <f>IF($P300="","",IF(INDEX(EntryTxnID,$P300)=0,"",INDEX(EntryTxnID,$P300)))</f>
        <v/>
      </c>
      <c r="P300" s="28">
        <f>IFERROR(MATCH($C$5&amp;"|"&amp;RIGHT("000000"&amp;284,6),CalcRankKey,0),"")</f>
        <v/>
      </c>
    </row>
    <row r="301">
      <c r="A301" s="26">
        <f>IF($B301="","",285)</f>
        <v/>
      </c>
      <c r="B301" s="26">
        <f>IF($P301="","",IF(INDEX(CalcNormDate,$P301)=0,"",INDEX(CalcNormDate,$P301)))</f>
        <v/>
      </c>
      <c r="C301" s="26">
        <f>IF($P301="","",IF(INDEX(CalcTime,$P301)=0,"",INDEX(CalcTime,$P301)))</f>
        <v/>
      </c>
      <c r="D301" s="26">
        <f>IF($P301="","",IF(INDEX(EntryParty,$P301)=0,"",INDEX(EntryParty,$P301)))</f>
        <v/>
      </c>
      <c r="E301" s="26">
        <f>IF($P301="","",IF(INDEX(EntryPartyName,$P301)=0,"",INDEX(EntryPartyName,$P301)))</f>
        <v/>
      </c>
      <c r="F301" s="26">
        <f>IF($P301="","",IF(INDEX(EntryPartyType,$P301)=0,"",INDEX(EntryPartyType,$P301)))</f>
        <v/>
      </c>
      <c r="G301" s="26">
        <f>IF($P301="","",IF(INDEX(EntryTxnType,$P301)=0,"",INDEX(EntryTxnType,$P301)))</f>
        <v/>
      </c>
      <c r="H301" s="27">
        <f>IF($P301="","",IF(INDEX(EntryDep,$P301)=0,"",INDEX(EntryDep,$P301)))</f>
        <v/>
      </c>
      <c r="I301" s="27">
        <f>IF($P301="","",IF(INDEX(EntryWit,$P301)=0,"",INDEX(EntryWit,$P301)))</f>
        <v/>
      </c>
      <c r="J301" s="27">
        <f>IF($B301="","",IF($A301=1,$C$7,IF(J300="",0,J300))+IF($H301="",0,$H301)-IF($I301="",0,$I301))</f>
        <v/>
      </c>
      <c r="K301" s="27">
        <f>IF($P301="","",IF(INDEX(EntryMan,$P301)=0,"",INDEX(EntryMan,$P301)))</f>
        <v/>
      </c>
      <c r="L301" s="26">
        <f>IF($B301="","",IF($K301="","—",IF(ROUND($K301-$J301,0)=0,"√","×")))</f>
        <v/>
      </c>
      <c r="M301" s="26">
        <f>IF($B301="","",IF(COUNTIFS(EntryDates,$B301,CalcTime,$C301,CalcBank,$C$5,EntryParty,$D301,EntryDep,$H301,EntryWit,$I301)&gt;1,"تکرار",""))</f>
        <v/>
      </c>
      <c r="N301" s="26">
        <f>IF($P301="","",IF(INDEX(EntryNotes,$P301)=0,"",INDEX(EntryNotes,$P301)))</f>
        <v/>
      </c>
      <c r="O301" s="26">
        <f>IF($P301="","",IF(INDEX(EntryTxnID,$P301)=0,"",INDEX(EntryTxnID,$P301)))</f>
        <v/>
      </c>
      <c r="P301" s="26">
        <f>IFERROR(MATCH($C$5&amp;"|"&amp;RIGHT("000000"&amp;285,6),CalcRankKey,0),"")</f>
        <v/>
      </c>
    </row>
    <row r="302">
      <c r="A302" s="28">
        <f>IF($B302="","",286)</f>
        <v/>
      </c>
      <c r="B302" s="28">
        <f>IF($P302="","",IF(INDEX(CalcNormDate,$P302)=0,"",INDEX(CalcNormDate,$P302)))</f>
        <v/>
      </c>
      <c r="C302" s="28">
        <f>IF($P302="","",IF(INDEX(CalcTime,$P302)=0,"",INDEX(CalcTime,$P302)))</f>
        <v/>
      </c>
      <c r="D302" s="28">
        <f>IF($P302="","",IF(INDEX(EntryParty,$P302)=0,"",INDEX(EntryParty,$P302)))</f>
        <v/>
      </c>
      <c r="E302" s="28">
        <f>IF($P302="","",IF(INDEX(EntryPartyName,$P302)=0,"",INDEX(EntryPartyName,$P302)))</f>
        <v/>
      </c>
      <c r="F302" s="28">
        <f>IF($P302="","",IF(INDEX(EntryPartyType,$P302)=0,"",INDEX(EntryPartyType,$P302)))</f>
        <v/>
      </c>
      <c r="G302" s="28">
        <f>IF($P302="","",IF(INDEX(EntryTxnType,$P302)=0,"",INDEX(EntryTxnType,$P302)))</f>
        <v/>
      </c>
      <c r="H302" s="29">
        <f>IF($P302="","",IF(INDEX(EntryDep,$P302)=0,"",INDEX(EntryDep,$P302)))</f>
        <v/>
      </c>
      <c r="I302" s="29">
        <f>IF($P302="","",IF(INDEX(EntryWit,$P302)=0,"",INDEX(EntryWit,$P302)))</f>
        <v/>
      </c>
      <c r="J302" s="29">
        <f>IF($B302="","",IF($A302=1,$C$7,IF(J301="",0,J301))+IF($H302="",0,$H302)-IF($I302="",0,$I302))</f>
        <v/>
      </c>
      <c r="K302" s="29">
        <f>IF($P302="","",IF(INDEX(EntryMan,$P302)=0,"",INDEX(EntryMan,$P302)))</f>
        <v/>
      </c>
      <c r="L302" s="28">
        <f>IF($B302="","",IF($K302="","—",IF(ROUND($K302-$J302,0)=0,"√","×")))</f>
        <v/>
      </c>
      <c r="M302" s="28">
        <f>IF($B302="","",IF(COUNTIFS(EntryDates,$B302,CalcTime,$C302,CalcBank,$C$5,EntryParty,$D302,EntryDep,$H302,EntryWit,$I302)&gt;1,"تکرار",""))</f>
        <v/>
      </c>
      <c r="N302" s="28">
        <f>IF($P302="","",IF(INDEX(EntryNotes,$P302)=0,"",INDEX(EntryNotes,$P302)))</f>
        <v/>
      </c>
      <c r="O302" s="28">
        <f>IF($P302="","",IF(INDEX(EntryTxnID,$P302)=0,"",INDEX(EntryTxnID,$P302)))</f>
        <v/>
      </c>
      <c r="P302" s="28">
        <f>IFERROR(MATCH($C$5&amp;"|"&amp;RIGHT("000000"&amp;286,6),CalcRankKey,0),"")</f>
        <v/>
      </c>
    </row>
    <row r="303">
      <c r="A303" s="26">
        <f>IF($B303="","",287)</f>
        <v/>
      </c>
      <c r="B303" s="26">
        <f>IF($P303="","",IF(INDEX(CalcNormDate,$P303)=0,"",INDEX(CalcNormDate,$P303)))</f>
        <v/>
      </c>
      <c r="C303" s="26">
        <f>IF($P303="","",IF(INDEX(CalcTime,$P303)=0,"",INDEX(CalcTime,$P303)))</f>
        <v/>
      </c>
      <c r="D303" s="26">
        <f>IF($P303="","",IF(INDEX(EntryParty,$P303)=0,"",INDEX(EntryParty,$P303)))</f>
        <v/>
      </c>
      <c r="E303" s="26">
        <f>IF($P303="","",IF(INDEX(EntryPartyName,$P303)=0,"",INDEX(EntryPartyName,$P303)))</f>
        <v/>
      </c>
      <c r="F303" s="26">
        <f>IF($P303="","",IF(INDEX(EntryPartyType,$P303)=0,"",INDEX(EntryPartyType,$P303)))</f>
        <v/>
      </c>
      <c r="G303" s="26">
        <f>IF($P303="","",IF(INDEX(EntryTxnType,$P303)=0,"",INDEX(EntryTxnType,$P303)))</f>
        <v/>
      </c>
      <c r="H303" s="27">
        <f>IF($P303="","",IF(INDEX(EntryDep,$P303)=0,"",INDEX(EntryDep,$P303)))</f>
        <v/>
      </c>
      <c r="I303" s="27">
        <f>IF($P303="","",IF(INDEX(EntryWit,$P303)=0,"",INDEX(EntryWit,$P303)))</f>
        <v/>
      </c>
      <c r="J303" s="27">
        <f>IF($B303="","",IF($A303=1,$C$7,IF(J302="",0,J302))+IF($H303="",0,$H303)-IF($I303="",0,$I303))</f>
        <v/>
      </c>
      <c r="K303" s="27">
        <f>IF($P303="","",IF(INDEX(EntryMan,$P303)=0,"",INDEX(EntryMan,$P303)))</f>
        <v/>
      </c>
      <c r="L303" s="26">
        <f>IF($B303="","",IF($K303="","—",IF(ROUND($K303-$J303,0)=0,"√","×")))</f>
        <v/>
      </c>
      <c r="M303" s="26">
        <f>IF($B303="","",IF(COUNTIFS(EntryDates,$B303,CalcTime,$C303,CalcBank,$C$5,EntryParty,$D303,EntryDep,$H303,EntryWit,$I303)&gt;1,"تکرار",""))</f>
        <v/>
      </c>
      <c r="N303" s="26">
        <f>IF($P303="","",IF(INDEX(EntryNotes,$P303)=0,"",INDEX(EntryNotes,$P303)))</f>
        <v/>
      </c>
      <c r="O303" s="26">
        <f>IF($P303="","",IF(INDEX(EntryTxnID,$P303)=0,"",INDEX(EntryTxnID,$P303)))</f>
        <v/>
      </c>
      <c r="P303" s="26">
        <f>IFERROR(MATCH($C$5&amp;"|"&amp;RIGHT("000000"&amp;287,6),CalcRankKey,0),"")</f>
        <v/>
      </c>
    </row>
    <row r="304">
      <c r="A304" s="28">
        <f>IF($B304="","",288)</f>
        <v/>
      </c>
      <c r="B304" s="28">
        <f>IF($P304="","",IF(INDEX(CalcNormDate,$P304)=0,"",INDEX(CalcNormDate,$P304)))</f>
        <v/>
      </c>
      <c r="C304" s="28">
        <f>IF($P304="","",IF(INDEX(CalcTime,$P304)=0,"",INDEX(CalcTime,$P304)))</f>
        <v/>
      </c>
      <c r="D304" s="28">
        <f>IF($P304="","",IF(INDEX(EntryParty,$P304)=0,"",INDEX(EntryParty,$P304)))</f>
        <v/>
      </c>
      <c r="E304" s="28">
        <f>IF($P304="","",IF(INDEX(EntryPartyName,$P304)=0,"",INDEX(EntryPartyName,$P304)))</f>
        <v/>
      </c>
      <c r="F304" s="28">
        <f>IF($P304="","",IF(INDEX(EntryPartyType,$P304)=0,"",INDEX(EntryPartyType,$P304)))</f>
        <v/>
      </c>
      <c r="G304" s="28">
        <f>IF($P304="","",IF(INDEX(EntryTxnType,$P304)=0,"",INDEX(EntryTxnType,$P304)))</f>
        <v/>
      </c>
      <c r="H304" s="29">
        <f>IF($P304="","",IF(INDEX(EntryDep,$P304)=0,"",INDEX(EntryDep,$P304)))</f>
        <v/>
      </c>
      <c r="I304" s="29">
        <f>IF($P304="","",IF(INDEX(EntryWit,$P304)=0,"",INDEX(EntryWit,$P304)))</f>
        <v/>
      </c>
      <c r="J304" s="29">
        <f>IF($B304="","",IF($A304=1,$C$7,IF(J303="",0,J303))+IF($H304="",0,$H304)-IF($I304="",0,$I304))</f>
        <v/>
      </c>
      <c r="K304" s="29">
        <f>IF($P304="","",IF(INDEX(EntryMan,$P304)=0,"",INDEX(EntryMan,$P304)))</f>
        <v/>
      </c>
      <c r="L304" s="28">
        <f>IF($B304="","",IF($K304="","—",IF(ROUND($K304-$J304,0)=0,"√","×")))</f>
        <v/>
      </c>
      <c r="M304" s="28">
        <f>IF($B304="","",IF(COUNTIFS(EntryDates,$B304,CalcTime,$C304,CalcBank,$C$5,EntryParty,$D304,EntryDep,$H304,EntryWit,$I304)&gt;1,"تکرار",""))</f>
        <v/>
      </c>
      <c r="N304" s="28">
        <f>IF($P304="","",IF(INDEX(EntryNotes,$P304)=0,"",INDEX(EntryNotes,$P304)))</f>
        <v/>
      </c>
      <c r="O304" s="28">
        <f>IF($P304="","",IF(INDEX(EntryTxnID,$P304)=0,"",INDEX(EntryTxnID,$P304)))</f>
        <v/>
      </c>
      <c r="P304" s="28">
        <f>IFERROR(MATCH($C$5&amp;"|"&amp;RIGHT("000000"&amp;288,6),CalcRankKey,0),"")</f>
        <v/>
      </c>
    </row>
    <row r="305">
      <c r="A305" s="26">
        <f>IF($B305="","",289)</f>
        <v/>
      </c>
      <c r="B305" s="26">
        <f>IF($P305="","",IF(INDEX(CalcNormDate,$P305)=0,"",INDEX(CalcNormDate,$P305)))</f>
        <v/>
      </c>
      <c r="C305" s="26">
        <f>IF($P305="","",IF(INDEX(CalcTime,$P305)=0,"",INDEX(CalcTime,$P305)))</f>
        <v/>
      </c>
      <c r="D305" s="26">
        <f>IF($P305="","",IF(INDEX(EntryParty,$P305)=0,"",INDEX(EntryParty,$P305)))</f>
        <v/>
      </c>
      <c r="E305" s="26">
        <f>IF($P305="","",IF(INDEX(EntryPartyName,$P305)=0,"",INDEX(EntryPartyName,$P305)))</f>
        <v/>
      </c>
      <c r="F305" s="26">
        <f>IF($P305="","",IF(INDEX(EntryPartyType,$P305)=0,"",INDEX(EntryPartyType,$P305)))</f>
        <v/>
      </c>
      <c r="G305" s="26">
        <f>IF($P305="","",IF(INDEX(EntryTxnType,$P305)=0,"",INDEX(EntryTxnType,$P305)))</f>
        <v/>
      </c>
      <c r="H305" s="27">
        <f>IF($P305="","",IF(INDEX(EntryDep,$P305)=0,"",INDEX(EntryDep,$P305)))</f>
        <v/>
      </c>
      <c r="I305" s="27">
        <f>IF($P305="","",IF(INDEX(EntryWit,$P305)=0,"",INDEX(EntryWit,$P305)))</f>
        <v/>
      </c>
      <c r="J305" s="27">
        <f>IF($B305="","",IF($A305=1,$C$7,IF(J304="",0,J304))+IF($H305="",0,$H305)-IF($I305="",0,$I305))</f>
        <v/>
      </c>
      <c r="K305" s="27">
        <f>IF($P305="","",IF(INDEX(EntryMan,$P305)=0,"",INDEX(EntryMan,$P305)))</f>
        <v/>
      </c>
      <c r="L305" s="26">
        <f>IF($B305="","",IF($K305="","—",IF(ROUND($K305-$J305,0)=0,"√","×")))</f>
        <v/>
      </c>
      <c r="M305" s="26">
        <f>IF($B305="","",IF(COUNTIFS(EntryDates,$B305,CalcTime,$C305,CalcBank,$C$5,EntryParty,$D305,EntryDep,$H305,EntryWit,$I305)&gt;1,"تکرار",""))</f>
        <v/>
      </c>
      <c r="N305" s="26">
        <f>IF($P305="","",IF(INDEX(EntryNotes,$P305)=0,"",INDEX(EntryNotes,$P305)))</f>
        <v/>
      </c>
      <c r="O305" s="26">
        <f>IF($P305="","",IF(INDEX(EntryTxnID,$P305)=0,"",INDEX(EntryTxnID,$P305)))</f>
        <v/>
      </c>
      <c r="P305" s="26">
        <f>IFERROR(MATCH($C$5&amp;"|"&amp;RIGHT("000000"&amp;289,6),CalcRankKey,0),"")</f>
        <v/>
      </c>
    </row>
    <row r="306">
      <c r="A306" s="28">
        <f>IF($B306="","",290)</f>
        <v/>
      </c>
      <c r="B306" s="28">
        <f>IF($P306="","",IF(INDEX(CalcNormDate,$P306)=0,"",INDEX(CalcNormDate,$P306)))</f>
        <v/>
      </c>
      <c r="C306" s="28">
        <f>IF($P306="","",IF(INDEX(CalcTime,$P306)=0,"",INDEX(CalcTime,$P306)))</f>
        <v/>
      </c>
      <c r="D306" s="28">
        <f>IF($P306="","",IF(INDEX(EntryParty,$P306)=0,"",INDEX(EntryParty,$P306)))</f>
        <v/>
      </c>
      <c r="E306" s="28">
        <f>IF($P306="","",IF(INDEX(EntryPartyName,$P306)=0,"",INDEX(EntryPartyName,$P306)))</f>
        <v/>
      </c>
      <c r="F306" s="28">
        <f>IF($P306="","",IF(INDEX(EntryPartyType,$P306)=0,"",INDEX(EntryPartyType,$P306)))</f>
        <v/>
      </c>
      <c r="G306" s="28">
        <f>IF($P306="","",IF(INDEX(EntryTxnType,$P306)=0,"",INDEX(EntryTxnType,$P306)))</f>
        <v/>
      </c>
      <c r="H306" s="29">
        <f>IF($P306="","",IF(INDEX(EntryDep,$P306)=0,"",INDEX(EntryDep,$P306)))</f>
        <v/>
      </c>
      <c r="I306" s="29">
        <f>IF($P306="","",IF(INDEX(EntryWit,$P306)=0,"",INDEX(EntryWit,$P306)))</f>
        <v/>
      </c>
      <c r="J306" s="29">
        <f>IF($B306="","",IF($A306=1,$C$7,IF(J305="",0,J305))+IF($H306="",0,$H306)-IF($I306="",0,$I306))</f>
        <v/>
      </c>
      <c r="K306" s="29">
        <f>IF($P306="","",IF(INDEX(EntryMan,$P306)=0,"",INDEX(EntryMan,$P306)))</f>
        <v/>
      </c>
      <c r="L306" s="28">
        <f>IF($B306="","",IF($K306="","—",IF(ROUND($K306-$J306,0)=0,"√","×")))</f>
        <v/>
      </c>
      <c r="M306" s="28">
        <f>IF($B306="","",IF(COUNTIFS(EntryDates,$B306,CalcTime,$C306,CalcBank,$C$5,EntryParty,$D306,EntryDep,$H306,EntryWit,$I306)&gt;1,"تکرار",""))</f>
        <v/>
      </c>
      <c r="N306" s="28">
        <f>IF($P306="","",IF(INDEX(EntryNotes,$P306)=0,"",INDEX(EntryNotes,$P306)))</f>
        <v/>
      </c>
      <c r="O306" s="28">
        <f>IF($P306="","",IF(INDEX(EntryTxnID,$P306)=0,"",INDEX(EntryTxnID,$P306)))</f>
        <v/>
      </c>
      <c r="P306" s="28">
        <f>IFERROR(MATCH($C$5&amp;"|"&amp;RIGHT("000000"&amp;290,6),CalcRankKey,0),"")</f>
        <v/>
      </c>
    </row>
    <row r="307">
      <c r="A307" s="26">
        <f>IF($B307="","",291)</f>
        <v/>
      </c>
      <c r="B307" s="26">
        <f>IF($P307="","",IF(INDEX(CalcNormDate,$P307)=0,"",INDEX(CalcNormDate,$P307)))</f>
        <v/>
      </c>
      <c r="C307" s="26">
        <f>IF($P307="","",IF(INDEX(CalcTime,$P307)=0,"",INDEX(CalcTime,$P307)))</f>
        <v/>
      </c>
      <c r="D307" s="26">
        <f>IF($P307="","",IF(INDEX(EntryParty,$P307)=0,"",INDEX(EntryParty,$P307)))</f>
        <v/>
      </c>
      <c r="E307" s="26">
        <f>IF($P307="","",IF(INDEX(EntryPartyName,$P307)=0,"",INDEX(EntryPartyName,$P307)))</f>
        <v/>
      </c>
      <c r="F307" s="26">
        <f>IF($P307="","",IF(INDEX(EntryPartyType,$P307)=0,"",INDEX(EntryPartyType,$P307)))</f>
        <v/>
      </c>
      <c r="G307" s="26">
        <f>IF($P307="","",IF(INDEX(EntryTxnType,$P307)=0,"",INDEX(EntryTxnType,$P307)))</f>
        <v/>
      </c>
      <c r="H307" s="27">
        <f>IF($P307="","",IF(INDEX(EntryDep,$P307)=0,"",INDEX(EntryDep,$P307)))</f>
        <v/>
      </c>
      <c r="I307" s="27">
        <f>IF($P307="","",IF(INDEX(EntryWit,$P307)=0,"",INDEX(EntryWit,$P307)))</f>
        <v/>
      </c>
      <c r="J307" s="27">
        <f>IF($B307="","",IF($A307=1,$C$7,IF(J306="",0,J306))+IF($H307="",0,$H307)-IF($I307="",0,$I307))</f>
        <v/>
      </c>
      <c r="K307" s="27">
        <f>IF($P307="","",IF(INDEX(EntryMan,$P307)=0,"",INDEX(EntryMan,$P307)))</f>
        <v/>
      </c>
      <c r="L307" s="26">
        <f>IF($B307="","",IF($K307="","—",IF(ROUND($K307-$J307,0)=0,"√","×")))</f>
        <v/>
      </c>
      <c r="M307" s="26">
        <f>IF($B307="","",IF(COUNTIFS(EntryDates,$B307,CalcTime,$C307,CalcBank,$C$5,EntryParty,$D307,EntryDep,$H307,EntryWit,$I307)&gt;1,"تکرار",""))</f>
        <v/>
      </c>
      <c r="N307" s="26">
        <f>IF($P307="","",IF(INDEX(EntryNotes,$P307)=0,"",INDEX(EntryNotes,$P307)))</f>
        <v/>
      </c>
      <c r="O307" s="26">
        <f>IF($P307="","",IF(INDEX(EntryTxnID,$P307)=0,"",INDEX(EntryTxnID,$P307)))</f>
        <v/>
      </c>
      <c r="P307" s="26">
        <f>IFERROR(MATCH($C$5&amp;"|"&amp;RIGHT("000000"&amp;291,6),CalcRankKey,0),"")</f>
        <v/>
      </c>
    </row>
    <row r="308">
      <c r="A308" s="28">
        <f>IF($B308="","",292)</f>
        <v/>
      </c>
      <c r="B308" s="28">
        <f>IF($P308="","",IF(INDEX(CalcNormDate,$P308)=0,"",INDEX(CalcNormDate,$P308)))</f>
        <v/>
      </c>
      <c r="C308" s="28">
        <f>IF($P308="","",IF(INDEX(CalcTime,$P308)=0,"",INDEX(CalcTime,$P308)))</f>
        <v/>
      </c>
      <c r="D308" s="28">
        <f>IF($P308="","",IF(INDEX(EntryParty,$P308)=0,"",INDEX(EntryParty,$P308)))</f>
        <v/>
      </c>
      <c r="E308" s="28">
        <f>IF($P308="","",IF(INDEX(EntryPartyName,$P308)=0,"",INDEX(EntryPartyName,$P308)))</f>
        <v/>
      </c>
      <c r="F308" s="28">
        <f>IF($P308="","",IF(INDEX(EntryPartyType,$P308)=0,"",INDEX(EntryPartyType,$P308)))</f>
        <v/>
      </c>
      <c r="G308" s="28">
        <f>IF($P308="","",IF(INDEX(EntryTxnType,$P308)=0,"",INDEX(EntryTxnType,$P308)))</f>
        <v/>
      </c>
      <c r="H308" s="29">
        <f>IF($P308="","",IF(INDEX(EntryDep,$P308)=0,"",INDEX(EntryDep,$P308)))</f>
        <v/>
      </c>
      <c r="I308" s="29">
        <f>IF($P308="","",IF(INDEX(EntryWit,$P308)=0,"",INDEX(EntryWit,$P308)))</f>
        <v/>
      </c>
      <c r="J308" s="29">
        <f>IF($B308="","",IF($A308=1,$C$7,IF(J307="",0,J307))+IF($H308="",0,$H308)-IF($I308="",0,$I308))</f>
        <v/>
      </c>
      <c r="K308" s="29">
        <f>IF($P308="","",IF(INDEX(EntryMan,$P308)=0,"",INDEX(EntryMan,$P308)))</f>
        <v/>
      </c>
      <c r="L308" s="28">
        <f>IF($B308="","",IF($K308="","—",IF(ROUND($K308-$J308,0)=0,"√","×")))</f>
        <v/>
      </c>
      <c r="M308" s="28">
        <f>IF($B308="","",IF(COUNTIFS(EntryDates,$B308,CalcTime,$C308,CalcBank,$C$5,EntryParty,$D308,EntryDep,$H308,EntryWit,$I308)&gt;1,"تکرار",""))</f>
        <v/>
      </c>
      <c r="N308" s="28">
        <f>IF($P308="","",IF(INDEX(EntryNotes,$P308)=0,"",INDEX(EntryNotes,$P308)))</f>
        <v/>
      </c>
      <c r="O308" s="28">
        <f>IF($P308="","",IF(INDEX(EntryTxnID,$P308)=0,"",INDEX(EntryTxnID,$P308)))</f>
        <v/>
      </c>
      <c r="P308" s="28">
        <f>IFERROR(MATCH($C$5&amp;"|"&amp;RIGHT("000000"&amp;292,6),CalcRankKey,0),"")</f>
        <v/>
      </c>
    </row>
    <row r="309">
      <c r="A309" s="26">
        <f>IF($B309="","",293)</f>
        <v/>
      </c>
      <c r="B309" s="26">
        <f>IF($P309="","",IF(INDEX(CalcNormDate,$P309)=0,"",INDEX(CalcNormDate,$P309)))</f>
        <v/>
      </c>
      <c r="C309" s="26">
        <f>IF($P309="","",IF(INDEX(CalcTime,$P309)=0,"",INDEX(CalcTime,$P309)))</f>
        <v/>
      </c>
      <c r="D309" s="26">
        <f>IF($P309="","",IF(INDEX(EntryParty,$P309)=0,"",INDEX(EntryParty,$P309)))</f>
        <v/>
      </c>
      <c r="E309" s="26">
        <f>IF($P309="","",IF(INDEX(EntryPartyName,$P309)=0,"",INDEX(EntryPartyName,$P309)))</f>
        <v/>
      </c>
      <c r="F309" s="26">
        <f>IF($P309="","",IF(INDEX(EntryPartyType,$P309)=0,"",INDEX(EntryPartyType,$P309)))</f>
        <v/>
      </c>
      <c r="G309" s="26">
        <f>IF($P309="","",IF(INDEX(EntryTxnType,$P309)=0,"",INDEX(EntryTxnType,$P309)))</f>
        <v/>
      </c>
      <c r="H309" s="27">
        <f>IF($P309="","",IF(INDEX(EntryDep,$P309)=0,"",INDEX(EntryDep,$P309)))</f>
        <v/>
      </c>
      <c r="I309" s="27">
        <f>IF($P309="","",IF(INDEX(EntryWit,$P309)=0,"",INDEX(EntryWit,$P309)))</f>
        <v/>
      </c>
      <c r="J309" s="27">
        <f>IF($B309="","",IF($A309=1,$C$7,IF(J308="",0,J308))+IF($H309="",0,$H309)-IF($I309="",0,$I309))</f>
        <v/>
      </c>
      <c r="K309" s="27">
        <f>IF($P309="","",IF(INDEX(EntryMan,$P309)=0,"",INDEX(EntryMan,$P309)))</f>
        <v/>
      </c>
      <c r="L309" s="26">
        <f>IF($B309="","",IF($K309="","—",IF(ROUND($K309-$J309,0)=0,"√","×")))</f>
        <v/>
      </c>
      <c r="M309" s="26">
        <f>IF($B309="","",IF(COUNTIFS(EntryDates,$B309,CalcTime,$C309,CalcBank,$C$5,EntryParty,$D309,EntryDep,$H309,EntryWit,$I309)&gt;1,"تکرار",""))</f>
        <v/>
      </c>
      <c r="N309" s="26">
        <f>IF($P309="","",IF(INDEX(EntryNotes,$P309)=0,"",INDEX(EntryNotes,$P309)))</f>
        <v/>
      </c>
      <c r="O309" s="26">
        <f>IF($P309="","",IF(INDEX(EntryTxnID,$P309)=0,"",INDEX(EntryTxnID,$P309)))</f>
        <v/>
      </c>
      <c r="P309" s="26">
        <f>IFERROR(MATCH($C$5&amp;"|"&amp;RIGHT("000000"&amp;293,6),CalcRankKey,0),"")</f>
        <v/>
      </c>
    </row>
    <row r="310">
      <c r="A310" s="28">
        <f>IF($B310="","",294)</f>
        <v/>
      </c>
      <c r="B310" s="28">
        <f>IF($P310="","",IF(INDEX(CalcNormDate,$P310)=0,"",INDEX(CalcNormDate,$P310)))</f>
        <v/>
      </c>
      <c r="C310" s="28">
        <f>IF($P310="","",IF(INDEX(CalcTime,$P310)=0,"",INDEX(CalcTime,$P310)))</f>
        <v/>
      </c>
      <c r="D310" s="28">
        <f>IF($P310="","",IF(INDEX(EntryParty,$P310)=0,"",INDEX(EntryParty,$P310)))</f>
        <v/>
      </c>
      <c r="E310" s="28">
        <f>IF($P310="","",IF(INDEX(EntryPartyName,$P310)=0,"",INDEX(EntryPartyName,$P310)))</f>
        <v/>
      </c>
      <c r="F310" s="28">
        <f>IF($P310="","",IF(INDEX(EntryPartyType,$P310)=0,"",INDEX(EntryPartyType,$P310)))</f>
        <v/>
      </c>
      <c r="G310" s="28">
        <f>IF($P310="","",IF(INDEX(EntryTxnType,$P310)=0,"",INDEX(EntryTxnType,$P310)))</f>
        <v/>
      </c>
      <c r="H310" s="29">
        <f>IF($P310="","",IF(INDEX(EntryDep,$P310)=0,"",INDEX(EntryDep,$P310)))</f>
        <v/>
      </c>
      <c r="I310" s="29">
        <f>IF($P310="","",IF(INDEX(EntryWit,$P310)=0,"",INDEX(EntryWit,$P310)))</f>
        <v/>
      </c>
      <c r="J310" s="29">
        <f>IF($B310="","",IF($A310=1,$C$7,IF(J309="",0,J309))+IF($H310="",0,$H310)-IF($I310="",0,$I310))</f>
        <v/>
      </c>
      <c r="K310" s="29">
        <f>IF($P310="","",IF(INDEX(EntryMan,$P310)=0,"",INDEX(EntryMan,$P310)))</f>
        <v/>
      </c>
      <c r="L310" s="28">
        <f>IF($B310="","",IF($K310="","—",IF(ROUND($K310-$J310,0)=0,"√","×")))</f>
        <v/>
      </c>
      <c r="M310" s="28">
        <f>IF($B310="","",IF(COUNTIFS(EntryDates,$B310,CalcTime,$C310,CalcBank,$C$5,EntryParty,$D310,EntryDep,$H310,EntryWit,$I310)&gt;1,"تکرار",""))</f>
        <v/>
      </c>
      <c r="N310" s="28">
        <f>IF($P310="","",IF(INDEX(EntryNotes,$P310)=0,"",INDEX(EntryNotes,$P310)))</f>
        <v/>
      </c>
      <c r="O310" s="28">
        <f>IF($P310="","",IF(INDEX(EntryTxnID,$P310)=0,"",INDEX(EntryTxnID,$P310)))</f>
        <v/>
      </c>
      <c r="P310" s="28">
        <f>IFERROR(MATCH($C$5&amp;"|"&amp;RIGHT("000000"&amp;294,6),CalcRankKey,0),"")</f>
        <v/>
      </c>
    </row>
    <row r="311">
      <c r="A311" s="26">
        <f>IF($B311="","",295)</f>
        <v/>
      </c>
      <c r="B311" s="26">
        <f>IF($P311="","",IF(INDEX(CalcNormDate,$P311)=0,"",INDEX(CalcNormDate,$P311)))</f>
        <v/>
      </c>
      <c r="C311" s="26">
        <f>IF($P311="","",IF(INDEX(CalcTime,$P311)=0,"",INDEX(CalcTime,$P311)))</f>
        <v/>
      </c>
      <c r="D311" s="26">
        <f>IF($P311="","",IF(INDEX(EntryParty,$P311)=0,"",INDEX(EntryParty,$P311)))</f>
        <v/>
      </c>
      <c r="E311" s="26">
        <f>IF($P311="","",IF(INDEX(EntryPartyName,$P311)=0,"",INDEX(EntryPartyName,$P311)))</f>
        <v/>
      </c>
      <c r="F311" s="26">
        <f>IF($P311="","",IF(INDEX(EntryPartyType,$P311)=0,"",INDEX(EntryPartyType,$P311)))</f>
        <v/>
      </c>
      <c r="G311" s="26">
        <f>IF($P311="","",IF(INDEX(EntryTxnType,$P311)=0,"",INDEX(EntryTxnType,$P311)))</f>
        <v/>
      </c>
      <c r="H311" s="27">
        <f>IF($P311="","",IF(INDEX(EntryDep,$P311)=0,"",INDEX(EntryDep,$P311)))</f>
        <v/>
      </c>
      <c r="I311" s="27">
        <f>IF($P311="","",IF(INDEX(EntryWit,$P311)=0,"",INDEX(EntryWit,$P311)))</f>
        <v/>
      </c>
      <c r="J311" s="27">
        <f>IF($B311="","",IF($A311=1,$C$7,IF(J310="",0,J310))+IF($H311="",0,$H311)-IF($I311="",0,$I311))</f>
        <v/>
      </c>
      <c r="K311" s="27">
        <f>IF($P311="","",IF(INDEX(EntryMan,$P311)=0,"",INDEX(EntryMan,$P311)))</f>
        <v/>
      </c>
      <c r="L311" s="26">
        <f>IF($B311="","",IF($K311="","—",IF(ROUND($K311-$J311,0)=0,"√","×")))</f>
        <v/>
      </c>
      <c r="M311" s="26">
        <f>IF($B311="","",IF(COUNTIFS(EntryDates,$B311,CalcTime,$C311,CalcBank,$C$5,EntryParty,$D311,EntryDep,$H311,EntryWit,$I311)&gt;1,"تکرار",""))</f>
        <v/>
      </c>
      <c r="N311" s="26">
        <f>IF($P311="","",IF(INDEX(EntryNotes,$P311)=0,"",INDEX(EntryNotes,$P311)))</f>
        <v/>
      </c>
      <c r="O311" s="26">
        <f>IF($P311="","",IF(INDEX(EntryTxnID,$P311)=0,"",INDEX(EntryTxnID,$P311)))</f>
        <v/>
      </c>
      <c r="P311" s="26">
        <f>IFERROR(MATCH($C$5&amp;"|"&amp;RIGHT("000000"&amp;295,6),CalcRankKey,0),"")</f>
        <v/>
      </c>
    </row>
    <row r="312">
      <c r="A312" s="28">
        <f>IF($B312="","",296)</f>
        <v/>
      </c>
      <c r="B312" s="28">
        <f>IF($P312="","",IF(INDEX(CalcNormDate,$P312)=0,"",INDEX(CalcNormDate,$P312)))</f>
        <v/>
      </c>
      <c r="C312" s="28">
        <f>IF($P312="","",IF(INDEX(CalcTime,$P312)=0,"",INDEX(CalcTime,$P312)))</f>
        <v/>
      </c>
      <c r="D312" s="28">
        <f>IF($P312="","",IF(INDEX(EntryParty,$P312)=0,"",INDEX(EntryParty,$P312)))</f>
        <v/>
      </c>
      <c r="E312" s="28">
        <f>IF($P312="","",IF(INDEX(EntryPartyName,$P312)=0,"",INDEX(EntryPartyName,$P312)))</f>
        <v/>
      </c>
      <c r="F312" s="28">
        <f>IF($P312="","",IF(INDEX(EntryPartyType,$P312)=0,"",INDEX(EntryPartyType,$P312)))</f>
        <v/>
      </c>
      <c r="G312" s="28">
        <f>IF($P312="","",IF(INDEX(EntryTxnType,$P312)=0,"",INDEX(EntryTxnType,$P312)))</f>
        <v/>
      </c>
      <c r="H312" s="29">
        <f>IF($P312="","",IF(INDEX(EntryDep,$P312)=0,"",INDEX(EntryDep,$P312)))</f>
        <v/>
      </c>
      <c r="I312" s="29">
        <f>IF($P312="","",IF(INDEX(EntryWit,$P312)=0,"",INDEX(EntryWit,$P312)))</f>
        <v/>
      </c>
      <c r="J312" s="29">
        <f>IF($B312="","",IF($A312=1,$C$7,IF(J311="",0,J311))+IF($H312="",0,$H312)-IF($I312="",0,$I312))</f>
        <v/>
      </c>
      <c r="K312" s="29">
        <f>IF($P312="","",IF(INDEX(EntryMan,$P312)=0,"",INDEX(EntryMan,$P312)))</f>
        <v/>
      </c>
      <c r="L312" s="28">
        <f>IF($B312="","",IF($K312="","—",IF(ROUND($K312-$J312,0)=0,"√","×")))</f>
        <v/>
      </c>
      <c r="M312" s="28">
        <f>IF($B312="","",IF(COUNTIFS(EntryDates,$B312,CalcTime,$C312,CalcBank,$C$5,EntryParty,$D312,EntryDep,$H312,EntryWit,$I312)&gt;1,"تکرار",""))</f>
        <v/>
      </c>
      <c r="N312" s="28">
        <f>IF($P312="","",IF(INDEX(EntryNotes,$P312)=0,"",INDEX(EntryNotes,$P312)))</f>
        <v/>
      </c>
      <c r="O312" s="28">
        <f>IF($P312="","",IF(INDEX(EntryTxnID,$P312)=0,"",INDEX(EntryTxnID,$P312)))</f>
        <v/>
      </c>
      <c r="P312" s="28">
        <f>IFERROR(MATCH($C$5&amp;"|"&amp;RIGHT("000000"&amp;296,6),CalcRankKey,0),"")</f>
        <v/>
      </c>
    </row>
    <row r="313">
      <c r="A313" s="26">
        <f>IF($B313="","",297)</f>
        <v/>
      </c>
      <c r="B313" s="26">
        <f>IF($P313="","",IF(INDEX(CalcNormDate,$P313)=0,"",INDEX(CalcNormDate,$P313)))</f>
        <v/>
      </c>
      <c r="C313" s="26">
        <f>IF($P313="","",IF(INDEX(CalcTime,$P313)=0,"",INDEX(CalcTime,$P313)))</f>
        <v/>
      </c>
      <c r="D313" s="26">
        <f>IF($P313="","",IF(INDEX(EntryParty,$P313)=0,"",INDEX(EntryParty,$P313)))</f>
        <v/>
      </c>
      <c r="E313" s="26">
        <f>IF($P313="","",IF(INDEX(EntryPartyName,$P313)=0,"",INDEX(EntryPartyName,$P313)))</f>
        <v/>
      </c>
      <c r="F313" s="26">
        <f>IF($P313="","",IF(INDEX(EntryPartyType,$P313)=0,"",INDEX(EntryPartyType,$P313)))</f>
        <v/>
      </c>
      <c r="G313" s="26">
        <f>IF($P313="","",IF(INDEX(EntryTxnType,$P313)=0,"",INDEX(EntryTxnType,$P313)))</f>
        <v/>
      </c>
      <c r="H313" s="27">
        <f>IF($P313="","",IF(INDEX(EntryDep,$P313)=0,"",INDEX(EntryDep,$P313)))</f>
        <v/>
      </c>
      <c r="I313" s="27">
        <f>IF($P313="","",IF(INDEX(EntryWit,$P313)=0,"",INDEX(EntryWit,$P313)))</f>
        <v/>
      </c>
      <c r="J313" s="27">
        <f>IF($B313="","",IF($A313=1,$C$7,IF(J312="",0,J312))+IF($H313="",0,$H313)-IF($I313="",0,$I313))</f>
        <v/>
      </c>
      <c r="K313" s="27">
        <f>IF($P313="","",IF(INDEX(EntryMan,$P313)=0,"",INDEX(EntryMan,$P313)))</f>
        <v/>
      </c>
      <c r="L313" s="26">
        <f>IF($B313="","",IF($K313="","—",IF(ROUND($K313-$J313,0)=0,"√","×")))</f>
        <v/>
      </c>
      <c r="M313" s="26">
        <f>IF($B313="","",IF(COUNTIFS(EntryDates,$B313,CalcTime,$C313,CalcBank,$C$5,EntryParty,$D313,EntryDep,$H313,EntryWit,$I313)&gt;1,"تکرار",""))</f>
        <v/>
      </c>
      <c r="N313" s="26">
        <f>IF($P313="","",IF(INDEX(EntryNotes,$P313)=0,"",INDEX(EntryNotes,$P313)))</f>
        <v/>
      </c>
      <c r="O313" s="26">
        <f>IF($P313="","",IF(INDEX(EntryTxnID,$P313)=0,"",INDEX(EntryTxnID,$P313)))</f>
        <v/>
      </c>
      <c r="P313" s="26">
        <f>IFERROR(MATCH($C$5&amp;"|"&amp;RIGHT("000000"&amp;297,6),CalcRankKey,0),"")</f>
        <v/>
      </c>
    </row>
    <row r="314">
      <c r="A314" s="28">
        <f>IF($B314="","",298)</f>
        <v/>
      </c>
      <c r="B314" s="28">
        <f>IF($P314="","",IF(INDEX(CalcNormDate,$P314)=0,"",INDEX(CalcNormDate,$P314)))</f>
        <v/>
      </c>
      <c r="C314" s="28">
        <f>IF($P314="","",IF(INDEX(CalcTime,$P314)=0,"",INDEX(CalcTime,$P314)))</f>
        <v/>
      </c>
      <c r="D314" s="28">
        <f>IF($P314="","",IF(INDEX(EntryParty,$P314)=0,"",INDEX(EntryParty,$P314)))</f>
        <v/>
      </c>
      <c r="E314" s="28">
        <f>IF($P314="","",IF(INDEX(EntryPartyName,$P314)=0,"",INDEX(EntryPartyName,$P314)))</f>
        <v/>
      </c>
      <c r="F314" s="28">
        <f>IF($P314="","",IF(INDEX(EntryPartyType,$P314)=0,"",INDEX(EntryPartyType,$P314)))</f>
        <v/>
      </c>
      <c r="G314" s="28">
        <f>IF($P314="","",IF(INDEX(EntryTxnType,$P314)=0,"",INDEX(EntryTxnType,$P314)))</f>
        <v/>
      </c>
      <c r="H314" s="29">
        <f>IF($P314="","",IF(INDEX(EntryDep,$P314)=0,"",INDEX(EntryDep,$P314)))</f>
        <v/>
      </c>
      <c r="I314" s="29">
        <f>IF($P314="","",IF(INDEX(EntryWit,$P314)=0,"",INDEX(EntryWit,$P314)))</f>
        <v/>
      </c>
      <c r="J314" s="29">
        <f>IF($B314="","",IF($A314=1,$C$7,IF(J313="",0,J313))+IF($H314="",0,$H314)-IF($I314="",0,$I314))</f>
        <v/>
      </c>
      <c r="K314" s="29">
        <f>IF($P314="","",IF(INDEX(EntryMan,$P314)=0,"",INDEX(EntryMan,$P314)))</f>
        <v/>
      </c>
      <c r="L314" s="28">
        <f>IF($B314="","",IF($K314="","—",IF(ROUND($K314-$J314,0)=0,"√","×")))</f>
        <v/>
      </c>
      <c r="M314" s="28">
        <f>IF($B314="","",IF(COUNTIFS(EntryDates,$B314,CalcTime,$C314,CalcBank,$C$5,EntryParty,$D314,EntryDep,$H314,EntryWit,$I314)&gt;1,"تکرار",""))</f>
        <v/>
      </c>
      <c r="N314" s="28">
        <f>IF($P314="","",IF(INDEX(EntryNotes,$P314)=0,"",INDEX(EntryNotes,$P314)))</f>
        <v/>
      </c>
      <c r="O314" s="28">
        <f>IF($P314="","",IF(INDEX(EntryTxnID,$P314)=0,"",INDEX(EntryTxnID,$P314)))</f>
        <v/>
      </c>
      <c r="P314" s="28">
        <f>IFERROR(MATCH($C$5&amp;"|"&amp;RIGHT("000000"&amp;298,6),CalcRankKey,0),"")</f>
        <v/>
      </c>
    </row>
    <row r="315">
      <c r="A315" s="26">
        <f>IF($B315="","",299)</f>
        <v/>
      </c>
      <c r="B315" s="26">
        <f>IF($P315="","",IF(INDEX(CalcNormDate,$P315)=0,"",INDEX(CalcNormDate,$P315)))</f>
        <v/>
      </c>
      <c r="C315" s="26">
        <f>IF($P315="","",IF(INDEX(CalcTime,$P315)=0,"",INDEX(CalcTime,$P315)))</f>
        <v/>
      </c>
      <c r="D315" s="26">
        <f>IF($P315="","",IF(INDEX(EntryParty,$P315)=0,"",INDEX(EntryParty,$P315)))</f>
        <v/>
      </c>
      <c r="E315" s="26">
        <f>IF($P315="","",IF(INDEX(EntryPartyName,$P315)=0,"",INDEX(EntryPartyName,$P315)))</f>
        <v/>
      </c>
      <c r="F315" s="26">
        <f>IF($P315="","",IF(INDEX(EntryPartyType,$P315)=0,"",INDEX(EntryPartyType,$P315)))</f>
        <v/>
      </c>
      <c r="G315" s="26">
        <f>IF($P315="","",IF(INDEX(EntryTxnType,$P315)=0,"",INDEX(EntryTxnType,$P315)))</f>
        <v/>
      </c>
      <c r="H315" s="27">
        <f>IF($P315="","",IF(INDEX(EntryDep,$P315)=0,"",INDEX(EntryDep,$P315)))</f>
        <v/>
      </c>
      <c r="I315" s="27">
        <f>IF($P315="","",IF(INDEX(EntryWit,$P315)=0,"",INDEX(EntryWit,$P315)))</f>
        <v/>
      </c>
      <c r="J315" s="27">
        <f>IF($B315="","",IF($A315=1,$C$7,IF(J314="",0,J314))+IF($H315="",0,$H315)-IF($I315="",0,$I315))</f>
        <v/>
      </c>
      <c r="K315" s="27">
        <f>IF($P315="","",IF(INDEX(EntryMan,$P315)=0,"",INDEX(EntryMan,$P315)))</f>
        <v/>
      </c>
      <c r="L315" s="26">
        <f>IF($B315="","",IF($K315="","—",IF(ROUND($K315-$J315,0)=0,"√","×")))</f>
        <v/>
      </c>
      <c r="M315" s="26">
        <f>IF($B315="","",IF(COUNTIFS(EntryDates,$B315,CalcTime,$C315,CalcBank,$C$5,EntryParty,$D315,EntryDep,$H315,EntryWit,$I315)&gt;1,"تکرار",""))</f>
        <v/>
      </c>
      <c r="N315" s="26">
        <f>IF($P315="","",IF(INDEX(EntryNotes,$P315)=0,"",INDEX(EntryNotes,$P315)))</f>
        <v/>
      </c>
      <c r="O315" s="26">
        <f>IF($P315="","",IF(INDEX(EntryTxnID,$P315)=0,"",INDEX(EntryTxnID,$P315)))</f>
        <v/>
      </c>
      <c r="P315" s="26">
        <f>IFERROR(MATCH($C$5&amp;"|"&amp;RIGHT("000000"&amp;299,6),CalcRankKey,0),"")</f>
        <v/>
      </c>
    </row>
    <row r="316">
      <c r="A316" s="28">
        <f>IF($B316="","",300)</f>
        <v/>
      </c>
      <c r="B316" s="28">
        <f>IF($P316="","",IF(INDEX(CalcNormDate,$P316)=0,"",INDEX(CalcNormDate,$P316)))</f>
        <v/>
      </c>
      <c r="C316" s="28">
        <f>IF($P316="","",IF(INDEX(CalcTime,$P316)=0,"",INDEX(CalcTime,$P316)))</f>
        <v/>
      </c>
      <c r="D316" s="28">
        <f>IF($P316="","",IF(INDEX(EntryParty,$P316)=0,"",INDEX(EntryParty,$P316)))</f>
        <v/>
      </c>
      <c r="E316" s="28">
        <f>IF($P316="","",IF(INDEX(EntryPartyName,$P316)=0,"",INDEX(EntryPartyName,$P316)))</f>
        <v/>
      </c>
      <c r="F316" s="28">
        <f>IF($P316="","",IF(INDEX(EntryPartyType,$P316)=0,"",INDEX(EntryPartyType,$P316)))</f>
        <v/>
      </c>
      <c r="G316" s="28">
        <f>IF($P316="","",IF(INDEX(EntryTxnType,$P316)=0,"",INDEX(EntryTxnType,$P316)))</f>
        <v/>
      </c>
      <c r="H316" s="29">
        <f>IF($P316="","",IF(INDEX(EntryDep,$P316)=0,"",INDEX(EntryDep,$P316)))</f>
        <v/>
      </c>
      <c r="I316" s="29">
        <f>IF($P316="","",IF(INDEX(EntryWit,$P316)=0,"",INDEX(EntryWit,$P316)))</f>
        <v/>
      </c>
      <c r="J316" s="29">
        <f>IF($B316="","",IF($A316=1,$C$7,IF(J315="",0,J315))+IF($H316="",0,$H316)-IF($I316="",0,$I316))</f>
        <v/>
      </c>
      <c r="K316" s="29">
        <f>IF($P316="","",IF(INDEX(EntryMan,$P316)=0,"",INDEX(EntryMan,$P316)))</f>
        <v/>
      </c>
      <c r="L316" s="28">
        <f>IF($B316="","",IF($K316="","—",IF(ROUND($K316-$J316,0)=0,"√","×")))</f>
        <v/>
      </c>
      <c r="M316" s="28">
        <f>IF($B316="","",IF(COUNTIFS(EntryDates,$B316,CalcTime,$C316,CalcBank,$C$5,EntryParty,$D316,EntryDep,$H316,EntryWit,$I316)&gt;1,"تکرار",""))</f>
        <v/>
      </c>
      <c r="N316" s="28">
        <f>IF($P316="","",IF(INDEX(EntryNotes,$P316)=0,"",INDEX(EntryNotes,$P316)))</f>
        <v/>
      </c>
      <c r="O316" s="28">
        <f>IF($P316="","",IF(INDEX(EntryTxnID,$P316)=0,"",INDEX(EntryTxnID,$P316)))</f>
        <v/>
      </c>
      <c r="P316" s="28">
        <f>IFERROR(MATCH($C$5&amp;"|"&amp;RIGHT("000000"&amp;300,6),CalcRankKey,0),"")</f>
        <v/>
      </c>
    </row>
    <row r="317">
      <c r="A317" s="26">
        <f>IF($B317="","",301)</f>
        <v/>
      </c>
      <c r="B317" s="26">
        <f>IF($P317="","",IF(INDEX(CalcNormDate,$P317)=0,"",INDEX(CalcNormDate,$P317)))</f>
        <v/>
      </c>
      <c r="C317" s="26">
        <f>IF($P317="","",IF(INDEX(CalcTime,$P317)=0,"",INDEX(CalcTime,$P317)))</f>
        <v/>
      </c>
      <c r="D317" s="26">
        <f>IF($P317="","",IF(INDEX(EntryParty,$P317)=0,"",INDEX(EntryParty,$P317)))</f>
        <v/>
      </c>
      <c r="E317" s="26">
        <f>IF($P317="","",IF(INDEX(EntryPartyName,$P317)=0,"",INDEX(EntryPartyName,$P317)))</f>
        <v/>
      </c>
      <c r="F317" s="26">
        <f>IF($P317="","",IF(INDEX(EntryPartyType,$P317)=0,"",INDEX(EntryPartyType,$P317)))</f>
        <v/>
      </c>
      <c r="G317" s="26">
        <f>IF($P317="","",IF(INDEX(EntryTxnType,$P317)=0,"",INDEX(EntryTxnType,$P317)))</f>
        <v/>
      </c>
      <c r="H317" s="27">
        <f>IF($P317="","",IF(INDEX(EntryDep,$P317)=0,"",INDEX(EntryDep,$P317)))</f>
        <v/>
      </c>
      <c r="I317" s="27">
        <f>IF($P317="","",IF(INDEX(EntryWit,$P317)=0,"",INDEX(EntryWit,$P317)))</f>
        <v/>
      </c>
      <c r="J317" s="27">
        <f>IF($B317="","",IF($A317=1,$C$7,IF(J316="",0,J316))+IF($H317="",0,$H317)-IF($I317="",0,$I317))</f>
        <v/>
      </c>
      <c r="K317" s="27">
        <f>IF($P317="","",IF(INDEX(EntryMan,$P317)=0,"",INDEX(EntryMan,$P317)))</f>
        <v/>
      </c>
      <c r="L317" s="26">
        <f>IF($B317="","",IF($K317="","—",IF(ROUND($K317-$J317,0)=0,"√","×")))</f>
        <v/>
      </c>
      <c r="M317" s="26">
        <f>IF($B317="","",IF(COUNTIFS(EntryDates,$B317,CalcTime,$C317,CalcBank,$C$5,EntryParty,$D317,EntryDep,$H317,EntryWit,$I317)&gt;1,"تکرار",""))</f>
        <v/>
      </c>
      <c r="N317" s="26">
        <f>IF($P317="","",IF(INDEX(EntryNotes,$P317)=0,"",INDEX(EntryNotes,$P317)))</f>
        <v/>
      </c>
      <c r="O317" s="26">
        <f>IF($P317="","",IF(INDEX(EntryTxnID,$P317)=0,"",INDEX(EntryTxnID,$P317)))</f>
        <v/>
      </c>
      <c r="P317" s="26">
        <f>IFERROR(MATCH($C$5&amp;"|"&amp;RIGHT("000000"&amp;301,6),CalcRankKey,0),"")</f>
        <v/>
      </c>
    </row>
    <row r="318">
      <c r="A318" s="28">
        <f>IF($B318="","",302)</f>
        <v/>
      </c>
      <c r="B318" s="28">
        <f>IF($P318="","",IF(INDEX(CalcNormDate,$P318)=0,"",INDEX(CalcNormDate,$P318)))</f>
        <v/>
      </c>
      <c r="C318" s="28">
        <f>IF($P318="","",IF(INDEX(CalcTime,$P318)=0,"",INDEX(CalcTime,$P318)))</f>
        <v/>
      </c>
      <c r="D318" s="28">
        <f>IF($P318="","",IF(INDEX(EntryParty,$P318)=0,"",INDEX(EntryParty,$P318)))</f>
        <v/>
      </c>
      <c r="E318" s="28">
        <f>IF($P318="","",IF(INDEX(EntryPartyName,$P318)=0,"",INDEX(EntryPartyName,$P318)))</f>
        <v/>
      </c>
      <c r="F318" s="28">
        <f>IF($P318="","",IF(INDEX(EntryPartyType,$P318)=0,"",INDEX(EntryPartyType,$P318)))</f>
        <v/>
      </c>
      <c r="G318" s="28">
        <f>IF($P318="","",IF(INDEX(EntryTxnType,$P318)=0,"",INDEX(EntryTxnType,$P318)))</f>
        <v/>
      </c>
      <c r="H318" s="29">
        <f>IF($P318="","",IF(INDEX(EntryDep,$P318)=0,"",INDEX(EntryDep,$P318)))</f>
        <v/>
      </c>
      <c r="I318" s="29">
        <f>IF($P318="","",IF(INDEX(EntryWit,$P318)=0,"",INDEX(EntryWit,$P318)))</f>
        <v/>
      </c>
      <c r="J318" s="29">
        <f>IF($B318="","",IF($A318=1,$C$7,IF(J317="",0,J317))+IF($H318="",0,$H318)-IF($I318="",0,$I318))</f>
        <v/>
      </c>
      <c r="K318" s="29">
        <f>IF($P318="","",IF(INDEX(EntryMan,$P318)=0,"",INDEX(EntryMan,$P318)))</f>
        <v/>
      </c>
      <c r="L318" s="28">
        <f>IF($B318="","",IF($K318="","—",IF(ROUND($K318-$J318,0)=0,"√","×")))</f>
        <v/>
      </c>
      <c r="M318" s="28">
        <f>IF($B318="","",IF(COUNTIFS(EntryDates,$B318,CalcTime,$C318,CalcBank,$C$5,EntryParty,$D318,EntryDep,$H318,EntryWit,$I318)&gt;1,"تکرار",""))</f>
        <v/>
      </c>
      <c r="N318" s="28">
        <f>IF($P318="","",IF(INDEX(EntryNotes,$P318)=0,"",INDEX(EntryNotes,$P318)))</f>
        <v/>
      </c>
      <c r="O318" s="28">
        <f>IF($P318="","",IF(INDEX(EntryTxnID,$P318)=0,"",INDEX(EntryTxnID,$P318)))</f>
        <v/>
      </c>
      <c r="P318" s="28">
        <f>IFERROR(MATCH($C$5&amp;"|"&amp;RIGHT("000000"&amp;302,6),CalcRankKey,0),"")</f>
        <v/>
      </c>
    </row>
    <row r="319">
      <c r="A319" s="26">
        <f>IF($B319="","",303)</f>
        <v/>
      </c>
      <c r="B319" s="26">
        <f>IF($P319="","",IF(INDEX(CalcNormDate,$P319)=0,"",INDEX(CalcNormDate,$P319)))</f>
        <v/>
      </c>
      <c r="C319" s="26">
        <f>IF($P319="","",IF(INDEX(CalcTime,$P319)=0,"",INDEX(CalcTime,$P319)))</f>
        <v/>
      </c>
      <c r="D319" s="26">
        <f>IF($P319="","",IF(INDEX(EntryParty,$P319)=0,"",INDEX(EntryParty,$P319)))</f>
        <v/>
      </c>
      <c r="E319" s="26">
        <f>IF($P319="","",IF(INDEX(EntryPartyName,$P319)=0,"",INDEX(EntryPartyName,$P319)))</f>
        <v/>
      </c>
      <c r="F319" s="26">
        <f>IF($P319="","",IF(INDEX(EntryPartyType,$P319)=0,"",INDEX(EntryPartyType,$P319)))</f>
        <v/>
      </c>
      <c r="G319" s="26">
        <f>IF($P319="","",IF(INDEX(EntryTxnType,$P319)=0,"",INDEX(EntryTxnType,$P319)))</f>
        <v/>
      </c>
      <c r="H319" s="27">
        <f>IF($P319="","",IF(INDEX(EntryDep,$P319)=0,"",INDEX(EntryDep,$P319)))</f>
        <v/>
      </c>
      <c r="I319" s="27">
        <f>IF($P319="","",IF(INDEX(EntryWit,$P319)=0,"",INDEX(EntryWit,$P319)))</f>
        <v/>
      </c>
      <c r="J319" s="27">
        <f>IF($B319="","",IF($A319=1,$C$7,IF(J318="",0,J318))+IF($H319="",0,$H319)-IF($I319="",0,$I319))</f>
        <v/>
      </c>
      <c r="K319" s="27">
        <f>IF($P319="","",IF(INDEX(EntryMan,$P319)=0,"",INDEX(EntryMan,$P319)))</f>
        <v/>
      </c>
      <c r="L319" s="26">
        <f>IF($B319="","",IF($K319="","—",IF(ROUND($K319-$J319,0)=0,"√","×")))</f>
        <v/>
      </c>
      <c r="M319" s="26">
        <f>IF($B319="","",IF(COUNTIFS(EntryDates,$B319,CalcTime,$C319,CalcBank,$C$5,EntryParty,$D319,EntryDep,$H319,EntryWit,$I319)&gt;1,"تکرار",""))</f>
        <v/>
      </c>
      <c r="N319" s="26">
        <f>IF($P319="","",IF(INDEX(EntryNotes,$P319)=0,"",INDEX(EntryNotes,$P319)))</f>
        <v/>
      </c>
      <c r="O319" s="26">
        <f>IF($P319="","",IF(INDEX(EntryTxnID,$P319)=0,"",INDEX(EntryTxnID,$P319)))</f>
        <v/>
      </c>
      <c r="P319" s="26">
        <f>IFERROR(MATCH($C$5&amp;"|"&amp;RIGHT("000000"&amp;303,6),CalcRankKey,0),"")</f>
        <v/>
      </c>
    </row>
    <row r="320">
      <c r="A320" s="28">
        <f>IF($B320="","",304)</f>
        <v/>
      </c>
      <c r="B320" s="28">
        <f>IF($P320="","",IF(INDEX(CalcNormDate,$P320)=0,"",INDEX(CalcNormDate,$P320)))</f>
        <v/>
      </c>
      <c r="C320" s="28">
        <f>IF($P320="","",IF(INDEX(CalcTime,$P320)=0,"",INDEX(CalcTime,$P320)))</f>
        <v/>
      </c>
      <c r="D320" s="28">
        <f>IF($P320="","",IF(INDEX(EntryParty,$P320)=0,"",INDEX(EntryParty,$P320)))</f>
        <v/>
      </c>
      <c r="E320" s="28">
        <f>IF($P320="","",IF(INDEX(EntryPartyName,$P320)=0,"",INDEX(EntryPartyName,$P320)))</f>
        <v/>
      </c>
      <c r="F320" s="28">
        <f>IF($P320="","",IF(INDEX(EntryPartyType,$P320)=0,"",INDEX(EntryPartyType,$P320)))</f>
        <v/>
      </c>
      <c r="G320" s="28">
        <f>IF($P320="","",IF(INDEX(EntryTxnType,$P320)=0,"",INDEX(EntryTxnType,$P320)))</f>
        <v/>
      </c>
      <c r="H320" s="29">
        <f>IF($P320="","",IF(INDEX(EntryDep,$P320)=0,"",INDEX(EntryDep,$P320)))</f>
        <v/>
      </c>
      <c r="I320" s="29">
        <f>IF($P320="","",IF(INDEX(EntryWit,$P320)=0,"",INDEX(EntryWit,$P320)))</f>
        <v/>
      </c>
      <c r="J320" s="29">
        <f>IF($B320="","",IF($A320=1,$C$7,IF(J319="",0,J319))+IF($H320="",0,$H320)-IF($I320="",0,$I320))</f>
        <v/>
      </c>
      <c r="K320" s="29">
        <f>IF($P320="","",IF(INDEX(EntryMan,$P320)=0,"",INDEX(EntryMan,$P320)))</f>
        <v/>
      </c>
      <c r="L320" s="28">
        <f>IF($B320="","",IF($K320="","—",IF(ROUND($K320-$J320,0)=0,"√","×")))</f>
        <v/>
      </c>
      <c r="M320" s="28">
        <f>IF($B320="","",IF(COUNTIFS(EntryDates,$B320,CalcTime,$C320,CalcBank,$C$5,EntryParty,$D320,EntryDep,$H320,EntryWit,$I320)&gt;1,"تکرار",""))</f>
        <v/>
      </c>
      <c r="N320" s="28">
        <f>IF($P320="","",IF(INDEX(EntryNotes,$P320)=0,"",INDEX(EntryNotes,$P320)))</f>
        <v/>
      </c>
      <c r="O320" s="28">
        <f>IF($P320="","",IF(INDEX(EntryTxnID,$P320)=0,"",INDEX(EntryTxnID,$P320)))</f>
        <v/>
      </c>
      <c r="P320" s="28">
        <f>IFERROR(MATCH($C$5&amp;"|"&amp;RIGHT("000000"&amp;304,6),CalcRankKey,0),"")</f>
        <v/>
      </c>
    </row>
    <row r="321">
      <c r="A321" s="26">
        <f>IF($B321="","",305)</f>
        <v/>
      </c>
      <c r="B321" s="26">
        <f>IF($P321="","",IF(INDEX(CalcNormDate,$P321)=0,"",INDEX(CalcNormDate,$P321)))</f>
        <v/>
      </c>
      <c r="C321" s="26">
        <f>IF($P321="","",IF(INDEX(CalcTime,$P321)=0,"",INDEX(CalcTime,$P321)))</f>
        <v/>
      </c>
      <c r="D321" s="26">
        <f>IF($P321="","",IF(INDEX(EntryParty,$P321)=0,"",INDEX(EntryParty,$P321)))</f>
        <v/>
      </c>
      <c r="E321" s="26">
        <f>IF($P321="","",IF(INDEX(EntryPartyName,$P321)=0,"",INDEX(EntryPartyName,$P321)))</f>
        <v/>
      </c>
      <c r="F321" s="26">
        <f>IF($P321="","",IF(INDEX(EntryPartyType,$P321)=0,"",INDEX(EntryPartyType,$P321)))</f>
        <v/>
      </c>
      <c r="G321" s="26">
        <f>IF($P321="","",IF(INDEX(EntryTxnType,$P321)=0,"",INDEX(EntryTxnType,$P321)))</f>
        <v/>
      </c>
      <c r="H321" s="27">
        <f>IF($P321="","",IF(INDEX(EntryDep,$P321)=0,"",INDEX(EntryDep,$P321)))</f>
        <v/>
      </c>
      <c r="I321" s="27">
        <f>IF($P321="","",IF(INDEX(EntryWit,$P321)=0,"",INDEX(EntryWit,$P321)))</f>
        <v/>
      </c>
      <c r="J321" s="27">
        <f>IF($B321="","",IF($A321=1,$C$7,IF(J320="",0,J320))+IF($H321="",0,$H321)-IF($I321="",0,$I321))</f>
        <v/>
      </c>
      <c r="K321" s="27">
        <f>IF($P321="","",IF(INDEX(EntryMan,$P321)=0,"",INDEX(EntryMan,$P321)))</f>
        <v/>
      </c>
      <c r="L321" s="26">
        <f>IF($B321="","",IF($K321="","—",IF(ROUND($K321-$J321,0)=0,"√","×")))</f>
        <v/>
      </c>
      <c r="M321" s="26">
        <f>IF($B321="","",IF(COUNTIFS(EntryDates,$B321,CalcTime,$C321,CalcBank,$C$5,EntryParty,$D321,EntryDep,$H321,EntryWit,$I321)&gt;1,"تکرار",""))</f>
        <v/>
      </c>
      <c r="N321" s="26">
        <f>IF($P321="","",IF(INDEX(EntryNotes,$P321)=0,"",INDEX(EntryNotes,$P321)))</f>
        <v/>
      </c>
      <c r="O321" s="26">
        <f>IF($P321="","",IF(INDEX(EntryTxnID,$P321)=0,"",INDEX(EntryTxnID,$P321)))</f>
        <v/>
      </c>
      <c r="P321" s="26">
        <f>IFERROR(MATCH($C$5&amp;"|"&amp;RIGHT("000000"&amp;305,6),CalcRankKey,0),"")</f>
        <v/>
      </c>
    </row>
    <row r="322">
      <c r="A322" s="28">
        <f>IF($B322="","",306)</f>
        <v/>
      </c>
      <c r="B322" s="28">
        <f>IF($P322="","",IF(INDEX(CalcNormDate,$P322)=0,"",INDEX(CalcNormDate,$P322)))</f>
        <v/>
      </c>
      <c r="C322" s="28">
        <f>IF($P322="","",IF(INDEX(CalcTime,$P322)=0,"",INDEX(CalcTime,$P322)))</f>
        <v/>
      </c>
      <c r="D322" s="28">
        <f>IF($P322="","",IF(INDEX(EntryParty,$P322)=0,"",INDEX(EntryParty,$P322)))</f>
        <v/>
      </c>
      <c r="E322" s="28">
        <f>IF($P322="","",IF(INDEX(EntryPartyName,$P322)=0,"",INDEX(EntryPartyName,$P322)))</f>
        <v/>
      </c>
      <c r="F322" s="28">
        <f>IF($P322="","",IF(INDEX(EntryPartyType,$P322)=0,"",INDEX(EntryPartyType,$P322)))</f>
        <v/>
      </c>
      <c r="G322" s="28">
        <f>IF($P322="","",IF(INDEX(EntryTxnType,$P322)=0,"",INDEX(EntryTxnType,$P322)))</f>
        <v/>
      </c>
      <c r="H322" s="29">
        <f>IF($P322="","",IF(INDEX(EntryDep,$P322)=0,"",INDEX(EntryDep,$P322)))</f>
        <v/>
      </c>
      <c r="I322" s="29">
        <f>IF($P322="","",IF(INDEX(EntryWit,$P322)=0,"",INDEX(EntryWit,$P322)))</f>
        <v/>
      </c>
      <c r="J322" s="29">
        <f>IF($B322="","",IF($A322=1,$C$7,IF(J321="",0,J321))+IF($H322="",0,$H322)-IF($I322="",0,$I322))</f>
        <v/>
      </c>
      <c r="K322" s="29">
        <f>IF($P322="","",IF(INDEX(EntryMan,$P322)=0,"",INDEX(EntryMan,$P322)))</f>
        <v/>
      </c>
      <c r="L322" s="28">
        <f>IF($B322="","",IF($K322="","—",IF(ROUND($K322-$J322,0)=0,"√","×")))</f>
        <v/>
      </c>
      <c r="M322" s="28">
        <f>IF($B322="","",IF(COUNTIFS(EntryDates,$B322,CalcTime,$C322,CalcBank,$C$5,EntryParty,$D322,EntryDep,$H322,EntryWit,$I322)&gt;1,"تکرار",""))</f>
        <v/>
      </c>
      <c r="N322" s="28">
        <f>IF($P322="","",IF(INDEX(EntryNotes,$P322)=0,"",INDEX(EntryNotes,$P322)))</f>
        <v/>
      </c>
      <c r="O322" s="28">
        <f>IF($P322="","",IF(INDEX(EntryTxnID,$P322)=0,"",INDEX(EntryTxnID,$P322)))</f>
        <v/>
      </c>
      <c r="P322" s="28">
        <f>IFERROR(MATCH($C$5&amp;"|"&amp;RIGHT("000000"&amp;306,6),CalcRankKey,0),"")</f>
        <v/>
      </c>
    </row>
    <row r="323">
      <c r="A323" s="26">
        <f>IF($B323="","",307)</f>
        <v/>
      </c>
      <c r="B323" s="26">
        <f>IF($P323="","",IF(INDEX(CalcNormDate,$P323)=0,"",INDEX(CalcNormDate,$P323)))</f>
        <v/>
      </c>
      <c r="C323" s="26">
        <f>IF($P323="","",IF(INDEX(CalcTime,$P323)=0,"",INDEX(CalcTime,$P323)))</f>
        <v/>
      </c>
      <c r="D323" s="26">
        <f>IF($P323="","",IF(INDEX(EntryParty,$P323)=0,"",INDEX(EntryParty,$P323)))</f>
        <v/>
      </c>
      <c r="E323" s="26">
        <f>IF($P323="","",IF(INDEX(EntryPartyName,$P323)=0,"",INDEX(EntryPartyName,$P323)))</f>
        <v/>
      </c>
      <c r="F323" s="26">
        <f>IF($P323="","",IF(INDEX(EntryPartyType,$P323)=0,"",INDEX(EntryPartyType,$P323)))</f>
        <v/>
      </c>
      <c r="G323" s="26">
        <f>IF($P323="","",IF(INDEX(EntryTxnType,$P323)=0,"",INDEX(EntryTxnType,$P323)))</f>
        <v/>
      </c>
      <c r="H323" s="27">
        <f>IF($P323="","",IF(INDEX(EntryDep,$P323)=0,"",INDEX(EntryDep,$P323)))</f>
        <v/>
      </c>
      <c r="I323" s="27">
        <f>IF($P323="","",IF(INDEX(EntryWit,$P323)=0,"",INDEX(EntryWit,$P323)))</f>
        <v/>
      </c>
      <c r="J323" s="27">
        <f>IF($B323="","",IF($A323=1,$C$7,IF(J322="",0,J322))+IF($H323="",0,$H323)-IF($I323="",0,$I323))</f>
        <v/>
      </c>
      <c r="K323" s="27">
        <f>IF($P323="","",IF(INDEX(EntryMan,$P323)=0,"",INDEX(EntryMan,$P323)))</f>
        <v/>
      </c>
      <c r="L323" s="26">
        <f>IF($B323="","",IF($K323="","—",IF(ROUND($K323-$J323,0)=0,"√","×")))</f>
        <v/>
      </c>
      <c r="M323" s="26">
        <f>IF($B323="","",IF(COUNTIFS(EntryDates,$B323,CalcTime,$C323,CalcBank,$C$5,EntryParty,$D323,EntryDep,$H323,EntryWit,$I323)&gt;1,"تکرار",""))</f>
        <v/>
      </c>
      <c r="N323" s="26">
        <f>IF($P323="","",IF(INDEX(EntryNotes,$P323)=0,"",INDEX(EntryNotes,$P323)))</f>
        <v/>
      </c>
      <c r="O323" s="26">
        <f>IF($P323="","",IF(INDEX(EntryTxnID,$P323)=0,"",INDEX(EntryTxnID,$P323)))</f>
        <v/>
      </c>
      <c r="P323" s="26">
        <f>IFERROR(MATCH($C$5&amp;"|"&amp;RIGHT("000000"&amp;307,6),CalcRankKey,0),"")</f>
        <v/>
      </c>
    </row>
    <row r="324">
      <c r="A324" s="28">
        <f>IF($B324="","",308)</f>
        <v/>
      </c>
      <c r="B324" s="28">
        <f>IF($P324="","",IF(INDEX(CalcNormDate,$P324)=0,"",INDEX(CalcNormDate,$P324)))</f>
        <v/>
      </c>
      <c r="C324" s="28">
        <f>IF($P324="","",IF(INDEX(CalcTime,$P324)=0,"",INDEX(CalcTime,$P324)))</f>
        <v/>
      </c>
      <c r="D324" s="28">
        <f>IF($P324="","",IF(INDEX(EntryParty,$P324)=0,"",INDEX(EntryParty,$P324)))</f>
        <v/>
      </c>
      <c r="E324" s="28">
        <f>IF($P324="","",IF(INDEX(EntryPartyName,$P324)=0,"",INDEX(EntryPartyName,$P324)))</f>
        <v/>
      </c>
      <c r="F324" s="28">
        <f>IF($P324="","",IF(INDEX(EntryPartyType,$P324)=0,"",INDEX(EntryPartyType,$P324)))</f>
        <v/>
      </c>
      <c r="G324" s="28">
        <f>IF($P324="","",IF(INDEX(EntryTxnType,$P324)=0,"",INDEX(EntryTxnType,$P324)))</f>
        <v/>
      </c>
      <c r="H324" s="29">
        <f>IF($P324="","",IF(INDEX(EntryDep,$P324)=0,"",INDEX(EntryDep,$P324)))</f>
        <v/>
      </c>
      <c r="I324" s="29">
        <f>IF($P324="","",IF(INDEX(EntryWit,$P324)=0,"",INDEX(EntryWit,$P324)))</f>
        <v/>
      </c>
      <c r="J324" s="29">
        <f>IF($B324="","",IF($A324=1,$C$7,IF(J323="",0,J323))+IF($H324="",0,$H324)-IF($I324="",0,$I324))</f>
        <v/>
      </c>
      <c r="K324" s="29">
        <f>IF($P324="","",IF(INDEX(EntryMan,$P324)=0,"",INDEX(EntryMan,$P324)))</f>
        <v/>
      </c>
      <c r="L324" s="28">
        <f>IF($B324="","",IF($K324="","—",IF(ROUND($K324-$J324,0)=0,"√","×")))</f>
        <v/>
      </c>
      <c r="M324" s="28">
        <f>IF($B324="","",IF(COUNTIFS(EntryDates,$B324,CalcTime,$C324,CalcBank,$C$5,EntryParty,$D324,EntryDep,$H324,EntryWit,$I324)&gt;1,"تکرار",""))</f>
        <v/>
      </c>
      <c r="N324" s="28">
        <f>IF($P324="","",IF(INDEX(EntryNotes,$P324)=0,"",INDEX(EntryNotes,$P324)))</f>
        <v/>
      </c>
      <c r="O324" s="28">
        <f>IF($P324="","",IF(INDEX(EntryTxnID,$P324)=0,"",INDEX(EntryTxnID,$P324)))</f>
        <v/>
      </c>
      <c r="P324" s="28">
        <f>IFERROR(MATCH($C$5&amp;"|"&amp;RIGHT("000000"&amp;308,6),CalcRankKey,0),"")</f>
        <v/>
      </c>
    </row>
    <row r="325">
      <c r="A325" s="26">
        <f>IF($B325="","",309)</f>
        <v/>
      </c>
      <c r="B325" s="26">
        <f>IF($P325="","",IF(INDEX(CalcNormDate,$P325)=0,"",INDEX(CalcNormDate,$P325)))</f>
        <v/>
      </c>
      <c r="C325" s="26">
        <f>IF($P325="","",IF(INDEX(CalcTime,$P325)=0,"",INDEX(CalcTime,$P325)))</f>
        <v/>
      </c>
      <c r="D325" s="26">
        <f>IF($P325="","",IF(INDEX(EntryParty,$P325)=0,"",INDEX(EntryParty,$P325)))</f>
        <v/>
      </c>
      <c r="E325" s="26">
        <f>IF($P325="","",IF(INDEX(EntryPartyName,$P325)=0,"",INDEX(EntryPartyName,$P325)))</f>
        <v/>
      </c>
      <c r="F325" s="26">
        <f>IF($P325="","",IF(INDEX(EntryPartyType,$P325)=0,"",INDEX(EntryPartyType,$P325)))</f>
        <v/>
      </c>
      <c r="G325" s="26">
        <f>IF($P325="","",IF(INDEX(EntryTxnType,$P325)=0,"",INDEX(EntryTxnType,$P325)))</f>
        <v/>
      </c>
      <c r="H325" s="27">
        <f>IF($P325="","",IF(INDEX(EntryDep,$P325)=0,"",INDEX(EntryDep,$P325)))</f>
        <v/>
      </c>
      <c r="I325" s="27">
        <f>IF($P325="","",IF(INDEX(EntryWit,$P325)=0,"",INDEX(EntryWit,$P325)))</f>
        <v/>
      </c>
      <c r="J325" s="27">
        <f>IF($B325="","",IF($A325=1,$C$7,IF(J324="",0,J324))+IF($H325="",0,$H325)-IF($I325="",0,$I325))</f>
        <v/>
      </c>
      <c r="K325" s="27">
        <f>IF($P325="","",IF(INDEX(EntryMan,$P325)=0,"",INDEX(EntryMan,$P325)))</f>
        <v/>
      </c>
      <c r="L325" s="26">
        <f>IF($B325="","",IF($K325="","—",IF(ROUND($K325-$J325,0)=0,"√","×")))</f>
        <v/>
      </c>
      <c r="M325" s="26">
        <f>IF($B325="","",IF(COUNTIFS(EntryDates,$B325,CalcTime,$C325,CalcBank,$C$5,EntryParty,$D325,EntryDep,$H325,EntryWit,$I325)&gt;1,"تکرار",""))</f>
        <v/>
      </c>
      <c r="N325" s="26">
        <f>IF($P325="","",IF(INDEX(EntryNotes,$P325)=0,"",INDEX(EntryNotes,$P325)))</f>
        <v/>
      </c>
      <c r="O325" s="26">
        <f>IF($P325="","",IF(INDEX(EntryTxnID,$P325)=0,"",INDEX(EntryTxnID,$P325)))</f>
        <v/>
      </c>
      <c r="P325" s="26">
        <f>IFERROR(MATCH($C$5&amp;"|"&amp;RIGHT("000000"&amp;309,6),CalcRankKey,0),"")</f>
        <v/>
      </c>
    </row>
    <row r="326">
      <c r="A326" s="28">
        <f>IF($B326="","",310)</f>
        <v/>
      </c>
      <c r="B326" s="28">
        <f>IF($P326="","",IF(INDEX(CalcNormDate,$P326)=0,"",INDEX(CalcNormDate,$P326)))</f>
        <v/>
      </c>
      <c r="C326" s="28">
        <f>IF($P326="","",IF(INDEX(CalcTime,$P326)=0,"",INDEX(CalcTime,$P326)))</f>
        <v/>
      </c>
      <c r="D326" s="28">
        <f>IF($P326="","",IF(INDEX(EntryParty,$P326)=0,"",INDEX(EntryParty,$P326)))</f>
        <v/>
      </c>
      <c r="E326" s="28">
        <f>IF($P326="","",IF(INDEX(EntryPartyName,$P326)=0,"",INDEX(EntryPartyName,$P326)))</f>
        <v/>
      </c>
      <c r="F326" s="28">
        <f>IF($P326="","",IF(INDEX(EntryPartyType,$P326)=0,"",INDEX(EntryPartyType,$P326)))</f>
        <v/>
      </c>
      <c r="G326" s="28">
        <f>IF($P326="","",IF(INDEX(EntryTxnType,$P326)=0,"",INDEX(EntryTxnType,$P326)))</f>
        <v/>
      </c>
      <c r="H326" s="29">
        <f>IF($P326="","",IF(INDEX(EntryDep,$P326)=0,"",INDEX(EntryDep,$P326)))</f>
        <v/>
      </c>
      <c r="I326" s="29">
        <f>IF($P326="","",IF(INDEX(EntryWit,$P326)=0,"",INDEX(EntryWit,$P326)))</f>
        <v/>
      </c>
      <c r="J326" s="29">
        <f>IF($B326="","",IF($A326=1,$C$7,IF(J325="",0,J325))+IF($H326="",0,$H326)-IF($I326="",0,$I326))</f>
        <v/>
      </c>
      <c r="K326" s="29">
        <f>IF($P326="","",IF(INDEX(EntryMan,$P326)=0,"",INDEX(EntryMan,$P326)))</f>
        <v/>
      </c>
      <c r="L326" s="28">
        <f>IF($B326="","",IF($K326="","—",IF(ROUND($K326-$J326,0)=0,"√","×")))</f>
        <v/>
      </c>
      <c r="M326" s="28">
        <f>IF($B326="","",IF(COUNTIFS(EntryDates,$B326,CalcTime,$C326,CalcBank,$C$5,EntryParty,$D326,EntryDep,$H326,EntryWit,$I326)&gt;1,"تکرار",""))</f>
        <v/>
      </c>
      <c r="N326" s="28">
        <f>IF($P326="","",IF(INDEX(EntryNotes,$P326)=0,"",INDEX(EntryNotes,$P326)))</f>
        <v/>
      </c>
      <c r="O326" s="28">
        <f>IF($P326="","",IF(INDEX(EntryTxnID,$P326)=0,"",INDEX(EntryTxnID,$P326)))</f>
        <v/>
      </c>
      <c r="P326" s="28">
        <f>IFERROR(MATCH($C$5&amp;"|"&amp;RIGHT("000000"&amp;310,6),CalcRankKey,0),"")</f>
        <v/>
      </c>
    </row>
    <row r="327">
      <c r="A327" s="26">
        <f>IF($B327="","",311)</f>
        <v/>
      </c>
      <c r="B327" s="26">
        <f>IF($P327="","",IF(INDEX(CalcNormDate,$P327)=0,"",INDEX(CalcNormDate,$P327)))</f>
        <v/>
      </c>
      <c r="C327" s="26">
        <f>IF($P327="","",IF(INDEX(CalcTime,$P327)=0,"",INDEX(CalcTime,$P327)))</f>
        <v/>
      </c>
      <c r="D327" s="26">
        <f>IF($P327="","",IF(INDEX(EntryParty,$P327)=0,"",INDEX(EntryParty,$P327)))</f>
        <v/>
      </c>
      <c r="E327" s="26">
        <f>IF($P327="","",IF(INDEX(EntryPartyName,$P327)=0,"",INDEX(EntryPartyName,$P327)))</f>
        <v/>
      </c>
      <c r="F327" s="26">
        <f>IF($P327="","",IF(INDEX(EntryPartyType,$P327)=0,"",INDEX(EntryPartyType,$P327)))</f>
        <v/>
      </c>
      <c r="G327" s="26">
        <f>IF($P327="","",IF(INDEX(EntryTxnType,$P327)=0,"",INDEX(EntryTxnType,$P327)))</f>
        <v/>
      </c>
      <c r="H327" s="27">
        <f>IF($P327="","",IF(INDEX(EntryDep,$P327)=0,"",INDEX(EntryDep,$P327)))</f>
        <v/>
      </c>
      <c r="I327" s="27">
        <f>IF($P327="","",IF(INDEX(EntryWit,$P327)=0,"",INDEX(EntryWit,$P327)))</f>
        <v/>
      </c>
      <c r="J327" s="27">
        <f>IF($B327="","",IF($A327=1,$C$7,IF(J326="",0,J326))+IF($H327="",0,$H327)-IF($I327="",0,$I327))</f>
        <v/>
      </c>
      <c r="K327" s="27">
        <f>IF($P327="","",IF(INDEX(EntryMan,$P327)=0,"",INDEX(EntryMan,$P327)))</f>
        <v/>
      </c>
      <c r="L327" s="26">
        <f>IF($B327="","",IF($K327="","—",IF(ROUND($K327-$J327,0)=0,"√","×")))</f>
        <v/>
      </c>
      <c r="M327" s="26">
        <f>IF($B327="","",IF(COUNTIFS(EntryDates,$B327,CalcTime,$C327,CalcBank,$C$5,EntryParty,$D327,EntryDep,$H327,EntryWit,$I327)&gt;1,"تکرار",""))</f>
        <v/>
      </c>
      <c r="N327" s="26">
        <f>IF($P327="","",IF(INDEX(EntryNotes,$P327)=0,"",INDEX(EntryNotes,$P327)))</f>
        <v/>
      </c>
      <c r="O327" s="26">
        <f>IF($P327="","",IF(INDEX(EntryTxnID,$P327)=0,"",INDEX(EntryTxnID,$P327)))</f>
        <v/>
      </c>
      <c r="P327" s="26">
        <f>IFERROR(MATCH($C$5&amp;"|"&amp;RIGHT("000000"&amp;311,6),CalcRankKey,0),"")</f>
        <v/>
      </c>
    </row>
    <row r="328">
      <c r="A328" s="28">
        <f>IF($B328="","",312)</f>
        <v/>
      </c>
      <c r="B328" s="28">
        <f>IF($P328="","",IF(INDEX(CalcNormDate,$P328)=0,"",INDEX(CalcNormDate,$P328)))</f>
        <v/>
      </c>
      <c r="C328" s="28">
        <f>IF($P328="","",IF(INDEX(CalcTime,$P328)=0,"",INDEX(CalcTime,$P328)))</f>
        <v/>
      </c>
      <c r="D328" s="28">
        <f>IF($P328="","",IF(INDEX(EntryParty,$P328)=0,"",INDEX(EntryParty,$P328)))</f>
        <v/>
      </c>
      <c r="E328" s="28">
        <f>IF($P328="","",IF(INDEX(EntryPartyName,$P328)=0,"",INDEX(EntryPartyName,$P328)))</f>
        <v/>
      </c>
      <c r="F328" s="28">
        <f>IF($P328="","",IF(INDEX(EntryPartyType,$P328)=0,"",INDEX(EntryPartyType,$P328)))</f>
        <v/>
      </c>
      <c r="G328" s="28">
        <f>IF($P328="","",IF(INDEX(EntryTxnType,$P328)=0,"",INDEX(EntryTxnType,$P328)))</f>
        <v/>
      </c>
      <c r="H328" s="29">
        <f>IF($P328="","",IF(INDEX(EntryDep,$P328)=0,"",INDEX(EntryDep,$P328)))</f>
        <v/>
      </c>
      <c r="I328" s="29">
        <f>IF($P328="","",IF(INDEX(EntryWit,$P328)=0,"",INDEX(EntryWit,$P328)))</f>
        <v/>
      </c>
      <c r="J328" s="29">
        <f>IF($B328="","",IF($A328=1,$C$7,IF(J327="",0,J327))+IF($H328="",0,$H328)-IF($I328="",0,$I328))</f>
        <v/>
      </c>
      <c r="K328" s="29">
        <f>IF($P328="","",IF(INDEX(EntryMan,$P328)=0,"",INDEX(EntryMan,$P328)))</f>
        <v/>
      </c>
      <c r="L328" s="28">
        <f>IF($B328="","",IF($K328="","—",IF(ROUND($K328-$J328,0)=0,"√","×")))</f>
        <v/>
      </c>
      <c r="M328" s="28">
        <f>IF($B328="","",IF(COUNTIFS(EntryDates,$B328,CalcTime,$C328,CalcBank,$C$5,EntryParty,$D328,EntryDep,$H328,EntryWit,$I328)&gt;1,"تکرار",""))</f>
        <v/>
      </c>
      <c r="N328" s="28">
        <f>IF($P328="","",IF(INDEX(EntryNotes,$P328)=0,"",INDEX(EntryNotes,$P328)))</f>
        <v/>
      </c>
      <c r="O328" s="28">
        <f>IF($P328="","",IF(INDEX(EntryTxnID,$P328)=0,"",INDEX(EntryTxnID,$P328)))</f>
        <v/>
      </c>
      <c r="P328" s="28">
        <f>IFERROR(MATCH($C$5&amp;"|"&amp;RIGHT("000000"&amp;312,6),CalcRankKey,0),"")</f>
        <v/>
      </c>
    </row>
    <row r="329">
      <c r="A329" s="26">
        <f>IF($B329="","",313)</f>
        <v/>
      </c>
      <c r="B329" s="26">
        <f>IF($P329="","",IF(INDEX(CalcNormDate,$P329)=0,"",INDEX(CalcNormDate,$P329)))</f>
        <v/>
      </c>
      <c r="C329" s="26">
        <f>IF($P329="","",IF(INDEX(CalcTime,$P329)=0,"",INDEX(CalcTime,$P329)))</f>
        <v/>
      </c>
      <c r="D329" s="26">
        <f>IF($P329="","",IF(INDEX(EntryParty,$P329)=0,"",INDEX(EntryParty,$P329)))</f>
        <v/>
      </c>
      <c r="E329" s="26">
        <f>IF($P329="","",IF(INDEX(EntryPartyName,$P329)=0,"",INDEX(EntryPartyName,$P329)))</f>
        <v/>
      </c>
      <c r="F329" s="26">
        <f>IF($P329="","",IF(INDEX(EntryPartyType,$P329)=0,"",INDEX(EntryPartyType,$P329)))</f>
        <v/>
      </c>
      <c r="G329" s="26">
        <f>IF($P329="","",IF(INDEX(EntryTxnType,$P329)=0,"",INDEX(EntryTxnType,$P329)))</f>
        <v/>
      </c>
      <c r="H329" s="27">
        <f>IF($P329="","",IF(INDEX(EntryDep,$P329)=0,"",INDEX(EntryDep,$P329)))</f>
        <v/>
      </c>
      <c r="I329" s="27">
        <f>IF($P329="","",IF(INDEX(EntryWit,$P329)=0,"",INDEX(EntryWit,$P329)))</f>
        <v/>
      </c>
      <c r="J329" s="27">
        <f>IF($B329="","",IF($A329=1,$C$7,IF(J328="",0,J328))+IF($H329="",0,$H329)-IF($I329="",0,$I329))</f>
        <v/>
      </c>
      <c r="K329" s="27">
        <f>IF($P329="","",IF(INDEX(EntryMan,$P329)=0,"",INDEX(EntryMan,$P329)))</f>
        <v/>
      </c>
      <c r="L329" s="26">
        <f>IF($B329="","",IF($K329="","—",IF(ROUND($K329-$J329,0)=0,"√","×")))</f>
        <v/>
      </c>
      <c r="M329" s="26">
        <f>IF($B329="","",IF(COUNTIFS(EntryDates,$B329,CalcTime,$C329,CalcBank,$C$5,EntryParty,$D329,EntryDep,$H329,EntryWit,$I329)&gt;1,"تکرار",""))</f>
        <v/>
      </c>
      <c r="N329" s="26">
        <f>IF($P329="","",IF(INDEX(EntryNotes,$P329)=0,"",INDEX(EntryNotes,$P329)))</f>
        <v/>
      </c>
      <c r="O329" s="26">
        <f>IF($P329="","",IF(INDEX(EntryTxnID,$P329)=0,"",INDEX(EntryTxnID,$P329)))</f>
        <v/>
      </c>
      <c r="P329" s="26">
        <f>IFERROR(MATCH($C$5&amp;"|"&amp;RIGHT("000000"&amp;313,6),CalcRankKey,0),"")</f>
        <v/>
      </c>
    </row>
    <row r="330">
      <c r="A330" s="28">
        <f>IF($B330="","",314)</f>
        <v/>
      </c>
      <c r="B330" s="28">
        <f>IF($P330="","",IF(INDEX(CalcNormDate,$P330)=0,"",INDEX(CalcNormDate,$P330)))</f>
        <v/>
      </c>
      <c r="C330" s="28">
        <f>IF($P330="","",IF(INDEX(CalcTime,$P330)=0,"",INDEX(CalcTime,$P330)))</f>
        <v/>
      </c>
      <c r="D330" s="28">
        <f>IF($P330="","",IF(INDEX(EntryParty,$P330)=0,"",INDEX(EntryParty,$P330)))</f>
        <v/>
      </c>
      <c r="E330" s="28">
        <f>IF($P330="","",IF(INDEX(EntryPartyName,$P330)=0,"",INDEX(EntryPartyName,$P330)))</f>
        <v/>
      </c>
      <c r="F330" s="28">
        <f>IF($P330="","",IF(INDEX(EntryPartyType,$P330)=0,"",INDEX(EntryPartyType,$P330)))</f>
        <v/>
      </c>
      <c r="G330" s="28">
        <f>IF($P330="","",IF(INDEX(EntryTxnType,$P330)=0,"",INDEX(EntryTxnType,$P330)))</f>
        <v/>
      </c>
      <c r="H330" s="29">
        <f>IF($P330="","",IF(INDEX(EntryDep,$P330)=0,"",INDEX(EntryDep,$P330)))</f>
        <v/>
      </c>
      <c r="I330" s="29">
        <f>IF($P330="","",IF(INDEX(EntryWit,$P330)=0,"",INDEX(EntryWit,$P330)))</f>
        <v/>
      </c>
      <c r="J330" s="29">
        <f>IF($B330="","",IF($A330=1,$C$7,IF(J329="",0,J329))+IF($H330="",0,$H330)-IF($I330="",0,$I330))</f>
        <v/>
      </c>
      <c r="K330" s="29">
        <f>IF($P330="","",IF(INDEX(EntryMan,$P330)=0,"",INDEX(EntryMan,$P330)))</f>
        <v/>
      </c>
      <c r="L330" s="28">
        <f>IF($B330="","",IF($K330="","—",IF(ROUND($K330-$J330,0)=0,"√","×")))</f>
        <v/>
      </c>
      <c r="M330" s="28">
        <f>IF($B330="","",IF(COUNTIFS(EntryDates,$B330,CalcTime,$C330,CalcBank,$C$5,EntryParty,$D330,EntryDep,$H330,EntryWit,$I330)&gt;1,"تکرار",""))</f>
        <v/>
      </c>
      <c r="N330" s="28">
        <f>IF($P330="","",IF(INDEX(EntryNotes,$P330)=0,"",INDEX(EntryNotes,$P330)))</f>
        <v/>
      </c>
      <c r="O330" s="28">
        <f>IF($P330="","",IF(INDEX(EntryTxnID,$P330)=0,"",INDEX(EntryTxnID,$P330)))</f>
        <v/>
      </c>
      <c r="P330" s="28">
        <f>IFERROR(MATCH($C$5&amp;"|"&amp;RIGHT("000000"&amp;314,6),CalcRankKey,0),"")</f>
        <v/>
      </c>
    </row>
    <row r="331">
      <c r="A331" s="26">
        <f>IF($B331="","",315)</f>
        <v/>
      </c>
      <c r="B331" s="26">
        <f>IF($P331="","",IF(INDEX(CalcNormDate,$P331)=0,"",INDEX(CalcNormDate,$P331)))</f>
        <v/>
      </c>
      <c r="C331" s="26">
        <f>IF($P331="","",IF(INDEX(CalcTime,$P331)=0,"",INDEX(CalcTime,$P331)))</f>
        <v/>
      </c>
      <c r="D331" s="26">
        <f>IF($P331="","",IF(INDEX(EntryParty,$P331)=0,"",INDEX(EntryParty,$P331)))</f>
        <v/>
      </c>
      <c r="E331" s="26">
        <f>IF($P331="","",IF(INDEX(EntryPartyName,$P331)=0,"",INDEX(EntryPartyName,$P331)))</f>
        <v/>
      </c>
      <c r="F331" s="26">
        <f>IF($P331="","",IF(INDEX(EntryPartyType,$P331)=0,"",INDEX(EntryPartyType,$P331)))</f>
        <v/>
      </c>
      <c r="G331" s="26">
        <f>IF($P331="","",IF(INDEX(EntryTxnType,$P331)=0,"",INDEX(EntryTxnType,$P331)))</f>
        <v/>
      </c>
      <c r="H331" s="27">
        <f>IF($P331="","",IF(INDEX(EntryDep,$P331)=0,"",INDEX(EntryDep,$P331)))</f>
        <v/>
      </c>
      <c r="I331" s="27">
        <f>IF($P331="","",IF(INDEX(EntryWit,$P331)=0,"",INDEX(EntryWit,$P331)))</f>
        <v/>
      </c>
      <c r="J331" s="27">
        <f>IF($B331="","",IF($A331=1,$C$7,IF(J330="",0,J330))+IF($H331="",0,$H331)-IF($I331="",0,$I331))</f>
        <v/>
      </c>
      <c r="K331" s="27">
        <f>IF($P331="","",IF(INDEX(EntryMan,$P331)=0,"",INDEX(EntryMan,$P331)))</f>
        <v/>
      </c>
      <c r="L331" s="26">
        <f>IF($B331="","",IF($K331="","—",IF(ROUND($K331-$J331,0)=0,"√","×")))</f>
        <v/>
      </c>
      <c r="M331" s="26">
        <f>IF($B331="","",IF(COUNTIFS(EntryDates,$B331,CalcTime,$C331,CalcBank,$C$5,EntryParty,$D331,EntryDep,$H331,EntryWit,$I331)&gt;1,"تکرار",""))</f>
        <v/>
      </c>
      <c r="N331" s="26">
        <f>IF($P331="","",IF(INDEX(EntryNotes,$P331)=0,"",INDEX(EntryNotes,$P331)))</f>
        <v/>
      </c>
      <c r="O331" s="26">
        <f>IF($P331="","",IF(INDEX(EntryTxnID,$P331)=0,"",INDEX(EntryTxnID,$P331)))</f>
        <v/>
      </c>
      <c r="P331" s="26">
        <f>IFERROR(MATCH($C$5&amp;"|"&amp;RIGHT("000000"&amp;315,6),CalcRankKey,0),"")</f>
        <v/>
      </c>
    </row>
    <row r="332">
      <c r="A332" s="28">
        <f>IF($B332="","",316)</f>
        <v/>
      </c>
      <c r="B332" s="28">
        <f>IF($P332="","",IF(INDEX(CalcNormDate,$P332)=0,"",INDEX(CalcNormDate,$P332)))</f>
        <v/>
      </c>
      <c r="C332" s="28">
        <f>IF($P332="","",IF(INDEX(CalcTime,$P332)=0,"",INDEX(CalcTime,$P332)))</f>
        <v/>
      </c>
      <c r="D332" s="28">
        <f>IF($P332="","",IF(INDEX(EntryParty,$P332)=0,"",INDEX(EntryParty,$P332)))</f>
        <v/>
      </c>
      <c r="E332" s="28">
        <f>IF($P332="","",IF(INDEX(EntryPartyName,$P332)=0,"",INDEX(EntryPartyName,$P332)))</f>
        <v/>
      </c>
      <c r="F332" s="28">
        <f>IF($P332="","",IF(INDEX(EntryPartyType,$P332)=0,"",INDEX(EntryPartyType,$P332)))</f>
        <v/>
      </c>
      <c r="G332" s="28">
        <f>IF($P332="","",IF(INDEX(EntryTxnType,$P332)=0,"",INDEX(EntryTxnType,$P332)))</f>
        <v/>
      </c>
      <c r="H332" s="29">
        <f>IF($P332="","",IF(INDEX(EntryDep,$P332)=0,"",INDEX(EntryDep,$P332)))</f>
        <v/>
      </c>
      <c r="I332" s="29">
        <f>IF($P332="","",IF(INDEX(EntryWit,$P332)=0,"",INDEX(EntryWit,$P332)))</f>
        <v/>
      </c>
      <c r="J332" s="29">
        <f>IF($B332="","",IF($A332=1,$C$7,IF(J331="",0,J331))+IF($H332="",0,$H332)-IF($I332="",0,$I332))</f>
        <v/>
      </c>
      <c r="K332" s="29">
        <f>IF($P332="","",IF(INDEX(EntryMan,$P332)=0,"",INDEX(EntryMan,$P332)))</f>
        <v/>
      </c>
      <c r="L332" s="28">
        <f>IF($B332="","",IF($K332="","—",IF(ROUND($K332-$J332,0)=0,"√","×")))</f>
        <v/>
      </c>
      <c r="M332" s="28">
        <f>IF($B332="","",IF(COUNTIFS(EntryDates,$B332,CalcTime,$C332,CalcBank,$C$5,EntryParty,$D332,EntryDep,$H332,EntryWit,$I332)&gt;1,"تکرار",""))</f>
        <v/>
      </c>
      <c r="N332" s="28">
        <f>IF($P332="","",IF(INDEX(EntryNotes,$P332)=0,"",INDEX(EntryNotes,$P332)))</f>
        <v/>
      </c>
      <c r="O332" s="28">
        <f>IF($P332="","",IF(INDEX(EntryTxnID,$P332)=0,"",INDEX(EntryTxnID,$P332)))</f>
        <v/>
      </c>
      <c r="P332" s="28">
        <f>IFERROR(MATCH($C$5&amp;"|"&amp;RIGHT("000000"&amp;316,6),CalcRankKey,0),"")</f>
        <v/>
      </c>
    </row>
    <row r="333">
      <c r="A333" s="26">
        <f>IF($B333="","",317)</f>
        <v/>
      </c>
      <c r="B333" s="26">
        <f>IF($P333="","",IF(INDEX(CalcNormDate,$P333)=0,"",INDEX(CalcNormDate,$P333)))</f>
        <v/>
      </c>
      <c r="C333" s="26">
        <f>IF($P333="","",IF(INDEX(CalcTime,$P333)=0,"",INDEX(CalcTime,$P333)))</f>
        <v/>
      </c>
      <c r="D333" s="26">
        <f>IF($P333="","",IF(INDEX(EntryParty,$P333)=0,"",INDEX(EntryParty,$P333)))</f>
        <v/>
      </c>
      <c r="E333" s="26">
        <f>IF($P333="","",IF(INDEX(EntryPartyName,$P333)=0,"",INDEX(EntryPartyName,$P333)))</f>
        <v/>
      </c>
      <c r="F333" s="26">
        <f>IF($P333="","",IF(INDEX(EntryPartyType,$P333)=0,"",INDEX(EntryPartyType,$P333)))</f>
        <v/>
      </c>
      <c r="G333" s="26">
        <f>IF($P333="","",IF(INDEX(EntryTxnType,$P333)=0,"",INDEX(EntryTxnType,$P333)))</f>
        <v/>
      </c>
      <c r="H333" s="27">
        <f>IF($P333="","",IF(INDEX(EntryDep,$P333)=0,"",INDEX(EntryDep,$P333)))</f>
        <v/>
      </c>
      <c r="I333" s="27">
        <f>IF($P333="","",IF(INDEX(EntryWit,$P333)=0,"",INDEX(EntryWit,$P333)))</f>
        <v/>
      </c>
      <c r="J333" s="27">
        <f>IF($B333="","",IF($A333=1,$C$7,IF(J332="",0,J332))+IF($H333="",0,$H333)-IF($I333="",0,$I333))</f>
        <v/>
      </c>
      <c r="K333" s="27">
        <f>IF($P333="","",IF(INDEX(EntryMan,$P333)=0,"",INDEX(EntryMan,$P333)))</f>
        <v/>
      </c>
      <c r="L333" s="26">
        <f>IF($B333="","",IF($K333="","—",IF(ROUND($K333-$J333,0)=0,"√","×")))</f>
        <v/>
      </c>
      <c r="M333" s="26">
        <f>IF($B333="","",IF(COUNTIFS(EntryDates,$B333,CalcTime,$C333,CalcBank,$C$5,EntryParty,$D333,EntryDep,$H333,EntryWit,$I333)&gt;1,"تکرار",""))</f>
        <v/>
      </c>
      <c r="N333" s="26">
        <f>IF($P333="","",IF(INDEX(EntryNotes,$P333)=0,"",INDEX(EntryNotes,$P333)))</f>
        <v/>
      </c>
      <c r="O333" s="26">
        <f>IF($P333="","",IF(INDEX(EntryTxnID,$P333)=0,"",INDEX(EntryTxnID,$P333)))</f>
        <v/>
      </c>
      <c r="P333" s="26">
        <f>IFERROR(MATCH($C$5&amp;"|"&amp;RIGHT("000000"&amp;317,6),CalcRankKey,0),"")</f>
        <v/>
      </c>
    </row>
    <row r="334">
      <c r="A334" s="28">
        <f>IF($B334="","",318)</f>
        <v/>
      </c>
      <c r="B334" s="28">
        <f>IF($P334="","",IF(INDEX(CalcNormDate,$P334)=0,"",INDEX(CalcNormDate,$P334)))</f>
        <v/>
      </c>
      <c r="C334" s="28">
        <f>IF($P334="","",IF(INDEX(CalcTime,$P334)=0,"",INDEX(CalcTime,$P334)))</f>
        <v/>
      </c>
      <c r="D334" s="28">
        <f>IF($P334="","",IF(INDEX(EntryParty,$P334)=0,"",INDEX(EntryParty,$P334)))</f>
        <v/>
      </c>
      <c r="E334" s="28">
        <f>IF($P334="","",IF(INDEX(EntryPartyName,$P334)=0,"",INDEX(EntryPartyName,$P334)))</f>
        <v/>
      </c>
      <c r="F334" s="28">
        <f>IF($P334="","",IF(INDEX(EntryPartyType,$P334)=0,"",INDEX(EntryPartyType,$P334)))</f>
        <v/>
      </c>
      <c r="G334" s="28">
        <f>IF($P334="","",IF(INDEX(EntryTxnType,$P334)=0,"",INDEX(EntryTxnType,$P334)))</f>
        <v/>
      </c>
      <c r="H334" s="29">
        <f>IF($P334="","",IF(INDEX(EntryDep,$P334)=0,"",INDEX(EntryDep,$P334)))</f>
        <v/>
      </c>
      <c r="I334" s="29">
        <f>IF($P334="","",IF(INDEX(EntryWit,$P334)=0,"",INDEX(EntryWit,$P334)))</f>
        <v/>
      </c>
      <c r="J334" s="29">
        <f>IF($B334="","",IF($A334=1,$C$7,IF(J333="",0,J333))+IF($H334="",0,$H334)-IF($I334="",0,$I334))</f>
        <v/>
      </c>
      <c r="K334" s="29">
        <f>IF($P334="","",IF(INDEX(EntryMan,$P334)=0,"",INDEX(EntryMan,$P334)))</f>
        <v/>
      </c>
      <c r="L334" s="28">
        <f>IF($B334="","",IF($K334="","—",IF(ROUND($K334-$J334,0)=0,"√","×")))</f>
        <v/>
      </c>
      <c r="M334" s="28">
        <f>IF($B334="","",IF(COUNTIFS(EntryDates,$B334,CalcTime,$C334,CalcBank,$C$5,EntryParty,$D334,EntryDep,$H334,EntryWit,$I334)&gt;1,"تکرار",""))</f>
        <v/>
      </c>
      <c r="N334" s="28">
        <f>IF($P334="","",IF(INDEX(EntryNotes,$P334)=0,"",INDEX(EntryNotes,$P334)))</f>
        <v/>
      </c>
      <c r="O334" s="28">
        <f>IF($P334="","",IF(INDEX(EntryTxnID,$P334)=0,"",INDEX(EntryTxnID,$P334)))</f>
        <v/>
      </c>
      <c r="P334" s="28">
        <f>IFERROR(MATCH($C$5&amp;"|"&amp;RIGHT("000000"&amp;318,6),CalcRankKey,0),"")</f>
        <v/>
      </c>
    </row>
    <row r="335">
      <c r="A335" s="26">
        <f>IF($B335="","",319)</f>
        <v/>
      </c>
      <c r="B335" s="26">
        <f>IF($P335="","",IF(INDEX(CalcNormDate,$P335)=0,"",INDEX(CalcNormDate,$P335)))</f>
        <v/>
      </c>
      <c r="C335" s="26">
        <f>IF($P335="","",IF(INDEX(CalcTime,$P335)=0,"",INDEX(CalcTime,$P335)))</f>
        <v/>
      </c>
      <c r="D335" s="26">
        <f>IF($P335="","",IF(INDEX(EntryParty,$P335)=0,"",INDEX(EntryParty,$P335)))</f>
        <v/>
      </c>
      <c r="E335" s="26">
        <f>IF($P335="","",IF(INDEX(EntryPartyName,$P335)=0,"",INDEX(EntryPartyName,$P335)))</f>
        <v/>
      </c>
      <c r="F335" s="26">
        <f>IF($P335="","",IF(INDEX(EntryPartyType,$P335)=0,"",INDEX(EntryPartyType,$P335)))</f>
        <v/>
      </c>
      <c r="G335" s="26">
        <f>IF($P335="","",IF(INDEX(EntryTxnType,$P335)=0,"",INDEX(EntryTxnType,$P335)))</f>
        <v/>
      </c>
      <c r="H335" s="27">
        <f>IF($P335="","",IF(INDEX(EntryDep,$P335)=0,"",INDEX(EntryDep,$P335)))</f>
        <v/>
      </c>
      <c r="I335" s="27">
        <f>IF($P335="","",IF(INDEX(EntryWit,$P335)=0,"",INDEX(EntryWit,$P335)))</f>
        <v/>
      </c>
      <c r="J335" s="27">
        <f>IF($B335="","",IF($A335=1,$C$7,IF(J334="",0,J334))+IF($H335="",0,$H335)-IF($I335="",0,$I335))</f>
        <v/>
      </c>
      <c r="K335" s="27">
        <f>IF($P335="","",IF(INDEX(EntryMan,$P335)=0,"",INDEX(EntryMan,$P335)))</f>
        <v/>
      </c>
      <c r="L335" s="26">
        <f>IF($B335="","",IF($K335="","—",IF(ROUND($K335-$J335,0)=0,"√","×")))</f>
        <v/>
      </c>
      <c r="M335" s="26">
        <f>IF($B335="","",IF(COUNTIFS(EntryDates,$B335,CalcTime,$C335,CalcBank,$C$5,EntryParty,$D335,EntryDep,$H335,EntryWit,$I335)&gt;1,"تکرار",""))</f>
        <v/>
      </c>
      <c r="N335" s="26">
        <f>IF($P335="","",IF(INDEX(EntryNotes,$P335)=0,"",INDEX(EntryNotes,$P335)))</f>
        <v/>
      </c>
      <c r="O335" s="26">
        <f>IF($P335="","",IF(INDEX(EntryTxnID,$P335)=0,"",INDEX(EntryTxnID,$P335)))</f>
        <v/>
      </c>
      <c r="P335" s="26">
        <f>IFERROR(MATCH($C$5&amp;"|"&amp;RIGHT("000000"&amp;319,6),CalcRankKey,0),"")</f>
        <v/>
      </c>
    </row>
    <row r="336">
      <c r="A336" s="28">
        <f>IF($B336="","",320)</f>
        <v/>
      </c>
      <c r="B336" s="28">
        <f>IF($P336="","",IF(INDEX(CalcNormDate,$P336)=0,"",INDEX(CalcNormDate,$P336)))</f>
        <v/>
      </c>
      <c r="C336" s="28">
        <f>IF($P336="","",IF(INDEX(CalcTime,$P336)=0,"",INDEX(CalcTime,$P336)))</f>
        <v/>
      </c>
      <c r="D336" s="28">
        <f>IF($P336="","",IF(INDEX(EntryParty,$P336)=0,"",INDEX(EntryParty,$P336)))</f>
        <v/>
      </c>
      <c r="E336" s="28">
        <f>IF($P336="","",IF(INDEX(EntryPartyName,$P336)=0,"",INDEX(EntryPartyName,$P336)))</f>
        <v/>
      </c>
      <c r="F336" s="28">
        <f>IF($P336="","",IF(INDEX(EntryPartyType,$P336)=0,"",INDEX(EntryPartyType,$P336)))</f>
        <v/>
      </c>
      <c r="G336" s="28">
        <f>IF($P336="","",IF(INDEX(EntryTxnType,$P336)=0,"",INDEX(EntryTxnType,$P336)))</f>
        <v/>
      </c>
      <c r="H336" s="29">
        <f>IF($P336="","",IF(INDEX(EntryDep,$P336)=0,"",INDEX(EntryDep,$P336)))</f>
        <v/>
      </c>
      <c r="I336" s="29">
        <f>IF($P336="","",IF(INDEX(EntryWit,$P336)=0,"",INDEX(EntryWit,$P336)))</f>
        <v/>
      </c>
      <c r="J336" s="29">
        <f>IF($B336="","",IF($A336=1,$C$7,IF(J335="",0,J335))+IF($H336="",0,$H336)-IF($I336="",0,$I336))</f>
        <v/>
      </c>
      <c r="K336" s="29">
        <f>IF($P336="","",IF(INDEX(EntryMan,$P336)=0,"",INDEX(EntryMan,$P336)))</f>
        <v/>
      </c>
      <c r="L336" s="28">
        <f>IF($B336="","",IF($K336="","—",IF(ROUND($K336-$J336,0)=0,"√","×")))</f>
        <v/>
      </c>
      <c r="M336" s="28">
        <f>IF($B336="","",IF(COUNTIFS(EntryDates,$B336,CalcTime,$C336,CalcBank,$C$5,EntryParty,$D336,EntryDep,$H336,EntryWit,$I336)&gt;1,"تکرار",""))</f>
        <v/>
      </c>
      <c r="N336" s="28">
        <f>IF($P336="","",IF(INDEX(EntryNotes,$P336)=0,"",INDEX(EntryNotes,$P336)))</f>
        <v/>
      </c>
      <c r="O336" s="28">
        <f>IF($P336="","",IF(INDEX(EntryTxnID,$P336)=0,"",INDEX(EntryTxnID,$P336)))</f>
        <v/>
      </c>
      <c r="P336" s="28">
        <f>IFERROR(MATCH($C$5&amp;"|"&amp;RIGHT("000000"&amp;320,6),CalcRankKey,0),"")</f>
        <v/>
      </c>
    </row>
    <row r="337">
      <c r="A337" s="26">
        <f>IF($B337="","",321)</f>
        <v/>
      </c>
      <c r="B337" s="26">
        <f>IF($P337="","",IF(INDEX(CalcNormDate,$P337)=0,"",INDEX(CalcNormDate,$P337)))</f>
        <v/>
      </c>
      <c r="C337" s="26">
        <f>IF($P337="","",IF(INDEX(CalcTime,$P337)=0,"",INDEX(CalcTime,$P337)))</f>
        <v/>
      </c>
      <c r="D337" s="26">
        <f>IF($P337="","",IF(INDEX(EntryParty,$P337)=0,"",INDEX(EntryParty,$P337)))</f>
        <v/>
      </c>
      <c r="E337" s="26">
        <f>IF($P337="","",IF(INDEX(EntryPartyName,$P337)=0,"",INDEX(EntryPartyName,$P337)))</f>
        <v/>
      </c>
      <c r="F337" s="26">
        <f>IF($P337="","",IF(INDEX(EntryPartyType,$P337)=0,"",INDEX(EntryPartyType,$P337)))</f>
        <v/>
      </c>
      <c r="G337" s="26">
        <f>IF($P337="","",IF(INDEX(EntryTxnType,$P337)=0,"",INDEX(EntryTxnType,$P337)))</f>
        <v/>
      </c>
      <c r="H337" s="27">
        <f>IF($P337="","",IF(INDEX(EntryDep,$P337)=0,"",INDEX(EntryDep,$P337)))</f>
        <v/>
      </c>
      <c r="I337" s="27">
        <f>IF($P337="","",IF(INDEX(EntryWit,$P337)=0,"",INDEX(EntryWit,$P337)))</f>
        <v/>
      </c>
      <c r="J337" s="27">
        <f>IF($B337="","",IF($A337=1,$C$7,IF(J336="",0,J336))+IF($H337="",0,$H337)-IF($I337="",0,$I337))</f>
        <v/>
      </c>
      <c r="K337" s="27">
        <f>IF($P337="","",IF(INDEX(EntryMan,$P337)=0,"",INDEX(EntryMan,$P337)))</f>
        <v/>
      </c>
      <c r="L337" s="26">
        <f>IF($B337="","",IF($K337="","—",IF(ROUND($K337-$J337,0)=0,"√","×")))</f>
        <v/>
      </c>
      <c r="M337" s="26">
        <f>IF($B337="","",IF(COUNTIFS(EntryDates,$B337,CalcTime,$C337,CalcBank,$C$5,EntryParty,$D337,EntryDep,$H337,EntryWit,$I337)&gt;1,"تکرار",""))</f>
        <v/>
      </c>
      <c r="N337" s="26">
        <f>IF($P337="","",IF(INDEX(EntryNotes,$P337)=0,"",INDEX(EntryNotes,$P337)))</f>
        <v/>
      </c>
      <c r="O337" s="26">
        <f>IF($P337="","",IF(INDEX(EntryTxnID,$P337)=0,"",INDEX(EntryTxnID,$P337)))</f>
        <v/>
      </c>
      <c r="P337" s="26">
        <f>IFERROR(MATCH($C$5&amp;"|"&amp;RIGHT("000000"&amp;321,6),CalcRankKey,0),"")</f>
        <v/>
      </c>
    </row>
    <row r="338">
      <c r="A338" s="28">
        <f>IF($B338="","",322)</f>
        <v/>
      </c>
      <c r="B338" s="28">
        <f>IF($P338="","",IF(INDEX(CalcNormDate,$P338)=0,"",INDEX(CalcNormDate,$P338)))</f>
        <v/>
      </c>
      <c r="C338" s="28">
        <f>IF($P338="","",IF(INDEX(CalcTime,$P338)=0,"",INDEX(CalcTime,$P338)))</f>
        <v/>
      </c>
      <c r="D338" s="28">
        <f>IF($P338="","",IF(INDEX(EntryParty,$P338)=0,"",INDEX(EntryParty,$P338)))</f>
        <v/>
      </c>
      <c r="E338" s="28">
        <f>IF($P338="","",IF(INDEX(EntryPartyName,$P338)=0,"",INDEX(EntryPartyName,$P338)))</f>
        <v/>
      </c>
      <c r="F338" s="28">
        <f>IF($P338="","",IF(INDEX(EntryPartyType,$P338)=0,"",INDEX(EntryPartyType,$P338)))</f>
        <v/>
      </c>
      <c r="G338" s="28">
        <f>IF($P338="","",IF(INDEX(EntryTxnType,$P338)=0,"",INDEX(EntryTxnType,$P338)))</f>
        <v/>
      </c>
      <c r="H338" s="29">
        <f>IF($P338="","",IF(INDEX(EntryDep,$P338)=0,"",INDEX(EntryDep,$P338)))</f>
        <v/>
      </c>
      <c r="I338" s="29">
        <f>IF($P338="","",IF(INDEX(EntryWit,$P338)=0,"",INDEX(EntryWit,$P338)))</f>
        <v/>
      </c>
      <c r="J338" s="29">
        <f>IF($B338="","",IF($A338=1,$C$7,IF(J337="",0,J337))+IF($H338="",0,$H338)-IF($I338="",0,$I338))</f>
        <v/>
      </c>
      <c r="K338" s="29">
        <f>IF($P338="","",IF(INDEX(EntryMan,$P338)=0,"",INDEX(EntryMan,$P338)))</f>
        <v/>
      </c>
      <c r="L338" s="28">
        <f>IF($B338="","",IF($K338="","—",IF(ROUND($K338-$J338,0)=0,"√","×")))</f>
        <v/>
      </c>
      <c r="M338" s="28">
        <f>IF($B338="","",IF(COUNTIFS(EntryDates,$B338,CalcTime,$C338,CalcBank,$C$5,EntryParty,$D338,EntryDep,$H338,EntryWit,$I338)&gt;1,"تکرار",""))</f>
        <v/>
      </c>
      <c r="N338" s="28">
        <f>IF($P338="","",IF(INDEX(EntryNotes,$P338)=0,"",INDEX(EntryNotes,$P338)))</f>
        <v/>
      </c>
      <c r="O338" s="28">
        <f>IF($P338="","",IF(INDEX(EntryTxnID,$P338)=0,"",INDEX(EntryTxnID,$P338)))</f>
        <v/>
      </c>
      <c r="P338" s="28">
        <f>IFERROR(MATCH($C$5&amp;"|"&amp;RIGHT("000000"&amp;322,6),CalcRankKey,0),"")</f>
        <v/>
      </c>
    </row>
    <row r="339">
      <c r="A339" s="26">
        <f>IF($B339="","",323)</f>
        <v/>
      </c>
      <c r="B339" s="26">
        <f>IF($P339="","",IF(INDEX(CalcNormDate,$P339)=0,"",INDEX(CalcNormDate,$P339)))</f>
        <v/>
      </c>
      <c r="C339" s="26">
        <f>IF($P339="","",IF(INDEX(CalcTime,$P339)=0,"",INDEX(CalcTime,$P339)))</f>
        <v/>
      </c>
      <c r="D339" s="26">
        <f>IF($P339="","",IF(INDEX(EntryParty,$P339)=0,"",INDEX(EntryParty,$P339)))</f>
        <v/>
      </c>
      <c r="E339" s="26">
        <f>IF($P339="","",IF(INDEX(EntryPartyName,$P339)=0,"",INDEX(EntryPartyName,$P339)))</f>
        <v/>
      </c>
      <c r="F339" s="26">
        <f>IF($P339="","",IF(INDEX(EntryPartyType,$P339)=0,"",INDEX(EntryPartyType,$P339)))</f>
        <v/>
      </c>
      <c r="G339" s="26">
        <f>IF($P339="","",IF(INDEX(EntryTxnType,$P339)=0,"",INDEX(EntryTxnType,$P339)))</f>
        <v/>
      </c>
      <c r="H339" s="27">
        <f>IF($P339="","",IF(INDEX(EntryDep,$P339)=0,"",INDEX(EntryDep,$P339)))</f>
        <v/>
      </c>
      <c r="I339" s="27">
        <f>IF($P339="","",IF(INDEX(EntryWit,$P339)=0,"",INDEX(EntryWit,$P339)))</f>
        <v/>
      </c>
      <c r="J339" s="27">
        <f>IF($B339="","",IF($A339=1,$C$7,IF(J338="",0,J338))+IF($H339="",0,$H339)-IF($I339="",0,$I339))</f>
        <v/>
      </c>
      <c r="K339" s="27">
        <f>IF($P339="","",IF(INDEX(EntryMan,$P339)=0,"",INDEX(EntryMan,$P339)))</f>
        <v/>
      </c>
      <c r="L339" s="26">
        <f>IF($B339="","",IF($K339="","—",IF(ROUND($K339-$J339,0)=0,"√","×")))</f>
        <v/>
      </c>
      <c r="M339" s="26">
        <f>IF($B339="","",IF(COUNTIFS(EntryDates,$B339,CalcTime,$C339,CalcBank,$C$5,EntryParty,$D339,EntryDep,$H339,EntryWit,$I339)&gt;1,"تکرار",""))</f>
        <v/>
      </c>
      <c r="N339" s="26">
        <f>IF($P339="","",IF(INDEX(EntryNotes,$P339)=0,"",INDEX(EntryNotes,$P339)))</f>
        <v/>
      </c>
      <c r="O339" s="26">
        <f>IF($P339="","",IF(INDEX(EntryTxnID,$P339)=0,"",INDEX(EntryTxnID,$P339)))</f>
        <v/>
      </c>
      <c r="P339" s="26">
        <f>IFERROR(MATCH($C$5&amp;"|"&amp;RIGHT("000000"&amp;323,6),CalcRankKey,0),"")</f>
        <v/>
      </c>
    </row>
    <row r="340">
      <c r="A340" s="28">
        <f>IF($B340="","",324)</f>
        <v/>
      </c>
      <c r="B340" s="28">
        <f>IF($P340="","",IF(INDEX(CalcNormDate,$P340)=0,"",INDEX(CalcNormDate,$P340)))</f>
        <v/>
      </c>
      <c r="C340" s="28">
        <f>IF($P340="","",IF(INDEX(CalcTime,$P340)=0,"",INDEX(CalcTime,$P340)))</f>
        <v/>
      </c>
      <c r="D340" s="28">
        <f>IF($P340="","",IF(INDEX(EntryParty,$P340)=0,"",INDEX(EntryParty,$P340)))</f>
        <v/>
      </c>
      <c r="E340" s="28">
        <f>IF($P340="","",IF(INDEX(EntryPartyName,$P340)=0,"",INDEX(EntryPartyName,$P340)))</f>
        <v/>
      </c>
      <c r="F340" s="28">
        <f>IF($P340="","",IF(INDEX(EntryPartyType,$P340)=0,"",INDEX(EntryPartyType,$P340)))</f>
        <v/>
      </c>
      <c r="G340" s="28">
        <f>IF($P340="","",IF(INDEX(EntryTxnType,$P340)=0,"",INDEX(EntryTxnType,$P340)))</f>
        <v/>
      </c>
      <c r="H340" s="29">
        <f>IF($P340="","",IF(INDEX(EntryDep,$P340)=0,"",INDEX(EntryDep,$P340)))</f>
        <v/>
      </c>
      <c r="I340" s="29">
        <f>IF($P340="","",IF(INDEX(EntryWit,$P340)=0,"",INDEX(EntryWit,$P340)))</f>
        <v/>
      </c>
      <c r="J340" s="29">
        <f>IF($B340="","",IF($A340=1,$C$7,IF(J339="",0,J339))+IF($H340="",0,$H340)-IF($I340="",0,$I340))</f>
        <v/>
      </c>
      <c r="K340" s="29">
        <f>IF($P340="","",IF(INDEX(EntryMan,$P340)=0,"",INDEX(EntryMan,$P340)))</f>
        <v/>
      </c>
      <c r="L340" s="28">
        <f>IF($B340="","",IF($K340="","—",IF(ROUND($K340-$J340,0)=0,"√","×")))</f>
        <v/>
      </c>
      <c r="M340" s="28">
        <f>IF($B340="","",IF(COUNTIFS(EntryDates,$B340,CalcTime,$C340,CalcBank,$C$5,EntryParty,$D340,EntryDep,$H340,EntryWit,$I340)&gt;1,"تکرار",""))</f>
        <v/>
      </c>
      <c r="N340" s="28">
        <f>IF($P340="","",IF(INDEX(EntryNotes,$P340)=0,"",INDEX(EntryNotes,$P340)))</f>
        <v/>
      </c>
      <c r="O340" s="28">
        <f>IF($P340="","",IF(INDEX(EntryTxnID,$P340)=0,"",INDEX(EntryTxnID,$P340)))</f>
        <v/>
      </c>
      <c r="P340" s="28">
        <f>IFERROR(MATCH($C$5&amp;"|"&amp;RIGHT("000000"&amp;324,6),CalcRankKey,0),"")</f>
        <v/>
      </c>
    </row>
    <row r="341">
      <c r="A341" s="26">
        <f>IF($B341="","",325)</f>
        <v/>
      </c>
      <c r="B341" s="26">
        <f>IF($P341="","",IF(INDEX(CalcNormDate,$P341)=0,"",INDEX(CalcNormDate,$P341)))</f>
        <v/>
      </c>
      <c r="C341" s="26">
        <f>IF($P341="","",IF(INDEX(CalcTime,$P341)=0,"",INDEX(CalcTime,$P341)))</f>
        <v/>
      </c>
      <c r="D341" s="26">
        <f>IF($P341="","",IF(INDEX(EntryParty,$P341)=0,"",INDEX(EntryParty,$P341)))</f>
        <v/>
      </c>
      <c r="E341" s="26">
        <f>IF($P341="","",IF(INDEX(EntryPartyName,$P341)=0,"",INDEX(EntryPartyName,$P341)))</f>
        <v/>
      </c>
      <c r="F341" s="26">
        <f>IF($P341="","",IF(INDEX(EntryPartyType,$P341)=0,"",INDEX(EntryPartyType,$P341)))</f>
        <v/>
      </c>
      <c r="G341" s="26">
        <f>IF($P341="","",IF(INDEX(EntryTxnType,$P341)=0,"",INDEX(EntryTxnType,$P341)))</f>
        <v/>
      </c>
      <c r="H341" s="27">
        <f>IF($P341="","",IF(INDEX(EntryDep,$P341)=0,"",INDEX(EntryDep,$P341)))</f>
        <v/>
      </c>
      <c r="I341" s="27">
        <f>IF($P341="","",IF(INDEX(EntryWit,$P341)=0,"",INDEX(EntryWit,$P341)))</f>
        <v/>
      </c>
      <c r="J341" s="27">
        <f>IF($B341="","",IF($A341=1,$C$7,IF(J340="",0,J340))+IF($H341="",0,$H341)-IF($I341="",0,$I341))</f>
        <v/>
      </c>
      <c r="K341" s="27">
        <f>IF($P341="","",IF(INDEX(EntryMan,$P341)=0,"",INDEX(EntryMan,$P341)))</f>
        <v/>
      </c>
      <c r="L341" s="26">
        <f>IF($B341="","",IF($K341="","—",IF(ROUND($K341-$J341,0)=0,"√","×")))</f>
        <v/>
      </c>
      <c r="M341" s="26">
        <f>IF($B341="","",IF(COUNTIFS(EntryDates,$B341,CalcTime,$C341,CalcBank,$C$5,EntryParty,$D341,EntryDep,$H341,EntryWit,$I341)&gt;1,"تکرار",""))</f>
        <v/>
      </c>
      <c r="N341" s="26">
        <f>IF($P341="","",IF(INDEX(EntryNotes,$P341)=0,"",INDEX(EntryNotes,$P341)))</f>
        <v/>
      </c>
      <c r="O341" s="26">
        <f>IF($P341="","",IF(INDEX(EntryTxnID,$P341)=0,"",INDEX(EntryTxnID,$P341)))</f>
        <v/>
      </c>
      <c r="P341" s="26">
        <f>IFERROR(MATCH($C$5&amp;"|"&amp;RIGHT("000000"&amp;325,6),CalcRankKey,0),"")</f>
        <v/>
      </c>
    </row>
    <row r="342">
      <c r="A342" s="28">
        <f>IF($B342="","",326)</f>
        <v/>
      </c>
      <c r="B342" s="28">
        <f>IF($P342="","",IF(INDEX(CalcNormDate,$P342)=0,"",INDEX(CalcNormDate,$P342)))</f>
        <v/>
      </c>
      <c r="C342" s="28">
        <f>IF($P342="","",IF(INDEX(CalcTime,$P342)=0,"",INDEX(CalcTime,$P342)))</f>
        <v/>
      </c>
      <c r="D342" s="28">
        <f>IF($P342="","",IF(INDEX(EntryParty,$P342)=0,"",INDEX(EntryParty,$P342)))</f>
        <v/>
      </c>
      <c r="E342" s="28">
        <f>IF($P342="","",IF(INDEX(EntryPartyName,$P342)=0,"",INDEX(EntryPartyName,$P342)))</f>
        <v/>
      </c>
      <c r="F342" s="28">
        <f>IF($P342="","",IF(INDEX(EntryPartyType,$P342)=0,"",INDEX(EntryPartyType,$P342)))</f>
        <v/>
      </c>
      <c r="G342" s="28">
        <f>IF($P342="","",IF(INDEX(EntryTxnType,$P342)=0,"",INDEX(EntryTxnType,$P342)))</f>
        <v/>
      </c>
      <c r="H342" s="29">
        <f>IF($P342="","",IF(INDEX(EntryDep,$P342)=0,"",INDEX(EntryDep,$P342)))</f>
        <v/>
      </c>
      <c r="I342" s="29">
        <f>IF($P342="","",IF(INDEX(EntryWit,$P342)=0,"",INDEX(EntryWit,$P342)))</f>
        <v/>
      </c>
      <c r="J342" s="29">
        <f>IF($B342="","",IF($A342=1,$C$7,IF(J341="",0,J341))+IF($H342="",0,$H342)-IF($I342="",0,$I342))</f>
        <v/>
      </c>
      <c r="K342" s="29">
        <f>IF($P342="","",IF(INDEX(EntryMan,$P342)=0,"",INDEX(EntryMan,$P342)))</f>
        <v/>
      </c>
      <c r="L342" s="28">
        <f>IF($B342="","",IF($K342="","—",IF(ROUND($K342-$J342,0)=0,"√","×")))</f>
        <v/>
      </c>
      <c r="M342" s="28">
        <f>IF($B342="","",IF(COUNTIFS(EntryDates,$B342,CalcTime,$C342,CalcBank,$C$5,EntryParty,$D342,EntryDep,$H342,EntryWit,$I342)&gt;1,"تکرار",""))</f>
        <v/>
      </c>
      <c r="N342" s="28">
        <f>IF($P342="","",IF(INDEX(EntryNotes,$P342)=0,"",INDEX(EntryNotes,$P342)))</f>
        <v/>
      </c>
      <c r="O342" s="28">
        <f>IF($P342="","",IF(INDEX(EntryTxnID,$P342)=0,"",INDEX(EntryTxnID,$P342)))</f>
        <v/>
      </c>
      <c r="P342" s="28">
        <f>IFERROR(MATCH($C$5&amp;"|"&amp;RIGHT("000000"&amp;326,6),CalcRankKey,0),"")</f>
        <v/>
      </c>
    </row>
    <row r="343">
      <c r="A343" s="26">
        <f>IF($B343="","",327)</f>
        <v/>
      </c>
      <c r="B343" s="26">
        <f>IF($P343="","",IF(INDEX(CalcNormDate,$P343)=0,"",INDEX(CalcNormDate,$P343)))</f>
        <v/>
      </c>
      <c r="C343" s="26">
        <f>IF($P343="","",IF(INDEX(CalcTime,$P343)=0,"",INDEX(CalcTime,$P343)))</f>
        <v/>
      </c>
      <c r="D343" s="26">
        <f>IF($P343="","",IF(INDEX(EntryParty,$P343)=0,"",INDEX(EntryParty,$P343)))</f>
        <v/>
      </c>
      <c r="E343" s="26">
        <f>IF($P343="","",IF(INDEX(EntryPartyName,$P343)=0,"",INDEX(EntryPartyName,$P343)))</f>
        <v/>
      </c>
      <c r="F343" s="26">
        <f>IF($P343="","",IF(INDEX(EntryPartyType,$P343)=0,"",INDEX(EntryPartyType,$P343)))</f>
        <v/>
      </c>
      <c r="G343" s="26">
        <f>IF($P343="","",IF(INDEX(EntryTxnType,$P343)=0,"",INDEX(EntryTxnType,$P343)))</f>
        <v/>
      </c>
      <c r="H343" s="27">
        <f>IF($P343="","",IF(INDEX(EntryDep,$P343)=0,"",INDEX(EntryDep,$P343)))</f>
        <v/>
      </c>
      <c r="I343" s="27">
        <f>IF($P343="","",IF(INDEX(EntryWit,$P343)=0,"",INDEX(EntryWit,$P343)))</f>
        <v/>
      </c>
      <c r="J343" s="27">
        <f>IF($B343="","",IF($A343=1,$C$7,IF(J342="",0,J342))+IF($H343="",0,$H343)-IF($I343="",0,$I343))</f>
        <v/>
      </c>
      <c r="K343" s="27">
        <f>IF($P343="","",IF(INDEX(EntryMan,$P343)=0,"",INDEX(EntryMan,$P343)))</f>
        <v/>
      </c>
      <c r="L343" s="26">
        <f>IF($B343="","",IF($K343="","—",IF(ROUND($K343-$J343,0)=0,"√","×")))</f>
        <v/>
      </c>
      <c r="M343" s="26">
        <f>IF($B343="","",IF(COUNTIFS(EntryDates,$B343,CalcTime,$C343,CalcBank,$C$5,EntryParty,$D343,EntryDep,$H343,EntryWit,$I343)&gt;1,"تکرار",""))</f>
        <v/>
      </c>
      <c r="N343" s="26">
        <f>IF($P343="","",IF(INDEX(EntryNotes,$P343)=0,"",INDEX(EntryNotes,$P343)))</f>
        <v/>
      </c>
      <c r="O343" s="26">
        <f>IF($P343="","",IF(INDEX(EntryTxnID,$P343)=0,"",INDEX(EntryTxnID,$P343)))</f>
        <v/>
      </c>
      <c r="P343" s="26">
        <f>IFERROR(MATCH($C$5&amp;"|"&amp;RIGHT("000000"&amp;327,6),CalcRankKey,0),"")</f>
        <v/>
      </c>
    </row>
    <row r="344">
      <c r="A344" s="28">
        <f>IF($B344="","",328)</f>
        <v/>
      </c>
      <c r="B344" s="28">
        <f>IF($P344="","",IF(INDEX(CalcNormDate,$P344)=0,"",INDEX(CalcNormDate,$P344)))</f>
        <v/>
      </c>
      <c r="C344" s="28">
        <f>IF($P344="","",IF(INDEX(CalcTime,$P344)=0,"",INDEX(CalcTime,$P344)))</f>
        <v/>
      </c>
      <c r="D344" s="28">
        <f>IF($P344="","",IF(INDEX(EntryParty,$P344)=0,"",INDEX(EntryParty,$P344)))</f>
        <v/>
      </c>
      <c r="E344" s="28">
        <f>IF($P344="","",IF(INDEX(EntryPartyName,$P344)=0,"",INDEX(EntryPartyName,$P344)))</f>
        <v/>
      </c>
      <c r="F344" s="28">
        <f>IF($P344="","",IF(INDEX(EntryPartyType,$P344)=0,"",INDEX(EntryPartyType,$P344)))</f>
        <v/>
      </c>
      <c r="G344" s="28">
        <f>IF($P344="","",IF(INDEX(EntryTxnType,$P344)=0,"",INDEX(EntryTxnType,$P344)))</f>
        <v/>
      </c>
      <c r="H344" s="29">
        <f>IF($P344="","",IF(INDEX(EntryDep,$P344)=0,"",INDEX(EntryDep,$P344)))</f>
        <v/>
      </c>
      <c r="I344" s="29">
        <f>IF($P344="","",IF(INDEX(EntryWit,$P344)=0,"",INDEX(EntryWit,$P344)))</f>
        <v/>
      </c>
      <c r="J344" s="29">
        <f>IF($B344="","",IF($A344=1,$C$7,IF(J343="",0,J343))+IF($H344="",0,$H344)-IF($I344="",0,$I344))</f>
        <v/>
      </c>
      <c r="K344" s="29">
        <f>IF($P344="","",IF(INDEX(EntryMan,$P344)=0,"",INDEX(EntryMan,$P344)))</f>
        <v/>
      </c>
      <c r="L344" s="28">
        <f>IF($B344="","",IF($K344="","—",IF(ROUND($K344-$J344,0)=0,"√","×")))</f>
        <v/>
      </c>
      <c r="M344" s="28">
        <f>IF($B344="","",IF(COUNTIFS(EntryDates,$B344,CalcTime,$C344,CalcBank,$C$5,EntryParty,$D344,EntryDep,$H344,EntryWit,$I344)&gt;1,"تکرار",""))</f>
        <v/>
      </c>
      <c r="N344" s="28">
        <f>IF($P344="","",IF(INDEX(EntryNotes,$P344)=0,"",INDEX(EntryNotes,$P344)))</f>
        <v/>
      </c>
      <c r="O344" s="28">
        <f>IF($P344="","",IF(INDEX(EntryTxnID,$P344)=0,"",INDEX(EntryTxnID,$P344)))</f>
        <v/>
      </c>
      <c r="P344" s="28">
        <f>IFERROR(MATCH($C$5&amp;"|"&amp;RIGHT("000000"&amp;328,6),CalcRankKey,0),"")</f>
        <v/>
      </c>
    </row>
    <row r="345">
      <c r="A345" s="26">
        <f>IF($B345="","",329)</f>
        <v/>
      </c>
      <c r="B345" s="26">
        <f>IF($P345="","",IF(INDEX(CalcNormDate,$P345)=0,"",INDEX(CalcNormDate,$P345)))</f>
        <v/>
      </c>
      <c r="C345" s="26">
        <f>IF($P345="","",IF(INDEX(CalcTime,$P345)=0,"",INDEX(CalcTime,$P345)))</f>
        <v/>
      </c>
      <c r="D345" s="26">
        <f>IF($P345="","",IF(INDEX(EntryParty,$P345)=0,"",INDEX(EntryParty,$P345)))</f>
        <v/>
      </c>
      <c r="E345" s="26">
        <f>IF($P345="","",IF(INDEX(EntryPartyName,$P345)=0,"",INDEX(EntryPartyName,$P345)))</f>
        <v/>
      </c>
      <c r="F345" s="26">
        <f>IF($P345="","",IF(INDEX(EntryPartyType,$P345)=0,"",INDEX(EntryPartyType,$P345)))</f>
        <v/>
      </c>
      <c r="G345" s="26">
        <f>IF($P345="","",IF(INDEX(EntryTxnType,$P345)=0,"",INDEX(EntryTxnType,$P345)))</f>
        <v/>
      </c>
      <c r="H345" s="27">
        <f>IF($P345="","",IF(INDEX(EntryDep,$P345)=0,"",INDEX(EntryDep,$P345)))</f>
        <v/>
      </c>
      <c r="I345" s="27">
        <f>IF($P345="","",IF(INDEX(EntryWit,$P345)=0,"",INDEX(EntryWit,$P345)))</f>
        <v/>
      </c>
      <c r="J345" s="27">
        <f>IF($B345="","",IF($A345=1,$C$7,IF(J344="",0,J344))+IF($H345="",0,$H345)-IF($I345="",0,$I345))</f>
        <v/>
      </c>
      <c r="K345" s="27">
        <f>IF($P345="","",IF(INDEX(EntryMan,$P345)=0,"",INDEX(EntryMan,$P345)))</f>
        <v/>
      </c>
      <c r="L345" s="26">
        <f>IF($B345="","",IF($K345="","—",IF(ROUND($K345-$J345,0)=0,"√","×")))</f>
        <v/>
      </c>
      <c r="M345" s="26">
        <f>IF($B345="","",IF(COUNTIFS(EntryDates,$B345,CalcTime,$C345,CalcBank,$C$5,EntryParty,$D345,EntryDep,$H345,EntryWit,$I345)&gt;1,"تکرار",""))</f>
        <v/>
      </c>
      <c r="N345" s="26">
        <f>IF($P345="","",IF(INDEX(EntryNotes,$P345)=0,"",INDEX(EntryNotes,$P345)))</f>
        <v/>
      </c>
      <c r="O345" s="26">
        <f>IF($P345="","",IF(INDEX(EntryTxnID,$P345)=0,"",INDEX(EntryTxnID,$P345)))</f>
        <v/>
      </c>
      <c r="P345" s="26">
        <f>IFERROR(MATCH($C$5&amp;"|"&amp;RIGHT("000000"&amp;329,6),CalcRankKey,0),"")</f>
        <v/>
      </c>
    </row>
    <row r="346">
      <c r="A346" s="28">
        <f>IF($B346="","",330)</f>
        <v/>
      </c>
      <c r="B346" s="28">
        <f>IF($P346="","",IF(INDEX(CalcNormDate,$P346)=0,"",INDEX(CalcNormDate,$P346)))</f>
        <v/>
      </c>
      <c r="C346" s="28">
        <f>IF($P346="","",IF(INDEX(CalcTime,$P346)=0,"",INDEX(CalcTime,$P346)))</f>
        <v/>
      </c>
      <c r="D346" s="28">
        <f>IF($P346="","",IF(INDEX(EntryParty,$P346)=0,"",INDEX(EntryParty,$P346)))</f>
        <v/>
      </c>
      <c r="E346" s="28">
        <f>IF($P346="","",IF(INDEX(EntryPartyName,$P346)=0,"",INDEX(EntryPartyName,$P346)))</f>
        <v/>
      </c>
      <c r="F346" s="28">
        <f>IF($P346="","",IF(INDEX(EntryPartyType,$P346)=0,"",INDEX(EntryPartyType,$P346)))</f>
        <v/>
      </c>
      <c r="G346" s="28">
        <f>IF($P346="","",IF(INDEX(EntryTxnType,$P346)=0,"",INDEX(EntryTxnType,$P346)))</f>
        <v/>
      </c>
      <c r="H346" s="29">
        <f>IF($P346="","",IF(INDEX(EntryDep,$P346)=0,"",INDEX(EntryDep,$P346)))</f>
        <v/>
      </c>
      <c r="I346" s="29">
        <f>IF($P346="","",IF(INDEX(EntryWit,$P346)=0,"",INDEX(EntryWit,$P346)))</f>
        <v/>
      </c>
      <c r="J346" s="29">
        <f>IF($B346="","",IF($A346=1,$C$7,IF(J345="",0,J345))+IF($H346="",0,$H346)-IF($I346="",0,$I346))</f>
        <v/>
      </c>
      <c r="K346" s="29">
        <f>IF($P346="","",IF(INDEX(EntryMan,$P346)=0,"",INDEX(EntryMan,$P346)))</f>
        <v/>
      </c>
      <c r="L346" s="28">
        <f>IF($B346="","",IF($K346="","—",IF(ROUND($K346-$J346,0)=0,"√","×")))</f>
        <v/>
      </c>
      <c r="M346" s="28">
        <f>IF($B346="","",IF(COUNTIFS(EntryDates,$B346,CalcTime,$C346,CalcBank,$C$5,EntryParty,$D346,EntryDep,$H346,EntryWit,$I346)&gt;1,"تکرار",""))</f>
        <v/>
      </c>
      <c r="N346" s="28">
        <f>IF($P346="","",IF(INDEX(EntryNotes,$P346)=0,"",INDEX(EntryNotes,$P346)))</f>
        <v/>
      </c>
      <c r="O346" s="28">
        <f>IF($P346="","",IF(INDEX(EntryTxnID,$P346)=0,"",INDEX(EntryTxnID,$P346)))</f>
        <v/>
      </c>
      <c r="P346" s="28">
        <f>IFERROR(MATCH($C$5&amp;"|"&amp;RIGHT("000000"&amp;330,6),CalcRankKey,0),"")</f>
        <v/>
      </c>
    </row>
    <row r="347">
      <c r="A347" s="26">
        <f>IF($B347="","",331)</f>
        <v/>
      </c>
      <c r="B347" s="26">
        <f>IF($P347="","",IF(INDEX(CalcNormDate,$P347)=0,"",INDEX(CalcNormDate,$P347)))</f>
        <v/>
      </c>
      <c r="C347" s="26">
        <f>IF($P347="","",IF(INDEX(CalcTime,$P347)=0,"",INDEX(CalcTime,$P347)))</f>
        <v/>
      </c>
      <c r="D347" s="26">
        <f>IF($P347="","",IF(INDEX(EntryParty,$P347)=0,"",INDEX(EntryParty,$P347)))</f>
        <v/>
      </c>
      <c r="E347" s="26">
        <f>IF($P347="","",IF(INDEX(EntryPartyName,$P347)=0,"",INDEX(EntryPartyName,$P347)))</f>
        <v/>
      </c>
      <c r="F347" s="26">
        <f>IF($P347="","",IF(INDEX(EntryPartyType,$P347)=0,"",INDEX(EntryPartyType,$P347)))</f>
        <v/>
      </c>
      <c r="G347" s="26">
        <f>IF($P347="","",IF(INDEX(EntryTxnType,$P347)=0,"",INDEX(EntryTxnType,$P347)))</f>
        <v/>
      </c>
      <c r="H347" s="27">
        <f>IF($P347="","",IF(INDEX(EntryDep,$P347)=0,"",INDEX(EntryDep,$P347)))</f>
        <v/>
      </c>
      <c r="I347" s="27">
        <f>IF($P347="","",IF(INDEX(EntryWit,$P347)=0,"",INDEX(EntryWit,$P347)))</f>
        <v/>
      </c>
      <c r="J347" s="27">
        <f>IF($B347="","",IF($A347=1,$C$7,IF(J346="",0,J346))+IF($H347="",0,$H347)-IF($I347="",0,$I347))</f>
        <v/>
      </c>
      <c r="K347" s="27">
        <f>IF($P347="","",IF(INDEX(EntryMan,$P347)=0,"",INDEX(EntryMan,$P347)))</f>
        <v/>
      </c>
      <c r="L347" s="26">
        <f>IF($B347="","",IF($K347="","—",IF(ROUND($K347-$J347,0)=0,"√","×")))</f>
        <v/>
      </c>
      <c r="M347" s="26">
        <f>IF($B347="","",IF(COUNTIFS(EntryDates,$B347,CalcTime,$C347,CalcBank,$C$5,EntryParty,$D347,EntryDep,$H347,EntryWit,$I347)&gt;1,"تکرار",""))</f>
        <v/>
      </c>
      <c r="N347" s="26">
        <f>IF($P347="","",IF(INDEX(EntryNotes,$P347)=0,"",INDEX(EntryNotes,$P347)))</f>
        <v/>
      </c>
      <c r="O347" s="26">
        <f>IF($P347="","",IF(INDEX(EntryTxnID,$P347)=0,"",INDEX(EntryTxnID,$P347)))</f>
        <v/>
      </c>
      <c r="P347" s="26">
        <f>IFERROR(MATCH($C$5&amp;"|"&amp;RIGHT("000000"&amp;331,6),CalcRankKey,0),"")</f>
        <v/>
      </c>
    </row>
    <row r="348">
      <c r="A348" s="28">
        <f>IF($B348="","",332)</f>
        <v/>
      </c>
      <c r="B348" s="28">
        <f>IF($P348="","",IF(INDEX(CalcNormDate,$P348)=0,"",INDEX(CalcNormDate,$P348)))</f>
        <v/>
      </c>
      <c r="C348" s="28">
        <f>IF($P348="","",IF(INDEX(CalcTime,$P348)=0,"",INDEX(CalcTime,$P348)))</f>
        <v/>
      </c>
      <c r="D348" s="28">
        <f>IF($P348="","",IF(INDEX(EntryParty,$P348)=0,"",INDEX(EntryParty,$P348)))</f>
        <v/>
      </c>
      <c r="E348" s="28">
        <f>IF($P348="","",IF(INDEX(EntryPartyName,$P348)=0,"",INDEX(EntryPartyName,$P348)))</f>
        <v/>
      </c>
      <c r="F348" s="28">
        <f>IF($P348="","",IF(INDEX(EntryPartyType,$P348)=0,"",INDEX(EntryPartyType,$P348)))</f>
        <v/>
      </c>
      <c r="G348" s="28">
        <f>IF($P348="","",IF(INDEX(EntryTxnType,$P348)=0,"",INDEX(EntryTxnType,$P348)))</f>
        <v/>
      </c>
      <c r="H348" s="29">
        <f>IF($P348="","",IF(INDEX(EntryDep,$P348)=0,"",INDEX(EntryDep,$P348)))</f>
        <v/>
      </c>
      <c r="I348" s="29">
        <f>IF($P348="","",IF(INDEX(EntryWit,$P348)=0,"",INDEX(EntryWit,$P348)))</f>
        <v/>
      </c>
      <c r="J348" s="29">
        <f>IF($B348="","",IF($A348=1,$C$7,IF(J347="",0,J347))+IF($H348="",0,$H348)-IF($I348="",0,$I348))</f>
        <v/>
      </c>
      <c r="K348" s="29">
        <f>IF($P348="","",IF(INDEX(EntryMan,$P348)=0,"",INDEX(EntryMan,$P348)))</f>
        <v/>
      </c>
      <c r="L348" s="28">
        <f>IF($B348="","",IF($K348="","—",IF(ROUND($K348-$J348,0)=0,"√","×")))</f>
        <v/>
      </c>
      <c r="M348" s="28">
        <f>IF($B348="","",IF(COUNTIFS(EntryDates,$B348,CalcTime,$C348,CalcBank,$C$5,EntryParty,$D348,EntryDep,$H348,EntryWit,$I348)&gt;1,"تکرار",""))</f>
        <v/>
      </c>
      <c r="N348" s="28">
        <f>IF($P348="","",IF(INDEX(EntryNotes,$P348)=0,"",INDEX(EntryNotes,$P348)))</f>
        <v/>
      </c>
      <c r="O348" s="28">
        <f>IF($P348="","",IF(INDEX(EntryTxnID,$P348)=0,"",INDEX(EntryTxnID,$P348)))</f>
        <v/>
      </c>
      <c r="P348" s="28">
        <f>IFERROR(MATCH($C$5&amp;"|"&amp;RIGHT("000000"&amp;332,6),CalcRankKey,0),"")</f>
        <v/>
      </c>
    </row>
    <row r="349">
      <c r="A349" s="26">
        <f>IF($B349="","",333)</f>
        <v/>
      </c>
      <c r="B349" s="26">
        <f>IF($P349="","",IF(INDEX(CalcNormDate,$P349)=0,"",INDEX(CalcNormDate,$P349)))</f>
        <v/>
      </c>
      <c r="C349" s="26">
        <f>IF($P349="","",IF(INDEX(CalcTime,$P349)=0,"",INDEX(CalcTime,$P349)))</f>
        <v/>
      </c>
      <c r="D349" s="26">
        <f>IF($P349="","",IF(INDEX(EntryParty,$P349)=0,"",INDEX(EntryParty,$P349)))</f>
        <v/>
      </c>
      <c r="E349" s="26">
        <f>IF($P349="","",IF(INDEX(EntryPartyName,$P349)=0,"",INDEX(EntryPartyName,$P349)))</f>
        <v/>
      </c>
      <c r="F349" s="26">
        <f>IF($P349="","",IF(INDEX(EntryPartyType,$P349)=0,"",INDEX(EntryPartyType,$P349)))</f>
        <v/>
      </c>
      <c r="G349" s="26">
        <f>IF($P349="","",IF(INDEX(EntryTxnType,$P349)=0,"",INDEX(EntryTxnType,$P349)))</f>
        <v/>
      </c>
      <c r="H349" s="27">
        <f>IF($P349="","",IF(INDEX(EntryDep,$P349)=0,"",INDEX(EntryDep,$P349)))</f>
        <v/>
      </c>
      <c r="I349" s="27">
        <f>IF($P349="","",IF(INDEX(EntryWit,$P349)=0,"",INDEX(EntryWit,$P349)))</f>
        <v/>
      </c>
      <c r="J349" s="27">
        <f>IF($B349="","",IF($A349=1,$C$7,IF(J348="",0,J348))+IF($H349="",0,$H349)-IF($I349="",0,$I349))</f>
        <v/>
      </c>
      <c r="K349" s="27">
        <f>IF($P349="","",IF(INDEX(EntryMan,$P349)=0,"",INDEX(EntryMan,$P349)))</f>
        <v/>
      </c>
      <c r="L349" s="26">
        <f>IF($B349="","",IF($K349="","—",IF(ROUND($K349-$J349,0)=0,"√","×")))</f>
        <v/>
      </c>
      <c r="M349" s="26">
        <f>IF($B349="","",IF(COUNTIFS(EntryDates,$B349,CalcTime,$C349,CalcBank,$C$5,EntryParty,$D349,EntryDep,$H349,EntryWit,$I349)&gt;1,"تکرار",""))</f>
        <v/>
      </c>
      <c r="N349" s="26">
        <f>IF($P349="","",IF(INDEX(EntryNotes,$P349)=0,"",INDEX(EntryNotes,$P349)))</f>
        <v/>
      </c>
      <c r="O349" s="26">
        <f>IF($P349="","",IF(INDEX(EntryTxnID,$P349)=0,"",INDEX(EntryTxnID,$P349)))</f>
        <v/>
      </c>
      <c r="P349" s="26">
        <f>IFERROR(MATCH($C$5&amp;"|"&amp;RIGHT("000000"&amp;333,6),CalcRankKey,0),"")</f>
        <v/>
      </c>
    </row>
    <row r="350">
      <c r="A350" s="28">
        <f>IF($B350="","",334)</f>
        <v/>
      </c>
      <c r="B350" s="28">
        <f>IF($P350="","",IF(INDEX(CalcNormDate,$P350)=0,"",INDEX(CalcNormDate,$P350)))</f>
        <v/>
      </c>
      <c r="C350" s="28">
        <f>IF($P350="","",IF(INDEX(CalcTime,$P350)=0,"",INDEX(CalcTime,$P350)))</f>
        <v/>
      </c>
      <c r="D350" s="28">
        <f>IF($P350="","",IF(INDEX(EntryParty,$P350)=0,"",INDEX(EntryParty,$P350)))</f>
        <v/>
      </c>
      <c r="E350" s="28">
        <f>IF($P350="","",IF(INDEX(EntryPartyName,$P350)=0,"",INDEX(EntryPartyName,$P350)))</f>
        <v/>
      </c>
      <c r="F350" s="28">
        <f>IF($P350="","",IF(INDEX(EntryPartyType,$P350)=0,"",INDEX(EntryPartyType,$P350)))</f>
        <v/>
      </c>
      <c r="G350" s="28">
        <f>IF($P350="","",IF(INDEX(EntryTxnType,$P350)=0,"",INDEX(EntryTxnType,$P350)))</f>
        <v/>
      </c>
      <c r="H350" s="29">
        <f>IF($P350="","",IF(INDEX(EntryDep,$P350)=0,"",INDEX(EntryDep,$P350)))</f>
        <v/>
      </c>
      <c r="I350" s="29">
        <f>IF($P350="","",IF(INDEX(EntryWit,$P350)=0,"",INDEX(EntryWit,$P350)))</f>
        <v/>
      </c>
      <c r="J350" s="29">
        <f>IF($B350="","",IF($A350=1,$C$7,IF(J349="",0,J349))+IF($H350="",0,$H350)-IF($I350="",0,$I350))</f>
        <v/>
      </c>
      <c r="K350" s="29">
        <f>IF($P350="","",IF(INDEX(EntryMan,$P350)=0,"",INDEX(EntryMan,$P350)))</f>
        <v/>
      </c>
      <c r="L350" s="28">
        <f>IF($B350="","",IF($K350="","—",IF(ROUND($K350-$J350,0)=0,"√","×")))</f>
        <v/>
      </c>
      <c r="M350" s="28">
        <f>IF($B350="","",IF(COUNTIFS(EntryDates,$B350,CalcTime,$C350,CalcBank,$C$5,EntryParty,$D350,EntryDep,$H350,EntryWit,$I350)&gt;1,"تکرار",""))</f>
        <v/>
      </c>
      <c r="N350" s="28">
        <f>IF($P350="","",IF(INDEX(EntryNotes,$P350)=0,"",INDEX(EntryNotes,$P350)))</f>
        <v/>
      </c>
      <c r="O350" s="28">
        <f>IF($P350="","",IF(INDEX(EntryTxnID,$P350)=0,"",INDEX(EntryTxnID,$P350)))</f>
        <v/>
      </c>
      <c r="P350" s="28">
        <f>IFERROR(MATCH($C$5&amp;"|"&amp;RIGHT("000000"&amp;334,6),CalcRankKey,0),"")</f>
        <v/>
      </c>
    </row>
    <row r="351">
      <c r="A351" s="26">
        <f>IF($B351="","",335)</f>
        <v/>
      </c>
      <c r="B351" s="26">
        <f>IF($P351="","",IF(INDEX(CalcNormDate,$P351)=0,"",INDEX(CalcNormDate,$P351)))</f>
        <v/>
      </c>
      <c r="C351" s="26">
        <f>IF($P351="","",IF(INDEX(CalcTime,$P351)=0,"",INDEX(CalcTime,$P351)))</f>
        <v/>
      </c>
      <c r="D351" s="26">
        <f>IF($P351="","",IF(INDEX(EntryParty,$P351)=0,"",INDEX(EntryParty,$P351)))</f>
        <v/>
      </c>
      <c r="E351" s="26">
        <f>IF($P351="","",IF(INDEX(EntryPartyName,$P351)=0,"",INDEX(EntryPartyName,$P351)))</f>
        <v/>
      </c>
      <c r="F351" s="26">
        <f>IF($P351="","",IF(INDEX(EntryPartyType,$P351)=0,"",INDEX(EntryPartyType,$P351)))</f>
        <v/>
      </c>
      <c r="G351" s="26">
        <f>IF($P351="","",IF(INDEX(EntryTxnType,$P351)=0,"",INDEX(EntryTxnType,$P351)))</f>
        <v/>
      </c>
      <c r="H351" s="27">
        <f>IF($P351="","",IF(INDEX(EntryDep,$P351)=0,"",INDEX(EntryDep,$P351)))</f>
        <v/>
      </c>
      <c r="I351" s="27">
        <f>IF($P351="","",IF(INDEX(EntryWit,$P351)=0,"",INDEX(EntryWit,$P351)))</f>
        <v/>
      </c>
      <c r="J351" s="27">
        <f>IF($B351="","",IF($A351=1,$C$7,IF(J350="",0,J350))+IF($H351="",0,$H351)-IF($I351="",0,$I351))</f>
        <v/>
      </c>
      <c r="K351" s="27">
        <f>IF($P351="","",IF(INDEX(EntryMan,$P351)=0,"",INDEX(EntryMan,$P351)))</f>
        <v/>
      </c>
      <c r="L351" s="26">
        <f>IF($B351="","",IF($K351="","—",IF(ROUND($K351-$J351,0)=0,"√","×")))</f>
        <v/>
      </c>
      <c r="M351" s="26">
        <f>IF($B351="","",IF(COUNTIFS(EntryDates,$B351,CalcTime,$C351,CalcBank,$C$5,EntryParty,$D351,EntryDep,$H351,EntryWit,$I351)&gt;1,"تکرار",""))</f>
        <v/>
      </c>
      <c r="N351" s="26">
        <f>IF($P351="","",IF(INDEX(EntryNotes,$P351)=0,"",INDEX(EntryNotes,$P351)))</f>
        <v/>
      </c>
      <c r="O351" s="26">
        <f>IF($P351="","",IF(INDEX(EntryTxnID,$P351)=0,"",INDEX(EntryTxnID,$P351)))</f>
        <v/>
      </c>
      <c r="P351" s="26">
        <f>IFERROR(MATCH($C$5&amp;"|"&amp;RIGHT("000000"&amp;335,6),CalcRankKey,0),"")</f>
        <v/>
      </c>
    </row>
    <row r="352">
      <c r="A352" s="28">
        <f>IF($B352="","",336)</f>
        <v/>
      </c>
      <c r="B352" s="28">
        <f>IF($P352="","",IF(INDEX(CalcNormDate,$P352)=0,"",INDEX(CalcNormDate,$P352)))</f>
        <v/>
      </c>
      <c r="C352" s="28">
        <f>IF($P352="","",IF(INDEX(CalcTime,$P352)=0,"",INDEX(CalcTime,$P352)))</f>
        <v/>
      </c>
      <c r="D352" s="28">
        <f>IF($P352="","",IF(INDEX(EntryParty,$P352)=0,"",INDEX(EntryParty,$P352)))</f>
        <v/>
      </c>
      <c r="E352" s="28">
        <f>IF($P352="","",IF(INDEX(EntryPartyName,$P352)=0,"",INDEX(EntryPartyName,$P352)))</f>
        <v/>
      </c>
      <c r="F352" s="28">
        <f>IF($P352="","",IF(INDEX(EntryPartyType,$P352)=0,"",INDEX(EntryPartyType,$P352)))</f>
        <v/>
      </c>
      <c r="G352" s="28">
        <f>IF($P352="","",IF(INDEX(EntryTxnType,$P352)=0,"",INDEX(EntryTxnType,$P352)))</f>
        <v/>
      </c>
      <c r="H352" s="29">
        <f>IF($P352="","",IF(INDEX(EntryDep,$P352)=0,"",INDEX(EntryDep,$P352)))</f>
        <v/>
      </c>
      <c r="I352" s="29">
        <f>IF($P352="","",IF(INDEX(EntryWit,$P352)=0,"",INDEX(EntryWit,$P352)))</f>
        <v/>
      </c>
      <c r="J352" s="29">
        <f>IF($B352="","",IF($A352=1,$C$7,IF(J351="",0,J351))+IF($H352="",0,$H352)-IF($I352="",0,$I352))</f>
        <v/>
      </c>
      <c r="K352" s="29">
        <f>IF($P352="","",IF(INDEX(EntryMan,$P352)=0,"",INDEX(EntryMan,$P352)))</f>
        <v/>
      </c>
      <c r="L352" s="28">
        <f>IF($B352="","",IF($K352="","—",IF(ROUND($K352-$J352,0)=0,"√","×")))</f>
        <v/>
      </c>
      <c r="M352" s="28">
        <f>IF($B352="","",IF(COUNTIFS(EntryDates,$B352,CalcTime,$C352,CalcBank,$C$5,EntryParty,$D352,EntryDep,$H352,EntryWit,$I352)&gt;1,"تکرار",""))</f>
        <v/>
      </c>
      <c r="N352" s="28">
        <f>IF($P352="","",IF(INDEX(EntryNotes,$P352)=0,"",INDEX(EntryNotes,$P352)))</f>
        <v/>
      </c>
      <c r="O352" s="28">
        <f>IF($P352="","",IF(INDEX(EntryTxnID,$P352)=0,"",INDEX(EntryTxnID,$P352)))</f>
        <v/>
      </c>
      <c r="P352" s="28">
        <f>IFERROR(MATCH($C$5&amp;"|"&amp;RIGHT("000000"&amp;336,6),CalcRankKey,0),"")</f>
        <v/>
      </c>
    </row>
    <row r="353">
      <c r="A353" s="26">
        <f>IF($B353="","",337)</f>
        <v/>
      </c>
      <c r="B353" s="26">
        <f>IF($P353="","",IF(INDEX(CalcNormDate,$P353)=0,"",INDEX(CalcNormDate,$P353)))</f>
        <v/>
      </c>
      <c r="C353" s="26">
        <f>IF($P353="","",IF(INDEX(CalcTime,$P353)=0,"",INDEX(CalcTime,$P353)))</f>
        <v/>
      </c>
      <c r="D353" s="26">
        <f>IF($P353="","",IF(INDEX(EntryParty,$P353)=0,"",INDEX(EntryParty,$P353)))</f>
        <v/>
      </c>
      <c r="E353" s="26">
        <f>IF($P353="","",IF(INDEX(EntryPartyName,$P353)=0,"",INDEX(EntryPartyName,$P353)))</f>
        <v/>
      </c>
      <c r="F353" s="26">
        <f>IF($P353="","",IF(INDEX(EntryPartyType,$P353)=0,"",INDEX(EntryPartyType,$P353)))</f>
        <v/>
      </c>
      <c r="G353" s="26">
        <f>IF($P353="","",IF(INDEX(EntryTxnType,$P353)=0,"",INDEX(EntryTxnType,$P353)))</f>
        <v/>
      </c>
      <c r="H353" s="27">
        <f>IF($P353="","",IF(INDEX(EntryDep,$P353)=0,"",INDEX(EntryDep,$P353)))</f>
        <v/>
      </c>
      <c r="I353" s="27">
        <f>IF($P353="","",IF(INDEX(EntryWit,$P353)=0,"",INDEX(EntryWit,$P353)))</f>
        <v/>
      </c>
      <c r="J353" s="27">
        <f>IF($B353="","",IF($A353=1,$C$7,IF(J352="",0,J352))+IF($H353="",0,$H353)-IF($I353="",0,$I353))</f>
        <v/>
      </c>
      <c r="K353" s="27">
        <f>IF($P353="","",IF(INDEX(EntryMan,$P353)=0,"",INDEX(EntryMan,$P353)))</f>
        <v/>
      </c>
      <c r="L353" s="26">
        <f>IF($B353="","",IF($K353="","—",IF(ROUND($K353-$J353,0)=0,"√","×")))</f>
        <v/>
      </c>
      <c r="M353" s="26">
        <f>IF($B353="","",IF(COUNTIFS(EntryDates,$B353,CalcTime,$C353,CalcBank,$C$5,EntryParty,$D353,EntryDep,$H353,EntryWit,$I353)&gt;1,"تکرار",""))</f>
        <v/>
      </c>
      <c r="N353" s="26">
        <f>IF($P353="","",IF(INDEX(EntryNotes,$P353)=0,"",INDEX(EntryNotes,$P353)))</f>
        <v/>
      </c>
      <c r="O353" s="26">
        <f>IF($P353="","",IF(INDEX(EntryTxnID,$P353)=0,"",INDEX(EntryTxnID,$P353)))</f>
        <v/>
      </c>
      <c r="P353" s="26">
        <f>IFERROR(MATCH($C$5&amp;"|"&amp;RIGHT("000000"&amp;337,6),CalcRankKey,0),"")</f>
        <v/>
      </c>
    </row>
    <row r="354">
      <c r="A354" s="28">
        <f>IF($B354="","",338)</f>
        <v/>
      </c>
      <c r="B354" s="28">
        <f>IF($P354="","",IF(INDEX(CalcNormDate,$P354)=0,"",INDEX(CalcNormDate,$P354)))</f>
        <v/>
      </c>
      <c r="C354" s="28">
        <f>IF($P354="","",IF(INDEX(CalcTime,$P354)=0,"",INDEX(CalcTime,$P354)))</f>
        <v/>
      </c>
      <c r="D354" s="28">
        <f>IF($P354="","",IF(INDEX(EntryParty,$P354)=0,"",INDEX(EntryParty,$P354)))</f>
        <v/>
      </c>
      <c r="E354" s="28">
        <f>IF($P354="","",IF(INDEX(EntryPartyName,$P354)=0,"",INDEX(EntryPartyName,$P354)))</f>
        <v/>
      </c>
      <c r="F354" s="28">
        <f>IF($P354="","",IF(INDEX(EntryPartyType,$P354)=0,"",INDEX(EntryPartyType,$P354)))</f>
        <v/>
      </c>
      <c r="G354" s="28">
        <f>IF($P354="","",IF(INDEX(EntryTxnType,$P354)=0,"",INDEX(EntryTxnType,$P354)))</f>
        <v/>
      </c>
      <c r="H354" s="29">
        <f>IF($P354="","",IF(INDEX(EntryDep,$P354)=0,"",INDEX(EntryDep,$P354)))</f>
        <v/>
      </c>
      <c r="I354" s="29">
        <f>IF($P354="","",IF(INDEX(EntryWit,$P354)=0,"",INDEX(EntryWit,$P354)))</f>
        <v/>
      </c>
      <c r="J354" s="29">
        <f>IF($B354="","",IF($A354=1,$C$7,IF(J353="",0,J353))+IF($H354="",0,$H354)-IF($I354="",0,$I354))</f>
        <v/>
      </c>
      <c r="K354" s="29">
        <f>IF($P354="","",IF(INDEX(EntryMan,$P354)=0,"",INDEX(EntryMan,$P354)))</f>
        <v/>
      </c>
      <c r="L354" s="28">
        <f>IF($B354="","",IF($K354="","—",IF(ROUND($K354-$J354,0)=0,"√","×")))</f>
        <v/>
      </c>
      <c r="M354" s="28">
        <f>IF($B354="","",IF(COUNTIFS(EntryDates,$B354,CalcTime,$C354,CalcBank,$C$5,EntryParty,$D354,EntryDep,$H354,EntryWit,$I354)&gt;1,"تکرار",""))</f>
        <v/>
      </c>
      <c r="N354" s="28">
        <f>IF($P354="","",IF(INDEX(EntryNotes,$P354)=0,"",INDEX(EntryNotes,$P354)))</f>
        <v/>
      </c>
      <c r="O354" s="28">
        <f>IF($P354="","",IF(INDEX(EntryTxnID,$P354)=0,"",INDEX(EntryTxnID,$P354)))</f>
        <v/>
      </c>
      <c r="P354" s="28">
        <f>IFERROR(MATCH($C$5&amp;"|"&amp;RIGHT("000000"&amp;338,6),CalcRankKey,0),"")</f>
        <v/>
      </c>
    </row>
    <row r="355">
      <c r="A355" s="26">
        <f>IF($B355="","",339)</f>
        <v/>
      </c>
      <c r="B355" s="26">
        <f>IF($P355="","",IF(INDEX(CalcNormDate,$P355)=0,"",INDEX(CalcNormDate,$P355)))</f>
        <v/>
      </c>
      <c r="C355" s="26">
        <f>IF($P355="","",IF(INDEX(CalcTime,$P355)=0,"",INDEX(CalcTime,$P355)))</f>
        <v/>
      </c>
      <c r="D355" s="26">
        <f>IF($P355="","",IF(INDEX(EntryParty,$P355)=0,"",INDEX(EntryParty,$P355)))</f>
        <v/>
      </c>
      <c r="E355" s="26">
        <f>IF($P355="","",IF(INDEX(EntryPartyName,$P355)=0,"",INDEX(EntryPartyName,$P355)))</f>
        <v/>
      </c>
      <c r="F355" s="26">
        <f>IF($P355="","",IF(INDEX(EntryPartyType,$P355)=0,"",INDEX(EntryPartyType,$P355)))</f>
        <v/>
      </c>
      <c r="G355" s="26">
        <f>IF($P355="","",IF(INDEX(EntryTxnType,$P355)=0,"",INDEX(EntryTxnType,$P355)))</f>
        <v/>
      </c>
      <c r="H355" s="27">
        <f>IF($P355="","",IF(INDEX(EntryDep,$P355)=0,"",INDEX(EntryDep,$P355)))</f>
        <v/>
      </c>
      <c r="I355" s="27">
        <f>IF($P355="","",IF(INDEX(EntryWit,$P355)=0,"",INDEX(EntryWit,$P355)))</f>
        <v/>
      </c>
      <c r="J355" s="27">
        <f>IF($B355="","",IF($A355=1,$C$7,IF(J354="",0,J354))+IF($H355="",0,$H355)-IF($I355="",0,$I355))</f>
        <v/>
      </c>
      <c r="K355" s="27">
        <f>IF($P355="","",IF(INDEX(EntryMan,$P355)=0,"",INDEX(EntryMan,$P355)))</f>
        <v/>
      </c>
      <c r="L355" s="26">
        <f>IF($B355="","",IF($K355="","—",IF(ROUND($K355-$J355,0)=0,"√","×")))</f>
        <v/>
      </c>
      <c r="M355" s="26">
        <f>IF($B355="","",IF(COUNTIFS(EntryDates,$B355,CalcTime,$C355,CalcBank,$C$5,EntryParty,$D355,EntryDep,$H355,EntryWit,$I355)&gt;1,"تکرار",""))</f>
        <v/>
      </c>
      <c r="N355" s="26">
        <f>IF($P355="","",IF(INDEX(EntryNotes,$P355)=0,"",INDEX(EntryNotes,$P355)))</f>
        <v/>
      </c>
      <c r="O355" s="26">
        <f>IF($P355="","",IF(INDEX(EntryTxnID,$P355)=0,"",INDEX(EntryTxnID,$P355)))</f>
        <v/>
      </c>
      <c r="P355" s="26">
        <f>IFERROR(MATCH($C$5&amp;"|"&amp;RIGHT("000000"&amp;339,6),CalcRankKey,0),"")</f>
        <v/>
      </c>
    </row>
    <row r="356">
      <c r="A356" s="28">
        <f>IF($B356="","",340)</f>
        <v/>
      </c>
      <c r="B356" s="28">
        <f>IF($P356="","",IF(INDEX(CalcNormDate,$P356)=0,"",INDEX(CalcNormDate,$P356)))</f>
        <v/>
      </c>
      <c r="C356" s="28">
        <f>IF($P356="","",IF(INDEX(CalcTime,$P356)=0,"",INDEX(CalcTime,$P356)))</f>
        <v/>
      </c>
      <c r="D356" s="28">
        <f>IF($P356="","",IF(INDEX(EntryParty,$P356)=0,"",INDEX(EntryParty,$P356)))</f>
        <v/>
      </c>
      <c r="E356" s="28">
        <f>IF($P356="","",IF(INDEX(EntryPartyName,$P356)=0,"",INDEX(EntryPartyName,$P356)))</f>
        <v/>
      </c>
      <c r="F356" s="28">
        <f>IF($P356="","",IF(INDEX(EntryPartyType,$P356)=0,"",INDEX(EntryPartyType,$P356)))</f>
        <v/>
      </c>
      <c r="G356" s="28">
        <f>IF($P356="","",IF(INDEX(EntryTxnType,$P356)=0,"",INDEX(EntryTxnType,$P356)))</f>
        <v/>
      </c>
      <c r="H356" s="29">
        <f>IF($P356="","",IF(INDEX(EntryDep,$P356)=0,"",INDEX(EntryDep,$P356)))</f>
        <v/>
      </c>
      <c r="I356" s="29">
        <f>IF($P356="","",IF(INDEX(EntryWit,$P356)=0,"",INDEX(EntryWit,$P356)))</f>
        <v/>
      </c>
      <c r="J356" s="29">
        <f>IF($B356="","",IF($A356=1,$C$7,IF(J355="",0,J355))+IF($H356="",0,$H356)-IF($I356="",0,$I356))</f>
        <v/>
      </c>
      <c r="K356" s="29">
        <f>IF($P356="","",IF(INDEX(EntryMan,$P356)=0,"",INDEX(EntryMan,$P356)))</f>
        <v/>
      </c>
      <c r="L356" s="28">
        <f>IF($B356="","",IF($K356="","—",IF(ROUND($K356-$J356,0)=0,"√","×")))</f>
        <v/>
      </c>
      <c r="M356" s="28">
        <f>IF($B356="","",IF(COUNTIFS(EntryDates,$B356,CalcTime,$C356,CalcBank,$C$5,EntryParty,$D356,EntryDep,$H356,EntryWit,$I356)&gt;1,"تکرار",""))</f>
        <v/>
      </c>
      <c r="N356" s="28">
        <f>IF($P356="","",IF(INDEX(EntryNotes,$P356)=0,"",INDEX(EntryNotes,$P356)))</f>
        <v/>
      </c>
      <c r="O356" s="28">
        <f>IF($P356="","",IF(INDEX(EntryTxnID,$P356)=0,"",INDEX(EntryTxnID,$P356)))</f>
        <v/>
      </c>
      <c r="P356" s="28">
        <f>IFERROR(MATCH($C$5&amp;"|"&amp;RIGHT("000000"&amp;340,6),CalcRankKey,0),"")</f>
        <v/>
      </c>
    </row>
    <row r="357">
      <c r="A357" s="26">
        <f>IF($B357="","",341)</f>
        <v/>
      </c>
      <c r="B357" s="26">
        <f>IF($P357="","",IF(INDEX(CalcNormDate,$P357)=0,"",INDEX(CalcNormDate,$P357)))</f>
        <v/>
      </c>
      <c r="C357" s="26">
        <f>IF($P357="","",IF(INDEX(CalcTime,$P357)=0,"",INDEX(CalcTime,$P357)))</f>
        <v/>
      </c>
      <c r="D357" s="26">
        <f>IF($P357="","",IF(INDEX(EntryParty,$P357)=0,"",INDEX(EntryParty,$P357)))</f>
        <v/>
      </c>
      <c r="E357" s="26">
        <f>IF($P357="","",IF(INDEX(EntryPartyName,$P357)=0,"",INDEX(EntryPartyName,$P357)))</f>
        <v/>
      </c>
      <c r="F357" s="26">
        <f>IF($P357="","",IF(INDEX(EntryPartyType,$P357)=0,"",INDEX(EntryPartyType,$P357)))</f>
        <v/>
      </c>
      <c r="G357" s="26">
        <f>IF($P357="","",IF(INDEX(EntryTxnType,$P357)=0,"",INDEX(EntryTxnType,$P357)))</f>
        <v/>
      </c>
      <c r="H357" s="27">
        <f>IF($P357="","",IF(INDEX(EntryDep,$P357)=0,"",INDEX(EntryDep,$P357)))</f>
        <v/>
      </c>
      <c r="I357" s="27">
        <f>IF($P357="","",IF(INDEX(EntryWit,$P357)=0,"",INDEX(EntryWit,$P357)))</f>
        <v/>
      </c>
      <c r="J357" s="27">
        <f>IF($B357="","",IF($A357=1,$C$7,IF(J356="",0,J356))+IF($H357="",0,$H357)-IF($I357="",0,$I357))</f>
        <v/>
      </c>
      <c r="K357" s="27">
        <f>IF($P357="","",IF(INDEX(EntryMan,$P357)=0,"",INDEX(EntryMan,$P357)))</f>
        <v/>
      </c>
      <c r="L357" s="26">
        <f>IF($B357="","",IF($K357="","—",IF(ROUND($K357-$J357,0)=0,"√","×")))</f>
        <v/>
      </c>
      <c r="M357" s="26">
        <f>IF($B357="","",IF(COUNTIFS(EntryDates,$B357,CalcTime,$C357,CalcBank,$C$5,EntryParty,$D357,EntryDep,$H357,EntryWit,$I357)&gt;1,"تکرار",""))</f>
        <v/>
      </c>
      <c r="N357" s="26">
        <f>IF($P357="","",IF(INDEX(EntryNotes,$P357)=0,"",INDEX(EntryNotes,$P357)))</f>
        <v/>
      </c>
      <c r="O357" s="26">
        <f>IF($P357="","",IF(INDEX(EntryTxnID,$P357)=0,"",INDEX(EntryTxnID,$P357)))</f>
        <v/>
      </c>
      <c r="P357" s="26">
        <f>IFERROR(MATCH($C$5&amp;"|"&amp;RIGHT("000000"&amp;341,6),CalcRankKey,0),"")</f>
        <v/>
      </c>
    </row>
    <row r="358">
      <c r="A358" s="28">
        <f>IF($B358="","",342)</f>
        <v/>
      </c>
      <c r="B358" s="28">
        <f>IF($P358="","",IF(INDEX(CalcNormDate,$P358)=0,"",INDEX(CalcNormDate,$P358)))</f>
        <v/>
      </c>
      <c r="C358" s="28">
        <f>IF($P358="","",IF(INDEX(CalcTime,$P358)=0,"",INDEX(CalcTime,$P358)))</f>
        <v/>
      </c>
      <c r="D358" s="28">
        <f>IF($P358="","",IF(INDEX(EntryParty,$P358)=0,"",INDEX(EntryParty,$P358)))</f>
        <v/>
      </c>
      <c r="E358" s="28">
        <f>IF($P358="","",IF(INDEX(EntryPartyName,$P358)=0,"",INDEX(EntryPartyName,$P358)))</f>
        <v/>
      </c>
      <c r="F358" s="28">
        <f>IF($P358="","",IF(INDEX(EntryPartyType,$P358)=0,"",INDEX(EntryPartyType,$P358)))</f>
        <v/>
      </c>
      <c r="G358" s="28">
        <f>IF($P358="","",IF(INDEX(EntryTxnType,$P358)=0,"",INDEX(EntryTxnType,$P358)))</f>
        <v/>
      </c>
      <c r="H358" s="29">
        <f>IF($P358="","",IF(INDEX(EntryDep,$P358)=0,"",INDEX(EntryDep,$P358)))</f>
        <v/>
      </c>
      <c r="I358" s="29">
        <f>IF($P358="","",IF(INDEX(EntryWit,$P358)=0,"",INDEX(EntryWit,$P358)))</f>
        <v/>
      </c>
      <c r="J358" s="29">
        <f>IF($B358="","",IF($A358=1,$C$7,IF(J357="",0,J357))+IF($H358="",0,$H358)-IF($I358="",0,$I358))</f>
        <v/>
      </c>
      <c r="K358" s="29">
        <f>IF($P358="","",IF(INDEX(EntryMan,$P358)=0,"",INDEX(EntryMan,$P358)))</f>
        <v/>
      </c>
      <c r="L358" s="28">
        <f>IF($B358="","",IF($K358="","—",IF(ROUND($K358-$J358,0)=0,"√","×")))</f>
        <v/>
      </c>
      <c r="M358" s="28">
        <f>IF($B358="","",IF(COUNTIFS(EntryDates,$B358,CalcTime,$C358,CalcBank,$C$5,EntryParty,$D358,EntryDep,$H358,EntryWit,$I358)&gt;1,"تکرار",""))</f>
        <v/>
      </c>
      <c r="N358" s="28">
        <f>IF($P358="","",IF(INDEX(EntryNotes,$P358)=0,"",INDEX(EntryNotes,$P358)))</f>
        <v/>
      </c>
      <c r="O358" s="28">
        <f>IF($P358="","",IF(INDEX(EntryTxnID,$P358)=0,"",INDEX(EntryTxnID,$P358)))</f>
        <v/>
      </c>
      <c r="P358" s="28">
        <f>IFERROR(MATCH($C$5&amp;"|"&amp;RIGHT("000000"&amp;342,6),CalcRankKey,0),"")</f>
        <v/>
      </c>
    </row>
    <row r="359">
      <c r="A359" s="26">
        <f>IF($B359="","",343)</f>
        <v/>
      </c>
      <c r="B359" s="26">
        <f>IF($P359="","",IF(INDEX(CalcNormDate,$P359)=0,"",INDEX(CalcNormDate,$P359)))</f>
        <v/>
      </c>
      <c r="C359" s="26">
        <f>IF($P359="","",IF(INDEX(CalcTime,$P359)=0,"",INDEX(CalcTime,$P359)))</f>
        <v/>
      </c>
      <c r="D359" s="26">
        <f>IF($P359="","",IF(INDEX(EntryParty,$P359)=0,"",INDEX(EntryParty,$P359)))</f>
        <v/>
      </c>
      <c r="E359" s="26">
        <f>IF($P359="","",IF(INDEX(EntryPartyName,$P359)=0,"",INDEX(EntryPartyName,$P359)))</f>
        <v/>
      </c>
      <c r="F359" s="26">
        <f>IF($P359="","",IF(INDEX(EntryPartyType,$P359)=0,"",INDEX(EntryPartyType,$P359)))</f>
        <v/>
      </c>
      <c r="G359" s="26">
        <f>IF($P359="","",IF(INDEX(EntryTxnType,$P359)=0,"",INDEX(EntryTxnType,$P359)))</f>
        <v/>
      </c>
      <c r="H359" s="27">
        <f>IF($P359="","",IF(INDEX(EntryDep,$P359)=0,"",INDEX(EntryDep,$P359)))</f>
        <v/>
      </c>
      <c r="I359" s="27">
        <f>IF($P359="","",IF(INDEX(EntryWit,$P359)=0,"",INDEX(EntryWit,$P359)))</f>
        <v/>
      </c>
      <c r="J359" s="27">
        <f>IF($B359="","",IF($A359=1,$C$7,IF(J358="",0,J358))+IF($H359="",0,$H359)-IF($I359="",0,$I359))</f>
        <v/>
      </c>
      <c r="K359" s="27">
        <f>IF($P359="","",IF(INDEX(EntryMan,$P359)=0,"",INDEX(EntryMan,$P359)))</f>
        <v/>
      </c>
      <c r="L359" s="26">
        <f>IF($B359="","",IF($K359="","—",IF(ROUND($K359-$J359,0)=0,"√","×")))</f>
        <v/>
      </c>
      <c r="M359" s="26">
        <f>IF($B359="","",IF(COUNTIFS(EntryDates,$B359,CalcTime,$C359,CalcBank,$C$5,EntryParty,$D359,EntryDep,$H359,EntryWit,$I359)&gt;1,"تکرار",""))</f>
        <v/>
      </c>
      <c r="N359" s="26">
        <f>IF($P359="","",IF(INDEX(EntryNotes,$P359)=0,"",INDEX(EntryNotes,$P359)))</f>
        <v/>
      </c>
      <c r="O359" s="26">
        <f>IF($P359="","",IF(INDEX(EntryTxnID,$P359)=0,"",INDEX(EntryTxnID,$P359)))</f>
        <v/>
      </c>
      <c r="P359" s="26">
        <f>IFERROR(MATCH($C$5&amp;"|"&amp;RIGHT("000000"&amp;343,6),CalcRankKey,0),"")</f>
        <v/>
      </c>
    </row>
    <row r="360">
      <c r="A360" s="28">
        <f>IF($B360="","",344)</f>
        <v/>
      </c>
      <c r="B360" s="28">
        <f>IF($P360="","",IF(INDEX(CalcNormDate,$P360)=0,"",INDEX(CalcNormDate,$P360)))</f>
        <v/>
      </c>
      <c r="C360" s="28">
        <f>IF($P360="","",IF(INDEX(CalcTime,$P360)=0,"",INDEX(CalcTime,$P360)))</f>
        <v/>
      </c>
      <c r="D360" s="28">
        <f>IF($P360="","",IF(INDEX(EntryParty,$P360)=0,"",INDEX(EntryParty,$P360)))</f>
        <v/>
      </c>
      <c r="E360" s="28">
        <f>IF($P360="","",IF(INDEX(EntryPartyName,$P360)=0,"",INDEX(EntryPartyName,$P360)))</f>
        <v/>
      </c>
      <c r="F360" s="28">
        <f>IF($P360="","",IF(INDEX(EntryPartyType,$P360)=0,"",INDEX(EntryPartyType,$P360)))</f>
        <v/>
      </c>
      <c r="G360" s="28">
        <f>IF($P360="","",IF(INDEX(EntryTxnType,$P360)=0,"",INDEX(EntryTxnType,$P360)))</f>
        <v/>
      </c>
      <c r="H360" s="29">
        <f>IF($P360="","",IF(INDEX(EntryDep,$P360)=0,"",INDEX(EntryDep,$P360)))</f>
        <v/>
      </c>
      <c r="I360" s="29">
        <f>IF($P360="","",IF(INDEX(EntryWit,$P360)=0,"",INDEX(EntryWit,$P360)))</f>
        <v/>
      </c>
      <c r="J360" s="29">
        <f>IF($B360="","",IF($A360=1,$C$7,IF(J359="",0,J359))+IF($H360="",0,$H360)-IF($I360="",0,$I360))</f>
        <v/>
      </c>
      <c r="K360" s="29">
        <f>IF($P360="","",IF(INDEX(EntryMan,$P360)=0,"",INDEX(EntryMan,$P360)))</f>
        <v/>
      </c>
      <c r="L360" s="28">
        <f>IF($B360="","",IF($K360="","—",IF(ROUND($K360-$J360,0)=0,"√","×")))</f>
        <v/>
      </c>
      <c r="M360" s="28">
        <f>IF($B360="","",IF(COUNTIFS(EntryDates,$B360,CalcTime,$C360,CalcBank,$C$5,EntryParty,$D360,EntryDep,$H360,EntryWit,$I360)&gt;1,"تکرار",""))</f>
        <v/>
      </c>
      <c r="N360" s="28">
        <f>IF($P360="","",IF(INDEX(EntryNotes,$P360)=0,"",INDEX(EntryNotes,$P360)))</f>
        <v/>
      </c>
      <c r="O360" s="28">
        <f>IF($P360="","",IF(INDEX(EntryTxnID,$P360)=0,"",INDEX(EntryTxnID,$P360)))</f>
        <v/>
      </c>
      <c r="P360" s="28">
        <f>IFERROR(MATCH($C$5&amp;"|"&amp;RIGHT("000000"&amp;344,6),CalcRankKey,0),"")</f>
        <v/>
      </c>
    </row>
    <row r="361">
      <c r="A361" s="26">
        <f>IF($B361="","",345)</f>
        <v/>
      </c>
      <c r="B361" s="26">
        <f>IF($P361="","",IF(INDEX(CalcNormDate,$P361)=0,"",INDEX(CalcNormDate,$P361)))</f>
        <v/>
      </c>
      <c r="C361" s="26">
        <f>IF($P361="","",IF(INDEX(CalcTime,$P361)=0,"",INDEX(CalcTime,$P361)))</f>
        <v/>
      </c>
      <c r="D361" s="26">
        <f>IF($P361="","",IF(INDEX(EntryParty,$P361)=0,"",INDEX(EntryParty,$P361)))</f>
        <v/>
      </c>
      <c r="E361" s="26">
        <f>IF($P361="","",IF(INDEX(EntryPartyName,$P361)=0,"",INDEX(EntryPartyName,$P361)))</f>
        <v/>
      </c>
      <c r="F361" s="26">
        <f>IF($P361="","",IF(INDEX(EntryPartyType,$P361)=0,"",INDEX(EntryPartyType,$P361)))</f>
        <v/>
      </c>
      <c r="G361" s="26">
        <f>IF($P361="","",IF(INDEX(EntryTxnType,$P361)=0,"",INDEX(EntryTxnType,$P361)))</f>
        <v/>
      </c>
      <c r="H361" s="27">
        <f>IF($P361="","",IF(INDEX(EntryDep,$P361)=0,"",INDEX(EntryDep,$P361)))</f>
        <v/>
      </c>
      <c r="I361" s="27">
        <f>IF($P361="","",IF(INDEX(EntryWit,$P361)=0,"",INDEX(EntryWit,$P361)))</f>
        <v/>
      </c>
      <c r="J361" s="27">
        <f>IF($B361="","",IF($A361=1,$C$7,IF(J360="",0,J360))+IF($H361="",0,$H361)-IF($I361="",0,$I361))</f>
        <v/>
      </c>
      <c r="K361" s="27">
        <f>IF($P361="","",IF(INDEX(EntryMan,$P361)=0,"",INDEX(EntryMan,$P361)))</f>
        <v/>
      </c>
      <c r="L361" s="26">
        <f>IF($B361="","",IF($K361="","—",IF(ROUND($K361-$J361,0)=0,"√","×")))</f>
        <v/>
      </c>
      <c r="M361" s="26">
        <f>IF($B361="","",IF(COUNTIFS(EntryDates,$B361,CalcTime,$C361,CalcBank,$C$5,EntryParty,$D361,EntryDep,$H361,EntryWit,$I361)&gt;1,"تکرار",""))</f>
        <v/>
      </c>
      <c r="N361" s="26">
        <f>IF($P361="","",IF(INDEX(EntryNotes,$P361)=0,"",INDEX(EntryNotes,$P361)))</f>
        <v/>
      </c>
      <c r="O361" s="26">
        <f>IF($P361="","",IF(INDEX(EntryTxnID,$P361)=0,"",INDEX(EntryTxnID,$P361)))</f>
        <v/>
      </c>
      <c r="P361" s="26">
        <f>IFERROR(MATCH($C$5&amp;"|"&amp;RIGHT("000000"&amp;345,6),CalcRankKey,0),"")</f>
        <v/>
      </c>
    </row>
    <row r="362">
      <c r="A362" s="28">
        <f>IF($B362="","",346)</f>
        <v/>
      </c>
      <c r="B362" s="28">
        <f>IF($P362="","",IF(INDEX(CalcNormDate,$P362)=0,"",INDEX(CalcNormDate,$P362)))</f>
        <v/>
      </c>
      <c r="C362" s="28">
        <f>IF($P362="","",IF(INDEX(CalcTime,$P362)=0,"",INDEX(CalcTime,$P362)))</f>
        <v/>
      </c>
      <c r="D362" s="28">
        <f>IF($P362="","",IF(INDEX(EntryParty,$P362)=0,"",INDEX(EntryParty,$P362)))</f>
        <v/>
      </c>
      <c r="E362" s="28">
        <f>IF($P362="","",IF(INDEX(EntryPartyName,$P362)=0,"",INDEX(EntryPartyName,$P362)))</f>
        <v/>
      </c>
      <c r="F362" s="28">
        <f>IF($P362="","",IF(INDEX(EntryPartyType,$P362)=0,"",INDEX(EntryPartyType,$P362)))</f>
        <v/>
      </c>
      <c r="G362" s="28">
        <f>IF($P362="","",IF(INDEX(EntryTxnType,$P362)=0,"",INDEX(EntryTxnType,$P362)))</f>
        <v/>
      </c>
      <c r="H362" s="29">
        <f>IF($P362="","",IF(INDEX(EntryDep,$P362)=0,"",INDEX(EntryDep,$P362)))</f>
        <v/>
      </c>
      <c r="I362" s="29">
        <f>IF($P362="","",IF(INDEX(EntryWit,$P362)=0,"",INDEX(EntryWit,$P362)))</f>
        <v/>
      </c>
      <c r="J362" s="29">
        <f>IF($B362="","",IF($A362=1,$C$7,IF(J361="",0,J361))+IF($H362="",0,$H362)-IF($I362="",0,$I362))</f>
        <v/>
      </c>
      <c r="K362" s="29">
        <f>IF($P362="","",IF(INDEX(EntryMan,$P362)=0,"",INDEX(EntryMan,$P362)))</f>
        <v/>
      </c>
      <c r="L362" s="28">
        <f>IF($B362="","",IF($K362="","—",IF(ROUND($K362-$J362,0)=0,"√","×")))</f>
        <v/>
      </c>
      <c r="M362" s="28">
        <f>IF($B362="","",IF(COUNTIFS(EntryDates,$B362,CalcTime,$C362,CalcBank,$C$5,EntryParty,$D362,EntryDep,$H362,EntryWit,$I362)&gt;1,"تکرار",""))</f>
        <v/>
      </c>
      <c r="N362" s="28">
        <f>IF($P362="","",IF(INDEX(EntryNotes,$P362)=0,"",INDEX(EntryNotes,$P362)))</f>
        <v/>
      </c>
      <c r="O362" s="28">
        <f>IF($P362="","",IF(INDEX(EntryTxnID,$P362)=0,"",INDEX(EntryTxnID,$P362)))</f>
        <v/>
      </c>
      <c r="P362" s="28">
        <f>IFERROR(MATCH($C$5&amp;"|"&amp;RIGHT("000000"&amp;346,6),CalcRankKey,0),"")</f>
        <v/>
      </c>
    </row>
    <row r="363">
      <c r="A363" s="26">
        <f>IF($B363="","",347)</f>
        <v/>
      </c>
      <c r="B363" s="26">
        <f>IF($P363="","",IF(INDEX(CalcNormDate,$P363)=0,"",INDEX(CalcNormDate,$P363)))</f>
        <v/>
      </c>
      <c r="C363" s="26">
        <f>IF($P363="","",IF(INDEX(CalcTime,$P363)=0,"",INDEX(CalcTime,$P363)))</f>
        <v/>
      </c>
      <c r="D363" s="26">
        <f>IF($P363="","",IF(INDEX(EntryParty,$P363)=0,"",INDEX(EntryParty,$P363)))</f>
        <v/>
      </c>
      <c r="E363" s="26">
        <f>IF($P363="","",IF(INDEX(EntryPartyName,$P363)=0,"",INDEX(EntryPartyName,$P363)))</f>
        <v/>
      </c>
      <c r="F363" s="26">
        <f>IF($P363="","",IF(INDEX(EntryPartyType,$P363)=0,"",INDEX(EntryPartyType,$P363)))</f>
        <v/>
      </c>
      <c r="G363" s="26">
        <f>IF($P363="","",IF(INDEX(EntryTxnType,$P363)=0,"",INDEX(EntryTxnType,$P363)))</f>
        <v/>
      </c>
      <c r="H363" s="27">
        <f>IF($P363="","",IF(INDEX(EntryDep,$P363)=0,"",INDEX(EntryDep,$P363)))</f>
        <v/>
      </c>
      <c r="I363" s="27">
        <f>IF($P363="","",IF(INDEX(EntryWit,$P363)=0,"",INDEX(EntryWit,$P363)))</f>
        <v/>
      </c>
      <c r="J363" s="27">
        <f>IF($B363="","",IF($A363=1,$C$7,IF(J362="",0,J362))+IF($H363="",0,$H363)-IF($I363="",0,$I363))</f>
        <v/>
      </c>
      <c r="K363" s="27">
        <f>IF($P363="","",IF(INDEX(EntryMan,$P363)=0,"",INDEX(EntryMan,$P363)))</f>
        <v/>
      </c>
      <c r="L363" s="26">
        <f>IF($B363="","",IF($K363="","—",IF(ROUND($K363-$J363,0)=0,"√","×")))</f>
        <v/>
      </c>
      <c r="M363" s="26">
        <f>IF($B363="","",IF(COUNTIFS(EntryDates,$B363,CalcTime,$C363,CalcBank,$C$5,EntryParty,$D363,EntryDep,$H363,EntryWit,$I363)&gt;1,"تکرار",""))</f>
        <v/>
      </c>
      <c r="N363" s="26">
        <f>IF($P363="","",IF(INDEX(EntryNotes,$P363)=0,"",INDEX(EntryNotes,$P363)))</f>
        <v/>
      </c>
      <c r="O363" s="26">
        <f>IF($P363="","",IF(INDEX(EntryTxnID,$P363)=0,"",INDEX(EntryTxnID,$P363)))</f>
        <v/>
      </c>
      <c r="P363" s="26">
        <f>IFERROR(MATCH($C$5&amp;"|"&amp;RIGHT("000000"&amp;347,6),CalcRankKey,0),"")</f>
        <v/>
      </c>
    </row>
    <row r="364">
      <c r="A364" s="28">
        <f>IF($B364="","",348)</f>
        <v/>
      </c>
      <c r="B364" s="28">
        <f>IF($P364="","",IF(INDEX(CalcNormDate,$P364)=0,"",INDEX(CalcNormDate,$P364)))</f>
        <v/>
      </c>
      <c r="C364" s="28">
        <f>IF($P364="","",IF(INDEX(CalcTime,$P364)=0,"",INDEX(CalcTime,$P364)))</f>
        <v/>
      </c>
      <c r="D364" s="28">
        <f>IF($P364="","",IF(INDEX(EntryParty,$P364)=0,"",INDEX(EntryParty,$P364)))</f>
        <v/>
      </c>
      <c r="E364" s="28">
        <f>IF($P364="","",IF(INDEX(EntryPartyName,$P364)=0,"",INDEX(EntryPartyName,$P364)))</f>
        <v/>
      </c>
      <c r="F364" s="28">
        <f>IF($P364="","",IF(INDEX(EntryPartyType,$P364)=0,"",INDEX(EntryPartyType,$P364)))</f>
        <v/>
      </c>
      <c r="G364" s="28">
        <f>IF($P364="","",IF(INDEX(EntryTxnType,$P364)=0,"",INDEX(EntryTxnType,$P364)))</f>
        <v/>
      </c>
      <c r="H364" s="29">
        <f>IF($P364="","",IF(INDEX(EntryDep,$P364)=0,"",INDEX(EntryDep,$P364)))</f>
        <v/>
      </c>
      <c r="I364" s="29">
        <f>IF($P364="","",IF(INDEX(EntryWit,$P364)=0,"",INDEX(EntryWit,$P364)))</f>
        <v/>
      </c>
      <c r="J364" s="29">
        <f>IF($B364="","",IF($A364=1,$C$7,IF(J363="",0,J363))+IF($H364="",0,$H364)-IF($I364="",0,$I364))</f>
        <v/>
      </c>
      <c r="K364" s="29">
        <f>IF($P364="","",IF(INDEX(EntryMan,$P364)=0,"",INDEX(EntryMan,$P364)))</f>
        <v/>
      </c>
      <c r="L364" s="28">
        <f>IF($B364="","",IF($K364="","—",IF(ROUND($K364-$J364,0)=0,"√","×")))</f>
        <v/>
      </c>
      <c r="M364" s="28">
        <f>IF($B364="","",IF(COUNTIFS(EntryDates,$B364,CalcTime,$C364,CalcBank,$C$5,EntryParty,$D364,EntryDep,$H364,EntryWit,$I364)&gt;1,"تکرار",""))</f>
        <v/>
      </c>
      <c r="N364" s="28">
        <f>IF($P364="","",IF(INDEX(EntryNotes,$P364)=0,"",INDEX(EntryNotes,$P364)))</f>
        <v/>
      </c>
      <c r="O364" s="28">
        <f>IF($P364="","",IF(INDEX(EntryTxnID,$P364)=0,"",INDEX(EntryTxnID,$P364)))</f>
        <v/>
      </c>
      <c r="P364" s="28">
        <f>IFERROR(MATCH($C$5&amp;"|"&amp;RIGHT("000000"&amp;348,6),CalcRankKey,0),"")</f>
        <v/>
      </c>
    </row>
    <row r="365">
      <c r="A365" s="26">
        <f>IF($B365="","",349)</f>
        <v/>
      </c>
      <c r="B365" s="26">
        <f>IF($P365="","",IF(INDEX(CalcNormDate,$P365)=0,"",INDEX(CalcNormDate,$P365)))</f>
        <v/>
      </c>
      <c r="C365" s="26">
        <f>IF($P365="","",IF(INDEX(CalcTime,$P365)=0,"",INDEX(CalcTime,$P365)))</f>
        <v/>
      </c>
      <c r="D365" s="26">
        <f>IF($P365="","",IF(INDEX(EntryParty,$P365)=0,"",INDEX(EntryParty,$P365)))</f>
        <v/>
      </c>
      <c r="E365" s="26">
        <f>IF($P365="","",IF(INDEX(EntryPartyName,$P365)=0,"",INDEX(EntryPartyName,$P365)))</f>
        <v/>
      </c>
      <c r="F365" s="26">
        <f>IF($P365="","",IF(INDEX(EntryPartyType,$P365)=0,"",INDEX(EntryPartyType,$P365)))</f>
        <v/>
      </c>
      <c r="G365" s="26">
        <f>IF($P365="","",IF(INDEX(EntryTxnType,$P365)=0,"",INDEX(EntryTxnType,$P365)))</f>
        <v/>
      </c>
      <c r="H365" s="27">
        <f>IF($P365="","",IF(INDEX(EntryDep,$P365)=0,"",INDEX(EntryDep,$P365)))</f>
        <v/>
      </c>
      <c r="I365" s="27">
        <f>IF($P365="","",IF(INDEX(EntryWit,$P365)=0,"",INDEX(EntryWit,$P365)))</f>
        <v/>
      </c>
      <c r="J365" s="27">
        <f>IF($B365="","",IF($A365=1,$C$7,IF(J364="",0,J364))+IF($H365="",0,$H365)-IF($I365="",0,$I365))</f>
        <v/>
      </c>
      <c r="K365" s="27">
        <f>IF($P365="","",IF(INDEX(EntryMan,$P365)=0,"",INDEX(EntryMan,$P365)))</f>
        <v/>
      </c>
      <c r="L365" s="26">
        <f>IF($B365="","",IF($K365="","—",IF(ROUND($K365-$J365,0)=0,"√","×")))</f>
        <v/>
      </c>
      <c r="M365" s="26">
        <f>IF($B365="","",IF(COUNTIFS(EntryDates,$B365,CalcTime,$C365,CalcBank,$C$5,EntryParty,$D365,EntryDep,$H365,EntryWit,$I365)&gt;1,"تکرار",""))</f>
        <v/>
      </c>
      <c r="N365" s="26">
        <f>IF($P365="","",IF(INDEX(EntryNotes,$P365)=0,"",INDEX(EntryNotes,$P365)))</f>
        <v/>
      </c>
      <c r="O365" s="26">
        <f>IF($P365="","",IF(INDEX(EntryTxnID,$P365)=0,"",INDEX(EntryTxnID,$P365)))</f>
        <v/>
      </c>
      <c r="P365" s="26">
        <f>IFERROR(MATCH($C$5&amp;"|"&amp;RIGHT("000000"&amp;349,6),CalcRankKey,0),"")</f>
        <v/>
      </c>
    </row>
    <row r="366">
      <c r="A366" s="28">
        <f>IF($B366="","",350)</f>
        <v/>
      </c>
      <c r="B366" s="28">
        <f>IF($P366="","",IF(INDEX(CalcNormDate,$P366)=0,"",INDEX(CalcNormDate,$P366)))</f>
        <v/>
      </c>
      <c r="C366" s="28">
        <f>IF($P366="","",IF(INDEX(CalcTime,$P366)=0,"",INDEX(CalcTime,$P366)))</f>
        <v/>
      </c>
      <c r="D366" s="28">
        <f>IF($P366="","",IF(INDEX(EntryParty,$P366)=0,"",INDEX(EntryParty,$P366)))</f>
        <v/>
      </c>
      <c r="E366" s="28">
        <f>IF($P366="","",IF(INDEX(EntryPartyName,$P366)=0,"",INDEX(EntryPartyName,$P366)))</f>
        <v/>
      </c>
      <c r="F366" s="28">
        <f>IF($P366="","",IF(INDEX(EntryPartyType,$P366)=0,"",INDEX(EntryPartyType,$P366)))</f>
        <v/>
      </c>
      <c r="G366" s="28">
        <f>IF($P366="","",IF(INDEX(EntryTxnType,$P366)=0,"",INDEX(EntryTxnType,$P366)))</f>
        <v/>
      </c>
      <c r="H366" s="29">
        <f>IF($P366="","",IF(INDEX(EntryDep,$P366)=0,"",INDEX(EntryDep,$P366)))</f>
        <v/>
      </c>
      <c r="I366" s="29">
        <f>IF($P366="","",IF(INDEX(EntryWit,$P366)=0,"",INDEX(EntryWit,$P366)))</f>
        <v/>
      </c>
      <c r="J366" s="29">
        <f>IF($B366="","",IF($A366=1,$C$7,IF(J365="",0,J365))+IF($H366="",0,$H366)-IF($I366="",0,$I366))</f>
        <v/>
      </c>
      <c r="K366" s="29">
        <f>IF($P366="","",IF(INDEX(EntryMan,$P366)=0,"",INDEX(EntryMan,$P366)))</f>
        <v/>
      </c>
      <c r="L366" s="28">
        <f>IF($B366="","",IF($K366="","—",IF(ROUND($K366-$J366,0)=0,"√","×")))</f>
        <v/>
      </c>
      <c r="M366" s="28">
        <f>IF($B366="","",IF(COUNTIFS(EntryDates,$B366,CalcTime,$C366,CalcBank,$C$5,EntryParty,$D366,EntryDep,$H366,EntryWit,$I366)&gt;1,"تکرار",""))</f>
        <v/>
      </c>
      <c r="N366" s="28">
        <f>IF($P366="","",IF(INDEX(EntryNotes,$P366)=0,"",INDEX(EntryNotes,$P366)))</f>
        <v/>
      </c>
      <c r="O366" s="28">
        <f>IF($P366="","",IF(INDEX(EntryTxnID,$P366)=0,"",INDEX(EntryTxnID,$P366)))</f>
        <v/>
      </c>
      <c r="P366" s="28">
        <f>IFERROR(MATCH($C$5&amp;"|"&amp;RIGHT("000000"&amp;350,6),CalcRankKey,0),"")</f>
        <v/>
      </c>
    </row>
    <row r="367">
      <c r="A367" s="26">
        <f>IF($B367="","",351)</f>
        <v/>
      </c>
      <c r="B367" s="26">
        <f>IF($P367="","",IF(INDEX(CalcNormDate,$P367)=0,"",INDEX(CalcNormDate,$P367)))</f>
        <v/>
      </c>
      <c r="C367" s="26">
        <f>IF($P367="","",IF(INDEX(CalcTime,$P367)=0,"",INDEX(CalcTime,$P367)))</f>
        <v/>
      </c>
      <c r="D367" s="26">
        <f>IF($P367="","",IF(INDEX(EntryParty,$P367)=0,"",INDEX(EntryParty,$P367)))</f>
        <v/>
      </c>
      <c r="E367" s="26">
        <f>IF($P367="","",IF(INDEX(EntryPartyName,$P367)=0,"",INDEX(EntryPartyName,$P367)))</f>
        <v/>
      </c>
      <c r="F367" s="26">
        <f>IF($P367="","",IF(INDEX(EntryPartyType,$P367)=0,"",INDEX(EntryPartyType,$P367)))</f>
        <v/>
      </c>
      <c r="G367" s="26">
        <f>IF($P367="","",IF(INDEX(EntryTxnType,$P367)=0,"",INDEX(EntryTxnType,$P367)))</f>
        <v/>
      </c>
      <c r="H367" s="27">
        <f>IF($P367="","",IF(INDEX(EntryDep,$P367)=0,"",INDEX(EntryDep,$P367)))</f>
        <v/>
      </c>
      <c r="I367" s="27">
        <f>IF($P367="","",IF(INDEX(EntryWit,$P367)=0,"",INDEX(EntryWit,$P367)))</f>
        <v/>
      </c>
      <c r="J367" s="27">
        <f>IF($B367="","",IF($A367=1,$C$7,IF(J366="",0,J366))+IF($H367="",0,$H367)-IF($I367="",0,$I367))</f>
        <v/>
      </c>
      <c r="K367" s="27">
        <f>IF($P367="","",IF(INDEX(EntryMan,$P367)=0,"",INDEX(EntryMan,$P367)))</f>
        <v/>
      </c>
      <c r="L367" s="26">
        <f>IF($B367="","",IF($K367="","—",IF(ROUND($K367-$J367,0)=0,"√","×")))</f>
        <v/>
      </c>
      <c r="M367" s="26">
        <f>IF($B367="","",IF(COUNTIFS(EntryDates,$B367,CalcTime,$C367,CalcBank,$C$5,EntryParty,$D367,EntryDep,$H367,EntryWit,$I367)&gt;1,"تکرار",""))</f>
        <v/>
      </c>
      <c r="N367" s="26">
        <f>IF($P367="","",IF(INDEX(EntryNotes,$P367)=0,"",INDEX(EntryNotes,$P367)))</f>
        <v/>
      </c>
      <c r="O367" s="26">
        <f>IF($P367="","",IF(INDEX(EntryTxnID,$P367)=0,"",INDEX(EntryTxnID,$P367)))</f>
        <v/>
      </c>
      <c r="P367" s="26">
        <f>IFERROR(MATCH($C$5&amp;"|"&amp;RIGHT("000000"&amp;351,6),CalcRankKey,0),"")</f>
        <v/>
      </c>
    </row>
    <row r="368">
      <c r="A368" s="28">
        <f>IF($B368="","",352)</f>
        <v/>
      </c>
      <c r="B368" s="28">
        <f>IF($P368="","",IF(INDEX(CalcNormDate,$P368)=0,"",INDEX(CalcNormDate,$P368)))</f>
        <v/>
      </c>
      <c r="C368" s="28">
        <f>IF($P368="","",IF(INDEX(CalcTime,$P368)=0,"",INDEX(CalcTime,$P368)))</f>
        <v/>
      </c>
      <c r="D368" s="28">
        <f>IF($P368="","",IF(INDEX(EntryParty,$P368)=0,"",INDEX(EntryParty,$P368)))</f>
        <v/>
      </c>
      <c r="E368" s="28">
        <f>IF($P368="","",IF(INDEX(EntryPartyName,$P368)=0,"",INDEX(EntryPartyName,$P368)))</f>
        <v/>
      </c>
      <c r="F368" s="28">
        <f>IF($P368="","",IF(INDEX(EntryPartyType,$P368)=0,"",INDEX(EntryPartyType,$P368)))</f>
        <v/>
      </c>
      <c r="G368" s="28">
        <f>IF($P368="","",IF(INDEX(EntryTxnType,$P368)=0,"",INDEX(EntryTxnType,$P368)))</f>
        <v/>
      </c>
      <c r="H368" s="29">
        <f>IF($P368="","",IF(INDEX(EntryDep,$P368)=0,"",INDEX(EntryDep,$P368)))</f>
        <v/>
      </c>
      <c r="I368" s="29">
        <f>IF($P368="","",IF(INDEX(EntryWit,$P368)=0,"",INDEX(EntryWit,$P368)))</f>
        <v/>
      </c>
      <c r="J368" s="29">
        <f>IF($B368="","",IF($A368=1,$C$7,IF(J367="",0,J367))+IF($H368="",0,$H368)-IF($I368="",0,$I368))</f>
        <v/>
      </c>
      <c r="K368" s="29">
        <f>IF($P368="","",IF(INDEX(EntryMan,$P368)=0,"",INDEX(EntryMan,$P368)))</f>
        <v/>
      </c>
      <c r="L368" s="28">
        <f>IF($B368="","",IF($K368="","—",IF(ROUND($K368-$J368,0)=0,"√","×")))</f>
        <v/>
      </c>
      <c r="M368" s="28">
        <f>IF($B368="","",IF(COUNTIFS(EntryDates,$B368,CalcTime,$C368,CalcBank,$C$5,EntryParty,$D368,EntryDep,$H368,EntryWit,$I368)&gt;1,"تکرار",""))</f>
        <v/>
      </c>
      <c r="N368" s="28">
        <f>IF($P368="","",IF(INDEX(EntryNotes,$P368)=0,"",INDEX(EntryNotes,$P368)))</f>
        <v/>
      </c>
      <c r="O368" s="28">
        <f>IF($P368="","",IF(INDEX(EntryTxnID,$P368)=0,"",INDEX(EntryTxnID,$P368)))</f>
        <v/>
      </c>
      <c r="P368" s="28">
        <f>IFERROR(MATCH($C$5&amp;"|"&amp;RIGHT("000000"&amp;352,6),CalcRankKey,0),"")</f>
        <v/>
      </c>
    </row>
    <row r="369">
      <c r="A369" s="26">
        <f>IF($B369="","",353)</f>
        <v/>
      </c>
      <c r="B369" s="26">
        <f>IF($P369="","",IF(INDEX(CalcNormDate,$P369)=0,"",INDEX(CalcNormDate,$P369)))</f>
        <v/>
      </c>
      <c r="C369" s="26">
        <f>IF($P369="","",IF(INDEX(CalcTime,$P369)=0,"",INDEX(CalcTime,$P369)))</f>
        <v/>
      </c>
      <c r="D369" s="26">
        <f>IF($P369="","",IF(INDEX(EntryParty,$P369)=0,"",INDEX(EntryParty,$P369)))</f>
        <v/>
      </c>
      <c r="E369" s="26">
        <f>IF($P369="","",IF(INDEX(EntryPartyName,$P369)=0,"",INDEX(EntryPartyName,$P369)))</f>
        <v/>
      </c>
      <c r="F369" s="26">
        <f>IF($P369="","",IF(INDEX(EntryPartyType,$P369)=0,"",INDEX(EntryPartyType,$P369)))</f>
        <v/>
      </c>
      <c r="G369" s="26">
        <f>IF($P369="","",IF(INDEX(EntryTxnType,$P369)=0,"",INDEX(EntryTxnType,$P369)))</f>
        <v/>
      </c>
      <c r="H369" s="27">
        <f>IF($P369="","",IF(INDEX(EntryDep,$P369)=0,"",INDEX(EntryDep,$P369)))</f>
        <v/>
      </c>
      <c r="I369" s="27">
        <f>IF($P369="","",IF(INDEX(EntryWit,$P369)=0,"",INDEX(EntryWit,$P369)))</f>
        <v/>
      </c>
      <c r="J369" s="27">
        <f>IF($B369="","",IF($A369=1,$C$7,IF(J368="",0,J368))+IF($H369="",0,$H369)-IF($I369="",0,$I369))</f>
        <v/>
      </c>
      <c r="K369" s="27">
        <f>IF($P369="","",IF(INDEX(EntryMan,$P369)=0,"",INDEX(EntryMan,$P369)))</f>
        <v/>
      </c>
      <c r="L369" s="26">
        <f>IF($B369="","",IF($K369="","—",IF(ROUND($K369-$J369,0)=0,"√","×")))</f>
        <v/>
      </c>
      <c r="M369" s="26">
        <f>IF($B369="","",IF(COUNTIFS(EntryDates,$B369,CalcTime,$C369,CalcBank,$C$5,EntryParty,$D369,EntryDep,$H369,EntryWit,$I369)&gt;1,"تکرار",""))</f>
        <v/>
      </c>
      <c r="N369" s="26">
        <f>IF($P369="","",IF(INDEX(EntryNotes,$P369)=0,"",INDEX(EntryNotes,$P369)))</f>
        <v/>
      </c>
      <c r="O369" s="26">
        <f>IF($P369="","",IF(INDEX(EntryTxnID,$P369)=0,"",INDEX(EntryTxnID,$P369)))</f>
        <v/>
      </c>
      <c r="P369" s="26">
        <f>IFERROR(MATCH($C$5&amp;"|"&amp;RIGHT("000000"&amp;353,6),CalcRankKey,0),"")</f>
        <v/>
      </c>
    </row>
    <row r="370">
      <c r="A370" s="28">
        <f>IF($B370="","",354)</f>
        <v/>
      </c>
      <c r="B370" s="28">
        <f>IF($P370="","",IF(INDEX(CalcNormDate,$P370)=0,"",INDEX(CalcNormDate,$P370)))</f>
        <v/>
      </c>
      <c r="C370" s="28">
        <f>IF($P370="","",IF(INDEX(CalcTime,$P370)=0,"",INDEX(CalcTime,$P370)))</f>
        <v/>
      </c>
      <c r="D370" s="28">
        <f>IF($P370="","",IF(INDEX(EntryParty,$P370)=0,"",INDEX(EntryParty,$P370)))</f>
        <v/>
      </c>
      <c r="E370" s="28">
        <f>IF($P370="","",IF(INDEX(EntryPartyName,$P370)=0,"",INDEX(EntryPartyName,$P370)))</f>
        <v/>
      </c>
      <c r="F370" s="28">
        <f>IF($P370="","",IF(INDEX(EntryPartyType,$P370)=0,"",INDEX(EntryPartyType,$P370)))</f>
        <v/>
      </c>
      <c r="G370" s="28">
        <f>IF($P370="","",IF(INDEX(EntryTxnType,$P370)=0,"",INDEX(EntryTxnType,$P370)))</f>
        <v/>
      </c>
      <c r="H370" s="29">
        <f>IF($P370="","",IF(INDEX(EntryDep,$P370)=0,"",INDEX(EntryDep,$P370)))</f>
        <v/>
      </c>
      <c r="I370" s="29">
        <f>IF($P370="","",IF(INDEX(EntryWit,$P370)=0,"",INDEX(EntryWit,$P370)))</f>
        <v/>
      </c>
      <c r="J370" s="29">
        <f>IF($B370="","",IF($A370=1,$C$7,IF(J369="",0,J369))+IF($H370="",0,$H370)-IF($I370="",0,$I370))</f>
        <v/>
      </c>
      <c r="K370" s="29">
        <f>IF($P370="","",IF(INDEX(EntryMan,$P370)=0,"",INDEX(EntryMan,$P370)))</f>
        <v/>
      </c>
      <c r="L370" s="28">
        <f>IF($B370="","",IF($K370="","—",IF(ROUND($K370-$J370,0)=0,"√","×")))</f>
        <v/>
      </c>
      <c r="M370" s="28">
        <f>IF($B370="","",IF(COUNTIFS(EntryDates,$B370,CalcTime,$C370,CalcBank,$C$5,EntryParty,$D370,EntryDep,$H370,EntryWit,$I370)&gt;1,"تکرار",""))</f>
        <v/>
      </c>
      <c r="N370" s="28">
        <f>IF($P370="","",IF(INDEX(EntryNotes,$P370)=0,"",INDEX(EntryNotes,$P370)))</f>
        <v/>
      </c>
      <c r="O370" s="28">
        <f>IF($P370="","",IF(INDEX(EntryTxnID,$P370)=0,"",INDEX(EntryTxnID,$P370)))</f>
        <v/>
      </c>
      <c r="P370" s="28">
        <f>IFERROR(MATCH($C$5&amp;"|"&amp;RIGHT("000000"&amp;354,6),CalcRankKey,0),"")</f>
        <v/>
      </c>
    </row>
    <row r="371">
      <c r="A371" s="26">
        <f>IF($B371="","",355)</f>
        <v/>
      </c>
      <c r="B371" s="26">
        <f>IF($P371="","",IF(INDEX(CalcNormDate,$P371)=0,"",INDEX(CalcNormDate,$P371)))</f>
        <v/>
      </c>
      <c r="C371" s="26">
        <f>IF($P371="","",IF(INDEX(CalcTime,$P371)=0,"",INDEX(CalcTime,$P371)))</f>
        <v/>
      </c>
      <c r="D371" s="26">
        <f>IF($P371="","",IF(INDEX(EntryParty,$P371)=0,"",INDEX(EntryParty,$P371)))</f>
        <v/>
      </c>
      <c r="E371" s="26">
        <f>IF($P371="","",IF(INDEX(EntryPartyName,$P371)=0,"",INDEX(EntryPartyName,$P371)))</f>
        <v/>
      </c>
      <c r="F371" s="26">
        <f>IF($P371="","",IF(INDEX(EntryPartyType,$P371)=0,"",INDEX(EntryPartyType,$P371)))</f>
        <v/>
      </c>
      <c r="G371" s="26">
        <f>IF($P371="","",IF(INDEX(EntryTxnType,$P371)=0,"",INDEX(EntryTxnType,$P371)))</f>
        <v/>
      </c>
      <c r="H371" s="27">
        <f>IF($P371="","",IF(INDEX(EntryDep,$P371)=0,"",INDEX(EntryDep,$P371)))</f>
        <v/>
      </c>
      <c r="I371" s="27">
        <f>IF($P371="","",IF(INDEX(EntryWit,$P371)=0,"",INDEX(EntryWit,$P371)))</f>
        <v/>
      </c>
      <c r="J371" s="27">
        <f>IF($B371="","",IF($A371=1,$C$7,IF(J370="",0,J370))+IF($H371="",0,$H371)-IF($I371="",0,$I371))</f>
        <v/>
      </c>
      <c r="K371" s="27">
        <f>IF($P371="","",IF(INDEX(EntryMan,$P371)=0,"",INDEX(EntryMan,$P371)))</f>
        <v/>
      </c>
      <c r="L371" s="26">
        <f>IF($B371="","",IF($K371="","—",IF(ROUND($K371-$J371,0)=0,"√","×")))</f>
        <v/>
      </c>
      <c r="M371" s="26">
        <f>IF($B371="","",IF(COUNTIFS(EntryDates,$B371,CalcTime,$C371,CalcBank,$C$5,EntryParty,$D371,EntryDep,$H371,EntryWit,$I371)&gt;1,"تکرار",""))</f>
        <v/>
      </c>
      <c r="N371" s="26">
        <f>IF($P371="","",IF(INDEX(EntryNotes,$P371)=0,"",INDEX(EntryNotes,$P371)))</f>
        <v/>
      </c>
      <c r="O371" s="26">
        <f>IF($P371="","",IF(INDEX(EntryTxnID,$P371)=0,"",INDEX(EntryTxnID,$P371)))</f>
        <v/>
      </c>
      <c r="P371" s="26">
        <f>IFERROR(MATCH($C$5&amp;"|"&amp;RIGHT("000000"&amp;355,6),CalcRankKey,0),"")</f>
        <v/>
      </c>
    </row>
    <row r="372">
      <c r="A372" s="28">
        <f>IF($B372="","",356)</f>
        <v/>
      </c>
      <c r="B372" s="28">
        <f>IF($P372="","",IF(INDEX(CalcNormDate,$P372)=0,"",INDEX(CalcNormDate,$P372)))</f>
        <v/>
      </c>
      <c r="C372" s="28">
        <f>IF($P372="","",IF(INDEX(CalcTime,$P372)=0,"",INDEX(CalcTime,$P372)))</f>
        <v/>
      </c>
      <c r="D372" s="28">
        <f>IF($P372="","",IF(INDEX(EntryParty,$P372)=0,"",INDEX(EntryParty,$P372)))</f>
        <v/>
      </c>
      <c r="E372" s="28">
        <f>IF($P372="","",IF(INDEX(EntryPartyName,$P372)=0,"",INDEX(EntryPartyName,$P372)))</f>
        <v/>
      </c>
      <c r="F372" s="28">
        <f>IF($P372="","",IF(INDEX(EntryPartyType,$P372)=0,"",INDEX(EntryPartyType,$P372)))</f>
        <v/>
      </c>
      <c r="G372" s="28">
        <f>IF($P372="","",IF(INDEX(EntryTxnType,$P372)=0,"",INDEX(EntryTxnType,$P372)))</f>
        <v/>
      </c>
      <c r="H372" s="29">
        <f>IF($P372="","",IF(INDEX(EntryDep,$P372)=0,"",INDEX(EntryDep,$P372)))</f>
        <v/>
      </c>
      <c r="I372" s="29">
        <f>IF($P372="","",IF(INDEX(EntryWit,$P372)=0,"",INDEX(EntryWit,$P372)))</f>
        <v/>
      </c>
      <c r="J372" s="29">
        <f>IF($B372="","",IF($A372=1,$C$7,IF(J371="",0,J371))+IF($H372="",0,$H372)-IF($I372="",0,$I372))</f>
        <v/>
      </c>
      <c r="K372" s="29">
        <f>IF($P372="","",IF(INDEX(EntryMan,$P372)=0,"",INDEX(EntryMan,$P372)))</f>
        <v/>
      </c>
      <c r="L372" s="28">
        <f>IF($B372="","",IF($K372="","—",IF(ROUND($K372-$J372,0)=0,"√","×")))</f>
        <v/>
      </c>
      <c r="M372" s="28">
        <f>IF($B372="","",IF(COUNTIFS(EntryDates,$B372,CalcTime,$C372,CalcBank,$C$5,EntryParty,$D372,EntryDep,$H372,EntryWit,$I372)&gt;1,"تکرار",""))</f>
        <v/>
      </c>
      <c r="N372" s="28">
        <f>IF($P372="","",IF(INDEX(EntryNotes,$P372)=0,"",INDEX(EntryNotes,$P372)))</f>
        <v/>
      </c>
      <c r="O372" s="28">
        <f>IF($P372="","",IF(INDEX(EntryTxnID,$P372)=0,"",INDEX(EntryTxnID,$P372)))</f>
        <v/>
      </c>
      <c r="P372" s="28">
        <f>IFERROR(MATCH($C$5&amp;"|"&amp;RIGHT("000000"&amp;356,6),CalcRankKey,0),"")</f>
        <v/>
      </c>
    </row>
    <row r="373">
      <c r="A373" s="26">
        <f>IF($B373="","",357)</f>
        <v/>
      </c>
      <c r="B373" s="26">
        <f>IF($P373="","",IF(INDEX(CalcNormDate,$P373)=0,"",INDEX(CalcNormDate,$P373)))</f>
        <v/>
      </c>
      <c r="C373" s="26">
        <f>IF($P373="","",IF(INDEX(CalcTime,$P373)=0,"",INDEX(CalcTime,$P373)))</f>
        <v/>
      </c>
      <c r="D373" s="26">
        <f>IF($P373="","",IF(INDEX(EntryParty,$P373)=0,"",INDEX(EntryParty,$P373)))</f>
        <v/>
      </c>
      <c r="E373" s="26">
        <f>IF($P373="","",IF(INDEX(EntryPartyName,$P373)=0,"",INDEX(EntryPartyName,$P373)))</f>
        <v/>
      </c>
      <c r="F373" s="26">
        <f>IF($P373="","",IF(INDEX(EntryPartyType,$P373)=0,"",INDEX(EntryPartyType,$P373)))</f>
        <v/>
      </c>
      <c r="G373" s="26">
        <f>IF($P373="","",IF(INDEX(EntryTxnType,$P373)=0,"",INDEX(EntryTxnType,$P373)))</f>
        <v/>
      </c>
      <c r="H373" s="27">
        <f>IF($P373="","",IF(INDEX(EntryDep,$P373)=0,"",INDEX(EntryDep,$P373)))</f>
        <v/>
      </c>
      <c r="I373" s="27">
        <f>IF($P373="","",IF(INDEX(EntryWit,$P373)=0,"",INDEX(EntryWit,$P373)))</f>
        <v/>
      </c>
      <c r="J373" s="27">
        <f>IF($B373="","",IF($A373=1,$C$7,IF(J372="",0,J372))+IF($H373="",0,$H373)-IF($I373="",0,$I373))</f>
        <v/>
      </c>
      <c r="K373" s="27">
        <f>IF($P373="","",IF(INDEX(EntryMan,$P373)=0,"",INDEX(EntryMan,$P373)))</f>
        <v/>
      </c>
      <c r="L373" s="26">
        <f>IF($B373="","",IF($K373="","—",IF(ROUND($K373-$J373,0)=0,"√","×")))</f>
        <v/>
      </c>
      <c r="M373" s="26">
        <f>IF($B373="","",IF(COUNTIFS(EntryDates,$B373,CalcTime,$C373,CalcBank,$C$5,EntryParty,$D373,EntryDep,$H373,EntryWit,$I373)&gt;1,"تکرار",""))</f>
        <v/>
      </c>
      <c r="N373" s="26">
        <f>IF($P373="","",IF(INDEX(EntryNotes,$P373)=0,"",INDEX(EntryNotes,$P373)))</f>
        <v/>
      </c>
      <c r="O373" s="26">
        <f>IF($P373="","",IF(INDEX(EntryTxnID,$P373)=0,"",INDEX(EntryTxnID,$P373)))</f>
        <v/>
      </c>
      <c r="P373" s="26">
        <f>IFERROR(MATCH($C$5&amp;"|"&amp;RIGHT("000000"&amp;357,6),CalcRankKey,0),"")</f>
        <v/>
      </c>
    </row>
    <row r="374">
      <c r="A374" s="28">
        <f>IF($B374="","",358)</f>
        <v/>
      </c>
      <c r="B374" s="28">
        <f>IF($P374="","",IF(INDEX(CalcNormDate,$P374)=0,"",INDEX(CalcNormDate,$P374)))</f>
        <v/>
      </c>
      <c r="C374" s="28">
        <f>IF($P374="","",IF(INDEX(CalcTime,$P374)=0,"",INDEX(CalcTime,$P374)))</f>
        <v/>
      </c>
      <c r="D374" s="28">
        <f>IF($P374="","",IF(INDEX(EntryParty,$P374)=0,"",INDEX(EntryParty,$P374)))</f>
        <v/>
      </c>
      <c r="E374" s="28">
        <f>IF($P374="","",IF(INDEX(EntryPartyName,$P374)=0,"",INDEX(EntryPartyName,$P374)))</f>
        <v/>
      </c>
      <c r="F374" s="28">
        <f>IF($P374="","",IF(INDEX(EntryPartyType,$P374)=0,"",INDEX(EntryPartyType,$P374)))</f>
        <v/>
      </c>
      <c r="G374" s="28">
        <f>IF($P374="","",IF(INDEX(EntryTxnType,$P374)=0,"",INDEX(EntryTxnType,$P374)))</f>
        <v/>
      </c>
      <c r="H374" s="29">
        <f>IF($P374="","",IF(INDEX(EntryDep,$P374)=0,"",INDEX(EntryDep,$P374)))</f>
        <v/>
      </c>
      <c r="I374" s="29">
        <f>IF($P374="","",IF(INDEX(EntryWit,$P374)=0,"",INDEX(EntryWit,$P374)))</f>
        <v/>
      </c>
      <c r="J374" s="29">
        <f>IF($B374="","",IF($A374=1,$C$7,IF(J373="",0,J373))+IF($H374="",0,$H374)-IF($I374="",0,$I374))</f>
        <v/>
      </c>
      <c r="K374" s="29">
        <f>IF($P374="","",IF(INDEX(EntryMan,$P374)=0,"",INDEX(EntryMan,$P374)))</f>
        <v/>
      </c>
      <c r="L374" s="28">
        <f>IF($B374="","",IF($K374="","—",IF(ROUND($K374-$J374,0)=0,"√","×")))</f>
        <v/>
      </c>
      <c r="M374" s="28">
        <f>IF($B374="","",IF(COUNTIFS(EntryDates,$B374,CalcTime,$C374,CalcBank,$C$5,EntryParty,$D374,EntryDep,$H374,EntryWit,$I374)&gt;1,"تکرار",""))</f>
        <v/>
      </c>
      <c r="N374" s="28">
        <f>IF($P374="","",IF(INDEX(EntryNotes,$P374)=0,"",INDEX(EntryNotes,$P374)))</f>
        <v/>
      </c>
      <c r="O374" s="28">
        <f>IF($P374="","",IF(INDEX(EntryTxnID,$P374)=0,"",INDEX(EntryTxnID,$P374)))</f>
        <v/>
      </c>
      <c r="P374" s="28">
        <f>IFERROR(MATCH($C$5&amp;"|"&amp;RIGHT("000000"&amp;358,6),CalcRankKey,0),"")</f>
        <v/>
      </c>
    </row>
    <row r="375">
      <c r="A375" s="26">
        <f>IF($B375="","",359)</f>
        <v/>
      </c>
      <c r="B375" s="26">
        <f>IF($P375="","",IF(INDEX(CalcNormDate,$P375)=0,"",INDEX(CalcNormDate,$P375)))</f>
        <v/>
      </c>
      <c r="C375" s="26">
        <f>IF($P375="","",IF(INDEX(CalcTime,$P375)=0,"",INDEX(CalcTime,$P375)))</f>
        <v/>
      </c>
      <c r="D375" s="26">
        <f>IF($P375="","",IF(INDEX(EntryParty,$P375)=0,"",INDEX(EntryParty,$P375)))</f>
        <v/>
      </c>
      <c r="E375" s="26">
        <f>IF($P375="","",IF(INDEX(EntryPartyName,$P375)=0,"",INDEX(EntryPartyName,$P375)))</f>
        <v/>
      </c>
      <c r="F375" s="26">
        <f>IF($P375="","",IF(INDEX(EntryPartyType,$P375)=0,"",INDEX(EntryPartyType,$P375)))</f>
        <v/>
      </c>
      <c r="G375" s="26">
        <f>IF($P375="","",IF(INDEX(EntryTxnType,$P375)=0,"",INDEX(EntryTxnType,$P375)))</f>
        <v/>
      </c>
      <c r="H375" s="27">
        <f>IF($P375="","",IF(INDEX(EntryDep,$P375)=0,"",INDEX(EntryDep,$P375)))</f>
        <v/>
      </c>
      <c r="I375" s="27">
        <f>IF($P375="","",IF(INDEX(EntryWit,$P375)=0,"",INDEX(EntryWit,$P375)))</f>
        <v/>
      </c>
      <c r="J375" s="27">
        <f>IF($B375="","",IF($A375=1,$C$7,IF(J374="",0,J374))+IF($H375="",0,$H375)-IF($I375="",0,$I375))</f>
        <v/>
      </c>
      <c r="K375" s="27">
        <f>IF($P375="","",IF(INDEX(EntryMan,$P375)=0,"",INDEX(EntryMan,$P375)))</f>
        <v/>
      </c>
      <c r="L375" s="26">
        <f>IF($B375="","",IF($K375="","—",IF(ROUND($K375-$J375,0)=0,"√","×")))</f>
        <v/>
      </c>
      <c r="M375" s="26">
        <f>IF($B375="","",IF(COUNTIFS(EntryDates,$B375,CalcTime,$C375,CalcBank,$C$5,EntryParty,$D375,EntryDep,$H375,EntryWit,$I375)&gt;1,"تکرار",""))</f>
        <v/>
      </c>
      <c r="N375" s="26">
        <f>IF($P375="","",IF(INDEX(EntryNotes,$P375)=0,"",INDEX(EntryNotes,$P375)))</f>
        <v/>
      </c>
      <c r="O375" s="26">
        <f>IF($P375="","",IF(INDEX(EntryTxnID,$P375)=0,"",INDEX(EntryTxnID,$P375)))</f>
        <v/>
      </c>
      <c r="P375" s="26">
        <f>IFERROR(MATCH($C$5&amp;"|"&amp;RIGHT("000000"&amp;359,6),CalcRankKey,0),"")</f>
        <v/>
      </c>
    </row>
    <row r="376">
      <c r="A376" s="28">
        <f>IF($B376="","",360)</f>
        <v/>
      </c>
      <c r="B376" s="28">
        <f>IF($P376="","",IF(INDEX(CalcNormDate,$P376)=0,"",INDEX(CalcNormDate,$P376)))</f>
        <v/>
      </c>
      <c r="C376" s="28">
        <f>IF($P376="","",IF(INDEX(CalcTime,$P376)=0,"",INDEX(CalcTime,$P376)))</f>
        <v/>
      </c>
      <c r="D376" s="28">
        <f>IF($P376="","",IF(INDEX(EntryParty,$P376)=0,"",INDEX(EntryParty,$P376)))</f>
        <v/>
      </c>
      <c r="E376" s="28">
        <f>IF($P376="","",IF(INDEX(EntryPartyName,$P376)=0,"",INDEX(EntryPartyName,$P376)))</f>
        <v/>
      </c>
      <c r="F376" s="28">
        <f>IF($P376="","",IF(INDEX(EntryPartyType,$P376)=0,"",INDEX(EntryPartyType,$P376)))</f>
        <v/>
      </c>
      <c r="G376" s="28">
        <f>IF($P376="","",IF(INDEX(EntryTxnType,$P376)=0,"",INDEX(EntryTxnType,$P376)))</f>
        <v/>
      </c>
      <c r="H376" s="29">
        <f>IF($P376="","",IF(INDEX(EntryDep,$P376)=0,"",INDEX(EntryDep,$P376)))</f>
        <v/>
      </c>
      <c r="I376" s="29">
        <f>IF($P376="","",IF(INDEX(EntryWit,$P376)=0,"",INDEX(EntryWit,$P376)))</f>
        <v/>
      </c>
      <c r="J376" s="29">
        <f>IF($B376="","",IF($A376=1,$C$7,IF(J375="",0,J375))+IF($H376="",0,$H376)-IF($I376="",0,$I376))</f>
        <v/>
      </c>
      <c r="K376" s="29">
        <f>IF($P376="","",IF(INDEX(EntryMan,$P376)=0,"",INDEX(EntryMan,$P376)))</f>
        <v/>
      </c>
      <c r="L376" s="28">
        <f>IF($B376="","",IF($K376="","—",IF(ROUND($K376-$J376,0)=0,"√","×")))</f>
        <v/>
      </c>
      <c r="M376" s="28">
        <f>IF($B376="","",IF(COUNTIFS(EntryDates,$B376,CalcTime,$C376,CalcBank,$C$5,EntryParty,$D376,EntryDep,$H376,EntryWit,$I376)&gt;1,"تکرار",""))</f>
        <v/>
      </c>
      <c r="N376" s="28">
        <f>IF($P376="","",IF(INDEX(EntryNotes,$P376)=0,"",INDEX(EntryNotes,$P376)))</f>
        <v/>
      </c>
      <c r="O376" s="28">
        <f>IF($P376="","",IF(INDEX(EntryTxnID,$P376)=0,"",INDEX(EntryTxnID,$P376)))</f>
        <v/>
      </c>
      <c r="P376" s="28">
        <f>IFERROR(MATCH($C$5&amp;"|"&amp;RIGHT("000000"&amp;360,6),CalcRankKey,0),"")</f>
        <v/>
      </c>
    </row>
    <row r="377">
      <c r="A377" s="26">
        <f>IF($B377="","",361)</f>
        <v/>
      </c>
      <c r="B377" s="26">
        <f>IF($P377="","",IF(INDEX(CalcNormDate,$P377)=0,"",INDEX(CalcNormDate,$P377)))</f>
        <v/>
      </c>
      <c r="C377" s="26">
        <f>IF($P377="","",IF(INDEX(CalcTime,$P377)=0,"",INDEX(CalcTime,$P377)))</f>
        <v/>
      </c>
      <c r="D377" s="26">
        <f>IF($P377="","",IF(INDEX(EntryParty,$P377)=0,"",INDEX(EntryParty,$P377)))</f>
        <v/>
      </c>
      <c r="E377" s="26">
        <f>IF($P377="","",IF(INDEX(EntryPartyName,$P377)=0,"",INDEX(EntryPartyName,$P377)))</f>
        <v/>
      </c>
      <c r="F377" s="26">
        <f>IF($P377="","",IF(INDEX(EntryPartyType,$P377)=0,"",INDEX(EntryPartyType,$P377)))</f>
        <v/>
      </c>
      <c r="G377" s="26">
        <f>IF($P377="","",IF(INDEX(EntryTxnType,$P377)=0,"",INDEX(EntryTxnType,$P377)))</f>
        <v/>
      </c>
      <c r="H377" s="27">
        <f>IF($P377="","",IF(INDEX(EntryDep,$P377)=0,"",INDEX(EntryDep,$P377)))</f>
        <v/>
      </c>
      <c r="I377" s="27">
        <f>IF($P377="","",IF(INDEX(EntryWit,$P377)=0,"",INDEX(EntryWit,$P377)))</f>
        <v/>
      </c>
      <c r="J377" s="27">
        <f>IF($B377="","",IF($A377=1,$C$7,IF(J376="",0,J376))+IF($H377="",0,$H377)-IF($I377="",0,$I377))</f>
        <v/>
      </c>
      <c r="K377" s="27">
        <f>IF($P377="","",IF(INDEX(EntryMan,$P377)=0,"",INDEX(EntryMan,$P377)))</f>
        <v/>
      </c>
      <c r="L377" s="26">
        <f>IF($B377="","",IF($K377="","—",IF(ROUND($K377-$J377,0)=0,"√","×")))</f>
        <v/>
      </c>
      <c r="M377" s="26">
        <f>IF($B377="","",IF(COUNTIFS(EntryDates,$B377,CalcTime,$C377,CalcBank,$C$5,EntryParty,$D377,EntryDep,$H377,EntryWit,$I377)&gt;1,"تکرار",""))</f>
        <v/>
      </c>
      <c r="N377" s="26">
        <f>IF($P377="","",IF(INDEX(EntryNotes,$P377)=0,"",INDEX(EntryNotes,$P377)))</f>
        <v/>
      </c>
      <c r="O377" s="26">
        <f>IF($P377="","",IF(INDEX(EntryTxnID,$P377)=0,"",INDEX(EntryTxnID,$P377)))</f>
        <v/>
      </c>
      <c r="P377" s="26">
        <f>IFERROR(MATCH($C$5&amp;"|"&amp;RIGHT("000000"&amp;361,6),CalcRankKey,0),"")</f>
        <v/>
      </c>
    </row>
    <row r="378">
      <c r="A378" s="28">
        <f>IF($B378="","",362)</f>
        <v/>
      </c>
      <c r="B378" s="28">
        <f>IF($P378="","",IF(INDEX(CalcNormDate,$P378)=0,"",INDEX(CalcNormDate,$P378)))</f>
        <v/>
      </c>
      <c r="C378" s="28">
        <f>IF($P378="","",IF(INDEX(CalcTime,$P378)=0,"",INDEX(CalcTime,$P378)))</f>
        <v/>
      </c>
      <c r="D378" s="28">
        <f>IF($P378="","",IF(INDEX(EntryParty,$P378)=0,"",INDEX(EntryParty,$P378)))</f>
        <v/>
      </c>
      <c r="E378" s="28">
        <f>IF($P378="","",IF(INDEX(EntryPartyName,$P378)=0,"",INDEX(EntryPartyName,$P378)))</f>
        <v/>
      </c>
      <c r="F378" s="28">
        <f>IF($P378="","",IF(INDEX(EntryPartyType,$P378)=0,"",INDEX(EntryPartyType,$P378)))</f>
        <v/>
      </c>
      <c r="G378" s="28">
        <f>IF($P378="","",IF(INDEX(EntryTxnType,$P378)=0,"",INDEX(EntryTxnType,$P378)))</f>
        <v/>
      </c>
      <c r="H378" s="29">
        <f>IF($P378="","",IF(INDEX(EntryDep,$P378)=0,"",INDEX(EntryDep,$P378)))</f>
        <v/>
      </c>
      <c r="I378" s="29">
        <f>IF($P378="","",IF(INDEX(EntryWit,$P378)=0,"",INDEX(EntryWit,$P378)))</f>
        <v/>
      </c>
      <c r="J378" s="29">
        <f>IF($B378="","",IF($A378=1,$C$7,IF(J377="",0,J377))+IF($H378="",0,$H378)-IF($I378="",0,$I378))</f>
        <v/>
      </c>
      <c r="K378" s="29">
        <f>IF($P378="","",IF(INDEX(EntryMan,$P378)=0,"",INDEX(EntryMan,$P378)))</f>
        <v/>
      </c>
      <c r="L378" s="28">
        <f>IF($B378="","",IF($K378="","—",IF(ROUND($K378-$J378,0)=0,"√","×")))</f>
        <v/>
      </c>
      <c r="M378" s="28">
        <f>IF($B378="","",IF(COUNTIFS(EntryDates,$B378,CalcTime,$C378,CalcBank,$C$5,EntryParty,$D378,EntryDep,$H378,EntryWit,$I378)&gt;1,"تکرار",""))</f>
        <v/>
      </c>
      <c r="N378" s="28">
        <f>IF($P378="","",IF(INDEX(EntryNotes,$P378)=0,"",INDEX(EntryNotes,$P378)))</f>
        <v/>
      </c>
      <c r="O378" s="28">
        <f>IF($P378="","",IF(INDEX(EntryTxnID,$P378)=0,"",INDEX(EntryTxnID,$P378)))</f>
        <v/>
      </c>
      <c r="P378" s="28">
        <f>IFERROR(MATCH($C$5&amp;"|"&amp;RIGHT("000000"&amp;362,6),CalcRankKey,0),"")</f>
        <v/>
      </c>
    </row>
    <row r="379">
      <c r="A379" s="26">
        <f>IF($B379="","",363)</f>
        <v/>
      </c>
      <c r="B379" s="26">
        <f>IF($P379="","",IF(INDEX(CalcNormDate,$P379)=0,"",INDEX(CalcNormDate,$P379)))</f>
        <v/>
      </c>
      <c r="C379" s="26">
        <f>IF($P379="","",IF(INDEX(CalcTime,$P379)=0,"",INDEX(CalcTime,$P379)))</f>
        <v/>
      </c>
      <c r="D379" s="26">
        <f>IF($P379="","",IF(INDEX(EntryParty,$P379)=0,"",INDEX(EntryParty,$P379)))</f>
        <v/>
      </c>
      <c r="E379" s="26">
        <f>IF($P379="","",IF(INDEX(EntryPartyName,$P379)=0,"",INDEX(EntryPartyName,$P379)))</f>
        <v/>
      </c>
      <c r="F379" s="26">
        <f>IF($P379="","",IF(INDEX(EntryPartyType,$P379)=0,"",INDEX(EntryPartyType,$P379)))</f>
        <v/>
      </c>
      <c r="G379" s="26">
        <f>IF($P379="","",IF(INDEX(EntryTxnType,$P379)=0,"",INDEX(EntryTxnType,$P379)))</f>
        <v/>
      </c>
      <c r="H379" s="27">
        <f>IF($P379="","",IF(INDEX(EntryDep,$P379)=0,"",INDEX(EntryDep,$P379)))</f>
        <v/>
      </c>
      <c r="I379" s="27">
        <f>IF($P379="","",IF(INDEX(EntryWit,$P379)=0,"",INDEX(EntryWit,$P379)))</f>
        <v/>
      </c>
      <c r="J379" s="27">
        <f>IF($B379="","",IF($A379=1,$C$7,IF(J378="",0,J378))+IF($H379="",0,$H379)-IF($I379="",0,$I379))</f>
        <v/>
      </c>
      <c r="K379" s="27">
        <f>IF($P379="","",IF(INDEX(EntryMan,$P379)=0,"",INDEX(EntryMan,$P379)))</f>
        <v/>
      </c>
      <c r="L379" s="26">
        <f>IF($B379="","",IF($K379="","—",IF(ROUND($K379-$J379,0)=0,"√","×")))</f>
        <v/>
      </c>
      <c r="M379" s="26">
        <f>IF($B379="","",IF(COUNTIFS(EntryDates,$B379,CalcTime,$C379,CalcBank,$C$5,EntryParty,$D379,EntryDep,$H379,EntryWit,$I379)&gt;1,"تکرار",""))</f>
        <v/>
      </c>
      <c r="N379" s="26">
        <f>IF($P379="","",IF(INDEX(EntryNotes,$P379)=0,"",INDEX(EntryNotes,$P379)))</f>
        <v/>
      </c>
      <c r="O379" s="26">
        <f>IF($P379="","",IF(INDEX(EntryTxnID,$P379)=0,"",INDEX(EntryTxnID,$P379)))</f>
        <v/>
      </c>
      <c r="P379" s="26">
        <f>IFERROR(MATCH($C$5&amp;"|"&amp;RIGHT("000000"&amp;363,6),CalcRankKey,0),"")</f>
        <v/>
      </c>
    </row>
    <row r="380">
      <c r="A380" s="28">
        <f>IF($B380="","",364)</f>
        <v/>
      </c>
      <c r="B380" s="28">
        <f>IF($P380="","",IF(INDEX(CalcNormDate,$P380)=0,"",INDEX(CalcNormDate,$P380)))</f>
        <v/>
      </c>
      <c r="C380" s="28">
        <f>IF($P380="","",IF(INDEX(CalcTime,$P380)=0,"",INDEX(CalcTime,$P380)))</f>
        <v/>
      </c>
      <c r="D380" s="28">
        <f>IF($P380="","",IF(INDEX(EntryParty,$P380)=0,"",INDEX(EntryParty,$P380)))</f>
        <v/>
      </c>
      <c r="E380" s="28">
        <f>IF($P380="","",IF(INDEX(EntryPartyName,$P380)=0,"",INDEX(EntryPartyName,$P380)))</f>
        <v/>
      </c>
      <c r="F380" s="28">
        <f>IF($P380="","",IF(INDEX(EntryPartyType,$P380)=0,"",INDEX(EntryPartyType,$P380)))</f>
        <v/>
      </c>
      <c r="G380" s="28">
        <f>IF($P380="","",IF(INDEX(EntryTxnType,$P380)=0,"",INDEX(EntryTxnType,$P380)))</f>
        <v/>
      </c>
      <c r="H380" s="29">
        <f>IF($P380="","",IF(INDEX(EntryDep,$P380)=0,"",INDEX(EntryDep,$P380)))</f>
        <v/>
      </c>
      <c r="I380" s="29">
        <f>IF($P380="","",IF(INDEX(EntryWit,$P380)=0,"",INDEX(EntryWit,$P380)))</f>
        <v/>
      </c>
      <c r="J380" s="29">
        <f>IF($B380="","",IF($A380=1,$C$7,IF(J379="",0,J379))+IF($H380="",0,$H380)-IF($I380="",0,$I380))</f>
        <v/>
      </c>
      <c r="K380" s="29">
        <f>IF($P380="","",IF(INDEX(EntryMan,$P380)=0,"",INDEX(EntryMan,$P380)))</f>
        <v/>
      </c>
      <c r="L380" s="28">
        <f>IF($B380="","",IF($K380="","—",IF(ROUND($K380-$J380,0)=0,"√","×")))</f>
        <v/>
      </c>
      <c r="M380" s="28">
        <f>IF($B380="","",IF(COUNTIFS(EntryDates,$B380,CalcTime,$C380,CalcBank,$C$5,EntryParty,$D380,EntryDep,$H380,EntryWit,$I380)&gt;1,"تکرار",""))</f>
        <v/>
      </c>
      <c r="N380" s="28">
        <f>IF($P380="","",IF(INDEX(EntryNotes,$P380)=0,"",INDEX(EntryNotes,$P380)))</f>
        <v/>
      </c>
      <c r="O380" s="28">
        <f>IF($P380="","",IF(INDEX(EntryTxnID,$P380)=0,"",INDEX(EntryTxnID,$P380)))</f>
        <v/>
      </c>
      <c r="P380" s="28">
        <f>IFERROR(MATCH($C$5&amp;"|"&amp;RIGHT("000000"&amp;364,6),CalcRankKey,0),"")</f>
        <v/>
      </c>
    </row>
    <row r="381">
      <c r="A381" s="26">
        <f>IF($B381="","",365)</f>
        <v/>
      </c>
      <c r="B381" s="26">
        <f>IF($P381="","",IF(INDEX(CalcNormDate,$P381)=0,"",INDEX(CalcNormDate,$P381)))</f>
        <v/>
      </c>
      <c r="C381" s="26">
        <f>IF($P381="","",IF(INDEX(CalcTime,$P381)=0,"",INDEX(CalcTime,$P381)))</f>
        <v/>
      </c>
      <c r="D381" s="26">
        <f>IF($P381="","",IF(INDEX(EntryParty,$P381)=0,"",INDEX(EntryParty,$P381)))</f>
        <v/>
      </c>
      <c r="E381" s="26">
        <f>IF($P381="","",IF(INDEX(EntryPartyName,$P381)=0,"",INDEX(EntryPartyName,$P381)))</f>
        <v/>
      </c>
      <c r="F381" s="26">
        <f>IF($P381="","",IF(INDEX(EntryPartyType,$P381)=0,"",INDEX(EntryPartyType,$P381)))</f>
        <v/>
      </c>
      <c r="G381" s="26">
        <f>IF($P381="","",IF(INDEX(EntryTxnType,$P381)=0,"",INDEX(EntryTxnType,$P381)))</f>
        <v/>
      </c>
      <c r="H381" s="27">
        <f>IF($P381="","",IF(INDEX(EntryDep,$P381)=0,"",INDEX(EntryDep,$P381)))</f>
        <v/>
      </c>
      <c r="I381" s="27">
        <f>IF($P381="","",IF(INDEX(EntryWit,$P381)=0,"",INDEX(EntryWit,$P381)))</f>
        <v/>
      </c>
      <c r="J381" s="27">
        <f>IF($B381="","",IF($A381=1,$C$7,IF(J380="",0,J380))+IF($H381="",0,$H381)-IF($I381="",0,$I381))</f>
        <v/>
      </c>
      <c r="K381" s="27">
        <f>IF($P381="","",IF(INDEX(EntryMan,$P381)=0,"",INDEX(EntryMan,$P381)))</f>
        <v/>
      </c>
      <c r="L381" s="26">
        <f>IF($B381="","",IF($K381="","—",IF(ROUND($K381-$J381,0)=0,"√","×")))</f>
        <v/>
      </c>
      <c r="M381" s="26">
        <f>IF($B381="","",IF(COUNTIFS(EntryDates,$B381,CalcTime,$C381,CalcBank,$C$5,EntryParty,$D381,EntryDep,$H381,EntryWit,$I381)&gt;1,"تکرار",""))</f>
        <v/>
      </c>
      <c r="N381" s="26">
        <f>IF($P381="","",IF(INDEX(EntryNotes,$P381)=0,"",INDEX(EntryNotes,$P381)))</f>
        <v/>
      </c>
      <c r="O381" s="26">
        <f>IF($P381="","",IF(INDEX(EntryTxnID,$P381)=0,"",INDEX(EntryTxnID,$P381)))</f>
        <v/>
      </c>
      <c r="P381" s="26">
        <f>IFERROR(MATCH($C$5&amp;"|"&amp;RIGHT("000000"&amp;365,6),CalcRankKey,0),"")</f>
        <v/>
      </c>
    </row>
    <row r="382">
      <c r="A382" s="28">
        <f>IF($B382="","",366)</f>
        <v/>
      </c>
      <c r="B382" s="28">
        <f>IF($P382="","",IF(INDEX(CalcNormDate,$P382)=0,"",INDEX(CalcNormDate,$P382)))</f>
        <v/>
      </c>
      <c r="C382" s="28">
        <f>IF($P382="","",IF(INDEX(CalcTime,$P382)=0,"",INDEX(CalcTime,$P382)))</f>
        <v/>
      </c>
      <c r="D382" s="28">
        <f>IF($P382="","",IF(INDEX(EntryParty,$P382)=0,"",INDEX(EntryParty,$P382)))</f>
        <v/>
      </c>
      <c r="E382" s="28">
        <f>IF($P382="","",IF(INDEX(EntryPartyName,$P382)=0,"",INDEX(EntryPartyName,$P382)))</f>
        <v/>
      </c>
      <c r="F382" s="28">
        <f>IF($P382="","",IF(INDEX(EntryPartyType,$P382)=0,"",INDEX(EntryPartyType,$P382)))</f>
        <v/>
      </c>
      <c r="G382" s="28">
        <f>IF($P382="","",IF(INDEX(EntryTxnType,$P382)=0,"",INDEX(EntryTxnType,$P382)))</f>
        <v/>
      </c>
      <c r="H382" s="29">
        <f>IF($P382="","",IF(INDEX(EntryDep,$P382)=0,"",INDEX(EntryDep,$P382)))</f>
        <v/>
      </c>
      <c r="I382" s="29">
        <f>IF($P382="","",IF(INDEX(EntryWit,$P382)=0,"",INDEX(EntryWit,$P382)))</f>
        <v/>
      </c>
      <c r="J382" s="29">
        <f>IF($B382="","",IF($A382=1,$C$7,IF(J381="",0,J381))+IF($H382="",0,$H382)-IF($I382="",0,$I382))</f>
        <v/>
      </c>
      <c r="K382" s="29">
        <f>IF($P382="","",IF(INDEX(EntryMan,$P382)=0,"",INDEX(EntryMan,$P382)))</f>
        <v/>
      </c>
      <c r="L382" s="28">
        <f>IF($B382="","",IF($K382="","—",IF(ROUND($K382-$J382,0)=0,"√","×")))</f>
        <v/>
      </c>
      <c r="M382" s="28">
        <f>IF($B382="","",IF(COUNTIFS(EntryDates,$B382,CalcTime,$C382,CalcBank,$C$5,EntryParty,$D382,EntryDep,$H382,EntryWit,$I382)&gt;1,"تکرار",""))</f>
        <v/>
      </c>
      <c r="N382" s="28">
        <f>IF($P382="","",IF(INDEX(EntryNotes,$P382)=0,"",INDEX(EntryNotes,$P382)))</f>
        <v/>
      </c>
      <c r="O382" s="28">
        <f>IF($P382="","",IF(INDEX(EntryTxnID,$P382)=0,"",INDEX(EntryTxnID,$P382)))</f>
        <v/>
      </c>
      <c r="P382" s="28">
        <f>IFERROR(MATCH($C$5&amp;"|"&amp;RIGHT("000000"&amp;366,6),CalcRankKey,0),"")</f>
        <v/>
      </c>
    </row>
    <row r="383">
      <c r="A383" s="26">
        <f>IF($B383="","",367)</f>
        <v/>
      </c>
      <c r="B383" s="26">
        <f>IF($P383="","",IF(INDEX(CalcNormDate,$P383)=0,"",INDEX(CalcNormDate,$P383)))</f>
        <v/>
      </c>
      <c r="C383" s="26">
        <f>IF($P383="","",IF(INDEX(CalcTime,$P383)=0,"",INDEX(CalcTime,$P383)))</f>
        <v/>
      </c>
      <c r="D383" s="26">
        <f>IF($P383="","",IF(INDEX(EntryParty,$P383)=0,"",INDEX(EntryParty,$P383)))</f>
        <v/>
      </c>
      <c r="E383" s="26">
        <f>IF($P383="","",IF(INDEX(EntryPartyName,$P383)=0,"",INDEX(EntryPartyName,$P383)))</f>
        <v/>
      </c>
      <c r="F383" s="26">
        <f>IF($P383="","",IF(INDEX(EntryPartyType,$P383)=0,"",INDEX(EntryPartyType,$P383)))</f>
        <v/>
      </c>
      <c r="G383" s="26">
        <f>IF($P383="","",IF(INDEX(EntryTxnType,$P383)=0,"",INDEX(EntryTxnType,$P383)))</f>
        <v/>
      </c>
      <c r="H383" s="27">
        <f>IF($P383="","",IF(INDEX(EntryDep,$P383)=0,"",INDEX(EntryDep,$P383)))</f>
        <v/>
      </c>
      <c r="I383" s="27">
        <f>IF($P383="","",IF(INDEX(EntryWit,$P383)=0,"",INDEX(EntryWit,$P383)))</f>
        <v/>
      </c>
      <c r="J383" s="27">
        <f>IF($B383="","",IF($A383=1,$C$7,IF(J382="",0,J382))+IF($H383="",0,$H383)-IF($I383="",0,$I383))</f>
        <v/>
      </c>
      <c r="K383" s="27">
        <f>IF($P383="","",IF(INDEX(EntryMan,$P383)=0,"",INDEX(EntryMan,$P383)))</f>
        <v/>
      </c>
      <c r="L383" s="26">
        <f>IF($B383="","",IF($K383="","—",IF(ROUND($K383-$J383,0)=0,"√","×")))</f>
        <v/>
      </c>
      <c r="M383" s="26">
        <f>IF($B383="","",IF(COUNTIFS(EntryDates,$B383,CalcTime,$C383,CalcBank,$C$5,EntryParty,$D383,EntryDep,$H383,EntryWit,$I383)&gt;1,"تکرار",""))</f>
        <v/>
      </c>
      <c r="N383" s="26">
        <f>IF($P383="","",IF(INDEX(EntryNotes,$P383)=0,"",INDEX(EntryNotes,$P383)))</f>
        <v/>
      </c>
      <c r="O383" s="26">
        <f>IF($P383="","",IF(INDEX(EntryTxnID,$P383)=0,"",INDEX(EntryTxnID,$P383)))</f>
        <v/>
      </c>
      <c r="P383" s="26">
        <f>IFERROR(MATCH($C$5&amp;"|"&amp;RIGHT("000000"&amp;367,6),CalcRankKey,0),"")</f>
        <v/>
      </c>
    </row>
    <row r="384">
      <c r="A384" s="28">
        <f>IF($B384="","",368)</f>
        <v/>
      </c>
      <c r="B384" s="28">
        <f>IF($P384="","",IF(INDEX(CalcNormDate,$P384)=0,"",INDEX(CalcNormDate,$P384)))</f>
        <v/>
      </c>
      <c r="C384" s="28">
        <f>IF($P384="","",IF(INDEX(CalcTime,$P384)=0,"",INDEX(CalcTime,$P384)))</f>
        <v/>
      </c>
      <c r="D384" s="28">
        <f>IF($P384="","",IF(INDEX(EntryParty,$P384)=0,"",INDEX(EntryParty,$P384)))</f>
        <v/>
      </c>
      <c r="E384" s="28">
        <f>IF($P384="","",IF(INDEX(EntryPartyName,$P384)=0,"",INDEX(EntryPartyName,$P384)))</f>
        <v/>
      </c>
      <c r="F384" s="28">
        <f>IF($P384="","",IF(INDEX(EntryPartyType,$P384)=0,"",INDEX(EntryPartyType,$P384)))</f>
        <v/>
      </c>
      <c r="G384" s="28">
        <f>IF($P384="","",IF(INDEX(EntryTxnType,$P384)=0,"",INDEX(EntryTxnType,$P384)))</f>
        <v/>
      </c>
      <c r="H384" s="29">
        <f>IF($P384="","",IF(INDEX(EntryDep,$P384)=0,"",INDEX(EntryDep,$P384)))</f>
        <v/>
      </c>
      <c r="I384" s="29">
        <f>IF($P384="","",IF(INDEX(EntryWit,$P384)=0,"",INDEX(EntryWit,$P384)))</f>
        <v/>
      </c>
      <c r="J384" s="29">
        <f>IF($B384="","",IF($A384=1,$C$7,IF(J383="",0,J383))+IF($H384="",0,$H384)-IF($I384="",0,$I384))</f>
        <v/>
      </c>
      <c r="K384" s="29">
        <f>IF($P384="","",IF(INDEX(EntryMan,$P384)=0,"",INDEX(EntryMan,$P384)))</f>
        <v/>
      </c>
      <c r="L384" s="28">
        <f>IF($B384="","",IF($K384="","—",IF(ROUND($K384-$J384,0)=0,"√","×")))</f>
        <v/>
      </c>
      <c r="M384" s="28">
        <f>IF($B384="","",IF(COUNTIFS(EntryDates,$B384,CalcTime,$C384,CalcBank,$C$5,EntryParty,$D384,EntryDep,$H384,EntryWit,$I384)&gt;1,"تکرار",""))</f>
        <v/>
      </c>
      <c r="N384" s="28">
        <f>IF($P384="","",IF(INDEX(EntryNotes,$P384)=0,"",INDEX(EntryNotes,$P384)))</f>
        <v/>
      </c>
      <c r="O384" s="28">
        <f>IF($P384="","",IF(INDEX(EntryTxnID,$P384)=0,"",INDEX(EntryTxnID,$P384)))</f>
        <v/>
      </c>
      <c r="P384" s="28">
        <f>IFERROR(MATCH($C$5&amp;"|"&amp;RIGHT("000000"&amp;368,6),CalcRankKey,0),"")</f>
        <v/>
      </c>
    </row>
    <row r="385">
      <c r="A385" s="26">
        <f>IF($B385="","",369)</f>
        <v/>
      </c>
      <c r="B385" s="26">
        <f>IF($P385="","",IF(INDEX(CalcNormDate,$P385)=0,"",INDEX(CalcNormDate,$P385)))</f>
        <v/>
      </c>
      <c r="C385" s="26">
        <f>IF($P385="","",IF(INDEX(CalcTime,$P385)=0,"",INDEX(CalcTime,$P385)))</f>
        <v/>
      </c>
      <c r="D385" s="26">
        <f>IF($P385="","",IF(INDEX(EntryParty,$P385)=0,"",INDEX(EntryParty,$P385)))</f>
        <v/>
      </c>
      <c r="E385" s="26">
        <f>IF($P385="","",IF(INDEX(EntryPartyName,$P385)=0,"",INDEX(EntryPartyName,$P385)))</f>
        <v/>
      </c>
      <c r="F385" s="26">
        <f>IF($P385="","",IF(INDEX(EntryPartyType,$P385)=0,"",INDEX(EntryPartyType,$P385)))</f>
        <v/>
      </c>
      <c r="G385" s="26">
        <f>IF($P385="","",IF(INDEX(EntryTxnType,$P385)=0,"",INDEX(EntryTxnType,$P385)))</f>
        <v/>
      </c>
      <c r="H385" s="27">
        <f>IF($P385="","",IF(INDEX(EntryDep,$P385)=0,"",INDEX(EntryDep,$P385)))</f>
        <v/>
      </c>
      <c r="I385" s="27">
        <f>IF($P385="","",IF(INDEX(EntryWit,$P385)=0,"",INDEX(EntryWit,$P385)))</f>
        <v/>
      </c>
      <c r="J385" s="27">
        <f>IF($B385="","",IF($A385=1,$C$7,IF(J384="",0,J384))+IF($H385="",0,$H385)-IF($I385="",0,$I385))</f>
        <v/>
      </c>
      <c r="K385" s="27">
        <f>IF($P385="","",IF(INDEX(EntryMan,$P385)=0,"",INDEX(EntryMan,$P385)))</f>
        <v/>
      </c>
      <c r="L385" s="26">
        <f>IF($B385="","",IF($K385="","—",IF(ROUND($K385-$J385,0)=0,"√","×")))</f>
        <v/>
      </c>
      <c r="M385" s="26">
        <f>IF($B385="","",IF(COUNTIFS(EntryDates,$B385,CalcTime,$C385,CalcBank,$C$5,EntryParty,$D385,EntryDep,$H385,EntryWit,$I385)&gt;1,"تکرار",""))</f>
        <v/>
      </c>
      <c r="N385" s="26">
        <f>IF($P385="","",IF(INDEX(EntryNotes,$P385)=0,"",INDEX(EntryNotes,$P385)))</f>
        <v/>
      </c>
      <c r="O385" s="26">
        <f>IF($P385="","",IF(INDEX(EntryTxnID,$P385)=0,"",INDEX(EntryTxnID,$P385)))</f>
        <v/>
      </c>
      <c r="P385" s="26">
        <f>IFERROR(MATCH($C$5&amp;"|"&amp;RIGHT("000000"&amp;369,6),CalcRankKey,0),"")</f>
        <v/>
      </c>
    </row>
    <row r="386">
      <c r="A386" s="28">
        <f>IF($B386="","",370)</f>
        <v/>
      </c>
      <c r="B386" s="28">
        <f>IF($P386="","",IF(INDEX(CalcNormDate,$P386)=0,"",INDEX(CalcNormDate,$P386)))</f>
        <v/>
      </c>
      <c r="C386" s="28">
        <f>IF($P386="","",IF(INDEX(CalcTime,$P386)=0,"",INDEX(CalcTime,$P386)))</f>
        <v/>
      </c>
      <c r="D386" s="28">
        <f>IF($P386="","",IF(INDEX(EntryParty,$P386)=0,"",INDEX(EntryParty,$P386)))</f>
        <v/>
      </c>
      <c r="E386" s="28">
        <f>IF($P386="","",IF(INDEX(EntryPartyName,$P386)=0,"",INDEX(EntryPartyName,$P386)))</f>
        <v/>
      </c>
      <c r="F386" s="28">
        <f>IF($P386="","",IF(INDEX(EntryPartyType,$P386)=0,"",INDEX(EntryPartyType,$P386)))</f>
        <v/>
      </c>
      <c r="G386" s="28">
        <f>IF($P386="","",IF(INDEX(EntryTxnType,$P386)=0,"",INDEX(EntryTxnType,$P386)))</f>
        <v/>
      </c>
      <c r="H386" s="29">
        <f>IF($P386="","",IF(INDEX(EntryDep,$P386)=0,"",INDEX(EntryDep,$P386)))</f>
        <v/>
      </c>
      <c r="I386" s="29">
        <f>IF($P386="","",IF(INDEX(EntryWit,$P386)=0,"",INDEX(EntryWit,$P386)))</f>
        <v/>
      </c>
      <c r="J386" s="29">
        <f>IF($B386="","",IF($A386=1,$C$7,IF(J385="",0,J385))+IF($H386="",0,$H386)-IF($I386="",0,$I386))</f>
        <v/>
      </c>
      <c r="K386" s="29">
        <f>IF($P386="","",IF(INDEX(EntryMan,$P386)=0,"",INDEX(EntryMan,$P386)))</f>
        <v/>
      </c>
      <c r="L386" s="28">
        <f>IF($B386="","",IF($K386="","—",IF(ROUND($K386-$J386,0)=0,"√","×")))</f>
        <v/>
      </c>
      <c r="M386" s="28">
        <f>IF($B386="","",IF(COUNTIFS(EntryDates,$B386,CalcTime,$C386,CalcBank,$C$5,EntryParty,$D386,EntryDep,$H386,EntryWit,$I386)&gt;1,"تکرار",""))</f>
        <v/>
      </c>
      <c r="N386" s="28">
        <f>IF($P386="","",IF(INDEX(EntryNotes,$P386)=0,"",INDEX(EntryNotes,$P386)))</f>
        <v/>
      </c>
      <c r="O386" s="28">
        <f>IF($P386="","",IF(INDEX(EntryTxnID,$P386)=0,"",INDEX(EntryTxnID,$P386)))</f>
        <v/>
      </c>
      <c r="P386" s="28">
        <f>IFERROR(MATCH($C$5&amp;"|"&amp;RIGHT("000000"&amp;370,6),CalcRankKey,0),"")</f>
        <v/>
      </c>
    </row>
    <row r="387">
      <c r="A387" s="26">
        <f>IF($B387="","",371)</f>
        <v/>
      </c>
      <c r="B387" s="26">
        <f>IF($P387="","",IF(INDEX(CalcNormDate,$P387)=0,"",INDEX(CalcNormDate,$P387)))</f>
        <v/>
      </c>
      <c r="C387" s="26">
        <f>IF($P387="","",IF(INDEX(CalcTime,$P387)=0,"",INDEX(CalcTime,$P387)))</f>
        <v/>
      </c>
      <c r="D387" s="26">
        <f>IF($P387="","",IF(INDEX(EntryParty,$P387)=0,"",INDEX(EntryParty,$P387)))</f>
        <v/>
      </c>
      <c r="E387" s="26">
        <f>IF($P387="","",IF(INDEX(EntryPartyName,$P387)=0,"",INDEX(EntryPartyName,$P387)))</f>
        <v/>
      </c>
      <c r="F387" s="26">
        <f>IF($P387="","",IF(INDEX(EntryPartyType,$P387)=0,"",INDEX(EntryPartyType,$P387)))</f>
        <v/>
      </c>
      <c r="G387" s="26">
        <f>IF($P387="","",IF(INDEX(EntryTxnType,$P387)=0,"",INDEX(EntryTxnType,$P387)))</f>
        <v/>
      </c>
      <c r="H387" s="27">
        <f>IF($P387="","",IF(INDEX(EntryDep,$P387)=0,"",INDEX(EntryDep,$P387)))</f>
        <v/>
      </c>
      <c r="I387" s="27">
        <f>IF($P387="","",IF(INDEX(EntryWit,$P387)=0,"",INDEX(EntryWit,$P387)))</f>
        <v/>
      </c>
      <c r="J387" s="27">
        <f>IF($B387="","",IF($A387=1,$C$7,IF(J386="",0,J386))+IF($H387="",0,$H387)-IF($I387="",0,$I387))</f>
        <v/>
      </c>
      <c r="K387" s="27">
        <f>IF($P387="","",IF(INDEX(EntryMan,$P387)=0,"",INDEX(EntryMan,$P387)))</f>
        <v/>
      </c>
      <c r="L387" s="26">
        <f>IF($B387="","",IF($K387="","—",IF(ROUND($K387-$J387,0)=0,"√","×")))</f>
        <v/>
      </c>
      <c r="M387" s="26">
        <f>IF($B387="","",IF(COUNTIFS(EntryDates,$B387,CalcTime,$C387,CalcBank,$C$5,EntryParty,$D387,EntryDep,$H387,EntryWit,$I387)&gt;1,"تکرار",""))</f>
        <v/>
      </c>
      <c r="N387" s="26">
        <f>IF($P387="","",IF(INDEX(EntryNotes,$P387)=0,"",INDEX(EntryNotes,$P387)))</f>
        <v/>
      </c>
      <c r="O387" s="26">
        <f>IF($P387="","",IF(INDEX(EntryTxnID,$P387)=0,"",INDEX(EntryTxnID,$P387)))</f>
        <v/>
      </c>
      <c r="P387" s="26">
        <f>IFERROR(MATCH($C$5&amp;"|"&amp;RIGHT("000000"&amp;371,6),CalcRankKey,0),"")</f>
        <v/>
      </c>
    </row>
    <row r="388">
      <c r="A388" s="28">
        <f>IF($B388="","",372)</f>
        <v/>
      </c>
      <c r="B388" s="28">
        <f>IF($P388="","",IF(INDEX(CalcNormDate,$P388)=0,"",INDEX(CalcNormDate,$P388)))</f>
        <v/>
      </c>
      <c r="C388" s="28">
        <f>IF($P388="","",IF(INDEX(CalcTime,$P388)=0,"",INDEX(CalcTime,$P388)))</f>
        <v/>
      </c>
      <c r="D388" s="28">
        <f>IF($P388="","",IF(INDEX(EntryParty,$P388)=0,"",INDEX(EntryParty,$P388)))</f>
        <v/>
      </c>
      <c r="E388" s="28">
        <f>IF($P388="","",IF(INDEX(EntryPartyName,$P388)=0,"",INDEX(EntryPartyName,$P388)))</f>
        <v/>
      </c>
      <c r="F388" s="28">
        <f>IF($P388="","",IF(INDEX(EntryPartyType,$P388)=0,"",INDEX(EntryPartyType,$P388)))</f>
        <v/>
      </c>
      <c r="G388" s="28">
        <f>IF($P388="","",IF(INDEX(EntryTxnType,$P388)=0,"",INDEX(EntryTxnType,$P388)))</f>
        <v/>
      </c>
      <c r="H388" s="29">
        <f>IF($P388="","",IF(INDEX(EntryDep,$P388)=0,"",INDEX(EntryDep,$P388)))</f>
        <v/>
      </c>
      <c r="I388" s="29">
        <f>IF($P388="","",IF(INDEX(EntryWit,$P388)=0,"",INDEX(EntryWit,$P388)))</f>
        <v/>
      </c>
      <c r="J388" s="29">
        <f>IF($B388="","",IF($A388=1,$C$7,IF(J387="",0,J387))+IF($H388="",0,$H388)-IF($I388="",0,$I388))</f>
        <v/>
      </c>
      <c r="K388" s="29">
        <f>IF($P388="","",IF(INDEX(EntryMan,$P388)=0,"",INDEX(EntryMan,$P388)))</f>
        <v/>
      </c>
      <c r="L388" s="28">
        <f>IF($B388="","",IF($K388="","—",IF(ROUND($K388-$J388,0)=0,"√","×")))</f>
        <v/>
      </c>
      <c r="M388" s="28">
        <f>IF($B388="","",IF(COUNTIFS(EntryDates,$B388,CalcTime,$C388,CalcBank,$C$5,EntryParty,$D388,EntryDep,$H388,EntryWit,$I388)&gt;1,"تکرار",""))</f>
        <v/>
      </c>
      <c r="N388" s="28">
        <f>IF($P388="","",IF(INDEX(EntryNotes,$P388)=0,"",INDEX(EntryNotes,$P388)))</f>
        <v/>
      </c>
      <c r="O388" s="28">
        <f>IF($P388="","",IF(INDEX(EntryTxnID,$P388)=0,"",INDEX(EntryTxnID,$P388)))</f>
        <v/>
      </c>
      <c r="P388" s="28">
        <f>IFERROR(MATCH($C$5&amp;"|"&amp;RIGHT("000000"&amp;372,6),CalcRankKey,0),"")</f>
        <v/>
      </c>
    </row>
    <row r="389">
      <c r="A389" s="26">
        <f>IF($B389="","",373)</f>
        <v/>
      </c>
      <c r="B389" s="26">
        <f>IF($P389="","",IF(INDEX(CalcNormDate,$P389)=0,"",INDEX(CalcNormDate,$P389)))</f>
        <v/>
      </c>
      <c r="C389" s="26">
        <f>IF($P389="","",IF(INDEX(CalcTime,$P389)=0,"",INDEX(CalcTime,$P389)))</f>
        <v/>
      </c>
      <c r="D389" s="26">
        <f>IF($P389="","",IF(INDEX(EntryParty,$P389)=0,"",INDEX(EntryParty,$P389)))</f>
        <v/>
      </c>
      <c r="E389" s="26">
        <f>IF($P389="","",IF(INDEX(EntryPartyName,$P389)=0,"",INDEX(EntryPartyName,$P389)))</f>
        <v/>
      </c>
      <c r="F389" s="26">
        <f>IF($P389="","",IF(INDEX(EntryPartyType,$P389)=0,"",INDEX(EntryPartyType,$P389)))</f>
        <v/>
      </c>
      <c r="G389" s="26">
        <f>IF($P389="","",IF(INDEX(EntryTxnType,$P389)=0,"",INDEX(EntryTxnType,$P389)))</f>
        <v/>
      </c>
      <c r="H389" s="27">
        <f>IF($P389="","",IF(INDEX(EntryDep,$P389)=0,"",INDEX(EntryDep,$P389)))</f>
        <v/>
      </c>
      <c r="I389" s="27">
        <f>IF($P389="","",IF(INDEX(EntryWit,$P389)=0,"",INDEX(EntryWit,$P389)))</f>
        <v/>
      </c>
      <c r="J389" s="27">
        <f>IF($B389="","",IF($A389=1,$C$7,IF(J388="",0,J388))+IF($H389="",0,$H389)-IF($I389="",0,$I389))</f>
        <v/>
      </c>
      <c r="K389" s="27">
        <f>IF($P389="","",IF(INDEX(EntryMan,$P389)=0,"",INDEX(EntryMan,$P389)))</f>
        <v/>
      </c>
      <c r="L389" s="26">
        <f>IF($B389="","",IF($K389="","—",IF(ROUND($K389-$J389,0)=0,"√","×")))</f>
        <v/>
      </c>
      <c r="M389" s="26">
        <f>IF($B389="","",IF(COUNTIFS(EntryDates,$B389,CalcTime,$C389,CalcBank,$C$5,EntryParty,$D389,EntryDep,$H389,EntryWit,$I389)&gt;1,"تکرار",""))</f>
        <v/>
      </c>
      <c r="N389" s="26">
        <f>IF($P389="","",IF(INDEX(EntryNotes,$P389)=0,"",INDEX(EntryNotes,$P389)))</f>
        <v/>
      </c>
      <c r="O389" s="26">
        <f>IF($P389="","",IF(INDEX(EntryTxnID,$P389)=0,"",INDEX(EntryTxnID,$P389)))</f>
        <v/>
      </c>
      <c r="P389" s="26">
        <f>IFERROR(MATCH($C$5&amp;"|"&amp;RIGHT("000000"&amp;373,6),CalcRankKey,0),"")</f>
        <v/>
      </c>
    </row>
    <row r="390">
      <c r="A390" s="28">
        <f>IF($B390="","",374)</f>
        <v/>
      </c>
      <c r="B390" s="28">
        <f>IF($P390="","",IF(INDEX(CalcNormDate,$P390)=0,"",INDEX(CalcNormDate,$P390)))</f>
        <v/>
      </c>
      <c r="C390" s="28">
        <f>IF($P390="","",IF(INDEX(CalcTime,$P390)=0,"",INDEX(CalcTime,$P390)))</f>
        <v/>
      </c>
      <c r="D390" s="28">
        <f>IF($P390="","",IF(INDEX(EntryParty,$P390)=0,"",INDEX(EntryParty,$P390)))</f>
        <v/>
      </c>
      <c r="E390" s="28">
        <f>IF($P390="","",IF(INDEX(EntryPartyName,$P390)=0,"",INDEX(EntryPartyName,$P390)))</f>
        <v/>
      </c>
      <c r="F390" s="28">
        <f>IF($P390="","",IF(INDEX(EntryPartyType,$P390)=0,"",INDEX(EntryPartyType,$P390)))</f>
        <v/>
      </c>
      <c r="G390" s="28">
        <f>IF($P390="","",IF(INDEX(EntryTxnType,$P390)=0,"",INDEX(EntryTxnType,$P390)))</f>
        <v/>
      </c>
      <c r="H390" s="29">
        <f>IF($P390="","",IF(INDEX(EntryDep,$P390)=0,"",INDEX(EntryDep,$P390)))</f>
        <v/>
      </c>
      <c r="I390" s="29">
        <f>IF($P390="","",IF(INDEX(EntryWit,$P390)=0,"",INDEX(EntryWit,$P390)))</f>
        <v/>
      </c>
      <c r="J390" s="29">
        <f>IF($B390="","",IF($A390=1,$C$7,IF(J389="",0,J389))+IF($H390="",0,$H390)-IF($I390="",0,$I390))</f>
        <v/>
      </c>
      <c r="K390" s="29">
        <f>IF($P390="","",IF(INDEX(EntryMan,$P390)=0,"",INDEX(EntryMan,$P390)))</f>
        <v/>
      </c>
      <c r="L390" s="28">
        <f>IF($B390="","",IF($K390="","—",IF(ROUND($K390-$J390,0)=0,"√","×")))</f>
        <v/>
      </c>
      <c r="M390" s="28">
        <f>IF($B390="","",IF(COUNTIFS(EntryDates,$B390,CalcTime,$C390,CalcBank,$C$5,EntryParty,$D390,EntryDep,$H390,EntryWit,$I390)&gt;1,"تکرار",""))</f>
        <v/>
      </c>
      <c r="N390" s="28">
        <f>IF($P390="","",IF(INDEX(EntryNotes,$P390)=0,"",INDEX(EntryNotes,$P390)))</f>
        <v/>
      </c>
      <c r="O390" s="28">
        <f>IF($P390="","",IF(INDEX(EntryTxnID,$P390)=0,"",INDEX(EntryTxnID,$P390)))</f>
        <v/>
      </c>
      <c r="P390" s="28">
        <f>IFERROR(MATCH($C$5&amp;"|"&amp;RIGHT("000000"&amp;374,6),CalcRankKey,0),"")</f>
        <v/>
      </c>
    </row>
    <row r="391">
      <c r="A391" s="26">
        <f>IF($B391="","",375)</f>
        <v/>
      </c>
      <c r="B391" s="26">
        <f>IF($P391="","",IF(INDEX(CalcNormDate,$P391)=0,"",INDEX(CalcNormDate,$P391)))</f>
        <v/>
      </c>
      <c r="C391" s="26">
        <f>IF($P391="","",IF(INDEX(CalcTime,$P391)=0,"",INDEX(CalcTime,$P391)))</f>
        <v/>
      </c>
      <c r="D391" s="26">
        <f>IF($P391="","",IF(INDEX(EntryParty,$P391)=0,"",INDEX(EntryParty,$P391)))</f>
        <v/>
      </c>
      <c r="E391" s="26">
        <f>IF($P391="","",IF(INDEX(EntryPartyName,$P391)=0,"",INDEX(EntryPartyName,$P391)))</f>
        <v/>
      </c>
      <c r="F391" s="26">
        <f>IF($P391="","",IF(INDEX(EntryPartyType,$P391)=0,"",INDEX(EntryPartyType,$P391)))</f>
        <v/>
      </c>
      <c r="G391" s="26">
        <f>IF($P391="","",IF(INDEX(EntryTxnType,$P391)=0,"",INDEX(EntryTxnType,$P391)))</f>
        <v/>
      </c>
      <c r="H391" s="27">
        <f>IF($P391="","",IF(INDEX(EntryDep,$P391)=0,"",INDEX(EntryDep,$P391)))</f>
        <v/>
      </c>
      <c r="I391" s="27">
        <f>IF($P391="","",IF(INDEX(EntryWit,$P391)=0,"",INDEX(EntryWit,$P391)))</f>
        <v/>
      </c>
      <c r="J391" s="27">
        <f>IF($B391="","",IF($A391=1,$C$7,IF(J390="",0,J390))+IF($H391="",0,$H391)-IF($I391="",0,$I391))</f>
        <v/>
      </c>
      <c r="K391" s="27">
        <f>IF($P391="","",IF(INDEX(EntryMan,$P391)=0,"",INDEX(EntryMan,$P391)))</f>
        <v/>
      </c>
      <c r="L391" s="26">
        <f>IF($B391="","",IF($K391="","—",IF(ROUND($K391-$J391,0)=0,"√","×")))</f>
        <v/>
      </c>
      <c r="M391" s="26">
        <f>IF($B391="","",IF(COUNTIFS(EntryDates,$B391,CalcTime,$C391,CalcBank,$C$5,EntryParty,$D391,EntryDep,$H391,EntryWit,$I391)&gt;1,"تکرار",""))</f>
        <v/>
      </c>
      <c r="N391" s="26">
        <f>IF($P391="","",IF(INDEX(EntryNotes,$P391)=0,"",INDEX(EntryNotes,$P391)))</f>
        <v/>
      </c>
      <c r="O391" s="26">
        <f>IF($P391="","",IF(INDEX(EntryTxnID,$P391)=0,"",INDEX(EntryTxnID,$P391)))</f>
        <v/>
      </c>
      <c r="P391" s="26">
        <f>IFERROR(MATCH($C$5&amp;"|"&amp;RIGHT("000000"&amp;375,6),CalcRankKey,0),"")</f>
        <v/>
      </c>
    </row>
    <row r="392">
      <c r="A392" s="28">
        <f>IF($B392="","",376)</f>
        <v/>
      </c>
      <c r="B392" s="28">
        <f>IF($P392="","",IF(INDEX(CalcNormDate,$P392)=0,"",INDEX(CalcNormDate,$P392)))</f>
        <v/>
      </c>
      <c r="C392" s="28">
        <f>IF($P392="","",IF(INDEX(CalcTime,$P392)=0,"",INDEX(CalcTime,$P392)))</f>
        <v/>
      </c>
      <c r="D392" s="28">
        <f>IF($P392="","",IF(INDEX(EntryParty,$P392)=0,"",INDEX(EntryParty,$P392)))</f>
        <v/>
      </c>
      <c r="E392" s="28">
        <f>IF($P392="","",IF(INDEX(EntryPartyName,$P392)=0,"",INDEX(EntryPartyName,$P392)))</f>
        <v/>
      </c>
      <c r="F392" s="28">
        <f>IF($P392="","",IF(INDEX(EntryPartyType,$P392)=0,"",INDEX(EntryPartyType,$P392)))</f>
        <v/>
      </c>
      <c r="G392" s="28">
        <f>IF($P392="","",IF(INDEX(EntryTxnType,$P392)=0,"",INDEX(EntryTxnType,$P392)))</f>
        <v/>
      </c>
      <c r="H392" s="29">
        <f>IF($P392="","",IF(INDEX(EntryDep,$P392)=0,"",INDEX(EntryDep,$P392)))</f>
        <v/>
      </c>
      <c r="I392" s="29">
        <f>IF($P392="","",IF(INDEX(EntryWit,$P392)=0,"",INDEX(EntryWit,$P392)))</f>
        <v/>
      </c>
      <c r="J392" s="29">
        <f>IF($B392="","",IF($A392=1,$C$7,IF(J391="",0,J391))+IF($H392="",0,$H392)-IF($I392="",0,$I392))</f>
        <v/>
      </c>
      <c r="K392" s="29">
        <f>IF($P392="","",IF(INDEX(EntryMan,$P392)=0,"",INDEX(EntryMan,$P392)))</f>
        <v/>
      </c>
      <c r="L392" s="28">
        <f>IF($B392="","",IF($K392="","—",IF(ROUND($K392-$J392,0)=0,"√","×")))</f>
        <v/>
      </c>
      <c r="M392" s="28">
        <f>IF($B392="","",IF(COUNTIFS(EntryDates,$B392,CalcTime,$C392,CalcBank,$C$5,EntryParty,$D392,EntryDep,$H392,EntryWit,$I392)&gt;1,"تکرار",""))</f>
        <v/>
      </c>
      <c r="N392" s="28">
        <f>IF($P392="","",IF(INDEX(EntryNotes,$P392)=0,"",INDEX(EntryNotes,$P392)))</f>
        <v/>
      </c>
      <c r="O392" s="28">
        <f>IF($P392="","",IF(INDEX(EntryTxnID,$P392)=0,"",INDEX(EntryTxnID,$P392)))</f>
        <v/>
      </c>
      <c r="P392" s="28">
        <f>IFERROR(MATCH($C$5&amp;"|"&amp;RIGHT("000000"&amp;376,6),CalcRankKey,0),"")</f>
        <v/>
      </c>
    </row>
    <row r="393">
      <c r="A393" s="26">
        <f>IF($B393="","",377)</f>
        <v/>
      </c>
      <c r="B393" s="26">
        <f>IF($P393="","",IF(INDEX(CalcNormDate,$P393)=0,"",INDEX(CalcNormDate,$P393)))</f>
        <v/>
      </c>
      <c r="C393" s="26">
        <f>IF($P393="","",IF(INDEX(CalcTime,$P393)=0,"",INDEX(CalcTime,$P393)))</f>
        <v/>
      </c>
      <c r="D393" s="26">
        <f>IF($P393="","",IF(INDEX(EntryParty,$P393)=0,"",INDEX(EntryParty,$P393)))</f>
        <v/>
      </c>
      <c r="E393" s="26">
        <f>IF($P393="","",IF(INDEX(EntryPartyName,$P393)=0,"",INDEX(EntryPartyName,$P393)))</f>
        <v/>
      </c>
      <c r="F393" s="26">
        <f>IF($P393="","",IF(INDEX(EntryPartyType,$P393)=0,"",INDEX(EntryPartyType,$P393)))</f>
        <v/>
      </c>
      <c r="G393" s="26">
        <f>IF($P393="","",IF(INDEX(EntryTxnType,$P393)=0,"",INDEX(EntryTxnType,$P393)))</f>
        <v/>
      </c>
      <c r="H393" s="27">
        <f>IF($P393="","",IF(INDEX(EntryDep,$P393)=0,"",INDEX(EntryDep,$P393)))</f>
        <v/>
      </c>
      <c r="I393" s="27">
        <f>IF($P393="","",IF(INDEX(EntryWit,$P393)=0,"",INDEX(EntryWit,$P393)))</f>
        <v/>
      </c>
      <c r="J393" s="27">
        <f>IF($B393="","",IF($A393=1,$C$7,IF(J392="",0,J392))+IF($H393="",0,$H393)-IF($I393="",0,$I393))</f>
        <v/>
      </c>
      <c r="K393" s="27">
        <f>IF($P393="","",IF(INDEX(EntryMan,$P393)=0,"",INDEX(EntryMan,$P393)))</f>
        <v/>
      </c>
      <c r="L393" s="26">
        <f>IF($B393="","",IF($K393="","—",IF(ROUND($K393-$J393,0)=0,"√","×")))</f>
        <v/>
      </c>
      <c r="M393" s="26">
        <f>IF($B393="","",IF(COUNTIFS(EntryDates,$B393,CalcTime,$C393,CalcBank,$C$5,EntryParty,$D393,EntryDep,$H393,EntryWit,$I393)&gt;1,"تکرار",""))</f>
        <v/>
      </c>
      <c r="N393" s="26">
        <f>IF($P393="","",IF(INDEX(EntryNotes,$P393)=0,"",INDEX(EntryNotes,$P393)))</f>
        <v/>
      </c>
      <c r="O393" s="26">
        <f>IF($P393="","",IF(INDEX(EntryTxnID,$P393)=0,"",INDEX(EntryTxnID,$P393)))</f>
        <v/>
      </c>
      <c r="P393" s="26">
        <f>IFERROR(MATCH($C$5&amp;"|"&amp;RIGHT("000000"&amp;377,6),CalcRankKey,0),"")</f>
        <v/>
      </c>
    </row>
    <row r="394">
      <c r="A394" s="28">
        <f>IF($B394="","",378)</f>
        <v/>
      </c>
      <c r="B394" s="28">
        <f>IF($P394="","",IF(INDEX(CalcNormDate,$P394)=0,"",INDEX(CalcNormDate,$P394)))</f>
        <v/>
      </c>
      <c r="C394" s="28">
        <f>IF($P394="","",IF(INDEX(CalcTime,$P394)=0,"",INDEX(CalcTime,$P394)))</f>
        <v/>
      </c>
      <c r="D394" s="28">
        <f>IF($P394="","",IF(INDEX(EntryParty,$P394)=0,"",INDEX(EntryParty,$P394)))</f>
        <v/>
      </c>
      <c r="E394" s="28">
        <f>IF($P394="","",IF(INDEX(EntryPartyName,$P394)=0,"",INDEX(EntryPartyName,$P394)))</f>
        <v/>
      </c>
      <c r="F394" s="28">
        <f>IF($P394="","",IF(INDEX(EntryPartyType,$P394)=0,"",INDEX(EntryPartyType,$P394)))</f>
        <v/>
      </c>
      <c r="G394" s="28">
        <f>IF($P394="","",IF(INDEX(EntryTxnType,$P394)=0,"",INDEX(EntryTxnType,$P394)))</f>
        <v/>
      </c>
      <c r="H394" s="29">
        <f>IF($P394="","",IF(INDEX(EntryDep,$P394)=0,"",INDEX(EntryDep,$P394)))</f>
        <v/>
      </c>
      <c r="I394" s="29">
        <f>IF($P394="","",IF(INDEX(EntryWit,$P394)=0,"",INDEX(EntryWit,$P394)))</f>
        <v/>
      </c>
      <c r="J394" s="29">
        <f>IF($B394="","",IF($A394=1,$C$7,IF(J393="",0,J393))+IF($H394="",0,$H394)-IF($I394="",0,$I394))</f>
        <v/>
      </c>
      <c r="K394" s="29">
        <f>IF($P394="","",IF(INDEX(EntryMan,$P394)=0,"",INDEX(EntryMan,$P394)))</f>
        <v/>
      </c>
      <c r="L394" s="28">
        <f>IF($B394="","",IF($K394="","—",IF(ROUND($K394-$J394,0)=0,"√","×")))</f>
        <v/>
      </c>
      <c r="M394" s="28">
        <f>IF($B394="","",IF(COUNTIFS(EntryDates,$B394,CalcTime,$C394,CalcBank,$C$5,EntryParty,$D394,EntryDep,$H394,EntryWit,$I394)&gt;1,"تکرار",""))</f>
        <v/>
      </c>
      <c r="N394" s="28">
        <f>IF($P394="","",IF(INDEX(EntryNotes,$P394)=0,"",INDEX(EntryNotes,$P394)))</f>
        <v/>
      </c>
      <c r="O394" s="28">
        <f>IF($P394="","",IF(INDEX(EntryTxnID,$P394)=0,"",INDEX(EntryTxnID,$P394)))</f>
        <v/>
      </c>
      <c r="P394" s="28">
        <f>IFERROR(MATCH($C$5&amp;"|"&amp;RIGHT("000000"&amp;378,6),CalcRankKey,0),"")</f>
        <v/>
      </c>
    </row>
    <row r="395">
      <c r="A395" s="26">
        <f>IF($B395="","",379)</f>
        <v/>
      </c>
      <c r="B395" s="26">
        <f>IF($P395="","",IF(INDEX(CalcNormDate,$P395)=0,"",INDEX(CalcNormDate,$P395)))</f>
        <v/>
      </c>
      <c r="C395" s="26">
        <f>IF($P395="","",IF(INDEX(CalcTime,$P395)=0,"",INDEX(CalcTime,$P395)))</f>
        <v/>
      </c>
      <c r="D395" s="26">
        <f>IF($P395="","",IF(INDEX(EntryParty,$P395)=0,"",INDEX(EntryParty,$P395)))</f>
        <v/>
      </c>
      <c r="E395" s="26">
        <f>IF($P395="","",IF(INDEX(EntryPartyName,$P395)=0,"",INDEX(EntryPartyName,$P395)))</f>
        <v/>
      </c>
      <c r="F395" s="26">
        <f>IF($P395="","",IF(INDEX(EntryPartyType,$P395)=0,"",INDEX(EntryPartyType,$P395)))</f>
        <v/>
      </c>
      <c r="G395" s="26">
        <f>IF($P395="","",IF(INDEX(EntryTxnType,$P395)=0,"",INDEX(EntryTxnType,$P395)))</f>
        <v/>
      </c>
      <c r="H395" s="27">
        <f>IF($P395="","",IF(INDEX(EntryDep,$P395)=0,"",INDEX(EntryDep,$P395)))</f>
        <v/>
      </c>
      <c r="I395" s="27">
        <f>IF($P395="","",IF(INDEX(EntryWit,$P395)=0,"",INDEX(EntryWit,$P395)))</f>
        <v/>
      </c>
      <c r="J395" s="27">
        <f>IF($B395="","",IF($A395=1,$C$7,IF(J394="",0,J394))+IF($H395="",0,$H395)-IF($I395="",0,$I395))</f>
        <v/>
      </c>
      <c r="K395" s="27">
        <f>IF($P395="","",IF(INDEX(EntryMan,$P395)=0,"",INDEX(EntryMan,$P395)))</f>
        <v/>
      </c>
      <c r="L395" s="26">
        <f>IF($B395="","",IF($K395="","—",IF(ROUND($K395-$J395,0)=0,"√","×")))</f>
        <v/>
      </c>
      <c r="M395" s="26">
        <f>IF($B395="","",IF(COUNTIFS(EntryDates,$B395,CalcTime,$C395,CalcBank,$C$5,EntryParty,$D395,EntryDep,$H395,EntryWit,$I395)&gt;1,"تکرار",""))</f>
        <v/>
      </c>
      <c r="N395" s="26">
        <f>IF($P395="","",IF(INDEX(EntryNotes,$P395)=0,"",INDEX(EntryNotes,$P395)))</f>
        <v/>
      </c>
      <c r="O395" s="26">
        <f>IF($P395="","",IF(INDEX(EntryTxnID,$P395)=0,"",INDEX(EntryTxnID,$P395)))</f>
        <v/>
      </c>
      <c r="P395" s="26">
        <f>IFERROR(MATCH($C$5&amp;"|"&amp;RIGHT("000000"&amp;379,6),CalcRankKey,0),"")</f>
        <v/>
      </c>
    </row>
    <row r="396">
      <c r="A396" s="28">
        <f>IF($B396="","",380)</f>
        <v/>
      </c>
      <c r="B396" s="28">
        <f>IF($P396="","",IF(INDEX(CalcNormDate,$P396)=0,"",INDEX(CalcNormDate,$P396)))</f>
        <v/>
      </c>
      <c r="C396" s="28">
        <f>IF($P396="","",IF(INDEX(CalcTime,$P396)=0,"",INDEX(CalcTime,$P396)))</f>
        <v/>
      </c>
      <c r="D396" s="28">
        <f>IF($P396="","",IF(INDEX(EntryParty,$P396)=0,"",INDEX(EntryParty,$P396)))</f>
        <v/>
      </c>
      <c r="E396" s="28">
        <f>IF($P396="","",IF(INDEX(EntryPartyName,$P396)=0,"",INDEX(EntryPartyName,$P396)))</f>
        <v/>
      </c>
      <c r="F396" s="28">
        <f>IF($P396="","",IF(INDEX(EntryPartyType,$P396)=0,"",INDEX(EntryPartyType,$P396)))</f>
        <v/>
      </c>
      <c r="G396" s="28">
        <f>IF($P396="","",IF(INDEX(EntryTxnType,$P396)=0,"",INDEX(EntryTxnType,$P396)))</f>
        <v/>
      </c>
      <c r="H396" s="29">
        <f>IF($P396="","",IF(INDEX(EntryDep,$P396)=0,"",INDEX(EntryDep,$P396)))</f>
        <v/>
      </c>
      <c r="I396" s="29">
        <f>IF($P396="","",IF(INDEX(EntryWit,$P396)=0,"",INDEX(EntryWit,$P396)))</f>
        <v/>
      </c>
      <c r="J396" s="29">
        <f>IF($B396="","",IF($A396=1,$C$7,IF(J395="",0,J395))+IF($H396="",0,$H396)-IF($I396="",0,$I396))</f>
        <v/>
      </c>
      <c r="K396" s="29">
        <f>IF($P396="","",IF(INDEX(EntryMan,$P396)=0,"",INDEX(EntryMan,$P396)))</f>
        <v/>
      </c>
      <c r="L396" s="28">
        <f>IF($B396="","",IF($K396="","—",IF(ROUND($K396-$J396,0)=0,"√","×")))</f>
        <v/>
      </c>
      <c r="M396" s="28">
        <f>IF($B396="","",IF(COUNTIFS(EntryDates,$B396,CalcTime,$C396,CalcBank,$C$5,EntryParty,$D396,EntryDep,$H396,EntryWit,$I396)&gt;1,"تکرار",""))</f>
        <v/>
      </c>
      <c r="N396" s="28">
        <f>IF($P396="","",IF(INDEX(EntryNotes,$P396)=0,"",INDEX(EntryNotes,$P396)))</f>
        <v/>
      </c>
      <c r="O396" s="28">
        <f>IF($P396="","",IF(INDEX(EntryTxnID,$P396)=0,"",INDEX(EntryTxnID,$P396)))</f>
        <v/>
      </c>
      <c r="P396" s="28">
        <f>IFERROR(MATCH($C$5&amp;"|"&amp;RIGHT("000000"&amp;380,6),CalcRankKey,0),"")</f>
        <v/>
      </c>
    </row>
    <row r="397">
      <c r="A397" s="26">
        <f>IF($B397="","",381)</f>
        <v/>
      </c>
      <c r="B397" s="26">
        <f>IF($P397="","",IF(INDEX(CalcNormDate,$P397)=0,"",INDEX(CalcNormDate,$P397)))</f>
        <v/>
      </c>
      <c r="C397" s="26">
        <f>IF($P397="","",IF(INDEX(CalcTime,$P397)=0,"",INDEX(CalcTime,$P397)))</f>
        <v/>
      </c>
      <c r="D397" s="26">
        <f>IF($P397="","",IF(INDEX(EntryParty,$P397)=0,"",INDEX(EntryParty,$P397)))</f>
        <v/>
      </c>
      <c r="E397" s="26">
        <f>IF($P397="","",IF(INDEX(EntryPartyName,$P397)=0,"",INDEX(EntryPartyName,$P397)))</f>
        <v/>
      </c>
      <c r="F397" s="26">
        <f>IF($P397="","",IF(INDEX(EntryPartyType,$P397)=0,"",INDEX(EntryPartyType,$P397)))</f>
        <v/>
      </c>
      <c r="G397" s="26">
        <f>IF($P397="","",IF(INDEX(EntryTxnType,$P397)=0,"",INDEX(EntryTxnType,$P397)))</f>
        <v/>
      </c>
      <c r="H397" s="27">
        <f>IF($P397="","",IF(INDEX(EntryDep,$P397)=0,"",INDEX(EntryDep,$P397)))</f>
        <v/>
      </c>
      <c r="I397" s="27">
        <f>IF($P397="","",IF(INDEX(EntryWit,$P397)=0,"",INDEX(EntryWit,$P397)))</f>
        <v/>
      </c>
      <c r="J397" s="27">
        <f>IF($B397="","",IF($A397=1,$C$7,IF(J396="",0,J396))+IF($H397="",0,$H397)-IF($I397="",0,$I397))</f>
        <v/>
      </c>
      <c r="K397" s="27">
        <f>IF($P397="","",IF(INDEX(EntryMan,$P397)=0,"",INDEX(EntryMan,$P397)))</f>
        <v/>
      </c>
      <c r="L397" s="26">
        <f>IF($B397="","",IF($K397="","—",IF(ROUND($K397-$J397,0)=0,"√","×")))</f>
        <v/>
      </c>
      <c r="M397" s="26">
        <f>IF($B397="","",IF(COUNTIFS(EntryDates,$B397,CalcTime,$C397,CalcBank,$C$5,EntryParty,$D397,EntryDep,$H397,EntryWit,$I397)&gt;1,"تکرار",""))</f>
        <v/>
      </c>
      <c r="N397" s="26">
        <f>IF($P397="","",IF(INDEX(EntryNotes,$P397)=0,"",INDEX(EntryNotes,$P397)))</f>
        <v/>
      </c>
      <c r="O397" s="26">
        <f>IF($P397="","",IF(INDEX(EntryTxnID,$P397)=0,"",INDEX(EntryTxnID,$P397)))</f>
        <v/>
      </c>
      <c r="P397" s="26">
        <f>IFERROR(MATCH($C$5&amp;"|"&amp;RIGHT("000000"&amp;381,6),CalcRankKey,0),"")</f>
        <v/>
      </c>
    </row>
    <row r="398">
      <c r="A398" s="28">
        <f>IF($B398="","",382)</f>
        <v/>
      </c>
      <c r="B398" s="28">
        <f>IF($P398="","",IF(INDEX(CalcNormDate,$P398)=0,"",INDEX(CalcNormDate,$P398)))</f>
        <v/>
      </c>
      <c r="C398" s="28">
        <f>IF($P398="","",IF(INDEX(CalcTime,$P398)=0,"",INDEX(CalcTime,$P398)))</f>
        <v/>
      </c>
      <c r="D398" s="28">
        <f>IF($P398="","",IF(INDEX(EntryParty,$P398)=0,"",INDEX(EntryParty,$P398)))</f>
        <v/>
      </c>
      <c r="E398" s="28">
        <f>IF($P398="","",IF(INDEX(EntryPartyName,$P398)=0,"",INDEX(EntryPartyName,$P398)))</f>
        <v/>
      </c>
      <c r="F398" s="28">
        <f>IF($P398="","",IF(INDEX(EntryPartyType,$P398)=0,"",INDEX(EntryPartyType,$P398)))</f>
        <v/>
      </c>
      <c r="G398" s="28">
        <f>IF($P398="","",IF(INDEX(EntryTxnType,$P398)=0,"",INDEX(EntryTxnType,$P398)))</f>
        <v/>
      </c>
      <c r="H398" s="29">
        <f>IF($P398="","",IF(INDEX(EntryDep,$P398)=0,"",INDEX(EntryDep,$P398)))</f>
        <v/>
      </c>
      <c r="I398" s="29">
        <f>IF($P398="","",IF(INDEX(EntryWit,$P398)=0,"",INDEX(EntryWit,$P398)))</f>
        <v/>
      </c>
      <c r="J398" s="29">
        <f>IF($B398="","",IF($A398=1,$C$7,IF(J397="",0,J397))+IF($H398="",0,$H398)-IF($I398="",0,$I398))</f>
        <v/>
      </c>
      <c r="K398" s="29">
        <f>IF($P398="","",IF(INDEX(EntryMan,$P398)=0,"",INDEX(EntryMan,$P398)))</f>
        <v/>
      </c>
      <c r="L398" s="28">
        <f>IF($B398="","",IF($K398="","—",IF(ROUND($K398-$J398,0)=0,"√","×")))</f>
        <v/>
      </c>
      <c r="M398" s="28">
        <f>IF($B398="","",IF(COUNTIFS(EntryDates,$B398,CalcTime,$C398,CalcBank,$C$5,EntryParty,$D398,EntryDep,$H398,EntryWit,$I398)&gt;1,"تکرار",""))</f>
        <v/>
      </c>
      <c r="N398" s="28">
        <f>IF($P398="","",IF(INDEX(EntryNotes,$P398)=0,"",INDEX(EntryNotes,$P398)))</f>
        <v/>
      </c>
      <c r="O398" s="28">
        <f>IF($P398="","",IF(INDEX(EntryTxnID,$P398)=0,"",INDEX(EntryTxnID,$P398)))</f>
        <v/>
      </c>
      <c r="P398" s="28">
        <f>IFERROR(MATCH($C$5&amp;"|"&amp;RIGHT("000000"&amp;382,6),CalcRankKey,0),"")</f>
        <v/>
      </c>
    </row>
    <row r="399">
      <c r="A399" s="26">
        <f>IF($B399="","",383)</f>
        <v/>
      </c>
      <c r="B399" s="26">
        <f>IF($P399="","",IF(INDEX(CalcNormDate,$P399)=0,"",INDEX(CalcNormDate,$P399)))</f>
        <v/>
      </c>
      <c r="C399" s="26">
        <f>IF($P399="","",IF(INDEX(CalcTime,$P399)=0,"",INDEX(CalcTime,$P399)))</f>
        <v/>
      </c>
      <c r="D399" s="26">
        <f>IF($P399="","",IF(INDEX(EntryParty,$P399)=0,"",INDEX(EntryParty,$P399)))</f>
        <v/>
      </c>
      <c r="E399" s="26">
        <f>IF($P399="","",IF(INDEX(EntryPartyName,$P399)=0,"",INDEX(EntryPartyName,$P399)))</f>
        <v/>
      </c>
      <c r="F399" s="26">
        <f>IF($P399="","",IF(INDEX(EntryPartyType,$P399)=0,"",INDEX(EntryPartyType,$P399)))</f>
        <v/>
      </c>
      <c r="G399" s="26">
        <f>IF($P399="","",IF(INDEX(EntryTxnType,$P399)=0,"",INDEX(EntryTxnType,$P399)))</f>
        <v/>
      </c>
      <c r="H399" s="27">
        <f>IF($P399="","",IF(INDEX(EntryDep,$P399)=0,"",INDEX(EntryDep,$P399)))</f>
        <v/>
      </c>
      <c r="I399" s="27">
        <f>IF($P399="","",IF(INDEX(EntryWit,$P399)=0,"",INDEX(EntryWit,$P399)))</f>
        <v/>
      </c>
      <c r="J399" s="27">
        <f>IF($B399="","",IF($A399=1,$C$7,IF(J398="",0,J398))+IF($H399="",0,$H399)-IF($I399="",0,$I399))</f>
        <v/>
      </c>
      <c r="K399" s="27">
        <f>IF($P399="","",IF(INDEX(EntryMan,$P399)=0,"",INDEX(EntryMan,$P399)))</f>
        <v/>
      </c>
      <c r="L399" s="26">
        <f>IF($B399="","",IF($K399="","—",IF(ROUND($K399-$J399,0)=0,"√","×")))</f>
        <v/>
      </c>
      <c r="M399" s="26">
        <f>IF($B399="","",IF(COUNTIFS(EntryDates,$B399,CalcTime,$C399,CalcBank,$C$5,EntryParty,$D399,EntryDep,$H399,EntryWit,$I399)&gt;1,"تکرار",""))</f>
        <v/>
      </c>
      <c r="N399" s="26">
        <f>IF($P399="","",IF(INDEX(EntryNotes,$P399)=0,"",INDEX(EntryNotes,$P399)))</f>
        <v/>
      </c>
      <c r="O399" s="26">
        <f>IF($P399="","",IF(INDEX(EntryTxnID,$P399)=0,"",INDEX(EntryTxnID,$P399)))</f>
        <v/>
      </c>
      <c r="P399" s="26">
        <f>IFERROR(MATCH($C$5&amp;"|"&amp;RIGHT("000000"&amp;383,6),CalcRankKey,0),"")</f>
        <v/>
      </c>
    </row>
    <row r="400">
      <c r="A400" s="28">
        <f>IF($B400="","",384)</f>
        <v/>
      </c>
      <c r="B400" s="28">
        <f>IF($P400="","",IF(INDEX(CalcNormDate,$P400)=0,"",INDEX(CalcNormDate,$P400)))</f>
        <v/>
      </c>
      <c r="C400" s="28">
        <f>IF($P400="","",IF(INDEX(CalcTime,$P400)=0,"",INDEX(CalcTime,$P400)))</f>
        <v/>
      </c>
      <c r="D400" s="28">
        <f>IF($P400="","",IF(INDEX(EntryParty,$P400)=0,"",INDEX(EntryParty,$P400)))</f>
        <v/>
      </c>
      <c r="E400" s="28">
        <f>IF($P400="","",IF(INDEX(EntryPartyName,$P400)=0,"",INDEX(EntryPartyName,$P400)))</f>
        <v/>
      </c>
      <c r="F400" s="28">
        <f>IF($P400="","",IF(INDEX(EntryPartyType,$P400)=0,"",INDEX(EntryPartyType,$P400)))</f>
        <v/>
      </c>
      <c r="G400" s="28">
        <f>IF($P400="","",IF(INDEX(EntryTxnType,$P400)=0,"",INDEX(EntryTxnType,$P400)))</f>
        <v/>
      </c>
      <c r="H400" s="29">
        <f>IF($P400="","",IF(INDEX(EntryDep,$P400)=0,"",INDEX(EntryDep,$P400)))</f>
        <v/>
      </c>
      <c r="I400" s="29">
        <f>IF($P400="","",IF(INDEX(EntryWit,$P400)=0,"",INDEX(EntryWit,$P400)))</f>
        <v/>
      </c>
      <c r="J400" s="29">
        <f>IF($B400="","",IF($A400=1,$C$7,IF(J399="",0,J399))+IF($H400="",0,$H400)-IF($I400="",0,$I400))</f>
        <v/>
      </c>
      <c r="K400" s="29">
        <f>IF($P400="","",IF(INDEX(EntryMan,$P400)=0,"",INDEX(EntryMan,$P400)))</f>
        <v/>
      </c>
      <c r="L400" s="28">
        <f>IF($B400="","",IF($K400="","—",IF(ROUND($K400-$J400,0)=0,"√","×")))</f>
        <v/>
      </c>
      <c r="M400" s="28">
        <f>IF($B400="","",IF(COUNTIFS(EntryDates,$B400,CalcTime,$C400,CalcBank,$C$5,EntryParty,$D400,EntryDep,$H400,EntryWit,$I400)&gt;1,"تکرار",""))</f>
        <v/>
      </c>
      <c r="N400" s="28">
        <f>IF($P400="","",IF(INDEX(EntryNotes,$P400)=0,"",INDEX(EntryNotes,$P400)))</f>
        <v/>
      </c>
      <c r="O400" s="28">
        <f>IF($P400="","",IF(INDEX(EntryTxnID,$P400)=0,"",INDEX(EntryTxnID,$P400)))</f>
        <v/>
      </c>
      <c r="P400" s="28">
        <f>IFERROR(MATCH($C$5&amp;"|"&amp;RIGHT("000000"&amp;384,6),CalcRankKey,0),"")</f>
        <v/>
      </c>
    </row>
    <row r="401">
      <c r="A401" s="26">
        <f>IF($B401="","",385)</f>
        <v/>
      </c>
      <c r="B401" s="26">
        <f>IF($P401="","",IF(INDEX(CalcNormDate,$P401)=0,"",INDEX(CalcNormDate,$P401)))</f>
        <v/>
      </c>
      <c r="C401" s="26">
        <f>IF($P401="","",IF(INDEX(CalcTime,$P401)=0,"",INDEX(CalcTime,$P401)))</f>
        <v/>
      </c>
      <c r="D401" s="26">
        <f>IF($P401="","",IF(INDEX(EntryParty,$P401)=0,"",INDEX(EntryParty,$P401)))</f>
        <v/>
      </c>
      <c r="E401" s="26">
        <f>IF($P401="","",IF(INDEX(EntryPartyName,$P401)=0,"",INDEX(EntryPartyName,$P401)))</f>
        <v/>
      </c>
      <c r="F401" s="26">
        <f>IF($P401="","",IF(INDEX(EntryPartyType,$P401)=0,"",INDEX(EntryPartyType,$P401)))</f>
        <v/>
      </c>
      <c r="G401" s="26">
        <f>IF($P401="","",IF(INDEX(EntryTxnType,$P401)=0,"",INDEX(EntryTxnType,$P401)))</f>
        <v/>
      </c>
      <c r="H401" s="27">
        <f>IF($P401="","",IF(INDEX(EntryDep,$P401)=0,"",INDEX(EntryDep,$P401)))</f>
        <v/>
      </c>
      <c r="I401" s="27">
        <f>IF($P401="","",IF(INDEX(EntryWit,$P401)=0,"",INDEX(EntryWit,$P401)))</f>
        <v/>
      </c>
      <c r="J401" s="27">
        <f>IF($B401="","",IF($A401=1,$C$7,IF(J400="",0,J400))+IF($H401="",0,$H401)-IF($I401="",0,$I401))</f>
        <v/>
      </c>
      <c r="K401" s="27">
        <f>IF($P401="","",IF(INDEX(EntryMan,$P401)=0,"",INDEX(EntryMan,$P401)))</f>
        <v/>
      </c>
      <c r="L401" s="26">
        <f>IF($B401="","",IF($K401="","—",IF(ROUND($K401-$J401,0)=0,"√","×")))</f>
        <v/>
      </c>
      <c r="M401" s="26">
        <f>IF($B401="","",IF(COUNTIFS(EntryDates,$B401,CalcTime,$C401,CalcBank,$C$5,EntryParty,$D401,EntryDep,$H401,EntryWit,$I401)&gt;1,"تکرار",""))</f>
        <v/>
      </c>
      <c r="N401" s="26">
        <f>IF($P401="","",IF(INDEX(EntryNotes,$P401)=0,"",INDEX(EntryNotes,$P401)))</f>
        <v/>
      </c>
      <c r="O401" s="26">
        <f>IF($P401="","",IF(INDEX(EntryTxnID,$P401)=0,"",INDEX(EntryTxnID,$P401)))</f>
        <v/>
      </c>
      <c r="P401" s="26">
        <f>IFERROR(MATCH($C$5&amp;"|"&amp;RIGHT("000000"&amp;385,6),CalcRankKey,0),"")</f>
        <v/>
      </c>
    </row>
    <row r="402">
      <c r="A402" s="28">
        <f>IF($B402="","",386)</f>
        <v/>
      </c>
      <c r="B402" s="28">
        <f>IF($P402="","",IF(INDEX(CalcNormDate,$P402)=0,"",INDEX(CalcNormDate,$P402)))</f>
        <v/>
      </c>
      <c r="C402" s="28">
        <f>IF($P402="","",IF(INDEX(CalcTime,$P402)=0,"",INDEX(CalcTime,$P402)))</f>
        <v/>
      </c>
      <c r="D402" s="28">
        <f>IF($P402="","",IF(INDEX(EntryParty,$P402)=0,"",INDEX(EntryParty,$P402)))</f>
        <v/>
      </c>
      <c r="E402" s="28">
        <f>IF($P402="","",IF(INDEX(EntryPartyName,$P402)=0,"",INDEX(EntryPartyName,$P402)))</f>
        <v/>
      </c>
      <c r="F402" s="28">
        <f>IF($P402="","",IF(INDEX(EntryPartyType,$P402)=0,"",INDEX(EntryPartyType,$P402)))</f>
        <v/>
      </c>
      <c r="G402" s="28">
        <f>IF($P402="","",IF(INDEX(EntryTxnType,$P402)=0,"",INDEX(EntryTxnType,$P402)))</f>
        <v/>
      </c>
      <c r="H402" s="29">
        <f>IF($P402="","",IF(INDEX(EntryDep,$P402)=0,"",INDEX(EntryDep,$P402)))</f>
        <v/>
      </c>
      <c r="I402" s="29">
        <f>IF($P402="","",IF(INDEX(EntryWit,$P402)=0,"",INDEX(EntryWit,$P402)))</f>
        <v/>
      </c>
      <c r="J402" s="29">
        <f>IF($B402="","",IF($A402=1,$C$7,IF(J401="",0,J401))+IF($H402="",0,$H402)-IF($I402="",0,$I402))</f>
        <v/>
      </c>
      <c r="K402" s="29">
        <f>IF($P402="","",IF(INDEX(EntryMan,$P402)=0,"",INDEX(EntryMan,$P402)))</f>
        <v/>
      </c>
      <c r="L402" s="28">
        <f>IF($B402="","",IF($K402="","—",IF(ROUND($K402-$J402,0)=0,"√","×")))</f>
        <v/>
      </c>
      <c r="M402" s="28">
        <f>IF($B402="","",IF(COUNTIFS(EntryDates,$B402,CalcTime,$C402,CalcBank,$C$5,EntryParty,$D402,EntryDep,$H402,EntryWit,$I402)&gt;1,"تکرار",""))</f>
        <v/>
      </c>
      <c r="N402" s="28">
        <f>IF($P402="","",IF(INDEX(EntryNotes,$P402)=0,"",INDEX(EntryNotes,$P402)))</f>
        <v/>
      </c>
      <c r="O402" s="28">
        <f>IF($P402="","",IF(INDEX(EntryTxnID,$P402)=0,"",INDEX(EntryTxnID,$P402)))</f>
        <v/>
      </c>
      <c r="P402" s="28">
        <f>IFERROR(MATCH($C$5&amp;"|"&amp;RIGHT("000000"&amp;386,6),CalcRankKey,0),"")</f>
        <v/>
      </c>
    </row>
    <row r="403">
      <c r="A403" s="26">
        <f>IF($B403="","",387)</f>
        <v/>
      </c>
      <c r="B403" s="26">
        <f>IF($P403="","",IF(INDEX(CalcNormDate,$P403)=0,"",INDEX(CalcNormDate,$P403)))</f>
        <v/>
      </c>
      <c r="C403" s="26">
        <f>IF($P403="","",IF(INDEX(CalcTime,$P403)=0,"",INDEX(CalcTime,$P403)))</f>
        <v/>
      </c>
      <c r="D403" s="26">
        <f>IF($P403="","",IF(INDEX(EntryParty,$P403)=0,"",INDEX(EntryParty,$P403)))</f>
        <v/>
      </c>
      <c r="E403" s="26">
        <f>IF($P403="","",IF(INDEX(EntryPartyName,$P403)=0,"",INDEX(EntryPartyName,$P403)))</f>
        <v/>
      </c>
      <c r="F403" s="26">
        <f>IF($P403="","",IF(INDEX(EntryPartyType,$P403)=0,"",INDEX(EntryPartyType,$P403)))</f>
        <v/>
      </c>
      <c r="G403" s="26">
        <f>IF($P403="","",IF(INDEX(EntryTxnType,$P403)=0,"",INDEX(EntryTxnType,$P403)))</f>
        <v/>
      </c>
      <c r="H403" s="27">
        <f>IF($P403="","",IF(INDEX(EntryDep,$P403)=0,"",INDEX(EntryDep,$P403)))</f>
        <v/>
      </c>
      <c r="I403" s="27">
        <f>IF($P403="","",IF(INDEX(EntryWit,$P403)=0,"",INDEX(EntryWit,$P403)))</f>
        <v/>
      </c>
      <c r="J403" s="27">
        <f>IF($B403="","",IF($A403=1,$C$7,IF(J402="",0,J402))+IF($H403="",0,$H403)-IF($I403="",0,$I403))</f>
        <v/>
      </c>
      <c r="K403" s="27">
        <f>IF($P403="","",IF(INDEX(EntryMan,$P403)=0,"",INDEX(EntryMan,$P403)))</f>
        <v/>
      </c>
      <c r="L403" s="26">
        <f>IF($B403="","",IF($K403="","—",IF(ROUND($K403-$J403,0)=0,"√","×")))</f>
        <v/>
      </c>
      <c r="M403" s="26">
        <f>IF($B403="","",IF(COUNTIFS(EntryDates,$B403,CalcTime,$C403,CalcBank,$C$5,EntryParty,$D403,EntryDep,$H403,EntryWit,$I403)&gt;1,"تکرار",""))</f>
        <v/>
      </c>
      <c r="N403" s="26">
        <f>IF($P403="","",IF(INDEX(EntryNotes,$P403)=0,"",INDEX(EntryNotes,$P403)))</f>
        <v/>
      </c>
      <c r="O403" s="26">
        <f>IF($P403="","",IF(INDEX(EntryTxnID,$P403)=0,"",INDEX(EntryTxnID,$P403)))</f>
        <v/>
      </c>
      <c r="P403" s="26">
        <f>IFERROR(MATCH($C$5&amp;"|"&amp;RIGHT("000000"&amp;387,6),CalcRankKey,0),"")</f>
        <v/>
      </c>
    </row>
    <row r="404">
      <c r="A404" s="28">
        <f>IF($B404="","",388)</f>
        <v/>
      </c>
      <c r="B404" s="28">
        <f>IF($P404="","",IF(INDEX(CalcNormDate,$P404)=0,"",INDEX(CalcNormDate,$P404)))</f>
        <v/>
      </c>
      <c r="C404" s="28">
        <f>IF($P404="","",IF(INDEX(CalcTime,$P404)=0,"",INDEX(CalcTime,$P404)))</f>
        <v/>
      </c>
      <c r="D404" s="28">
        <f>IF($P404="","",IF(INDEX(EntryParty,$P404)=0,"",INDEX(EntryParty,$P404)))</f>
        <v/>
      </c>
      <c r="E404" s="28">
        <f>IF($P404="","",IF(INDEX(EntryPartyName,$P404)=0,"",INDEX(EntryPartyName,$P404)))</f>
        <v/>
      </c>
      <c r="F404" s="28">
        <f>IF($P404="","",IF(INDEX(EntryPartyType,$P404)=0,"",INDEX(EntryPartyType,$P404)))</f>
        <v/>
      </c>
      <c r="G404" s="28">
        <f>IF($P404="","",IF(INDEX(EntryTxnType,$P404)=0,"",INDEX(EntryTxnType,$P404)))</f>
        <v/>
      </c>
      <c r="H404" s="29">
        <f>IF($P404="","",IF(INDEX(EntryDep,$P404)=0,"",INDEX(EntryDep,$P404)))</f>
        <v/>
      </c>
      <c r="I404" s="29">
        <f>IF($P404="","",IF(INDEX(EntryWit,$P404)=0,"",INDEX(EntryWit,$P404)))</f>
        <v/>
      </c>
      <c r="J404" s="29">
        <f>IF($B404="","",IF($A404=1,$C$7,IF(J403="",0,J403))+IF($H404="",0,$H404)-IF($I404="",0,$I404))</f>
        <v/>
      </c>
      <c r="K404" s="29">
        <f>IF($P404="","",IF(INDEX(EntryMan,$P404)=0,"",INDEX(EntryMan,$P404)))</f>
        <v/>
      </c>
      <c r="L404" s="28">
        <f>IF($B404="","",IF($K404="","—",IF(ROUND($K404-$J404,0)=0,"√","×")))</f>
        <v/>
      </c>
      <c r="M404" s="28">
        <f>IF($B404="","",IF(COUNTIFS(EntryDates,$B404,CalcTime,$C404,CalcBank,$C$5,EntryParty,$D404,EntryDep,$H404,EntryWit,$I404)&gt;1,"تکرار",""))</f>
        <v/>
      </c>
      <c r="N404" s="28">
        <f>IF($P404="","",IF(INDEX(EntryNotes,$P404)=0,"",INDEX(EntryNotes,$P404)))</f>
        <v/>
      </c>
      <c r="O404" s="28">
        <f>IF($P404="","",IF(INDEX(EntryTxnID,$P404)=0,"",INDEX(EntryTxnID,$P404)))</f>
        <v/>
      </c>
      <c r="P404" s="28">
        <f>IFERROR(MATCH($C$5&amp;"|"&amp;RIGHT("000000"&amp;388,6),CalcRankKey,0),"")</f>
        <v/>
      </c>
    </row>
    <row r="405">
      <c r="A405" s="26">
        <f>IF($B405="","",389)</f>
        <v/>
      </c>
      <c r="B405" s="26">
        <f>IF($P405="","",IF(INDEX(CalcNormDate,$P405)=0,"",INDEX(CalcNormDate,$P405)))</f>
        <v/>
      </c>
      <c r="C405" s="26">
        <f>IF($P405="","",IF(INDEX(CalcTime,$P405)=0,"",INDEX(CalcTime,$P405)))</f>
        <v/>
      </c>
      <c r="D405" s="26">
        <f>IF($P405="","",IF(INDEX(EntryParty,$P405)=0,"",INDEX(EntryParty,$P405)))</f>
        <v/>
      </c>
      <c r="E405" s="26">
        <f>IF($P405="","",IF(INDEX(EntryPartyName,$P405)=0,"",INDEX(EntryPartyName,$P405)))</f>
        <v/>
      </c>
      <c r="F405" s="26">
        <f>IF($P405="","",IF(INDEX(EntryPartyType,$P405)=0,"",INDEX(EntryPartyType,$P405)))</f>
        <v/>
      </c>
      <c r="G405" s="26">
        <f>IF($P405="","",IF(INDEX(EntryTxnType,$P405)=0,"",INDEX(EntryTxnType,$P405)))</f>
        <v/>
      </c>
      <c r="H405" s="27">
        <f>IF($P405="","",IF(INDEX(EntryDep,$P405)=0,"",INDEX(EntryDep,$P405)))</f>
        <v/>
      </c>
      <c r="I405" s="27">
        <f>IF($P405="","",IF(INDEX(EntryWit,$P405)=0,"",INDEX(EntryWit,$P405)))</f>
        <v/>
      </c>
      <c r="J405" s="27">
        <f>IF($B405="","",IF($A405=1,$C$7,IF(J404="",0,J404))+IF($H405="",0,$H405)-IF($I405="",0,$I405))</f>
        <v/>
      </c>
      <c r="K405" s="27">
        <f>IF($P405="","",IF(INDEX(EntryMan,$P405)=0,"",INDEX(EntryMan,$P405)))</f>
        <v/>
      </c>
      <c r="L405" s="26">
        <f>IF($B405="","",IF($K405="","—",IF(ROUND($K405-$J405,0)=0,"√","×")))</f>
        <v/>
      </c>
      <c r="M405" s="26">
        <f>IF($B405="","",IF(COUNTIFS(EntryDates,$B405,CalcTime,$C405,CalcBank,$C$5,EntryParty,$D405,EntryDep,$H405,EntryWit,$I405)&gt;1,"تکرار",""))</f>
        <v/>
      </c>
      <c r="N405" s="26">
        <f>IF($P405="","",IF(INDEX(EntryNotes,$P405)=0,"",INDEX(EntryNotes,$P405)))</f>
        <v/>
      </c>
      <c r="O405" s="26">
        <f>IF($P405="","",IF(INDEX(EntryTxnID,$P405)=0,"",INDEX(EntryTxnID,$P405)))</f>
        <v/>
      </c>
      <c r="P405" s="26">
        <f>IFERROR(MATCH($C$5&amp;"|"&amp;RIGHT("000000"&amp;389,6),CalcRankKey,0),"")</f>
        <v/>
      </c>
    </row>
    <row r="406">
      <c r="A406" s="28">
        <f>IF($B406="","",390)</f>
        <v/>
      </c>
      <c r="B406" s="28">
        <f>IF($P406="","",IF(INDEX(CalcNormDate,$P406)=0,"",INDEX(CalcNormDate,$P406)))</f>
        <v/>
      </c>
      <c r="C406" s="28">
        <f>IF($P406="","",IF(INDEX(CalcTime,$P406)=0,"",INDEX(CalcTime,$P406)))</f>
        <v/>
      </c>
      <c r="D406" s="28">
        <f>IF($P406="","",IF(INDEX(EntryParty,$P406)=0,"",INDEX(EntryParty,$P406)))</f>
        <v/>
      </c>
      <c r="E406" s="28">
        <f>IF($P406="","",IF(INDEX(EntryPartyName,$P406)=0,"",INDEX(EntryPartyName,$P406)))</f>
        <v/>
      </c>
      <c r="F406" s="28">
        <f>IF($P406="","",IF(INDEX(EntryPartyType,$P406)=0,"",INDEX(EntryPartyType,$P406)))</f>
        <v/>
      </c>
      <c r="G406" s="28">
        <f>IF($P406="","",IF(INDEX(EntryTxnType,$P406)=0,"",INDEX(EntryTxnType,$P406)))</f>
        <v/>
      </c>
      <c r="H406" s="29">
        <f>IF($P406="","",IF(INDEX(EntryDep,$P406)=0,"",INDEX(EntryDep,$P406)))</f>
        <v/>
      </c>
      <c r="I406" s="29">
        <f>IF($P406="","",IF(INDEX(EntryWit,$P406)=0,"",INDEX(EntryWit,$P406)))</f>
        <v/>
      </c>
      <c r="J406" s="29">
        <f>IF($B406="","",IF($A406=1,$C$7,IF(J405="",0,J405))+IF($H406="",0,$H406)-IF($I406="",0,$I406))</f>
        <v/>
      </c>
      <c r="K406" s="29">
        <f>IF($P406="","",IF(INDEX(EntryMan,$P406)=0,"",INDEX(EntryMan,$P406)))</f>
        <v/>
      </c>
      <c r="L406" s="28">
        <f>IF($B406="","",IF($K406="","—",IF(ROUND($K406-$J406,0)=0,"√","×")))</f>
        <v/>
      </c>
      <c r="M406" s="28">
        <f>IF($B406="","",IF(COUNTIFS(EntryDates,$B406,CalcTime,$C406,CalcBank,$C$5,EntryParty,$D406,EntryDep,$H406,EntryWit,$I406)&gt;1,"تکرار",""))</f>
        <v/>
      </c>
      <c r="N406" s="28">
        <f>IF($P406="","",IF(INDEX(EntryNotes,$P406)=0,"",INDEX(EntryNotes,$P406)))</f>
        <v/>
      </c>
      <c r="O406" s="28">
        <f>IF($P406="","",IF(INDEX(EntryTxnID,$P406)=0,"",INDEX(EntryTxnID,$P406)))</f>
        <v/>
      </c>
      <c r="P406" s="28">
        <f>IFERROR(MATCH($C$5&amp;"|"&amp;RIGHT("000000"&amp;390,6),CalcRankKey,0),"")</f>
        <v/>
      </c>
    </row>
    <row r="407">
      <c r="A407" s="26">
        <f>IF($B407="","",391)</f>
        <v/>
      </c>
      <c r="B407" s="26">
        <f>IF($P407="","",IF(INDEX(CalcNormDate,$P407)=0,"",INDEX(CalcNormDate,$P407)))</f>
        <v/>
      </c>
      <c r="C407" s="26">
        <f>IF($P407="","",IF(INDEX(CalcTime,$P407)=0,"",INDEX(CalcTime,$P407)))</f>
        <v/>
      </c>
      <c r="D407" s="26">
        <f>IF($P407="","",IF(INDEX(EntryParty,$P407)=0,"",INDEX(EntryParty,$P407)))</f>
        <v/>
      </c>
      <c r="E407" s="26">
        <f>IF($P407="","",IF(INDEX(EntryPartyName,$P407)=0,"",INDEX(EntryPartyName,$P407)))</f>
        <v/>
      </c>
      <c r="F407" s="26">
        <f>IF($P407="","",IF(INDEX(EntryPartyType,$P407)=0,"",INDEX(EntryPartyType,$P407)))</f>
        <v/>
      </c>
      <c r="G407" s="26">
        <f>IF($P407="","",IF(INDEX(EntryTxnType,$P407)=0,"",INDEX(EntryTxnType,$P407)))</f>
        <v/>
      </c>
      <c r="H407" s="27">
        <f>IF($P407="","",IF(INDEX(EntryDep,$P407)=0,"",INDEX(EntryDep,$P407)))</f>
        <v/>
      </c>
      <c r="I407" s="27">
        <f>IF($P407="","",IF(INDEX(EntryWit,$P407)=0,"",INDEX(EntryWit,$P407)))</f>
        <v/>
      </c>
      <c r="J407" s="27">
        <f>IF($B407="","",IF($A407=1,$C$7,IF(J406="",0,J406))+IF($H407="",0,$H407)-IF($I407="",0,$I407))</f>
        <v/>
      </c>
      <c r="K407" s="27">
        <f>IF($P407="","",IF(INDEX(EntryMan,$P407)=0,"",INDEX(EntryMan,$P407)))</f>
        <v/>
      </c>
      <c r="L407" s="26">
        <f>IF($B407="","",IF($K407="","—",IF(ROUND($K407-$J407,0)=0,"√","×")))</f>
        <v/>
      </c>
      <c r="M407" s="26">
        <f>IF($B407="","",IF(COUNTIFS(EntryDates,$B407,CalcTime,$C407,CalcBank,$C$5,EntryParty,$D407,EntryDep,$H407,EntryWit,$I407)&gt;1,"تکرار",""))</f>
        <v/>
      </c>
      <c r="N407" s="26">
        <f>IF($P407="","",IF(INDEX(EntryNotes,$P407)=0,"",INDEX(EntryNotes,$P407)))</f>
        <v/>
      </c>
      <c r="O407" s="26">
        <f>IF($P407="","",IF(INDEX(EntryTxnID,$P407)=0,"",INDEX(EntryTxnID,$P407)))</f>
        <v/>
      </c>
      <c r="P407" s="26">
        <f>IFERROR(MATCH($C$5&amp;"|"&amp;RIGHT("000000"&amp;391,6),CalcRankKey,0),"")</f>
        <v/>
      </c>
    </row>
    <row r="408">
      <c r="A408" s="28">
        <f>IF($B408="","",392)</f>
        <v/>
      </c>
      <c r="B408" s="28">
        <f>IF($P408="","",IF(INDEX(CalcNormDate,$P408)=0,"",INDEX(CalcNormDate,$P408)))</f>
        <v/>
      </c>
      <c r="C408" s="28">
        <f>IF($P408="","",IF(INDEX(CalcTime,$P408)=0,"",INDEX(CalcTime,$P408)))</f>
        <v/>
      </c>
      <c r="D408" s="28">
        <f>IF($P408="","",IF(INDEX(EntryParty,$P408)=0,"",INDEX(EntryParty,$P408)))</f>
        <v/>
      </c>
      <c r="E408" s="28">
        <f>IF($P408="","",IF(INDEX(EntryPartyName,$P408)=0,"",INDEX(EntryPartyName,$P408)))</f>
        <v/>
      </c>
      <c r="F408" s="28">
        <f>IF($P408="","",IF(INDEX(EntryPartyType,$P408)=0,"",INDEX(EntryPartyType,$P408)))</f>
        <v/>
      </c>
      <c r="G408" s="28">
        <f>IF($P408="","",IF(INDEX(EntryTxnType,$P408)=0,"",INDEX(EntryTxnType,$P408)))</f>
        <v/>
      </c>
      <c r="H408" s="29">
        <f>IF($P408="","",IF(INDEX(EntryDep,$P408)=0,"",INDEX(EntryDep,$P408)))</f>
        <v/>
      </c>
      <c r="I408" s="29">
        <f>IF($P408="","",IF(INDEX(EntryWit,$P408)=0,"",INDEX(EntryWit,$P408)))</f>
        <v/>
      </c>
      <c r="J408" s="29">
        <f>IF($B408="","",IF($A408=1,$C$7,IF(J407="",0,J407))+IF($H408="",0,$H408)-IF($I408="",0,$I408))</f>
        <v/>
      </c>
      <c r="K408" s="29">
        <f>IF($P408="","",IF(INDEX(EntryMan,$P408)=0,"",INDEX(EntryMan,$P408)))</f>
        <v/>
      </c>
      <c r="L408" s="28">
        <f>IF($B408="","",IF($K408="","—",IF(ROUND($K408-$J408,0)=0,"√","×")))</f>
        <v/>
      </c>
      <c r="M408" s="28">
        <f>IF($B408="","",IF(COUNTIFS(EntryDates,$B408,CalcTime,$C408,CalcBank,$C$5,EntryParty,$D408,EntryDep,$H408,EntryWit,$I408)&gt;1,"تکرار",""))</f>
        <v/>
      </c>
      <c r="N408" s="28">
        <f>IF($P408="","",IF(INDEX(EntryNotes,$P408)=0,"",INDEX(EntryNotes,$P408)))</f>
        <v/>
      </c>
      <c r="O408" s="28">
        <f>IF($P408="","",IF(INDEX(EntryTxnID,$P408)=0,"",INDEX(EntryTxnID,$P408)))</f>
        <v/>
      </c>
      <c r="P408" s="28">
        <f>IFERROR(MATCH($C$5&amp;"|"&amp;RIGHT("000000"&amp;392,6),CalcRankKey,0),"")</f>
        <v/>
      </c>
    </row>
    <row r="409">
      <c r="A409" s="26">
        <f>IF($B409="","",393)</f>
        <v/>
      </c>
      <c r="B409" s="26">
        <f>IF($P409="","",IF(INDEX(CalcNormDate,$P409)=0,"",INDEX(CalcNormDate,$P409)))</f>
        <v/>
      </c>
      <c r="C409" s="26">
        <f>IF($P409="","",IF(INDEX(CalcTime,$P409)=0,"",INDEX(CalcTime,$P409)))</f>
        <v/>
      </c>
      <c r="D409" s="26">
        <f>IF($P409="","",IF(INDEX(EntryParty,$P409)=0,"",INDEX(EntryParty,$P409)))</f>
        <v/>
      </c>
      <c r="E409" s="26">
        <f>IF($P409="","",IF(INDEX(EntryPartyName,$P409)=0,"",INDEX(EntryPartyName,$P409)))</f>
        <v/>
      </c>
      <c r="F409" s="26">
        <f>IF($P409="","",IF(INDEX(EntryPartyType,$P409)=0,"",INDEX(EntryPartyType,$P409)))</f>
        <v/>
      </c>
      <c r="G409" s="26">
        <f>IF($P409="","",IF(INDEX(EntryTxnType,$P409)=0,"",INDEX(EntryTxnType,$P409)))</f>
        <v/>
      </c>
      <c r="H409" s="27">
        <f>IF($P409="","",IF(INDEX(EntryDep,$P409)=0,"",INDEX(EntryDep,$P409)))</f>
        <v/>
      </c>
      <c r="I409" s="27">
        <f>IF($P409="","",IF(INDEX(EntryWit,$P409)=0,"",INDEX(EntryWit,$P409)))</f>
        <v/>
      </c>
      <c r="J409" s="27">
        <f>IF($B409="","",IF($A409=1,$C$7,IF(J408="",0,J408))+IF($H409="",0,$H409)-IF($I409="",0,$I409))</f>
        <v/>
      </c>
      <c r="K409" s="27">
        <f>IF($P409="","",IF(INDEX(EntryMan,$P409)=0,"",INDEX(EntryMan,$P409)))</f>
        <v/>
      </c>
      <c r="L409" s="26">
        <f>IF($B409="","",IF($K409="","—",IF(ROUND($K409-$J409,0)=0,"√","×")))</f>
        <v/>
      </c>
      <c r="M409" s="26">
        <f>IF($B409="","",IF(COUNTIFS(EntryDates,$B409,CalcTime,$C409,CalcBank,$C$5,EntryParty,$D409,EntryDep,$H409,EntryWit,$I409)&gt;1,"تکرار",""))</f>
        <v/>
      </c>
      <c r="N409" s="26">
        <f>IF($P409="","",IF(INDEX(EntryNotes,$P409)=0,"",INDEX(EntryNotes,$P409)))</f>
        <v/>
      </c>
      <c r="O409" s="26">
        <f>IF($P409="","",IF(INDEX(EntryTxnID,$P409)=0,"",INDEX(EntryTxnID,$P409)))</f>
        <v/>
      </c>
      <c r="P409" s="26">
        <f>IFERROR(MATCH($C$5&amp;"|"&amp;RIGHT("000000"&amp;393,6),CalcRankKey,0),"")</f>
        <v/>
      </c>
    </row>
    <row r="410">
      <c r="A410" s="28">
        <f>IF($B410="","",394)</f>
        <v/>
      </c>
      <c r="B410" s="28">
        <f>IF($P410="","",IF(INDEX(CalcNormDate,$P410)=0,"",INDEX(CalcNormDate,$P410)))</f>
        <v/>
      </c>
      <c r="C410" s="28">
        <f>IF($P410="","",IF(INDEX(CalcTime,$P410)=0,"",INDEX(CalcTime,$P410)))</f>
        <v/>
      </c>
      <c r="D410" s="28">
        <f>IF($P410="","",IF(INDEX(EntryParty,$P410)=0,"",INDEX(EntryParty,$P410)))</f>
        <v/>
      </c>
      <c r="E410" s="28">
        <f>IF($P410="","",IF(INDEX(EntryPartyName,$P410)=0,"",INDEX(EntryPartyName,$P410)))</f>
        <v/>
      </c>
      <c r="F410" s="28">
        <f>IF($P410="","",IF(INDEX(EntryPartyType,$P410)=0,"",INDEX(EntryPartyType,$P410)))</f>
        <v/>
      </c>
      <c r="G410" s="28">
        <f>IF($P410="","",IF(INDEX(EntryTxnType,$P410)=0,"",INDEX(EntryTxnType,$P410)))</f>
        <v/>
      </c>
      <c r="H410" s="29">
        <f>IF($P410="","",IF(INDEX(EntryDep,$P410)=0,"",INDEX(EntryDep,$P410)))</f>
        <v/>
      </c>
      <c r="I410" s="29">
        <f>IF($P410="","",IF(INDEX(EntryWit,$P410)=0,"",INDEX(EntryWit,$P410)))</f>
        <v/>
      </c>
      <c r="J410" s="29">
        <f>IF($B410="","",IF($A410=1,$C$7,IF(J409="",0,J409))+IF($H410="",0,$H410)-IF($I410="",0,$I410))</f>
        <v/>
      </c>
      <c r="K410" s="29">
        <f>IF($P410="","",IF(INDEX(EntryMan,$P410)=0,"",INDEX(EntryMan,$P410)))</f>
        <v/>
      </c>
      <c r="L410" s="28">
        <f>IF($B410="","",IF($K410="","—",IF(ROUND($K410-$J410,0)=0,"√","×")))</f>
        <v/>
      </c>
      <c r="M410" s="28">
        <f>IF($B410="","",IF(COUNTIFS(EntryDates,$B410,CalcTime,$C410,CalcBank,$C$5,EntryParty,$D410,EntryDep,$H410,EntryWit,$I410)&gt;1,"تکرار",""))</f>
        <v/>
      </c>
      <c r="N410" s="28">
        <f>IF($P410="","",IF(INDEX(EntryNotes,$P410)=0,"",INDEX(EntryNotes,$P410)))</f>
        <v/>
      </c>
      <c r="O410" s="28">
        <f>IF($P410="","",IF(INDEX(EntryTxnID,$P410)=0,"",INDEX(EntryTxnID,$P410)))</f>
        <v/>
      </c>
      <c r="P410" s="28">
        <f>IFERROR(MATCH($C$5&amp;"|"&amp;RIGHT("000000"&amp;394,6),CalcRankKey,0),"")</f>
        <v/>
      </c>
    </row>
    <row r="411">
      <c r="A411" s="26">
        <f>IF($B411="","",395)</f>
        <v/>
      </c>
      <c r="B411" s="26">
        <f>IF($P411="","",IF(INDEX(CalcNormDate,$P411)=0,"",INDEX(CalcNormDate,$P411)))</f>
        <v/>
      </c>
      <c r="C411" s="26">
        <f>IF($P411="","",IF(INDEX(CalcTime,$P411)=0,"",INDEX(CalcTime,$P411)))</f>
        <v/>
      </c>
      <c r="D411" s="26">
        <f>IF($P411="","",IF(INDEX(EntryParty,$P411)=0,"",INDEX(EntryParty,$P411)))</f>
        <v/>
      </c>
      <c r="E411" s="26">
        <f>IF($P411="","",IF(INDEX(EntryPartyName,$P411)=0,"",INDEX(EntryPartyName,$P411)))</f>
        <v/>
      </c>
      <c r="F411" s="26">
        <f>IF($P411="","",IF(INDEX(EntryPartyType,$P411)=0,"",INDEX(EntryPartyType,$P411)))</f>
        <v/>
      </c>
      <c r="G411" s="26">
        <f>IF($P411="","",IF(INDEX(EntryTxnType,$P411)=0,"",INDEX(EntryTxnType,$P411)))</f>
        <v/>
      </c>
      <c r="H411" s="27">
        <f>IF($P411="","",IF(INDEX(EntryDep,$P411)=0,"",INDEX(EntryDep,$P411)))</f>
        <v/>
      </c>
      <c r="I411" s="27">
        <f>IF($P411="","",IF(INDEX(EntryWit,$P411)=0,"",INDEX(EntryWit,$P411)))</f>
        <v/>
      </c>
      <c r="J411" s="27">
        <f>IF($B411="","",IF($A411=1,$C$7,IF(J410="",0,J410))+IF($H411="",0,$H411)-IF($I411="",0,$I411))</f>
        <v/>
      </c>
      <c r="K411" s="27">
        <f>IF($P411="","",IF(INDEX(EntryMan,$P411)=0,"",INDEX(EntryMan,$P411)))</f>
        <v/>
      </c>
      <c r="L411" s="26">
        <f>IF($B411="","",IF($K411="","—",IF(ROUND($K411-$J411,0)=0,"√","×")))</f>
        <v/>
      </c>
      <c r="M411" s="26">
        <f>IF($B411="","",IF(COUNTIFS(EntryDates,$B411,CalcTime,$C411,CalcBank,$C$5,EntryParty,$D411,EntryDep,$H411,EntryWit,$I411)&gt;1,"تکرار",""))</f>
        <v/>
      </c>
      <c r="N411" s="26">
        <f>IF($P411="","",IF(INDEX(EntryNotes,$P411)=0,"",INDEX(EntryNotes,$P411)))</f>
        <v/>
      </c>
      <c r="O411" s="26">
        <f>IF($P411="","",IF(INDEX(EntryTxnID,$P411)=0,"",INDEX(EntryTxnID,$P411)))</f>
        <v/>
      </c>
      <c r="P411" s="26">
        <f>IFERROR(MATCH($C$5&amp;"|"&amp;RIGHT("000000"&amp;395,6),CalcRankKey,0),"")</f>
        <v/>
      </c>
    </row>
    <row r="412">
      <c r="A412" s="28">
        <f>IF($B412="","",396)</f>
        <v/>
      </c>
      <c r="B412" s="28">
        <f>IF($P412="","",IF(INDEX(CalcNormDate,$P412)=0,"",INDEX(CalcNormDate,$P412)))</f>
        <v/>
      </c>
      <c r="C412" s="28">
        <f>IF($P412="","",IF(INDEX(CalcTime,$P412)=0,"",INDEX(CalcTime,$P412)))</f>
        <v/>
      </c>
      <c r="D412" s="28">
        <f>IF($P412="","",IF(INDEX(EntryParty,$P412)=0,"",INDEX(EntryParty,$P412)))</f>
        <v/>
      </c>
      <c r="E412" s="28">
        <f>IF($P412="","",IF(INDEX(EntryPartyName,$P412)=0,"",INDEX(EntryPartyName,$P412)))</f>
        <v/>
      </c>
      <c r="F412" s="28">
        <f>IF($P412="","",IF(INDEX(EntryPartyType,$P412)=0,"",INDEX(EntryPartyType,$P412)))</f>
        <v/>
      </c>
      <c r="G412" s="28">
        <f>IF($P412="","",IF(INDEX(EntryTxnType,$P412)=0,"",INDEX(EntryTxnType,$P412)))</f>
        <v/>
      </c>
      <c r="H412" s="29">
        <f>IF($P412="","",IF(INDEX(EntryDep,$P412)=0,"",INDEX(EntryDep,$P412)))</f>
        <v/>
      </c>
      <c r="I412" s="29">
        <f>IF($P412="","",IF(INDEX(EntryWit,$P412)=0,"",INDEX(EntryWit,$P412)))</f>
        <v/>
      </c>
      <c r="J412" s="29">
        <f>IF($B412="","",IF($A412=1,$C$7,IF(J411="",0,J411))+IF($H412="",0,$H412)-IF($I412="",0,$I412))</f>
        <v/>
      </c>
      <c r="K412" s="29">
        <f>IF($P412="","",IF(INDEX(EntryMan,$P412)=0,"",INDEX(EntryMan,$P412)))</f>
        <v/>
      </c>
      <c r="L412" s="28">
        <f>IF($B412="","",IF($K412="","—",IF(ROUND($K412-$J412,0)=0,"√","×")))</f>
        <v/>
      </c>
      <c r="M412" s="28">
        <f>IF($B412="","",IF(COUNTIFS(EntryDates,$B412,CalcTime,$C412,CalcBank,$C$5,EntryParty,$D412,EntryDep,$H412,EntryWit,$I412)&gt;1,"تکرار",""))</f>
        <v/>
      </c>
      <c r="N412" s="28">
        <f>IF($P412="","",IF(INDEX(EntryNotes,$P412)=0,"",INDEX(EntryNotes,$P412)))</f>
        <v/>
      </c>
      <c r="O412" s="28">
        <f>IF($P412="","",IF(INDEX(EntryTxnID,$P412)=0,"",INDEX(EntryTxnID,$P412)))</f>
        <v/>
      </c>
      <c r="P412" s="28">
        <f>IFERROR(MATCH($C$5&amp;"|"&amp;RIGHT("000000"&amp;396,6),CalcRankKey,0),"")</f>
        <v/>
      </c>
    </row>
    <row r="413">
      <c r="A413" s="26">
        <f>IF($B413="","",397)</f>
        <v/>
      </c>
      <c r="B413" s="26">
        <f>IF($P413="","",IF(INDEX(CalcNormDate,$P413)=0,"",INDEX(CalcNormDate,$P413)))</f>
        <v/>
      </c>
      <c r="C413" s="26">
        <f>IF($P413="","",IF(INDEX(CalcTime,$P413)=0,"",INDEX(CalcTime,$P413)))</f>
        <v/>
      </c>
      <c r="D413" s="26">
        <f>IF($P413="","",IF(INDEX(EntryParty,$P413)=0,"",INDEX(EntryParty,$P413)))</f>
        <v/>
      </c>
      <c r="E413" s="26">
        <f>IF($P413="","",IF(INDEX(EntryPartyName,$P413)=0,"",INDEX(EntryPartyName,$P413)))</f>
        <v/>
      </c>
      <c r="F413" s="26">
        <f>IF($P413="","",IF(INDEX(EntryPartyType,$P413)=0,"",INDEX(EntryPartyType,$P413)))</f>
        <v/>
      </c>
      <c r="G413" s="26">
        <f>IF($P413="","",IF(INDEX(EntryTxnType,$P413)=0,"",INDEX(EntryTxnType,$P413)))</f>
        <v/>
      </c>
      <c r="H413" s="27">
        <f>IF($P413="","",IF(INDEX(EntryDep,$P413)=0,"",INDEX(EntryDep,$P413)))</f>
        <v/>
      </c>
      <c r="I413" s="27">
        <f>IF($P413="","",IF(INDEX(EntryWit,$P413)=0,"",INDEX(EntryWit,$P413)))</f>
        <v/>
      </c>
      <c r="J413" s="27">
        <f>IF($B413="","",IF($A413=1,$C$7,IF(J412="",0,J412))+IF($H413="",0,$H413)-IF($I413="",0,$I413))</f>
        <v/>
      </c>
      <c r="K413" s="27">
        <f>IF($P413="","",IF(INDEX(EntryMan,$P413)=0,"",INDEX(EntryMan,$P413)))</f>
        <v/>
      </c>
      <c r="L413" s="26">
        <f>IF($B413="","",IF($K413="","—",IF(ROUND($K413-$J413,0)=0,"√","×")))</f>
        <v/>
      </c>
      <c r="M413" s="26">
        <f>IF($B413="","",IF(COUNTIFS(EntryDates,$B413,CalcTime,$C413,CalcBank,$C$5,EntryParty,$D413,EntryDep,$H413,EntryWit,$I413)&gt;1,"تکرار",""))</f>
        <v/>
      </c>
      <c r="N413" s="26">
        <f>IF($P413="","",IF(INDEX(EntryNotes,$P413)=0,"",INDEX(EntryNotes,$P413)))</f>
        <v/>
      </c>
      <c r="O413" s="26">
        <f>IF($P413="","",IF(INDEX(EntryTxnID,$P413)=0,"",INDEX(EntryTxnID,$P413)))</f>
        <v/>
      </c>
      <c r="P413" s="26">
        <f>IFERROR(MATCH($C$5&amp;"|"&amp;RIGHT("000000"&amp;397,6),CalcRankKey,0),"")</f>
        <v/>
      </c>
    </row>
    <row r="414">
      <c r="A414" s="28">
        <f>IF($B414="","",398)</f>
        <v/>
      </c>
      <c r="B414" s="28">
        <f>IF($P414="","",IF(INDEX(CalcNormDate,$P414)=0,"",INDEX(CalcNormDate,$P414)))</f>
        <v/>
      </c>
      <c r="C414" s="28">
        <f>IF($P414="","",IF(INDEX(CalcTime,$P414)=0,"",INDEX(CalcTime,$P414)))</f>
        <v/>
      </c>
      <c r="D414" s="28">
        <f>IF($P414="","",IF(INDEX(EntryParty,$P414)=0,"",INDEX(EntryParty,$P414)))</f>
        <v/>
      </c>
      <c r="E414" s="28">
        <f>IF($P414="","",IF(INDEX(EntryPartyName,$P414)=0,"",INDEX(EntryPartyName,$P414)))</f>
        <v/>
      </c>
      <c r="F414" s="28">
        <f>IF($P414="","",IF(INDEX(EntryPartyType,$P414)=0,"",INDEX(EntryPartyType,$P414)))</f>
        <v/>
      </c>
      <c r="G414" s="28">
        <f>IF($P414="","",IF(INDEX(EntryTxnType,$P414)=0,"",INDEX(EntryTxnType,$P414)))</f>
        <v/>
      </c>
      <c r="H414" s="29">
        <f>IF($P414="","",IF(INDEX(EntryDep,$P414)=0,"",INDEX(EntryDep,$P414)))</f>
        <v/>
      </c>
      <c r="I414" s="29">
        <f>IF($P414="","",IF(INDEX(EntryWit,$P414)=0,"",INDEX(EntryWit,$P414)))</f>
        <v/>
      </c>
      <c r="J414" s="29">
        <f>IF($B414="","",IF($A414=1,$C$7,IF(J413="",0,J413))+IF($H414="",0,$H414)-IF($I414="",0,$I414))</f>
        <v/>
      </c>
      <c r="K414" s="29">
        <f>IF($P414="","",IF(INDEX(EntryMan,$P414)=0,"",INDEX(EntryMan,$P414)))</f>
        <v/>
      </c>
      <c r="L414" s="28">
        <f>IF($B414="","",IF($K414="","—",IF(ROUND($K414-$J414,0)=0,"√","×")))</f>
        <v/>
      </c>
      <c r="M414" s="28">
        <f>IF($B414="","",IF(COUNTIFS(EntryDates,$B414,CalcTime,$C414,CalcBank,$C$5,EntryParty,$D414,EntryDep,$H414,EntryWit,$I414)&gt;1,"تکرار",""))</f>
        <v/>
      </c>
      <c r="N414" s="28">
        <f>IF($P414="","",IF(INDEX(EntryNotes,$P414)=0,"",INDEX(EntryNotes,$P414)))</f>
        <v/>
      </c>
      <c r="O414" s="28">
        <f>IF($P414="","",IF(INDEX(EntryTxnID,$P414)=0,"",INDEX(EntryTxnID,$P414)))</f>
        <v/>
      </c>
      <c r="P414" s="28">
        <f>IFERROR(MATCH($C$5&amp;"|"&amp;RIGHT("000000"&amp;398,6),CalcRankKey,0),"")</f>
        <v/>
      </c>
    </row>
    <row r="415">
      <c r="A415" s="26">
        <f>IF($B415="","",399)</f>
        <v/>
      </c>
      <c r="B415" s="26">
        <f>IF($P415="","",IF(INDEX(CalcNormDate,$P415)=0,"",INDEX(CalcNormDate,$P415)))</f>
        <v/>
      </c>
      <c r="C415" s="26">
        <f>IF($P415="","",IF(INDEX(CalcTime,$P415)=0,"",INDEX(CalcTime,$P415)))</f>
        <v/>
      </c>
      <c r="D415" s="26">
        <f>IF($P415="","",IF(INDEX(EntryParty,$P415)=0,"",INDEX(EntryParty,$P415)))</f>
        <v/>
      </c>
      <c r="E415" s="26">
        <f>IF($P415="","",IF(INDEX(EntryPartyName,$P415)=0,"",INDEX(EntryPartyName,$P415)))</f>
        <v/>
      </c>
      <c r="F415" s="26">
        <f>IF($P415="","",IF(INDEX(EntryPartyType,$P415)=0,"",INDEX(EntryPartyType,$P415)))</f>
        <v/>
      </c>
      <c r="G415" s="26">
        <f>IF($P415="","",IF(INDEX(EntryTxnType,$P415)=0,"",INDEX(EntryTxnType,$P415)))</f>
        <v/>
      </c>
      <c r="H415" s="27">
        <f>IF($P415="","",IF(INDEX(EntryDep,$P415)=0,"",INDEX(EntryDep,$P415)))</f>
        <v/>
      </c>
      <c r="I415" s="27">
        <f>IF($P415="","",IF(INDEX(EntryWit,$P415)=0,"",INDEX(EntryWit,$P415)))</f>
        <v/>
      </c>
      <c r="J415" s="27">
        <f>IF($B415="","",IF($A415=1,$C$7,IF(J414="",0,J414))+IF($H415="",0,$H415)-IF($I415="",0,$I415))</f>
        <v/>
      </c>
      <c r="K415" s="27">
        <f>IF($P415="","",IF(INDEX(EntryMan,$P415)=0,"",INDEX(EntryMan,$P415)))</f>
        <v/>
      </c>
      <c r="L415" s="26">
        <f>IF($B415="","",IF($K415="","—",IF(ROUND($K415-$J415,0)=0,"√","×")))</f>
        <v/>
      </c>
      <c r="M415" s="26">
        <f>IF($B415="","",IF(COUNTIFS(EntryDates,$B415,CalcTime,$C415,CalcBank,$C$5,EntryParty,$D415,EntryDep,$H415,EntryWit,$I415)&gt;1,"تکرار",""))</f>
        <v/>
      </c>
      <c r="N415" s="26">
        <f>IF($P415="","",IF(INDEX(EntryNotes,$P415)=0,"",INDEX(EntryNotes,$P415)))</f>
        <v/>
      </c>
      <c r="O415" s="26">
        <f>IF($P415="","",IF(INDEX(EntryTxnID,$P415)=0,"",INDEX(EntryTxnID,$P415)))</f>
        <v/>
      </c>
      <c r="P415" s="26">
        <f>IFERROR(MATCH($C$5&amp;"|"&amp;RIGHT("000000"&amp;399,6),CalcRankKey,0),"")</f>
        <v/>
      </c>
    </row>
    <row r="416">
      <c r="A416" s="28">
        <f>IF($B416="","",400)</f>
        <v/>
      </c>
      <c r="B416" s="28">
        <f>IF($P416="","",IF(INDEX(CalcNormDate,$P416)=0,"",INDEX(CalcNormDate,$P416)))</f>
        <v/>
      </c>
      <c r="C416" s="28">
        <f>IF($P416="","",IF(INDEX(CalcTime,$P416)=0,"",INDEX(CalcTime,$P416)))</f>
        <v/>
      </c>
      <c r="D416" s="28">
        <f>IF($P416="","",IF(INDEX(EntryParty,$P416)=0,"",INDEX(EntryParty,$P416)))</f>
        <v/>
      </c>
      <c r="E416" s="28">
        <f>IF($P416="","",IF(INDEX(EntryPartyName,$P416)=0,"",INDEX(EntryPartyName,$P416)))</f>
        <v/>
      </c>
      <c r="F416" s="28">
        <f>IF($P416="","",IF(INDEX(EntryPartyType,$P416)=0,"",INDEX(EntryPartyType,$P416)))</f>
        <v/>
      </c>
      <c r="G416" s="28">
        <f>IF($P416="","",IF(INDEX(EntryTxnType,$P416)=0,"",INDEX(EntryTxnType,$P416)))</f>
        <v/>
      </c>
      <c r="H416" s="29">
        <f>IF($P416="","",IF(INDEX(EntryDep,$P416)=0,"",INDEX(EntryDep,$P416)))</f>
        <v/>
      </c>
      <c r="I416" s="29">
        <f>IF($P416="","",IF(INDEX(EntryWit,$P416)=0,"",INDEX(EntryWit,$P416)))</f>
        <v/>
      </c>
      <c r="J416" s="29">
        <f>IF($B416="","",IF($A416=1,$C$7,IF(J415="",0,J415))+IF($H416="",0,$H416)-IF($I416="",0,$I416))</f>
        <v/>
      </c>
      <c r="K416" s="29">
        <f>IF($P416="","",IF(INDEX(EntryMan,$P416)=0,"",INDEX(EntryMan,$P416)))</f>
        <v/>
      </c>
      <c r="L416" s="28">
        <f>IF($B416="","",IF($K416="","—",IF(ROUND($K416-$J416,0)=0,"√","×")))</f>
        <v/>
      </c>
      <c r="M416" s="28">
        <f>IF($B416="","",IF(COUNTIFS(EntryDates,$B416,CalcTime,$C416,CalcBank,$C$5,EntryParty,$D416,EntryDep,$H416,EntryWit,$I416)&gt;1,"تکرار",""))</f>
        <v/>
      </c>
      <c r="N416" s="28">
        <f>IF($P416="","",IF(INDEX(EntryNotes,$P416)=0,"",INDEX(EntryNotes,$P416)))</f>
        <v/>
      </c>
      <c r="O416" s="28">
        <f>IF($P416="","",IF(INDEX(EntryTxnID,$P416)=0,"",INDEX(EntryTxnID,$P416)))</f>
        <v/>
      </c>
      <c r="P416" s="28">
        <f>IFERROR(MATCH($C$5&amp;"|"&amp;RIGHT("000000"&amp;400,6),CalcRankKey,0),"")</f>
        <v/>
      </c>
    </row>
    <row r="417">
      <c r="A417" s="26">
        <f>IF($B417="","",401)</f>
        <v/>
      </c>
      <c r="B417" s="26">
        <f>IF($P417="","",IF(INDEX(CalcNormDate,$P417)=0,"",INDEX(CalcNormDate,$P417)))</f>
        <v/>
      </c>
      <c r="C417" s="26">
        <f>IF($P417="","",IF(INDEX(CalcTime,$P417)=0,"",INDEX(CalcTime,$P417)))</f>
        <v/>
      </c>
      <c r="D417" s="26">
        <f>IF($P417="","",IF(INDEX(EntryParty,$P417)=0,"",INDEX(EntryParty,$P417)))</f>
        <v/>
      </c>
      <c r="E417" s="26">
        <f>IF($P417="","",IF(INDEX(EntryPartyName,$P417)=0,"",INDEX(EntryPartyName,$P417)))</f>
        <v/>
      </c>
      <c r="F417" s="26">
        <f>IF($P417="","",IF(INDEX(EntryPartyType,$P417)=0,"",INDEX(EntryPartyType,$P417)))</f>
        <v/>
      </c>
      <c r="G417" s="26">
        <f>IF($P417="","",IF(INDEX(EntryTxnType,$P417)=0,"",INDEX(EntryTxnType,$P417)))</f>
        <v/>
      </c>
      <c r="H417" s="27">
        <f>IF($P417="","",IF(INDEX(EntryDep,$P417)=0,"",INDEX(EntryDep,$P417)))</f>
        <v/>
      </c>
      <c r="I417" s="27">
        <f>IF($P417="","",IF(INDEX(EntryWit,$P417)=0,"",INDEX(EntryWit,$P417)))</f>
        <v/>
      </c>
      <c r="J417" s="27">
        <f>IF($B417="","",IF($A417=1,$C$7,IF(J416="",0,J416))+IF($H417="",0,$H417)-IF($I417="",0,$I417))</f>
        <v/>
      </c>
      <c r="K417" s="27">
        <f>IF($P417="","",IF(INDEX(EntryMan,$P417)=0,"",INDEX(EntryMan,$P417)))</f>
        <v/>
      </c>
      <c r="L417" s="26">
        <f>IF($B417="","",IF($K417="","—",IF(ROUND($K417-$J417,0)=0,"√","×")))</f>
        <v/>
      </c>
      <c r="M417" s="26">
        <f>IF($B417="","",IF(COUNTIFS(EntryDates,$B417,CalcTime,$C417,CalcBank,$C$5,EntryParty,$D417,EntryDep,$H417,EntryWit,$I417)&gt;1,"تکرار",""))</f>
        <v/>
      </c>
      <c r="N417" s="26">
        <f>IF($P417="","",IF(INDEX(EntryNotes,$P417)=0,"",INDEX(EntryNotes,$P417)))</f>
        <v/>
      </c>
      <c r="O417" s="26">
        <f>IF($P417="","",IF(INDEX(EntryTxnID,$P417)=0,"",INDEX(EntryTxnID,$P417)))</f>
        <v/>
      </c>
      <c r="P417" s="26">
        <f>IFERROR(MATCH($C$5&amp;"|"&amp;RIGHT("000000"&amp;401,6),CalcRankKey,0),"")</f>
        <v/>
      </c>
    </row>
    <row r="418">
      <c r="A418" s="28">
        <f>IF($B418="","",402)</f>
        <v/>
      </c>
      <c r="B418" s="28">
        <f>IF($P418="","",IF(INDEX(CalcNormDate,$P418)=0,"",INDEX(CalcNormDate,$P418)))</f>
        <v/>
      </c>
      <c r="C418" s="28">
        <f>IF($P418="","",IF(INDEX(CalcTime,$P418)=0,"",INDEX(CalcTime,$P418)))</f>
        <v/>
      </c>
      <c r="D418" s="28">
        <f>IF($P418="","",IF(INDEX(EntryParty,$P418)=0,"",INDEX(EntryParty,$P418)))</f>
        <v/>
      </c>
      <c r="E418" s="28">
        <f>IF($P418="","",IF(INDEX(EntryPartyName,$P418)=0,"",INDEX(EntryPartyName,$P418)))</f>
        <v/>
      </c>
      <c r="F418" s="28">
        <f>IF($P418="","",IF(INDEX(EntryPartyType,$P418)=0,"",INDEX(EntryPartyType,$P418)))</f>
        <v/>
      </c>
      <c r="G418" s="28">
        <f>IF($P418="","",IF(INDEX(EntryTxnType,$P418)=0,"",INDEX(EntryTxnType,$P418)))</f>
        <v/>
      </c>
      <c r="H418" s="29">
        <f>IF($P418="","",IF(INDEX(EntryDep,$P418)=0,"",INDEX(EntryDep,$P418)))</f>
        <v/>
      </c>
      <c r="I418" s="29">
        <f>IF($P418="","",IF(INDEX(EntryWit,$P418)=0,"",INDEX(EntryWit,$P418)))</f>
        <v/>
      </c>
      <c r="J418" s="29">
        <f>IF($B418="","",IF($A418=1,$C$7,IF(J417="",0,J417))+IF($H418="",0,$H418)-IF($I418="",0,$I418))</f>
        <v/>
      </c>
      <c r="K418" s="29">
        <f>IF($P418="","",IF(INDEX(EntryMan,$P418)=0,"",INDEX(EntryMan,$P418)))</f>
        <v/>
      </c>
      <c r="L418" s="28">
        <f>IF($B418="","",IF($K418="","—",IF(ROUND($K418-$J418,0)=0,"√","×")))</f>
        <v/>
      </c>
      <c r="M418" s="28">
        <f>IF($B418="","",IF(COUNTIFS(EntryDates,$B418,CalcTime,$C418,CalcBank,$C$5,EntryParty,$D418,EntryDep,$H418,EntryWit,$I418)&gt;1,"تکرار",""))</f>
        <v/>
      </c>
      <c r="N418" s="28">
        <f>IF($P418="","",IF(INDEX(EntryNotes,$P418)=0,"",INDEX(EntryNotes,$P418)))</f>
        <v/>
      </c>
      <c r="O418" s="28">
        <f>IF($P418="","",IF(INDEX(EntryTxnID,$P418)=0,"",INDEX(EntryTxnID,$P418)))</f>
        <v/>
      </c>
      <c r="P418" s="28">
        <f>IFERROR(MATCH($C$5&amp;"|"&amp;RIGHT("000000"&amp;402,6),CalcRankKey,0),"")</f>
        <v/>
      </c>
    </row>
    <row r="419">
      <c r="A419" s="26">
        <f>IF($B419="","",403)</f>
        <v/>
      </c>
      <c r="B419" s="26">
        <f>IF($P419="","",IF(INDEX(CalcNormDate,$P419)=0,"",INDEX(CalcNormDate,$P419)))</f>
        <v/>
      </c>
      <c r="C419" s="26">
        <f>IF($P419="","",IF(INDEX(CalcTime,$P419)=0,"",INDEX(CalcTime,$P419)))</f>
        <v/>
      </c>
      <c r="D419" s="26">
        <f>IF($P419="","",IF(INDEX(EntryParty,$P419)=0,"",INDEX(EntryParty,$P419)))</f>
        <v/>
      </c>
      <c r="E419" s="26">
        <f>IF($P419="","",IF(INDEX(EntryPartyName,$P419)=0,"",INDEX(EntryPartyName,$P419)))</f>
        <v/>
      </c>
      <c r="F419" s="26">
        <f>IF($P419="","",IF(INDEX(EntryPartyType,$P419)=0,"",INDEX(EntryPartyType,$P419)))</f>
        <v/>
      </c>
      <c r="G419" s="26">
        <f>IF($P419="","",IF(INDEX(EntryTxnType,$P419)=0,"",INDEX(EntryTxnType,$P419)))</f>
        <v/>
      </c>
      <c r="H419" s="27">
        <f>IF($P419="","",IF(INDEX(EntryDep,$P419)=0,"",INDEX(EntryDep,$P419)))</f>
        <v/>
      </c>
      <c r="I419" s="27">
        <f>IF($P419="","",IF(INDEX(EntryWit,$P419)=0,"",INDEX(EntryWit,$P419)))</f>
        <v/>
      </c>
      <c r="J419" s="27">
        <f>IF($B419="","",IF($A419=1,$C$7,IF(J418="",0,J418))+IF($H419="",0,$H419)-IF($I419="",0,$I419))</f>
        <v/>
      </c>
      <c r="K419" s="27">
        <f>IF($P419="","",IF(INDEX(EntryMan,$P419)=0,"",INDEX(EntryMan,$P419)))</f>
        <v/>
      </c>
      <c r="L419" s="26">
        <f>IF($B419="","",IF($K419="","—",IF(ROUND($K419-$J419,0)=0,"√","×")))</f>
        <v/>
      </c>
      <c r="M419" s="26">
        <f>IF($B419="","",IF(COUNTIFS(EntryDates,$B419,CalcTime,$C419,CalcBank,$C$5,EntryParty,$D419,EntryDep,$H419,EntryWit,$I419)&gt;1,"تکرار",""))</f>
        <v/>
      </c>
      <c r="N419" s="26">
        <f>IF($P419="","",IF(INDEX(EntryNotes,$P419)=0,"",INDEX(EntryNotes,$P419)))</f>
        <v/>
      </c>
      <c r="O419" s="26">
        <f>IF($P419="","",IF(INDEX(EntryTxnID,$P419)=0,"",INDEX(EntryTxnID,$P419)))</f>
        <v/>
      </c>
      <c r="P419" s="26">
        <f>IFERROR(MATCH($C$5&amp;"|"&amp;RIGHT("000000"&amp;403,6),CalcRankKey,0),"")</f>
        <v/>
      </c>
    </row>
    <row r="420">
      <c r="A420" s="28">
        <f>IF($B420="","",404)</f>
        <v/>
      </c>
      <c r="B420" s="28">
        <f>IF($P420="","",IF(INDEX(CalcNormDate,$P420)=0,"",INDEX(CalcNormDate,$P420)))</f>
        <v/>
      </c>
      <c r="C420" s="28">
        <f>IF($P420="","",IF(INDEX(CalcTime,$P420)=0,"",INDEX(CalcTime,$P420)))</f>
        <v/>
      </c>
      <c r="D420" s="28">
        <f>IF($P420="","",IF(INDEX(EntryParty,$P420)=0,"",INDEX(EntryParty,$P420)))</f>
        <v/>
      </c>
      <c r="E420" s="28">
        <f>IF($P420="","",IF(INDEX(EntryPartyName,$P420)=0,"",INDEX(EntryPartyName,$P420)))</f>
        <v/>
      </c>
      <c r="F420" s="28">
        <f>IF($P420="","",IF(INDEX(EntryPartyType,$P420)=0,"",INDEX(EntryPartyType,$P420)))</f>
        <v/>
      </c>
      <c r="G420" s="28">
        <f>IF($P420="","",IF(INDEX(EntryTxnType,$P420)=0,"",INDEX(EntryTxnType,$P420)))</f>
        <v/>
      </c>
      <c r="H420" s="29">
        <f>IF($P420="","",IF(INDEX(EntryDep,$P420)=0,"",INDEX(EntryDep,$P420)))</f>
        <v/>
      </c>
      <c r="I420" s="29">
        <f>IF($P420="","",IF(INDEX(EntryWit,$P420)=0,"",INDEX(EntryWit,$P420)))</f>
        <v/>
      </c>
      <c r="J420" s="29">
        <f>IF($B420="","",IF($A420=1,$C$7,IF(J419="",0,J419))+IF($H420="",0,$H420)-IF($I420="",0,$I420))</f>
        <v/>
      </c>
      <c r="K420" s="29">
        <f>IF($P420="","",IF(INDEX(EntryMan,$P420)=0,"",INDEX(EntryMan,$P420)))</f>
        <v/>
      </c>
      <c r="L420" s="28">
        <f>IF($B420="","",IF($K420="","—",IF(ROUND($K420-$J420,0)=0,"√","×")))</f>
        <v/>
      </c>
      <c r="M420" s="28">
        <f>IF($B420="","",IF(COUNTIFS(EntryDates,$B420,CalcTime,$C420,CalcBank,$C$5,EntryParty,$D420,EntryDep,$H420,EntryWit,$I420)&gt;1,"تکرار",""))</f>
        <v/>
      </c>
      <c r="N420" s="28">
        <f>IF($P420="","",IF(INDEX(EntryNotes,$P420)=0,"",INDEX(EntryNotes,$P420)))</f>
        <v/>
      </c>
      <c r="O420" s="28">
        <f>IF($P420="","",IF(INDEX(EntryTxnID,$P420)=0,"",INDEX(EntryTxnID,$P420)))</f>
        <v/>
      </c>
      <c r="P420" s="28">
        <f>IFERROR(MATCH($C$5&amp;"|"&amp;RIGHT("000000"&amp;404,6),CalcRankKey,0),"")</f>
        <v/>
      </c>
    </row>
    <row r="421">
      <c r="A421" s="26">
        <f>IF($B421="","",405)</f>
        <v/>
      </c>
      <c r="B421" s="26">
        <f>IF($P421="","",IF(INDEX(CalcNormDate,$P421)=0,"",INDEX(CalcNormDate,$P421)))</f>
        <v/>
      </c>
      <c r="C421" s="26">
        <f>IF($P421="","",IF(INDEX(CalcTime,$P421)=0,"",INDEX(CalcTime,$P421)))</f>
        <v/>
      </c>
      <c r="D421" s="26">
        <f>IF($P421="","",IF(INDEX(EntryParty,$P421)=0,"",INDEX(EntryParty,$P421)))</f>
        <v/>
      </c>
      <c r="E421" s="26">
        <f>IF($P421="","",IF(INDEX(EntryPartyName,$P421)=0,"",INDEX(EntryPartyName,$P421)))</f>
        <v/>
      </c>
      <c r="F421" s="26">
        <f>IF($P421="","",IF(INDEX(EntryPartyType,$P421)=0,"",INDEX(EntryPartyType,$P421)))</f>
        <v/>
      </c>
      <c r="G421" s="26">
        <f>IF($P421="","",IF(INDEX(EntryTxnType,$P421)=0,"",INDEX(EntryTxnType,$P421)))</f>
        <v/>
      </c>
      <c r="H421" s="27">
        <f>IF($P421="","",IF(INDEX(EntryDep,$P421)=0,"",INDEX(EntryDep,$P421)))</f>
        <v/>
      </c>
      <c r="I421" s="27">
        <f>IF($P421="","",IF(INDEX(EntryWit,$P421)=0,"",INDEX(EntryWit,$P421)))</f>
        <v/>
      </c>
      <c r="J421" s="27">
        <f>IF($B421="","",IF($A421=1,$C$7,IF(J420="",0,J420))+IF($H421="",0,$H421)-IF($I421="",0,$I421))</f>
        <v/>
      </c>
      <c r="K421" s="27">
        <f>IF($P421="","",IF(INDEX(EntryMan,$P421)=0,"",INDEX(EntryMan,$P421)))</f>
        <v/>
      </c>
      <c r="L421" s="26">
        <f>IF($B421="","",IF($K421="","—",IF(ROUND($K421-$J421,0)=0,"√","×")))</f>
        <v/>
      </c>
      <c r="M421" s="26">
        <f>IF($B421="","",IF(COUNTIFS(EntryDates,$B421,CalcTime,$C421,CalcBank,$C$5,EntryParty,$D421,EntryDep,$H421,EntryWit,$I421)&gt;1,"تکرار",""))</f>
        <v/>
      </c>
      <c r="N421" s="26">
        <f>IF($P421="","",IF(INDEX(EntryNotes,$P421)=0,"",INDEX(EntryNotes,$P421)))</f>
        <v/>
      </c>
      <c r="O421" s="26">
        <f>IF($P421="","",IF(INDEX(EntryTxnID,$P421)=0,"",INDEX(EntryTxnID,$P421)))</f>
        <v/>
      </c>
      <c r="P421" s="26">
        <f>IFERROR(MATCH($C$5&amp;"|"&amp;RIGHT("000000"&amp;405,6),CalcRankKey,0),"")</f>
        <v/>
      </c>
    </row>
    <row r="422">
      <c r="A422" s="28">
        <f>IF($B422="","",406)</f>
        <v/>
      </c>
      <c r="B422" s="28">
        <f>IF($P422="","",IF(INDEX(CalcNormDate,$P422)=0,"",INDEX(CalcNormDate,$P422)))</f>
        <v/>
      </c>
      <c r="C422" s="28">
        <f>IF($P422="","",IF(INDEX(CalcTime,$P422)=0,"",INDEX(CalcTime,$P422)))</f>
        <v/>
      </c>
      <c r="D422" s="28">
        <f>IF($P422="","",IF(INDEX(EntryParty,$P422)=0,"",INDEX(EntryParty,$P422)))</f>
        <v/>
      </c>
      <c r="E422" s="28">
        <f>IF($P422="","",IF(INDEX(EntryPartyName,$P422)=0,"",INDEX(EntryPartyName,$P422)))</f>
        <v/>
      </c>
      <c r="F422" s="28">
        <f>IF($P422="","",IF(INDEX(EntryPartyType,$P422)=0,"",INDEX(EntryPartyType,$P422)))</f>
        <v/>
      </c>
      <c r="G422" s="28">
        <f>IF($P422="","",IF(INDEX(EntryTxnType,$P422)=0,"",INDEX(EntryTxnType,$P422)))</f>
        <v/>
      </c>
      <c r="H422" s="29">
        <f>IF($P422="","",IF(INDEX(EntryDep,$P422)=0,"",INDEX(EntryDep,$P422)))</f>
        <v/>
      </c>
      <c r="I422" s="29">
        <f>IF($P422="","",IF(INDEX(EntryWit,$P422)=0,"",INDEX(EntryWit,$P422)))</f>
        <v/>
      </c>
      <c r="J422" s="29">
        <f>IF($B422="","",IF($A422=1,$C$7,IF(J421="",0,J421))+IF($H422="",0,$H422)-IF($I422="",0,$I422))</f>
        <v/>
      </c>
      <c r="K422" s="29">
        <f>IF($P422="","",IF(INDEX(EntryMan,$P422)=0,"",INDEX(EntryMan,$P422)))</f>
        <v/>
      </c>
      <c r="L422" s="28">
        <f>IF($B422="","",IF($K422="","—",IF(ROUND($K422-$J422,0)=0,"√","×")))</f>
        <v/>
      </c>
      <c r="M422" s="28">
        <f>IF($B422="","",IF(COUNTIFS(EntryDates,$B422,CalcTime,$C422,CalcBank,$C$5,EntryParty,$D422,EntryDep,$H422,EntryWit,$I422)&gt;1,"تکرار",""))</f>
        <v/>
      </c>
      <c r="N422" s="28">
        <f>IF($P422="","",IF(INDEX(EntryNotes,$P422)=0,"",INDEX(EntryNotes,$P422)))</f>
        <v/>
      </c>
      <c r="O422" s="28">
        <f>IF($P422="","",IF(INDEX(EntryTxnID,$P422)=0,"",INDEX(EntryTxnID,$P422)))</f>
        <v/>
      </c>
      <c r="P422" s="28">
        <f>IFERROR(MATCH($C$5&amp;"|"&amp;RIGHT("000000"&amp;406,6),CalcRankKey,0),"")</f>
        <v/>
      </c>
    </row>
    <row r="423">
      <c r="A423" s="26">
        <f>IF($B423="","",407)</f>
        <v/>
      </c>
      <c r="B423" s="26">
        <f>IF($P423="","",IF(INDEX(CalcNormDate,$P423)=0,"",INDEX(CalcNormDate,$P423)))</f>
        <v/>
      </c>
      <c r="C423" s="26">
        <f>IF($P423="","",IF(INDEX(CalcTime,$P423)=0,"",INDEX(CalcTime,$P423)))</f>
        <v/>
      </c>
      <c r="D423" s="26">
        <f>IF($P423="","",IF(INDEX(EntryParty,$P423)=0,"",INDEX(EntryParty,$P423)))</f>
        <v/>
      </c>
      <c r="E423" s="26">
        <f>IF($P423="","",IF(INDEX(EntryPartyName,$P423)=0,"",INDEX(EntryPartyName,$P423)))</f>
        <v/>
      </c>
      <c r="F423" s="26">
        <f>IF($P423="","",IF(INDEX(EntryPartyType,$P423)=0,"",INDEX(EntryPartyType,$P423)))</f>
        <v/>
      </c>
      <c r="G423" s="26">
        <f>IF($P423="","",IF(INDEX(EntryTxnType,$P423)=0,"",INDEX(EntryTxnType,$P423)))</f>
        <v/>
      </c>
      <c r="H423" s="27">
        <f>IF($P423="","",IF(INDEX(EntryDep,$P423)=0,"",INDEX(EntryDep,$P423)))</f>
        <v/>
      </c>
      <c r="I423" s="27">
        <f>IF($P423="","",IF(INDEX(EntryWit,$P423)=0,"",INDEX(EntryWit,$P423)))</f>
        <v/>
      </c>
      <c r="J423" s="27">
        <f>IF($B423="","",IF($A423=1,$C$7,IF(J422="",0,J422))+IF($H423="",0,$H423)-IF($I423="",0,$I423))</f>
        <v/>
      </c>
      <c r="K423" s="27">
        <f>IF($P423="","",IF(INDEX(EntryMan,$P423)=0,"",INDEX(EntryMan,$P423)))</f>
        <v/>
      </c>
      <c r="L423" s="26">
        <f>IF($B423="","",IF($K423="","—",IF(ROUND($K423-$J423,0)=0,"√","×")))</f>
        <v/>
      </c>
      <c r="M423" s="26">
        <f>IF($B423="","",IF(COUNTIFS(EntryDates,$B423,CalcTime,$C423,CalcBank,$C$5,EntryParty,$D423,EntryDep,$H423,EntryWit,$I423)&gt;1,"تکرار",""))</f>
        <v/>
      </c>
      <c r="N423" s="26">
        <f>IF($P423="","",IF(INDEX(EntryNotes,$P423)=0,"",INDEX(EntryNotes,$P423)))</f>
        <v/>
      </c>
      <c r="O423" s="26">
        <f>IF($P423="","",IF(INDEX(EntryTxnID,$P423)=0,"",INDEX(EntryTxnID,$P423)))</f>
        <v/>
      </c>
      <c r="P423" s="26">
        <f>IFERROR(MATCH($C$5&amp;"|"&amp;RIGHT("000000"&amp;407,6),CalcRankKey,0),"")</f>
        <v/>
      </c>
    </row>
    <row r="424">
      <c r="A424" s="28">
        <f>IF($B424="","",408)</f>
        <v/>
      </c>
      <c r="B424" s="28">
        <f>IF($P424="","",IF(INDEX(CalcNormDate,$P424)=0,"",INDEX(CalcNormDate,$P424)))</f>
        <v/>
      </c>
      <c r="C424" s="28">
        <f>IF($P424="","",IF(INDEX(CalcTime,$P424)=0,"",INDEX(CalcTime,$P424)))</f>
        <v/>
      </c>
      <c r="D424" s="28">
        <f>IF($P424="","",IF(INDEX(EntryParty,$P424)=0,"",INDEX(EntryParty,$P424)))</f>
        <v/>
      </c>
      <c r="E424" s="28">
        <f>IF($P424="","",IF(INDEX(EntryPartyName,$P424)=0,"",INDEX(EntryPartyName,$P424)))</f>
        <v/>
      </c>
      <c r="F424" s="28">
        <f>IF($P424="","",IF(INDEX(EntryPartyType,$P424)=0,"",INDEX(EntryPartyType,$P424)))</f>
        <v/>
      </c>
      <c r="G424" s="28">
        <f>IF($P424="","",IF(INDEX(EntryTxnType,$P424)=0,"",INDEX(EntryTxnType,$P424)))</f>
        <v/>
      </c>
      <c r="H424" s="29">
        <f>IF($P424="","",IF(INDEX(EntryDep,$P424)=0,"",INDEX(EntryDep,$P424)))</f>
        <v/>
      </c>
      <c r="I424" s="29">
        <f>IF($P424="","",IF(INDEX(EntryWit,$P424)=0,"",INDEX(EntryWit,$P424)))</f>
        <v/>
      </c>
      <c r="J424" s="29">
        <f>IF($B424="","",IF($A424=1,$C$7,IF(J423="",0,J423))+IF($H424="",0,$H424)-IF($I424="",0,$I424))</f>
        <v/>
      </c>
      <c r="K424" s="29">
        <f>IF($P424="","",IF(INDEX(EntryMan,$P424)=0,"",INDEX(EntryMan,$P424)))</f>
        <v/>
      </c>
      <c r="L424" s="28">
        <f>IF($B424="","",IF($K424="","—",IF(ROUND($K424-$J424,0)=0,"√","×")))</f>
        <v/>
      </c>
      <c r="M424" s="28">
        <f>IF($B424="","",IF(COUNTIFS(EntryDates,$B424,CalcTime,$C424,CalcBank,$C$5,EntryParty,$D424,EntryDep,$H424,EntryWit,$I424)&gt;1,"تکرار",""))</f>
        <v/>
      </c>
      <c r="N424" s="28">
        <f>IF($P424="","",IF(INDEX(EntryNotes,$P424)=0,"",INDEX(EntryNotes,$P424)))</f>
        <v/>
      </c>
      <c r="O424" s="28">
        <f>IF($P424="","",IF(INDEX(EntryTxnID,$P424)=0,"",INDEX(EntryTxnID,$P424)))</f>
        <v/>
      </c>
      <c r="P424" s="28">
        <f>IFERROR(MATCH($C$5&amp;"|"&amp;RIGHT("000000"&amp;408,6),CalcRankKey,0),"")</f>
        <v/>
      </c>
    </row>
    <row r="425">
      <c r="A425" s="26">
        <f>IF($B425="","",409)</f>
        <v/>
      </c>
      <c r="B425" s="26">
        <f>IF($P425="","",IF(INDEX(CalcNormDate,$P425)=0,"",INDEX(CalcNormDate,$P425)))</f>
        <v/>
      </c>
      <c r="C425" s="26">
        <f>IF($P425="","",IF(INDEX(CalcTime,$P425)=0,"",INDEX(CalcTime,$P425)))</f>
        <v/>
      </c>
      <c r="D425" s="26">
        <f>IF($P425="","",IF(INDEX(EntryParty,$P425)=0,"",INDEX(EntryParty,$P425)))</f>
        <v/>
      </c>
      <c r="E425" s="26">
        <f>IF($P425="","",IF(INDEX(EntryPartyName,$P425)=0,"",INDEX(EntryPartyName,$P425)))</f>
        <v/>
      </c>
      <c r="F425" s="26">
        <f>IF($P425="","",IF(INDEX(EntryPartyType,$P425)=0,"",INDEX(EntryPartyType,$P425)))</f>
        <v/>
      </c>
      <c r="G425" s="26">
        <f>IF($P425="","",IF(INDEX(EntryTxnType,$P425)=0,"",INDEX(EntryTxnType,$P425)))</f>
        <v/>
      </c>
      <c r="H425" s="27">
        <f>IF($P425="","",IF(INDEX(EntryDep,$P425)=0,"",INDEX(EntryDep,$P425)))</f>
        <v/>
      </c>
      <c r="I425" s="27">
        <f>IF($P425="","",IF(INDEX(EntryWit,$P425)=0,"",INDEX(EntryWit,$P425)))</f>
        <v/>
      </c>
      <c r="J425" s="27">
        <f>IF($B425="","",IF($A425=1,$C$7,IF(J424="",0,J424))+IF($H425="",0,$H425)-IF($I425="",0,$I425))</f>
        <v/>
      </c>
      <c r="K425" s="27">
        <f>IF($P425="","",IF(INDEX(EntryMan,$P425)=0,"",INDEX(EntryMan,$P425)))</f>
        <v/>
      </c>
      <c r="L425" s="26">
        <f>IF($B425="","",IF($K425="","—",IF(ROUND($K425-$J425,0)=0,"√","×")))</f>
        <v/>
      </c>
      <c r="M425" s="26">
        <f>IF($B425="","",IF(COUNTIFS(EntryDates,$B425,CalcTime,$C425,CalcBank,$C$5,EntryParty,$D425,EntryDep,$H425,EntryWit,$I425)&gt;1,"تکرار",""))</f>
        <v/>
      </c>
      <c r="N425" s="26">
        <f>IF($P425="","",IF(INDEX(EntryNotes,$P425)=0,"",INDEX(EntryNotes,$P425)))</f>
        <v/>
      </c>
      <c r="O425" s="26">
        <f>IF($P425="","",IF(INDEX(EntryTxnID,$P425)=0,"",INDEX(EntryTxnID,$P425)))</f>
        <v/>
      </c>
      <c r="P425" s="26">
        <f>IFERROR(MATCH($C$5&amp;"|"&amp;RIGHT("000000"&amp;409,6),CalcRankKey,0),"")</f>
        <v/>
      </c>
    </row>
    <row r="426">
      <c r="A426" s="28">
        <f>IF($B426="","",410)</f>
        <v/>
      </c>
      <c r="B426" s="28">
        <f>IF($P426="","",IF(INDEX(CalcNormDate,$P426)=0,"",INDEX(CalcNormDate,$P426)))</f>
        <v/>
      </c>
      <c r="C426" s="28">
        <f>IF($P426="","",IF(INDEX(CalcTime,$P426)=0,"",INDEX(CalcTime,$P426)))</f>
        <v/>
      </c>
      <c r="D426" s="28">
        <f>IF($P426="","",IF(INDEX(EntryParty,$P426)=0,"",INDEX(EntryParty,$P426)))</f>
        <v/>
      </c>
      <c r="E426" s="28">
        <f>IF($P426="","",IF(INDEX(EntryPartyName,$P426)=0,"",INDEX(EntryPartyName,$P426)))</f>
        <v/>
      </c>
      <c r="F426" s="28">
        <f>IF($P426="","",IF(INDEX(EntryPartyType,$P426)=0,"",INDEX(EntryPartyType,$P426)))</f>
        <v/>
      </c>
      <c r="G426" s="28">
        <f>IF($P426="","",IF(INDEX(EntryTxnType,$P426)=0,"",INDEX(EntryTxnType,$P426)))</f>
        <v/>
      </c>
      <c r="H426" s="29">
        <f>IF($P426="","",IF(INDEX(EntryDep,$P426)=0,"",INDEX(EntryDep,$P426)))</f>
        <v/>
      </c>
      <c r="I426" s="29">
        <f>IF($P426="","",IF(INDEX(EntryWit,$P426)=0,"",INDEX(EntryWit,$P426)))</f>
        <v/>
      </c>
      <c r="J426" s="29">
        <f>IF($B426="","",IF($A426=1,$C$7,IF(J425="",0,J425))+IF($H426="",0,$H426)-IF($I426="",0,$I426))</f>
        <v/>
      </c>
      <c r="K426" s="29">
        <f>IF($P426="","",IF(INDEX(EntryMan,$P426)=0,"",INDEX(EntryMan,$P426)))</f>
        <v/>
      </c>
      <c r="L426" s="28">
        <f>IF($B426="","",IF($K426="","—",IF(ROUND($K426-$J426,0)=0,"√","×")))</f>
        <v/>
      </c>
      <c r="M426" s="28">
        <f>IF($B426="","",IF(COUNTIFS(EntryDates,$B426,CalcTime,$C426,CalcBank,$C$5,EntryParty,$D426,EntryDep,$H426,EntryWit,$I426)&gt;1,"تکرار",""))</f>
        <v/>
      </c>
      <c r="N426" s="28">
        <f>IF($P426="","",IF(INDEX(EntryNotes,$P426)=0,"",INDEX(EntryNotes,$P426)))</f>
        <v/>
      </c>
      <c r="O426" s="28">
        <f>IF($P426="","",IF(INDEX(EntryTxnID,$P426)=0,"",INDEX(EntryTxnID,$P426)))</f>
        <v/>
      </c>
      <c r="P426" s="28">
        <f>IFERROR(MATCH($C$5&amp;"|"&amp;RIGHT("000000"&amp;410,6),CalcRankKey,0),"")</f>
        <v/>
      </c>
    </row>
    <row r="427">
      <c r="A427" s="26">
        <f>IF($B427="","",411)</f>
        <v/>
      </c>
      <c r="B427" s="26">
        <f>IF($P427="","",IF(INDEX(CalcNormDate,$P427)=0,"",INDEX(CalcNormDate,$P427)))</f>
        <v/>
      </c>
      <c r="C427" s="26">
        <f>IF($P427="","",IF(INDEX(CalcTime,$P427)=0,"",INDEX(CalcTime,$P427)))</f>
        <v/>
      </c>
      <c r="D427" s="26">
        <f>IF($P427="","",IF(INDEX(EntryParty,$P427)=0,"",INDEX(EntryParty,$P427)))</f>
        <v/>
      </c>
      <c r="E427" s="26">
        <f>IF($P427="","",IF(INDEX(EntryPartyName,$P427)=0,"",INDEX(EntryPartyName,$P427)))</f>
        <v/>
      </c>
      <c r="F427" s="26">
        <f>IF($P427="","",IF(INDEX(EntryPartyType,$P427)=0,"",INDEX(EntryPartyType,$P427)))</f>
        <v/>
      </c>
      <c r="G427" s="26">
        <f>IF($P427="","",IF(INDEX(EntryTxnType,$P427)=0,"",INDEX(EntryTxnType,$P427)))</f>
        <v/>
      </c>
      <c r="H427" s="27">
        <f>IF($P427="","",IF(INDEX(EntryDep,$P427)=0,"",INDEX(EntryDep,$P427)))</f>
        <v/>
      </c>
      <c r="I427" s="27">
        <f>IF($P427="","",IF(INDEX(EntryWit,$P427)=0,"",INDEX(EntryWit,$P427)))</f>
        <v/>
      </c>
      <c r="J427" s="27">
        <f>IF($B427="","",IF($A427=1,$C$7,IF(J426="",0,J426))+IF($H427="",0,$H427)-IF($I427="",0,$I427))</f>
        <v/>
      </c>
      <c r="K427" s="27">
        <f>IF($P427="","",IF(INDEX(EntryMan,$P427)=0,"",INDEX(EntryMan,$P427)))</f>
        <v/>
      </c>
      <c r="L427" s="26">
        <f>IF($B427="","",IF($K427="","—",IF(ROUND($K427-$J427,0)=0,"√","×")))</f>
        <v/>
      </c>
      <c r="M427" s="26">
        <f>IF($B427="","",IF(COUNTIFS(EntryDates,$B427,CalcTime,$C427,CalcBank,$C$5,EntryParty,$D427,EntryDep,$H427,EntryWit,$I427)&gt;1,"تکرار",""))</f>
        <v/>
      </c>
      <c r="N427" s="26">
        <f>IF($P427="","",IF(INDEX(EntryNotes,$P427)=0,"",INDEX(EntryNotes,$P427)))</f>
        <v/>
      </c>
      <c r="O427" s="26">
        <f>IF($P427="","",IF(INDEX(EntryTxnID,$P427)=0,"",INDEX(EntryTxnID,$P427)))</f>
        <v/>
      </c>
      <c r="P427" s="26">
        <f>IFERROR(MATCH($C$5&amp;"|"&amp;RIGHT("000000"&amp;411,6),CalcRankKey,0),"")</f>
        <v/>
      </c>
    </row>
    <row r="428">
      <c r="A428" s="28">
        <f>IF($B428="","",412)</f>
        <v/>
      </c>
      <c r="B428" s="28">
        <f>IF($P428="","",IF(INDEX(CalcNormDate,$P428)=0,"",INDEX(CalcNormDate,$P428)))</f>
        <v/>
      </c>
      <c r="C428" s="28">
        <f>IF($P428="","",IF(INDEX(CalcTime,$P428)=0,"",INDEX(CalcTime,$P428)))</f>
        <v/>
      </c>
      <c r="D428" s="28">
        <f>IF($P428="","",IF(INDEX(EntryParty,$P428)=0,"",INDEX(EntryParty,$P428)))</f>
        <v/>
      </c>
      <c r="E428" s="28">
        <f>IF($P428="","",IF(INDEX(EntryPartyName,$P428)=0,"",INDEX(EntryPartyName,$P428)))</f>
        <v/>
      </c>
      <c r="F428" s="28">
        <f>IF($P428="","",IF(INDEX(EntryPartyType,$P428)=0,"",INDEX(EntryPartyType,$P428)))</f>
        <v/>
      </c>
      <c r="G428" s="28">
        <f>IF($P428="","",IF(INDEX(EntryTxnType,$P428)=0,"",INDEX(EntryTxnType,$P428)))</f>
        <v/>
      </c>
      <c r="H428" s="29">
        <f>IF($P428="","",IF(INDEX(EntryDep,$P428)=0,"",INDEX(EntryDep,$P428)))</f>
        <v/>
      </c>
      <c r="I428" s="29">
        <f>IF($P428="","",IF(INDEX(EntryWit,$P428)=0,"",INDEX(EntryWit,$P428)))</f>
        <v/>
      </c>
      <c r="J428" s="29">
        <f>IF($B428="","",IF($A428=1,$C$7,IF(J427="",0,J427))+IF($H428="",0,$H428)-IF($I428="",0,$I428))</f>
        <v/>
      </c>
      <c r="K428" s="29">
        <f>IF($P428="","",IF(INDEX(EntryMan,$P428)=0,"",INDEX(EntryMan,$P428)))</f>
        <v/>
      </c>
      <c r="L428" s="28">
        <f>IF($B428="","",IF($K428="","—",IF(ROUND($K428-$J428,0)=0,"√","×")))</f>
        <v/>
      </c>
      <c r="M428" s="28">
        <f>IF($B428="","",IF(COUNTIFS(EntryDates,$B428,CalcTime,$C428,CalcBank,$C$5,EntryParty,$D428,EntryDep,$H428,EntryWit,$I428)&gt;1,"تکرار",""))</f>
        <v/>
      </c>
      <c r="N428" s="28">
        <f>IF($P428="","",IF(INDEX(EntryNotes,$P428)=0,"",INDEX(EntryNotes,$P428)))</f>
        <v/>
      </c>
      <c r="O428" s="28">
        <f>IF($P428="","",IF(INDEX(EntryTxnID,$P428)=0,"",INDEX(EntryTxnID,$P428)))</f>
        <v/>
      </c>
      <c r="P428" s="28">
        <f>IFERROR(MATCH($C$5&amp;"|"&amp;RIGHT("000000"&amp;412,6),CalcRankKey,0),"")</f>
        <v/>
      </c>
    </row>
    <row r="429">
      <c r="A429" s="26">
        <f>IF($B429="","",413)</f>
        <v/>
      </c>
      <c r="B429" s="26">
        <f>IF($P429="","",IF(INDEX(CalcNormDate,$P429)=0,"",INDEX(CalcNormDate,$P429)))</f>
        <v/>
      </c>
      <c r="C429" s="26">
        <f>IF($P429="","",IF(INDEX(CalcTime,$P429)=0,"",INDEX(CalcTime,$P429)))</f>
        <v/>
      </c>
      <c r="D429" s="26">
        <f>IF($P429="","",IF(INDEX(EntryParty,$P429)=0,"",INDEX(EntryParty,$P429)))</f>
        <v/>
      </c>
      <c r="E429" s="26">
        <f>IF($P429="","",IF(INDEX(EntryPartyName,$P429)=0,"",INDEX(EntryPartyName,$P429)))</f>
        <v/>
      </c>
      <c r="F429" s="26">
        <f>IF($P429="","",IF(INDEX(EntryPartyType,$P429)=0,"",INDEX(EntryPartyType,$P429)))</f>
        <v/>
      </c>
      <c r="G429" s="26">
        <f>IF($P429="","",IF(INDEX(EntryTxnType,$P429)=0,"",INDEX(EntryTxnType,$P429)))</f>
        <v/>
      </c>
      <c r="H429" s="27">
        <f>IF($P429="","",IF(INDEX(EntryDep,$P429)=0,"",INDEX(EntryDep,$P429)))</f>
        <v/>
      </c>
      <c r="I429" s="27">
        <f>IF($P429="","",IF(INDEX(EntryWit,$P429)=0,"",INDEX(EntryWit,$P429)))</f>
        <v/>
      </c>
      <c r="J429" s="27">
        <f>IF($B429="","",IF($A429=1,$C$7,IF(J428="",0,J428))+IF($H429="",0,$H429)-IF($I429="",0,$I429))</f>
        <v/>
      </c>
      <c r="K429" s="27">
        <f>IF($P429="","",IF(INDEX(EntryMan,$P429)=0,"",INDEX(EntryMan,$P429)))</f>
        <v/>
      </c>
      <c r="L429" s="26">
        <f>IF($B429="","",IF($K429="","—",IF(ROUND($K429-$J429,0)=0,"√","×")))</f>
        <v/>
      </c>
      <c r="M429" s="26">
        <f>IF($B429="","",IF(COUNTIFS(EntryDates,$B429,CalcTime,$C429,CalcBank,$C$5,EntryParty,$D429,EntryDep,$H429,EntryWit,$I429)&gt;1,"تکرار",""))</f>
        <v/>
      </c>
      <c r="N429" s="26">
        <f>IF($P429="","",IF(INDEX(EntryNotes,$P429)=0,"",INDEX(EntryNotes,$P429)))</f>
        <v/>
      </c>
      <c r="O429" s="26">
        <f>IF($P429="","",IF(INDEX(EntryTxnID,$P429)=0,"",INDEX(EntryTxnID,$P429)))</f>
        <v/>
      </c>
      <c r="P429" s="26">
        <f>IFERROR(MATCH($C$5&amp;"|"&amp;RIGHT("000000"&amp;413,6),CalcRankKey,0),"")</f>
        <v/>
      </c>
    </row>
    <row r="430">
      <c r="A430" s="28">
        <f>IF($B430="","",414)</f>
        <v/>
      </c>
      <c r="B430" s="28">
        <f>IF($P430="","",IF(INDEX(CalcNormDate,$P430)=0,"",INDEX(CalcNormDate,$P430)))</f>
        <v/>
      </c>
      <c r="C430" s="28">
        <f>IF($P430="","",IF(INDEX(CalcTime,$P430)=0,"",INDEX(CalcTime,$P430)))</f>
        <v/>
      </c>
      <c r="D430" s="28">
        <f>IF($P430="","",IF(INDEX(EntryParty,$P430)=0,"",INDEX(EntryParty,$P430)))</f>
        <v/>
      </c>
      <c r="E430" s="28">
        <f>IF($P430="","",IF(INDEX(EntryPartyName,$P430)=0,"",INDEX(EntryPartyName,$P430)))</f>
        <v/>
      </c>
      <c r="F430" s="28">
        <f>IF($P430="","",IF(INDEX(EntryPartyType,$P430)=0,"",INDEX(EntryPartyType,$P430)))</f>
        <v/>
      </c>
      <c r="G430" s="28">
        <f>IF($P430="","",IF(INDEX(EntryTxnType,$P430)=0,"",INDEX(EntryTxnType,$P430)))</f>
        <v/>
      </c>
      <c r="H430" s="29">
        <f>IF($P430="","",IF(INDEX(EntryDep,$P430)=0,"",INDEX(EntryDep,$P430)))</f>
        <v/>
      </c>
      <c r="I430" s="29">
        <f>IF($P430="","",IF(INDEX(EntryWit,$P430)=0,"",INDEX(EntryWit,$P430)))</f>
        <v/>
      </c>
      <c r="J430" s="29">
        <f>IF($B430="","",IF($A430=1,$C$7,IF(J429="",0,J429))+IF($H430="",0,$H430)-IF($I430="",0,$I430))</f>
        <v/>
      </c>
      <c r="K430" s="29">
        <f>IF($P430="","",IF(INDEX(EntryMan,$P430)=0,"",INDEX(EntryMan,$P430)))</f>
        <v/>
      </c>
      <c r="L430" s="28">
        <f>IF($B430="","",IF($K430="","—",IF(ROUND($K430-$J430,0)=0,"√","×")))</f>
        <v/>
      </c>
      <c r="M430" s="28">
        <f>IF($B430="","",IF(COUNTIFS(EntryDates,$B430,CalcTime,$C430,CalcBank,$C$5,EntryParty,$D430,EntryDep,$H430,EntryWit,$I430)&gt;1,"تکرار",""))</f>
        <v/>
      </c>
      <c r="N430" s="28">
        <f>IF($P430="","",IF(INDEX(EntryNotes,$P430)=0,"",INDEX(EntryNotes,$P430)))</f>
        <v/>
      </c>
      <c r="O430" s="28">
        <f>IF($P430="","",IF(INDEX(EntryTxnID,$P430)=0,"",INDEX(EntryTxnID,$P430)))</f>
        <v/>
      </c>
      <c r="P430" s="28">
        <f>IFERROR(MATCH($C$5&amp;"|"&amp;RIGHT("000000"&amp;414,6),CalcRankKey,0),"")</f>
        <v/>
      </c>
    </row>
    <row r="431">
      <c r="A431" s="26">
        <f>IF($B431="","",415)</f>
        <v/>
      </c>
      <c r="B431" s="26">
        <f>IF($P431="","",IF(INDEX(CalcNormDate,$P431)=0,"",INDEX(CalcNormDate,$P431)))</f>
        <v/>
      </c>
      <c r="C431" s="26">
        <f>IF($P431="","",IF(INDEX(CalcTime,$P431)=0,"",INDEX(CalcTime,$P431)))</f>
        <v/>
      </c>
      <c r="D431" s="26">
        <f>IF($P431="","",IF(INDEX(EntryParty,$P431)=0,"",INDEX(EntryParty,$P431)))</f>
        <v/>
      </c>
      <c r="E431" s="26">
        <f>IF($P431="","",IF(INDEX(EntryPartyName,$P431)=0,"",INDEX(EntryPartyName,$P431)))</f>
        <v/>
      </c>
      <c r="F431" s="26">
        <f>IF($P431="","",IF(INDEX(EntryPartyType,$P431)=0,"",INDEX(EntryPartyType,$P431)))</f>
        <v/>
      </c>
      <c r="G431" s="26">
        <f>IF($P431="","",IF(INDEX(EntryTxnType,$P431)=0,"",INDEX(EntryTxnType,$P431)))</f>
        <v/>
      </c>
      <c r="H431" s="27">
        <f>IF($P431="","",IF(INDEX(EntryDep,$P431)=0,"",INDEX(EntryDep,$P431)))</f>
        <v/>
      </c>
      <c r="I431" s="27">
        <f>IF($P431="","",IF(INDEX(EntryWit,$P431)=0,"",INDEX(EntryWit,$P431)))</f>
        <v/>
      </c>
      <c r="J431" s="27">
        <f>IF($B431="","",IF($A431=1,$C$7,IF(J430="",0,J430))+IF($H431="",0,$H431)-IF($I431="",0,$I431))</f>
        <v/>
      </c>
      <c r="K431" s="27">
        <f>IF($P431="","",IF(INDEX(EntryMan,$P431)=0,"",INDEX(EntryMan,$P431)))</f>
        <v/>
      </c>
      <c r="L431" s="26">
        <f>IF($B431="","",IF($K431="","—",IF(ROUND($K431-$J431,0)=0,"√","×")))</f>
        <v/>
      </c>
      <c r="M431" s="26">
        <f>IF($B431="","",IF(COUNTIFS(EntryDates,$B431,CalcTime,$C431,CalcBank,$C$5,EntryParty,$D431,EntryDep,$H431,EntryWit,$I431)&gt;1,"تکرار",""))</f>
        <v/>
      </c>
      <c r="N431" s="26">
        <f>IF($P431="","",IF(INDEX(EntryNotes,$P431)=0,"",INDEX(EntryNotes,$P431)))</f>
        <v/>
      </c>
      <c r="O431" s="26">
        <f>IF($P431="","",IF(INDEX(EntryTxnID,$P431)=0,"",INDEX(EntryTxnID,$P431)))</f>
        <v/>
      </c>
      <c r="P431" s="26">
        <f>IFERROR(MATCH($C$5&amp;"|"&amp;RIGHT("000000"&amp;415,6),CalcRankKey,0),"")</f>
        <v/>
      </c>
    </row>
    <row r="432">
      <c r="A432" s="28">
        <f>IF($B432="","",416)</f>
        <v/>
      </c>
      <c r="B432" s="28">
        <f>IF($P432="","",IF(INDEX(CalcNormDate,$P432)=0,"",INDEX(CalcNormDate,$P432)))</f>
        <v/>
      </c>
      <c r="C432" s="28">
        <f>IF($P432="","",IF(INDEX(CalcTime,$P432)=0,"",INDEX(CalcTime,$P432)))</f>
        <v/>
      </c>
      <c r="D432" s="28">
        <f>IF($P432="","",IF(INDEX(EntryParty,$P432)=0,"",INDEX(EntryParty,$P432)))</f>
        <v/>
      </c>
      <c r="E432" s="28">
        <f>IF($P432="","",IF(INDEX(EntryPartyName,$P432)=0,"",INDEX(EntryPartyName,$P432)))</f>
        <v/>
      </c>
      <c r="F432" s="28">
        <f>IF($P432="","",IF(INDEX(EntryPartyType,$P432)=0,"",INDEX(EntryPartyType,$P432)))</f>
        <v/>
      </c>
      <c r="G432" s="28">
        <f>IF($P432="","",IF(INDEX(EntryTxnType,$P432)=0,"",INDEX(EntryTxnType,$P432)))</f>
        <v/>
      </c>
      <c r="H432" s="29">
        <f>IF($P432="","",IF(INDEX(EntryDep,$P432)=0,"",INDEX(EntryDep,$P432)))</f>
        <v/>
      </c>
      <c r="I432" s="29">
        <f>IF($P432="","",IF(INDEX(EntryWit,$P432)=0,"",INDEX(EntryWit,$P432)))</f>
        <v/>
      </c>
      <c r="J432" s="29">
        <f>IF($B432="","",IF($A432=1,$C$7,IF(J431="",0,J431))+IF($H432="",0,$H432)-IF($I432="",0,$I432))</f>
        <v/>
      </c>
      <c r="K432" s="29">
        <f>IF($P432="","",IF(INDEX(EntryMan,$P432)=0,"",INDEX(EntryMan,$P432)))</f>
        <v/>
      </c>
      <c r="L432" s="28">
        <f>IF($B432="","",IF($K432="","—",IF(ROUND($K432-$J432,0)=0,"√","×")))</f>
        <v/>
      </c>
      <c r="M432" s="28">
        <f>IF($B432="","",IF(COUNTIFS(EntryDates,$B432,CalcTime,$C432,CalcBank,$C$5,EntryParty,$D432,EntryDep,$H432,EntryWit,$I432)&gt;1,"تکرار",""))</f>
        <v/>
      </c>
      <c r="N432" s="28">
        <f>IF($P432="","",IF(INDEX(EntryNotes,$P432)=0,"",INDEX(EntryNotes,$P432)))</f>
        <v/>
      </c>
      <c r="O432" s="28">
        <f>IF($P432="","",IF(INDEX(EntryTxnID,$P432)=0,"",INDEX(EntryTxnID,$P432)))</f>
        <v/>
      </c>
      <c r="P432" s="28">
        <f>IFERROR(MATCH($C$5&amp;"|"&amp;RIGHT("000000"&amp;416,6),CalcRankKey,0),"")</f>
        <v/>
      </c>
    </row>
    <row r="433">
      <c r="A433" s="26">
        <f>IF($B433="","",417)</f>
        <v/>
      </c>
      <c r="B433" s="26">
        <f>IF($P433="","",IF(INDEX(CalcNormDate,$P433)=0,"",INDEX(CalcNormDate,$P433)))</f>
        <v/>
      </c>
      <c r="C433" s="26">
        <f>IF($P433="","",IF(INDEX(CalcTime,$P433)=0,"",INDEX(CalcTime,$P433)))</f>
        <v/>
      </c>
      <c r="D433" s="26">
        <f>IF($P433="","",IF(INDEX(EntryParty,$P433)=0,"",INDEX(EntryParty,$P433)))</f>
        <v/>
      </c>
      <c r="E433" s="26">
        <f>IF($P433="","",IF(INDEX(EntryPartyName,$P433)=0,"",INDEX(EntryPartyName,$P433)))</f>
        <v/>
      </c>
      <c r="F433" s="26">
        <f>IF($P433="","",IF(INDEX(EntryPartyType,$P433)=0,"",INDEX(EntryPartyType,$P433)))</f>
        <v/>
      </c>
      <c r="G433" s="26">
        <f>IF($P433="","",IF(INDEX(EntryTxnType,$P433)=0,"",INDEX(EntryTxnType,$P433)))</f>
        <v/>
      </c>
      <c r="H433" s="27">
        <f>IF($P433="","",IF(INDEX(EntryDep,$P433)=0,"",INDEX(EntryDep,$P433)))</f>
        <v/>
      </c>
      <c r="I433" s="27">
        <f>IF($P433="","",IF(INDEX(EntryWit,$P433)=0,"",INDEX(EntryWit,$P433)))</f>
        <v/>
      </c>
      <c r="J433" s="27">
        <f>IF($B433="","",IF($A433=1,$C$7,IF(J432="",0,J432))+IF($H433="",0,$H433)-IF($I433="",0,$I433))</f>
        <v/>
      </c>
      <c r="K433" s="27">
        <f>IF($P433="","",IF(INDEX(EntryMan,$P433)=0,"",INDEX(EntryMan,$P433)))</f>
        <v/>
      </c>
      <c r="L433" s="26">
        <f>IF($B433="","",IF($K433="","—",IF(ROUND($K433-$J433,0)=0,"√","×")))</f>
        <v/>
      </c>
      <c r="M433" s="26">
        <f>IF($B433="","",IF(COUNTIFS(EntryDates,$B433,CalcTime,$C433,CalcBank,$C$5,EntryParty,$D433,EntryDep,$H433,EntryWit,$I433)&gt;1,"تکرار",""))</f>
        <v/>
      </c>
      <c r="N433" s="26">
        <f>IF($P433="","",IF(INDEX(EntryNotes,$P433)=0,"",INDEX(EntryNotes,$P433)))</f>
        <v/>
      </c>
      <c r="O433" s="26">
        <f>IF($P433="","",IF(INDEX(EntryTxnID,$P433)=0,"",INDEX(EntryTxnID,$P433)))</f>
        <v/>
      </c>
      <c r="P433" s="26">
        <f>IFERROR(MATCH($C$5&amp;"|"&amp;RIGHT("000000"&amp;417,6),CalcRankKey,0),"")</f>
        <v/>
      </c>
    </row>
    <row r="434">
      <c r="A434" s="28">
        <f>IF($B434="","",418)</f>
        <v/>
      </c>
      <c r="B434" s="28">
        <f>IF($P434="","",IF(INDEX(CalcNormDate,$P434)=0,"",INDEX(CalcNormDate,$P434)))</f>
        <v/>
      </c>
      <c r="C434" s="28">
        <f>IF($P434="","",IF(INDEX(CalcTime,$P434)=0,"",INDEX(CalcTime,$P434)))</f>
        <v/>
      </c>
      <c r="D434" s="28">
        <f>IF($P434="","",IF(INDEX(EntryParty,$P434)=0,"",INDEX(EntryParty,$P434)))</f>
        <v/>
      </c>
      <c r="E434" s="28">
        <f>IF($P434="","",IF(INDEX(EntryPartyName,$P434)=0,"",INDEX(EntryPartyName,$P434)))</f>
        <v/>
      </c>
      <c r="F434" s="28">
        <f>IF($P434="","",IF(INDEX(EntryPartyType,$P434)=0,"",INDEX(EntryPartyType,$P434)))</f>
        <v/>
      </c>
      <c r="G434" s="28">
        <f>IF($P434="","",IF(INDEX(EntryTxnType,$P434)=0,"",INDEX(EntryTxnType,$P434)))</f>
        <v/>
      </c>
      <c r="H434" s="29">
        <f>IF($P434="","",IF(INDEX(EntryDep,$P434)=0,"",INDEX(EntryDep,$P434)))</f>
        <v/>
      </c>
      <c r="I434" s="29">
        <f>IF($P434="","",IF(INDEX(EntryWit,$P434)=0,"",INDEX(EntryWit,$P434)))</f>
        <v/>
      </c>
      <c r="J434" s="29">
        <f>IF($B434="","",IF($A434=1,$C$7,IF(J433="",0,J433))+IF($H434="",0,$H434)-IF($I434="",0,$I434))</f>
        <v/>
      </c>
      <c r="K434" s="29">
        <f>IF($P434="","",IF(INDEX(EntryMan,$P434)=0,"",INDEX(EntryMan,$P434)))</f>
        <v/>
      </c>
      <c r="L434" s="28">
        <f>IF($B434="","",IF($K434="","—",IF(ROUND($K434-$J434,0)=0,"√","×")))</f>
        <v/>
      </c>
      <c r="M434" s="28">
        <f>IF($B434="","",IF(COUNTIFS(EntryDates,$B434,CalcTime,$C434,CalcBank,$C$5,EntryParty,$D434,EntryDep,$H434,EntryWit,$I434)&gt;1,"تکرار",""))</f>
        <v/>
      </c>
      <c r="N434" s="28">
        <f>IF($P434="","",IF(INDEX(EntryNotes,$P434)=0,"",INDEX(EntryNotes,$P434)))</f>
        <v/>
      </c>
      <c r="O434" s="28">
        <f>IF($P434="","",IF(INDEX(EntryTxnID,$P434)=0,"",INDEX(EntryTxnID,$P434)))</f>
        <v/>
      </c>
      <c r="P434" s="28">
        <f>IFERROR(MATCH($C$5&amp;"|"&amp;RIGHT("000000"&amp;418,6),CalcRankKey,0),"")</f>
        <v/>
      </c>
    </row>
    <row r="435">
      <c r="A435" s="26">
        <f>IF($B435="","",419)</f>
        <v/>
      </c>
      <c r="B435" s="26">
        <f>IF($P435="","",IF(INDEX(CalcNormDate,$P435)=0,"",INDEX(CalcNormDate,$P435)))</f>
        <v/>
      </c>
      <c r="C435" s="26">
        <f>IF($P435="","",IF(INDEX(CalcTime,$P435)=0,"",INDEX(CalcTime,$P435)))</f>
        <v/>
      </c>
      <c r="D435" s="26">
        <f>IF($P435="","",IF(INDEX(EntryParty,$P435)=0,"",INDEX(EntryParty,$P435)))</f>
        <v/>
      </c>
      <c r="E435" s="26">
        <f>IF($P435="","",IF(INDEX(EntryPartyName,$P435)=0,"",INDEX(EntryPartyName,$P435)))</f>
        <v/>
      </c>
      <c r="F435" s="26">
        <f>IF($P435="","",IF(INDEX(EntryPartyType,$P435)=0,"",INDEX(EntryPartyType,$P435)))</f>
        <v/>
      </c>
      <c r="G435" s="26">
        <f>IF($P435="","",IF(INDEX(EntryTxnType,$P435)=0,"",INDEX(EntryTxnType,$P435)))</f>
        <v/>
      </c>
      <c r="H435" s="27">
        <f>IF($P435="","",IF(INDEX(EntryDep,$P435)=0,"",INDEX(EntryDep,$P435)))</f>
        <v/>
      </c>
      <c r="I435" s="27">
        <f>IF($P435="","",IF(INDEX(EntryWit,$P435)=0,"",INDEX(EntryWit,$P435)))</f>
        <v/>
      </c>
      <c r="J435" s="27">
        <f>IF($B435="","",IF($A435=1,$C$7,IF(J434="",0,J434))+IF($H435="",0,$H435)-IF($I435="",0,$I435))</f>
        <v/>
      </c>
      <c r="K435" s="27">
        <f>IF($P435="","",IF(INDEX(EntryMan,$P435)=0,"",INDEX(EntryMan,$P435)))</f>
        <v/>
      </c>
      <c r="L435" s="26">
        <f>IF($B435="","",IF($K435="","—",IF(ROUND($K435-$J435,0)=0,"√","×")))</f>
        <v/>
      </c>
      <c r="M435" s="26">
        <f>IF($B435="","",IF(COUNTIFS(EntryDates,$B435,CalcTime,$C435,CalcBank,$C$5,EntryParty,$D435,EntryDep,$H435,EntryWit,$I435)&gt;1,"تکرار",""))</f>
        <v/>
      </c>
      <c r="N435" s="26">
        <f>IF($P435="","",IF(INDEX(EntryNotes,$P435)=0,"",INDEX(EntryNotes,$P435)))</f>
        <v/>
      </c>
      <c r="O435" s="26">
        <f>IF($P435="","",IF(INDEX(EntryTxnID,$P435)=0,"",INDEX(EntryTxnID,$P435)))</f>
        <v/>
      </c>
      <c r="P435" s="26">
        <f>IFERROR(MATCH($C$5&amp;"|"&amp;RIGHT("000000"&amp;419,6),CalcRankKey,0),"")</f>
        <v/>
      </c>
    </row>
    <row r="436">
      <c r="A436" s="28">
        <f>IF($B436="","",420)</f>
        <v/>
      </c>
      <c r="B436" s="28">
        <f>IF($P436="","",IF(INDEX(CalcNormDate,$P436)=0,"",INDEX(CalcNormDate,$P436)))</f>
        <v/>
      </c>
      <c r="C436" s="28">
        <f>IF($P436="","",IF(INDEX(CalcTime,$P436)=0,"",INDEX(CalcTime,$P436)))</f>
        <v/>
      </c>
      <c r="D436" s="28">
        <f>IF($P436="","",IF(INDEX(EntryParty,$P436)=0,"",INDEX(EntryParty,$P436)))</f>
        <v/>
      </c>
      <c r="E436" s="28">
        <f>IF($P436="","",IF(INDEX(EntryPartyName,$P436)=0,"",INDEX(EntryPartyName,$P436)))</f>
        <v/>
      </c>
      <c r="F436" s="28">
        <f>IF($P436="","",IF(INDEX(EntryPartyType,$P436)=0,"",INDEX(EntryPartyType,$P436)))</f>
        <v/>
      </c>
      <c r="G436" s="28">
        <f>IF($P436="","",IF(INDEX(EntryTxnType,$P436)=0,"",INDEX(EntryTxnType,$P436)))</f>
        <v/>
      </c>
      <c r="H436" s="29">
        <f>IF($P436="","",IF(INDEX(EntryDep,$P436)=0,"",INDEX(EntryDep,$P436)))</f>
        <v/>
      </c>
      <c r="I436" s="29">
        <f>IF($P436="","",IF(INDEX(EntryWit,$P436)=0,"",INDEX(EntryWit,$P436)))</f>
        <v/>
      </c>
      <c r="J436" s="29">
        <f>IF($B436="","",IF($A436=1,$C$7,IF(J435="",0,J435))+IF($H436="",0,$H436)-IF($I436="",0,$I436))</f>
        <v/>
      </c>
      <c r="K436" s="29">
        <f>IF($P436="","",IF(INDEX(EntryMan,$P436)=0,"",INDEX(EntryMan,$P436)))</f>
        <v/>
      </c>
      <c r="L436" s="28">
        <f>IF($B436="","",IF($K436="","—",IF(ROUND($K436-$J436,0)=0,"√","×")))</f>
        <v/>
      </c>
      <c r="M436" s="28">
        <f>IF($B436="","",IF(COUNTIFS(EntryDates,$B436,CalcTime,$C436,CalcBank,$C$5,EntryParty,$D436,EntryDep,$H436,EntryWit,$I436)&gt;1,"تکرار",""))</f>
        <v/>
      </c>
      <c r="N436" s="28">
        <f>IF($P436="","",IF(INDEX(EntryNotes,$P436)=0,"",INDEX(EntryNotes,$P436)))</f>
        <v/>
      </c>
      <c r="O436" s="28">
        <f>IF($P436="","",IF(INDEX(EntryTxnID,$P436)=0,"",INDEX(EntryTxnID,$P436)))</f>
        <v/>
      </c>
      <c r="P436" s="28">
        <f>IFERROR(MATCH($C$5&amp;"|"&amp;RIGHT("000000"&amp;420,6),CalcRankKey,0),"")</f>
        <v/>
      </c>
    </row>
    <row r="437">
      <c r="A437" s="26">
        <f>IF($B437="","",421)</f>
        <v/>
      </c>
      <c r="B437" s="26">
        <f>IF($P437="","",IF(INDEX(CalcNormDate,$P437)=0,"",INDEX(CalcNormDate,$P437)))</f>
        <v/>
      </c>
      <c r="C437" s="26">
        <f>IF($P437="","",IF(INDEX(CalcTime,$P437)=0,"",INDEX(CalcTime,$P437)))</f>
        <v/>
      </c>
      <c r="D437" s="26">
        <f>IF($P437="","",IF(INDEX(EntryParty,$P437)=0,"",INDEX(EntryParty,$P437)))</f>
        <v/>
      </c>
      <c r="E437" s="26">
        <f>IF($P437="","",IF(INDEX(EntryPartyName,$P437)=0,"",INDEX(EntryPartyName,$P437)))</f>
        <v/>
      </c>
      <c r="F437" s="26">
        <f>IF($P437="","",IF(INDEX(EntryPartyType,$P437)=0,"",INDEX(EntryPartyType,$P437)))</f>
        <v/>
      </c>
      <c r="G437" s="26">
        <f>IF($P437="","",IF(INDEX(EntryTxnType,$P437)=0,"",INDEX(EntryTxnType,$P437)))</f>
        <v/>
      </c>
      <c r="H437" s="27">
        <f>IF($P437="","",IF(INDEX(EntryDep,$P437)=0,"",INDEX(EntryDep,$P437)))</f>
        <v/>
      </c>
      <c r="I437" s="27">
        <f>IF($P437="","",IF(INDEX(EntryWit,$P437)=0,"",INDEX(EntryWit,$P437)))</f>
        <v/>
      </c>
      <c r="J437" s="27">
        <f>IF($B437="","",IF($A437=1,$C$7,IF(J436="",0,J436))+IF($H437="",0,$H437)-IF($I437="",0,$I437))</f>
        <v/>
      </c>
      <c r="K437" s="27">
        <f>IF($P437="","",IF(INDEX(EntryMan,$P437)=0,"",INDEX(EntryMan,$P437)))</f>
        <v/>
      </c>
      <c r="L437" s="26">
        <f>IF($B437="","",IF($K437="","—",IF(ROUND($K437-$J437,0)=0,"√","×")))</f>
        <v/>
      </c>
      <c r="M437" s="26">
        <f>IF($B437="","",IF(COUNTIFS(EntryDates,$B437,CalcTime,$C437,CalcBank,$C$5,EntryParty,$D437,EntryDep,$H437,EntryWit,$I437)&gt;1,"تکرار",""))</f>
        <v/>
      </c>
      <c r="N437" s="26">
        <f>IF($P437="","",IF(INDEX(EntryNotes,$P437)=0,"",INDEX(EntryNotes,$P437)))</f>
        <v/>
      </c>
      <c r="O437" s="26">
        <f>IF($P437="","",IF(INDEX(EntryTxnID,$P437)=0,"",INDEX(EntryTxnID,$P437)))</f>
        <v/>
      </c>
      <c r="P437" s="26">
        <f>IFERROR(MATCH($C$5&amp;"|"&amp;RIGHT("000000"&amp;421,6),CalcRankKey,0),"")</f>
        <v/>
      </c>
    </row>
    <row r="438">
      <c r="A438" s="28">
        <f>IF($B438="","",422)</f>
        <v/>
      </c>
      <c r="B438" s="28">
        <f>IF($P438="","",IF(INDEX(CalcNormDate,$P438)=0,"",INDEX(CalcNormDate,$P438)))</f>
        <v/>
      </c>
      <c r="C438" s="28">
        <f>IF($P438="","",IF(INDEX(CalcTime,$P438)=0,"",INDEX(CalcTime,$P438)))</f>
        <v/>
      </c>
      <c r="D438" s="28">
        <f>IF($P438="","",IF(INDEX(EntryParty,$P438)=0,"",INDEX(EntryParty,$P438)))</f>
        <v/>
      </c>
      <c r="E438" s="28">
        <f>IF($P438="","",IF(INDEX(EntryPartyName,$P438)=0,"",INDEX(EntryPartyName,$P438)))</f>
        <v/>
      </c>
      <c r="F438" s="28">
        <f>IF($P438="","",IF(INDEX(EntryPartyType,$P438)=0,"",INDEX(EntryPartyType,$P438)))</f>
        <v/>
      </c>
      <c r="G438" s="28">
        <f>IF($P438="","",IF(INDEX(EntryTxnType,$P438)=0,"",INDEX(EntryTxnType,$P438)))</f>
        <v/>
      </c>
      <c r="H438" s="29">
        <f>IF($P438="","",IF(INDEX(EntryDep,$P438)=0,"",INDEX(EntryDep,$P438)))</f>
        <v/>
      </c>
      <c r="I438" s="29">
        <f>IF($P438="","",IF(INDEX(EntryWit,$P438)=0,"",INDEX(EntryWit,$P438)))</f>
        <v/>
      </c>
      <c r="J438" s="29">
        <f>IF($B438="","",IF($A438=1,$C$7,IF(J437="",0,J437))+IF($H438="",0,$H438)-IF($I438="",0,$I438))</f>
        <v/>
      </c>
      <c r="K438" s="29">
        <f>IF($P438="","",IF(INDEX(EntryMan,$P438)=0,"",INDEX(EntryMan,$P438)))</f>
        <v/>
      </c>
      <c r="L438" s="28">
        <f>IF($B438="","",IF($K438="","—",IF(ROUND($K438-$J438,0)=0,"√","×")))</f>
        <v/>
      </c>
      <c r="M438" s="28">
        <f>IF($B438="","",IF(COUNTIFS(EntryDates,$B438,CalcTime,$C438,CalcBank,$C$5,EntryParty,$D438,EntryDep,$H438,EntryWit,$I438)&gt;1,"تکرار",""))</f>
        <v/>
      </c>
      <c r="N438" s="28">
        <f>IF($P438="","",IF(INDEX(EntryNotes,$P438)=0,"",INDEX(EntryNotes,$P438)))</f>
        <v/>
      </c>
      <c r="O438" s="28">
        <f>IF($P438="","",IF(INDEX(EntryTxnID,$P438)=0,"",INDEX(EntryTxnID,$P438)))</f>
        <v/>
      </c>
      <c r="P438" s="28">
        <f>IFERROR(MATCH($C$5&amp;"|"&amp;RIGHT("000000"&amp;422,6),CalcRankKey,0),"")</f>
        <v/>
      </c>
    </row>
    <row r="439">
      <c r="A439" s="26">
        <f>IF($B439="","",423)</f>
        <v/>
      </c>
      <c r="B439" s="26">
        <f>IF($P439="","",IF(INDEX(CalcNormDate,$P439)=0,"",INDEX(CalcNormDate,$P439)))</f>
        <v/>
      </c>
      <c r="C439" s="26">
        <f>IF($P439="","",IF(INDEX(CalcTime,$P439)=0,"",INDEX(CalcTime,$P439)))</f>
        <v/>
      </c>
      <c r="D439" s="26">
        <f>IF($P439="","",IF(INDEX(EntryParty,$P439)=0,"",INDEX(EntryParty,$P439)))</f>
        <v/>
      </c>
      <c r="E439" s="26">
        <f>IF($P439="","",IF(INDEX(EntryPartyName,$P439)=0,"",INDEX(EntryPartyName,$P439)))</f>
        <v/>
      </c>
      <c r="F439" s="26">
        <f>IF($P439="","",IF(INDEX(EntryPartyType,$P439)=0,"",INDEX(EntryPartyType,$P439)))</f>
        <v/>
      </c>
      <c r="G439" s="26">
        <f>IF($P439="","",IF(INDEX(EntryTxnType,$P439)=0,"",INDEX(EntryTxnType,$P439)))</f>
        <v/>
      </c>
      <c r="H439" s="27">
        <f>IF($P439="","",IF(INDEX(EntryDep,$P439)=0,"",INDEX(EntryDep,$P439)))</f>
        <v/>
      </c>
      <c r="I439" s="27">
        <f>IF($P439="","",IF(INDEX(EntryWit,$P439)=0,"",INDEX(EntryWit,$P439)))</f>
        <v/>
      </c>
      <c r="J439" s="27">
        <f>IF($B439="","",IF($A439=1,$C$7,IF(J438="",0,J438))+IF($H439="",0,$H439)-IF($I439="",0,$I439))</f>
        <v/>
      </c>
      <c r="K439" s="27">
        <f>IF($P439="","",IF(INDEX(EntryMan,$P439)=0,"",INDEX(EntryMan,$P439)))</f>
        <v/>
      </c>
      <c r="L439" s="26">
        <f>IF($B439="","",IF($K439="","—",IF(ROUND($K439-$J439,0)=0,"√","×")))</f>
        <v/>
      </c>
      <c r="M439" s="26">
        <f>IF($B439="","",IF(COUNTIFS(EntryDates,$B439,CalcTime,$C439,CalcBank,$C$5,EntryParty,$D439,EntryDep,$H439,EntryWit,$I439)&gt;1,"تکرار",""))</f>
        <v/>
      </c>
      <c r="N439" s="26">
        <f>IF($P439="","",IF(INDEX(EntryNotes,$P439)=0,"",INDEX(EntryNotes,$P439)))</f>
        <v/>
      </c>
      <c r="O439" s="26">
        <f>IF($P439="","",IF(INDEX(EntryTxnID,$P439)=0,"",INDEX(EntryTxnID,$P439)))</f>
        <v/>
      </c>
      <c r="P439" s="26">
        <f>IFERROR(MATCH($C$5&amp;"|"&amp;RIGHT("000000"&amp;423,6),CalcRankKey,0),"")</f>
        <v/>
      </c>
    </row>
    <row r="440">
      <c r="A440" s="28">
        <f>IF($B440="","",424)</f>
        <v/>
      </c>
      <c r="B440" s="28">
        <f>IF($P440="","",IF(INDEX(CalcNormDate,$P440)=0,"",INDEX(CalcNormDate,$P440)))</f>
        <v/>
      </c>
      <c r="C440" s="28">
        <f>IF($P440="","",IF(INDEX(CalcTime,$P440)=0,"",INDEX(CalcTime,$P440)))</f>
        <v/>
      </c>
      <c r="D440" s="28">
        <f>IF($P440="","",IF(INDEX(EntryParty,$P440)=0,"",INDEX(EntryParty,$P440)))</f>
        <v/>
      </c>
      <c r="E440" s="28">
        <f>IF($P440="","",IF(INDEX(EntryPartyName,$P440)=0,"",INDEX(EntryPartyName,$P440)))</f>
        <v/>
      </c>
      <c r="F440" s="28">
        <f>IF($P440="","",IF(INDEX(EntryPartyType,$P440)=0,"",INDEX(EntryPartyType,$P440)))</f>
        <v/>
      </c>
      <c r="G440" s="28">
        <f>IF($P440="","",IF(INDEX(EntryTxnType,$P440)=0,"",INDEX(EntryTxnType,$P440)))</f>
        <v/>
      </c>
      <c r="H440" s="29">
        <f>IF($P440="","",IF(INDEX(EntryDep,$P440)=0,"",INDEX(EntryDep,$P440)))</f>
        <v/>
      </c>
      <c r="I440" s="29">
        <f>IF($P440="","",IF(INDEX(EntryWit,$P440)=0,"",INDEX(EntryWit,$P440)))</f>
        <v/>
      </c>
      <c r="J440" s="29">
        <f>IF($B440="","",IF($A440=1,$C$7,IF(J439="",0,J439))+IF($H440="",0,$H440)-IF($I440="",0,$I440))</f>
        <v/>
      </c>
      <c r="K440" s="29">
        <f>IF($P440="","",IF(INDEX(EntryMan,$P440)=0,"",INDEX(EntryMan,$P440)))</f>
        <v/>
      </c>
      <c r="L440" s="28">
        <f>IF($B440="","",IF($K440="","—",IF(ROUND($K440-$J440,0)=0,"√","×")))</f>
        <v/>
      </c>
      <c r="M440" s="28">
        <f>IF($B440="","",IF(COUNTIFS(EntryDates,$B440,CalcTime,$C440,CalcBank,$C$5,EntryParty,$D440,EntryDep,$H440,EntryWit,$I440)&gt;1,"تکرار",""))</f>
        <v/>
      </c>
      <c r="N440" s="28">
        <f>IF($P440="","",IF(INDEX(EntryNotes,$P440)=0,"",INDEX(EntryNotes,$P440)))</f>
        <v/>
      </c>
      <c r="O440" s="28">
        <f>IF($P440="","",IF(INDEX(EntryTxnID,$P440)=0,"",INDEX(EntryTxnID,$P440)))</f>
        <v/>
      </c>
      <c r="P440" s="28">
        <f>IFERROR(MATCH($C$5&amp;"|"&amp;RIGHT("000000"&amp;424,6),CalcRankKey,0),"")</f>
        <v/>
      </c>
    </row>
    <row r="441">
      <c r="A441" s="26">
        <f>IF($B441="","",425)</f>
        <v/>
      </c>
      <c r="B441" s="26">
        <f>IF($P441="","",IF(INDEX(CalcNormDate,$P441)=0,"",INDEX(CalcNormDate,$P441)))</f>
        <v/>
      </c>
      <c r="C441" s="26">
        <f>IF($P441="","",IF(INDEX(CalcTime,$P441)=0,"",INDEX(CalcTime,$P441)))</f>
        <v/>
      </c>
      <c r="D441" s="26">
        <f>IF($P441="","",IF(INDEX(EntryParty,$P441)=0,"",INDEX(EntryParty,$P441)))</f>
        <v/>
      </c>
      <c r="E441" s="26">
        <f>IF($P441="","",IF(INDEX(EntryPartyName,$P441)=0,"",INDEX(EntryPartyName,$P441)))</f>
        <v/>
      </c>
      <c r="F441" s="26">
        <f>IF($P441="","",IF(INDEX(EntryPartyType,$P441)=0,"",INDEX(EntryPartyType,$P441)))</f>
        <v/>
      </c>
      <c r="G441" s="26">
        <f>IF($P441="","",IF(INDEX(EntryTxnType,$P441)=0,"",INDEX(EntryTxnType,$P441)))</f>
        <v/>
      </c>
      <c r="H441" s="27">
        <f>IF($P441="","",IF(INDEX(EntryDep,$P441)=0,"",INDEX(EntryDep,$P441)))</f>
        <v/>
      </c>
      <c r="I441" s="27">
        <f>IF($P441="","",IF(INDEX(EntryWit,$P441)=0,"",INDEX(EntryWit,$P441)))</f>
        <v/>
      </c>
      <c r="J441" s="27">
        <f>IF($B441="","",IF($A441=1,$C$7,IF(J440="",0,J440))+IF($H441="",0,$H441)-IF($I441="",0,$I441))</f>
        <v/>
      </c>
      <c r="K441" s="27">
        <f>IF($P441="","",IF(INDEX(EntryMan,$P441)=0,"",INDEX(EntryMan,$P441)))</f>
        <v/>
      </c>
      <c r="L441" s="26">
        <f>IF($B441="","",IF($K441="","—",IF(ROUND($K441-$J441,0)=0,"√","×")))</f>
        <v/>
      </c>
      <c r="M441" s="26">
        <f>IF($B441="","",IF(COUNTIFS(EntryDates,$B441,CalcTime,$C441,CalcBank,$C$5,EntryParty,$D441,EntryDep,$H441,EntryWit,$I441)&gt;1,"تکرار",""))</f>
        <v/>
      </c>
      <c r="N441" s="26">
        <f>IF($P441="","",IF(INDEX(EntryNotes,$P441)=0,"",INDEX(EntryNotes,$P441)))</f>
        <v/>
      </c>
      <c r="O441" s="26">
        <f>IF($P441="","",IF(INDEX(EntryTxnID,$P441)=0,"",INDEX(EntryTxnID,$P441)))</f>
        <v/>
      </c>
      <c r="P441" s="26">
        <f>IFERROR(MATCH($C$5&amp;"|"&amp;RIGHT("000000"&amp;425,6),CalcRankKey,0),"")</f>
        <v/>
      </c>
    </row>
    <row r="442">
      <c r="A442" s="28">
        <f>IF($B442="","",426)</f>
        <v/>
      </c>
      <c r="B442" s="28">
        <f>IF($P442="","",IF(INDEX(CalcNormDate,$P442)=0,"",INDEX(CalcNormDate,$P442)))</f>
        <v/>
      </c>
      <c r="C442" s="28">
        <f>IF($P442="","",IF(INDEX(CalcTime,$P442)=0,"",INDEX(CalcTime,$P442)))</f>
        <v/>
      </c>
      <c r="D442" s="28">
        <f>IF($P442="","",IF(INDEX(EntryParty,$P442)=0,"",INDEX(EntryParty,$P442)))</f>
        <v/>
      </c>
      <c r="E442" s="28">
        <f>IF($P442="","",IF(INDEX(EntryPartyName,$P442)=0,"",INDEX(EntryPartyName,$P442)))</f>
        <v/>
      </c>
      <c r="F442" s="28">
        <f>IF($P442="","",IF(INDEX(EntryPartyType,$P442)=0,"",INDEX(EntryPartyType,$P442)))</f>
        <v/>
      </c>
      <c r="G442" s="28">
        <f>IF($P442="","",IF(INDEX(EntryTxnType,$P442)=0,"",INDEX(EntryTxnType,$P442)))</f>
        <v/>
      </c>
      <c r="H442" s="29">
        <f>IF($P442="","",IF(INDEX(EntryDep,$P442)=0,"",INDEX(EntryDep,$P442)))</f>
        <v/>
      </c>
      <c r="I442" s="29">
        <f>IF($P442="","",IF(INDEX(EntryWit,$P442)=0,"",INDEX(EntryWit,$P442)))</f>
        <v/>
      </c>
      <c r="J442" s="29">
        <f>IF($B442="","",IF($A442=1,$C$7,IF(J441="",0,J441))+IF($H442="",0,$H442)-IF($I442="",0,$I442))</f>
        <v/>
      </c>
      <c r="K442" s="29">
        <f>IF($P442="","",IF(INDEX(EntryMan,$P442)=0,"",INDEX(EntryMan,$P442)))</f>
        <v/>
      </c>
      <c r="L442" s="28">
        <f>IF($B442="","",IF($K442="","—",IF(ROUND($K442-$J442,0)=0,"√","×")))</f>
        <v/>
      </c>
      <c r="M442" s="28">
        <f>IF($B442="","",IF(COUNTIFS(EntryDates,$B442,CalcTime,$C442,CalcBank,$C$5,EntryParty,$D442,EntryDep,$H442,EntryWit,$I442)&gt;1,"تکرار",""))</f>
        <v/>
      </c>
      <c r="N442" s="28">
        <f>IF($P442="","",IF(INDEX(EntryNotes,$P442)=0,"",INDEX(EntryNotes,$P442)))</f>
        <v/>
      </c>
      <c r="O442" s="28">
        <f>IF($P442="","",IF(INDEX(EntryTxnID,$P442)=0,"",INDEX(EntryTxnID,$P442)))</f>
        <v/>
      </c>
      <c r="P442" s="28">
        <f>IFERROR(MATCH($C$5&amp;"|"&amp;RIGHT("000000"&amp;426,6),CalcRankKey,0),"")</f>
        <v/>
      </c>
    </row>
    <row r="443">
      <c r="A443" s="26">
        <f>IF($B443="","",427)</f>
        <v/>
      </c>
      <c r="B443" s="26">
        <f>IF($P443="","",IF(INDEX(CalcNormDate,$P443)=0,"",INDEX(CalcNormDate,$P443)))</f>
        <v/>
      </c>
      <c r="C443" s="26">
        <f>IF($P443="","",IF(INDEX(CalcTime,$P443)=0,"",INDEX(CalcTime,$P443)))</f>
        <v/>
      </c>
      <c r="D443" s="26">
        <f>IF($P443="","",IF(INDEX(EntryParty,$P443)=0,"",INDEX(EntryParty,$P443)))</f>
        <v/>
      </c>
      <c r="E443" s="26">
        <f>IF($P443="","",IF(INDEX(EntryPartyName,$P443)=0,"",INDEX(EntryPartyName,$P443)))</f>
        <v/>
      </c>
      <c r="F443" s="26">
        <f>IF($P443="","",IF(INDEX(EntryPartyType,$P443)=0,"",INDEX(EntryPartyType,$P443)))</f>
        <v/>
      </c>
      <c r="G443" s="26">
        <f>IF($P443="","",IF(INDEX(EntryTxnType,$P443)=0,"",INDEX(EntryTxnType,$P443)))</f>
        <v/>
      </c>
      <c r="H443" s="27">
        <f>IF($P443="","",IF(INDEX(EntryDep,$P443)=0,"",INDEX(EntryDep,$P443)))</f>
        <v/>
      </c>
      <c r="I443" s="27">
        <f>IF($P443="","",IF(INDEX(EntryWit,$P443)=0,"",INDEX(EntryWit,$P443)))</f>
        <v/>
      </c>
      <c r="J443" s="27">
        <f>IF($B443="","",IF($A443=1,$C$7,IF(J442="",0,J442))+IF($H443="",0,$H443)-IF($I443="",0,$I443))</f>
        <v/>
      </c>
      <c r="K443" s="27">
        <f>IF($P443="","",IF(INDEX(EntryMan,$P443)=0,"",INDEX(EntryMan,$P443)))</f>
        <v/>
      </c>
      <c r="L443" s="26">
        <f>IF($B443="","",IF($K443="","—",IF(ROUND($K443-$J443,0)=0,"√","×")))</f>
        <v/>
      </c>
      <c r="M443" s="26">
        <f>IF($B443="","",IF(COUNTIFS(EntryDates,$B443,CalcTime,$C443,CalcBank,$C$5,EntryParty,$D443,EntryDep,$H443,EntryWit,$I443)&gt;1,"تکرار",""))</f>
        <v/>
      </c>
      <c r="N443" s="26">
        <f>IF($P443="","",IF(INDEX(EntryNotes,$P443)=0,"",INDEX(EntryNotes,$P443)))</f>
        <v/>
      </c>
      <c r="O443" s="26">
        <f>IF($P443="","",IF(INDEX(EntryTxnID,$P443)=0,"",INDEX(EntryTxnID,$P443)))</f>
        <v/>
      </c>
      <c r="P443" s="26">
        <f>IFERROR(MATCH($C$5&amp;"|"&amp;RIGHT("000000"&amp;427,6),CalcRankKey,0),"")</f>
        <v/>
      </c>
    </row>
    <row r="444">
      <c r="A444" s="28">
        <f>IF($B444="","",428)</f>
        <v/>
      </c>
      <c r="B444" s="28">
        <f>IF($P444="","",IF(INDEX(CalcNormDate,$P444)=0,"",INDEX(CalcNormDate,$P444)))</f>
        <v/>
      </c>
      <c r="C444" s="28">
        <f>IF($P444="","",IF(INDEX(CalcTime,$P444)=0,"",INDEX(CalcTime,$P444)))</f>
        <v/>
      </c>
      <c r="D444" s="28">
        <f>IF($P444="","",IF(INDEX(EntryParty,$P444)=0,"",INDEX(EntryParty,$P444)))</f>
        <v/>
      </c>
      <c r="E444" s="28">
        <f>IF($P444="","",IF(INDEX(EntryPartyName,$P444)=0,"",INDEX(EntryPartyName,$P444)))</f>
        <v/>
      </c>
      <c r="F444" s="28">
        <f>IF($P444="","",IF(INDEX(EntryPartyType,$P444)=0,"",INDEX(EntryPartyType,$P444)))</f>
        <v/>
      </c>
      <c r="G444" s="28">
        <f>IF($P444="","",IF(INDEX(EntryTxnType,$P444)=0,"",INDEX(EntryTxnType,$P444)))</f>
        <v/>
      </c>
      <c r="H444" s="29">
        <f>IF($P444="","",IF(INDEX(EntryDep,$P444)=0,"",INDEX(EntryDep,$P444)))</f>
        <v/>
      </c>
      <c r="I444" s="29">
        <f>IF($P444="","",IF(INDEX(EntryWit,$P444)=0,"",INDEX(EntryWit,$P444)))</f>
        <v/>
      </c>
      <c r="J444" s="29">
        <f>IF($B444="","",IF($A444=1,$C$7,IF(J443="",0,J443))+IF($H444="",0,$H444)-IF($I444="",0,$I444))</f>
        <v/>
      </c>
      <c r="K444" s="29">
        <f>IF($P444="","",IF(INDEX(EntryMan,$P444)=0,"",INDEX(EntryMan,$P444)))</f>
        <v/>
      </c>
      <c r="L444" s="28">
        <f>IF($B444="","",IF($K444="","—",IF(ROUND($K444-$J444,0)=0,"√","×")))</f>
        <v/>
      </c>
      <c r="M444" s="28">
        <f>IF($B444="","",IF(COUNTIFS(EntryDates,$B444,CalcTime,$C444,CalcBank,$C$5,EntryParty,$D444,EntryDep,$H444,EntryWit,$I444)&gt;1,"تکرار",""))</f>
        <v/>
      </c>
      <c r="N444" s="28">
        <f>IF($P444="","",IF(INDEX(EntryNotes,$P444)=0,"",INDEX(EntryNotes,$P444)))</f>
        <v/>
      </c>
      <c r="O444" s="28">
        <f>IF($P444="","",IF(INDEX(EntryTxnID,$P444)=0,"",INDEX(EntryTxnID,$P444)))</f>
        <v/>
      </c>
      <c r="P444" s="28">
        <f>IFERROR(MATCH($C$5&amp;"|"&amp;RIGHT("000000"&amp;428,6),CalcRankKey,0),"")</f>
        <v/>
      </c>
    </row>
    <row r="445">
      <c r="A445" s="26">
        <f>IF($B445="","",429)</f>
        <v/>
      </c>
      <c r="B445" s="26">
        <f>IF($P445="","",IF(INDEX(CalcNormDate,$P445)=0,"",INDEX(CalcNormDate,$P445)))</f>
        <v/>
      </c>
      <c r="C445" s="26">
        <f>IF($P445="","",IF(INDEX(CalcTime,$P445)=0,"",INDEX(CalcTime,$P445)))</f>
        <v/>
      </c>
      <c r="D445" s="26">
        <f>IF($P445="","",IF(INDEX(EntryParty,$P445)=0,"",INDEX(EntryParty,$P445)))</f>
        <v/>
      </c>
      <c r="E445" s="26">
        <f>IF($P445="","",IF(INDEX(EntryPartyName,$P445)=0,"",INDEX(EntryPartyName,$P445)))</f>
        <v/>
      </c>
      <c r="F445" s="26">
        <f>IF($P445="","",IF(INDEX(EntryPartyType,$P445)=0,"",INDEX(EntryPartyType,$P445)))</f>
        <v/>
      </c>
      <c r="G445" s="26">
        <f>IF($P445="","",IF(INDEX(EntryTxnType,$P445)=0,"",INDEX(EntryTxnType,$P445)))</f>
        <v/>
      </c>
      <c r="H445" s="27">
        <f>IF($P445="","",IF(INDEX(EntryDep,$P445)=0,"",INDEX(EntryDep,$P445)))</f>
        <v/>
      </c>
      <c r="I445" s="27">
        <f>IF($P445="","",IF(INDEX(EntryWit,$P445)=0,"",INDEX(EntryWit,$P445)))</f>
        <v/>
      </c>
      <c r="J445" s="27">
        <f>IF($B445="","",IF($A445=1,$C$7,IF(J444="",0,J444))+IF($H445="",0,$H445)-IF($I445="",0,$I445))</f>
        <v/>
      </c>
      <c r="K445" s="27">
        <f>IF($P445="","",IF(INDEX(EntryMan,$P445)=0,"",INDEX(EntryMan,$P445)))</f>
        <v/>
      </c>
      <c r="L445" s="26">
        <f>IF($B445="","",IF($K445="","—",IF(ROUND($K445-$J445,0)=0,"√","×")))</f>
        <v/>
      </c>
      <c r="M445" s="26">
        <f>IF($B445="","",IF(COUNTIFS(EntryDates,$B445,CalcTime,$C445,CalcBank,$C$5,EntryParty,$D445,EntryDep,$H445,EntryWit,$I445)&gt;1,"تکرار",""))</f>
        <v/>
      </c>
      <c r="N445" s="26">
        <f>IF($P445="","",IF(INDEX(EntryNotes,$P445)=0,"",INDEX(EntryNotes,$P445)))</f>
        <v/>
      </c>
      <c r="O445" s="26">
        <f>IF($P445="","",IF(INDEX(EntryTxnID,$P445)=0,"",INDEX(EntryTxnID,$P445)))</f>
        <v/>
      </c>
      <c r="P445" s="26">
        <f>IFERROR(MATCH($C$5&amp;"|"&amp;RIGHT("000000"&amp;429,6),CalcRankKey,0),"")</f>
        <v/>
      </c>
    </row>
    <row r="446">
      <c r="A446" s="28">
        <f>IF($B446="","",430)</f>
        <v/>
      </c>
      <c r="B446" s="28">
        <f>IF($P446="","",IF(INDEX(CalcNormDate,$P446)=0,"",INDEX(CalcNormDate,$P446)))</f>
        <v/>
      </c>
      <c r="C446" s="28">
        <f>IF($P446="","",IF(INDEX(CalcTime,$P446)=0,"",INDEX(CalcTime,$P446)))</f>
        <v/>
      </c>
      <c r="D446" s="28">
        <f>IF($P446="","",IF(INDEX(EntryParty,$P446)=0,"",INDEX(EntryParty,$P446)))</f>
        <v/>
      </c>
      <c r="E446" s="28">
        <f>IF($P446="","",IF(INDEX(EntryPartyName,$P446)=0,"",INDEX(EntryPartyName,$P446)))</f>
        <v/>
      </c>
      <c r="F446" s="28">
        <f>IF($P446="","",IF(INDEX(EntryPartyType,$P446)=0,"",INDEX(EntryPartyType,$P446)))</f>
        <v/>
      </c>
      <c r="G446" s="28">
        <f>IF($P446="","",IF(INDEX(EntryTxnType,$P446)=0,"",INDEX(EntryTxnType,$P446)))</f>
        <v/>
      </c>
      <c r="H446" s="29">
        <f>IF($P446="","",IF(INDEX(EntryDep,$P446)=0,"",INDEX(EntryDep,$P446)))</f>
        <v/>
      </c>
      <c r="I446" s="29">
        <f>IF($P446="","",IF(INDEX(EntryWit,$P446)=0,"",INDEX(EntryWit,$P446)))</f>
        <v/>
      </c>
      <c r="J446" s="29">
        <f>IF($B446="","",IF($A446=1,$C$7,IF(J445="",0,J445))+IF($H446="",0,$H446)-IF($I446="",0,$I446))</f>
        <v/>
      </c>
      <c r="K446" s="29">
        <f>IF($P446="","",IF(INDEX(EntryMan,$P446)=0,"",INDEX(EntryMan,$P446)))</f>
        <v/>
      </c>
      <c r="L446" s="28">
        <f>IF($B446="","",IF($K446="","—",IF(ROUND($K446-$J446,0)=0,"√","×")))</f>
        <v/>
      </c>
      <c r="M446" s="28">
        <f>IF($B446="","",IF(COUNTIFS(EntryDates,$B446,CalcTime,$C446,CalcBank,$C$5,EntryParty,$D446,EntryDep,$H446,EntryWit,$I446)&gt;1,"تکرار",""))</f>
        <v/>
      </c>
      <c r="N446" s="28">
        <f>IF($P446="","",IF(INDEX(EntryNotes,$P446)=0,"",INDEX(EntryNotes,$P446)))</f>
        <v/>
      </c>
      <c r="O446" s="28">
        <f>IF($P446="","",IF(INDEX(EntryTxnID,$P446)=0,"",INDEX(EntryTxnID,$P446)))</f>
        <v/>
      </c>
      <c r="P446" s="28">
        <f>IFERROR(MATCH($C$5&amp;"|"&amp;RIGHT("000000"&amp;430,6),CalcRankKey,0),"")</f>
        <v/>
      </c>
    </row>
    <row r="447">
      <c r="A447" s="26">
        <f>IF($B447="","",431)</f>
        <v/>
      </c>
      <c r="B447" s="26">
        <f>IF($P447="","",IF(INDEX(CalcNormDate,$P447)=0,"",INDEX(CalcNormDate,$P447)))</f>
        <v/>
      </c>
      <c r="C447" s="26">
        <f>IF($P447="","",IF(INDEX(CalcTime,$P447)=0,"",INDEX(CalcTime,$P447)))</f>
        <v/>
      </c>
      <c r="D447" s="26">
        <f>IF($P447="","",IF(INDEX(EntryParty,$P447)=0,"",INDEX(EntryParty,$P447)))</f>
        <v/>
      </c>
      <c r="E447" s="26">
        <f>IF($P447="","",IF(INDEX(EntryPartyName,$P447)=0,"",INDEX(EntryPartyName,$P447)))</f>
        <v/>
      </c>
      <c r="F447" s="26">
        <f>IF($P447="","",IF(INDEX(EntryPartyType,$P447)=0,"",INDEX(EntryPartyType,$P447)))</f>
        <v/>
      </c>
      <c r="G447" s="26">
        <f>IF($P447="","",IF(INDEX(EntryTxnType,$P447)=0,"",INDEX(EntryTxnType,$P447)))</f>
        <v/>
      </c>
      <c r="H447" s="27">
        <f>IF($P447="","",IF(INDEX(EntryDep,$P447)=0,"",INDEX(EntryDep,$P447)))</f>
        <v/>
      </c>
      <c r="I447" s="27">
        <f>IF($P447="","",IF(INDEX(EntryWit,$P447)=0,"",INDEX(EntryWit,$P447)))</f>
        <v/>
      </c>
      <c r="J447" s="27">
        <f>IF($B447="","",IF($A447=1,$C$7,IF(J446="",0,J446))+IF($H447="",0,$H447)-IF($I447="",0,$I447))</f>
        <v/>
      </c>
      <c r="K447" s="27">
        <f>IF($P447="","",IF(INDEX(EntryMan,$P447)=0,"",INDEX(EntryMan,$P447)))</f>
        <v/>
      </c>
      <c r="L447" s="26">
        <f>IF($B447="","",IF($K447="","—",IF(ROUND($K447-$J447,0)=0,"√","×")))</f>
        <v/>
      </c>
      <c r="M447" s="26">
        <f>IF($B447="","",IF(COUNTIFS(EntryDates,$B447,CalcTime,$C447,CalcBank,$C$5,EntryParty,$D447,EntryDep,$H447,EntryWit,$I447)&gt;1,"تکرار",""))</f>
        <v/>
      </c>
      <c r="N447" s="26">
        <f>IF($P447="","",IF(INDEX(EntryNotes,$P447)=0,"",INDEX(EntryNotes,$P447)))</f>
        <v/>
      </c>
      <c r="O447" s="26">
        <f>IF($P447="","",IF(INDEX(EntryTxnID,$P447)=0,"",INDEX(EntryTxnID,$P447)))</f>
        <v/>
      </c>
      <c r="P447" s="26">
        <f>IFERROR(MATCH($C$5&amp;"|"&amp;RIGHT("000000"&amp;431,6),CalcRankKey,0),"")</f>
        <v/>
      </c>
    </row>
    <row r="448">
      <c r="A448" s="28">
        <f>IF($B448="","",432)</f>
        <v/>
      </c>
      <c r="B448" s="28">
        <f>IF($P448="","",IF(INDEX(CalcNormDate,$P448)=0,"",INDEX(CalcNormDate,$P448)))</f>
        <v/>
      </c>
      <c r="C448" s="28">
        <f>IF($P448="","",IF(INDEX(CalcTime,$P448)=0,"",INDEX(CalcTime,$P448)))</f>
        <v/>
      </c>
      <c r="D448" s="28">
        <f>IF($P448="","",IF(INDEX(EntryParty,$P448)=0,"",INDEX(EntryParty,$P448)))</f>
        <v/>
      </c>
      <c r="E448" s="28">
        <f>IF($P448="","",IF(INDEX(EntryPartyName,$P448)=0,"",INDEX(EntryPartyName,$P448)))</f>
        <v/>
      </c>
      <c r="F448" s="28">
        <f>IF($P448="","",IF(INDEX(EntryPartyType,$P448)=0,"",INDEX(EntryPartyType,$P448)))</f>
        <v/>
      </c>
      <c r="G448" s="28">
        <f>IF($P448="","",IF(INDEX(EntryTxnType,$P448)=0,"",INDEX(EntryTxnType,$P448)))</f>
        <v/>
      </c>
      <c r="H448" s="29">
        <f>IF($P448="","",IF(INDEX(EntryDep,$P448)=0,"",INDEX(EntryDep,$P448)))</f>
        <v/>
      </c>
      <c r="I448" s="29">
        <f>IF($P448="","",IF(INDEX(EntryWit,$P448)=0,"",INDEX(EntryWit,$P448)))</f>
        <v/>
      </c>
      <c r="J448" s="29">
        <f>IF($B448="","",IF($A448=1,$C$7,IF(J447="",0,J447))+IF($H448="",0,$H448)-IF($I448="",0,$I448))</f>
        <v/>
      </c>
      <c r="K448" s="29">
        <f>IF($P448="","",IF(INDEX(EntryMan,$P448)=0,"",INDEX(EntryMan,$P448)))</f>
        <v/>
      </c>
      <c r="L448" s="28">
        <f>IF($B448="","",IF($K448="","—",IF(ROUND($K448-$J448,0)=0,"√","×")))</f>
        <v/>
      </c>
      <c r="M448" s="28">
        <f>IF($B448="","",IF(COUNTIFS(EntryDates,$B448,CalcTime,$C448,CalcBank,$C$5,EntryParty,$D448,EntryDep,$H448,EntryWit,$I448)&gt;1,"تکرار",""))</f>
        <v/>
      </c>
      <c r="N448" s="28">
        <f>IF($P448="","",IF(INDEX(EntryNotes,$P448)=0,"",INDEX(EntryNotes,$P448)))</f>
        <v/>
      </c>
      <c r="O448" s="28">
        <f>IF($P448="","",IF(INDEX(EntryTxnID,$P448)=0,"",INDEX(EntryTxnID,$P448)))</f>
        <v/>
      </c>
      <c r="P448" s="28">
        <f>IFERROR(MATCH($C$5&amp;"|"&amp;RIGHT("000000"&amp;432,6),CalcRankKey,0),"")</f>
        <v/>
      </c>
    </row>
    <row r="449">
      <c r="A449" s="26">
        <f>IF($B449="","",433)</f>
        <v/>
      </c>
      <c r="B449" s="26">
        <f>IF($P449="","",IF(INDEX(CalcNormDate,$P449)=0,"",INDEX(CalcNormDate,$P449)))</f>
        <v/>
      </c>
      <c r="C449" s="26">
        <f>IF($P449="","",IF(INDEX(CalcTime,$P449)=0,"",INDEX(CalcTime,$P449)))</f>
        <v/>
      </c>
      <c r="D449" s="26">
        <f>IF($P449="","",IF(INDEX(EntryParty,$P449)=0,"",INDEX(EntryParty,$P449)))</f>
        <v/>
      </c>
      <c r="E449" s="26">
        <f>IF($P449="","",IF(INDEX(EntryPartyName,$P449)=0,"",INDEX(EntryPartyName,$P449)))</f>
        <v/>
      </c>
      <c r="F449" s="26">
        <f>IF($P449="","",IF(INDEX(EntryPartyType,$P449)=0,"",INDEX(EntryPartyType,$P449)))</f>
        <v/>
      </c>
      <c r="G449" s="26">
        <f>IF($P449="","",IF(INDEX(EntryTxnType,$P449)=0,"",INDEX(EntryTxnType,$P449)))</f>
        <v/>
      </c>
      <c r="H449" s="27">
        <f>IF($P449="","",IF(INDEX(EntryDep,$P449)=0,"",INDEX(EntryDep,$P449)))</f>
        <v/>
      </c>
      <c r="I449" s="27">
        <f>IF($P449="","",IF(INDEX(EntryWit,$P449)=0,"",INDEX(EntryWit,$P449)))</f>
        <v/>
      </c>
      <c r="J449" s="27">
        <f>IF($B449="","",IF($A449=1,$C$7,IF(J448="",0,J448))+IF($H449="",0,$H449)-IF($I449="",0,$I449))</f>
        <v/>
      </c>
      <c r="K449" s="27">
        <f>IF($P449="","",IF(INDEX(EntryMan,$P449)=0,"",INDEX(EntryMan,$P449)))</f>
        <v/>
      </c>
      <c r="L449" s="26">
        <f>IF($B449="","",IF($K449="","—",IF(ROUND($K449-$J449,0)=0,"√","×")))</f>
        <v/>
      </c>
      <c r="M449" s="26">
        <f>IF($B449="","",IF(COUNTIFS(EntryDates,$B449,CalcTime,$C449,CalcBank,$C$5,EntryParty,$D449,EntryDep,$H449,EntryWit,$I449)&gt;1,"تکرار",""))</f>
        <v/>
      </c>
      <c r="N449" s="26">
        <f>IF($P449="","",IF(INDEX(EntryNotes,$P449)=0,"",INDEX(EntryNotes,$P449)))</f>
        <v/>
      </c>
      <c r="O449" s="26">
        <f>IF($P449="","",IF(INDEX(EntryTxnID,$P449)=0,"",INDEX(EntryTxnID,$P449)))</f>
        <v/>
      </c>
      <c r="P449" s="26">
        <f>IFERROR(MATCH($C$5&amp;"|"&amp;RIGHT("000000"&amp;433,6),CalcRankKey,0),"")</f>
        <v/>
      </c>
    </row>
    <row r="450">
      <c r="A450" s="28">
        <f>IF($B450="","",434)</f>
        <v/>
      </c>
      <c r="B450" s="28">
        <f>IF($P450="","",IF(INDEX(CalcNormDate,$P450)=0,"",INDEX(CalcNormDate,$P450)))</f>
        <v/>
      </c>
      <c r="C450" s="28">
        <f>IF($P450="","",IF(INDEX(CalcTime,$P450)=0,"",INDEX(CalcTime,$P450)))</f>
        <v/>
      </c>
      <c r="D450" s="28">
        <f>IF($P450="","",IF(INDEX(EntryParty,$P450)=0,"",INDEX(EntryParty,$P450)))</f>
        <v/>
      </c>
      <c r="E450" s="28">
        <f>IF($P450="","",IF(INDEX(EntryPartyName,$P450)=0,"",INDEX(EntryPartyName,$P450)))</f>
        <v/>
      </c>
      <c r="F450" s="28">
        <f>IF($P450="","",IF(INDEX(EntryPartyType,$P450)=0,"",INDEX(EntryPartyType,$P450)))</f>
        <v/>
      </c>
      <c r="G450" s="28">
        <f>IF($P450="","",IF(INDEX(EntryTxnType,$P450)=0,"",INDEX(EntryTxnType,$P450)))</f>
        <v/>
      </c>
      <c r="H450" s="29">
        <f>IF($P450="","",IF(INDEX(EntryDep,$P450)=0,"",INDEX(EntryDep,$P450)))</f>
        <v/>
      </c>
      <c r="I450" s="29">
        <f>IF($P450="","",IF(INDEX(EntryWit,$P450)=0,"",INDEX(EntryWit,$P450)))</f>
        <v/>
      </c>
      <c r="J450" s="29">
        <f>IF($B450="","",IF($A450=1,$C$7,IF(J449="",0,J449))+IF($H450="",0,$H450)-IF($I450="",0,$I450))</f>
        <v/>
      </c>
      <c r="K450" s="29">
        <f>IF($P450="","",IF(INDEX(EntryMan,$P450)=0,"",INDEX(EntryMan,$P450)))</f>
        <v/>
      </c>
      <c r="L450" s="28">
        <f>IF($B450="","",IF($K450="","—",IF(ROUND($K450-$J450,0)=0,"√","×")))</f>
        <v/>
      </c>
      <c r="M450" s="28">
        <f>IF($B450="","",IF(COUNTIFS(EntryDates,$B450,CalcTime,$C450,CalcBank,$C$5,EntryParty,$D450,EntryDep,$H450,EntryWit,$I450)&gt;1,"تکرار",""))</f>
        <v/>
      </c>
      <c r="N450" s="28">
        <f>IF($P450="","",IF(INDEX(EntryNotes,$P450)=0,"",INDEX(EntryNotes,$P450)))</f>
        <v/>
      </c>
      <c r="O450" s="28">
        <f>IF($P450="","",IF(INDEX(EntryTxnID,$P450)=0,"",INDEX(EntryTxnID,$P450)))</f>
        <v/>
      </c>
      <c r="P450" s="28">
        <f>IFERROR(MATCH($C$5&amp;"|"&amp;RIGHT("000000"&amp;434,6),CalcRankKey,0),"")</f>
        <v/>
      </c>
    </row>
    <row r="451">
      <c r="A451" s="26">
        <f>IF($B451="","",435)</f>
        <v/>
      </c>
      <c r="B451" s="26">
        <f>IF($P451="","",IF(INDEX(CalcNormDate,$P451)=0,"",INDEX(CalcNormDate,$P451)))</f>
        <v/>
      </c>
      <c r="C451" s="26">
        <f>IF($P451="","",IF(INDEX(CalcTime,$P451)=0,"",INDEX(CalcTime,$P451)))</f>
        <v/>
      </c>
      <c r="D451" s="26">
        <f>IF($P451="","",IF(INDEX(EntryParty,$P451)=0,"",INDEX(EntryParty,$P451)))</f>
        <v/>
      </c>
      <c r="E451" s="26">
        <f>IF($P451="","",IF(INDEX(EntryPartyName,$P451)=0,"",INDEX(EntryPartyName,$P451)))</f>
        <v/>
      </c>
      <c r="F451" s="26">
        <f>IF($P451="","",IF(INDEX(EntryPartyType,$P451)=0,"",INDEX(EntryPartyType,$P451)))</f>
        <v/>
      </c>
      <c r="G451" s="26">
        <f>IF($P451="","",IF(INDEX(EntryTxnType,$P451)=0,"",INDEX(EntryTxnType,$P451)))</f>
        <v/>
      </c>
      <c r="H451" s="27">
        <f>IF($P451="","",IF(INDEX(EntryDep,$P451)=0,"",INDEX(EntryDep,$P451)))</f>
        <v/>
      </c>
      <c r="I451" s="27">
        <f>IF($P451="","",IF(INDEX(EntryWit,$P451)=0,"",INDEX(EntryWit,$P451)))</f>
        <v/>
      </c>
      <c r="J451" s="27">
        <f>IF($B451="","",IF($A451=1,$C$7,IF(J450="",0,J450))+IF($H451="",0,$H451)-IF($I451="",0,$I451))</f>
        <v/>
      </c>
      <c r="K451" s="27">
        <f>IF($P451="","",IF(INDEX(EntryMan,$P451)=0,"",INDEX(EntryMan,$P451)))</f>
        <v/>
      </c>
      <c r="L451" s="26">
        <f>IF($B451="","",IF($K451="","—",IF(ROUND($K451-$J451,0)=0,"√","×")))</f>
        <v/>
      </c>
      <c r="M451" s="26">
        <f>IF($B451="","",IF(COUNTIFS(EntryDates,$B451,CalcTime,$C451,CalcBank,$C$5,EntryParty,$D451,EntryDep,$H451,EntryWit,$I451)&gt;1,"تکرار",""))</f>
        <v/>
      </c>
      <c r="N451" s="26">
        <f>IF($P451="","",IF(INDEX(EntryNotes,$P451)=0,"",INDEX(EntryNotes,$P451)))</f>
        <v/>
      </c>
      <c r="O451" s="26">
        <f>IF($P451="","",IF(INDEX(EntryTxnID,$P451)=0,"",INDEX(EntryTxnID,$P451)))</f>
        <v/>
      </c>
      <c r="P451" s="26">
        <f>IFERROR(MATCH($C$5&amp;"|"&amp;RIGHT("000000"&amp;435,6),CalcRankKey,0),"")</f>
        <v/>
      </c>
    </row>
    <row r="452">
      <c r="A452" s="28">
        <f>IF($B452="","",436)</f>
        <v/>
      </c>
      <c r="B452" s="28">
        <f>IF($P452="","",IF(INDEX(CalcNormDate,$P452)=0,"",INDEX(CalcNormDate,$P452)))</f>
        <v/>
      </c>
      <c r="C452" s="28">
        <f>IF($P452="","",IF(INDEX(CalcTime,$P452)=0,"",INDEX(CalcTime,$P452)))</f>
        <v/>
      </c>
      <c r="D452" s="28">
        <f>IF($P452="","",IF(INDEX(EntryParty,$P452)=0,"",INDEX(EntryParty,$P452)))</f>
        <v/>
      </c>
      <c r="E452" s="28">
        <f>IF($P452="","",IF(INDEX(EntryPartyName,$P452)=0,"",INDEX(EntryPartyName,$P452)))</f>
        <v/>
      </c>
      <c r="F452" s="28">
        <f>IF($P452="","",IF(INDEX(EntryPartyType,$P452)=0,"",INDEX(EntryPartyType,$P452)))</f>
        <v/>
      </c>
      <c r="G452" s="28">
        <f>IF($P452="","",IF(INDEX(EntryTxnType,$P452)=0,"",INDEX(EntryTxnType,$P452)))</f>
        <v/>
      </c>
      <c r="H452" s="29">
        <f>IF($P452="","",IF(INDEX(EntryDep,$P452)=0,"",INDEX(EntryDep,$P452)))</f>
        <v/>
      </c>
      <c r="I452" s="29">
        <f>IF($P452="","",IF(INDEX(EntryWit,$P452)=0,"",INDEX(EntryWit,$P452)))</f>
        <v/>
      </c>
      <c r="J452" s="29">
        <f>IF($B452="","",IF($A452=1,$C$7,IF(J451="",0,J451))+IF($H452="",0,$H452)-IF($I452="",0,$I452))</f>
        <v/>
      </c>
      <c r="K452" s="29">
        <f>IF($P452="","",IF(INDEX(EntryMan,$P452)=0,"",INDEX(EntryMan,$P452)))</f>
        <v/>
      </c>
      <c r="L452" s="28">
        <f>IF($B452="","",IF($K452="","—",IF(ROUND($K452-$J452,0)=0,"√","×")))</f>
        <v/>
      </c>
      <c r="M452" s="28">
        <f>IF($B452="","",IF(COUNTIFS(EntryDates,$B452,CalcTime,$C452,CalcBank,$C$5,EntryParty,$D452,EntryDep,$H452,EntryWit,$I452)&gt;1,"تکرار",""))</f>
        <v/>
      </c>
      <c r="N452" s="28">
        <f>IF($P452="","",IF(INDEX(EntryNotes,$P452)=0,"",INDEX(EntryNotes,$P452)))</f>
        <v/>
      </c>
      <c r="O452" s="28">
        <f>IF($P452="","",IF(INDEX(EntryTxnID,$P452)=0,"",INDEX(EntryTxnID,$P452)))</f>
        <v/>
      </c>
      <c r="P452" s="28">
        <f>IFERROR(MATCH($C$5&amp;"|"&amp;RIGHT("000000"&amp;436,6),CalcRankKey,0),"")</f>
        <v/>
      </c>
    </row>
    <row r="453">
      <c r="A453" s="26">
        <f>IF($B453="","",437)</f>
        <v/>
      </c>
      <c r="B453" s="26">
        <f>IF($P453="","",IF(INDEX(CalcNormDate,$P453)=0,"",INDEX(CalcNormDate,$P453)))</f>
        <v/>
      </c>
      <c r="C453" s="26">
        <f>IF($P453="","",IF(INDEX(CalcTime,$P453)=0,"",INDEX(CalcTime,$P453)))</f>
        <v/>
      </c>
      <c r="D453" s="26">
        <f>IF($P453="","",IF(INDEX(EntryParty,$P453)=0,"",INDEX(EntryParty,$P453)))</f>
        <v/>
      </c>
      <c r="E453" s="26">
        <f>IF($P453="","",IF(INDEX(EntryPartyName,$P453)=0,"",INDEX(EntryPartyName,$P453)))</f>
        <v/>
      </c>
      <c r="F453" s="26">
        <f>IF($P453="","",IF(INDEX(EntryPartyType,$P453)=0,"",INDEX(EntryPartyType,$P453)))</f>
        <v/>
      </c>
      <c r="G453" s="26">
        <f>IF($P453="","",IF(INDEX(EntryTxnType,$P453)=0,"",INDEX(EntryTxnType,$P453)))</f>
        <v/>
      </c>
      <c r="H453" s="27">
        <f>IF($P453="","",IF(INDEX(EntryDep,$P453)=0,"",INDEX(EntryDep,$P453)))</f>
        <v/>
      </c>
      <c r="I453" s="27">
        <f>IF($P453="","",IF(INDEX(EntryWit,$P453)=0,"",INDEX(EntryWit,$P453)))</f>
        <v/>
      </c>
      <c r="J453" s="27">
        <f>IF($B453="","",IF($A453=1,$C$7,IF(J452="",0,J452))+IF($H453="",0,$H453)-IF($I453="",0,$I453))</f>
        <v/>
      </c>
      <c r="K453" s="27">
        <f>IF($P453="","",IF(INDEX(EntryMan,$P453)=0,"",INDEX(EntryMan,$P453)))</f>
        <v/>
      </c>
      <c r="L453" s="26">
        <f>IF($B453="","",IF($K453="","—",IF(ROUND($K453-$J453,0)=0,"√","×")))</f>
        <v/>
      </c>
      <c r="M453" s="26">
        <f>IF($B453="","",IF(COUNTIFS(EntryDates,$B453,CalcTime,$C453,CalcBank,$C$5,EntryParty,$D453,EntryDep,$H453,EntryWit,$I453)&gt;1,"تکرار",""))</f>
        <v/>
      </c>
      <c r="N453" s="26">
        <f>IF($P453="","",IF(INDEX(EntryNotes,$P453)=0,"",INDEX(EntryNotes,$P453)))</f>
        <v/>
      </c>
      <c r="O453" s="26">
        <f>IF($P453="","",IF(INDEX(EntryTxnID,$P453)=0,"",INDEX(EntryTxnID,$P453)))</f>
        <v/>
      </c>
      <c r="P453" s="26">
        <f>IFERROR(MATCH($C$5&amp;"|"&amp;RIGHT("000000"&amp;437,6),CalcRankKey,0),"")</f>
        <v/>
      </c>
    </row>
    <row r="454">
      <c r="A454" s="28">
        <f>IF($B454="","",438)</f>
        <v/>
      </c>
      <c r="B454" s="28">
        <f>IF($P454="","",IF(INDEX(CalcNormDate,$P454)=0,"",INDEX(CalcNormDate,$P454)))</f>
        <v/>
      </c>
      <c r="C454" s="28">
        <f>IF($P454="","",IF(INDEX(CalcTime,$P454)=0,"",INDEX(CalcTime,$P454)))</f>
        <v/>
      </c>
      <c r="D454" s="28">
        <f>IF($P454="","",IF(INDEX(EntryParty,$P454)=0,"",INDEX(EntryParty,$P454)))</f>
        <v/>
      </c>
      <c r="E454" s="28">
        <f>IF($P454="","",IF(INDEX(EntryPartyName,$P454)=0,"",INDEX(EntryPartyName,$P454)))</f>
        <v/>
      </c>
      <c r="F454" s="28">
        <f>IF($P454="","",IF(INDEX(EntryPartyType,$P454)=0,"",INDEX(EntryPartyType,$P454)))</f>
        <v/>
      </c>
      <c r="G454" s="28">
        <f>IF($P454="","",IF(INDEX(EntryTxnType,$P454)=0,"",INDEX(EntryTxnType,$P454)))</f>
        <v/>
      </c>
      <c r="H454" s="29">
        <f>IF($P454="","",IF(INDEX(EntryDep,$P454)=0,"",INDEX(EntryDep,$P454)))</f>
        <v/>
      </c>
      <c r="I454" s="29">
        <f>IF($P454="","",IF(INDEX(EntryWit,$P454)=0,"",INDEX(EntryWit,$P454)))</f>
        <v/>
      </c>
      <c r="J454" s="29">
        <f>IF($B454="","",IF($A454=1,$C$7,IF(J453="",0,J453))+IF($H454="",0,$H454)-IF($I454="",0,$I454))</f>
        <v/>
      </c>
      <c r="K454" s="29">
        <f>IF($P454="","",IF(INDEX(EntryMan,$P454)=0,"",INDEX(EntryMan,$P454)))</f>
        <v/>
      </c>
      <c r="L454" s="28">
        <f>IF($B454="","",IF($K454="","—",IF(ROUND($K454-$J454,0)=0,"√","×")))</f>
        <v/>
      </c>
      <c r="M454" s="28">
        <f>IF($B454="","",IF(COUNTIFS(EntryDates,$B454,CalcTime,$C454,CalcBank,$C$5,EntryParty,$D454,EntryDep,$H454,EntryWit,$I454)&gt;1,"تکرار",""))</f>
        <v/>
      </c>
      <c r="N454" s="28">
        <f>IF($P454="","",IF(INDEX(EntryNotes,$P454)=0,"",INDEX(EntryNotes,$P454)))</f>
        <v/>
      </c>
      <c r="O454" s="28">
        <f>IF($P454="","",IF(INDEX(EntryTxnID,$P454)=0,"",INDEX(EntryTxnID,$P454)))</f>
        <v/>
      </c>
      <c r="P454" s="28">
        <f>IFERROR(MATCH($C$5&amp;"|"&amp;RIGHT("000000"&amp;438,6),CalcRankKey,0),"")</f>
        <v/>
      </c>
    </row>
    <row r="455">
      <c r="A455" s="26">
        <f>IF($B455="","",439)</f>
        <v/>
      </c>
      <c r="B455" s="26">
        <f>IF($P455="","",IF(INDEX(CalcNormDate,$P455)=0,"",INDEX(CalcNormDate,$P455)))</f>
        <v/>
      </c>
      <c r="C455" s="26">
        <f>IF($P455="","",IF(INDEX(CalcTime,$P455)=0,"",INDEX(CalcTime,$P455)))</f>
        <v/>
      </c>
      <c r="D455" s="26">
        <f>IF($P455="","",IF(INDEX(EntryParty,$P455)=0,"",INDEX(EntryParty,$P455)))</f>
        <v/>
      </c>
      <c r="E455" s="26">
        <f>IF($P455="","",IF(INDEX(EntryPartyName,$P455)=0,"",INDEX(EntryPartyName,$P455)))</f>
        <v/>
      </c>
      <c r="F455" s="26">
        <f>IF($P455="","",IF(INDEX(EntryPartyType,$P455)=0,"",INDEX(EntryPartyType,$P455)))</f>
        <v/>
      </c>
      <c r="G455" s="26">
        <f>IF($P455="","",IF(INDEX(EntryTxnType,$P455)=0,"",INDEX(EntryTxnType,$P455)))</f>
        <v/>
      </c>
      <c r="H455" s="27">
        <f>IF($P455="","",IF(INDEX(EntryDep,$P455)=0,"",INDEX(EntryDep,$P455)))</f>
        <v/>
      </c>
      <c r="I455" s="27">
        <f>IF($P455="","",IF(INDEX(EntryWit,$P455)=0,"",INDEX(EntryWit,$P455)))</f>
        <v/>
      </c>
      <c r="J455" s="27">
        <f>IF($B455="","",IF($A455=1,$C$7,IF(J454="",0,J454))+IF($H455="",0,$H455)-IF($I455="",0,$I455))</f>
        <v/>
      </c>
      <c r="K455" s="27">
        <f>IF($P455="","",IF(INDEX(EntryMan,$P455)=0,"",INDEX(EntryMan,$P455)))</f>
        <v/>
      </c>
      <c r="L455" s="26">
        <f>IF($B455="","",IF($K455="","—",IF(ROUND($K455-$J455,0)=0,"√","×")))</f>
        <v/>
      </c>
      <c r="M455" s="26">
        <f>IF($B455="","",IF(COUNTIFS(EntryDates,$B455,CalcTime,$C455,CalcBank,$C$5,EntryParty,$D455,EntryDep,$H455,EntryWit,$I455)&gt;1,"تکرار",""))</f>
        <v/>
      </c>
      <c r="N455" s="26">
        <f>IF($P455="","",IF(INDEX(EntryNotes,$P455)=0,"",INDEX(EntryNotes,$P455)))</f>
        <v/>
      </c>
      <c r="O455" s="26">
        <f>IF($P455="","",IF(INDEX(EntryTxnID,$P455)=0,"",INDEX(EntryTxnID,$P455)))</f>
        <v/>
      </c>
      <c r="P455" s="26">
        <f>IFERROR(MATCH($C$5&amp;"|"&amp;RIGHT("000000"&amp;439,6),CalcRankKey,0),"")</f>
        <v/>
      </c>
    </row>
    <row r="456">
      <c r="A456" s="28">
        <f>IF($B456="","",440)</f>
        <v/>
      </c>
      <c r="B456" s="28">
        <f>IF($P456="","",IF(INDEX(CalcNormDate,$P456)=0,"",INDEX(CalcNormDate,$P456)))</f>
        <v/>
      </c>
      <c r="C456" s="28">
        <f>IF($P456="","",IF(INDEX(CalcTime,$P456)=0,"",INDEX(CalcTime,$P456)))</f>
        <v/>
      </c>
      <c r="D456" s="28">
        <f>IF($P456="","",IF(INDEX(EntryParty,$P456)=0,"",INDEX(EntryParty,$P456)))</f>
        <v/>
      </c>
      <c r="E456" s="28">
        <f>IF($P456="","",IF(INDEX(EntryPartyName,$P456)=0,"",INDEX(EntryPartyName,$P456)))</f>
        <v/>
      </c>
      <c r="F456" s="28">
        <f>IF($P456="","",IF(INDEX(EntryPartyType,$P456)=0,"",INDEX(EntryPartyType,$P456)))</f>
        <v/>
      </c>
      <c r="G456" s="28">
        <f>IF($P456="","",IF(INDEX(EntryTxnType,$P456)=0,"",INDEX(EntryTxnType,$P456)))</f>
        <v/>
      </c>
      <c r="H456" s="29">
        <f>IF($P456="","",IF(INDEX(EntryDep,$P456)=0,"",INDEX(EntryDep,$P456)))</f>
        <v/>
      </c>
      <c r="I456" s="29">
        <f>IF($P456="","",IF(INDEX(EntryWit,$P456)=0,"",INDEX(EntryWit,$P456)))</f>
        <v/>
      </c>
      <c r="J456" s="29">
        <f>IF($B456="","",IF($A456=1,$C$7,IF(J455="",0,J455))+IF($H456="",0,$H456)-IF($I456="",0,$I456))</f>
        <v/>
      </c>
      <c r="K456" s="29">
        <f>IF($P456="","",IF(INDEX(EntryMan,$P456)=0,"",INDEX(EntryMan,$P456)))</f>
        <v/>
      </c>
      <c r="L456" s="28">
        <f>IF($B456="","",IF($K456="","—",IF(ROUND($K456-$J456,0)=0,"√","×")))</f>
        <v/>
      </c>
      <c r="M456" s="28">
        <f>IF($B456="","",IF(COUNTIFS(EntryDates,$B456,CalcTime,$C456,CalcBank,$C$5,EntryParty,$D456,EntryDep,$H456,EntryWit,$I456)&gt;1,"تکرار",""))</f>
        <v/>
      </c>
      <c r="N456" s="28">
        <f>IF($P456="","",IF(INDEX(EntryNotes,$P456)=0,"",INDEX(EntryNotes,$P456)))</f>
        <v/>
      </c>
      <c r="O456" s="28">
        <f>IF($P456="","",IF(INDEX(EntryTxnID,$P456)=0,"",INDEX(EntryTxnID,$P456)))</f>
        <v/>
      </c>
      <c r="P456" s="28">
        <f>IFERROR(MATCH($C$5&amp;"|"&amp;RIGHT("000000"&amp;440,6),CalcRankKey,0),"")</f>
        <v/>
      </c>
    </row>
    <row r="457">
      <c r="A457" s="26">
        <f>IF($B457="","",441)</f>
        <v/>
      </c>
      <c r="B457" s="26">
        <f>IF($P457="","",IF(INDEX(CalcNormDate,$P457)=0,"",INDEX(CalcNormDate,$P457)))</f>
        <v/>
      </c>
      <c r="C457" s="26">
        <f>IF($P457="","",IF(INDEX(CalcTime,$P457)=0,"",INDEX(CalcTime,$P457)))</f>
        <v/>
      </c>
      <c r="D457" s="26">
        <f>IF($P457="","",IF(INDEX(EntryParty,$P457)=0,"",INDEX(EntryParty,$P457)))</f>
        <v/>
      </c>
      <c r="E457" s="26">
        <f>IF($P457="","",IF(INDEX(EntryPartyName,$P457)=0,"",INDEX(EntryPartyName,$P457)))</f>
        <v/>
      </c>
      <c r="F457" s="26">
        <f>IF($P457="","",IF(INDEX(EntryPartyType,$P457)=0,"",INDEX(EntryPartyType,$P457)))</f>
        <v/>
      </c>
      <c r="G457" s="26">
        <f>IF($P457="","",IF(INDEX(EntryTxnType,$P457)=0,"",INDEX(EntryTxnType,$P457)))</f>
        <v/>
      </c>
      <c r="H457" s="27">
        <f>IF($P457="","",IF(INDEX(EntryDep,$P457)=0,"",INDEX(EntryDep,$P457)))</f>
        <v/>
      </c>
      <c r="I457" s="27">
        <f>IF($P457="","",IF(INDEX(EntryWit,$P457)=0,"",INDEX(EntryWit,$P457)))</f>
        <v/>
      </c>
      <c r="J457" s="27">
        <f>IF($B457="","",IF($A457=1,$C$7,IF(J456="",0,J456))+IF($H457="",0,$H457)-IF($I457="",0,$I457))</f>
        <v/>
      </c>
      <c r="K457" s="27">
        <f>IF($P457="","",IF(INDEX(EntryMan,$P457)=0,"",INDEX(EntryMan,$P457)))</f>
        <v/>
      </c>
      <c r="L457" s="26">
        <f>IF($B457="","",IF($K457="","—",IF(ROUND($K457-$J457,0)=0,"√","×")))</f>
        <v/>
      </c>
      <c r="M457" s="26">
        <f>IF($B457="","",IF(COUNTIFS(EntryDates,$B457,CalcTime,$C457,CalcBank,$C$5,EntryParty,$D457,EntryDep,$H457,EntryWit,$I457)&gt;1,"تکرار",""))</f>
        <v/>
      </c>
      <c r="N457" s="26">
        <f>IF($P457="","",IF(INDEX(EntryNotes,$P457)=0,"",INDEX(EntryNotes,$P457)))</f>
        <v/>
      </c>
      <c r="O457" s="26">
        <f>IF($P457="","",IF(INDEX(EntryTxnID,$P457)=0,"",INDEX(EntryTxnID,$P457)))</f>
        <v/>
      </c>
      <c r="P457" s="26">
        <f>IFERROR(MATCH($C$5&amp;"|"&amp;RIGHT("000000"&amp;441,6),CalcRankKey,0),"")</f>
        <v/>
      </c>
    </row>
    <row r="458">
      <c r="A458" s="28">
        <f>IF($B458="","",442)</f>
        <v/>
      </c>
      <c r="B458" s="28">
        <f>IF($P458="","",IF(INDEX(CalcNormDate,$P458)=0,"",INDEX(CalcNormDate,$P458)))</f>
        <v/>
      </c>
      <c r="C458" s="28">
        <f>IF($P458="","",IF(INDEX(CalcTime,$P458)=0,"",INDEX(CalcTime,$P458)))</f>
        <v/>
      </c>
      <c r="D458" s="28">
        <f>IF($P458="","",IF(INDEX(EntryParty,$P458)=0,"",INDEX(EntryParty,$P458)))</f>
        <v/>
      </c>
      <c r="E458" s="28">
        <f>IF($P458="","",IF(INDEX(EntryPartyName,$P458)=0,"",INDEX(EntryPartyName,$P458)))</f>
        <v/>
      </c>
      <c r="F458" s="28">
        <f>IF($P458="","",IF(INDEX(EntryPartyType,$P458)=0,"",INDEX(EntryPartyType,$P458)))</f>
        <v/>
      </c>
      <c r="G458" s="28">
        <f>IF($P458="","",IF(INDEX(EntryTxnType,$P458)=0,"",INDEX(EntryTxnType,$P458)))</f>
        <v/>
      </c>
      <c r="H458" s="29">
        <f>IF($P458="","",IF(INDEX(EntryDep,$P458)=0,"",INDEX(EntryDep,$P458)))</f>
        <v/>
      </c>
      <c r="I458" s="29">
        <f>IF($P458="","",IF(INDEX(EntryWit,$P458)=0,"",INDEX(EntryWit,$P458)))</f>
        <v/>
      </c>
      <c r="J458" s="29">
        <f>IF($B458="","",IF($A458=1,$C$7,IF(J457="",0,J457))+IF($H458="",0,$H458)-IF($I458="",0,$I458))</f>
        <v/>
      </c>
      <c r="K458" s="29">
        <f>IF($P458="","",IF(INDEX(EntryMan,$P458)=0,"",INDEX(EntryMan,$P458)))</f>
        <v/>
      </c>
      <c r="L458" s="28">
        <f>IF($B458="","",IF($K458="","—",IF(ROUND($K458-$J458,0)=0,"√","×")))</f>
        <v/>
      </c>
      <c r="M458" s="28">
        <f>IF($B458="","",IF(COUNTIFS(EntryDates,$B458,CalcTime,$C458,CalcBank,$C$5,EntryParty,$D458,EntryDep,$H458,EntryWit,$I458)&gt;1,"تکرار",""))</f>
        <v/>
      </c>
      <c r="N458" s="28">
        <f>IF($P458="","",IF(INDEX(EntryNotes,$P458)=0,"",INDEX(EntryNotes,$P458)))</f>
        <v/>
      </c>
      <c r="O458" s="28">
        <f>IF($P458="","",IF(INDEX(EntryTxnID,$P458)=0,"",INDEX(EntryTxnID,$P458)))</f>
        <v/>
      </c>
      <c r="P458" s="28">
        <f>IFERROR(MATCH($C$5&amp;"|"&amp;RIGHT("000000"&amp;442,6),CalcRankKey,0),"")</f>
        <v/>
      </c>
    </row>
    <row r="459">
      <c r="A459" s="26">
        <f>IF($B459="","",443)</f>
        <v/>
      </c>
      <c r="B459" s="26">
        <f>IF($P459="","",IF(INDEX(CalcNormDate,$P459)=0,"",INDEX(CalcNormDate,$P459)))</f>
        <v/>
      </c>
      <c r="C459" s="26">
        <f>IF($P459="","",IF(INDEX(CalcTime,$P459)=0,"",INDEX(CalcTime,$P459)))</f>
        <v/>
      </c>
      <c r="D459" s="26">
        <f>IF($P459="","",IF(INDEX(EntryParty,$P459)=0,"",INDEX(EntryParty,$P459)))</f>
        <v/>
      </c>
      <c r="E459" s="26">
        <f>IF($P459="","",IF(INDEX(EntryPartyName,$P459)=0,"",INDEX(EntryPartyName,$P459)))</f>
        <v/>
      </c>
      <c r="F459" s="26">
        <f>IF($P459="","",IF(INDEX(EntryPartyType,$P459)=0,"",INDEX(EntryPartyType,$P459)))</f>
        <v/>
      </c>
      <c r="G459" s="26">
        <f>IF($P459="","",IF(INDEX(EntryTxnType,$P459)=0,"",INDEX(EntryTxnType,$P459)))</f>
        <v/>
      </c>
      <c r="H459" s="27">
        <f>IF($P459="","",IF(INDEX(EntryDep,$P459)=0,"",INDEX(EntryDep,$P459)))</f>
        <v/>
      </c>
      <c r="I459" s="27">
        <f>IF($P459="","",IF(INDEX(EntryWit,$P459)=0,"",INDEX(EntryWit,$P459)))</f>
        <v/>
      </c>
      <c r="J459" s="27">
        <f>IF($B459="","",IF($A459=1,$C$7,IF(J458="",0,J458))+IF($H459="",0,$H459)-IF($I459="",0,$I459))</f>
        <v/>
      </c>
      <c r="K459" s="27">
        <f>IF($P459="","",IF(INDEX(EntryMan,$P459)=0,"",INDEX(EntryMan,$P459)))</f>
        <v/>
      </c>
      <c r="L459" s="26">
        <f>IF($B459="","",IF($K459="","—",IF(ROUND($K459-$J459,0)=0,"√","×")))</f>
        <v/>
      </c>
      <c r="M459" s="26">
        <f>IF($B459="","",IF(COUNTIFS(EntryDates,$B459,CalcTime,$C459,CalcBank,$C$5,EntryParty,$D459,EntryDep,$H459,EntryWit,$I459)&gt;1,"تکرار",""))</f>
        <v/>
      </c>
      <c r="N459" s="26">
        <f>IF($P459="","",IF(INDEX(EntryNotes,$P459)=0,"",INDEX(EntryNotes,$P459)))</f>
        <v/>
      </c>
      <c r="O459" s="26">
        <f>IF($P459="","",IF(INDEX(EntryTxnID,$P459)=0,"",INDEX(EntryTxnID,$P459)))</f>
        <v/>
      </c>
      <c r="P459" s="26">
        <f>IFERROR(MATCH($C$5&amp;"|"&amp;RIGHT("000000"&amp;443,6),CalcRankKey,0),"")</f>
        <v/>
      </c>
    </row>
    <row r="460">
      <c r="A460" s="28">
        <f>IF($B460="","",444)</f>
        <v/>
      </c>
      <c r="B460" s="28">
        <f>IF($P460="","",IF(INDEX(CalcNormDate,$P460)=0,"",INDEX(CalcNormDate,$P460)))</f>
        <v/>
      </c>
      <c r="C460" s="28">
        <f>IF($P460="","",IF(INDEX(CalcTime,$P460)=0,"",INDEX(CalcTime,$P460)))</f>
        <v/>
      </c>
      <c r="D460" s="28">
        <f>IF($P460="","",IF(INDEX(EntryParty,$P460)=0,"",INDEX(EntryParty,$P460)))</f>
        <v/>
      </c>
      <c r="E460" s="28">
        <f>IF($P460="","",IF(INDEX(EntryPartyName,$P460)=0,"",INDEX(EntryPartyName,$P460)))</f>
        <v/>
      </c>
      <c r="F460" s="28">
        <f>IF($P460="","",IF(INDEX(EntryPartyType,$P460)=0,"",INDEX(EntryPartyType,$P460)))</f>
        <v/>
      </c>
      <c r="G460" s="28">
        <f>IF($P460="","",IF(INDEX(EntryTxnType,$P460)=0,"",INDEX(EntryTxnType,$P460)))</f>
        <v/>
      </c>
      <c r="H460" s="29">
        <f>IF($P460="","",IF(INDEX(EntryDep,$P460)=0,"",INDEX(EntryDep,$P460)))</f>
        <v/>
      </c>
      <c r="I460" s="29">
        <f>IF($P460="","",IF(INDEX(EntryWit,$P460)=0,"",INDEX(EntryWit,$P460)))</f>
        <v/>
      </c>
      <c r="J460" s="29">
        <f>IF($B460="","",IF($A460=1,$C$7,IF(J459="",0,J459))+IF($H460="",0,$H460)-IF($I460="",0,$I460))</f>
        <v/>
      </c>
      <c r="K460" s="29">
        <f>IF($P460="","",IF(INDEX(EntryMan,$P460)=0,"",INDEX(EntryMan,$P460)))</f>
        <v/>
      </c>
      <c r="L460" s="28">
        <f>IF($B460="","",IF($K460="","—",IF(ROUND($K460-$J460,0)=0,"√","×")))</f>
        <v/>
      </c>
      <c r="M460" s="28">
        <f>IF($B460="","",IF(COUNTIFS(EntryDates,$B460,CalcTime,$C460,CalcBank,$C$5,EntryParty,$D460,EntryDep,$H460,EntryWit,$I460)&gt;1,"تکرار",""))</f>
        <v/>
      </c>
      <c r="N460" s="28">
        <f>IF($P460="","",IF(INDEX(EntryNotes,$P460)=0,"",INDEX(EntryNotes,$P460)))</f>
        <v/>
      </c>
      <c r="O460" s="28">
        <f>IF($P460="","",IF(INDEX(EntryTxnID,$P460)=0,"",INDEX(EntryTxnID,$P460)))</f>
        <v/>
      </c>
      <c r="P460" s="28">
        <f>IFERROR(MATCH($C$5&amp;"|"&amp;RIGHT("000000"&amp;444,6),CalcRankKey,0),"")</f>
        <v/>
      </c>
    </row>
    <row r="461">
      <c r="A461" s="26">
        <f>IF($B461="","",445)</f>
        <v/>
      </c>
      <c r="B461" s="26">
        <f>IF($P461="","",IF(INDEX(CalcNormDate,$P461)=0,"",INDEX(CalcNormDate,$P461)))</f>
        <v/>
      </c>
      <c r="C461" s="26">
        <f>IF($P461="","",IF(INDEX(CalcTime,$P461)=0,"",INDEX(CalcTime,$P461)))</f>
        <v/>
      </c>
      <c r="D461" s="26">
        <f>IF($P461="","",IF(INDEX(EntryParty,$P461)=0,"",INDEX(EntryParty,$P461)))</f>
        <v/>
      </c>
      <c r="E461" s="26">
        <f>IF($P461="","",IF(INDEX(EntryPartyName,$P461)=0,"",INDEX(EntryPartyName,$P461)))</f>
        <v/>
      </c>
      <c r="F461" s="26">
        <f>IF($P461="","",IF(INDEX(EntryPartyType,$P461)=0,"",INDEX(EntryPartyType,$P461)))</f>
        <v/>
      </c>
      <c r="G461" s="26">
        <f>IF($P461="","",IF(INDEX(EntryTxnType,$P461)=0,"",INDEX(EntryTxnType,$P461)))</f>
        <v/>
      </c>
      <c r="H461" s="27">
        <f>IF($P461="","",IF(INDEX(EntryDep,$P461)=0,"",INDEX(EntryDep,$P461)))</f>
        <v/>
      </c>
      <c r="I461" s="27">
        <f>IF($P461="","",IF(INDEX(EntryWit,$P461)=0,"",INDEX(EntryWit,$P461)))</f>
        <v/>
      </c>
      <c r="J461" s="27">
        <f>IF($B461="","",IF($A461=1,$C$7,IF(J460="",0,J460))+IF($H461="",0,$H461)-IF($I461="",0,$I461))</f>
        <v/>
      </c>
      <c r="K461" s="27">
        <f>IF($P461="","",IF(INDEX(EntryMan,$P461)=0,"",INDEX(EntryMan,$P461)))</f>
        <v/>
      </c>
      <c r="L461" s="26">
        <f>IF($B461="","",IF($K461="","—",IF(ROUND($K461-$J461,0)=0,"√","×")))</f>
        <v/>
      </c>
      <c r="M461" s="26">
        <f>IF($B461="","",IF(COUNTIFS(EntryDates,$B461,CalcTime,$C461,CalcBank,$C$5,EntryParty,$D461,EntryDep,$H461,EntryWit,$I461)&gt;1,"تکرار",""))</f>
        <v/>
      </c>
      <c r="N461" s="26">
        <f>IF($P461="","",IF(INDEX(EntryNotes,$P461)=0,"",INDEX(EntryNotes,$P461)))</f>
        <v/>
      </c>
      <c r="O461" s="26">
        <f>IF($P461="","",IF(INDEX(EntryTxnID,$P461)=0,"",INDEX(EntryTxnID,$P461)))</f>
        <v/>
      </c>
      <c r="P461" s="26">
        <f>IFERROR(MATCH($C$5&amp;"|"&amp;RIGHT("000000"&amp;445,6),CalcRankKey,0),"")</f>
        <v/>
      </c>
    </row>
    <row r="462">
      <c r="A462" s="28">
        <f>IF($B462="","",446)</f>
        <v/>
      </c>
      <c r="B462" s="28">
        <f>IF($P462="","",IF(INDEX(CalcNormDate,$P462)=0,"",INDEX(CalcNormDate,$P462)))</f>
        <v/>
      </c>
      <c r="C462" s="28">
        <f>IF($P462="","",IF(INDEX(CalcTime,$P462)=0,"",INDEX(CalcTime,$P462)))</f>
        <v/>
      </c>
      <c r="D462" s="28">
        <f>IF($P462="","",IF(INDEX(EntryParty,$P462)=0,"",INDEX(EntryParty,$P462)))</f>
        <v/>
      </c>
      <c r="E462" s="28">
        <f>IF($P462="","",IF(INDEX(EntryPartyName,$P462)=0,"",INDEX(EntryPartyName,$P462)))</f>
        <v/>
      </c>
      <c r="F462" s="28">
        <f>IF($P462="","",IF(INDEX(EntryPartyType,$P462)=0,"",INDEX(EntryPartyType,$P462)))</f>
        <v/>
      </c>
      <c r="G462" s="28">
        <f>IF($P462="","",IF(INDEX(EntryTxnType,$P462)=0,"",INDEX(EntryTxnType,$P462)))</f>
        <v/>
      </c>
      <c r="H462" s="29">
        <f>IF($P462="","",IF(INDEX(EntryDep,$P462)=0,"",INDEX(EntryDep,$P462)))</f>
        <v/>
      </c>
      <c r="I462" s="29">
        <f>IF($P462="","",IF(INDEX(EntryWit,$P462)=0,"",INDEX(EntryWit,$P462)))</f>
        <v/>
      </c>
      <c r="J462" s="29">
        <f>IF($B462="","",IF($A462=1,$C$7,IF(J461="",0,J461))+IF($H462="",0,$H462)-IF($I462="",0,$I462))</f>
        <v/>
      </c>
      <c r="K462" s="29">
        <f>IF($P462="","",IF(INDEX(EntryMan,$P462)=0,"",INDEX(EntryMan,$P462)))</f>
        <v/>
      </c>
      <c r="L462" s="28">
        <f>IF($B462="","",IF($K462="","—",IF(ROUND($K462-$J462,0)=0,"√","×")))</f>
        <v/>
      </c>
      <c r="M462" s="28">
        <f>IF($B462="","",IF(COUNTIFS(EntryDates,$B462,CalcTime,$C462,CalcBank,$C$5,EntryParty,$D462,EntryDep,$H462,EntryWit,$I462)&gt;1,"تکرار",""))</f>
        <v/>
      </c>
      <c r="N462" s="28">
        <f>IF($P462="","",IF(INDEX(EntryNotes,$P462)=0,"",INDEX(EntryNotes,$P462)))</f>
        <v/>
      </c>
      <c r="O462" s="28">
        <f>IF($P462="","",IF(INDEX(EntryTxnID,$P462)=0,"",INDEX(EntryTxnID,$P462)))</f>
        <v/>
      </c>
      <c r="P462" s="28">
        <f>IFERROR(MATCH($C$5&amp;"|"&amp;RIGHT("000000"&amp;446,6),CalcRankKey,0),"")</f>
        <v/>
      </c>
    </row>
    <row r="463">
      <c r="A463" s="26">
        <f>IF($B463="","",447)</f>
        <v/>
      </c>
      <c r="B463" s="26">
        <f>IF($P463="","",IF(INDEX(CalcNormDate,$P463)=0,"",INDEX(CalcNormDate,$P463)))</f>
        <v/>
      </c>
      <c r="C463" s="26">
        <f>IF($P463="","",IF(INDEX(CalcTime,$P463)=0,"",INDEX(CalcTime,$P463)))</f>
        <v/>
      </c>
      <c r="D463" s="26">
        <f>IF($P463="","",IF(INDEX(EntryParty,$P463)=0,"",INDEX(EntryParty,$P463)))</f>
        <v/>
      </c>
      <c r="E463" s="26">
        <f>IF($P463="","",IF(INDEX(EntryPartyName,$P463)=0,"",INDEX(EntryPartyName,$P463)))</f>
        <v/>
      </c>
      <c r="F463" s="26">
        <f>IF($P463="","",IF(INDEX(EntryPartyType,$P463)=0,"",INDEX(EntryPartyType,$P463)))</f>
        <v/>
      </c>
      <c r="G463" s="26">
        <f>IF($P463="","",IF(INDEX(EntryTxnType,$P463)=0,"",INDEX(EntryTxnType,$P463)))</f>
        <v/>
      </c>
      <c r="H463" s="27">
        <f>IF($P463="","",IF(INDEX(EntryDep,$P463)=0,"",INDEX(EntryDep,$P463)))</f>
        <v/>
      </c>
      <c r="I463" s="27">
        <f>IF($P463="","",IF(INDEX(EntryWit,$P463)=0,"",INDEX(EntryWit,$P463)))</f>
        <v/>
      </c>
      <c r="J463" s="27">
        <f>IF($B463="","",IF($A463=1,$C$7,IF(J462="",0,J462))+IF($H463="",0,$H463)-IF($I463="",0,$I463))</f>
        <v/>
      </c>
      <c r="K463" s="27">
        <f>IF($P463="","",IF(INDEX(EntryMan,$P463)=0,"",INDEX(EntryMan,$P463)))</f>
        <v/>
      </c>
      <c r="L463" s="26">
        <f>IF($B463="","",IF($K463="","—",IF(ROUND($K463-$J463,0)=0,"√","×")))</f>
        <v/>
      </c>
      <c r="M463" s="26">
        <f>IF($B463="","",IF(COUNTIFS(EntryDates,$B463,CalcTime,$C463,CalcBank,$C$5,EntryParty,$D463,EntryDep,$H463,EntryWit,$I463)&gt;1,"تکرار",""))</f>
        <v/>
      </c>
      <c r="N463" s="26">
        <f>IF($P463="","",IF(INDEX(EntryNotes,$P463)=0,"",INDEX(EntryNotes,$P463)))</f>
        <v/>
      </c>
      <c r="O463" s="26">
        <f>IF($P463="","",IF(INDEX(EntryTxnID,$P463)=0,"",INDEX(EntryTxnID,$P463)))</f>
        <v/>
      </c>
      <c r="P463" s="26">
        <f>IFERROR(MATCH($C$5&amp;"|"&amp;RIGHT("000000"&amp;447,6),CalcRankKey,0),"")</f>
        <v/>
      </c>
    </row>
    <row r="464">
      <c r="A464" s="28">
        <f>IF($B464="","",448)</f>
        <v/>
      </c>
      <c r="B464" s="28">
        <f>IF($P464="","",IF(INDEX(CalcNormDate,$P464)=0,"",INDEX(CalcNormDate,$P464)))</f>
        <v/>
      </c>
      <c r="C464" s="28">
        <f>IF($P464="","",IF(INDEX(CalcTime,$P464)=0,"",INDEX(CalcTime,$P464)))</f>
        <v/>
      </c>
      <c r="D464" s="28">
        <f>IF($P464="","",IF(INDEX(EntryParty,$P464)=0,"",INDEX(EntryParty,$P464)))</f>
        <v/>
      </c>
      <c r="E464" s="28">
        <f>IF($P464="","",IF(INDEX(EntryPartyName,$P464)=0,"",INDEX(EntryPartyName,$P464)))</f>
        <v/>
      </c>
      <c r="F464" s="28">
        <f>IF($P464="","",IF(INDEX(EntryPartyType,$P464)=0,"",INDEX(EntryPartyType,$P464)))</f>
        <v/>
      </c>
      <c r="G464" s="28">
        <f>IF($P464="","",IF(INDEX(EntryTxnType,$P464)=0,"",INDEX(EntryTxnType,$P464)))</f>
        <v/>
      </c>
      <c r="H464" s="29">
        <f>IF($P464="","",IF(INDEX(EntryDep,$P464)=0,"",INDEX(EntryDep,$P464)))</f>
        <v/>
      </c>
      <c r="I464" s="29">
        <f>IF($P464="","",IF(INDEX(EntryWit,$P464)=0,"",INDEX(EntryWit,$P464)))</f>
        <v/>
      </c>
      <c r="J464" s="29">
        <f>IF($B464="","",IF($A464=1,$C$7,IF(J463="",0,J463))+IF($H464="",0,$H464)-IF($I464="",0,$I464))</f>
        <v/>
      </c>
      <c r="K464" s="29">
        <f>IF($P464="","",IF(INDEX(EntryMan,$P464)=0,"",INDEX(EntryMan,$P464)))</f>
        <v/>
      </c>
      <c r="L464" s="28">
        <f>IF($B464="","",IF($K464="","—",IF(ROUND($K464-$J464,0)=0,"√","×")))</f>
        <v/>
      </c>
      <c r="M464" s="28">
        <f>IF($B464="","",IF(COUNTIFS(EntryDates,$B464,CalcTime,$C464,CalcBank,$C$5,EntryParty,$D464,EntryDep,$H464,EntryWit,$I464)&gt;1,"تکرار",""))</f>
        <v/>
      </c>
      <c r="N464" s="28">
        <f>IF($P464="","",IF(INDEX(EntryNotes,$P464)=0,"",INDEX(EntryNotes,$P464)))</f>
        <v/>
      </c>
      <c r="O464" s="28">
        <f>IF($P464="","",IF(INDEX(EntryTxnID,$P464)=0,"",INDEX(EntryTxnID,$P464)))</f>
        <v/>
      </c>
      <c r="P464" s="28">
        <f>IFERROR(MATCH($C$5&amp;"|"&amp;RIGHT("000000"&amp;448,6),CalcRankKey,0),"")</f>
        <v/>
      </c>
    </row>
    <row r="465">
      <c r="A465" s="26">
        <f>IF($B465="","",449)</f>
        <v/>
      </c>
      <c r="B465" s="26">
        <f>IF($P465="","",IF(INDEX(CalcNormDate,$P465)=0,"",INDEX(CalcNormDate,$P465)))</f>
        <v/>
      </c>
      <c r="C465" s="26">
        <f>IF($P465="","",IF(INDEX(CalcTime,$P465)=0,"",INDEX(CalcTime,$P465)))</f>
        <v/>
      </c>
      <c r="D465" s="26">
        <f>IF($P465="","",IF(INDEX(EntryParty,$P465)=0,"",INDEX(EntryParty,$P465)))</f>
        <v/>
      </c>
      <c r="E465" s="26">
        <f>IF($P465="","",IF(INDEX(EntryPartyName,$P465)=0,"",INDEX(EntryPartyName,$P465)))</f>
        <v/>
      </c>
      <c r="F465" s="26">
        <f>IF($P465="","",IF(INDEX(EntryPartyType,$P465)=0,"",INDEX(EntryPartyType,$P465)))</f>
        <v/>
      </c>
      <c r="G465" s="26">
        <f>IF($P465="","",IF(INDEX(EntryTxnType,$P465)=0,"",INDEX(EntryTxnType,$P465)))</f>
        <v/>
      </c>
      <c r="H465" s="27">
        <f>IF($P465="","",IF(INDEX(EntryDep,$P465)=0,"",INDEX(EntryDep,$P465)))</f>
        <v/>
      </c>
      <c r="I465" s="27">
        <f>IF($P465="","",IF(INDEX(EntryWit,$P465)=0,"",INDEX(EntryWit,$P465)))</f>
        <v/>
      </c>
      <c r="J465" s="27">
        <f>IF($B465="","",IF($A465=1,$C$7,IF(J464="",0,J464))+IF($H465="",0,$H465)-IF($I465="",0,$I465))</f>
        <v/>
      </c>
      <c r="K465" s="27">
        <f>IF($P465="","",IF(INDEX(EntryMan,$P465)=0,"",INDEX(EntryMan,$P465)))</f>
        <v/>
      </c>
      <c r="L465" s="26">
        <f>IF($B465="","",IF($K465="","—",IF(ROUND($K465-$J465,0)=0,"√","×")))</f>
        <v/>
      </c>
      <c r="M465" s="26">
        <f>IF($B465="","",IF(COUNTIFS(EntryDates,$B465,CalcTime,$C465,CalcBank,$C$5,EntryParty,$D465,EntryDep,$H465,EntryWit,$I465)&gt;1,"تکرار",""))</f>
        <v/>
      </c>
      <c r="N465" s="26">
        <f>IF($P465="","",IF(INDEX(EntryNotes,$P465)=0,"",INDEX(EntryNotes,$P465)))</f>
        <v/>
      </c>
      <c r="O465" s="26">
        <f>IF($P465="","",IF(INDEX(EntryTxnID,$P465)=0,"",INDEX(EntryTxnID,$P465)))</f>
        <v/>
      </c>
      <c r="P465" s="26">
        <f>IFERROR(MATCH($C$5&amp;"|"&amp;RIGHT("000000"&amp;449,6),CalcRankKey,0),"")</f>
        <v/>
      </c>
    </row>
    <row r="466">
      <c r="A466" s="28">
        <f>IF($B466="","",450)</f>
        <v/>
      </c>
      <c r="B466" s="28">
        <f>IF($P466="","",IF(INDEX(CalcNormDate,$P466)=0,"",INDEX(CalcNormDate,$P466)))</f>
        <v/>
      </c>
      <c r="C466" s="28">
        <f>IF($P466="","",IF(INDEX(CalcTime,$P466)=0,"",INDEX(CalcTime,$P466)))</f>
        <v/>
      </c>
      <c r="D466" s="28">
        <f>IF($P466="","",IF(INDEX(EntryParty,$P466)=0,"",INDEX(EntryParty,$P466)))</f>
        <v/>
      </c>
      <c r="E466" s="28">
        <f>IF($P466="","",IF(INDEX(EntryPartyName,$P466)=0,"",INDEX(EntryPartyName,$P466)))</f>
        <v/>
      </c>
      <c r="F466" s="28">
        <f>IF($P466="","",IF(INDEX(EntryPartyType,$P466)=0,"",INDEX(EntryPartyType,$P466)))</f>
        <v/>
      </c>
      <c r="G466" s="28">
        <f>IF($P466="","",IF(INDEX(EntryTxnType,$P466)=0,"",INDEX(EntryTxnType,$P466)))</f>
        <v/>
      </c>
      <c r="H466" s="29">
        <f>IF($P466="","",IF(INDEX(EntryDep,$P466)=0,"",INDEX(EntryDep,$P466)))</f>
        <v/>
      </c>
      <c r="I466" s="29">
        <f>IF($P466="","",IF(INDEX(EntryWit,$P466)=0,"",INDEX(EntryWit,$P466)))</f>
        <v/>
      </c>
      <c r="J466" s="29">
        <f>IF($B466="","",IF($A466=1,$C$7,IF(J465="",0,J465))+IF($H466="",0,$H466)-IF($I466="",0,$I466))</f>
        <v/>
      </c>
      <c r="K466" s="29">
        <f>IF($P466="","",IF(INDEX(EntryMan,$P466)=0,"",INDEX(EntryMan,$P466)))</f>
        <v/>
      </c>
      <c r="L466" s="28">
        <f>IF($B466="","",IF($K466="","—",IF(ROUND($K466-$J466,0)=0,"√","×")))</f>
        <v/>
      </c>
      <c r="M466" s="28">
        <f>IF($B466="","",IF(COUNTIFS(EntryDates,$B466,CalcTime,$C466,CalcBank,$C$5,EntryParty,$D466,EntryDep,$H466,EntryWit,$I466)&gt;1,"تکرار",""))</f>
        <v/>
      </c>
      <c r="N466" s="28">
        <f>IF($P466="","",IF(INDEX(EntryNotes,$P466)=0,"",INDEX(EntryNotes,$P466)))</f>
        <v/>
      </c>
      <c r="O466" s="28">
        <f>IF($P466="","",IF(INDEX(EntryTxnID,$P466)=0,"",INDEX(EntryTxnID,$P466)))</f>
        <v/>
      </c>
      <c r="P466" s="28">
        <f>IFERROR(MATCH($C$5&amp;"|"&amp;RIGHT("000000"&amp;450,6),CalcRankKey,0),"")</f>
        <v/>
      </c>
    </row>
    <row r="467">
      <c r="A467" s="26">
        <f>IF($B467="","",451)</f>
        <v/>
      </c>
      <c r="B467" s="26">
        <f>IF($P467="","",IF(INDEX(CalcNormDate,$P467)=0,"",INDEX(CalcNormDate,$P467)))</f>
        <v/>
      </c>
      <c r="C467" s="26">
        <f>IF($P467="","",IF(INDEX(CalcTime,$P467)=0,"",INDEX(CalcTime,$P467)))</f>
        <v/>
      </c>
      <c r="D467" s="26">
        <f>IF($P467="","",IF(INDEX(EntryParty,$P467)=0,"",INDEX(EntryParty,$P467)))</f>
        <v/>
      </c>
      <c r="E467" s="26">
        <f>IF($P467="","",IF(INDEX(EntryPartyName,$P467)=0,"",INDEX(EntryPartyName,$P467)))</f>
        <v/>
      </c>
      <c r="F467" s="26">
        <f>IF($P467="","",IF(INDEX(EntryPartyType,$P467)=0,"",INDEX(EntryPartyType,$P467)))</f>
        <v/>
      </c>
      <c r="G467" s="26">
        <f>IF($P467="","",IF(INDEX(EntryTxnType,$P467)=0,"",INDEX(EntryTxnType,$P467)))</f>
        <v/>
      </c>
      <c r="H467" s="27">
        <f>IF($P467="","",IF(INDEX(EntryDep,$P467)=0,"",INDEX(EntryDep,$P467)))</f>
        <v/>
      </c>
      <c r="I467" s="27">
        <f>IF($P467="","",IF(INDEX(EntryWit,$P467)=0,"",INDEX(EntryWit,$P467)))</f>
        <v/>
      </c>
      <c r="J467" s="27">
        <f>IF($B467="","",IF($A467=1,$C$7,IF(J466="",0,J466))+IF($H467="",0,$H467)-IF($I467="",0,$I467))</f>
        <v/>
      </c>
      <c r="K467" s="27">
        <f>IF($P467="","",IF(INDEX(EntryMan,$P467)=0,"",INDEX(EntryMan,$P467)))</f>
        <v/>
      </c>
      <c r="L467" s="26">
        <f>IF($B467="","",IF($K467="","—",IF(ROUND($K467-$J467,0)=0,"√","×")))</f>
        <v/>
      </c>
      <c r="M467" s="26">
        <f>IF($B467="","",IF(COUNTIFS(EntryDates,$B467,CalcTime,$C467,CalcBank,$C$5,EntryParty,$D467,EntryDep,$H467,EntryWit,$I467)&gt;1,"تکرار",""))</f>
        <v/>
      </c>
      <c r="N467" s="26">
        <f>IF($P467="","",IF(INDEX(EntryNotes,$P467)=0,"",INDEX(EntryNotes,$P467)))</f>
        <v/>
      </c>
      <c r="O467" s="26">
        <f>IF($P467="","",IF(INDEX(EntryTxnID,$P467)=0,"",INDEX(EntryTxnID,$P467)))</f>
        <v/>
      </c>
      <c r="P467" s="26">
        <f>IFERROR(MATCH($C$5&amp;"|"&amp;RIGHT("000000"&amp;451,6),CalcRankKey,0),"")</f>
        <v/>
      </c>
    </row>
    <row r="468">
      <c r="A468" s="28">
        <f>IF($B468="","",452)</f>
        <v/>
      </c>
      <c r="B468" s="28">
        <f>IF($P468="","",IF(INDEX(CalcNormDate,$P468)=0,"",INDEX(CalcNormDate,$P468)))</f>
        <v/>
      </c>
      <c r="C468" s="28">
        <f>IF($P468="","",IF(INDEX(CalcTime,$P468)=0,"",INDEX(CalcTime,$P468)))</f>
        <v/>
      </c>
      <c r="D468" s="28">
        <f>IF($P468="","",IF(INDEX(EntryParty,$P468)=0,"",INDEX(EntryParty,$P468)))</f>
        <v/>
      </c>
      <c r="E468" s="28">
        <f>IF($P468="","",IF(INDEX(EntryPartyName,$P468)=0,"",INDEX(EntryPartyName,$P468)))</f>
        <v/>
      </c>
      <c r="F468" s="28">
        <f>IF($P468="","",IF(INDEX(EntryPartyType,$P468)=0,"",INDEX(EntryPartyType,$P468)))</f>
        <v/>
      </c>
      <c r="G468" s="28">
        <f>IF($P468="","",IF(INDEX(EntryTxnType,$P468)=0,"",INDEX(EntryTxnType,$P468)))</f>
        <v/>
      </c>
      <c r="H468" s="29">
        <f>IF($P468="","",IF(INDEX(EntryDep,$P468)=0,"",INDEX(EntryDep,$P468)))</f>
        <v/>
      </c>
      <c r="I468" s="29">
        <f>IF($P468="","",IF(INDEX(EntryWit,$P468)=0,"",INDEX(EntryWit,$P468)))</f>
        <v/>
      </c>
      <c r="J468" s="29">
        <f>IF($B468="","",IF($A468=1,$C$7,IF(J467="",0,J467))+IF($H468="",0,$H468)-IF($I468="",0,$I468))</f>
        <v/>
      </c>
      <c r="K468" s="29">
        <f>IF($P468="","",IF(INDEX(EntryMan,$P468)=0,"",INDEX(EntryMan,$P468)))</f>
        <v/>
      </c>
      <c r="L468" s="28">
        <f>IF($B468="","",IF($K468="","—",IF(ROUND($K468-$J468,0)=0,"√","×")))</f>
        <v/>
      </c>
      <c r="M468" s="28">
        <f>IF($B468="","",IF(COUNTIFS(EntryDates,$B468,CalcTime,$C468,CalcBank,$C$5,EntryParty,$D468,EntryDep,$H468,EntryWit,$I468)&gt;1,"تکرار",""))</f>
        <v/>
      </c>
      <c r="N468" s="28">
        <f>IF($P468="","",IF(INDEX(EntryNotes,$P468)=0,"",INDEX(EntryNotes,$P468)))</f>
        <v/>
      </c>
      <c r="O468" s="28">
        <f>IF($P468="","",IF(INDEX(EntryTxnID,$P468)=0,"",INDEX(EntryTxnID,$P468)))</f>
        <v/>
      </c>
      <c r="P468" s="28">
        <f>IFERROR(MATCH($C$5&amp;"|"&amp;RIGHT("000000"&amp;452,6),CalcRankKey,0),"")</f>
        <v/>
      </c>
    </row>
    <row r="469">
      <c r="A469" s="26">
        <f>IF($B469="","",453)</f>
        <v/>
      </c>
      <c r="B469" s="26">
        <f>IF($P469="","",IF(INDEX(CalcNormDate,$P469)=0,"",INDEX(CalcNormDate,$P469)))</f>
        <v/>
      </c>
      <c r="C469" s="26">
        <f>IF($P469="","",IF(INDEX(CalcTime,$P469)=0,"",INDEX(CalcTime,$P469)))</f>
        <v/>
      </c>
      <c r="D469" s="26">
        <f>IF($P469="","",IF(INDEX(EntryParty,$P469)=0,"",INDEX(EntryParty,$P469)))</f>
        <v/>
      </c>
      <c r="E469" s="26">
        <f>IF($P469="","",IF(INDEX(EntryPartyName,$P469)=0,"",INDEX(EntryPartyName,$P469)))</f>
        <v/>
      </c>
      <c r="F469" s="26">
        <f>IF($P469="","",IF(INDEX(EntryPartyType,$P469)=0,"",INDEX(EntryPartyType,$P469)))</f>
        <v/>
      </c>
      <c r="G469" s="26">
        <f>IF($P469="","",IF(INDEX(EntryTxnType,$P469)=0,"",INDEX(EntryTxnType,$P469)))</f>
        <v/>
      </c>
      <c r="H469" s="27">
        <f>IF($P469="","",IF(INDEX(EntryDep,$P469)=0,"",INDEX(EntryDep,$P469)))</f>
        <v/>
      </c>
      <c r="I469" s="27">
        <f>IF($P469="","",IF(INDEX(EntryWit,$P469)=0,"",INDEX(EntryWit,$P469)))</f>
        <v/>
      </c>
      <c r="J469" s="27">
        <f>IF($B469="","",IF($A469=1,$C$7,IF(J468="",0,J468))+IF($H469="",0,$H469)-IF($I469="",0,$I469))</f>
        <v/>
      </c>
      <c r="K469" s="27">
        <f>IF($P469="","",IF(INDEX(EntryMan,$P469)=0,"",INDEX(EntryMan,$P469)))</f>
        <v/>
      </c>
      <c r="L469" s="26">
        <f>IF($B469="","",IF($K469="","—",IF(ROUND($K469-$J469,0)=0,"√","×")))</f>
        <v/>
      </c>
      <c r="M469" s="26">
        <f>IF($B469="","",IF(COUNTIFS(EntryDates,$B469,CalcTime,$C469,CalcBank,$C$5,EntryParty,$D469,EntryDep,$H469,EntryWit,$I469)&gt;1,"تکرار",""))</f>
        <v/>
      </c>
      <c r="N469" s="26">
        <f>IF($P469="","",IF(INDEX(EntryNotes,$P469)=0,"",INDEX(EntryNotes,$P469)))</f>
        <v/>
      </c>
      <c r="O469" s="26">
        <f>IF($P469="","",IF(INDEX(EntryTxnID,$P469)=0,"",INDEX(EntryTxnID,$P469)))</f>
        <v/>
      </c>
      <c r="P469" s="26">
        <f>IFERROR(MATCH($C$5&amp;"|"&amp;RIGHT("000000"&amp;453,6),CalcRankKey,0),"")</f>
        <v/>
      </c>
    </row>
    <row r="470">
      <c r="A470" s="28">
        <f>IF($B470="","",454)</f>
        <v/>
      </c>
      <c r="B470" s="28">
        <f>IF($P470="","",IF(INDEX(CalcNormDate,$P470)=0,"",INDEX(CalcNormDate,$P470)))</f>
        <v/>
      </c>
      <c r="C470" s="28">
        <f>IF($P470="","",IF(INDEX(CalcTime,$P470)=0,"",INDEX(CalcTime,$P470)))</f>
        <v/>
      </c>
      <c r="D470" s="28">
        <f>IF($P470="","",IF(INDEX(EntryParty,$P470)=0,"",INDEX(EntryParty,$P470)))</f>
        <v/>
      </c>
      <c r="E470" s="28">
        <f>IF($P470="","",IF(INDEX(EntryPartyName,$P470)=0,"",INDEX(EntryPartyName,$P470)))</f>
        <v/>
      </c>
      <c r="F470" s="28">
        <f>IF($P470="","",IF(INDEX(EntryPartyType,$P470)=0,"",INDEX(EntryPartyType,$P470)))</f>
        <v/>
      </c>
      <c r="G470" s="28">
        <f>IF($P470="","",IF(INDEX(EntryTxnType,$P470)=0,"",INDEX(EntryTxnType,$P470)))</f>
        <v/>
      </c>
      <c r="H470" s="29">
        <f>IF($P470="","",IF(INDEX(EntryDep,$P470)=0,"",INDEX(EntryDep,$P470)))</f>
        <v/>
      </c>
      <c r="I470" s="29">
        <f>IF($P470="","",IF(INDEX(EntryWit,$P470)=0,"",INDEX(EntryWit,$P470)))</f>
        <v/>
      </c>
      <c r="J470" s="29">
        <f>IF($B470="","",IF($A470=1,$C$7,IF(J469="",0,J469))+IF($H470="",0,$H470)-IF($I470="",0,$I470))</f>
        <v/>
      </c>
      <c r="K470" s="29">
        <f>IF($P470="","",IF(INDEX(EntryMan,$P470)=0,"",INDEX(EntryMan,$P470)))</f>
        <v/>
      </c>
      <c r="L470" s="28">
        <f>IF($B470="","",IF($K470="","—",IF(ROUND($K470-$J470,0)=0,"√","×")))</f>
        <v/>
      </c>
      <c r="M470" s="28">
        <f>IF($B470="","",IF(COUNTIFS(EntryDates,$B470,CalcTime,$C470,CalcBank,$C$5,EntryParty,$D470,EntryDep,$H470,EntryWit,$I470)&gt;1,"تکرار",""))</f>
        <v/>
      </c>
      <c r="N470" s="28">
        <f>IF($P470="","",IF(INDEX(EntryNotes,$P470)=0,"",INDEX(EntryNotes,$P470)))</f>
        <v/>
      </c>
      <c r="O470" s="28">
        <f>IF($P470="","",IF(INDEX(EntryTxnID,$P470)=0,"",INDEX(EntryTxnID,$P470)))</f>
        <v/>
      </c>
      <c r="P470" s="28">
        <f>IFERROR(MATCH($C$5&amp;"|"&amp;RIGHT("000000"&amp;454,6),CalcRankKey,0),"")</f>
        <v/>
      </c>
    </row>
    <row r="471">
      <c r="A471" s="26">
        <f>IF($B471="","",455)</f>
        <v/>
      </c>
      <c r="B471" s="26">
        <f>IF($P471="","",IF(INDEX(CalcNormDate,$P471)=0,"",INDEX(CalcNormDate,$P471)))</f>
        <v/>
      </c>
      <c r="C471" s="26">
        <f>IF($P471="","",IF(INDEX(CalcTime,$P471)=0,"",INDEX(CalcTime,$P471)))</f>
        <v/>
      </c>
      <c r="D471" s="26">
        <f>IF($P471="","",IF(INDEX(EntryParty,$P471)=0,"",INDEX(EntryParty,$P471)))</f>
        <v/>
      </c>
      <c r="E471" s="26">
        <f>IF($P471="","",IF(INDEX(EntryPartyName,$P471)=0,"",INDEX(EntryPartyName,$P471)))</f>
        <v/>
      </c>
      <c r="F471" s="26">
        <f>IF($P471="","",IF(INDEX(EntryPartyType,$P471)=0,"",INDEX(EntryPartyType,$P471)))</f>
        <v/>
      </c>
      <c r="G471" s="26">
        <f>IF($P471="","",IF(INDEX(EntryTxnType,$P471)=0,"",INDEX(EntryTxnType,$P471)))</f>
        <v/>
      </c>
      <c r="H471" s="27">
        <f>IF($P471="","",IF(INDEX(EntryDep,$P471)=0,"",INDEX(EntryDep,$P471)))</f>
        <v/>
      </c>
      <c r="I471" s="27">
        <f>IF($P471="","",IF(INDEX(EntryWit,$P471)=0,"",INDEX(EntryWit,$P471)))</f>
        <v/>
      </c>
      <c r="J471" s="27">
        <f>IF($B471="","",IF($A471=1,$C$7,IF(J470="",0,J470))+IF($H471="",0,$H471)-IF($I471="",0,$I471))</f>
        <v/>
      </c>
      <c r="K471" s="27">
        <f>IF($P471="","",IF(INDEX(EntryMan,$P471)=0,"",INDEX(EntryMan,$P471)))</f>
        <v/>
      </c>
      <c r="L471" s="26">
        <f>IF($B471="","",IF($K471="","—",IF(ROUND($K471-$J471,0)=0,"√","×")))</f>
        <v/>
      </c>
      <c r="M471" s="26">
        <f>IF($B471="","",IF(COUNTIFS(EntryDates,$B471,CalcTime,$C471,CalcBank,$C$5,EntryParty,$D471,EntryDep,$H471,EntryWit,$I471)&gt;1,"تکرار",""))</f>
        <v/>
      </c>
      <c r="N471" s="26">
        <f>IF($P471="","",IF(INDEX(EntryNotes,$P471)=0,"",INDEX(EntryNotes,$P471)))</f>
        <v/>
      </c>
      <c r="O471" s="26">
        <f>IF($P471="","",IF(INDEX(EntryTxnID,$P471)=0,"",INDEX(EntryTxnID,$P471)))</f>
        <v/>
      </c>
      <c r="P471" s="26">
        <f>IFERROR(MATCH($C$5&amp;"|"&amp;RIGHT("000000"&amp;455,6),CalcRankKey,0),"")</f>
        <v/>
      </c>
    </row>
    <row r="472">
      <c r="A472" s="28">
        <f>IF($B472="","",456)</f>
        <v/>
      </c>
      <c r="B472" s="28">
        <f>IF($P472="","",IF(INDEX(CalcNormDate,$P472)=0,"",INDEX(CalcNormDate,$P472)))</f>
        <v/>
      </c>
      <c r="C472" s="28">
        <f>IF($P472="","",IF(INDEX(CalcTime,$P472)=0,"",INDEX(CalcTime,$P472)))</f>
        <v/>
      </c>
      <c r="D472" s="28">
        <f>IF($P472="","",IF(INDEX(EntryParty,$P472)=0,"",INDEX(EntryParty,$P472)))</f>
        <v/>
      </c>
      <c r="E472" s="28">
        <f>IF($P472="","",IF(INDEX(EntryPartyName,$P472)=0,"",INDEX(EntryPartyName,$P472)))</f>
        <v/>
      </c>
      <c r="F472" s="28">
        <f>IF($P472="","",IF(INDEX(EntryPartyType,$P472)=0,"",INDEX(EntryPartyType,$P472)))</f>
        <v/>
      </c>
      <c r="G472" s="28">
        <f>IF($P472="","",IF(INDEX(EntryTxnType,$P472)=0,"",INDEX(EntryTxnType,$P472)))</f>
        <v/>
      </c>
      <c r="H472" s="29">
        <f>IF($P472="","",IF(INDEX(EntryDep,$P472)=0,"",INDEX(EntryDep,$P472)))</f>
        <v/>
      </c>
      <c r="I472" s="29">
        <f>IF($P472="","",IF(INDEX(EntryWit,$P472)=0,"",INDEX(EntryWit,$P472)))</f>
        <v/>
      </c>
      <c r="J472" s="29">
        <f>IF($B472="","",IF($A472=1,$C$7,IF(J471="",0,J471))+IF($H472="",0,$H472)-IF($I472="",0,$I472))</f>
        <v/>
      </c>
      <c r="K472" s="29">
        <f>IF($P472="","",IF(INDEX(EntryMan,$P472)=0,"",INDEX(EntryMan,$P472)))</f>
        <v/>
      </c>
      <c r="L472" s="28">
        <f>IF($B472="","",IF($K472="","—",IF(ROUND($K472-$J472,0)=0,"√","×")))</f>
        <v/>
      </c>
      <c r="M472" s="28">
        <f>IF($B472="","",IF(COUNTIFS(EntryDates,$B472,CalcTime,$C472,CalcBank,$C$5,EntryParty,$D472,EntryDep,$H472,EntryWit,$I472)&gt;1,"تکرار",""))</f>
        <v/>
      </c>
      <c r="N472" s="28">
        <f>IF($P472="","",IF(INDEX(EntryNotes,$P472)=0,"",INDEX(EntryNotes,$P472)))</f>
        <v/>
      </c>
      <c r="O472" s="28">
        <f>IF($P472="","",IF(INDEX(EntryTxnID,$P472)=0,"",INDEX(EntryTxnID,$P472)))</f>
        <v/>
      </c>
      <c r="P472" s="28">
        <f>IFERROR(MATCH($C$5&amp;"|"&amp;RIGHT("000000"&amp;456,6),CalcRankKey,0),"")</f>
        <v/>
      </c>
    </row>
    <row r="473">
      <c r="A473" s="26">
        <f>IF($B473="","",457)</f>
        <v/>
      </c>
      <c r="B473" s="26">
        <f>IF($P473="","",IF(INDEX(CalcNormDate,$P473)=0,"",INDEX(CalcNormDate,$P473)))</f>
        <v/>
      </c>
      <c r="C473" s="26">
        <f>IF($P473="","",IF(INDEX(CalcTime,$P473)=0,"",INDEX(CalcTime,$P473)))</f>
        <v/>
      </c>
      <c r="D473" s="26">
        <f>IF($P473="","",IF(INDEX(EntryParty,$P473)=0,"",INDEX(EntryParty,$P473)))</f>
        <v/>
      </c>
      <c r="E473" s="26">
        <f>IF($P473="","",IF(INDEX(EntryPartyName,$P473)=0,"",INDEX(EntryPartyName,$P473)))</f>
        <v/>
      </c>
      <c r="F473" s="26">
        <f>IF($P473="","",IF(INDEX(EntryPartyType,$P473)=0,"",INDEX(EntryPartyType,$P473)))</f>
        <v/>
      </c>
      <c r="G473" s="26">
        <f>IF($P473="","",IF(INDEX(EntryTxnType,$P473)=0,"",INDEX(EntryTxnType,$P473)))</f>
        <v/>
      </c>
      <c r="H473" s="27">
        <f>IF($P473="","",IF(INDEX(EntryDep,$P473)=0,"",INDEX(EntryDep,$P473)))</f>
        <v/>
      </c>
      <c r="I473" s="27">
        <f>IF($P473="","",IF(INDEX(EntryWit,$P473)=0,"",INDEX(EntryWit,$P473)))</f>
        <v/>
      </c>
      <c r="J473" s="27">
        <f>IF($B473="","",IF($A473=1,$C$7,IF(J472="",0,J472))+IF($H473="",0,$H473)-IF($I473="",0,$I473))</f>
        <v/>
      </c>
      <c r="K473" s="27">
        <f>IF($P473="","",IF(INDEX(EntryMan,$P473)=0,"",INDEX(EntryMan,$P473)))</f>
        <v/>
      </c>
      <c r="L473" s="26">
        <f>IF($B473="","",IF($K473="","—",IF(ROUND($K473-$J473,0)=0,"√","×")))</f>
        <v/>
      </c>
      <c r="M473" s="26">
        <f>IF($B473="","",IF(COUNTIFS(EntryDates,$B473,CalcTime,$C473,CalcBank,$C$5,EntryParty,$D473,EntryDep,$H473,EntryWit,$I473)&gt;1,"تکرار",""))</f>
        <v/>
      </c>
      <c r="N473" s="26">
        <f>IF($P473="","",IF(INDEX(EntryNotes,$P473)=0,"",INDEX(EntryNotes,$P473)))</f>
        <v/>
      </c>
      <c r="O473" s="26">
        <f>IF($P473="","",IF(INDEX(EntryTxnID,$P473)=0,"",INDEX(EntryTxnID,$P473)))</f>
        <v/>
      </c>
      <c r="P473" s="26">
        <f>IFERROR(MATCH($C$5&amp;"|"&amp;RIGHT("000000"&amp;457,6),CalcRankKey,0),"")</f>
        <v/>
      </c>
    </row>
    <row r="474">
      <c r="A474" s="28">
        <f>IF($B474="","",458)</f>
        <v/>
      </c>
      <c r="B474" s="28">
        <f>IF($P474="","",IF(INDEX(CalcNormDate,$P474)=0,"",INDEX(CalcNormDate,$P474)))</f>
        <v/>
      </c>
      <c r="C474" s="28">
        <f>IF($P474="","",IF(INDEX(CalcTime,$P474)=0,"",INDEX(CalcTime,$P474)))</f>
        <v/>
      </c>
      <c r="D474" s="28">
        <f>IF($P474="","",IF(INDEX(EntryParty,$P474)=0,"",INDEX(EntryParty,$P474)))</f>
        <v/>
      </c>
      <c r="E474" s="28">
        <f>IF($P474="","",IF(INDEX(EntryPartyName,$P474)=0,"",INDEX(EntryPartyName,$P474)))</f>
        <v/>
      </c>
      <c r="F474" s="28">
        <f>IF($P474="","",IF(INDEX(EntryPartyType,$P474)=0,"",INDEX(EntryPartyType,$P474)))</f>
        <v/>
      </c>
      <c r="G474" s="28">
        <f>IF($P474="","",IF(INDEX(EntryTxnType,$P474)=0,"",INDEX(EntryTxnType,$P474)))</f>
        <v/>
      </c>
      <c r="H474" s="29">
        <f>IF($P474="","",IF(INDEX(EntryDep,$P474)=0,"",INDEX(EntryDep,$P474)))</f>
        <v/>
      </c>
      <c r="I474" s="29">
        <f>IF($P474="","",IF(INDEX(EntryWit,$P474)=0,"",INDEX(EntryWit,$P474)))</f>
        <v/>
      </c>
      <c r="J474" s="29">
        <f>IF($B474="","",IF($A474=1,$C$7,IF(J473="",0,J473))+IF($H474="",0,$H474)-IF($I474="",0,$I474))</f>
        <v/>
      </c>
      <c r="K474" s="29">
        <f>IF($P474="","",IF(INDEX(EntryMan,$P474)=0,"",INDEX(EntryMan,$P474)))</f>
        <v/>
      </c>
      <c r="L474" s="28">
        <f>IF($B474="","",IF($K474="","—",IF(ROUND($K474-$J474,0)=0,"√","×")))</f>
        <v/>
      </c>
      <c r="M474" s="28">
        <f>IF($B474="","",IF(COUNTIFS(EntryDates,$B474,CalcTime,$C474,CalcBank,$C$5,EntryParty,$D474,EntryDep,$H474,EntryWit,$I474)&gt;1,"تکرار",""))</f>
        <v/>
      </c>
      <c r="N474" s="28">
        <f>IF($P474="","",IF(INDEX(EntryNotes,$P474)=0,"",INDEX(EntryNotes,$P474)))</f>
        <v/>
      </c>
      <c r="O474" s="28">
        <f>IF($P474="","",IF(INDEX(EntryTxnID,$P474)=0,"",INDEX(EntryTxnID,$P474)))</f>
        <v/>
      </c>
      <c r="P474" s="28">
        <f>IFERROR(MATCH($C$5&amp;"|"&amp;RIGHT("000000"&amp;458,6),CalcRankKey,0),"")</f>
        <v/>
      </c>
    </row>
    <row r="475">
      <c r="A475" s="26">
        <f>IF($B475="","",459)</f>
        <v/>
      </c>
      <c r="B475" s="26">
        <f>IF($P475="","",IF(INDEX(CalcNormDate,$P475)=0,"",INDEX(CalcNormDate,$P475)))</f>
        <v/>
      </c>
      <c r="C475" s="26">
        <f>IF($P475="","",IF(INDEX(CalcTime,$P475)=0,"",INDEX(CalcTime,$P475)))</f>
        <v/>
      </c>
      <c r="D475" s="26">
        <f>IF($P475="","",IF(INDEX(EntryParty,$P475)=0,"",INDEX(EntryParty,$P475)))</f>
        <v/>
      </c>
      <c r="E475" s="26">
        <f>IF($P475="","",IF(INDEX(EntryPartyName,$P475)=0,"",INDEX(EntryPartyName,$P475)))</f>
        <v/>
      </c>
      <c r="F475" s="26">
        <f>IF($P475="","",IF(INDEX(EntryPartyType,$P475)=0,"",INDEX(EntryPartyType,$P475)))</f>
        <v/>
      </c>
      <c r="G475" s="26">
        <f>IF($P475="","",IF(INDEX(EntryTxnType,$P475)=0,"",INDEX(EntryTxnType,$P475)))</f>
        <v/>
      </c>
      <c r="H475" s="27">
        <f>IF($P475="","",IF(INDEX(EntryDep,$P475)=0,"",INDEX(EntryDep,$P475)))</f>
        <v/>
      </c>
      <c r="I475" s="27">
        <f>IF($P475="","",IF(INDEX(EntryWit,$P475)=0,"",INDEX(EntryWit,$P475)))</f>
        <v/>
      </c>
      <c r="J475" s="27">
        <f>IF($B475="","",IF($A475=1,$C$7,IF(J474="",0,J474))+IF($H475="",0,$H475)-IF($I475="",0,$I475))</f>
        <v/>
      </c>
      <c r="K475" s="27">
        <f>IF($P475="","",IF(INDEX(EntryMan,$P475)=0,"",INDEX(EntryMan,$P475)))</f>
        <v/>
      </c>
      <c r="L475" s="26">
        <f>IF($B475="","",IF($K475="","—",IF(ROUND($K475-$J475,0)=0,"√","×")))</f>
        <v/>
      </c>
      <c r="M475" s="26">
        <f>IF($B475="","",IF(COUNTIFS(EntryDates,$B475,CalcTime,$C475,CalcBank,$C$5,EntryParty,$D475,EntryDep,$H475,EntryWit,$I475)&gt;1,"تکرار",""))</f>
        <v/>
      </c>
      <c r="N475" s="26">
        <f>IF($P475="","",IF(INDEX(EntryNotes,$P475)=0,"",INDEX(EntryNotes,$P475)))</f>
        <v/>
      </c>
      <c r="O475" s="26">
        <f>IF($P475="","",IF(INDEX(EntryTxnID,$P475)=0,"",INDEX(EntryTxnID,$P475)))</f>
        <v/>
      </c>
      <c r="P475" s="26">
        <f>IFERROR(MATCH($C$5&amp;"|"&amp;RIGHT("000000"&amp;459,6),CalcRankKey,0),"")</f>
        <v/>
      </c>
    </row>
    <row r="476">
      <c r="A476" s="28">
        <f>IF($B476="","",460)</f>
        <v/>
      </c>
      <c r="B476" s="28">
        <f>IF($P476="","",IF(INDEX(CalcNormDate,$P476)=0,"",INDEX(CalcNormDate,$P476)))</f>
        <v/>
      </c>
      <c r="C476" s="28">
        <f>IF($P476="","",IF(INDEX(CalcTime,$P476)=0,"",INDEX(CalcTime,$P476)))</f>
        <v/>
      </c>
      <c r="D476" s="28">
        <f>IF($P476="","",IF(INDEX(EntryParty,$P476)=0,"",INDEX(EntryParty,$P476)))</f>
        <v/>
      </c>
      <c r="E476" s="28">
        <f>IF($P476="","",IF(INDEX(EntryPartyName,$P476)=0,"",INDEX(EntryPartyName,$P476)))</f>
        <v/>
      </c>
      <c r="F476" s="28">
        <f>IF($P476="","",IF(INDEX(EntryPartyType,$P476)=0,"",INDEX(EntryPartyType,$P476)))</f>
        <v/>
      </c>
      <c r="G476" s="28">
        <f>IF($P476="","",IF(INDEX(EntryTxnType,$P476)=0,"",INDEX(EntryTxnType,$P476)))</f>
        <v/>
      </c>
      <c r="H476" s="29">
        <f>IF($P476="","",IF(INDEX(EntryDep,$P476)=0,"",INDEX(EntryDep,$P476)))</f>
        <v/>
      </c>
      <c r="I476" s="29">
        <f>IF($P476="","",IF(INDEX(EntryWit,$P476)=0,"",INDEX(EntryWit,$P476)))</f>
        <v/>
      </c>
      <c r="J476" s="29">
        <f>IF($B476="","",IF($A476=1,$C$7,IF(J475="",0,J475))+IF($H476="",0,$H476)-IF($I476="",0,$I476))</f>
        <v/>
      </c>
      <c r="K476" s="29">
        <f>IF($P476="","",IF(INDEX(EntryMan,$P476)=0,"",INDEX(EntryMan,$P476)))</f>
        <v/>
      </c>
      <c r="L476" s="28">
        <f>IF($B476="","",IF($K476="","—",IF(ROUND($K476-$J476,0)=0,"√","×")))</f>
        <v/>
      </c>
      <c r="M476" s="28">
        <f>IF($B476="","",IF(COUNTIFS(EntryDates,$B476,CalcTime,$C476,CalcBank,$C$5,EntryParty,$D476,EntryDep,$H476,EntryWit,$I476)&gt;1,"تکرار",""))</f>
        <v/>
      </c>
      <c r="N476" s="28">
        <f>IF($P476="","",IF(INDEX(EntryNotes,$P476)=0,"",INDEX(EntryNotes,$P476)))</f>
        <v/>
      </c>
      <c r="O476" s="28">
        <f>IF($P476="","",IF(INDEX(EntryTxnID,$P476)=0,"",INDEX(EntryTxnID,$P476)))</f>
        <v/>
      </c>
      <c r="P476" s="28">
        <f>IFERROR(MATCH($C$5&amp;"|"&amp;RIGHT("000000"&amp;460,6),CalcRankKey,0),"")</f>
        <v/>
      </c>
    </row>
    <row r="477">
      <c r="A477" s="26">
        <f>IF($B477="","",461)</f>
        <v/>
      </c>
      <c r="B477" s="26">
        <f>IF($P477="","",IF(INDEX(CalcNormDate,$P477)=0,"",INDEX(CalcNormDate,$P477)))</f>
        <v/>
      </c>
      <c r="C477" s="26">
        <f>IF($P477="","",IF(INDEX(CalcTime,$P477)=0,"",INDEX(CalcTime,$P477)))</f>
        <v/>
      </c>
      <c r="D477" s="26">
        <f>IF($P477="","",IF(INDEX(EntryParty,$P477)=0,"",INDEX(EntryParty,$P477)))</f>
        <v/>
      </c>
      <c r="E477" s="26">
        <f>IF($P477="","",IF(INDEX(EntryPartyName,$P477)=0,"",INDEX(EntryPartyName,$P477)))</f>
        <v/>
      </c>
      <c r="F477" s="26">
        <f>IF($P477="","",IF(INDEX(EntryPartyType,$P477)=0,"",INDEX(EntryPartyType,$P477)))</f>
        <v/>
      </c>
      <c r="G477" s="26">
        <f>IF($P477="","",IF(INDEX(EntryTxnType,$P477)=0,"",INDEX(EntryTxnType,$P477)))</f>
        <v/>
      </c>
      <c r="H477" s="27">
        <f>IF($P477="","",IF(INDEX(EntryDep,$P477)=0,"",INDEX(EntryDep,$P477)))</f>
        <v/>
      </c>
      <c r="I477" s="27">
        <f>IF($P477="","",IF(INDEX(EntryWit,$P477)=0,"",INDEX(EntryWit,$P477)))</f>
        <v/>
      </c>
      <c r="J477" s="27">
        <f>IF($B477="","",IF($A477=1,$C$7,IF(J476="",0,J476))+IF($H477="",0,$H477)-IF($I477="",0,$I477))</f>
        <v/>
      </c>
      <c r="K477" s="27">
        <f>IF($P477="","",IF(INDEX(EntryMan,$P477)=0,"",INDEX(EntryMan,$P477)))</f>
        <v/>
      </c>
      <c r="L477" s="26">
        <f>IF($B477="","",IF($K477="","—",IF(ROUND($K477-$J477,0)=0,"√","×")))</f>
        <v/>
      </c>
      <c r="M477" s="26">
        <f>IF($B477="","",IF(COUNTIFS(EntryDates,$B477,CalcTime,$C477,CalcBank,$C$5,EntryParty,$D477,EntryDep,$H477,EntryWit,$I477)&gt;1,"تکرار",""))</f>
        <v/>
      </c>
      <c r="N477" s="26">
        <f>IF($P477="","",IF(INDEX(EntryNotes,$P477)=0,"",INDEX(EntryNotes,$P477)))</f>
        <v/>
      </c>
      <c r="O477" s="26">
        <f>IF($P477="","",IF(INDEX(EntryTxnID,$P477)=0,"",INDEX(EntryTxnID,$P477)))</f>
        <v/>
      </c>
      <c r="P477" s="26">
        <f>IFERROR(MATCH($C$5&amp;"|"&amp;RIGHT("000000"&amp;461,6),CalcRankKey,0),"")</f>
        <v/>
      </c>
    </row>
    <row r="478">
      <c r="A478" s="28">
        <f>IF($B478="","",462)</f>
        <v/>
      </c>
      <c r="B478" s="28">
        <f>IF($P478="","",IF(INDEX(CalcNormDate,$P478)=0,"",INDEX(CalcNormDate,$P478)))</f>
        <v/>
      </c>
      <c r="C478" s="28">
        <f>IF($P478="","",IF(INDEX(CalcTime,$P478)=0,"",INDEX(CalcTime,$P478)))</f>
        <v/>
      </c>
      <c r="D478" s="28">
        <f>IF($P478="","",IF(INDEX(EntryParty,$P478)=0,"",INDEX(EntryParty,$P478)))</f>
        <v/>
      </c>
      <c r="E478" s="28">
        <f>IF($P478="","",IF(INDEX(EntryPartyName,$P478)=0,"",INDEX(EntryPartyName,$P478)))</f>
        <v/>
      </c>
      <c r="F478" s="28">
        <f>IF($P478="","",IF(INDEX(EntryPartyType,$P478)=0,"",INDEX(EntryPartyType,$P478)))</f>
        <v/>
      </c>
      <c r="G478" s="28">
        <f>IF($P478="","",IF(INDEX(EntryTxnType,$P478)=0,"",INDEX(EntryTxnType,$P478)))</f>
        <v/>
      </c>
      <c r="H478" s="29">
        <f>IF($P478="","",IF(INDEX(EntryDep,$P478)=0,"",INDEX(EntryDep,$P478)))</f>
        <v/>
      </c>
      <c r="I478" s="29">
        <f>IF($P478="","",IF(INDEX(EntryWit,$P478)=0,"",INDEX(EntryWit,$P478)))</f>
        <v/>
      </c>
      <c r="J478" s="29">
        <f>IF($B478="","",IF($A478=1,$C$7,IF(J477="",0,J477))+IF($H478="",0,$H478)-IF($I478="",0,$I478))</f>
        <v/>
      </c>
      <c r="K478" s="29">
        <f>IF($P478="","",IF(INDEX(EntryMan,$P478)=0,"",INDEX(EntryMan,$P478)))</f>
        <v/>
      </c>
      <c r="L478" s="28">
        <f>IF($B478="","",IF($K478="","—",IF(ROUND($K478-$J478,0)=0,"√","×")))</f>
        <v/>
      </c>
      <c r="M478" s="28">
        <f>IF($B478="","",IF(COUNTIFS(EntryDates,$B478,CalcTime,$C478,CalcBank,$C$5,EntryParty,$D478,EntryDep,$H478,EntryWit,$I478)&gt;1,"تکرار",""))</f>
        <v/>
      </c>
      <c r="N478" s="28">
        <f>IF($P478="","",IF(INDEX(EntryNotes,$P478)=0,"",INDEX(EntryNotes,$P478)))</f>
        <v/>
      </c>
      <c r="O478" s="28">
        <f>IF($P478="","",IF(INDEX(EntryTxnID,$P478)=0,"",INDEX(EntryTxnID,$P478)))</f>
        <v/>
      </c>
      <c r="P478" s="28">
        <f>IFERROR(MATCH($C$5&amp;"|"&amp;RIGHT("000000"&amp;462,6),CalcRankKey,0),"")</f>
        <v/>
      </c>
    </row>
    <row r="479">
      <c r="A479" s="26">
        <f>IF($B479="","",463)</f>
        <v/>
      </c>
      <c r="B479" s="26">
        <f>IF($P479="","",IF(INDEX(CalcNormDate,$P479)=0,"",INDEX(CalcNormDate,$P479)))</f>
        <v/>
      </c>
      <c r="C479" s="26">
        <f>IF($P479="","",IF(INDEX(CalcTime,$P479)=0,"",INDEX(CalcTime,$P479)))</f>
        <v/>
      </c>
      <c r="D479" s="26">
        <f>IF($P479="","",IF(INDEX(EntryParty,$P479)=0,"",INDEX(EntryParty,$P479)))</f>
        <v/>
      </c>
      <c r="E479" s="26">
        <f>IF($P479="","",IF(INDEX(EntryPartyName,$P479)=0,"",INDEX(EntryPartyName,$P479)))</f>
        <v/>
      </c>
      <c r="F479" s="26">
        <f>IF($P479="","",IF(INDEX(EntryPartyType,$P479)=0,"",INDEX(EntryPartyType,$P479)))</f>
        <v/>
      </c>
      <c r="G479" s="26">
        <f>IF($P479="","",IF(INDEX(EntryTxnType,$P479)=0,"",INDEX(EntryTxnType,$P479)))</f>
        <v/>
      </c>
      <c r="H479" s="27">
        <f>IF($P479="","",IF(INDEX(EntryDep,$P479)=0,"",INDEX(EntryDep,$P479)))</f>
        <v/>
      </c>
      <c r="I479" s="27">
        <f>IF($P479="","",IF(INDEX(EntryWit,$P479)=0,"",INDEX(EntryWit,$P479)))</f>
        <v/>
      </c>
      <c r="J479" s="27">
        <f>IF($B479="","",IF($A479=1,$C$7,IF(J478="",0,J478))+IF($H479="",0,$H479)-IF($I479="",0,$I479))</f>
        <v/>
      </c>
      <c r="K479" s="27">
        <f>IF($P479="","",IF(INDEX(EntryMan,$P479)=0,"",INDEX(EntryMan,$P479)))</f>
        <v/>
      </c>
      <c r="L479" s="26">
        <f>IF($B479="","",IF($K479="","—",IF(ROUND($K479-$J479,0)=0,"√","×")))</f>
        <v/>
      </c>
      <c r="M479" s="26">
        <f>IF($B479="","",IF(COUNTIFS(EntryDates,$B479,CalcTime,$C479,CalcBank,$C$5,EntryParty,$D479,EntryDep,$H479,EntryWit,$I479)&gt;1,"تکرار",""))</f>
        <v/>
      </c>
      <c r="N479" s="26">
        <f>IF($P479="","",IF(INDEX(EntryNotes,$P479)=0,"",INDEX(EntryNotes,$P479)))</f>
        <v/>
      </c>
      <c r="O479" s="26">
        <f>IF($P479="","",IF(INDEX(EntryTxnID,$P479)=0,"",INDEX(EntryTxnID,$P479)))</f>
        <v/>
      </c>
      <c r="P479" s="26">
        <f>IFERROR(MATCH($C$5&amp;"|"&amp;RIGHT("000000"&amp;463,6),CalcRankKey,0),"")</f>
        <v/>
      </c>
    </row>
    <row r="480">
      <c r="A480" s="28">
        <f>IF($B480="","",464)</f>
        <v/>
      </c>
      <c r="B480" s="28">
        <f>IF($P480="","",IF(INDEX(CalcNormDate,$P480)=0,"",INDEX(CalcNormDate,$P480)))</f>
        <v/>
      </c>
      <c r="C480" s="28">
        <f>IF($P480="","",IF(INDEX(CalcTime,$P480)=0,"",INDEX(CalcTime,$P480)))</f>
        <v/>
      </c>
      <c r="D480" s="28">
        <f>IF($P480="","",IF(INDEX(EntryParty,$P480)=0,"",INDEX(EntryParty,$P480)))</f>
        <v/>
      </c>
      <c r="E480" s="28">
        <f>IF($P480="","",IF(INDEX(EntryPartyName,$P480)=0,"",INDEX(EntryPartyName,$P480)))</f>
        <v/>
      </c>
      <c r="F480" s="28">
        <f>IF($P480="","",IF(INDEX(EntryPartyType,$P480)=0,"",INDEX(EntryPartyType,$P480)))</f>
        <v/>
      </c>
      <c r="G480" s="28">
        <f>IF($P480="","",IF(INDEX(EntryTxnType,$P480)=0,"",INDEX(EntryTxnType,$P480)))</f>
        <v/>
      </c>
      <c r="H480" s="29">
        <f>IF($P480="","",IF(INDEX(EntryDep,$P480)=0,"",INDEX(EntryDep,$P480)))</f>
        <v/>
      </c>
      <c r="I480" s="29">
        <f>IF($P480="","",IF(INDEX(EntryWit,$P480)=0,"",INDEX(EntryWit,$P480)))</f>
        <v/>
      </c>
      <c r="J480" s="29">
        <f>IF($B480="","",IF($A480=1,$C$7,IF(J479="",0,J479))+IF($H480="",0,$H480)-IF($I480="",0,$I480))</f>
        <v/>
      </c>
      <c r="K480" s="29">
        <f>IF($P480="","",IF(INDEX(EntryMan,$P480)=0,"",INDEX(EntryMan,$P480)))</f>
        <v/>
      </c>
      <c r="L480" s="28">
        <f>IF($B480="","",IF($K480="","—",IF(ROUND($K480-$J480,0)=0,"√","×")))</f>
        <v/>
      </c>
      <c r="M480" s="28">
        <f>IF($B480="","",IF(COUNTIFS(EntryDates,$B480,CalcTime,$C480,CalcBank,$C$5,EntryParty,$D480,EntryDep,$H480,EntryWit,$I480)&gt;1,"تکرار",""))</f>
        <v/>
      </c>
      <c r="N480" s="28">
        <f>IF($P480="","",IF(INDEX(EntryNotes,$P480)=0,"",INDEX(EntryNotes,$P480)))</f>
        <v/>
      </c>
      <c r="O480" s="28">
        <f>IF($P480="","",IF(INDEX(EntryTxnID,$P480)=0,"",INDEX(EntryTxnID,$P480)))</f>
        <v/>
      </c>
      <c r="P480" s="28">
        <f>IFERROR(MATCH($C$5&amp;"|"&amp;RIGHT("000000"&amp;464,6),CalcRankKey,0),"")</f>
        <v/>
      </c>
    </row>
    <row r="481">
      <c r="A481" s="26">
        <f>IF($B481="","",465)</f>
        <v/>
      </c>
      <c r="B481" s="26">
        <f>IF($P481="","",IF(INDEX(CalcNormDate,$P481)=0,"",INDEX(CalcNormDate,$P481)))</f>
        <v/>
      </c>
      <c r="C481" s="26">
        <f>IF($P481="","",IF(INDEX(CalcTime,$P481)=0,"",INDEX(CalcTime,$P481)))</f>
        <v/>
      </c>
      <c r="D481" s="26">
        <f>IF($P481="","",IF(INDEX(EntryParty,$P481)=0,"",INDEX(EntryParty,$P481)))</f>
        <v/>
      </c>
      <c r="E481" s="26">
        <f>IF($P481="","",IF(INDEX(EntryPartyName,$P481)=0,"",INDEX(EntryPartyName,$P481)))</f>
        <v/>
      </c>
      <c r="F481" s="26">
        <f>IF($P481="","",IF(INDEX(EntryPartyType,$P481)=0,"",INDEX(EntryPartyType,$P481)))</f>
        <v/>
      </c>
      <c r="G481" s="26">
        <f>IF($P481="","",IF(INDEX(EntryTxnType,$P481)=0,"",INDEX(EntryTxnType,$P481)))</f>
        <v/>
      </c>
      <c r="H481" s="27">
        <f>IF($P481="","",IF(INDEX(EntryDep,$P481)=0,"",INDEX(EntryDep,$P481)))</f>
        <v/>
      </c>
      <c r="I481" s="27">
        <f>IF($P481="","",IF(INDEX(EntryWit,$P481)=0,"",INDEX(EntryWit,$P481)))</f>
        <v/>
      </c>
      <c r="J481" s="27">
        <f>IF($B481="","",IF($A481=1,$C$7,IF(J480="",0,J480))+IF($H481="",0,$H481)-IF($I481="",0,$I481))</f>
        <v/>
      </c>
      <c r="K481" s="27">
        <f>IF($P481="","",IF(INDEX(EntryMan,$P481)=0,"",INDEX(EntryMan,$P481)))</f>
        <v/>
      </c>
      <c r="L481" s="26">
        <f>IF($B481="","",IF($K481="","—",IF(ROUND($K481-$J481,0)=0,"√","×")))</f>
        <v/>
      </c>
      <c r="M481" s="26">
        <f>IF($B481="","",IF(COUNTIFS(EntryDates,$B481,CalcTime,$C481,CalcBank,$C$5,EntryParty,$D481,EntryDep,$H481,EntryWit,$I481)&gt;1,"تکرار",""))</f>
        <v/>
      </c>
      <c r="N481" s="26">
        <f>IF($P481="","",IF(INDEX(EntryNotes,$P481)=0,"",INDEX(EntryNotes,$P481)))</f>
        <v/>
      </c>
      <c r="O481" s="26">
        <f>IF($P481="","",IF(INDEX(EntryTxnID,$P481)=0,"",INDEX(EntryTxnID,$P481)))</f>
        <v/>
      </c>
      <c r="P481" s="26">
        <f>IFERROR(MATCH($C$5&amp;"|"&amp;RIGHT("000000"&amp;465,6),CalcRankKey,0),"")</f>
        <v/>
      </c>
    </row>
    <row r="482">
      <c r="A482" s="28">
        <f>IF($B482="","",466)</f>
        <v/>
      </c>
      <c r="B482" s="28">
        <f>IF($P482="","",IF(INDEX(CalcNormDate,$P482)=0,"",INDEX(CalcNormDate,$P482)))</f>
        <v/>
      </c>
      <c r="C482" s="28">
        <f>IF($P482="","",IF(INDEX(CalcTime,$P482)=0,"",INDEX(CalcTime,$P482)))</f>
        <v/>
      </c>
      <c r="D482" s="28">
        <f>IF($P482="","",IF(INDEX(EntryParty,$P482)=0,"",INDEX(EntryParty,$P482)))</f>
        <v/>
      </c>
      <c r="E482" s="28">
        <f>IF($P482="","",IF(INDEX(EntryPartyName,$P482)=0,"",INDEX(EntryPartyName,$P482)))</f>
        <v/>
      </c>
      <c r="F482" s="28">
        <f>IF($P482="","",IF(INDEX(EntryPartyType,$P482)=0,"",INDEX(EntryPartyType,$P482)))</f>
        <v/>
      </c>
      <c r="G482" s="28">
        <f>IF($P482="","",IF(INDEX(EntryTxnType,$P482)=0,"",INDEX(EntryTxnType,$P482)))</f>
        <v/>
      </c>
      <c r="H482" s="29">
        <f>IF($P482="","",IF(INDEX(EntryDep,$P482)=0,"",INDEX(EntryDep,$P482)))</f>
        <v/>
      </c>
      <c r="I482" s="29">
        <f>IF($P482="","",IF(INDEX(EntryWit,$P482)=0,"",INDEX(EntryWit,$P482)))</f>
        <v/>
      </c>
      <c r="J482" s="29">
        <f>IF($B482="","",IF($A482=1,$C$7,IF(J481="",0,J481))+IF($H482="",0,$H482)-IF($I482="",0,$I482))</f>
        <v/>
      </c>
      <c r="K482" s="29">
        <f>IF($P482="","",IF(INDEX(EntryMan,$P482)=0,"",INDEX(EntryMan,$P482)))</f>
        <v/>
      </c>
      <c r="L482" s="28">
        <f>IF($B482="","",IF($K482="","—",IF(ROUND($K482-$J482,0)=0,"√","×")))</f>
        <v/>
      </c>
      <c r="M482" s="28">
        <f>IF($B482="","",IF(COUNTIFS(EntryDates,$B482,CalcTime,$C482,CalcBank,$C$5,EntryParty,$D482,EntryDep,$H482,EntryWit,$I482)&gt;1,"تکرار",""))</f>
        <v/>
      </c>
      <c r="N482" s="28">
        <f>IF($P482="","",IF(INDEX(EntryNotes,$P482)=0,"",INDEX(EntryNotes,$P482)))</f>
        <v/>
      </c>
      <c r="O482" s="28">
        <f>IF($P482="","",IF(INDEX(EntryTxnID,$P482)=0,"",INDEX(EntryTxnID,$P482)))</f>
        <v/>
      </c>
      <c r="P482" s="28">
        <f>IFERROR(MATCH($C$5&amp;"|"&amp;RIGHT("000000"&amp;466,6),CalcRankKey,0),"")</f>
        <v/>
      </c>
    </row>
    <row r="483">
      <c r="A483" s="26">
        <f>IF($B483="","",467)</f>
        <v/>
      </c>
      <c r="B483" s="26">
        <f>IF($P483="","",IF(INDEX(CalcNormDate,$P483)=0,"",INDEX(CalcNormDate,$P483)))</f>
        <v/>
      </c>
      <c r="C483" s="26">
        <f>IF($P483="","",IF(INDEX(CalcTime,$P483)=0,"",INDEX(CalcTime,$P483)))</f>
        <v/>
      </c>
      <c r="D483" s="26">
        <f>IF($P483="","",IF(INDEX(EntryParty,$P483)=0,"",INDEX(EntryParty,$P483)))</f>
        <v/>
      </c>
      <c r="E483" s="26">
        <f>IF($P483="","",IF(INDEX(EntryPartyName,$P483)=0,"",INDEX(EntryPartyName,$P483)))</f>
        <v/>
      </c>
      <c r="F483" s="26">
        <f>IF($P483="","",IF(INDEX(EntryPartyType,$P483)=0,"",INDEX(EntryPartyType,$P483)))</f>
        <v/>
      </c>
      <c r="G483" s="26">
        <f>IF($P483="","",IF(INDEX(EntryTxnType,$P483)=0,"",INDEX(EntryTxnType,$P483)))</f>
        <v/>
      </c>
      <c r="H483" s="27">
        <f>IF($P483="","",IF(INDEX(EntryDep,$P483)=0,"",INDEX(EntryDep,$P483)))</f>
        <v/>
      </c>
      <c r="I483" s="27">
        <f>IF($P483="","",IF(INDEX(EntryWit,$P483)=0,"",INDEX(EntryWit,$P483)))</f>
        <v/>
      </c>
      <c r="J483" s="27">
        <f>IF($B483="","",IF($A483=1,$C$7,IF(J482="",0,J482))+IF($H483="",0,$H483)-IF($I483="",0,$I483))</f>
        <v/>
      </c>
      <c r="K483" s="27">
        <f>IF($P483="","",IF(INDEX(EntryMan,$P483)=0,"",INDEX(EntryMan,$P483)))</f>
        <v/>
      </c>
      <c r="L483" s="26">
        <f>IF($B483="","",IF($K483="","—",IF(ROUND($K483-$J483,0)=0,"√","×")))</f>
        <v/>
      </c>
      <c r="M483" s="26">
        <f>IF($B483="","",IF(COUNTIFS(EntryDates,$B483,CalcTime,$C483,CalcBank,$C$5,EntryParty,$D483,EntryDep,$H483,EntryWit,$I483)&gt;1,"تکرار",""))</f>
        <v/>
      </c>
      <c r="N483" s="26">
        <f>IF($P483="","",IF(INDEX(EntryNotes,$P483)=0,"",INDEX(EntryNotes,$P483)))</f>
        <v/>
      </c>
      <c r="O483" s="26">
        <f>IF($P483="","",IF(INDEX(EntryTxnID,$P483)=0,"",INDEX(EntryTxnID,$P483)))</f>
        <v/>
      </c>
      <c r="P483" s="26">
        <f>IFERROR(MATCH($C$5&amp;"|"&amp;RIGHT("000000"&amp;467,6),CalcRankKey,0),"")</f>
        <v/>
      </c>
    </row>
    <row r="484">
      <c r="A484" s="28">
        <f>IF($B484="","",468)</f>
        <v/>
      </c>
      <c r="B484" s="28">
        <f>IF($P484="","",IF(INDEX(CalcNormDate,$P484)=0,"",INDEX(CalcNormDate,$P484)))</f>
        <v/>
      </c>
      <c r="C484" s="28">
        <f>IF($P484="","",IF(INDEX(CalcTime,$P484)=0,"",INDEX(CalcTime,$P484)))</f>
        <v/>
      </c>
      <c r="D484" s="28">
        <f>IF($P484="","",IF(INDEX(EntryParty,$P484)=0,"",INDEX(EntryParty,$P484)))</f>
        <v/>
      </c>
      <c r="E484" s="28">
        <f>IF($P484="","",IF(INDEX(EntryPartyName,$P484)=0,"",INDEX(EntryPartyName,$P484)))</f>
        <v/>
      </c>
      <c r="F484" s="28">
        <f>IF($P484="","",IF(INDEX(EntryPartyType,$P484)=0,"",INDEX(EntryPartyType,$P484)))</f>
        <v/>
      </c>
      <c r="G484" s="28">
        <f>IF($P484="","",IF(INDEX(EntryTxnType,$P484)=0,"",INDEX(EntryTxnType,$P484)))</f>
        <v/>
      </c>
      <c r="H484" s="29">
        <f>IF($P484="","",IF(INDEX(EntryDep,$P484)=0,"",INDEX(EntryDep,$P484)))</f>
        <v/>
      </c>
      <c r="I484" s="29">
        <f>IF($P484="","",IF(INDEX(EntryWit,$P484)=0,"",INDEX(EntryWit,$P484)))</f>
        <v/>
      </c>
      <c r="J484" s="29">
        <f>IF($B484="","",IF($A484=1,$C$7,IF(J483="",0,J483))+IF($H484="",0,$H484)-IF($I484="",0,$I484))</f>
        <v/>
      </c>
      <c r="K484" s="29">
        <f>IF($P484="","",IF(INDEX(EntryMan,$P484)=0,"",INDEX(EntryMan,$P484)))</f>
        <v/>
      </c>
      <c r="L484" s="28">
        <f>IF($B484="","",IF($K484="","—",IF(ROUND($K484-$J484,0)=0,"√","×")))</f>
        <v/>
      </c>
      <c r="M484" s="28">
        <f>IF($B484="","",IF(COUNTIFS(EntryDates,$B484,CalcTime,$C484,CalcBank,$C$5,EntryParty,$D484,EntryDep,$H484,EntryWit,$I484)&gt;1,"تکرار",""))</f>
        <v/>
      </c>
      <c r="N484" s="28">
        <f>IF($P484="","",IF(INDEX(EntryNotes,$P484)=0,"",INDEX(EntryNotes,$P484)))</f>
        <v/>
      </c>
      <c r="O484" s="28">
        <f>IF($P484="","",IF(INDEX(EntryTxnID,$P484)=0,"",INDEX(EntryTxnID,$P484)))</f>
        <v/>
      </c>
      <c r="P484" s="28">
        <f>IFERROR(MATCH($C$5&amp;"|"&amp;RIGHT("000000"&amp;468,6),CalcRankKey,0),"")</f>
        <v/>
      </c>
    </row>
    <row r="485">
      <c r="A485" s="26">
        <f>IF($B485="","",469)</f>
        <v/>
      </c>
      <c r="B485" s="26">
        <f>IF($P485="","",IF(INDEX(CalcNormDate,$P485)=0,"",INDEX(CalcNormDate,$P485)))</f>
        <v/>
      </c>
      <c r="C485" s="26">
        <f>IF($P485="","",IF(INDEX(CalcTime,$P485)=0,"",INDEX(CalcTime,$P485)))</f>
        <v/>
      </c>
      <c r="D485" s="26">
        <f>IF($P485="","",IF(INDEX(EntryParty,$P485)=0,"",INDEX(EntryParty,$P485)))</f>
        <v/>
      </c>
      <c r="E485" s="26">
        <f>IF($P485="","",IF(INDEX(EntryPartyName,$P485)=0,"",INDEX(EntryPartyName,$P485)))</f>
        <v/>
      </c>
      <c r="F485" s="26">
        <f>IF($P485="","",IF(INDEX(EntryPartyType,$P485)=0,"",INDEX(EntryPartyType,$P485)))</f>
        <v/>
      </c>
      <c r="G485" s="26">
        <f>IF($P485="","",IF(INDEX(EntryTxnType,$P485)=0,"",INDEX(EntryTxnType,$P485)))</f>
        <v/>
      </c>
      <c r="H485" s="27">
        <f>IF($P485="","",IF(INDEX(EntryDep,$P485)=0,"",INDEX(EntryDep,$P485)))</f>
        <v/>
      </c>
      <c r="I485" s="27">
        <f>IF($P485="","",IF(INDEX(EntryWit,$P485)=0,"",INDEX(EntryWit,$P485)))</f>
        <v/>
      </c>
      <c r="J485" s="27">
        <f>IF($B485="","",IF($A485=1,$C$7,IF(J484="",0,J484))+IF($H485="",0,$H485)-IF($I485="",0,$I485))</f>
        <v/>
      </c>
      <c r="K485" s="27">
        <f>IF($P485="","",IF(INDEX(EntryMan,$P485)=0,"",INDEX(EntryMan,$P485)))</f>
        <v/>
      </c>
      <c r="L485" s="26">
        <f>IF($B485="","",IF($K485="","—",IF(ROUND($K485-$J485,0)=0,"√","×")))</f>
        <v/>
      </c>
      <c r="M485" s="26">
        <f>IF($B485="","",IF(COUNTIFS(EntryDates,$B485,CalcTime,$C485,CalcBank,$C$5,EntryParty,$D485,EntryDep,$H485,EntryWit,$I485)&gt;1,"تکرار",""))</f>
        <v/>
      </c>
      <c r="N485" s="26">
        <f>IF($P485="","",IF(INDEX(EntryNotes,$P485)=0,"",INDEX(EntryNotes,$P485)))</f>
        <v/>
      </c>
      <c r="O485" s="26">
        <f>IF($P485="","",IF(INDEX(EntryTxnID,$P485)=0,"",INDEX(EntryTxnID,$P485)))</f>
        <v/>
      </c>
      <c r="P485" s="26">
        <f>IFERROR(MATCH($C$5&amp;"|"&amp;RIGHT("000000"&amp;469,6),CalcRankKey,0),"")</f>
        <v/>
      </c>
    </row>
    <row r="486">
      <c r="A486" s="28">
        <f>IF($B486="","",470)</f>
        <v/>
      </c>
      <c r="B486" s="28">
        <f>IF($P486="","",IF(INDEX(CalcNormDate,$P486)=0,"",INDEX(CalcNormDate,$P486)))</f>
        <v/>
      </c>
      <c r="C486" s="28">
        <f>IF($P486="","",IF(INDEX(CalcTime,$P486)=0,"",INDEX(CalcTime,$P486)))</f>
        <v/>
      </c>
      <c r="D486" s="28">
        <f>IF($P486="","",IF(INDEX(EntryParty,$P486)=0,"",INDEX(EntryParty,$P486)))</f>
        <v/>
      </c>
      <c r="E486" s="28">
        <f>IF($P486="","",IF(INDEX(EntryPartyName,$P486)=0,"",INDEX(EntryPartyName,$P486)))</f>
        <v/>
      </c>
      <c r="F486" s="28">
        <f>IF($P486="","",IF(INDEX(EntryPartyType,$P486)=0,"",INDEX(EntryPartyType,$P486)))</f>
        <v/>
      </c>
      <c r="G486" s="28">
        <f>IF($P486="","",IF(INDEX(EntryTxnType,$P486)=0,"",INDEX(EntryTxnType,$P486)))</f>
        <v/>
      </c>
      <c r="H486" s="29">
        <f>IF($P486="","",IF(INDEX(EntryDep,$P486)=0,"",INDEX(EntryDep,$P486)))</f>
        <v/>
      </c>
      <c r="I486" s="29">
        <f>IF($P486="","",IF(INDEX(EntryWit,$P486)=0,"",INDEX(EntryWit,$P486)))</f>
        <v/>
      </c>
      <c r="J486" s="29">
        <f>IF($B486="","",IF($A486=1,$C$7,IF(J485="",0,J485))+IF($H486="",0,$H486)-IF($I486="",0,$I486))</f>
        <v/>
      </c>
      <c r="K486" s="29">
        <f>IF($P486="","",IF(INDEX(EntryMan,$P486)=0,"",INDEX(EntryMan,$P486)))</f>
        <v/>
      </c>
      <c r="L486" s="28">
        <f>IF($B486="","",IF($K486="","—",IF(ROUND($K486-$J486,0)=0,"√","×")))</f>
        <v/>
      </c>
      <c r="M486" s="28">
        <f>IF($B486="","",IF(COUNTIFS(EntryDates,$B486,CalcTime,$C486,CalcBank,$C$5,EntryParty,$D486,EntryDep,$H486,EntryWit,$I486)&gt;1,"تکرار",""))</f>
        <v/>
      </c>
      <c r="N486" s="28">
        <f>IF($P486="","",IF(INDEX(EntryNotes,$P486)=0,"",INDEX(EntryNotes,$P486)))</f>
        <v/>
      </c>
      <c r="O486" s="28">
        <f>IF($P486="","",IF(INDEX(EntryTxnID,$P486)=0,"",INDEX(EntryTxnID,$P486)))</f>
        <v/>
      </c>
      <c r="P486" s="28">
        <f>IFERROR(MATCH($C$5&amp;"|"&amp;RIGHT("000000"&amp;470,6),CalcRankKey,0),"")</f>
        <v/>
      </c>
    </row>
    <row r="487">
      <c r="A487" s="26">
        <f>IF($B487="","",471)</f>
        <v/>
      </c>
      <c r="B487" s="26">
        <f>IF($P487="","",IF(INDEX(CalcNormDate,$P487)=0,"",INDEX(CalcNormDate,$P487)))</f>
        <v/>
      </c>
      <c r="C487" s="26">
        <f>IF($P487="","",IF(INDEX(CalcTime,$P487)=0,"",INDEX(CalcTime,$P487)))</f>
        <v/>
      </c>
      <c r="D487" s="26">
        <f>IF($P487="","",IF(INDEX(EntryParty,$P487)=0,"",INDEX(EntryParty,$P487)))</f>
        <v/>
      </c>
      <c r="E487" s="26">
        <f>IF($P487="","",IF(INDEX(EntryPartyName,$P487)=0,"",INDEX(EntryPartyName,$P487)))</f>
        <v/>
      </c>
      <c r="F487" s="26">
        <f>IF($P487="","",IF(INDEX(EntryPartyType,$P487)=0,"",INDEX(EntryPartyType,$P487)))</f>
        <v/>
      </c>
      <c r="G487" s="26">
        <f>IF($P487="","",IF(INDEX(EntryTxnType,$P487)=0,"",INDEX(EntryTxnType,$P487)))</f>
        <v/>
      </c>
      <c r="H487" s="27">
        <f>IF($P487="","",IF(INDEX(EntryDep,$P487)=0,"",INDEX(EntryDep,$P487)))</f>
        <v/>
      </c>
      <c r="I487" s="27">
        <f>IF($P487="","",IF(INDEX(EntryWit,$P487)=0,"",INDEX(EntryWit,$P487)))</f>
        <v/>
      </c>
      <c r="J487" s="27">
        <f>IF($B487="","",IF($A487=1,$C$7,IF(J486="",0,J486))+IF($H487="",0,$H487)-IF($I487="",0,$I487))</f>
        <v/>
      </c>
      <c r="K487" s="27">
        <f>IF($P487="","",IF(INDEX(EntryMan,$P487)=0,"",INDEX(EntryMan,$P487)))</f>
        <v/>
      </c>
      <c r="L487" s="26">
        <f>IF($B487="","",IF($K487="","—",IF(ROUND($K487-$J487,0)=0,"√","×")))</f>
        <v/>
      </c>
      <c r="M487" s="26">
        <f>IF($B487="","",IF(COUNTIFS(EntryDates,$B487,CalcTime,$C487,CalcBank,$C$5,EntryParty,$D487,EntryDep,$H487,EntryWit,$I487)&gt;1,"تکرار",""))</f>
        <v/>
      </c>
      <c r="N487" s="26">
        <f>IF($P487="","",IF(INDEX(EntryNotes,$P487)=0,"",INDEX(EntryNotes,$P487)))</f>
        <v/>
      </c>
      <c r="O487" s="26">
        <f>IF($P487="","",IF(INDEX(EntryTxnID,$P487)=0,"",INDEX(EntryTxnID,$P487)))</f>
        <v/>
      </c>
      <c r="P487" s="26">
        <f>IFERROR(MATCH($C$5&amp;"|"&amp;RIGHT("000000"&amp;471,6),CalcRankKey,0),"")</f>
        <v/>
      </c>
    </row>
    <row r="488">
      <c r="A488" s="28">
        <f>IF($B488="","",472)</f>
        <v/>
      </c>
      <c r="B488" s="28">
        <f>IF($P488="","",IF(INDEX(CalcNormDate,$P488)=0,"",INDEX(CalcNormDate,$P488)))</f>
        <v/>
      </c>
      <c r="C488" s="28">
        <f>IF($P488="","",IF(INDEX(CalcTime,$P488)=0,"",INDEX(CalcTime,$P488)))</f>
        <v/>
      </c>
      <c r="D488" s="28">
        <f>IF($P488="","",IF(INDEX(EntryParty,$P488)=0,"",INDEX(EntryParty,$P488)))</f>
        <v/>
      </c>
      <c r="E488" s="28">
        <f>IF($P488="","",IF(INDEX(EntryPartyName,$P488)=0,"",INDEX(EntryPartyName,$P488)))</f>
        <v/>
      </c>
      <c r="F488" s="28">
        <f>IF($P488="","",IF(INDEX(EntryPartyType,$P488)=0,"",INDEX(EntryPartyType,$P488)))</f>
        <v/>
      </c>
      <c r="G488" s="28">
        <f>IF($P488="","",IF(INDEX(EntryTxnType,$P488)=0,"",INDEX(EntryTxnType,$P488)))</f>
        <v/>
      </c>
      <c r="H488" s="29">
        <f>IF($P488="","",IF(INDEX(EntryDep,$P488)=0,"",INDEX(EntryDep,$P488)))</f>
        <v/>
      </c>
      <c r="I488" s="29">
        <f>IF($P488="","",IF(INDEX(EntryWit,$P488)=0,"",INDEX(EntryWit,$P488)))</f>
        <v/>
      </c>
      <c r="J488" s="29">
        <f>IF($B488="","",IF($A488=1,$C$7,IF(J487="",0,J487))+IF($H488="",0,$H488)-IF($I488="",0,$I488))</f>
        <v/>
      </c>
      <c r="K488" s="29">
        <f>IF($P488="","",IF(INDEX(EntryMan,$P488)=0,"",INDEX(EntryMan,$P488)))</f>
        <v/>
      </c>
      <c r="L488" s="28">
        <f>IF($B488="","",IF($K488="","—",IF(ROUND($K488-$J488,0)=0,"√","×")))</f>
        <v/>
      </c>
      <c r="M488" s="28">
        <f>IF($B488="","",IF(COUNTIFS(EntryDates,$B488,CalcTime,$C488,CalcBank,$C$5,EntryParty,$D488,EntryDep,$H488,EntryWit,$I488)&gt;1,"تکرار",""))</f>
        <v/>
      </c>
      <c r="N488" s="28">
        <f>IF($P488="","",IF(INDEX(EntryNotes,$P488)=0,"",INDEX(EntryNotes,$P488)))</f>
        <v/>
      </c>
      <c r="O488" s="28">
        <f>IF($P488="","",IF(INDEX(EntryTxnID,$P488)=0,"",INDEX(EntryTxnID,$P488)))</f>
        <v/>
      </c>
      <c r="P488" s="28">
        <f>IFERROR(MATCH($C$5&amp;"|"&amp;RIGHT("000000"&amp;472,6),CalcRankKey,0),"")</f>
        <v/>
      </c>
    </row>
    <row r="489">
      <c r="A489" s="26">
        <f>IF($B489="","",473)</f>
        <v/>
      </c>
      <c r="B489" s="26">
        <f>IF($P489="","",IF(INDEX(CalcNormDate,$P489)=0,"",INDEX(CalcNormDate,$P489)))</f>
        <v/>
      </c>
      <c r="C489" s="26">
        <f>IF($P489="","",IF(INDEX(CalcTime,$P489)=0,"",INDEX(CalcTime,$P489)))</f>
        <v/>
      </c>
      <c r="D489" s="26">
        <f>IF($P489="","",IF(INDEX(EntryParty,$P489)=0,"",INDEX(EntryParty,$P489)))</f>
        <v/>
      </c>
      <c r="E489" s="26">
        <f>IF($P489="","",IF(INDEX(EntryPartyName,$P489)=0,"",INDEX(EntryPartyName,$P489)))</f>
        <v/>
      </c>
      <c r="F489" s="26">
        <f>IF($P489="","",IF(INDEX(EntryPartyType,$P489)=0,"",INDEX(EntryPartyType,$P489)))</f>
        <v/>
      </c>
      <c r="G489" s="26">
        <f>IF($P489="","",IF(INDEX(EntryTxnType,$P489)=0,"",INDEX(EntryTxnType,$P489)))</f>
        <v/>
      </c>
      <c r="H489" s="27">
        <f>IF($P489="","",IF(INDEX(EntryDep,$P489)=0,"",INDEX(EntryDep,$P489)))</f>
        <v/>
      </c>
      <c r="I489" s="27">
        <f>IF($P489="","",IF(INDEX(EntryWit,$P489)=0,"",INDEX(EntryWit,$P489)))</f>
        <v/>
      </c>
      <c r="J489" s="27">
        <f>IF($B489="","",IF($A489=1,$C$7,IF(J488="",0,J488))+IF($H489="",0,$H489)-IF($I489="",0,$I489))</f>
        <v/>
      </c>
      <c r="K489" s="27">
        <f>IF($P489="","",IF(INDEX(EntryMan,$P489)=0,"",INDEX(EntryMan,$P489)))</f>
        <v/>
      </c>
      <c r="L489" s="26">
        <f>IF($B489="","",IF($K489="","—",IF(ROUND($K489-$J489,0)=0,"√","×")))</f>
        <v/>
      </c>
      <c r="M489" s="26">
        <f>IF($B489="","",IF(COUNTIFS(EntryDates,$B489,CalcTime,$C489,CalcBank,$C$5,EntryParty,$D489,EntryDep,$H489,EntryWit,$I489)&gt;1,"تکرار",""))</f>
        <v/>
      </c>
      <c r="N489" s="26">
        <f>IF($P489="","",IF(INDEX(EntryNotes,$P489)=0,"",INDEX(EntryNotes,$P489)))</f>
        <v/>
      </c>
      <c r="O489" s="26">
        <f>IF($P489="","",IF(INDEX(EntryTxnID,$P489)=0,"",INDEX(EntryTxnID,$P489)))</f>
        <v/>
      </c>
      <c r="P489" s="26">
        <f>IFERROR(MATCH($C$5&amp;"|"&amp;RIGHT("000000"&amp;473,6),CalcRankKey,0),"")</f>
        <v/>
      </c>
    </row>
    <row r="490">
      <c r="A490" s="28">
        <f>IF($B490="","",474)</f>
        <v/>
      </c>
      <c r="B490" s="28">
        <f>IF($P490="","",IF(INDEX(CalcNormDate,$P490)=0,"",INDEX(CalcNormDate,$P490)))</f>
        <v/>
      </c>
      <c r="C490" s="28">
        <f>IF($P490="","",IF(INDEX(CalcTime,$P490)=0,"",INDEX(CalcTime,$P490)))</f>
        <v/>
      </c>
      <c r="D490" s="28">
        <f>IF($P490="","",IF(INDEX(EntryParty,$P490)=0,"",INDEX(EntryParty,$P490)))</f>
        <v/>
      </c>
      <c r="E490" s="28">
        <f>IF($P490="","",IF(INDEX(EntryPartyName,$P490)=0,"",INDEX(EntryPartyName,$P490)))</f>
        <v/>
      </c>
      <c r="F490" s="28">
        <f>IF($P490="","",IF(INDEX(EntryPartyType,$P490)=0,"",INDEX(EntryPartyType,$P490)))</f>
        <v/>
      </c>
      <c r="G490" s="28">
        <f>IF($P490="","",IF(INDEX(EntryTxnType,$P490)=0,"",INDEX(EntryTxnType,$P490)))</f>
        <v/>
      </c>
      <c r="H490" s="29">
        <f>IF($P490="","",IF(INDEX(EntryDep,$P490)=0,"",INDEX(EntryDep,$P490)))</f>
        <v/>
      </c>
      <c r="I490" s="29">
        <f>IF($P490="","",IF(INDEX(EntryWit,$P490)=0,"",INDEX(EntryWit,$P490)))</f>
        <v/>
      </c>
      <c r="J490" s="29">
        <f>IF($B490="","",IF($A490=1,$C$7,IF(J489="",0,J489))+IF($H490="",0,$H490)-IF($I490="",0,$I490))</f>
        <v/>
      </c>
      <c r="K490" s="29">
        <f>IF($P490="","",IF(INDEX(EntryMan,$P490)=0,"",INDEX(EntryMan,$P490)))</f>
        <v/>
      </c>
      <c r="L490" s="28">
        <f>IF($B490="","",IF($K490="","—",IF(ROUND($K490-$J490,0)=0,"√","×")))</f>
        <v/>
      </c>
      <c r="M490" s="28">
        <f>IF($B490="","",IF(COUNTIFS(EntryDates,$B490,CalcTime,$C490,CalcBank,$C$5,EntryParty,$D490,EntryDep,$H490,EntryWit,$I490)&gt;1,"تکرار",""))</f>
        <v/>
      </c>
      <c r="N490" s="28">
        <f>IF($P490="","",IF(INDEX(EntryNotes,$P490)=0,"",INDEX(EntryNotes,$P490)))</f>
        <v/>
      </c>
      <c r="O490" s="28">
        <f>IF($P490="","",IF(INDEX(EntryTxnID,$P490)=0,"",INDEX(EntryTxnID,$P490)))</f>
        <v/>
      </c>
      <c r="P490" s="28">
        <f>IFERROR(MATCH($C$5&amp;"|"&amp;RIGHT("000000"&amp;474,6),CalcRankKey,0),"")</f>
        <v/>
      </c>
    </row>
    <row r="491">
      <c r="A491" s="26">
        <f>IF($B491="","",475)</f>
        <v/>
      </c>
      <c r="B491" s="26">
        <f>IF($P491="","",IF(INDEX(CalcNormDate,$P491)=0,"",INDEX(CalcNormDate,$P491)))</f>
        <v/>
      </c>
      <c r="C491" s="26">
        <f>IF($P491="","",IF(INDEX(CalcTime,$P491)=0,"",INDEX(CalcTime,$P491)))</f>
        <v/>
      </c>
      <c r="D491" s="26">
        <f>IF($P491="","",IF(INDEX(EntryParty,$P491)=0,"",INDEX(EntryParty,$P491)))</f>
        <v/>
      </c>
      <c r="E491" s="26">
        <f>IF($P491="","",IF(INDEX(EntryPartyName,$P491)=0,"",INDEX(EntryPartyName,$P491)))</f>
        <v/>
      </c>
      <c r="F491" s="26">
        <f>IF($P491="","",IF(INDEX(EntryPartyType,$P491)=0,"",INDEX(EntryPartyType,$P491)))</f>
        <v/>
      </c>
      <c r="G491" s="26">
        <f>IF($P491="","",IF(INDEX(EntryTxnType,$P491)=0,"",INDEX(EntryTxnType,$P491)))</f>
        <v/>
      </c>
      <c r="H491" s="27">
        <f>IF($P491="","",IF(INDEX(EntryDep,$P491)=0,"",INDEX(EntryDep,$P491)))</f>
        <v/>
      </c>
      <c r="I491" s="27">
        <f>IF($P491="","",IF(INDEX(EntryWit,$P491)=0,"",INDEX(EntryWit,$P491)))</f>
        <v/>
      </c>
      <c r="J491" s="27">
        <f>IF($B491="","",IF($A491=1,$C$7,IF(J490="",0,J490))+IF($H491="",0,$H491)-IF($I491="",0,$I491))</f>
        <v/>
      </c>
      <c r="K491" s="27">
        <f>IF($P491="","",IF(INDEX(EntryMan,$P491)=0,"",INDEX(EntryMan,$P491)))</f>
        <v/>
      </c>
      <c r="L491" s="26">
        <f>IF($B491="","",IF($K491="","—",IF(ROUND($K491-$J491,0)=0,"√","×")))</f>
        <v/>
      </c>
      <c r="M491" s="26">
        <f>IF($B491="","",IF(COUNTIFS(EntryDates,$B491,CalcTime,$C491,CalcBank,$C$5,EntryParty,$D491,EntryDep,$H491,EntryWit,$I491)&gt;1,"تکرار",""))</f>
        <v/>
      </c>
      <c r="N491" s="26">
        <f>IF($P491="","",IF(INDEX(EntryNotes,$P491)=0,"",INDEX(EntryNotes,$P491)))</f>
        <v/>
      </c>
      <c r="O491" s="26">
        <f>IF($P491="","",IF(INDEX(EntryTxnID,$P491)=0,"",INDEX(EntryTxnID,$P491)))</f>
        <v/>
      </c>
      <c r="P491" s="26">
        <f>IFERROR(MATCH($C$5&amp;"|"&amp;RIGHT("000000"&amp;475,6),CalcRankKey,0),"")</f>
        <v/>
      </c>
    </row>
    <row r="492">
      <c r="A492" s="28">
        <f>IF($B492="","",476)</f>
        <v/>
      </c>
      <c r="B492" s="28">
        <f>IF($P492="","",IF(INDEX(CalcNormDate,$P492)=0,"",INDEX(CalcNormDate,$P492)))</f>
        <v/>
      </c>
      <c r="C492" s="28">
        <f>IF($P492="","",IF(INDEX(CalcTime,$P492)=0,"",INDEX(CalcTime,$P492)))</f>
        <v/>
      </c>
      <c r="D492" s="28">
        <f>IF($P492="","",IF(INDEX(EntryParty,$P492)=0,"",INDEX(EntryParty,$P492)))</f>
        <v/>
      </c>
      <c r="E492" s="28">
        <f>IF($P492="","",IF(INDEX(EntryPartyName,$P492)=0,"",INDEX(EntryPartyName,$P492)))</f>
        <v/>
      </c>
      <c r="F492" s="28">
        <f>IF($P492="","",IF(INDEX(EntryPartyType,$P492)=0,"",INDEX(EntryPartyType,$P492)))</f>
        <v/>
      </c>
      <c r="G492" s="28">
        <f>IF($P492="","",IF(INDEX(EntryTxnType,$P492)=0,"",INDEX(EntryTxnType,$P492)))</f>
        <v/>
      </c>
      <c r="H492" s="29">
        <f>IF($P492="","",IF(INDEX(EntryDep,$P492)=0,"",INDEX(EntryDep,$P492)))</f>
        <v/>
      </c>
      <c r="I492" s="29">
        <f>IF($P492="","",IF(INDEX(EntryWit,$P492)=0,"",INDEX(EntryWit,$P492)))</f>
        <v/>
      </c>
      <c r="J492" s="29">
        <f>IF($B492="","",IF($A492=1,$C$7,IF(J491="",0,J491))+IF($H492="",0,$H492)-IF($I492="",0,$I492))</f>
        <v/>
      </c>
      <c r="K492" s="29">
        <f>IF($P492="","",IF(INDEX(EntryMan,$P492)=0,"",INDEX(EntryMan,$P492)))</f>
        <v/>
      </c>
      <c r="L492" s="28">
        <f>IF($B492="","",IF($K492="","—",IF(ROUND($K492-$J492,0)=0,"√","×")))</f>
        <v/>
      </c>
      <c r="M492" s="28">
        <f>IF($B492="","",IF(COUNTIFS(EntryDates,$B492,CalcTime,$C492,CalcBank,$C$5,EntryParty,$D492,EntryDep,$H492,EntryWit,$I492)&gt;1,"تکرار",""))</f>
        <v/>
      </c>
      <c r="N492" s="28">
        <f>IF($P492="","",IF(INDEX(EntryNotes,$P492)=0,"",INDEX(EntryNotes,$P492)))</f>
        <v/>
      </c>
      <c r="O492" s="28">
        <f>IF($P492="","",IF(INDEX(EntryTxnID,$P492)=0,"",INDEX(EntryTxnID,$P492)))</f>
        <v/>
      </c>
      <c r="P492" s="28">
        <f>IFERROR(MATCH($C$5&amp;"|"&amp;RIGHT("000000"&amp;476,6),CalcRankKey,0),"")</f>
        <v/>
      </c>
    </row>
    <row r="493">
      <c r="A493" s="26">
        <f>IF($B493="","",477)</f>
        <v/>
      </c>
      <c r="B493" s="26">
        <f>IF($P493="","",IF(INDEX(CalcNormDate,$P493)=0,"",INDEX(CalcNormDate,$P493)))</f>
        <v/>
      </c>
      <c r="C493" s="26">
        <f>IF($P493="","",IF(INDEX(CalcTime,$P493)=0,"",INDEX(CalcTime,$P493)))</f>
        <v/>
      </c>
      <c r="D493" s="26">
        <f>IF($P493="","",IF(INDEX(EntryParty,$P493)=0,"",INDEX(EntryParty,$P493)))</f>
        <v/>
      </c>
      <c r="E493" s="26">
        <f>IF($P493="","",IF(INDEX(EntryPartyName,$P493)=0,"",INDEX(EntryPartyName,$P493)))</f>
        <v/>
      </c>
      <c r="F493" s="26">
        <f>IF($P493="","",IF(INDEX(EntryPartyType,$P493)=0,"",INDEX(EntryPartyType,$P493)))</f>
        <v/>
      </c>
      <c r="G493" s="26">
        <f>IF($P493="","",IF(INDEX(EntryTxnType,$P493)=0,"",INDEX(EntryTxnType,$P493)))</f>
        <v/>
      </c>
      <c r="H493" s="27">
        <f>IF($P493="","",IF(INDEX(EntryDep,$P493)=0,"",INDEX(EntryDep,$P493)))</f>
        <v/>
      </c>
      <c r="I493" s="27">
        <f>IF($P493="","",IF(INDEX(EntryWit,$P493)=0,"",INDEX(EntryWit,$P493)))</f>
        <v/>
      </c>
      <c r="J493" s="27">
        <f>IF($B493="","",IF($A493=1,$C$7,IF(J492="",0,J492))+IF($H493="",0,$H493)-IF($I493="",0,$I493))</f>
        <v/>
      </c>
      <c r="K493" s="27">
        <f>IF($P493="","",IF(INDEX(EntryMan,$P493)=0,"",INDEX(EntryMan,$P493)))</f>
        <v/>
      </c>
      <c r="L493" s="26">
        <f>IF($B493="","",IF($K493="","—",IF(ROUND($K493-$J493,0)=0,"√","×")))</f>
        <v/>
      </c>
      <c r="M493" s="26">
        <f>IF($B493="","",IF(COUNTIFS(EntryDates,$B493,CalcTime,$C493,CalcBank,$C$5,EntryParty,$D493,EntryDep,$H493,EntryWit,$I493)&gt;1,"تکرار",""))</f>
        <v/>
      </c>
      <c r="N493" s="26">
        <f>IF($P493="","",IF(INDEX(EntryNotes,$P493)=0,"",INDEX(EntryNotes,$P493)))</f>
        <v/>
      </c>
      <c r="O493" s="26">
        <f>IF($P493="","",IF(INDEX(EntryTxnID,$P493)=0,"",INDEX(EntryTxnID,$P493)))</f>
        <v/>
      </c>
      <c r="P493" s="26">
        <f>IFERROR(MATCH($C$5&amp;"|"&amp;RIGHT("000000"&amp;477,6),CalcRankKey,0),"")</f>
        <v/>
      </c>
    </row>
    <row r="494">
      <c r="A494" s="28">
        <f>IF($B494="","",478)</f>
        <v/>
      </c>
      <c r="B494" s="28">
        <f>IF($P494="","",IF(INDEX(CalcNormDate,$P494)=0,"",INDEX(CalcNormDate,$P494)))</f>
        <v/>
      </c>
      <c r="C494" s="28">
        <f>IF($P494="","",IF(INDEX(CalcTime,$P494)=0,"",INDEX(CalcTime,$P494)))</f>
        <v/>
      </c>
      <c r="D494" s="28">
        <f>IF($P494="","",IF(INDEX(EntryParty,$P494)=0,"",INDEX(EntryParty,$P494)))</f>
        <v/>
      </c>
      <c r="E494" s="28">
        <f>IF($P494="","",IF(INDEX(EntryPartyName,$P494)=0,"",INDEX(EntryPartyName,$P494)))</f>
        <v/>
      </c>
      <c r="F494" s="28">
        <f>IF($P494="","",IF(INDEX(EntryPartyType,$P494)=0,"",INDEX(EntryPartyType,$P494)))</f>
        <v/>
      </c>
      <c r="G494" s="28">
        <f>IF($P494="","",IF(INDEX(EntryTxnType,$P494)=0,"",INDEX(EntryTxnType,$P494)))</f>
        <v/>
      </c>
      <c r="H494" s="29">
        <f>IF($P494="","",IF(INDEX(EntryDep,$P494)=0,"",INDEX(EntryDep,$P494)))</f>
        <v/>
      </c>
      <c r="I494" s="29">
        <f>IF($P494="","",IF(INDEX(EntryWit,$P494)=0,"",INDEX(EntryWit,$P494)))</f>
        <v/>
      </c>
      <c r="J494" s="29">
        <f>IF($B494="","",IF($A494=1,$C$7,IF(J493="",0,J493))+IF($H494="",0,$H494)-IF($I494="",0,$I494))</f>
        <v/>
      </c>
      <c r="K494" s="29">
        <f>IF($P494="","",IF(INDEX(EntryMan,$P494)=0,"",INDEX(EntryMan,$P494)))</f>
        <v/>
      </c>
      <c r="L494" s="28">
        <f>IF($B494="","",IF($K494="","—",IF(ROUND($K494-$J494,0)=0,"√","×")))</f>
        <v/>
      </c>
      <c r="M494" s="28">
        <f>IF($B494="","",IF(COUNTIFS(EntryDates,$B494,CalcTime,$C494,CalcBank,$C$5,EntryParty,$D494,EntryDep,$H494,EntryWit,$I494)&gt;1,"تکرار",""))</f>
        <v/>
      </c>
      <c r="N494" s="28">
        <f>IF($P494="","",IF(INDEX(EntryNotes,$P494)=0,"",INDEX(EntryNotes,$P494)))</f>
        <v/>
      </c>
      <c r="O494" s="28">
        <f>IF($P494="","",IF(INDEX(EntryTxnID,$P494)=0,"",INDEX(EntryTxnID,$P494)))</f>
        <v/>
      </c>
      <c r="P494" s="28">
        <f>IFERROR(MATCH($C$5&amp;"|"&amp;RIGHT("000000"&amp;478,6),CalcRankKey,0),"")</f>
        <v/>
      </c>
    </row>
    <row r="495">
      <c r="A495" s="26">
        <f>IF($B495="","",479)</f>
        <v/>
      </c>
      <c r="B495" s="26">
        <f>IF($P495="","",IF(INDEX(CalcNormDate,$P495)=0,"",INDEX(CalcNormDate,$P495)))</f>
        <v/>
      </c>
      <c r="C495" s="26">
        <f>IF($P495="","",IF(INDEX(CalcTime,$P495)=0,"",INDEX(CalcTime,$P495)))</f>
        <v/>
      </c>
      <c r="D495" s="26">
        <f>IF($P495="","",IF(INDEX(EntryParty,$P495)=0,"",INDEX(EntryParty,$P495)))</f>
        <v/>
      </c>
      <c r="E495" s="26">
        <f>IF($P495="","",IF(INDEX(EntryPartyName,$P495)=0,"",INDEX(EntryPartyName,$P495)))</f>
        <v/>
      </c>
      <c r="F495" s="26">
        <f>IF($P495="","",IF(INDEX(EntryPartyType,$P495)=0,"",INDEX(EntryPartyType,$P495)))</f>
        <v/>
      </c>
      <c r="G495" s="26">
        <f>IF($P495="","",IF(INDEX(EntryTxnType,$P495)=0,"",INDEX(EntryTxnType,$P495)))</f>
        <v/>
      </c>
      <c r="H495" s="27">
        <f>IF($P495="","",IF(INDEX(EntryDep,$P495)=0,"",INDEX(EntryDep,$P495)))</f>
        <v/>
      </c>
      <c r="I495" s="27">
        <f>IF($P495="","",IF(INDEX(EntryWit,$P495)=0,"",INDEX(EntryWit,$P495)))</f>
        <v/>
      </c>
      <c r="J495" s="27">
        <f>IF($B495="","",IF($A495=1,$C$7,IF(J494="",0,J494))+IF($H495="",0,$H495)-IF($I495="",0,$I495))</f>
        <v/>
      </c>
      <c r="K495" s="27">
        <f>IF($P495="","",IF(INDEX(EntryMan,$P495)=0,"",INDEX(EntryMan,$P495)))</f>
        <v/>
      </c>
      <c r="L495" s="26">
        <f>IF($B495="","",IF($K495="","—",IF(ROUND($K495-$J495,0)=0,"√","×")))</f>
        <v/>
      </c>
      <c r="M495" s="26">
        <f>IF($B495="","",IF(COUNTIFS(EntryDates,$B495,CalcTime,$C495,CalcBank,$C$5,EntryParty,$D495,EntryDep,$H495,EntryWit,$I495)&gt;1,"تکرار",""))</f>
        <v/>
      </c>
      <c r="N495" s="26">
        <f>IF($P495="","",IF(INDEX(EntryNotes,$P495)=0,"",INDEX(EntryNotes,$P495)))</f>
        <v/>
      </c>
      <c r="O495" s="26">
        <f>IF($P495="","",IF(INDEX(EntryTxnID,$P495)=0,"",INDEX(EntryTxnID,$P495)))</f>
        <v/>
      </c>
      <c r="P495" s="26">
        <f>IFERROR(MATCH($C$5&amp;"|"&amp;RIGHT("000000"&amp;479,6),CalcRankKey,0),"")</f>
        <v/>
      </c>
    </row>
    <row r="496">
      <c r="A496" s="28">
        <f>IF($B496="","",480)</f>
        <v/>
      </c>
      <c r="B496" s="28">
        <f>IF($P496="","",IF(INDEX(CalcNormDate,$P496)=0,"",INDEX(CalcNormDate,$P496)))</f>
        <v/>
      </c>
      <c r="C496" s="28">
        <f>IF($P496="","",IF(INDEX(CalcTime,$P496)=0,"",INDEX(CalcTime,$P496)))</f>
        <v/>
      </c>
      <c r="D496" s="28">
        <f>IF($P496="","",IF(INDEX(EntryParty,$P496)=0,"",INDEX(EntryParty,$P496)))</f>
        <v/>
      </c>
      <c r="E496" s="28">
        <f>IF($P496="","",IF(INDEX(EntryPartyName,$P496)=0,"",INDEX(EntryPartyName,$P496)))</f>
        <v/>
      </c>
      <c r="F496" s="28">
        <f>IF($P496="","",IF(INDEX(EntryPartyType,$P496)=0,"",INDEX(EntryPartyType,$P496)))</f>
        <v/>
      </c>
      <c r="G496" s="28">
        <f>IF($P496="","",IF(INDEX(EntryTxnType,$P496)=0,"",INDEX(EntryTxnType,$P496)))</f>
        <v/>
      </c>
      <c r="H496" s="29">
        <f>IF($P496="","",IF(INDEX(EntryDep,$P496)=0,"",INDEX(EntryDep,$P496)))</f>
        <v/>
      </c>
      <c r="I496" s="29">
        <f>IF($P496="","",IF(INDEX(EntryWit,$P496)=0,"",INDEX(EntryWit,$P496)))</f>
        <v/>
      </c>
      <c r="J496" s="29">
        <f>IF($B496="","",IF($A496=1,$C$7,IF(J495="",0,J495))+IF($H496="",0,$H496)-IF($I496="",0,$I496))</f>
        <v/>
      </c>
      <c r="K496" s="29">
        <f>IF($P496="","",IF(INDEX(EntryMan,$P496)=0,"",INDEX(EntryMan,$P496)))</f>
        <v/>
      </c>
      <c r="L496" s="28">
        <f>IF($B496="","",IF($K496="","—",IF(ROUND($K496-$J496,0)=0,"√","×")))</f>
        <v/>
      </c>
      <c r="M496" s="28">
        <f>IF($B496="","",IF(COUNTIFS(EntryDates,$B496,CalcTime,$C496,CalcBank,$C$5,EntryParty,$D496,EntryDep,$H496,EntryWit,$I496)&gt;1,"تکرار",""))</f>
        <v/>
      </c>
      <c r="N496" s="28">
        <f>IF($P496="","",IF(INDEX(EntryNotes,$P496)=0,"",INDEX(EntryNotes,$P496)))</f>
        <v/>
      </c>
      <c r="O496" s="28">
        <f>IF($P496="","",IF(INDEX(EntryTxnID,$P496)=0,"",INDEX(EntryTxnID,$P496)))</f>
        <v/>
      </c>
      <c r="P496" s="28">
        <f>IFERROR(MATCH($C$5&amp;"|"&amp;RIGHT("000000"&amp;480,6),CalcRankKey,0),"")</f>
        <v/>
      </c>
    </row>
    <row r="497">
      <c r="A497" s="26">
        <f>IF($B497="","",481)</f>
        <v/>
      </c>
      <c r="B497" s="26">
        <f>IF($P497="","",IF(INDEX(CalcNormDate,$P497)=0,"",INDEX(CalcNormDate,$P497)))</f>
        <v/>
      </c>
      <c r="C497" s="26">
        <f>IF($P497="","",IF(INDEX(CalcTime,$P497)=0,"",INDEX(CalcTime,$P497)))</f>
        <v/>
      </c>
      <c r="D497" s="26">
        <f>IF($P497="","",IF(INDEX(EntryParty,$P497)=0,"",INDEX(EntryParty,$P497)))</f>
        <v/>
      </c>
      <c r="E497" s="26">
        <f>IF($P497="","",IF(INDEX(EntryPartyName,$P497)=0,"",INDEX(EntryPartyName,$P497)))</f>
        <v/>
      </c>
      <c r="F497" s="26">
        <f>IF($P497="","",IF(INDEX(EntryPartyType,$P497)=0,"",INDEX(EntryPartyType,$P497)))</f>
        <v/>
      </c>
      <c r="G497" s="26">
        <f>IF($P497="","",IF(INDEX(EntryTxnType,$P497)=0,"",INDEX(EntryTxnType,$P497)))</f>
        <v/>
      </c>
      <c r="H497" s="27">
        <f>IF($P497="","",IF(INDEX(EntryDep,$P497)=0,"",INDEX(EntryDep,$P497)))</f>
        <v/>
      </c>
      <c r="I497" s="27">
        <f>IF($P497="","",IF(INDEX(EntryWit,$P497)=0,"",INDEX(EntryWit,$P497)))</f>
        <v/>
      </c>
      <c r="J497" s="27">
        <f>IF($B497="","",IF($A497=1,$C$7,IF(J496="",0,J496))+IF($H497="",0,$H497)-IF($I497="",0,$I497))</f>
        <v/>
      </c>
      <c r="K497" s="27">
        <f>IF($P497="","",IF(INDEX(EntryMan,$P497)=0,"",INDEX(EntryMan,$P497)))</f>
        <v/>
      </c>
      <c r="L497" s="26">
        <f>IF($B497="","",IF($K497="","—",IF(ROUND($K497-$J497,0)=0,"√","×")))</f>
        <v/>
      </c>
      <c r="M497" s="26">
        <f>IF($B497="","",IF(COUNTIFS(EntryDates,$B497,CalcTime,$C497,CalcBank,$C$5,EntryParty,$D497,EntryDep,$H497,EntryWit,$I497)&gt;1,"تکرار",""))</f>
        <v/>
      </c>
      <c r="N497" s="26">
        <f>IF($P497="","",IF(INDEX(EntryNotes,$P497)=0,"",INDEX(EntryNotes,$P497)))</f>
        <v/>
      </c>
      <c r="O497" s="26">
        <f>IF($P497="","",IF(INDEX(EntryTxnID,$P497)=0,"",INDEX(EntryTxnID,$P497)))</f>
        <v/>
      </c>
      <c r="P497" s="26">
        <f>IFERROR(MATCH($C$5&amp;"|"&amp;RIGHT("000000"&amp;481,6),CalcRankKey,0),"")</f>
        <v/>
      </c>
    </row>
    <row r="498">
      <c r="A498" s="28">
        <f>IF($B498="","",482)</f>
        <v/>
      </c>
      <c r="B498" s="28">
        <f>IF($P498="","",IF(INDEX(CalcNormDate,$P498)=0,"",INDEX(CalcNormDate,$P498)))</f>
        <v/>
      </c>
      <c r="C498" s="28">
        <f>IF($P498="","",IF(INDEX(CalcTime,$P498)=0,"",INDEX(CalcTime,$P498)))</f>
        <v/>
      </c>
      <c r="D498" s="28">
        <f>IF($P498="","",IF(INDEX(EntryParty,$P498)=0,"",INDEX(EntryParty,$P498)))</f>
        <v/>
      </c>
      <c r="E498" s="28">
        <f>IF($P498="","",IF(INDEX(EntryPartyName,$P498)=0,"",INDEX(EntryPartyName,$P498)))</f>
        <v/>
      </c>
      <c r="F498" s="28">
        <f>IF($P498="","",IF(INDEX(EntryPartyType,$P498)=0,"",INDEX(EntryPartyType,$P498)))</f>
        <v/>
      </c>
      <c r="G498" s="28">
        <f>IF($P498="","",IF(INDEX(EntryTxnType,$P498)=0,"",INDEX(EntryTxnType,$P498)))</f>
        <v/>
      </c>
      <c r="H498" s="29">
        <f>IF($P498="","",IF(INDEX(EntryDep,$P498)=0,"",INDEX(EntryDep,$P498)))</f>
        <v/>
      </c>
      <c r="I498" s="29">
        <f>IF($P498="","",IF(INDEX(EntryWit,$P498)=0,"",INDEX(EntryWit,$P498)))</f>
        <v/>
      </c>
      <c r="J498" s="29">
        <f>IF($B498="","",IF($A498=1,$C$7,IF(J497="",0,J497))+IF($H498="",0,$H498)-IF($I498="",0,$I498))</f>
        <v/>
      </c>
      <c r="K498" s="29">
        <f>IF($P498="","",IF(INDEX(EntryMan,$P498)=0,"",INDEX(EntryMan,$P498)))</f>
        <v/>
      </c>
      <c r="L498" s="28">
        <f>IF($B498="","",IF($K498="","—",IF(ROUND($K498-$J498,0)=0,"√","×")))</f>
        <v/>
      </c>
      <c r="M498" s="28">
        <f>IF($B498="","",IF(COUNTIFS(EntryDates,$B498,CalcTime,$C498,CalcBank,$C$5,EntryParty,$D498,EntryDep,$H498,EntryWit,$I498)&gt;1,"تکرار",""))</f>
        <v/>
      </c>
      <c r="N498" s="28">
        <f>IF($P498="","",IF(INDEX(EntryNotes,$P498)=0,"",INDEX(EntryNotes,$P498)))</f>
        <v/>
      </c>
      <c r="O498" s="28">
        <f>IF($P498="","",IF(INDEX(EntryTxnID,$P498)=0,"",INDEX(EntryTxnID,$P498)))</f>
        <v/>
      </c>
      <c r="P498" s="28">
        <f>IFERROR(MATCH($C$5&amp;"|"&amp;RIGHT("000000"&amp;482,6),CalcRankKey,0),"")</f>
        <v/>
      </c>
    </row>
    <row r="499">
      <c r="A499" s="26">
        <f>IF($B499="","",483)</f>
        <v/>
      </c>
      <c r="B499" s="26">
        <f>IF($P499="","",IF(INDEX(CalcNormDate,$P499)=0,"",INDEX(CalcNormDate,$P499)))</f>
        <v/>
      </c>
      <c r="C499" s="26">
        <f>IF($P499="","",IF(INDEX(CalcTime,$P499)=0,"",INDEX(CalcTime,$P499)))</f>
        <v/>
      </c>
      <c r="D499" s="26">
        <f>IF($P499="","",IF(INDEX(EntryParty,$P499)=0,"",INDEX(EntryParty,$P499)))</f>
        <v/>
      </c>
      <c r="E499" s="26">
        <f>IF($P499="","",IF(INDEX(EntryPartyName,$P499)=0,"",INDEX(EntryPartyName,$P499)))</f>
        <v/>
      </c>
      <c r="F499" s="26">
        <f>IF($P499="","",IF(INDEX(EntryPartyType,$P499)=0,"",INDEX(EntryPartyType,$P499)))</f>
        <v/>
      </c>
      <c r="G499" s="26">
        <f>IF($P499="","",IF(INDEX(EntryTxnType,$P499)=0,"",INDEX(EntryTxnType,$P499)))</f>
        <v/>
      </c>
      <c r="H499" s="27">
        <f>IF($P499="","",IF(INDEX(EntryDep,$P499)=0,"",INDEX(EntryDep,$P499)))</f>
        <v/>
      </c>
      <c r="I499" s="27">
        <f>IF($P499="","",IF(INDEX(EntryWit,$P499)=0,"",INDEX(EntryWit,$P499)))</f>
        <v/>
      </c>
      <c r="J499" s="27">
        <f>IF($B499="","",IF($A499=1,$C$7,IF(J498="",0,J498))+IF($H499="",0,$H499)-IF($I499="",0,$I499))</f>
        <v/>
      </c>
      <c r="K499" s="27">
        <f>IF($P499="","",IF(INDEX(EntryMan,$P499)=0,"",INDEX(EntryMan,$P499)))</f>
        <v/>
      </c>
      <c r="L499" s="26">
        <f>IF($B499="","",IF($K499="","—",IF(ROUND($K499-$J499,0)=0,"√","×")))</f>
        <v/>
      </c>
      <c r="M499" s="26">
        <f>IF($B499="","",IF(COUNTIFS(EntryDates,$B499,CalcTime,$C499,CalcBank,$C$5,EntryParty,$D499,EntryDep,$H499,EntryWit,$I499)&gt;1,"تکرار",""))</f>
        <v/>
      </c>
      <c r="N499" s="26">
        <f>IF($P499="","",IF(INDEX(EntryNotes,$P499)=0,"",INDEX(EntryNotes,$P499)))</f>
        <v/>
      </c>
      <c r="O499" s="26">
        <f>IF($P499="","",IF(INDEX(EntryTxnID,$P499)=0,"",INDEX(EntryTxnID,$P499)))</f>
        <v/>
      </c>
      <c r="P499" s="26">
        <f>IFERROR(MATCH($C$5&amp;"|"&amp;RIGHT("000000"&amp;483,6),CalcRankKey,0),"")</f>
        <v/>
      </c>
    </row>
    <row r="500">
      <c r="A500" s="28">
        <f>IF($B500="","",484)</f>
        <v/>
      </c>
      <c r="B500" s="28">
        <f>IF($P500="","",IF(INDEX(CalcNormDate,$P500)=0,"",INDEX(CalcNormDate,$P500)))</f>
        <v/>
      </c>
      <c r="C500" s="28">
        <f>IF($P500="","",IF(INDEX(CalcTime,$P500)=0,"",INDEX(CalcTime,$P500)))</f>
        <v/>
      </c>
      <c r="D500" s="28">
        <f>IF($P500="","",IF(INDEX(EntryParty,$P500)=0,"",INDEX(EntryParty,$P500)))</f>
        <v/>
      </c>
      <c r="E500" s="28">
        <f>IF($P500="","",IF(INDEX(EntryPartyName,$P500)=0,"",INDEX(EntryPartyName,$P500)))</f>
        <v/>
      </c>
      <c r="F500" s="28">
        <f>IF($P500="","",IF(INDEX(EntryPartyType,$P500)=0,"",INDEX(EntryPartyType,$P500)))</f>
        <v/>
      </c>
      <c r="G500" s="28">
        <f>IF($P500="","",IF(INDEX(EntryTxnType,$P500)=0,"",INDEX(EntryTxnType,$P500)))</f>
        <v/>
      </c>
      <c r="H500" s="29">
        <f>IF($P500="","",IF(INDEX(EntryDep,$P500)=0,"",INDEX(EntryDep,$P500)))</f>
        <v/>
      </c>
      <c r="I500" s="29">
        <f>IF($P500="","",IF(INDEX(EntryWit,$P500)=0,"",INDEX(EntryWit,$P500)))</f>
        <v/>
      </c>
      <c r="J500" s="29">
        <f>IF($B500="","",IF($A500=1,$C$7,IF(J499="",0,J499))+IF($H500="",0,$H500)-IF($I500="",0,$I500))</f>
        <v/>
      </c>
      <c r="K500" s="29">
        <f>IF($P500="","",IF(INDEX(EntryMan,$P500)=0,"",INDEX(EntryMan,$P500)))</f>
        <v/>
      </c>
      <c r="L500" s="28">
        <f>IF($B500="","",IF($K500="","—",IF(ROUND($K500-$J500,0)=0,"√","×")))</f>
        <v/>
      </c>
      <c r="M500" s="28">
        <f>IF($B500="","",IF(COUNTIFS(EntryDates,$B500,CalcTime,$C500,CalcBank,$C$5,EntryParty,$D500,EntryDep,$H500,EntryWit,$I500)&gt;1,"تکرار",""))</f>
        <v/>
      </c>
      <c r="N500" s="28">
        <f>IF($P500="","",IF(INDEX(EntryNotes,$P500)=0,"",INDEX(EntryNotes,$P500)))</f>
        <v/>
      </c>
      <c r="O500" s="28">
        <f>IF($P500="","",IF(INDEX(EntryTxnID,$P500)=0,"",INDEX(EntryTxnID,$P500)))</f>
        <v/>
      </c>
      <c r="P500" s="28">
        <f>IFERROR(MATCH($C$5&amp;"|"&amp;RIGHT("000000"&amp;484,6),CalcRankKey,0),"")</f>
        <v/>
      </c>
    </row>
    <row r="501">
      <c r="A501" s="26">
        <f>IF($B501="","",485)</f>
        <v/>
      </c>
      <c r="B501" s="26">
        <f>IF($P501="","",IF(INDEX(CalcNormDate,$P501)=0,"",INDEX(CalcNormDate,$P501)))</f>
        <v/>
      </c>
      <c r="C501" s="26">
        <f>IF($P501="","",IF(INDEX(CalcTime,$P501)=0,"",INDEX(CalcTime,$P501)))</f>
        <v/>
      </c>
      <c r="D501" s="26">
        <f>IF($P501="","",IF(INDEX(EntryParty,$P501)=0,"",INDEX(EntryParty,$P501)))</f>
        <v/>
      </c>
      <c r="E501" s="26">
        <f>IF($P501="","",IF(INDEX(EntryPartyName,$P501)=0,"",INDEX(EntryPartyName,$P501)))</f>
        <v/>
      </c>
      <c r="F501" s="26">
        <f>IF($P501="","",IF(INDEX(EntryPartyType,$P501)=0,"",INDEX(EntryPartyType,$P501)))</f>
        <v/>
      </c>
      <c r="G501" s="26">
        <f>IF($P501="","",IF(INDEX(EntryTxnType,$P501)=0,"",INDEX(EntryTxnType,$P501)))</f>
        <v/>
      </c>
      <c r="H501" s="27">
        <f>IF($P501="","",IF(INDEX(EntryDep,$P501)=0,"",INDEX(EntryDep,$P501)))</f>
        <v/>
      </c>
      <c r="I501" s="27">
        <f>IF($P501="","",IF(INDEX(EntryWit,$P501)=0,"",INDEX(EntryWit,$P501)))</f>
        <v/>
      </c>
      <c r="J501" s="27">
        <f>IF($B501="","",IF($A501=1,$C$7,IF(J500="",0,J500))+IF($H501="",0,$H501)-IF($I501="",0,$I501))</f>
        <v/>
      </c>
      <c r="K501" s="27">
        <f>IF($P501="","",IF(INDEX(EntryMan,$P501)=0,"",INDEX(EntryMan,$P501)))</f>
        <v/>
      </c>
      <c r="L501" s="26">
        <f>IF($B501="","",IF($K501="","—",IF(ROUND($K501-$J501,0)=0,"√","×")))</f>
        <v/>
      </c>
      <c r="M501" s="26">
        <f>IF($B501="","",IF(COUNTIFS(EntryDates,$B501,CalcTime,$C501,CalcBank,$C$5,EntryParty,$D501,EntryDep,$H501,EntryWit,$I501)&gt;1,"تکرار",""))</f>
        <v/>
      </c>
      <c r="N501" s="26">
        <f>IF($P501="","",IF(INDEX(EntryNotes,$P501)=0,"",INDEX(EntryNotes,$P501)))</f>
        <v/>
      </c>
      <c r="O501" s="26">
        <f>IF($P501="","",IF(INDEX(EntryTxnID,$P501)=0,"",INDEX(EntryTxnID,$P501)))</f>
        <v/>
      </c>
      <c r="P501" s="26">
        <f>IFERROR(MATCH($C$5&amp;"|"&amp;RIGHT("000000"&amp;485,6),CalcRankKey,0),"")</f>
        <v/>
      </c>
    </row>
    <row r="502">
      <c r="A502" s="28">
        <f>IF($B502="","",486)</f>
        <v/>
      </c>
      <c r="B502" s="28">
        <f>IF($P502="","",IF(INDEX(CalcNormDate,$P502)=0,"",INDEX(CalcNormDate,$P502)))</f>
        <v/>
      </c>
      <c r="C502" s="28">
        <f>IF($P502="","",IF(INDEX(CalcTime,$P502)=0,"",INDEX(CalcTime,$P502)))</f>
        <v/>
      </c>
      <c r="D502" s="28">
        <f>IF($P502="","",IF(INDEX(EntryParty,$P502)=0,"",INDEX(EntryParty,$P502)))</f>
        <v/>
      </c>
      <c r="E502" s="28">
        <f>IF($P502="","",IF(INDEX(EntryPartyName,$P502)=0,"",INDEX(EntryPartyName,$P502)))</f>
        <v/>
      </c>
      <c r="F502" s="28">
        <f>IF($P502="","",IF(INDEX(EntryPartyType,$P502)=0,"",INDEX(EntryPartyType,$P502)))</f>
        <v/>
      </c>
      <c r="G502" s="28">
        <f>IF($P502="","",IF(INDEX(EntryTxnType,$P502)=0,"",INDEX(EntryTxnType,$P502)))</f>
        <v/>
      </c>
      <c r="H502" s="29">
        <f>IF($P502="","",IF(INDEX(EntryDep,$P502)=0,"",INDEX(EntryDep,$P502)))</f>
        <v/>
      </c>
      <c r="I502" s="29">
        <f>IF($P502="","",IF(INDEX(EntryWit,$P502)=0,"",INDEX(EntryWit,$P502)))</f>
        <v/>
      </c>
      <c r="J502" s="29">
        <f>IF($B502="","",IF($A502=1,$C$7,IF(J501="",0,J501))+IF($H502="",0,$H502)-IF($I502="",0,$I502))</f>
        <v/>
      </c>
      <c r="K502" s="29">
        <f>IF($P502="","",IF(INDEX(EntryMan,$P502)=0,"",INDEX(EntryMan,$P502)))</f>
        <v/>
      </c>
      <c r="L502" s="28">
        <f>IF($B502="","",IF($K502="","—",IF(ROUND($K502-$J502,0)=0,"√","×")))</f>
        <v/>
      </c>
      <c r="M502" s="28">
        <f>IF($B502="","",IF(COUNTIFS(EntryDates,$B502,CalcTime,$C502,CalcBank,$C$5,EntryParty,$D502,EntryDep,$H502,EntryWit,$I502)&gt;1,"تکرار",""))</f>
        <v/>
      </c>
      <c r="N502" s="28">
        <f>IF($P502="","",IF(INDEX(EntryNotes,$P502)=0,"",INDEX(EntryNotes,$P502)))</f>
        <v/>
      </c>
      <c r="O502" s="28">
        <f>IF($P502="","",IF(INDEX(EntryTxnID,$P502)=0,"",INDEX(EntryTxnID,$P502)))</f>
        <v/>
      </c>
      <c r="P502" s="28">
        <f>IFERROR(MATCH($C$5&amp;"|"&amp;RIGHT("000000"&amp;486,6),CalcRankKey,0),"")</f>
        <v/>
      </c>
    </row>
    <row r="503">
      <c r="A503" s="26">
        <f>IF($B503="","",487)</f>
        <v/>
      </c>
      <c r="B503" s="26">
        <f>IF($P503="","",IF(INDEX(CalcNormDate,$P503)=0,"",INDEX(CalcNormDate,$P503)))</f>
        <v/>
      </c>
      <c r="C503" s="26">
        <f>IF($P503="","",IF(INDEX(CalcTime,$P503)=0,"",INDEX(CalcTime,$P503)))</f>
        <v/>
      </c>
      <c r="D503" s="26">
        <f>IF($P503="","",IF(INDEX(EntryParty,$P503)=0,"",INDEX(EntryParty,$P503)))</f>
        <v/>
      </c>
      <c r="E503" s="26">
        <f>IF($P503="","",IF(INDEX(EntryPartyName,$P503)=0,"",INDEX(EntryPartyName,$P503)))</f>
        <v/>
      </c>
      <c r="F503" s="26">
        <f>IF($P503="","",IF(INDEX(EntryPartyType,$P503)=0,"",INDEX(EntryPartyType,$P503)))</f>
        <v/>
      </c>
      <c r="G503" s="26">
        <f>IF($P503="","",IF(INDEX(EntryTxnType,$P503)=0,"",INDEX(EntryTxnType,$P503)))</f>
        <v/>
      </c>
      <c r="H503" s="27">
        <f>IF($P503="","",IF(INDEX(EntryDep,$P503)=0,"",INDEX(EntryDep,$P503)))</f>
        <v/>
      </c>
      <c r="I503" s="27">
        <f>IF($P503="","",IF(INDEX(EntryWit,$P503)=0,"",INDEX(EntryWit,$P503)))</f>
        <v/>
      </c>
      <c r="J503" s="27">
        <f>IF($B503="","",IF($A503=1,$C$7,IF(J502="",0,J502))+IF($H503="",0,$H503)-IF($I503="",0,$I503))</f>
        <v/>
      </c>
      <c r="K503" s="27">
        <f>IF($P503="","",IF(INDEX(EntryMan,$P503)=0,"",INDEX(EntryMan,$P503)))</f>
        <v/>
      </c>
      <c r="L503" s="26">
        <f>IF($B503="","",IF($K503="","—",IF(ROUND($K503-$J503,0)=0,"√","×")))</f>
        <v/>
      </c>
      <c r="M503" s="26">
        <f>IF($B503="","",IF(COUNTIFS(EntryDates,$B503,CalcTime,$C503,CalcBank,$C$5,EntryParty,$D503,EntryDep,$H503,EntryWit,$I503)&gt;1,"تکرار",""))</f>
        <v/>
      </c>
      <c r="N503" s="26">
        <f>IF($P503="","",IF(INDEX(EntryNotes,$P503)=0,"",INDEX(EntryNotes,$P503)))</f>
        <v/>
      </c>
      <c r="O503" s="26">
        <f>IF($P503="","",IF(INDEX(EntryTxnID,$P503)=0,"",INDEX(EntryTxnID,$P503)))</f>
        <v/>
      </c>
      <c r="P503" s="26">
        <f>IFERROR(MATCH($C$5&amp;"|"&amp;RIGHT("000000"&amp;487,6),CalcRankKey,0),"")</f>
        <v/>
      </c>
    </row>
    <row r="504">
      <c r="A504" s="28">
        <f>IF($B504="","",488)</f>
        <v/>
      </c>
      <c r="B504" s="28">
        <f>IF($P504="","",IF(INDEX(CalcNormDate,$P504)=0,"",INDEX(CalcNormDate,$P504)))</f>
        <v/>
      </c>
      <c r="C504" s="28">
        <f>IF($P504="","",IF(INDEX(CalcTime,$P504)=0,"",INDEX(CalcTime,$P504)))</f>
        <v/>
      </c>
      <c r="D504" s="28">
        <f>IF($P504="","",IF(INDEX(EntryParty,$P504)=0,"",INDEX(EntryParty,$P504)))</f>
        <v/>
      </c>
      <c r="E504" s="28">
        <f>IF($P504="","",IF(INDEX(EntryPartyName,$P504)=0,"",INDEX(EntryPartyName,$P504)))</f>
        <v/>
      </c>
      <c r="F504" s="28">
        <f>IF($P504="","",IF(INDEX(EntryPartyType,$P504)=0,"",INDEX(EntryPartyType,$P504)))</f>
        <v/>
      </c>
      <c r="G504" s="28">
        <f>IF($P504="","",IF(INDEX(EntryTxnType,$P504)=0,"",INDEX(EntryTxnType,$P504)))</f>
        <v/>
      </c>
      <c r="H504" s="29">
        <f>IF($P504="","",IF(INDEX(EntryDep,$P504)=0,"",INDEX(EntryDep,$P504)))</f>
        <v/>
      </c>
      <c r="I504" s="29">
        <f>IF($P504="","",IF(INDEX(EntryWit,$P504)=0,"",INDEX(EntryWit,$P504)))</f>
        <v/>
      </c>
      <c r="J504" s="29">
        <f>IF($B504="","",IF($A504=1,$C$7,IF(J503="",0,J503))+IF($H504="",0,$H504)-IF($I504="",0,$I504))</f>
        <v/>
      </c>
      <c r="K504" s="29">
        <f>IF($P504="","",IF(INDEX(EntryMan,$P504)=0,"",INDEX(EntryMan,$P504)))</f>
        <v/>
      </c>
      <c r="L504" s="28">
        <f>IF($B504="","",IF($K504="","—",IF(ROUND($K504-$J504,0)=0,"√","×")))</f>
        <v/>
      </c>
      <c r="M504" s="28">
        <f>IF($B504="","",IF(COUNTIFS(EntryDates,$B504,CalcTime,$C504,CalcBank,$C$5,EntryParty,$D504,EntryDep,$H504,EntryWit,$I504)&gt;1,"تکرار",""))</f>
        <v/>
      </c>
      <c r="N504" s="28">
        <f>IF($P504="","",IF(INDEX(EntryNotes,$P504)=0,"",INDEX(EntryNotes,$P504)))</f>
        <v/>
      </c>
      <c r="O504" s="28">
        <f>IF($P504="","",IF(INDEX(EntryTxnID,$P504)=0,"",INDEX(EntryTxnID,$P504)))</f>
        <v/>
      </c>
      <c r="P504" s="28">
        <f>IFERROR(MATCH($C$5&amp;"|"&amp;RIGHT("000000"&amp;488,6),CalcRankKey,0),"")</f>
        <v/>
      </c>
    </row>
    <row r="505">
      <c r="A505" s="26">
        <f>IF($B505="","",489)</f>
        <v/>
      </c>
      <c r="B505" s="26">
        <f>IF($P505="","",IF(INDEX(CalcNormDate,$P505)=0,"",INDEX(CalcNormDate,$P505)))</f>
        <v/>
      </c>
      <c r="C505" s="26">
        <f>IF($P505="","",IF(INDEX(CalcTime,$P505)=0,"",INDEX(CalcTime,$P505)))</f>
        <v/>
      </c>
      <c r="D505" s="26">
        <f>IF($P505="","",IF(INDEX(EntryParty,$P505)=0,"",INDEX(EntryParty,$P505)))</f>
        <v/>
      </c>
      <c r="E505" s="26">
        <f>IF($P505="","",IF(INDEX(EntryPartyName,$P505)=0,"",INDEX(EntryPartyName,$P505)))</f>
        <v/>
      </c>
      <c r="F505" s="26">
        <f>IF($P505="","",IF(INDEX(EntryPartyType,$P505)=0,"",INDEX(EntryPartyType,$P505)))</f>
        <v/>
      </c>
      <c r="G505" s="26">
        <f>IF($P505="","",IF(INDEX(EntryTxnType,$P505)=0,"",INDEX(EntryTxnType,$P505)))</f>
        <v/>
      </c>
      <c r="H505" s="27">
        <f>IF($P505="","",IF(INDEX(EntryDep,$P505)=0,"",INDEX(EntryDep,$P505)))</f>
        <v/>
      </c>
      <c r="I505" s="27">
        <f>IF($P505="","",IF(INDEX(EntryWit,$P505)=0,"",INDEX(EntryWit,$P505)))</f>
        <v/>
      </c>
      <c r="J505" s="27">
        <f>IF($B505="","",IF($A505=1,$C$7,IF(J504="",0,J504))+IF($H505="",0,$H505)-IF($I505="",0,$I505))</f>
        <v/>
      </c>
      <c r="K505" s="27">
        <f>IF($P505="","",IF(INDEX(EntryMan,$P505)=0,"",INDEX(EntryMan,$P505)))</f>
        <v/>
      </c>
      <c r="L505" s="26">
        <f>IF($B505="","",IF($K505="","—",IF(ROUND($K505-$J505,0)=0,"√","×")))</f>
        <v/>
      </c>
      <c r="M505" s="26">
        <f>IF($B505="","",IF(COUNTIFS(EntryDates,$B505,CalcTime,$C505,CalcBank,$C$5,EntryParty,$D505,EntryDep,$H505,EntryWit,$I505)&gt;1,"تکرار",""))</f>
        <v/>
      </c>
      <c r="N505" s="26">
        <f>IF($P505="","",IF(INDEX(EntryNotes,$P505)=0,"",INDEX(EntryNotes,$P505)))</f>
        <v/>
      </c>
      <c r="O505" s="26">
        <f>IF($P505="","",IF(INDEX(EntryTxnID,$P505)=0,"",INDEX(EntryTxnID,$P505)))</f>
        <v/>
      </c>
      <c r="P505" s="26">
        <f>IFERROR(MATCH($C$5&amp;"|"&amp;RIGHT("000000"&amp;489,6),CalcRankKey,0),"")</f>
        <v/>
      </c>
    </row>
    <row r="506">
      <c r="A506" s="28">
        <f>IF($B506="","",490)</f>
        <v/>
      </c>
      <c r="B506" s="28">
        <f>IF($P506="","",IF(INDEX(CalcNormDate,$P506)=0,"",INDEX(CalcNormDate,$P506)))</f>
        <v/>
      </c>
      <c r="C506" s="28">
        <f>IF($P506="","",IF(INDEX(CalcTime,$P506)=0,"",INDEX(CalcTime,$P506)))</f>
        <v/>
      </c>
      <c r="D506" s="28">
        <f>IF($P506="","",IF(INDEX(EntryParty,$P506)=0,"",INDEX(EntryParty,$P506)))</f>
        <v/>
      </c>
      <c r="E506" s="28">
        <f>IF($P506="","",IF(INDEX(EntryPartyName,$P506)=0,"",INDEX(EntryPartyName,$P506)))</f>
        <v/>
      </c>
      <c r="F506" s="28">
        <f>IF($P506="","",IF(INDEX(EntryPartyType,$P506)=0,"",INDEX(EntryPartyType,$P506)))</f>
        <v/>
      </c>
      <c r="G506" s="28">
        <f>IF($P506="","",IF(INDEX(EntryTxnType,$P506)=0,"",INDEX(EntryTxnType,$P506)))</f>
        <v/>
      </c>
      <c r="H506" s="29">
        <f>IF($P506="","",IF(INDEX(EntryDep,$P506)=0,"",INDEX(EntryDep,$P506)))</f>
        <v/>
      </c>
      <c r="I506" s="29">
        <f>IF($P506="","",IF(INDEX(EntryWit,$P506)=0,"",INDEX(EntryWit,$P506)))</f>
        <v/>
      </c>
      <c r="J506" s="29">
        <f>IF($B506="","",IF($A506=1,$C$7,IF(J505="",0,J505))+IF($H506="",0,$H506)-IF($I506="",0,$I506))</f>
        <v/>
      </c>
      <c r="K506" s="29">
        <f>IF($P506="","",IF(INDEX(EntryMan,$P506)=0,"",INDEX(EntryMan,$P506)))</f>
        <v/>
      </c>
      <c r="L506" s="28">
        <f>IF($B506="","",IF($K506="","—",IF(ROUND($K506-$J506,0)=0,"√","×")))</f>
        <v/>
      </c>
      <c r="M506" s="28">
        <f>IF($B506="","",IF(COUNTIFS(EntryDates,$B506,CalcTime,$C506,CalcBank,$C$5,EntryParty,$D506,EntryDep,$H506,EntryWit,$I506)&gt;1,"تکرار",""))</f>
        <v/>
      </c>
      <c r="N506" s="28">
        <f>IF($P506="","",IF(INDEX(EntryNotes,$P506)=0,"",INDEX(EntryNotes,$P506)))</f>
        <v/>
      </c>
      <c r="O506" s="28">
        <f>IF($P506="","",IF(INDEX(EntryTxnID,$P506)=0,"",INDEX(EntryTxnID,$P506)))</f>
        <v/>
      </c>
      <c r="P506" s="28">
        <f>IFERROR(MATCH($C$5&amp;"|"&amp;RIGHT("000000"&amp;490,6),CalcRankKey,0),"")</f>
        <v/>
      </c>
    </row>
    <row r="507">
      <c r="A507" s="26">
        <f>IF($B507="","",491)</f>
        <v/>
      </c>
      <c r="B507" s="26">
        <f>IF($P507="","",IF(INDEX(CalcNormDate,$P507)=0,"",INDEX(CalcNormDate,$P507)))</f>
        <v/>
      </c>
      <c r="C507" s="26">
        <f>IF($P507="","",IF(INDEX(CalcTime,$P507)=0,"",INDEX(CalcTime,$P507)))</f>
        <v/>
      </c>
      <c r="D507" s="26">
        <f>IF($P507="","",IF(INDEX(EntryParty,$P507)=0,"",INDEX(EntryParty,$P507)))</f>
        <v/>
      </c>
      <c r="E507" s="26">
        <f>IF($P507="","",IF(INDEX(EntryPartyName,$P507)=0,"",INDEX(EntryPartyName,$P507)))</f>
        <v/>
      </c>
      <c r="F507" s="26">
        <f>IF($P507="","",IF(INDEX(EntryPartyType,$P507)=0,"",INDEX(EntryPartyType,$P507)))</f>
        <v/>
      </c>
      <c r="G507" s="26">
        <f>IF($P507="","",IF(INDEX(EntryTxnType,$P507)=0,"",INDEX(EntryTxnType,$P507)))</f>
        <v/>
      </c>
      <c r="H507" s="27">
        <f>IF($P507="","",IF(INDEX(EntryDep,$P507)=0,"",INDEX(EntryDep,$P507)))</f>
        <v/>
      </c>
      <c r="I507" s="27">
        <f>IF($P507="","",IF(INDEX(EntryWit,$P507)=0,"",INDEX(EntryWit,$P507)))</f>
        <v/>
      </c>
      <c r="J507" s="27">
        <f>IF($B507="","",IF($A507=1,$C$7,IF(J506="",0,J506))+IF($H507="",0,$H507)-IF($I507="",0,$I507))</f>
        <v/>
      </c>
      <c r="K507" s="27">
        <f>IF($P507="","",IF(INDEX(EntryMan,$P507)=0,"",INDEX(EntryMan,$P507)))</f>
        <v/>
      </c>
      <c r="L507" s="26">
        <f>IF($B507="","",IF($K507="","—",IF(ROUND($K507-$J507,0)=0,"√","×")))</f>
        <v/>
      </c>
      <c r="M507" s="26">
        <f>IF($B507="","",IF(COUNTIFS(EntryDates,$B507,CalcTime,$C507,CalcBank,$C$5,EntryParty,$D507,EntryDep,$H507,EntryWit,$I507)&gt;1,"تکرار",""))</f>
        <v/>
      </c>
      <c r="N507" s="26">
        <f>IF($P507="","",IF(INDEX(EntryNotes,$P507)=0,"",INDEX(EntryNotes,$P507)))</f>
        <v/>
      </c>
      <c r="O507" s="26">
        <f>IF($P507="","",IF(INDEX(EntryTxnID,$P507)=0,"",INDEX(EntryTxnID,$P507)))</f>
        <v/>
      </c>
      <c r="P507" s="26">
        <f>IFERROR(MATCH($C$5&amp;"|"&amp;RIGHT("000000"&amp;491,6),CalcRankKey,0),"")</f>
        <v/>
      </c>
    </row>
    <row r="508">
      <c r="A508" s="28">
        <f>IF($B508="","",492)</f>
        <v/>
      </c>
      <c r="B508" s="28">
        <f>IF($P508="","",IF(INDEX(CalcNormDate,$P508)=0,"",INDEX(CalcNormDate,$P508)))</f>
        <v/>
      </c>
      <c r="C508" s="28">
        <f>IF($P508="","",IF(INDEX(CalcTime,$P508)=0,"",INDEX(CalcTime,$P508)))</f>
        <v/>
      </c>
      <c r="D508" s="28">
        <f>IF($P508="","",IF(INDEX(EntryParty,$P508)=0,"",INDEX(EntryParty,$P508)))</f>
        <v/>
      </c>
      <c r="E508" s="28">
        <f>IF($P508="","",IF(INDEX(EntryPartyName,$P508)=0,"",INDEX(EntryPartyName,$P508)))</f>
        <v/>
      </c>
      <c r="F508" s="28">
        <f>IF($P508="","",IF(INDEX(EntryPartyType,$P508)=0,"",INDEX(EntryPartyType,$P508)))</f>
        <v/>
      </c>
      <c r="G508" s="28">
        <f>IF($P508="","",IF(INDEX(EntryTxnType,$P508)=0,"",INDEX(EntryTxnType,$P508)))</f>
        <v/>
      </c>
      <c r="H508" s="29">
        <f>IF($P508="","",IF(INDEX(EntryDep,$P508)=0,"",INDEX(EntryDep,$P508)))</f>
        <v/>
      </c>
      <c r="I508" s="29">
        <f>IF($P508="","",IF(INDEX(EntryWit,$P508)=0,"",INDEX(EntryWit,$P508)))</f>
        <v/>
      </c>
      <c r="J508" s="29">
        <f>IF($B508="","",IF($A508=1,$C$7,IF(J507="",0,J507))+IF($H508="",0,$H508)-IF($I508="",0,$I508))</f>
        <v/>
      </c>
      <c r="K508" s="29">
        <f>IF($P508="","",IF(INDEX(EntryMan,$P508)=0,"",INDEX(EntryMan,$P508)))</f>
        <v/>
      </c>
      <c r="L508" s="28">
        <f>IF($B508="","",IF($K508="","—",IF(ROUND($K508-$J508,0)=0,"√","×")))</f>
        <v/>
      </c>
      <c r="M508" s="28">
        <f>IF($B508="","",IF(COUNTIFS(EntryDates,$B508,CalcTime,$C508,CalcBank,$C$5,EntryParty,$D508,EntryDep,$H508,EntryWit,$I508)&gt;1,"تکرار",""))</f>
        <v/>
      </c>
      <c r="N508" s="28">
        <f>IF($P508="","",IF(INDEX(EntryNotes,$P508)=0,"",INDEX(EntryNotes,$P508)))</f>
        <v/>
      </c>
      <c r="O508" s="28">
        <f>IF($P508="","",IF(INDEX(EntryTxnID,$P508)=0,"",INDEX(EntryTxnID,$P508)))</f>
        <v/>
      </c>
      <c r="P508" s="28">
        <f>IFERROR(MATCH($C$5&amp;"|"&amp;RIGHT("000000"&amp;492,6),CalcRankKey,0),"")</f>
        <v/>
      </c>
    </row>
    <row r="509">
      <c r="A509" s="26">
        <f>IF($B509="","",493)</f>
        <v/>
      </c>
      <c r="B509" s="26">
        <f>IF($P509="","",IF(INDEX(CalcNormDate,$P509)=0,"",INDEX(CalcNormDate,$P509)))</f>
        <v/>
      </c>
      <c r="C509" s="26">
        <f>IF($P509="","",IF(INDEX(CalcTime,$P509)=0,"",INDEX(CalcTime,$P509)))</f>
        <v/>
      </c>
      <c r="D509" s="26">
        <f>IF($P509="","",IF(INDEX(EntryParty,$P509)=0,"",INDEX(EntryParty,$P509)))</f>
        <v/>
      </c>
      <c r="E509" s="26">
        <f>IF($P509="","",IF(INDEX(EntryPartyName,$P509)=0,"",INDEX(EntryPartyName,$P509)))</f>
        <v/>
      </c>
      <c r="F509" s="26">
        <f>IF($P509="","",IF(INDEX(EntryPartyType,$P509)=0,"",INDEX(EntryPartyType,$P509)))</f>
        <v/>
      </c>
      <c r="G509" s="26">
        <f>IF($P509="","",IF(INDEX(EntryTxnType,$P509)=0,"",INDEX(EntryTxnType,$P509)))</f>
        <v/>
      </c>
      <c r="H509" s="27">
        <f>IF($P509="","",IF(INDEX(EntryDep,$P509)=0,"",INDEX(EntryDep,$P509)))</f>
        <v/>
      </c>
      <c r="I509" s="27">
        <f>IF($P509="","",IF(INDEX(EntryWit,$P509)=0,"",INDEX(EntryWit,$P509)))</f>
        <v/>
      </c>
      <c r="J509" s="27">
        <f>IF($B509="","",IF($A509=1,$C$7,IF(J508="",0,J508))+IF($H509="",0,$H509)-IF($I509="",0,$I509))</f>
        <v/>
      </c>
      <c r="K509" s="27">
        <f>IF($P509="","",IF(INDEX(EntryMan,$P509)=0,"",INDEX(EntryMan,$P509)))</f>
        <v/>
      </c>
      <c r="L509" s="26">
        <f>IF($B509="","",IF($K509="","—",IF(ROUND($K509-$J509,0)=0,"√","×")))</f>
        <v/>
      </c>
      <c r="M509" s="26">
        <f>IF($B509="","",IF(COUNTIFS(EntryDates,$B509,CalcTime,$C509,CalcBank,$C$5,EntryParty,$D509,EntryDep,$H509,EntryWit,$I509)&gt;1,"تکرار",""))</f>
        <v/>
      </c>
      <c r="N509" s="26">
        <f>IF($P509="","",IF(INDEX(EntryNotes,$P509)=0,"",INDEX(EntryNotes,$P509)))</f>
        <v/>
      </c>
      <c r="O509" s="26">
        <f>IF($P509="","",IF(INDEX(EntryTxnID,$P509)=0,"",INDEX(EntryTxnID,$P509)))</f>
        <v/>
      </c>
      <c r="P509" s="26">
        <f>IFERROR(MATCH($C$5&amp;"|"&amp;RIGHT("000000"&amp;493,6),CalcRankKey,0),"")</f>
        <v/>
      </c>
    </row>
    <row r="510">
      <c r="A510" s="28">
        <f>IF($B510="","",494)</f>
        <v/>
      </c>
      <c r="B510" s="28">
        <f>IF($P510="","",IF(INDEX(CalcNormDate,$P510)=0,"",INDEX(CalcNormDate,$P510)))</f>
        <v/>
      </c>
      <c r="C510" s="28">
        <f>IF($P510="","",IF(INDEX(CalcTime,$P510)=0,"",INDEX(CalcTime,$P510)))</f>
        <v/>
      </c>
      <c r="D510" s="28">
        <f>IF($P510="","",IF(INDEX(EntryParty,$P510)=0,"",INDEX(EntryParty,$P510)))</f>
        <v/>
      </c>
      <c r="E510" s="28">
        <f>IF($P510="","",IF(INDEX(EntryPartyName,$P510)=0,"",INDEX(EntryPartyName,$P510)))</f>
        <v/>
      </c>
      <c r="F510" s="28">
        <f>IF($P510="","",IF(INDEX(EntryPartyType,$P510)=0,"",INDEX(EntryPartyType,$P510)))</f>
        <v/>
      </c>
      <c r="G510" s="28">
        <f>IF($P510="","",IF(INDEX(EntryTxnType,$P510)=0,"",INDEX(EntryTxnType,$P510)))</f>
        <v/>
      </c>
      <c r="H510" s="29">
        <f>IF($P510="","",IF(INDEX(EntryDep,$P510)=0,"",INDEX(EntryDep,$P510)))</f>
        <v/>
      </c>
      <c r="I510" s="29">
        <f>IF($P510="","",IF(INDEX(EntryWit,$P510)=0,"",INDEX(EntryWit,$P510)))</f>
        <v/>
      </c>
      <c r="J510" s="29">
        <f>IF($B510="","",IF($A510=1,$C$7,IF(J509="",0,J509))+IF($H510="",0,$H510)-IF($I510="",0,$I510))</f>
        <v/>
      </c>
      <c r="K510" s="29">
        <f>IF($P510="","",IF(INDEX(EntryMan,$P510)=0,"",INDEX(EntryMan,$P510)))</f>
        <v/>
      </c>
      <c r="L510" s="28">
        <f>IF($B510="","",IF($K510="","—",IF(ROUND($K510-$J510,0)=0,"√","×")))</f>
        <v/>
      </c>
      <c r="M510" s="28">
        <f>IF($B510="","",IF(COUNTIFS(EntryDates,$B510,CalcTime,$C510,CalcBank,$C$5,EntryParty,$D510,EntryDep,$H510,EntryWit,$I510)&gt;1,"تکرار",""))</f>
        <v/>
      </c>
      <c r="N510" s="28">
        <f>IF($P510="","",IF(INDEX(EntryNotes,$P510)=0,"",INDEX(EntryNotes,$P510)))</f>
        <v/>
      </c>
      <c r="O510" s="28">
        <f>IF($P510="","",IF(INDEX(EntryTxnID,$P510)=0,"",INDEX(EntryTxnID,$P510)))</f>
        <v/>
      </c>
      <c r="P510" s="28">
        <f>IFERROR(MATCH($C$5&amp;"|"&amp;RIGHT("000000"&amp;494,6),CalcRankKey,0),"")</f>
        <v/>
      </c>
    </row>
    <row r="511">
      <c r="A511" s="26">
        <f>IF($B511="","",495)</f>
        <v/>
      </c>
      <c r="B511" s="26">
        <f>IF($P511="","",IF(INDEX(CalcNormDate,$P511)=0,"",INDEX(CalcNormDate,$P511)))</f>
        <v/>
      </c>
      <c r="C511" s="26">
        <f>IF($P511="","",IF(INDEX(CalcTime,$P511)=0,"",INDEX(CalcTime,$P511)))</f>
        <v/>
      </c>
      <c r="D511" s="26">
        <f>IF($P511="","",IF(INDEX(EntryParty,$P511)=0,"",INDEX(EntryParty,$P511)))</f>
        <v/>
      </c>
      <c r="E511" s="26">
        <f>IF($P511="","",IF(INDEX(EntryPartyName,$P511)=0,"",INDEX(EntryPartyName,$P511)))</f>
        <v/>
      </c>
      <c r="F511" s="26">
        <f>IF($P511="","",IF(INDEX(EntryPartyType,$P511)=0,"",INDEX(EntryPartyType,$P511)))</f>
        <v/>
      </c>
      <c r="G511" s="26">
        <f>IF($P511="","",IF(INDEX(EntryTxnType,$P511)=0,"",INDEX(EntryTxnType,$P511)))</f>
        <v/>
      </c>
      <c r="H511" s="27">
        <f>IF($P511="","",IF(INDEX(EntryDep,$P511)=0,"",INDEX(EntryDep,$P511)))</f>
        <v/>
      </c>
      <c r="I511" s="27">
        <f>IF($P511="","",IF(INDEX(EntryWit,$P511)=0,"",INDEX(EntryWit,$P511)))</f>
        <v/>
      </c>
      <c r="J511" s="27">
        <f>IF($B511="","",IF($A511=1,$C$7,IF(J510="",0,J510))+IF($H511="",0,$H511)-IF($I511="",0,$I511))</f>
        <v/>
      </c>
      <c r="K511" s="27">
        <f>IF($P511="","",IF(INDEX(EntryMan,$P511)=0,"",INDEX(EntryMan,$P511)))</f>
        <v/>
      </c>
      <c r="L511" s="26">
        <f>IF($B511="","",IF($K511="","—",IF(ROUND($K511-$J511,0)=0,"√","×")))</f>
        <v/>
      </c>
      <c r="M511" s="26">
        <f>IF($B511="","",IF(COUNTIFS(EntryDates,$B511,CalcTime,$C511,CalcBank,$C$5,EntryParty,$D511,EntryDep,$H511,EntryWit,$I511)&gt;1,"تکرار",""))</f>
        <v/>
      </c>
      <c r="N511" s="26">
        <f>IF($P511="","",IF(INDEX(EntryNotes,$P511)=0,"",INDEX(EntryNotes,$P511)))</f>
        <v/>
      </c>
      <c r="O511" s="26">
        <f>IF($P511="","",IF(INDEX(EntryTxnID,$P511)=0,"",INDEX(EntryTxnID,$P511)))</f>
        <v/>
      </c>
      <c r="P511" s="26">
        <f>IFERROR(MATCH($C$5&amp;"|"&amp;RIGHT("000000"&amp;495,6),CalcRankKey,0),"")</f>
        <v/>
      </c>
    </row>
    <row r="512">
      <c r="A512" s="28">
        <f>IF($B512="","",496)</f>
        <v/>
      </c>
      <c r="B512" s="28">
        <f>IF($P512="","",IF(INDEX(CalcNormDate,$P512)=0,"",INDEX(CalcNormDate,$P512)))</f>
        <v/>
      </c>
      <c r="C512" s="28">
        <f>IF($P512="","",IF(INDEX(CalcTime,$P512)=0,"",INDEX(CalcTime,$P512)))</f>
        <v/>
      </c>
      <c r="D512" s="28">
        <f>IF($P512="","",IF(INDEX(EntryParty,$P512)=0,"",INDEX(EntryParty,$P512)))</f>
        <v/>
      </c>
      <c r="E512" s="28">
        <f>IF($P512="","",IF(INDEX(EntryPartyName,$P512)=0,"",INDEX(EntryPartyName,$P512)))</f>
        <v/>
      </c>
      <c r="F512" s="28">
        <f>IF($P512="","",IF(INDEX(EntryPartyType,$P512)=0,"",INDEX(EntryPartyType,$P512)))</f>
        <v/>
      </c>
      <c r="G512" s="28">
        <f>IF($P512="","",IF(INDEX(EntryTxnType,$P512)=0,"",INDEX(EntryTxnType,$P512)))</f>
        <v/>
      </c>
      <c r="H512" s="29">
        <f>IF($P512="","",IF(INDEX(EntryDep,$P512)=0,"",INDEX(EntryDep,$P512)))</f>
        <v/>
      </c>
      <c r="I512" s="29">
        <f>IF($P512="","",IF(INDEX(EntryWit,$P512)=0,"",INDEX(EntryWit,$P512)))</f>
        <v/>
      </c>
      <c r="J512" s="29">
        <f>IF($B512="","",IF($A512=1,$C$7,IF(J511="",0,J511))+IF($H512="",0,$H512)-IF($I512="",0,$I512))</f>
        <v/>
      </c>
      <c r="K512" s="29">
        <f>IF($P512="","",IF(INDEX(EntryMan,$P512)=0,"",INDEX(EntryMan,$P512)))</f>
        <v/>
      </c>
      <c r="L512" s="28">
        <f>IF($B512="","",IF($K512="","—",IF(ROUND($K512-$J512,0)=0,"√","×")))</f>
        <v/>
      </c>
      <c r="M512" s="28">
        <f>IF($B512="","",IF(COUNTIFS(EntryDates,$B512,CalcTime,$C512,CalcBank,$C$5,EntryParty,$D512,EntryDep,$H512,EntryWit,$I512)&gt;1,"تکرار",""))</f>
        <v/>
      </c>
      <c r="N512" s="28">
        <f>IF($P512="","",IF(INDEX(EntryNotes,$P512)=0,"",INDEX(EntryNotes,$P512)))</f>
        <v/>
      </c>
      <c r="O512" s="28">
        <f>IF($P512="","",IF(INDEX(EntryTxnID,$P512)=0,"",INDEX(EntryTxnID,$P512)))</f>
        <v/>
      </c>
      <c r="P512" s="28">
        <f>IFERROR(MATCH($C$5&amp;"|"&amp;RIGHT("000000"&amp;496,6),CalcRankKey,0),"")</f>
        <v/>
      </c>
    </row>
    <row r="513">
      <c r="A513" s="26">
        <f>IF($B513="","",497)</f>
        <v/>
      </c>
      <c r="B513" s="26">
        <f>IF($P513="","",IF(INDEX(CalcNormDate,$P513)=0,"",INDEX(CalcNormDate,$P513)))</f>
        <v/>
      </c>
      <c r="C513" s="26">
        <f>IF($P513="","",IF(INDEX(CalcTime,$P513)=0,"",INDEX(CalcTime,$P513)))</f>
        <v/>
      </c>
      <c r="D513" s="26">
        <f>IF($P513="","",IF(INDEX(EntryParty,$P513)=0,"",INDEX(EntryParty,$P513)))</f>
        <v/>
      </c>
      <c r="E513" s="26">
        <f>IF($P513="","",IF(INDEX(EntryPartyName,$P513)=0,"",INDEX(EntryPartyName,$P513)))</f>
        <v/>
      </c>
      <c r="F513" s="26">
        <f>IF($P513="","",IF(INDEX(EntryPartyType,$P513)=0,"",INDEX(EntryPartyType,$P513)))</f>
        <v/>
      </c>
      <c r="G513" s="26">
        <f>IF($P513="","",IF(INDEX(EntryTxnType,$P513)=0,"",INDEX(EntryTxnType,$P513)))</f>
        <v/>
      </c>
      <c r="H513" s="27">
        <f>IF($P513="","",IF(INDEX(EntryDep,$P513)=0,"",INDEX(EntryDep,$P513)))</f>
        <v/>
      </c>
      <c r="I513" s="27">
        <f>IF($P513="","",IF(INDEX(EntryWit,$P513)=0,"",INDEX(EntryWit,$P513)))</f>
        <v/>
      </c>
      <c r="J513" s="27">
        <f>IF($B513="","",IF($A513=1,$C$7,IF(J512="",0,J512))+IF($H513="",0,$H513)-IF($I513="",0,$I513))</f>
        <v/>
      </c>
      <c r="K513" s="27">
        <f>IF($P513="","",IF(INDEX(EntryMan,$P513)=0,"",INDEX(EntryMan,$P513)))</f>
        <v/>
      </c>
      <c r="L513" s="26">
        <f>IF($B513="","",IF($K513="","—",IF(ROUND($K513-$J513,0)=0,"√","×")))</f>
        <v/>
      </c>
      <c r="M513" s="26">
        <f>IF($B513="","",IF(COUNTIFS(EntryDates,$B513,CalcTime,$C513,CalcBank,$C$5,EntryParty,$D513,EntryDep,$H513,EntryWit,$I513)&gt;1,"تکرار",""))</f>
        <v/>
      </c>
      <c r="N513" s="26">
        <f>IF($P513="","",IF(INDEX(EntryNotes,$P513)=0,"",INDEX(EntryNotes,$P513)))</f>
        <v/>
      </c>
      <c r="O513" s="26">
        <f>IF($P513="","",IF(INDEX(EntryTxnID,$P513)=0,"",INDEX(EntryTxnID,$P513)))</f>
        <v/>
      </c>
      <c r="P513" s="26">
        <f>IFERROR(MATCH($C$5&amp;"|"&amp;RIGHT("000000"&amp;497,6),CalcRankKey,0),"")</f>
        <v/>
      </c>
    </row>
    <row r="514">
      <c r="A514" s="28">
        <f>IF($B514="","",498)</f>
        <v/>
      </c>
      <c r="B514" s="28">
        <f>IF($P514="","",IF(INDEX(CalcNormDate,$P514)=0,"",INDEX(CalcNormDate,$P514)))</f>
        <v/>
      </c>
      <c r="C514" s="28">
        <f>IF($P514="","",IF(INDEX(CalcTime,$P514)=0,"",INDEX(CalcTime,$P514)))</f>
        <v/>
      </c>
      <c r="D514" s="28">
        <f>IF($P514="","",IF(INDEX(EntryParty,$P514)=0,"",INDEX(EntryParty,$P514)))</f>
        <v/>
      </c>
      <c r="E514" s="28">
        <f>IF($P514="","",IF(INDEX(EntryPartyName,$P514)=0,"",INDEX(EntryPartyName,$P514)))</f>
        <v/>
      </c>
      <c r="F514" s="28">
        <f>IF($P514="","",IF(INDEX(EntryPartyType,$P514)=0,"",INDEX(EntryPartyType,$P514)))</f>
        <v/>
      </c>
      <c r="G514" s="28">
        <f>IF($P514="","",IF(INDEX(EntryTxnType,$P514)=0,"",INDEX(EntryTxnType,$P514)))</f>
        <v/>
      </c>
      <c r="H514" s="29">
        <f>IF($P514="","",IF(INDEX(EntryDep,$P514)=0,"",INDEX(EntryDep,$P514)))</f>
        <v/>
      </c>
      <c r="I514" s="29">
        <f>IF($P514="","",IF(INDEX(EntryWit,$P514)=0,"",INDEX(EntryWit,$P514)))</f>
        <v/>
      </c>
      <c r="J514" s="29">
        <f>IF($B514="","",IF($A514=1,$C$7,IF(J513="",0,J513))+IF($H514="",0,$H514)-IF($I514="",0,$I514))</f>
        <v/>
      </c>
      <c r="K514" s="29">
        <f>IF($P514="","",IF(INDEX(EntryMan,$P514)=0,"",INDEX(EntryMan,$P514)))</f>
        <v/>
      </c>
      <c r="L514" s="28">
        <f>IF($B514="","",IF($K514="","—",IF(ROUND($K514-$J514,0)=0,"√","×")))</f>
        <v/>
      </c>
      <c r="M514" s="28">
        <f>IF($B514="","",IF(COUNTIFS(EntryDates,$B514,CalcTime,$C514,CalcBank,$C$5,EntryParty,$D514,EntryDep,$H514,EntryWit,$I514)&gt;1,"تکرار",""))</f>
        <v/>
      </c>
      <c r="N514" s="28">
        <f>IF($P514="","",IF(INDEX(EntryNotes,$P514)=0,"",INDEX(EntryNotes,$P514)))</f>
        <v/>
      </c>
      <c r="O514" s="28">
        <f>IF($P514="","",IF(INDEX(EntryTxnID,$P514)=0,"",INDEX(EntryTxnID,$P514)))</f>
        <v/>
      </c>
      <c r="P514" s="28">
        <f>IFERROR(MATCH($C$5&amp;"|"&amp;RIGHT("000000"&amp;498,6),CalcRankKey,0),"")</f>
        <v/>
      </c>
    </row>
    <row r="515">
      <c r="A515" s="26">
        <f>IF($B515="","",499)</f>
        <v/>
      </c>
      <c r="B515" s="26">
        <f>IF($P515="","",IF(INDEX(CalcNormDate,$P515)=0,"",INDEX(CalcNormDate,$P515)))</f>
        <v/>
      </c>
      <c r="C515" s="26">
        <f>IF($P515="","",IF(INDEX(CalcTime,$P515)=0,"",INDEX(CalcTime,$P515)))</f>
        <v/>
      </c>
      <c r="D515" s="26">
        <f>IF($P515="","",IF(INDEX(EntryParty,$P515)=0,"",INDEX(EntryParty,$P515)))</f>
        <v/>
      </c>
      <c r="E515" s="26">
        <f>IF($P515="","",IF(INDEX(EntryPartyName,$P515)=0,"",INDEX(EntryPartyName,$P515)))</f>
        <v/>
      </c>
      <c r="F515" s="26">
        <f>IF($P515="","",IF(INDEX(EntryPartyType,$P515)=0,"",INDEX(EntryPartyType,$P515)))</f>
        <v/>
      </c>
      <c r="G515" s="26">
        <f>IF($P515="","",IF(INDEX(EntryTxnType,$P515)=0,"",INDEX(EntryTxnType,$P515)))</f>
        <v/>
      </c>
      <c r="H515" s="27">
        <f>IF($P515="","",IF(INDEX(EntryDep,$P515)=0,"",INDEX(EntryDep,$P515)))</f>
        <v/>
      </c>
      <c r="I515" s="27">
        <f>IF($P515="","",IF(INDEX(EntryWit,$P515)=0,"",INDEX(EntryWit,$P515)))</f>
        <v/>
      </c>
      <c r="J515" s="27">
        <f>IF($B515="","",IF($A515=1,$C$7,IF(J514="",0,J514))+IF($H515="",0,$H515)-IF($I515="",0,$I515))</f>
        <v/>
      </c>
      <c r="K515" s="27">
        <f>IF($P515="","",IF(INDEX(EntryMan,$P515)=0,"",INDEX(EntryMan,$P515)))</f>
        <v/>
      </c>
      <c r="L515" s="26">
        <f>IF($B515="","",IF($K515="","—",IF(ROUND($K515-$J515,0)=0,"√","×")))</f>
        <v/>
      </c>
      <c r="M515" s="26">
        <f>IF($B515="","",IF(COUNTIFS(EntryDates,$B515,CalcTime,$C515,CalcBank,$C$5,EntryParty,$D515,EntryDep,$H515,EntryWit,$I515)&gt;1,"تکرار",""))</f>
        <v/>
      </c>
      <c r="N515" s="26">
        <f>IF($P515="","",IF(INDEX(EntryNotes,$P515)=0,"",INDEX(EntryNotes,$P515)))</f>
        <v/>
      </c>
      <c r="O515" s="26">
        <f>IF($P515="","",IF(INDEX(EntryTxnID,$P515)=0,"",INDEX(EntryTxnID,$P515)))</f>
        <v/>
      </c>
      <c r="P515" s="26">
        <f>IFERROR(MATCH($C$5&amp;"|"&amp;RIGHT("000000"&amp;499,6),CalcRankKey,0),"")</f>
        <v/>
      </c>
    </row>
    <row r="516">
      <c r="A516" s="28">
        <f>IF($B516="","",500)</f>
        <v/>
      </c>
      <c r="B516" s="28">
        <f>IF($P516="","",IF(INDEX(CalcNormDate,$P516)=0,"",INDEX(CalcNormDate,$P516)))</f>
        <v/>
      </c>
      <c r="C516" s="28">
        <f>IF($P516="","",IF(INDEX(CalcTime,$P516)=0,"",INDEX(CalcTime,$P516)))</f>
        <v/>
      </c>
      <c r="D516" s="28">
        <f>IF($P516="","",IF(INDEX(EntryParty,$P516)=0,"",INDEX(EntryParty,$P516)))</f>
        <v/>
      </c>
      <c r="E516" s="28">
        <f>IF($P516="","",IF(INDEX(EntryPartyName,$P516)=0,"",INDEX(EntryPartyName,$P516)))</f>
        <v/>
      </c>
      <c r="F516" s="28">
        <f>IF($P516="","",IF(INDEX(EntryPartyType,$P516)=0,"",INDEX(EntryPartyType,$P516)))</f>
        <v/>
      </c>
      <c r="G516" s="28">
        <f>IF($P516="","",IF(INDEX(EntryTxnType,$P516)=0,"",INDEX(EntryTxnType,$P516)))</f>
        <v/>
      </c>
      <c r="H516" s="29">
        <f>IF($P516="","",IF(INDEX(EntryDep,$P516)=0,"",INDEX(EntryDep,$P516)))</f>
        <v/>
      </c>
      <c r="I516" s="29">
        <f>IF($P516="","",IF(INDEX(EntryWit,$P516)=0,"",INDEX(EntryWit,$P516)))</f>
        <v/>
      </c>
      <c r="J516" s="29">
        <f>IF($B516="","",IF($A516=1,$C$7,IF(J515="",0,J515))+IF($H516="",0,$H516)-IF($I516="",0,$I516))</f>
        <v/>
      </c>
      <c r="K516" s="29">
        <f>IF($P516="","",IF(INDEX(EntryMan,$P516)=0,"",INDEX(EntryMan,$P516)))</f>
        <v/>
      </c>
      <c r="L516" s="28">
        <f>IF($B516="","",IF($K516="","—",IF(ROUND($K516-$J516,0)=0,"√","×")))</f>
        <v/>
      </c>
      <c r="M516" s="28">
        <f>IF($B516="","",IF(COUNTIFS(EntryDates,$B516,CalcTime,$C516,CalcBank,$C$5,EntryParty,$D516,EntryDep,$H516,EntryWit,$I516)&gt;1,"تکرار",""))</f>
        <v/>
      </c>
      <c r="N516" s="28">
        <f>IF($P516="","",IF(INDEX(EntryNotes,$P516)=0,"",INDEX(EntryNotes,$P516)))</f>
        <v/>
      </c>
      <c r="O516" s="28">
        <f>IF($P516="","",IF(INDEX(EntryTxnID,$P516)=0,"",INDEX(EntryTxnID,$P516)))</f>
        <v/>
      </c>
      <c r="P516" s="28">
        <f>IFERROR(MATCH($C$5&amp;"|"&amp;RIGHT("000000"&amp;500,6),CalcRankKey,0),"")</f>
        <v/>
      </c>
    </row>
  </sheetData>
  <mergeCells count="43">
    <mergeCell ref="E12:F12"/>
    <mergeCell ref="G12:H12"/>
    <mergeCell ref="O12"/>
    <mergeCell ref="H10:I10"/>
    <mergeCell ref="I4:O4"/>
    <mergeCell ref="A6:B6"/>
    <mergeCell ref="H9:I9"/>
    <mergeCell ref="J7:O7"/>
    <mergeCell ref="O13"/>
    <mergeCell ref="A2:O2"/>
    <mergeCell ref="A7:B7"/>
    <mergeCell ref="H6:I6"/>
    <mergeCell ref="C8:E8"/>
    <mergeCell ref="E13:F13"/>
    <mergeCell ref="G13:H13"/>
    <mergeCell ref="C7:E7"/>
    <mergeCell ref="A9:E10"/>
    <mergeCell ref="A12:B12"/>
    <mergeCell ref="M13:N13"/>
    <mergeCell ref="C12:D12"/>
    <mergeCell ref="A3:H3"/>
    <mergeCell ref="I12:J12"/>
    <mergeCell ref="K12:L12"/>
    <mergeCell ref="M12:N12"/>
    <mergeCell ref="H7:I7"/>
    <mergeCell ref="A5:B5"/>
    <mergeCell ref="J8:O8"/>
    <mergeCell ref="A8:B8"/>
    <mergeCell ref="C6:E6"/>
    <mergeCell ref="A4:H4"/>
    <mergeCell ref="J5:O5"/>
    <mergeCell ref="C5:E5"/>
    <mergeCell ref="J10:O10"/>
    <mergeCell ref="I3:O3"/>
    <mergeCell ref="A1:O1"/>
    <mergeCell ref="A13:B13"/>
    <mergeCell ref="H5:I5"/>
    <mergeCell ref="J9:O9"/>
    <mergeCell ref="C13:D13"/>
    <mergeCell ref="H8:I8"/>
    <mergeCell ref="I13:J13"/>
    <mergeCell ref="K13:L13"/>
    <mergeCell ref="J6:O6"/>
  </mergeCells>
  <conditionalFormatting sqref="L17:L516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3">
      <formula>"—"</formula>
    </cfRule>
  </conditionalFormatting>
  <conditionalFormatting sqref="M17:M516">
    <cfRule type="cellIs" priority="4" operator="equal" dxfId="4">
      <formula>"تکرار"</formula>
    </cfRule>
  </conditionalFormatting>
  <conditionalFormatting sqref="J17:J516">
    <cfRule type="cellIs" priority="5" operator="lessThan" dxfId="5">
      <formula>0</formula>
    </cfRule>
  </conditionalFormatting>
  <conditionalFormatting sqref="H17:H516">
    <cfRule type="dataBar" priority="6">
      <dataBar showValue="1">
        <cfvo type="num" val="0"/>
        <cfvo type="max"/>
        <color rgb="0081C784"/>
      </dataBar>
    </cfRule>
  </conditionalFormatting>
  <conditionalFormatting sqref="I17:I516">
    <cfRule type="dataBar" priority="7">
      <dataBar showValue="1">
        <cfvo type="num" val="0"/>
        <cfvo type="max"/>
        <color rgb="00FF8A65"/>
      </dataBar>
    </cfRule>
  </conditionalFormatting>
  <conditionalFormatting sqref="A4:H4">
    <cfRule type="expression" priority="8" dxfId="6">
      <formula>LEN($A$4)&gt;0</formula>
    </cfRule>
  </conditionalFormatting>
  <conditionalFormatting sqref="I13">
    <cfRule type="expression" priority="9" dxfId="7">
      <formula>ISNUMBER(SEARCH("×",$I$13))</formula>
    </cfRule>
    <cfRule type="expression" priority="10" dxfId="8">
      <formula>ISNUMBER(SEARCH("√",$I$13))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بانکی — BANK09&amp;R&amp;"Tahoma"&amp;8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P5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.5" customWidth="1" min="3" max="3"/>
    <col width="10" customWidth="1" min="4" max="4"/>
    <col width="2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0" customWidth="1" min="13" max="13"/>
    <col width="27" customWidth="1" min="14" max="14"/>
    <col width="11" customWidth="1" min="15" max="15"/>
    <col hidden="1" width="6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15">
        <f>IFERROR("صورت حساب بانکی — "&amp;IF(VLOOKUP("BANK10",BankTbl,2,0)="","(بدون عنوان)",VLOOKUP("BANK10",BankTbl,2,0)),"صورت حساب بانکی")</f>
        <v/>
      </c>
      <c r="B3" s="15" t="n"/>
      <c r="C3" s="15" t="n"/>
      <c r="D3" s="15" t="n"/>
      <c r="E3" s="15" t="n"/>
      <c r="F3" s="15" t="n"/>
      <c r="G3" s="15" t="n"/>
      <c r="H3" s="15" t="n"/>
      <c r="I3" s="16">
        <f>"کد حساب: BANK10"</f>
        <v/>
      </c>
      <c r="J3" s="16" t="n"/>
      <c r="K3" s="16" t="n"/>
      <c r="L3" s="16" t="n"/>
      <c r="M3" s="16" t="n"/>
      <c r="N3" s="16" t="n"/>
      <c r="O3" s="16" t="n"/>
    </row>
    <row r="4" ht="14" customHeight="1">
      <c r="A4" s="17">
        <f>IF(COUNTIFS(CalcBank,"BANK10")&gt;500,"× ظرفیت 500 ردیف این برگه پر شده — آخرین ردیف را به پایین کپی کنید","")</f>
        <v/>
      </c>
      <c r="B4" s="17" t="n"/>
      <c r="C4" s="17" t="n"/>
      <c r="D4" s="17" t="n"/>
      <c r="E4" s="17" t="n"/>
      <c r="F4" s="17" t="n"/>
      <c r="G4" s="17" t="n"/>
      <c r="H4" s="17" t="n"/>
      <c r="I4" s="18" t="inlineStr">
        <is>
          <t>مشخصات رسمی زیر، دستی وارد می‌شود (زردرنگ).</t>
        </is>
      </c>
      <c r="J4" s="18" t="n"/>
      <c r="K4" s="18" t="n"/>
      <c r="L4" s="18" t="n"/>
      <c r="M4" s="18" t="n"/>
      <c r="N4" s="18" t="n"/>
      <c r="O4" s="18" t="n"/>
    </row>
    <row r="5" ht="18" customHeight="1">
      <c r="A5" s="19" t="inlineStr">
        <is>
          <t>کد حساب:</t>
        </is>
      </c>
      <c r="B5" s="19" t="n"/>
      <c r="C5" s="20" t="inlineStr">
        <is>
          <t>BANK10</t>
        </is>
      </c>
      <c r="D5" s="20" t="n"/>
      <c r="E5" s="20" t="n"/>
      <c r="H5" s="19" t="inlineStr">
        <is>
          <t>نام رسمی بانک:</t>
        </is>
      </c>
      <c r="I5" s="19" t="n"/>
      <c r="J5" s="21" t="n"/>
      <c r="K5" s="21" t="n"/>
      <c r="L5" s="21" t="n"/>
      <c r="M5" s="21" t="n"/>
      <c r="N5" s="21" t="n"/>
      <c r="O5" s="21" t="n"/>
    </row>
    <row r="6" ht="18" customHeight="1">
      <c r="A6" s="19" t="inlineStr">
        <is>
          <t>عنوان نمایشی:</t>
        </is>
      </c>
      <c r="B6" s="19" t="n"/>
      <c r="C6" s="22">
        <f>IFERROR(IF(VLOOKUP("BANK10",BankTbl,2,0)="","(بدون عنوان)",VLOOKUP("BANK10",BankTbl,2,0)),"—")</f>
        <v/>
      </c>
      <c r="D6" s="22" t="n"/>
      <c r="E6" s="22" t="n"/>
      <c r="H6" s="19" t="inlineStr">
        <is>
          <t>شعبه:</t>
        </is>
      </c>
      <c r="I6" s="19" t="n"/>
      <c r="J6" s="21" t="n"/>
      <c r="K6" s="21" t="n"/>
      <c r="L6" s="21" t="n"/>
      <c r="M6" s="21" t="n"/>
      <c r="N6" s="21" t="n"/>
      <c r="O6" s="21" t="n"/>
    </row>
    <row r="7" ht="18" customHeight="1">
      <c r="A7" s="19" t="inlineStr">
        <is>
          <t>مانده اولیه (ریال):</t>
        </is>
      </c>
      <c r="B7" s="19" t="n"/>
      <c r="C7" s="23">
        <f>IFERROR(VLOOKUP("BANK10",BankTbl,3,0),0)</f>
        <v/>
      </c>
      <c r="D7" s="23" t="n"/>
      <c r="E7" s="23" t="n"/>
      <c r="H7" s="19" t="inlineStr">
        <is>
          <t>شماره حساب:</t>
        </is>
      </c>
      <c r="I7" s="19" t="n"/>
      <c r="J7" s="24" t="n"/>
      <c r="K7" s="24" t="n"/>
      <c r="L7" s="24" t="n"/>
      <c r="M7" s="24" t="n"/>
      <c r="N7" s="24" t="n"/>
      <c r="O7" s="24" t="n"/>
    </row>
    <row r="8" ht="18" customHeight="1">
      <c r="A8" s="19" t="inlineStr">
        <is>
          <t>وضعیت فعال:</t>
        </is>
      </c>
      <c r="B8" s="19" t="n"/>
      <c r="C8" s="10">
        <f>IFERROR(IF(VLOOKUP("BANK10",BankTbl,4,0)=0,"—",VLOOKUP("BANK10",BankTbl,4,0)),"—")</f>
        <v/>
      </c>
      <c r="D8" s="10" t="n"/>
      <c r="E8" s="10" t="n"/>
      <c r="H8" s="19" t="inlineStr">
        <is>
          <t>شماره شبا (۲۴ رقم):</t>
        </is>
      </c>
      <c r="I8" s="19" t="n"/>
      <c r="J8" s="24" t="n"/>
      <c r="K8" s="24" t="n"/>
      <c r="L8" s="24" t="n"/>
      <c r="M8" s="24" t="n"/>
      <c r="N8" s="24" t="n"/>
      <c r="O8" s="24" t="n"/>
    </row>
    <row r="9" ht="18" customHeight="1">
      <c r="A9" s="25" t="inlineStr">
        <is>
          <t>این چهار سلول از فایل مادر خوانده می‌شوند؛ برای تغییر: Mazandasht_INFO.xlsx ← شیت Banks. مشخصات رسمی (زردرنگ) دستی وارد می‌شود.</t>
        </is>
      </c>
      <c r="B9" s="25" t="n"/>
      <c r="C9" s="25" t="n"/>
      <c r="D9" s="25" t="n"/>
      <c r="E9" s="25" t="n"/>
      <c r="H9" s="19" t="inlineStr">
        <is>
          <t>صاحب حساب:</t>
        </is>
      </c>
      <c r="I9" s="19" t="n"/>
      <c r="J9" s="21" t="n"/>
      <c r="K9" s="21" t="n"/>
      <c r="L9" s="21" t="n"/>
      <c r="M9" s="21" t="n"/>
      <c r="N9" s="21" t="n"/>
      <c r="O9" s="21" t="n"/>
    </row>
    <row r="10" ht="18" customHeight="1">
      <c r="A10" s="25" t="n"/>
      <c r="B10" s="25" t="n"/>
      <c r="C10" s="25" t="n"/>
      <c r="D10" s="25" t="n"/>
      <c r="E10" s="25" t="n"/>
      <c r="H10" s="19" t="inlineStr">
        <is>
          <t>تلفن شعبه:</t>
        </is>
      </c>
      <c r="I10" s="19" t="n"/>
      <c r="J10" s="21" t="n"/>
      <c r="K10" s="21" t="n"/>
      <c r="L10" s="21" t="n"/>
      <c r="M10" s="21" t="n"/>
      <c r="N10" s="21" t="n"/>
      <c r="O10" s="21" t="n"/>
    </row>
    <row r="12" ht="13" customHeight="1">
      <c r="A12" s="5" t="inlineStr">
        <is>
          <t>جمع واریز (ریال)</t>
        </is>
      </c>
      <c r="B12" s="5" t="n"/>
      <c r="C12" s="5" t="inlineStr">
        <is>
          <t>جمع برداشت (ریال)</t>
        </is>
      </c>
      <c r="D12" s="5" t="n"/>
      <c r="E12" s="5" t="inlineStr">
        <is>
          <t>مانده نهایی سیستم</t>
        </is>
      </c>
      <c r="F12" s="5" t="n"/>
      <c r="G12" s="5" t="inlineStr">
        <is>
          <t>آخرین موجودی بانک</t>
        </is>
      </c>
      <c r="H12" s="5" t="n"/>
      <c r="I12" s="5" t="inlineStr">
        <is>
          <t>وضعیت مغایرت</t>
        </is>
      </c>
      <c r="J12" s="5" t="n"/>
      <c r="K12" s="5" t="inlineStr">
        <is>
          <t>تعداد تراکنش</t>
        </is>
      </c>
      <c r="L12" s="5" t="n"/>
      <c r="M12" s="5" t="inlineStr">
        <is>
          <t>ردیف تکراری</t>
        </is>
      </c>
      <c r="N12" s="5" t="n"/>
      <c r="O12" s="5" t="inlineStr">
        <is>
          <t>آخرین تاریخ</t>
        </is>
      </c>
    </row>
    <row r="13" ht="22" customHeight="1">
      <c r="A13" s="7">
        <f>SUM($H$17:$H$516)</f>
        <v/>
      </c>
      <c r="B13" s="7" t="n"/>
      <c r="C13" s="7">
        <f>SUM($I$17:$I$516)</f>
        <v/>
      </c>
      <c r="D13" s="7" t="n"/>
      <c r="E13" s="7">
        <f>IFERROR(LOOKUP(9.99E+307,$J$17:$J$516),$C$7)</f>
        <v/>
      </c>
      <c r="F13" s="7" t="n"/>
      <c r="G13" s="7">
        <f>IFERROR(LOOKUP(9.99E+307,$K$17:$K$516),"—")</f>
        <v/>
      </c>
      <c r="H13" s="7" t="n"/>
      <c r="I13" s="7">
        <f>IF(NOT(ISNUMBER($G$13)),"— بدون کنترل",IF(ROUND($G$13-$E$13,0)=0,"√ منطبق","× مغایرت ("&amp;TEXT(ROUND($G$13-$E$13,0),"#,##0")&amp;" ریال)"))</f>
        <v/>
      </c>
      <c r="J13" s="7" t="n"/>
      <c r="K13" s="7">
        <f>COUNT($A$17:$A$516)</f>
        <v/>
      </c>
      <c r="L13" s="7" t="n"/>
      <c r="M13" s="7">
        <f>COUNTIF($M$17:$M$516,"تکرار")</f>
        <v/>
      </c>
      <c r="N13" s="7" t="n"/>
      <c r="O13" s="7">
        <f>IF(COUNT($A$17:$A$516)=0,"—",INDEX($B$17:$B$516,COUNT($A$17:$A$516)))</f>
        <v/>
      </c>
    </row>
    <row r="14" ht="6" customHeight="1"/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ساعت</t>
        </is>
      </c>
      <c r="D15" s="8" t="inlineStr">
        <is>
          <t>کد طرف</t>
        </is>
      </c>
      <c r="E15" s="8" t="inlineStr">
        <is>
          <t>طرف حساب</t>
        </is>
      </c>
      <c r="F15" s="8" t="inlineStr">
        <is>
          <t>نوع طرف حساب</t>
        </is>
      </c>
      <c r="G15" s="8" t="inlineStr">
        <is>
          <t>نوع تراکنش</t>
        </is>
      </c>
      <c r="H15" s="8" t="inlineStr">
        <is>
          <t>واریز (ریال)</t>
        </is>
      </c>
      <c r="I15" s="8" t="inlineStr">
        <is>
          <t>برداشت (ریال)</t>
        </is>
      </c>
      <c r="J15" s="8" t="inlineStr">
        <is>
          <t>مانده سیستم (ریال)</t>
        </is>
      </c>
      <c r="K15" s="8" t="inlineStr">
        <is>
          <t>موجودی بانک (ریال)</t>
        </is>
      </c>
      <c r="L15" s="8" t="inlineStr">
        <is>
          <t>وضعیت</t>
        </is>
      </c>
      <c r="M15" s="8" t="inlineStr">
        <is>
          <t>کنترل تکرار</t>
        </is>
      </c>
      <c r="N15" s="8" t="inlineStr">
        <is>
          <t>توضیحات</t>
        </is>
      </c>
      <c r="O15" s="8" t="inlineStr">
        <is>
          <t>شناسه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Time</t>
        </is>
      </c>
      <c r="D16" s="9" t="inlineStr">
        <is>
          <t>Party Code</t>
        </is>
      </c>
      <c r="E16" s="9" t="inlineStr">
        <is>
          <t>Party</t>
        </is>
      </c>
      <c r="F16" s="9" t="inlineStr">
        <is>
          <t>Party Type</t>
        </is>
      </c>
      <c r="G16" s="9" t="inlineStr">
        <is>
          <t>Txn Type</t>
        </is>
      </c>
      <c r="H16" s="9" t="inlineStr">
        <is>
          <t>Deposit</t>
        </is>
      </c>
      <c r="I16" s="9" t="inlineStr">
        <is>
          <t>Withdrawal</t>
        </is>
      </c>
      <c r="J16" s="9" t="inlineStr">
        <is>
          <t>System Balance</t>
        </is>
      </c>
      <c r="K16" s="9" t="inlineStr">
        <is>
          <t>Bank Balance</t>
        </is>
      </c>
      <c r="L16" s="9" t="inlineStr">
        <is>
          <t>Status</t>
        </is>
      </c>
      <c r="M16" s="9" t="inlineStr">
        <is>
          <t>Dup Check</t>
        </is>
      </c>
      <c r="N16" s="9" t="inlineStr">
        <is>
          <t>Notes</t>
        </is>
      </c>
      <c r="O16" s="9" t="inlineStr">
        <is>
          <t>TxnID</t>
        </is>
      </c>
    </row>
    <row r="17">
      <c r="A17" s="26">
        <f>IF($B17="","",1)</f>
        <v/>
      </c>
      <c r="B17" s="26">
        <f>IF($P17="","",IF(INDEX(CalcNormDate,$P17)=0,"",INDEX(CalcNormDate,$P17)))</f>
        <v/>
      </c>
      <c r="C17" s="26">
        <f>IF($P17="","",IF(INDEX(CalcTime,$P17)=0,"",INDEX(CalcTime,$P17)))</f>
        <v/>
      </c>
      <c r="D17" s="26">
        <f>IF($P17="","",IF(INDEX(EntryParty,$P17)=0,"",INDEX(EntryParty,$P17)))</f>
        <v/>
      </c>
      <c r="E17" s="26">
        <f>IF($P17="","",IF(INDEX(EntryPartyName,$P17)=0,"",INDEX(EntryPartyName,$P17)))</f>
        <v/>
      </c>
      <c r="F17" s="26">
        <f>IF($P17="","",IF(INDEX(EntryPartyType,$P17)=0,"",INDEX(EntryPartyType,$P17)))</f>
        <v/>
      </c>
      <c r="G17" s="26">
        <f>IF($P17="","",IF(INDEX(EntryTxnType,$P17)=0,"",INDEX(EntryTxnType,$P17)))</f>
        <v/>
      </c>
      <c r="H17" s="27">
        <f>IF($P17="","",IF(INDEX(EntryDep,$P17)=0,"",INDEX(EntryDep,$P17)))</f>
        <v/>
      </c>
      <c r="I17" s="27">
        <f>IF($P17="","",IF(INDEX(EntryWit,$P17)=0,"",INDEX(EntryWit,$P17)))</f>
        <v/>
      </c>
      <c r="J17" s="27">
        <f>IF($B17="","",IF($A17=1,$C$7,IF(J16="",0,J16))+IF($H17="",0,$H17)-IF($I17="",0,$I17))</f>
        <v/>
      </c>
      <c r="K17" s="27">
        <f>IF($P17="","",IF(INDEX(EntryMan,$P17)=0,"",INDEX(EntryMan,$P17)))</f>
        <v/>
      </c>
      <c r="L17" s="26">
        <f>IF($B17="","",IF($K17="","—",IF(ROUND($K17-$J17,0)=0,"√","×")))</f>
        <v/>
      </c>
      <c r="M17" s="26">
        <f>IF($B17="","",IF(COUNTIFS(EntryDates,$B17,CalcTime,$C17,CalcBank,$C$5,EntryParty,$D17,EntryDep,$H17,EntryWit,$I17)&gt;1,"تکرار",""))</f>
        <v/>
      </c>
      <c r="N17" s="26">
        <f>IF($P17="","",IF(INDEX(EntryNotes,$P17)=0,"",INDEX(EntryNotes,$P17)))</f>
        <v/>
      </c>
      <c r="O17" s="26">
        <f>IF($P17="","",IF(INDEX(EntryTxnID,$P17)=0,"",INDEX(EntryTxnID,$P17)))</f>
        <v/>
      </c>
      <c r="P17" s="26">
        <f>IFERROR(MATCH($C$5&amp;"|"&amp;RIGHT("000000"&amp;1,6),CalcRankKey,0),"")</f>
        <v/>
      </c>
    </row>
    <row r="18">
      <c r="A18" s="28">
        <f>IF($B18="","",2)</f>
        <v/>
      </c>
      <c r="B18" s="28">
        <f>IF($P18="","",IF(INDEX(CalcNormDate,$P18)=0,"",INDEX(CalcNormDate,$P18)))</f>
        <v/>
      </c>
      <c r="C18" s="28">
        <f>IF($P18="","",IF(INDEX(CalcTime,$P18)=0,"",INDEX(CalcTime,$P18)))</f>
        <v/>
      </c>
      <c r="D18" s="28">
        <f>IF($P18="","",IF(INDEX(EntryParty,$P18)=0,"",INDEX(EntryParty,$P18)))</f>
        <v/>
      </c>
      <c r="E18" s="28">
        <f>IF($P18="","",IF(INDEX(EntryPartyName,$P18)=0,"",INDEX(EntryPartyName,$P18)))</f>
        <v/>
      </c>
      <c r="F18" s="28">
        <f>IF($P18="","",IF(INDEX(EntryPartyType,$P18)=0,"",INDEX(EntryPartyType,$P18)))</f>
        <v/>
      </c>
      <c r="G18" s="28">
        <f>IF($P18="","",IF(INDEX(EntryTxnType,$P18)=0,"",INDEX(EntryTxnType,$P18)))</f>
        <v/>
      </c>
      <c r="H18" s="29">
        <f>IF($P18="","",IF(INDEX(EntryDep,$P18)=0,"",INDEX(EntryDep,$P18)))</f>
        <v/>
      </c>
      <c r="I18" s="29">
        <f>IF($P18="","",IF(INDEX(EntryWit,$P18)=0,"",INDEX(EntryWit,$P18)))</f>
        <v/>
      </c>
      <c r="J18" s="29">
        <f>IF($B18="","",IF($A18=1,$C$7,IF(J17="",0,J17))+IF($H18="",0,$H18)-IF($I18="",0,$I18))</f>
        <v/>
      </c>
      <c r="K18" s="29">
        <f>IF($P18="","",IF(INDEX(EntryMan,$P18)=0,"",INDEX(EntryMan,$P18)))</f>
        <v/>
      </c>
      <c r="L18" s="28">
        <f>IF($B18="","",IF($K18="","—",IF(ROUND($K18-$J18,0)=0,"√","×")))</f>
        <v/>
      </c>
      <c r="M18" s="28">
        <f>IF($B18="","",IF(COUNTIFS(EntryDates,$B18,CalcTime,$C18,CalcBank,$C$5,EntryParty,$D18,EntryDep,$H18,EntryWit,$I18)&gt;1,"تکرار",""))</f>
        <v/>
      </c>
      <c r="N18" s="28">
        <f>IF($P18="","",IF(INDEX(EntryNotes,$P18)=0,"",INDEX(EntryNotes,$P18)))</f>
        <v/>
      </c>
      <c r="O18" s="28">
        <f>IF($P18="","",IF(INDEX(EntryTxnID,$P18)=0,"",INDEX(EntryTxnID,$P18)))</f>
        <v/>
      </c>
      <c r="P18" s="28">
        <f>IFERROR(MATCH($C$5&amp;"|"&amp;RIGHT("000000"&amp;2,6),CalcRankKey,0),"")</f>
        <v/>
      </c>
    </row>
    <row r="19">
      <c r="A19" s="26">
        <f>IF($B19="","",3)</f>
        <v/>
      </c>
      <c r="B19" s="26">
        <f>IF($P19="","",IF(INDEX(CalcNormDate,$P19)=0,"",INDEX(CalcNormDate,$P19)))</f>
        <v/>
      </c>
      <c r="C19" s="26">
        <f>IF($P19="","",IF(INDEX(CalcTime,$P19)=0,"",INDEX(CalcTime,$P19)))</f>
        <v/>
      </c>
      <c r="D19" s="26">
        <f>IF($P19="","",IF(INDEX(EntryParty,$P19)=0,"",INDEX(EntryParty,$P19)))</f>
        <v/>
      </c>
      <c r="E19" s="26">
        <f>IF($P19="","",IF(INDEX(EntryPartyName,$P19)=0,"",INDEX(EntryPartyName,$P19)))</f>
        <v/>
      </c>
      <c r="F19" s="26">
        <f>IF($P19="","",IF(INDEX(EntryPartyType,$P19)=0,"",INDEX(EntryPartyType,$P19)))</f>
        <v/>
      </c>
      <c r="G19" s="26">
        <f>IF($P19="","",IF(INDEX(EntryTxnType,$P19)=0,"",INDEX(EntryTxnType,$P19)))</f>
        <v/>
      </c>
      <c r="H19" s="27">
        <f>IF($P19="","",IF(INDEX(EntryDep,$P19)=0,"",INDEX(EntryDep,$P19)))</f>
        <v/>
      </c>
      <c r="I19" s="27">
        <f>IF($P19="","",IF(INDEX(EntryWit,$P19)=0,"",INDEX(EntryWit,$P19)))</f>
        <v/>
      </c>
      <c r="J19" s="27">
        <f>IF($B19="","",IF($A19=1,$C$7,IF(J18="",0,J18))+IF($H19="",0,$H19)-IF($I19="",0,$I19))</f>
        <v/>
      </c>
      <c r="K19" s="27">
        <f>IF($P19="","",IF(INDEX(EntryMan,$P19)=0,"",INDEX(EntryMan,$P19)))</f>
        <v/>
      </c>
      <c r="L19" s="26">
        <f>IF($B19="","",IF($K19="","—",IF(ROUND($K19-$J19,0)=0,"√","×")))</f>
        <v/>
      </c>
      <c r="M19" s="26">
        <f>IF($B19="","",IF(COUNTIFS(EntryDates,$B19,CalcTime,$C19,CalcBank,$C$5,EntryParty,$D19,EntryDep,$H19,EntryWit,$I19)&gt;1,"تکرار",""))</f>
        <v/>
      </c>
      <c r="N19" s="26">
        <f>IF($P19="","",IF(INDEX(EntryNotes,$P19)=0,"",INDEX(EntryNotes,$P19)))</f>
        <v/>
      </c>
      <c r="O19" s="26">
        <f>IF($P19="","",IF(INDEX(EntryTxnID,$P19)=0,"",INDEX(EntryTxnID,$P19)))</f>
        <v/>
      </c>
      <c r="P19" s="26">
        <f>IFERROR(MATCH($C$5&amp;"|"&amp;RIGHT("000000"&amp;3,6),CalcRankKey,0),"")</f>
        <v/>
      </c>
    </row>
    <row r="20">
      <c r="A20" s="28">
        <f>IF($B20="","",4)</f>
        <v/>
      </c>
      <c r="B20" s="28">
        <f>IF($P20="","",IF(INDEX(CalcNormDate,$P20)=0,"",INDEX(CalcNormDate,$P20)))</f>
        <v/>
      </c>
      <c r="C20" s="28">
        <f>IF($P20="","",IF(INDEX(CalcTime,$P20)=0,"",INDEX(CalcTime,$P20)))</f>
        <v/>
      </c>
      <c r="D20" s="28">
        <f>IF($P20="","",IF(INDEX(EntryParty,$P20)=0,"",INDEX(EntryParty,$P20)))</f>
        <v/>
      </c>
      <c r="E20" s="28">
        <f>IF($P20="","",IF(INDEX(EntryPartyName,$P20)=0,"",INDEX(EntryPartyName,$P20)))</f>
        <v/>
      </c>
      <c r="F20" s="28">
        <f>IF($P20="","",IF(INDEX(EntryPartyType,$P20)=0,"",INDEX(EntryPartyType,$P20)))</f>
        <v/>
      </c>
      <c r="G20" s="28">
        <f>IF($P20="","",IF(INDEX(EntryTxnType,$P20)=0,"",INDEX(EntryTxnType,$P20)))</f>
        <v/>
      </c>
      <c r="H20" s="29">
        <f>IF($P20="","",IF(INDEX(EntryDep,$P20)=0,"",INDEX(EntryDep,$P20)))</f>
        <v/>
      </c>
      <c r="I20" s="29">
        <f>IF($P20="","",IF(INDEX(EntryWit,$P20)=0,"",INDEX(EntryWit,$P20)))</f>
        <v/>
      </c>
      <c r="J20" s="29">
        <f>IF($B20="","",IF($A20=1,$C$7,IF(J19="",0,J19))+IF($H20="",0,$H20)-IF($I20="",0,$I20))</f>
        <v/>
      </c>
      <c r="K20" s="29">
        <f>IF($P20="","",IF(INDEX(EntryMan,$P20)=0,"",INDEX(EntryMan,$P20)))</f>
        <v/>
      </c>
      <c r="L20" s="28">
        <f>IF($B20="","",IF($K20="","—",IF(ROUND($K20-$J20,0)=0,"√","×")))</f>
        <v/>
      </c>
      <c r="M20" s="28">
        <f>IF($B20="","",IF(COUNTIFS(EntryDates,$B20,CalcTime,$C20,CalcBank,$C$5,EntryParty,$D20,EntryDep,$H20,EntryWit,$I20)&gt;1,"تکرار",""))</f>
        <v/>
      </c>
      <c r="N20" s="28">
        <f>IF($P20="","",IF(INDEX(EntryNotes,$P20)=0,"",INDEX(EntryNotes,$P20)))</f>
        <v/>
      </c>
      <c r="O20" s="28">
        <f>IF($P20="","",IF(INDEX(EntryTxnID,$P20)=0,"",INDEX(EntryTxnID,$P20)))</f>
        <v/>
      </c>
      <c r="P20" s="28">
        <f>IFERROR(MATCH($C$5&amp;"|"&amp;RIGHT("000000"&amp;4,6),CalcRankKey,0),"")</f>
        <v/>
      </c>
    </row>
    <row r="21">
      <c r="A21" s="26">
        <f>IF($B21="","",5)</f>
        <v/>
      </c>
      <c r="B21" s="26">
        <f>IF($P21="","",IF(INDEX(CalcNormDate,$P21)=0,"",INDEX(CalcNormDate,$P21)))</f>
        <v/>
      </c>
      <c r="C21" s="26">
        <f>IF($P21="","",IF(INDEX(CalcTime,$P21)=0,"",INDEX(CalcTime,$P21)))</f>
        <v/>
      </c>
      <c r="D21" s="26">
        <f>IF($P21="","",IF(INDEX(EntryParty,$P21)=0,"",INDEX(EntryParty,$P21)))</f>
        <v/>
      </c>
      <c r="E21" s="26">
        <f>IF($P21="","",IF(INDEX(EntryPartyName,$P21)=0,"",INDEX(EntryPartyName,$P21)))</f>
        <v/>
      </c>
      <c r="F21" s="26">
        <f>IF($P21="","",IF(INDEX(EntryPartyType,$P21)=0,"",INDEX(EntryPartyType,$P21)))</f>
        <v/>
      </c>
      <c r="G21" s="26">
        <f>IF($P21="","",IF(INDEX(EntryTxnType,$P21)=0,"",INDEX(EntryTxnType,$P21)))</f>
        <v/>
      </c>
      <c r="H21" s="27">
        <f>IF($P21="","",IF(INDEX(EntryDep,$P21)=0,"",INDEX(EntryDep,$P21)))</f>
        <v/>
      </c>
      <c r="I21" s="27">
        <f>IF($P21="","",IF(INDEX(EntryWit,$P21)=0,"",INDEX(EntryWit,$P21)))</f>
        <v/>
      </c>
      <c r="J21" s="27">
        <f>IF($B21="","",IF($A21=1,$C$7,IF(J20="",0,J20))+IF($H21="",0,$H21)-IF($I21="",0,$I21))</f>
        <v/>
      </c>
      <c r="K21" s="27">
        <f>IF($P21="","",IF(INDEX(EntryMan,$P21)=0,"",INDEX(EntryMan,$P21)))</f>
        <v/>
      </c>
      <c r="L21" s="26">
        <f>IF($B21="","",IF($K21="","—",IF(ROUND($K21-$J21,0)=0,"√","×")))</f>
        <v/>
      </c>
      <c r="M21" s="26">
        <f>IF($B21="","",IF(COUNTIFS(EntryDates,$B21,CalcTime,$C21,CalcBank,$C$5,EntryParty,$D21,EntryDep,$H21,EntryWit,$I21)&gt;1,"تکرار",""))</f>
        <v/>
      </c>
      <c r="N21" s="26">
        <f>IF($P21="","",IF(INDEX(EntryNotes,$P21)=0,"",INDEX(EntryNotes,$P21)))</f>
        <v/>
      </c>
      <c r="O21" s="26">
        <f>IF($P21="","",IF(INDEX(EntryTxnID,$P21)=0,"",INDEX(EntryTxnID,$P21)))</f>
        <v/>
      </c>
      <c r="P21" s="26">
        <f>IFERROR(MATCH($C$5&amp;"|"&amp;RIGHT("000000"&amp;5,6),CalcRankKey,0),"")</f>
        <v/>
      </c>
    </row>
    <row r="22">
      <c r="A22" s="28">
        <f>IF($B22="","",6)</f>
        <v/>
      </c>
      <c r="B22" s="28">
        <f>IF($P22="","",IF(INDEX(CalcNormDate,$P22)=0,"",INDEX(CalcNormDate,$P22)))</f>
        <v/>
      </c>
      <c r="C22" s="28">
        <f>IF($P22="","",IF(INDEX(CalcTime,$P22)=0,"",INDEX(CalcTime,$P22)))</f>
        <v/>
      </c>
      <c r="D22" s="28">
        <f>IF($P22="","",IF(INDEX(EntryParty,$P22)=0,"",INDEX(EntryParty,$P22)))</f>
        <v/>
      </c>
      <c r="E22" s="28">
        <f>IF($P22="","",IF(INDEX(EntryPartyName,$P22)=0,"",INDEX(EntryPartyName,$P22)))</f>
        <v/>
      </c>
      <c r="F22" s="28">
        <f>IF($P22="","",IF(INDEX(EntryPartyType,$P22)=0,"",INDEX(EntryPartyType,$P22)))</f>
        <v/>
      </c>
      <c r="G22" s="28">
        <f>IF($P22="","",IF(INDEX(EntryTxnType,$P22)=0,"",INDEX(EntryTxnType,$P22)))</f>
        <v/>
      </c>
      <c r="H22" s="29">
        <f>IF($P22="","",IF(INDEX(EntryDep,$P22)=0,"",INDEX(EntryDep,$P22)))</f>
        <v/>
      </c>
      <c r="I22" s="29">
        <f>IF($P22="","",IF(INDEX(EntryWit,$P22)=0,"",INDEX(EntryWit,$P22)))</f>
        <v/>
      </c>
      <c r="J22" s="29">
        <f>IF($B22="","",IF($A22=1,$C$7,IF(J21="",0,J21))+IF($H22="",0,$H22)-IF($I22="",0,$I22))</f>
        <v/>
      </c>
      <c r="K22" s="29">
        <f>IF($P22="","",IF(INDEX(EntryMan,$P22)=0,"",INDEX(EntryMan,$P22)))</f>
        <v/>
      </c>
      <c r="L22" s="28">
        <f>IF($B22="","",IF($K22="","—",IF(ROUND($K22-$J22,0)=0,"√","×")))</f>
        <v/>
      </c>
      <c r="M22" s="28">
        <f>IF($B22="","",IF(COUNTIFS(EntryDates,$B22,CalcTime,$C22,CalcBank,$C$5,EntryParty,$D22,EntryDep,$H22,EntryWit,$I22)&gt;1,"تکرار",""))</f>
        <v/>
      </c>
      <c r="N22" s="28">
        <f>IF($P22="","",IF(INDEX(EntryNotes,$P22)=0,"",INDEX(EntryNotes,$P22)))</f>
        <v/>
      </c>
      <c r="O22" s="28">
        <f>IF($P22="","",IF(INDEX(EntryTxnID,$P22)=0,"",INDEX(EntryTxnID,$P22)))</f>
        <v/>
      </c>
      <c r="P22" s="28">
        <f>IFERROR(MATCH($C$5&amp;"|"&amp;RIGHT("000000"&amp;6,6),CalcRankKey,0),"")</f>
        <v/>
      </c>
    </row>
    <row r="23">
      <c r="A23" s="26">
        <f>IF($B23="","",7)</f>
        <v/>
      </c>
      <c r="B23" s="26">
        <f>IF($P23="","",IF(INDEX(CalcNormDate,$P23)=0,"",INDEX(CalcNormDate,$P23)))</f>
        <v/>
      </c>
      <c r="C23" s="26">
        <f>IF($P23="","",IF(INDEX(CalcTime,$P23)=0,"",INDEX(CalcTime,$P23)))</f>
        <v/>
      </c>
      <c r="D23" s="26">
        <f>IF($P23="","",IF(INDEX(EntryParty,$P23)=0,"",INDEX(EntryParty,$P23)))</f>
        <v/>
      </c>
      <c r="E23" s="26">
        <f>IF($P23="","",IF(INDEX(EntryPartyName,$P23)=0,"",INDEX(EntryPartyName,$P23)))</f>
        <v/>
      </c>
      <c r="F23" s="26">
        <f>IF($P23="","",IF(INDEX(EntryPartyType,$P23)=0,"",INDEX(EntryPartyType,$P23)))</f>
        <v/>
      </c>
      <c r="G23" s="26">
        <f>IF($P23="","",IF(INDEX(EntryTxnType,$P23)=0,"",INDEX(EntryTxnType,$P23)))</f>
        <v/>
      </c>
      <c r="H23" s="27">
        <f>IF($P23="","",IF(INDEX(EntryDep,$P23)=0,"",INDEX(EntryDep,$P23)))</f>
        <v/>
      </c>
      <c r="I23" s="27">
        <f>IF($P23="","",IF(INDEX(EntryWit,$P23)=0,"",INDEX(EntryWit,$P23)))</f>
        <v/>
      </c>
      <c r="J23" s="27">
        <f>IF($B23="","",IF($A23=1,$C$7,IF(J22="",0,J22))+IF($H23="",0,$H23)-IF($I23="",0,$I23))</f>
        <v/>
      </c>
      <c r="K23" s="27">
        <f>IF($P23="","",IF(INDEX(EntryMan,$P23)=0,"",INDEX(EntryMan,$P23)))</f>
        <v/>
      </c>
      <c r="L23" s="26">
        <f>IF($B23="","",IF($K23="","—",IF(ROUND($K23-$J23,0)=0,"√","×")))</f>
        <v/>
      </c>
      <c r="M23" s="26">
        <f>IF($B23="","",IF(COUNTIFS(EntryDates,$B23,CalcTime,$C23,CalcBank,$C$5,EntryParty,$D23,EntryDep,$H23,EntryWit,$I23)&gt;1,"تکرار",""))</f>
        <v/>
      </c>
      <c r="N23" s="26">
        <f>IF($P23="","",IF(INDEX(EntryNotes,$P23)=0,"",INDEX(EntryNotes,$P23)))</f>
        <v/>
      </c>
      <c r="O23" s="26">
        <f>IF($P23="","",IF(INDEX(EntryTxnID,$P23)=0,"",INDEX(EntryTxnID,$P23)))</f>
        <v/>
      </c>
      <c r="P23" s="26">
        <f>IFERROR(MATCH($C$5&amp;"|"&amp;RIGHT("000000"&amp;7,6),CalcRankKey,0),"")</f>
        <v/>
      </c>
    </row>
    <row r="24">
      <c r="A24" s="28">
        <f>IF($B24="","",8)</f>
        <v/>
      </c>
      <c r="B24" s="28">
        <f>IF($P24="","",IF(INDEX(CalcNormDate,$P24)=0,"",INDEX(CalcNormDate,$P24)))</f>
        <v/>
      </c>
      <c r="C24" s="28">
        <f>IF($P24="","",IF(INDEX(CalcTime,$P24)=0,"",INDEX(CalcTime,$P24)))</f>
        <v/>
      </c>
      <c r="D24" s="28">
        <f>IF($P24="","",IF(INDEX(EntryParty,$P24)=0,"",INDEX(EntryParty,$P24)))</f>
        <v/>
      </c>
      <c r="E24" s="28">
        <f>IF($P24="","",IF(INDEX(EntryPartyName,$P24)=0,"",INDEX(EntryPartyName,$P24)))</f>
        <v/>
      </c>
      <c r="F24" s="28">
        <f>IF($P24="","",IF(INDEX(EntryPartyType,$P24)=0,"",INDEX(EntryPartyType,$P24)))</f>
        <v/>
      </c>
      <c r="G24" s="28">
        <f>IF($P24="","",IF(INDEX(EntryTxnType,$P24)=0,"",INDEX(EntryTxnType,$P24)))</f>
        <v/>
      </c>
      <c r="H24" s="29">
        <f>IF($P24="","",IF(INDEX(EntryDep,$P24)=0,"",INDEX(EntryDep,$P24)))</f>
        <v/>
      </c>
      <c r="I24" s="29">
        <f>IF($P24="","",IF(INDEX(EntryWit,$P24)=0,"",INDEX(EntryWit,$P24)))</f>
        <v/>
      </c>
      <c r="J24" s="29">
        <f>IF($B24="","",IF($A24=1,$C$7,IF(J23="",0,J23))+IF($H24="",0,$H24)-IF($I24="",0,$I24))</f>
        <v/>
      </c>
      <c r="K24" s="29">
        <f>IF($P24="","",IF(INDEX(EntryMan,$P24)=0,"",INDEX(EntryMan,$P24)))</f>
        <v/>
      </c>
      <c r="L24" s="28">
        <f>IF($B24="","",IF($K24="","—",IF(ROUND($K24-$J24,0)=0,"√","×")))</f>
        <v/>
      </c>
      <c r="M24" s="28">
        <f>IF($B24="","",IF(COUNTIFS(EntryDates,$B24,CalcTime,$C24,CalcBank,$C$5,EntryParty,$D24,EntryDep,$H24,EntryWit,$I24)&gt;1,"تکرار",""))</f>
        <v/>
      </c>
      <c r="N24" s="28">
        <f>IF($P24="","",IF(INDEX(EntryNotes,$P24)=0,"",INDEX(EntryNotes,$P24)))</f>
        <v/>
      </c>
      <c r="O24" s="28">
        <f>IF($P24="","",IF(INDEX(EntryTxnID,$P24)=0,"",INDEX(EntryTxnID,$P24)))</f>
        <v/>
      </c>
      <c r="P24" s="28">
        <f>IFERROR(MATCH($C$5&amp;"|"&amp;RIGHT("000000"&amp;8,6),CalcRankKey,0),"")</f>
        <v/>
      </c>
    </row>
    <row r="25">
      <c r="A25" s="26">
        <f>IF($B25="","",9)</f>
        <v/>
      </c>
      <c r="B25" s="26">
        <f>IF($P25="","",IF(INDEX(CalcNormDate,$P25)=0,"",INDEX(CalcNormDate,$P25)))</f>
        <v/>
      </c>
      <c r="C25" s="26">
        <f>IF($P25="","",IF(INDEX(CalcTime,$P25)=0,"",INDEX(CalcTime,$P25)))</f>
        <v/>
      </c>
      <c r="D25" s="26">
        <f>IF($P25="","",IF(INDEX(EntryParty,$P25)=0,"",INDEX(EntryParty,$P25)))</f>
        <v/>
      </c>
      <c r="E25" s="26">
        <f>IF($P25="","",IF(INDEX(EntryPartyName,$P25)=0,"",INDEX(EntryPartyName,$P25)))</f>
        <v/>
      </c>
      <c r="F25" s="26">
        <f>IF($P25="","",IF(INDEX(EntryPartyType,$P25)=0,"",INDEX(EntryPartyType,$P25)))</f>
        <v/>
      </c>
      <c r="G25" s="26">
        <f>IF($P25="","",IF(INDEX(EntryTxnType,$P25)=0,"",INDEX(EntryTxnType,$P25)))</f>
        <v/>
      </c>
      <c r="H25" s="27">
        <f>IF($P25="","",IF(INDEX(EntryDep,$P25)=0,"",INDEX(EntryDep,$P25)))</f>
        <v/>
      </c>
      <c r="I25" s="27">
        <f>IF($P25="","",IF(INDEX(EntryWit,$P25)=0,"",INDEX(EntryWit,$P25)))</f>
        <v/>
      </c>
      <c r="J25" s="27">
        <f>IF($B25="","",IF($A25=1,$C$7,IF(J24="",0,J24))+IF($H25="",0,$H25)-IF($I25="",0,$I25))</f>
        <v/>
      </c>
      <c r="K25" s="27">
        <f>IF($P25="","",IF(INDEX(EntryMan,$P25)=0,"",INDEX(EntryMan,$P25)))</f>
        <v/>
      </c>
      <c r="L25" s="26">
        <f>IF($B25="","",IF($K25="","—",IF(ROUND($K25-$J25,0)=0,"√","×")))</f>
        <v/>
      </c>
      <c r="M25" s="26">
        <f>IF($B25="","",IF(COUNTIFS(EntryDates,$B25,CalcTime,$C25,CalcBank,$C$5,EntryParty,$D25,EntryDep,$H25,EntryWit,$I25)&gt;1,"تکرار",""))</f>
        <v/>
      </c>
      <c r="N25" s="26">
        <f>IF($P25="","",IF(INDEX(EntryNotes,$P25)=0,"",INDEX(EntryNotes,$P25)))</f>
        <v/>
      </c>
      <c r="O25" s="26">
        <f>IF($P25="","",IF(INDEX(EntryTxnID,$P25)=0,"",INDEX(EntryTxnID,$P25)))</f>
        <v/>
      </c>
      <c r="P25" s="26">
        <f>IFERROR(MATCH($C$5&amp;"|"&amp;RIGHT("000000"&amp;9,6),CalcRankKey,0),"")</f>
        <v/>
      </c>
    </row>
    <row r="26">
      <c r="A26" s="28">
        <f>IF($B26="","",10)</f>
        <v/>
      </c>
      <c r="B26" s="28">
        <f>IF($P26="","",IF(INDEX(CalcNormDate,$P26)=0,"",INDEX(CalcNormDate,$P26)))</f>
        <v/>
      </c>
      <c r="C26" s="28">
        <f>IF($P26="","",IF(INDEX(CalcTime,$P26)=0,"",INDEX(CalcTime,$P26)))</f>
        <v/>
      </c>
      <c r="D26" s="28">
        <f>IF($P26="","",IF(INDEX(EntryParty,$P26)=0,"",INDEX(EntryParty,$P26)))</f>
        <v/>
      </c>
      <c r="E26" s="28">
        <f>IF($P26="","",IF(INDEX(EntryPartyName,$P26)=0,"",INDEX(EntryPartyName,$P26)))</f>
        <v/>
      </c>
      <c r="F26" s="28">
        <f>IF($P26="","",IF(INDEX(EntryPartyType,$P26)=0,"",INDEX(EntryPartyType,$P26)))</f>
        <v/>
      </c>
      <c r="G26" s="28">
        <f>IF($P26="","",IF(INDEX(EntryTxnType,$P26)=0,"",INDEX(EntryTxnType,$P26)))</f>
        <v/>
      </c>
      <c r="H26" s="29">
        <f>IF($P26="","",IF(INDEX(EntryDep,$P26)=0,"",INDEX(EntryDep,$P26)))</f>
        <v/>
      </c>
      <c r="I26" s="29">
        <f>IF($P26="","",IF(INDEX(EntryWit,$P26)=0,"",INDEX(EntryWit,$P26)))</f>
        <v/>
      </c>
      <c r="J26" s="29">
        <f>IF($B26="","",IF($A26=1,$C$7,IF(J25="",0,J25))+IF($H26="",0,$H26)-IF($I26="",0,$I26))</f>
        <v/>
      </c>
      <c r="K26" s="29">
        <f>IF($P26="","",IF(INDEX(EntryMan,$P26)=0,"",INDEX(EntryMan,$P26)))</f>
        <v/>
      </c>
      <c r="L26" s="28">
        <f>IF($B26="","",IF($K26="","—",IF(ROUND($K26-$J26,0)=0,"√","×")))</f>
        <v/>
      </c>
      <c r="M26" s="28">
        <f>IF($B26="","",IF(COUNTIFS(EntryDates,$B26,CalcTime,$C26,CalcBank,$C$5,EntryParty,$D26,EntryDep,$H26,EntryWit,$I26)&gt;1,"تکرار",""))</f>
        <v/>
      </c>
      <c r="N26" s="28">
        <f>IF($P26="","",IF(INDEX(EntryNotes,$P26)=0,"",INDEX(EntryNotes,$P26)))</f>
        <v/>
      </c>
      <c r="O26" s="28">
        <f>IF($P26="","",IF(INDEX(EntryTxnID,$P26)=0,"",INDEX(EntryTxnID,$P26)))</f>
        <v/>
      </c>
      <c r="P26" s="28">
        <f>IFERROR(MATCH($C$5&amp;"|"&amp;RIGHT("000000"&amp;10,6),CalcRankKey,0),"")</f>
        <v/>
      </c>
    </row>
    <row r="27">
      <c r="A27" s="26">
        <f>IF($B27="","",11)</f>
        <v/>
      </c>
      <c r="B27" s="26">
        <f>IF($P27="","",IF(INDEX(CalcNormDate,$P27)=0,"",INDEX(CalcNormDate,$P27)))</f>
        <v/>
      </c>
      <c r="C27" s="26">
        <f>IF($P27="","",IF(INDEX(CalcTime,$P27)=0,"",INDEX(CalcTime,$P27)))</f>
        <v/>
      </c>
      <c r="D27" s="26">
        <f>IF($P27="","",IF(INDEX(EntryParty,$P27)=0,"",INDEX(EntryParty,$P27)))</f>
        <v/>
      </c>
      <c r="E27" s="26">
        <f>IF($P27="","",IF(INDEX(EntryPartyName,$P27)=0,"",INDEX(EntryPartyName,$P27)))</f>
        <v/>
      </c>
      <c r="F27" s="26">
        <f>IF($P27="","",IF(INDEX(EntryPartyType,$P27)=0,"",INDEX(EntryPartyType,$P27)))</f>
        <v/>
      </c>
      <c r="G27" s="26">
        <f>IF($P27="","",IF(INDEX(EntryTxnType,$P27)=0,"",INDEX(EntryTxnType,$P27)))</f>
        <v/>
      </c>
      <c r="H27" s="27">
        <f>IF($P27="","",IF(INDEX(EntryDep,$P27)=0,"",INDEX(EntryDep,$P27)))</f>
        <v/>
      </c>
      <c r="I27" s="27">
        <f>IF($P27="","",IF(INDEX(EntryWit,$P27)=0,"",INDEX(EntryWit,$P27)))</f>
        <v/>
      </c>
      <c r="J27" s="27">
        <f>IF($B27="","",IF($A27=1,$C$7,IF(J26="",0,J26))+IF($H27="",0,$H27)-IF($I27="",0,$I27))</f>
        <v/>
      </c>
      <c r="K27" s="27">
        <f>IF($P27="","",IF(INDEX(EntryMan,$P27)=0,"",INDEX(EntryMan,$P27)))</f>
        <v/>
      </c>
      <c r="L27" s="26">
        <f>IF($B27="","",IF($K27="","—",IF(ROUND($K27-$J27,0)=0,"√","×")))</f>
        <v/>
      </c>
      <c r="M27" s="26">
        <f>IF($B27="","",IF(COUNTIFS(EntryDates,$B27,CalcTime,$C27,CalcBank,$C$5,EntryParty,$D27,EntryDep,$H27,EntryWit,$I27)&gt;1,"تکرار",""))</f>
        <v/>
      </c>
      <c r="N27" s="26">
        <f>IF($P27="","",IF(INDEX(EntryNotes,$P27)=0,"",INDEX(EntryNotes,$P27)))</f>
        <v/>
      </c>
      <c r="O27" s="26">
        <f>IF($P27="","",IF(INDEX(EntryTxnID,$P27)=0,"",INDEX(EntryTxnID,$P27)))</f>
        <v/>
      </c>
      <c r="P27" s="26">
        <f>IFERROR(MATCH($C$5&amp;"|"&amp;RIGHT("000000"&amp;11,6),CalcRankKey,0),"")</f>
        <v/>
      </c>
    </row>
    <row r="28">
      <c r="A28" s="28">
        <f>IF($B28="","",12)</f>
        <v/>
      </c>
      <c r="B28" s="28">
        <f>IF($P28="","",IF(INDEX(CalcNormDate,$P28)=0,"",INDEX(CalcNormDate,$P28)))</f>
        <v/>
      </c>
      <c r="C28" s="28">
        <f>IF($P28="","",IF(INDEX(CalcTime,$P28)=0,"",INDEX(CalcTime,$P28)))</f>
        <v/>
      </c>
      <c r="D28" s="28">
        <f>IF($P28="","",IF(INDEX(EntryParty,$P28)=0,"",INDEX(EntryParty,$P28)))</f>
        <v/>
      </c>
      <c r="E28" s="28">
        <f>IF($P28="","",IF(INDEX(EntryPartyName,$P28)=0,"",INDEX(EntryPartyName,$P28)))</f>
        <v/>
      </c>
      <c r="F28" s="28">
        <f>IF($P28="","",IF(INDEX(EntryPartyType,$P28)=0,"",INDEX(EntryPartyType,$P28)))</f>
        <v/>
      </c>
      <c r="G28" s="28">
        <f>IF($P28="","",IF(INDEX(EntryTxnType,$P28)=0,"",INDEX(EntryTxnType,$P28)))</f>
        <v/>
      </c>
      <c r="H28" s="29">
        <f>IF($P28="","",IF(INDEX(EntryDep,$P28)=0,"",INDEX(EntryDep,$P28)))</f>
        <v/>
      </c>
      <c r="I28" s="29">
        <f>IF($P28="","",IF(INDEX(EntryWit,$P28)=0,"",INDEX(EntryWit,$P28)))</f>
        <v/>
      </c>
      <c r="J28" s="29">
        <f>IF($B28="","",IF($A28=1,$C$7,IF(J27="",0,J27))+IF($H28="",0,$H28)-IF($I28="",0,$I28))</f>
        <v/>
      </c>
      <c r="K28" s="29">
        <f>IF($P28="","",IF(INDEX(EntryMan,$P28)=0,"",INDEX(EntryMan,$P28)))</f>
        <v/>
      </c>
      <c r="L28" s="28">
        <f>IF($B28="","",IF($K28="","—",IF(ROUND($K28-$J28,0)=0,"√","×")))</f>
        <v/>
      </c>
      <c r="M28" s="28">
        <f>IF($B28="","",IF(COUNTIFS(EntryDates,$B28,CalcTime,$C28,CalcBank,$C$5,EntryParty,$D28,EntryDep,$H28,EntryWit,$I28)&gt;1,"تکرار",""))</f>
        <v/>
      </c>
      <c r="N28" s="28">
        <f>IF($P28="","",IF(INDEX(EntryNotes,$P28)=0,"",INDEX(EntryNotes,$P28)))</f>
        <v/>
      </c>
      <c r="O28" s="28">
        <f>IF($P28="","",IF(INDEX(EntryTxnID,$P28)=0,"",INDEX(EntryTxnID,$P28)))</f>
        <v/>
      </c>
      <c r="P28" s="28">
        <f>IFERROR(MATCH($C$5&amp;"|"&amp;RIGHT("000000"&amp;12,6),CalcRankKey,0),"")</f>
        <v/>
      </c>
    </row>
    <row r="29">
      <c r="A29" s="26">
        <f>IF($B29="","",13)</f>
        <v/>
      </c>
      <c r="B29" s="26">
        <f>IF($P29="","",IF(INDEX(CalcNormDate,$P29)=0,"",INDEX(CalcNormDate,$P29)))</f>
        <v/>
      </c>
      <c r="C29" s="26">
        <f>IF($P29="","",IF(INDEX(CalcTime,$P29)=0,"",INDEX(CalcTime,$P29)))</f>
        <v/>
      </c>
      <c r="D29" s="26">
        <f>IF($P29="","",IF(INDEX(EntryParty,$P29)=0,"",INDEX(EntryParty,$P29)))</f>
        <v/>
      </c>
      <c r="E29" s="26">
        <f>IF($P29="","",IF(INDEX(EntryPartyName,$P29)=0,"",INDEX(EntryPartyName,$P29)))</f>
        <v/>
      </c>
      <c r="F29" s="26">
        <f>IF($P29="","",IF(INDEX(EntryPartyType,$P29)=0,"",INDEX(EntryPartyType,$P29)))</f>
        <v/>
      </c>
      <c r="G29" s="26">
        <f>IF($P29="","",IF(INDEX(EntryTxnType,$P29)=0,"",INDEX(EntryTxnType,$P29)))</f>
        <v/>
      </c>
      <c r="H29" s="27">
        <f>IF($P29="","",IF(INDEX(EntryDep,$P29)=0,"",INDEX(EntryDep,$P29)))</f>
        <v/>
      </c>
      <c r="I29" s="27">
        <f>IF($P29="","",IF(INDEX(EntryWit,$P29)=0,"",INDEX(EntryWit,$P29)))</f>
        <v/>
      </c>
      <c r="J29" s="27">
        <f>IF($B29="","",IF($A29=1,$C$7,IF(J28="",0,J28))+IF($H29="",0,$H29)-IF($I29="",0,$I29))</f>
        <v/>
      </c>
      <c r="K29" s="27">
        <f>IF($P29="","",IF(INDEX(EntryMan,$P29)=0,"",INDEX(EntryMan,$P29)))</f>
        <v/>
      </c>
      <c r="L29" s="26">
        <f>IF($B29="","",IF($K29="","—",IF(ROUND($K29-$J29,0)=0,"√","×")))</f>
        <v/>
      </c>
      <c r="M29" s="26">
        <f>IF($B29="","",IF(COUNTIFS(EntryDates,$B29,CalcTime,$C29,CalcBank,$C$5,EntryParty,$D29,EntryDep,$H29,EntryWit,$I29)&gt;1,"تکرار",""))</f>
        <v/>
      </c>
      <c r="N29" s="26">
        <f>IF($P29="","",IF(INDEX(EntryNotes,$P29)=0,"",INDEX(EntryNotes,$P29)))</f>
        <v/>
      </c>
      <c r="O29" s="26">
        <f>IF($P29="","",IF(INDEX(EntryTxnID,$P29)=0,"",INDEX(EntryTxnID,$P29)))</f>
        <v/>
      </c>
      <c r="P29" s="26">
        <f>IFERROR(MATCH($C$5&amp;"|"&amp;RIGHT("000000"&amp;13,6),CalcRankKey,0),"")</f>
        <v/>
      </c>
    </row>
    <row r="30">
      <c r="A30" s="28">
        <f>IF($B30="","",14)</f>
        <v/>
      </c>
      <c r="B30" s="28">
        <f>IF($P30="","",IF(INDEX(CalcNormDate,$P30)=0,"",INDEX(CalcNormDate,$P30)))</f>
        <v/>
      </c>
      <c r="C30" s="28">
        <f>IF($P30="","",IF(INDEX(CalcTime,$P30)=0,"",INDEX(CalcTime,$P30)))</f>
        <v/>
      </c>
      <c r="D30" s="28">
        <f>IF($P30="","",IF(INDEX(EntryParty,$P30)=0,"",INDEX(EntryParty,$P30)))</f>
        <v/>
      </c>
      <c r="E30" s="28">
        <f>IF($P30="","",IF(INDEX(EntryPartyName,$P30)=0,"",INDEX(EntryPartyName,$P30)))</f>
        <v/>
      </c>
      <c r="F30" s="28">
        <f>IF($P30="","",IF(INDEX(EntryPartyType,$P30)=0,"",INDEX(EntryPartyType,$P30)))</f>
        <v/>
      </c>
      <c r="G30" s="28">
        <f>IF($P30="","",IF(INDEX(EntryTxnType,$P30)=0,"",INDEX(EntryTxnType,$P30)))</f>
        <v/>
      </c>
      <c r="H30" s="29">
        <f>IF($P30="","",IF(INDEX(EntryDep,$P30)=0,"",INDEX(EntryDep,$P30)))</f>
        <v/>
      </c>
      <c r="I30" s="29">
        <f>IF($P30="","",IF(INDEX(EntryWit,$P30)=0,"",INDEX(EntryWit,$P30)))</f>
        <v/>
      </c>
      <c r="J30" s="29">
        <f>IF($B30="","",IF($A30=1,$C$7,IF(J29="",0,J29))+IF($H30="",0,$H30)-IF($I30="",0,$I30))</f>
        <v/>
      </c>
      <c r="K30" s="29">
        <f>IF($P30="","",IF(INDEX(EntryMan,$P30)=0,"",INDEX(EntryMan,$P30)))</f>
        <v/>
      </c>
      <c r="L30" s="28">
        <f>IF($B30="","",IF($K30="","—",IF(ROUND($K30-$J30,0)=0,"√","×")))</f>
        <v/>
      </c>
      <c r="M30" s="28">
        <f>IF($B30="","",IF(COUNTIFS(EntryDates,$B30,CalcTime,$C30,CalcBank,$C$5,EntryParty,$D30,EntryDep,$H30,EntryWit,$I30)&gt;1,"تکرار",""))</f>
        <v/>
      </c>
      <c r="N30" s="28">
        <f>IF($P30="","",IF(INDEX(EntryNotes,$P30)=0,"",INDEX(EntryNotes,$P30)))</f>
        <v/>
      </c>
      <c r="O30" s="28">
        <f>IF($P30="","",IF(INDEX(EntryTxnID,$P30)=0,"",INDEX(EntryTxnID,$P30)))</f>
        <v/>
      </c>
      <c r="P30" s="28">
        <f>IFERROR(MATCH($C$5&amp;"|"&amp;RIGHT("000000"&amp;14,6),CalcRankKey,0),"")</f>
        <v/>
      </c>
    </row>
    <row r="31">
      <c r="A31" s="26">
        <f>IF($B31="","",15)</f>
        <v/>
      </c>
      <c r="B31" s="26">
        <f>IF($P31="","",IF(INDEX(CalcNormDate,$P31)=0,"",INDEX(CalcNormDate,$P31)))</f>
        <v/>
      </c>
      <c r="C31" s="26">
        <f>IF($P31="","",IF(INDEX(CalcTime,$P31)=0,"",INDEX(CalcTime,$P31)))</f>
        <v/>
      </c>
      <c r="D31" s="26">
        <f>IF($P31="","",IF(INDEX(EntryParty,$P31)=0,"",INDEX(EntryParty,$P31)))</f>
        <v/>
      </c>
      <c r="E31" s="26">
        <f>IF($P31="","",IF(INDEX(EntryPartyName,$P31)=0,"",INDEX(EntryPartyName,$P31)))</f>
        <v/>
      </c>
      <c r="F31" s="26">
        <f>IF($P31="","",IF(INDEX(EntryPartyType,$P31)=0,"",INDEX(EntryPartyType,$P31)))</f>
        <v/>
      </c>
      <c r="G31" s="26">
        <f>IF($P31="","",IF(INDEX(EntryTxnType,$P31)=0,"",INDEX(EntryTxnType,$P31)))</f>
        <v/>
      </c>
      <c r="H31" s="27">
        <f>IF($P31="","",IF(INDEX(EntryDep,$P31)=0,"",INDEX(EntryDep,$P31)))</f>
        <v/>
      </c>
      <c r="I31" s="27">
        <f>IF($P31="","",IF(INDEX(EntryWit,$P31)=0,"",INDEX(EntryWit,$P31)))</f>
        <v/>
      </c>
      <c r="J31" s="27">
        <f>IF($B31="","",IF($A31=1,$C$7,IF(J30="",0,J30))+IF($H31="",0,$H31)-IF($I31="",0,$I31))</f>
        <v/>
      </c>
      <c r="K31" s="27">
        <f>IF($P31="","",IF(INDEX(EntryMan,$P31)=0,"",INDEX(EntryMan,$P31)))</f>
        <v/>
      </c>
      <c r="L31" s="26">
        <f>IF($B31="","",IF($K31="","—",IF(ROUND($K31-$J31,0)=0,"√","×")))</f>
        <v/>
      </c>
      <c r="M31" s="26">
        <f>IF($B31="","",IF(COUNTIFS(EntryDates,$B31,CalcTime,$C31,CalcBank,$C$5,EntryParty,$D31,EntryDep,$H31,EntryWit,$I31)&gt;1,"تکرار",""))</f>
        <v/>
      </c>
      <c r="N31" s="26">
        <f>IF($P31="","",IF(INDEX(EntryNotes,$P31)=0,"",INDEX(EntryNotes,$P31)))</f>
        <v/>
      </c>
      <c r="O31" s="26">
        <f>IF($P31="","",IF(INDEX(EntryTxnID,$P31)=0,"",INDEX(EntryTxnID,$P31)))</f>
        <v/>
      </c>
      <c r="P31" s="26">
        <f>IFERROR(MATCH($C$5&amp;"|"&amp;RIGHT("000000"&amp;15,6),CalcRankKey,0),"")</f>
        <v/>
      </c>
    </row>
    <row r="32">
      <c r="A32" s="28">
        <f>IF($B32="","",16)</f>
        <v/>
      </c>
      <c r="B32" s="28">
        <f>IF($P32="","",IF(INDEX(CalcNormDate,$P32)=0,"",INDEX(CalcNormDate,$P32)))</f>
        <v/>
      </c>
      <c r="C32" s="28">
        <f>IF($P32="","",IF(INDEX(CalcTime,$P32)=0,"",INDEX(CalcTime,$P32)))</f>
        <v/>
      </c>
      <c r="D32" s="28">
        <f>IF($P32="","",IF(INDEX(EntryParty,$P32)=0,"",INDEX(EntryParty,$P32)))</f>
        <v/>
      </c>
      <c r="E32" s="28">
        <f>IF($P32="","",IF(INDEX(EntryPartyName,$P32)=0,"",INDEX(EntryPartyName,$P32)))</f>
        <v/>
      </c>
      <c r="F32" s="28">
        <f>IF($P32="","",IF(INDEX(EntryPartyType,$P32)=0,"",INDEX(EntryPartyType,$P32)))</f>
        <v/>
      </c>
      <c r="G32" s="28">
        <f>IF($P32="","",IF(INDEX(EntryTxnType,$P32)=0,"",INDEX(EntryTxnType,$P32)))</f>
        <v/>
      </c>
      <c r="H32" s="29">
        <f>IF($P32="","",IF(INDEX(EntryDep,$P32)=0,"",INDEX(EntryDep,$P32)))</f>
        <v/>
      </c>
      <c r="I32" s="29">
        <f>IF($P32="","",IF(INDEX(EntryWit,$P32)=0,"",INDEX(EntryWit,$P32)))</f>
        <v/>
      </c>
      <c r="J32" s="29">
        <f>IF($B32="","",IF($A32=1,$C$7,IF(J31="",0,J31))+IF($H32="",0,$H32)-IF($I32="",0,$I32))</f>
        <v/>
      </c>
      <c r="K32" s="29">
        <f>IF($P32="","",IF(INDEX(EntryMan,$P32)=0,"",INDEX(EntryMan,$P32)))</f>
        <v/>
      </c>
      <c r="L32" s="28">
        <f>IF($B32="","",IF($K32="","—",IF(ROUND($K32-$J32,0)=0,"√","×")))</f>
        <v/>
      </c>
      <c r="M32" s="28">
        <f>IF($B32="","",IF(COUNTIFS(EntryDates,$B32,CalcTime,$C32,CalcBank,$C$5,EntryParty,$D32,EntryDep,$H32,EntryWit,$I32)&gt;1,"تکرار",""))</f>
        <v/>
      </c>
      <c r="N32" s="28">
        <f>IF($P32="","",IF(INDEX(EntryNotes,$P32)=0,"",INDEX(EntryNotes,$P32)))</f>
        <v/>
      </c>
      <c r="O32" s="28">
        <f>IF($P32="","",IF(INDEX(EntryTxnID,$P32)=0,"",INDEX(EntryTxnID,$P32)))</f>
        <v/>
      </c>
      <c r="P32" s="28">
        <f>IFERROR(MATCH($C$5&amp;"|"&amp;RIGHT("000000"&amp;16,6),CalcRankKey,0),"")</f>
        <v/>
      </c>
    </row>
    <row r="33">
      <c r="A33" s="26">
        <f>IF($B33="","",17)</f>
        <v/>
      </c>
      <c r="B33" s="26">
        <f>IF($P33="","",IF(INDEX(CalcNormDate,$P33)=0,"",INDEX(CalcNormDate,$P33)))</f>
        <v/>
      </c>
      <c r="C33" s="26">
        <f>IF($P33="","",IF(INDEX(CalcTime,$P33)=0,"",INDEX(CalcTime,$P33)))</f>
        <v/>
      </c>
      <c r="D33" s="26">
        <f>IF($P33="","",IF(INDEX(EntryParty,$P33)=0,"",INDEX(EntryParty,$P33)))</f>
        <v/>
      </c>
      <c r="E33" s="26">
        <f>IF($P33="","",IF(INDEX(EntryPartyName,$P33)=0,"",INDEX(EntryPartyName,$P33)))</f>
        <v/>
      </c>
      <c r="F33" s="26">
        <f>IF($P33="","",IF(INDEX(EntryPartyType,$P33)=0,"",INDEX(EntryPartyType,$P33)))</f>
        <v/>
      </c>
      <c r="G33" s="26">
        <f>IF($P33="","",IF(INDEX(EntryTxnType,$P33)=0,"",INDEX(EntryTxnType,$P33)))</f>
        <v/>
      </c>
      <c r="H33" s="27">
        <f>IF($P33="","",IF(INDEX(EntryDep,$P33)=0,"",INDEX(EntryDep,$P33)))</f>
        <v/>
      </c>
      <c r="I33" s="27">
        <f>IF($P33="","",IF(INDEX(EntryWit,$P33)=0,"",INDEX(EntryWit,$P33)))</f>
        <v/>
      </c>
      <c r="J33" s="27">
        <f>IF($B33="","",IF($A33=1,$C$7,IF(J32="",0,J32))+IF($H33="",0,$H33)-IF($I33="",0,$I33))</f>
        <v/>
      </c>
      <c r="K33" s="27">
        <f>IF($P33="","",IF(INDEX(EntryMan,$P33)=0,"",INDEX(EntryMan,$P33)))</f>
        <v/>
      </c>
      <c r="L33" s="26">
        <f>IF($B33="","",IF($K33="","—",IF(ROUND($K33-$J33,0)=0,"√","×")))</f>
        <v/>
      </c>
      <c r="M33" s="26">
        <f>IF($B33="","",IF(COUNTIFS(EntryDates,$B33,CalcTime,$C33,CalcBank,$C$5,EntryParty,$D33,EntryDep,$H33,EntryWit,$I33)&gt;1,"تکرار",""))</f>
        <v/>
      </c>
      <c r="N33" s="26">
        <f>IF($P33="","",IF(INDEX(EntryNotes,$P33)=0,"",INDEX(EntryNotes,$P33)))</f>
        <v/>
      </c>
      <c r="O33" s="26">
        <f>IF($P33="","",IF(INDEX(EntryTxnID,$P33)=0,"",INDEX(EntryTxnID,$P33)))</f>
        <v/>
      </c>
      <c r="P33" s="26">
        <f>IFERROR(MATCH($C$5&amp;"|"&amp;RIGHT("000000"&amp;17,6),CalcRankKey,0),"")</f>
        <v/>
      </c>
    </row>
    <row r="34">
      <c r="A34" s="28">
        <f>IF($B34="","",18)</f>
        <v/>
      </c>
      <c r="B34" s="28">
        <f>IF($P34="","",IF(INDEX(CalcNormDate,$P34)=0,"",INDEX(CalcNormDate,$P34)))</f>
        <v/>
      </c>
      <c r="C34" s="28">
        <f>IF($P34="","",IF(INDEX(CalcTime,$P34)=0,"",INDEX(CalcTime,$P34)))</f>
        <v/>
      </c>
      <c r="D34" s="28">
        <f>IF($P34="","",IF(INDEX(EntryParty,$P34)=0,"",INDEX(EntryParty,$P34)))</f>
        <v/>
      </c>
      <c r="E34" s="28">
        <f>IF($P34="","",IF(INDEX(EntryPartyName,$P34)=0,"",INDEX(EntryPartyName,$P34)))</f>
        <v/>
      </c>
      <c r="F34" s="28">
        <f>IF($P34="","",IF(INDEX(EntryPartyType,$P34)=0,"",INDEX(EntryPartyType,$P34)))</f>
        <v/>
      </c>
      <c r="G34" s="28">
        <f>IF($P34="","",IF(INDEX(EntryTxnType,$P34)=0,"",INDEX(EntryTxnType,$P34)))</f>
        <v/>
      </c>
      <c r="H34" s="29">
        <f>IF($P34="","",IF(INDEX(EntryDep,$P34)=0,"",INDEX(EntryDep,$P34)))</f>
        <v/>
      </c>
      <c r="I34" s="29">
        <f>IF($P34="","",IF(INDEX(EntryWit,$P34)=0,"",INDEX(EntryWit,$P34)))</f>
        <v/>
      </c>
      <c r="J34" s="29">
        <f>IF($B34="","",IF($A34=1,$C$7,IF(J33="",0,J33))+IF($H34="",0,$H34)-IF($I34="",0,$I34))</f>
        <v/>
      </c>
      <c r="K34" s="29">
        <f>IF($P34="","",IF(INDEX(EntryMan,$P34)=0,"",INDEX(EntryMan,$P34)))</f>
        <v/>
      </c>
      <c r="L34" s="28">
        <f>IF($B34="","",IF($K34="","—",IF(ROUND($K34-$J34,0)=0,"√","×")))</f>
        <v/>
      </c>
      <c r="M34" s="28">
        <f>IF($B34="","",IF(COUNTIFS(EntryDates,$B34,CalcTime,$C34,CalcBank,$C$5,EntryParty,$D34,EntryDep,$H34,EntryWit,$I34)&gt;1,"تکرار",""))</f>
        <v/>
      </c>
      <c r="N34" s="28">
        <f>IF($P34="","",IF(INDEX(EntryNotes,$P34)=0,"",INDEX(EntryNotes,$P34)))</f>
        <v/>
      </c>
      <c r="O34" s="28">
        <f>IF($P34="","",IF(INDEX(EntryTxnID,$P34)=0,"",INDEX(EntryTxnID,$P34)))</f>
        <v/>
      </c>
      <c r="P34" s="28">
        <f>IFERROR(MATCH($C$5&amp;"|"&amp;RIGHT("000000"&amp;18,6),CalcRankKey,0),"")</f>
        <v/>
      </c>
    </row>
    <row r="35">
      <c r="A35" s="26">
        <f>IF($B35="","",19)</f>
        <v/>
      </c>
      <c r="B35" s="26">
        <f>IF($P35="","",IF(INDEX(CalcNormDate,$P35)=0,"",INDEX(CalcNormDate,$P35)))</f>
        <v/>
      </c>
      <c r="C35" s="26">
        <f>IF($P35="","",IF(INDEX(CalcTime,$P35)=0,"",INDEX(CalcTime,$P35)))</f>
        <v/>
      </c>
      <c r="D35" s="26">
        <f>IF($P35="","",IF(INDEX(EntryParty,$P35)=0,"",INDEX(EntryParty,$P35)))</f>
        <v/>
      </c>
      <c r="E35" s="26">
        <f>IF($P35="","",IF(INDEX(EntryPartyName,$P35)=0,"",INDEX(EntryPartyName,$P35)))</f>
        <v/>
      </c>
      <c r="F35" s="26">
        <f>IF($P35="","",IF(INDEX(EntryPartyType,$P35)=0,"",INDEX(EntryPartyType,$P35)))</f>
        <v/>
      </c>
      <c r="G35" s="26">
        <f>IF($P35="","",IF(INDEX(EntryTxnType,$P35)=0,"",INDEX(EntryTxnType,$P35)))</f>
        <v/>
      </c>
      <c r="H35" s="27">
        <f>IF($P35="","",IF(INDEX(EntryDep,$P35)=0,"",INDEX(EntryDep,$P35)))</f>
        <v/>
      </c>
      <c r="I35" s="27">
        <f>IF($P35="","",IF(INDEX(EntryWit,$P35)=0,"",INDEX(EntryWit,$P35)))</f>
        <v/>
      </c>
      <c r="J35" s="27">
        <f>IF($B35="","",IF($A35=1,$C$7,IF(J34="",0,J34))+IF($H35="",0,$H35)-IF($I35="",0,$I35))</f>
        <v/>
      </c>
      <c r="K35" s="27">
        <f>IF($P35="","",IF(INDEX(EntryMan,$P35)=0,"",INDEX(EntryMan,$P35)))</f>
        <v/>
      </c>
      <c r="L35" s="26">
        <f>IF($B35="","",IF($K35="","—",IF(ROUND($K35-$J35,0)=0,"√","×")))</f>
        <v/>
      </c>
      <c r="M35" s="26">
        <f>IF($B35="","",IF(COUNTIFS(EntryDates,$B35,CalcTime,$C35,CalcBank,$C$5,EntryParty,$D35,EntryDep,$H35,EntryWit,$I35)&gt;1,"تکرار",""))</f>
        <v/>
      </c>
      <c r="N35" s="26">
        <f>IF($P35="","",IF(INDEX(EntryNotes,$P35)=0,"",INDEX(EntryNotes,$P35)))</f>
        <v/>
      </c>
      <c r="O35" s="26">
        <f>IF($P35="","",IF(INDEX(EntryTxnID,$P35)=0,"",INDEX(EntryTxnID,$P35)))</f>
        <v/>
      </c>
      <c r="P35" s="26">
        <f>IFERROR(MATCH($C$5&amp;"|"&amp;RIGHT("000000"&amp;19,6),CalcRankKey,0),"")</f>
        <v/>
      </c>
    </row>
    <row r="36">
      <c r="A36" s="28">
        <f>IF($B36="","",20)</f>
        <v/>
      </c>
      <c r="B36" s="28">
        <f>IF($P36="","",IF(INDEX(CalcNormDate,$P36)=0,"",INDEX(CalcNormDate,$P36)))</f>
        <v/>
      </c>
      <c r="C36" s="28">
        <f>IF($P36="","",IF(INDEX(CalcTime,$P36)=0,"",INDEX(CalcTime,$P36)))</f>
        <v/>
      </c>
      <c r="D36" s="28">
        <f>IF($P36="","",IF(INDEX(EntryParty,$P36)=0,"",INDEX(EntryParty,$P36)))</f>
        <v/>
      </c>
      <c r="E36" s="28">
        <f>IF($P36="","",IF(INDEX(EntryPartyName,$P36)=0,"",INDEX(EntryPartyName,$P36)))</f>
        <v/>
      </c>
      <c r="F36" s="28">
        <f>IF($P36="","",IF(INDEX(EntryPartyType,$P36)=0,"",INDEX(EntryPartyType,$P36)))</f>
        <v/>
      </c>
      <c r="G36" s="28">
        <f>IF($P36="","",IF(INDEX(EntryTxnType,$P36)=0,"",INDEX(EntryTxnType,$P36)))</f>
        <v/>
      </c>
      <c r="H36" s="29">
        <f>IF($P36="","",IF(INDEX(EntryDep,$P36)=0,"",INDEX(EntryDep,$P36)))</f>
        <v/>
      </c>
      <c r="I36" s="29">
        <f>IF($P36="","",IF(INDEX(EntryWit,$P36)=0,"",INDEX(EntryWit,$P36)))</f>
        <v/>
      </c>
      <c r="J36" s="29">
        <f>IF($B36="","",IF($A36=1,$C$7,IF(J35="",0,J35))+IF($H36="",0,$H36)-IF($I36="",0,$I36))</f>
        <v/>
      </c>
      <c r="K36" s="29">
        <f>IF($P36="","",IF(INDEX(EntryMan,$P36)=0,"",INDEX(EntryMan,$P36)))</f>
        <v/>
      </c>
      <c r="L36" s="28">
        <f>IF($B36="","",IF($K36="","—",IF(ROUND($K36-$J36,0)=0,"√","×")))</f>
        <v/>
      </c>
      <c r="M36" s="28">
        <f>IF($B36="","",IF(COUNTIFS(EntryDates,$B36,CalcTime,$C36,CalcBank,$C$5,EntryParty,$D36,EntryDep,$H36,EntryWit,$I36)&gt;1,"تکرار",""))</f>
        <v/>
      </c>
      <c r="N36" s="28">
        <f>IF($P36="","",IF(INDEX(EntryNotes,$P36)=0,"",INDEX(EntryNotes,$P36)))</f>
        <v/>
      </c>
      <c r="O36" s="28">
        <f>IF($P36="","",IF(INDEX(EntryTxnID,$P36)=0,"",INDEX(EntryTxnID,$P36)))</f>
        <v/>
      </c>
      <c r="P36" s="28">
        <f>IFERROR(MATCH($C$5&amp;"|"&amp;RIGHT("000000"&amp;20,6),CalcRankKey,0),"")</f>
        <v/>
      </c>
    </row>
    <row r="37">
      <c r="A37" s="26">
        <f>IF($B37="","",21)</f>
        <v/>
      </c>
      <c r="B37" s="26">
        <f>IF($P37="","",IF(INDEX(CalcNormDate,$P37)=0,"",INDEX(CalcNormDate,$P37)))</f>
        <v/>
      </c>
      <c r="C37" s="26">
        <f>IF($P37="","",IF(INDEX(CalcTime,$P37)=0,"",INDEX(CalcTime,$P37)))</f>
        <v/>
      </c>
      <c r="D37" s="26">
        <f>IF($P37="","",IF(INDEX(EntryParty,$P37)=0,"",INDEX(EntryParty,$P37)))</f>
        <v/>
      </c>
      <c r="E37" s="26">
        <f>IF($P37="","",IF(INDEX(EntryPartyName,$P37)=0,"",INDEX(EntryPartyName,$P37)))</f>
        <v/>
      </c>
      <c r="F37" s="26">
        <f>IF($P37="","",IF(INDEX(EntryPartyType,$P37)=0,"",INDEX(EntryPartyType,$P37)))</f>
        <v/>
      </c>
      <c r="G37" s="26">
        <f>IF($P37="","",IF(INDEX(EntryTxnType,$P37)=0,"",INDEX(EntryTxnType,$P37)))</f>
        <v/>
      </c>
      <c r="H37" s="27">
        <f>IF($P37="","",IF(INDEX(EntryDep,$P37)=0,"",INDEX(EntryDep,$P37)))</f>
        <v/>
      </c>
      <c r="I37" s="27">
        <f>IF($P37="","",IF(INDEX(EntryWit,$P37)=0,"",INDEX(EntryWit,$P37)))</f>
        <v/>
      </c>
      <c r="J37" s="27">
        <f>IF($B37="","",IF($A37=1,$C$7,IF(J36="",0,J36))+IF($H37="",0,$H37)-IF($I37="",0,$I37))</f>
        <v/>
      </c>
      <c r="K37" s="27">
        <f>IF($P37="","",IF(INDEX(EntryMan,$P37)=0,"",INDEX(EntryMan,$P37)))</f>
        <v/>
      </c>
      <c r="L37" s="26">
        <f>IF($B37="","",IF($K37="","—",IF(ROUND($K37-$J37,0)=0,"√","×")))</f>
        <v/>
      </c>
      <c r="M37" s="26">
        <f>IF($B37="","",IF(COUNTIFS(EntryDates,$B37,CalcTime,$C37,CalcBank,$C$5,EntryParty,$D37,EntryDep,$H37,EntryWit,$I37)&gt;1,"تکرار",""))</f>
        <v/>
      </c>
      <c r="N37" s="26">
        <f>IF($P37="","",IF(INDEX(EntryNotes,$P37)=0,"",INDEX(EntryNotes,$P37)))</f>
        <v/>
      </c>
      <c r="O37" s="26">
        <f>IF($P37="","",IF(INDEX(EntryTxnID,$P37)=0,"",INDEX(EntryTxnID,$P37)))</f>
        <v/>
      </c>
      <c r="P37" s="26">
        <f>IFERROR(MATCH($C$5&amp;"|"&amp;RIGHT("000000"&amp;21,6),CalcRankKey,0),"")</f>
        <v/>
      </c>
    </row>
    <row r="38">
      <c r="A38" s="28">
        <f>IF($B38="","",22)</f>
        <v/>
      </c>
      <c r="B38" s="28">
        <f>IF($P38="","",IF(INDEX(CalcNormDate,$P38)=0,"",INDEX(CalcNormDate,$P38)))</f>
        <v/>
      </c>
      <c r="C38" s="28">
        <f>IF($P38="","",IF(INDEX(CalcTime,$P38)=0,"",INDEX(CalcTime,$P38)))</f>
        <v/>
      </c>
      <c r="D38" s="28">
        <f>IF($P38="","",IF(INDEX(EntryParty,$P38)=0,"",INDEX(EntryParty,$P38)))</f>
        <v/>
      </c>
      <c r="E38" s="28">
        <f>IF($P38="","",IF(INDEX(EntryPartyName,$P38)=0,"",INDEX(EntryPartyName,$P38)))</f>
        <v/>
      </c>
      <c r="F38" s="28">
        <f>IF($P38="","",IF(INDEX(EntryPartyType,$P38)=0,"",INDEX(EntryPartyType,$P38)))</f>
        <v/>
      </c>
      <c r="G38" s="28">
        <f>IF($P38="","",IF(INDEX(EntryTxnType,$P38)=0,"",INDEX(EntryTxnType,$P38)))</f>
        <v/>
      </c>
      <c r="H38" s="29">
        <f>IF($P38="","",IF(INDEX(EntryDep,$P38)=0,"",INDEX(EntryDep,$P38)))</f>
        <v/>
      </c>
      <c r="I38" s="29">
        <f>IF($P38="","",IF(INDEX(EntryWit,$P38)=0,"",INDEX(EntryWit,$P38)))</f>
        <v/>
      </c>
      <c r="J38" s="29">
        <f>IF($B38="","",IF($A38=1,$C$7,IF(J37="",0,J37))+IF($H38="",0,$H38)-IF($I38="",0,$I38))</f>
        <v/>
      </c>
      <c r="K38" s="29">
        <f>IF($P38="","",IF(INDEX(EntryMan,$P38)=0,"",INDEX(EntryMan,$P38)))</f>
        <v/>
      </c>
      <c r="L38" s="28">
        <f>IF($B38="","",IF($K38="","—",IF(ROUND($K38-$J38,0)=0,"√","×")))</f>
        <v/>
      </c>
      <c r="M38" s="28">
        <f>IF($B38="","",IF(COUNTIFS(EntryDates,$B38,CalcTime,$C38,CalcBank,$C$5,EntryParty,$D38,EntryDep,$H38,EntryWit,$I38)&gt;1,"تکرار",""))</f>
        <v/>
      </c>
      <c r="N38" s="28">
        <f>IF($P38="","",IF(INDEX(EntryNotes,$P38)=0,"",INDEX(EntryNotes,$P38)))</f>
        <v/>
      </c>
      <c r="O38" s="28">
        <f>IF($P38="","",IF(INDEX(EntryTxnID,$P38)=0,"",INDEX(EntryTxnID,$P38)))</f>
        <v/>
      </c>
      <c r="P38" s="28">
        <f>IFERROR(MATCH($C$5&amp;"|"&amp;RIGHT("000000"&amp;22,6),CalcRankKey,0),"")</f>
        <v/>
      </c>
    </row>
    <row r="39">
      <c r="A39" s="26">
        <f>IF($B39="","",23)</f>
        <v/>
      </c>
      <c r="B39" s="26">
        <f>IF($P39="","",IF(INDEX(CalcNormDate,$P39)=0,"",INDEX(CalcNormDate,$P39)))</f>
        <v/>
      </c>
      <c r="C39" s="26">
        <f>IF($P39="","",IF(INDEX(CalcTime,$P39)=0,"",INDEX(CalcTime,$P39)))</f>
        <v/>
      </c>
      <c r="D39" s="26">
        <f>IF($P39="","",IF(INDEX(EntryParty,$P39)=0,"",INDEX(EntryParty,$P39)))</f>
        <v/>
      </c>
      <c r="E39" s="26">
        <f>IF($P39="","",IF(INDEX(EntryPartyName,$P39)=0,"",INDEX(EntryPartyName,$P39)))</f>
        <v/>
      </c>
      <c r="F39" s="26">
        <f>IF($P39="","",IF(INDEX(EntryPartyType,$P39)=0,"",INDEX(EntryPartyType,$P39)))</f>
        <v/>
      </c>
      <c r="G39" s="26">
        <f>IF($P39="","",IF(INDEX(EntryTxnType,$P39)=0,"",INDEX(EntryTxnType,$P39)))</f>
        <v/>
      </c>
      <c r="H39" s="27">
        <f>IF($P39="","",IF(INDEX(EntryDep,$P39)=0,"",INDEX(EntryDep,$P39)))</f>
        <v/>
      </c>
      <c r="I39" s="27">
        <f>IF($P39="","",IF(INDEX(EntryWit,$P39)=0,"",INDEX(EntryWit,$P39)))</f>
        <v/>
      </c>
      <c r="J39" s="27">
        <f>IF($B39="","",IF($A39=1,$C$7,IF(J38="",0,J38))+IF($H39="",0,$H39)-IF($I39="",0,$I39))</f>
        <v/>
      </c>
      <c r="K39" s="27">
        <f>IF($P39="","",IF(INDEX(EntryMan,$P39)=0,"",INDEX(EntryMan,$P39)))</f>
        <v/>
      </c>
      <c r="L39" s="26">
        <f>IF($B39="","",IF($K39="","—",IF(ROUND($K39-$J39,0)=0,"√","×")))</f>
        <v/>
      </c>
      <c r="M39" s="26">
        <f>IF($B39="","",IF(COUNTIFS(EntryDates,$B39,CalcTime,$C39,CalcBank,$C$5,EntryParty,$D39,EntryDep,$H39,EntryWit,$I39)&gt;1,"تکرار",""))</f>
        <v/>
      </c>
      <c r="N39" s="26">
        <f>IF($P39="","",IF(INDEX(EntryNotes,$P39)=0,"",INDEX(EntryNotes,$P39)))</f>
        <v/>
      </c>
      <c r="O39" s="26">
        <f>IF($P39="","",IF(INDEX(EntryTxnID,$P39)=0,"",INDEX(EntryTxnID,$P39)))</f>
        <v/>
      </c>
      <c r="P39" s="26">
        <f>IFERROR(MATCH($C$5&amp;"|"&amp;RIGHT("000000"&amp;23,6),CalcRankKey,0),"")</f>
        <v/>
      </c>
    </row>
    <row r="40">
      <c r="A40" s="28">
        <f>IF($B40="","",24)</f>
        <v/>
      </c>
      <c r="B40" s="28">
        <f>IF($P40="","",IF(INDEX(CalcNormDate,$P40)=0,"",INDEX(CalcNormDate,$P40)))</f>
        <v/>
      </c>
      <c r="C40" s="28">
        <f>IF($P40="","",IF(INDEX(CalcTime,$P40)=0,"",INDEX(CalcTime,$P40)))</f>
        <v/>
      </c>
      <c r="D40" s="28">
        <f>IF($P40="","",IF(INDEX(EntryParty,$P40)=0,"",INDEX(EntryParty,$P40)))</f>
        <v/>
      </c>
      <c r="E40" s="28">
        <f>IF($P40="","",IF(INDEX(EntryPartyName,$P40)=0,"",INDEX(EntryPartyName,$P40)))</f>
        <v/>
      </c>
      <c r="F40" s="28">
        <f>IF($P40="","",IF(INDEX(EntryPartyType,$P40)=0,"",INDEX(EntryPartyType,$P40)))</f>
        <v/>
      </c>
      <c r="G40" s="28">
        <f>IF($P40="","",IF(INDEX(EntryTxnType,$P40)=0,"",INDEX(EntryTxnType,$P40)))</f>
        <v/>
      </c>
      <c r="H40" s="29">
        <f>IF($P40="","",IF(INDEX(EntryDep,$P40)=0,"",INDEX(EntryDep,$P40)))</f>
        <v/>
      </c>
      <c r="I40" s="29">
        <f>IF($P40="","",IF(INDEX(EntryWit,$P40)=0,"",INDEX(EntryWit,$P40)))</f>
        <v/>
      </c>
      <c r="J40" s="29">
        <f>IF($B40="","",IF($A40=1,$C$7,IF(J39="",0,J39))+IF($H40="",0,$H40)-IF($I40="",0,$I40))</f>
        <v/>
      </c>
      <c r="K40" s="29">
        <f>IF($P40="","",IF(INDEX(EntryMan,$P40)=0,"",INDEX(EntryMan,$P40)))</f>
        <v/>
      </c>
      <c r="L40" s="28">
        <f>IF($B40="","",IF($K40="","—",IF(ROUND($K40-$J40,0)=0,"√","×")))</f>
        <v/>
      </c>
      <c r="M40" s="28">
        <f>IF($B40="","",IF(COUNTIFS(EntryDates,$B40,CalcTime,$C40,CalcBank,$C$5,EntryParty,$D40,EntryDep,$H40,EntryWit,$I40)&gt;1,"تکرار",""))</f>
        <v/>
      </c>
      <c r="N40" s="28">
        <f>IF($P40="","",IF(INDEX(EntryNotes,$P40)=0,"",INDEX(EntryNotes,$P40)))</f>
        <v/>
      </c>
      <c r="O40" s="28">
        <f>IF($P40="","",IF(INDEX(EntryTxnID,$P40)=0,"",INDEX(EntryTxnID,$P40)))</f>
        <v/>
      </c>
      <c r="P40" s="28">
        <f>IFERROR(MATCH($C$5&amp;"|"&amp;RIGHT("000000"&amp;24,6),CalcRankKey,0),"")</f>
        <v/>
      </c>
    </row>
    <row r="41">
      <c r="A41" s="26">
        <f>IF($B41="","",25)</f>
        <v/>
      </c>
      <c r="B41" s="26">
        <f>IF($P41="","",IF(INDEX(CalcNormDate,$P41)=0,"",INDEX(CalcNormDate,$P41)))</f>
        <v/>
      </c>
      <c r="C41" s="26">
        <f>IF($P41="","",IF(INDEX(CalcTime,$P41)=0,"",INDEX(CalcTime,$P41)))</f>
        <v/>
      </c>
      <c r="D41" s="26">
        <f>IF($P41="","",IF(INDEX(EntryParty,$P41)=0,"",INDEX(EntryParty,$P41)))</f>
        <v/>
      </c>
      <c r="E41" s="26">
        <f>IF($P41="","",IF(INDEX(EntryPartyName,$P41)=0,"",INDEX(EntryPartyName,$P41)))</f>
        <v/>
      </c>
      <c r="F41" s="26">
        <f>IF($P41="","",IF(INDEX(EntryPartyType,$P41)=0,"",INDEX(EntryPartyType,$P41)))</f>
        <v/>
      </c>
      <c r="G41" s="26">
        <f>IF($P41="","",IF(INDEX(EntryTxnType,$P41)=0,"",INDEX(EntryTxnType,$P41)))</f>
        <v/>
      </c>
      <c r="H41" s="27">
        <f>IF($P41="","",IF(INDEX(EntryDep,$P41)=0,"",INDEX(EntryDep,$P41)))</f>
        <v/>
      </c>
      <c r="I41" s="27">
        <f>IF($P41="","",IF(INDEX(EntryWit,$P41)=0,"",INDEX(EntryWit,$P41)))</f>
        <v/>
      </c>
      <c r="J41" s="27">
        <f>IF($B41="","",IF($A41=1,$C$7,IF(J40="",0,J40))+IF($H41="",0,$H41)-IF($I41="",0,$I41))</f>
        <v/>
      </c>
      <c r="K41" s="27">
        <f>IF($P41="","",IF(INDEX(EntryMan,$P41)=0,"",INDEX(EntryMan,$P41)))</f>
        <v/>
      </c>
      <c r="L41" s="26">
        <f>IF($B41="","",IF($K41="","—",IF(ROUND($K41-$J41,0)=0,"√","×")))</f>
        <v/>
      </c>
      <c r="M41" s="26">
        <f>IF($B41="","",IF(COUNTIFS(EntryDates,$B41,CalcTime,$C41,CalcBank,$C$5,EntryParty,$D41,EntryDep,$H41,EntryWit,$I41)&gt;1,"تکرار",""))</f>
        <v/>
      </c>
      <c r="N41" s="26">
        <f>IF($P41="","",IF(INDEX(EntryNotes,$P41)=0,"",INDEX(EntryNotes,$P41)))</f>
        <v/>
      </c>
      <c r="O41" s="26">
        <f>IF($P41="","",IF(INDEX(EntryTxnID,$P41)=0,"",INDEX(EntryTxnID,$P41)))</f>
        <v/>
      </c>
      <c r="P41" s="26">
        <f>IFERROR(MATCH($C$5&amp;"|"&amp;RIGHT("000000"&amp;25,6),CalcRankKey,0),"")</f>
        <v/>
      </c>
    </row>
    <row r="42">
      <c r="A42" s="28">
        <f>IF($B42="","",26)</f>
        <v/>
      </c>
      <c r="B42" s="28">
        <f>IF($P42="","",IF(INDEX(CalcNormDate,$P42)=0,"",INDEX(CalcNormDate,$P42)))</f>
        <v/>
      </c>
      <c r="C42" s="28">
        <f>IF($P42="","",IF(INDEX(CalcTime,$P42)=0,"",INDEX(CalcTime,$P42)))</f>
        <v/>
      </c>
      <c r="D42" s="28">
        <f>IF($P42="","",IF(INDEX(EntryParty,$P42)=0,"",INDEX(EntryParty,$P42)))</f>
        <v/>
      </c>
      <c r="E42" s="28">
        <f>IF($P42="","",IF(INDEX(EntryPartyName,$P42)=0,"",INDEX(EntryPartyName,$P42)))</f>
        <v/>
      </c>
      <c r="F42" s="28">
        <f>IF($P42="","",IF(INDEX(EntryPartyType,$P42)=0,"",INDEX(EntryPartyType,$P42)))</f>
        <v/>
      </c>
      <c r="G42" s="28">
        <f>IF($P42="","",IF(INDEX(EntryTxnType,$P42)=0,"",INDEX(EntryTxnType,$P42)))</f>
        <v/>
      </c>
      <c r="H42" s="29">
        <f>IF($P42="","",IF(INDEX(EntryDep,$P42)=0,"",INDEX(EntryDep,$P42)))</f>
        <v/>
      </c>
      <c r="I42" s="29">
        <f>IF($P42="","",IF(INDEX(EntryWit,$P42)=0,"",INDEX(EntryWit,$P42)))</f>
        <v/>
      </c>
      <c r="J42" s="29">
        <f>IF($B42="","",IF($A42=1,$C$7,IF(J41="",0,J41))+IF($H42="",0,$H42)-IF($I42="",0,$I42))</f>
        <v/>
      </c>
      <c r="K42" s="29">
        <f>IF($P42="","",IF(INDEX(EntryMan,$P42)=0,"",INDEX(EntryMan,$P42)))</f>
        <v/>
      </c>
      <c r="L42" s="28">
        <f>IF($B42="","",IF($K42="","—",IF(ROUND($K42-$J42,0)=0,"√","×")))</f>
        <v/>
      </c>
      <c r="M42" s="28">
        <f>IF($B42="","",IF(COUNTIFS(EntryDates,$B42,CalcTime,$C42,CalcBank,$C$5,EntryParty,$D42,EntryDep,$H42,EntryWit,$I42)&gt;1,"تکرار",""))</f>
        <v/>
      </c>
      <c r="N42" s="28">
        <f>IF($P42="","",IF(INDEX(EntryNotes,$P42)=0,"",INDEX(EntryNotes,$P42)))</f>
        <v/>
      </c>
      <c r="O42" s="28">
        <f>IF($P42="","",IF(INDEX(EntryTxnID,$P42)=0,"",INDEX(EntryTxnID,$P42)))</f>
        <v/>
      </c>
      <c r="P42" s="28">
        <f>IFERROR(MATCH($C$5&amp;"|"&amp;RIGHT("000000"&amp;26,6),CalcRankKey,0),"")</f>
        <v/>
      </c>
    </row>
    <row r="43">
      <c r="A43" s="26">
        <f>IF($B43="","",27)</f>
        <v/>
      </c>
      <c r="B43" s="26">
        <f>IF($P43="","",IF(INDEX(CalcNormDate,$P43)=0,"",INDEX(CalcNormDate,$P43)))</f>
        <v/>
      </c>
      <c r="C43" s="26">
        <f>IF($P43="","",IF(INDEX(CalcTime,$P43)=0,"",INDEX(CalcTime,$P43)))</f>
        <v/>
      </c>
      <c r="D43" s="26">
        <f>IF($P43="","",IF(INDEX(EntryParty,$P43)=0,"",INDEX(EntryParty,$P43)))</f>
        <v/>
      </c>
      <c r="E43" s="26">
        <f>IF($P43="","",IF(INDEX(EntryPartyName,$P43)=0,"",INDEX(EntryPartyName,$P43)))</f>
        <v/>
      </c>
      <c r="F43" s="26">
        <f>IF($P43="","",IF(INDEX(EntryPartyType,$P43)=0,"",INDEX(EntryPartyType,$P43)))</f>
        <v/>
      </c>
      <c r="G43" s="26">
        <f>IF($P43="","",IF(INDEX(EntryTxnType,$P43)=0,"",INDEX(EntryTxnType,$P43)))</f>
        <v/>
      </c>
      <c r="H43" s="27">
        <f>IF($P43="","",IF(INDEX(EntryDep,$P43)=0,"",INDEX(EntryDep,$P43)))</f>
        <v/>
      </c>
      <c r="I43" s="27">
        <f>IF($P43="","",IF(INDEX(EntryWit,$P43)=0,"",INDEX(EntryWit,$P43)))</f>
        <v/>
      </c>
      <c r="J43" s="27">
        <f>IF($B43="","",IF($A43=1,$C$7,IF(J42="",0,J42))+IF($H43="",0,$H43)-IF($I43="",0,$I43))</f>
        <v/>
      </c>
      <c r="K43" s="27">
        <f>IF($P43="","",IF(INDEX(EntryMan,$P43)=0,"",INDEX(EntryMan,$P43)))</f>
        <v/>
      </c>
      <c r="L43" s="26">
        <f>IF($B43="","",IF($K43="","—",IF(ROUND($K43-$J43,0)=0,"√","×")))</f>
        <v/>
      </c>
      <c r="M43" s="26">
        <f>IF($B43="","",IF(COUNTIFS(EntryDates,$B43,CalcTime,$C43,CalcBank,$C$5,EntryParty,$D43,EntryDep,$H43,EntryWit,$I43)&gt;1,"تکرار",""))</f>
        <v/>
      </c>
      <c r="N43" s="26">
        <f>IF($P43="","",IF(INDEX(EntryNotes,$P43)=0,"",INDEX(EntryNotes,$P43)))</f>
        <v/>
      </c>
      <c r="O43" s="26">
        <f>IF($P43="","",IF(INDEX(EntryTxnID,$P43)=0,"",INDEX(EntryTxnID,$P43)))</f>
        <v/>
      </c>
      <c r="P43" s="26">
        <f>IFERROR(MATCH($C$5&amp;"|"&amp;RIGHT("000000"&amp;27,6),CalcRankKey,0),"")</f>
        <v/>
      </c>
    </row>
    <row r="44">
      <c r="A44" s="28">
        <f>IF($B44="","",28)</f>
        <v/>
      </c>
      <c r="B44" s="28">
        <f>IF($P44="","",IF(INDEX(CalcNormDate,$P44)=0,"",INDEX(CalcNormDate,$P44)))</f>
        <v/>
      </c>
      <c r="C44" s="28">
        <f>IF($P44="","",IF(INDEX(CalcTime,$P44)=0,"",INDEX(CalcTime,$P44)))</f>
        <v/>
      </c>
      <c r="D44" s="28">
        <f>IF($P44="","",IF(INDEX(EntryParty,$P44)=0,"",INDEX(EntryParty,$P44)))</f>
        <v/>
      </c>
      <c r="E44" s="28">
        <f>IF($P44="","",IF(INDEX(EntryPartyName,$P44)=0,"",INDEX(EntryPartyName,$P44)))</f>
        <v/>
      </c>
      <c r="F44" s="28">
        <f>IF($P44="","",IF(INDEX(EntryPartyType,$P44)=0,"",INDEX(EntryPartyType,$P44)))</f>
        <v/>
      </c>
      <c r="G44" s="28">
        <f>IF($P44="","",IF(INDEX(EntryTxnType,$P44)=0,"",INDEX(EntryTxnType,$P44)))</f>
        <v/>
      </c>
      <c r="H44" s="29">
        <f>IF($P44="","",IF(INDEX(EntryDep,$P44)=0,"",INDEX(EntryDep,$P44)))</f>
        <v/>
      </c>
      <c r="I44" s="29">
        <f>IF($P44="","",IF(INDEX(EntryWit,$P44)=0,"",INDEX(EntryWit,$P44)))</f>
        <v/>
      </c>
      <c r="J44" s="29">
        <f>IF($B44="","",IF($A44=1,$C$7,IF(J43="",0,J43))+IF($H44="",0,$H44)-IF($I44="",0,$I44))</f>
        <v/>
      </c>
      <c r="K44" s="29">
        <f>IF($P44="","",IF(INDEX(EntryMan,$P44)=0,"",INDEX(EntryMan,$P44)))</f>
        <v/>
      </c>
      <c r="L44" s="28">
        <f>IF($B44="","",IF($K44="","—",IF(ROUND($K44-$J44,0)=0,"√","×")))</f>
        <v/>
      </c>
      <c r="M44" s="28">
        <f>IF($B44="","",IF(COUNTIFS(EntryDates,$B44,CalcTime,$C44,CalcBank,$C$5,EntryParty,$D44,EntryDep,$H44,EntryWit,$I44)&gt;1,"تکرار",""))</f>
        <v/>
      </c>
      <c r="N44" s="28">
        <f>IF($P44="","",IF(INDEX(EntryNotes,$P44)=0,"",INDEX(EntryNotes,$P44)))</f>
        <v/>
      </c>
      <c r="O44" s="28">
        <f>IF($P44="","",IF(INDEX(EntryTxnID,$P44)=0,"",INDEX(EntryTxnID,$P44)))</f>
        <v/>
      </c>
      <c r="P44" s="28">
        <f>IFERROR(MATCH($C$5&amp;"|"&amp;RIGHT("000000"&amp;28,6),CalcRankKey,0),"")</f>
        <v/>
      </c>
    </row>
    <row r="45">
      <c r="A45" s="26">
        <f>IF($B45="","",29)</f>
        <v/>
      </c>
      <c r="B45" s="26">
        <f>IF($P45="","",IF(INDEX(CalcNormDate,$P45)=0,"",INDEX(CalcNormDate,$P45)))</f>
        <v/>
      </c>
      <c r="C45" s="26">
        <f>IF($P45="","",IF(INDEX(CalcTime,$P45)=0,"",INDEX(CalcTime,$P45)))</f>
        <v/>
      </c>
      <c r="D45" s="26">
        <f>IF($P45="","",IF(INDEX(EntryParty,$P45)=0,"",INDEX(EntryParty,$P45)))</f>
        <v/>
      </c>
      <c r="E45" s="26">
        <f>IF($P45="","",IF(INDEX(EntryPartyName,$P45)=0,"",INDEX(EntryPartyName,$P45)))</f>
        <v/>
      </c>
      <c r="F45" s="26">
        <f>IF($P45="","",IF(INDEX(EntryPartyType,$P45)=0,"",INDEX(EntryPartyType,$P45)))</f>
        <v/>
      </c>
      <c r="G45" s="26">
        <f>IF($P45="","",IF(INDEX(EntryTxnType,$P45)=0,"",INDEX(EntryTxnType,$P45)))</f>
        <v/>
      </c>
      <c r="H45" s="27">
        <f>IF($P45="","",IF(INDEX(EntryDep,$P45)=0,"",INDEX(EntryDep,$P45)))</f>
        <v/>
      </c>
      <c r="I45" s="27">
        <f>IF($P45="","",IF(INDEX(EntryWit,$P45)=0,"",INDEX(EntryWit,$P45)))</f>
        <v/>
      </c>
      <c r="J45" s="27">
        <f>IF($B45="","",IF($A45=1,$C$7,IF(J44="",0,J44))+IF($H45="",0,$H45)-IF($I45="",0,$I45))</f>
        <v/>
      </c>
      <c r="K45" s="27">
        <f>IF($P45="","",IF(INDEX(EntryMan,$P45)=0,"",INDEX(EntryMan,$P45)))</f>
        <v/>
      </c>
      <c r="L45" s="26">
        <f>IF($B45="","",IF($K45="","—",IF(ROUND($K45-$J45,0)=0,"√","×")))</f>
        <v/>
      </c>
      <c r="M45" s="26">
        <f>IF($B45="","",IF(COUNTIFS(EntryDates,$B45,CalcTime,$C45,CalcBank,$C$5,EntryParty,$D45,EntryDep,$H45,EntryWit,$I45)&gt;1,"تکرار",""))</f>
        <v/>
      </c>
      <c r="N45" s="26">
        <f>IF($P45="","",IF(INDEX(EntryNotes,$P45)=0,"",INDEX(EntryNotes,$P45)))</f>
        <v/>
      </c>
      <c r="O45" s="26">
        <f>IF($P45="","",IF(INDEX(EntryTxnID,$P45)=0,"",INDEX(EntryTxnID,$P45)))</f>
        <v/>
      </c>
      <c r="P45" s="26">
        <f>IFERROR(MATCH($C$5&amp;"|"&amp;RIGHT("000000"&amp;29,6),CalcRankKey,0),"")</f>
        <v/>
      </c>
    </row>
    <row r="46">
      <c r="A46" s="28">
        <f>IF($B46="","",30)</f>
        <v/>
      </c>
      <c r="B46" s="28">
        <f>IF($P46="","",IF(INDEX(CalcNormDate,$P46)=0,"",INDEX(CalcNormDate,$P46)))</f>
        <v/>
      </c>
      <c r="C46" s="28">
        <f>IF($P46="","",IF(INDEX(CalcTime,$P46)=0,"",INDEX(CalcTime,$P46)))</f>
        <v/>
      </c>
      <c r="D46" s="28">
        <f>IF($P46="","",IF(INDEX(EntryParty,$P46)=0,"",INDEX(EntryParty,$P46)))</f>
        <v/>
      </c>
      <c r="E46" s="28">
        <f>IF($P46="","",IF(INDEX(EntryPartyName,$P46)=0,"",INDEX(EntryPartyName,$P46)))</f>
        <v/>
      </c>
      <c r="F46" s="28">
        <f>IF($P46="","",IF(INDEX(EntryPartyType,$P46)=0,"",INDEX(EntryPartyType,$P46)))</f>
        <v/>
      </c>
      <c r="G46" s="28">
        <f>IF($P46="","",IF(INDEX(EntryTxnType,$P46)=0,"",INDEX(EntryTxnType,$P46)))</f>
        <v/>
      </c>
      <c r="H46" s="29">
        <f>IF($P46="","",IF(INDEX(EntryDep,$P46)=0,"",INDEX(EntryDep,$P46)))</f>
        <v/>
      </c>
      <c r="I46" s="29">
        <f>IF($P46="","",IF(INDEX(EntryWit,$P46)=0,"",INDEX(EntryWit,$P46)))</f>
        <v/>
      </c>
      <c r="J46" s="29">
        <f>IF($B46="","",IF($A46=1,$C$7,IF(J45="",0,J45))+IF($H46="",0,$H46)-IF($I46="",0,$I46))</f>
        <v/>
      </c>
      <c r="K46" s="29">
        <f>IF($P46="","",IF(INDEX(EntryMan,$P46)=0,"",INDEX(EntryMan,$P46)))</f>
        <v/>
      </c>
      <c r="L46" s="28">
        <f>IF($B46="","",IF($K46="","—",IF(ROUND($K46-$J46,0)=0,"√","×")))</f>
        <v/>
      </c>
      <c r="M46" s="28">
        <f>IF($B46="","",IF(COUNTIFS(EntryDates,$B46,CalcTime,$C46,CalcBank,$C$5,EntryParty,$D46,EntryDep,$H46,EntryWit,$I46)&gt;1,"تکرار",""))</f>
        <v/>
      </c>
      <c r="N46" s="28">
        <f>IF($P46="","",IF(INDEX(EntryNotes,$P46)=0,"",INDEX(EntryNotes,$P46)))</f>
        <v/>
      </c>
      <c r="O46" s="28">
        <f>IF($P46="","",IF(INDEX(EntryTxnID,$P46)=0,"",INDEX(EntryTxnID,$P46)))</f>
        <v/>
      </c>
      <c r="P46" s="28">
        <f>IFERROR(MATCH($C$5&amp;"|"&amp;RIGHT("000000"&amp;30,6),CalcRankKey,0),"")</f>
        <v/>
      </c>
    </row>
    <row r="47">
      <c r="A47" s="26">
        <f>IF($B47="","",31)</f>
        <v/>
      </c>
      <c r="B47" s="26">
        <f>IF($P47="","",IF(INDEX(CalcNormDate,$P47)=0,"",INDEX(CalcNormDate,$P47)))</f>
        <v/>
      </c>
      <c r="C47" s="26">
        <f>IF($P47="","",IF(INDEX(CalcTime,$P47)=0,"",INDEX(CalcTime,$P47)))</f>
        <v/>
      </c>
      <c r="D47" s="26">
        <f>IF($P47="","",IF(INDEX(EntryParty,$P47)=0,"",INDEX(EntryParty,$P47)))</f>
        <v/>
      </c>
      <c r="E47" s="26">
        <f>IF($P47="","",IF(INDEX(EntryPartyName,$P47)=0,"",INDEX(EntryPartyName,$P47)))</f>
        <v/>
      </c>
      <c r="F47" s="26">
        <f>IF($P47="","",IF(INDEX(EntryPartyType,$P47)=0,"",INDEX(EntryPartyType,$P47)))</f>
        <v/>
      </c>
      <c r="G47" s="26">
        <f>IF($P47="","",IF(INDEX(EntryTxnType,$P47)=0,"",INDEX(EntryTxnType,$P47)))</f>
        <v/>
      </c>
      <c r="H47" s="27">
        <f>IF($P47="","",IF(INDEX(EntryDep,$P47)=0,"",INDEX(EntryDep,$P47)))</f>
        <v/>
      </c>
      <c r="I47" s="27">
        <f>IF($P47="","",IF(INDEX(EntryWit,$P47)=0,"",INDEX(EntryWit,$P47)))</f>
        <v/>
      </c>
      <c r="J47" s="27">
        <f>IF($B47="","",IF($A47=1,$C$7,IF(J46="",0,J46))+IF($H47="",0,$H47)-IF($I47="",0,$I47))</f>
        <v/>
      </c>
      <c r="K47" s="27">
        <f>IF($P47="","",IF(INDEX(EntryMan,$P47)=0,"",INDEX(EntryMan,$P47)))</f>
        <v/>
      </c>
      <c r="L47" s="26">
        <f>IF($B47="","",IF($K47="","—",IF(ROUND($K47-$J47,0)=0,"√","×")))</f>
        <v/>
      </c>
      <c r="M47" s="26">
        <f>IF($B47="","",IF(COUNTIFS(EntryDates,$B47,CalcTime,$C47,CalcBank,$C$5,EntryParty,$D47,EntryDep,$H47,EntryWit,$I47)&gt;1,"تکرار",""))</f>
        <v/>
      </c>
      <c r="N47" s="26">
        <f>IF($P47="","",IF(INDEX(EntryNotes,$P47)=0,"",INDEX(EntryNotes,$P47)))</f>
        <v/>
      </c>
      <c r="O47" s="26">
        <f>IF($P47="","",IF(INDEX(EntryTxnID,$P47)=0,"",INDEX(EntryTxnID,$P47)))</f>
        <v/>
      </c>
      <c r="P47" s="26">
        <f>IFERROR(MATCH($C$5&amp;"|"&amp;RIGHT("000000"&amp;31,6),CalcRankKey,0),"")</f>
        <v/>
      </c>
    </row>
    <row r="48">
      <c r="A48" s="28">
        <f>IF($B48="","",32)</f>
        <v/>
      </c>
      <c r="B48" s="28">
        <f>IF($P48="","",IF(INDEX(CalcNormDate,$P48)=0,"",INDEX(CalcNormDate,$P48)))</f>
        <v/>
      </c>
      <c r="C48" s="28">
        <f>IF($P48="","",IF(INDEX(CalcTime,$P48)=0,"",INDEX(CalcTime,$P48)))</f>
        <v/>
      </c>
      <c r="D48" s="28">
        <f>IF($P48="","",IF(INDEX(EntryParty,$P48)=0,"",INDEX(EntryParty,$P48)))</f>
        <v/>
      </c>
      <c r="E48" s="28">
        <f>IF($P48="","",IF(INDEX(EntryPartyName,$P48)=0,"",INDEX(EntryPartyName,$P48)))</f>
        <v/>
      </c>
      <c r="F48" s="28">
        <f>IF($P48="","",IF(INDEX(EntryPartyType,$P48)=0,"",INDEX(EntryPartyType,$P48)))</f>
        <v/>
      </c>
      <c r="G48" s="28">
        <f>IF($P48="","",IF(INDEX(EntryTxnType,$P48)=0,"",INDEX(EntryTxnType,$P48)))</f>
        <v/>
      </c>
      <c r="H48" s="29">
        <f>IF($P48="","",IF(INDEX(EntryDep,$P48)=0,"",INDEX(EntryDep,$P48)))</f>
        <v/>
      </c>
      <c r="I48" s="29">
        <f>IF($P48="","",IF(INDEX(EntryWit,$P48)=0,"",INDEX(EntryWit,$P48)))</f>
        <v/>
      </c>
      <c r="J48" s="29">
        <f>IF($B48="","",IF($A48=1,$C$7,IF(J47="",0,J47))+IF($H48="",0,$H48)-IF($I48="",0,$I48))</f>
        <v/>
      </c>
      <c r="K48" s="29">
        <f>IF($P48="","",IF(INDEX(EntryMan,$P48)=0,"",INDEX(EntryMan,$P48)))</f>
        <v/>
      </c>
      <c r="L48" s="28">
        <f>IF($B48="","",IF($K48="","—",IF(ROUND($K48-$J48,0)=0,"√","×")))</f>
        <v/>
      </c>
      <c r="M48" s="28">
        <f>IF($B48="","",IF(COUNTIFS(EntryDates,$B48,CalcTime,$C48,CalcBank,$C$5,EntryParty,$D48,EntryDep,$H48,EntryWit,$I48)&gt;1,"تکرار",""))</f>
        <v/>
      </c>
      <c r="N48" s="28">
        <f>IF($P48="","",IF(INDEX(EntryNotes,$P48)=0,"",INDEX(EntryNotes,$P48)))</f>
        <v/>
      </c>
      <c r="O48" s="28">
        <f>IF($P48="","",IF(INDEX(EntryTxnID,$P48)=0,"",INDEX(EntryTxnID,$P48)))</f>
        <v/>
      </c>
      <c r="P48" s="28">
        <f>IFERROR(MATCH($C$5&amp;"|"&amp;RIGHT("000000"&amp;32,6),CalcRankKey,0),"")</f>
        <v/>
      </c>
    </row>
    <row r="49">
      <c r="A49" s="26">
        <f>IF($B49="","",33)</f>
        <v/>
      </c>
      <c r="B49" s="26">
        <f>IF($P49="","",IF(INDEX(CalcNormDate,$P49)=0,"",INDEX(CalcNormDate,$P49)))</f>
        <v/>
      </c>
      <c r="C49" s="26">
        <f>IF($P49="","",IF(INDEX(CalcTime,$P49)=0,"",INDEX(CalcTime,$P49)))</f>
        <v/>
      </c>
      <c r="D49" s="26">
        <f>IF($P49="","",IF(INDEX(EntryParty,$P49)=0,"",INDEX(EntryParty,$P49)))</f>
        <v/>
      </c>
      <c r="E49" s="26">
        <f>IF($P49="","",IF(INDEX(EntryPartyName,$P49)=0,"",INDEX(EntryPartyName,$P49)))</f>
        <v/>
      </c>
      <c r="F49" s="26">
        <f>IF($P49="","",IF(INDEX(EntryPartyType,$P49)=0,"",INDEX(EntryPartyType,$P49)))</f>
        <v/>
      </c>
      <c r="G49" s="26">
        <f>IF($P49="","",IF(INDEX(EntryTxnType,$P49)=0,"",INDEX(EntryTxnType,$P49)))</f>
        <v/>
      </c>
      <c r="H49" s="27">
        <f>IF($P49="","",IF(INDEX(EntryDep,$P49)=0,"",INDEX(EntryDep,$P49)))</f>
        <v/>
      </c>
      <c r="I49" s="27">
        <f>IF($P49="","",IF(INDEX(EntryWit,$P49)=0,"",INDEX(EntryWit,$P49)))</f>
        <v/>
      </c>
      <c r="J49" s="27">
        <f>IF($B49="","",IF($A49=1,$C$7,IF(J48="",0,J48))+IF($H49="",0,$H49)-IF($I49="",0,$I49))</f>
        <v/>
      </c>
      <c r="K49" s="27">
        <f>IF($P49="","",IF(INDEX(EntryMan,$P49)=0,"",INDEX(EntryMan,$P49)))</f>
        <v/>
      </c>
      <c r="L49" s="26">
        <f>IF($B49="","",IF($K49="","—",IF(ROUND($K49-$J49,0)=0,"√","×")))</f>
        <v/>
      </c>
      <c r="M49" s="26">
        <f>IF($B49="","",IF(COUNTIFS(EntryDates,$B49,CalcTime,$C49,CalcBank,$C$5,EntryParty,$D49,EntryDep,$H49,EntryWit,$I49)&gt;1,"تکرار",""))</f>
        <v/>
      </c>
      <c r="N49" s="26">
        <f>IF($P49="","",IF(INDEX(EntryNotes,$P49)=0,"",INDEX(EntryNotes,$P49)))</f>
        <v/>
      </c>
      <c r="O49" s="26">
        <f>IF($P49="","",IF(INDEX(EntryTxnID,$P49)=0,"",INDEX(EntryTxnID,$P49)))</f>
        <v/>
      </c>
      <c r="P49" s="26">
        <f>IFERROR(MATCH($C$5&amp;"|"&amp;RIGHT("000000"&amp;33,6),CalcRankKey,0),"")</f>
        <v/>
      </c>
    </row>
    <row r="50">
      <c r="A50" s="28">
        <f>IF($B50="","",34)</f>
        <v/>
      </c>
      <c r="B50" s="28">
        <f>IF($P50="","",IF(INDEX(CalcNormDate,$P50)=0,"",INDEX(CalcNormDate,$P50)))</f>
        <v/>
      </c>
      <c r="C50" s="28">
        <f>IF($P50="","",IF(INDEX(CalcTime,$P50)=0,"",INDEX(CalcTime,$P50)))</f>
        <v/>
      </c>
      <c r="D50" s="28">
        <f>IF($P50="","",IF(INDEX(EntryParty,$P50)=0,"",INDEX(EntryParty,$P50)))</f>
        <v/>
      </c>
      <c r="E50" s="28">
        <f>IF($P50="","",IF(INDEX(EntryPartyName,$P50)=0,"",INDEX(EntryPartyName,$P50)))</f>
        <v/>
      </c>
      <c r="F50" s="28">
        <f>IF($P50="","",IF(INDEX(EntryPartyType,$P50)=0,"",INDEX(EntryPartyType,$P50)))</f>
        <v/>
      </c>
      <c r="G50" s="28">
        <f>IF($P50="","",IF(INDEX(EntryTxnType,$P50)=0,"",INDEX(EntryTxnType,$P50)))</f>
        <v/>
      </c>
      <c r="H50" s="29">
        <f>IF($P50="","",IF(INDEX(EntryDep,$P50)=0,"",INDEX(EntryDep,$P50)))</f>
        <v/>
      </c>
      <c r="I50" s="29">
        <f>IF($P50="","",IF(INDEX(EntryWit,$P50)=0,"",INDEX(EntryWit,$P50)))</f>
        <v/>
      </c>
      <c r="J50" s="29">
        <f>IF($B50="","",IF($A50=1,$C$7,IF(J49="",0,J49))+IF($H50="",0,$H50)-IF($I50="",0,$I50))</f>
        <v/>
      </c>
      <c r="K50" s="29">
        <f>IF($P50="","",IF(INDEX(EntryMan,$P50)=0,"",INDEX(EntryMan,$P50)))</f>
        <v/>
      </c>
      <c r="L50" s="28">
        <f>IF($B50="","",IF($K50="","—",IF(ROUND($K50-$J50,0)=0,"√","×")))</f>
        <v/>
      </c>
      <c r="M50" s="28">
        <f>IF($B50="","",IF(COUNTIFS(EntryDates,$B50,CalcTime,$C50,CalcBank,$C$5,EntryParty,$D50,EntryDep,$H50,EntryWit,$I50)&gt;1,"تکرار",""))</f>
        <v/>
      </c>
      <c r="N50" s="28">
        <f>IF($P50="","",IF(INDEX(EntryNotes,$P50)=0,"",INDEX(EntryNotes,$P50)))</f>
        <v/>
      </c>
      <c r="O50" s="28">
        <f>IF($P50="","",IF(INDEX(EntryTxnID,$P50)=0,"",INDEX(EntryTxnID,$P50)))</f>
        <v/>
      </c>
      <c r="P50" s="28">
        <f>IFERROR(MATCH($C$5&amp;"|"&amp;RIGHT("000000"&amp;34,6),CalcRankKey,0),"")</f>
        <v/>
      </c>
    </row>
    <row r="51">
      <c r="A51" s="26">
        <f>IF($B51="","",35)</f>
        <v/>
      </c>
      <c r="B51" s="26">
        <f>IF($P51="","",IF(INDEX(CalcNormDate,$P51)=0,"",INDEX(CalcNormDate,$P51)))</f>
        <v/>
      </c>
      <c r="C51" s="26">
        <f>IF($P51="","",IF(INDEX(CalcTime,$P51)=0,"",INDEX(CalcTime,$P51)))</f>
        <v/>
      </c>
      <c r="D51" s="26">
        <f>IF($P51="","",IF(INDEX(EntryParty,$P51)=0,"",INDEX(EntryParty,$P51)))</f>
        <v/>
      </c>
      <c r="E51" s="26">
        <f>IF($P51="","",IF(INDEX(EntryPartyName,$P51)=0,"",INDEX(EntryPartyName,$P51)))</f>
        <v/>
      </c>
      <c r="F51" s="26">
        <f>IF($P51="","",IF(INDEX(EntryPartyType,$P51)=0,"",INDEX(EntryPartyType,$P51)))</f>
        <v/>
      </c>
      <c r="G51" s="26">
        <f>IF($P51="","",IF(INDEX(EntryTxnType,$P51)=0,"",INDEX(EntryTxnType,$P51)))</f>
        <v/>
      </c>
      <c r="H51" s="27">
        <f>IF($P51="","",IF(INDEX(EntryDep,$P51)=0,"",INDEX(EntryDep,$P51)))</f>
        <v/>
      </c>
      <c r="I51" s="27">
        <f>IF($P51="","",IF(INDEX(EntryWit,$P51)=0,"",INDEX(EntryWit,$P51)))</f>
        <v/>
      </c>
      <c r="J51" s="27">
        <f>IF($B51="","",IF($A51=1,$C$7,IF(J50="",0,J50))+IF($H51="",0,$H51)-IF($I51="",0,$I51))</f>
        <v/>
      </c>
      <c r="K51" s="27">
        <f>IF($P51="","",IF(INDEX(EntryMan,$P51)=0,"",INDEX(EntryMan,$P51)))</f>
        <v/>
      </c>
      <c r="L51" s="26">
        <f>IF($B51="","",IF($K51="","—",IF(ROUND($K51-$J51,0)=0,"√","×")))</f>
        <v/>
      </c>
      <c r="M51" s="26">
        <f>IF($B51="","",IF(COUNTIFS(EntryDates,$B51,CalcTime,$C51,CalcBank,$C$5,EntryParty,$D51,EntryDep,$H51,EntryWit,$I51)&gt;1,"تکرار",""))</f>
        <v/>
      </c>
      <c r="N51" s="26">
        <f>IF($P51="","",IF(INDEX(EntryNotes,$P51)=0,"",INDEX(EntryNotes,$P51)))</f>
        <v/>
      </c>
      <c r="O51" s="26">
        <f>IF($P51="","",IF(INDEX(EntryTxnID,$P51)=0,"",INDEX(EntryTxnID,$P51)))</f>
        <v/>
      </c>
      <c r="P51" s="26">
        <f>IFERROR(MATCH($C$5&amp;"|"&amp;RIGHT("000000"&amp;35,6),CalcRankKey,0),"")</f>
        <v/>
      </c>
    </row>
    <row r="52">
      <c r="A52" s="28">
        <f>IF($B52="","",36)</f>
        <v/>
      </c>
      <c r="B52" s="28">
        <f>IF($P52="","",IF(INDEX(CalcNormDate,$P52)=0,"",INDEX(CalcNormDate,$P52)))</f>
        <v/>
      </c>
      <c r="C52" s="28">
        <f>IF($P52="","",IF(INDEX(CalcTime,$P52)=0,"",INDEX(CalcTime,$P52)))</f>
        <v/>
      </c>
      <c r="D52" s="28">
        <f>IF($P52="","",IF(INDEX(EntryParty,$P52)=0,"",INDEX(EntryParty,$P52)))</f>
        <v/>
      </c>
      <c r="E52" s="28">
        <f>IF($P52="","",IF(INDEX(EntryPartyName,$P52)=0,"",INDEX(EntryPartyName,$P52)))</f>
        <v/>
      </c>
      <c r="F52" s="28">
        <f>IF($P52="","",IF(INDEX(EntryPartyType,$P52)=0,"",INDEX(EntryPartyType,$P52)))</f>
        <v/>
      </c>
      <c r="G52" s="28">
        <f>IF($P52="","",IF(INDEX(EntryTxnType,$P52)=0,"",INDEX(EntryTxnType,$P52)))</f>
        <v/>
      </c>
      <c r="H52" s="29">
        <f>IF($P52="","",IF(INDEX(EntryDep,$P52)=0,"",INDEX(EntryDep,$P52)))</f>
        <v/>
      </c>
      <c r="I52" s="29">
        <f>IF($P52="","",IF(INDEX(EntryWit,$P52)=0,"",INDEX(EntryWit,$P52)))</f>
        <v/>
      </c>
      <c r="J52" s="29">
        <f>IF($B52="","",IF($A52=1,$C$7,IF(J51="",0,J51))+IF($H52="",0,$H52)-IF($I52="",0,$I52))</f>
        <v/>
      </c>
      <c r="K52" s="29">
        <f>IF($P52="","",IF(INDEX(EntryMan,$P52)=0,"",INDEX(EntryMan,$P52)))</f>
        <v/>
      </c>
      <c r="L52" s="28">
        <f>IF($B52="","",IF($K52="","—",IF(ROUND($K52-$J52,0)=0,"√","×")))</f>
        <v/>
      </c>
      <c r="M52" s="28">
        <f>IF($B52="","",IF(COUNTIFS(EntryDates,$B52,CalcTime,$C52,CalcBank,$C$5,EntryParty,$D52,EntryDep,$H52,EntryWit,$I52)&gt;1,"تکرار",""))</f>
        <v/>
      </c>
      <c r="N52" s="28">
        <f>IF($P52="","",IF(INDEX(EntryNotes,$P52)=0,"",INDEX(EntryNotes,$P52)))</f>
        <v/>
      </c>
      <c r="O52" s="28">
        <f>IF($P52="","",IF(INDEX(EntryTxnID,$P52)=0,"",INDEX(EntryTxnID,$P52)))</f>
        <v/>
      </c>
      <c r="P52" s="28">
        <f>IFERROR(MATCH($C$5&amp;"|"&amp;RIGHT("000000"&amp;36,6),CalcRankKey,0),"")</f>
        <v/>
      </c>
    </row>
    <row r="53">
      <c r="A53" s="26">
        <f>IF($B53="","",37)</f>
        <v/>
      </c>
      <c r="B53" s="26">
        <f>IF($P53="","",IF(INDEX(CalcNormDate,$P53)=0,"",INDEX(CalcNormDate,$P53)))</f>
        <v/>
      </c>
      <c r="C53" s="26">
        <f>IF($P53="","",IF(INDEX(CalcTime,$P53)=0,"",INDEX(CalcTime,$P53)))</f>
        <v/>
      </c>
      <c r="D53" s="26">
        <f>IF($P53="","",IF(INDEX(EntryParty,$P53)=0,"",INDEX(EntryParty,$P53)))</f>
        <v/>
      </c>
      <c r="E53" s="26">
        <f>IF($P53="","",IF(INDEX(EntryPartyName,$P53)=0,"",INDEX(EntryPartyName,$P53)))</f>
        <v/>
      </c>
      <c r="F53" s="26">
        <f>IF($P53="","",IF(INDEX(EntryPartyType,$P53)=0,"",INDEX(EntryPartyType,$P53)))</f>
        <v/>
      </c>
      <c r="G53" s="26">
        <f>IF($P53="","",IF(INDEX(EntryTxnType,$P53)=0,"",INDEX(EntryTxnType,$P53)))</f>
        <v/>
      </c>
      <c r="H53" s="27">
        <f>IF($P53="","",IF(INDEX(EntryDep,$P53)=0,"",INDEX(EntryDep,$P53)))</f>
        <v/>
      </c>
      <c r="I53" s="27">
        <f>IF($P53="","",IF(INDEX(EntryWit,$P53)=0,"",INDEX(EntryWit,$P53)))</f>
        <v/>
      </c>
      <c r="J53" s="27">
        <f>IF($B53="","",IF($A53=1,$C$7,IF(J52="",0,J52))+IF($H53="",0,$H53)-IF($I53="",0,$I53))</f>
        <v/>
      </c>
      <c r="K53" s="27">
        <f>IF($P53="","",IF(INDEX(EntryMan,$P53)=0,"",INDEX(EntryMan,$P53)))</f>
        <v/>
      </c>
      <c r="L53" s="26">
        <f>IF($B53="","",IF($K53="","—",IF(ROUND($K53-$J53,0)=0,"√","×")))</f>
        <v/>
      </c>
      <c r="M53" s="26">
        <f>IF($B53="","",IF(COUNTIFS(EntryDates,$B53,CalcTime,$C53,CalcBank,$C$5,EntryParty,$D53,EntryDep,$H53,EntryWit,$I53)&gt;1,"تکرار",""))</f>
        <v/>
      </c>
      <c r="N53" s="26">
        <f>IF($P53="","",IF(INDEX(EntryNotes,$P53)=0,"",INDEX(EntryNotes,$P53)))</f>
        <v/>
      </c>
      <c r="O53" s="26">
        <f>IF($P53="","",IF(INDEX(EntryTxnID,$P53)=0,"",INDEX(EntryTxnID,$P53)))</f>
        <v/>
      </c>
      <c r="P53" s="26">
        <f>IFERROR(MATCH($C$5&amp;"|"&amp;RIGHT("000000"&amp;37,6),CalcRankKey,0),"")</f>
        <v/>
      </c>
    </row>
    <row r="54">
      <c r="A54" s="28">
        <f>IF($B54="","",38)</f>
        <v/>
      </c>
      <c r="B54" s="28">
        <f>IF($P54="","",IF(INDEX(CalcNormDate,$P54)=0,"",INDEX(CalcNormDate,$P54)))</f>
        <v/>
      </c>
      <c r="C54" s="28">
        <f>IF($P54="","",IF(INDEX(CalcTime,$P54)=0,"",INDEX(CalcTime,$P54)))</f>
        <v/>
      </c>
      <c r="D54" s="28">
        <f>IF($P54="","",IF(INDEX(EntryParty,$P54)=0,"",INDEX(EntryParty,$P54)))</f>
        <v/>
      </c>
      <c r="E54" s="28">
        <f>IF($P54="","",IF(INDEX(EntryPartyName,$P54)=0,"",INDEX(EntryPartyName,$P54)))</f>
        <v/>
      </c>
      <c r="F54" s="28">
        <f>IF($P54="","",IF(INDEX(EntryPartyType,$P54)=0,"",INDEX(EntryPartyType,$P54)))</f>
        <v/>
      </c>
      <c r="G54" s="28">
        <f>IF($P54="","",IF(INDEX(EntryTxnType,$P54)=0,"",INDEX(EntryTxnType,$P54)))</f>
        <v/>
      </c>
      <c r="H54" s="29">
        <f>IF($P54="","",IF(INDEX(EntryDep,$P54)=0,"",INDEX(EntryDep,$P54)))</f>
        <v/>
      </c>
      <c r="I54" s="29">
        <f>IF($P54="","",IF(INDEX(EntryWit,$P54)=0,"",INDEX(EntryWit,$P54)))</f>
        <v/>
      </c>
      <c r="J54" s="29">
        <f>IF($B54="","",IF($A54=1,$C$7,IF(J53="",0,J53))+IF($H54="",0,$H54)-IF($I54="",0,$I54))</f>
        <v/>
      </c>
      <c r="K54" s="29">
        <f>IF($P54="","",IF(INDEX(EntryMan,$P54)=0,"",INDEX(EntryMan,$P54)))</f>
        <v/>
      </c>
      <c r="L54" s="28">
        <f>IF($B54="","",IF($K54="","—",IF(ROUND($K54-$J54,0)=0,"√","×")))</f>
        <v/>
      </c>
      <c r="M54" s="28">
        <f>IF($B54="","",IF(COUNTIFS(EntryDates,$B54,CalcTime,$C54,CalcBank,$C$5,EntryParty,$D54,EntryDep,$H54,EntryWit,$I54)&gt;1,"تکرار",""))</f>
        <v/>
      </c>
      <c r="N54" s="28">
        <f>IF($P54="","",IF(INDEX(EntryNotes,$P54)=0,"",INDEX(EntryNotes,$P54)))</f>
        <v/>
      </c>
      <c r="O54" s="28">
        <f>IF($P54="","",IF(INDEX(EntryTxnID,$P54)=0,"",INDEX(EntryTxnID,$P54)))</f>
        <v/>
      </c>
      <c r="P54" s="28">
        <f>IFERROR(MATCH($C$5&amp;"|"&amp;RIGHT("000000"&amp;38,6),CalcRankKey,0),"")</f>
        <v/>
      </c>
    </row>
    <row r="55">
      <c r="A55" s="26">
        <f>IF($B55="","",39)</f>
        <v/>
      </c>
      <c r="B55" s="26">
        <f>IF($P55="","",IF(INDEX(CalcNormDate,$P55)=0,"",INDEX(CalcNormDate,$P55)))</f>
        <v/>
      </c>
      <c r="C55" s="26">
        <f>IF($P55="","",IF(INDEX(CalcTime,$P55)=0,"",INDEX(CalcTime,$P55)))</f>
        <v/>
      </c>
      <c r="D55" s="26">
        <f>IF($P55="","",IF(INDEX(EntryParty,$P55)=0,"",INDEX(EntryParty,$P55)))</f>
        <v/>
      </c>
      <c r="E55" s="26">
        <f>IF($P55="","",IF(INDEX(EntryPartyName,$P55)=0,"",INDEX(EntryPartyName,$P55)))</f>
        <v/>
      </c>
      <c r="F55" s="26">
        <f>IF($P55="","",IF(INDEX(EntryPartyType,$P55)=0,"",INDEX(EntryPartyType,$P55)))</f>
        <v/>
      </c>
      <c r="G55" s="26">
        <f>IF($P55="","",IF(INDEX(EntryTxnType,$P55)=0,"",INDEX(EntryTxnType,$P55)))</f>
        <v/>
      </c>
      <c r="H55" s="27">
        <f>IF($P55="","",IF(INDEX(EntryDep,$P55)=0,"",INDEX(EntryDep,$P55)))</f>
        <v/>
      </c>
      <c r="I55" s="27">
        <f>IF($P55="","",IF(INDEX(EntryWit,$P55)=0,"",INDEX(EntryWit,$P55)))</f>
        <v/>
      </c>
      <c r="J55" s="27">
        <f>IF($B55="","",IF($A55=1,$C$7,IF(J54="",0,J54))+IF($H55="",0,$H55)-IF($I55="",0,$I55))</f>
        <v/>
      </c>
      <c r="K55" s="27">
        <f>IF($P55="","",IF(INDEX(EntryMan,$P55)=0,"",INDEX(EntryMan,$P55)))</f>
        <v/>
      </c>
      <c r="L55" s="26">
        <f>IF($B55="","",IF($K55="","—",IF(ROUND($K55-$J55,0)=0,"√","×")))</f>
        <v/>
      </c>
      <c r="M55" s="26">
        <f>IF($B55="","",IF(COUNTIFS(EntryDates,$B55,CalcTime,$C55,CalcBank,$C$5,EntryParty,$D55,EntryDep,$H55,EntryWit,$I55)&gt;1,"تکرار",""))</f>
        <v/>
      </c>
      <c r="N55" s="26">
        <f>IF($P55="","",IF(INDEX(EntryNotes,$P55)=0,"",INDEX(EntryNotes,$P55)))</f>
        <v/>
      </c>
      <c r="O55" s="26">
        <f>IF($P55="","",IF(INDEX(EntryTxnID,$P55)=0,"",INDEX(EntryTxnID,$P55)))</f>
        <v/>
      </c>
      <c r="P55" s="26">
        <f>IFERROR(MATCH($C$5&amp;"|"&amp;RIGHT("000000"&amp;39,6),CalcRankKey,0),"")</f>
        <v/>
      </c>
    </row>
    <row r="56">
      <c r="A56" s="28">
        <f>IF($B56="","",40)</f>
        <v/>
      </c>
      <c r="B56" s="28">
        <f>IF($P56="","",IF(INDEX(CalcNormDate,$P56)=0,"",INDEX(CalcNormDate,$P56)))</f>
        <v/>
      </c>
      <c r="C56" s="28">
        <f>IF($P56="","",IF(INDEX(CalcTime,$P56)=0,"",INDEX(CalcTime,$P56)))</f>
        <v/>
      </c>
      <c r="D56" s="28">
        <f>IF($P56="","",IF(INDEX(EntryParty,$P56)=0,"",INDEX(EntryParty,$P56)))</f>
        <v/>
      </c>
      <c r="E56" s="28">
        <f>IF($P56="","",IF(INDEX(EntryPartyName,$P56)=0,"",INDEX(EntryPartyName,$P56)))</f>
        <v/>
      </c>
      <c r="F56" s="28">
        <f>IF($P56="","",IF(INDEX(EntryPartyType,$P56)=0,"",INDEX(EntryPartyType,$P56)))</f>
        <v/>
      </c>
      <c r="G56" s="28">
        <f>IF($P56="","",IF(INDEX(EntryTxnType,$P56)=0,"",INDEX(EntryTxnType,$P56)))</f>
        <v/>
      </c>
      <c r="H56" s="29">
        <f>IF($P56="","",IF(INDEX(EntryDep,$P56)=0,"",INDEX(EntryDep,$P56)))</f>
        <v/>
      </c>
      <c r="I56" s="29">
        <f>IF($P56="","",IF(INDEX(EntryWit,$P56)=0,"",INDEX(EntryWit,$P56)))</f>
        <v/>
      </c>
      <c r="J56" s="29">
        <f>IF($B56="","",IF($A56=1,$C$7,IF(J55="",0,J55))+IF($H56="",0,$H56)-IF($I56="",0,$I56))</f>
        <v/>
      </c>
      <c r="K56" s="29">
        <f>IF($P56="","",IF(INDEX(EntryMan,$P56)=0,"",INDEX(EntryMan,$P56)))</f>
        <v/>
      </c>
      <c r="L56" s="28">
        <f>IF($B56="","",IF($K56="","—",IF(ROUND($K56-$J56,0)=0,"√","×")))</f>
        <v/>
      </c>
      <c r="M56" s="28">
        <f>IF($B56="","",IF(COUNTIFS(EntryDates,$B56,CalcTime,$C56,CalcBank,$C$5,EntryParty,$D56,EntryDep,$H56,EntryWit,$I56)&gt;1,"تکرار",""))</f>
        <v/>
      </c>
      <c r="N56" s="28">
        <f>IF($P56="","",IF(INDEX(EntryNotes,$P56)=0,"",INDEX(EntryNotes,$P56)))</f>
        <v/>
      </c>
      <c r="O56" s="28">
        <f>IF($P56="","",IF(INDEX(EntryTxnID,$P56)=0,"",INDEX(EntryTxnID,$P56)))</f>
        <v/>
      </c>
      <c r="P56" s="28">
        <f>IFERROR(MATCH($C$5&amp;"|"&amp;RIGHT("000000"&amp;40,6),CalcRankKey,0),"")</f>
        <v/>
      </c>
    </row>
    <row r="57">
      <c r="A57" s="26">
        <f>IF($B57="","",41)</f>
        <v/>
      </c>
      <c r="B57" s="26">
        <f>IF($P57="","",IF(INDEX(CalcNormDate,$P57)=0,"",INDEX(CalcNormDate,$P57)))</f>
        <v/>
      </c>
      <c r="C57" s="26">
        <f>IF($P57="","",IF(INDEX(CalcTime,$P57)=0,"",INDEX(CalcTime,$P57)))</f>
        <v/>
      </c>
      <c r="D57" s="26">
        <f>IF($P57="","",IF(INDEX(EntryParty,$P57)=0,"",INDEX(EntryParty,$P57)))</f>
        <v/>
      </c>
      <c r="E57" s="26">
        <f>IF($P57="","",IF(INDEX(EntryPartyName,$P57)=0,"",INDEX(EntryPartyName,$P57)))</f>
        <v/>
      </c>
      <c r="F57" s="26">
        <f>IF($P57="","",IF(INDEX(EntryPartyType,$P57)=0,"",INDEX(EntryPartyType,$P57)))</f>
        <v/>
      </c>
      <c r="G57" s="26">
        <f>IF($P57="","",IF(INDEX(EntryTxnType,$P57)=0,"",INDEX(EntryTxnType,$P57)))</f>
        <v/>
      </c>
      <c r="H57" s="27">
        <f>IF($P57="","",IF(INDEX(EntryDep,$P57)=0,"",INDEX(EntryDep,$P57)))</f>
        <v/>
      </c>
      <c r="I57" s="27">
        <f>IF($P57="","",IF(INDEX(EntryWit,$P57)=0,"",INDEX(EntryWit,$P57)))</f>
        <v/>
      </c>
      <c r="J57" s="27">
        <f>IF($B57="","",IF($A57=1,$C$7,IF(J56="",0,J56))+IF($H57="",0,$H57)-IF($I57="",0,$I57))</f>
        <v/>
      </c>
      <c r="K57" s="27">
        <f>IF($P57="","",IF(INDEX(EntryMan,$P57)=0,"",INDEX(EntryMan,$P57)))</f>
        <v/>
      </c>
      <c r="L57" s="26">
        <f>IF($B57="","",IF($K57="","—",IF(ROUND($K57-$J57,0)=0,"√","×")))</f>
        <v/>
      </c>
      <c r="M57" s="26">
        <f>IF($B57="","",IF(COUNTIFS(EntryDates,$B57,CalcTime,$C57,CalcBank,$C$5,EntryParty,$D57,EntryDep,$H57,EntryWit,$I57)&gt;1,"تکرار",""))</f>
        <v/>
      </c>
      <c r="N57" s="26">
        <f>IF($P57="","",IF(INDEX(EntryNotes,$P57)=0,"",INDEX(EntryNotes,$P57)))</f>
        <v/>
      </c>
      <c r="O57" s="26">
        <f>IF($P57="","",IF(INDEX(EntryTxnID,$P57)=0,"",INDEX(EntryTxnID,$P57)))</f>
        <v/>
      </c>
      <c r="P57" s="26">
        <f>IFERROR(MATCH($C$5&amp;"|"&amp;RIGHT("000000"&amp;41,6),CalcRankKey,0),"")</f>
        <v/>
      </c>
    </row>
    <row r="58">
      <c r="A58" s="28">
        <f>IF($B58="","",42)</f>
        <v/>
      </c>
      <c r="B58" s="28">
        <f>IF($P58="","",IF(INDEX(CalcNormDate,$P58)=0,"",INDEX(CalcNormDate,$P58)))</f>
        <v/>
      </c>
      <c r="C58" s="28">
        <f>IF($P58="","",IF(INDEX(CalcTime,$P58)=0,"",INDEX(CalcTime,$P58)))</f>
        <v/>
      </c>
      <c r="D58" s="28">
        <f>IF($P58="","",IF(INDEX(EntryParty,$P58)=0,"",INDEX(EntryParty,$P58)))</f>
        <v/>
      </c>
      <c r="E58" s="28">
        <f>IF($P58="","",IF(INDEX(EntryPartyName,$P58)=0,"",INDEX(EntryPartyName,$P58)))</f>
        <v/>
      </c>
      <c r="F58" s="28">
        <f>IF($P58="","",IF(INDEX(EntryPartyType,$P58)=0,"",INDEX(EntryPartyType,$P58)))</f>
        <v/>
      </c>
      <c r="G58" s="28">
        <f>IF($P58="","",IF(INDEX(EntryTxnType,$P58)=0,"",INDEX(EntryTxnType,$P58)))</f>
        <v/>
      </c>
      <c r="H58" s="29">
        <f>IF($P58="","",IF(INDEX(EntryDep,$P58)=0,"",INDEX(EntryDep,$P58)))</f>
        <v/>
      </c>
      <c r="I58" s="29">
        <f>IF($P58="","",IF(INDEX(EntryWit,$P58)=0,"",INDEX(EntryWit,$P58)))</f>
        <v/>
      </c>
      <c r="J58" s="29">
        <f>IF($B58="","",IF($A58=1,$C$7,IF(J57="",0,J57))+IF($H58="",0,$H58)-IF($I58="",0,$I58))</f>
        <v/>
      </c>
      <c r="K58" s="29">
        <f>IF($P58="","",IF(INDEX(EntryMan,$P58)=0,"",INDEX(EntryMan,$P58)))</f>
        <v/>
      </c>
      <c r="L58" s="28">
        <f>IF($B58="","",IF($K58="","—",IF(ROUND($K58-$J58,0)=0,"√","×")))</f>
        <v/>
      </c>
      <c r="M58" s="28">
        <f>IF($B58="","",IF(COUNTIFS(EntryDates,$B58,CalcTime,$C58,CalcBank,$C$5,EntryParty,$D58,EntryDep,$H58,EntryWit,$I58)&gt;1,"تکرار",""))</f>
        <v/>
      </c>
      <c r="N58" s="28">
        <f>IF($P58="","",IF(INDEX(EntryNotes,$P58)=0,"",INDEX(EntryNotes,$P58)))</f>
        <v/>
      </c>
      <c r="O58" s="28">
        <f>IF($P58="","",IF(INDEX(EntryTxnID,$P58)=0,"",INDEX(EntryTxnID,$P58)))</f>
        <v/>
      </c>
      <c r="P58" s="28">
        <f>IFERROR(MATCH($C$5&amp;"|"&amp;RIGHT("000000"&amp;42,6),CalcRankKey,0),"")</f>
        <v/>
      </c>
    </row>
    <row r="59">
      <c r="A59" s="26">
        <f>IF($B59="","",43)</f>
        <v/>
      </c>
      <c r="B59" s="26">
        <f>IF($P59="","",IF(INDEX(CalcNormDate,$P59)=0,"",INDEX(CalcNormDate,$P59)))</f>
        <v/>
      </c>
      <c r="C59" s="26">
        <f>IF($P59="","",IF(INDEX(CalcTime,$P59)=0,"",INDEX(CalcTime,$P59)))</f>
        <v/>
      </c>
      <c r="D59" s="26">
        <f>IF($P59="","",IF(INDEX(EntryParty,$P59)=0,"",INDEX(EntryParty,$P59)))</f>
        <v/>
      </c>
      <c r="E59" s="26">
        <f>IF($P59="","",IF(INDEX(EntryPartyName,$P59)=0,"",INDEX(EntryPartyName,$P59)))</f>
        <v/>
      </c>
      <c r="F59" s="26">
        <f>IF($P59="","",IF(INDEX(EntryPartyType,$P59)=0,"",INDEX(EntryPartyType,$P59)))</f>
        <v/>
      </c>
      <c r="G59" s="26">
        <f>IF($P59="","",IF(INDEX(EntryTxnType,$P59)=0,"",INDEX(EntryTxnType,$P59)))</f>
        <v/>
      </c>
      <c r="H59" s="27">
        <f>IF($P59="","",IF(INDEX(EntryDep,$P59)=0,"",INDEX(EntryDep,$P59)))</f>
        <v/>
      </c>
      <c r="I59" s="27">
        <f>IF($P59="","",IF(INDEX(EntryWit,$P59)=0,"",INDEX(EntryWit,$P59)))</f>
        <v/>
      </c>
      <c r="J59" s="27">
        <f>IF($B59="","",IF($A59=1,$C$7,IF(J58="",0,J58))+IF($H59="",0,$H59)-IF($I59="",0,$I59))</f>
        <v/>
      </c>
      <c r="K59" s="27">
        <f>IF($P59="","",IF(INDEX(EntryMan,$P59)=0,"",INDEX(EntryMan,$P59)))</f>
        <v/>
      </c>
      <c r="L59" s="26">
        <f>IF($B59="","",IF($K59="","—",IF(ROUND($K59-$J59,0)=0,"√","×")))</f>
        <v/>
      </c>
      <c r="M59" s="26">
        <f>IF($B59="","",IF(COUNTIFS(EntryDates,$B59,CalcTime,$C59,CalcBank,$C$5,EntryParty,$D59,EntryDep,$H59,EntryWit,$I59)&gt;1,"تکرار",""))</f>
        <v/>
      </c>
      <c r="N59" s="26">
        <f>IF($P59="","",IF(INDEX(EntryNotes,$P59)=0,"",INDEX(EntryNotes,$P59)))</f>
        <v/>
      </c>
      <c r="O59" s="26">
        <f>IF($P59="","",IF(INDEX(EntryTxnID,$P59)=0,"",INDEX(EntryTxnID,$P59)))</f>
        <v/>
      </c>
      <c r="P59" s="26">
        <f>IFERROR(MATCH($C$5&amp;"|"&amp;RIGHT("000000"&amp;43,6),CalcRankKey,0),"")</f>
        <v/>
      </c>
    </row>
    <row r="60">
      <c r="A60" s="28">
        <f>IF($B60="","",44)</f>
        <v/>
      </c>
      <c r="B60" s="28">
        <f>IF($P60="","",IF(INDEX(CalcNormDate,$P60)=0,"",INDEX(CalcNormDate,$P60)))</f>
        <v/>
      </c>
      <c r="C60" s="28">
        <f>IF($P60="","",IF(INDEX(CalcTime,$P60)=0,"",INDEX(CalcTime,$P60)))</f>
        <v/>
      </c>
      <c r="D60" s="28">
        <f>IF($P60="","",IF(INDEX(EntryParty,$P60)=0,"",INDEX(EntryParty,$P60)))</f>
        <v/>
      </c>
      <c r="E60" s="28">
        <f>IF($P60="","",IF(INDEX(EntryPartyName,$P60)=0,"",INDEX(EntryPartyName,$P60)))</f>
        <v/>
      </c>
      <c r="F60" s="28">
        <f>IF($P60="","",IF(INDEX(EntryPartyType,$P60)=0,"",INDEX(EntryPartyType,$P60)))</f>
        <v/>
      </c>
      <c r="G60" s="28">
        <f>IF($P60="","",IF(INDEX(EntryTxnType,$P60)=0,"",INDEX(EntryTxnType,$P60)))</f>
        <v/>
      </c>
      <c r="H60" s="29">
        <f>IF($P60="","",IF(INDEX(EntryDep,$P60)=0,"",INDEX(EntryDep,$P60)))</f>
        <v/>
      </c>
      <c r="I60" s="29">
        <f>IF($P60="","",IF(INDEX(EntryWit,$P60)=0,"",INDEX(EntryWit,$P60)))</f>
        <v/>
      </c>
      <c r="J60" s="29">
        <f>IF($B60="","",IF($A60=1,$C$7,IF(J59="",0,J59))+IF($H60="",0,$H60)-IF($I60="",0,$I60))</f>
        <v/>
      </c>
      <c r="K60" s="29">
        <f>IF($P60="","",IF(INDEX(EntryMan,$P60)=0,"",INDEX(EntryMan,$P60)))</f>
        <v/>
      </c>
      <c r="L60" s="28">
        <f>IF($B60="","",IF($K60="","—",IF(ROUND($K60-$J60,0)=0,"√","×")))</f>
        <v/>
      </c>
      <c r="M60" s="28">
        <f>IF($B60="","",IF(COUNTIFS(EntryDates,$B60,CalcTime,$C60,CalcBank,$C$5,EntryParty,$D60,EntryDep,$H60,EntryWit,$I60)&gt;1,"تکرار",""))</f>
        <v/>
      </c>
      <c r="N60" s="28">
        <f>IF($P60="","",IF(INDEX(EntryNotes,$P60)=0,"",INDEX(EntryNotes,$P60)))</f>
        <v/>
      </c>
      <c r="O60" s="28">
        <f>IF($P60="","",IF(INDEX(EntryTxnID,$P60)=0,"",INDEX(EntryTxnID,$P60)))</f>
        <v/>
      </c>
      <c r="P60" s="28">
        <f>IFERROR(MATCH($C$5&amp;"|"&amp;RIGHT("000000"&amp;44,6),CalcRankKey,0),"")</f>
        <v/>
      </c>
    </row>
    <row r="61">
      <c r="A61" s="26">
        <f>IF($B61="","",45)</f>
        <v/>
      </c>
      <c r="B61" s="26">
        <f>IF($P61="","",IF(INDEX(CalcNormDate,$P61)=0,"",INDEX(CalcNormDate,$P61)))</f>
        <v/>
      </c>
      <c r="C61" s="26">
        <f>IF($P61="","",IF(INDEX(CalcTime,$P61)=0,"",INDEX(CalcTime,$P61)))</f>
        <v/>
      </c>
      <c r="D61" s="26">
        <f>IF($P61="","",IF(INDEX(EntryParty,$P61)=0,"",INDEX(EntryParty,$P61)))</f>
        <v/>
      </c>
      <c r="E61" s="26">
        <f>IF($P61="","",IF(INDEX(EntryPartyName,$P61)=0,"",INDEX(EntryPartyName,$P61)))</f>
        <v/>
      </c>
      <c r="F61" s="26">
        <f>IF($P61="","",IF(INDEX(EntryPartyType,$P61)=0,"",INDEX(EntryPartyType,$P61)))</f>
        <v/>
      </c>
      <c r="G61" s="26">
        <f>IF($P61="","",IF(INDEX(EntryTxnType,$P61)=0,"",INDEX(EntryTxnType,$P61)))</f>
        <v/>
      </c>
      <c r="H61" s="27">
        <f>IF($P61="","",IF(INDEX(EntryDep,$P61)=0,"",INDEX(EntryDep,$P61)))</f>
        <v/>
      </c>
      <c r="I61" s="27">
        <f>IF($P61="","",IF(INDEX(EntryWit,$P61)=0,"",INDEX(EntryWit,$P61)))</f>
        <v/>
      </c>
      <c r="J61" s="27">
        <f>IF($B61="","",IF($A61=1,$C$7,IF(J60="",0,J60))+IF($H61="",0,$H61)-IF($I61="",0,$I61))</f>
        <v/>
      </c>
      <c r="K61" s="27">
        <f>IF($P61="","",IF(INDEX(EntryMan,$P61)=0,"",INDEX(EntryMan,$P61)))</f>
        <v/>
      </c>
      <c r="L61" s="26">
        <f>IF($B61="","",IF($K61="","—",IF(ROUND($K61-$J61,0)=0,"√","×")))</f>
        <v/>
      </c>
      <c r="M61" s="26">
        <f>IF($B61="","",IF(COUNTIFS(EntryDates,$B61,CalcTime,$C61,CalcBank,$C$5,EntryParty,$D61,EntryDep,$H61,EntryWit,$I61)&gt;1,"تکرار",""))</f>
        <v/>
      </c>
      <c r="N61" s="26">
        <f>IF($P61="","",IF(INDEX(EntryNotes,$P61)=0,"",INDEX(EntryNotes,$P61)))</f>
        <v/>
      </c>
      <c r="O61" s="26">
        <f>IF($P61="","",IF(INDEX(EntryTxnID,$P61)=0,"",INDEX(EntryTxnID,$P61)))</f>
        <v/>
      </c>
      <c r="P61" s="26">
        <f>IFERROR(MATCH($C$5&amp;"|"&amp;RIGHT("000000"&amp;45,6),CalcRankKey,0),"")</f>
        <v/>
      </c>
    </row>
    <row r="62">
      <c r="A62" s="28">
        <f>IF($B62="","",46)</f>
        <v/>
      </c>
      <c r="B62" s="28">
        <f>IF($P62="","",IF(INDEX(CalcNormDate,$P62)=0,"",INDEX(CalcNormDate,$P62)))</f>
        <v/>
      </c>
      <c r="C62" s="28">
        <f>IF($P62="","",IF(INDEX(CalcTime,$P62)=0,"",INDEX(CalcTime,$P62)))</f>
        <v/>
      </c>
      <c r="D62" s="28">
        <f>IF($P62="","",IF(INDEX(EntryParty,$P62)=0,"",INDEX(EntryParty,$P62)))</f>
        <v/>
      </c>
      <c r="E62" s="28">
        <f>IF($P62="","",IF(INDEX(EntryPartyName,$P62)=0,"",INDEX(EntryPartyName,$P62)))</f>
        <v/>
      </c>
      <c r="F62" s="28">
        <f>IF($P62="","",IF(INDEX(EntryPartyType,$P62)=0,"",INDEX(EntryPartyType,$P62)))</f>
        <v/>
      </c>
      <c r="G62" s="28">
        <f>IF($P62="","",IF(INDEX(EntryTxnType,$P62)=0,"",INDEX(EntryTxnType,$P62)))</f>
        <v/>
      </c>
      <c r="H62" s="29">
        <f>IF($P62="","",IF(INDEX(EntryDep,$P62)=0,"",INDEX(EntryDep,$P62)))</f>
        <v/>
      </c>
      <c r="I62" s="29">
        <f>IF($P62="","",IF(INDEX(EntryWit,$P62)=0,"",INDEX(EntryWit,$P62)))</f>
        <v/>
      </c>
      <c r="J62" s="29">
        <f>IF($B62="","",IF($A62=1,$C$7,IF(J61="",0,J61))+IF($H62="",0,$H62)-IF($I62="",0,$I62))</f>
        <v/>
      </c>
      <c r="K62" s="29">
        <f>IF($P62="","",IF(INDEX(EntryMan,$P62)=0,"",INDEX(EntryMan,$P62)))</f>
        <v/>
      </c>
      <c r="L62" s="28">
        <f>IF($B62="","",IF($K62="","—",IF(ROUND($K62-$J62,0)=0,"√","×")))</f>
        <v/>
      </c>
      <c r="M62" s="28">
        <f>IF($B62="","",IF(COUNTIFS(EntryDates,$B62,CalcTime,$C62,CalcBank,$C$5,EntryParty,$D62,EntryDep,$H62,EntryWit,$I62)&gt;1,"تکرار",""))</f>
        <v/>
      </c>
      <c r="N62" s="28">
        <f>IF($P62="","",IF(INDEX(EntryNotes,$P62)=0,"",INDEX(EntryNotes,$P62)))</f>
        <v/>
      </c>
      <c r="O62" s="28">
        <f>IF($P62="","",IF(INDEX(EntryTxnID,$P62)=0,"",INDEX(EntryTxnID,$P62)))</f>
        <v/>
      </c>
      <c r="P62" s="28">
        <f>IFERROR(MATCH($C$5&amp;"|"&amp;RIGHT("000000"&amp;46,6),CalcRankKey,0),"")</f>
        <v/>
      </c>
    </row>
    <row r="63">
      <c r="A63" s="26">
        <f>IF($B63="","",47)</f>
        <v/>
      </c>
      <c r="B63" s="26">
        <f>IF($P63="","",IF(INDEX(CalcNormDate,$P63)=0,"",INDEX(CalcNormDate,$P63)))</f>
        <v/>
      </c>
      <c r="C63" s="26">
        <f>IF($P63="","",IF(INDEX(CalcTime,$P63)=0,"",INDEX(CalcTime,$P63)))</f>
        <v/>
      </c>
      <c r="D63" s="26">
        <f>IF($P63="","",IF(INDEX(EntryParty,$P63)=0,"",INDEX(EntryParty,$P63)))</f>
        <v/>
      </c>
      <c r="E63" s="26">
        <f>IF($P63="","",IF(INDEX(EntryPartyName,$P63)=0,"",INDEX(EntryPartyName,$P63)))</f>
        <v/>
      </c>
      <c r="F63" s="26">
        <f>IF($P63="","",IF(INDEX(EntryPartyType,$P63)=0,"",INDEX(EntryPartyType,$P63)))</f>
        <v/>
      </c>
      <c r="G63" s="26">
        <f>IF($P63="","",IF(INDEX(EntryTxnType,$P63)=0,"",INDEX(EntryTxnType,$P63)))</f>
        <v/>
      </c>
      <c r="H63" s="27">
        <f>IF($P63="","",IF(INDEX(EntryDep,$P63)=0,"",INDEX(EntryDep,$P63)))</f>
        <v/>
      </c>
      <c r="I63" s="27">
        <f>IF($P63="","",IF(INDEX(EntryWit,$P63)=0,"",INDEX(EntryWit,$P63)))</f>
        <v/>
      </c>
      <c r="J63" s="27">
        <f>IF($B63="","",IF($A63=1,$C$7,IF(J62="",0,J62))+IF($H63="",0,$H63)-IF($I63="",0,$I63))</f>
        <v/>
      </c>
      <c r="K63" s="27">
        <f>IF($P63="","",IF(INDEX(EntryMan,$P63)=0,"",INDEX(EntryMan,$P63)))</f>
        <v/>
      </c>
      <c r="L63" s="26">
        <f>IF($B63="","",IF($K63="","—",IF(ROUND($K63-$J63,0)=0,"√","×")))</f>
        <v/>
      </c>
      <c r="M63" s="26">
        <f>IF($B63="","",IF(COUNTIFS(EntryDates,$B63,CalcTime,$C63,CalcBank,$C$5,EntryParty,$D63,EntryDep,$H63,EntryWit,$I63)&gt;1,"تکرار",""))</f>
        <v/>
      </c>
      <c r="N63" s="26">
        <f>IF($P63="","",IF(INDEX(EntryNotes,$P63)=0,"",INDEX(EntryNotes,$P63)))</f>
        <v/>
      </c>
      <c r="O63" s="26">
        <f>IF($P63="","",IF(INDEX(EntryTxnID,$P63)=0,"",INDEX(EntryTxnID,$P63)))</f>
        <v/>
      </c>
      <c r="P63" s="26">
        <f>IFERROR(MATCH($C$5&amp;"|"&amp;RIGHT("000000"&amp;47,6),CalcRankKey,0),"")</f>
        <v/>
      </c>
    </row>
    <row r="64">
      <c r="A64" s="28">
        <f>IF($B64="","",48)</f>
        <v/>
      </c>
      <c r="B64" s="28">
        <f>IF($P64="","",IF(INDEX(CalcNormDate,$P64)=0,"",INDEX(CalcNormDate,$P64)))</f>
        <v/>
      </c>
      <c r="C64" s="28">
        <f>IF($P64="","",IF(INDEX(CalcTime,$P64)=0,"",INDEX(CalcTime,$P64)))</f>
        <v/>
      </c>
      <c r="D64" s="28">
        <f>IF($P64="","",IF(INDEX(EntryParty,$P64)=0,"",INDEX(EntryParty,$P64)))</f>
        <v/>
      </c>
      <c r="E64" s="28">
        <f>IF($P64="","",IF(INDEX(EntryPartyName,$P64)=0,"",INDEX(EntryPartyName,$P64)))</f>
        <v/>
      </c>
      <c r="F64" s="28">
        <f>IF($P64="","",IF(INDEX(EntryPartyType,$P64)=0,"",INDEX(EntryPartyType,$P64)))</f>
        <v/>
      </c>
      <c r="G64" s="28">
        <f>IF($P64="","",IF(INDEX(EntryTxnType,$P64)=0,"",INDEX(EntryTxnType,$P64)))</f>
        <v/>
      </c>
      <c r="H64" s="29">
        <f>IF($P64="","",IF(INDEX(EntryDep,$P64)=0,"",INDEX(EntryDep,$P64)))</f>
        <v/>
      </c>
      <c r="I64" s="29">
        <f>IF($P64="","",IF(INDEX(EntryWit,$P64)=0,"",INDEX(EntryWit,$P64)))</f>
        <v/>
      </c>
      <c r="J64" s="29">
        <f>IF($B64="","",IF($A64=1,$C$7,IF(J63="",0,J63))+IF($H64="",0,$H64)-IF($I64="",0,$I64))</f>
        <v/>
      </c>
      <c r="K64" s="29">
        <f>IF($P64="","",IF(INDEX(EntryMan,$P64)=0,"",INDEX(EntryMan,$P64)))</f>
        <v/>
      </c>
      <c r="L64" s="28">
        <f>IF($B64="","",IF($K64="","—",IF(ROUND($K64-$J64,0)=0,"√","×")))</f>
        <v/>
      </c>
      <c r="M64" s="28">
        <f>IF($B64="","",IF(COUNTIFS(EntryDates,$B64,CalcTime,$C64,CalcBank,$C$5,EntryParty,$D64,EntryDep,$H64,EntryWit,$I64)&gt;1,"تکرار",""))</f>
        <v/>
      </c>
      <c r="N64" s="28">
        <f>IF($P64="","",IF(INDEX(EntryNotes,$P64)=0,"",INDEX(EntryNotes,$P64)))</f>
        <v/>
      </c>
      <c r="O64" s="28">
        <f>IF($P64="","",IF(INDEX(EntryTxnID,$P64)=0,"",INDEX(EntryTxnID,$P64)))</f>
        <v/>
      </c>
      <c r="P64" s="28">
        <f>IFERROR(MATCH($C$5&amp;"|"&amp;RIGHT("000000"&amp;48,6),CalcRankKey,0),"")</f>
        <v/>
      </c>
    </row>
    <row r="65">
      <c r="A65" s="26">
        <f>IF($B65="","",49)</f>
        <v/>
      </c>
      <c r="B65" s="26">
        <f>IF($P65="","",IF(INDEX(CalcNormDate,$P65)=0,"",INDEX(CalcNormDate,$P65)))</f>
        <v/>
      </c>
      <c r="C65" s="26">
        <f>IF($P65="","",IF(INDEX(CalcTime,$P65)=0,"",INDEX(CalcTime,$P65)))</f>
        <v/>
      </c>
      <c r="D65" s="26">
        <f>IF($P65="","",IF(INDEX(EntryParty,$P65)=0,"",INDEX(EntryParty,$P65)))</f>
        <v/>
      </c>
      <c r="E65" s="26">
        <f>IF($P65="","",IF(INDEX(EntryPartyName,$P65)=0,"",INDEX(EntryPartyName,$P65)))</f>
        <v/>
      </c>
      <c r="F65" s="26">
        <f>IF($P65="","",IF(INDEX(EntryPartyType,$P65)=0,"",INDEX(EntryPartyType,$P65)))</f>
        <v/>
      </c>
      <c r="G65" s="26">
        <f>IF($P65="","",IF(INDEX(EntryTxnType,$P65)=0,"",INDEX(EntryTxnType,$P65)))</f>
        <v/>
      </c>
      <c r="H65" s="27">
        <f>IF($P65="","",IF(INDEX(EntryDep,$P65)=0,"",INDEX(EntryDep,$P65)))</f>
        <v/>
      </c>
      <c r="I65" s="27">
        <f>IF($P65="","",IF(INDEX(EntryWit,$P65)=0,"",INDEX(EntryWit,$P65)))</f>
        <v/>
      </c>
      <c r="J65" s="27">
        <f>IF($B65="","",IF($A65=1,$C$7,IF(J64="",0,J64))+IF($H65="",0,$H65)-IF($I65="",0,$I65))</f>
        <v/>
      </c>
      <c r="K65" s="27">
        <f>IF($P65="","",IF(INDEX(EntryMan,$P65)=0,"",INDEX(EntryMan,$P65)))</f>
        <v/>
      </c>
      <c r="L65" s="26">
        <f>IF($B65="","",IF($K65="","—",IF(ROUND($K65-$J65,0)=0,"√","×")))</f>
        <v/>
      </c>
      <c r="M65" s="26">
        <f>IF($B65="","",IF(COUNTIFS(EntryDates,$B65,CalcTime,$C65,CalcBank,$C$5,EntryParty,$D65,EntryDep,$H65,EntryWit,$I65)&gt;1,"تکرار",""))</f>
        <v/>
      </c>
      <c r="N65" s="26">
        <f>IF($P65="","",IF(INDEX(EntryNotes,$P65)=0,"",INDEX(EntryNotes,$P65)))</f>
        <v/>
      </c>
      <c r="O65" s="26">
        <f>IF($P65="","",IF(INDEX(EntryTxnID,$P65)=0,"",INDEX(EntryTxnID,$P65)))</f>
        <v/>
      </c>
      <c r="P65" s="26">
        <f>IFERROR(MATCH($C$5&amp;"|"&amp;RIGHT("000000"&amp;49,6),CalcRankKey,0),"")</f>
        <v/>
      </c>
    </row>
    <row r="66">
      <c r="A66" s="28">
        <f>IF($B66="","",50)</f>
        <v/>
      </c>
      <c r="B66" s="28">
        <f>IF($P66="","",IF(INDEX(CalcNormDate,$P66)=0,"",INDEX(CalcNormDate,$P66)))</f>
        <v/>
      </c>
      <c r="C66" s="28">
        <f>IF($P66="","",IF(INDEX(CalcTime,$P66)=0,"",INDEX(CalcTime,$P66)))</f>
        <v/>
      </c>
      <c r="D66" s="28">
        <f>IF($P66="","",IF(INDEX(EntryParty,$P66)=0,"",INDEX(EntryParty,$P66)))</f>
        <v/>
      </c>
      <c r="E66" s="28">
        <f>IF($P66="","",IF(INDEX(EntryPartyName,$P66)=0,"",INDEX(EntryPartyName,$P66)))</f>
        <v/>
      </c>
      <c r="F66" s="28">
        <f>IF($P66="","",IF(INDEX(EntryPartyType,$P66)=0,"",INDEX(EntryPartyType,$P66)))</f>
        <v/>
      </c>
      <c r="G66" s="28">
        <f>IF($P66="","",IF(INDEX(EntryTxnType,$P66)=0,"",INDEX(EntryTxnType,$P66)))</f>
        <v/>
      </c>
      <c r="H66" s="29">
        <f>IF($P66="","",IF(INDEX(EntryDep,$P66)=0,"",INDEX(EntryDep,$P66)))</f>
        <v/>
      </c>
      <c r="I66" s="29">
        <f>IF($P66="","",IF(INDEX(EntryWit,$P66)=0,"",INDEX(EntryWit,$P66)))</f>
        <v/>
      </c>
      <c r="J66" s="29">
        <f>IF($B66="","",IF($A66=1,$C$7,IF(J65="",0,J65))+IF($H66="",0,$H66)-IF($I66="",0,$I66))</f>
        <v/>
      </c>
      <c r="K66" s="29">
        <f>IF($P66="","",IF(INDEX(EntryMan,$P66)=0,"",INDEX(EntryMan,$P66)))</f>
        <v/>
      </c>
      <c r="L66" s="28">
        <f>IF($B66="","",IF($K66="","—",IF(ROUND($K66-$J66,0)=0,"√","×")))</f>
        <v/>
      </c>
      <c r="M66" s="28">
        <f>IF($B66="","",IF(COUNTIFS(EntryDates,$B66,CalcTime,$C66,CalcBank,$C$5,EntryParty,$D66,EntryDep,$H66,EntryWit,$I66)&gt;1,"تکرار",""))</f>
        <v/>
      </c>
      <c r="N66" s="28">
        <f>IF($P66="","",IF(INDEX(EntryNotes,$P66)=0,"",INDEX(EntryNotes,$P66)))</f>
        <v/>
      </c>
      <c r="O66" s="28">
        <f>IF($P66="","",IF(INDEX(EntryTxnID,$P66)=0,"",INDEX(EntryTxnID,$P66)))</f>
        <v/>
      </c>
      <c r="P66" s="28">
        <f>IFERROR(MATCH($C$5&amp;"|"&amp;RIGHT("000000"&amp;50,6),CalcRankKey,0),"")</f>
        <v/>
      </c>
    </row>
    <row r="67">
      <c r="A67" s="26">
        <f>IF($B67="","",51)</f>
        <v/>
      </c>
      <c r="B67" s="26">
        <f>IF($P67="","",IF(INDEX(CalcNormDate,$P67)=0,"",INDEX(CalcNormDate,$P67)))</f>
        <v/>
      </c>
      <c r="C67" s="26">
        <f>IF($P67="","",IF(INDEX(CalcTime,$P67)=0,"",INDEX(CalcTime,$P67)))</f>
        <v/>
      </c>
      <c r="D67" s="26">
        <f>IF($P67="","",IF(INDEX(EntryParty,$P67)=0,"",INDEX(EntryParty,$P67)))</f>
        <v/>
      </c>
      <c r="E67" s="26">
        <f>IF($P67="","",IF(INDEX(EntryPartyName,$P67)=0,"",INDEX(EntryPartyName,$P67)))</f>
        <v/>
      </c>
      <c r="F67" s="26">
        <f>IF($P67="","",IF(INDEX(EntryPartyType,$P67)=0,"",INDEX(EntryPartyType,$P67)))</f>
        <v/>
      </c>
      <c r="G67" s="26">
        <f>IF($P67="","",IF(INDEX(EntryTxnType,$P67)=0,"",INDEX(EntryTxnType,$P67)))</f>
        <v/>
      </c>
      <c r="H67" s="27">
        <f>IF($P67="","",IF(INDEX(EntryDep,$P67)=0,"",INDEX(EntryDep,$P67)))</f>
        <v/>
      </c>
      <c r="I67" s="27">
        <f>IF($P67="","",IF(INDEX(EntryWit,$P67)=0,"",INDEX(EntryWit,$P67)))</f>
        <v/>
      </c>
      <c r="J67" s="27">
        <f>IF($B67="","",IF($A67=1,$C$7,IF(J66="",0,J66))+IF($H67="",0,$H67)-IF($I67="",0,$I67))</f>
        <v/>
      </c>
      <c r="K67" s="27">
        <f>IF($P67="","",IF(INDEX(EntryMan,$P67)=0,"",INDEX(EntryMan,$P67)))</f>
        <v/>
      </c>
      <c r="L67" s="26">
        <f>IF($B67="","",IF($K67="","—",IF(ROUND($K67-$J67,0)=0,"√","×")))</f>
        <v/>
      </c>
      <c r="M67" s="26">
        <f>IF($B67="","",IF(COUNTIFS(EntryDates,$B67,CalcTime,$C67,CalcBank,$C$5,EntryParty,$D67,EntryDep,$H67,EntryWit,$I67)&gt;1,"تکرار",""))</f>
        <v/>
      </c>
      <c r="N67" s="26">
        <f>IF($P67="","",IF(INDEX(EntryNotes,$P67)=0,"",INDEX(EntryNotes,$P67)))</f>
        <v/>
      </c>
      <c r="O67" s="26">
        <f>IF($P67="","",IF(INDEX(EntryTxnID,$P67)=0,"",INDEX(EntryTxnID,$P67)))</f>
        <v/>
      </c>
      <c r="P67" s="26">
        <f>IFERROR(MATCH($C$5&amp;"|"&amp;RIGHT("000000"&amp;51,6),CalcRankKey,0),"")</f>
        <v/>
      </c>
    </row>
    <row r="68">
      <c r="A68" s="28">
        <f>IF($B68="","",52)</f>
        <v/>
      </c>
      <c r="B68" s="28">
        <f>IF($P68="","",IF(INDEX(CalcNormDate,$P68)=0,"",INDEX(CalcNormDate,$P68)))</f>
        <v/>
      </c>
      <c r="C68" s="28">
        <f>IF($P68="","",IF(INDEX(CalcTime,$P68)=0,"",INDEX(CalcTime,$P68)))</f>
        <v/>
      </c>
      <c r="D68" s="28">
        <f>IF($P68="","",IF(INDEX(EntryParty,$P68)=0,"",INDEX(EntryParty,$P68)))</f>
        <v/>
      </c>
      <c r="E68" s="28">
        <f>IF($P68="","",IF(INDEX(EntryPartyName,$P68)=0,"",INDEX(EntryPartyName,$P68)))</f>
        <v/>
      </c>
      <c r="F68" s="28">
        <f>IF($P68="","",IF(INDEX(EntryPartyType,$P68)=0,"",INDEX(EntryPartyType,$P68)))</f>
        <v/>
      </c>
      <c r="G68" s="28">
        <f>IF($P68="","",IF(INDEX(EntryTxnType,$P68)=0,"",INDEX(EntryTxnType,$P68)))</f>
        <v/>
      </c>
      <c r="H68" s="29">
        <f>IF($P68="","",IF(INDEX(EntryDep,$P68)=0,"",INDEX(EntryDep,$P68)))</f>
        <v/>
      </c>
      <c r="I68" s="29">
        <f>IF($P68="","",IF(INDEX(EntryWit,$P68)=0,"",INDEX(EntryWit,$P68)))</f>
        <v/>
      </c>
      <c r="J68" s="29">
        <f>IF($B68="","",IF($A68=1,$C$7,IF(J67="",0,J67))+IF($H68="",0,$H68)-IF($I68="",0,$I68))</f>
        <v/>
      </c>
      <c r="K68" s="29">
        <f>IF($P68="","",IF(INDEX(EntryMan,$P68)=0,"",INDEX(EntryMan,$P68)))</f>
        <v/>
      </c>
      <c r="L68" s="28">
        <f>IF($B68="","",IF($K68="","—",IF(ROUND($K68-$J68,0)=0,"√","×")))</f>
        <v/>
      </c>
      <c r="M68" s="28">
        <f>IF($B68="","",IF(COUNTIFS(EntryDates,$B68,CalcTime,$C68,CalcBank,$C$5,EntryParty,$D68,EntryDep,$H68,EntryWit,$I68)&gt;1,"تکرار",""))</f>
        <v/>
      </c>
      <c r="N68" s="28">
        <f>IF($P68="","",IF(INDEX(EntryNotes,$P68)=0,"",INDEX(EntryNotes,$P68)))</f>
        <v/>
      </c>
      <c r="O68" s="28">
        <f>IF($P68="","",IF(INDEX(EntryTxnID,$P68)=0,"",INDEX(EntryTxnID,$P68)))</f>
        <v/>
      </c>
      <c r="P68" s="28">
        <f>IFERROR(MATCH($C$5&amp;"|"&amp;RIGHT("000000"&amp;52,6),CalcRankKey,0),"")</f>
        <v/>
      </c>
    </row>
    <row r="69">
      <c r="A69" s="26">
        <f>IF($B69="","",53)</f>
        <v/>
      </c>
      <c r="B69" s="26">
        <f>IF($P69="","",IF(INDEX(CalcNormDate,$P69)=0,"",INDEX(CalcNormDate,$P69)))</f>
        <v/>
      </c>
      <c r="C69" s="26">
        <f>IF($P69="","",IF(INDEX(CalcTime,$P69)=0,"",INDEX(CalcTime,$P69)))</f>
        <v/>
      </c>
      <c r="D69" s="26">
        <f>IF($P69="","",IF(INDEX(EntryParty,$P69)=0,"",INDEX(EntryParty,$P69)))</f>
        <v/>
      </c>
      <c r="E69" s="26">
        <f>IF($P69="","",IF(INDEX(EntryPartyName,$P69)=0,"",INDEX(EntryPartyName,$P69)))</f>
        <v/>
      </c>
      <c r="F69" s="26">
        <f>IF($P69="","",IF(INDEX(EntryPartyType,$P69)=0,"",INDEX(EntryPartyType,$P69)))</f>
        <v/>
      </c>
      <c r="G69" s="26">
        <f>IF($P69="","",IF(INDEX(EntryTxnType,$P69)=0,"",INDEX(EntryTxnType,$P69)))</f>
        <v/>
      </c>
      <c r="H69" s="27">
        <f>IF($P69="","",IF(INDEX(EntryDep,$P69)=0,"",INDEX(EntryDep,$P69)))</f>
        <v/>
      </c>
      <c r="I69" s="27">
        <f>IF($P69="","",IF(INDEX(EntryWit,$P69)=0,"",INDEX(EntryWit,$P69)))</f>
        <v/>
      </c>
      <c r="J69" s="27">
        <f>IF($B69="","",IF($A69=1,$C$7,IF(J68="",0,J68))+IF($H69="",0,$H69)-IF($I69="",0,$I69))</f>
        <v/>
      </c>
      <c r="K69" s="27">
        <f>IF($P69="","",IF(INDEX(EntryMan,$P69)=0,"",INDEX(EntryMan,$P69)))</f>
        <v/>
      </c>
      <c r="L69" s="26">
        <f>IF($B69="","",IF($K69="","—",IF(ROUND($K69-$J69,0)=0,"√","×")))</f>
        <v/>
      </c>
      <c r="M69" s="26">
        <f>IF($B69="","",IF(COUNTIFS(EntryDates,$B69,CalcTime,$C69,CalcBank,$C$5,EntryParty,$D69,EntryDep,$H69,EntryWit,$I69)&gt;1,"تکرار",""))</f>
        <v/>
      </c>
      <c r="N69" s="26">
        <f>IF($P69="","",IF(INDEX(EntryNotes,$P69)=0,"",INDEX(EntryNotes,$P69)))</f>
        <v/>
      </c>
      <c r="O69" s="26">
        <f>IF($P69="","",IF(INDEX(EntryTxnID,$P69)=0,"",INDEX(EntryTxnID,$P69)))</f>
        <v/>
      </c>
      <c r="P69" s="26">
        <f>IFERROR(MATCH($C$5&amp;"|"&amp;RIGHT("000000"&amp;53,6),CalcRankKey,0),"")</f>
        <v/>
      </c>
    </row>
    <row r="70">
      <c r="A70" s="28">
        <f>IF($B70="","",54)</f>
        <v/>
      </c>
      <c r="B70" s="28">
        <f>IF($P70="","",IF(INDEX(CalcNormDate,$P70)=0,"",INDEX(CalcNormDate,$P70)))</f>
        <v/>
      </c>
      <c r="C70" s="28">
        <f>IF($P70="","",IF(INDEX(CalcTime,$P70)=0,"",INDEX(CalcTime,$P70)))</f>
        <v/>
      </c>
      <c r="D70" s="28">
        <f>IF($P70="","",IF(INDEX(EntryParty,$P70)=0,"",INDEX(EntryParty,$P70)))</f>
        <v/>
      </c>
      <c r="E70" s="28">
        <f>IF($P70="","",IF(INDEX(EntryPartyName,$P70)=0,"",INDEX(EntryPartyName,$P70)))</f>
        <v/>
      </c>
      <c r="F70" s="28">
        <f>IF($P70="","",IF(INDEX(EntryPartyType,$P70)=0,"",INDEX(EntryPartyType,$P70)))</f>
        <v/>
      </c>
      <c r="G70" s="28">
        <f>IF($P70="","",IF(INDEX(EntryTxnType,$P70)=0,"",INDEX(EntryTxnType,$P70)))</f>
        <v/>
      </c>
      <c r="H70" s="29">
        <f>IF($P70="","",IF(INDEX(EntryDep,$P70)=0,"",INDEX(EntryDep,$P70)))</f>
        <v/>
      </c>
      <c r="I70" s="29">
        <f>IF($P70="","",IF(INDEX(EntryWit,$P70)=0,"",INDEX(EntryWit,$P70)))</f>
        <v/>
      </c>
      <c r="J70" s="29">
        <f>IF($B70="","",IF($A70=1,$C$7,IF(J69="",0,J69))+IF($H70="",0,$H70)-IF($I70="",0,$I70))</f>
        <v/>
      </c>
      <c r="K70" s="29">
        <f>IF($P70="","",IF(INDEX(EntryMan,$P70)=0,"",INDEX(EntryMan,$P70)))</f>
        <v/>
      </c>
      <c r="L70" s="28">
        <f>IF($B70="","",IF($K70="","—",IF(ROUND($K70-$J70,0)=0,"√","×")))</f>
        <v/>
      </c>
      <c r="M70" s="28">
        <f>IF($B70="","",IF(COUNTIFS(EntryDates,$B70,CalcTime,$C70,CalcBank,$C$5,EntryParty,$D70,EntryDep,$H70,EntryWit,$I70)&gt;1,"تکرار",""))</f>
        <v/>
      </c>
      <c r="N70" s="28">
        <f>IF($P70="","",IF(INDEX(EntryNotes,$P70)=0,"",INDEX(EntryNotes,$P70)))</f>
        <v/>
      </c>
      <c r="O70" s="28">
        <f>IF($P70="","",IF(INDEX(EntryTxnID,$P70)=0,"",INDEX(EntryTxnID,$P70)))</f>
        <v/>
      </c>
      <c r="P70" s="28">
        <f>IFERROR(MATCH($C$5&amp;"|"&amp;RIGHT("000000"&amp;54,6),CalcRankKey,0),"")</f>
        <v/>
      </c>
    </row>
    <row r="71">
      <c r="A71" s="26">
        <f>IF($B71="","",55)</f>
        <v/>
      </c>
      <c r="B71" s="26">
        <f>IF($P71="","",IF(INDEX(CalcNormDate,$P71)=0,"",INDEX(CalcNormDate,$P71)))</f>
        <v/>
      </c>
      <c r="C71" s="26">
        <f>IF($P71="","",IF(INDEX(CalcTime,$P71)=0,"",INDEX(CalcTime,$P71)))</f>
        <v/>
      </c>
      <c r="D71" s="26">
        <f>IF($P71="","",IF(INDEX(EntryParty,$P71)=0,"",INDEX(EntryParty,$P71)))</f>
        <v/>
      </c>
      <c r="E71" s="26">
        <f>IF($P71="","",IF(INDEX(EntryPartyName,$P71)=0,"",INDEX(EntryPartyName,$P71)))</f>
        <v/>
      </c>
      <c r="F71" s="26">
        <f>IF($P71="","",IF(INDEX(EntryPartyType,$P71)=0,"",INDEX(EntryPartyType,$P71)))</f>
        <v/>
      </c>
      <c r="G71" s="26">
        <f>IF($P71="","",IF(INDEX(EntryTxnType,$P71)=0,"",INDEX(EntryTxnType,$P71)))</f>
        <v/>
      </c>
      <c r="H71" s="27">
        <f>IF($P71="","",IF(INDEX(EntryDep,$P71)=0,"",INDEX(EntryDep,$P71)))</f>
        <v/>
      </c>
      <c r="I71" s="27">
        <f>IF($P71="","",IF(INDEX(EntryWit,$P71)=0,"",INDEX(EntryWit,$P71)))</f>
        <v/>
      </c>
      <c r="J71" s="27">
        <f>IF($B71="","",IF($A71=1,$C$7,IF(J70="",0,J70))+IF($H71="",0,$H71)-IF($I71="",0,$I71))</f>
        <v/>
      </c>
      <c r="K71" s="27">
        <f>IF($P71="","",IF(INDEX(EntryMan,$P71)=0,"",INDEX(EntryMan,$P71)))</f>
        <v/>
      </c>
      <c r="L71" s="26">
        <f>IF($B71="","",IF($K71="","—",IF(ROUND($K71-$J71,0)=0,"√","×")))</f>
        <v/>
      </c>
      <c r="M71" s="26">
        <f>IF($B71="","",IF(COUNTIFS(EntryDates,$B71,CalcTime,$C71,CalcBank,$C$5,EntryParty,$D71,EntryDep,$H71,EntryWit,$I71)&gt;1,"تکرار",""))</f>
        <v/>
      </c>
      <c r="N71" s="26">
        <f>IF($P71="","",IF(INDEX(EntryNotes,$P71)=0,"",INDEX(EntryNotes,$P71)))</f>
        <v/>
      </c>
      <c r="O71" s="26">
        <f>IF($P71="","",IF(INDEX(EntryTxnID,$P71)=0,"",INDEX(EntryTxnID,$P71)))</f>
        <v/>
      </c>
      <c r="P71" s="26">
        <f>IFERROR(MATCH($C$5&amp;"|"&amp;RIGHT("000000"&amp;55,6),CalcRankKey,0),"")</f>
        <v/>
      </c>
    </row>
    <row r="72">
      <c r="A72" s="28">
        <f>IF($B72="","",56)</f>
        <v/>
      </c>
      <c r="B72" s="28">
        <f>IF($P72="","",IF(INDEX(CalcNormDate,$P72)=0,"",INDEX(CalcNormDate,$P72)))</f>
        <v/>
      </c>
      <c r="C72" s="28">
        <f>IF($P72="","",IF(INDEX(CalcTime,$P72)=0,"",INDEX(CalcTime,$P72)))</f>
        <v/>
      </c>
      <c r="D72" s="28">
        <f>IF($P72="","",IF(INDEX(EntryParty,$P72)=0,"",INDEX(EntryParty,$P72)))</f>
        <v/>
      </c>
      <c r="E72" s="28">
        <f>IF($P72="","",IF(INDEX(EntryPartyName,$P72)=0,"",INDEX(EntryPartyName,$P72)))</f>
        <v/>
      </c>
      <c r="F72" s="28">
        <f>IF($P72="","",IF(INDEX(EntryPartyType,$P72)=0,"",INDEX(EntryPartyType,$P72)))</f>
        <v/>
      </c>
      <c r="G72" s="28">
        <f>IF($P72="","",IF(INDEX(EntryTxnType,$P72)=0,"",INDEX(EntryTxnType,$P72)))</f>
        <v/>
      </c>
      <c r="H72" s="29">
        <f>IF($P72="","",IF(INDEX(EntryDep,$P72)=0,"",INDEX(EntryDep,$P72)))</f>
        <v/>
      </c>
      <c r="I72" s="29">
        <f>IF($P72="","",IF(INDEX(EntryWit,$P72)=0,"",INDEX(EntryWit,$P72)))</f>
        <v/>
      </c>
      <c r="J72" s="29">
        <f>IF($B72="","",IF($A72=1,$C$7,IF(J71="",0,J71))+IF($H72="",0,$H72)-IF($I72="",0,$I72))</f>
        <v/>
      </c>
      <c r="K72" s="29">
        <f>IF($P72="","",IF(INDEX(EntryMan,$P72)=0,"",INDEX(EntryMan,$P72)))</f>
        <v/>
      </c>
      <c r="L72" s="28">
        <f>IF($B72="","",IF($K72="","—",IF(ROUND($K72-$J72,0)=0,"√","×")))</f>
        <v/>
      </c>
      <c r="M72" s="28">
        <f>IF($B72="","",IF(COUNTIFS(EntryDates,$B72,CalcTime,$C72,CalcBank,$C$5,EntryParty,$D72,EntryDep,$H72,EntryWit,$I72)&gt;1,"تکرار",""))</f>
        <v/>
      </c>
      <c r="N72" s="28">
        <f>IF($P72="","",IF(INDEX(EntryNotes,$P72)=0,"",INDEX(EntryNotes,$P72)))</f>
        <v/>
      </c>
      <c r="O72" s="28">
        <f>IF($P72="","",IF(INDEX(EntryTxnID,$P72)=0,"",INDEX(EntryTxnID,$P72)))</f>
        <v/>
      </c>
      <c r="P72" s="28">
        <f>IFERROR(MATCH($C$5&amp;"|"&amp;RIGHT("000000"&amp;56,6),CalcRankKey,0),"")</f>
        <v/>
      </c>
    </row>
    <row r="73">
      <c r="A73" s="26">
        <f>IF($B73="","",57)</f>
        <v/>
      </c>
      <c r="B73" s="26">
        <f>IF($P73="","",IF(INDEX(CalcNormDate,$P73)=0,"",INDEX(CalcNormDate,$P73)))</f>
        <v/>
      </c>
      <c r="C73" s="26">
        <f>IF($P73="","",IF(INDEX(CalcTime,$P73)=0,"",INDEX(CalcTime,$P73)))</f>
        <v/>
      </c>
      <c r="D73" s="26">
        <f>IF($P73="","",IF(INDEX(EntryParty,$P73)=0,"",INDEX(EntryParty,$P73)))</f>
        <v/>
      </c>
      <c r="E73" s="26">
        <f>IF($P73="","",IF(INDEX(EntryPartyName,$P73)=0,"",INDEX(EntryPartyName,$P73)))</f>
        <v/>
      </c>
      <c r="F73" s="26">
        <f>IF($P73="","",IF(INDEX(EntryPartyType,$P73)=0,"",INDEX(EntryPartyType,$P73)))</f>
        <v/>
      </c>
      <c r="G73" s="26">
        <f>IF($P73="","",IF(INDEX(EntryTxnType,$P73)=0,"",INDEX(EntryTxnType,$P73)))</f>
        <v/>
      </c>
      <c r="H73" s="27">
        <f>IF($P73="","",IF(INDEX(EntryDep,$P73)=0,"",INDEX(EntryDep,$P73)))</f>
        <v/>
      </c>
      <c r="I73" s="27">
        <f>IF($P73="","",IF(INDEX(EntryWit,$P73)=0,"",INDEX(EntryWit,$P73)))</f>
        <v/>
      </c>
      <c r="J73" s="27">
        <f>IF($B73="","",IF($A73=1,$C$7,IF(J72="",0,J72))+IF($H73="",0,$H73)-IF($I73="",0,$I73))</f>
        <v/>
      </c>
      <c r="K73" s="27">
        <f>IF($P73="","",IF(INDEX(EntryMan,$P73)=0,"",INDEX(EntryMan,$P73)))</f>
        <v/>
      </c>
      <c r="L73" s="26">
        <f>IF($B73="","",IF($K73="","—",IF(ROUND($K73-$J73,0)=0,"√","×")))</f>
        <v/>
      </c>
      <c r="M73" s="26">
        <f>IF($B73="","",IF(COUNTIFS(EntryDates,$B73,CalcTime,$C73,CalcBank,$C$5,EntryParty,$D73,EntryDep,$H73,EntryWit,$I73)&gt;1,"تکرار",""))</f>
        <v/>
      </c>
      <c r="N73" s="26">
        <f>IF($P73="","",IF(INDEX(EntryNotes,$P73)=0,"",INDEX(EntryNotes,$P73)))</f>
        <v/>
      </c>
      <c r="O73" s="26">
        <f>IF($P73="","",IF(INDEX(EntryTxnID,$P73)=0,"",INDEX(EntryTxnID,$P73)))</f>
        <v/>
      </c>
      <c r="P73" s="26">
        <f>IFERROR(MATCH($C$5&amp;"|"&amp;RIGHT("000000"&amp;57,6),CalcRankKey,0),"")</f>
        <v/>
      </c>
    </row>
    <row r="74">
      <c r="A74" s="28">
        <f>IF($B74="","",58)</f>
        <v/>
      </c>
      <c r="B74" s="28">
        <f>IF($P74="","",IF(INDEX(CalcNormDate,$P74)=0,"",INDEX(CalcNormDate,$P74)))</f>
        <v/>
      </c>
      <c r="C74" s="28">
        <f>IF($P74="","",IF(INDEX(CalcTime,$P74)=0,"",INDEX(CalcTime,$P74)))</f>
        <v/>
      </c>
      <c r="D74" s="28">
        <f>IF($P74="","",IF(INDEX(EntryParty,$P74)=0,"",INDEX(EntryParty,$P74)))</f>
        <v/>
      </c>
      <c r="E74" s="28">
        <f>IF($P74="","",IF(INDEX(EntryPartyName,$P74)=0,"",INDEX(EntryPartyName,$P74)))</f>
        <v/>
      </c>
      <c r="F74" s="28">
        <f>IF($P74="","",IF(INDEX(EntryPartyType,$P74)=0,"",INDEX(EntryPartyType,$P74)))</f>
        <v/>
      </c>
      <c r="G74" s="28">
        <f>IF($P74="","",IF(INDEX(EntryTxnType,$P74)=0,"",INDEX(EntryTxnType,$P74)))</f>
        <v/>
      </c>
      <c r="H74" s="29">
        <f>IF($P74="","",IF(INDEX(EntryDep,$P74)=0,"",INDEX(EntryDep,$P74)))</f>
        <v/>
      </c>
      <c r="I74" s="29">
        <f>IF($P74="","",IF(INDEX(EntryWit,$P74)=0,"",INDEX(EntryWit,$P74)))</f>
        <v/>
      </c>
      <c r="J74" s="29">
        <f>IF($B74="","",IF($A74=1,$C$7,IF(J73="",0,J73))+IF($H74="",0,$H74)-IF($I74="",0,$I74))</f>
        <v/>
      </c>
      <c r="K74" s="29">
        <f>IF($P74="","",IF(INDEX(EntryMan,$P74)=0,"",INDEX(EntryMan,$P74)))</f>
        <v/>
      </c>
      <c r="L74" s="28">
        <f>IF($B74="","",IF($K74="","—",IF(ROUND($K74-$J74,0)=0,"√","×")))</f>
        <v/>
      </c>
      <c r="M74" s="28">
        <f>IF($B74="","",IF(COUNTIFS(EntryDates,$B74,CalcTime,$C74,CalcBank,$C$5,EntryParty,$D74,EntryDep,$H74,EntryWit,$I74)&gt;1,"تکرار",""))</f>
        <v/>
      </c>
      <c r="N74" s="28">
        <f>IF($P74="","",IF(INDEX(EntryNotes,$P74)=0,"",INDEX(EntryNotes,$P74)))</f>
        <v/>
      </c>
      <c r="O74" s="28">
        <f>IF($P74="","",IF(INDEX(EntryTxnID,$P74)=0,"",INDEX(EntryTxnID,$P74)))</f>
        <v/>
      </c>
      <c r="P74" s="28">
        <f>IFERROR(MATCH($C$5&amp;"|"&amp;RIGHT("000000"&amp;58,6),CalcRankKey,0),"")</f>
        <v/>
      </c>
    </row>
    <row r="75">
      <c r="A75" s="26">
        <f>IF($B75="","",59)</f>
        <v/>
      </c>
      <c r="B75" s="26">
        <f>IF($P75="","",IF(INDEX(CalcNormDate,$P75)=0,"",INDEX(CalcNormDate,$P75)))</f>
        <v/>
      </c>
      <c r="C75" s="26">
        <f>IF($P75="","",IF(INDEX(CalcTime,$P75)=0,"",INDEX(CalcTime,$P75)))</f>
        <v/>
      </c>
      <c r="D75" s="26">
        <f>IF($P75="","",IF(INDEX(EntryParty,$P75)=0,"",INDEX(EntryParty,$P75)))</f>
        <v/>
      </c>
      <c r="E75" s="26">
        <f>IF($P75="","",IF(INDEX(EntryPartyName,$P75)=0,"",INDEX(EntryPartyName,$P75)))</f>
        <v/>
      </c>
      <c r="F75" s="26">
        <f>IF($P75="","",IF(INDEX(EntryPartyType,$P75)=0,"",INDEX(EntryPartyType,$P75)))</f>
        <v/>
      </c>
      <c r="G75" s="26">
        <f>IF($P75="","",IF(INDEX(EntryTxnType,$P75)=0,"",INDEX(EntryTxnType,$P75)))</f>
        <v/>
      </c>
      <c r="H75" s="27">
        <f>IF($P75="","",IF(INDEX(EntryDep,$P75)=0,"",INDEX(EntryDep,$P75)))</f>
        <v/>
      </c>
      <c r="I75" s="27">
        <f>IF($P75="","",IF(INDEX(EntryWit,$P75)=0,"",INDEX(EntryWit,$P75)))</f>
        <v/>
      </c>
      <c r="J75" s="27">
        <f>IF($B75="","",IF($A75=1,$C$7,IF(J74="",0,J74))+IF($H75="",0,$H75)-IF($I75="",0,$I75))</f>
        <v/>
      </c>
      <c r="K75" s="27">
        <f>IF($P75="","",IF(INDEX(EntryMan,$P75)=0,"",INDEX(EntryMan,$P75)))</f>
        <v/>
      </c>
      <c r="L75" s="26">
        <f>IF($B75="","",IF($K75="","—",IF(ROUND($K75-$J75,0)=0,"√","×")))</f>
        <v/>
      </c>
      <c r="M75" s="26">
        <f>IF($B75="","",IF(COUNTIFS(EntryDates,$B75,CalcTime,$C75,CalcBank,$C$5,EntryParty,$D75,EntryDep,$H75,EntryWit,$I75)&gt;1,"تکرار",""))</f>
        <v/>
      </c>
      <c r="N75" s="26">
        <f>IF($P75="","",IF(INDEX(EntryNotes,$P75)=0,"",INDEX(EntryNotes,$P75)))</f>
        <v/>
      </c>
      <c r="O75" s="26">
        <f>IF($P75="","",IF(INDEX(EntryTxnID,$P75)=0,"",INDEX(EntryTxnID,$P75)))</f>
        <v/>
      </c>
      <c r="P75" s="26">
        <f>IFERROR(MATCH($C$5&amp;"|"&amp;RIGHT("000000"&amp;59,6),CalcRankKey,0),"")</f>
        <v/>
      </c>
    </row>
    <row r="76">
      <c r="A76" s="28">
        <f>IF($B76="","",60)</f>
        <v/>
      </c>
      <c r="B76" s="28">
        <f>IF($P76="","",IF(INDEX(CalcNormDate,$P76)=0,"",INDEX(CalcNormDate,$P76)))</f>
        <v/>
      </c>
      <c r="C76" s="28">
        <f>IF($P76="","",IF(INDEX(CalcTime,$P76)=0,"",INDEX(CalcTime,$P76)))</f>
        <v/>
      </c>
      <c r="D76" s="28">
        <f>IF($P76="","",IF(INDEX(EntryParty,$P76)=0,"",INDEX(EntryParty,$P76)))</f>
        <v/>
      </c>
      <c r="E76" s="28">
        <f>IF($P76="","",IF(INDEX(EntryPartyName,$P76)=0,"",INDEX(EntryPartyName,$P76)))</f>
        <v/>
      </c>
      <c r="F76" s="28">
        <f>IF($P76="","",IF(INDEX(EntryPartyType,$P76)=0,"",INDEX(EntryPartyType,$P76)))</f>
        <v/>
      </c>
      <c r="G76" s="28">
        <f>IF($P76="","",IF(INDEX(EntryTxnType,$P76)=0,"",INDEX(EntryTxnType,$P76)))</f>
        <v/>
      </c>
      <c r="H76" s="29">
        <f>IF($P76="","",IF(INDEX(EntryDep,$P76)=0,"",INDEX(EntryDep,$P76)))</f>
        <v/>
      </c>
      <c r="I76" s="29">
        <f>IF($P76="","",IF(INDEX(EntryWit,$P76)=0,"",INDEX(EntryWit,$P76)))</f>
        <v/>
      </c>
      <c r="J76" s="29">
        <f>IF($B76="","",IF($A76=1,$C$7,IF(J75="",0,J75))+IF($H76="",0,$H76)-IF($I76="",0,$I76))</f>
        <v/>
      </c>
      <c r="K76" s="29">
        <f>IF($P76="","",IF(INDEX(EntryMan,$P76)=0,"",INDEX(EntryMan,$P76)))</f>
        <v/>
      </c>
      <c r="L76" s="28">
        <f>IF($B76="","",IF($K76="","—",IF(ROUND($K76-$J76,0)=0,"√","×")))</f>
        <v/>
      </c>
      <c r="M76" s="28">
        <f>IF($B76="","",IF(COUNTIFS(EntryDates,$B76,CalcTime,$C76,CalcBank,$C$5,EntryParty,$D76,EntryDep,$H76,EntryWit,$I76)&gt;1,"تکرار",""))</f>
        <v/>
      </c>
      <c r="N76" s="28">
        <f>IF($P76="","",IF(INDEX(EntryNotes,$P76)=0,"",INDEX(EntryNotes,$P76)))</f>
        <v/>
      </c>
      <c r="O76" s="28">
        <f>IF($P76="","",IF(INDEX(EntryTxnID,$P76)=0,"",INDEX(EntryTxnID,$P76)))</f>
        <v/>
      </c>
      <c r="P76" s="28">
        <f>IFERROR(MATCH($C$5&amp;"|"&amp;RIGHT("000000"&amp;60,6),CalcRankKey,0),"")</f>
        <v/>
      </c>
    </row>
    <row r="77">
      <c r="A77" s="26">
        <f>IF($B77="","",61)</f>
        <v/>
      </c>
      <c r="B77" s="26">
        <f>IF($P77="","",IF(INDEX(CalcNormDate,$P77)=0,"",INDEX(CalcNormDate,$P77)))</f>
        <v/>
      </c>
      <c r="C77" s="26">
        <f>IF($P77="","",IF(INDEX(CalcTime,$P77)=0,"",INDEX(CalcTime,$P77)))</f>
        <v/>
      </c>
      <c r="D77" s="26">
        <f>IF($P77="","",IF(INDEX(EntryParty,$P77)=0,"",INDEX(EntryParty,$P77)))</f>
        <v/>
      </c>
      <c r="E77" s="26">
        <f>IF($P77="","",IF(INDEX(EntryPartyName,$P77)=0,"",INDEX(EntryPartyName,$P77)))</f>
        <v/>
      </c>
      <c r="F77" s="26">
        <f>IF($P77="","",IF(INDEX(EntryPartyType,$P77)=0,"",INDEX(EntryPartyType,$P77)))</f>
        <v/>
      </c>
      <c r="G77" s="26">
        <f>IF($P77="","",IF(INDEX(EntryTxnType,$P77)=0,"",INDEX(EntryTxnType,$P77)))</f>
        <v/>
      </c>
      <c r="H77" s="27">
        <f>IF($P77="","",IF(INDEX(EntryDep,$P77)=0,"",INDEX(EntryDep,$P77)))</f>
        <v/>
      </c>
      <c r="I77" s="27">
        <f>IF($P77="","",IF(INDEX(EntryWit,$P77)=0,"",INDEX(EntryWit,$P77)))</f>
        <v/>
      </c>
      <c r="J77" s="27">
        <f>IF($B77="","",IF($A77=1,$C$7,IF(J76="",0,J76))+IF($H77="",0,$H77)-IF($I77="",0,$I77))</f>
        <v/>
      </c>
      <c r="K77" s="27">
        <f>IF($P77="","",IF(INDEX(EntryMan,$P77)=0,"",INDEX(EntryMan,$P77)))</f>
        <v/>
      </c>
      <c r="L77" s="26">
        <f>IF($B77="","",IF($K77="","—",IF(ROUND($K77-$J77,0)=0,"√","×")))</f>
        <v/>
      </c>
      <c r="M77" s="26">
        <f>IF($B77="","",IF(COUNTIFS(EntryDates,$B77,CalcTime,$C77,CalcBank,$C$5,EntryParty,$D77,EntryDep,$H77,EntryWit,$I77)&gt;1,"تکرار",""))</f>
        <v/>
      </c>
      <c r="N77" s="26">
        <f>IF($P77="","",IF(INDEX(EntryNotes,$P77)=0,"",INDEX(EntryNotes,$P77)))</f>
        <v/>
      </c>
      <c r="O77" s="26">
        <f>IF($P77="","",IF(INDEX(EntryTxnID,$P77)=0,"",INDEX(EntryTxnID,$P77)))</f>
        <v/>
      </c>
      <c r="P77" s="26">
        <f>IFERROR(MATCH($C$5&amp;"|"&amp;RIGHT("000000"&amp;61,6),CalcRankKey,0),"")</f>
        <v/>
      </c>
    </row>
    <row r="78">
      <c r="A78" s="28">
        <f>IF($B78="","",62)</f>
        <v/>
      </c>
      <c r="B78" s="28">
        <f>IF($P78="","",IF(INDEX(CalcNormDate,$P78)=0,"",INDEX(CalcNormDate,$P78)))</f>
        <v/>
      </c>
      <c r="C78" s="28">
        <f>IF($P78="","",IF(INDEX(CalcTime,$P78)=0,"",INDEX(CalcTime,$P78)))</f>
        <v/>
      </c>
      <c r="D78" s="28">
        <f>IF($P78="","",IF(INDEX(EntryParty,$P78)=0,"",INDEX(EntryParty,$P78)))</f>
        <v/>
      </c>
      <c r="E78" s="28">
        <f>IF($P78="","",IF(INDEX(EntryPartyName,$P78)=0,"",INDEX(EntryPartyName,$P78)))</f>
        <v/>
      </c>
      <c r="F78" s="28">
        <f>IF($P78="","",IF(INDEX(EntryPartyType,$P78)=0,"",INDEX(EntryPartyType,$P78)))</f>
        <v/>
      </c>
      <c r="G78" s="28">
        <f>IF($P78="","",IF(INDEX(EntryTxnType,$P78)=0,"",INDEX(EntryTxnType,$P78)))</f>
        <v/>
      </c>
      <c r="H78" s="29">
        <f>IF($P78="","",IF(INDEX(EntryDep,$P78)=0,"",INDEX(EntryDep,$P78)))</f>
        <v/>
      </c>
      <c r="I78" s="29">
        <f>IF($P78="","",IF(INDEX(EntryWit,$P78)=0,"",INDEX(EntryWit,$P78)))</f>
        <v/>
      </c>
      <c r="J78" s="29">
        <f>IF($B78="","",IF($A78=1,$C$7,IF(J77="",0,J77))+IF($H78="",0,$H78)-IF($I78="",0,$I78))</f>
        <v/>
      </c>
      <c r="K78" s="29">
        <f>IF($P78="","",IF(INDEX(EntryMan,$P78)=0,"",INDEX(EntryMan,$P78)))</f>
        <v/>
      </c>
      <c r="L78" s="28">
        <f>IF($B78="","",IF($K78="","—",IF(ROUND($K78-$J78,0)=0,"√","×")))</f>
        <v/>
      </c>
      <c r="M78" s="28">
        <f>IF($B78="","",IF(COUNTIFS(EntryDates,$B78,CalcTime,$C78,CalcBank,$C$5,EntryParty,$D78,EntryDep,$H78,EntryWit,$I78)&gt;1,"تکرار",""))</f>
        <v/>
      </c>
      <c r="N78" s="28">
        <f>IF($P78="","",IF(INDEX(EntryNotes,$P78)=0,"",INDEX(EntryNotes,$P78)))</f>
        <v/>
      </c>
      <c r="O78" s="28">
        <f>IF($P78="","",IF(INDEX(EntryTxnID,$P78)=0,"",INDEX(EntryTxnID,$P78)))</f>
        <v/>
      </c>
      <c r="P78" s="28">
        <f>IFERROR(MATCH($C$5&amp;"|"&amp;RIGHT("000000"&amp;62,6),CalcRankKey,0),"")</f>
        <v/>
      </c>
    </row>
    <row r="79">
      <c r="A79" s="26">
        <f>IF($B79="","",63)</f>
        <v/>
      </c>
      <c r="B79" s="26">
        <f>IF($P79="","",IF(INDEX(CalcNormDate,$P79)=0,"",INDEX(CalcNormDate,$P79)))</f>
        <v/>
      </c>
      <c r="C79" s="26">
        <f>IF($P79="","",IF(INDEX(CalcTime,$P79)=0,"",INDEX(CalcTime,$P79)))</f>
        <v/>
      </c>
      <c r="D79" s="26">
        <f>IF($P79="","",IF(INDEX(EntryParty,$P79)=0,"",INDEX(EntryParty,$P79)))</f>
        <v/>
      </c>
      <c r="E79" s="26">
        <f>IF($P79="","",IF(INDEX(EntryPartyName,$P79)=0,"",INDEX(EntryPartyName,$P79)))</f>
        <v/>
      </c>
      <c r="F79" s="26">
        <f>IF($P79="","",IF(INDEX(EntryPartyType,$P79)=0,"",INDEX(EntryPartyType,$P79)))</f>
        <v/>
      </c>
      <c r="G79" s="26">
        <f>IF($P79="","",IF(INDEX(EntryTxnType,$P79)=0,"",INDEX(EntryTxnType,$P79)))</f>
        <v/>
      </c>
      <c r="H79" s="27">
        <f>IF($P79="","",IF(INDEX(EntryDep,$P79)=0,"",INDEX(EntryDep,$P79)))</f>
        <v/>
      </c>
      <c r="I79" s="27">
        <f>IF($P79="","",IF(INDEX(EntryWit,$P79)=0,"",INDEX(EntryWit,$P79)))</f>
        <v/>
      </c>
      <c r="J79" s="27">
        <f>IF($B79="","",IF($A79=1,$C$7,IF(J78="",0,J78))+IF($H79="",0,$H79)-IF($I79="",0,$I79))</f>
        <v/>
      </c>
      <c r="K79" s="27">
        <f>IF($P79="","",IF(INDEX(EntryMan,$P79)=0,"",INDEX(EntryMan,$P79)))</f>
        <v/>
      </c>
      <c r="L79" s="26">
        <f>IF($B79="","",IF($K79="","—",IF(ROUND($K79-$J79,0)=0,"√","×")))</f>
        <v/>
      </c>
      <c r="M79" s="26">
        <f>IF($B79="","",IF(COUNTIFS(EntryDates,$B79,CalcTime,$C79,CalcBank,$C$5,EntryParty,$D79,EntryDep,$H79,EntryWit,$I79)&gt;1,"تکرار",""))</f>
        <v/>
      </c>
      <c r="N79" s="26">
        <f>IF($P79="","",IF(INDEX(EntryNotes,$P79)=0,"",INDEX(EntryNotes,$P79)))</f>
        <v/>
      </c>
      <c r="O79" s="26">
        <f>IF($P79="","",IF(INDEX(EntryTxnID,$P79)=0,"",INDEX(EntryTxnID,$P79)))</f>
        <v/>
      </c>
      <c r="P79" s="26">
        <f>IFERROR(MATCH($C$5&amp;"|"&amp;RIGHT("000000"&amp;63,6),CalcRankKey,0),"")</f>
        <v/>
      </c>
    </row>
    <row r="80">
      <c r="A80" s="28">
        <f>IF($B80="","",64)</f>
        <v/>
      </c>
      <c r="B80" s="28">
        <f>IF($P80="","",IF(INDEX(CalcNormDate,$P80)=0,"",INDEX(CalcNormDate,$P80)))</f>
        <v/>
      </c>
      <c r="C80" s="28">
        <f>IF($P80="","",IF(INDEX(CalcTime,$P80)=0,"",INDEX(CalcTime,$P80)))</f>
        <v/>
      </c>
      <c r="D80" s="28">
        <f>IF($P80="","",IF(INDEX(EntryParty,$P80)=0,"",INDEX(EntryParty,$P80)))</f>
        <v/>
      </c>
      <c r="E80" s="28">
        <f>IF($P80="","",IF(INDEX(EntryPartyName,$P80)=0,"",INDEX(EntryPartyName,$P80)))</f>
        <v/>
      </c>
      <c r="F80" s="28">
        <f>IF($P80="","",IF(INDEX(EntryPartyType,$P80)=0,"",INDEX(EntryPartyType,$P80)))</f>
        <v/>
      </c>
      <c r="G80" s="28">
        <f>IF($P80="","",IF(INDEX(EntryTxnType,$P80)=0,"",INDEX(EntryTxnType,$P80)))</f>
        <v/>
      </c>
      <c r="H80" s="29">
        <f>IF($P80="","",IF(INDEX(EntryDep,$P80)=0,"",INDEX(EntryDep,$P80)))</f>
        <v/>
      </c>
      <c r="I80" s="29">
        <f>IF($P80="","",IF(INDEX(EntryWit,$P80)=0,"",INDEX(EntryWit,$P80)))</f>
        <v/>
      </c>
      <c r="J80" s="29">
        <f>IF($B80="","",IF($A80=1,$C$7,IF(J79="",0,J79))+IF($H80="",0,$H80)-IF($I80="",0,$I80))</f>
        <v/>
      </c>
      <c r="K80" s="29">
        <f>IF($P80="","",IF(INDEX(EntryMan,$P80)=0,"",INDEX(EntryMan,$P80)))</f>
        <v/>
      </c>
      <c r="L80" s="28">
        <f>IF($B80="","",IF($K80="","—",IF(ROUND($K80-$J80,0)=0,"√","×")))</f>
        <v/>
      </c>
      <c r="M80" s="28">
        <f>IF($B80="","",IF(COUNTIFS(EntryDates,$B80,CalcTime,$C80,CalcBank,$C$5,EntryParty,$D80,EntryDep,$H80,EntryWit,$I80)&gt;1,"تکرار",""))</f>
        <v/>
      </c>
      <c r="N80" s="28">
        <f>IF($P80="","",IF(INDEX(EntryNotes,$P80)=0,"",INDEX(EntryNotes,$P80)))</f>
        <v/>
      </c>
      <c r="O80" s="28">
        <f>IF($P80="","",IF(INDEX(EntryTxnID,$P80)=0,"",INDEX(EntryTxnID,$P80)))</f>
        <v/>
      </c>
      <c r="P80" s="28">
        <f>IFERROR(MATCH($C$5&amp;"|"&amp;RIGHT("000000"&amp;64,6),CalcRankKey,0),"")</f>
        <v/>
      </c>
    </row>
    <row r="81">
      <c r="A81" s="26">
        <f>IF($B81="","",65)</f>
        <v/>
      </c>
      <c r="B81" s="26">
        <f>IF($P81="","",IF(INDEX(CalcNormDate,$P81)=0,"",INDEX(CalcNormDate,$P81)))</f>
        <v/>
      </c>
      <c r="C81" s="26">
        <f>IF($P81="","",IF(INDEX(CalcTime,$P81)=0,"",INDEX(CalcTime,$P81)))</f>
        <v/>
      </c>
      <c r="D81" s="26">
        <f>IF($P81="","",IF(INDEX(EntryParty,$P81)=0,"",INDEX(EntryParty,$P81)))</f>
        <v/>
      </c>
      <c r="E81" s="26">
        <f>IF($P81="","",IF(INDEX(EntryPartyName,$P81)=0,"",INDEX(EntryPartyName,$P81)))</f>
        <v/>
      </c>
      <c r="F81" s="26">
        <f>IF($P81="","",IF(INDEX(EntryPartyType,$P81)=0,"",INDEX(EntryPartyType,$P81)))</f>
        <v/>
      </c>
      <c r="G81" s="26">
        <f>IF($P81="","",IF(INDEX(EntryTxnType,$P81)=0,"",INDEX(EntryTxnType,$P81)))</f>
        <v/>
      </c>
      <c r="H81" s="27">
        <f>IF($P81="","",IF(INDEX(EntryDep,$P81)=0,"",INDEX(EntryDep,$P81)))</f>
        <v/>
      </c>
      <c r="I81" s="27">
        <f>IF($P81="","",IF(INDEX(EntryWit,$P81)=0,"",INDEX(EntryWit,$P81)))</f>
        <v/>
      </c>
      <c r="J81" s="27">
        <f>IF($B81="","",IF($A81=1,$C$7,IF(J80="",0,J80))+IF($H81="",0,$H81)-IF($I81="",0,$I81))</f>
        <v/>
      </c>
      <c r="K81" s="27">
        <f>IF($P81="","",IF(INDEX(EntryMan,$P81)=0,"",INDEX(EntryMan,$P81)))</f>
        <v/>
      </c>
      <c r="L81" s="26">
        <f>IF($B81="","",IF($K81="","—",IF(ROUND($K81-$J81,0)=0,"√","×")))</f>
        <v/>
      </c>
      <c r="M81" s="26">
        <f>IF($B81="","",IF(COUNTIFS(EntryDates,$B81,CalcTime,$C81,CalcBank,$C$5,EntryParty,$D81,EntryDep,$H81,EntryWit,$I81)&gt;1,"تکرار",""))</f>
        <v/>
      </c>
      <c r="N81" s="26">
        <f>IF($P81="","",IF(INDEX(EntryNotes,$P81)=0,"",INDEX(EntryNotes,$P81)))</f>
        <v/>
      </c>
      <c r="O81" s="26">
        <f>IF($P81="","",IF(INDEX(EntryTxnID,$P81)=0,"",INDEX(EntryTxnID,$P81)))</f>
        <v/>
      </c>
      <c r="P81" s="26">
        <f>IFERROR(MATCH($C$5&amp;"|"&amp;RIGHT("000000"&amp;65,6),CalcRankKey,0),"")</f>
        <v/>
      </c>
    </row>
    <row r="82">
      <c r="A82" s="28">
        <f>IF($B82="","",66)</f>
        <v/>
      </c>
      <c r="B82" s="28">
        <f>IF($P82="","",IF(INDEX(CalcNormDate,$P82)=0,"",INDEX(CalcNormDate,$P82)))</f>
        <v/>
      </c>
      <c r="C82" s="28">
        <f>IF($P82="","",IF(INDEX(CalcTime,$P82)=0,"",INDEX(CalcTime,$P82)))</f>
        <v/>
      </c>
      <c r="D82" s="28">
        <f>IF($P82="","",IF(INDEX(EntryParty,$P82)=0,"",INDEX(EntryParty,$P82)))</f>
        <v/>
      </c>
      <c r="E82" s="28">
        <f>IF($P82="","",IF(INDEX(EntryPartyName,$P82)=0,"",INDEX(EntryPartyName,$P82)))</f>
        <v/>
      </c>
      <c r="F82" s="28">
        <f>IF($P82="","",IF(INDEX(EntryPartyType,$P82)=0,"",INDEX(EntryPartyType,$P82)))</f>
        <v/>
      </c>
      <c r="G82" s="28">
        <f>IF($P82="","",IF(INDEX(EntryTxnType,$P82)=0,"",INDEX(EntryTxnType,$P82)))</f>
        <v/>
      </c>
      <c r="H82" s="29">
        <f>IF($P82="","",IF(INDEX(EntryDep,$P82)=0,"",INDEX(EntryDep,$P82)))</f>
        <v/>
      </c>
      <c r="I82" s="29">
        <f>IF($P82="","",IF(INDEX(EntryWit,$P82)=0,"",INDEX(EntryWit,$P82)))</f>
        <v/>
      </c>
      <c r="J82" s="29">
        <f>IF($B82="","",IF($A82=1,$C$7,IF(J81="",0,J81))+IF($H82="",0,$H82)-IF($I82="",0,$I82))</f>
        <v/>
      </c>
      <c r="K82" s="29">
        <f>IF($P82="","",IF(INDEX(EntryMan,$P82)=0,"",INDEX(EntryMan,$P82)))</f>
        <v/>
      </c>
      <c r="L82" s="28">
        <f>IF($B82="","",IF($K82="","—",IF(ROUND($K82-$J82,0)=0,"√","×")))</f>
        <v/>
      </c>
      <c r="M82" s="28">
        <f>IF($B82="","",IF(COUNTIFS(EntryDates,$B82,CalcTime,$C82,CalcBank,$C$5,EntryParty,$D82,EntryDep,$H82,EntryWit,$I82)&gt;1,"تکرار",""))</f>
        <v/>
      </c>
      <c r="N82" s="28">
        <f>IF($P82="","",IF(INDEX(EntryNotes,$P82)=0,"",INDEX(EntryNotes,$P82)))</f>
        <v/>
      </c>
      <c r="O82" s="28">
        <f>IF($P82="","",IF(INDEX(EntryTxnID,$P82)=0,"",INDEX(EntryTxnID,$P82)))</f>
        <v/>
      </c>
      <c r="P82" s="28">
        <f>IFERROR(MATCH($C$5&amp;"|"&amp;RIGHT("000000"&amp;66,6),CalcRankKey,0),"")</f>
        <v/>
      </c>
    </row>
    <row r="83">
      <c r="A83" s="26">
        <f>IF($B83="","",67)</f>
        <v/>
      </c>
      <c r="B83" s="26">
        <f>IF($P83="","",IF(INDEX(CalcNormDate,$P83)=0,"",INDEX(CalcNormDate,$P83)))</f>
        <v/>
      </c>
      <c r="C83" s="26">
        <f>IF($P83="","",IF(INDEX(CalcTime,$P83)=0,"",INDEX(CalcTime,$P83)))</f>
        <v/>
      </c>
      <c r="D83" s="26">
        <f>IF($P83="","",IF(INDEX(EntryParty,$P83)=0,"",INDEX(EntryParty,$P83)))</f>
        <v/>
      </c>
      <c r="E83" s="26">
        <f>IF($P83="","",IF(INDEX(EntryPartyName,$P83)=0,"",INDEX(EntryPartyName,$P83)))</f>
        <v/>
      </c>
      <c r="F83" s="26">
        <f>IF($P83="","",IF(INDEX(EntryPartyType,$P83)=0,"",INDEX(EntryPartyType,$P83)))</f>
        <v/>
      </c>
      <c r="G83" s="26">
        <f>IF($P83="","",IF(INDEX(EntryTxnType,$P83)=0,"",INDEX(EntryTxnType,$P83)))</f>
        <v/>
      </c>
      <c r="H83" s="27">
        <f>IF($P83="","",IF(INDEX(EntryDep,$P83)=0,"",INDEX(EntryDep,$P83)))</f>
        <v/>
      </c>
      <c r="I83" s="27">
        <f>IF($P83="","",IF(INDEX(EntryWit,$P83)=0,"",INDEX(EntryWit,$P83)))</f>
        <v/>
      </c>
      <c r="J83" s="27">
        <f>IF($B83="","",IF($A83=1,$C$7,IF(J82="",0,J82))+IF($H83="",0,$H83)-IF($I83="",0,$I83))</f>
        <v/>
      </c>
      <c r="K83" s="27">
        <f>IF($P83="","",IF(INDEX(EntryMan,$P83)=0,"",INDEX(EntryMan,$P83)))</f>
        <v/>
      </c>
      <c r="L83" s="26">
        <f>IF($B83="","",IF($K83="","—",IF(ROUND($K83-$J83,0)=0,"√","×")))</f>
        <v/>
      </c>
      <c r="M83" s="26">
        <f>IF($B83="","",IF(COUNTIFS(EntryDates,$B83,CalcTime,$C83,CalcBank,$C$5,EntryParty,$D83,EntryDep,$H83,EntryWit,$I83)&gt;1,"تکرار",""))</f>
        <v/>
      </c>
      <c r="N83" s="26">
        <f>IF($P83="","",IF(INDEX(EntryNotes,$P83)=0,"",INDEX(EntryNotes,$P83)))</f>
        <v/>
      </c>
      <c r="O83" s="26">
        <f>IF($P83="","",IF(INDEX(EntryTxnID,$P83)=0,"",INDEX(EntryTxnID,$P83)))</f>
        <v/>
      </c>
      <c r="P83" s="26">
        <f>IFERROR(MATCH($C$5&amp;"|"&amp;RIGHT("000000"&amp;67,6),CalcRankKey,0),"")</f>
        <v/>
      </c>
    </row>
    <row r="84">
      <c r="A84" s="28">
        <f>IF($B84="","",68)</f>
        <v/>
      </c>
      <c r="B84" s="28">
        <f>IF($P84="","",IF(INDEX(CalcNormDate,$P84)=0,"",INDEX(CalcNormDate,$P84)))</f>
        <v/>
      </c>
      <c r="C84" s="28">
        <f>IF($P84="","",IF(INDEX(CalcTime,$P84)=0,"",INDEX(CalcTime,$P84)))</f>
        <v/>
      </c>
      <c r="D84" s="28">
        <f>IF($P84="","",IF(INDEX(EntryParty,$P84)=0,"",INDEX(EntryParty,$P84)))</f>
        <v/>
      </c>
      <c r="E84" s="28">
        <f>IF($P84="","",IF(INDEX(EntryPartyName,$P84)=0,"",INDEX(EntryPartyName,$P84)))</f>
        <v/>
      </c>
      <c r="F84" s="28">
        <f>IF($P84="","",IF(INDEX(EntryPartyType,$P84)=0,"",INDEX(EntryPartyType,$P84)))</f>
        <v/>
      </c>
      <c r="G84" s="28">
        <f>IF($P84="","",IF(INDEX(EntryTxnType,$P84)=0,"",INDEX(EntryTxnType,$P84)))</f>
        <v/>
      </c>
      <c r="H84" s="29">
        <f>IF($P84="","",IF(INDEX(EntryDep,$P84)=0,"",INDEX(EntryDep,$P84)))</f>
        <v/>
      </c>
      <c r="I84" s="29">
        <f>IF($P84="","",IF(INDEX(EntryWit,$P84)=0,"",INDEX(EntryWit,$P84)))</f>
        <v/>
      </c>
      <c r="J84" s="29">
        <f>IF($B84="","",IF($A84=1,$C$7,IF(J83="",0,J83))+IF($H84="",0,$H84)-IF($I84="",0,$I84))</f>
        <v/>
      </c>
      <c r="K84" s="29">
        <f>IF($P84="","",IF(INDEX(EntryMan,$P84)=0,"",INDEX(EntryMan,$P84)))</f>
        <v/>
      </c>
      <c r="L84" s="28">
        <f>IF($B84="","",IF($K84="","—",IF(ROUND($K84-$J84,0)=0,"√","×")))</f>
        <v/>
      </c>
      <c r="M84" s="28">
        <f>IF($B84="","",IF(COUNTIFS(EntryDates,$B84,CalcTime,$C84,CalcBank,$C$5,EntryParty,$D84,EntryDep,$H84,EntryWit,$I84)&gt;1,"تکرار",""))</f>
        <v/>
      </c>
      <c r="N84" s="28">
        <f>IF($P84="","",IF(INDEX(EntryNotes,$P84)=0,"",INDEX(EntryNotes,$P84)))</f>
        <v/>
      </c>
      <c r="O84" s="28">
        <f>IF($P84="","",IF(INDEX(EntryTxnID,$P84)=0,"",INDEX(EntryTxnID,$P84)))</f>
        <v/>
      </c>
      <c r="P84" s="28">
        <f>IFERROR(MATCH($C$5&amp;"|"&amp;RIGHT("000000"&amp;68,6),CalcRankKey,0),"")</f>
        <v/>
      </c>
    </row>
    <row r="85">
      <c r="A85" s="26">
        <f>IF($B85="","",69)</f>
        <v/>
      </c>
      <c r="B85" s="26">
        <f>IF($P85="","",IF(INDEX(CalcNormDate,$P85)=0,"",INDEX(CalcNormDate,$P85)))</f>
        <v/>
      </c>
      <c r="C85" s="26">
        <f>IF($P85="","",IF(INDEX(CalcTime,$P85)=0,"",INDEX(CalcTime,$P85)))</f>
        <v/>
      </c>
      <c r="D85" s="26">
        <f>IF($P85="","",IF(INDEX(EntryParty,$P85)=0,"",INDEX(EntryParty,$P85)))</f>
        <v/>
      </c>
      <c r="E85" s="26">
        <f>IF($P85="","",IF(INDEX(EntryPartyName,$P85)=0,"",INDEX(EntryPartyName,$P85)))</f>
        <v/>
      </c>
      <c r="F85" s="26">
        <f>IF($P85="","",IF(INDEX(EntryPartyType,$P85)=0,"",INDEX(EntryPartyType,$P85)))</f>
        <v/>
      </c>
      <c r="G85" s="26">
        <f>IF($P85="","",IF(INDEX(EntryTxnType,$P85)=0,"",INDEX(EntryTxnType,$P85)))</f>
        <v/>
      </c>
      <c r="H85" s="27">
        <f>IF($P85="","",IF(INDEX(EntryDep,$P85)=0,"",INDEX(EntryDep,$P85)))</f>
        <v/>
      </c>
      <c r="I85" s="27">
        <f>IF($P85="","",IF(INDEX(EntryWit,$P85)=0,"",INDEX(EntryWit,$P85)))</f>
        <v/>
      </c>
      <c r="J85" s="27">
        <f>IF($B85="","",IF($A85=1,$C$7,IF(J84="",0,J84))+IF($H85="",0,$H85)-IF($I85="",0,$I85))</f>
        <v/>
      </c>
      <c r="K85" s="27">
        <f>IF($P85="","",IF(INDEX(EntryMan,$P85)=0,"",INDEX(EntryMan,$P85)))</f>
        <v/>
      </c>
      <c r="L85" s="26">
        <f>IF($B85="","",IF($K85="","—",IF(ROUND($K85-$J85,0)=0,"√","×")))</f>
        <v/>
      </c>
      <c r="M85" s="26">
        <f>IF($B85="","",IF(COUNTIFS(EntryDates,$B85,CalcTime,$C85,CalcBank,$C$5,EntryParty,$D85,EntryDep,$H85,EntryWit,$I85)&gt;1,"تکرار",""))</f>
        <v/>
      </c>
      <c r="N85" s="26">
        <f>IF($P85="","",IF(INDEX(EntryNotes,$P85)=0,"",INDEX(EntryNotes,$P85)))</f>
        <v/>
      </c>
      <c r="O85" s="26">
        <f>IF($P85="","",IF(INDEX(EntryTxnID,$P85)=0,"",INDEX(EntryTxnID,$P85)))</f>
        <v/>
      </c>
      <c r="P85" s="26">
        <f>IFERROR(MATCH($C$5&amp;"|"&amp;RIGHT("000000"&amp;69,6),CalcRankKey,0),"")</f>
        <v/>
      </c>
    </row>
    <row r="86">
      <c r="A86" s="28">
        <f>IF($B86="","",70)</f>
        <v/>
      </c>
      <c r="B86" s="28">
        <f>IF($P86="","",IF(INDEX(CalcNormDate,$P86)=0,"",INDEX(CalcNormDate,$P86)))</f>
        <v/>
      </c>
      <c r="C86" s="28">
        <f>IF($P86="","",IF(INDEX(CalcTime,$P86)=0,"",INDEX(CalcTime,$P86)))</f>
        <v/>
      </c>
      <c r="D86" s="28">
        <f>IF($P86="","",IF(INDEX(EntryParty,$P86)=0,"",INDEX(EntryParty,$P86)))</f>
        <v/>
      </c>
      <c r="E86" s="28">
        <f>IF($P86="","",IF(INDEX(EntryPartyName,$P86)=0,"",INDEX(EntryPartyName,$P86)))</f>
        <v/>
      </c>
      <c r="F86" s="28">
        <f>IF($P86="","",IF(INDEX(EntryPartyType,$P86)=0,"",INDEX(EntryPartyType,$P86)))</f>
        <v/>
      </c>
      <c r="G86" s="28">
        <f>IF($P86="","",IF(INDEX(EntryTxnType,$P86)=0,"",INDEX(EntryTxnType,$P86)))</f>
        <v/>
      </c>
      <c r="H86" s="29">
        <f>IF($P86="","",IF(INDEX(EntryDep,$P86)=0,"",INDEX(EntryDep,$P86)))</f>
        <v/>
      </c>
      <c r="I86" s="29">
        <f>IF($P86="","",IF(INDEX(EntryWit,$P86)=0,"",INDEX(EntryWit,$P86)))</f>
        <v/>
      </c>
      <c r="J86" s="29">
        <f>IF($B86="","",IF($A86=1,$C$7,IF(J85="",0,J85))+IF($H86="",0,$H86)-IF($I86="",0,$I86))</f>
        <v/>
      </c>
      <c r="K86" s="29">
        <f>IF($P86="","",IF(INDEX(EntryMan,$P86)=0,"",INDEX(EntryMan,$P86)))</f>
        <v/>
      </c>
      <c r="L86" s="28">
        <f>IF($B86="","",IF($K86="","—",IF(ROUND($K86-$J86,0)=0,"√","×")))</f>
        <v/>
      </c>
      <c r="M86" s="28">
        <f>IF($B86="","",IF(COUNTIFS(EntryDates,$B86,CalcTime,$C86,CalcBank,$C$5,EntryParty,$D86,EntryDep,$H86,EntryWit,$I86)&gt;1,"تکرار",""))</f>
        <v/>
      </c>
      <c r="N86" s="28">
        <f>IF($P86="","",IF(INDEX(EntryNotes,$P86)=0,"",INDEX(EntryNotes,$P86)))</f>
        <v/>
      </c>
      <c r="O86" s="28">
        <f>IF($P86="","",IF(INDEX(EntryTxnID,$P86)=0,"",INDEX(EntryTxnID,$P86)))</f>
        <v/>
      </c>
      <c r="P86" s="28">
        <f>IFERROR(MATCH($C$5&amp;"|"&amp;RIGHT("000000"&amp;70,6),CalcRankKey,0),"")</f>
        <v/>
      </c>
    </row>
    <row r="87">
      <c r="A87" s="26">
        <f>IF($B87="","",71)</f>
        <v/>
      </c>
      <c r="B87" s="26">
        <f>IF($P87="","",IF(INDEX(CalcNormDate,$P87)=0,"",INDEX(CalcNormDate,$P87)))</f>
        <v/>
      </c>
      <c r="C87" s="26">
        <f>IF($P87="","",IF(INDEX(CalcTime,$P87)=0,"",INDEX(CalcTime,$P87)))</f>
        <v/>
      </c>
      <c r="D87" s="26">
        <f>IF($P87="","",IF(INDEX(EntryParty,$P87)=0,"",INDEX(EntryParty,$P87)))</f>
        <v/>
      </c>
      <c r="E87" s="26">
        <f>IF($P87="","",IF(INDEX(EntryPartyName,$P87)=0,"",INDEX(EntryPartyName,$P87)))</f>
        <v/>
      </c>
      <c r="F87" s="26">
        <f>IF($P87="","",IF(INDEX(EntryPartyType,$P87)=0,"",INDEX(EntryPartyType,$P87)))</f>
        <v/>
      </c>
      <c r="G87" s="26">
        <f>IF($P87="","",IF(INDEX(EntryTxnType,$P87)=0,"",INDEX(EntryTxnType,$P87)))</f>
        <v/>
      </c>
      <c r="H87" s="27">
        <f>IF($P87="","",IF(INDEX(EntryDep,$P87)=0,"",INDEX(EntryDep,$P87)))</f>
        <v/>
      </c>
      <c r="I87" s="27">
        <f>IF($P87="","",IF(INDEX(EntryWit,$P87)=0,"",INDEX(EntryWit,$P87)))</f>
        <v/>
      </c>
      <c r="J87" s="27">
        <f>IF($B87="","",IF($A87=1,$C$7,IF(J86="",0,J86))+IF($H87="",0,$H87)-IF($I87="",0,$I87))</f>
        <v/>
      </c>
      <c r="K87" s="27">
        <f>IF($P87="","",IF(INDEX(EntryMan,$P87)=0,"",INDEX(EntryMan,$P87)))</f>
        <v/>
      </c>
      <c r="L87" s="26">
        <f>IF($B87="","",IF($K87="","—",IF(ROUND($K87-$J87,0)=0,"√","×")))</f>
        <v/>
      </c>
      <c r="M87" s="26">
        <f>IF($B87="","",IF(COUNTIFS(EntryDates,$B87,CalcTime,$C87,CalcBank,$C$5,EntryParty,$D87,EntryDep,$H87,EntryWit,$I87)&gt;1,"تکرار",""))</f>
        <v/>
      </c>
      <c r="N87" s="26">
        <f>IF($P87="","",IF(INDEX(EntryNotes,$P87)=0,"",INDEX(EntryNotes,$P87)))</f>
        <v/>
      </c>
      <c r="O87" s="26">
        <f>IF($P87="","",IF(INDEX(EntryTxnID,$P87)=0,"",INDEX(EntryTxnID,$P87)))</f>
        <v/>
      </c>
      <c r="P87" s="26">
        <f>IFERROR(MATCH($C$5&amp;"|"&amp;RIGHT("000000"&amp;71,6),CalcRankKey,0),"")</f>
        <v/>
      </c>
    </row>
    <row r="88">
      <c r="A88" s="28">
        <f>IF($B88="","",72)</f>
        <v/>
      </c>
      <c r="B88" s="28">
        <f>IF($P88="","",IF(INDEX(CalcNormDate,$P88)=0,"",INDEX(CalcNormDate,$P88)))</f>
        <v/>
      </c>
      <c r="C88" s="28">
        <f>IF($P88="","",IF(INDEX(CalcTime,$P88)=0,"",INDEX(CalcTime,$P88)))</f>
        <v/>
      </c>
      <c r="D88" s="28">
        <f>IF($P88="","",IF(INDEX(EntryParty,$P88)=0,"",INDEX(EntryParty,$P88)))</f>
        <v/>
      </c>
      <c r="E88" s="28">
        <f>IF($P88="","",IF(INDEX(EntryPartyName,$P88)=0,"",INDEX(EntryPartyName,$P88)))</f>
        <v/>
      </c>
      <c r="F88" s="28">
        <f>IF($P88="","",IF(INDEX(EntryPartyType,$P88)=0,"",INDEX(EntryPartyType,$P88)))</f>
        <v/>
      </c>
      <c r="G88" s="28">
        <f>IF($P88="","",IF(INDEX(EntryTxnType,$P88)=0,"",INDEX(EntryTxnType,$P88)))</f>
        <v/>
      </c>
      <c r="H88" s="29">
        <f>IF($P88="","",IF(INDEX(EntryDep,$P88)=0,"",INDEX(EntryDep,$P88)))</f>
        <v/>
      </c>
      <c r="I88" s="29">
        <f>IF($P88="","",IF(INDEX(EntryWit,$P88)=0,"",INDEX(EntryWit,$P88)))</f>
        <v/>
      </c>
      <c r="J88" s="29">
        <f>IF($B88="","",IF($A88=1,$C$7,IF(J87="",0,J87))+IF($H88="",0,$H88)-IF($I88="",0,$I88))</f>
        <v/>
      </c>
      <c r="K88" s="29">
        <f>IF($P88="","",IF(INDEX(EntryMan,$P88)=0,"",INDEX(EntryMan,$P88)))</f>
        <v/>
      </c>
      <c r="L88" s="28">
        <f>IF($B88="","",IF($K88="","—",IF(ROUND($K88-$J88,0)=0,"√","×")))</f>
        <v/>
      </c>
      <c r="M88" s="28">
        <f>IF($B88="","",IF(COUNTIFS(EntryDates,$B88,CalcTime,$C88,CalcBank,$C$5,EntryParty,$D88,EntryDep,$H88,EntryWit,$I88)&gt;1,"تکرار",""))</f>
        <v/>
      </c>
      <c r="N88" s="28">
        <f>IF($P88="","",IF(INDEX(EntryNotes,$P88)=0,"",INDEX(EntryNotes,$P88)))</f>
        <v/>
      </c>
      <c r="O88" s="28">
        <f>IF($P88="","",IF(INDEX(EntryTxnID,$P88)=0,"",INDEX(EntryTxnID,$P88)))</f>
        <v/>
      </c>
      <c r="P88" s="28">
        <f>IFERROR(MATCH($C$5&amp;"|"&amp;RIGHT("000000"&amp;72,6),CalcRankKey,0),"")</f>
        <v/>
      </c>
    </row>
    <row r="89">
      <c r="A89" s="26">
        <f>IF($B89="","",73)</f>
        <v/>
      </c>
      <c r="B89" s="26">
        <f>IF($P89="","",IF(INDEX(CalcNormDate,$P89)=0,"",INDEX(CalcNormDate,$P89)))</f>
        <v/>
      </c>
      <c r="C89" s="26">
        <f>IF($P89="","",IF(INDEX(CalcTime,$P89)=0,"",INDEX(CalcTime,$P89)))</f>
        <v/>
      </c>
      <c r="D89" s="26">
        <f>IF($P89="","",IF(INDEX(EntryParty,$P89)=0,"",INDEX(EntryParty,$P89)))</f>
        <v/>
      </c>
      <c r="E89" s="26">
        <f>IF($P89="","",IF(INDEX(EntryPartyName,$P89)=0,"",INDEX(EntryPartyName,$P89)))</f>
        <v/>
      </c>
      <c r="F89" s="26">
        <f>IF($P89="","",IF(INDEX(EntryPartyType,$P89)=0,"",INDEX(EntryPartyType,$P89)))</f>
        <v/>
      </c>
      <c r="G89" s="26">
        <f>IF($P89="","",IF(INDEX(EntryTxnType,$P89)=0,"",INDEX(EntryTxnType,$P89)))</f>
        <v/>
      </c>
      <c r="H89" s="27">
        <f>IF($P89="","",IF(INDEX(EntryDep,$P89)=0,"",INDEX(EntryDep,$P89)))</f>
        <v/>
      </c>
      <c r="I89" s="27">
        <f>IF($P89="","",IF(INDEX(EntryWit,$P89)=0,"",INDEX(EntryWit,$P89)))</f>
        <v/>
      </c>
      <c r="J89" s="27">
        <f>IF($B89="","",IF($A89=1,$C$7,IF(J88="",0,J88))+IF($H89="",0,$H89)-IF($I89="",0,$I89))</f>
        <v/>
      </c>
      <c r="K89" s="27">
        <f>IF($P89="","",IF(INDEX(EntryMan,$P89)=0,"",INDEX(EntryMan,$P89)))</f>
        <v/>
      </c>
      <c r="L89" s="26">
        <f>IF($B89="","",IF($K89="","—",IF(ROUND($K89-$J89,0)=0,"√","×")))</f>
        <v/>
      </c>
      <c r="M89" s="26">
        <f>IF($B89="","",IF(COUNTIFS(EntryDates,$B89,CalcTime,$C89,CalcBank,$C$5,EntryParty,$D89,EntryDep,$H89,EntryWit,$I89)&gt;1,"تکرار",""))</f>
        <v/>
      </c>
      <c r="N89" s="26">
        <f>IF($P89="","",IF(INDEX(EntryNotes,$P89)=0,"",INDEX(EntryNotes,$P89)))</f>
        <v/>
      </c>
      <c r="O89" s="26">
        <f>IF($P89="","",IF(INDEX(EntryTxnID,$P89)=0,"",INDEX(EntryTxnID,$P89)))</f>
        <v/>
      </c>
      <c r="P89" s="26">
        <f>IFERROR(MATCH($C$5&amp;"|"&amp;RIGHT("000000"&amp;73,6),CalcRankKey,0),"")</f>
        <v/>
      </c>
    </row>
    <row r="90">
      <c r="A90" s="28">
        <f>IF($B90="","",74)</f>
        <v/>
      </c>
      <c r="B90" s="28">
        <f>IF($P90="","",IF(INDEX(CalcNormDate,$P90)=0,"",INDEX(CalcNormDate,$P90)))</f>
        <v/>
      </c>
      <c r="C90" s="28">
        <f>IF($P90="","",IF(INDEX(CalcTime,$P90)=0,"",INDEX(CalcTime,$P90)))</f>
        <v/>
      </c>
      <c r="D90" s="28">
        <f>IF($P90="","",IF(INDEX(EntryParty,$P90)=0,"",INDEX(EntryParty,$P90)))</f>
        <v/>
      </c>
      <c r="E90" s="28">
        <f>IF($P90="","",IF(INDEX(EntryPartyName,$P90)=0,"",INDEX(EntryPartyName,$P90)))</f>
        <v/>
      </c>
      <c r="F90" s="28">
        <f>IF($P90="","",IF(INDEX(EntryPartyType,$P90)=0,"",INDEX(EntryPartyType,$P90)))</f>
        <v/>
      </c>
      <c r="G90" s="28">
        <f>IF($P90="","",IF(INDEX(EntryTxnType,$P90)=0,"",INDEX(EntryTxnType,$P90)))</f>
        <v/>
      </c>
      <c r="H90" s="29">
        <f>IF($P90="","",IF(INDEX(EntryDep,$P90)=0,"",INDEX(EntryDep,$P90)))</f>
        <v/>
      </c>
      <c r="I90" s="29">
        <f>IF($P90="","",IF(INDEX(EntryWit,$P90)=0,"",INDEX(EntryWit,$P90)))</f>
        <v/>
      </c>
      <c r="J90" s="29">
        <f>IF($B90="","",IF($A90=1,$C$7,IF(J89="",0,J89))+IF($H90="",0,$H90)-IF($I90="",0,$I90))</f>
        <v/>
      </c>
      <c r="K90" s="29">
        <f>IF($P90="","",IF(INDEX(EntryMan,$P90)=0,"",INDEX(EntryMan,$P90)))</f>
        <v/>
      </c>
      <c r="L90" s="28">
        <f>IF($B90="","",IF($K90="","—",IF(ROUND($K90-$J90,0)=0,"√","×")))</f>
        <v/>
      </c>
      <c r="M90" s="28">
        <f>IF($B90="","",IF(COUNTIFS(EntryDates,$B90,CalcTime,$C90,CalcBank,$C$5,EntryParty,$D90,EntryDep,$H90,EntryWit,$I90)&gt;1,"تکرار",""))</f>
        <v/>
      </c>
      <c r="N90" s="28">
        <f>IF($P90="","",IF(INDEX(EntryNotes,$P90)=0,"",INDEX(EntryNotes,$P90)))</f>
        <v/>
      </c>
      <c r="O90" s="28">
        <f>IF($P90="","",IF(INDEX(EntryTxnID,$P90)=0,"",INDEX(EntryTxnID,$P90)))</f>
        <v/>
      </c>
      <c r="P90" s="28">
        <f>IFERROR(MATCH($C$5&amp;"|"&amp;RIGHT("000000"&amp;74,6),CalcRankKey,0),"")</f>
        <v/>
      </c>
    </row>
    <row r="91">
      <c r="A91" s="26">
        <f>IF($B91="","",75)</f>
        <v/>
      </c>
      <c r="B91" s="26">
        <f>IF($P91="","",IF(INDEX(CalcNormDate,$P91)=0,"",INDEX(CalcNormDate,$P91)))</f>
        <v/>
      </c>
      <c r="C91" s="26">
        <f>IF($P91="","",IF(INDEX(CalcTime,$P91)=0,"",INDEX(CalcTime,$P91)))</f>
        <v/>
      </c>
      <c r="D91" s="26">
        <f>IF($P91="","",IF(INDEX(EntryParty,$P91)=0,"",INDEX(EntryParty,$P91)))</f>
        <v/>
      </c>
      <c r="E91" s="26">
        <f>IF($P91="","",IF(INDEX(EntryPartyName,$P91)=0,"",INDEX(EntryPartyName,$P91)))</f>
        <v/>
      </c>
      <c r="F91" s="26">
        <f>IF($P91="","",IF(INDEX(EntryPartyType,$P91)=0,"",INDEX(EntryPartyType,$P91)))</f>
        <v/>
      </c>
      <c r="G91" s="26">
        <f>IF($P91="","",IF(INDEX(EntryTxnType,$P91)=0,"",INDEX(EntryTxnType,$P91)))</f>
        <v/>
      </c>
      <c r="H91" s="27">
        <f>IF($P91="","",IF(INDEX(EntryDep,$P91)=0,"",INDEX(EntryDep,$P91)))</f>
        <v/>
      </c>
      <c r="I91" s="27">
        <f>IF($P91="","",IF(INDEX(EntryWit,$P91)=0,"",INDEX(EntryWit,$P91)))</f>
        <v/>
      </c>
      <c r="J91" s="27">
        <f>IF($B91="","",IF($A91=1,$C$7,IF(J90="",0,J90))+IF($H91="",0,$H91)-IF($I91="",0,$I91))</f>
        <v/>
      </c>
      <c r="K91" s="27">
        <f>IF($P91="","",IF(INDEX(EntryMan,$P91)=0,"",INDEX(EntryMan,$P91)))</f>
        <v/>
      </c>
      <c r="L91" s="26">
        <f>IF($B91="","",IF($K91="","—",IF(ROUND($K91-$J91,0)=0,"√","×")))</f>
        <v/>
      </c>
      <c r="M91" s="26">
        <f>IF($B91="","",IF(COUNTIFS(EntryDates,$B91,CalcTime,$C91,CalcBank,$C$5,EntryParty,$D91,EntryDep,$H91,EntryWit,$I91)&gt;1,"تکرار",""))</f>
        <v/>
      </c>
      <c r="N91" s="26">
        <f>IF($P91="","",IF(INDEX(EntryNotes,$P91)=0,"",INDEX(EntryNotes,$P91)))</f>
        <v/>
      </c>
      <c r="O91" s="26">
        <f>IF($P91="","",IF(INDEX(EntryTxnID,$P91)=0,"",INDEX(EntryTxnID,$P91)))</f>
        <v/>
      </c>
      <c r="P91" s="26">
        <f>IFERROR(MATCH($C$5&amp;"|"&amp;RIGHT("000000"&amp;75,6),CalcRankKey,0),"")</f>
        <v/>
      </c>
    </row>
    <row r="92">
      <c r="A92" s="28">
        <f>IF($B92="","",76)</f>
        <v/>
      </c>
      <c r="B92" s="28">
        <f>IF($P92="","",IF(INDEX(CalcNormDate,$P92)=0,"",INDEX(CalcNormDate,$P92)))</f>
        <v/>
      </c>
      <c r="C92" s="28">
        <f>IF($P92="","",IF(INDEX(CalcTime,$P92)=0,"",INDEX(CalcTime,$P92)))</f>
        <v/>
      </c>
      <c r="D92" s="28">
        <f>IF($P92="","",IF(INDEX(EntryParty,$P92)=0,"",INDEX(EntryParty,$P92)))</f>
        <v/>
      </c>
      <c r="E92" s="28">
        <f>IF($P92="","",IF(INDEX(EntryPartyName,$P92)=0,"",INDEX(EntryPartyName,$P92)))</f>
        <v/>
      </c>
      <c r="F92" s="28">
        <f>IF($P92="","",IF(INDEX(EntryPartyType,$P92)=0,"",INDEX(EntryPartyType,$P92)))</f>
        <v/>
      </c>
      <c r="G92" s="28">
        <f>IF($P92="","",IF(INDEX(EntryTxnType,$P92)=0,"",INDEX(EntryTxnType,$P92)))</f>
        <v/>
      </c>
      <c r="H92" s="29">
        <f>IF($P92="","",IF(INDEX(EntryDep,$P92)=0,"",INDEX(EntryDep,$P92)))</f>
        <v/>
      </c>
      <c r="I92" s="29">
        <f>IF($P92="","",IF(INDEX(EntryWit,$P92)=0,"",INDEX(EntryWit,$P92)))</f>
        <v/>
      </c>
      <c r="J92" s="29">
        <f>IF($B92="","",IF($A92=1,$C$7,IF(J91="",0,J91))+IF($H92="",0,$H92)-IF($I92="",0,$I92))</f>
        <v/>
      </c>
      <c r="K92" s="29">
        <f>IF($P92="","",IF(INDEX(EntryMan,$P92)=0,"",INDEX(EntryMan,$P92)))</f>
        <v/>
      </c>
      <c r="L92" s="28">
        <f>IF($B92="","",IF($K92="","—",IF(ROUND($K92-$J92,0)=0,"√","×")))</f>
        <v/>
      </c>
      <c r="M92" s="28">
        <f>IF($B92="","",IF(COUNTIFS(EntryDates,$B92,CalcTime,$C92,CalcBank,$C$5,EntryParty,$D92,EntryDep,$H92,EntryWit,$I92)&gt;1,"تکرار",""))</f>
        <v/>
      </c>
      <c r="N92" s="28">
        <f>IF($P92="","",IF(INDEX(EntryNotes,$P92)=0,"",INDEX(EntryNotes,$P92)))</f>
        <v/>
      </c>
      <c r="O92" s="28">
        <f>IF($P92="","",IF(INDEX(EntryTxnID,$P92)=0,"",INDEX(EntryTxnID,$P92)))</f>
        <v/>
      </c>
      <c r="P92" s="28">
        <f>IFERROR(MATCH($C$5&amp;"|"&amp;RIGHT("000000"&amp;76,6),CalcRankKey,0),"")</f>
        <v/>
      </c>
    </row>
    <row r="93">
      <c r="A93" s="26">
        <f>IF($B93="","",77)</f>
        <v/>
      </c>
      <c r="B93" s="26">
        <f>IF($P93="","",IF(INDEX(CalcNormDate,$P93)=0,"",INDEX(CalcNormDate,$P93)))</f>
        <v/>
      </c>
      <c r="C93" s="26">
        <f>IF($P93="","",IF(INDEX(CalcTime,$P93)=0,"",INDEX(CalcTime,$P93)))</f>
        <v/>
      </c>
      <c r="D93" s="26">
        <f>IF($P93="","",IF(INDEX(EntryParty,$P93)=0,"",INDEX(EntryParty,$P93)))</f>
        <v/>
      </c>
      <c r="E93" s="26">
        <f>IF($P93="","",IF(INDEX(EntryPartyName,$P93)=0,"",INDEX(EntryPartyName,$P93)))</f>
        <v/>
      </c>
      <c r="F93" s="26">
        <f>IF($P93="","",IF(INDEX(EntryPartyType,$P93)=0,"",INDEX(EntryPartyType,$P93)))</f>
        <v/>
      </c>
      <c r="G93" s="26">
        <f>IF($P93="","",IF(INDEX(EntryTxnType,$P93)=0,"",INDEX(EntryTxnType,$P93)))</f>
        <v/>
      </c>
      <c r="H93" s="27">
        <f>IF($P93="","",IF(INDEX(EntryDep,$P93)=0,"",INDEX(EntryDep,$P93)))</f>
        <v/>
      </c>
      <c r="I93" s="27">
        <f>IF($P93="","",IF(INDEX(EntryWit,$P93)=0,"",INDEX(EntryWit,$P93)))</f>
        <v/>
      </c>
      <c r="J93" s="27">
        <f>IF($B93="","",IF($A93=1,$C$7,IF(J92="",0,J92))+IF($H93="",0,$H93)-IF($I93="",0,$I93))</f>
        <v/>
      </c>
      <c r="K93" s="27">
        <f>IF($P93="","",IF(INDEX(EntryMan,$P93)=0,"",INDEX(EntryMan,$P93)))</f>
        <v/>
      </c>
      <c r="L93" s="26">
        <f>IF($B93="","",IF($K93="","—",IF(ROUND($K93-$J93,0)=0,"√","×")))</f>
        <v/>
      </c>
      <c r="M93" s="26">
        <f>IF($B93="","",IF(COUNTIFS(EntryDates,$B93,CalcTime,$C93,CalcBank,$C$5,EntryParty,$D93,EntryDep,$H93,EntryWit,$I93)&gt;1,"تکرار",""))</f>
        <v/>
      </c>
      <c r="N93" s="26">
        <f>IF($P93="","",IF(INDEX(EntryNotes,$P93)=0,"",INDEX(EntryNotes,$P93)))</f>
        <v/>
      </c>
      <c r="O93" s="26">
        <f>IF($P93="","",IF(INDEX(EntryTxnID,$P93)=0,"",INDEX(EntryTxnID,$P93)))</f>
        <v/>
      </c>
      <c r="P93" s="26">
        <f>IFERROR(MATCH($C$5&amp;"|"&amp;RIGHT("000000"&amp;77,6),CalcRankKey,0),"")</f>
        <v/>
      </c>
    </row>
    <row r="94">
      <c r="A94" s="28">
        <f>IF($B94="","",78)</f>
        <v/>
      </c>
      <c r="B94" s="28">
        <f>IF($P94="","",IF(INDEX(CalcNormDate,$P94)=0,"",INDEX(CalcNormDate,$P94)))</f>
        <v/>
      </c>
      <c r="C94" s="28">
        <f>IF($P94="","",IF(INDEX(CalcTime,$P94)=0,"",INDEX(CalcTime,$P94)))</f>
        <v/>
      </c>
      <c r="D94" s="28">
        <f>IF($P94="","",IF(INDEX(EntryParty,$P94)=0,"",INDEX(EntryParty,$P94)))</f>
        <v/>
      </c>
      <c r="E94" s="28">
        <f>IF($P94="","",IF(INDEX(EntryPartyName,$P94)=0,"",INDEX(EntryPartyName,$P94)))</f>
        <v/>
      </c>
      <c r="F94" s="28">
        <f>IF($P94="","",IF(INDEX(EntryPartyType,$P94)=0,"",INDEX(EntryPartyType,$P94)))</f>
        <v/>
      </c>
      <c r="G94" s="28">
        <f>IF($P94="","",IF(INDEX(EntryTxnType,$P94)=0,"",INDEX(EntryTxnType,$P94)))</f>
        <v/>
      </c>
      <c r="H94" s="29">
        <f>IF($P94="","",IF(INDEX(EntryDep,$P94)=0,"",INDEX(EntryDep,$P94)))</f>
        <v/>
      </c>
      <c r="I94" s="29">
        <f>IF($P94="","",IF(INDEX(EntryWit,$P94)=0,"",INDEX(EntryWit,$P94)))</f>
        <v/>
      </c>
      <c r="J94" s="29">
        <f>IF($B94="","",IF($A94=1,$C$7,IF(J93="",0,J93))+IF($H94="",0,$H94)-IF($I94="",0,$I94))</f>
        <v/>
      </c>
      <c r="K94" s="29">
        <f>IF($P94="","",IF(INDEX(EntryMan,$P94)=0,"",INDEX(EntryMan,$P94)))</f>
        <v/>
      </c>
      <c r="L94" s="28">
        <f>IF($B94="","",IF($K94="","—",IF(ROUND($K94-$J94,0)=0,"√","×")))</f>
        <v/>
      </c>
      <c r="M94" s="28">
        <f>IF($B94="","",IF(COUNTIFS(EntryDates,$B94,CalcTime,$C94,CalcBank,$C$5,EntryParty,$D94,EntryDep,$H94,EntryWit,$I94)&gt;1,"تکرار",""))</f>
        <v/>
      </c>
      <c r="N94" s="28">
        <f>IF($P94="","",IF(INDEX(EntryNotes,$P94)=0,"",INDEX(EntryNotes,$P94)))</f>
        <v/>
      </c>
      <c r="O94" s="28">
        <f>IF($P94="","",IF(INDEX(EntryTxnID,$P94)=0,"",INDEX(EntryTxnID,$P94)))</f>
        <v/>
      </c>
      <c r="P94" s="28">
        <f>IFERROR(MATCH($C$5&amp;"|"&amp;RIGHT("000000"&amp;78,6),CalcRankKey,0),"")</f>
        <v/>
      </c>
    </row>
    <row r="95">
      <c r="A95" s="26">
        <f>IF($B95="","",79)</f>
        <v/>
      </c>
      <c r="B95" s="26">
        <f>IF($P95="","",IF(INDEX(CalcNormDate,$P95)=0,"",INDEX(CalcNormDate,$P95)))</f>
        <v/>
      </c>
      <c r="C95" s="26">
        <f>IF($P95="","",IF(INDEX(CalcTime,$P95)=0,"",INDEX(CalcTime,$P95)))</f>
        <v/>
      </c>
      <c r="D95" s="26">
        <f>IF($P95="","",IF(INDEX(EntryParty,$P95)=0,"",INDEX(EntryParty,$P95)))</f>
        <v/>
      </c>
      <c r="E95" s="26">
        <f>IF($P95="","",IF(INDEX(EntryPartyName,$P95)=0,"",INDEX(EntryPartyName,$P95)))</f>
        <v/>
      </c>
      <c r="F95" s="26">
        <f>IF($P95="","",IF(INDEX(EntryPartyType,$P95)=0,"",INDEX(EntryPartyType,$P95)))</f>
        <v/>
      </c>
      <c r="G95" s="26">
        <f>IF($P95="","",IF(INDEX(EntryTxnType,$P95)=0,"",INDEX(EntryTxnType,$P95)))</f>
        <v/>
      </c>
      <c r="H95" s="27">
        <f>IF($P95="","",IF(INDEX(EntryDep,$P95)=0,"",INDEX(EntryDep,$P95)))</f>
        <v/>
      </c>
      <c r="I95" s="27">
        <f>IF($P95="","",IF(INDEX(EntryWit,$P95)=0,"",INDEX(EntryWit,$P95)))</f>
        <v/>
      </c>
      <c r="J95" s="27">
        <f>IF($B95="","",IF($A95=1,$C$7,IF(J94="",0,J94))+IF($H95="",0,$H95)-IF($I95="",0,$I95))</f>
        <v/>
      </c>
      <c r="K95" s="27">
        <f>IF($P95="","",IF(INDEX(EntryMan,$P95)=0,"",INDEX(EntryMan,$P95)))</f>
        <v/>
      </c>
      <c r="L95" s="26">
        <f>IF($B95="","",IF($K95="","—",IF(ROUND($K95-$J95,0)=0,"√","×")))</f>
        <v/>
      </c>
      <c r="M95" s="26">
        <f>IF($B95="","",IF(COUNTIFS(EntryDates,$B95,CalcTime,$C95,CalcBank,$C$5,EntryParty,$D95,EntryDep,$H95,EntryWit,$I95)&gt;1,"تکرار",""))</f>
        <v/>
      </c>
      <c r="N95" s="26">
        <f>IF($P95="","",IF(INDEX(EntryNotes,$P95)=0,"",INDEX(EntryNotes,$P95)))</f>
        <v/>
      </c>
      <c r="O95" s="26">
        <f>IF($P95="","",IF(INDEX(EntryTxnID,$P95)=0,"",INDEX(EntryTxnID,$P95)))</f>
        <v/>
      </c>
      <c r="P95" s="26">
        <f>IFERROR(MATCH($C$5&amp;"|"&amp;RIGHT("000000"&amp;79,6),CalcRankKey,0),"")</f>
        <v/>
      </c>
    </row>
    <row r="96">
      <c r="A96" s="28">
        <f>IF($B96="","",80)</f>
        <v/>
      </c>
      <c r="B96" s="28">
        <f>IF($P96="","",IF(INDEX(CalcNormDate,$P96)=0,"",INDEX(CalcNormDate,$P96)))</f>
        <v/>
      </c>
      <c r="C96" s="28">
        <f>IF($P96="","",IF(INDEX(CalcTime,$P96)=0,"",INDEX(CalcTime,$P96)))</f>
        <v/>
      </c>
      <c r="D96" s="28">
        <f>IF($P96="","",IF(INDEX(EntryParty,$P96)=0,"",INDEX(EntryParty,$P96)))</f>
        <v/>
      </c>
      <c r="E96" s="28">
        <f>IF($P96="","",IF(INDEX(EntryPartyName,$P96)=0,"",INDEX(EntryPartyName,$P96)))</f>
        <v/>
      </c>
      <c r="F96" s="28">
        <f>IF($P96="","",IF(INDEX(EntryPartyType,$P96)=0,"",INDEX(EntryPartyType,$P96)))</f>
        <v/>
      </c>
      <c r="G96" s="28">
        <f>IF($P96="","",IF(INDEX(EntryTxnType,$P96)=0,"",INDEX(EntryTxnType,$P96)))</f>
        <v/>
      </c>
      <c r="H96" s="29">
        <f>IF($P96="","",IF(INDEX(EntryDep,$P96)=0,"",INDEX(EntryDep,$P96)))</f>
        <v/>
      </c>
      <c r="I96" s="29">
        <f>IF($P96="","",IF(INDEX(EntryWit,$P96)=0,"",INDEX(EntryWit,$P96)))</f>
        <v/>
      </c>
      <c r="J96" s="29">
        <f>IF($B96="","",IF($A96=1,$C$7,IF(J95="",0,J95))+IF($H96="",0,$H96)-IF($I96="",0,$I96))</f>
        <v/>
      </c>
      <c r="K96" s="29">
        <f>IF($P96="","",IF(INDEX(EntryMan,$P96)=0,"",INDEX(EntryMan,$P96)))</f>
        <v/>
      </c>
      <c r="L96" s="28">
        <f>IF($B96="","",IF($K96="","—",IF(ROUND($K96-$J96,0)=0,"√","×")))</f>
        <v/>
      </c>
      <c r="M96" s="28">
        <f>IF($B96="","",IF(COUNTIFS(EntryDates,$B96,CalcTime,$C96,CalcBank,$C$5,EntryParty,$D96,EntryDep,$H96,EntryWit,$I96)&gt;1,"تکرار",""))</f>
        <v/>
      </c>
      <c r="N96" s="28">
        <f>IF($P96="","",IF(INDEX(EntryNotes,$P96)=0,"",INDEX(EntryNotes,$P96)))</f>
        <v/>
      </c>
      <c r="O96" s="28">
        <f>IF($P96="","",IF(INDEX(EntryTxnID,$P96)=0,"",INDEX(EntryTxnID,$P96)))</f>
        <v/>
      </c>
      <c r="P96" s="28">
        <f>IFERROR(MATCH($C$5&amp;"|"&amp;RIGHT("000000"&amp;80,6),CalcRankKey,0),"")</f>
        <v/>
      </c>
    </row>
    <row r="97">
      <c r="A97" s="26">
        <f>IF($B97="","",81)</f>
        <v/>
      </c>
      <c r="B97" s="26">
        <f>IF($P97="","",IF(INDEX(CalcNormDate,$P97)=0,"",INDEX(CalcNormDate,$P97)))</f>
        <v/>
      </c>
      <c r="C97" s="26">
        <f>IF($P97="","",IF(INDEX(CalcTime,$P97)=0,"",INDEX(CalcTime,$P97)))</f>
        <v/>
      </c>
      <c r="D97" s="26">
        <f>IF($P97="","",IF(INDEX(EntryParty,$P97)=0,"",INDEX(EntryParty,$P97)))</f>
        <v/>
      </c>
      <c r="E97" s="26">
        <f>IF($P97="","",IF(INDEX(EntryPartyName,$P97)=0,"",INDEX(EntryPartyName,$P97)))</f>
        <v/>
      </c>
      <c r="F97" s="26">
        <f>IF($P97="","",IF(INDEX(EntryPartyType,$P97)=0,"",INDEX(EntryPartyType,$P97)))</f>
        <v/>
      </c>
      <c r="G97" s="26">
        <f>IF($P97="","",IF(INDEX(EntryTxnType,$P97)=0,"",INDEX(EntryTxnType,$P97)))</f>
        <v/>
      </c>
      <c r="H97" s="27">
        <f>IF($P97="","",IF(INDEX(EntryDep,$P97)=0,"",INDEX(EntryDep,$P97)))</f>
        <v/>
      </c>
      <c r="I97" s="27">
        <f>IF($P97="","",IF(INDEX(EntryWit,$P97)=0,"",INDEX(EntryWit,$P97)))</f>
        <v/>
      </c>
      <c r="J97" s="27">
        <f>IF($B97="","",IF($A97=1,$C$7,IF(J96="",0,J96))+IF($H97="",0,$H97)-IF($I97="",0,$I97))</f>
        <v/>
      </c>
      <c r="K97" s="27">
        <f>IF($P97="","",IF(INDEX(EntryMan,$P97)=0,"",INDEX(EntryMan,$P97)))</f>
        <v/>
      </c>
      <c r="L97" s="26">
        <f>IF($B97="","",IF($K97="","—",IF(ROUND($K97-$J97,0)=0,"√","×")))</f>
        <v/>
      </c>
      <c r="M97" s="26">
        <f>IF($B97="","",IF(COUNTIFS(EntryDates,$B97,CalcTime,$C97,CalcBank,$C$5,EntryParty,$D97,EntryDep,$H97,EntryWit,$I97)&gt;1,"تکرار",""))</f>
        <v/>
      </c>
      <c r="N97" s="26">
        <f>IF($P97="","",IF(INDEX(EntryNotes,$P97)=0,"",INDEX(EntryNotes,$P97)))</f>
        <v/>
      </c>
      <c r="O97" s="26">
        <f>IF($P97="","",IF(INDEX(EntryTxnID,$P97)=0,"",INDEX(EntryTxnID,$P97)))</f>
        <v/>
      </c>
      <c r="P97" s="26">
        <f>IFERROR(MATCH($C$5&amp;"|"&amp;RIGHT("000000"&amp;81,6),CalcRankKey,0),"")</f>
        <v/>
      </c>
    </row>
    <row r="98">
      <c r="A98" s="28">
        <f>IF($B98="","",82)</f>
        <v/>
      </c>
      <c r="B98" s="28">
        <f>IF($P98="","",IF(INDEX(CalcNormDate,$P98)=0,"",INDEX(CalcNormDate,$P98)))</f>
        <v/>
      </c>
      <c r="C98" s="28">
        <f>IF($P98="","",IF(INDEX(CalcTime,$P98)=0,"",INDEX(CalcTime,$P98)))</f>
        <v/>
      </c>
      <c r="D98" s="28">
        <f>IF($P98="","",IF(INDEX(EntryParty,$P98)=0,"",INDEX(EntryParty,$P98)))</f>
        <v/>
      </c>
      <c r="E98" s="28">
        <f>IF($P98="","",IF(INDEX(EntryPartyName,$P98)=0,"",INDEX(EntryPartyName,$P98)))</f>
        <v/>
      </c>
      <c r="F98" s="28">
        <f>IF($P98="","",IF(INDEX(EntryPartyType,$P98)=0,"",INDEX(EntryPartyType,$P98)))</f>
        <v/>
      </c>
      <c r="G98" s="28">
        <f>IF($P98="","",IF(INDEX(EntryTxnType,$P98)=0,"",INDEX(EntryTxnType,$P98)))</f>
        <v/>
      </c>
      <c r="H98" s="29">
        <f>IF($P98="","",IF(INDEX(EntryDep,$P98)=0,"",INDEX(EntryDep,$P98)))</f>
        <v/>
      </c>
      <c r="I98" s="29">
        <f>IF($P98="","",IF(INDEX(EntryWit,$P98)=0,"",INDEX(EntryWit,$P98)))</f>
        <v/>
      </c>
      <c r="J98" s="29">
        <f>IF($B98="","",IF($A98=1,$C$7,IF(J97="",0,J97))+IF($H98="",0,$H98)-IF($I98="",0,$I98))</f>
        <v/>
      </c>
      <c r="K98" s="29">
        <f>IF($P98="","",IF(INDEX(EntryMan,$P98)=0,"",INDEX(EntryMan,$P98)))</f>
        <v/>
      </c>
      <c r="L98" s="28">
        <f>IF($B98="","",IF($K98="","—",IF(ROUND($K98-$J98,0)=0,"√","×")))</f>
        <v/>
      </c>
      <c r="M98" s="28">
        <f>IF($B98="","",IF(COUNTIFS(EntryDates,$B98,CalcTime,$C98,CalcBank,$C$5,EntryParty,$D98,EntryDep,$H98,EntryWit,$I98)&gt;1,"تکرار",""))</f>
        <v/>
      </c>
      <c r="N98" s="28">
        <f>IF($P98="","",IF(INDEX(EntryNotes,$P98)=0,"",INDEX(EntryNotes,$P98)))</f>
        <v/>
      </c>
      <c r="O98" s="28">
        <f>IF($P98="","",IF(INDEX(EntryTxnID,$P98)=0,"",INDEX(EntryTxnID,$P98)))</f>
        <v/>
      </c>
      <c r="P98" s="28">
        <f>IFERROR(MATCH($C$5&amp;"|"&amp;RIGHT("000000"&amp;82,6),CalcRankKey,0),"")</f>
        <v/>
      </c>
    </row>
    <row r="99">
      <c r="A99" s="26">
        <f>IF($B99="","",83)</f>
        <v/>
      </c>
      <c r="B99" s="26">
        <f>IF($P99="","",IF(INDEX(CalcNormDate,$P99)=0,"",INDEX(CalcNormDate,$P99)))</f>
        <v/>
      </c>
      <c r="C99" s="26">
        <f>IF($P99="","",IF(INDEX(CalcTime,$P99)=0,"",INDEX(CalcTime,$P99)))</f>
        <v/>
      </c>
      <c r="D99" s="26">
        <f>IF($P99="","",IF(INDEX(EntryParty,$P99)=0,"",INDEX(EntryParty,$P99)))</f>
        <v/>
      </c>
      <c r="E99" s="26">
        <f>IF($P99="","",IF(INDEX(EntryPartyName,$P99)=0,"",INDEX(EntryPartyName,$P99)))</f>
        <v/>
      </c>
      <c r="F99" s="26">
        <f>IF($P99="","",IF(INDEX(EntryPartyType,$P99)=0,"",INDEX(EntryPartyType,$P99)))</f>
        <v/>
      </c>
      <c r="G99" s="26">
        <f>IF($P99="","",IF(INDEX(EntryTxnType,$P99)=0,"",INDEX(EntryTxnType,$P99)))</f>
        <v/>
      </c>
      <c r="H99" s="27">
        <f>IF($P99="","",IF(INDEX(EntryDep,$P99)=0,"",INDEX(EntryDep,$P99)))</f>
        <v/>
      </c>
      <c r="I99" s="27">
        <f>IF($P99="","",IF(INDEX(EntryWit,$P99)=0,"",INDEX(EntryWit,$P99)))</f>
        <v/>
      </c>
      <c r="J99" s="27">
        <f>IF($B99="","",IF($A99=1,$C$7,IF(J98="",0,J98))+IF($H99="",0,$H99)-IF($I99="",0,$I99))</f>
        <v/>
      </c>
      <c r="K99" s="27">
        <f>IF($P99="","",IF(INDEX(EntryMan,$P99)=0,"",INDEX(EntryMan,$P99)))</f>
        <v/>
      </c>
      <c r="L99" s="26">
        <f>IF($B99="","",IF($K99="","—",IF(ROUND($K99-$J99,0)=0,"√","×")))</f>
        <v/>
      </c>
      <c r="M99" s="26">
        <f>IF($B99="","",IF(COUNTIFS(EntryDates,$B99,CalcTime,$C99,CalcBank,$C$5,EntryParty,$D99,EntryDep,$H99,EntryWit,$I99)&gt;1,"تکرار",""))</f>
        <v/>
      </c>
      <c r="N99" s="26">
        <f>IF($P99="","",IF(INDEX(EntryNotes,$P99)=0,"",INDEX(EntryNotes,$P99)))</f>
        <v/>
      </c>
      <c r="O99" s="26">
        <f>IF($P99="","",IF(INDEX(EntryTxnID,$P99)=0,"",INDEX(EntryTxnID,$P99)))</f>
        <v/>
      </c>
      <c r="P99" s="26">
        <f>IFERROR(MATCH($C$5&amp;"|"&amp;RIGHT("000000"&amp;83,6),CalcRankKey,0),"")</f>
        <v/>
      </c>
    </row>
    <row r="100">
      <c r="A100" s="28">
        <f>IF($B100="","",84)</f>
        <v/>
      </c>
      <c r="B100" s="28">
        <f>IF($P100="","",IF(INDEX(CalcNormDate,$P100)=0,"",INDEX(CalcNormDate,$P100)))</f>
        <v/>
      </c>
      <c r="C100" s="28">
        <f>IF($P100="","",IF(INDEX(CalcTime,$P100)=0,"",INDEX(CalcTime,$P100)))</f>
        <v/>
      </c>
      <c r="D100" s="28">
        <f>IF($P100="","",IF(INDEX(EntryParty,$P100)=0,"",INDEX(EntryParty,$P100)))</f>
        <v/>
      </c>
      <c r="E100" s="28">
        <f>IF($P100="","",IF(INDEX(EntryPartyName,$P100)=0,"",INDEX(EntryPartyName,$P100)))</f>
        <v/>
      </c>
      <c r="F100" s="28">
        <f>IF($P100="","",IF(INDEX(EntryPartyType,$P100)=0,"",INDEX(EntryPartyType,$P100)))</f>
        <v/>
      </c>
      <c r="G100" s="28">
        <f>IF($P100="","",IF(INDEX(EntryTxnType,$P100)=0,"",INDEX(EntryTxnType,$P100)))</f>
        <v/>
      </c>
      <c r="H100" s="29">
        <f>IF($P100="","",IF(INDEX(EntryDep,$P100)=0,"",INDEX(EntryDep,$P100)))</f>
        <v/>
      </c>
      <c r="I100" s="29">
        <f>IF($P100="","",IF(INDEX(EntryWit,$P100)=0,"",INDEX(EntryWit,$P100)))</f>
        <v/>
      </c>
      <c r="J100" s="29">
        <f>IF($B100="","",IF($A100=1,$C$7,IF(J99="",0,J99))+IF($H100="",0,$H100)-IF($I100="",0,$I100))</f>
        <v/>
      </c>
      <c r="K100" s="29">
        <f>IF($P100="","",IF(INDEX(EntryMan,$P100)=0,"",INDEX(EntryMan,$P100)))</f>
        <v/>
      </c>
      <c r="L100" s="28">
        <f>IF($B100="","",IF($K100="","—",IF(ROUND($K100-$J100,0)=0,"√","×")))</f>
        <v/>
      </c>
      <c r="M100" s="28">
        <f>IF($B100="","",IF(COUNTIFS(EntryDates,$B100,CalcTime,$C100,CalcBank,$C$5,EntryParty,$D100,EntryDep,$H100,EntryWit,$I100)&gt;1,"تکرار",""))</f>
        <v/>
      </c>
      <c r="N100" s="28">
        <f>IF($P100="","",IF(INDEX(EntryNotes,$P100)=0,"",INDEX(EntryNotes,$P100)))</f>
        <v/>
      </c>
      <c r="O100" s="28">
        <f>IF($P100="","",IF(INDEX(EntryTxnID,$P100)=0,"",INDEX(EntryTxnID,$P100)))</f>
        <v/>
      </c>
      <c r="P100" s="28">
        <f>IFERROR(MATCH($C$5&amp;"|"&amp;RIGHT("000000"&amp;84,6),CalcRankKey,0),"")</f>
        <v/>
      </c>
    </row>
    <row r="101">
      <c r="A101" s="26">
        <f>IF($B101="","",85)</f>
        <v/>
      </c>
      <c r="B101" s="26">
        <f>IF($P101="","",IF(INDEX(CalcNormDate,$P101)=0,"",INDEX(CalcNormDate,$P101)))</f>
        <v/>
      </c>
      <c r="C101" s="26">
        <f>IF($P101="","",IF(INDEX(CalcTime,$P101)=0,"",INDEX(CalcTime,$P101)))</f>
        <v/>
      </c>
      <c r="D101" s="26">
        <f>IF($P101="","",IF(INDEX(EntryParty,$P101)=0,"",INDEX(EntryParty,$P101)))</f>
        <v/>
      </c>
      <c r="E101" s="26">
        <f>IF($P101="","",IF(INDEX(EntryPartyName,$P101)=0,"",INDEX(EntryPartyName,$P101)))</f>
        <v/>
      </c>
      <c r="F101" s="26">
        <f>IF($P101="","",IF(INDEX(EntryPartyType,$P101)=0,"",INDEX(EntryPartyType,$P101)))</f>
        <v/>
      </c>
      <c r="G101" s="26">
        <f>IF($P101="","",IF(INDEX(EntryTxnType,$P101)=0,"",INDEX(EntryTxnType,$P101)))</f>
        <v/>
      </c>
      <c r="H101" s="27">
        <f>IF($P101="","",IF(INDEX(EntryDep,$P101)=0,"",INDEX(EntryDep,$P101)))</f>
        <v/>
      </c>
      <c r="I101" s="27">
        <f>IF($P101="","",IF(INDEX(EntryWit,$P101)=0,"",INDEX(EntryWit,$P101)))</f>
        <v/>
      </c>
      <c r="J101" s="27">
        <f>IF($B101="","",IF($A101=1,$C$7,IF(J100="",0,J100))+IF($H101="",0,$H101)-IF($I101="",0,$I101))</f>
        <v/>
      </c>
      <c r="K101" s="27">
        <f>IF($P101="","",IF(INDEX(EntryMan,$P101)=0,"",INDEX(EntryMan,$P101)))</f>
        <v/>
      </c>
      <c r="L101" s="26">
        <f>IF($B101="","",IF($K101="","—",IF(ROUND($K101-$J101,0)=0,"√","×")))</f>
        <v/>
      </c>
      <c r="M101" s="26">
        <f>IF($B101="","",IF(COUNTIFS(EntryDates,$B101,CalcTime,$C101,CalcBank,$C$5,EntryParty,$D101,EntryDep,$H101,EntryWit,$I101)&gt;1,"تکرار",""))</f>
        <v/>
      </c>
      <c r="N101" s="26">
        <f>IF($P101="","",IF(INDEX(EntryNotes,$P101)=0,"",INDEX(EntryNotes,$P101)))</f>
        <v/>
      </c>
      <c r="O101" s="26">
        <f>IF($P101="","",IF(INDEX(EntryTxnID,$P101)=0,"",INDEX(EntryTxnID,$P101)))</f>
        <v/>
      </c>
      <c r="P101" s="26">
        <f>IFERROR(MATCH($C$5&amp;"|"&amp;RIGHT("000000"&amp;85,6),CalcRankKey,0),"")</f>
        <v/>
      </c>
    </row>
    <row r="102">
      <c r="A102" s="28">
        <f>IF($B102="","",86)</f>
        <v/>
      </c>
      <c r="B102" s="28">
        <f>IF($P102="","",IF(INDEX(CalcNormDate,$P102)=0,"",INDEX(CalcNormDate,$P102)))</f>
        <v/>
      </c>
      <c r="C102" s="28">
        <f>IF($P102="","",IF(INDEX(CalcTime,$P102)=0,"",INDEX(CalcTime,$P102)))</f>
        <v/>
      </c>
      <c r="D102" s="28">
        <f>IF($P102="","",IF(INDEX(EntryParty,$P102)=0,"",INDEX(EntryParty,$P102)))</f>
        <v/>
      </c>
      <c r="E102" s="28">
        <f>IF($P102="","",IF(INDEX(EntryPartyName,$P102)=0,"",INDEX(EntryPartyName,$P102)))</f>
        <v/>
      </c>
      <c r="F102" s="28">
        <f>IF($P102="","",IF(INDEX(EntryPartyType,$P102)=0,"",INDEX(EntryPartyType,$P102)))</f>
        <v/>
      </c>
      <c r="G102" s="28">
        <f>IF($P102="","",IF(INDEX(EntryTxnType,$P102)=0,"",INDEX(EntryTxnType,$P102)))</f>
        <v/>
      </c>
      <c r="H102" s="29">
        <f>IF($P102="","",IF(INDEX(EntryDep,$P102)=0,"",INDEX(EntryDep,$P102)))</f>
        <v/>
      </c>
      <c r="I102" s="29">
        <f>IF($P102="","",IF(INDEX(EntryWit,$P102)=0,"",INDEX(EntryWit,$P102)))</f>
        <v/>
      </c>
      <c r="J102" s="29">
        <f>IF($B102="","",IF($A102=1,$C$7,IF(J101="",0,J101))+IF($H102="",0,$H102)-IF($I102="",0,$I102))</f>
        <v/>
      </c>
      <c r="K102" s="29">
        <f>IF($P102="","",IF(INDEX(EntryMan,$P102)=0,"",INDEX(EntryMan,$P102)))</f>
        <v/>
      </c>
      <c r="L102" s="28">
        <f>IF($B102="","",IF($K102="","—",IF(ROUND($K102-$J102,0)=0,"√","×")))</f>
        <v/>
      </c>
      <c r="M102" s="28">
        <f>IF($B102="","",IF(COUNTIFS(EntryDates,$B102,CalcTime,$C102,CalcBank,$C$5,EntryParty,$D102,EntryDep,$H102,EntryWit,$I102)&gt;1,"تکرار",""))</f>
        <v/>
      </c>
      <c r="N102" s="28">
        <f>IF($P102="","",IF(INDEX(EntryNotes,$P102)=0,"",INDEX(EntryNotes,$P102)))</f>
        <v/>
      </c>
      <c r="O102" s="28">
        <f>IF($P102="","",IF(INDEX(EntryTxnID,$P102)=0,"",INDEX(EntryTxnID,$P102)))</f>
        <v/>
      </c>
      <c r="P102" s="28">
        <f>IFERROR(MATCH($C$5&amp;"|"&amp;RIGHT("000000"&amp;86,6),CalcRankKey,0),"")</f>
        <v/>
      </c>
    </row>
    <row r="103">
      <c r="A103" s="26">
        <f>IF($B103="","",87)</f>
        <v/>
      </c>
      <c r="B103" s="26">
        <f>IF($P103="","",IF(INDEX(CalcNormDate,$P103)=0,"",INDEX(CalcNormDate,$P103)))</f>
        <v/>
      </c>
      <c r="C103" s="26">
        <f>IF($P103="","",IF(INDEX(CalcTime,$P103)=0,"",INDEX(CalcTime,$P103)))</f>
        <v/>
      </c>
      <c r="D103" s="26">
        <f>IF($P103="","",IF(INDEX(EntryParty,$P103)=0,"",INDEX(EntryParty,$P103)))</f>
        <v/>
      </c>
      <c r="E103" s="26">
        <f>IF($P103="","",IF(INDEX(EntryPartyName,$P103)=0,"",INDEX(EntryPartyName,$P103)))</f>
        <v/>
      </c>
      <c r="F103" s="26">
        <f>IF($P103="","",IF(INDEX(EntryPartyType,$P103)=0,"",INDEX(EntryPartyType,$P103)))</f>
        <v/>
      </c>
      <c r="G103" s="26">
        <f>IF($P103="","",IF(INDEX(EntryTxnType,$P103)=0,"",INDEX(EntryTxnType,$P103)))</f>
        <v/>
      </c>
      <c r="H103" s="27">
        <f>IF($P103="","",IF(INDEX(EntryDep,$P103)=0,"",INDEX(EntryDep,$P103)))</f>
        <v/>
      </c>
      <c r="I103" s="27">
        <f>IF($P103="","",IF(INDEX(EntryWit,$P103)=0,"",INDEX(EntryWit,$P103)))</f>
        <v/>
      </c>
      <c r="J103" s="27">
        <f>IF($B103="","",IF($A103=1,$C$7,IF(J102="",0,J102))+IF($H103="",0,$H103)-IF($I103="",0,$I103))</f>
        <v/>
      </c>
      <c r="K103" s="27">
        <f>IF($P103="","",IF(INDEX(EntryMan,$P103)=0,"",INDEX(EntryMan,$P103)))</f>
        <v/>
      </c>
      <c r="L103" s="26">
        <f>IF($B103="","",IF($K103="","—",IF(ROUND($K103-$J103,0)=0,"√","×")))</f>
        <v/>
      </c>
      <c r="M103" s="26">
        <f>IF($B103="","",IF(COUNTIFS(EntryDates,$B103,CalcTime,$C103,CalcBank,$C$5,EntryParty,$D103,EntryDep,$H103,EntryWit,$I103)&gt;1,"تکرار",""))</f>
        <v/>
      </c>
      <c r="N103" s="26">
        <f>IF($P103="","",IF(INDEX(EntryNotes,$P103)=0,"",INDEX(EntryNotes,$P103)))</f>
        <v/>
      </c>
      <c r="O103" s="26">
        <f>IF($P103="","",IF(INDEX(EntryTxnID,$P103)=0,"",INDEX(EntryTxnID,$P103)))</f>
        <v/>
      </c>
      <c r="P103" s="26">
        <f>IFERROR(MATCH($C$5&amp;"|"&amp;RIGHT("000000"&amp;87,6),CalcRankKey,0),"")</f>
        <v/>
      </c>
    </row>
    <row r="104">
      <c r="A104" s="28">
        <f>IF($B104="","",88)</f>
        <v/>
      </c>
      <c r="B104" s="28">
        <f>IF($P104="","",IF(INDEX(CalcNormDate,$P104)=0,"",INDEX(CalcNormDate,$P104)))</f>
        <v/>
      </c>
      <c r="C104" s="28">
        <f>IF($P104="","",IF(INDEX(CalcTime,$P104)=0,"",INDEX(CalcTime,$P104)))</f>
        <v/>
      </c>
      <c r="D104" s="28">
        <f>IF($P104="","",IF(INDEX(EntryParty,$P104)=0,"",INDEX(EntryParty,$P104)))</f>
        <v/>
      </c>
      <c r="E104" s="28">
        <f>IF($P104="","",IF(INDEX(EntryPartyName,$P104)=0,"",INDEX(EntryPartyName,$P104)))</f>
        <v/>
      </c>
      <c r="F104" s="28">
        <f>IF($P104="","",IF(INDEX(EntryPartyType,$P104)=0,"",INDEX(EntryPartyType,$P104)))</f>
        <v/>
      </c>
      <c r="G104" s="28">
        <f>IF($P104="","",IF(INDEX(EntryTxnType,$P104)=0,"",INDEX(EntryTxnType,$P104)))</f>
        <v/>
      </c>
      <c r="H104" s="29">
        <f>IF($P104="","",IF(INDEX(EntryDep,$P104)=0,"",INDEX(EntryDep,$P104)))</f>
        <v/>
      </c>
      <c r="I104" s="29">
        <f>IF($P104="","",IF(INDEX(EntryWit,$P104)=0,"",INDEX(EntryWit,$P104)))</f>
        <v/>
      </c>
      <c r="J104" s="29">
        <f>IF($B104="","",IF($A104=1,$C$7,IF(J103="",0,J103))+IF($H104="",0,$H104)-IF($I104="",0,$I104))</f>
        <v/>
      </c>
      <c r="K104" s="29">
        <f>IF($P104="","",IF(INDEX(EntryMan,$P104)=0,"",INDEX(EntryMan,$P104)))</f>
        <v/>
      </c>
      <c r="L104" s="28">
        <f>IF($B104="","",IF($K104="","—",IF(ROUND($K104-$J104,0)=0,"√","×")))</f>
        <v/>
      </c>
      <c r="M104" s="28">
        <f>IF($B104="","",IF(COUNTIFS(EntryDates,$B104,CalcTime,$C104,CalcBank,$C$5,EntryParty,$D104,EntryDep,$H104,EntryWit,$I104)&gt;1,"تکرار",""))</f>
        <v/>
      </c>
      <c r="N104" s="28">
        <f>IF($P104="","",IF(INDEX(EntryNotes,$P104)=0,"",INDEX(EntryNotes,$P104)))</f>
        <v/>
      </c>
      <c r="O104" s="28">
        <f>IF($P104="","",IF(INDEX(EntryTxnID,$P104)=0,"",INDEX(EntryTxnID,$P104)))</f>
        <v/>
      </c>
      <c r="P104" s="28">
        <f>IFERROR(MATCH($C$5&amp;"|"&amp;RIGHT("000000"&amp;88,6),CalcRankKey,0),"")</f>
        <v/>
      </c>
    </row>
    <row r="105">
      <c r="A105" s="26">
        <f>IF($B105="","",89)</f>
        <v/>
      </c>
      <c r="B105" s="26">
        <f>IF($P105="","",IF(INDEX(CalcNormDate,$P105)=0,"",INDEX(CalcNormDate,$P105)))</f>
        <v/>
      </c>
      <c r="C105" s="26">
        <f>IF($P105="","",IF(INDEX(CalcTime,$P105)=0,"",INDEX(CalcTime,$P105)))</f>
        <v/>
      </c>
      <c r="D105" s="26">
        <f>IF($P105="","",IF(INDEX(EntryParty,$P105)=0,"",INDEX(EntryParty,$P105)))</f>
        <v/>
      </c>
      <c r="E105" s="26">
        <f>IF($P105="","",IF(INDEX(EntryPartyName,$P105)=0,"",INDEX(EntryPartyName,$P105)))</f>
        <v/>
      </c>
      <c r="F105" s="26">
        <f>IF($P105="","",IF(INDEX(EntryPartyType,$P105)=0,"",INDEX(EntryPartyType,$P105)))</f>
        <v/>
      </c>
      <c r="G105" s="26">
        <f>IF($P105="","",IF(INDEX(EntryTxnType,$P105)=0,"",INDEX(EntryTxnType,$P105)))</f>
        <v/>
      </c>
      <c r="H105" s="27">
        <f>IF($P105="","",IF(INDEX(EntryDep,$P105)=0,"",INDEX(EntryDep,$P105)))</f>
        <v/>
      </c>
      <c r="I105" s="27">
        <f>IF($P105="","",IF(INDEX(EntryWit,$P105)=0,"",INDEX(EntryWit,$P105)))</f>
        <v/>
      </c>
      <c r="J105" s="27">
        <f>IF($B105="","",IF($A105=1,$C$7,IF(J104="",0,J104))+IF($H105="",0,$H105)-IF($I105="",0,$I105))</f>
        <v/>
      </c>
      <c r="K105" s="27">
        <f>IF($P105="","",IF(INDEX(EntryMan,$P105)=0,"",INDEX(EntryMan,$P105)))</f>
        <v/>
      </c>
      <c r="L105" s="26">
        <f>IF($B105="","",IF($K105="","—",IF(ROUND($K105-$J105,0)=0,"√","×")))</f>
        <v/>
      </c>
      <c r="M105" s="26">
        <f>IF($B105="","",IF(COUNTIFS(EntryDates,$B105,CalcTime,$C105,CalcBank,$C$5,EntryParty,$D105,EntryDep,$H105,EntryWit,$I105)&gt;1,"تکرار",""))</f>
        <v/>
      </c>
      <c r="N105" s="26">
        <f>IF($P105="","",IF(INDEX(EntryNotes,$P105)=0,"",INDEX(EntryNotes,$P105)))</f>
        <v/>
      </c>
      <c r="O105" s="26">
        <f>IF($P105="","",IF(INDEX(EntryTxnID,$P105)=0,"",INDEX(EntryTxnID,$P105)))</f>
        <v/>
      </c>
      <c r="P105" s="26">
        <f>IFERROR(MATCH($C$5&amp;"|"&amp;RIGHT("000000"&amp;89,6),CalcRankKey,0),"")</f>
        <v/>
      </c>
    </row>
    <row r="106">
      <c r="A106" s="28">
        <f>IF($B106="","",90)</f>
        <v/>
      </c>
      <c r="B106" s="28">
        <f>IF($P106="","",IF(INDEX(CalcNormDate,$P106)=0,"",INDEX(CalcNormDate,$P106)))</f>
        <v/>
      </c>
      <c r="C106" s="28">
        <f>IF($P106="","",IF(INDEX(CalcTime,$P106)=0,"",INDEX(CalcTime,$P106)))</f>
        <v/>
      </c>
      <c r="D106" s="28">
        <f>IF($P106="","",IF(INDEX(EntryParty,$P106)=0,"",INDEX(EntryParty,$P106)))</f>
        <v/>
      </c>
      <c r="E106" s="28">
        <f>IF($P106="","",IF(INDEX(EntryPartyName,$P106)=0,"",INDEX(EntryPartyName,$P106)))</f>
        <v/>
      </c>
      <c r="F106" s="28">
        <f>IF($P106="","",IF(INDEX(EntryPartyType,$P106)=0,"",INDEX(EntryPartyType,$P106)))</f>
        <v/>
      </c>
      <c r="G106" s="28">
        <f>IF($P106="","",IF(INDEX(EntryTxnType,$P106)=0,"",INDEX(EntryTxnType,$P106)))</f>
        <v/>
      </c>
      <c r="H106" s="29">
        <f>IF($P106="","",IF(INDEX(EntryDep,$P106)=0,"",INDEX(EntryDep,$P106)))</f>
        <v/>
      </c>
      <c r="I106" s="29">
        <f>IF($P106="","",IF(INDEX(EntryWit,$P106)=0,"",INDEX(EntryWit,$P106)))</f>
        <v/>
      </c>
      <c r="J106" s="29">
        <f>IF($B106="","",IF($A106=1,$C$7,IF(J105="",0,J105))+IF($H106="",0,$H106)-IF($I106="",0,$I106))</f>
        <v/>
      </c>
      <c r="K106" s="29">
        <f>IF($P106="","",IF(INDEX(EntryMan,$P106)=0,"",INDEX(EntryMan,$P106)))</f>
        <v/>
      </c>
      <c r="L106" s="28">
        <f>IF($B106="","",IF($K106="","—",IF(ROUND($K106-$J106,0)=0,"√","×")))</f>
        <v/>
      </c>
      <c r="M106" s="28">
        <f>IF($B106="","",IF(COUNTIFS(EntryDates,$B106,CalcTime,$C106,CalcBank,$C$5,EntryParty,$D106,EntryDep,$H106,EntryWit,$I106)&gt;1,"تکرار",""))</f>
        <v/>
      </c>
      <c r="N106" s="28">
        <f>IF($P106="","",IF(INDEX(EntryNotes,$P106)=0,"",INDEX(EntryNotes,$P106)))</f>
        <v/>
      </c>
      <c r="O106" s="28">
        <f>IF($P106="","",IF(INDEX(EntryTxnID,$P106)=0,"",INDEX(EntryTxnID,$P106)))</f>
        <v/>
      </c>
      <c r="P106" s="28">
        <f>IFERROR(MATCH($C$5&amp;"|"&amp;RIGHT("000000"&amp;90,6),CalcRankKey,0),"")</f>
        <v/>
      </c>
    </row>
    <row r="107">
      <c r="A107" s="26">
        <f>IF($B107="","",91)</f>
        <v/>
      </c>
      <c r="B107" s="26">
        <f>IF($P107="","",IF(INDEX(CalcNormDate,$P107)=0,"",INDEX(CalcNormDate,$P107)))</f>
        <v/>
      </c>
      <c r="C107" s="26">
        <f>IF($P107="","",IF(INDEX(CalcTime,$P107)=0,"",INDEX(CalcTime,$P107)))</f>
        <v/>
      </c>
      <c r="D107" s="26">
        <f>IF($P107="","",IF(INDEX(EntryParty,$P107)=0,"",INDEX(EntryParty,$P107)))</f>
        <v/>
      </c>
      <c r="E107" s="26">
        <f>IF($P107="","",IF(INDEX(EntryPartyName,$P107)=0,"",INDEX(EntryPartyName,$P107)))</f>
        <v/>
      </c>
      <c r="F107" s="26">
        <f>IF($P107="","",IF(INDEX(EntryPartyType,$P107)=0,"",INDEX(EntryPartyType,$P107)))</f>
        <v/>
      </c>
      <c r="G107" s="26">
        <f>IF($P107="","",IF(INDEX(EntryTxnType,$P107)=0,"",INDEX(EntryTxnType,$P107)))</f>
        <v/>
      </c>
      <c r="H107" s="27">
        <f>IF($P107="","",IF(INDEX(EntryDep,$P107)=0,"",INDEX(EntryDep,$P107)))</f>
        <v/>
      </c>
      <c r="I107" s="27">
        <f>IF($P107="","",IF(INDEX(EntryWit,$P107)=0,"",INDEX(EntryWit,$P107)))</f>
        <v/>
      </c>
      <c r="J107" s="27">
        <f>IF($B107="","",IF($A107=1,$C$7,IF(J106="",0,J106))+IF($H107="",0,$H107)-IF($I107="",0,$I107))</f>
        <v/>
      </c>
      <c r="K107" s="27">
        <f>IF($P107="","",IF(INDEX(EntryMan,$P107)=0,"",INDEX(EntryMan,$P107)))</f>
        <v/>
      </c>
      <c r="L107" s="26">
        <f>IF($B107="","",IF($K107="","—",IF(ROUND($K107-$J107,0)=0,"√","×")))</f>
        <v/>
      </c>
      <c r="M107" s="26">
        <f>IF($B107="","",IF(COUNTIFS(EntryDates,$B107,CalcTime,$C107,CalcBank,$C$5,EntryParty,$D107,EntryDep,$H107,EntryWit,$I107)&gt;1,"تکرار",""))</f>
        <v/>
      </c>
      <c r="N107" s="26">
        <f>IF($P107="","",IF(INDEX(EntryNotes,$P107)=0,"",INDEX(EntryNotes,$P107)))</f>
        <v/>
      </c>
      <c r="O107" s="26">
        <f>IF($P107="","",IF(INDEX(EntryTxnID,$P107)=0,"",INDEX(EntryTxnID,$P107)))</f>
        <v/>
      </c>
      <c r="P107" s="26">
        <f>IFERROR(MATCH($C$5&amp;"|"&amp;RIGHT("000000"&amp;91,6),CalcRankKey,0),"")</f>
        <v/>
      </c>
    </row>
    <row r="108">
      <c r="A108" s="28">
        <f>IF($B108="","",92)</f>
        <v/>
      </c>
      <c r="B108" s="28">
        <f>IF($P108="","",IF(INDEX(CalcNormDate,$P108)=0,"",INDEX(CalcNormDate,$P108)))</f>
        <v/>
      </c>
      <c r="C108" s="28">
        <f>IF($P108="","",IF(INDEX(CalcTime,$P108)=0,"",INDEX(CalcTime,$P108)))</f>
        <v/>
      </c>
      <c r="D108" s="28">
        <f>IF($P108="","",IF(INDEX(EntryParty,$P108)=0,"",INDEX(EntryParty,$P108)))</f>
        <v/>
      </c>
      <c r="E108" s="28">
        <f>IF($P108="","",IF(INDEX(EntryPartyName,$P108)=0,"",INDEX(EntryPartyName,$P108)))</f>
        <v/>
      </c>
      <c r="F108" s="28">
        <f>IF($P108="","",IF(INDEX(EntryPartyType,$P108)=0,"",INDEX(EntryPartyType,$P108)))</f>
        <v/>
      </c>
      <c r="G108" s="28">
        <f>IF($P108="","",IF(INDEX(EntryTxnType,$P108)=0,"",INDEX(EntryTxnType,$P108)))</f>
        <v/>
      </c>
      <c r="H108" s="29">
        <f>IF($P108="","",IF(INDEX(EntryDep,$P108)=0,"",INDEX(EntryDep,$P108)))</f>
        <v/>
      </c>
      <c r="I108" s="29">
        <f>IF($P108="","",IF(INDEX(EntryWit,$P108)=0,"",INDEX(EntryWit,$P108)))</f>
        <v/>
      </c>
      <c r="J108" s="29">
        <f>IF($B108="","",IF($A108=1,$C$7,IF(J107="",0,J107))+IF($H108="",0,$H108)-IF($I108="",0,$I108))</f>
        <v/>
      </c>
      <c r="K108" s="29">
        <f>IF($P108="","",IF(INDEX(EntryMan,$P108)=0,"",INDEX(EntryMan,$P108)))</f>
        <v/>
      </c>
      <c r="L108" s="28">
        <f>IF($B108="","",IF($K108="","—",IF(ROUND($K108-$J108,0)=0,"√","×")))</f>
        <v/>
      </c>
      <c r="M108" s="28">
        <f>IF($B108="","",IF(COUNTIFS(EntryDates,$B108,CalcTime,$C108,CalcBank,$C$5,EntryParty,$D108,EntryDep,$H108,EntryWit,$I108)&gt;1,"تکرار",""))</f>
        <v/>
      </c>
      <c r="N108" s="28">
        <f>IF($P108="","",IF(INDEX(EntryNotes,$P108)=0,"",INDEX(EntryNotes,$P108)))</f>
        <v/>
      </c>
      <c r="O108" s="28">
        <f>IF($P108="","",IF(INDEX(EntryTxnID,$P108)=0,"",INDEX(EntryTxnID,$P108)))</f>
        <v/>
      </c>
      <c r="P108" s="28">
        <f>IFERROR(MATCH($C$5&amp;"|"&amp;RIGHT("000000"&amp;92,6),CalcRankKey,0),"")</f>
        <v/>
      </c>
    </row>
    <row r="109">
      <c r="A109" s="26">
        <f>IF($B109="","",93)</f>
        <v/>
      </c>
      <c r="B109" s="26">
        <f>IF($P109="","",IF(INDEX(CalcNormDate,$P109)=0,"",INDEX(CalcNormDate,$P109)))</f>
        <v/>
      </c>
      <c r="C109" s="26">
        <f>IF($P109="","",IF(INDEX(CalcTime,$P109)=0,"",INDEX(CalcTime,$P109)))</f>
        <v/>
      </c>
      <c r="D109" s="26">
        <f>IF($P109="","",IF(INDEX(EntryParty,$P109)=0,"",INDEX(EntryParty,$P109)))</f>
        <v/>
      </c>
      <c r="E109" s="26">
        <f>IF($P109="","",IF(INDEX(EntryPartyName,$P109)=0,"",INDEX(EntryPartyName,$P109)))</f>
        <v/>
      </c>
      <c r="F109" s="26">
        <f>IF($P109="","",IF(INDEX(EntryPartyType,$P109)=0,"",INDEX(EntryPartyType,$P109)))</f>
        <v/>
      </c>
      <c r="G109" s="26">
        <f>IF($P109="","",IF(INDEX(EntryTxnType,$P109)=0,"",INDEX(EntryTxnType,$P109)))</f>
        <v/>
      </c>
      <c r="H109" s="27">
        <f>IF($P109="","",IF(INDEX(EntryDep,$P109)=0,"",INDEX(EntryDep,$P109)))</f>
        <v/>
      </c>
      <c r="I109" s="27">
        <f>IF($P109="","",IF(INDEX(EntryWit,$P109)=0,"",INDEX(EntryWit,$P109)))</f>
        <v/>
      </c>
      <c r="J109" s="27">
        <f>IF($B109="","",IF($A109=1,$C$7,IF(J108="",0,J108))+IF($H109="",0,$H109)-IF($I109="",0,$I109))</f>
        <v/>
      </c>
      <c r="K109" s="27">
        <f>IF($P109="","",IF(INDEX(EntryMan,$P109)=0,"",INDEX(EntryMan,$P109)))</f>
        <v/>
      </c>
      <c r="L109" s="26">
        <f>IF($B109="","",IF($K109="","—",IF(ROUND($K109-$J109,0)=0,"√","×")))</f>
        <v/>
      </c>
      <c r="M109" s="26">
        <f>IF($B109="","",IF(COUNTIFS(EntryDates,$B109,CalcTime,$C109,CalcBank,$C$5,EntryParty,$D109,EntryDep,$H109,EntryWit,$I109)&gt;1,"تکرار",""))</f>
        <v/>
      </c>
      <c r="N109" s="26">
        <f>IF($P109="","",IF(INDEX(EntryNotes,$P109)=0,"",INDEX(EntryNotes,$P109)))</f>
        <v/>
      </c>
      <c r="O109" s="26">
        <f>IF($P109="","",IF(INDEX(EntryTxnID,$P109)=0,"",INDEX(EntryTxnID,$P109)))</f>
        <v/>
      </c>
      <c r="P109" s="26">
        <f>IFERROR(MATCH($C$5&amp;"|"&amp;RIGHT("000000"&amp;93,6),CalcRankKey,0),"")</f>
        <v/>
      </c>
    </row>
    <row r="110">
      <c r="A110" s="28">
        <f>IF($B110="","",94)</f>
        <v/>
      </c>
      <c r="B110" s="28">
        <f>IF($P110="","",IF(INDEX(CalcNormDate,$P110)=0,"",INDEX(CalcNormDate,$P110)))</f>
        <v/>
      </c>
      <c r="C110" s="28">
        <f>IF($P110="","",IF(INDEX(CalcTime,$P110)=0,"",INDEX(CalcTime,$P110)))</f>
        <v/>
      </c>
      <c r="D110" s="28">
        <f>IF($P110="","",IF(INDEX(EntryParty,$P110)=0,"",INDEX(EntryParty,$P110)))</f>
        <v/>
      </c>
      <c r="E110" s="28">
        <f>IF($P110="","",IF(INDEX(EntryPartyName,$P110)=0,"",INDEX(EntryPartyName,$P110)))</f>
        <v/>
      </c>
      <c r="F110" s="28">
        <f>IF($P110="","",IF(INDEX(EntryPartyType,$P110)=0,"",INDEX(EntryPartyType,$P110)))</f>
        <v/>
      </c>
      <c r="G110" s="28">
        <f>IF($P110="","",IF(INDEX(EntryTxnType,$P110)=0,"",INDEX(EntryTxnType,$P110)))</f>
        <v/>
      </c>
      <c r="H110" s="29">
        <f>IF($P110="","",IF(INDEX(EntryDep,$P110)=0,"",INDEX(EntryDep,$P110)))</f>
        <v/>
      </c>
      <c r="I110" s="29">
        <f>IF($P110="","",IF(INDEX(EntryWit,$P110)=0,"",INDEX(EntryWit,$P110)))</f>
        <v/>
      </c>
      <c r="J110" s="29">
        <f>IF($B110="","",IF($A110=1,$C$7,IF(J109="",0,J109))+IF($H110="",0,$H110)-IF($I110="",0,$I110))</f>
        <v/>
      </c>
      <c r="K110" s="29">
        <f>IF($P110="","",IF(INDEX(EntryMan,$P110)=0,"",INDEX(EntryMan,$P110)))</f>
        <v/>
      </c>
      <c r="L110" s="28">
        <f>IF($B110="","",IF($K110="","—",IF(ROUND($K110-$J110,0)=0,"√","×")))</f>
        <v/>
      </c>
      <c r="M110" s="28">
        <f>IF($B110="","",IF(COUNTIFS(EntryDates,$B110,CalcTime,$C110,CalcBank,$C$5,EntryParty,$D110,EntryDep,$H110,EntryWit,$I110)&gt;1,"تکرار",""))</f>
        <v/>
      </c>
      <c r="N110" s="28">
        <f>IF($P110="","",IF(INDEX(EntryNotes,$P110)=0,"",INDEX(EntryNotes,$P110)))</f>
        <v/>
      </c>
      <c r="O110" s="28">
        <f>IF($P110="","",IF(INDEX(EntryTxnID,$P110)=0,"",INDEX(EntryTxnID,$P110)))</f>
        <v/>
      </c>
      <c r="P110" s="28">
        <f>IFERROR(MATCH($C$5&amp;"|"&amp;RIGHT("000000"&amp;94,6),CalcRankKey,0),"")</f>
        <v/>
      </c>
    </row>
    <row r="111">
      <c r="A111" s="26">
        <f>IF($B111="","",95)</f>
        <v/>
      </c>
      <c r="B111" s="26">
        <f>IF($P111="","",IF(INDEX(CalcNormDate,$P111)=0,"",INDEX(CalcNormDate,$P111)))</f>
        <v/>
      </c>
      <c r="C111" s="26">
        <f>IF($P111="","",IF(INDEX(CalcTime,$P111)=0,"",INDEX(CalcTime,$P111)))</f>
        <v/>
      </c>
      <c r="D111" s="26">
        <f>IF($P111="","",IF(INDEX(EntryParty,$P111)=0,"",INDEX(EntryParty,$P111)))</f>
        <v/>
      </c>
      <c r="E111" s="26">
        <f>IF($P111="","",IF(INDEX(EntryPartyName,$P111)=0,"",INDEX(EntryPartyName,$P111)))</f>
        <v/>
      </c>
      <c r="F111" s="26">
        <f>IF($P111="","",IF(INDEX(EntryPartyType,$P111)=0,"",INDEX(EntryPartyType,$P111)))</f>
        <v/>
      </c>
      <c r="G111" s="26">
        <f>IF($P111="","",IF(INDEX(EntryTxnType,$P111)=0,"",INDEX(EntryTxnType,$P111)))</f>
        <v/>
      </c>
      <c r="H111" s="27">
        <f>IF($P111="","",IF(INDEX(EntryDep,$P111)=0,"",INDEX(EntryDep,$P111)))</f>
        <v/>
      </c>
      <c r="I111" s="27">
        <f>IF($P111="","",IF(INDEX(EntryWit,$P111)=0,"",INDEX(EntryWit,$P111)))</f>
        <v/>
      </c>
      <c r="J111" s="27">
        <f>IF($B111="","",IF($A111=1,$C$7,IF(J110="",0,J110))+IF($H111="",0,$H111)-IF($I111="",0,$I111))</f>
        <v/>
      </c>
      <c r="K111" s="27">
        <f>IF($P111="","",IF(INDEX(EntryMan,$P111)=0,"",INDEX(EntryMan,$P111)))</f>
        <v/>
      </c>
      <c r="L111" s="26">
        <f>IF($B111="","",IF($K111="","—",IF(ROUND($K111-$J111,0)=0,"√","×")))</f>
        <v/>
      </c>
      <c r="M111" s="26">
        <f>IF($B111="","",IF(COUNTIFS(EntryDates,$B111,CalcTime,$C111,CalcBank,$C$5,EntryParty,$D111,EntryDep,$H111,EntryWit,$I111)&gt;1,"تکرار",""))</f>
        <v/>
      </c>
      <c r="N111" s="26">
        <f>IF($P111="","",IF(INDEX(EntryNotes,$P111)=0,"",INDEX(EntryNotes,$P111)))</f>
        <v/>
      </c>
      <c r="O111" s="26">
        <f>IF($P111="","",IF(INDEX(EntryTxnID,$P111)=0,"",INDEX(EntryTxnID,$P111)))</f>
        <v/>
      </c>
      <c r="P111" s="26">
        <f>IFERROR(MATCH($C$5&amp;"|"&amp;RIGHT("000000"&amp;95,6),CalcRankKey,0),"")</f>
        <v/>
      </c>
    </row>
    <row r="112">
      <c r="A112" s="28">
        <f>IF($B112="","",96)</f>
        <v/>
      </c>
      <c r="B112" s="28">
        <f>IF($P112="","",IF(INDEX(CalcNormDate,$P112)=0,"",INDEX(CalcNormDate,$P112)))</f>
        <v/>
      </c>
      <c r="C112" s="28">
        <f>IF($P112="","",IF(INDEX(CalcTime,$P112)=0,"",INDEX(CalcTime,$P112)))</f>
        <v/>
      </c>
      <c r="D112" s="28">
        <f>IF($P112="","",IF(INDEX(EntryParty,$P112)=0,"",INDEX(EntryParty,$P112)))</f>
        <v/>
      </c>
      <c r="E112" s="28">
        <f>IF($P112="","",IF(INDEX(EntryPartyName,$P112)=0,"",INDEX(EntryPartyName,$P112)))</f>
        <v/>
      </c>
      <c r="F112" s="28">
        <f>IF($P112="","",IF(INDEX(EntryPartyType,$P112)=0,"",INDEX(EntryPartyType,$P112)))</f>
        <v/>
      </c>
      <c r="G112" s="28">
        <f>IF($P112="","",IF(INDEX(EntryTxnType,$P112)=0,"",INDEX(EntryTxnType,$P112)))</f>
        <v/>
      </c>
      <c r="H112" s="29">
        <f>IF($P112="","",IF(INDEX(EntryDep,$P112)=0,"",INDEX(EntryDep,$P112)))</f>
        <v/>
      </c>
      <c r="I112" s="29">
        <f>IF($P112="","",IF(INDEX(EntryWit,$P112)=0,"",INDEX(EntryWit,$P112)))</f>
        <v/>
      </c>
      <c r="J112" s="29">
        <f>IF($B112="","",IF($A112=1,$C$7,IF(J111="",0,J111))+IF($H112="",0,$H112)-IF($I112="",0,$I112))</f>
        <v/>
      </c>
      <c r="K112" s="29">
        <f>IF($P112="","",IF(INDEX(EntryMan,$P112)=0,"",INDEX(EntryMan,$P112)))</f>
        <v/>
      </c>
      <c r="L112" s="28">
        <f>IF($B112="","",IF($K112="","—",IF(ROUND($K112-$J112,0)=0,"√","×")))</f>
        <v/>
      </c>
      <c r="M112" s="28">
        <f>IF($B112="","",IF(COUNTIFS(EntryDates,$B112,CalcTime,$C112,CalcBank,$C$5,EntryParty,$D112,EntryDep,$H112,EntryWit,$I112)&gt;1,"تکرار",""))</f>
        <v/>
      </c>
      <c r="N112" s="28">
        <f>IF($P112="","",IF(INDEX(EntryNotes,$P112)=0,"",INDEX(EntryNotes,$P112)))</f>
        <v/>
      </c>
      <c r="O112" s="28">
        <f>IF($P112="","",IF(INDEX(EntryTxnID,$P112)=0,"",INDEX(EntryTxnID,$P112)))</f>
        <v/>
      </c>
      <c r="P112" s="28">
        <f>IFERROR(MATCH($C$5&amp;"|"&amp;RIGHT("000000"&amp;96,6),CalcRankKey,0),"")</f>
        <v/>
      </c>
    </row>
    <row r="113">
      <c r="A113" s="26">
        <f>IF($B113="","",97)</f>
        <v/>
      </c>
      <c r="B113" s="26">
        <f>IF($P113="","",IF(INDEX(CalcNormDate,$P113)=0,"",INDEX(CalcNormDate,$P113)))</f>
        <v/>
      </c>
      <c r="C113" s="26">
        <f>IF($P113="","",IF(INDEX(CalcTime,$P113)=0,"",INDEX(CalcTime,$P113)))</f>
        <v/>
      </c>
      <c r="D113" s="26">
        <f>IF($P113="","",IF(INDEX(EntryParty,$P113)=0,"",INDEX(EntryParty,$P113)))</f>
        <v/>
      </c>
      <c r="E113" s="26">
        <f>IF($P113="","",IF(INDEX(EntryPartyName,$P113)=0,"",INDEX(EntryPartyName,$P113)))</f>
        <v/>
      </c>
      <c r="F113" s="26">
        <f>IF($P113="","",IF(INDEX(EntryPartyType,$P113)=0,"",INDEX(EntryPartyType,$P113)))</f>
        <v/>
      </c>
      <c r="G113" s="26">
        <f>IF($P113="","",IF(INDEX(EntryTxnType,$P113)=0,"",INDEX(EntryTxnType,$P113)))</f>
        <v/>
      </c>
      <c r="H113" s="27">
        <f>IF($P113="","",IF(INDEX(EntryDep,$P113)=0,"",INDEX(EntryDep,$P113)))</f>
        <v/>
      </c>
      <c r="I113" s="27">
        <f>IF($P113="","",IF(INDEX(EntryWit,$P113)=0,"",INDEX(EntryWit,$P113)))</f>
        <v/>
      </c>
      <c r="J113" s="27">
        <f>IF($B113="","",IF($A113=1,$C$7,IF(J112="",0,J112))+IF($H113="",0,$H113)-IF($I113="",0,$I113))</f>
        <v/>
      </c>
      <c r="K113" s="27">
        <f>IF($P113="","",IF(INDEX(EntryMan,$P113)=0,"",INDEX(EntryMan,$P113)))</f>
        <v/>
      </c>
      <c r="L113" s="26">
        <f>IF($B113="","",IF($K113="","—",IF(ROUND($K113-$J113,0)=0,"√","×")))</f>
        <v/>
      </c>
      <c r="M113" s="26">
        <f>IF($B113="","",IF(COUNTIFS(EntryDates,$B113,CalcTime,$C113,CalcBank,$C$5,EntryParty,$D113,EntryDep,$H113,EntryWit,$I113)&gt;1,"تکرار",""))</f>
        <v/>
      </c>
      <c r="N113" s="26">
        <f>IF($P113="","",IF(INDEX(EntryNotes,$P113)=0,"",INDEX(EntryNotes,$P113)))</f>
        <v/>
      </c>
      <c r="O113" s="26">
        <f>IF($P113="","",IF(INDEX(EntryTxnID,$P113)=0,"",INDEX(EntryTxnID,$P113)))</f>
        <v/>
      </c>
      <c r="P113" s="26">
        <f>IFERROR(MATCH($C$5&amp;"|"&amp;RIGHT("000000"&amp;97,6),CalcRankKey,0),"")</f>
        <v/>
      </c>
    </row>
    <row r="114">
      <c r="A114" s="28">
        <f>IF($B114="","",98)</f>
        <v/>
      </c>
      <c r="B114" s="28">
        <f>IF($P114="","",IF(INDEX(CalcNormDate,$P114)=0,"",INDEX(CalcNormDate,$P114)))</f>
        <v/>
      </c>
      <c r="C114" s="28">
        <f>IF($P114="","",IF(INDEX(CalcTime,$P114)=0,"",INDEX(CalcTime,$P114)))</f>
        <v/>
      </c>
      <c r="D114" s="28">
        <f>IF($P114="","",IF(INDEX(EntryParty,$P114)=0,"",INDEX(EntryParty,$P114)))</f>
        <v/>
      </c>
      <c r="E114" s="28">
        <f>IF($P114="","",IF(INDEX(EntryPartyName,$P114)=0,"",INDEX(EntryPartyName,$P114)))</f>
        <v/>
      </c>
      <c r="F114" s="28">
        <f>IF($P114="","",IF(INDEX(EntryPartyType,$P114)=0,"",INDEX(EntryPartyType,$P114)))</f>
        <v/>
      </c>
      <c r="G114" s="28">
        <f>IF($P114="","",IF(INDEX(EntryTxnType,$P114)=0,"",INDEX(EntryTxnType,$P114)))</f>
        <v/>
      </c>
      <c r="H114" s="29">
        <f>IF($P114="","",IF(INDEX(EntryDep,$P114)=0,"",INDEX(EntryDep,$P114)))</f>
        <v/>
      </c>
      <c r="I114" s="29">
        <f>IF($P114="","",IF(INDEX(EntryWit,$P114)=0,"",INDEX(EntryWit,$P114)))</f>
        <v/>
      </c>
      <c r="J114" s="29">
        <f>IF($B114="","",IF($A114=1,$C$7,IF(J113="",0,J113))+IF($H114="",0,$H114)-IF($I114="",0,$I114))</f>
        <v/>
      </c>
      <c r="K114" s="29">
        <f>IF($P114="","",IF(INDEX(EntryMan,$P114)=0,"",INDEX(EntryMan,$P114)))</f>
        <v/>
      </c>
      <c r="L114" s="28">
        <f>IF($B114="","",IF($K114="","—",IF(ROUND($K114-$J114,0)=0,"√","×")))</f>
        <v/>
      </c>
      <c r="M114" s="28">
        <f>IF($B114="","",IF(COUNTIFS(EntryDates,$B114,CalcTime,$C114,CalcBank,$C$5,EntryParty,$D114,EntryDep,$H114,EntryWit,$I114)&gt;1,"تکرار",""))</f>
        <v/>
      </c>
      <c r="N114" s="28">
        <f>IF($P114="","",IF(INDEX(EntryNotes,$P114)=0,"",INDEX(EntryNotes,$P114)))</f>
        <v/>
      </c>
      <c r="O114" s="28">
        <f>IF($P114="","",IF(INDEX(EntryTxnID,$P114)=0,"",INDEX(EntryTxnID,$P114)))</f>
        <v/>
      </c>
      <c r="P114" s="28">
        <f>IFERROR(MATCH($C$5&amp;"|"&amp;RIGHT("000000"&amp;98,6),CalcRankKey,0),"")</f>
        <v/>
      </c>
    </row>
    <row r="115">
      <c r="A115" s="26">
        <f>IF($B115="","",99)</f>
        <v/>
      </c>
      <c r="B115" s="26">
        <f>IF($P115="","",IF(INDEX(CalcNormDate,$P115)=0,"",INDEX(CalcNormDate,$P115)))</f>
        <v/>
      </c>
      <c r="C115" s="26">
        <f>IF($P115="","",IF(INDEX(CalcTime,$P115)=0,"",INDEX(CalcTime,$P115)))</f>
        <v/>
      </c>
      <c r="D115" s="26">
        <f>IF($P115="","",IF(INDEX(EntryParty,$P115)=0,"",INDEX(EntryParty,$P115)))</f>
        <v/>
      </c>
      <c r="E115" s="26">
        <f>IF($P115="","",IF(INDEX(EntryPartyName,$P115)=0,"",INDEX(EntryPartyName,$P115)))</f>
        <v/>
      </c>
      <c r="F115" s="26">
        <f>IF($P115="","",IF(INDEX(EntryPartyType,$P115)=0,"",INDEX(EntryPartyType,$P115)))</f>
        <v/>
      </c>
      <c r="G115" s="26">
        <f>IF($P115="","",IF(INDEX(EntryTxnType,$P115)=0,"",INDEX(EntryTxnType,$P115)))</f>
        <v/>
      </c>
      <c r="H115" s="27">
        <f>IF($P115="","",IF(INDEX(EntryDep,$P115)=0,"",INDEX(EntryDep,$P115)))</f>
        <v/>
      </c>
      <c r="I115" s="27">
        <f>IF($P115="","",IF(INDEX(EntryWit,$P115)=0,"",INDEX(EntryWit,$P115)))</f>
        <v/>
      </c>
      <c r="J115" s="27">
        <f>IF($B115="","",IF($A115=1,$C$7,IF(J114="",0,J114))+IF($H115="",0,$H115)-IF($I115="",0,$I115))</f>
        <v/>
      </c>
      <c r="K115" s="27">
        <f>IF($P115="","",IF(INDEX(EntryMan,$P115)=0,"",INDEX(EntryMan,$P115)))</f>
        <v/>
      </c>
      <c r="L115" s="26">
        <f>IF($B115="","",IF($K115="","—",IF(ROUND($K115-$J115,0)=0,"√","×")))</f>
        <v/>
      </c>
      <c r="M115" s="26">
        <f>IF($B115="","",IF(COUNTIFS(EntryDates,$B115,CalcTime,$C115,CalcBank,$C$5,EntryParty,$D115,EntryDep,$H115,EntryWit,$I115)&gt;1,"تکرار",""))</f>
        <v/>
      </c>
      <c r="N115" s="26">
        <f>IF($P115="","",IF(INDEX(EntryNotes,$P115)=0,"",INDEX(EntryNotes,$P115)))</f>
        <v/>
      </c>
      <c r="O115" s="26">
        <f>IF($P115="","",IF(INDEX(EntryTxnID,$P115)=0,"",INDEX(EntryTxnID,$P115)))</f>
        <v/>
      </c>
      <c r="P115" s="26">
        <f>IFERROR(MATCH($C$5&amp;"|"&amp;RIGHT("000000"&amp;99,6),CalcRankKey,0),"")</f>
        <v/>
      </c>
    </row>
    <row r="116">
      <c r="A116" s="28">
        <f>IF($B116="","",100)</f>
        <v/>
      </c>
      <c r="B116" s="28">
        <f>IF($P116="","",IF(INDEX(CalcNormDate,$P116)=0,"",INDEX(CalcNormDate,$P116)))</f>
        <v/>
      </c>
      <c r="C116" s="28">
        <f>IF($P116="","",IF(INDEX(CalcTime,$P116)=0,"",INDEX(CalcTime,$P116)))</f>
        <v/>
      </c>
      <c r="D116" s="28">
        <f>IF($P116="","",IF(INDEX(EntryParty,$P116)=0,"",INDEX(EntryParty,$P116)))</f>
        <v/>
      </c>
      <c r="E116" s="28">
        <f>IF($P116="","",IF(INDEX(EntryPartyName,$P116)=0,"",INDEX(EntryPartyName,$P116)))</f>
        <v/>
      </c>
      <c r="F116" s="28">
        <f>IF($P116="","",IF(INDEX(EntryPartyType,$P116)=0,"",INDEX(EntryPartyType,$P116)))</f>
        <v/>
      </c>
      <c r="G116" s="28">
        <f>IF($P116="","",IF(INDEX(EntryTxnType,$P116)=0,"",INDEX(EntryTxnType,$P116)))</f>
        <v/>
      </c>
      <c r="H116" s="29">
        <f>IF($P116="","",IF(INDEX(EntryDep,$P116)=0,"",INDEX(EntryDep,$P116)))</f>
        <v/>
      </c>
      <c r="I116" s="29">
        <f>IF($P116="","",IF(INDEX(EntryWit,$P116)=0,"",INDEX(EntryWit,$P116)))</f>
        <v/>
      </c>
      <c r="J116" s="29">
        <f>IF($B116="","",IF($A116=1,$C$7,IF(J115="",0,J115))+IF($H116="",0,$H116)-IF($I116="",0,$I116))</f>
        <v/>
      </c>
      <c r="K116" s="29">
        <f>IF($P116="","",IF(INDEX(EntryMan,$P116)=0,"",INDEX(EntryMan,$P116)))</f>
        <v/>
      </c>
      <c r="L116" s="28">
        <f>IF($B116="","",IF($K116="","—",IF(ROUND($K116-$J116,0)=0,"√","×")))</f>
        <v/>
      </c>
      <c r="M116" s="28">
        <f>IF($B116="","",IF(COUNTIFS(EntryDates,$B116,CalcTime,$C116,CalcBank,$C$5,EntryParty,$D116,EntryDep,$H116,EntryWit,$I116)&gt;1,"تکرار",""))</f>
        <v/>
      </c>
      <c r="N116" s="28">
        <f>IF($P116="","",IF(INDEX(EntryNotes,$P116)=0,"",INDEX(EntryNotes,$P116)))</f>
        <v/>
      </c>
      <c r="O116" s="28">
        <f>IF($P116="","",IF(INDEX(EntryTxnID,$P116)=0,"",INDEX(EntryTxnID,$P116)))</f>
        <v/>
      </c>
      <c r="P116" s="28">
        <f>IFERROR(MATCH($C$5&amp;"|"&amp;RIGHT("000000"&amp;100,6),CalcRankKey,0),"")</f>
        <v/>
      </c>
    </row>
    <row r="117">
      <c r="A117" s="26">
        <f>IF($B117="","",101)</f>
        <v/>
      </c>
      <c r="B117" s="26">
        <f>IF($P117="","",IF(INDEX(CalcNormDate,$P117)=0,"",INDEX(CalcNormDate,$P117)))</f>
        <v/>
      </c>
      <c r="C117" s="26">
        <f>IF($P117="","",IF(INDEX(CalcTime,$P117)=0,"",INDEX(CalcTime,$P117)))</f>
        <v/>
      </c>
      <c r="D117" s="26">
        <f>IF($P117="","",IF(INDEX(EntryParty,$P117)=0,"",INDEX(EntryParty,$P117)))</f>
        <v/>
      </c>
      <c r="E117" s="26">
        <f>IF($P117="","",IF(INDEX(EntryPartyName,$P117)=0,"",INDEX(EntryPartyName,$P117)))</f>
        <v/>
      </c>
      <c r="F117" s="26">
        <f>IF($P117="","",IF(INDEX(EntryPartyType,$P117)=0,"",INDEX(EntryPartyType,$P117)))</f>
        <v/>
      </c>
      <c r="G117" s="26">
        <f>IF($P117="","",IF(INDEX(EntryTxnType,$P117)=0,"",INDEX(EntryTxnType,$P117)))</f>
        <v/>
      </c>
      <c r="H117" s="27">
        <f>IF($P117="","",IF(INDEX(EntryDep,$P117)=0,"",INDEX(EntryDep,$P117)))</f>
        <v/>
      </c>
      <c r="I117" s="27">
        <f>IF($P117="","",IF(INDEX(EntryWit,$P117)=0,"",INDEX(EntryWit,$P117)))</f>
        <v/>
      </c>
      <c r="J117" s="27">
        <f>IF($B117="","",IF($A117=1,$C$7,IF(J116="",0,J116))+IF($H117="",0,$H117)-IF($I117="",0,$I117))</f>
        <v/>
      </c>
      <c r="K117" s="27">
        <f>IF($P117="","",IF(INDEX(EntryMan,$P117)=0,"",INDEX(EntryMan,$P117)))</f>
        <v/>
      </c>
      <c r="L117" s="26">
        <f>IF($B117="","",IF($K117="","—",IF(ROUND($K117-$J117,0)=0,"√","×")))</f>
        <v/>
      </c>
      <c r="M117" s="26">
        <f>IF($B117="","",IF(COUNTIFS(EntryDates,$B117,CalcTime,$C117,CalcBank,$C$5,EntryParty,$D117,EntryDep,$H117,EntryWit,$I117)&gt;1,"تکرار",""))</f>
        <v/>
      </c>
      <c r="N117" s="26">
        <f>IF($P117="","",IF(INDEX(EntryNotes,$P117)=0,"",INDEX(EntryNotes,$P117)))</f>
        <v/>
      </c>
      <c r="O117" s="26">
        <f>IF($P117="","",IF(INDEX(EntryTxnID,$P117)=0,"",INDEX(EntryTxnID,$P117)))</f>
        <v/>
      </c>
      <c r="P117" s="26">
        <f>IFERROR(MATCH($C$5&amp;"|"&amp;RIGHT("000000"&amp;101,6),CalcRankKey,0),"")</f>
        <v/>
      </c>
    </row>
    <row r="118">
      <c r="A118" s="28">
        <f>IF($B118="","",102)</f>
        <v/>
      </c>
      <c r="B118" s="28">
        <f>IF($P118="","",IF(INDEX(CalcNormDate,$P118)=0,"",INDEX(CalcNormDate,$P118)))</f>
        <v/>
      </c>
      <c r="C118" s="28">
        <f>IF($P118="","",IF(INDEX(CalcTime,$P118)=0,"",INDEX(CalcTime,$P118)))</f>
        <v/>
      </c>
      <c r="D118" s="28">
        <f>IF($P118="","",IF(INDEX(EntryParty,$P118)=0,"",INDEX(EntryParty,$P118)))</f>
        <v/>
      </c>
      <c r="E118" s="28">
        <f>IF($P118="","",IF(INDEX(EntryPartyName,$P118)=0,"",INDEX(EntryPartyName,$P118)))</f>
        <v/>
      </c>
      <c r="F118" s="28">
        <f>IF($P118="","",IF(INDEX(EntryPartyType,$P118)=0,"",INDEX(EntryPartyType,$P118)))</f>
        <v/>
      </c>
      <c r="G118" s="28">
        <f>IF($P118="","",IF(INDEX(EntryTxnType,$P118)=0,"",INDEX(EntryTxnType,$P118)))</f>
        <v/>
      </c>
      <c r="H118" s="29">
        <f>IF($P118="","",IF(INDEX(EntryDep,$P118)=0,"",INDEX(EntryDep,$P118)))</f>
        <v/>
      </c>
      <c r="I118" s="29">
        <f>IF($P118="","",IF(INDEX(EntryWit,$P118)=0,"",INDEX(EntryWit,$P118)))</f>
        <v/>
      </c>
      <c r="J118" s="29">
        <f>IF($B118="","",IF($A118=1,$C$7,IF(J117="",0,J117))+IF($H118="",0,$H118)-IF($I118="",0,$I118))</f>
        <v/>
      </c>
      <c r="K118" s="29">
        <f>IF($P118="","",IF(INDEX(EntryMan,$P118)=0,"",INDEX(EntryMan,$P118)))</f>
        <v/>
      </c>
      <c r="L118" s="28">
        <f>IF($B118="","",IF($K118="","—",IF(ROUND($K118-$J118,0)=0,"√","×")))</f>
        <v/>
      </c>
      <c r="M118" s="28">
        <f>IF($B118="","",IF(COUNTIFS(EntryDates,$B118,CalcTime,$C118,CalcBank,$C$5,EntryParty,$D118,EntryDep,$H118,EntryWit,$I118)&gt;1,"تکرار",""))</f>
        <v/>
      </c>
      <c r="N118" s="28">
        <f>IF($P118="","",IF(INDEX(EntryNotes,$P118)=0,"",INDEX(EntryNotes,$P118)))</f>
        <v/>
      </c>
      <c r="O118" s="28">
        <f>IF($P118="","",IF(INDEX(EntryTxnID,$P118)=0,"",INDEX(EntryTxnID,$P118)))</f>
        <v/>
      </c>
      <c r="P118" s="28">
        <f>IFERROR(MATCH($C$5&amp;"|"&amp;RIGHT("000000"&amp;102,6),CalcRankKey,0),"")</f>
        <v/>
      </c>
    </row>
    <row r="119">
      <c r="A119" s="26">
        <f>IF($B119="","",103)</f>
        <v/>
      </c>
      <c r="B119" s="26">
        <f>IF($P119="","",IF(INDEX(CalcNormDate,$P119)=0,"",INDEX(CalcNormDate,$P119)))</f>
        <v/>
      </c>
      <c r="C119" s="26">
        <f>IF($P119="","",IF(INDEX(CalcTime,$P119)=0,"",INDEX(CalcTime,$P119)))</f>
        <v/>
      </c>
      <c r="D119" s="26">
        <f>IF($P119="","",IF(INDEX(EntryParty,$P119)=0,"",INDEX(EntryParty,$P119)))</f>
        <v/>
      </c>
      <c r="E119" s="26">
        <f>IF($P119="","",IF(INDEX(EntryPartyName,$P119)=0,"",INDEX(EntryPartyName,$P119)))</f>
        <v/>
      </c>
      <c r="F119" s="26">
        <f>IF($P119="","",IF(INDEX(EntryPartyType,$P119)=0,"",INDEX(EntryPartyType,$P119)))</f>
        <v/>
      </c>
      <c r="G119" s="26">
        <f>IF($P119="","",IF(INDEX(EntryTxnType,$P119)=0,"",INDEX(EntryTxnType,$P119)))</f>
        <v/>
      </c>
      <c r="H119" s="27">
        <f>IF($P119="","",IF(INDEX(EntryDep,$P119)=0,"",INDEX(EntryDep,$P119)))</f>
        <v/>
      </c>
      <c r="I119" s="27">
        <f>IF($P119="","",IF(INDEX(EntryWit,$P119)=0,"",INDEX(EntryWit,$P119)))</f>
        <v/>
      </c>
      <c r="J119" s="27">
        <f>IF($B119="","",IF($A119=1,$C$7,IF(J118="",0,J118))+IF($H119="",0,$H119)-IF($I119="",0,$I119))</f>
        <v/>
      </c>
      <c r="K119" s="27">
        <f>IF($P119="","",IF(INDEX(EntryMan,$P119)=0,"",INDEX(EntryMan,$P119)))</f>
        <v/>
      </c>
      <c r="L119" s="26">
        <f>IF($B119="","",IF($K119="","—",IF(ROUND($K119-$J119,0)=0,"√","×")))</f>
        <v/>
      </c>
      <c r="M119" s="26">
        <f>IF($B119="","",IF(COUNTIFS(EntryDates,$B119,CalcTime,$C119,CalcBank,$C$5,EntryParty,$D119,EntryDep,$H119,EntryWit,$I119)&gt;1,"تکرار",""))</f>
        <v/>
      </c>
      <c r="N119" s="26">
        <f>IF($P119="","",IF(INDEX(EntryNotes,$P119)=0,"",INDEX(EntryNotes,$P119)))</f>
        <v/>
      </c>
      <c r="O119" s="26">
        <f>IF($P119="","",IF(INDEX(EntryTxnID,$P119)=0,"",INDEX(EntryTxnID,$P119)))</f>
        <v/>
      </c>
      <c r="P119" s="26">
        <f>IFERROR(MATCH($C$5&amp;"|"&amp;RIGHT("000000"&amp;103,6),CalcRankKey,0),"")</f>
        <v/>
      </c>
    </row>
    <row r="120">
      <c r="A120" s="28">
        <f>IF($B120="","",104)</f>
        <v/>
      </c>
      <c r="B120" s="28">
        <f>IF($P120="","",IF(INDEX(CalcNormDate,$P120)=0,"",INDEX(CalcNormDate,$P120)))</f>
        <v/>
      </c>
      <c r="C120" s="28">
        <f>IF($P120="","",IF(INDEX(CalcTime,$P120)=0,"",INDEX(CalcTime,$P120)))</f>
        <v/>
      </c>
      <c r="D120" s="28">
        <f>IF($P120="","",IF(INDEX(EntryParty,$P120)=0,"",INDEX(EntryParty,$P120)))</f>
        <v/>
      </c>
      <c r="E120" s="28">
        <f>IF($P120="","",IF(INDEX(EntryPartyName,$P120)=0,"",INDEX(EntryPartyName,$P120)))</f>
        <v/>
      </c>
      <c r="F120" s="28">
        <f>IF($P120="","",IF(INDEX(EntryPartyType,$P120)=0,"",INDEX(EntryPartyType,$P120)))</f>
        <v/>
      </c>
      <c r="G120" s="28">
        <f>IF($P120="","",IF(INDEX(EntryTxnType,$P120)=0,"",INDEX(EntryTxnType,$P120)))</f>
        <v/>
      </c>
      <c r="H120" s="29">
        <f>IF($P120="","",IF(INDEX(EntryDep,$P120)=0,"",INDEX(EntryDep,$P120)))</f>
        <v/>
      </c>
      <c r="I120" s="29">
        <f>IF($P120="","",IF(INDEX(EntryWit,$P120)=0,"",INDEX(EntryWit,$P120)))</f>
        <v/>
      </c>
      <c r="J120" s="29">
        <f>IF($B120="","",IF($A120=1,$C$7,IF(J119="",0,J119))+IF($H120="",0,$H120)-IF($I120="",0,$I120))</f>
        <v/>
      </c>
      <c r="K120" s="29">
        <f>IF($P120="","",IF(INDEX(EntryMan,$P120)=0,"",INDEX(EntryMan,$P120)))</f>
        <v/>
      </c>
      <c r="L120" s="28">
        <f>IF($B120="","",IF($K120="","—",IF(ROUND($K120-$J120,0)=0,"√","×")))</f>
        <v/>
      </c>
      <c r="M120" s="28">
        <f>IF($B120="","",IF(COUNTIFS(EntryDates,$B120,CalcTime,$C120,CalcBank,$C$5,EntryParty,$D120,EntryDep,$H120,EntryWit,$I120)&gt;1,"تکرار",""))</f>
        <v/>
      </c>
      <c r="N120" s="28">
        <f>IF($P120="","",IF(INDEX(EntryNotes,$P120)=0,"",INDEX(EntryNotes,$P120)))</f>
        <v/>
      </c>
      <c r="O120" s="28">
        <f>IF($P120="","",IF(INDEX(EntryTxnID,$P120)=0,"",INDEX(EntryTxnID,$P120)))</f>
        <v/>
      </c>
      <c r="P120" s="28">
        <f>IFERROR(MATCH($C$5&amp;"|"&amp;RIGHT("000000"&amp;104,6),CalcRankKey,0),"")</f>
        <v/>
      </c>
    </row>
    <row r="121">
      <c r="A121" s="26">
        <f>IF($B121="","",105)</f>
        <v/>
      </c>
      <c r="B121" s="26">
        <f>IF($P121="","",IF(INDEX(CalcNormDate,$P121)=0,"",INDEX(CalcNormDate,$P121)))</f>
        <v/>
      </c>
      <c r="C121" s="26">
        <f>IF($P121="","",IF(INDEX(CalcTime,$P121)=0,"",INDEX(CalcTime,$P121)))</f>
        <v/>
      </c>
      <c r="D121" s="26">
        <f>IF($P121="","",IF(INDEX(EntryParty,$P121)=0,"",INDEX(EntryParty,$P121)))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IF($P121="","",IF(INDEX(EntryPartyType,$P121)=0,"",INDEX(EntryPartyType,$P121)))</f>
        <v/>
      </c>
      <c r="G121" s="26">
        <f>IF($P121="","",IF(INDEX(EntryTxnType,$P121)=0,"",INDEX(EntryTxnType,$P121)))</f>
        <v/>
      </c>
      <c r="H121" s="27">
        <f>IF($P121="","",IF(INDEX(EntryDep,$P121)=0,"",INDEX(EntryDep,$P121)))</f>
        <v/>
      </c>
      <c r="I121" s="27">
        <f>IF($P121="","",IF(INDEX(EntryWit,$P121)=0,"",INDEX(EntryWit,$P121)))</f>
        <v/>
      </c>
      <c r="J121" s="27">
        <f>IF($B121="","",IF($A121=1,$C$7,IF(J120="",0,J120))+IF($H121="",0,$H121)-IF($I121="",0,$I121))</f>
        <v/>
      </c>
      <c r="K121" s="27">
        <f>IF($P121="","",IF(INDEX(EntryMan,$P121)=0,"",INDEX(EntryMan,$P121)))</f>
        <v/>
      </c>
      <c r="L121" s="26">
        <f>IF($B121="","",IF($K121="","—",IF(ROUND($K121-$J121,0)=0,"√","×")))</f>
        <v/>
      </c>
      <c r="M121" s="26">
        <f>IF($B121="","",IF(COUNTIFS(EntryDates,$B121,CalcTime,$C121,CalcBank,$C$5,EntryParty,$D121,EntryDep,$H121,EntryWit,$I121)&gt;1,"تکرار",""))</f>
        <v/>
      </c>
      <c r="N121" s="26">
        <f>IF($P121="","",IF(INDEX(EntryNotes,$P121)=0,"",INDEX(EntryNotes,$P121)))</f>
        <v/>
      </c>
      <c r="O121" s="26">
        <f>IF($P121="","",IF(INDEX(EntryTxnID,$P121)=0,"",INDEX(EntryTxnID,$P121)))</f>
        <v/>
      </c>
      <c r="P121" s="26">
        <f>IFERROR(MATCH($C$5&amp;"|"&amp;RIGHT("000000"&amp;105,6),CalcRankKey,0),"")</f>
        <v/>
      </c>
    </row>
    <row r="122">
      <c r="A122" s="28">
        <f>IF($B122="","",106)</f>
        <v/>
      </c>
      <c r="B122" s="28">
        <f>IF($P122="","",IF(INDEX(CalcNormDate,$P122)=0,"",INDEX(CalcNormDate,$P122)))</f>
        <v/>
      </c>
      <c r="C122" s="28">
        <f>IF($P122="","",IF(INDEX(CalcTime,$P122)=0,"",INDEX(CalcTime,$P122)))</f>
        <v/>
      </c>
      <c r="D122" s="28">
        <f>IF($P122="","",IF(INDEX(EntryParty,$P122)=0,"",INDEX(EntryParty,$P122)))</f>
        <v/>
      </c>
      <c r="E122" s="28">
        <f>IF($P122="","",IF(INDEX(EntryPartyName,$P122)=0,"",INDEX(EntryPartyName,$P122)))</f>
        <v/>
      </c>
      <c r="F122" s="28">
        <f>IF($P122="","",IF(INDEX(EntryPartyType,$P122)=0,"",INDEX(EntryPartyType,$P122)))</f>
        <v/>
      </c>
      <c r="G122" s="28">
        <f>IF($P122="","",IF(INDEX(EntryTxnType,$P122)=0,"",INDEX(EntryTxnType,$P122)))</f>
        <v/>
      </c>
      <c r="H122" s="29">
        <f>IF($P122="","",IF(INDEX(EntryDep,$P122)=0,"",INDEX(EntryDep,$P122)))</f>
        <v/>
      </c>
      <c r="I122" s="29">
        <f>IF($P122="","",IF(INDEX(EntryWit,$P122)=0,"",INDEX(EntryWit,$P122)))</f>
        <v/>
      </c>
      <c r="J122" s="29">
        <f>IF($B122="","",IF($A122=1,$C$7,IF(J121="",0,J121))+IF($H122="",0,$H122)-IF($I122="",0,$I122))</f>
        <v/>
      </c>
      <c r="K122" s="29">
        <f>IF($P122="","",IF(INDEX(EntryMan,$P122)=0,"",INDEX(EntryMan,$P122)))</f>
        <v/>
      </c>
      <c r="L122" s="28">
        <f>IF($B122="","",IF($K122="","—",IF(ROUND($K122-$J122,0)=0,"√","×")))</f>
        <v/>
      </c>
      <c r="M122" s="28">
        <f>IF($B122="","",IF(COUNTIFS(EntryDates,$B122,CalcTime,$C122,CalcBank,$C$5,EntryParty,$D122,EntryDep,$H122,EntryWit,$I122)&gt;1,"تکرار",""))</f>
        <v/>
      </c>
      <c r="N122" s="28">
        <f>IF($P122="","",IF(INDEX(EntryNotes,$P122)=0,"",INDEX(EntryNotes,$P122)))</f>
        <v/>
      </c>
      <c r="O122" s="28">
        <f>IF($P122="","",IF(INDEX(EntryTxnID,$P122)=0,"",INDEX(EntryTxnID,$P122)))</f>
        <v/>
      </c>
      <c r="P122" s="28">
        <f>IFERROR(MATCH($C$5&amp;"|"&amp;RIGHT("000000"&amp;106,6),CalcRankKey,0),"")</f>
        <v/>
      </c>
    </row>
    <row r="123">
      <c r="A123" s="26">
        <f>IF($B123="","",107)</f>
        <v/>
      </c>
      <c r="B123" s="26">
        <f>IF($P123="","",IF(INDEX(CalcNormDate,$P123)=0,"",INDEX(CalcNormDate,$P123)))</f>
        <v/>
      </c>
      <c r="C123" s="26">
        <f>IF($P123="","",IF(INDEX(CalcTime,$P123)=0,"",INDEX(CalcTime,$P123)))</f>
        <v/>
      </c>
      <c r="D123" s="26">
        <f>IF($P123="","",IF(INDEX(EntryParty,$P123)=0,"",INDEX(EntryParty,$P123)))</f>
        <v/>
      </c>
      <c r="E123" s="26">
        <f>IF($P123="","",IF(INDEX(EntryPartyName,$P123)=0,"",INDEX(EntryPartyName,$P123)))</f>
        <v/>
      </c>
      <c r="F123" s="26">
        <f>IF($P123="","",IF(INDEX(EntryPartyType,$P123)=0,"",INDEX(EntryPartyType,$P123)))</f>
        <v/>
      </c>
      <c r="G123" s="26">
        <f>IF($P123="","",IF(INDEX(EntryTxnType,$P123)=0,"",INDEX(EntryTxnType,$P123)))</f>
        <v/>
      </c>
      <c r="H123" s="27">
        <f>IF($P123="","",IF(INDEX(EntryDep,$P123)=0,"",INDEX(EntryDep,$P123)))</f>
        <v/>
      </c>
      <c r="I123" s="27">
        <f>IF($P123="","",IF(INDEX(EntryWit,$P123)=0,"",INDEX(EntryWit,$P123)))</f>
        <v/>
      </c>
      <c r="J123" s="27">
        <f>IF($B123="","",IF($A123=1,$C$7,IF(J122="",0,J122))+IF($H123="",0,$H123)-IF($I123="",0,$I123))</f>
        <v/>
      </c>
      <c r="K123" s="27">
        <f>IF($P123="","",IF(INDEX(EntryMan,$P123)=0,"",INDEX(EntryMan,$P123)))</f>
        <v/>
      </c>
      <c r="L123" s="26">
        <f>IF($B123="","",IF($K123="","—",IF(ROUND($K123-$J123,0)=0,"√","×")))</f>
        <v/>
      </c>
      <c r="M123" s="26">
        <f>IF($B123="","",IF(COUNTIFS(EntryDates,$B123,CalcTime,$C123,CalcBank,$C$5,EntryParty,$D123,EntryDep,$H123,EntryWit,$I123)&gt;1,"تکرار",""))</f>
        <v/>
      </c>
      <c r="N123" s="26">
        <f>IF($P123="","",IF(INDEX(EntryNotes,$P123)=0,"",INDEX(EntryNotes,$P123)))</f>
        <v/>
      </c>
      <c r="O123" s="26">
        <f>IF($P123="","",IF(INDEX(EntryTxnID,$P123)=0,"",INDEX(EntryTxnID,$P123)))</f>
        <v/>
      </c>
      <c r="P123" s="26">
        <f>IFERROR(MATCH($C$5&amp;"|"&amp;RIGHT("000000"&amp;107,6),CalcRankKey,0),"")</f>
        <v/>
      </c>
    </row>
    <row r="124">
      <c r="A124" s="28">
        <f>IF($B124="","",108)</f>
        <v/>
      </c>
      <c r="B124" s="28">
        <f>IF($P124="","",IF(INDEX(CalcNormDate,$P124)=0,"",INDEX(CalcNormDate,$P124)))</f>
        <v/>
      </c>
      <c r="C124" s="28">
        <f>IF($P124="","",IF(INDEX(CalcTime,$P124)=0,"",INDEX(CalcTime,$P124)))</f>
        <v/>
      </c>
      <c r="D124" s="28">
        <f>IF($P124="","",IF(INDEX(EntryParty,$P124)=0,"",INDEX(EntryParty,$P124)))</f>
        <v/>
      </c>
      <c r="E124" s="28">
        <f>IF($P124="","",IF(INDEX(EntryPartyName,$P124)=0,"",INDEX(EntryPartyName,$P124)))</f>
        <v/>
      </c>
      <c r="F124" s="28">
        <f>IF($P124="","",IF(INDEX(EntryPartyType,$P124)=0,"",INDEX(EntryPartyType,$P124)))</f>
        <v/>
      </c>
      <c r="G124" s="28">
        <f>IF($P124="","",IF(INDEX(EntryTxnType,$P124)=0,"",INDEX(EntryTxnType,$P124)))</f>
        <v/>
      </c>
      <c r="H124" s="29">
        <f>IF($P124="","",IF(INDEX(EntryDep,$P124)=0,"",INDEX(EntryDep,$P124)))</f>
        <v/>
      </c>
      <c r="I124" s="29">
        <f>IF($P124="","",IF(INDEX(EntryWit,$P124)=0,"",INDEX(EntryWit,$P124)))</f>
        <v/>
      </c>
      <c r="J124" s="29">
        <f>IF($B124="","",IF($A124=1,$C$7,IF(J123="",0,J123))+IF($H124="",0,$H124)-IF($I124="",0,$I124))</f>
        <v/>
      </c>
      <c r="K124" s="29">
        <f>IF($P124="","",IF(INDEX(EntryMan,$P124)=0,"",INDEX(EntryMan,$P124)))</f>
        <v/>
      </c>
      <c r="L124" s="28">
        <f>IF($B124="","",IF($K124="","—",IF(ROUND($K124-$J124,0)=0,"√","×")))</f>
        <v/>
      </c>
      <c r="M124" s="28">
        <f>IF($B124="","",IF(COUNTIFS(EntryDates,$B124,CalcTime,$C124,CalcBank,$C$5,EntryParty,$D124,EntryDep,$H124,EntryWit,$I124)&gt;1,"تکرار",""))</f>
        <v/>
      </c>
      <c r="N124" s="28">
        <f>IF($P124="","",IF(INDEX(EntryNotes,$P124)=0,"",INDEX(EntryNotes,$P124)))</f>
        <v/>
      </c>
      <c r="O124" s="28">
        <f>IF($P124="","",IF(INDEX(EntryTxnID,$P124)=0,"",INDEX(EntryTxnID,$P124)))</f>
        <v/>
      </c>
      <c r="P124" s="28">
        <f>IFERROR(MATCH($C$5&amp;"|"&amp;RIGHT("000000"&amp;108,6),CalcRankKey,0),"")</f>
        <v/>
      </c>
    </row>
    <row r="125">
      <c r="A125" s="26">
        <f>IF($B125="","",109)</f>
        <v/>
      </c>
      <c r="B125" s="26">
        <f>IF($P125="","",IF(INDEX(CalcNormDate,$P125)=0,"",INDEX(CalcNormDate,$P125)))</f>
        <v/>
      </c>
      <c r="C125" s="26">
        <f>IF($P125="","",IF(INDEX(CalcTime,$P125)=0,"",INDEX(CalcTime,$P125)))</f>
        <v/>
      </c>
      <c r="D125" s="26">
        <f>IF($P125="","",IF(INDEX(EntryParty,$P125)=0,"",INDEX(EntryParty,$P125)))</f>
        <v/>
      </c>
      <c r="E125" s="26">
        <f>IF($P125="","",IF(INDEX(EntryPartyName,$P125)=0,"",INDEX(EntryPartyName,$P125)))</f>
        <v/>
      </c>
      <c r="F125" s="26">
        <f>IF($P125="","",IF(INDEX(EntryPartyType,$P125)=0,"",INDEX(EntryPartyType,$P125)))</f>
        <v/>
      </c>
      <c r="G125" s="26">
        <f>IF($P125="","",IF(INDEX(EntryTxnType,$P125)=0,"",INDEX(EntryTxnType,$P125)))</f>
        <v/>
      </c>
      <c r="H125" s="27">
        <f>IF($P125="","",IF(INDEX(EntryDep,$P125)=0,"",INDEX(EntryDep,$P125)))</f>
        <v/>
      </c>
      <c r="I125" s="27">
        <f>IF($P125="","",IF(INDEX(EntryWit,$P125)=0,"",INDEX(EntryWit,$P125)))</f>
        <v/>
      </c>
      <c r="J125" s="27">
        <f>IF($B125="","",IF($A125=1,$C$7,IF(J124="",0,J124))+IF($H125="",0,$H125)-IF($I125="",0,$I125))</f>
        <v/>
      </c>
      <c r="K125" s="27">
        <f>IF($P125="","",IF(INDEX(EntryMan,$P125)=0,"",INDEX(EntryMan,$P125)))</f>
        <v/>
      </c>
      <c r="L125" s="26">
        <f>IF($B125="","",IF($K125="","—",IF(ROUND($K125-$J125,0)=0,"√","×")))</f>
        <v/>
      </c>
      <c r="M125" s="26">
        <f>IF($B125="","",IF(COUNTIFS(EntryDates,$B125,CalcTime,$C125,CalcBank,$C$5,EntryParty,$D125,EntryDep,$H125,EntryWit,$I125)&gt;1,"تکرار",""))</f>
        <v/>
      </c>
      <c r="N125" s="26">
        <f>IF($P125="","",IF(INDEX(EntryNotes,$P125)=0,"",INDEX(EntryNotes,$P125)))</f>
        <v/>
      </c>
      <c r="O125" s="26">
        <f>IF($P125="","",IF(INDEX(EntryTxnID,$P125)=0,"",INDEX(EntryTxnID,$P125)))</f>
        <v/>
      </c>
      <c r="P125" s="26">
        <f>IFERROR(MATCH($C$5&amp;"|"&amp;RIGHT("000000"&amp;109,6),CalcRankKey,0),"")</f>
        <v/>
      </c>
    </row>
    <row r="126">
      <c r="A126" s="28">
        <f>IF($B126="","",110)</f>
        <v/>
      </c>
      <c r="B126" s="28">
        <f>IF($P126="","",IF(INDEX(CalcNormDate,$P126)=0,"",INDEX(CalcNormDate,$P126)))</f>
        <v/>
      </c>
      <c r="C126" s="28">
        <f>IF($P126="","",IF(INDEX(CalcTime,$P126)=0,"",INDEX(CalcTime,$P126)))</f>
        <v/>
      </c>
      <c r="D126" s="28">
        <f>IF($P126="","",IF(INDEX(EntryParty,$P126)=0,"",INDEX(EntryParty,$P126)))</f>
        <v/>
      </c>
      <c r="E126" s="28">
        <f>IF($P126="","",IF(INDEX(EntryPartyName,$P126)=0,"",INDEX(EntryPartyName,$P126)))</f>
        <v/>
      </c>
      <c r="F126" s="28">
        <f>IF($P126="","",IF(INDEX(EntryPartyType,$P126)=0,"",INDEX(EntryPartyType,$P126)))</f>
        <v/>
      </c>
      <c r="G126" s="28">
        <f>IF($P126="","",IF(INDEX(EntryTxnType,$P126)=0,"",INDEX(EntryTxnType,$P126)))</f>
        <v/>
      </c>
      <c r="H126" s="29">
        <f>IF($P126="","",IF(INDEX(EntryDep,$P126)=0,"",INDEX(EntryDep,$P126)))</f>
        <v/>
      </c>
      <c r="I126" s="29">
        <f>IF($P126="","",IF(INDEX(EntryWit,$P126)=0,"",INDEX(EntryWit,$P126)))</f>
        <v/>
      </c>
      <c r="J126" s="29">
        <f>IF($B126="","",IF($A126=1,$C$7,IF(J125="",0,J125))+IF($H126="",0,$H126)-IF($I126="",0,$I126))</f>
        <v/>
      </c>
      <c r="K126" s="29">
        <f>IF($P126="","",IF(INDEX(EntryMan,$P126)=0,"",INDEX(EntryMan,$P126)))</f>
        <v/>
      </c>
      <c r="L126" s="28">
        <f>IF($B126="","",IF($K126="","—",IF(ROUND($K126-$J126,0)=0,"√","×")))</f>
        <v/>
      </c>
      <c r="M126" s="28">
        <f>IF($B126="","",IF(COUNTIFS(EntryDates,$B126,CalcTime,$C126,CalcBank,$C$5,EntryParty,$D126,EntryDep,$H126,EntryWit,$I126)&gt;1,"تکرار",""))</f>
        <v/>
      </c>
      <c r="N126" s="28">
        <f>IF($P126="","",IF(INDEX(EntryNotes,$P126)=0,"",INDEX(EntryNotes,$P126)))</f>
        <v/>
      </c>
      <c r="O126" s="28">
        <f>IF($P126="","",IF(INDEX(EntryTxnID,$P126)=0,"",INDEX(EntryTxnID,$P126)))</f>
        <v/>
      </c>
      <c r="P126" s="28">
        <f>IFERROR(MATCH($C$5&amp;"|"&amp;RIGHT("000000"&amp;110,6),CalcRankKey,0),"")</f>
        <v/>
      </c>
    </row>
    <row r="127">
      <c r="A127" s="26">
        <f>IF($B127="","",111)</f>
        <v/>
      </c>
      <c r="B127" s="26">
        <f>IF($P127="","",IF(INDEX(CalcNormDate,$P127)=0,"",INDEX(CalcNormDate,$P127)))</f>
        <v/>
      </c>
      <c r="C127" s="26">
        <f>IF($P127="","",IF(INDEX(CalcTime,$P127)=0,"",INDEX(CalcTime,$P127)))</f>
        <v/>
      </c>
      <c r="D127" s="26">
        <f>IF($P127="","",IF(INDEX(EntryParty,$P127)=0,"",INDEX(EntryParty,$P127)))</f>
        <v/>
      </c>
      <c r="E127" s="26">
        <f>IF($P127="","",IF(INDEX(EntryPartyName,$P127)=0,"",INDEX(EntryPartyName,$P127)))</f>
        <v/>
      </c>
      <c r="F127" s="26">
        <f>IF($P127="","",IF(INDEX(EntryPartyType,$P127)=0,"",INDEX(EntryPartyType,$P127)))</f>
        <v/>
      </c>
      <c r="G127" s="26">
        <f>IF($P127="","",IF(INDEX(EntryTxnType,$P127)=0,"",INDEX(EntryTxnType,$P127)))</f>
        <v/>
      </c>
      <c r="H127" s="27">
        <f>IF($P127="","",IF(INDEX(EntryDep,$P127)=0,"",INDEX(EntryDep,$P127)))</f>
        <v/>
      </c>
      <c r="I127" s="27">
        <f>IF($P127="","",IF(INDEX(EntryWit,$P127)=0,"",INDEX(EntryWit,$P127)))</f>
        <v/>
      </c>
      <c r="J127" s="27">
        <f>IF($B127="","",IF($A127=1,$C$7,IF(J126="",0,J126))+IF($H127="",0,$H127)-IF($I127="",0,$I127))</f>
        <v/>
      </c>
      <c r="K127" s="27">
        <f>IF($P127="","",IF(INDEX(EntryMan,$P127)=0,"",INDEX(EntryMan,$P127)))</f>
        <v/>
      </c>
      <c r="L127" s="26">
        <f>IF($B127="","",IF($K127="","—",IF(ROUND($K127-$J127,0)=0,"√","×")))</f>
        <v/>
      </c>
      <c r="M127" s="26">
        <f>IF($B127="","",IF(COUNTIFS(EntryDates,$B127,CalcTime,$C127,CalcBank,$C$5,EntryParty,$D127,EntryDep,$H127,EntryWit,$I127)&gt;1,"تکرار",""))</f>
        <v/>
      </c>
      <c r="N127" s="26">
        <f>IF($P127="","",IF(INDEX(EntryNotes,$P127)=0,"",INDEX(EntryNotes,$P127)))</f>
        <v/>
      </c>
      <c r="O127" s="26">
        <f>IF($P127="","",IF(INDEX(EntryTxnID,$P127)=0,"",INDEX(EntryTxnID,$P127)))</f>
        <v/>
      </c>
      <c r="P127" s="26">
        <f>IFERROR(MATCH($C$5&amp;"|"&amp;RIGHT("000000"&amp;111,6),CalcRankKey,0),"")</f>
        <v/>
      </c>
    </row>
    <row r="128">
      <c r="A128" s="28">
        <f>IF($B128="","",112)</f>
        <v/>
      </c>
      <c r="B128" s="28">
        <f>IF($P128="","",IF(INDEX(CalcNormDate,$P128)=0,"",INDEX(CalcNormDate,$P128)))</f>
        <v/>
      </c>
      <c r="C128" s="28">
        <f>IF($P128="","",IF(INDEX(CalcTime,$P128)=0,"",INDEX(CalcTime,$P128)))</f>
        <v/>
      </c>
      <c r="D128" s="28">
        <f>IF($P128="","",IF(INDEX(EntryParty,$P128)=0,"",INDEX(EntryParty,$P128)))</f>
        <v/>
      </c>
      <c r="E128" s="28">
        <f>IF($P128="","",IF(INDEX(EntryPartyName,$P128)=0,"",INDEX(EntryPartyName,$P128)))</f>
        <v/>
      </c>
      <c r="F128" s="28">
        <f>IF($P128="","",IF(INDEX(EntryPartyType,$P128)=0,"",INDEX(EntryPartyType,$P128)))</f>
        <v/>
      </c>
      <c r="G128" s="28">
        <f>IF($P128="","",IF(INDEX(EntryTxnType,$P128)=0,"",INDEX(EntryTxnType,$P128)))</f>
        <v/>
      </c>
      <c r="H128" s="29">
        <f>IF($P128="","",IF(INDEX(EntryDep,$P128)=0,"",INDEX(EntryDep,$P128)))</f>
        <v/>
      </c>
      <c r="I128" s="29">
        <f>IF($P128="","",IF(INDEX(EntryWit,$P128)=0,"",INDEX(EntryWit,$P128)))</f>
        <v/>
      </c>
      <c r="J128" s="29">
        <f>IF($B128="","",IF($A128=1,$C$7,IF(J127="",0,J127))+IF($H128="",0,$H128)-IF($I128="",0,$I128))</f>
        <v/>
      </c>
      <c r="K128" s="29">
        <f>IF($P128="","",IF(INDEX(EntryMan,$P128)=0,"",INDEX(EntryMan,$P128)))</f>
        <v/>
      </c>
      <c r="L128" s="28">
        <f>IF($B128="","",IF($K128="","—",IF(ROUND($K128-$J128,0)=0,"√","×")))</f>
        <v/>
      </c>
      <c r="M128" s="28">
        <f>IF($B128="","",IF(COUNTIFS(EntryDates,$B128,CalcTime,$C128,CalcBank,$C$5,EntryParty,$D128,EntryDep,$H128,EntryWit,$I128)&gt;1,"تکرار",""))</f>
        <v/>
      </c>
      <c r="N128" s="28">
        <f>IF($P128="","",IF(INDEX(EntryNotes,$P128)=0,"",INDEX(EntryNotes,$P128)))</f>
        <v/>
      </c>
      <c r="O128" s="28">
        <f>IF($P128="","",IF(INDEX(EntryTxnID,$P128)=0,"",INDEX(EntryTxnID,$P128)))</f>
        <v/>
      </c>
      <c r="P128" s="28">
        <f>IFERROR(MATCH($C$5&amp;"|"&amp;RIGHT("000000"&amp;112,6),CalcRankKey,0),"")</f>
        <v/>
      </c>
    </row>
    <row r="129">
      <c r="A129" s="26">
        <f>IF($B129="","",113)</f>
        <v/>
      </c>
      <c r="B129" s="26">
        <f>IF($P129="","",IF(INDEX(CalcNormDate,$P129)=0,"",INDEX(CalcNormDate,$P129)))</f>
        <v/>
      </c>
      <c r="C129" s="26">
        <f>IF($P129="","",IF(INDEX(CalcTime,$P129)=0,"",INDEX(CalcTime,$P129)))</f>
        <v/>
      </c>
      <c r="D129" s="26">
        <f>IF($P129="","",IF(INDEX(EntryParty,$P129)=0,"",INDEX(EntryParty,$P129)))</f>
        <v/>
      </c>
      <c r="E129" s="26">
        <f>IF($P129="","",IF(INDEX(EntryPartyName,$P129)=0,"",INDEX(EntryPartyName,$P129)))</f>
        <v/>
      </c>
      <c r="F129" s="26">
        <f>IF($P129="","",IF(INDEX(EntryPartyType,$P129)=0,"",INDEX(EntryPartyType,$P129)))</f>
        <v/>
      </c>
      <c r="G129" s="26">
        <f>IF($P129="","",IF(INDEX(EntryTxnType,$P129)=0,"",INDEX(EntryTxnType,$P129)))</f>
        <v/>
      </c>
      <c r="H129" s="27">
        <f>IF($P129="","",IF(INDEX(EntryDep,$P129)=0,"",INDEX(EntryDep,$P129)))</f>
        <v/>
      </c>
      <c r="I129" s="27">
        <f>IF($P129="","",IF(INDEX(EntryWit,$P129)=0,"",INDEX(EntryWit,$P129)))</f>
        <v/>
      </c>
      <c r="J129" s="27">
        <f>IF($B129="","",IF($A129=1,$C$7,IF(J128="",0,J128))+IF($H129="",0,$H129)-IF($I129="",0,$I129))</f>
        <v/>
      </c>
      <c r="K129" s="27">
        <f>IF($P129="","",IF(INDEX(EntryMan,$P129)=0,"",INDEX(EntryMan,$P129)))</f>
        <v/>
      </c>
      <c r="L129" s="26">
        <f>IF($B129="","",IF($K129="","—",IF(ROUND($K129-$J129,0)=0,"√","×")))</f>
        <v/>
      </c>
      <c r="M129" s="26">
        <f>IF($B129="","",IF(COUNTIFS(EntryDates,$B129,CalcTime,$C129,CalcBank,$C$5,EntryParty,$D129,EntryDep,$H129,EntryWit,$I129)&gt;1,"تکرار",""))</f>
        <v/>
      </c>
      <c r="N129" s="26">
        <f>IF($P129="","",IF(INDEX(EntryNotes,$P129)=0,"",INDEX(EntryNotes,$P129)))</f>
        <v/>
      </c>
      <c r="O129" s="26">
        <f>IF($P129="","",IF(INDEX(EntryTxnID,$P129)=0,"",INDEX(EntryTxnID,$P129)))</f>
        <v/>
      </c>
      <c r="P129" s="26">
        <f>IFERROR(MATCH($C$5&amp;"|"&amp;RIGHT("000000"&amp;113,6),CalcRankKey,0),"")</f>
        <v/>
      </c>
    </row>
    <row r="130">
      <c r="A130" s="28">
        <f>IF($B130="","",114)</f>
        <v/>
      </c>
      <c r="B130" s="28">
        <f>IF($P130="","",IF(INDEX(CalcNormDate,$P130)=0,"",INDEX(CalcNormDate,$P130)))</f>
        <v/>
      </c>
      <c r="C130" s="28">
        <f>IF($P130="","",IF(INDEX(CalcTime,$P130)=0,"",INDEX(CalcTime,$P130)))</f>
        <v/>
      </c>
      <c r="D130" s="28">
        <f>IF($P130="","",IF(INDEX(EntryParty,$P130)=0,"",INDEX(EntryParty,$P130)))</f>
        <v/>
      </c>
      <c r="E130" s="28">
        <f>IF($P130="","",IF(INDEX(EntryPartyName,$P130)=0,"",INDEX(EntryPartyName,$P130)))</f>
        <v/>
      </c>
      <c r="F130" s="28">
        <f>IF($P130="","",IF(INDEX(EntryPartyType,$P130)=0,"",INDEX(EntryPartyType,$P130)))</f>
        <v/>
      </c>
      <c r="G130" s="28">
        <f>IF($P130="","",IF(INDEX(EntryTxnType,$P130)=0,"",INDEX(EntryTxnType,$P130)))</f>
        <v/>
      </c>
      <c r="H130" s="29">
        <f>IF($P130="","",IF(INDEX(EntryDep,$P130)=0,"",INDEX(EntryDep,$P130)))</f>
        <v/>
      </c>
      <c r="I130" s="29">
        <f>IF($P130="","",IF(INDEX(EntryWit,$P130)=0,"",INDEX(EntryWit,$P130)))</f>
        <v/>
      </c>
      <c r="J130" s="29">
        <f>IF($B130="","",IF($A130=1,$C$7,IF(J129="",0,J129))+IF($H130="",0,$H130)-IF($I130="",0,$I130))</f>
        <v/>
      </c>
      <c r="K130" s="29">
        <f>IF($P130="","",IF(INDEX(EntryMan,$P130)=0,"",INDEX(EntryMan,$P130)))</f>
        <v/>
      </c>
      <c r="L130" s="28">
        <f>IF($B130="","",IF($K130="","—",IF(ROUND($K130-$J130,0)=0,"√","×")))</f>
        <v/>
      </c>
      <c r="M130" s="28">
        <f>IF($B130="","",IF(COUNTIFS(EntryDates,$B130,CalcTime,$C130,CalcBank,$C$5,EntryParty,$D130,EntryDep,$H130,EntryWit,$I130)&gt;1,"تکرار",""))</f>
        <v/>
      </c>
      <c r="N130" s="28">
        <f>IF($P130="","",IF(INDEX(EntryNotes,$P130)=0,"",INDEX(EntryNotes,$P130)))</f>
        <v/>
      </c>
      <c r="O130" s="28">
        <f>IF($P130="","",IF(INDEX(EntryTxnID,$P130)=0,"",INDEX(EntryTxnID,$P130)))</f>
        <v/>
      </c>
      <c r="P130" s="28">
        <f>IFERROR(MATCH($C$5&amp;"|"&amp;RIGHT("000000"&amp;114,6),CalcRankKey,0),"")</f>
        <v/>
      </c>
    </row>
    <row r="131">
      <c r="A131" s="26">
        <f>IF($B131="","",115)</f>
        <v/>
      </c>
      <c r="B131" s="26">
        <f>IF($P131="","",IF(INDEX(CalcNormDate,$P131)=0,"",INDEX(CalcNormDate,$P131)))</f>
        <v/>
      </c>
      <c r="C131" s="26">
        <f>IF($P131="","",IF(INDEX(CalcTime,$P131)=0,"",INDEX(CalcTime,$P131)))</f>
        <v/>
      </c>
      <c r="D131" s="26">
        <f>IF($P131="","",IF(INDEX(EntryParty,$P131)=0,"",INDEX(EntryParty,$P131)))</f>
        <v/>
      </c>
      <c r="E131" s="26">
        <f>IF($P131="","",IF(INDEX(EntryPartyName,$P131)=0,"",INDEX(EntryPartyName,$P131)))</f>
        <v/>
      </c>
      <c r="F131" s="26">
        <f>IF($P131="","",IF(INDEX(EntryPartyType,$P131)=0,"",INDEX(EntryPartyType,$P131)))</f>
        <v/>
      </c>
      <c r="G131" s="26">
        <f>IF($P131="","",IF(INDEX(EntryTxnType,$P131)=0,"",INDEX(EntryTxnType,$P131)))</f>
        <v/>
      </c>
      <c r="H131" s="27">
        <f>IF($P131="","",IF(INDEX(EntryDep,$P131)=0,"",INDEX(EntryDep,$P131)))</f>
        <v/>
      </c>
      <c r="I131" s="27">
        <f>IF($P131="","",IF(INDEX(EntryWit,$P131)=0,"",INDEX(EntryWit,$P131)))</f>
        <v/>
      </c>
      <c r="J131" s="27">
        <f>IF($B131="","",IF($A131=1,$C$7,IF(J130="",0,J130))+IF($H131="",0,$H131)-IF($I131="",0,$I131))</f>
        <v/>
      </c>
      <c r="K131" s="27">
        <f>IF($P131="","",IF(INDEX(EntryMan,$P131)=0,"",INDEX(EntryMan,$P131)))</f>
        <v/>
      </c>
      <c r="L131" s="26">
        <f>IF($B131="","",IF($K131="","—",IF(ROUND($K131-$J131,0)=0,"√","×")))</f>
        <v/>
      </c>
      <c r="M131" s="26">
        <f>IF($B131="","",IF(COUNTIFS(EntryDates,$B131,CalcTime,$C131,CalcBank,$C$5,EntryParty,$D131,EntryDep,$H131,EntryWit,$I131)&gt;1,"تکرار",""))</f>
        <v/>
      </c>
      <c r="N131" s="26">
        <f>IF($P131="","",IF(INDEX(EntryNotes,$P131)=0,"",INDEX(EntryNotes,$P131)))</f>
        <v/>
      </c>
      <c r="O131" s="26">
        <f>IF($P131="","",IF(INDEX(EntryTxnID,$P131)=0,"",INDEX(EntryTxnID,$P131)))</f>
        <v/>
      </c>
      <c r="P131" s="26">
        <f>IFERROR(MATCH($C$5&amp;"|"&amp;RIGHT("000000"&amp;115,6),CalcRankKey,0),"")</f>
        <v/>
      </c>
    </row>
    <row r="132">
      <c r="A132" s="28">
        <f>IF($B132="","",116)</f>
        <v/>
      </c>
      <c r="B132" s="28">
        <f>IF($P132="","",IF(INDEX(CalcNormDate,$P132)=0,"",INDEX(CalcNormDate,$P132)))</f>
        <v/>
      </c>
      <c r="C132" s="28">
        <f>IF($P132="","",IF(INDEX(CalcTime,$P132)=0,"",INDEX(CalcTime,$P132)))</f>
        <v/>
      </c>
      <c r="D132" s="28">
        <f>IF($P132="","",IF(INDEX(EntryParty,$P132)=0,"",INDEX(EntryParty,$P132)))</f>
        <v/>
      </c>
      <c r="E132" s="28">
        <f>IF($P132="","",IF(INDEX(EntryPartyName,$P132)=0,"",INDEX(EntryPartyName,$P132)))</f>
        <v/>
      </c>
      <c r="F132" s="28">
        <f>IF($P132="","",IF(INDEX(EntryPartyType,$P132)=0,"",INDEX(EntryPartyType,$P132)))</f>
        <v/>
      </c>
      <c r="G132" s="28">
        <f>IF($P132="","",IF(INDEX(EntryTxnType,$P132)=0,"",INDEX(EntryTxnType,$P132)))</f>
        <v/>
      </c>
      <c r="H132" s="29">
        <f>IF($P132="","",IF(INDEX(EntryDep,$P132)=0,"",INDEX(EntryDep,$P132)))</f>
        <v/>
      </c>
      <c r="I132" s="29">
        <f>IF($P132="","",IF(INDEX(EntryWit,$P132)=0,"",INDEX(EntryWit,$P132)))</f>
        <v/>
      </c>
      <c r="J132" s="29">
        <f>IF($B132="","",IF($A132=1,$C$7,IF(J131="",0,J131))+IF($H132="",0,$H132)-IF($I132="",0,$I132))</f>
        <v/>
      </c>
      <c r="K132" s="29">
        <f>IF($P132="","",IF(INDEX(EntryMan,$P132)=0,"",INDEX(EntryMan,$P132)))</f>
        <v/>
      </c>
      <c r="L132" s="28">
        <f>IF($B132="","",IF($K132="","—",IF(ROUND($K132-$J132,0)=0,"√","×")))</f>
        <v/>
      </c>
      <c r="M132" s="28">
        <f>IF($B132="","",IF(COUNTIFS(EntryDates,$B132,CalcTime,$C132,CalcBank,$C$5,EntryParty,$D132,EntryDep,$H132,EntryWit,$I132)&gt;1,"تکرار",""))</f>
        <v/>
      </c>
      <c r="N132" s="28">
        <f>IF($P132="","",IF(INDEX(EntryNotes,$P132)=0,"",INDEX(EntryNotes,$P132)))</f>
        <v/>
      </c>
      <c r="O132" s="28">
        <f>IF($P132="","",IF(INDEX(EntryTxnID,$P132)=0,"",INDEX(EntryTxnID,$P132)))</f>
        <v/>
      </c>
      <c r="P132" s="28">
        <f>IFERROR(MATCH($C$5&amp;"|"&amp;RIGHT("000000"&amp;116,6),CalcRankKey,0),"")</f>
        <v/>
      </c>
    </row>
    <row r="133">
      <c r="A133" s="26">
        <f>IF($B133="","",117)</f>
        <v/>
      </c>
      <c r="B133" s="26">
        <f>IF($P133="","",IF(INDEX(CalcNormDate,$P133)=0,"",INDEX(CalcNormDate,$P133)))</f>
        <v/>
      </c>
      <c r="C133" s="26">
        <f>IF($P133="","",IF(INDEX(CalcTime,$P133)=0,"",INDEX(CalcTime,$P133)))</f>
        <v/>
      </c>
      <c r="D133" s="26">
        <f>IF($P133="","",IF(INDEX(EntryParty,$P133)=0,"",INDEX(EntryParty,$P133)))</f>
        <v/>
      </c>
      <c r="E133" s="26">
        <f>IF($P133="","",IF(INDEX(EntryPartyName,$P133)=0,"",INDEX(EntryPartyName,$P133)))</f>
        <v/>
      </c>
      <c r="F133" s="26">
        <f>IF($P133="","",IF(INDEX(EntryPartyType,$P133)=0,"",INDEX(EntryPartyType,$P133)))</f>
        <v/>
      </c>
      <c r="G133" s="26">
        <f>IF($P133="","",IF(INDEX(EntryTxnType,$P133)=0,"",INDEX(EntryTxnType,$P133)))</f>
        <v/>
      </c>
      <c r="H133" s="27">
        <f>IF($P133="","",IF(INDEX(EntryDep,$P133)=0,"",INDEX(EntryDep,$P133)))</f>
        <v/>
      </c>
      <c r="I133" s="27">
        <f>IF($P133="","",IF(INDEX(EntryWit,$P133)=0,"",INDEX(EntryWit,$P133)))</f>
        <v/>
      </c>
      <c r="J133" s="27">
        <f>IF($B133="","",IF($A133=1,$C$7,IF(J132="",0,J132))+IF($H133="",0,$H133)-IF($I133="",0,$I133))</f>
        <v/>
      </c>
      <c r="K133" s="27">
        <f>IF($P133="","",IF(INDEX(EntryMan,$P133)=0,"",INDEX(EntryMan,$P133)))</f>
        <v/>
      </c>
      <c r="L133" s="26">
        <f>IF($B133="","",IF($K133="","—",IF(ROUND($K133-$J133,0)=0,"√","×")))</f>
        <v/>
      </c>
      <c r="M133" s="26">
        <f>IF($B133="","",IF(COUNTIFS(EntryDates,$B133,CalcTime,$C133,CalcBank,$C$5,EntryParty,$D133,EntryDep,$H133,EntryWit,$I133)&gt;1,"تکرار",""))</f>
        <v/>
      </c>
      <c r="N133" s="26">
        <f>IF($P133="","",IF(INDEX(EntryNotes,$P133)=0,"",INDEX(EntryNotes,$P133)))</f>
        <v/>
      </c>
      <c r="O133" s="26">
        <f>IF($P133="","",IF(INDEX(EntryTxnID,$P133)=0,"",INDEX(EntryTxnID,$P133)))</f>
        <v/>
      </c>
      <c r="P133" s="26">
        <f>IFERROR(MATCH($C$5&amp;"|"&amp;RIGHT("000000"&amp;117,6),CalcRankKey,0),"")</f>
        <v/>
      </c>
    </row>
    <row r="134">
      <c r="A134" s="28">
        <f>IF($B134="","",118)</f>
        <v/>
      </c>
      <c r="B134" s="28">
        <f>IF($P134="","",IF(INDEX(CalcNormDate,$P134)=0,"",INDEX(CalcNormDate,$P134)))</f>
        <v/>
      </c>
      <c r="C134" s="28">
        <f>IF($P134="","",IF(INDEX(CalcTime,$P134)=0,"",INDEX(CalcTime,$P134)))</f>
        <v/>
      </c>
      <c r="D134" s="28">
        <f>IF($P134="","",IF(INDEX(EntryParty,$P134)=0,"",INDEX(EntryParty,$P134)))</f>
        <v/>
      </c>
      <c r="E134" s="28">
        <f>IF($P134="","",IF(INDEX(EntryPartyName,$P134)=0,"",INDEX(EntryPartyName,$P134)))</f>
        <v/>
      </c>
      <c r="F134" s="28">
        <f>IF($P134="","",IF(INDEX(EntryPartyType,$P134)=0,"",INDEX(EntryPartyType,$P134)))</f>
        <v/>
      </c>
      <c r="G134" s="28">
        <f>IF($P134="","",IF(INDEX(EntryTxnType,$P134)=0,"",INDEX(EntryTxnType,$P134)))</f>
        <v/>
      </c>
      <c r="H134" s="29">
        <f>IF($P134="","",IF(INDEX(EntryDep,$P134)=0,"",INDEX(EntryDep,$P134)))</f>
        <v/>
      </c>
      <c r="I134" s="29">
        <f>IF($P134="","",IF(INDEX(EntryWit,$P134)=0,"",INDEX(EntryWit,$P134)))</f>
        <v/>
      </c>
      <c r="J134" s="29">
        <f>IF($B134="","",IF($A134=1,$C$7,IF(J133="",0,J133))+IF($H134="",0,$H134)-IF($I134="",0,$I134))</f>
        <v/>
      </c>
      <c r="K134" s="29">
        <f>IF($P134="","",IF(INDEX(EntryMan,$P134)=0,"",INDEX(EntryMan,$P134)))</f>
        <v/>
      </c>
      <c r="L134" s="28">
        <f>IF($B134="","",IF($K134="","—",IF(ROUND($K134-$J134,0)=0,"√","×")))</f>
        <v/>
      </c>
      <c r="M134" s="28">
        <f>IF($B134="","",IF(COUNTIFS(EntryDates,$B134,CalcTime,$C134,CalcBank,$C$5,EntryParty,$D134,EntryDep,$H134,EntryWit,$I134)&gt;1,"تکرار",""))</f>
        <v/>
      </c>
      <c r="N134" s="28">
        <f>IF($P134="","",IF(INDEX(EntryNotes,$P134)=0,"",INDEX(EntryNotes,$P134)))</f>
        <v/>
      </c>
      <c r="O134" s="28">
        <f>IF($P134="","",IF(INDEX(EntryTxnID,$P134)=0,"",INDEX(EntryTxnID,$P134)))</f>
        <v/>
      </c>
      <c r="P134" s="28">
        <f>IFERROR(MATCH($C$5&amp;"|"&amp;RIGHT("000000"&amp;118,6),CalcRankKey,0),"")</f>
        <v/>
      </c>
    </row>
    <row r="135">
      <c r="A135" s="26">
        <f>IF($B135="","",119)</f>
        <v/>
      </c>
      <c r="B135" s="26">
        <f>IF($P135="","",IF(INDEX(CalcNormDate,$P135)=0,"",INDEX(CalcNormDate,$P135)))</f>
        <v/>
      </c>
      <c r="C135" s="26">
        <f>IF($P135="","",IF(INDEX(CalcTime,$P135)=0,"",INDEX(CalcTime,$P135)))</f>
        <v/>
      </c>
      <c r="D135" s="26">
        <f>IF($P135="","",IF(INDEX(EntryParty,$P135)=0,"",INDEX(EntryParty,$P135)))</f>
        <v/>
      </c>
      <c r="E135" s="26">
        <f>IF($P135="","",IF(INDEX(EntryPartyName,$P135)=0,"",INDEX(EntryPartyName,$P135)))</f>
        <v/>
      </c>
      <c r="F135" s="26">
        <f>IF($P135="","",IF(INDEX(EntryPartyType,$P135)=0,"",INDEX(EntryPartyType,$P135)))</f>
        <v/>
      </c>
      <c r="G135" s="26">
        <f>IF($P135="","",IF(INDEX(EntryTxnType,$P135)=0,"",INDEX(EntryTxnType,$P135)))</f>
        <v/>
      </c>
      <c r="H135" s="27">
        <f>IF($P135="","",IF(INDEX(EntryDep,$P135)=0,"",INDEX(EntryDep,$P135)))</f>
        <v/>
      </c>
      <c r="I135" s="27">
        <f>IF($P135="","",IF(INDEX(EntryWit,$P135)=0,"",INDEX(EntryWit,$P135)))</f>
        <v/>
      </c>
      <c r="J135" s="27">
        <f>IF($B135="","",IF($A135=1,$C$7,IF(J134="",0,J134))+IF($H135="",0,$H135)-IF($I135="",0,$I135))</f>
        <v/>
      </c>
      <c r="K135" s="27">
        <f>IF($P135="","",IF(INDEX(EntryMan,$P135)=0,"",INDEX(EntryMan,$P135)))</f>
        <v/>
      </c>
      <c r="L135" s="26">
        <f>IF($B135="","",IF($K135="","—",IF(ROUND($K135-$J135,0)=0,"√","×")))</f>
        <v/>
      </c>
      <c r="M135" s="26">
        <f>IF($B135="","",IF(COUNTIFS(EntryDates,$B135,CalcTime,$C135,CalcBank,$C$5,EntryParty,$D135,EntryDep,$H135,EntryWit,$I135)&gt;1,"تکرار",""))</f>
        <v/>
      </c>
      <c r="N135" s="26">
        <f>IF($P135="","",IF(INDEX(EntryNotes,$P135)=0,"",INDEX(EntryNotes,$P135)))</f>
        <v/>
      </c>
      <c r="O135" s="26">
        <f>IF($P135="","",IF(INDEX(EntryTxnID,$P135)=0,"",INDEX(EntryTxnID,$P135)))</f>
        <v/>
      </c>
      <c r="P135" s="26">
        <f>IFERROR(MATCH($C$5&amp;"|"&amp;RIGHT("000000"&amp;119,6),CalcRankKey,0),"")</f>
        <v/>
      </c>
    </row>
    <row r="136">
      <c r="A136" s="28">
        <f>IF($B136="","",120)</f>
        <v/>
      </c>
      <c r="B136" s="28">
        <f>IF($P136="","",IF(INDEX(CalcNormDate,$P136)=0,"",INDEX(CalcNormDate,$P136)))</f>
        <v/>
      </c>
      <c r="C136" s="28">
        <f>IF($P136="","",IF(INDEX(CalcTime,$P136)=0,"",INDEX(CalcTime,$P136)))</f>
        <v/>
      </c>
      <c r="D136" s="28">
        <f>IF($P136="","",IF(INDEX(EntryParty,$P136)=0,"",INDEX(EntryParty,$P136)))</f>
        <v/>
      </c>
      <c r="E136" s="28">
        <f>IF($P136="","",IF(INDEX(EntryPartyName,$P136)=0,"",INDEX(EntryPartyName,$P136)))</f>
        <v/>
      </c>
      <c r="F136" s="28">
        <f>IF($P136="","",IF(INDEX(EntryPartyType,$P136)=0,"",INDEX(EntryPartyType,$P136)))</f>
        <v/>
      </c>
      <c r="G136" s="28">
        <f>IF($P136="","",IF(INDEX(EntryTxnType,$P136)=0,"",INDEX(EntryTxnType,$P136)))</f>
        <v/>
      </c>
      <c r="H136" s="29">
        <f>IF($P136="","",IF(INDEX(EntryDep,$P136)=0,"",INDEX(EntryDep,$P136)))</f>
        <v/>
      </c>
      <c r="I136" s="29">
        <f>IF($P136="","",IF(INDEX(EntryWit,$P136)=0,"",INDEX(EntryWit,$P136)))</f>
        <v/>
      </c>
      <c r="J136" s="29">
        <f>IF($B136="","",IF($A136=1,$C$7,IF(J135="",0,J135))+IF($H136="",0,$H136)-IF($I136="",0,$I136))</f>
        <v/>
      </c>
      <c r="K136" s="29">
        <f>IF($P136="","",IF(INDEX(EntryMan,$P136)=0,"",INDEX(EntryMan,$P136)))</f>
        <v/>
      </c>
      <c r="L136" s="28">
        <f>IF($B136="","",IF($K136="","—",IF(ROUND($K136-$J136,0)=0,"√","×")))</f>
        <v/>
      </c>
      <c r="M136" s="28">
        <f>IF($B136="","",IF(COUNTIFS(EntryDates,$B136,CalcTime,$C136,CalcBank,$C$5,EntryParty,$D136,EntryDep,$H136,EntryWit,$I136)&gt;1,"تکرار",""))</f>
        <v/>
      </c>
      <c r="N136" s="28">
        <f>IF($P136="","",IF(INDEX(EntryNotes,$P136)=0,"",INDEX(EntryNotes,$P136)))</f>
        <v/>
      </c>
      <c r="O136" s="28">
        <f>IF($P136="","",IF(INDEX(EntryTxnID,$P136)=0,"",INDEX(EntryTxnID,$P136)))</f>
        <v/>
      </c>
      <c r="P136" s="28">
        <f>IFERROR(MATCH($C$5&amp;"|"&amp;RIGHT("000000"&amp;120,6),CalcRankKey,0),"")</f>
        <v/>
      </c>
    </row>
    <row r="137">
      <c r="A137" s="26">
        <f>IF($B137="","",121)</f>
        <v/>
      </c>
      <c r="B137" s="26">
        <f>IF($P137="","",IF(INDEX(CalcNormDate,$P137)=0,"",INDEX(CalcNormDate,$P137)))</f>
        <v/>
      </c>
      <c r="C137" s="26">
        <f>IF($P137="","",IF(INDEX(CalcTime,$P137)=0,"",INDEX(CalcTime,$P137)))</f>
        <v/>
      </c>
      <c r="D137" s="26">
        <f>IF($P137="","",IF(INDEX(EntryParty,$P137)=0,"",INDEX(EntryParty,$P137)))</f>
        <v/>
      </c>
      <c r="E137" s="26">
        <f>IF($P137="","",IF(INDEX(EntryPartyName,$P137)=0,"",INDEX(EntryPartyName,$P137)))</f>
        <v/>
      </c>
      <c r="F137" s="26">
        <f>IF($P137="","",IF(INDEX(EntryPartyType,$P137)=0,"",INDEX(EntryPartyType,$P137)))</f>
        <v/>
      </c>
      <c r="G137" s="26">
        <f>IF($P137="","",IF(INDEX(EntryTxnType,$P137)=0,"",INDEX(EntryTxnType,$P137)))</f>
        <v/>
      </c>
      <c r="H137" s="27">
        <f>IF($P137="","",IF(INDEX(EntryDep,$P137)=0,"",INDEX(EntryDep,$P137)))</f>
        <v/>
      </c>
      <c r="I137" s="27">
        <f>IF($P137="","",IF(INDEX(EntryWit,$P137)=0,"",INDEX(EntryWit,$P137)))</f>
        <v/>
      </c>
      <c r="J137" s="27">
        <f>IF($B137="","",IF($A137=1,$C$7,IF(J136="",0,J136))+IF($H137="",0,$H137)-IF($I137="",0,$I137))</f>
        <v/>
      </c>
      <c r="K137" s="27">
        <f>IF($P137="","",IF(INDEX(EntryMan,$P137)=0,"",INDEX(EntryMan,$P137)))</f>
        <v/>
      </c>
      <c r="L137" s="26">
        <f>IF($B137="","",IF($K137="","—",IF(ROUND($K137-$J137,0)=0,"√","×")))</f>
        <v/>
      </c>
      <c r="M137" s="26">
        <f>IF($B137="","",IF(COUNTIFS(EntryDates,$B137,CalcTime,$C137,CalcBank,$C$5,EntryParty,$D137,EntryDep,$H137,EntryWit,$I137)&gt;1,"تکرار",""))</f>
        <v/>
      </c>
      <c r="N137" s="26">
        <f>IF($P137="","",IF(INDEX(EntryNotes,$P137)=0,"",INDEX(EntryNotes,$P137)))</f>
        <v/>
      </c>
      <c r="O137" s="26">
        <f>IF($P137="","",IF(INDEX(EntryTxnID,$P137)=0,"",INDEX(EntryTxnID,$P137)))</f>
        <v/>
      </c>
      <c r="P137" s="26">
        <f>IFERROR(MATCH($C$5&amp;"|"&amp;RIGHT("000000"&amp;121,6),CalcRankKey,0),"")</f>
        <v/>
      </c>
    </row>
    <row r="138">
      <c r="A138" s="28">
        <f>IF($B138="","",122)</f>
        <v/>
      </c>
      <c r="B138" s="28">
        <f>IF($P138="","",IF(INDEX(CalcNormDate,$P138)=0,"",INDEX(CalcNormDate,$P138)))</f>
        <v/>
      </c>
      <c r="C138" s="28">
        <f>IF($P138="","",IF(INDEX(CalcTime,$P138)=0,"",INDEX(CalcTime,$P138)))</f>
        <v/>
      </c>
      <c r="D138" s="28">
        <f>IF($P138="","",IF(INDEX(EntryParty,$P138)=0,"",INDEX(EntryParty,$P138)))</f>
        <v/>
      </c>
      <c r="E138" s="28">
        <f>IF($P138="","",IF(INDEX(EntryPartyName,$P138)=0,"",INDEX(EntryPartyName,$P138)))</f>
        <v/>
      </c>
      <c r="F138" s="28">
        <f>IF($P138="","",IF(INDEX(EntryPartyType,$P138)=0,"",INDEX(EntryPartyType,$P138)))</f>
        <v/>
      </c>
      <c r="G138" s="28">
        <f>IF($P138="","",IF(INDEX(EntryTxnType,$P138)=0,"",INDEX(EntryTxnType,$P138)))</f>
        <v/>
      </c>
      <c r="H138" s="29">
        <f>IF($P138="","",IF(INDEX(EntryDep,$P138)=0,"",INDEX(EntryDep,$P138)))</f>
        <v/>
      </c>
      <c r="I138" s="29">
        <f>IF($P138="","",IF(INDEX(EntryWit,$P138)=0,"",INDEX(EntryWit,$P138)))</f>
        <v/>
      </c>
      <c r="J138" s="29">
        <f>IF($B138="","",IF($A138=1,$C$7,IF(J137="",0,J137))+IF($H138="",0,$H138)-IF($I138="",0,$I138))</f>
        <v/>
      </c>
      <c r="K138" s="29">
        <f>IF($P138="","",IF(INDEX(EntryMan,$P138)=0,"",INDEX(EntryMan,$P138)))</f>
        <v/>
      </c>
      <c r="L138" s="28">
        <f>IF($B138="","",IF($K138="","—",IF(ROUND($K138-$J138,0)=0,"√","×")))</f>
        <v/>
      </c>
      <c r="M138" s="28">
        <f>IF($B138="","",IF(COUNTIFS(EntryDates,$B138,CalcTime,$C138,CalcBank,$C$5,EntryParty,$D138,EntryDep,$H138,EntryWit,$I138)&gt;1,"تکرار",""))</f>
        <v/>
      </c>
      <c r="N138" s="28">
        <f>IF($P138="","",IF(INDEX(EntryNotes,$P138)=0,"",INDEX(EntryNotes,$P138)))</f>
        <v/>
      </c>
      <c r="O138" s="28">
        <f>IF($P138="","",IF(INDEX(EntryTxnID,$P138)=0,"",INDEX(EntryTxnID,$P138)))</f>
        <v/>
      </c>
      <c r="P138" s="28">
        <f>IFERROR(MATCH($C$5&amp;"|"&amp;RIGHT("000000"&amp;122,6),CalcRankKey,0),"")</f>
        <v/>
      </c>
    </row>
    <row r="139">
      <c r="A139" s="26">
        <f>IF($B139="","",123)</f>
        <v/>
      </c>
      <c r="B139" s="26">
        <f>IF($P139="","",IF(INDEX(CalcNormDate,$P139)=0,"",INDEX(CalcNormDate,$P139)))</f>
        <v/>
      </c>
      <c r="C139" s="26">
        <f>IF($P139="","",IF(INDEX(CalcTime,$P139)=0,"",INDEX(CalcTime,$P139)))</f>
        <v/>
      </c>
      <c r="D139" s="26">
        <f>IF($P139="","",IF(INDEX(EntryParty,$P139)=0,"",INDEX(EntryParty,$P139)))</f>
        <v/>
      </c>
      <c r="E139" s="26">
        <f>IF($P139="","",IF(INDEX(EntryPartyName,$P139)=0,"",INDEX(EntryPartyName,$P139)))</f>
        <v/>
      </c>
      <c r="F139" s="26">
        <f>IF($P139="","",IF(INDEX(EntryPartyType,$P139)=0,"",INDEX(EntryPartyType,$P139)))</f>
        <v/>
      </c>
      <c r="G139" s="26">
        <f>IF($P139="","",IF(INDEX(EntryTxnType,$P139)=0,"",INDEX(EntryTxnType,$P139)))</f>
        <v/>
      </c>
      <c r="H139" s="27">
        <f>IF($P139="","",IF(INDEX(EntryDep,$P139)=0,"",INDEX(EntryDep,$P139)))</f>
        <v/>
      </c>
      <c r="I139" s="27">
        <f>IF($P139="","",IF(INDEX(EntryWit,$P139)=0,"",INDEX(EntryWit,$P139)))</f>
        <v/>
      </c>
      <c r="J139" s="27">
        <f>IF($B139="","",IF($A139=1,$C$7,IF(J138="",0,J138))+IF($H139="",0,$H139)-IF($I139="",0,$I139))</f>
        <v/>
      </c>
      <c r="K139" s="27">
        <f>IF($P139="","",IF(INDEX(EntryMan,$P139)=0,"",INDEX(EntryMan,$P139)))</f>
        <v/>
      </c>
      <c r="L139" s="26">
        <f>IF($B139="","",IF($K139="","—",IF(ROUND($K139-$J139,0)=0,"√","×")))</f>
        <v/>
      </c>
      <c r="M139" s="26">
        <f>IF($B139="","",IF(COUNTIFS(EntryDates,$B139,CalcTime,$C139,CalcBank,$C$5,EntryParty,$D139,EntryDep,$H139,EntryWit,$I139)&gt;1,"تکرار",""))</f>
        <v/>
      </c>
      <c r="N139" s="26">
        <f>IF($P139="","",IF(INDEX(EntryNotes,$P139)=0,"",INDEX(EntryNotes,$P139)))</f>
        <v/>
      </c>
      <c r="O139" s="26">
        <f>IF($P139="","",IF(INDEX(EntryTxnID,$P139)=0,"",INDEX(EntryTxnID,$P139)))</f>
        <v/>
      </c>
      <c r="P139" s="26">
        <f>IFERROR(MATCH($C$5&amp;"|"&amp;RIGHT("000000"&amp;123,6),CalcRankKey,0),"")</f>
        <v/>
      </c>
    </row>
    <row r="140">
      <c r="A140" s="28">
        <f>IF($B140="","",124)</f>
        <v/>
      </c>
      <c r="B140" s="28">
        <f>IF($P140="","",IF(INDEX(CalcNormDate,$P140)=0,"",INDEX(CalcNormDate,$P140)))</f>
        <v/>
      </c>
      <c r="C140" s="28">
        <f>IF($P140="","",IF(INDEX(CalcTime,$P140)=0,"",INDEX(CalcTime,$P140)))</f>
        <v/>
      </c>
      <c r="D140" s="28">
        <f>IF($P140="","",IF(INDEX(EntryParty,$P140)=0,"",INDEX(EntryParty,$P140)))</f>
        <v/>
      </c>
      <c r="E140" s="28">
        <f>IF($P140="","",IF(INDEX(EntryPartyName,$P140)=0,"",INDEX(EntryPartyName,$P140)))</f>
        <v/>
      </c>
      <c r="F140" s="28">
        <f>IF($P140="","",IF(INDEX(EntryPartyType,$P140)=0,"",INDEX(EntryPartyType,$P140)))</f>
        <v/>
      </c>
      <c r="G140" s="28">
        <f>IF($P140="","",IF(INDEX(EntryTxnType,$P140)=0,"",INDEX(EntryTxnType,$P140)))</f>
        <v/>
      </c>
      <c r="H140" s="29">
        <f>IF($P140="","",IF(INDEX(EntryDep,$P140)=0,"",INDEX(EntryDep,$P140)))</f>
        <v/>
      </c>
      <c r="I140" s="29">
        <f>IF($P140="","",IF(INDEX(EntryWit,$P140)=0,"",INDEX(EntryWit,$P140)))</f>
        <v/>
      </c>
      <c r="J140" s="29">
        <f>IF($B140="","",IF($A140=1,$C$7,IF(J139="",0,J139))+IF($H140="",0,$H140)-IF($I140="",0,$I140))</f>
        <v/>
      </c>
      <c r="K140" s="29">
        <f>IF($P140="","",IF(INDEX(EntryMan,$P140)=0,"",INDEX(EntryMan,$P140)))</f>
        <v/>
      </c>
      <c r="L140" s="28">
        <f>IF($B140="","",IF($K140="","—",IF(ROUND($K140-$J140,0)=0,"√","×")))</f>
        <v/>
      </c>
      <c r="M140" s="28">
        <f>IF($B140="","",IF(COUNTIFS(EntryDates,$B140,CalcTime,$C140,CalcBank,$C$5,EntryParty,$D140,EntryDep,$H140,EntryWit,$I140)&gt;1,"تکرار",""))</f>
        <v/>
      </c>
      <c r="N140" s="28">
        <f>IF($P140="","",IF(INDEX(EntryNotes,$P140)=0,"",INDEX(EntryNotes,$P140)))</f>
        <v/>
      </c>
      <c r="O140" s="28">
        <f>IF($P140="","",IF(INDEX(EntryTxnID,$P140)=0,"",INDEX(EntryTxnID,$P140)))</f>
        <v/>
      </c>
      <c r="P140" s="28">
        <f>IFERROR(MATCH($C$5&amp;"|"&amp;RIGHT("000000"&amp;124,6),CalcRankKey,0),"")</f>
        <v/>
      </c>
    </row>
    <row r="141">
      <c r="A141" s="26">
        <f>IF($B141="","",125)</f>
        <v/>
      </c>
      <c r="B141" s="26">
        <f>IF($P141="","",IF(INDEX(CalcNormDate,$P141)=0,"",INDEX(CalcNormDate,$P141)))</f>
        <v/>
      </c>
      <c r="C141" s="26">
        <f>IF($P141="","",IF(INDEX(CalcTime,$P141)=0,"",INDEX(CalcTime,$P141)))</f>
        <v/>
      </c>
      <c r="D141" s="26">
        <f>IF($P141="","",IF(INDEX(EntryParty,$P141)=0,"",INDEX(EntryParty,$P141)))</f>
        <v/>
      </c>
      <c r="E141" s="26">
        <f>IF($P141="","",IF(INDEX(EntryPartyName,$P141)=0,"",INDEX(EntryPartyName,$P141)))</f>
        <v/>
      </c>
      <c r="F141" s="26">
        <f>IF($P141="","",IF(INDEX(EntryPartyType,$P141)=0,"",INDEX(EntryPartyType,$P141)))</f>
        <v/>
      </c>
      <c r="G141" s="26">
        <f>IF($P141="","",IF(INDEX(EntryTxnType,$P141)=0,"",INDEX(EntryTxnType,$P141)))</f>
        <v/>
      </c>
      <c r="H141" s="27">
        <f>IF($P141="","",IF(INDEX(EntryDep,$P141)=0,"",INDEX(EntryDep,$P141)))</f>
        <v/>
      </c>
      <c r="I141" s="27">
        <f>IF($P141="","",IF(INDEX(EntryWit,$P141)=0,"",INDEX(EntryWit,$P141)))</f>
        <v/>
      </c>
      <c r="J141" s="27">
        <f>IF($B141="","",IF($A141=1,$C$7,IF(J140="",0,J140))+IF($H141="",0,$H141)-IF($I141="",0,$I141))</f>
        <v/>
      </c>
      <c r="K141" s="27">
        <f>IF($P141="","",IF(INDEX(EntryMan,$P141)=0,"",INDEX(EntryMan,$P141)))</f>
        <v/>
      </c>
      <c r="L141" s="26">
        <f>IF($B141="","",IF($K141="","—",IF(ROUND($K141-$J141,0)=0,"√","×")))</f>
        <v/>
      </c>
      <c r="M141" s="26">
        <f>IF($B141="","",IF(COUNTIFS(EntryDates,$B141,CalcTime,$C141,CalcBank,$C$5,EntryParty,$D141,EntryDep,$H141,EntryWit,$I141)&gt;1,"تکرار",""))</f>
        <v/>
      </c>
      <c r="N141" s="26">
        <f>IF($P141="","",IF(INDEX(EntryNotes,$P141)=0,"",INDEX(EntryNotes,$P141)))</f>
        <v/>
      </c>
      <c r="O141" s="26">
        <f>IF($P141="","",IF(INDEX(EntryTxnID,$P141)=0,"",INDEX(EntryTxnID,$P141)))</f>
        <v/>
      </c>
      <c r="P141" s="26">
        <f>IFERROR(MATCH($C$5&amp;"|"&amp;RIGHT("000000"&amp;125,6),CalcRankKey,0),"")</f>
        <v/>
      </c>
    </row>
    <row r="142">
      <c r="A142" s="28">
        <f>IF($B142="","",126)</f>
        <v/>
      </c>
      <c r="B142" s="28">
        <f>IF($P142="","",IF(INDEX(CalcNormDate,$P142)=0,"",INDEX(CalcNormDate,$P142)))</f>
        <v/>
      </c>
      <c r="C142" s="28">
        <f>IF($P142="","",IF(INDEX(CalcTime,$P142)=0,"",INDEX(CalcTime,$P142)))</f>
        <v/>
      </c>
      <c r="D142" s="28">
        <f>IF($P142="","",IF(INDEX(EntryParty,$P142)=0,"",INDEX(EntryParty,$P142)))</f>
        <v/>
      </c>
      <c r="E142" s="28">
        <f>IF($P142="","",IF(INDEX(EntryPartyName,$P142)=0,"",INDEX(EntryPartyName,$P142)))</f>
        <v/>
      </c>
      <c r="F142" s="28">
        <f>IF($P142="","",IF(INDEX(EntryPartyType,$P142)=0,"",INDEX(EntryPartyType,$P142)))</f>
        <v/>
      </c>
      <c r="G142" s="28">
        <f>IF($P142="","",IF(INDEX(EntryTxnType,$P142)=0,"",INDEX(EntryTxnType,$P142)))</f>
        <v/>
      </c>
      <c r="H142" s="29">
        <f>IF($P142="","",IF(INDEX(EntryDep,$P142)=0,"",INDEX(EntryDep,$P142)))</f>
        <v/>
      </c>
      <c r="I142" s="29">
        <f>IF($P142="","",IF(INDEX(EntryWit,$P142)=0,"",INDEX(EntryWit,$P142)))</f>
        <v/>
      </c>
      <c r="J142" s="29">
        <f>IF($B142="","",IF($A142=1,$C$7,IF(J141="",0,J141))+IF($H142="",0,$H142)-IF($I142="",0,$I142))</f>
        <v/>
      </c>
      <c r="K142" s="29">
        <f>IF($P142="","",IF(INDEX(EntryMan,$P142)=0,"",INDEX(EntryMan,$P142)))</f>
        <v/>
      </c>
      <c r="L142" s="28">
        <f>IF($B142="","",IF($K142="","—",IF(ROUND($K142-$J142,0)=0,"√","×")))</f>
        <v/>
      </c>
      <c r="M142" s="28">
        <f>IF($B142="","",IF(COUNTIFS(EntryDates,$B142,CalcTime,$C142,CalcBank,$C$5,EntryParty,$D142,EntryDep,$H142,EntryWit,$I142)&gt;1,"تکرار",""))</f>
        <v/>
      </c>
      <c r="N142" s="28">
        <f>IF($P142="","",IF(INDEX(EntryNotes,$P142)=0,"",INDEX(EntryNotes,$P142)))</f>
        <v/>
      </c>
      <c r="O142" s="28">
        <f>IF($P142="","",IF(INDEX(EntryTxnID,$P142)=0,"",INDEX(EntryTxnID,$P142)))</f>
        <v/>
      </c>
      <c r="P142" s="28">
        <f>IFERROR(MATCH($C$5&amp;"|"&amp;RIGHT("000000"&amp;126,6),CalcRankKey,0),"")</f>
        <v/>
      </c>
    </row>
    <row r="143">
      <c r="A143" s="26">
        <f>IF($B143="","",127)</f>
        <v/>
      </c>
      <c r="B143" s="26">
        <f>IF($P143="","",IF(INDEX(CalcNormDate,$P143)=0,"",INDEX(CalcNormDate,$P143)))</f>
        <v/>
      </c>
      <c r="C143" s="26">
        <f>IF($P143="","",IF(INDEX(CalcTime,$P143)=0,"",INDEX(CalcTime,$P143)))</f>
        <v/>
      </c>
      <c r="D143" s="26">
        <f>IF($P143="","",IF(INDEX(EntryParty,$P143)=0,"",INDEX(EntryParty,$P143)))</f>
        <v/>
      </c>
      <c r="E143" s="26">
        <f>IF($P143="","",IF(INDEX(EntryPartyName,$P143)=0,"",INDEX(EntryPartyName,$P143)))</f>
        <v/>
      </c>
      <c r="F143" s="26">
        <f>IF($P143="","",IF(INDEX(EntryPartyType,$P143)=0,"",INDEX(EntryPartyType,$P143)))</f>
        <v/>
      </c>
      <c r="G143" s="26">
        <f>IF($P143="","",IF(INDEX(EntryTxnType,$P143)=0,"",INDEX(EntryTxnType,$P143)))</f>
        <v/>
      </c>
      <c r="H143" s="27">
        <f>IF($P143="","",IF(INDEX(EntryDep,$P143)=0,"",INDEX(EntryDep,$P143)))</f>
        <v/>
      </c>
      <c r="I143" s="27">
        <f>IF($P143="","",IF(INDEX(EntryWit,$P143)=0,"",INDEX(EntryWit,$P143)))</f>
        <v/>
      </c>
      <c r="J143" s="27">
        <f>IF($B143="","",IF($A143=1,$C$7,IF(J142="",0,J142))+IF($H143="",0,$H143)-IF($I143="",0,$I143))</f>
        <v/>
      </c>
      <c r="K143" s="27">
        <f>IF($P143="","",IF(INDEX(EntryMan,$P143)=0,"",INDEX(EntryMan,$P143)))</f>
        <v/>
      </c>
      <c r="L143" s="26">
        <f>IF($B143="","",IF($K143="","—",IF(ROUND($K143-$J143,0)=0,"√","×")))</f>
        <v/>
      </c>
      <c r="M143" s="26">
        <f>IF($B143="","",IF(COUNTIFS(EntryDates,$B143,CalcTime,$C143,CalcBank,$C$5,EntryParty,$D143,EntryDep,$H143,EntryWit,$I143)&gt;1,"تکرار",""))</f>
        <v/>
      </c>
      <c r="N143" s="26">
        <f>IF($P143="","",IF(INDEX(EntryNotes,$P143)=0,"",INDEX(EntryNotes,$P143)))</f>
        <v/>
      </c>
      <c r="O143" s="26">
        <f>IF($P143="","",IF(INDEX(EntryTxnID,$P143)=0,"",INDEX(EntryTxnID,$P143)))</f>
        <v/>
      </c>
      <c r="P143" s="26">
        <f>IFERROR(MATCH($C$5&amp;"|"&amp;RIGHT("000000"&amp;127,6),CalcRankKey,0),"")</f>
        <v/>
      </c>
    </row>
    <row r="144">
      <c r="A144" s="28">
        <f>IF($B144="","",128)</f>
        <v/>
      </c>
      <c r="B144" s="28">
        <f>IF($P144="","",IF(INDEX(CalcNormDate,$P144)=0,"",INDEX(CalcNormDate,$P144)))</f>
        <v/>
      </c>
      <c r="C144" s="28">
        <f>IF($P144="","",IF(INDEX(CalcTime,$P144)=0,"",INDEX(CalcTime,$P144)))</f>
        <v/>
      </c>
      <c r="D144" s="28">
        <f>IF($P144="","",IF(INDEX(EntryParty,$P144)=0,"",INDEX(EntryParty,$P144)))</f>
        <v/>
      </c>
      <c r="E144" s="28">
        <f>IF($P144="","",IF(INDEX(EntryPartyName,$P144)=0,"",INDEX(EntryPartyName,$P144)))</f>
        <v/>
      </c>
      <c r="F144" s="28">
        <f>IF($P144="","",IF(INDEX(EntryPartyType,$P144)=0,"",INDEX(EntryPartyType,$P144)))</f>
        <v/>
      </c>
      <c r="G144" s="28">
        <f>IF($P144="","",IF(INDEX(EntryTxnType,$P144)=0,"",INDEX(EntryTxnType,$P144)))</f>
        <v/>
      </c>
      <c r="H144" s="29">
        <f>IF($P144="","",IF(INDEX(EntryDep,$P144)=0,"",INDEX(EntryDep,$P144)))</f>
        <v/>
      </c>
      <c r="I144" s="29">
        <f>IF($P144="","",IF(INDEX(EntryWit,$P144)=0,"",INDEX(EntryWit,$P144)))</f>
        <v/>
      </c>
      <c r="J144" s="29">
        <f>IF($B144="","",IF($A144=1,$C$7,IF(J143="",0,J143))+IF($H144="",0,$H144)-IF($I144="",0,$I144))</f>
        <v/>
      </c>
      <c r="K144" s="29">
        <f>IF($P144="","",IF(INDEX(EntryMan,$P144)=0,"",INDEX(EntryMan,$P144)))</f>
        <v/>
      </c>
      <c r="L144" s="28">
        <f>IF($B144="","",IF($K144="","—",IF(ROUND($K144-$J144,0)=0,"√","×")))</f>
        <v/>
      </c>
      <c r="M144" s="28">
        <f>IF($B144="","",IF(COUNTIFS(EntryDates,$B144,CalcTime,$C144,CalcBank,$C$5,EntryParty,$D144,EntryDep,$H144,EntryWit,$I144)&gt;1,"تکرار",""))</f>
        <v/>
      </c>
      <c r="N144" s="28">
        <f>IF($P144="","",IF(INDEX(EntryNotes,$P144)=0,"",INDEX(EntryNotes,$P144)))</f>
        <v/>
      </c>
      <c r="O144" s="28">
        <f>IF($P144="","",IF(INDEX(EntryTxnID,$P144)=0,"",INDEX(EntryTxnID,$P144)))</f>
        <v/>
      </c>
      <c r="P144" s="28">
        <f>IFERROR(MATCH($C$5&amp;"|"&amp;RIGHT("000000"&amp;128,6),CalcRankKey,0),"")</f>
        <v/>
      </c>
    </row>
    <row r="145">
      <c r="A145" s="26">
        <f>IF($B145="","",129)</f>
        <v/>
      </c>
      <c r="B145" s="26">
        <f>IF($P145="","",IF(INDEX(CalcNormDate,$P145)=0,"",INDEX(CalcNormDate,$P145)))</f>
        <v/>
      </c>
      <c r="C145" s="26">
        <f>IF($P145="","",IF(INDEX(CalcTime,$P145)=0,"",INDEX(CalcTime,$P145)))</f>
        <v/>
      </c>
      <c r="D145" s="26">
        <f>IF($P145="","",IF(INDEX(EntryParty,$P145)=0,"",INDEX(EntryParty,$P145)))</f>
        <v/>
      </c>
      <c r="E145" s="26">
        <f>IF($P145="","",IF(INDEX(EntryPartyName,$P145)=0,"",INDEX(EntryPartyName,$P145)))</f>
        <v/>
      </c>
      <c r="F145" s="26">
        <f>IF($P145="","",IF(INDEX(EntryPartyType,$P145)=0,"",INDEX(EntryPartyType,$P145)))</f>
        <v/>
      </c>
      <c r="G145" s="26">
        <f>IF($P145="","",IF(INDEX(EntryTxnType,$P145)=0,"",INDEX(EntryTxnType,$P145)))</f>
        <v/>
      </c>
      <c r="H145" s="27">
        <f>IF($P145="","",IF(INDEX(EntryDep,$P145)=0,"",INDEX(EntryDep,$P145)))</f>
        <v/>
      </c>
      <c r="I145" s="27">
        <f>IF($P145="","",IF(INDEX(EntryWit,$P145)=0,"",INDEX(EntryWit,$P145)))</f>
        <v/>
      </c>
      <c r="J145" s="27">
        <f>IF($B145="","",IF($A145=1,$C$7,IF(J144="",0,J144))+IF($H145="",0,$H145)-IF($I145="",0,$I145))</f>
        <v/>
      </c>
      <c r="K145" s="27">
        <f>IF($P145="","",IF(INDEX(EntryMan,$P145)=0,"",INDEX(EntryMan,$P145)))</f>
        <v/>
      </c>
      <c r="L145" s="26">
        <f>IF($B145="","",IF($K145="","—",IF(ROUND($K145-$J145,0)=0,"√","×")))</f>
        <v/>
      </c>
      <c r="M145" s="26">
        <f>IF($B145="","",IF(COUNTIFS(EntryDates,$B145,CalcTime,$C145,CalcBank,$C$5,EntryParty,$D145,EntryDep,$H145,EntryWit,$I145)&gt;1,"تکرار",""))</f>
        <v/>
      </c>
      <c r="N145" s="26">
        <f>IF($P145="","",IF(INDEX(EntryNotes,$P145)=0,"",INDEX(EntryNotes,$P145)))</f>
        <v/>
      </c>
      <c r="O145" s="26">
        <f>IF($P145="","",IF(INDEX(EntryTxnID,$P145)=0,"",INDEX(EntryTxnID,$P145)))</f>
        <v/>
      </c>
      <c r="P145" s="26">
        <f>IFERROR(MATCH($C$5&amp;"|"&amp;RIGHT("000000"&amp;129,6),CalcRankKey,0),"")</f>
        <v/>
      </c>
    </row>
    <row r="146">
      <c r="A146" s="28">
        <f>IF($B146="","",130)</f>
        <v/>
      </c>
      <c r="B146" s="28">
        <f>IF($P146="","",IF(INDEX(CalcNormDate,$P146)=0,"",INDEX(CalcNormDate,$P146)))</f>
        <v/>
      </c>
      <c r="C146" s="28">
        <f>IF($P146="","",IF(INDEX(CalcTime,$P146)=0,"",INDEX(CalcTime,$P146)))</f>
        <v/>
      </c>
      <c r="D146" s="28">
        <f>IF($P146="","",IF(INDEX(EntryParty,$P146)=0,"",INDEX(EntryParty,$P146)))</f>
        <v/>
      </c>
      <c r="E146" s="28">
        <f>IF($P146="","",IF(INDEX(EntryPartyName,$P146)=0,"",INDEX(EntryPartyName,$P146)))</f>
        <v/>
      </c>
      <c r="F146" s="28">
        <f>IF($P146="","",IF(INDEX(EntryPartyType,$P146)=0,"",INDEX(EntryPartyType,$P146)))</f>
        <v/>
      </c>
      <c r="G146" s="28">
        <f>IF($P146="","",IF(INDEX(EntryTxnType,$P146)=0,"",INDEX(EntryTxnType,$P146)))</f>
        <v/>
      </c>
      <c r="H146" s="29">
        <f>IF($P146="","",IF(INDEX(EntryDep,$P146)=0,"",INDEX(EntryDep,$P146)))</f>
        <v/>
      </c>
      <c r="I146" s="29">
        <f>IF($P146="","",IF(INDEX(EntryWit,$P146)=0,"",INDEX(EntryWit,$P146)))</f>
        <v/>
      </c>
      <c r="J146" s="29">
        <f>IF($B146="","",IF($A146=1,$C$7,IF(J145="",0,J145))+IF($H146="",0,$H146)-IF($I146="",0,$I146))</f>
        <v/>
      </c>
      <c r="K146" s="29">
        <f>IF($P146="","",IF(INDEX(EntryMan,$P146)=0,"",INDEX(EntryMan,$P146)))</f>
        <v/>
      </c>
      <c r="L146" s="28">
        <f>IF($B146="","",IF($K146="","—",IF(ROUND($K146-$J146,0)=0,"√","×")))</f>
        <v/>
      </c>
      <c r="M146" s="28">
        <f>IF($B146="","",IF(COUNTIFS(EntryDates,$B146,CalcTime,$C146,CalcBank,$C$5,EntryParty,$D146,EntryDep,$H146,EntryWit,$I146)&gt;1,"تکرار",""))</f>
        <v/>
      </c>
      <c r="N146" s="28">
        <f>IF($P146="","",IF(INDEX(EntryNotes,$P146)=0,"",INDEX(EntryNotes,$P146)))</f>
        <v/>
      </c>
      <c r="O146" s="28">
        <f>IF($P146="","",IF(INDEX(EntryTxnID,$P146)=0,"",INDEX(EntryTxnID,$P146)))</f>
        <v/>
      </c>
      <c r="P146" s="28">
        <f>IFERROR(MATCH($C$5&amp;"|"&amp;RIGHT("000000"&amp;130,6),CalcRankKey,0),"")</f>
        <v/>
      </c>
    </row>
    <row r="147">
      <c r="A147" s="26">
        <f>IF($B147="","",131)</f>
        <v/>
      </c>
      <c r="B147" s="26">
        <f>IF($P147="","",IF(INDEX(CalcNormDate,$P147)=0,"",INDEX(CalcNormDate,$P147)))</f>
        <v/>
      </c>
      <c r="C147" s="26">
        <f>IF($P147="","",IF(INDEX(CalcTime,$P147)=0,"",INDEX(CalcTime,$P147)))</f>
        <v/>
      </c>
      <c r="D147" s="26">
        <f>IF($P147="","",IF(INDEX(EntryParty,$P147)=0,"",INDEX(EntryParty,$P147)))</f>
        <v/>
      </c>
      <c r="E147" s="26">
        <f>IF($P147="","",IF(INDEX(EntryPartyName,$P147)=0,"",INDEX(EntryPartyName,$P147)))</f>
        <v/>
      </c>
      <c r="F147" s="26">
        <f>IF($P147="","",IF(INDEX(EntryPartyType,$P147)=0,"",INDEX(EntryPartyType,$P147)))</f>
        <v/>
      </c>
      <c r="G147" s="26">
        <f>IF($P147="","",IF(INDEX(EntryTxnType,$P147)=0,"",INDEX(EntryTxnType,$P147)))</f>
        <v/>
      </c>
      <c r="H147" s="27">
        <f>IF($P147="","",IF(INDEX(EntryDep,$P147)=0,"",INDEX(EntryDep,$P147)))</f>
        <v/>
      </c>
      <c r="I147" s="27">
        <f>IF($P147="","",IF(INDEX(EntryWit,$P147)=0,"",INDEX(EntryWit,$P147)))</f>
        <v/>
      </c>
      <c r="J147" s="27">
        <f>IF($B147="","",IF($A147=1,$C$7,IF(J146="",0,J146))+IF($H147="",0,$H147)-IF($I147="",0,$I147))</f>
        <v/>
      </c>
      <c r="K147" s="27">
        <f>IF($P147="","",IF(INDEX(EntryMan,$P147)=0,"",INDEX(EntryMan,$P147)))</f>
        <v/>
      </c>
      <c r="L147" s="26">
        <f>IF($B147="","",IF($K147="","—",IF(ROUND($K147-$J147,0)=0,"√","×")))</f>
        <v/>
      </c>
      <c r="M147" s="26">
        <f>IF($B147="","",IF(COUNTIFS(EntryDates,$B147,CalcTime,$C147,CalcBank,$C$5,EntryParty,$D147,EntryDep,$H147,EntryWit,$I147)&gt;1,"تکرار",""))</f>
        <v/>
      </c>
      <c r="N147" s="26">
        <f>IF($P147="","",IF(INDEX(EntryNotes,$P147)=0,"",INDEX(EntryNotes,$P147)))</f>
        <v/>
      </c>
      <c r="O147" s="26">
        <f>IF($P147="","",IF(INDEX(EntryTxnID,$P147)=0,"",INDEX(EntryTxnID,$P147)))</f>
        <v/>
      </c>
      <c r="P147" s="26">
        <f>IFERROR(MATCH($C$5&amp;"|"&amp;RIGHT("000000"&amp;131,6),CalcRankKey,0),"")</f>
        <v/>
      </c>
    </row>
    <row r="148">
      <c r="A148" s="28">
        <f>IF($B148="","",132)</f>
        <v/>
      </c>
      <c r="B148" s="28">
        <f>IF($P148="","",IF(INDEX(CalcNormDate,$P148)=0,"",INDEX(CalcNormDate,$P148)))</f>
        <v/>
      </c>
      <c r="C148" s="28">
        <f>IF($P148="","",IF(INDEX(CalcTime,$P148)=0,"",INDEX(CalcTime,$P148)))</f>
        <v/>
      </c>
      <c r="D148" s="28">
        <f>IF($P148="","",IF(INDEX(EntryParty,$P148)=0,"",INDEX(EntryParty,$P148)))</f>
        <v/>
      </c>
      <c r="E148" s="28">
        <f>IF($P148="","",IF(INDEX(EntryPartyName,$P148)=0,"",INDEX(EntryPartyName,$P148)))</f>
        <v/>
      </c>
      <c r="F148" s="28">
        <f>IF($P148="","",IF(INDEX(EntryPartyType,$P148)=0,"",INDEX(EntryPartyType,$P148)))</f>
        <v/>
      </c>
      <c r="G148" s="28">
        <f>IF($P148="","",IF(INDEX(EntryTxnType,$P148)=0,"",INDEX(EntryTxnType,$P148)))</f>
        <v/>
      </c>
      <c r="H148" s="29">
        <f>IF($P148="","",IF(INDEX(EntryDep,$P148)=0,"",INDEX(EntryDep,$P148)))</f>
        <v/>
      </c>
      <c r="I148" s="29">
        <f>IF($P148="","",IF(INDEX(EntryWit,$P148)=0,"",INDEX(EntryWit,$P148)))</f>
        <v/>
      </c>
      <c r="J148" s="29">
        <f>IF($B148="","",IF($A148=1,$C$7,IF(J147="",0,J147))+IF($H148="",0,$H148)-IF($I148="",0,$I148))</f>
        <v/>
      </c>
      <c r="K148" s="29">
        <f>IF($P148="","",IF(INDEX(EntryMan,$P148)=0,"",INDEX(EntryMan,$P148)))</f>
        <v/>
      </c>
      <c r="L148" s="28">
        <f>IF($B148="","",IF($K148="","—",IF(ROUND($K148-$J148,0)=0,"√","×")))</f>
        <v/>
      </c>
      <c r="M148" s="28">
        <f>IF($B148="","",IF(COUNTIFS(EntryDates,$B148,CalcTime,$C148,CalcBank,$C$5,EntryParty,$D148,EntryDep,$H148,EntryWit,$I148)&gt;1,"تکرار",""))</f>
        <v/>
      </c>
      <c r="N148" s="28">
        <f>IF($P148="","",IF(INDEX(EntryNotes,$P148)=0,"",INDEX(EntryNotes,$P148)))</f>
        <v/>
      </c>
      <c r="O148" s="28">
        <f>IF($P148="","",IF(INDEX(EntryTxnID,$P148)=0,"",INDEX(EntryTxnID,$P148)))</f>
        <v/>
      </c>
      <c r="P148" s="28">
        <f>IFERROR(MATCH($C$5&amp;"|"&amp;RIGHT("000000"&amp;132,6),CalcRankKey,0),"")</f>
        <v/>
      </c>
    </row>
    <row r="149">
      <c r="A149" s="26">
        <f>IF($B149="","",133)</f>
        <v/>
      </c>
      <c r="B149" s="26">
        <f>IF($P149="","",IF(INDEX(CalcNormDate,$P149)=0,"",INDEX(CalcNormDate,$P149)))</f>
        <v/>
      </c>
      <c r="C149" s="26">
        <f>IF($P149="","",IF(INDEX(CalcTime,$P149)=0,"",INDEX(CalcTime,$P149)))</f>
        <v/>
      </c>
      <c r="D149" s="26">
        <f>IF($P149="","",IF(INDEX(EntryParty,$P149)=0,"",INDEX(EntryParty,$P149)))</f>
        <v/>
      </c>
      <c r="E149" s="26">
        <f>IF($P149="","",IF(INDEX(EntryPartyName,$P149)=0,"",INDEX(EntryPartyName,$P149)))</f>
        <v/>
      </c>
      <c r="F149" s="26">
        <f>IF($P149="","",IF(INDEX(EntryPartyType,$P149)=0,"",INDEX(EntryPartyType,$P149)))</f>
        <v/>
      </c>
      <c r="G149" s="26">
        <f>IF($P149="","",IF(INDEX(EntryTxnType,$P149)=0,"",INDEX(EntryTxnType,$P149)))</f>
        <v/>
      </c>
      <c r="H149" s="27">
        <f>IF($P149="","",IF(INDEX(EntryDep,$P149)=0,"",INDEX(EntryDep,$P149)))</f>
        <v/>
      </c>
      <c r="I149" s="27">
        <f>IF($P149="","",IF(INDEX(EntryWit,$P149)=0,"",INDEX(EntryWit,$P149)))</f>
        <v/>
      </c>
      <c r="J149" s="27">
        <f>IF($B149="","",IF($A149=1,$C$7,IF(J148="",0,J148))+IF($H149="",0,$H149)-IF($I149="",0,$I149))</f>
        <v/>
      </c>
      <c r="K149" s="27">
        <f>IF($P149="","",IF(INDEX(EntryMan,$P149)=0,"",INDEX(EntryMan,$P149)))</f>
        <v/>
      </c>
      <c r="L149" s="26">
        <f>IF($B149="","",IF($K149="","—",IF(ROUND($K149-$J149,0)=0,"√","×")))</f>
        <v/>
      </c>
      <c r="M149" s="26">
        <f>IF($B149="","",IF(COUNTIFS(EntryDates,$B149,CalcTime,$C149,CalcBank,$C$5,EntryParty,$D149,EntryDep,$H149,EntryWit,$I149)&gt;1,"تکرار",""))</f>
        <v/>
      </c>
      <c r="N149" s="26">
        <f>IF($P149="","",IF(INDEX(EntryNotes,$P149)=0,"",INDEX(EntryNotes,$P149)))</f>
        <v/>
      </c>
      <c r="O149" s="26">
        <f>IF($P149="","",IF(INDEX(EntryTxnID,$P149)=0,"",INDEX(EntryTxnID,$P149)))</f>
        <v/>
      </c>
      <c r="P149" s="26">
        <f>IFERROR(MATCH($C$5&amp;"|"&amp;RIGHT("000000"&amp;133,6),CalcRankKey,0),"")</f>
        <v/>
      </c>
    </row>
    <row r="150">
      <c r="A150" s="28">
        <f>IF($B150="","",134)</f>
        <v/>
      </c>
      <c r="B150" s="28">
        <f>IF($P150="","",IF(INDEX(CalcNormDate,$P150)=0,"",INDEX(CalcNormDate,$P150)))</f>
        <v/>
      </c>
      <c r="C150" s="28">
        <f>IF($P150="","",IF(INDEX(CalcTime,$P150)=0,"",INDEX(CalcTime,$P150)))</f>
        <v/>
      </c>
      <c r="D150" s="28">
        <f>IF($P150="","",IF(INDEX(EntryParty,$P150)=0,"",INDEX(EntryParty,$P150)))</f>
        <v/>
      </c>
      <c r="E150" s="28">
        <f>IF($P150="","",IF(INDEX(EntryPartyName,$P150)=0,"",INDEX(EntryPartyName,$P150)))</f>
        <v/>
      </c>
      <c r="F150" s="28">
        <f>IF($P150="","",IF(INDEX(EntryPartyType,$P150)=0,"",INDEX(EntryPartyType,$P150)))</f>
        <v/>
      </c>
      <c r="G150" s="28">
        <f>IF($P150="","",IF(INDEX(EntryTxnType,$P150)=0,"",INDEX(EntryTxnType,$P150)))</f>
        <v/>
      </c>
      <c r="H150" s="29">
        <f>IF($P150="","",IF(INDEX(EntryDep,$P150)=0,"",INDEX(EntryDep,$P150)))</f>
        <v/>
      </c>
      <c r="I150" s="29">
        <f>IF($P150="","",IF(INDEX(EntryWit,$P150)=0,"",INDEX(EntryWit,$P150)))</f>
        <v/>
      </c>
      <c r="J150" s="29">
        <f>IF($B150="","",IF($A150=1,$C$7,IF(J149="",0,J149))+IF($H150="",0,$H150)-IF($I150="",0,$I150))</f>
        <v/>
      </c>
      <c r="K150" s="29">
        <f>IF($P150="","",IF(INDEX(EntryMan,$P150)=0,"",INDEX(EntryMan,$P150)))</f>
        <v/>
      </c>
      <c r="L150" s="28">
        <f>IF($B150="","",IF($K150="","—",IF(ROUND($K150-$J150,0)=0,"√","×")))</f>
        <v/>
      </c>
      <c r="M150" s="28">
        <f>IF($B150="","",IF(COUNTIFS(EntryDates,$B150,CalcTime,$C150,CalcBank,$C$5,EntryParty,$D150,EntryDep,$H150,EntryWit,$I150)&gt;1,"تکرار",""))</f>
        <v/>
      </c>
      <c r="N150" s="28">
        <f>IF($P150="","",IF(INDEX(EntryNotes,$P150)=0,"",INDEX(EntryNotes,$P150)))</f>
        <v/>
      </c>
      <c r="O150" s="28">
        <f>IF($P150="","",IF(INDEX(EntryTxnID,$P150)=0,"",INDEX(EntryTxnID,$P150)))</f>
        <v/>
      </c>
      <c r="P150" s="28">
        <f>IFERROR(MATCH($C$5&amp;"|"&amp;RIGHT("000000"&amp;134,6),CalcRankKey,0),"")</f>
        <v/>
      </c>
    </row>
    <row r="151">
      <c r="A151" s="26">
        <f>IF($B151="","",135)</f>
        <v/>
      </c>
      <c r="B151" s="26">
        <f>IF($P151="","",IF(INDEX(CalcNormDate,$P151)=0,"",INDEX(CalcNormDate,$P151)))</f>
        <v/>
      </c>
      <c r="C151" s="26">
        <f>IF($P151="","",IF(INDEX(CalcTime,$P151)=0,"",INDEX(CalcTime,$P151)))</f>
        <v/>
      </c>
      <c r="D151" s="26">
        <f>IF($P151="","",IF(INDEX(EntryParty,$P151)=0,"",INDEX(EntryParty,$P151)))</f>
        <v/>
      </c>
      <c r="E151" s="26">
        <f>IF($P151="","",IF(INDEX(EntryPartyName,$P151)=0,"",INDEX(EntryPartyName,$P151)))</f>
        <v/>
      </c>
      <c r="F151" s="26">
        <f>IF($P151="","",IF(INDEX(EntryPartyType,$P151)=0,"",INDEX(EntryPartyType,$P151)))</f>
        <v/>
      </c>
      <c r="G151" s="26">
        <f>IF($P151="","",IF(INDEX(EntryTxnType,$P151)=0,"",INDEX(EntryTxnType,$P151)))</f>
        <v/>
      </c>
      <c r="H151" s="27">
        <f>IF($P151="","",IF(INDEX(EntryDep,$P151)=0,"",INDEX(EntryDep,$P151)))</f>
        <v/>
      </c>
      <c r="I151" s="27">
        <f>IF($P151="","",IF(INDEX(EntryWit,$P151)=0,"",INDEX(EntryWit,$P151)))</f>
        <v/>
      </c>
      <c r="J151" s="27">
        <f>IF($B151="","",IF($A151=1,$C$7,IF(J150="",0,J150))+IF($H151="",0,$H151)-IF($I151="",0,$I151))</f>
        <v/>
      </c>
      <c r="K151" s="27">
        <f>IF($P151="","",IF(INDEX(EntryMan,$P151)=0,"",INDEX(EntryMan,$P151)))</f>
        <v/>
      </c>
      <c r="L151" s="26">
        <f>IF($B151="","",IF($K151="","—",IF(ROUND($K151-$J151,0)=0,"√","×")))</f>
        <v/>
      </c>
      <c r="M151" s="26">
        <f>IF($B151="","",IF(COUNTIFS(EntryDates,$B151,CalcTime,$C151,CalcBank,$C$5,EntryParty,$D151,EntryDep,$H151,EntryWit,$I151)&gt;1,"تکرار",""))</f>
        <v/>
      </c>
      <c r="N151" s="26">
        <f>IF($P151="","",IF(INDEX(EntryNotes,$P151)=0,"",INDEX(EntryNotes,$P151)))</f>
        <v/>
      </c>
      <c r="O151" s="26">
        <f>IF($P151="","",IF(INDEX(EntryTxnID,$P151)=0,"",INDEX(EntryTxnID,$P151)))</f>
        <v/>
      </c>
      <c r="P151" s="26">
        <f>IFERROR(MATCH($C$5&amp;"|"&amp;RIGHT("000000"&amp;135,6),CalcRankKey,0),"")</f>
        <v/>
      </c>
    </row>
    <row r="152">
      <c r="A152" s="28">
        <f>IF($B152="","",136)</f>
        <v/>
      </c>
      <c r="B152" s="28">
        <f>IF($P152="","",IF(INDEX(CalcNormDate,$P152)=0,"",INDEX(CalcNormDate,$P152)))</f>
        <v/>
      </c>
      <c r="C152" s="28">
        <f>IF($P152="","",IF(INDEX(CalcTime,$P152)=0,"",INDEX(CalcTime,$P152)))</f>
        <v/>
      </c>
      <c r="D152" s="28">
        <f>IF($P152="","",IF(INDEX(EntryParty,$P152)=0,"",INDEX(EntryParty,$P152)))</f>
        <v/>
      </c>
      <c r="E152" s="28">
        <f>IF($P152="","",IF(INDEX(EntryPartyName,$P152)=0,"",INDEX(EntryPartyName,$P152)))</f>
        <v/>
      </c>
      <c r="F152" s="28">
        <f>IF($P152="","",IF(INDEX(EntryPartyType,$P152)=0,"",INDEX(EntryPartyType,$P152)))</f>
        <v/>
      </c>
      <c r="G152" s="28">
        <f>IF($P152="","",IF(INDEX(EntryTxnType,$P152)=0,"",INDEX(EntryTxnType,$P152)))</f>
        <v/>
      </c>
      <c r="H152" s="29">
        <f>IF($P152="","",IF(INDEX(EntryDep,$P152)=0,"",INDEX(EntryDep,$P152)))</f>
        <v/>
      </c>
      <c r="I152" s="29">
        <f>IF($P152="","",IF(INDEX(EntryWit,$P152)=0,"",INDEX(EntryWit,$P152)))</f>
        <v/>
      </c>
      <c r="J152" s="29">
        <f>IF($B152="","",IF($A152=1,$C$7,IF(J151="",0,J151))+IF($H152="",0,$H152)-IF($I152="",0,$I152))</f>
        <v/>
      </c>
      <c r="K152" s="29">
        <f>IF($P152="","",IF(INDEX(EntryMan,$P152)=0,"",INDEX(EntryMan,$P152)))</f>
        <v/>
      </c>
      <c r="L152" s="28">
        <f>IF($B152="","",IF($K152="","—",IF(ROUND($K152-$J152,0)=0,"√","×")))</f>
        <v/>
      </c>
      <c r="M152" s="28">
        <f>IF($B152="","",IF(COUNTIFS(EntryDates,$B152,CalcTime,$C152,CalcBank,$C$5,EntryParty,$D152,EntryDep,$H152,EntryWit,$I152)&gt;1,"تکرار",""))</f>
        <v/>
      </c>
      <c r="N152" s="28">
        <f>IF($P152="","",IF(INDEX(EntryNotes,$P152)=0,"",INDEX(EntryNotes,$P152)))</f>
        <v/>
      </c>
      <c r="O152" s="28">
        <f>IF($P152="","",IF(INDEX(EntryTxnID,$P152)=0,"",INDEX(EntryTxnID,$P152)))</f>
        <v/>
      </c>
      <c r="P152" s="28">
        <f>IFERROR(MATCH($C$5&amp;"|"&amp;RIGHT("000000"&amp;136,6),CalcRankKey,0),"")</f>
        <v/>
      </c>
    </row>
    <row r="153">
      <c r="A153" s="26">
        <f>IF($B153="","",137)</f>
        <v/>
      </c>
      <c r="B153" s="26">
        <f>IF($P153="","",IF(INDEX(CalcNormDate,$P153)=0,"",INDEX(CalcNormDate,$P153)))</f>
        <v/>
      </c>
      <c r="C153" s="26">
        <f>IF($P153="","",IF(INDEX(CalcTime,$P153)=0,"",INDEX(CalcTime,$P153)))</f>
        <v/>
      </c>
      <c r="D153" s="26">
        <f>IF($P153="","",IF(INDEX(EntryParty,$P153)=0,"",INDEX(EntryParty,$P153)))</f>
        <v/>
      </c>
      <c r="E153" s="26">
        <f>IF($P153="","",IF(INDEX(EntryPartyName,$P153)=0,"",INDEX(EntryPartyName,$P153)))</f>
        <v/>
      </c>
      <c r="F153" s="26">
        <f>IF($P153="","",IF(INDEX(EntryPartyType,$P153)=0,"",INDEX(EntryPartyType,$P153)))</f>
        <v/>
      </c>
      <c r="G153" s="26">
        <f>IF($P153="","",IF(INDEX(EntryTxnType,$P153)=0,"",INDEX(EntryTxnType,$P153)))</f>
        <v/>
      </c>
      <c r="H153" s="27">
        <f>IF($P153="","",IF(INDEX(EntryDep,$P153)=0,"",INDEX(EntryDep,$P153)))</f>
        <v/>
      </c>
      <c r="I153" s="27">
        <f>IF($P153="","",IF(INDEX(EntryWit,$P153)=0,"",INDEX(EntryWit,$P153)))</f>
        <v/>
      </c>
      <c r="J153" s="27">
        <f>IF($B153="","",IF($A153=1,$C$7,IF(J152="",0,J152))+IF($H153="",0,$H153)-IF($I153="",0,$I153))</f>
        <v/>
      </c>
      <c r="K153" s="27">
        <f>IF($P153="","",IF(INDEX(EntryMan,$P153)=0,"",INDEX(EntryMan,$P153)))</f>
        <v/>
      </c>
      <c r="L153" s="26">
        <f>IF($B153="","",IF($K153="","—",IF(ROUND($K153-$J153,0)=0,"√","×")))</f>
        <v/>
      </c>
      <c r="M153" s="26">
        <f>IF($B153="","",IF(COUNTIFS(EntryDates,$B153,CalcTime,$C153,CalcBank,$C$5,EntryParty,$D153,EntryDep,$H153,EntryWit,$I153)&gt;1,"تکرار",""))</f>
        <v/>
      </c>
      <c r="N153" s="26">
        <f>IF($P153="","",IF(INDEX(EntryNotes,$P153)=0,"",INDEX(EntryNotes,$P153)))</f>
        <v/>
      </c>
      <c r="O153" s="26">
        <f>IF($P153="","",IF(INDEX(EntryTxnID,$P153)=0,"",INDEX(EntryTxnID,$P153)))</f>
        <v/>
      </c>
      <c r="P153" s="26">
        <f>IFERROR(MATCH($C$5&amp;"|"&amp;RIGHT("000000"&amp;137,6),CalcRankKey,0),"")</f>
        <v/>
      </c>
    </row>
    <row r="154">
      <c r="A154" s="28">
        <f>IF($B154="","",138)</f>
        <v/>
      </c>
      <c r="B154" s="28">
        <f>IF($P154="","",IF(INDEX(CalcNormDate,$P154)=0,"",INDEX(CalcNormDate,$P154)))</f>
        <v/>
      </c>
      <c r="C154" s="28">
        <f>IF($P154="","",IF(INDEX(CalcTime,$P154)=0,"",INDEX(CalcTime,$P154)))</f>
        <v/>
      </c>
      <c r="D154" s="28">
        <f>IF($P154="","",IF(INDEX(EntryParty,$P154)=0,"",INDEX(EntryParty,$P154)))</f>
        <v/>
      </c>
      <c r="E154" s="28">
        <f>IF($P154="","",IF(INDEX(EntryPartyName,$P154)=0,"",INDEX(EntryPartyName,$P154)))</f>
        <v/>
      </c>
      <c r="F154" s="28">
        <f>IF($P154="","",IF(INDEX(EntryPartyType,$P154)=0,"",INDEX(EntryPartyType,$P154)))</f>
        <v/>
      </c>
      <c r="G154" s="28">
        <f>IF($P154="","",IF(INDEX(EntryTxnType,$P154)=0,"",INDEX(EntryTxnType,$P154)))</f>
        <v/>
      </c>
      <c r="H154" s="29">
        <f>IF($P154="","",IF(INDEX(EntryDep,$P154)=0,"",INDEX(EntryDep,$P154)))</f>
        <v/>
      </c>
      <c r="I154" s="29">
        <f>IF($P154="","",IF(INDEX(EntryWit,$P154)=0,"",INDEX(EntryWit,$P154)))</f>
        <v/>
      </c>
      <c r="J154" s="29">
        <f>IF($B154="","",IF($A154=1,$C$7,IF(J153="",0,J153))+IF($H154="",0,$H154)-IF($I154="",0,$I154))</f>
        <v/>
      </c>
      <c r="K154" s="29">
        <f>IF($P154="","",IF(INDEX(EntryMan,$P154)=0,"",INDEX(EntryMan,$P154)))</f>
        <v/>
      </c>
      <c r="L154" s="28">
        <f>IF($B154="","",IF($K154="","—",IF(ROUND($K154-$J154,0)=0,"√","×")))</f>
        <v/>
      </c>
      <c r="M154" s="28">
        <f>IF($B154="","",IF(COUNTIFS(EntryDates,$B154,CalcTime,$C154,CalcBank,$C$5,EntryParty,$D154,EntryDep,$H154,EntryWit,$I154)&gt;1,"تکرار",""))</f>
        <v/>
      </c>
      <c r="N154" s="28">
        <f>IF($P154="","",IF(INDEX(EntryNotes,$P154)=0,"",INDEX(EntryNotes,$P154)))</f>
        <v/>
      </c>
      <c r="O154" s="28">
        <f>IF($P154="","",IF(INDEX(EntryTxnID,$P154)=0,"",INDEX(EntryTxnID,$P154)))</f>
        <v/>
      </c>
      <c r="P154" s="28">
        <f>IFERROR(MATCH($C$5&amp;"|"&amp;RIGHT("000000"&amp;138,6),CalcRankKey,0),"")</f>
        <v/>
      </c>
    </row>
    <row r="155">
      <c r="A155" s="26">
        <f>IF($B155="","",139)</f>
        <v/>
      </c>
      <c r="B155" s="26">
        <f>IF($P155="","",IF(INDEX(CalcNormDate,$P155)=0,"",INDEX(CalcNormDate,$P155)))</f>
        <v/>
      </c>
      <c r="C155" s="26">
        <f>IF($P155="","",IF(INDEX(CalcTime,$P155)=0,"",INDEX(CalcTime,$P155)))</f>
        <v/>
      </c>
      <c r="D155" s="26">
        <f>IF($P155="","",IF(INDEX(EntryParty,$P155)=0,"",INDEX(EntryParty,$P155)))</f>
        <v/>
      </c>
      <c r="E155" s="26">
        <f>IF($P155="","",IF(INDEX(EntryPartyName,$P155)=0,"",INDEX(EntryPartyName,$P155)))</f>
        <v/>
      </c>
      <c r="F155" s="26">
        <f>IF($P155="","",IF(INDEX(EntryPartyType,$P155)=0,"",INDEX(EntryPartyType,$P155)))</f>
        <v/>
      </c>
      <c r="G155" s="26">
        <f>IF($P155="","",IF(INDEX(EntryTxnType,$P155)=0,"",INDEX(EntryTxnType,$P155)))</f>
        <v/>
      </c>
      <c r="H155" s="27">
        <f>IF($P155="","",IF(INDEX(EntryDep,$P155)=0,"",INDEX(EntryDep,$P155)))</f>
        <v/>
      </c>
      <c r="I155" s="27">
        <f>IF($P155="","",IF(INDEX(EntryWit,$P155)=0,"",INDEX(EntryWit,$P155)))</f>
        <v/>
      </c>
      <c r="J155" s="27">
        <f>IF($B155="","",IF($A155=1,$C$7,IF(J154="",0,J154))+IF($H155="",0,$H155)-IF($I155="",0,$I155))</f>
        <v/>
      </c>
      <c r="K155" s="27">
        <f>IF($P155="","",IF(INDEX(EntryMan,$P155)=0,"",INDEX(EntryMan,$P155)))</f>
        <v/>
      </c>
      <c r="L155" s="26">
        <f>IF($B155="","",IF($K155="","—",IF(ROUND($K155-$J155,0)=0,"√","×")))</f>
        <v/>
      </c>
      <c r="M155" s="26">
        <f>IF($B155="","",IF(COUNTIFS(EntryDates,$B155,CalcTime,$C155,CalcBank,$C$5,EntryParty,$D155,EntryDep,$H155,EntryWit,$I155)&gt;1,"تکرار",""))</f>
        <v/>
      </c>
      <c r="N155" s="26">
        <f>IF($P155="","",IF(INDEX(EntryNotes,$P155)=0,"",INDEX(EntryNotes,$P155)))</f>
        <v/>
      </c>
      <c r="O155" s="26">
        <f>IF($P155="","",IF(INDEX(EntryTxnID,$P155)=0,"",INDEX(EntryTxnID,$P155)))</f>
        <v/>
      </c>
      <c r="P155" s="26">
        <f>IFERROR(MATCH($C$5&amp;"|"&amp;RIGHT("000000"&amp;139,6),CalcRankKey,0),"")</f>
        <v/>
      </c>
    </row>
    <row r="156">
      <c r="A156" s="28">
        <f>IF($B156="","",140)</f>
        <v/>
      </c>
      <c r="B156" s="28">
        <f>IF($P156="","",IF(INDEX(CalcNormDate,$P156)=0,"",INDEX(CalcNormDate,$P156)))</f>
        <v/>
      </c>
      <c r="C156" s="28">
        <f>IF($P156="","",IF(INDEX(CalcTime,$P156)=0,"",INDEX(CalcTime,$P156)))</f>
        <v/>
      </c>
      <c r="D156" s="28">
        <f>IF($P156="","",IF(INDEX(EntryParty,$P156)=0,"",INDEX(EntryParty,$P156)))</f>
        <v/>
      </c>
      <c r="E156" s="28">
        <f>IF($P156="","",IF(INDEX(EntryPartyName,$P156)=0,"",INDEX(EntryPartyName,$P156)))</f>
        <v/>
      </c>
      <c r="F156" s="28">
        <f>IF($P156="","",IF(INDEX(EntryPartyType,$P156)=0,"",INDEX(EntryPartyType,$P156)))</f>
        <v/>
      </c>
      <c r="G156" s="28">
        <f>IF($P156="","",IF(INDEX(EntryTxnType,$P156)=0,"",INDEX(EntryTxnType,$P156)))</f>
        <v/>
      </c>
      <c r="H156" s="29">
        <f>IF($P156="","",IF(INDEX(EntryDep,$P156)=0,"",INDEX(EntryDep,$P156)))</f>
        <v/>
      </c>
      <c r="I156" s="29">
        <f>IF($P156="","",IF(INDEX(EntryWit,$P156)=0,"",INDEX(EntryWit,$P156)))</f>
        <v/>
      </c>
      <c r="J156" s="29">
        <f>IF($B156="","",IF($A156=1,$C$7,IF(J155="",0,J155))+IF($H156="",0,$H156)-IF($I156="",0,$I156))</f>
        <v/>
      </c>
      <c r="K156" s="29">
        <f>IF($P156="","",IF(INDEX(EntryMan,$P156)=0,"",INDEX(EntryMan,$P156)))</f>
        <v/>
      </c>
      <c r="L156" s="28">
        <f>IF($B156="","",IF($K156="","—",IF(ROUND($K156-$J156,0)=0,"√","×")))</f>
        <v/>
      </c>
      <c r="M156" s="28">
        <f>IF($B156="","",IF(COUNTIFS(EntryDates,$B156,CalcTime,$C156,CalcBank,$C$5,EntryParty,$D156,EntryDep,$H156,EntryWit,$I156)&gt;1,"تکرار",""))</f>
        <v/>
      </c>
      <c r="N156" s="28">
        <f>IF($P156="","",IF(INDEX(EntryNotes,$P156)=0,"",INDEX(EntryNotes,$P156)))</f>
        <v/>
      </c>
      <c r="O156" s="28">
        <f>IF($P156="","",IF(INDEX(EntryTxnID,$P156)=0,"",INDEX(EntryTxnID,$P156)))</f>
        <v/>
      </c>
      <c r="P156" s="28">
        <f>IFERROR(MATCH($C$5&amp;"|"&amp;RIGHT("000000"&amp;140,6),CalcRankKey,0),"")</f>
        <v/>
      </c>
    </row>
    <row r="157">
      <c r="A157" s="26">
        <f>IF($B157="","",141)</f>
        <v/>
      </c>
      <c r="B157" s="26">
        <f>IF($P157="","",IF(INDEX(CalcNormDate,$P157)=0,"",INDEX(CalcNormDate,$P157)))</f>
        <v/>
      </c>
      <c r="C157" s="26">
        <f>IF($P157="","",IF(INDEX(CalcTime,$P157)=0,"",INDEX(CalcTime,$P157)))</f>
        <v/>
      </c>
      <c r="D157" s="26">
        <f>IF($P157="","",IF(INDEX(EntryParty,$P157)=0,"",INDEX(EntryParty,$P157)))</f>
        <v/>
      </c>
      <c r="E157" s="26">
        <f>IF($P157="","",IF(INDEX(EntryPartyName,$P157)=0,"",INDEX(EntryPartyName,$P157)))</f>
        <v/>
      </c>
      <c r="F157" s="26">
        <f>IF($P157="","",IF(INDEX(EntryPartyType,$P157)=0,"",INDEX(EntryPartyType,$P157)))</f>
        <v/>
      </c>
      <c r="G157" s="26">
        <f>IF($P157="","",IF(INDEX(EntryTxnType,$P157)=0,"",INDEX(EntryTxnType,$P157)))</f>
        <v/>
      </c>
      <c r="H157" s="27">
        <f>IF($P157="","",IF(INDEX(EntryDep,$P157)=0,"",INDEX(EntryDep,$P157)))</f>
        <v/>
      </c>
      <c r="I157" s="27">
        <f>IF($P157="","",IF(INDEX(EntryWit,$P157)=0,"",INDEX(EntryWit,$P157)))</f>
        <v/>
      </c>
      <c r="J157" s="27">
        <f>IF($B157="","",IF($A157=1,$C$7,IF(J156="",0,J156))+IF($H157="",0,$H157)-IF($I157="",0,$I157))</f>
        <v/>
      </c>
      <c r="K157" s="27">
        <f>IF($P157="","",IF(INDEX(EntryMan,$P157)=0,"",INDEX(EntryMan,$P157)))</f>
        <v/>
      </c>
      <c r="L157" s="26">
        <f>IF($B157="","",IF($K157="","—",IF(ROUND($K157-$J157,0)=0,"√","×")))</f>
        <v/>
      </c>
      <c r="M157" s="26">
        <f>IF($B157="","",IF(COUNTIFS(EntryDates,$B157,CalcTime,$C157,CalcBank,$C$5,EntryParty,$D157,EntryDep,$H157,EntryWit,$I157)&gt;1,"تکرار",""))</f>
        <v/>
      </c>
      <c r="N157" s="26">
        <f>IF($P157="","",IF(INDEX(EntryNotes,$P157)=0,"",INDEX(EntryNotes,$P157)))</f>
        <v/>
      </c>
      <c r="O157" s="26">
        <f>IF($P157="","",IF(INDEX(EntryTxnID,$P157)=0,"",INDEX(EntryTxnID,$P157)))</f>
        <v/>
      </c>
      <c r="P157" s="26">
        <f>IFERROR(MATCH($C$5&amp;"|"&amp;RIGHT("000000"&amp;141,6),CalcRankKey,0),"")</f>
        <v/>
      </c>
    </row>
    <row r="158">
      <c r="A158" s="28">
        <f>IF($B158="","",142)</f>
        <v/>
      </c>
      <c r="B158" s="28">
        <f>IF($P158="","",IF(INDEX(CalcNormDate,$P158)=0,"",INDEX(CalcNormDate,$P158)))</f>
        <v/>
      </c>
      <c r="C158" s="28">
        <f>IF($P158="","",IF(INDEX(CalcTime,$P158)=0,"",INDEX(CalcTime,$P158)))</f>
        <v/>
      </c>
      <c r="D158" s="28">
        <f>IF($P158="","",IF(INDEX(EntryParty,$P158)=0,"",INDEX(EntryParty,$P158)))</f>
        <v/>
      </c>
      <c r="E158" s="28">
        <f>IF($P158="","",IF(INDEX(EntryPartyName,$P158)=0,"",INDEX(EntryPartyName,$P158)))</f>
        <v/>
      </c>
      <c r="F158" s="28">
        <f>IF($P158="","",IF(INDEX(EntryPartyType,$P158)=0,"",INDEX(EntryPartyType,$P158)))</f>
        <v/>
      </c>
      <c r="G158" s="28">
        <f>IF($P158="","",IF(INDEX(EntryTxnType,$P158)=0,"",INDEX(EntryTxnType,$P158)))</f>
        <v/>
      </c>
      <c r="H158" s="29">
        <f>IF($P158="","",IF(INDEX(EntryDep,$P158)=0,"",INDEX(EntryDep,$P158)))</f>
        <v/>
      </c>
      <c r="I158" s="29">
        <f>IF($P158="","",IF(INDEX(EntryWit,$P158)=0,"",INDEX(EntryWit,$P158)))</f>
        <v/>
      </c>
      <c r="J158" s="29">
        <f>IF($B158="","",IF($A158=1,$C$7,IF(J157="",0,J157))+IF($H158="",0,$H158)-IF($I158="",0,$I158))</f>
        <v/>
      </c>
      <c r="K158" s="29">
        <f>IF($P158="","",IF(INDEX(EntryMan,$P158)=0,"",INDEX(EntryMan,$P158)))</f>
        <v/>
      </c>
      <c r="L158" s="28">
        <f>IF($B158="","",IF($K158="","—",IF(ROUND($K158-$J158,0)=0,"√","×")))</f>
        <v/>
      </c>
      <c r="M158" s="28">
        <f>IF($B158="","",IF(COUNTIFS(EntryDates,$B158,CalcTime,$C158,CalcBank,$C$5,EntryParty,$D158,EntryDep,$H158,EntryWit,$I158)&gt;1,"تکرار",""))</f>
        <v/>
      </c>
      <c r="N158" s="28">
        <f>IF($P158="","",IF(INDEX(EntryNotes,$P158)=0,"",INDEX(EntryNotes,$P158)))</f>
        <v/>
      </c>
      <c r="O158" s="28">
        <f>IF($P158="","",IF(INDEX(EntryTxnID,$P158)=0,"",INDEX(EntryTxnID,$P158)))</f>
        <v/>
      </c>
      <c r="P158" s="28">
        <f>IFERROR(MATCH($C$5&amp;"|"&amp;RIGHT("000000"&amp;142,6),CalcRankKey,0),"")</f>
        <v/>
      </c>
    </row>
    <row r="159">
      <c r="A159" s="26">
        <f>IF($B159="","",143)</f>
        <v/>
      </c>
      <c r="B159" s="26">
        <f>IF($P159="","",IF(INDEX(CalcNormDate,$P159)=0,"",INDEX(CalcNormDate,$P159)))</f>
        <v/>
      </c>
      <c r="C159" s="26">
        <f>IF($P159="","",IF(INDEX(CalcTime,$P159)=0,"",INDEX(CalcTime,$P159)))</f>
        <v/>
      </c>
      <c r="D159" s="26">
        <f>IF($P159="","",IF(INDEX(EntryParty,$P159)=0,"",INDEX(EntryParty,$P159)))</f>
        <v/>
      </c>
      <c r="E159" s="26">
        <f>IF($P159="","",IF(INDEX(EntryPartyName,$P159)=0,"",INDEX(EntryPartyName,$P159)))</f>
        <v/>
      </c>
      <c r="F159" s="26">
        <f>IF($P159="","",IF(INDEX(EntryPartyType,$P159)=0,"",INDEX(EntryPartyType,$P159)))</f>
        <v/>
      </c>
      <c r="G159" s="26">
        <f>IF($P159="","",IF(INDEX(EntryTxnType,$P159)=0,"",INDEX(EntryTxnType,$P159)))</f>
        <v/>
      </c>
      <c r="H159" s="27">
        <f>IF($P159="","",IF(INDEX(EntryDep,$P159)=0,"",INDEX(EntryDep,$P159)))</f>
        <v/>
      </c>
      <c r="I159" s="27">
        <f>IF($P159="","",IF(INDEX(EntryWit,$P159)=0,"",INDEX(EntryWit,$P159)))</f>
        <v/>
      </c>
      <c r="J159" s="27">
        <f>IF($B159="","",IF($A159=1,$C$7,IF(J158="",0,J158))+IF($H159="",0,$H159)-IF($I159="",0,$I159))</f>
        <v/>
      </c>
      <c r="K159" s="27">
        <f>IF($P159="","",IF(INDEX(EntryMan,$P159)=0,"",INDEX(EntryMan,$P159)))</f>
        <v/>
      </c>
      <c r="L159" s="26">
        <f>IF($B159="","",IF($K159="","—",IF(ROUND($K159-$J159,0)=0,"√","×")))</f>
        <v/>
      </c>
      <c r="M159" s="26">
        <f>IF($B159="","",IF(COUNTIFS(EntryDates,$B159,CalcTime,$C159,CalcBank,$C$5,EntryParty,$D159,EntryDep,$H159,EntryWit,$I159)&gt;1,"تکرار",""))</f>
        <v/>
      </c>
      <c r="N159" s="26">
        <f>IF($P159="","",IF(INDEX(EntryNotes,$P159)=0,"",INDEX(EntryNotes,$P159)))</f>
        <v/>
      </c>
      <c r="O159" s="26">
        <f>IF($P159="","",IF(INDEX(EntryTxnID,$P159)=0,"",INDEX(EntryTxnID,$P159)))</f>
        <v/>
      </c>
      <c r="P159" s="26">
        <f>IFERROR(MATCH($C$5&amp;"|"&amp;RIGHT("000000"&amp;143,6),CalcRankKey,0),"")</f>
        <v/>
      </c>
    </row>
    <row r="160">
      <c r="A160" s="28">
        <f>IF($B160="","",144)</f>
        <v/>
      </c>
      <c r="B160" s="28">
        <f>IF($P160="","",IF(INDEX(CalcNormDate,$P160)=0,"",INDEX(CalcNormDate,$P160)))</f>
        <v/>
      </c>
      <c r="C160" s="28">
        <f>IF($P160="","",IF(INDEX(CalcTime,$P160)=0,"",INDEX(CalcTime,$P160)))</f>
        <v/>
      </c>
      <c r="D160" s="28">
        <f>IF($P160="","",IF(INDEX(EntryParty,$P160)=0,"",INDEX(EntryParty,$P160)))</f>
        <v/>
      </c>
      <c r="E160" s="28">
        <f>IF($P160="","",IF(INDEX(EntryPartyName,$P160)=0,"",INDEX(EntryPartyName,$P160)))</f>
        <v/>
      </c>
      <c r="F160" s="28">
        <f>IF($P160="","",IF(INDEX(EntryPartyType,$P160)=0,"",INDEX(EntryPartyType,$P160)))</f>
        <v/>
      </c>
      <c r="G160" s="28">
        <f>IF($P160="","",IF(INDEX(EntryTxnType,$P160)=0,"",INDEX(EntryTxnType,$P160)))</f>
        <v/>
      </c>
      <c r="H160" s="29">
        <f>IF($P160="","",IF(INDEX(EntryDep,$P160)=0,"",INDEX(EntryDep,$P160)))</f>
        <v/>
      </c>
      <c r="I160" s="29">
        <f>IF($P160="","",IF(INDEX(EntryWit,$P160)=0,"",INDEX(EntryWit,$P160)))</f>
        <v/>
      </c>
      <c r="J160" s="29">
        <f>IF($B160="","",IF($A160=1,$C$7,IF(J159="",0,J159))+IF($H160="",0,$H160)-IF($I160="",0,$I160))</f>
        <v/>
      </c>
      <c r="K160" s="29">
        <f>IF($P160="","",IF(INDEX(EntryMan,$P160)=0,"",INDEX(EntryMan,$P160)))</f>
        <v/>
      </c>
      <c r="L160" s="28">
        <f>IF($B160="","",IF($K160="","—",IF(ROUND($K160-$J160,0)=0,"√","×")))</f>
        <v/>
      </c>
      <c r="M160" s="28">
        <f>IF($B160="","",IF(COUNTIFS(EntryDates,$B160,CalcTime,$C160,CalcBank,$C$5,EntryParty,$D160,EntryDep,$H160,EntryWit,$I160)&gt;1,"تکرار",""))</f>
        <v/>
      </c>
      <c r="N160" s="28">
        <f>IF($P160="","",IF(INDEX(EntryNotes,$P160)=0,"",INDEX(EntryNotes,$P160)))</f>
        <v/>
      </c>
      <c r="O160" s="28">
        <f>IF($P160="","",IF(INDEX(EntryTxnID,$P160)=0,"",INDEX(EntryTxnID,$P160)))</f>
        <v/>
      </c>
      <c r="P160" s="28">
        <f>IFERROR(MATCH($C$5&amp;"|"&amp;RIGHT("000000"&amp;144,6),CalcRankKey,0),"")</f>
        <v/>
      </c>
    </row>
    <row r="161">
      <c r="A161" s="26">
        <f>IF($B161="","",145)</f>
        <v/>
      </c>
      <c r="B161" s="26">
        <f>IF($P161="","",IF(INDEX(CalcNormDate,$P161)=0,"",INDEX(CalcNormDate,$P161)))</f>
        <v/>
      </c>
      <c r="C161" s="26">
        <f>IF($P161="","",IF(INDEX(CalcTime,$P161)=0,"",INDEX(CalcTime,$P161)))</f>
        <v/>
      </c>
      <c r="D161" s="26">
        <f>IF($P161="","",IF(INDEX(EntryParty,$P161)=0,"",INDEX(EntryParty,$P161)))</f>
        <v/>
      </c>
      <c r="E161" s="26">
        <f>IF($P161="","",IF(INDEX(EntryPartyName,$P161)=0,"",INDEX(EntryPartyName,$P161)))</f>
        <v/>
      </c>
      <c r="F161" s="26">
        <f>IF($P161="","",IF(INDEX(EntryPartyType,$P161)=0,"",INDEX(EntryPartyType,$P161)))</f>
        <v/>
      </c>
      <c r="G161" s="26">
        <f>IF($P161="","",IF(INDEX(EntryTxnType,$P161)=0,"",INDEX(EntryTxnType,$P161)))</f>
        <v/>
      </c>
      <c r="H161" s="27">
        <f>IF($P161="","",IF(INDEX(EntryDep,$P161)=0,"",INDEX(EntryDep,$P161)))</f>
        <v/>
      </c>
      <c r="I161" s="27">
        <f>IF($P161="","",IF(INDEX(EntryWit,$P161)=0,"",INDEX(EntryWit,$P161)))</f>
        <v/>
      </c>
      <c r="J161" s="27">
        <f>IF($B161="","",IF($A161=1,$C$7,IF(J160="",0,J160))+IF($H161="",0,$H161)-IF($I161="",0,$I161))</f>
        <v/>
      </c>
      <c r="K161" s="27">
        <f>IF($P161="","",IF(INDEX(EntryMan,$P161)=0,"",INDEX(EntryMan,$P161)))</f>
        <v/>
      </c>
      <c r="L161" s="26">
        <f>IF($B161="","",IF($K161="","—",IF(ROUND($K161-$J161,0)=0,"√","×")))</f>
        <v/>
      </c>
      <c r="M161" s="26">
        <f>IF($B161="","",IF(COUNTIFS(EntryDates,$B161,CalcTime,$C161,CalcBank,$C$5,EntryParty,$D161,EntryDep,$H161,EntryWit,$I161)&gt;1,"تکرار",""))</f>
        <v/>
      </c>
      <c r="N161" s="26">
        <f>IF($P161="","",IF(INDEX(EntryNotes,$P161)=0,"",INDEX(EntryNotes,$P161)))</f>
        <v/>
      </c>
      <c r="O161" s="26">
        <f>IF($P161="","",IF(INDEX(EntryTxnID,$P161)=0,"",INDEX(EntryTxnID,$P161)))</f>
        <v/>
      </c>
      <c r="P161" s="26">
        <f>IFERROR(MATCH($C$5&amp;"|"&amp;RIGHT("000000"&amp;145,6),CalcRankKey,0),"")</f>
        <v/>
      </c>
    </row>
    <row r="162">
      <c r="A162" s="28">
        <f>IF($B162="","",146)</f>
        <v/>
      </c>
      <c r="B162" s="28">
        <f>IF($P162="","",IF(INDEX(CalcNormDate,$P162)=0,"",INDEX(CalcNormDate,$P162)))</f>
        <v/>
      </c>
      <c r="C162" s="28">
        <f>IF($P162="","",IF(INDEX(CalcTime,$P162)=0,"",INDEX(CalcTime,$P162)))</f>
        <v/>
      </c>
      <c r="D162" s="28">
        <f>IF($P162="","",IF(INDEX(EntryParty,$P162)=0,"",INDEX(EntryParty,$P162)))</f>
        <v/>
      </c>
      <c r="E162" s="28">
        <f>IF($P162="","",IF(INDEX(EntryPartyName,$P162)=0,"",INDEX(EntryPartyName,$P162)))</f>
        <v/>
      </c>
      <c r="F162" s="28">
        <f>IF($P162="","",IF(INDEX(EntryPartyType,$P162)=0,"",INDEX(EntryPartyType,$P162)))</f>
        <v/>
      </c>
      <c r="G162" s="28">
        <f>IF($P162="","",IF(INDEX(EntryTxnType,$P162)=0,"",INDEX(EntryTxnType,$P162)))</f>
        <v/>
      </c>
      <c r="H162" s="29">
        <f>IF($P162="","",IF(INDEX(EntryDep,$P162)=0,"",INDEX(EntryDep,$P162)))</f>
        <v/>
      </c>
      <c r="I162" s="29">
        <f>IF($P162="","",IF(INDEX(EntryWit,$P162)=0,"",INDEX(EntryWit,$P162)))</f>
        <v/>
      </c>
      <c r="J162" s="29">
        <f>IF($B162="","",IF($A162=1,$C$7,IF(J161="",0,J161))+IF($H162="",0,$H162)-IF($I162="",0,$I162))</f>
        <v/>
      </c>
      <c r="K162" s="29">
        <f>IF($P162="","",IF(INDEX(EntryMan,$P162)=0,"",INDEX(EntryMan,$P162)))</f>
        <v/>
      </c>
      <c r="L162" s="28">
        <f>IF($B162="","",IF($K162="","—",IF(ROUND($K162-$J162,0)=0,"√","×")))</f>
        <v/>
      </c>
      <c r="M162" s="28">
        <f>IF($B162="","",IF(COUNTIFS(EntryDates,$B162,CalcTime,$C162,CalcBank,$C$5,EntryParty,$D162,EntryDep,$H162,EntryWit,$I162)&gt;1,"تکرار",""))</f>
        <v/>
      </c>
      <c r="N162" s="28">
        <f>IF($P162="","",IF(INDEX(EntryNotes,$P162)=0,"",INDEX(EntryNotes,$P162)))</f>
        <v/>
      </c>
      <c r="O162" s="28">
        <f>IF($P162="","",IF(INDEX(EntryTxnID,$P162)=0,"",INDEX(EntryTxnID,$P162)))</f>
        <v/>
      </c>
      <c r="P162" s="28">
        <f>IFERROR(MATCH($C$5&amp;"|"&amp;RIGHT("000000"&amp;146,6),CalcRankKey,0),"")</f>
        <v/>
      </c>
    </row>
    <row r="163">
      <c r="A163" s="26">
        <f>IF($B163="","",147)</f>
        <v/>
      </c>
      <c r="B163" s="26">
        <f>IF($P163="","",IF(INDEX(CalcNormDate,$P163)=0,"",INDEX(CalcNormDate,$P163)))</f>
        <v/>
      </c>
      <c r="C163" s="26">
        <f>IF($P163="","",IF(INDEX(CalcTime,$P163)=0,"",INDEX(CalcTime,$P163)))</f>
        <v/>
      </c>
      <c r="D163" s="26">
        <f>IF($P163="","",IF(INDEX(EntryParty,$P163)=0,"",INDEX(EntryParty,$P163)))</f>
        <v/>
      </c>
      <c r="E163" s="26">
        <f>IF($P163="","",IF(INDEX(EntryPartyName,$P163)=0,"",INDEX(EntryPartyName,$P163)))</f>
        <v/>
      </c>
      <c r="F163" s="26">
        <f>IF($P163="","",IF(INDEX(EntryPartyType,$P163)=0,"",INDEX(EntryPartyType,$P163)))</f>
        <v/>
      </c>
      <c r="G163" s="26">
        <f>IF($P163="","",IF(INDEX(EntryTxnType,$P163)=0,"",INDEX(EntryTxnType,$P163)))</f>
        <v/>
      </c>
      <c r="H163" s="27">
        <f>IF($P163="","",IF(INDEX(EntryDep,$P163)=0,"",INDEX(EntryDep,$P163)))</f>
        <v/>
      </c>
      <c r="I163" s="27">
        <f>IF($P163="","",IF(INDEX(EntryWit,$P163)=0,"",INDEX(EntryWit,$P163)))</f>
        <v/>
      </c>
      <c r="J163" s="27">
        <f>IF($B163="","",IF($A163=1,$C$7,IF(J162="",0,J162))+IF($H163="",0,$H163)-IF($I163="",0,$I163))</f>
        <v/>
      </c>
      <c r="K163" s="27">
        <f>IF($P163="","",IF(INDEX(EntryMan,$P163)=0,"",INDEX(EntryMan,$P163)))</f>
        <v/>
      </c>
      <c r="L163" s="26">
        <f>IF($B163="","",IF($K163="","—",IF(ROUND($K163-$J163,0)=0,"√","×")))</f>
        <v/>
      </c>
      <c r="M163" s="26">
        <f>IF($B163="","",IF(COUNTIFS(EntryDates,$B163,CalcTime,$C163,CalcBank,$C$5,EntryParty,$D163,EntryDep,$H163,EntryWit,$I163)&gt;1,"تکرار",""))</f>
        <v/>
      </c>
      <c r="N163" s="26">
        <f>IF($P163="","",IF(INDEX(EntryNotes,$P163)=0,"",INDEX(EntryNotes,$P163)))</f>
        <v/>
      </c>
      <c r="O163" s="26">
        <f>IF($P163="","",IF(INDEX(EntryTxnID,$P163)=0,"",INDEX(EntryTxnID,$P163)))</f>
        <v/>
      </c>
      <c r="P163" s="26">
        <f>IFERROR(MATCH($C$5&amp;"|"&amp;RIGHT("000000"&amp;147,6),CalcRankKey,0),"")</f>
        <v/>
      </c>
    </row>
    <row r="164">
      <c r="A164" s="28">
        <f>IF($B164="","",148)</f>
        <v/>
      </c>
      <c r="B164" s="28">
        <f>IF($P164="","",IF(INDEX(CalcNormDate,$P164)=0,"",INDEX(CalcNormDate,$P164)))</f>
        <v/>
      </c>
      <c r="C164" s="28">
        <f>IF($P164="","",IF(INDEX(CalcTime,$P164)=0,"",INDEX(CalcTime,$P164)))</f>
        <v/>
      </c>
      <c r="D164" s="28">
        <f>IF($P164="","",IF(INDEX(EntryParty,$P164)=0,"",INDEX(EntryParty,$P164)))</f>
        <v/>
      </c>
      <c r="E164" s="28">
        <f>IF($P164="","",IF(INDEX(EntryPartyName,$P164)=0,"",INDEX(EntryPartyName,$P164)))</f>
        <v/>
      </c>
      <c r="F164" s="28">
        <f>IF($P164="","",IF(INDEX(EntryPartyType,$P164)=0,"",INDEX(EntryPartyType,$P164)))</f>
        <v/>
      </c>
      <c r="G164" s="28">
        <f>IF($P164="","",IF(INDEX(EntryTxnType,$P164)=0,"",INDEX(EntryTxnType,$P164)))</f>
        <v/>
      </c>
      <c r="H164" s="29">
        <f>IF($P164="","",IF(INDEX(EntryDep,$P164)=0,"",INDEX(EntryDep,$P164)))</f>
        <v/>
      </c>
      <c r="I164" s="29">
        <f>IF($P164="","",IF(INDEX(EntryWit,$P164)=0,"",INDEX(EntryWit,$P164)))</f>
        <v/>
      </c>
      <c r="J164" s="29">
        <f>IF($B164="","",IF($A164=1,$C$7,IF(J163="",0,J163))+IF($H164="",0,$H164)-IF($I164="",0,$I164))</f>
        <v/>
      </c>
      <c r="K164" s="29">
        <f>IF($P164="","",IF(INDEX(EntryMan,$P164)=0,"",INDEX(EntryMan,$P164)))</f>
        <v/>
      </c>
      <c r="L164" s="28">
        <f>IF($B164="","",IF($K164="","—",IF(ROUND($K164-$J164,0)=0,"√","×")))</f>
        <v/>
      </c>
      <c r="M164" s="28">
        <f>IF($B164="","",IF(COUNTIFS(EntryDates,$B164,CalcTime,$C164,CalcBank,$C$5,EntryParty,$D164,EntryDep,$H164,EntryWit,$I164)&gt;1,"تکرار",""))</f>
        <v/>
      </c>
      <c r="N164" s="28">
        <f>IF($P164="","",IF(INDEX(EntryNotes,$P164)=0,"",INDEX(EntryNotes,$P164)))</f>
        <v/>
      </c>
      <c r="O164" s="28">
        <f>IF($P164="","",IF(INDEX(EntryTxnID,$P164)=0,"",INDEX(EntryTxnID,$P164)))</f>
        <v/>
      </c>
      <c r="P164" s="28">
        <f>IFERROR(MATCH($C$5&amp;"|"&amp;RIGHT("000000"&amp;148,6),CalcRankKey,0),"")</f>
        <v/>
      </c>
    </row>
    <row r="165">
      <c r="A165" s="26">
        <f>IF($B165="","",149)</f>
        <v/>
      </c>
      <c r="B165" s="26">
        <f>IF($P165="","",IF(INDEX(CalcNormDate,$P165)=0,"",INDEX(CalcNormDate,$P165)))</f>
        <v/>
      </c>
      <c r="C165" s="26">
        <f>IF($P165="","",IF(INDEX(CalcTime,$P165)=0,"",INDEX(CalcTime,$P165)))</f>
        <v/>
      </c>
      <c r="D165" s="26">
        <f>IF($P165="","",IF(INDEX(EntryParty,$P165)=0,"",INDEX(EntryParty,$P165)))</f>
        <v/>
      </c>
      <c r="E165" s="26">
        <f>IF($P165="","",IF(INDEX(EntryPartyName,$P165)=0,"",INDEX(EntryPartyName,$P165)))</f>
        <v/>
      </c>
      <c r="F165" s="26">
        <f>IF($P165="","",IF(INDEX(EntryPartyType,$P165)=0,"",INDEX(EntryPartyType,$P165)))</f>
        <v/>
      </c>
      <c r="G165" s="26">
        <f>IF($P165="","",IF(INDEX(EntryTxnType,$P165)=0,"",INDEX(EntryTxnType,$P165)))</f>
        <v/>
      </c>
      <c r="H165" s="27">
        <f>IF($P165="","",IF(INDEX(EntryDep,$P165)=0,"",INDEX(EntryDep,$P165)))</f>
        <v/>
      </c>
      <c r="I165" s="27">
        <f>IF($P165="","",IF(INDEX(EntryWit,$P165)=0,"",INDEX(EntryWit,$P165)))</f>
        <v/>
      </c>
      <c r="J165" s="27">
        <f>IF($B165="","",IF($A165=1,$C$7,IF(J164="",0,J164))+IF($H165="",0,$H165)-IF($I165="",0,$I165))</f>
        <v/>
      </c>
      <c r="K165" s="27">
        <f>IF($P165="","",IF(INDEX(EntryMan,$P165)=0,"",INDEX(EntryMan,$P165)))</f>
        <v/>
      </c>
      <c r="L165" s="26">
        <f>IF($B165="","",IF($K165="","—",IF(ROUND($K165-$J165,0)=0,"√","×")))</f>
        <v/>
      </c>
      <c r="M165" s="26">
        <f>IF($B165="","",IF(COUNTIFS(EntryDates,$B165,CalcTime,$C165,CalcBank,$C$5,EntryParty,$D165,EntryDep,$H165,EntryWit,$I165)&gt;1,"تکرار",""))</f>
        <v/>
      </c>
      <c r="N165" s="26">
        <f>IF($P165="","",IF(INDEX(EntryNotes,$P165)=0,"",INDEX(EntryNotes,$P165)))</f>
        <v/>
      </c>
      <c r="O165" s="26">
        <f>IF($P165="","",IF(INDEX(EntryTxnID,$P165)=0,"",INDEX(EntryTxnID,$P165)))</f>
        <v/>
      </c>
      <c r="P165" s="26">
        <f>IFERROR(MATCH($C$5&amp;"|"&amp;RIGHT("000000"&amp;149,6),CalcRankKey,0),"")</f>
        <v/>
      </c>
    </row>
    <row r="166">
      <c r="A166" s="28">
        <f>IF($B166="","",150)</f>
        <v/>
      </c>
      <c r="B166" s="28">
        <f>IF($P166="","",IF(INDEX(CalcNormDate,$P166)=0,"",INDEX(CalcNormDate,$P166)))</f>
        <v/>
      </c>
      <c r="C166" s="28">
        <f>IF($P166="","",IF(INDEX(CalcTime,$P166)=0,"",INDEX(CalcTime,$P166)))</f>
        <v/>
      </c>
      <c r="D166" s="28">
        <f>IF($P166="","",IF(INDEX(EntryParty,$P166)=0,"",INDEX(EntryParty,$P166)))</f>
        <v/>
      </c>
      <c r="E166" s="28">
        <f>IF($P166="","",IF(INDEX(EntryPartyName,$P166)=0,"",INDEX(EntryPartyName,$P166)))</f>
        <v/>
      </c>
      <c r="F166" s="28">
        <f>IF($P166="","",IF(INDEX(EntryPartyType,$P166)=0,"",INDEX(EntryPartyType,$P166)))</f>
        <v/>
      </c>
      <c r="G166" s="28">
        <f>IF($P166="","",IF(INDEX(EntryTxnType,$P166)=0,"",INDEX(EntryTxnType,$P166)))</f>
        <v/>
      </c>
      <c r="H166" s="29">
        <f>IF($P166="","",IF(INDEX(EntryDep,$P166)=0,"",INDEX(EntryDep,$P166)))</f>
        <v/>
      </c>
      <c r="I166" s="29">
        <f>IF($P166="","",IF(INDEX(EntryWit,$P166)=0,"",INDEX(EntryWit,$P166)))</f>
        <v/>
      </c>
      <c r="J166" s="29">
        <f>IF($B166="","",IF($A166=1,$C$7,IF(J165="",0,J165))+IF($H166="",0,$H166)-IF($I166="",0,$I166))</f>
        <v/>
      </c>
      <c r="K166" s="29">
        <f>IF($P166="","",IF(INDEX(EntryMan,$P166)=0,"",INDEX(EntryMan,$P166)))</f>
        <v/>
      </c>
      <c r="L166" s="28">
        <f>IF($B166="","",IF($K166="","—",IF(ROUND($K166-$J166,0)=0,"√","×")))</f>
        <v/>
      </c>
      <c r="M166" s="28">
        <f>IF($B166="","",IF(COUNTIFS(EntryDates,$B166,CalcTime,$C166,CalcBank,$C$5,EntryParty,$D166,EntryDep,$H166,EntryWit,$I166)&gt;1,"تکرار",""))</f>
        <v/>
      </c>
      <c r="N166" s="28">
        <f>IF($P166="","",IF(INDEX(EntryNotes,$P166)=0,"",INDEX(EntryNotes,$P166)))</f>
        <v/>
      </c>
      <c r="O166" s="28">
        <f>IF($P166="","",IF(INDEX(EntryTxnID,$P166)=0,"",INDEX(EntryTxnID,$P166)))</f>
        <v/>
      </c>
      <c r="P166" s="28">
        <f>IFERROR(MATCH($C$5&amp;"|"&amp;RIGHT("000000"&amp;150,6),CalcRankKey,0),"")</f>
        <v/>
      </c>
    </row>
    <row r="167">
      <c r="A167" s="26">
        <f>IF($B167="","",151)</f>
        <v/>
      </c>
      <c r="B167" s="26">
        <f>IF($P167="","",IF(INDEX(CalcNormDate,$P167)=0,"",INDEX(CalcNormDate,$P167)))</f>
        <v/>
      </c>
      <c r="C167" s="26">
        <f>IF($P167="","",IF(INDEX(CalcTime,$P167)=0,"",INDEX(CalcTime,$P167)))</f>
        <v/>
      </c>
      <c r="D167" s="26">
        <f>IF($P167="","",IF(INDEX(EntryParty,$P167)=0,"",INDEX(EntryParty,$P167)))</f>
        <v/>
      </c>
      <c r="E167" s="26">
        <f>IF($P167="","",IF(INDEX(EntryPartyName,$P167)=0,"",INDEX(EntryPartyName,$P167)))</f>
        <v/>
      </c>
      <c r="F167" s="26">
        <f>IF($P167="","",IF(INDEX(EntryPartyType,$P167)=0,"",INDEX(EntryPartyType,$P167)))</f>
        <v/>
      </c>
      <c r="G167" s="26">
        <f>IF($P167="","",IF(INDEX(EntryTxnType,$P167)=0,"",INDEX(EntryTxnType,$P167)))</f>
        <v/>
      </c>
      <c r="H167" s="27">
        <f>IF($P167="","",IF(INDEX(EntryDep,$P167)=0,"",INDEX(EntryDep,$P167)))</f>
        <v/>
      </c>
      <c r="I167" s="27">
        <f>IF($P167="","",IF(INDEX(EntryWit,$P167)=0,"",INDEX(EntryWit,$P167)))</f>
        <v/>
      </c>
      <c r="J167" s="27">
        <f>IF($B167="","",IF($A167=1,$C$7,IF(J166="",0,J166))+IF($H167="",0,$H167)-IF($I167="",0,$I167))</f>
        <v/>
      </c>
      <c r="K167" s="27">
        <f>IF($P167="","",IF(INDEX(EntryMan,$P167)=0,"",INDEX(EntryMan,$P167)))</f>
        <v/>
      </c>
      <c r="L167" s="26">
        <f>IF($B167="","",IF($K167="","—",IF(ROUND($K167-$J167,0)=0,"√","×")))</f>
        <v/>
      </c>
      <c r="M167" s="26">
        <f>IF($B167="","",IF(COUNTIFS(EntryDates,$B167,CalcTime,$C167,CalcBank,$C$5,EntryParty,$D167,EntryDep,$H167,EntryWit,$I167)&gt;1,"تکرار",""))</f>
        <v/>
      </c>
      <c r="N167" s="26">
        <f>IF($P167="","",IF(INDEX(EntryNotes,$P167)=0,"",INDEX(EntryNotes,$P167)))</f>
        <v/>
      </c>
      <c r="O167" s="26">
        <f>IF($P167="","",IF(INDEX(EntryTxnID,$P167)=0,"",INDEX(EntryTxnID,$P167)))</f>
        <v/>
      </c>
      <c r="P167" s="26">
        <f>IFERROR(MATCH($C$5&amp;"|"&amp;RIGHT("000000"&amp;151,6),CalcRankKey,0),"")</f>
        <v/>
      </c>
    </row>
    <row r="168">
      <c r="A168" s="28">
        <f>IF($B168="","",152)</f>
        <v/>
      </c>
      <c r="B168" s="28">
        <f>IF($P168="","",IF(INDEX(CalcNormDate,$P168)=0,"",INDEX(CalcNormDate,$P168)))</f>
        <v/>
      </c>
      <c r="C168" s="28">
        <f>IF($P168="","",IF(INDEX(CalcTime,$P168)=0,"",INDEX(CalcTime,$P168)))</f>
        <v/>
      </c>
      <c r="D168" s="28">
        <f>IF($P168="","",IF(INDEX(EntryParty,$P168)=0,"",INDEX(EntryParty,$P168)))</f>
        <v/>
      </c>
      <c r="E168" s="28">
        <f>IF($P168="","",IF(INDEX(EntryPartyName,$P168)=0,"",INDEX(EntryPartyName,$P168)))</f>
        <v/>
      </c>
      <c r="F168" s="28">
        <f>IF($P168="","",IF(INDEX(EntryPartyType,$P168)=0,"",INDEX(EntryPartyType,$P168)))</f>
        <v/>
      </c>
      <c r="G168" s="28">
        <f>IF($P168="","",IF(INDEX(EntryTxnType,$P168)=0,"",INDEX(EntryTxnType,$P168)))</f>
        <v/>
      </c>
      <c r="H168" s="29">
        <f>IF($P168="","",IF(INDEX(EntryDep,$P168)=0,"",INDEX(EntryDep,$P168)))</f>
        <v/>
      </c>
      <c r="I168" s="29">
        <f>IF($P168="","",IF(INDEX(EntryWit,$P168)=0,"",INDEX(EntryWit,$P168)))</f>
        <v/>
      </c>
      <c r="J168" s="29">
        <f>IF($B168="","",IF($A168=1,$C$7,IF(J167="",0,J167))+IF($H168="",0,$H168)-IF($I168="",0,$I168))</f>
        <v/>
      </c>
      <c r="K168" s="29">
        <f>IF($P168="","",IF(INDEX(EntryMan,$P168)=0,"",INDEX(EntryMan,$P168)))</f>
        <v/>
      </c>
      <c r="L168" s="28">
        <f>IF($B168="","",IF($K168="","—",IF(ROUND($K168-$J168,0)=0,"√","×")))</f>
        <v/>
      </c>
      <c r="M168" s="28">
        <f>IF($B168="","",IF(COUNTIFS(EntryDates,$B168,CalcTime,$C168,CalcBank,$C$5,EntryParty,$D168,EntryDep,$H168,EntryWit,$I168)&gt;1,"تکرار",""))</f>
        <v/>
      </c>
      <c r="N168" s="28">
        <f>IF($P168="","",IF(INDEX(EntryNotes,$P168)=0,"",INDEX(EntryNotes,$P168)))</f>
        <v/>
      </c>
      <c r="O168" s="28">
        <f>IF($P168="","",IF(INDEX(EntryTxnID,$P168)=0,"",INDEX(EntryTxnID,$P168)))</f>
        <v/>
      </c>
      <c r="P168" s="28">
        <f>IFERROR(MATCH($C$5&amp;"|"&amp;RIGHT("000000"&amp;152,6),CalcRankKey,0),"")</f>
        <v/>
      </c>
    </row>
    <row r="169">
      <c r="A169" s="26">
        <f>IF($B169="","",153)</f>
        <v/>
      </c>
      <c r="B169" s="26">
        <f>IF($P169="","",IF(INDEX(CalcNormDate,$P169)=0,"",INDEX(CalcNormDate,$P169)))</f>
        <v/>
      </c>
      <c r="C169" s="26">
        <f>IF($P169="","",IF(INDEX(CalcTime,$P169)=0,"",INDEX(CalcTime,$P169)))</f>
        <v/>
      </c>
      <c r="D169" s="26">
        <f>IF($P169="","",IF(INDEX(EntryParty,$P169)=0,"",INDEX(EntryParty,$P169)))</f>
        <v/>
      </c>
      <c r="E169" s="26">
        <f>IF($P169="","",IF(INDEX(EntryPartyName,$P169)=0,"",INDEX(EntryPartyName,$P169)))</f>
        <v/>
      </c>
      <c r="F169" s="26">
        <f>IF($P169="","",IF(INDEX(EntryPartyType,$P169)=0,"",INDEX(EntryPartyType,$P169)))</f>
        <v/>
      </c>
      <c r="G169" s="26">
        <f>IF($P169="","",IF(INDEX(EntryTxnType,$P169)=0,"",INDEX(EntryTxnType,$P169)))</f>
        <v/>
      </c>
      <c r="H169" s="27">
        <f>IF($P169="","",IF(INDEX(EntryDep,$P169)=0,"",INDEX(EntryDep,$P169)))</f>
        <v/>
      </c>
      <c r="I169" s="27">
        <f>IF($P169="","",IF(INDEX(EntryWit,$P169)=0,"",INDEX(EntryWit,$P169)))</f>
        <v/>
      </c>
      <c r="J169" s="27">
        <f>IF($B169="","",IF($A169=1,$C$7,IF(J168="",0,J168))+IF($H169="",0,$H169)-IF($I169="",0,$I169))</f>
        <v/>
      </c>
      <c r="K169" s="27">
        <f>IF($P169="","",IF(INDEX(EntryMan,$P169)=0,"",INDEX(EntryMan,$P169)))</f>
        <v/>
      </c>
      <c r="L169" s="26">
        <f>IF($B169="","",IF($K169="","—",IF(ROUND($K169-$J169,0)=0,"√","×")))</f>
        <v/>
      </c>
      <c r="M169" s="26">
        <f>IF($B169="","",IF(COUNTIFS(EntryDates,$B169,CalcTime,$C169,CalcBank,$C$5,EntryParty,$D169,EntryDep,$H169,EntryWit,$I169)&gt;1,"تکرار",""))</f>
        <v/>
      </c>
      <c r="N169" s="26">
        <f>IF($P169="","",IF(INDEX(EntryNotes,$P169)=0,"",INDEX(EntryNotes,$P169)))</f>
        <v/>
      </c>
      <c r="O169" s="26">
        <f>IF($P169="","",IF(INDEX(EntryTxnID,$P169)=0,"",INDEX(EntryTxnID,$P169)))</f>
        <v/>
      </c>
      <c r="P169" s="26">
        <f>IFERROR(MATCH($C$5&amp;"|"&amp;RIGHT("000000"&amp;153,6),CalcRankKey,0),"")</f>
        <v/>
      </c>
    </row>
    <row r="170">
      <c r="A170" s="28">
        <f>IF($B170="","",154)</f>
        <v/>
      </c>
      <c r="B170" s="28">
        <f>IF($P170="","",IF(INDEX(CalcNormDate,$P170)=0,"",INDEX(CalcNormDate,$P170)))</f>
        <v/>
      </c>
      <c r="C170" s="28">
        <f>IF($P170="","",IF(INDEX(CalcTime,$P170)=0,"",INDEX(CalcTime,$P170)))</f>
        <v/>
      </c>
      <c r="D170" s="28">
        <f>IF($P170="","",IF(INDEX(EntryParty,$P170)=0,"",INDEX(EntryParty,$P170)))</f>
        <v/>
      </c>
      <c r="E170" s="28">
        <f>IF($P170="","",IF(INDEX(EntryPartyName,$P170)=0,"",INDEX(EntryPartyName,$P170)))</f>
        <v/>
      </c>
      <c r="F170" s="28">
        <f>IF($P170="","",IF(INDEX(EntryPartyType,$P170)=0,"",INDEX(EntryPartyType,$P170)))</f>
        <v/>
      </c>
      <c r="G170" s="28">
        <f>IF($P170="","",IF(INDEX(EntryTxnType,$P170)=0,"",INDEX(EntryTxnType,$P170)))</f>
        <v/>
      </c>
      <c r="H170" s="29">
        <f>IF($P170="","",IF(INDEX(EntryDep,$P170)=0,"",INDEX(EntryDep,$P170)))</f>
        <v/>
      </c>
      <c r="I170" s="29">
        <f>IF($P170="","",IF(INDEX(EntryWit,$P170)=0,"",INDEX(EntryWit,$P170)))</f>
        <v/>
      </c>
      <c r="J170" s="29">
        <f>IF($B170="","",IF($A170=1,$C$7,IF(J169="",0,J169))+IF($H170="",0,$H170)-IF($I170="",0,$I170))</f>
        <v/>
      </c>
      <c r="K170" s="29">
        <f>IF($P170="","",IF(INDEX(EntryMan,$P170)=0,"",INDEX(EntryMan,$P170)))</f>
        <v/>
      </c>
      <c r="L170" s="28">
        <f>IF($B170="","",IF($K170="","—",IF(ROUND($K170-$J170,0)=0,"√","×")))</f>
        <v/>
      </c>
      <c r="M170" s="28">
        <f>IF($B170="","",IF(COUNTIFS(EntryDates,$B170,CalcTime,$C170,CalcBank,$C$5,EntryParty,$D170,EntryDep,$H170,EntryWit,$I170)&gt;1,"تکرار",""))</f>
        <v/>
      </c>
      <c r="N170" s="28">
        <f>IF($P170="","",IF(INDEX(EntryNotes,$P170)=0,"",INDEX(EntryNotes,$P170)))</f>
        <v/>
      </c>
      <c r="O170" s="28">
        <f>IF($P170="","",IF(INDEX(EntryTxnID,$P170)=0,"",INDEX(EntryTxnID,$P170)))</f>
        <v/>
      </c>
      <c r="P170" s="28">
        <f>IFERROR(MATCH($C$5&amp;"|"&amp;RIGHT("000000"&amp;154,6),CalcRankKey,0),"")</f>
        <v/>
      </c>
    </row>
    <row r="171">
      <c r="A171" s="26">
        <f>IF($B171="","",155)</f>
        <v/>
      </c>
      <c r="B171" s="26">
        <f>IF($P171="","",IF(INDEX(CalcNormDate,$P171)=0,"",INDEX(CalcNormDate,$P171)))</f>
        <v/>
      </c>
      <c r="C171" s="26">
        <f>IF($P171="","",IF(INDEX(CalcTime,$P171)=0,"",INDEX(CalcTime,$P171)))</f>
        <v/>
      </c>
      <c r="D171" s="26">
        <f>IF($P171="","",IF(INDEX(EntryParty,$P171)=0,"",INDEX(EntryParty,$P171)))</f>
        <v/>
      </c>
      <c r="E171" s="26">
        <f>IF($P171="","",IF(INDEX(EntryPartyName,$P171)=0,"",INDEX(EntryPartyName,$P171)))</f>
        <v/>
      </c>
      <c r="F171" s="26">
        <f>IF($P171="","",IF(INDEX(EntryPartyType,$P171)=0,"",INDEX(EntryPartyType,$P171)))</f>
        <v/>
      </c>
      <c r="G171" s="26">
        <f>IF($P171="","",IF(INDEX(EntryTxnType,$P171)=0,"",INDEX(EntryTxnType,$P171)))</f>
        <v/>
      </c>
      <c r="H171" s="27">
        <f>IF($P171="","",IF(INDEX(EntryDep,$P171)=0,"",INDEX(EntryDep,$P171)))</f>
        <v/>
      </c>
      <c r="I171" s="27">
        <f>IF($P171="","",IF(INDEX(EntryWit,$P171)=0,"",INDEX(EntryWit,$P171)))</f>
        <v/>
      </c>
      <c r="J171" s="27">
        <f>IF($B171="","",IF($A171=1,$C$7,IF(J170="",0,J170))+IF($H171="",0,$H171)-IF($I171="",0,$I171))</f>
        <v/>
      </c>
      <c r="K171" s="27">
        <f>IF($P171="","",IF(INDEX(EntryMan,$P171)=0,"",INDEX(EntryMan,$P171)))</f>
        <v/>
      </c>
      <c r="L171" s="26">
        <f>IF($B171="","",IF($K171="","—",IF(ROUND($K171-$J171,0)=0,"√","×")))</f>
        <v/>
      </c>
      <c r="M171" s="26">
        <f>IF($B171="","",IF(COUNTIFS(EntryDates,$B171,CalcTime,$C171,CalcBank,$C$5,EntryParty,$D171,EntryDep,$H171,EntryWit,$I171)&gt;1,"تکرار",""))</f>
        <v/>
      </c>
      <c r="N171" s="26">
        <f>IF($P171="","",IF(INDEX(EntryNotes,$P171)=0,"",INDEX(EntryNotes,$P171)))</f>
        <v/>
      </c>
      <c r="O171" s="26">
        <f>IF($P171="","",IF(INDEX(EntryTxnID,$P171)=0,"",INDEX(EntryTxnID,$P171)))</f>
        <v/>
      </c>
      <c r="P171" s="26">
        <f>IFERROR(MATCH($C$5&amp;"|"&amp;RIGHT("000000"&amp;155,6),CalcRankKey,0),"")</f>
        <v/>
      </c>
    </row>
    <row r="172">
      <c r="A172" s="28">
        <f>IF($B172="","",156)</f>
        <v/>
      </c>
      <c r="B172" s="28">
        <f>IF($P172="","",IF(INDEX(CalcNormDate,$P172)=0,"",INDEX(CalcNormDate,$P172)))</f>
        <v/>
      </c>
      <c r="C172" s="28">
        <f>IF($P172="","",IF(INDEX(CalcTime,$P172)=0,"",INDEX(CalcTime,$P172)))</f>
        <v/>
      </c>
      <c r="D172" s="28">
        <f>IF($P172="","",IF(INDEX(EntryParty,$P172)=0,"",INDEX(EntryParty,$P172)))</f>
        <v/>
      </c>
      <c r="E172" s="28">
        <f>IF($P172="","",IF(INDEX(EntryPartyName,$P172)=0,"",INDEX(EntryPartyName,$P172)))</f>
        <v/>
      </c>
      <c r="F172" s="28">
        <f>IF($P172="","",IF(INDEX(EntryPartyType,$P172)=0,"",INDEX(EntryPartyType,$P172)))</f>
        <v/>
      </c>
      <c r="G172" s="28">
        <f>IF($P172="","",IF(INDEX(EntryTxnType,$P172)=0,"",INDEX(EntryTxnType,$P172)))</f>
        <v/>
      </c>
      <c r="H172" s="29">
        <f>IF($P172="","",IF(INDEX(EntryDep,$P172)=0,"",INDEX(EntryDep,$P172)))</f>
        <v/>
      </c>
      <c r="I172" s="29">
        <f>IF($P172="","",IF(INDEX(EntryWit,$P172)=0,"",INDEX(EntryWit,$P172)))</f>
        <v/>
      </c>
      <c r="J172" s="29">
        <f>IF($B172="","",IF($A172=1,$C$7,IF(J171="",0,J171))+IF($H172="",0,$H172)-IF($I172="",0,$I172))</f>
        <v/>
      </c>
      <c r="K172" s="29">
        <f>IF($P172="","",IF(INDEX(EntryMan,$P172)=0,"",INDEX(EntryMan,$P172)))</f>
        <v/>
      </c>
      <c r="L172" s="28">
        <f>IF($B172="","",IF($K172="","—",IF(ROUND($K172-$J172,0)=0,"√","×")))</f>
        <v/>
      </c>
      <c r="M172" s="28">
        <f>IF($B172="","",IF(COUNTIFS(EntryDates,$B172,CalcTime,$C172,CalcBank,$C$5,EntryParty,$D172,EntryDep,$H172,EntryWit,$I172)&gt;1,"تکرار",""))</f>
        <v/>
      </c>
      <c r="N172" s="28">
        <f>IF($P172="","",IF(INDEX(EntryNotes,$P172)=0,"",INDEX(EntryNotes,$P172)))</f>
        <v/>
      </c>
      <c r="O172" s="28">
        <f>IF($P172="","",IF(INDEX(EntryTxnID,$P172)=0,"",INDEX(EntryTxnID,$P172)))</f>
        <v/>
      </c>
      <c r="P172" s="28">
        <f>IFERROR(MATCH($C$5&amp;"|"&amp;RIGHT("000000"&amp;156,6),CalcRankKey,0),"")</f>
        <v/>
      </c>
    </row>
    <row r="173">
      <c r="A173" s="26">
        <f>IF($B173="","",157)</f>
        <v/>
      </c>
      <c r="B173" s="26">
        <f>IF($P173="","",IF(INDEX(CalcNormDate,$P173)=0,"",INDEX(CalcNormDate,$P173)))</f>
        <v/>
      </c>
      <c r="C173" s="26">
        <f>IF($P173="","",IF(INDEX(CalcTime,$P173)=0,"",INDEX(CalcTime,$P173)))</f>
        <v/>
      </c>
      <c r="D173" s="26">
        <f>IF($P173="","",IF(INDEX(EntryParty,$P173)=0,"",INDEX(EntryParty,$P173)))</f>
        <v/>
      </c>
      <c r="E173" s="26">
        <f>IF($P173="","",IF(INDEX(EntryPartyName,$P173)=0,"",INDEX(EntryPartyName,$P173)))</f>
        <v/>
      </c>
      <c r="F173" s="26">
        <f>IF($P173="","",IF(INDEX(EntryPartyType,$P173)=0,"",INDEX(EntryPartyType,$P173)))</f>
        <v/>
      </c>
      <c r="G173" s="26">
        <f>IF($P173="","",IF(INDEX(EntryTxnType,$P173)=0,"",INDEX(EntryTxnType,$P173)))</f>
        <v/>
      </c>
      <c r="H173" s="27">
        <f>IF($P173="","",IF(INDEX(EntryDep,$P173)=0,"",INDEX(EntryDep,$P173)))</f>
        <v/>
      </c>
      <c r="I173" s="27">
        <f>IF($P173="","",IF(INDEX(EntryWit,$P173)=0,"",INDEX(EntryWit,$P173)))</f>
        <v/>
      </c>
      <c r="J173" s="27">
        <f>IF($B173="","",IF($A173=1,$C$7,IF(J172="",0,J172))+IF($H173="",0,$H173)-IF($I173="",0,$I173))</f>
        <v/>
      </c>
      <c r="K173" s="27">
        <f>IF($P173="","",IF(INDEX(EntryMan,$P173)=0,"",INDEX(EntryMan,$P173)))</f>
        <v/>
      </c>
      <c r="L173" s="26">
        <f>IF($B173="","",IF($K173="","—",IF(ROUND($K173-$J173,0)=0,"√","×")))</f>
        <v/>
      </c>
      <c r="M173" s="26">
        <f>IF($B173="","",IF(COUNTIFS(EntryDates,$B173,CalcTime,$C173,CalcBank,$C$5,EntryParty,$D173,EntryDep,$H173,EntryWit,$I173)&gt;1,"تکرار",""))</f>
        <v/>
      </c>
      <c r="N173" s="26">
        <f>IF($P173="","",IF(INDEX(EntryNotes,$P173)=0,"",INDEX(EntryNotes,$P173)))</f>
        <v/>
      </c>
      <c r="O173" s="26">
        <f>IF($P173="","",IF(INDEX(EntryTxnID,$P173)=0,"",INDEX(EntryTxnID,$P173)))</f>
        <v/>
      </c>
      <c r="P173" s="26">
        <f>IFERROR(MATCH($C$5&amp;"|"&amp;RIGHT("000000"&amp;157,6),CalcRankKey,0),"")</f>
        <v/>
      </c>
    </row>
    <row r="174">
      <c r="A174" s="28">
        <f>IF($B174="","",158)</f>
        <v/>
      </c>
      <c r="B174" s="28">
        <f>IF($P174="","",IF(INDEX(CalcNormDate,$P174)=0,"",INDEX(CalcNormDate,$P174)))</f>
        <v/>
      </c>
      <c r="C174" s="28">
        <f>IF($P174="","",IF(INDEX(CalcTime,$P174)=0,"",INDEX(CalcTime,$P174)))</f>
        <v/>
      </c>
      <c r="D174" s="28">
        <f>IF($P174="","",IF(INDEX(EntryParty,$P174)=0,"",INDEX(EntryParty,$P174)))</f>
        <v/>
      </c>
      <c r="E174" s="28">
        <f>IF($P174="","",IF(INDEX(EntryPartyName,$P174)=0,"",INDEX(EntryPartyName,$P174)))</f>
        <v/>
      </c>
      <c r="F174" s="28">
        <f>IF($P174="","",IF(INDEX(EntryPartyType,$P174)=0,"",INDEX(EntryPartyType,$P174)))</f>
        <v/>
      </c>
      <c r="G174" s="28">
        <f>IF($P174="","",IF(INDEX(EntryTxnType,$P174)=0,"",INDEX(EntryTxnType,$P174)))</f>
        <v/>
      </c>
      <c r="H174" s="29">
        <f>IF($P174="","",IF(INDEX(EntryDep,$P174)=0,"",INDEX(EntryDep,$P174)))</f>
        <v/>
      </c>
      <c r="I174" s="29">
        <f>IF($P174="","",IF(INDEX(EntryWit,$P174)=0,"",INDEX(EntryWit,$P174)))</f>
        <v/>
      </c>
      <c r="J174" s="29">
        <f>IF($B174="","",IF($A174=1,$C$7,IF(J173="",0,J173))+IF($H174="",0,$H174)-IF($I174="",0,$I174))</f>
        <v/>
      </c>
      <c r="K174" s="29">
        <f>IF($P174="","",IF(INDEX(EntryMan,$P174)=0,"",INDEX(EntryMan,$P174)))</f>
        <v/>
      </c>
      <c r="L174" s="28">
        <f>IF($B174="","",IF($K174="","—",IF(ROUND($K174-$J174,0)=0,"√","×")))</f>
        <v/>
      </c>
      <c r="M174" s="28">
        <f>IF($B174="","",IF(COUNTIFS(EntryDates,$B174,CalcTime,$C174,CalcBank,$C$5,EntryParty,$D174,EntryDep,$H174,EntryWit,$I174)&gt;1,"تکرار",""))</f>
        <v/>
      </c>
      <c r="N174" s="28">
        <f>IF($P174="","",IF(INDEX(EntryNotes,$P174)=0,"",INDEX(EntryNotes,$P174)))</f>
        <v/>
      </c>
      <c r="O174" s="28">
        <f>IF($P174="","",IF(INDEX(EntryTxnID,$P174)=0,"",INDEX(EntryTxnID,$P174)))</f>
        <v/>
      </c>
      <c r="P174" s="28">
        <f>IFERROR(MATCH($C$5&amp;"|"&amp;RIGHT("000000"&amp;158,6),CalcRankKey,0),"")</f>
        <v/>
      </c>
    </row>
    <row r="175">
      <c r="A175" s="26">
        <f>IF($B175="","",159)</f>
        <v/>
      </c>
      <c r="B175" s="26">
        <f>IF($P175="","",IF(INDEX(CalcNormDate,$P175)=0,"",INDEX(CalcNormDate,$P175)))</f>
        <v/>
      </c>
      <c r="C175" s="26">
        <f>IF($P175="","",IF(INDEX(CalcTime,$P175)=0,"",INDEX(CalcTime,$P175)))</f>
        <v/>
      </c>
      <c r="D175" s="26">
        <f>IF($P175="","",IF(INDEX(EntryParty,$P175)=0,"",INDEX(EntryParty,$P175)))</f>
        <v/>
      </c>
      <c r="E175" s="26">
        <f>IF($P175="","",IF(INDEX(EntryPartyName,$P175)=0,"",INDEX(EntryPartyName,$P175)))</f>
        <v/>
      </c>
      <c r="F175" s="26">
        <f>IF($P175="","",IF(INDEX(EntryPartyType,$P175)=0,"",INDEX(EntryPartyType,$P175)))</f>
        <v/>
      </c>
      <c r="G175" s="26">
        <f>IF($P175="","",IF(INDEX(EntryTxnType,$P175)=0,"",INDEX(EntryTxnType,$P175)))</f>
        <v/>
      </c>
      <c r="H175" s="27">
        <f>IF($P175="","",IF(INDEX(EntryDep,$P175)=0,"",INDEX(EntryDep,$P175)))</f>
        <v/>
      </c>
      <c r="I175" s="27">
        <f>IF($P175="","",IF(INDEX(EntryWit,$P175)=0,"",INDEX(EntryWit,$P175)))</f>
        <v/>
      </c>
      <c r="J175" s="27">
        <f>IF($B175="","",IF($A175=1,$C$7,IF(J174="",0,J174))+IF($H175="",0,$H175)-IF($I175="",0,$I175))</f>
        <v/>
      </c>
      <c r="K175" s="27">
        <f>IF($P175="","",IF(INDEX(EntryMan,$P175)=0,"",INDEX(EntryMan,$P175)))</f>
        <v/>
      </c>
      <c r="L175" s="26">
        <f>IF($B175="","",IF($K175="","—",IF(ROUND($K175-$J175,0)=0,"√","×")))</f>
        <v/>
      </c>
      <c r="M175" s="26">
        <f>IF($B175="","",IF(COUNTIFS(EntryDates,$B175,CalcTime,$C175,CalcBank,$C$5,EntryParty,$D175,EntryDep,$H175,EntryWit,$I175)&gt;1,"تکرار",""))</f>
        <v/>
      </c>
      <c r="N175" s="26">
        <f>IF($P175="","",IF(INDEX(EntryNotes,$P175)=0,"",INDEX(EntryNotes,$P175)))</f>
        <v/>
      </c>
      <c r="O175" s="26">
        <f>IF($P175="","",IF(INDEX(EntryTxnID,$P175)=0,"",INDEX(EntryTxnID,$P175)))</f>
        <v/>
      </c>
      <c r="P175" s="26">
        <f>IFERROR(MATCH($C$5&amp;"|"&amp;RIGHT("000000"&amp;159,6),CalcRankKey,0),"")</f>
        <v/>
      </c>
    </row>
    <row r="176">
      <c r="A176" s="28">
        <f>IF($B176="","",160)</f>
        <v/>
      </c>
      <c r="B176" s="28">
        <f>IF($P176="","",IF(INDEX(CalcNormDate,$P176)=0,"",INDEX(CalcNormDate,$P176)))</f>
        <v/>
      </c>
      <c r="C176" s="28">
        <f>IF($P176="","",IF(INDEX(CalcTime,$P176)=0,"",INDEX(CalcTime,$P176)))</f>
        <v/>
      </c>
      <c r="D176" s="28">
        <f>IF($P176="","",IF(INDEX(EntryParty,$P176)=0,"",INDEX(EntryParty,$P176)))</f>
        <v/>
      </c>
      <c r="E176" s="28">
        <f>IF($P176="","",IF(INDEX(EntryPartyName,$P176)=0,"",INDEX(EntryPartyName,$P176)))</f>
        <v/>
      </c>
      <c r="F176" s="28">
        <f>IF($P176="","",IF(INDEX(EntryPartyType,$P176)=0,"",INDEX(EntryPartyType,$P176)))</f>
        <v/>
      </c>
      <c r="G176" s="28">
        <f>IF($P176="","",IF(INDEX(EntryTxnType,$P176)=0,"",INDEX(EntryTxnType,$P176)))</f>
        <v/>
      </c>
      <c r="H176" s="29">
        <f>IF($P176="","",IF(INDEX(EntryDep,$P176)=0,"",INDEX(EntryDep,$P176)))</f>
        <v/>
      </c>
      <c r="I176" s="29">
        <f>IF($P176="","",IF(INDEX(EntryWit,$P176)=0,"",INDEX(EntryWit,$P176)))</f>
        <v/>
      </c>
      <c r="J176" s="29">
        <f>IF($B176="","",IF($A176=1,$C$7,IF(J175="",0,J175))+IF($H176="",0,$H176)-IF($I176="",0,$I176))</f>
        <v/>
      </c>
      <c r="K176" s="29">
        <f>IF($P176="","",IF(INDEX(EntryMan,$P176)=0,"",INDEX(EntryMan,$P176)))</f>
        <v/>
      </c>
      <c r="L176" s="28">
        <f>IF($B176="","",IF($K176="","—",IF(ROUND($K176-$J176,0)=0,"√","×")))</f>
        <v/>
      </c>
      <c r="M176" s="28">
        <f>IF($B176="","",IF(COUNTIFS(EntryDates,$B176,CalcTime,$C176,CalcBank,$C$5,EntryParty,$D176,EntryDep,$H176,EntryWit,$I176)&gt;1,"تکرار",""))</f>
        <v/>
      </c>
      <c r="N176" s="28">
        <f>IF($P176="","",IF(INDEX(EntryNotes,$P176)=0,"",INDEX(EntryNotes,$P176)))</f>
        <v/>
      </c>
      <c r="O176" s="28">
        <f>IF($P176="","",IF(INDEX(EntryTxnID,$P176)=0,"",INDEX(EntryTxnID,$P176)))</f>
        <v/>
      </c>
      <c r="P176" s="28">
        <f>IFERROR(MATCH($C$5&amp;"|"&amp;RIGHT("000000"&amp;160,6),CalcRankKey,0),"")</f>
        <v/>
      </c>
    </row>
    <row r="177">
      <c r="A177" s="26">
        <f>IF($B177="","",161)</f>
        <v/>
      </c>
      <c r="B177" s="26">
        <f>IF($P177="","",IF(INDEX(CalcNormDate,$P177)=0,"",INDEX(CalcNormDate,$P177)))</f>
        <v/>
      </c>
      <c r="C177" s="26">
        <f>IF($P177="","",IF(INDEX(CalcTime,$P177)=0,"",INDEX(CalcTime,$P177)))</f>
        <v/>
      </c>
      <c r="D177" s="26">
        <f>IF($P177="","",IF(INDEX(EntryParty,$P177)=0,"",INDEX(EntryParty,$P177)))</f>
        <v/>
      </c>
      <c r="E177" s="26">
        <f>IF($P177="","",IF(INDEX(EntryPartyName,$P177)=0,"",INDEX(EntryPartyName,$P177)))</f>
        <v/>
      </c>
      <c r="F177" s="26">
        <f>IF($P177="","",IF(INDEX(EntryPartyType,$P177)=0,"",INDEX(EntryPartyType,$P177)))</f>
        <v/>
      </c>
      <c r="G177" s="26">
        <f>IF($P177="","",IF(INDEX(EntryTxnType,$P177)=0,"",INDEX(EntryTxnType,$P177)))</f>
        <v/>
      </c>
      <c r="H177" s="27">
        <f>IF($P177="","",IF(INDEX(EntryDep,$P177)=0,"",INDEX(EntryDep,$P177)))</f>
        <v/>
      </c>
      <c r="I177" s="27">
        <f>IF($P177="","",IF(INDEX(EntryWit,$P177)=0,"",INDEX(EntryWit,$P177)))</f>
        <v/>
      </c>
      <c r="J177" s="27">
        <f>IF($B177="","",IF($A177=1,$C$7,IF(J176="",0,J176))+IF($H177="",0,$H177)-IF($I177="",0,$I177))</f>
        <v/>
      </c>
      <c r="K177" s="27">
        <f>IF($P177="","",IF(INDEX(EntryMan,$P177)=0,"",INDEX(EntryMan,$P177)))</f>
        <v/>
      </c>
      <c r="L177" s="26">
        <f>IF($B177="","",IF($K177="","—",IF(ROUND($K177-$J177,0)=0,"√","×")))</f>
        <v/>
      </c>
      <c r="M177" s="26">
        <f>IF($B177="","",IF(COUNTIFS(EntryDates,$B177,CalcTime,$C177,CalcBank,$C$5,EntryParty,$D177,EntryDep,$H177,EntryWit,$I177)&gt;1,"تکرار",""))</f>
        <v/>
      </c>
      <c r="N177" s="26">
        <f>IF($P177="","",IF(INDEX(EntryNotes,$P177)=0,"",INDEX(EntryNotes,$P177)))</f>
        <v/>
      </c>
      <c r="O177" s="26">
        <f>IF($P177="","",IF(INDEX(EntryTxnID,$P177)=0,"",INDEX(EntryTxnID,$P177)))</f>
        <v/>
      </c>
      <c r="P177" s="26">
        <f>IFERROR(MATCH($C$5&amp;"|"&amp;RIGHT("000000"&amp;161,6),CalcRankKey,0),"")</f>
        <v/>
      </c>
    </row>
    <row r="178">
      <c r="A178" s="28">
        <f>IF($B178="","",162)</f>
        <v/>
      </c>
      <c r="B178" s="28">
        <f>IF($P178="","",IF(INDEX(CalcNormDate,$P178)=0,"",INDEX(CalcNormDate,$P178)))</f>
        <v/>
      </c>
      <c r="C178" s="28">
        <f>IF($P178="","",IF(INDEX(CalcTime,$P178)=0,"",INDEX(CalcTime,$P178)))</f>
        <v/>
      </c>
      <c r="D178" s="28">
        <f>IF($P178="","",IF(INDEX(EntryParty,$P178)=0,"",INDEX(EntryParty,$P178)))</f>
        <v/>
      </c>
      <c r="E178" s="28">
        <f>IF($P178="","",IF(INDEX(EntryPartyName,$P178)=0,"",INDEX(EntryPartyName,$P178)))</f>
        <v/>
      </c>
      <c r="F178" s="28">
        <f>IF($P178="","",IF(INDEX(EntryPartyType,$P178)=0,"",INDEX(EntryPartyType,$P178)))</f>
        <v/>
      </c>
      <c r="G178" s="28">
        <f>IF($P178="","",IF(INDEX(EntryTxnType,$P178)=0,"",INDEX(EntryTxnType,$P178)))</f>
        <v/>
      </c>
      <c r="H178" s="29">
        <f>IF($P178="","",IF(INDEX(EntryDep,$P178)=0,"",INDEX(EntryDep,$P178)))</f>
        <v/>
      </c>
      <c r="I178" s="29">
        <f>IF($P178="","",IF(INDEX(EntryWit,$P178)=0,"",INDEX(EntryWit,$P178)))</f>
        <v/>
      </c>
      <c r="J178" s="29">
        <f>IF($B178="","",IF($A178=1,$C$7,IF(J177="",0,J177))+IF($H178="",0,$H178)-IF($I178="",0,$I178))</f>
        <v/>
      </c>
      <c r="K178" s="29">
        <f>IF($P178="","",IF(INDEX(EntryMan,$P178)=0,"",INDEX(EntryMan,$P178)))</f>
        <v/>
      </c>
      <c r="L178" s="28">
        <f>IF($B178="","",IF($K178="","—",IF(ROUND($K178-$J178,0)=0,"√","×")))</f>
        <v/>
      </c>
      <c r="M178" s="28">
        <f>IF($B178="","",IF(COUNTIFS(EntryDates,$B178,CalcTime,$C178,CalcBank,$C$5,EntryParty,$D178,EntryDep,$H178,EntryWit,$I178)&gt;1,"تکرار",""))</f>
        <v/>
      </c>
      <c r="N178" s="28">
        <f>IF($P178="","",IF(INDEX(EntryNotes,$P178)=0,"",INDEX(EntryNotes,$P178)))</f>
        <v/>
      </c>
      <c r="O178" s="28">
        <f>IF($P178="","",IF(INDEX(EntryTxnID,$P178)=0,"",INDEX(EntryTxnID,$P178)))</f>
        <v/>
      </c>
      <c r="P178" s="28">
        <f>IFERROR(MATCH($C$5&amp;"|"&amp;RIGHT("000000"&amp;162,6),CalcRankKey,0),"")</f>
        <v/>
      </c>
    </row>
    <row r="179">
      <c r="A179" s="26">
        <f>IF($B179="","",163)</f>
        <v/>
      </c>
      <c r="B179" s="26">
        <f>IF($P179="","",IF(INDEX(CalcNormDate,$P179)=0,"",INDEX(CalcNormDate,$P179)))</f>
        <v/>
      </c>
      <c r="C179" s="26">
        <f>IF($P179="","",IF(INDEX(CalcTime,$P179)=0,"",INDEX(CalcTime,$P179)))</f>
        <v/>
      </c>
      <c r="D179" s="26">
        <f>IF($P179="","",IF(INDEX(EntryParty,$P179)=0,"",INDEX(EntryParty,$P179)))</f>
        <v/>
      </c>
      <c r="E179" s="26">
        <f>IF($P179="","",IF(INDEX(EntryPartyName,$P179)=0,"",INDEX(EntryPartyName,$P179)))</f>
        <v/>
      </c>
      <c r="F179" s="26">
        <f>IF($P179="","",IF(INDEX(EntryPartyType,$P179)=0,"",INDEX(EntryPartyType,$P179)))</f>
        <v/>
      </c>
      <c r="G179" s="26">
        <f>IF($P179="","",IF(INDEX(EntryTxnType,$P179)=0,"",INDEX(EntryTxnType,$P179)))</f>
        <v/>
      </c>
      <c r="H179" s="27">
        <f>IF($P179="","",IF(INDEX(EntryDep,$P179)=0,"",INDEX(EntryDep,$P179)))</f>
        <v/>
      </c>
      <c r="I179" s="27">
        <f>IF($P179="","",IF(INDEX(EntryWit,$P179)=0,"",INDEX(EntryWit,$P179)))</f>
        <v/>
      </c>
      <c r="J179" s="27">
        <f>IF($B179="","",IF($A179=1,$C$7,IF(J178="",0,J178))+IF($H179="",0,$H179)-IF($I179="",0,$I179))</f>
        <v/>
      </c>
      <c r="K179" s="27">
        <f>IF($P179="","",IF(INDEX(EntryMan,$P179)=0,"",INDEX(EntryMan,$P179)))</f>
        <v/>
      </c>
      <c r="L179" s="26">
        <f>IF($B179="","",IF($K179="","—",IF(ROUND($K179-$J179,0)=0,"√","×")))</f>
        <v/>
      </c>
      <c r="M179" s="26">
        <f>IF($B179="","",IF(COUNTIFS(EntryDates,$B179,CalcTime,$C179,CalcBank,$C$5,EntryParty,$D179,EntryDep,$H179,EntryWit,$I179)&gt;1,"تکرار",""))</f>
        <v/>
      </c>
      <c r="N179" s="26">
        <f>IF($P179="","",IF(INDEX(EntryNotes,$P179)=0,"",INDEX(EntryNotes,$P179)))</f>
        <v/>
      </c>
      <c r="O179" s="26">
        <f>IF($P179="","",IF(INDEX(EntryTxnID,$P179)=0,"",INDEX(EntryTxnID,$P179)))</f>
        <v/>
      </c>
      <c r="P179" s="26">
        <f>IFERROR(MATCH($C$5&amp;"|"&amp;RIGHT("000000"&amp;163,6),CalcRankKey,0),"")</f>
        <v/>
      </c>
    </row>
    <row r="180">
      <c r="A180" s="28">
        <f>IF($B180="","",164)</f>
        <v/>
      </c>
      <c r="B180" s="28">
        <f>IF($P180="","",IF(INDEX(CalcNormDate,$P180)=0,"",INDEX(CalcNormDate,$P180)))</f>
        <v/>
      </c>
      <c r="C180" s="28">
        <f>IF($P180="","",IF(INDEX(CalcTime,$P180)=0,"",INDEX(CalcTime,$P180)))</f>
        <v/>
      </c>
      <c r="D180" s="28">
        <f>IF($P180="","",IF(INDEX(EntryParty,$P180)=0,"",INDEX(EntryParty,$P180)))</f>
        <v/>
      </c>
      <c r="E180" s="28">
        <f>IF($P180="","",IF(INDEX(EntryPartyName,$P180)=0,"",INDEX(EntryPartyName,$P180)))</f>
        <v/>
      </c>
      <c r="F180" s="28">
        <f>IF($P180="","",IF(INDEX(EntryPartyType,$P180)=0,"",INDEX(EntryPartyType,$P180)))</f>
        <v/>
      </c>
      <c r="G180" s="28">
        <f>IF($P180="","",IF(INDEX(EntryTxnType,$P180)=0,"",INDEX(EntryTxnType,$P180)))</f>
        <v/>
      </c>
      <c r="H180" s="29">
        <f>IF($P180="","",IF(INDEX(EntryDep,$P180)=0,"",INDEX(EntryDep,$P180)))</f>
        <v/>
      </c>
      <c r="I180" s="29">
        <f>IF($P180="","",IF(INDEX(EntryWit,$P180)=0,"",INDEX(EntryWit,$P180)))</f>
        <v/>
      </c>
      <c r="J180" s="29">
        <f>IF($B180="","",IF($A180=1,$C$7,IF(J179="",0,J179))+IF($H180="",0,$H180)-IF($I180="",0,$I180))</f>
        <v/>
      </c>
      <c r="K180" s="29">
        <f>IF($P180="","",IF(INDEX(EntryMan,$P180)=0,"",INDEX(EntryMan,$P180)))</f>
        <v/>
      </c>
      <c r="L180" s="28">
        <f>IF($B180="","",IF($K180="","—",IF(ROUND($K180-$J180,0)=0,"√","×")))</f>
        <v/>
      </c>
      <c r="M180" s="28">
        <f>IF($B180="","",IF(COUNTIFS(EntryDates,$B180,CalcTime,$C180,CalcBank,$C$5,EntryParty,$D180,EntryDep,$H180,EntryWit,$I180)&gt;1,"تکرار",""))</f>
        <v/>
      </c>
      <c r="N180" s="28">
        <f>IF($P180="","",IF(INDEX(EntryNotes,$P180)=0,"",INDEX(EntryNotes,$P180)))</f>
        <v/>
      </c>
      <c r="O180" s="28">
        <f>IF($P180="","",IF(INDEX(EntryTxnID,$P180)=0,"",INDEX(EntryTxnID,$P180)))</f>
        <v/>
      </c>
      <c r="P180" s="28">
        <f>IFERROR(MATCH($C$5&amp;"|"&amp;RIGHT("000000"&amp;164,6),CalcRankKey,0),"")</f>
        <v/>
      </c>
    </row>
    <row r="181">
      <c r="A181" s="26">
        <f>IF($B181="","",165)</f>
        <v/>
      </c>
      <c r="B181" s="26">
        <f>IF($P181="","",IF(INDEX(CalcNormDate,$P181)=0,"",INDEX(CalcNormDate,$P181)))</f>
        <v/>
      </c>
      <c r="C181" s="26">
        <f>IF($P181="","",IF(INDEX(CalcTime,$P181)=0,"",INDEX(CalcTime,$P181)))</f>
        <v/>
      </c>
      <c r="D181" s="26">
        <f>IF($P181="","",IF(INDEX(EntryParty,$P181)=0,"",INDEX(EntryParty,$P181)))</f>
        <v/>
      </c>
      <c r="E181" s="26">
        <f>IF($P181="","",IF(INDEX(EntryPartyName,$P181)=0,"",INDEX(EntryPartyName,$P181)))</f>
        <v/>
      </c>
      <c r="F181" s="26">
        <f>IF($P181="","",IF(INDEX(EntryPartyType,$P181)=0,"",INDEX(EntryPartyType,$P181)))</f>
        <v/>
      </c>
      <c r="G181" s="26">
        <f>IF($P181="","",IF(INDEX(EntryTxnType,$P181)=0,"",INDEX(EntryTxnType,$P181)))</f>
        <v/>
      </c>
      <c r="H181" s="27">
        <f>IF($P181="","",IF(INDEX(EntryDep,$P181)=0,"",INDEX(EntryDep,$P181)))</f>
        <v/>
      </c>
      <c r="I181" s="27">
        <f>IF($P181="","",IF(INDEX(EntryWit,$P181)=0,"",INDEX(EntryWit,$P181)))</f>
        <v/>
      </c>
      <c r="J181" s="27">
        <f>IF($B181="","",IF($A181=1,$C$7,IF(J180="",0,J180))+IF($H181="",0,$H181)-IF($I181="",0,$I181))</f>
        <v/>
      </c>
      <c r="K181" s="27">
        <f>IF($P181="","",IF(INDEX(EntryMan,$P181)=0,"",INDEX(EntryMan,$P181)))</f>
        <v/>
      </c>
      <c r="L181" s="26">
        <f>IF($B181="","",IF($K181="","—",IF(ROUND($K181-$J181,0)=0,"√","×")))</f>
        <v/>
      </c>
      <c r="M181" s="26">
        <f>IF($B181="","",IF(COUNTIFS(EntryDates,$B181,CalcTime,$C181,CalcBank,$C$5,EntryParty,$D181,EntryDep,$H181,EntryWit,$I181)&gt;1,"تکرار",""))</f>
        <v/>
      </c>
      <c r="N181" s="26">
        <f>IF($P181="","",IF(INDEX(EntryNotes,$P181)=0,"",INDEX(EntryNotes,$P181)))</f>
        <v/>
      </c>
      <c r="O181" s="26">
        <f>IF($P181="","",IF(INDEX(EntryTxnID,$P181)=0,"",INDEX(EntryTxnID,$P181)))</f>
        <v/>
      </c>
      <c r="P181" s="26">
        <f>IFERROR(MATCH($C$5&amp;"|"&amp;RIGHT("000000"&amp;165,6),CalcRankKey,0),"")</f>
        <v/>
      </c>
    </row>
    <row r="182">
      <c r="A182" s="28">
        <f>IF($B182="","",166)</f>
        <v/>
      </c>
      <c r="B182" s="28">
        <f>IF($P182="","",IF(INDEX(CalcNormDate,$P182)=0,"",INDEX(CalcNormDate,$P182)))</f>
        <v/>
      </c>
      <c r="C182" s="28">
        <f>IF($P182="","",IF(INDEX(CalcTime,$P182)=0,"",INDEX(CalcTime,$P182)))</f>
        <v/>
      </c>
      <c r="D182" s="28">
        <f>IF($P182="","",IF(INDEX(EntryParty,$P182)=0,"",INDEX(EntryParty,$P182)))</f>
        <v/>
      </c>
      <c r="E182" s="28">
        <f>IF($P182="","",IF(INDEX(EntryPartyName,$P182)=0,"",INDEX(EntryPartyName,$P182)))</f>
        <v/>
      </c>
      <c r="F182" s="28">
        <f>IF($P182="","",IF(INDEX(EntryPartyType,$P182)=0,"",INDEX(EntryPartyType,$P182)))</f>
        <v/>
      </c>
      <c r="G182" s="28">
        <f>IF($P182="","",IF(INDEX(EntryTxnType,$P182)=0,"",INDEX(EntryTxnType,$P182)))</f>
        <v/>
      </c>
      <c r="H182" s="29">
        <f>IF($P182="","",IF(INDEX(EntryDep,$P182)=0,"",INDEX(EntryDep,$P182)))</f>
        <v/>
      </c>
      <c r="I182" s="29">
        <f>IF($P182="","",IF(INDEX(EntryWit,$P182)=0,"",INDEX(EntryWit,$P182)))</f>
        <v/>
      </c>
      <c r="J182" s="29">
        <f>IF($B182="","",IF($A182=1,$C$7,IF(J181="",0,J181))+IF($H182="",0,$H182)-IF($I182="",0,$I182))</f>
        <v/>
      </c>
      <c r="K182" s="29">
        <f>IF($P182="","",IF(INDEX(EntryMan,$P182)=0,"",INDEX(EntryMan,$P182)))</f>
        <v/>
      </c>
      <c r="L182" s="28">
        <f>IF($B182="","",IF($K182="","—",IF(ROUND($K182-$J182,0)=0,"√","×")))</f>
        <v/>
      </c>
      <c r="M182" s="28">
        <f>IF($B182="","",IF(COUNTIFS(EntryDates,$B182,CalcTime,$C182,CalcBank,$C$5,EntryParty,$D182,EntryDep,$H182,EntryWit,$I182)&gt;1,"تکرار",""))</f>
        <v/>
      </c>
      <c r="N182" s="28">
        <f>IF($P182="","",IF(INDEX(EntryNotes,$P182)=0,"",INDEX(EntryNotes,$P182)))</f>
        <v/>
      </c>
      <c r="O182" s="28">
        <f>IF($P182="","",IF(INDEX(EntryTxnID,$P182)=0,"",INDEX(EntryTxnID,$P182)))</f>
        <v/>
      </c>
      <c r="P182" s="28">
        <f>IFERROR(MATCH($C$5&amp;"|"&amp;RIGHT("000000"&amp;166,6),CalcRankKey,0),"")</f>
        <v/>
      </c>
    </row>
    <row r="183">
      <c r="A183" s="26">
        <f>IF($B183="","",167)</f>
        <v/>
      </c>
      <c r="B183" s="26">
        <f>IF($P183="","",IF(INDEX(CalcNormDate,$P183)=0,"",INDEX(CalcNormDate,$P183)))</f>
        <v/>
      </c>
      <c r="C183" s="26">
        <f>IF($P183="","",IF(INDEX(CalcTime,$P183)=0,"",INDEX(CalcTime,$P183)))</f>
        <v/>
      </c>
      <c r="D183" s="26">
        <f>IF($P183="","",IF(INDEX(EntryParty,$P183)=0,"",INDEX(EntryParty,$P183)))</f>
        <v/>
      </c>
      <c r="E183" s="26">
        <f>IF($P183="","",IF(INDEX(EntryPartyName,$P183)=0,"",INDEX(EntryPartyName,$P183)))</f>
        <v/>
      </c>
      <c r="F183" s="26">
        <f>IF($P183="","",IF(INDEX(EntryPartyType,$P183)=0,"",INDEX(EntryPartyType,$P183)))</f>
        <v/>
      </c>
      <c r="G183" s="26">
        <f>IF($P183="","",IF(INDEX(EntryTxnType,$P183)=0,"",INDEX(EntryTxnType,$P183)))</f>
        <v/>
      </c>
      <c r="H183" s="27">
        <f>IF($P183="","",IF(INDEX(EntryDep,$P183)=0,"",INDEX(EntryDep,$P183)))</f>
        <v/>
      </c>
      <c r="I183" s="27">
        <f>IF($P183="","",IF(INDEX(EntryWit,$P183)=0,"",INDEX(EntryWit,$P183)))</f>
        <v/>
      </c>
      <c r="J183" s="27">
        <f>IF($B183="","",IF($A183=1,$C$7,IF(J182="",0,J182))+IF($H183="",0,$H183)-IF($I183="",0,$I183))</f>
        <v/>
      </c>
      <c r="K183" s="27">
        <f>IF($P183="","",IF(INDEX(EntryMan,$P183)=0,"",INDEX(EntryMan,$P183)))</f>
        <v/>
      </c>
      <c r="L183" s="26">
        <f>IF($B183="","",IF($K183="","—",IF(ROUND($K183-$J183,0)=0,"√","×")))</f>
        <v/>
      </c>
      <c r="M183" s="26">
        <f>IF($B183="","",IF(COUNTIFS(EntryDates,$B183,CalcTime,$C183,CalcBank,$C$5,EntryParty,$D183,EntryDep,$H183,EntryWit,$I183)&gt;1,"تکرار",""))</f>
        <v/>
      </c>
      <c r="N183" s="26">
        <f>IF($P183="","",IF(INDEX(EntryNotes,$P183)=0,"",INDEX(EntryNotes,$P183)))</f>
        <v/>
      </c>
      <c r="O183" s="26">
        <f>IF($P183="","",IF(INDEX(EntryTxnID,$P183)=0,"",INDEX(EntryTxnID,$P183)))</f>
        <v/>
      </c>
      <c r="P183" s="26">
        <f>IFERROR(MATCH($C$5&amp;"|"&amp;RIGHT("000000"&amp;167,6),CalcRankKey,0),"")</f>
        <v/>
      </c>
    </row>
    <row r="184">
      <c r="A184" s="28">
        <f>IF($B184="","",168)</f>
        <v/>
      </c>
      <c r="B184" s="28">
        <f>IF($P184="","",IF(INDEX(CalcNormDate,$P184)=0,"",INDEX(CalcNormDate,$P184)))</f>
        <v/>
      </c>
      <c r="C184" s="28">
        <f>IF($P184="","",IF(INDEX(CalcTime,$P184)=0,"",INDEX(CalcTime,$P184)))</f>
        <v/>
      </c>
      <c r="D184" s="28">
        <f>IF($P184="","",IF(INDEX(EntryParty,$P184)=0,"",INDEX(EntryParty,$P184)))</f>
        <v/>
      </c>
      <c r="E184" s="28">
        <f>IF($P184="","",IF(INDEX(EntryPartyName,$P184)=0,"",INDEX(EntryPartyName,$P184)))</f>
        <v/>
      </c>
      <c r="F184" s="28">
        <f>IF($P184="","",IF(INDEX(EntryPartyType,$P184)=0,"",INDEX(EntryPartyType,$P184)))</f>
        <v/>
      </c>
      <c r="G184" s="28">
        <f>IF($P184="","",IF(INDEX(EntryTxnType,$P184)=0,"",INDEX(EntryTxnType,$P184)))</f>
        <v/>
      </c>
      <c r="H184" s="29">
        <f>IF($P184="","",IF(INDEX(EntryDep,$P184)=0,"",INDEX(EntryDep,$P184)))</f>
        <v/>
      </c>
      <c r="I184" s="29">
        <f>IF($P184="","",IF(INDEX(EntryWit,$P184)=0,"",INDEX(EntryWit,$P184)))</f>
        <v/>
      </c>
      <c r="J184" s="29">
        <f>IF($B184="","",IF($A184=1,$C$7,IF(J183="",0,J183))+IF($H184="",0,$H184)-IF($I184="",0,$I184))</f>
        <v/>
      </c>
      <c r="K184" s="29">
        <f>IF($P184="","",IF(INDEX(EntryMan,$P184)=0,"",INDEX(EntryMan,$P184)))</f>
        <v/>
      </c>
      <c r="L184" s="28">
        <f>IF($B184="","",IF($K184="","—",IF(ROUND($K184-$J184,0)=0,"√","×")))</f>
        <v/>
      </c>
      <c r="M184" s="28">
        <f>IF($B184="","",IF(COUNTIFS(EntryDates,$B184,CalcTime,$C184,CalcBank,$C$5,EntryParty,$D184,EntryDep,$H184,EntryWit,$I184)&gt;1,"تکرار",""))</f>
        <v/>
      </c>
      <c r="N184" s="28">
        <f>IF($P184="","",IF(INDEX(EntryNotes,$P184)=0,"",INDEX(EntryNotes,$P184)))</f>
        <v/>
      </c>
      <c r="O184" s="28">
        <f>IF($P184="","",IF(INDEX(EntryTxnID,$P184)=0,"",INDEX(EntryTxnID,$P184)))</f>
        <v/>
      </c>
      <c r="P184" s="28">
        <f>IFERROR(MATCH($C$5&amp;"|"&amp;RIGHT("000000"&amp;168,6),CalcRankKey,0),"")</f>
        <v/>
      </c>
    </row>
    <row r="185">
      <c r="A185" s="26">
        <f>IF($B185="","",169)</f>
        <v/>
      </c>
      <c r="B185" s="26">
        <f>IF($P185="","",IF(INDEX(CalcNormDate,$P185)=0,"",INDEX(CalcNormDate,$P185)))</f>
        <v/>
      </c>
      <c r="C185" s="26">
        <f>IF($P185="","",IF(INDEX(CalcTime,$P185)=0,"",INDEX(CalcTime,$P185)))</f>
        <v/>
      </c>
      <c r="D185" s="26">
        <f>IF($P185="","",IF(INDEX(EntryParty,$P185)=0,"",INDEX(EntryParty,$P185)))</f>
        <v/>
      </c>
      <c r="E185" s="26">
        <f>IF($P185="","",IF(INDEX(EntryPartyName,$P185)=0,"",INDEX(EntryPartyName,$P185)))</f>
        <v/>
      </c>
      <c r="F185" s="26">
        <f>IF($P185="","",IF(INDEX(EntryPartyType,$P185)=0,"",INDEX(EntryPartyType,$P185)))</f>
        <v/>
      </c>
      <c r="G185" s="26">
        <f>IF($P185="","",IF(INDEX(EntryTxnType,$P185)=0,"",INDEX(EntryTxnType,$P185)))</f>
        <v/>
      </c>
      <c r="H185" s="27">
        <f>IF($P185="","",IF(INDEX(EntryDep,$P185)=0,"",INDEX(EntryDep,$P185)))</f>
        <v/>
      </c>
      <c r="I185" s="27">
        <f>IF($P185="","",IF(INDEX(EntryWit,$P185)=0,"",INDEX(EntryWit,$P185)))</f>
        <v/>
      </c>
      <c r="J185" s="27">
        <f>IF($B185="","",IF($A185=1,$C$7,IF(J184="",0,J184))+IF($H185="",0,$H185)-IF($I185="",0,$I185))</f>
        <v/>
      </c>
      <c r="K185" s="27">
        <f>IF($P185="","",IF(INDEX(EntryMan,$P185)=0,"",INDEX(EntryMan,$P185)))</f>
        <v/>
      </c>
      <c r="L185" s="26">
        <f>IF($B185="","",IF($K185="","—",IF(ROUND($K185-$J185,0)=0,"√","×")))</f>
        <v/>
      </c>
      <c r="M185" s="26">
        <f>IF($B185="","",IF(COUNTIFS(EntryDates,$B185,CalcTime,$C185,CalcBank,$C$5,EntryParty,$D185,EntryDep,$H185,EntryWit,$I185)&gt;1,"تکرار",""))</f>
        <v/>
      </c>
      <c r="N185" s="26">
        <f>IF($P185="","",IF(INDEX(EntryNotes,$P185)=0,"",INDEX(EntryNotes,$P185)))</f>
        <v/>
      </c>
      <c r="O185" s="26">
        <f>IF($P185="","",IF(INDEX(EntryTxnID,$P185)=0,"",INDEX(EntryTxnID,$P185)))</f>
        <v/>
      </c>
      <c r="P185" s="26">
        <f>IFERROR(MATCH($C$5&amp;"|"&amp;RIGHT("000000"&amp;169,6),CalcRankKey,0),"")</f>
        <v/>
      </c>
    </row>
    <row r="186">
      <c r="A186" s="28">
        <f>IF($B186="","",170)</f>
        <v/>
      </c>
      <c r="B186" s="28">
        <f>IF($P186="","",IF(INDEX(CalcNormDate,$P186)=0,"",INDEX(CalcNormDate,$P186)))</f>
        <v/>
      </c>
      <c r="C186" s="28">
        <f>IF($P186="","",IF(INDEX(CalcTime,$P186)=0,"",INDEX(CalcTime,$P186)))</f>
        <v/>
      </c>
      <c r="D186" s="28">
        <f>IF($P186="","",IF(INDEX(EntryParty,$P186)=0,"",INDEX(EntryParty,$P186)))</f>
        <v/>
      </c>
      <c r="E186" s="28">
        <f>IF($P186="","",IF(INDEX(EntryPartyName,$P186)=0,"",INDEX(EntryPartyName,$P186)))</f>
        <v/>
      </c>
      <c r="F186" s="28">
        <f>IF($P186="","",IF(INDEX(EntryPartyType,$P186)=0,"",INDEX(EntryPartyType,$P186)))</f>
        <v/>
      </c>
      <c r="G186" s="28">
        <f>IF($P186="","",IF(INDEX(EntryTxnType,$P186)=0,"",INDEX(EntryTxnType,$P186)))</f>
        <v/>
      </c>
      <c r="H186" s="29">
        <f>IF($P186="","",IF(INDEX(EntryDep,$P186)=0,"",INDEX(EntryDep,$P186)))</f>
        <v/>
      </c>
      <c r="I186" s="29">
        <f>IF($P186="","",IF(INDEX(EntryWit,$P186)=0,"",INDEX(EntryWit,$P186)))</f>
        <v/>
      </c>
      <c r="J186" s="29">
        <f>IF($B186="","",IF($A186=1,$C$7,IF(J185="",0,J185))+IF($H186="",0,$H186)-IF($I186="",0,$I186))</f>
        <v/>
      </c>
      <c r="K186" s="29">
        <f>IF($P186="","",IF(INDEX(EntryMan,$P186)=0,"",INDEX(EntryMan,$P186)))</f>
        <v/>
      </c>
      <c r="L186" s="28">
        <f>IF($B186="","",IF($K186="","—",IF(ROUND($K186-$J186,0)=0,"√","×")))</f>
        <v/>
      </c>
      <c r="M186" s="28">
        <f>IF($B186="","",IF(COUNTIFS(EntryDates,$B186,CalcTime,$C186,CalcBank,$C$5,EntryParty,$D186,EntryDep,$H186,EntryWit,$I186)&gt;1,"تکرار",""))</f>
        <v/>
      </c>
      <c r="N186" s="28">
        <f>IF($P186="","",IF(INDEX(EntryNotes,$P186)=0,"",INDEX(EntryNotes,$P186)))</f>
        <v/>
      </c>
      <c r="O186" s="28">
        <f>IF($P186="","",IF(INDEX(EntryTxnID,$P186)=0,"",INDEX(EntryTxnID,$P186)))</f>
        <v/>
      </c>
      <c r="P186" s="28">
        <f>IFERROR(MATCH($C$5&amp;"|"&amp;RIGHT("000000"&amp;170,6),CalcRankKey,0),"")</f>
        <v/>
      </c>
    </row>
    <row r="187">
      <c r="A187" s="26">
        <f>IF($B187="","",171)</f>
        <v/>
      </c>
      <c r="B187" s="26">
        <f>IF($P187="","",IF(INDEX(CalcNormDate,$P187)=0,"",INDEX(CalcNormDate,$P187)))</f>
        <v/>
      </c>
      <c r="C187" s="26">
        <f>IF($P187="","",IF(INDEX(CalcTime,$P187)=0,"",INDEX(CalcTime,$P187)))</f>
        <v/>
      </c>
      <c r="D187" s="26">
        <f>IF($P187="","",IF(INDEX(EntryParty,$P187)=0,"",INDEX(EntryParty,$P187)))</f>
        <v/>
      </c>
      <c r="E187" s="26">
        <f>IF($P187="","",IF(INDEX(EntryPartyName,$P187)=0,"",INDEX(EntryPartyName,$P187)))</f>
        <v/>
      </c>
      <c r="F187" s="26">
        <f>IF($P187="","",IF(INDEX(EntryPartyType,$P187)=0,"",INDEX(EntryPartyType,$P187)))</f>
        <v/>
      </c>
      <c r="G187" s="26">
        <f>IF($P187="","",IF(INDEX(EntryTxnType,$P187)=0,"",INDEX(EntryTxnType,$P187)))</f>
        <v/>
      </c>
      <c r="H187" s="27">
        <f>IF($P187="","",IF(INDEX(EntryDep,$P187)=0,"",INDEX(EntryDep,$P187)))</f>
        <v/>
      </c>
      <c r="I187" s="27">
        <f>IF($P187="","",IF(INDEX(EntryWit,$P187)=0,"",INDEX(EntryWit,$P187)))</f>
        <v/>
      </c>
      <c r="J187" s="27">
        <f>IF($B187="","",IF($A187=1,$C$7,IF(J186="",0,J186))+IF($H187="",0,$H187)-IF($I187="",0,$I187))</f>
        <v/>
      </c>
      <c r="K187" s="27">
        <f>IF($P187="","",IF(INDEX(EntryMan,$P187)=0,"",INDEX(EntryMan,$P187)))</f>
        <v/>
      </c>
      <c r="L187" s="26">
        <f>IF($B187="","",IF($K187="","—",IF(ROUND($K187-$J187,0)=0,"√","×")))</f>
        <v/>
      </c>
      <c r="M187" s="26">
        <f>IF($B187="","",IF(COUNTIFS(EntryDates,$B187,CalcTime,$C187,CalcBank,$C$5,EntryParty,$D187,EntryDep,$H187,EntryWit,$I187)&gt;1,"تکرار",""))</f>
        <v/>
      </c>
      <c r="N187" s="26">
        <f>IF($P187="","",IF(INDEX(EntryNotes,$P187)=0,"",INDEX(EntryNotes,$P187)))</f>
        <v/>
      </c>
      <c r="O187" s="26">
        <f>IF($P187="","",IF(INDEX(EntryTxnID,$P187)=0,"",INDEX(EntryTxnID,$P187)))</f>
        <v/>
      </c>
      <c r="P187" s="26">
        <f>IFERROR(MATCH($C$5&amp;"|"&amp;RIGHT("000000"&amp;171,6),CalcRankKey,0),"")</f>
        <v/>
      </c>
    </row>
    <row r="188">
      <c r="A188" s="28">
        <f>IF($B188="","",172)</f>
        <v/>
      </c>
      <c r="B188" s="28">
        <f>IF($P188="","",IF(INDEX(CalcNormDate,$P188)=0,"",INDEX(CalcNormDate,$P188)))</f>
        <v/>
      </c>
      <c r="C188" s="28">
        <f>IF($P188="","",IF(INDEX(CalcTime,$P188)=0,"",INDEX(CalcTime,$P188)))</f>
        <v/>
      </c>
      <c r="D188" s="28">
        <f>IF($P188="","",IF(INDEX(EntryParty,$P188)=0,"",INDEX(EntryParty,$P188)))</f>
        <v/>
      </c>
      <c r="E188" s="28">
        <f>IF($P188="","",IF(INDEX(EntryPartyName,$P188)=0,"",INDEX(EntryPartyName,$P188)))</f>
        <v/>
      </c>
      <c r="F188" s="28">
        <f>IF($P188="","",IF(INDEX(EntryPartyType,$P188)=0,"",INDEX(EntryPartyType,$P188)))</f>
        <v/>
      </c>
      <c r="G188" s="28">
        <f>IF($P188="","",IF(INDEX(EntryTxnType,$P188)=0,"",INDEX(EntryTxnType,$P188)))</f>
        <v/>
      </c>
      <c r="H188" s="29">
        <f>IF($P188="","",IF(INDEX(EntryDep,$P188)=0,"",INDEX(EntryDep,$P188)))</f>
        <v/>
      </c>
      <c r="I188" s="29">
        <f>IF($P188="","",IF(INDEX(EntryWit,$P188)=0,"",INDEX(EntryWit,$P188)))</f>
        <v/>
      </c>
      <c r="J188" s="29">
        <f>IF($B188="","",IF($A188=1,$C$7,IF(J187="",0,J187))+IF($H188="",0,$H188)-IF($I188="",0,$I188))</f>
        <v/>
      </c>
      <c r="K188" s="29">
        <f>IF($P188="","",IF(INDEX(EntryMan,$P188)=0,"",INDEX(EntryMan,$P188)))</f>
        <v/>
      </c>
      <c r="L188" s="28">
        <f>IF($B188="","",IF($K188="","—",IF(ROUND($K188-$J188,0)=0,"√","×")))</f>
        <v/>
      </c>
      <c r="M188" s="28">
        <f>IF($B188="","",IF(COUNTIFS(EntryDates,$B188,CalcTime,$C188,CalcBank,$C$5,EntryParty,$D188,EntryDep,$H188,EntryWit,$I188)&gt;1,"تکرار",""))</f>
        <v/>
      </c>
      <c r="N188" s="28">
        <f>IF($P188="","",IF(INDEX(EntryNotes,$P188)=0,"",INDEX(EntryNotes,$P188)))</f>
        <v/>
      </c>
      <c r="O188" s="28">
        <f>IF($P188="","",IF(INDEX(EntryTxnID,$P188)=0,"",INDEX(EntryTxnID,$P188)))</f>
        <v/>
      </c>
      <c r="P188" s="28">
        <f>IFERROR(MATCH($C$5&amp;"|"&amp;RIGHT("000000"&amp;172,6),CalcRankKey,0),"")</f>
        <v/>
      </c>
    </row>
    <row r="189">
      <c r="A189" s="26">
        <f>IF($B189="","",173)</f>
        <v/>
      </c>
      <c r="B189" s="26">
        <f>IF($P189="","",IF(INDEX(CalcNormDate,$P189)=0,"",INDEX(CalcNormDate,$P189)))</f>
        <v/>
      </c>
      <c r="C189" s="26">
        <f>IF($P189="","",IF(INDEX(CalcTime,$P189)=0,"",INDEX(CalcTime,$P189)))</f>
        <v/>
      </c>
      <c r="D189" s="26">
        <f>IF($P189="","",IF(INDEX(EntryParty,$P189)=0,"",INDEX(EntryParty,$P189)))</f>
        <v/>
      </c>
      <c r="E189" s="26">
        <f>IF($P189="","",IF(INDEX(EntryPartyName,$P189)=0,"",INDEX(EntryPartyName,$P189)))</f>
        <v/>
      </c>
      <c r="F189" s="26">
        <f>IF($P189="","",IF(INDEX(EntryPartyType,$P189)=0,"",INDEX(EntryPartyType,$P189)))</f>
        <v/>
      </c>
      <c r="G189" s="26">
        <f>IF($P189="","",IF(INDEX(EntryTxnType,$P189)=0,"",INDEX(EntryTxnType,$P189)))</f>
        <v/>
      </c>
      <c r="H189" s="27">
        <f>IF($P189="","",IF(INDEX(EntryDep,$P189)=0,"",INDEX(EntryDep,$P189)))</f>
        <v/>
      </c>
      <c r="I189" s="27">
        <f>IF($P189="","",IF(INDEX(EntryWit,$P189)=0,"",INDEX(EntryWit,$P189)))</f>
        <v/>
      </c>
      <c r="J189" s="27">
        <f>IF($B189="","",IF($A189=1,$C$7,IF(J188="",0,J188))+IF($H189="",0,$H189)-IF($I189="",0,$I189))</f>
        <v/>
      </c>
      <c r="K189" s="27">
        <f>IF($P189="","",IF(INDEX(EntryMan,$P189)=0,"",INDEX(EntryMan,$P189)))</f>
        <v/>
      </c>
      <c r="L189" s="26">
        <f>IF($B189="","",IF($K189="","—",IF(ROUND($K189-$J189,0)=0,"√","×")))</f>
        <v/>
      </c>
      <c r="M189" s="26">
        <f>IF($B189="","",IF(COUNTIFS(EntryDates,$B189,CalcTime,$C189,CalcBank,$C$5,EntryParty,$D189,EntryDep,$H189,EntryWit,$I189)&gt;1,"تکرار",""))</f>
        <v/>
      </c>
      <c r="N189" s="26">
        <f>IF($P189="","",IF(INDEX(EntryNotes,$P189)=0,"",INDEX(EntryNotes,$P189)))</f>
        <v/>
      </c>
      <c r="O189" s="26">
        <f>IF($P189="","",IF(INDEX(EntryTxnID,$P189)=0,"",INDEX(EntryTxnID,$P189)))</f>
        <v/>
      </c>
      <c r="P189" s="26">
        <f>IFERROR(MATCH($C$5&amp;"|"&amp;RIGHT("000000"&amp;173,6),CalcRankKey,0),"")</f>
        <v/>
      </c>
    </row>
    <row r="190">
      <c r="A190" s="28">
        <f>IF($B190="","",174)</f>
        <v/>
      </c>
      <c r="B190" s="28">
        <f>IF($P190="","",IF(INDEX(CalcNormDate,$P190)=0,"",INDEX(CalcNormDate,$P190)))</f>
        <v/>
      </c>
      <c r="C190" s="28">
        <f>IF($P190="","",IF(INDEX(CalcTime,$P190)=0,"",INDEX(CalcTime,$P190)))</f>
        <v/>
      </c>
      <c r="D190" s="28">
        <f>IF($P190="","",IF(INDEX(EntryParty,$P190)=0,"",INDEX(EntryParty,$P190)))</f>
        <v/>
      </c>
      <c r="E190" s="28">
        <f>IF($P190="","",IF(INDEX(EntryPartyName,$P190)=0,"",INDEX(EntryPartyName,$P190)))</f>
        <v/>
      </c>
      <c r="F190" s="28">
        <f>IF($P190="","",IF(INDEX(EntryPartyType,$P190)=0,"",INDEX(EntryPartyType,$P190)))</f>
        <v/>
      </c>
      <c r="G190" s="28">
        <f>IF($P190="","",IF(INDEX(EntryTxnType,$P190)=0,"",INDEX(EntryTxnType,$P190)))</f>
        <v/>
      </c>
      <c r="H190" s="29">
        <f>IF($P190="","",IF(INDEX(EntryDep,$P190)=0,"",INDEX(EntryDep,$P190)))</f>
        <v/>
      </c>
      <c r="I190" s="29">
        <f>IF($P190="","",IF(INDEX(EntryWit,$P190)=0,"",INDEX(EntryWit,$P190)))</f>
        <v/>
      </c>
      <c r="J190" s="29">
        <f>IF($B190="","",IF($A190=1,$C$7,IF(J189="",0,J189))+IF($H190="",0,$H190)-IF($I190="",0,$I190))</f>
        <v/>
      </c>
      <c r="K190" s="29">
        <f>IF($P190="","",IF(INDEX(EntryMan,$P190)=0,"",INDEX(EntryMan,$P190)))</f>
        <v/>
      </c>
      <c r="L190" s="28">
        <f>IF($B190="","",IF($K190="","—",IF(ROUND($K190-$J190,0)=0,"√","×")))</f>
        <v/>
      </c>
      <c r="M190" s="28">
        <f>IF($B190="","",IF(COUNTIFS(EntryDates,$B190,CalcTime,$C190,CalcBank,$C$5,EntryParty,$D190,EntryDep,$H190,EntryWit,$I190)&gt;1,"تکرار",""))</f>
        <v/>
      </c>
      <c r="N190" s="28">
        <f>IF($P190="","",IF(INDEX(EntryNotes,$P190)=0,"",INDEX(EntryNotes,$P190)))</f>
        <v/>
      </c>
      <c r="O190" s="28">
        <f>IF($P190="","",IF(INDEX(EntryTxnID,$P190)=0,"",INDEX(EntryTxnID,$P190)))</f>
        <v/>
      </c>
      <c r="P190" s="28">
        <f>IFERROR(MATCH($C$5&amp;"|"&amp;RIGHT("000000"&amp;174,6),CalcRankKey,0),"")</f>
        <v/>
      </c>
    </row>
    <row r="191">
      <c r="A191" s="26">
        <f>IF($B191="","",175)</f>
        <v/>
      </c>
      <c r="B191" s="26">
        <f>IF($P191="","",IF(INDEX(CalcNormDate,$P191)=0,"",INDEX(CalcNormDate,$P191)))</f>
        <v/>
      </c>
      <c r="C191" s="26">
        <f>IF($P191="","",IF(INDEX(CalcTime,$P191)=0,"",INDEX(CalcTime,$P191)))</f>
        <v/>
      </c>
      <c r="D191" s="26">
        <f>IF($P191="","",IF(INDEX(EntryParty,$P191)=0,"",INDEX(EntryParty,$P191)))</f>
        <v/>
      </c>
      <c r="E191" s="26">
        <f>IF($P191="","",IF(INDEX(EntryPartyName,$P191)=0,"",INDEX(EntryPartyName,$P191)))</f>
        <v/>
      </c>
      <c r="F191" s="26">
        <f>IF($P191="","",IF(INDEX(EntryPartyType,$P191)=0,"",INDEX(EntryPartyType,$P191)))</f>
        <v/>
      </c>
      <c r="G191" s="26">
        <f>IF($P191="","",IF(INDEX(EntryTxnType,$P191)=0,"",INDEX(EntryTxnType,$P191)))</f>
        <v/>
      </c>
      <c r="H191" s="27">
        <f>IF($P191="","",IF(INDEX(EntryDep,$P191)=0,"",INDEX(EntryDep,$P191)))</f>
        <v/>
      </c>
      <c r="I191" s="27">
        <f>IF($P191="","",IF(INDEX(EntryWit,$P191)=0,"",INDEX(EntryWit,$P191)))</f>
        <v/>
      </c>
      <c r="J191" s="27">
        <f>IF($B191="","",IF($A191=1,$C$7,IF(J190="",0,J190))+IF($H191="",0,$H191)-IF($I191="",0,$I191))</f>
        <v/>
      </c>
      <c r="K191" s="27">
        <f>IF($P191="","",IF(INDEX(EntryMan,$P191)=0,"",INDEX(EntryMan,$P191)))</f>
        <v/>
      </c>
      <c r="L191" s="26">
        <f>IF($B191="","",IF($K191="","—",IF(ROUND($K191-$J191,0)=0,"√","×")))</f>
        <v/>
      </c>
      <c r="M191" s="26">
        <f>IF($B191="","",IF(COUNTIFS(EntryDates,$B191,CalcTime,$C191,CalcBank,$C$5,EntryParty,$D191,EntryDep,$H191,EntryWit,$I191)&gt;1,"تکرار",""))</f>
        <v/>
      </c>
      <c r="N191" s="26">
        <f>IF($P191="","",IF(INDEX(EntryNotes,$P191)=0,"",INDEX(EntryNotes,$P191)))</f>
        <v/>
      </c>
      <c r="O191" s="26">
        <f>IF($P191="","",IF(INDEX(EntryTxnID,$P191)=0,"",INDEX(EntryTxnID,$P191)))</f>
        <v/>
      </c>
      <c r="P191" s="26">
        <f>IFERROR(MATCH($C$5&amp;"|"&amp;RIGHT("000000"&amp;175,6),CalcRankKey,0),"")</f>
        <v/>
      </c>
    </row>
    <row r="192">
      <c r="A192" s="28">
        <f>IF($B192="","",176)</f>
        <v/>
      </c>
      <c r="B192" s="28">
        <f>IF($P192="","",IF(INDEX(CalcNormDate,$P192)=0,"",INDEX(CalcNormDate,$P192)))</f>
        <v/>
      </c>
      <c r="C192" s="28">
        <f>IF($P192="","",IF(INDEX(CalcTime,$P192)=0,"",INDEX(CalcTime,$P192)))</f>
        <v/>
      </c>
      <c r="D192" s="28">
        <f>IF($P192="","",IF(INDEX(EntryParty,$P192)=0,"",INDEX(EntryParty,$P192)))</f>
        <v/>
      </c>
      <c r="E192" s="28">
        <f>IF($P192="","",IF(INDEX(EntryPartyName,$P192)=0,"",INDEX(EntryPartyName,$P192)))</f>
        <v/>
      </c>
      <c r="F192" s="28">
        <f>IF($P192="","",IF(INDEX(EntryPartyType,$P192)=0,"",INDEX(EntryPartyType,$P192)))</f>
        <v/>
      </c>
      <c r="G192" s="28">
        <f>IF($P192="","",IF(INDEX(EntryTxnType,$P192)=0,"",INDEX(EntryTxnType,$P192)))</f>
        <v/>
      </c>
      <c r="H192" s="29">
        <f>IF($P192="","",IF(INDEX(EntryDep,$P192)=0,"",INDEX(EntryDep,$P192)))</f>
        <v/>
      </c>
      <c r="I192" s="29">
        <f>IF($P192="","",IF(INDEX(EntryWit,$P192)=0,"",INDEX(EntryWit,$P192)))</f>
        <v/>
      </c>
      <c r="J192" s="29">
        <f>IF($B192="","",IF($A192=1,$C$7,IF(J191="",0,J191))+IF($H192="",0,$H192)-IF($I192="",0,$I192))</f>
        <v/>
      </c>
      <c r="K192" s="29">
        <f>IF($P192="","",IF(INDEX(EntryMan,$P192)=0,"",INDEX(EntryMan,$P192)))</f>
        <v/>
      </c>
      <c r="L192" s="28">
        <f>IF($B192="","",IF($K192="","—",IF(ROUND($K192-$J192,0)=0,"√","×")))</f>
        <v/>
      </c>
      <c r="M192" s="28">
        <f>IF($B192="","",IF(COUNTIFS(EntryDates,$B192,CalcTime,$C192,CalcBank,$C$5,EntryParty,$D192,EntryDep,$H192,EntryWit,$I192)&gt;1,"تکرار",""))</f>
        <v/>
      </c>
      <c r="N192" s="28">
        <f>IF($P192="","",IF(INDEX(EntryNotes,$P192)=0,"",INDEX(EntryNotes,$P192)))</f>
        <v/>
      </c>
      <c r="O192" s="28">
        <f>IF($P192="","",IF(INDEX(EntryTxnID,$P192)=0,"",INDEX(EntryTxnID,$P192)))</f>
        <v/>
      </c>
      <c r="P192" s="28">
        <f>IFERROR(MATCH($C$5&amp;"|"&amp;RIGHT("000000"&amp;176,6),CalcRankKey,0),"")</f>
        <v/>
      </c>
    </row>
    <row r="193">
      <c r="A193" s="26">
        <f>IF($B193="","",177)</f>
        <v/>
      </c>
      <c r="B193" s="26">
        <f>IF($P193="","",IF(INDEX(CalcNormDate,$P193)=0,"",INDEX(CalcNormDate,$P193)))</f>
        <v/>
      </c>
      <c r="C193" s="26">
        <f>IF($P193="","",IF(INDEX(CalcTime,$P193)=0,"",INDEX(CalcTime,$P193)))</f>
        <v/>
      </c>
      <c r="D193" s="26">
        <f>IF($P193="","",IF(INDEX(EntryParty,$P193)=0,"",INDEX(EntryParty,$P193)))</f>
        <v/>
      </c>
      <c r="E193" s="26">
        <f>IF($P193="","",IF(INDEX(EntryPartyName,$P193)=0,"",INDEX(EntryPartyName,$P193)))</f>
        <v/>
      </c>
      <c r="F193" s="26">
        <f>IF($P193="","",IF(INDEX(EntryPartyType,$P193)=0,"",INDEX(EntryPartyType,$P193)))</f>
        <v/>
      </c>
      <c r="G193" s="26">
        <f>IF($P193="","",IF(INDEX(EntryTxnType,$P193)=0,"",INDEX(EntryTxnType,$P193)))</f>
        <v/>
      </c>
      <c r="H193" s="27">
        <f>IF($P193="","",IF(INDEX(EntryDep,$P193)=0,"",INDEX(EntryDep,$P193)))</f>
        <v/>
      </c>
      <c r="I193" s="27">
        <f>IF($P193="","",IF(INDEX(EntryWit,$P193)=0,"",INDEX(EntryWit,$P193)))</f>
        <v/>
      </c>
      <c r="J193" s="27">
        <f>IF($B193="","",IF($A193=1,$C$7,IF(J192="",0,J192))+IF($H193="",0,$H193)-IF($I193="",0,$I193))</f>
        <v/>
      </c>
      <c r="K193" s="27">
        <f>IF($P193="","",IF(INDEX(EntryMan,$P193)=0,"",INDEX(EntryMan,$P193)))</f>
        <v/>
      </c>
      <c r="L193" s="26">
        <f>IF($B193="","",IF($K193="","—",IF(ROUND($K193-$J193,0)=0,"√","×")))</f>
        <v/>
      </c>
      <c r="M193" s="26">
        <f>IF($B193="","",IF(COUNTIFS(EntryDates,$B193,CalcTime,$C193,CalcBank,$C$5,EntryParty,$D193,EntryDep,$H193,EntryWit,$I193)&gt;1,"تکرار",""))</f>
        <v/>
      </c>
      <c r="N193" s="26">
        <f>IF($P193="","",IF(INDEX(EntryNotes,$P193)=0,"",INDEX(EntryNotes,$P193)))</f>
        <v/>
      </c>
      <c r="O193" s="26">
        <f>IF($P193="","",IF(INDEX(EntryTxnID,$P193)=0,"",INDEX(EntryTxnID,$P193)))</f>
        <v/>
      </c>
      <c r="P193" s="26">
        <f>IFERROR(MATCH($C$5&amp;"|"&amp;RIGHT("000000"&amp;177,6),CalcRankKey,0),"")</f>
        <v/>
      </c>
    </row>
    <row r="194">
      <c r="A194" s="28">
        <f>IF($B194="","",178)</f>
        <v/>
      </c>
      <c r="B194" s="28">
        <f>IF($P194="","",IF(INDEX(CalcNormDate,$P194)=0,"",INDEX(CalcNormDate,$P194)))</f>
        <v/>
      </c>
      <c r="C194" s="28">
        <f>IF($P194="","",IF(INDEX(CalcTime,$P194)=0,"",INDEX(CalcTime,$P194)))</f>
        <v/>
      </c>
      <c r="D194" s="28">
        <f>IF($P194="","",IF(INDEX(EntryParty,$P194)=0,"",INDEX(EntryParty,$P194)))</f>
        <v/>
      </c>
      <c r="E194" s="28">
        <f>IF($P194="","",IF(INDEX(EntryPartyName,$P194)=0,"",INDEX(EntryPartyName,$P194)))</f>
        <v/>
      </c>
      <c r="F194" s="28">
        <f>IF($P194="","",IF(INDEX(EntryPartyType,$P194)=0,"",INDEX(EntryPartyType,$P194)))</f>
        <v/>
      </c>
      <c r="G194" s="28">
        <f>IF($P194="","",IF(INDEX(EntryTxnType,$P194)=0,"",INDEX(EntryTxnType,$P194)))</f>
        <v/>
      </c>
      <c r="H194" s="29">
        <f>IF($P194="","",IF(INDEX(EntryDep,$P194)=0,"",INDEX(EntryDep,$P194)))</f>
        <v/>
      </c>
      <c r="I194" s="29">
        <f>IF($P194="","",IF(INDEX(EntryWit,$P194)=0,"",INDEX(EntryWit,$P194)))</f>
        <v/>
      </c>
      <c r="J194" s="29">
        <f>IF($B194="","",IF($A194=1,$C$7,IF(J193="",0,J193))+IF($H194="",0,$H194)-IF($I194="",0,$I194))</f>
        <v/>
      </c>
      <c r="K194" s="29">
        <f>IF($P194="","",IF(INDEX(EntryMan,$P194)=0,"",INDEX(EntryMan,$P194)))</f>
        <v/>
      </c>
      <c r="L194" s="28">
        <f>IF($B194="","",IF($K194="","—",IF(ROUND($K194-$J194,0)=0,"√","×")))</f>
        <v/>
      </c>
      <c r="M194" s="28">
        <f>IF($B194="","",IF(COUNTIFS(EntryDates,$B194,CalcTime,$C194,CalcBank,$C$5,EntryParty,$D194,EntryDep,$H194,EntryWit,$I194)&gt;1,"تکرار",""))</f>
        <v/>
      </c>
      <c r="N194" s="28">
        <f>IF($P194="","",IF(INDEX(EntryNotes,$P194)=0,"",INDEX(EntryNotes,$P194)))</f>
        <v/>
      </c>
      <c r="O194" s="28">
        <f>IF($P194="","",IF(INDEX(EntryTxnID,$P194)=0,"",INDEX(EntryTxnID,$P194)))</f>
        <v/>
      </c>
      <c r="P194" s="28">
        <f>IFERROR(MATCH($C$5&amp;"|"&amp;RIGHT("000000"&amp;178,6),CalcRankKey,0),"")</f>
        <v/>
      </c>
    </row>
    <row r="195">
      <c r="A195" s="26">
        <f>IF($B195="","",179)</f>
        <v/>
      </c>
      <c r="B195" s="26">
        <f>IF($P195="","",IF(INDEX(CalcNormDate,$P195)=0,"",INDEX(CalcNormDate,$P195)))</f>
        <v/>
      </c>
      <c r="C195" s="26">
        <f>IF($P195="","",IF(INDEX(CalcTime,$P195)=0,"",INDEX(CalcTime,$P195)))</f>
        <v/>
      </c>
      <c r="D195" s="26">
        <f>IF($P195="","",IF(INDEX(EntryParty,$P195)=0,"",INDEX(EntryParty,$P195)))</f>
        <v/>
      </c>
      <c r="E195" s="26">
        <f>IF($P195="","",IF(INDEX(EntryPartyName,$P195)=0,"",INDEX(EntryPartyName,$P195)))</f>
        <v/>
      </c>
      <c r="F195" s="26">
        <f>IF($P195="","",IF(INDEX(EntryPartyType,$P195)=0,"",INDEX(EntryPartyType,$P195)))</f>
        <v/>
      </c>
      <c r="G195" s="26">
        <f>IF($P195="","",IF(INDEX(EntryTxnType,$P195)=0,"",INDEX(EntryTxnType,$P195)))</f>
        <v/>
      </c>
      <c r="H195" s="27">
        <f>IF($P195="","",IF(INDEX(EntryDep,$P195)=0,"",INDEX(EntryDep,$P195)))</f>
        <v/>
      </c>
      <c r="I195" s="27">
        <f>IF($P195="","",IF(INDEX(EntryWit,$P195)=0,"",INDEX(EntryWit,$P195)))</f>
        <v/>
      </c>
      <c r="J195" s="27">
        <f>IF($B195="","",IF($A195=1,$C$7,IF(J194="",0,J194))+IF($H195="",0,$H195)-IF($I195="",0,$I195))</f>
        <v/>
      </c>
      <c r="K195" s="27">
        <f>IF($P195="","",IF(INDEX(EntryMan,$P195)=0,"",INDEX(EntryMan,$P195)))</f>
        <v/>
      </c>
      <c r="L195" s="26">
        <f>IF($B195="","",IF($K195="","—",IF(ROUND($K195-$J195,0)=0,"√","×")))</f>
        <v/>
      </c>
      <c r="M195" s="26">
        <f>IF($B195="","",IF(COUNTIFS(EntryDates,$B195,CalcTime,$C195,CalcBank,$C$5,EntryParty,$D195,EntryDep,$H195,EntryWit,$I195)&gt;1,"تکرار",""))</f>
        <v/>
      </c>
      <c r="N195" s="26">
        <f>IF($P195="","",IF(INDEX(EntryNotes,$P195)=0,"",INDEX(EntryNotes,$P195)))</f>
        <v/>
      </c>
      <c r="O195" s="26">
        <f>IF($P195="","",IF(INDEX(EntryTxnID,$P195)=0,"",INDEX(EntryTxnID,$P195)))</f>
        <v/>
      </c>
      <c r="P195" s="26">
        <f>IFERROR(MATCH($C$5&amp;"|"&amp;RIGHT("000000"&amp;179,6),CalcRankKey,0),"")</f>
        <v/>
      </c>
    </row>
    <row r="196">
      <c r="A196" s="28">
        <f>IF($B196="","",180)</f>
        <v/>
      </c>
      <c r="B196" s="28">
        <f>IF($P196="","",IF(INDEX(CalcNormDate,$P196)=0,"",INDEX(CalcNormDate,$P196)))</f>
        <v/>
      </c>
      <c r="C196" s="28">
        <f>IF($P196="","",IF(INDEX(CalcTime,$P196)=0,"",INDEX(CalcTime,$P196)))</f>
        <v/>
      </c>
      <c r="D196" s="28">
        <f>IF($P196="","",IF(INDEX(EntryParty,$P196)=0,"",INDEX(EntryParty,$P196)))</f>
        <v/>
      </c>
      <c r="E196" s="28">
        <f>IF($P196="","",IF(INDEX(EntryPartyName,$P196)=0,"",INDEX(EntryPartyName,$P196)))</f>
        <v/>
      </c>
      <c r="F196" s="28">
        <f>IF($P196="","",IF(INDEX(EntryPartyType,$P196)=0,"",INDEX(EntryPartyType,$P196)))</f>
        <v/>
      </c>
      <c r="G196" s="28">
        <f>IF($P196="","",IF(INDEX(EntryTxnType,$P196)=0,"",INDEX(EntryTxnType,$P196)))</f>
        <v/>
      </c>
      <c r="H196" s="29">
        <f>IF($P196="","",IF(INDEX(EntryDep,$P196)=0,"",INDEX(EntryDep,$P196)))</f>
        <v/>
      </c>
      <c r="I196" s="29">
        <f>IF($P196="","",IF(INDEX(EntryWit,$P196)=0,"",INDEX(EntryWit,$P196)))</f>
        <v/>
      </c>
      <c r="J196" s="29">
        <f>IF($B196="","",IF($A196=1,$C$7,IF(J195="",0,J195))+IF($H196="",0,$H196)-IF($I196="",0,$I196))</f>
        <v/>
      </c>
      <c r="K196" s="29">
        <f>IF($P196="","",IF(INDEX(EntryMan,$P196)=0,"",INDEX(EntryMan,$P196)))</f>
        <v/>
      </c>
      <c r="L196" s="28">
        <f>IF($B196="","",IF($K196="","—",IF(ROUND($K196-$J196,0)=0,"√","×")))</f>
        <v/>
      </c>
      <c r="M196" s="28">
        <f>IF($B196="","",IF(COUNTIFS(EntryDates,$B196,CalcTime,$C196,CalcBank,$C$5,EntryParty,$D196,EntryDep,$H196,EntryWit,$I196)&gt;1,"تکرار",""))</f>
        <v/>
      </c>
      <c r="N196" s="28">
        <f>IF($P196="","",IF(INDEX(EntryNotes,$P196)=0,"",INDEX(EntryNotes,$P196)))</f>
        <v/>
      </c>
      <c r="O196" s="28">
        <f>IF($P196="","",IF(INDEX(EntryTxnID,$P196)=0,"",INDEX(EntryTxnID,$P196)))</f>
        <v/>
      </c>
      <c r="P196" s="28">
        <f>IFERROR(MATCH($C$5&amp;"|"&amp;RIGHT("000000"&amp;180,6),CalcRankKey,0),"")</f>
        <v/>
      </c>
    </row>
    <row r="197">
      <c r="A197" s="26">
        <f>IF($B197="","",181)</f>
        <v/>
      </c>
      <c r="B197" s="26">
        <f>IF($P197="","",IF(INDEX(CalcNormDate,$P197)=0,"",INDEX(CalcNormDate,$P197)))</f>
        <v/>
      </c>
      <c r="C197" s="26">
        <f>IF($P197="","",IF(INDEX(CalcTime,$P197)=0,"",INDEX(CalcTime,$P197)))</f>
        <v/>
      </c>
      <c r="D197" s="26">
        <f>IF($P197="","",IF(INDEX(EntryParty,$P197)=0,"",INDEX(EntryParty,$P197)))</f>
        <v/>
      </c>
      <c r="E197" s="26">
        <f>IF($P197="","",IF(INDEX(EntryPartyName,$P197)=0,"",INDEX(EntryPartyName,$P197)))</f>
        <v/>
      </c>
      <c r="F197" s="26">
        <f>IF($P197="","",IF(INDEX(EntryPartyType,$P197)=0,"",INDEX(EntryPartyType,$P197)))</f>
        <v/>
      </c>
      <c r="G197" s="26">
        <f>IF($P197="","",IF(INDEX(EntryTxnType,$P197)=0,"",INDEX(EntryTxnType,$P197)))</f>
        <v/>
      </c>
      <c r="H197" s="27">
        <f>IF($P197="","",IF(INDEX(EntryDep,$P197)=0,"",INDEX(EntryDep,$P197)))</f>
        <v/>
      </c>
      <c r="I197" s="27">
        <f>IF($P197="","",IF(INDEX(EntryWit,$P197)=0,"",INDEX(EntryWit,$P197)))</f>
        <v/>
      </c>
      <c r="J197" s="27">
        <f>IF($B197="","",IF($A197=1,$C$7,IF(J196="",0,J196))+IF($H197="",0,$H197)-IF($I197="",0,$I197))</f>
        <v/>
      </c>
      <c r="K197" s="27">
        <f>IF($P197="","",IF(INDEX(EntryMan,$P197)=0,"",INDEX(EntryMan,$P197)))</f>
        <v/>
      </c>
      <c r="L197" s="26">
        <f>IF($B197="","",IF($K197="","—",IF(ROUND($K197-$J197,0)=0,"√","×")))</f>
        <v/>
      </c>
      <c r="M197" s="26">
        <f>IF($B197="","",IF(COUNTIFS(EntryDates,$B197,CalcTime,$C197,CalcBank,$C$5,EntryParty,$D197,EntryDep,$H197,EntryWit,$I197)&gt;1,"تکرار",""))</f>
        <v/>
      </c>
      <c r="N197" s="26">
        <f>IF($P197="","",IF(INDEX(EntryNotes,$P197)=0,"",INDEX(EntryNotes,$P197)))</f>
        <v/>
      </c>
      <c r="O197" s="26">
        <f>IF($P197="","",IF(INDEX(EntryTxnID,$P197)=0,"",INDEX(EntryTxnID,$P197)))</f>
        <v/>
      </c>
      <c r="P197" s="26">
        <f>IFERROR(MATCH($C$5&amp;"|"&amp;RIGHT("000000"&amp;181,6),CalcRankKey,0),"")</f>
        <v/>
      </c>
    </row>
    <row r="198">
      <c r="A198" s="28">
        <f>IF($B198="","",182)</f>
        <v/>
      </c>
      <c r="B198" s="28">
        <f>IF($P198="","",IF(INDEX(CalcNormDate,$P198)=0,"",INDEX(CalcNormDate,$P198)))</f>
        <v/>
      </c>
      <c r="C198" s="28">
        <f>IF($P198="","",IF(INDEX(CalcTime,$P198)=0,"",INDEX(CalcTime,$P198)))</f>
        <v/>
      </c>
      <c r="D198" s="28">
        <f>IF($P198="","",IF(INDEX(EntryParty,$P198)=0,"",INDEX(EntryParty,$P198)))</f>
        <v/>
      </c>
      <c r="E198" s="28">
        <f>IF($P198="","",IF(INDEX(EntryPartyName,$P198)=0,"",INDEX(EntryPartyName,$P198)))</f>
        <v/>
      </c>
      <c r="F198" s="28">
        <f>IF($P198="","",IF(INDEX(EntryPartyType,$P198)=0,"",INDEX(EntryPartyType,$P198)))</f>
        <v/>
      </c>
      <c r="G198" s="28">
        <f>IF($P198="","",IF(INDEX(EntryTxnType,$P198)=0,"",INDEX(EntryTxnType,$P198)))</f>
        <v/>
      </c>
      <c r="H198" s="29">
        <f>IF($P198="","",IF(INDEX(EntryDep,$P198)=0,"",INDEX(EntryDep,$P198)))</f>
        <v/>
      </c>
      <c r="I198" s="29">
        <f>IF($P198="","",IF(INDEX(EntryWit,$P198)=0,"",INDEX(EntryWit,$P198)))</f>
        <v/>
      </c>
      <c r="J198" s="29">
        <f>IF($B198="","",IF($A198=1,$C$7,IF(J197="",0,J197))+IF($H198="",0,$H198)-IF($I198="",0,$I198))</f>
        <v/>
      </c>
      <c r="K198" s="29">
        <f>IF($P198="","",IF(INDEX(EntryMan,$P198)=0,"",INDEX(EntryMan,$P198)))</f>
        <v/>
      </c>
      <c r="L198" s="28">
        <f>IF($B198="","",IF($K198="","—",IF(ROUND($K198-$J198,0)=0,"√","×")))</f>
        <v/>
      </c>
      <c r="M198" s="28">
        <f>IF($B198="","",IF(COUNTIFS(EntryDates,$B198,CalcTime,$C198,CalcBank,$C$5,EntryParty,$D198,EntryDep,$H198,EntryWit,$I198)&gt;1,"تکرار",""))</f>
        <v/>
      </c>
      <c r="N198" s="28">
        <f>IF($P198="","",IF(INDEX(EntryNotes,$P198)=0,"",INDEX(EntryNotes,$P198)))</f>
        <v/>
      </c>
      <c r="O198" s="28">
        <f>IF($P198="","",IF(INDEX(EntryTxnID,$P198)=0,"",INDEX(EntryTxnID,$P198)))</f>
        <v/>
      </c>
      <c r="P198" s="28">
        <f>IFERROR(MATCH($C$5&amp;"|"&amp;RIGHT("000000"&amp;182,6),CalcRankKey,0),"")</f>
        <v/>
      </c>
    </row>
    <row r="199">
      <c r="A199" s="26">
        <f>IF($B199="","",183)</f>
        <v/>
      </c>
      <c r="B199" s="26">
        <f>IF($P199="","",IF(INDEX(CalcNormDate,$P199)=0,"",INDEX(CalcNormDate,$P199)))</f>
        <v/>
      </c>
      <c r="C199" s="26">
        <f>IF($P199="","",IF(INDEX(CalcTime,$P199)=0,"",INDEX(CalcTime,$P199)))</f>
        <v/>
      </c>
      <c r="D199" s="26">
        <f>IF($P199="","",IF(INDEX(EntryParty,$P199)=0,"",INDEX(EntryParty,$P199)))</f>
        <v/>
      </c>
      <c r="E199" s="26">
        <f>IF($P199="","",IF(INDEX(EntryPartyName,$P199)=0,"",INDEX(EntryPartyName,$P199)))</f>
        <v/>
      </c>
      <c r="F199" s="26">
        <f>IF($P199="","",IF(INDEX(EntryPartyType,$P199)=0,"",INDEX(EntryPartyType,$P199)))</f>
        <v/>
      </c>
      <c r="G199" s="26">
        <f>IF($P199="","",IF(INDEX(EntryTxnType,$P199)=0,"",INDEX(EntryTxnType,$P199)))</f>
        <v/>
      </c>
      <c r="H199" s="27">
        <f>IF($P199="","",IF(INDEX(EntryDep,$P199)=0,"",INDEX(EntryDep,$P199)))</f>
        <v/>
      </c>
      <c r="I199" s="27">
        <f>IF($P199="","",IF(INDEX(EntryWit,$P199)=0,"",INDEX(EntryWit,$P199)))</f>
        <v/>
      </c>
      <c r="J199" s="27">
        <f>IF($B199="","",IF($A199=1,$C$7,IF(J198="",0,J198))+IF($H199="",0,$H199)-IF($I199="",0,$I199))</f>
        <v/>
      </c>
      <c r="K199" s="27">
        <f>IF($P199="","",IF(INDEX(EntryMan,$P199)=0,"",INDEX(EntryMan,$P199)))</f>
        <v/>
      </c>
      <c r="L199" s="26">
        <f>IF($B199="","",IF($K199="","—",IF(ROUND($K199-$J199,0)=0,"√","×")))</f>
        <v/>
      </c>
      <c r="M199" s="26">
        <f>IF($B199="","",IF(COUNTIFS(EntryDates,$B199,CalcTime,$C199,CalcBank,$C$5,EntryParty,$D199,EntryDep,$H199,EntryWit,$I199)&gt;1,"تکرار",""))</f>
        <v/>
      </c>
      <c r="N199" s="26">
        <f>IF($P199="","",IF(INDEX(EntryNotes,$P199)=0,"",INDEX(EntryNotes,$P199)))</f>
        <v/>
      </c>
      <c r="O199" s="26">
        <f>IF($P199="","",IF(INDEX(EntryTxnID,$P199)=0,"",INDEX(EntryTxnID,$P199)))</f>
        <v/>
      </c>
      <c r="P199" s="26">
        <f>IFERROR(MATCH($C$5&amp;"|"&amp;RIGHT("000000"&amp;183,6),CalcRankKey,0),"")</f>
        <v/>
      </c>
    </row>
    <row r="200">
      <c r="A200" s="28">
        <f>IF($B200="","",184)</f>
        <v/>
      </c>
      <c r="B200" s="28">
        <f>IF($P200="","",IF(INDEX(CalcNormDate,$P200)=0,"",INDEX(CalcNormDate,$P200)))</f>
        <v/>
      </c>
      <c r="C200" s="28">
        <f>IF($P200="","",IF(INDEX(CalcTime,$P200)=0,"",INDEX(CalcTime,$P200)))</f>
        <v/>
      </c>
      <c r="D200" s="28">
        <f>IF($P200="","",IF(INDEX(EntryParty,$P200)=0,"",INDEX(EntryParty,$P200)))</f>
        <v/>
      </c>
      <c r="E200" s="28">
        <f>IF($P200="","",IF(INDEX(EntryPartyName,$P200)=0,"",INDEX(EntryPartyName,$P200)))</f>
        <v/>
      </c>
      <c r="F200" s="28">
        <f>IF($P200="","",IF(INDEX(EntryPartyType,$P200)=0,"",INDEX(EntryPartyType,$P200)))</f>
        <v/>
      </c>
      <c r="G200" s="28">
        <f>IF($P200="","",IF(INDEX(EntryTxnType,$P200)=0,"",INDEX(EntryTxnType,$P200)))</f>
        <v/>
      </c>
      <c r="H200" s="29">
        <f>IF($P200="","",IF(INDEX(EntryDep,$P200)=0,"",INDEX(EntryDep,$P200)))</f>
        <v/>
      </c>
      <c r="I200" s="29">
        <f>IF($P200="","",IF(INDEX(EntryWit,$P200)=0,"",INDEX(EntryWit,$P200)))</f>
        <v/>
      </c>
      <c r="J200" s="29">
        <f>IF($B200="","",IF($A200=1,$C$7,IF(J199="",0,J199))+IF($H200="",0,$H200)-IF($I200="",0,$I200))</f>
        <v/>
      </c>
      <c r="K200" s="29">
        <f>IF($P200="","",IF(INDEX(EntryMan,$P200)=0,"",INDEX(EntryMan,$P200)))</f>
        <v/>
      </c>
      <c r="L200" s="28">
        <f>IF($B200="","",IF($K200="","—",IF(ROUND($K200-$J200,0)=0,"√","×")))</f>
        <v/>
      </c>
      <c r="M200" s="28">
        <f>IF($B200="","",IF(COUNTIFS(EntryDates,$B200,CalcTime,$C200,CalcBank,$C$5,EntryParty,$D200,EntryDep,$H200,EntryWit,$I200)&gt;1,"تکرار",""))</f>
        <v/>
      </c>
      <c r="N200" s="28">
        <f>IF($P200="","",IF(INDEX(EntryNotes,$P200)=0,"",INDEX(EntryNotes,$P200)))</f>
        <v/>
      </c>
      <c r="O200" s="28">
        <f>IF($P200="","",IF(INDEX(EntryTxnID,$P200)=0,"",INDEX(EntryTxnID,$P200)))</f>
        <v/>
      </c>
      <c r="P200" s="28">
        <f>IFERROR(MATCH($C$5&amp;"|"&amp;RIGHT("000000"&amp;184,6),CalcRankKey,0),"")</f>
        <v/>
      </c>
    </row>
    <row r="201">
      <c r="A201" s="26">
        <f>IF($B201="","",185)</f>
        <v/>
      </c>
      <c r="B201" s="26">
        <f>IF($P201="","",IF(INDEX(CalcNormDate,$P201)=0,"",INDEX(CalcNormDate,$P201)))</f>
        <v/>
      </c>
      <c r="C201" s="26">
        <f>IF($P201="","",IF(INDEX(CalcTime,$P201)=0,"",INDEX(CalcTime,$P201)))</f>
        <v/>
      </c>
      <c r="D201" s="26">
        <f>IF($P201="","",IF(INDEX(EntryParty,$P201)=0,"",INDEX(EntryParty,$P201)))</f>
        <v/>
      </c>
      <c r="E201" s="26">
        <f>IF($P201="","",IF(INDEX(EntryPartyName,$P201)=0,"",INDEX(EntryPartyName,$P201)))</f>
        <v/>
      </c>
      <c r="F201" s="26">
        <f>IF($P201="","",IF(INDEX(EntryPartyType,$P201)=0,"",INDEX(EntryPartyType,$P201)))</f>
        <v/>
      </c>
      <c r="G201" s="26">
        <f>IF($P201="","",IF(INDEX(EntryTxnType,$P201)=0,"",INDEX(EntryTxnType,$P201)))</f>
        <v/>
      </c>
      <c r="H201" s="27">
        <f>IF($P201="","",IF(INDEX(EntryDep,$P201)=0,"",INDEX(EntryDep,$P201)))</f>
        <v/>
      </c>
      <c r="I201" s="27">
        <f>IF($P201="","",IF(INDEX(EntryWit,$P201)=0,"",INDEX(EntryWit,$P201)))</f>
        <v/>
      </c>
      <c r="J201" s="27">
        <f>IF($B201="","",IF($A201=1,$C$7,IF(J200="",0,J200))+IF($H201="",0,$H201)-IF($I201="",0,$I201))</f>
        <v/>
      </c>
      <c r="K201" s="27">
        <f>IF($P201="","",IF(INDEX(EntryMan,$P201)=0,"",INDEX(EntryMan,$P201)))</f>
        <v/>
      </c>
      <c r="L201" s="26">
        <f>IF($B201="","",IF($K201="","—",IF(ROUND($K201-$J201,0)=0,"√","×")))</f>
        <v/>
      </c>
      <c r="M201" s="26">
        <f>IF($B201="","",IF(COUNTIFS(EntryDates,$B201,CalcTime,$C201,CalcBank,$C$5,EntryParty,$D201,EntryDep,$H201,EntryWit,$I201)&gt;1,"تکرار",""))</f>
        <v/>
      </c>
      <c r="N201" s="26">
        <f>IF($P201="","",IF(INDEX(EntryNotes,$P201)=0,"",INDEX(EntryNotes,$P201)))</f>
        <v/>
      </c>
      <c r="O201" s="26">
        <f>IF($P201="","",IF(INDEX(EntryTxnID,$P201)=0,"",INDEX(EntryTxnID,$P201)))</f>
        <v/>
      </c>
      <c r="P201" s="26">
        <f>IFERROR(MATCH($C$5&amp;"|"&amp;RIGHT("000000"&amp;185,6),CalcRankKey,0),"")</f>
        <v/>
      </c>
    </row>
    <row r="202">
      <c r="A202" s="28">
        <f>IF($B202="","",186)</f>
        <v/>
      </c>
      <c r="B202" s="28">
        <f>IF($P202="","",IF(INDEX(CalcNormDate,$P202)=0,"",INDEX(CalcNormDate,$P202)))</f>
        <v/>
      </c>
      <c r="C202" s="28">
        <f>IF($P202="","",IF(INDEX(CalcTime,$P202)=0,"",INDEX(CalcTime,$P202)))</f>
        <v/>
      </c>
      <c r="D202" s="28">
        <f>IF($P202="","",IF(INDEX(EntryParty,$P202)=0,"",INDEX(EntryParty,$P202)))</f>
        <v/>
      </c>
      <c r="E202" s="28">
        <f>IF($P202="","",IF(INDEX(EntryPartyName,$P202)=0,"",INDEX(EntryPartyName,$P202)))</f>
        <v/>
      </c>
      <c r="F202" s="28">
        <f>IF($P202="","",IF(INDEX(EntryPartyType,$P202)=0,"",INDEX(EntryPartyType,$P202)))</f>
        <v/>
      </c>
      <c r="G202" s="28">
        <f>IF($P202="","",IF(INDEX(EntryTxnType,$P202)=0,"",INDEX(EntryTxnType,$P202)))</f>
        <v/>
      </c>
      <c r="H202" s="29">
        <f>IF($P202="","",IF(INDEX(EntryDep,$P202)=0,"",INDEX(EntryDep,$P202)))</f>
        <v/>
      </c>
      <c r="I202" s="29">
        <f>IF($P202="","",IF(INDEX(EntryWit,$P202)=0,"",INDEX(EntryWit,$P202)))</f>
        <v/>
      </c>
      <c r="J202" s="29">
        <f>IF($B202="","",IF($A202=1,$C$7,IF(J201="",0,J201))+IF($H202="",0,$H202)-IF($I202="",0,$I202))</f>
        <v/>
      </c>
      <c r="K202" s="29">
        <f>IF($P202="","",IF(INDEX(EntryMan,$P202)=0,"",INDEX(EntryMan,$P202)))</f>
        <v/>
      </c>
      <c r="L202" s="28">
        <f>IF($B202="","",IF($K202="","—",IF(ROUND($K202-$J202,0)=0,"√","×")))</f>
        <v/>
      </c>
      <c r="M202" s="28">
        <f>IF($B202="","",IF(COUNTIFS(EntryDates,$B202,CalcTime,$C202,CalcBank,$C$5,EntryParty,$D202,EntryDep,$H202,EntryWit,$I202)&gt;1,"تکرار",""))</f>
        <v/>
      </c>
      <c r="N202" s="28">
        <f>IF($P202="","",IF(INDEX(EntryNotes,$P202)=0,"",INDEX(EntryNotes,$P202)))</f>
        <v/>
      </c>
      <c r="O202" s="28">
        <f>IF($P202="","",IF(INDEX(EntryTxnID,$P202)=0,"",INDEX(EntryTxnID,$P202)))</f>
        <v/>
      </c>
      <c r="P202" s="28">
        <f>IFERROR(MATCH($C$5&amp;"|"&amp;RIGHT("000000"&amp;186,6),CalcRankKey,0),"")</f>
        <v/>
      </c>
    </row>
    <row r="203">
      <c r="A203" s="26">
        <f>IF($B203="","",187)</f>
        <v/>
      </c>
      <c r="B203" s="26">
        <f>IF($P203="","",IF(INDEX(CalcNormDate,$P203)=0,"",INDEX(CalcNormDate,$P203)))</f>
        <v/>
      </c>
      <c r="C203" s="26">
        <f>IF($P203="","",IF(INDEX(CalcTime,$P203)=0,"",INDEX(CalcTime,$P203)))</f>
        <v/>
      </c>
      <c r="D203" s="26">
        <f>IF($P203="","",IF(INDEX(EntryParty,$P203)=0,"",INDEX(EntryParty,$P203)))</f>
        <v/>
      </c>
      <c r="E203" s="26">
        <f>IF($P203="","",IF(INDEX(EntryPartyName,$P203)=0,"",INDEX(EntryPartyName,$P203)))</f>
        <v/>
      </c>
      <c r="F203" s="26">
        <f>IF($P203="","",IF(INDEX(EntryPartyType,$P203)=0,"",INDEX(EntryPartyType,$P203)))</f>
        <v/>
      </c>
      <c r="G203" s="26">
        <f>IF($P203="","",IF(INDEX(EntryTxnType,$P203)=0,"",INDEX(EntryTxnType,$P203)))</f>
        <v/>
      </c>
      <c r="H203" s="27">
        <f>IF($P203="","",IF(INDEX(EntryDep,$P203)=0,"",INDEX(EntryDep,$P203)))</f>
        <v/>
      </c>
      <c r="I203" s="27">
        <f>IF($P203="","",IF(INDEX(EntryWit,$P203)=0,"",INDEX(EntryWit,$P203)))</f>
        <v/>
      </c>
      <c r="J203" s="27">
        <f>IF($B203="","",IF($A203=1,$C$7,IF(J202="",0,J202))+IF($H203="",0,$H203)-IF($I203="",0,$I203))</f>
        <v/>
      </c>
      <c r="K203" s="27">
        <f>IF($P203="","",IF(INDEX(EntryMan,$P203)=0,"",INDEX(EntryMan,$P203)))</f>
        <v/>
      </c>
      <c r="L203" s="26">
        <f>IF($B203="","",IF($K203="","—",IF(ROUND($K203-$J203,0)=0,"√","×")))</f>
        <v/>
      </c>
      <c r="M203" s="26">
        <f>IF($B203="","",IF(COUNTIFS(EntryDates,$B203,CalcTime,$C203,CalcBank,$C$5,EntryParty,$D203,EntryDep,$H203,EntryWit,$I203)&gt;1,"تکرار",""))</f>
        <v/>
      </c>
      <c r="N203" s="26">
        <f>IF($P203="","",IF(INDEX(EntryNotes,$P203)=0,"",INDEX(EntryNotes,$P203)))</f>
        <v/>
      </c>
      <c r="O203" s="26">
        <f>IF($P203="","",IF(INDEX(EntryTxnID,$P203)=0,"",INDEX(EntryTxnID,$P203)))</f>
        <v/>
      </c>
      <c r="P203" s="26">
        <f>IFERROR(MATCH($C$5&amp;"|"&amp;RIGHT("000000"&amp;187,6),CalcRankKey,0),"")</f>
        <v/>
      </c>
    </row>
    <row r="204">
      <c r="A204" s="28">
        <f>IF($B204="","",188)</f>
        <v/>
      </c>
      <c r="B204" s="28">
        <f>IF($P204="","",IF(INDEX(CalcNormDate,$P204)=0,"",INDEX(CalcNormDate,$P204)))</f>
        <v/>
      </c>
      <c r="C204" s="28">
        <f>IF($P204="","",IF(INDEX(CalcTime,$P204)=0,"",INDEX(CalcTime,$P204)))</f>
        <v/>
      </c>
      <c r="D204" s="28">
        <f>IF($P204="","",IF(INDEX(EntryParty,$P204)=0,"",INDEX(EntryParty,$P204)))</f>
        <v/>
      </c>
      <c r="E204" s="28">
        <f>IF($P204="","",IF(INDEX(EntryPartyName,$P204)=0,"",INDEX(EntryPartyName,$P204)))</f>
        <v/>
      </c>
      <c r="F204" s="28">
        <f>IF($P204="","",IF(INDEX(EntryPartyType,$P204)=0,"",INDEX(EntryPartyType,$P204)))</f>
        <v/>
      </c>
      <c r="G204" s="28">
        <f>IF($P204="","",IF(INDEX(EntryTxnType,$P204)=0,"",INDEX(EntryTxnType,$P204)))</f>
        <v/>
      </c>
      <c r="H204" s="29">
        <f>IF($P204="","",IF(INDEX(EntryDep,$P204)=0,"",INDEX(EntryDep,$P204)))</f>
        <v/>
      </c>
      <c r="I204" s="29">
        <f>IF($P204="","",IF(INDEX(EntryWit,$P204)=0,"",INDEX(EntryWit,$P204)))</f>
        <v/>
      </c>
      <c r="J204" s="29">
        <f>IF($B204="","",IF($A204=1,$C$7,IF(J203="",0,J203))+IF($H204="",0,$H204)-IF($I204="",0,$I204))</f>
        <v/>
      </c>
      <c r="K204" s="29">
        <f>IF($P204="","",IF(INDEX(EntryMan,$P204)=0,"",INDEX(EntryMan,$P204)))</f>
        <v/>
      </c>
      <c r="L204" s="28">
        <f>IF($B204="","",IF($K204="","—",IF(ROUND($K204-$J204,0)=0,"√","×")))</f>
        <v/>
      </c>
      <c r="M204" s="28">
        <f>IF($B204="","",IF(COUNTIFS(EntryDates,$B204,CalcTime,$C204,CalcBank,$C$5,EntryParty,$D204,EntryDep,$H204,EntryWit,$I204)&gt;1,"تکرار",""))</f>
        <v/>
      </c>
      <c r="N204" s="28">
        <f>IF($P204="","",IF(INDEX(EntryNotes,$P204)=0,"",INDEX(EntryNotes,$P204)))</f>
        <v/>
      </c>
      <c r="O204" s="28">
        <f>IF($P204="","",IF(INDEX(EntryTxnID,$P204)=0,"",INDEX(EntryTxnID,$P204)))</f>
        <v/>
      </c>
      <c r="P204" s="28">
        <f>IFERROR(MATCH($C$5&amp;"|"&amp;RIGHT("000000"&amp;188,6),CalcRankKey,0),"")</f>
        <v/>
      </c>
    </row>
    <row r="205">
      <c r="A205" s="26">
        <f>IF($B205="","",189)</f>
        <v/>
      </c>
      <c r="B205" s="26">
        <f>IF($P205="","",IF(INDEX(CalcNormDate,$P205)=0,"",INDEX(CalcNormDate,$P205)))</f>
        <v/>
      </c>
      <c r="C205" s="26">
        <f>IF($P205="","",IF(INDEX(CalcTime,$P205)=0,"",INDEX(CalcTime,$P205)))</f>
        <v/>
      </c>
      <c r="D205" s="26">
        <f>IF($P205="","",IF(INDEX(EntryParty,$P205)=0,"",INDEX(EntryParty,$P205)))</f>
        <v/>
      </c>
      <c r="E205" s="26">
        <f>IF($P205="","",IF(INDEX(EntryPartyName,$P205)=0,"",INDEX(EntryPartyName,$P205)))</f>
        <v/>
      </c>
      <c r="F205" s="26">
        <f>IF($P205="","",IF(INDEX(EntryPartyType,$P205)=0,"",INDEX(EntryPartyType,$P205)))</f>
        <v/>
      </c>
      <c r="G205" s="26">
        <f>IF($P205="","",IF(INDEX(EntryTxnType,$P205)=0,"",INDEX(EntryTxnType,$P205)))</f>
        <v/>
      </c>
      <c r="H205" s="27">
        <f>IF($P205="","",IF(INDEX(EntryDep,$P205)=0,"",INDEX(EntryDep,$P205)))</f>
        <v/>
      </c>
      <c r="I205" s="27">
        <f>IF($P205="","",IF(INDEX(EntryWit,$P205)=0,"",INDEX(EntryWit,$P205)))</f>
        <v/>
      </c>
      <c r="J205" s="27">
        <f>IF($B205="","",IF($A205=1,$C$7,IF(J204="",0,J204))+IF($H205="",0,$H205)-IF($I205="",0,$I205))</f>
        <v/>
      </c>
      <c r="K205" s="27">
        <f>IF($P205="","",IF(INDEX(EntryMan,$P205)=0,"",INDEX(EntryMan,$P205)))</f>
        <v/>
      </c>
      <c r="L205" s="26">
        <f>IF($B205="","",IF($K205="","—",IF(ROUND($K205-$J205,0)=0,"√","×")))</f>
        <v/>
      </c>
      <c r="M205" s="26">
        <f>IF($B205="","",IF(COUNTIFS(EntryDates,$B205,CalcTime,$C205,CalcBank,$C$5,EntryParty,$D205,EntryDep,$H205,EntryWit,$I205)&gt;1,"تکرار",""))</f>
        <v/>
      </c>
      <c r="N205" s="26">
        <f>IF($P205="","",IF(INDEX(EntryNotes,$P205)=0,"",INDEX(EntryNotes,$P205)))</f>
        <v/>
      </c>
      <c r="O205" s="26">
        <f>IF($P205="","",IF(INDEX(EntryTxnID,$P205)=0,"",INDEX(EntryTxnID,$P205)))</f>
        <v/>
      </c>
      <c r="P205" s="26">
        <f>IFERROR(MATCH($C$5&amp;"|"&amp;RIGHT("000000"&amp;189,6),CalcRankKey,0),"")</f>
        <v/>
      </c>
    </row>
    <row r="206">
      <c r="A206" s="28">
        <f>IF($B206="","",190)</f>
        <v/>
      </c>
      <c r="B206" s="28">
        <f>IF($P206="","",IF(INDEX(CalcNormDate,$P206)=0,"",INDEX(CalcNormDate,$P206)))</f>
        <v/>
      </c>
      <c r="C206" s="28">
        <f>IF($P206="","",IF(INDEX(CalcTime,$P206)=0,"",INDEX(CalcTime,$P206)))</f>
        <v/>
      </c>
      <c r="D206" s="28">
        <f>IF($P206="","",IF(INDEX(EntryParty,$P206)=0,"",INDEX(EntryParty,$P206)))</f>
        <v/>
      </c>
      <c r="E206" s="28">
        <f>IF($P206="","",IF(INDEX(EntryPartyName,$P206)=0,"",INDEX(EntryPartyName,$P206)))</f>
        <v/>
      </c>
      <c r="F206" s="28">
        <f>IF($P206="","",IF(INDEX(EntryPartyType,$P206)=0,"",INDEX(EntryPartyType,$P206)))</f>
        <v/>
      </c>
      <c r="G206" s="28">
        <f>IF($P206="","",IF(INDEX(EntryTxnType,$P206)=0,"",INDEX(EntryTxnType,$P206)))</f>
        <v/>
      </c>
      <c r="H206" s="29">
        <f>IF($P206="","",IF(INDEX(EntryDep,$P206)=0,"",INDEX(EntryDep,$P206)))</f>
        <v/>
      </c>
      <c r="I206" s="29">
        <f>IF($P206="","",IF(INDEX(EntryWit,$P206)=0,"",INDEX(EntryWit,$P206)))</f>
        <v/>
      </c>
      <c r="J206" s="29">
        <f>IF($B206="","",IF($A206=1,$C$7,IF(J205="",0,J205))+IF($H206="",0,$H206)-IF($I206="",0,$I206))</f>
        <v/>
      </c>
      <c r="K206" s="29">
        <f>IF($P206="","",IF(INDEX(EntryMan,$P206)=0,"",INDEX(EntryMan,$P206)))</f>
        <v/>
      </c>
      <c r="L206" s="28">
        <f>IF($B206="","",IF($K206="","—",IF(ROUND($K206-$J206,0)=0,"√","×")))</f>
        <v/>
      </c>
      <c r="M206" s="28">
        <f>IF($B206="","",IF(COUNTIFS(EntryDates,$B206,CalcTime,$C206,CalcBank,$C$5,EntryParty,$D206,EntryDep,$H206,EntryWit,$I206)&gt;1,"تکرار",""))</f>
        <v/>
      </c>
      <c r="N206" s="28">
        <f>IF($P206="","",IF(INDEX(EntryNotes,$P206)=0,"",INDEX(EntryNotes,$P206)))</f>
        <v/>
      </c>
      <c r="O206" s="28">
        <f>IF($P206="","",IF(INDEX(EntryTxnID,$P206)=0,"",INDEX(EntryTxnID,$P206)))</f>
        <v/>
      </c>
      <c r="P206" s="28">
        <f>IFERROR(MATCH($C$5&amp;"|"&amp;RIGHT("000000"&amp;190,6),CalcRankKey,0),"")</f>
        <v/>
      </c>
    </row>
    <row r="207">
      <c r="A207" s="26">
        <f>IF($B207="","",191)</f>
        <v/>
      </c>
      <c r="B207" s="26">
        <f>IF($P207="","",IF(INDEX(CalcNormDate,$P207)=0,"",INDEX(CalcNormDate,$P207)))</f>
        <v/>
      </c>
      <c r="C207" s="26">
        <f>IF($P207="","",IF(INDEX(CalcTime,$P207)=0,"",INDEX(CalcTime,$P207)))</f>
        <v/>
      </c>
      <c r="D207" s="26">
        <f>IF($P207="","",IF(INDEX(EntryParty,$P207)=0,"",INDEX(EntryParty,$P207)))</f>
        <v/>
      </c>
      <c r="E207" s="26">
        <f>IF($P207="","",IF(INDEX(EntryPartyName,$P207)=0,"",INDEX(EntryPartyName,$P207)))</f>
        <v/>
      </c>
      <c r="F207" s="26">
        <f>IF($P207="","",IF(INDEX(EntryPartyType,$P207)=0,"",INDEX(EntryPartyType,$P207)))</f>
        <v/>
      </c>
      <c r="G207" s="26">
        <f>IF($P207="","",IF(INDEX(EntryTxnType,$P207)=0,"",INDEX(EntryTxnType,$P207)))</f>
        <v/>
      </c>
      <c r="H207" s="27">
        <f>IF($P207="","",IF(INDEX(EntryDep,$P207)=0,"",INDEX(EntryDep,$P207)))</f>
        <v/>
      </c>
      <c r="I207" s="27">
        <f>IF($P207="","",IF(INDEX(EntryWit,$P207)=0,"",INDEX(EntryWit,$P207)))</f>
        <v/>
      </c>
      <c r="J207" s="27">
        <f>IF($B207="","",IF($A207=1,$C$7,IF(J206="",0,J206))+IF($H207="",0,$H207)-IF($I207="",0,$I207))</f>
        <v/>
      </c>
      <c r="K207" s="27">
        <f>IF($P207="","",IF(INDEX(EntryMan,$P207)=0,"",INDEX(EntryMan,$P207)))</f>
        <v/>
      </c>
      <c r="L207" s="26">
        <f>IF($B207="","",IF($K207="","—",IF(ROUND($K207-$J207,0)=0,"√","×")))</f>
        <v/>
      </c>
      <c r="M207" s="26">
        <f>IF($B207="","",IF(COUNTIFS(EntryDates,$B207,CalcTime,$C207,CalcBank,$C$5,EntryParty,$D207,EntryDep,$H207,EntryWit,$I207)&gt;1,"تکرار",""))</f>
        <v/>
      </c>
      <c r="N207" s="26">
        <f>IF($P207="","",IF(INDEX(EntryNotes,$P207)=0,"",INDEX(EntryNotes,$P207)))</f>
        <v/>
      </c>
      <c r="O207" s="26">
        <f>IF($P207="","",IF(INDEX(EntryTxnID,$P207)=0,"",INDEX(EntryTxnID,$P207)))</f>
        <v/>
      </c>
      <c r="P207" s="26">
        <f>IFERROR(MATCH($C$5&amp;"|"&amp;RIGHT("000000"&amp;191,6),CalcRankKey,0),"")</f>
        <v/>
      </c>
    </row>
    <row r="208">
      <c r="A208" s="28">
        <f>IF($B208="","",192)</f>
        <v/>
      </c>
      <c r="B208" s="28">
        <f>IF($P208="","",IF(INDEX(CalcNormDate,$P208)=0,"",INDEX(CalcNormDate,$P208)))</f>
        <v/>
      </c>
      <c r="C208" s="28">
        <f>IF($P208="","",IF(INDEX(CalcTime,$P208)=0,"",INDEX(CalcTime,$P208)))</f>
        <v/>
      </c>
      <c r="D208" s="28">
        <f>IF($P208="","",IF(INDEX(EntryParty,$P208)=0,"",INDEX(EntryParty,$P208)))</f>
        <v/>
      </c>
      <c r="E208" s="28">
        <f>IF($P208="","",IF(INDEX(EntryPartyName,$P208)=0,"",INDEX(EntryPartyName,$P208)))</f>
        <v/>
      </c>
      <c r="F208" s="28">
        <f>IF($P208="","",IF(INDEX(EntryPartyType,$P208)=0,"",INDEX(EntryPartyType,$P208)))</f>
        <v/>
      </c>
      <c r="G208" s="28">
        <f>IF($P208="","",IF(INDEX(EntryTxnType,$P208)=0,"",INDEX(EntryTxnType,$P208)))</f>
        <v/>
      </c>
      <c r="H208" s="29">
        <f>IF($P208="","",IF(INDEX(EntryDep,$P208)=0,"",INDEX(EntryDep,$P208)))</f>
        <v/>
      </c>
      <c r="I208" s="29">
        <f>IF($P208="","",IF(INDEX(EntryWit,$P208)=0,"",INDEX(EntryWit,$P208)))</f>
        <v/>
      </c>
      <c r="J208" s="29">
        <f>IF($B208="","",IF($A208=1,$C$7,IF(J207="",0,J207))+IF($H208="",0,$H208)-IF($I208="",0,$I208))</f>
        <v/>
      </c>
      <c r="K208" s="29">
        <f>IF($P208="","",IF(INDEX(EntryMan,$P208)=0,"",INDEX(EntryMan,$P208)))</f>
        <v/>
      </c>
      <c r="L208" s="28">
        <f>IF($B208="","",IF($K208="","—",IF(ROUND($K208-$J208,0)=0,"√","×")))</f>
        <v/>
      </c>
      <c r="M208" s="28">
        <f>IF($B208="","",IF(COUNTIFS(EntryDates,$B208,CalcTime,$C208,CalcBank,$C$5,EntryParty,$D208,EntryDep,$H208,EntryWit,$I208)&gt;1,"تکرار",""))</f>
        <v/>
      </c>
      <c r="N208" s="28">
        <f>IF($P208="","",IF(INDEX(EntryNotes,$P208)=0,"",INDEX(EntryNotes,$P208)))</f>
        <v/>
      </c>
      <c r="O208" s="28">
        <f>IF($P208="","",IF(INDEX(EntryTxnID,$P208)=0,"",INDEX(EntryTxnID,$P208)))</f>
        <v/>
      </c>
      <c r="P208" s="28">
        <f>IFERROR(MATCH($C$5&amp;"|"&amp;RIGHT("000000"&amp;192,6),CalcRankKey,0),"")</f>
        <v/>
      </c>
    </row>
    <row r="209">
      <c r="A209" s="26">
        <f>IF($B209="","",193)</f>
        <v/>
      </c>
      <c r="B209" s="26">
        <f>IF($P209="","",IF(INDEX(CalcNormDate,$P209)=0,"",INDEX(CalcNormDate,$P209)))</f>
        <v/>
      </c>
      <c r="C209" s="26">
        <f>IF($P209="","",IF(INDEX(CalcTime,$P209)=0,"",INDEX(CalcTime,$P209)))</f>
        <v/>
      </c>
      <c r="D209" s="26">
        <f>IF($P209="","",IF(INDEX(EntryParty,$P209)=0,"",INDEX(EntryParty,$P209)))</f>
        <v/>
      </c>
      <c r="E209" s="26">
        <f>IF($P209="","",IF(INDEX(EntryPartyName,$P209)=0,"",INDEX(EntryPartyName,$P209)))</f>
        <v/>
      </c>
      <c r="F209" s="26">
        <f>IF($P209="","",IF(INDEX(EntryPartyType,$P209)=0,"",INDEX(EntryPartyType,$P209)))</f>
        <v/>
      </c>
      <c r="G209" s="26">
        <f>IF($P209="","",IF(INDEX(EntryTxnType,$P209)=0,"",INDEX(EntryTxnType,$P209)))</f>
        <v/>
      </c>
      <c r="H209" s="27">
        <f>IF($P209="","",IF(INDEX(EntryDep,$P209)=0,"",INDEX(EntryDep,$P209)))</f>
        <v/>
      </c>
      <c r="I209" s="27">
        <f>IF($P209="","",IF(INDEX(EntryWit,$P209)=0,"",INDEX(EntryWit,$P209)))</f>
        <v/>
      </c>
      <c r="J209" s="27">
        <f>IF($B209="","",IF($A209=1,$C$7,IF(J208="",0,J208))+IF($H209="",0,$H209)-IF($I209="",0,$I209))</f>
        <v/>
      </c>
      <c r="K209" s="27">
        <f>IF($P209="","",IF(INDEX(EntryMan,$P209)=0,"",INDEX(EntryMan,$P209)))</f>
        <v/>
      </c>
      <c r="L209" s="26">
        <f>IF($B209="","",IF($K209="","—",IF(ROUND($K209-$J209,0)=0,"√","×")))</f>
        <v/>
      </c>
      <c r="M209" s="26">
        <f>IF($B209="","",IF(COUNTIFS(EntryDates,$B209,CalcTime,$C209,CalcBank,$C$5,EntryParty,$D209,EntryDep,$H209,EntryWit,$I209)&gt;1,"تکرار",""))</f>
        <v/>
      </c>
      <c r="N209" s="26">
        <f>IF($P209="","",IF(INDEX(EntryNotes,$P209)=0,"",INDEX(EntryNotes,$P209)))</f>
        <v/>
      </c>
      <c r="O209" s="26">
        <f>IF($P209="","",IF(INDEX(EntryTxnID,$P209)=0,"",INDEX(EntryTxnID,$P209)))</f>
        <v/>
      </c>
      <c r="P209" s="26">
        <f>IFERROR(MATCH($C$5&amp;"|"&amp;RIGHT("000000"&amp;193,6),CalcRankKey,0),"")</f>
        <v/>
      </c>
    </row>
    <row r="210">
      <c r="A210" s="28">
        <f>IF($B210="","",194)</f>
        <v/>
      </c>
      <c r="B210" s="28">
        <f>IF($P210="","",IF(INDEX(CalcNormDate,$P210)=0,"",INDEX(CalcNormDate,$P210)))</f>
        <v/>
      </c>
      <c r="C210" s="28">
        <f>IF($P210="","",IF(INDEX(CalcTime,$P210)=0,"",INDEX(CalcTime,$P210)))</f>
        <v/>
      </c>
      <c r="D210" s="28">
        <f>IF($P210="","",IF(INDEX(EntryParty,$P210)=0,"",INDEX(EntryParty,$P210)))</f>
        <v/>
      </c>
      <c r="E210" s="28">
        <f>IF($P210="","",IF(INDEX(EntryPartyName,$P210)=0,"",INDEX(EntryPartyName,$P210)))</f>
        <v/>
      </c>
      <c r="F210" s="28">
        <f>IF($P210="","",IF(INDEX(EntryPartyType,$P210)=0,"",INDEX(EntryPartyType,$P210)))</f>
        <v/>
      </c>
      <c r="G210" s="28">
        <f>IF($P210="","",IF(INDEX(EntryTxnType,$P210)=0,"",INDEX(EntryTxnType,$P210)))</f>
        <v/>
      </c>
      <c r="H210" s="29">
        <f>IF($P210="","",IF(INDEX(EntryDep,$P210)=0,"",INDEX(EntryDep,$P210)))</f>
        <v/>
      </c>
      <c r="I210" s="29">
        <f>IF($P210="","",IF(INDEX(EntryWit,$P210)=0,"",INDEX(EntryWit,$P210)))</f>
        <v/>
      </c>
      <c r="J210" s="29">
        <f>IF($B210="","",IF($A210=1,$C$7,IF(J209="",0,J209))+IF($H210="",0,$H210)-IF($I210="",0,$I210))</f>
        <v/>
      </c>
      <c r="K210" s="29">
        <f>IF($P210="","",IF(INDEX(EntryMan,$P210)=0,"",INDEX(EntryMan,$P210)))</f>
        <v/>
      </c>
      <c r="L210" s="28">
        <f>IF($B210="","",IF($K210="","—",IF(ROUND($K210-$J210,0)=0,"√","×")))</f>
        <v/>
      </c>
      <c r="M210" s="28">
        <f>IF($B210="","",IF(COUNTIFS(EntryDates,$B210,CalcTime,$C210,CalcBank,$C$5,EntryParty,$D210,EntryDep,$H210,EntryWit,$I210)&gt;1,"تکرار",""))</f>
        <v/>
      </c>
      <c r="N210" s="28">
        <f>IF($P210="","",IF(INDEX(EntryNotes,$P210)=0,"",INDEX(EntryNotes,$P210)))</f>
        <v/>
      </c>
      <c r="O210" s="28">
        <f>IF($P210="","",IF(INDEX(EntryTxnID,$P210)=0,"",INDEX(EntryTxnID,$P210)))</f>
        <v/>
      </c>
      <c r="P210" s="28">
        <f>IFERROR(MATCH($C$5&amp;"|"&amp;RIGHT("000000"&amp;194,6),CalcRankKey,0),"")</f>
        <v/>
      </c>
    </row>
    <row r="211">
      <c r="A211" s="26">
        <f>IF($B211="","",195)</f>
        <v/>
      </c>
      <c r="B211" s="26">
        <f>IF($P211="","",IF(INDEX(CalcNormDate,$P211)=0,"",INDEX(CalcNormDate,$P211)))</f>
        <v/>
      </c>
      <c r="C211" s="26">
        <f>IF($P211="","",IF(INDEX(CalcTime,$P211)=0,"",INDEX(CalcTime,$P211)))</f>
        <v/>
      </c>
      <c r="D211" s="26">
        <f>IF($P211="","",IF(INDEX(EntryParty,$P211)=0,"",INDEX(EntryParty,$P211)))</f>
        <v/>
      </c>
      <c r="E211" s="26">
        <f>IF($P211="","",IF(INDEX(EntryPartyName,$P211)=0,"",INDEX(EntryPartyName,$P211)))</f>
        <v/>
      </c>
      <c r="F211" s="26">
        <f>IF($P211="","",IF(INDEX(EntryPartyType,$P211)=0,"",INDEX(EntryPartyType,$P211)))</f>
        <v/>
      </c>
      <c r="G211" s="26">
        <f>IF($P211="","",IF(INDEX(EntryTxnType,$P211)=0,"",INDEX(EntryTxnType,$P211)))</f>
        <v/>
      </c>
      <c r="H211" s="27">
        <f>IF($P211="","",IF(INDEX(EntryDep,$P211)=0,"",INDEX(EntryDep,$P211)))</f>
        <v/>
      </c>
      <c r="I211" s="27">
        <f>IF($P211="","",IF(INDEX(EntryWit,$P211)=0,"",INDEX(EntryWit,$P211)))</f>
        <v/>
      </c>
      <c r="J211" s="27">
        <f>IF($B211="","",IF($A211=1,$C$7,IF(J210="",0,J210))+IF($H211="",0,$H211)-IF($I211="",0,$I211))</f>
        <v/>
      </c>
      <c r="K211" s="27">
        <f>IF($P211="","",IF(INDEX(EntryMan,$P211)=0,"",INDEX(EntryMan,$P211)))</f>
        <v/>
      </c>
      <c r="L211" s="26">
        <f>IF($B211="","",IF($K211="","—",IF(ROUND($K211-$J211,0)=0,"√","×")))</f>
        <v/>
      </c>
      <c r="M211" s="26">
        <f>IF($B211="","",IF(COUNTIFS(EntryDates,$B211,CalcTime,$C211,CalcBank,$C$5,EntryParty,$D211,EntryDep,$H211,EntryWit,$I211)&gt;1,"تکرار",""))</f>
        <v/>
      </c>
      <c r="N211" s="26">
        <f>IF($P211="","",IF(INDEX(EntryNotes,$P211)=0,"",INDEX(EntryNotes,$P211)))</f>
        <v/>
      </c>
      <c r="O211" s="26">
        <f>IF($P211="","",IF(INDEX(EntryTxnID,$P211)=0,"",INDEX(EntryTxnID,$P211)))</f>
        <v/>
      </c>
      <c r="P211" s="26">
        <f>IFERROR(MATCH($C$5&amp;"|"&amp;RIGHT("000000"&amp;195,6),CalcRankKey,0),"")</f>
        <v/>
      </c>
    </row>
    <row r="212">
      <c r="A212" s="28">
        <f>IF($B212="","",196)</f>
        <v/>
      </c>
      <c r="B212" s="28">
        <f>IF($P212="","",IF(INDEX(CalcNormDate,$P212)=0,"",INDEX(CalcNormDate,$P212)))</f>
        <v/>
      </c>
      <c r="C212" s="28">
        <f>IF($P212="","",IF(INDEX(CalcTime,$P212)=0,"",INDEX(CalcTime,$P212)))</f>
        <v/>
      </c>
      <c r="D212" s="28">
        <f>IF($P212="","",IF(INDEX(EntryParty,$P212)=0,"",INDEX(EntryParty,$P212)))</f>
        <v/>
      </c>
      <c r="E212" s="28">
        <f>IF($P212="","",IF(INDEX(EntryPartyName,$P212)=0,"",INDEX(EntryPartyName,$P212)))</f>
        <v/>
      </c>
      <c r="F212" s="28">
        <f>IF($P212="","",IF(INDEX(EntryPartyType,$P212)=0,"",INDEX(EntryPartyType,$P212)))</f>
        <v/>
      </c>
      <c r="G212" s="28">
        <f>IF($P212="","",IF(INDEX(EntryTxnType,$P212)=0,"",INDEX(EntryTxnType,$P212)))</f>
        <v/>
      </c>
      <c r="H212" s="29">
        <f>IF($P212="","",IF(INDEX(EntryDep,$P212)=0,"",INDEX(EntryDep,$P212)))</f>
        <v/>
      </c>
      <c r="I212" s="29">
        <f>IF($P212="","",IF(INDEX(EntryWit,$P212)=0,"",INDEX(EntryWit,$P212)))</f>
        <v/>
      </c>
      <c r="J212" s="29">
        <f>IF($B212="","",IF($A212=1,$C$7,IF(J211="",0,J211))+IF($H212="",0,$H212)-IF($I212="",0,$I212))</f>
        <v/>
      </c>
      <c r="K212" s="29">
        <f>IF($P212="","",IF(INDEX(EntryMan,$P212)=0,"",INDEX(EntryMan,$P212)))</f>
        <v/>
      </c>
      <c r="L212" s="28">
        <f>IF($B212="","",IF($K212="","—",IF(ROUND($K212-$J212,0)=0,"√","×")))</f>
        <v/>
      </c>
      <c r="M212" s="28">
        <f>IF($B212="","",IF(COUNTIFS(EntryDates,$B212,CalcTime,$C212,CalcBank,$C$5,EntryParty,$D212,EntryDep,$H212,EntryWit,$I212)&gt;1,"تکرار",""))</f>
        <v/>
      </c>
      <c r="N212" s="28">
        <f>IF($P212="","",IF(INDEX(EntryNotes,$P212)=0,"",INDEX(EntryNotes,$P212)))</f>
        <v/>
      </c>
      <c r="O212" s="28">
        <f>IF($P212="","",IF(INDEX(EntryTxnID,$P212)=0,"",INDEX(EntryTxnID,$P212)))</f>
        <v/>
      </c>
      <c r="P212" s="28">
        <f>IFERROR(MATCH($C$5&amp;"|"&amp;RIGHT("000000"&amp;196,6),CalcRankKey,0),"")</f>
        <v/>
      </c>
    </row>
    <row r="213">
      <c r="A213" s="26">
        <f>IF($B213="","",197)</f>
        <v/>
      </c>
      <c r="B213" s="26">
        <f>IF($P213="","",IF(INDEX(CalcNormDate,$P213)=0,"",INDEX(CalcNormDate,$P213)))</f>
        <v/>
      </c>
      <c r="C213" s="26">
        <f>IF($P213="","",IF(INDEX(CalcTime,$P213)=0,"",INDEX(CalcTime,$P213)))</f>
        <v/>
      </c>
      <c r="D213" s="26">
        <f>IF($P213="","",IF(INDEX(EntryParty,$P213)=0,"",INDEX(EntryParty,$P213)))</f>
        <v/>
      </c>
      <c r="E213" s="26">
        <f>IF($P213="","",IF(INDEX(EntryPartyName,$P213)=0,"",INDEX(EntryPartyName,$P213)))</f>
        <v/>
      </c>
      <c r="F213" s="26">
        <f>IF($P213="","",IF(INDEX(EntryPartyType,$P213)=0,"",INDEX(EntryPartyType,$P213)))</f>
        <v/>
      </c>
      <c r="G213" s="26">
        <f>IF($P213="","",IF(INDEX(EntryTxnType,$P213)=0,"",INDEX(EntryTxnType,$P213)))</f>
        <v/>
      </c>
      <c r="H213" s="27">
        <f>IF($P213="","",IF(INDEX(EntryDep,$P213)=0,"",INDEX(EntryDep,$P213)))</f>
        <v/>
      </c>
      <c r="I213" s="27">
        <f>IF($P213="","",IF(INDEX(EntryWit,$P213)=0,"",INDEX(EntryWit,$P213)))</f>
        <v/>
      </c>
      <c r="J213" s="27">
        <f>IF($B213="","",IF($A213=1,$C$7,IF(J212="",0,J212))+IF($H213="",0,$H213)-IF($I213="",0,$I213))</f>
        <v/>
      </c>
      <c r="K213" s="27">
        <f>IF($P213="","",IF(INDEX(EntryMan,$P213)=0,"",INDEX(EntryMan,$P213)))</f>
        <v/>
      </c>
      <c r="L213" s="26">
        <f>IF($B213="","",IF($K213="","—",IF(ROUND($K213-$J213,0)=0,"√","×")))</f>
        <v/>
      </c>
      <c r="M213" s="26">
        <f>IF($B213="","",IF(COUNTIFS(EntryDates,$B213,CalcTime,$C213,CalcBank,$C$5,EntryParty,$D213,EntryDep,$H213,EntryWit,$I213)&gt;1,"تکرار",""))</f>
        <v/>
      </c>
      <c r="N213" s="26">
        <f>IF($P213="","",IF(INDEX(EntryNotes,$P213)=0,"",INDEX(EntryNotes,$P213)))</f>
        <v/>
      </c>
      <c r="O213" s="26">
        <f>IF($P213="","",IF(INDEX(EntryTxnID,$P213)=0,"",INDEX(EntryTxnID,$P213)))</f>
        <v/>
      </c>
      <c r="P213" s="26">
        <f>IFERROR(MATCH($C$5&amp;"|"&amp;RIGHT("000000"&amp;197,6),CalcRankKey,0),"")</f>
        <v/>
      </c>
    </row>
    <row r="214">
      <c r="A214" s="28">
        <f>IF($B214="","",198)</f>
        <v/>
      </c>
      <c r="B214" s="28">
        <f>IF($P214="","",IF(INDEX(CalcNormDate,$P214)=0,"",INDEX(CalcNormDate,$P214)))</f>
        <v/>
      </c>
      <c r="C214" s="28">
        <f>IF($P214="","",IF(INDEX(CalcTime,$P214)=0,"",INDEX(CalcTime,$P214)))</f>
        <v/>
      </c>
      <c r="D214" s="28">
        <f>IF($P214="","",IF(INDEX(EntryParty,$P214)=0,"",INDEX(EntryParty,$P214)))</f>
        <v/>
      </c>
      <c r="E214" s="28">
        <f>IF($P214="","",IF(INDEX(EntryPartyName,$P214)=0,"",INDEX(EntryPartyName,$P214)))</f>
        <v/>
      </c>
      <c r="F214" s="28">
        <f>IF($P214="","",IF(INDEX(EntryPartyType,$P214)=0,"",INDEX(EntryPartyType,$P214)))</f>
        <v/>
      </c>
      <c r="G214" s="28">
        <f>IF($P214="","",IF(INDEX(EntryTxnType,$P214)=0,"",INDEX(EntryTxnType,$P214)))</f>
        <v/>
      </c>
      <c r="H214" s="29">
        <f>IF($P214="","",IF(INDEX(EntryDep,$P214)=0,"",INDEX(EntryDep,$P214)))</f>
        <v/>
      </c>
      <c r="I214" s="29">
        <f>IF($P214="","",IF(INDEX(EntryWit,$P214)=0,"",INDEX(EntryWit,$P214)))</f>
        <v/>
      </c>
      <c r="J214" s="29">
        <f>IF($B214="","",IF($A214=1,$C$7,IF(J213="",0,J213))+IF($H214="",0,$H214)-IF($I214="",0,$I214))</f>
        <v/>
      </c>
      <c r="K214" s="29">
        <f>IF($P214="","",IF(INDEX(EntryMan,$P214)=0,"",INDEX(EntryMan,$P214)))</f>
        <v/>
      </c>
      <c r="L214" s="28">
        <f>IF($B214="","",IF($K214="","—",IF(ROUND($K214-$J214,0)=0,"√","×")))</f>
        <v/>
      </c>
      <c r="M214" s="28">
        <f>IF($B214="","",IF(COUNTIFS(EntryDates,$B214,CalcTime,$C214,CalcBank,$C$5,EntryParty,$D214,EntryDep,$H214,EntryWit,$I214)&gt;1,"تکرار",""))</f>
        <v/>
      </c>
      <c r="N214" s="28">
        <f>IF($P214="","",IF(INDEX(EntryNotes,$P214)=0,"",INDEX(EntryNotes,$P214)))</f>
        <v/>
      </c>
      <c r="O214" s="28">
        <f>IF($P214="","",IF(INDEX(EntryTxnID,$P214)=0,"",INDEX(EntryTxnID,$P214)))</f>
        <v/>
      </c>
      <c r="P214" s="28">
        <f>IFERROR(MATCH($C$5&amp;"|"&amp;RIGHT("000000"&amp;198,6),CalcRankKey,0),"")</f>
        <v/>
      </c>
    </row>
    <row r="215">
      <c r="A215" s="26">
        <f>IF($B215="","",199)</f>
        <v/>
      </c>
      <c r="B215" s="26">
        <f>IF($P215="","",IF(INDEX(CalcNormDate,$P215)=0,"",INDEX(CalcNormDate,$P215)))</f>
        <v/>
      </c>
      <c r="C215" s="26">
        <f>IF($P215="","",IF(INDEX(CalcTime,$P215)=0,"",INDEX(CalcTime,$P215)))</f>
        <v/>
      </c>
      <c r="D215" s="26">
        <f>IF($P215="","",IF(INDEX(EntryParty,$P215)=0,"",INDEX(EntryParty,$P215)))</f>
        <v/>
      </c>
      <c r="E215" s="26">
        <f>IF($P215="","",IF(INDEX(EntryPartyName,$P215)=0,"",INDEX(EntryPartyName,$P215)))</f>
        <v/>
      </c>
      <c r="F215" s="26">
        <f>IF($P215="","",IF(INDEX(EntryPartyType,$P215)=0,"",INDEX(EntryPartyType,$P215)))</f>
        <v/>
      </c>
      <c r="G215" s="26">
        <f>IF($P215="","",IF(INDEX(EntryTxnType,$P215)=0,"",INDEX(EntryTxnType,$P215)))</f>
        <v/>
      </c>
      <c r="H215" s="27">
        <f>IF($P215="","",IF(INDEX(EntryDep,$P215)=0,"",INDEX(EntryDep,$P215)))</f>
        <v/>
      </c>
      <c r="I215" s="27">
        <f>IF($P215="","",IF(INDEX(EntryWit,$P215)=0,"",INDEX(EntryWit,$P215)))</f>
        <v/>
      </c>
      <c r="J215" s="27">
        <f>IF($B215="","",IF($A215=1,$C$7,IF(J214="",0,J214))+IF($H215="",0,$H215)-IF($I215="",0,$I215))</f>
        <v/>
      </c>
      <c r="K215" s="27">
        <f>IF($P215="","",IF(INDEX(EntryMan,$P215)=0,"",INDEX(EntryMan,$P215)))</f>
        <v/>
      </c>
      <c r="L215" s="26">
        <f>IF($B215="","",IF($K215="","—",IF(ROUND($K215-$J215,0)=0,"√","×")))</f>
        <v/>
      </c>
      <c r="M215" s="26">
        <f>IF($B215="","",IF(COUNTIFS(EntryDates,$B215,CalcTime,$C215,CalcBank,$C$5,EntryParty,$D215,EntryDep,$H215,EntryWit,$I215)&gt;1,"تکرار",""))</f>
        <v/>
      </c>
      <c r="N215" s="26">
        <f>IF($P215="","",IF(INDEX(EntryNotes,$P215)=0,"",INDEX(EntryNotes,$P215)))</f>
        <v/>
      </c>
      <c r="O215" s="26">
        <f>IF($P215="","",IF(INDEX(EntryTxnID,$P215)=0,"",INDEX(EntryTxnID,$P215)))</f>
        <v/>
      </c>
      <c r="P215" s="26">
        <f>IFERROR(MATCH($C$5&amp;"|"&amp;RIGHT("000000"&amp;199,6),CalcRankKey,0),"")</f>
        <v/>
      </c>
    </row>
    <row r="216">
      <c r="A216" s="28">
        <f>IF($B216="","",200)</f>
        <v/>
      </c>
      <c r="B216" s="28">
        <f>IF($P216="","",IF(INDEX(CalcNormDate,$P216)=0,"",INDEX(CalcNormDate,$P216)))</f>
        <v/>
      </c>
      <c r="C216" s="28">
        <f>IF($P216="","",IF(INDEX(CalcTime,$P216)=0,"",INDEX(CalcTime,$P216)))</f>
        <v/>
      </c>
      <c r="D216" s="28">
        <f>IF($P216="","",IF(INDEX(EntryParty,$P216)=0,"",INDEX(EntryParty,$P216)))</f>
        <v/>
      </c>
      <c r="E216" s="28">
        <f>IF($P216="","",IF(INDEX(EntryPartyName,$P216)=0,"",INDEX(EntryPartyName,$P216)))</f>
        <v/>
      </c>
      <c r="F216" s="28">
        <f>IF($P216="","",IF(INDEX(EntryPartyType,$P216)=0,"",INDEX(EntryPartyType,$P216)))</f>
        <v/>
      </c>
      <c r="G216" s="28">
        <f>IF($P216="","",IF(INDEX(EntryTxnType,$P216)=0,"",INDEX(EntryTxnType,$P216)))</f>
        <v/>
      </c>
      <c r="H216" s="29">
        <f>IF($P216="","",IF(INDEX(EntryDep,$P216)=0,"",INDEX(EntryDep,$P216)))</f>
        <v/>
      </c>
      <c r="I216" s="29">
        <f>IF($P216="","",IF(INDEX(EntryWit,$P216)=0,"",INDEX(EntryWit,$P216)))</f>
        <v/>
      </c>
      <c r="J216" s="29">
        <f>IF($B216="","",IF($A216=1,$C$7,IF(J215="",0,J215))+IF($H216="",0,$H216)-IF($I216="",0,$I216))</f>
        <v/>
      </c>
      <c r="K216" s="29">
        <f>IF($P216="","",IF(INDEX(EntryMan,$P216)=0,"",INDEX(EntryMan,$P216)))</f>
        <v/>
      </c>
      <c r="L216" s="28">
        <f>IF($B216="","",IF($K216="","—",IF(ROUND($K216-$J216,0)=0,"√","×")))</f>
        <v/>
      </c>
      <c r="M216" s="28">
        <f>IF($B216="","",IF(COUNTIFS(EntryDates,$B216,CalcTime,$C216,CalcBank,$C$5,EntryParty,$D216,EntryDep,$H216,EntryWit,$I216)&gt;1,"تکرار",""))</f>
        <v/>
      </c>
      <c r="N216" s="28">
        <f>IF($P216="","",IF(INDEX(EntryNotes,$P216)=0,"",INDEX(EntryNotes,$P216)))</f>
        <v/>
      </c>
      <c r="O216" s="28">
        <f>IF($P216="","",IF(INDEX(EntryTxnID,$P216)=0,"",INDEX(EntryTxnID,$P216)))</f>
        <v/>
      </c>
      <c r="P216" s="28">
        <f>IFERROR(MATCH($C$5&amp;"|"&amp;RIGHT("000000"&amp;200,6),CalcRankKey,0),"")</f>
        <v/>
      </c>
    </row>
    <row r="217">
      <c r="A217" s="26">
        <f>IF($B217="","",201)</f>
        <v/>
      </c>
      <c r="B217" s="26">
        <f>IF($P217="","",IF(INDEX(CalcNormDate,$P217)=0,"",INDEX(CalcNormDate,$P217)))</f>
        <v/>
      </c>
      <c r="C217" s="26">
        <f>IF($P217="","",IF(INDEX(CalcTime,$P217)=0,"",INDEX(CalcTime,$P217)))</f>
        <v/>
      </c>
      <c r="D217" s="26">
        <f>IF($P217="","",IF(INDEX(EntryParty,$P217)=0,"",INDEX(EntryParty,$P217)))</f>
        <v/>
      </c>
      <c r="E217" s="26">
        <f>IF($P217="","",IF(INDEX(EntryPartyName,$P217)=0,"",INDEX(EntryPartyName,$P217)))</f>
        <v/>
      </c>
      <c r="F217" s="26">
        <f>IF($P217="","",IF(INDEX(EntryPartyType,$P217)=0,"",INDEX(EntryPartyType,$P217)))</f>
        <v/>
      </c>
      <c r="G217" s="26">
        <f>IF($P217="","",IF(INDEX(EntryTxnType,$P217)=0,"",INDEX(EntryTxnType,$P217)))</f>
        <v/>
      </c>
      <c r="H217" s="27">
        <f>IF($P217="","",IF(INDEX(EntryDep,$P217)=0,"",INDEX(EntryDep,$P217)))</f>
        <v/>
      </c>
      <c r="I217" s="27">
        <f>IF($P217="","",IF(INDEX(EntryWit,$P217)=0,"",INDEX(EntryWit,$P217)))</f>
        <v/>
      </c>
      <c r="J217" s="27">
        <f>IF($B217="","",IF($A217=1,$C$7,IF(J216="",0,J216))+IF($H217="",0,$H217)-IF($I217="",0,$I217))</f>
        <v/>
      </c>
      <c r="K217" s="27">
        <f>IF($P217="","",IF(INDEX(EntryMan,$P217)=0,"",INDEX(EntryMan,$P217)))</f>
        <v/>
      </c>
      <c r="L217" s="26">
        <f>IF($B217="","",IF($K217="","—",IF(ROUND($K217-$J217,0)=0,"√","×")))</f>
        <v/>
      </c>
      <c r="M217" s="26">
        <f>IF($B217="","",IF(COUNTIFS(EntryDates,$B217,CalcTime,$C217,CalcBank,$C$5,EntryParty,$D217,EntryDep,$H217,EntryWit,$I217)&gt;1,"تکرار",""))</f>
        <v/>
      </c>
      <c r="N217" s="26">
        <f>IF($P217="","",IF(INDEX(EntryNotes,$P217)=0,"",INDEX(EntryNotes,$P217)))</f>
        <v/>
      </c>
      <c r="O217" s="26">
        <f>IF($P217="","",IF(INDEX(EntryTxnID,$P217)=0,"",INDEX(EntryTxnID,$P217)))</f>
        <v/>
      </c>
      <c r="P217" s="26">
        <f>IFERROR(MATCH($C$5&amp;"|"&amp;RIGHT("000000"&amp;201,6),CalcRankKey,0),"")</f>
        <v/>
      </c>
    </row>
    <row r="218">
      <c r="A218" s="28">
        <f>IF($B218="","",202)</f>
        <v/>
      </c>
      <c r="B218" s="28">
        <f>IF($P218="","",IF(INDEX(CalcNormDate,$P218)=0,"",INDEX(CalcNormDate,$P218)))</f>
        <v/>
      </c>
      <c r="C218" s="28">
        <f>IF($P218="","",IF(INDEX(CalcTime,$P218)=0,"",INDEX(CalcTime,$P218)))</f>
        <v/>
      </c>
      <c r="D218" s="28">
        <f>IF($P218="","",IF(INDEX(EntryParty,$P218)=0,"",INDEX(EntryParty,$P218)))</f>
        <v/>
      </c>
      <c r="E218" s="28">
        <f>IF($P218="","",IF(INDEX(EntryPartyName,$P218)=0,"",INDEX(EntryPartyName,$P218)))</f>
        <v/>
      </c>
      <c r="F218" s="28">
        <f>IF($P218="","",IF(INDEX(EntryPartyType,$P218)=0,"",INDEX(EntryPartyType,$P218)))</f>
        <v/>
      </c>
      <c r="G218" s="28">
        <f>IF($P218="","",IF(INDEX(EntryTxnType,$P218)=0,"",INDEX(EntryTxnType,$P218)))</f>
        <v/>
      </c>
      <c r="H218" s="29">
        <f>IF($P218="","",IF(INDEX(EntryDep,$P218)=0,"",INDEX(EntryDep,$P218)))</f>
        <v/>
      </c>
      <c r="I218" s="29">
        <f>IF($P218="","",IF(INDEX(EntryWit,$P218)=0,"",INDEX(EntryWit,$P218)))</f>
        <v/>
      </c>
      <c r="J218" s="29">
        <f>IF($B218="","",IF($A218=1,$C$7,IF(J217="",0,J217))+IF($H218="",0,$H218)-IF($I218="",0,$I218))</f>
        <v/>
      </c>
      <c r="K218" s="29">
        <f>IF($P218="","",IF(INDEX(EntryMan,$P218)=0,"",INDEX(EntryMan,$P218)))</f>
        <v/>
      </c>
      <c r="L218" s="28">
        <f>IF($B218="","",IF($K218="","—",IF(ROUND($K218-$J218,0)=0,"√","×")))</f>
        <v/>
      </c>
      <c r="M218" s="28">
        <f>IF($B218="","",IF(COUNTIFS(EntryDates,$B218,CalcTime,$C218,CalcBank,$C$5,EntryParty,$D218,EntryDep,$H218,EntryWit,$I218)&gt;1,"تکرار",""))</f>
        <v/>
      </c>
      <c r="N218" s="28">
        <f>IF($P218="","",IF(INDEX(EntryNotes,$P218)=0,"",INDEX(EntryNotes,$P218)))</f>
        <v/>
      </c>
      <c r="O218" s="28">
        <f>IF($P218="","",IF(INDEX(EntryTxnID,$P218)=0,"",INDEX(EntryTxnID,$P218)))</f>
        <v/>
      </c>
      <c r="P218" s="28">
        <f>IFERROR(MATCH($C$5&amp;"|"&amp;RIGHT("000000"&amp;202,6),CalcRankKey,0),"")</f>
        <v/>
      </c>
    </row>
    <row r="219">
      <c r="A219" s="26">
        <f>IF($B219="","",203)</f>
        <v/>
      </c>
      <c r="B219" s="26">
        <f>IF($P219="","",IF(INDEX(CalcNormDate,$P219)=0,"",INDEX(CalcNormDate,$P219)))</f>
        <v/>
      </c>
      <c r="C219" s="26">
        <f>IF($P219="","",IF(INDEX(CalcTime,$P219)=0,"",INDEX(CalcTime,$P219)))</f>
        <v/>
      </c>
      <c r="D219" s="26">
        <f>IF($P219="","",IF(INDEX(EntryParty,$P219)=0,"",INDEX(EntryParty,$P219)))</f>
        <v/>
      </c>
      <c r="E219" s="26">
        <f>IF($P219="","",IF(INDEX(EntryPartyName,$P219)=0,"",INDEX(EntryPartyName,$P219)))</f>
        <v/>
      </c>
      <c r="F219" s="26">
        <f>IF($P219="","",IF(INDEX(EntryPartyType,$P219)=0,"",INDEX(EntryPartyType,$P219)))</f>
        <v/>
      </c>
      <c r="G219" s="26">
        <f>IF($P219="","",IF(INDEX(EntryTxnType,$P219)=0,"",INDEX(EntryTxnType,$P219)))</f>
        <v/>
      </c>
      <c r="H219" s="27">
        <f>IF($P219="","",IF(INDEX(EntryDep,$P219)=0,"",INDEX(EntryDep,$P219)))</f>
        <v/>
      </c>
      <c r="I219" s="27">
        <f>IF($P219="","",IF(INDEX(EntryWit,$P219)=0,"",INDEX(EntryWit,$P219)))</f>
        <v/>
      </c>
      <c r="J219" s="27">
        <f>IF($B219="","",IF($A219=1,$C$7,IF(J218="",0,J218))+IF($H219="",0,$H219)-IF($I219="",0,$I219))</f>
        <v/>
      </c>
      <c r="K219" s="27">
        <f>IF($P219="","",IF(INDEX(EntryMan,$P219)=0,"",INDEX(EntryMan,$P219)))</f>
        <v/>
      </c>
      <c r="L219" s="26">
        <f>IF($B219="","",IF($K219="","—",IF(ROUND($K219-$J219,0)=0,"√","×")))</f>
        <v/>
      </c>
      <c r="M219" s="26">
        <f>IF($B219="","",IF(COUNTIFS(EntryDates,$B219,CalcTime,$C219,CalcBank,$C$5,EntryParty,$D219,EntryDep,$H219,EntryWit,$I219)&gt;1,"تکرار",""))</f>
        <v/>
      </c>
      <c r="N219" s="26">
        <f>IF($P219="","",IF(INDEX(EntryNotes,$P219)=0,"",INDEX(EntryNotes,$P219)))</f>
        <v/>
      </c>
      <c r="O219" s="26">
        <f>IF($P219="","",IF(INDEX(EntryTxnID,$P219)=0,"",INDEX(EntryTxnID,$P219)))</f>
        <v/>
      </c>
      <c r="P219" s="26">
        <f>IFERROR(MATCH($C$5&amp;"|"&amp;RIGHT("000000"&amp;203,6),CalcRankKey,0),"")</f>
        <v/>
      </c>
    </row>
    <row r="220">
      <c r="A220" s="28">
        <f>IF($B220="","",204)</f>
        <v/>
      </c>
      <c r="B220" s="28">
        <f>IF($P220="","",IF(INDEX(CalcNormDate,$P220)=0,"",INDEX(CalcNormDate,$P220)))</f>
        <v/>
      </c>
      <c r="C220" s="28">
        <f>IF($P220="","",IF(INDEX(CalcTime,$P220)=0,"",INDEX(CalcTime,$P220)))</f>
        <v/>
      </c>
      <c r="D220" s="28">
        <f>IF($P220="","",IF(INDEX(EntryParty,$P220)=0,"",INDEX(EntryParty,$P220)))</f>
        <v/>
      </c>
      <c r="E220" s="28">
        <f>IF($P220="","",IF(INDEX(EntryPartyName,$P220)=0,"",INDEX(EntryPartyName,$P220)))</f>
        <v/>
      </c>
      <c r="F220" s="28">
        <f>IF($P220="","",IF(INDEX(EntryPartyType,$P220)=0,"",INDEX(EntryPartyType,$P220)))</f>
        <v/>
      </c>
      <c r="G220" s="28">
        <f>IF($P220="","",IF(INDEX(EntryTxnType,$P220)=0,"",INDEX(EntryTxnType,$P220)))</f>
        <v/>
      </c>
      <c r="H220" s="29">
        <f>IF($P220="","",IF(INDEX(EntryDep,$P220)=0,"",INDEX(EntryDep,$P220)))</f>
        <v/>
      </c>
      <c r="I220" s="29">
        <f>IF($P220="","",IF(INDEX(EntryWit,$P220)=0,"",INDEX(EntryWit,$P220)))</f>
        <v/>
      </c>
      <c r="J220" s="29">
        <f>IF($B220="","",IF($A220=1,$C$7,IF(J219="",0,J219))+IF($H220="",0,$H220)-IF($I220="",0,$I220))</f>
        <v/>
      </c>
      <c r="K220" s="29">
        <f>IF($P220="","",IF(INDEX(EntryMan,$P220)=0,"",INDEX(EntryMan,$P220)))</f>
        <v/>
      </c>
      <c r="L220" s="28">
        <f>IF($B220="","",IF($K220="","—",IF(ROUND($K220-$J220,0)=0,"√","×")))</f>
        <v/>
      </c>
      <c r="M220" s="28">
        <f>IF($B220="","",IF(COUNTIFS(EntryDates,$B220,CalcTime,$C220,CalcBank,$C$5,EntryParty,$D220,EntryDep,$H220,EntryWit,$I220)&gt;1,"تکرار",""))</f>
        <v/>
      </c>
      <c r="N220" s="28">
        <f>IF($P220="","",IF(INDEX(EntryNotes,$P220)=0,"",INDEX(EntryNotes,$P220)))</f>
        <v/>
      </c>
      <c r="O220" s="28">
        <f>IF($P220="","",IF(INDEX(EntryTxnID,$P220)=0,"",INDEX(EntryTxnID,$P220)))</f>
        <v/>
      </c>
      <c r="P220" s="28">
        <f>IFERROR(MATCH($C$5&amp;"|"&amp;RIGHT("000000"&amp;204,6),CalcRankKey,0),"")</f>
        <v/>
      </c>
    </row>
    <row r="221">
      <c r="A221" s="26">
        <f>IF($B221="","",205)</f>
        <v/>
      </c>
      <c r="B221" s="26">
        <f>IF($P221="","",IF(INDEX(CalcNormDate,$P221)=0,"",INDEX(CalcNormDate,$P221)))</f>
        <v/>
      </c>
      <c r="C221" s="26">
        <f>IF($P221="","",IF(INDEX(CalcTime,$P221)=0,"",INDEX(CalcTime,$P221)))</f>
        <v/>
      </c>
      <c r="D221" s="26">
        <f>IF($P221="","",IF(INDEX(EntryParty,$P221)=0,"",INDEX(EntryParty,$P221)))</f>
        <v/>
      </c>
      <c r="E221" s="26">
        <f>IF($P221="","",IF(INDEX(EntryPartyName,$P221)=0,"",INDEX(EntryPartyName,$P221)))</f>
        <v/>
      </c>
      <c r="F221" s="26">
        <f>IF($P221="","",IF(INDEX(EntryPartyType,$P221)=0,"",INDEX(EntryPartyType,$P221)))</f>
        <v/>
      </c>
      <c r="G221" s="26">
        <f>IF($P221="","",IF(INDEX(EntryTxnType,$P221)=0,"",INDEX(EntryTxnType,$P221)))</f>
        <v/>
      </c>
      <c r="H221" s="27">
        <f>IF($P221="","",IF(INDEX(EntryDep,$P221)=0,"",INDEX(EntryDep,$P221)))</f>
        <v/>
      </c>
      <c r="I221" s="27">
        <f>IF($P221="","",IF(INDEX(EntryWit,$P221)=0,"",INDEX(EntryWit,$P221)))</f>
        <v/>
      </c>
      <c r="J221" s="27">
        <f>IF($B221="","",IF($A221=1,$C$7,IF(J220="",0,J220))+IF($H221="",0,$H221)-IF($I221="",0,$I221))</f>
        <v/>
      </c>
      <c r="K221" s="27">
        <f>IF($P221="","",IF(INDEX(EntryMan,$P221)=0,"",INDEX(EntryMan,$P221)))</f>
        <v/>
      </c>
      <c r="L221" s="26">
        <f>IF($B221="","",IF($K221="","—",IF(ROUND($K221-$J221,0)=0,"√","×")))</f>
        <v/>
      </c>
      <c r="M221" s="26">
        <f>IF($B221="","",IF(COUNTIFS(EntryDates,$B221,CalcTime,$C221,CalcBank,$C$5,EntryParty,$D221,EntryDep,$H221,EntryWit,$I221)&gt;1,"تکرار",""))</f>
        <v/>
      </c>
      <c r="N221" s="26">
        <f>IF($P221="","",IF(INDEX(EntryNotes,$P221)=0,"",INDEX(EntryNotes,$P221)))</f>
        <v/>
      </c>
      <c r="O221" s="26">
        <f>IF($P221="","",IF(INDEX(EntryTxnID,$P221)=0,"",INDEX(EntryTxnID,$P221)))</f>
        <v/>
      </c>
      <c r="P221" s="26">
        <f>IFERROR(MATCH($C$5&amp;"|"&amp;RIGHT("000000"&amp;205,6),CalcRankKey,0),"")</f>
        <v/>
      </c>
    </row>
    <row r="222">
      <c r="A222" s="28">
        <f>IF($B222="","",206)</f>
        <v/>
      </c>
      <c r="B222" s="28">
        <f>IF($P222="","",IF(INDEX(CalcNormDate,$P222)=0,"",INDEX(CalcNormDate,$P222)))</f>
        <v/>
      </c>
      <c r="C222" s="28">
        <f>IF($P222="","",IF(INDEX(CalcTime,$P222)=0,"",INDEX(CalcTime,$P222)))</f>
        <v/>
      </c>
      <c r="D222" s="28">
        <f>IF($P222="","",IF(INDEX(EntryParty,$P222)=0,"",INDEX(EntryParty,$P222)))</f>
        <v/>
      </c>
      <c r="E222" s="28">
        <f>IF($P222="","",IF(INDEX(EntryPartyName,$P222)=0,"",INDEX(EntryPartyName,$P222)))</f>
        <v/>
      </c>
      <c r="F222" s="28">
        <f>IF($P222="","",IF(INDEX(EntryPartyType,$P222)=0,"",INDEX(EntryPartyType,$P222)))</f>
        <v/>
      </c>
      <c r="G222" s="28">
        <f>IF($P222="","",IF(INDEX(EntryTxnType,$P222)=0,"",INDEX(EntryTxnType,$P222)))</f>
        <v/>
      </c>
      <c r="H222" s="29">
        <f>IF($P222="","",IF(INDEX(EntryDep,$P222)=0,"",INDEX(EntryDep,$P222)))</f>
        <v/>
      </c>
      <c r="I222" s="29">
        <f>IF($P222="","",IF(INDEX(EntryWit,$P222)=0,"",INDEX(EntryWit,$P222)))</f>
        <v/>
      </c>
      <c r="J222" s="29">
        <f>IF($B222="","",IF($A222=1,$C$7,IF(J221="",0,J221))+IF($H222="",0,$H222)-IF($I222="",0,$I222))</f>
        <v/>
      </c>
      <c r="K222" s="29">
        <f>IF($P222="","",IF(INDEX(EntryMan,$P222)=0,"",INDEX(EntryMan,$P222)))</f>
        <v/>
      </c>
      <c r="L222" s="28">
        <f>IF($B222="","",IF($K222="","—",IF(ROUND($K222-$J222,0)=0,"√","×")))</f>
        <v/>
      </c>
      <c r="M222" s="28">
        <f>IF($B222="","",IF(COUNTIFS(EntryDates,$B222,CalcTime,$C222,CalcBank,$C$5,EntryParty,$D222,EntryDep,$H222,EntryWit,$I222)&gt;1,"تکرار",""))</f>
        <v/>
      </c>
      <c r="N222" s="28">
        <f>IF($P222="","",IF(INDEX(EntryNotes,$P222)=0,"",INDEX(EntryNotes,$P222)))</f>
        <v/>
      </c>
      <c r="O222" s="28">
        <f>IF($P222="","",IF(INDEX(EntryTxnID,$P222)=0,"",INDEX(EntryTxnID,$P222)))</f>
        <v/>
      </c>
      <c r="P222" s="28">
        <f>IFERROR(MATCH($C$5&amp;"|"&amp;RIGHT("000000"&amp;206,6),CalcRankKey,0),"")</f>
        <v/>
      </c>
    </row>
    <row r="223">
      <c r="A223" s="26">
        <f>IF($B223="","",207)</f>
        <v/>
      </c>
      <c r="B223" s="26">
        <f>IF($P223="","",IF(INDEX(CalcNormDate,$P223)=0,"",INDEX(CalcNormDate,$P223)))</f>
        <v/>
      </c>
      <c r="C223" s="26">
        <f>IF($P223="","",IF(INDEX(CalcTime,$P223)=0,"",INDEX(CalcTime,$P223)))</f>
        <v/>
      </c>
      <c r="D223" s="26">
        <f>IF($P223="","",IF(INDEX(EntryParty,$P223)=0,"",INDEX(EntryParty,$P223)))</f>
        <v/>
      </c>
      <c r="E223" s="26">
        <f>IF($P223="","",IF(INDEX(EntryPartyName,$P223)=0,"",INDEX(EntryPartyName,$P223)))</f>
        <v/>
      </c>
      <c r="F223" s="26">
        <f>IF($P223="","",IF(INDEX(EntryPartyType,$P223)=0,"",INDEX(EntryPartyType,$P223)))</f>
        <v/>
      </c>
      <c r="G223" s="26">
        <f>IF($P223="","",IF(INDEX(EntryTxnType,$P223)=0,"",INDEX(EntryTxnType,$P223)))</f>
        <v/>
      </c>
      <c r="H223" s="27">
        <f>IF($P223="","",IF(INDEX(EntryDep,$P223)=0,"",INDEX(EntryDep,$P223)))</f>
        <v/>
      </c>
      <c r="I223" s="27">
        <f>IF($P223="","",IF(INDEX(EntryWit,$P223)=0,"",INDEX(EntryWit,$P223)))</f>
        <v/>
      </c>
      <c r="J223" s="27">
        <f>IF($B223="","",IF($A223=1,$C$7,IF(J222="",0,J222))+IF($H223="",0,$H223)-IF($I223="",0,$I223))</f>
        <v/>
      </c>
      <c r="K223" s="27">
        <f>IF($P223="","",IF(INDEX(EntryMan,$P223)=0,"",INDEX(EntryMan,$P223)))</f>
        <v/>
      </c>
      <c r="L223" s="26">
        <f>IF($B223="","",IF($K223="","—",IF(ROUND($K223-$J223,0)=0,"√","×")))</f>
        <v/>
      </c>
      <c r="M223" s="26">
        <f>IF($B223="","",IF(COUNTIFS(EntryDates,$B223,CalcTime,$C223,CalcBank,$C$5,EntryParty,$D223,EntryDep,$H223,EntryWit,$I223)&gt;1,"تکرار",""))</f>
        <v/>
      </c>
      <c r="N223" s="26">
        <f>IF($P223="","",IF(INDEX(EntryNotes,$P223)=0,"",INDEX(EntryNotes,$P223)))</f>
        <v/>
      </c>
      <c r="O223" s="26">
        <f>IF($P223="","",IF(INDEX(EntryTxnID,$P223)=0,"",INDEX(EntryTxnID,$P223)))</f>
        <v/>
      </c>
      <c r="P223" s="26">
        <f>IFERROR(MATCH($C$5&amp;"|"&amp;RIGHT("000000"&amp;207,6),CalcRankKey,0),"")</f>
        <v/>
      </c>
    </row>
    <row r="224">
      <c r="A224" s="28">
        <f>IF($B224="","",208)</f>
        <v/>
      </c>
      <c r="B224" s="28">
        <f>IF($P224="","",IF(INDEX(CalcNormDate,$P224)=0,"",INDEX(CalcNormDate,$P224)))</f>
        <v/>
      </c>
      <c r="C224" s="28">
        <f>IF($P224="","",IF(INDEX(CalcTime,$P224)=0,"",INDEX(CalcTime,$P224)))</f>
        <v/>
      </c>
      <c r="D224" s="28">
        <f>IF($P224="","",IF(INDEX(EntryParty,$P224)=0,"",INDEX(EntryParty,$P224)))</f>
        <v/>
      </c>
      <c r="E224" s="28">
        <f>IF($P224="","",IF(INDEX(EntryPartyName,$P224)=0,"",INDEX(EntryPartyName,$P224)))</f>
        <v/>
      </c>
      <c r="F224" s="28">
        <f>IF($P224="","",IF(INDEX(EntryPartyType,$P224)=0,"",INDEX(EntryPartyType,$P224)))</f>
        <v/>
      </c>
      <c r="G224" s="28">
        <f>IF($P224="","",IF(INDEX(EntryTxnType,$P224)=0,"",INDEX(EntryTxnType,$P224)))</f>
        <v/>
      </c>
      <c r="H224" s="29">
        <f>IF($P224="","",IF(INDEX(EntryDep,$P224)=0,"",INDEX(EntryDep,$P224)))</f>
        <v/>
      </c>
      <c r="I224" s="29">
        <f>IF($P224="","",IF(INDEX(EntryWit,$P224)=0,"",INDEX(EntryWit,$P224)))</f>
        <v/>
      </c>
      <c r="J224" s="29">
        <f>IF($B224="","",IF($A224=1,$C$7,IF(J223="",0,J223))+IF($H224="",0,$H224)-IF($I224="",0,$I224))</f>
        <v/>
      </c>
      <c r="K224" s="29">
        <f>IF($P224="","",IF(INDEX(EntryMan,$P224)=0,"",INDEX(EntryMan,$P224)))</f>
        <v/>
      </c>
      <c r="L224" s="28">
        <f>IF($B224="","",IF($K224="","—",IF(ROUND($K224-$J224,0)=0,"√","×")))</f>
        <v/>
      </c>
      <c r="M224" s="28">
        <f>IF($B224="","",IF(COUNTIFS(EntryDates,$B224,CalcTime,$C224,CalcBank,$C$5,EntryParty,$D224,EntryDep,$H224,EntryWit,$I224)&gt;1,"تکرار",""))</f>
        <v/>
      </c>
      <c r="N224" s="28">
        <f>IF($P224="","",IF(INDEX(EntryNotes,$P224)=0,"",INDEX(EntryNotes,$P224)))</f>
        <v/>
      </c>
      <c r="O224" s="28">
        <f>IF($P224="","",IF(INDEX(EntryTxnID,$P224)=0,"",INDEX(EntryTxnID,$P224)))</f>
        <v/>
      </c>
      <c r="P224" s="28">
        <f>IFERROR(MATCH($C$5&amp;"|"&amp;RIGHT("000000"&amp;208,6),CalcRankKey,0),"")</f>
        <v/>
      </c>
    </row>
    <row r="225">
      <c r="A225" s="26">
        <f>IF($B225="","",209)</f>
        <v/>
      </c>
      <c r="B225" s="26">
        <f>IF($P225="","",IF(INDEX(CalcNormDate,$P225)=0,"",INDEX(CalcNormDate,$P225)))</f>
        <v/>
      </c>
      <c r="C225" s="26">
        <f>IF($P225="","",IF(INDEX(CalcTime,$P225)=0,"",INDEX(CalcTime,$P225)))</f>
        <v/>
      </c>
      <c r="D225" s="26">
        <f>IF($P225="","",IF(INDEX(EntryParty,$P225)=0,"",INDEX(EntryParty,$P225)))</f>
        <v/>
      </c>
      <c r="E225" s="26">
        <f>IF($P225="","",IF(INDEX(EntryPartyName,$P225)=0,"",INDEX(EntryPartyName,$P225)))</f>
        <v/>
      </c>
      <c r="F225" s="26">
        <f>IF($P225="","",IF(INDEX(EntryPartyType,$P225)=0,"",INDEX(EntryPartyType,$P225)))</f>
        <v/>
      </c>
      <c r="G225" s="26">
        <f>IF($P225="","",IF(INDEX(EntryTxnType,$P225)=0,"",INDEX(EntryTxnType,$P225)))</f>
        <v/>
      </c>
      <c r="H225" s="27">
        <f>IF($P225="","",IF(INDEX(EntryDep,$P225)=0,"",INDEX(EntryDep,$P225)))</f>
        <v/>
      </c>
      <c r="I225" s="27">
        <f>IF($P225="","",IF(INDEX(EntryWit,$P225)=0,"",INDEX(EntryWit,$P225)))</f>
        <v/>
      </c>
      <c r="J225" s="27">
        <f>IF($B225="","",IF($A225=1,$C$7,IF(J224="",0,J224))+IF($H225="",0,$H225)-IF($I225="",0,$I225))</f>
        <v/>
      </c>
      <c r="K225" s="27">
        <f>IF($P225="","",IF(INDEX(EntryMan,$P225)=0,"",INDEX(EntryMan,$P225)))</f>
        <v/>
      </c>
      <c r="L225" s="26">
        <f>IF($B225="","",IF($K225="","—",IF(ROUND($K225-$J225,0)=0,"√","×")))</f>
        <v/>
      </c>
      <c r="M225" s="26">
        <f>IF($B225="","",IF(COUNTIFS(EntryDates,$B225,CalcTime,$C225,CalcBank,$C$5,EntryParty,$D225,EntryDep,$H225,EntryWit,$I225)&gt;1,"تکرار",""))</f>
        <v/>
      </c>
      <c r="N225" s="26">
        <f>IF($P225="","",IF(INDEX(EntryNotes,$P225)=0,"",INDEX(EntryNotes,$P225)))</f>
        <v/>
      </c>
      <c r="O225" s="26">
        <f>IF($P225="","",IF(INDEX(EntryTxnID,$P225)=0,"",INDEX(EntryTxnID,$P225)))</f>
        <v/>
      </c>
      <c r="P225" s="26">
        <f>IFERROR(MATCH($C$5&amp;"|"&amp;RIGHT("000000"&amp;209,6),CalcRankKey,0),"")</f>
        <v/>
      </c>
    </row>
    <row r="226">
      <c r="A226" s="28">
        <f>IF($B226="","",210)</f>
        <v/>
      </c>
      <c r="B226" s="28">
        <f>IF($P226="","",IF(INDEX(CalcNormDate,$P226)=0,"",INDEX(CalcNormDate,$P226)))</f>
        <v/>
      </c>
      <c r="C226" s="28">
        <f>IF($P226="","",IF(INDEX(CalcTime,$P226)=0,"",INDEX(CalcTime,$P226)))</f>
        <v/>
      </c>
      <c r="D226" s="28">
        <f>IF($P226="","",IF(INDEX(EntryParty,$P226)=0,"",INDEX(EntryParty,$P226)))</f>
        <v/>
      </c>
      <c r="E226" s="28">
        <f>IF($P226="","",IF(INDEX(EntryPartyName,$P226)=0,"",INDEX(EntryPartyName,$P226)))</f>
        <v/>
      </c>
      <c r="F226" s="28">
        <f>IF($P226="","",IF(INDEX(EntryPartyType,$P226)=0,"",INDEX(EntryPartyType,$P226)))</f>
        <v/>
      </c>
      <c r="G226" s="28">
        <f>IF($P226="","",IF(INDEX(EntryTxnType,$P226)=0,"",INDEX(EntryTxnType,$P226)))</f>
        <v/>
      </c>
      <c r="H226" s="29">
        <f>IF($P226="","",IF(INDEX(EntryDep,$P226)=0,"",INDEX(EntryDep,$P226)))</f>
        <v/>
      </c>
      <c r="I226" s="29">
        <f>IF($P226="","",IF(INDEX(EntryWit,$P226)=0,"",INDEX(EntryWit,$P226)))</f>
        <v/>
      </c>
      <c r="J226" s="29">
        <f>IF($B226="","",IF($A226=1,$C$7,IF(J225="",0,J225))+IF($H226="",0,$H226)-IF($I226="",0,$I226))</f>
        <v/>
      </c>
      <c r="K226" s="29">
        <f>IF($P226="","",IF(INDEX(EntryMan,$P226)=0,"",INDEX(EntryMan,$P226)))</f>
        <v/>
      </c>
      <c r="L226" s="28">
        <f>IF($B226="","",IF($K226="","—",IF(ROUND($K226-$J226,0)=0,"√","×")))</f>
        <v/>
      </c>
      <c r="M226" s="28">
        <f>IF($B226="","",IF(COUNTIFS(EntryDates,$B226,CalcTime,$C226,CalcBank,$C$5,EntryParty,$D226,EntryDep,$H226,EntryWit,$I226)&gt;1,"تکرار",""))</f>
        <v/>
      </c>
      <c r="N226" s="28">
        <f>IF($P226="","",IF(INDEX(EntryNotes,$P226)=0,"",INDEX(EntryNotes,$P226)))</f>
        <v/>
      </c>
      <c r="O226" s="28">
        <f>IF($P226="","",IF(INDEX(EntryTxnID,$P226)=0,"",INDEX(EntryTxnID,$P226)))</f>
        <v/>
      </c>
      <c r="P226" s="28">
        <f>IFERROR(MATCH($C$5&amp;"|"&amp;RIGHT("000000"&amp;210,6),CalcRankKey,0),"")</f>
        <v/>
      </c>
    </row>
    <row r="227">
      <c r="A227" s="26">
        <f>IF($B227="","",211)</f>
        <v/>
      </c>
      <c r="B227" s="26">
        <f>IF($P227="","",IF(INDEX(CalcNormDate,$P227)=0,"",INDEX(CalcNormDate,$P227)))</f>
        <v/>
      </c>
      <c r="C227" s="26">
        <f>IF($P227="","",IF(INDEX(CalcTime,$P227)=0,"",INDEX(CalcTime,$P227)))</f>
        <v/>
      </c>
      <c r="D227" s="26">
        <f>IF($P227="","",IF(INDEX(EntryParty,$P227)=0,"",INDEX(EntryParty,$P227)))</f>
        <v/>
      </c>
      <c r="E227" s="26">
        <f>IF($P227="","",IF(INDEX(EntryPartyName,$P227)=0,"",INDEX(EntryPartyName,$P227)))</f>
        <v/>
      </c>
      <c r="F227" s="26">
        <f>IF($P227="","",IF(INDEX(EntryPartyType,$P227)=0,"",INDEX(EntryPartyType,$P227)))</f>
        <v/>
      </c>
      <c r="G227" s="26">
        <f>IF($P227="","",IF(INDEX(EntryTxnType,$P227)=0,"",INDEX(EntryTxnType,$P227)))</f>
        <v/>
      </c>
      <c r="H227" s="27">
        <f>IF($P227="","",IF(INDEX(EntryDep,$P227)=0,"",INDEX(EntryDep,$P227)))</f>
        <v/>
      </c>
      <c r="I227" s="27">
        <f>IF($P227="","",IF(INDEX(EntryWit,$P227)=0,"",INDEX(EntryWit,$P227)))</f>
        <v/>
      </c>
      <c r="J227" s="27">
        <f>IF($B227="","",IF($A227=1,$C$7,IF(J226="",0,J226))+IF($H227="",0,$H227)-IF($I227="",0,$I227))</f>
        <v/>
      </c>
      <c r="K227" s="27">
        <f>IF($P227="","",IF(INDEX(EntryMan,$P227)=0,"",INDEX(EntryMan,$P227)))</f>
        <v/>
      </c>
      <c r="L227" s="26">
        <f>IF($B227="","",IF($K227="","—",IF(ROUND($K227-$J227,0)=0,"√","×")))</f>
        <v/>
      </c>
      <c r="M227" s="26">
        <f>IF($B227="","",IF(COUNTIFS(EntryDates,$B227,CalcTime,$C227,CalcBank,$C$5,EntryParty,$D227,EntryDep,$H227,EntryWit,$I227)&gt;1,"تکرار",""))</f>
        <v/>
      </c>
      <c r="N227" s="26">
        <f>IF($P227="","",IF(INDEX(EntryNotes,$P227)=0,"",INDEX(EntryNotes,$P227)))</f>
        <v/>
      </c>
      <c r="O227" s="26">
        <f>IF($P227="","",IF(INDEX(EntryTxnID,$P227)=0,"",INDEX(EntryTxnID,$P227)))</f>
        <v/>
      </c>
      <c r="P227" s="26">
        <f>IFERROR(MATCH($C$5&amp;"|"&amp;RIGHT("000000"&amp;211,6),CalcRankKey,0),"")</f>
        <v/>
      </c>
    </row>
    <row r="228">
      <c r="A228" s="28">
        <f>IF($B228="","",212)</f>
        <v/>
      </c>
      <c r="B228" s="28">
        <f>IF($P228="","",IF(INDEX(CalcNormDate,$P228)=0,"",INDEX(CalcNormDate,$P228)))</f>
        <v/>
      </c>
      <c r="C228" s="28">
        <f>IF($P228="","",IF(INDEX(CalcTime,$P228)=0,"",INDEX(CalcTime,$P228)))</f>
        <v/>
      </c>
      <c r="D228" s="28">
        <f>IF($P228="","",IF(INDEX(EntryParty,$P228)=0,"",INDEX(EntryParty,$P228)))</f>
        <v/>
      </c>
      <c r="E228" s="28">
        <f>IF($P228="","",IF(INDEX(EntryPartyName,$P228)=0,"",INDEX(EntryPartyName,$P228)))</f>
        <v/>
      </c>
      <c r="F228" s="28">
        <f>IF($P228="","",IF(INDEX(EntryPartyType,$P228)=0,"",INDEX(EntryPartyType,$P228)))</f>
        <v/>
      </c>
      <c r="G228" s="28">
        <f>IF($P228="","",IF(INDEX(EntryTxnType,$P228)=0,"",INDEX(EntryTxnType,$P228)))</f>
        <v/>
      </c>
      <c r="H228" s="29">
        <f>IF($P228="","",IF(INDEX(EntryDep,$P228)=0,"",INDEX(EntryDep,$P228)))</f>
        <v/>
      </c>
      <c r="I228" s="29">
        <f>IF($P228="","",IF(INDEX(EntryWit,$P228)=0,"",INDEX(EntryWit,$P228)))</f>
        <v/>
      </c>
      <c r="J228" s="29">
        <f>IF($B228="","",IF($A228=1,$C$7,IF(J227="",0,J227))+IF($H228="",0,$H228)-IF($I228="",0,$I228))</f>
        <v/>
      </c>
      <c r="K228" s="29">
        <f>IF($P228="","",IF(INDEX(EntryMan,$P228)=0,"",INDEX(EntryMan,$P228)))</f>
        <v/>
      </c>
      <c r="L228" s="28">
        <f>IF($B228="","",IF($K228="","—",IF(ROUND($K228-$J228,0)=0,"√","×")))</f>
        <v/>
      </c>
      <c r="M228" s="28">
        <f>IF($B228="","",IF(COUNTIFS(EntryDates,$B228,CalcTime,$C228,CalcBank,$C$5,EntryParty,$D228,EntryDep,$H228,EntryWit,$I228)&gt;1,"تکرار",""))</f>
        <v/>
      </c>
      <c r="N228" s="28">
        <f>IF($P228="","",IF(INDEX(EntryNotes,$P228)=0,"",INDEX(EntryNotes,$P228)))</f>
        <v/>
      </c>
      <c r="O228" s="28">
        <f>IF($P228="","",IF(INDEX(EntryTxnID,$P228)=0,"",INDEX(EntryTxnID,$P228)))</f>
        <v/>
      </c>
      <c r="P228" s="28">
        <f>IFERROR(MATCH($C$5&amp;"|"&amp;RIGHT("000000"&amp;212,6),CalcRankKey,0),"")</f>
        <v/>
      </c>
    </row>
    <row r="229">
      <c r="A229" s="26">
        <f>IF($B229="","",213)</f>
        <v/>
      </c>
      <c r="B229" s="26">
        <f>IF($P229="","",IF(INDEX(CalcNormDate,$P229)=0,"",INDEX(CalcNormDate,$P229)))</f>
        <v/>
      </c>
      <c r="C229" s="26">
        <f>IF($P229="","",IF(INDEX(CalcTime,$P229)=0,"",INDEX(CalcTime,$P229)))</f>
        <v/>
      </c>
      <c r="D229" s="26">
        <f>IF($P229="","",IF(INDEX(EntryParty,$P229)=0,"",INDEX(EntryParty,$P229)))</f>
        <v/>
      </c>
      <c r="E229" s="26">
        <f>IF($P229="","",IF(INDEX(EntryPartyName,$P229)=0,"",INDEX(EntryPartyName,$P229)))</f>
        <v/>
      </c>
      <c r="F229" s="26">
        <f>IF($P229="","",IF(INDEX(EntryPartyType,$P229)=0,"",INDEX(EntryPartyType,$P229)))</f>
        <v/>
      </c>
      <c r="G229" s="26">
        <f>IF($P229="","",IF(INDEX(EntryTxnType,$P229)=0,"",INDEX(EntryTxnType,$P229)))</f>
        <v/>
      </c>
      <c r="H229" s="27">
        <f>IF($P229="","",IF(INDEX(EntryDep,$P229)=0,"",INDEX(EntryDep,$P229)))</f>
        <v/>
      </c>
      <c r="I229" s="27">
        <f>IF($P229="","",IF(INDEX(EntryWit,$P229)=0,"",INDEX(EntryWit,$P229)))</f>
        <v/>
      </c>
      <c r="J229" s="27">
        <f>IF($B229="","",IF($A229=1,$C$7,IF(J228="",0,J228))+IF($H229="",0,$H229)-IF($I229="",0,$I229))</f>
        <v/>
      </c>
      <c r="K229" s="27">
        <f>IF($P229="","",IF(INDEX(EntryMan,$P229)=0,"",INDEX(EntryMan,$P229)))</f>
        <v/>
      </c>
      <c r="L229" s="26">
        <f>IF($B229="","",IF($K229="","—",IF(ROUND($K229-$J229,0)=0,"√","×")))</f>
        <v/>
      </c>
      <c r="M229" s="26">
        <f>IF($B229="","",IF(COUNTIFS(EntryDates,$B229,CalcTime,$C229,CalcBank,$C$5,EntryParty,$D229,EntryDep,$H229,EntryWit,$I229)&gt;1,"تکرار",""))</f>
        <v/>
      </c>
      <c r="N229" s="26">
        <f>IF($P229="","",IF(INDEX(EntryNotes,$P229)=0,"",INDEX(EntryNotes,$P229)))</f>
        <v/>
      </c>
      <c r="O229" s="26">
        <f>IF($P229="","",IF(INDEX(EntryTxnID,$P229)=0,"",INDEX(EntryTxnID,$P229)))</f>
        <v/>
      </c>
      <c r="P229" s="26">
        <f>IFERROR(MATCH($C$5&amp;"|"&amp;RIGHT("000000"&amp;213,6),CalcRankKey,0),"")</f>
        <v/>
      </c>
    </row>
    <row r="230">
      <c r="A230" s="28">
        <f>IF($B230="","",214)</f>
        <v/>
      </c>
      <c r="B230" s="28">
        <f>IF($P230="","",IF(INDEX(CalcNormDate,$P230)=0,"",INDEX(CalcNormDate,$P230)))</f>
        <v/>
      </c>
      <c r="C230" s="28">
        <f>IF($P230="","",IF(INDEX(CalcTime,$P230)=0,"",INDEX(CalcTime,$P230)))</f>
        <v/>
      </c>
      <c r="D230" s="28">
        <f>IF($P230="","",IF(INDEX(EntryParty,$P230)=0,"",INDEX(EntryParty,$P230)))</f>
        <v/>
      </c>
      <c r="E230" s="28">
        <f>IF($P230="","",IF(INDEX(EntryPartyName,$P230)=0,"",INDEX(EntryPartyName,$P230)))</f>
        <v/>
      </c>
      <c r="F230" s="28">
        <f>IF($P230="","",IF(INDEX(EntryPartyType,$P230)=0,"",INDEX(EntryPartyType,$P230)))</f>
        <v/>
      </c>
      <c r="G230" s="28">
        <f>IF($P230="","",IF(INDEX(EntryTxnType,$P230)=0,"",INDEX(EntryTxnType,$P230)))</f>
        <v/>
      </c>
      <c r="H230" s="29">
        <f>IF($P230="","",IF(INDEX(EntryDep,$P230)=0,"",INDEX(EntryDep,$P230)))</f>
        <v/>
      </c>
      <c r="I230" s="29">
        <f>IF($P230="","",IF(INDEX(EntryWit,$P230)=0,"",INDEX(EntryWit,$P230)))</f>
        <v/>
      </c>
      <c r="J230" s="29">
        <f>IF($B230="","",IF($A230=1,$C$7,IF(J229="",0,J229))+IF($H230="",0,$H230)-IF($I230="",0,$I230))</f>
        <v/>
      </c>
      <c r="K230" s="29">
        <f>IF($P230="","",IF(INDEX(EntryMan,$P230)=0,"",INDEX(EntryMan,$P230)))</f>
        <v/>
      </c>
      <c r="L230" s="28">
        <f>IF($B230="","",IF($K230="","—",IF(ROUND($K230-$J230,0)=0,"√","×")))</f>
        <v/>
      </c>
      <c r="M230" s="28">
        <f>IF($B230="","",IF(COUNTIFS(EntryDates,$B230,CalcTime,$C230,CalcBank,$C$5,EntryParty,$D230,EntryDep,$H230,EntryWit,$I230)&gt;1,"تکرار",""))</f>
        <v/>
      </c>
      <c r="N230" s="28">
        <f>IF($P230="","",IF(INDEX(EntryNotes,$P230)=0,"",INDEX(EntryNotes,$P230)))</f>
        <v/>
      </c>
      <c r="O230" s="28">
        <f>IF($P230="","",IF(INDEX(EntryTxnID,$P230)=0,"",INDEX(EntryTxnID,$P230)))</f>
        <v/>
      </c>
      <c r="P230" s="28">
        <f>IFERROR(MATCH($C$5&amp;"|"&amp;RIGHT("000000"&amp;214,6),CalcRankKey,0),"")</f>
        <v/>
      </c>
    </row>
    <row r="231">
      <c r="A231" s="26">
        <f>IF($B231="","",215)</f>
        <v/>
      </c>
      <c r="B231" s="26">
        <f>IF($P231="","",IF(INDEX(CalcNormDate,$P231)=0,"",INDEX(CalcNormDate,$P231)))</f>
        <v/>
      </c>
      <c r="C231" s="26">
        <f>IF($P231="","",IF(INDEX(CalcTime,$P231)=0,"",INDEX(CalcTime,$P231)))</f>
        <v/>
      </c>
      <c r="D231" s="26">
        <f>IF($P231="","",IF(INDEX(EntryParty,$P231)=0,"",INDEX(EntryParty,$P231)))</f>
        <v/>
      </c>
      <c r="E231" s="26">
        <f>IF($P231="","",IF(INDEX(EntryPartyName,$P231)=0,"",INDEX(EntryPartyName,$P231)))</f>
        <v/>
      </c>
      <c r="F231" s="26">
        <f>IF($P231="","",IF(INDEX(EntryPartyType,$P231)=0,"",INDEX(EntryPartyType,$P231)))</f>
        <v/>
      </c>
      <c r="G231" s="26">
        <f>IF($P231="","",IF(INDEX(EntryTxnType,$P231)=0,"",INDEX(EntryTxnType,$P231)))</f>
        <v/>
      </c>
      <c r="H231" s="27">
        <f>IF($P231="","",IF(INDEX(EntryDep,$P231)=0,"",INDEX(EntryDep,$P231)))</f>
        <v/>
      </c>
      <c r="I231" s="27">
        <f>IF($P231="","",IF(INDEX(EntryWit,$P231)=0,"",INDEX(EntryWit,$P231)))</f>
        <v/>
      </c>
      <c r="J231" s="27">
        <f>IF($B231="","",IF($A231=1,$C$7,IF(J230="",0,J230))+IF($H231="",0,$H231)-IF($I231="",0,$I231))</f>
        <v/>
      </c>
      <c r="K231" s="27">
        <f>IF($P231="","",IF(INDEX(EntryMan,$P231)=0,"",INDEX(EntryMan,$P231)))</f>
        <v/>
      </c>
      <c r="L231" s="26">
        <f>IF($B231="","",IF($K231="","—",IF(ROUND($K231-$J231,0)=0,"√","×")))</f>
        <v/>
      </c>
      <c r="M231" s="26">
        <f>IF($B231="","",IF(COUNTIFS(EntryDates,$B231,CalcTime,$C231,CalcBank,$C$5,EntryParty,$D231,EntryDep,$H231,EntryWit,$I231)&gt;1,"تکرار",""))</f>
        <v/>
      </c>
      <c r="N231" s="26">
        <f>IF($P231="","",IF(INDEX(EntryNotes,$P231)=0,"",INDEX(EntryNotes,$P231)))</f>
        <v/>
      </c>
      <c r="O231" s="26">
        <f>IF($P231="","",IF(INDEX(EntryTxnID,$P231)=0,"",INDEX(EntryTxnID,$P231)))</f>
        <v/>
      </c>
      <c r="P231" s="26">
        <f>IFERROR(MATCH($C$5&amp;"|"&amp;RIGHT("000000"&amp;215,6),CalcRankKey,0),"")</f>
        <v/>
      </c>
    </row>
    <row r="232">
      <c r="A232" s="28">
        <f>IF($B232="","",216)</f>
        <v/>
      </c>
      <c r="B232" s="28">
        <f>IF($P232="","",IF(INDEX(CalcNormDate,$P232)=0,"",INDEX(CalcNormDate,$P232)))</f>
        <v/>
      </c>
      <c r="C232" s="28">
        <f>IF($P232="","",IF(INDEX(CalcTime,$P232)=0,"",INDEX(CalcTime,$P232)))</f>
        <v/>
      </c>
      <c r="D232" s="28">
        <f>IF($P232="","",IF(INDEX(EntryParty,$P232)=0,"",INDEX(EntryParty,$P232)))</f>
        <v/>
      </c>
      <c r="E232" s="28">
        <f>IF($P232="","",IF(INDEX(EntryPartyName,$P232)=0,"",INDEX(EntryPartyName,$P232)))</f>
        <v/>
      </c>
      <c r="F232" s="28">
        <f>IF($P232="","",IF(INDEX(EntryPartyType,$P232)=0,"",INDEX(EntryPartyType,$P232)))</f>
        <v/>
      </c>
      <c r="G232" s="28">
        <f>IF($P232="","",IF(INDEX(EntryTxnType,$P232)=0,"",INDEX(EntryTxnType,$P232)))</f>
        <v/>
      </c>
      <c r="H232" s="29">
        <f>IF($P232="","",IF(INDEX(EntryDep,$P232)=0,"",INDEX(EntryDep,$P232)))</f>
        <v/>
      </c>
      <c r="I232" s="29">
        <f>IF($P232="","",IF(INDEX(EntryWit,$P232)=0,"",INDEX(EntryWit,$P232)))</f>
        <v/>
      </c>
      <c r="J232" s="29">
        <f>IF($B232="","",IF($A232=1,$C$7,IF(J231="",0,J231))+IF($H232="",0,$H232)-IF($I232="",0,$I232))</f>
        <v/>
      </c>
      <c r="K232" s="29">
        <f>IF($P232="","",IF(INDEX(EntryMan,$P232)=0,"",INDEX(EntryMan,$P232)))</f>
        <v/>
      </c>
      <c r="L232" s="28">
        <f>IF($B232="","",IF($K232="","—",IF(ROUND($K232-$J232,0)=0,"√","×")))</f>
        <v/>
      </c>
      <c r="M232" s="28">
        <f>IF($B232="","",IF(COUNTIFS(EntryDates,$B232,CalcTime,$C232,CalcBank,$C$5,EntryParty,$D232,EntryDep,$H232,EntryWit,$I232)&gt;1,"تکرار",""))</f>
        <v/>
      </c>
      <c r="N232" s="28">
        <f>IF($P232="","",IF(INDEX(EntryNotes,$P232)=0,"",INDEX(EntryNotes,$P232)))</f>
        <v/>
      </c>
      <c r="O232" s="28">
        <f>IF($P232="","",IF(INDEX(EntryTxnID,$P232)=0,"",INDEX(EntryTxnID,$P232)))</f>
        <v/>
      </c>
      <c r="P232" s="28">
        <f>IFERROR(MATCH($C$5&amp;"|"&amp;RIGHT("000000"&amp;216,6),CalcRankKey,0),"")</f>
        <v/>
      </c>
    </row>
    <row r="233">
      <c r="A233" s="26">
        <f>IF($B233="","",217)</f>
        <v/>
      </c>
      <c r="B233" s="26">
        <f>IF($P233="","",IF(INDEX(CalcNormDate,$P233)=0,"",INDEX(CalcNormDate,$P233)))</f>
        <v/>
      </c>
      <c r="C233" s="26">
        <f>IF($P233="","",IF(INDEX(CalcTime,$P233)=0,"",INDEX(CalcTime,$P233)))</f>
        <v/>
      </c>
      <c r="D233" s="26">
        <f>IF($P233="","",IF(INDEX(EntryParty,$P233)=0,"",INDEX(EntryParty,$P233)))</f>
        <v/>
      </c>
      <c r="E233" s="26">
        <f>IF($P233="","",IF(INDEX(EntryPartyName,$P233)=0,"",INDEX(EntryPartyName,$P233)))</f>
        <v/>
      </c>
      <c r="F233" s="26">
        <f>IF($P233="","",IF(INDEX(EntryPartyType,$P233)=0,"",INDEX(EntryPartyType,$P233)))</f>
        <v/>
      </c>
      <c r="G233" s="26">
        <f>IF($P233="","",IF(INDEX(EntryTxnType,$P233)=0,"",INDEX(EntryTxnType,$P233)))</f>
        <v/>
      </c>
      <c r="H233" s="27">
        <f>IF($P233="","",IF(INDEX(EntryDep,$P233)=0,"",INDEX(EntryDep,$P233)))</f>
        <v/>
      </c>
      <c r="I233" s="27">
        <f>IF($P233="","",IF(INDEX(EntryWit,$P233)=0,"",INDEX(EntryWit,$P233)))</f>
        <v/>
      </c>
      <c r="J233" s="27">
        <f>IF($B233="","",IF($A233=1,$C$7,IF(J232="",0,J232))+IF($H233="",0,$H233)-IF($I233="",0,$I233))</f>
        <v/>
      </c>
      <c r="K233" s="27">
        <f>IF($P233="","",IF(INDEX(EntryMan,$P233)=0,"",INDEX(EntryMan,$P233)))</f>
        <v/>
      </c>
      <c r="L233" s="26">
        <f>IF($B233="","",IF($K233="","—",IF(ROUND($K233-$J233,0)=0,"√","×")))</f>
        <v/>
      </c>
      <c r="M233" s="26">
        <f>IF($B233="","",IF(COUNTIFS(EntryDates,$B233,CalcTime,$C233,CalcBank,$C$5,EntryParty,$D233,EntryDep,$H233,EntryWit,$I233)&gt;1,"تکرار",""))</f>
        <v/>
      </c>
      <c r="N233" s="26">
        <f>IF($P233="","",IF(INDEX(EntryNotes,$P233)=0,"",INDEX(EntryNotes,$P233)))</f>
        <v/>
      </c>
      <c r="O233" s="26">
        <f>IF($P233="","",IF(INDEX(EntryTxnID,$P233)=0,"",INDEX(EntryTxnID,$P233)))</f>
        <v/>
      </c>
      <c r="P233" s="26">
        <f>IFERROR(MATCH($C$5&amp;"|"&amp;RIGHT("000000"&amp;217,6),CalcRankKey,0),"")</f>
        <v/>
      </c>
    </row>
    <row r="234">
      <c r="A234" s="28">
        <f>IF($B234="","",218)</f>
        <v/>
      </c>
      <c r="B234" s="28">
        <f>IF($P234="","",IF(INDEX(CalcNormDate,$P234)=0,"",INDEX(CalcNormDate,$P234)))</f>
        <v/>
      </c>
      <c r="C234" s="28">
        <f>IF($P234="","",IF(INDEX(CalcTime,$P234)=0,"",INDEX(CalcTime,$P234)))</f>
        <v/>
      </c>
      <c r="D234" s="28">
        <f>IF($P234="","",IF(INDEX(EntryParty,$P234)=0,"",INDEX(EntryParty,$P234)))</f>
        <v/>
      </c>
      <c r="E234" s="28">
        <f>IF($P234="","",IF(INDEX(EntryPartyName,$P234)=0,"",INDEX(EntryPartyName,$P234)))</f>
        <v/>
      </c>
      <c r="F234" s="28">
        <f>IF($P234="","",IF(INDEX(EntryPartyType,$P234)=0,"",INDEX(EntryPartyType,$P234)))</f>
        <v/>
      </c>
      <c r="G234" s="28">
        <f>IF($P234="","",IF(INDEX(EntryTxnType,$P234)=0,"",INDEX(EntryTxnType,$P234)))</f>
        <v/>
      </c>
      <c r="H234" s="29">
        <f>IF($P234="","",IF(INDEX(EntryDep,$P234)=0,"",INDEX(EntryDep,$P234)))</f>
        <v/>
      </c>
      <c r="I234" s="29">
        <f>IF($P234="","",IF(INDEX(EntryWit,$P234)=0,"",INDEX(EntryWit,$P234)))</f>
        <v/>
      </c>
      <c r="J234" s="29">
        <f>IF($B234="","",IF($A234=1,$C$7,IF(J233="",0,J233))+IF($H234="",0,$H234)-IF($I234="",0,$I234))</f>
        <v/>
      </c>
      <c r="K234" s="29">
        <f>IF($P234="","",IF(INDEX(EntryMan,$P234)=0,"",INDEX(EntryMan,$P234)))</f>
        <v/>
      </c>
      <c r="L234" s="28">
        <f>IF($B234="","",IF($K234="","—",IF(ROUND($K234-$J234,0)=0,"√","×")))</f>
        <v/>
      </c>
      <c r="M234" s="28">
        <f>IF($B234="","",IF(COUNTIFS(EntryDates,$B234,CalcTime,$C234,CalcBank,$C$5,EntryParty,$D234,EntryDep,$H234,EntryWit,$I234)&gt;1,"تکرار",""))</f>
        <v/>
      </c>
      <c r="N234" s="28">
        <f>IF($P234="","",IF(INDEX(EntryNotes,$P234)=0,"",INDEX(EntryNotes,$P234)))</f>
        <v/>
      </c>
      <c r="O234" s="28">
        <f>IF($P234="","",IF(INDEX(EntryTxnID,$P234)=0,"",INDEX(EntryTxnID,$P234)))</f>
        <v/>
      </c>
      <c r="P234" s="28">
        <f>IFERROR(MATCH($C$5&amp;"|"&amp;RIGHT("000000"&amp;218,6),CalcRankKey,0),"")</f>
        <v/>
      </c>
    </row>
    <row r="235">
      <c r="A235" s="26">
        <f>IF($B235="","",219)</f>
        <v/>
      </c>
      <c r="B235" s="26">
        <f>IF($P235="","",IF(INDEX(CalcNormDate,$P235)=0,"",INDEX(CalcNormDate,$P235)))</f>
        <v/>
      </c>
      <c r="C235" s="26">
        <f>IF($P235="","",IF(INDEX(CalcTime,$P235)=0,"",INDEX(CalcTime,$P235)))</f>
        <v/>
      </c>
      <c r="D235" s="26">
        <f>IF($P235="","",IF(INDEX(EntryParty,$P235)=0,"",INDEX(EntryParty,$P235)))</f>
        <v/>
      </c>
      <c r="E235" s="26">
        <f>IF($P235="","",IF(INDEX(EntryPartyName,$P235)=0,"",INDEX(EntryPartyName,$P235)))</f>
        <v/>
      </c>
      <c r="F235" s="26">
        <f>IF($P235="","",IF(INDEX(EntryPartyType,$P235)=0,"",INDEX(EntryPartyType,$P235)))</f>
        <v/>
      </c>
      <c r="G235" s="26">
        <f>IF($P235="","",IF(INDEX(EntryTxnType,$P235)=0,"",INDEX(EntryTxnType,$P235)))</f>
        <v/>
      </c>
      <c r="H235" s="27">
        <f>IF($P235="","",IF(INDEX(EntryDep,$P235)=0,"",INDEX(EntryDep,$P235)))</f>
        <v/>
      </c>
      <c r="I235" s="27">
        <f>IF($P235="","",IF(INDEX(EntryWit,$P235)=0,"",INDEX(EntryWit,$P235)))</f>
        <v/>
      </c>
      <c r="J235" s="27">
        <f>IF($B235="","",IF($A235=1,$C$7,IF(J234="",0,J234))+IF($H235="",0,$H235)-IF($I235="",0,$I235))</f>
        <v/>
      </c>
      <c r="K235" s="27">
        <f>IF($P235="","",IF(INDEX(EntryMan,$P235)=0,"",INDEX(EntryMan,$P235)))</f>
        <v/>
      </c>
      <c r="L235" s="26">
        <f>IF($B235="","",IF($K235="","—",IF(ROUND($K235-$J235,0)=0,"√","×")))</f>
        <v/>
      </c>
      <c r="M235" s="26">
        <f>IF($B235="","",IF(COUNTIFS(EntryDates,$B235,CalcTime,$C235,CalcBank,$C$5,EntryParty,$D235,EntryDep,$H235,EntryWit,$I235)&gt;1,"تکرار",""))</f>
        <v/>
      </c>
      <c r="N235" s="26">
        <f>IF($P235="","",IF(INDEX(EntryNotes,$P235)=0,"",INDEX(EntryNotes,$P235)))</f>
        <v/>
      </c>
      <c r="O235" s="26">
        <f>IF($P235="","",IF(INDEX(EntryTxnID,$P235)=0,"",INDEX(EntryTxnID,$P235)))</f>
        <v/>
      </c>
      <c r="P235" s="26">
        <f>IFERROR(MATCH($C$5&amp;"|"&amp;RIGHT("000000"&amp;219,6),CalcRankKey,0),"")</f>
        <v/>
      </c>
    </row>
    <row r="236">
      <c r="A236" s="28">
        <f>IF($B236="","",220)</f>
        <v/>
      </c>
      <c r="B236" s="28">
        <f>IF($P236="","",IF(INDEX(CalcNormDate,$P236)=0,"",INDEX(CalcNormDate,$P236)))</f>
        <v/>
      </c>
      <c r="C236" s="28">
        <f>IF($P236="","",IF(INDEX(CalcTime,$P236)=0,"",INDEX(CalcTime,$P236)))</f>
        <v/>
      </c>
      <c r="D236" s="28">
        <f>IF($P236="","",IF(INDEX(EntryParty,$P236)=0,"",INDEX(EntryParty,$P236)))</f>
        <v/>
      </c>
      <c r="E236" s="28">
        <f>IF($P236="","",IF(INDEX(EntryPartyName,$P236)=0,"",INDEX(EntryPartyName,$P236)))</f>
        <v/>
      </c>
      <c r="F236" s="28">
        <f>IF($P236="","",IF(INDEX(EntryPartyType,$P236)=0,"",INDEX(EntryPartyType,$P236)))</f>
        <v/>
      </c>
      <c r="G236" s="28">
        <f>IF($P236="","",IF(INDEX(EntryTxnType,$P236)=0,"",INDEX(EntryTxnType,$P236)))</f>
        <v/>
      </c>
      <c r="H236" s="29">
        <f>IF($P236="","",IF(INDEX(EntryDep,$P236)=0,"",INDEX(EntryDep,$P236)))</f>
        <v/>
      </c>
      <c r="I236" s="29">
        <f>IF($P236="","",IF(INDEX(EntryWit,$P236)=0,"",INDEX(EntryWit,$P236)))</f>
        <v/>
      </c>
      <c r="J236" s="29">
        <f>IF($B236="","",IF($A236=1,$C$7,IF(J235="",0,J235))+IF($H236="",0,$H236)-IF($I236="",0,$I236))</f>
        <v/>
      </c>
      <c r="K236" s="29">
        <f>IF($P236="","",IF(INDEX(EntryMan,$P236)=0,"",INDEX(EntryMan,$P236)))</f>
        <v/>
      </c>
      <c r="L236" s="28">
        <f>IF($B236="","",IF($K236="","—",IF(ROUND($K236-$J236,0)=0,"√","×")))</f>
        <v/>
      </c>
      <c r="M236" s="28">
        <f>IF($B236="","",IF(COUNTIFS(EntryDates,$B236,CalcTime,$C236,CalcBank,$C$5,EntryParty,$D236,EntryDep,$H236,EntryWit,$I236)&gt;1,"تکرار",""))</f>
        <v/>
      </c>
      <c r="N236" s="28">
        <f>IF($P236="","",IF(INDEX(EntryNotes,$P236)=0,"",INDEX(EntryNotes,$P236)))</f>
        <v/>
      </c>
      <c r="O236" s="28">
        <f>IF($P236="","",IF(INDEX(EntryTxnID,$P236)=0,"",INDEX(EntryTxnID,$P236)))</f>
        <v/>
      </c>
      <c r="P236" s="28">
        <f>IFERROR(MATCH($C$5&amp;"|"&amp;RIGHT("000000"&amp;220,6),CalcRankKey,0),"")</f>
        <v/>
      </c>
    </row>
    <row r="237">
      <c r="A237" s="26">
        <f>IF($B237="","",221)</f>
        <v/>
      </c>
      <c r="B237" s="26">
        <f>IF($P237="","",IF(INDEX(CalcNormDate,$P237)=0,"",INDEX(CalcNormDate,$P237)))</f>
        <v/>
      </c>
      <c r="C237" s="26">
        <f>IF($P237="","",IF(INDEX(CalcTime,$P237)=0,"",INDEX(CalcTime,$P237)))</f>
        <v/>
      </c>
      <c r="D237" s="26">
        <f>IF($P237="","",IF(INDEX(EntryParty,$P237)=0,"",INDEX(EntryParty,$P237)))</f>
        <v/>
      </c>
      <c r="E237" s="26">
        <f>IF($P237="","",IF(INDEX(EntryPartyName,$P237)=0,"",INDEX(EntryPartyName,$P237)))</f>
        <v/>
      </c>
      <c r="F237" s="26">
        <f>IF($P237="","",IF(INDEX(EntryPartyType,$P237)=0,"",INDEX(EntryPartyType,$P237)))</f>
        <v/>
      </c>
      <c r="G237" s="26">
        <f>IF($P237="","",IF(INDEX(EntryTxnType,$P237)=0,"",INDEX(EntryTxnType,$P237)))</f>
        <v/>
      </c>
      <c r="H237" s="27">
        <f>IF($P237="","",IF(INDEX(EntryDep,$P237)=0,"",INDEX(EntryDep,$P237)))</f>
        <v/>
      </c>
      <c r="I237" s="27">
        <f>IF($P237="","",IF(INDEX(EntryWit,$P237)=0,"",INDEX(EntryWit,$P237)))</f>
        <v/>
      </c>
      <c r="J237" s="27">
        <f>IF($B237="","",IF($A237=1,$C$7,IF(J236="",0,J236))+IF($H237="",0,$H237)-IF($I237="",0,$I237))</f>
        <v/>
      </c>
      <c r="K237" s="27">
        <f>IF($P237="","",IF(INDEX(EntryMan,$P237)=0,"",INDEX(EntryMan,$P237)))</f>
        <v/>
      </c>
      <c r="L237" s="26">
        <f>IF($B237="","",IF($K237="","—",IF(ROUND($K237-$J237,0)=0,"√","×")))</f>
        <v/>
      </c>
      <c r="M237" s="26">
        <f>IF($B237="","",IF(COUNTIFS(EntryDates,$B237,CalcTime,$C237,CalcBank,$C$5,EntryParty,$D237,EntryDep,$H237,EntryWit,$I237)&gt;1,"تکرار",""))</f>
        <v/>
      </c>
      <c r="N237" s="26">
        <f>IF($P237="","",IF(INDEX(EntryNotes,$P237)=0,"",INDEX(EntryNotes,$P237)))</f>
        <v/>
      </c>
      <c r="O237" s="26">
        <f>IF($P237="","",IF(INDEX(EntryTxnID,$P237)=0,"",INDEX(EntryTxnID,$P237)))</f>
        <v/>
      </c>
      <c r="P237" s="26">
        <f>IFERROR(MATCH($C$5&amp;"|"&amp;RIGHT("000000"&amp;221,6),CalcRankKey,0),"")</f>
        <v/>
      </c>
    </row>
    <row r="238">
      <c r="A238" s="28">
        <f>IF($B238="","",222)</f>
        <v/>
      </c>
      <c r="B238" s="28">
        <f>IF($P238="","",IF(INDEX(CalcNormDate,$P238)=0,"",INDEX(CalcNormDate,$P238)))</f>
        <v/>
      </c>
      <c r="C238" s="28">
        <f>IF($P238="","",IF(INDEX(CalcTime,$P238)=0,"",INDEX(CalcTime,$P238)))</f>
        <v/>
      </c>
      <c r="D238" s="28">
        <f>IF($P238="","",IF(INDEX(EntryParty,$P238)=0,"",INDEX(EntryParty,$P238)))</f>
        <v/>
      </c>
      <c r="E238" s="28">
        <f>IF($P238="","",IF(INDEX(EntryPartyName,$P238)=0,"",INDEX(EntryPartyName,$P238)))</f>
        <v/>
      </c>
      <c r="F238" s="28">
        <f>IF($P238="","",IF(INDEX(EntryPartyType,$P238)=0,"",INDEX(EntryPartyType,$P238)))</f>
        <v/>
      </c>
      <c r="G238" s="28">
        <f>IF($P238="","",IF(INDEX(EntryTxnType,$P238)=0,"",INDEX(EntryTxnType,$P238)))</f>
        <v/>
      </c>
      <c r="H238" s="29">
        <f>IF($P238="","",IF(INDEX(EntryDep,$P238)=0,"",INDEX(EntryDep,$P238)))</f>
        <v/>
      </c>
      <c r="I238" s="29">
        <f>IF($P238="","",IF(INDEX(EntryWit,$P238)=0,"",INDEX(EntryWit,$P238)))</f>
        <v/>
      </c>
      <c r="J238" s="29">
        <f>IF($B238="","",IF($A238=1,$C$7,IF(J237="",0,J237))+IF($H238="",0,$H238)-IF($I238="",0,$I238))</f>
        <v/>
      </c>
      <c r="K238" s="29">
        <f>IF($P238="","",IF(INDEX(EntryMan,$P238)=0,"",INDEX(EntryMan,$P238)))</f>
        <v/>
      </c>
      <c r="L238" s="28">
        <f>IF($B238="","",IF($K238="","—",IF(ROUND($K238-$J238,0)=0,"√","×")))</f>
        <v/>
      </c>
      <c r="M238" s="28">
        <f>IF($B238="","",IF(COUNTIFS(EntryDates,$B238,CalcTime,$C238,CalcBank,$C$5,EntryParty,$D238,EntryDep,$H238,EntryWit,$I238)&gt;1,"تکرار",""))</f>
        <v/>
      </c>
      <c r="N238" s="28">
        <f>IF($P238="","",IF(INDEX(EntryNotes,$P238)=0,"",INDEX(EntryNotes,$P238)))</f>
        <v/>
      </c>
      <c r="O238" s="28">
        <f>IF($P238="","",IF(INDEX(EntryTxnID,$P238)=0,"",INDEX(EntryTxnID,$P238)))</f>
        <v/>
      </c>
      <c r="P238" s="28">
        <f>IFERROR(MATCH($C$5&amp;"|"&amp;RIGHT("000000"&amp;222,6),CalcRankKey,0),"")</f>
        <v/>
      </c>
    </row>
    <row r="239">
      <c r="A239" s="26">
        <f>IF($B239="","",223)</f>
        <v/>
      </c>
      <c r="B239" s="26">
        <f>IF($P239="","",IF(INDEX(CalcNormDate,$P239)=0,"",INDEX(CalcNormDate,$P239)))</f>
        <v/>
      </c>
      <c r="C239" s="26">
        <f>IF($P239="","",IF(INDEX(CalcTime,$P239)=0,"",INDEX(CalcTime,$P239)))</f>
        <v/>
      </c>
      <c r="D239" s="26">
        <f>IF($P239="","",IF(INDEX(EntryParty,$P239)=0,"",INDEX(EntryParty,$P239)))</f>
        <v/>
      </c>
      <c r="E239" s="26">
        <f>IF($P239="","",IF(INDEX(EntryPartyName,$P239)=0,"",INDEX(EntryPartyName,$P239)))</f>
        <v/>
      </c>
      <c r="F239" s="26">
        <f>IF($P239="","",IF(INDEX(EntryPartyType,$P239)=0,"",INDEX(EntryPartyType,$P239)))</f>
        <v/>
      </c>
      <c r="G239" s="26">
        <f>IF($P239="","",IF(INDEX(EntryTxnType,$P239)=0,"",INDEX(EntryTxnType,$P239)))</f>
        <v/>
      </c>
      <c r="H239" s="27">
        <f>IF($P239="","",IF(INDEX(EntryDep,$P239)=0,"",INDEX(EntryDep,$P239)))</f>
        <v/>
      </c>
      <c r="I239" s="27">
        <f>IF($P239="","",IF(INDEX(EntryWit,$P239)=0,"",INDEX(EntryWit,$P239)))</f>
        <v/>
      </c>
      <c r="J239" s="27">
        <f>IF($B239="","",IF($A239=1,$C$7,IF(J238="",0,J238))+IF($H239="",0,$H239)-IF($I239="",0,$I239))</f>
        <v/>
      </c>
      <c r="K239" s="27">
        <f>IF($P239="","",IF(INDEX(EntryMan,$P239)=0,"",INDEX(EntryMan,$P239)))</f>
        <v/>
      </c>
      <c r="L239" s="26">
        <f>IF($B239="","",IF($K239="","—",IF(ROUND($K239-$J239,0)=0,"√","×")))</f>
        <v/>
      </c>
      <c r="M239" s="26">
        <f>IF($B239="","",IF(COUNTIFS(EntryDates,$B239,CalcTime,$C239,CalcBank,$C$5,EntryParty,$D239,EntryDep,$H239,EntryWit,$I239)&gt;1,"تکرار",""))</f>
        <v/>
      </c>
      <c r="N239" s="26">
        <f>IF($P239="","",IF(INDEX(EntryNotes,$P239)=0,"",INDEX(EntryNotes,$P239)))</f>
        <v/>
      </c>
      <c r="O239" s="26">
        <f>IF($P239="","",IF(INDEX(EntryTxnID,$P239)=0,"",INDEX(EntryTxnID,$P239)))</f>
        <v/>
      </c>
      <c r="P239" s="26">
        <f>IFERROR(MATCH($C$5&amp;"|"&amp;RIGHT("000000"&amp;223,6),CalcRankKey,0),"")</f>
        <v/>
      </c>
    </row>
    <row r="240">
      <c r="A240" s="28">
        <f>IF($B240="","",224)</f>
        <v/>
      </c>
      <c r="B240" s="28">
        <f>IF($P240="","",IF(INDEX(CalcNormDate,$P240)=0,"",INDEX(CalcNormDate,$P240)))</f>
        <v/>
      </c>
      <c r="C240" s="28">
        <f>IF($P240="","",IF(INDEX(CalcTime,$P240)=0,"",INDEX(CalcTime,$P240)))</f>
        <v/>
      </c>
      <c r="D240" s="28">
        <f>IF($P240="","",IF(INDEX(EntryParty,$P240)=0,"",INDEX(EntryParty,$P240)))</f>
        <v/>
      </c>
      <c r="E240" s="28">
        <f>IF($P240="","",IF(INDEX(EntryPartyName,$P240)=0,"",INDEX(EntryPartyName,$P240)))</f>
        <v/>
      </c>
      <c r="F240" s="28">
        <f>IF($P240="","",IF(INDEX(EntryPartyType,$P240)=0,"",INDEX(EntryPartyType,$P240)))</f>
        <v/>
      </c>
      <c r="G240" s="28">
        <f>IF($P240="","",IF(INDEX(EntryTxnType,$P240)=0,"",INDEX(EntryTxnType,$P240)))</f>
        <v/>
      </c>
      <c r="H240" s="29">
        <f>IF($P240="","",IF(INDEX(EntryDep,$P240)=0,"",INDEX(EntryDep,$P240)))</f>
        <v/>
      </c>
      <c r="I240" s="29">
        <f>IF($P240="","",IF(INDEX(EntryWit,$P240)=0,"",INDEX(EntryWit,$P240)))</f>
        <v/>
      </c>
      <c r="J240" s="29">
        <f>IF($B240="","",IF($A240=1,$C$7,IF(J239="",0,J239))+IF($H240="",0,$H240)-IF($I240="",0,$I240))</f>
        <v/>
      </c>
      <c r="K240" s="29">
        <f>IF($P240="","",IF(INDEX(EntryMan,$P240)=0,"",INDEX(EntryMan,$P240)))</f>
        <v/>
      </c>
      <c r="L240" s="28">
        <f>IF($B240="","",IF($K240="","—",IF(ROUND($K240-$J240,0)=0,"√","×")))</f>
        <v/>
      </c>
      <c r="M240" s="28">
        <f>IF($B240="","",IF(COUNTIFS(EntryDates,$B240,CalcTime,$C240,CalcBank,$C$5,EntryParty,$D240,EntryDep,$H240,EntryWit,$I240)&gt;1,"تکرار",""))</f>
        <v/>
      </c>
      <c r="N240" s="28">
        <f>IF($P240="","",IF(INDEX(EntryNotes,$P240)=0,"",INDEX(EntryNotes,$P240)))</f>
        <v/>
      </c>
      <c r="O240" s="28">
        <f>IF($P240="","",IF(INDEX(EntryTxnID,$P240)=0,"",INDEX(EntryTxnID,$P240)))</f>
        <v/>
      </c>
      <c r="P240" s="28">
        <f>IFERROR(MATCH($C$5&amp;"|"&amp;RIGHT("000000"&amp;224,6),CalcRankKey,0),"")</f>
        <v/>
      </c>
    </row>
    <row r="241">
      <c r="A241" s="26">
        <f>IF($B241="","",225)</f>
        <v/>
      </c>
      <c r="B241" s="26">
        <f>IF($P241="","",IF(INDEX(CalcNormDate,$P241)=0,"",INDEX(CalcNormDate,$P241)))</f>
        <v/>
      </c>
      <c r="C241" s="26">
        <f>IF($P241="","",IF(INDEX(CalcTime,$P241)=0,"",INDEX(CalcTime,$P241)))</f>
        <v/>
      </c>
      <c r="D241" s="26">
        <f>IF($P241="","",IF(INDEX(EntryParty,$P241)=0,"",INDEX(EntryParty,$P241)))</f>
        <v/>
      </c>
      <c r="E241" s="26">
        <f>IF($P241="","",IF(INDEX(EntryPartyName,$P241)=0,"",INDEX(EntryPartyName,$P241)))</f>
        <v/>
      </c>
      <c r="F241" s="26">
        <f>IF($P241="","",IF(INDEX(EntryPartyType,$P241)=0,"",INDEX(EntryPartyType,$P241)))</f>
        <v/>
      </c>
      <c r="G241" s="26">
        <f>IF($P241="","",IF(INDEX(EntryTxnType,$P241)=0,"",INDEX(EntryTxnType,$P241)))</f>
        <v/>
      </c>
      <c r="H241" s="27">
        <f>IF($P241="","",IF(INDEX(EntryDep,$P241)=0,"",INDEX(EntryDep,$P241)))</f>
        <v/>
      </c>
      <c r="I241" s="27">
        <f>IF($P241="","",IF(INDEX(EntryWit,$P241)=0,"",INDEX(EntryWit,$P241)))</f>
        <v/>
      </c>
      <c r="J241" s="27">
        <f>IF($B241="","",IF($A241=1,$C$7,IF(J240="",0,J240))+IF($H241="",0,$H241)-IF($I241="",0,$I241))</f>
        <v/>
      </c>
      <c r="K241" s="27">
        <f>IF($P241="","",IF(INDEX(EntryMan,$P241)=0,"",INDEX(EntryMan,$P241)))</f>
        <v/>
      </c>
      <c r="L241" s="26">
        <f>IF($B241="","",IF($K241="","—",IF(ROUND($K241-$J241,0)=0,"√","×")))</f>
        <v/>
      </c>
      <c r="M241" s="26">
        <f>IF($B241="","",IF(COUNTIFS(EntryDates,$B241,CalcTime,$C241,CalcBank,$C$5,EntryParty,$D241,EntryDep,$H241,EntryWit,$I241)&gt;1,"تکرار",""))</f>
        <v/>
      </c>
      <c r="N241" s="26">
        <f>IF($P241="","",IF(INDEX(EntryNotes,$P241)=0,"",INDEX(EntryNotes,$P241)))</f>
        <v/>
      </c>
      <c r="O241" s="26">
        <f>IF($P241="","",IF(INDEX(EntryTxnID,$P241)=0,"",INDEX(EntryTxnID,$P241)))</f>
        <v/>
      </c>
      <c r="P241" s="26">
        <f>IFERROR(MATCH($C$5&amp;"|"&amp;RIGHT("000000"&amp;225,6),CalcRankKey,0),"")</f>
        <v/>
      </c>
    </row>
    <row r="242">
      <c r="A242" s="28">
        <f>IF($B242="","",226)</f>
        <v/>
      </c>
      <c r="B242" s="28">
        <f>IF($P242="","",IF(INDEX(CalcNormDate,$P242)=0,"",INDEX(CalcNormDate,$P242)))</f>
        <v/>
      </c>
      <c r="C242" s="28">
        <f>IF($P242="","",IF(INDEX(CalcTime,$P242)=0,"",INDEX(CalcTime,$P242)))</f>
        <v/>
      </c>
      <c r="D242" s="28">
        <f>IF($P242="","",IF(INDEX(EntryParty,$P242)=0,"",INDEX(EntryParty,$P242)))</f>
        <v/>
      </c>
      <c r="E242" s="28">
        <f>IF($P242="","",IF(INDEX(EntryPartyName,$P242)=0,"",INDEX(EntryPartyName,$P242)))</f>
        <v/>
      </c>
      <c r="F242" s="28">
        <f>IF($P242="","",IF(INDEX(EntryPartyType,$P242)=0,"",INDEX(EntryPartyType,$P242)))</f>
        <v/>
      </c>
      <c r="G242" s="28">
        <f>IF($P242="","",IF(INDEX(EntryTxnType,$P242)=0,"",INDEX(EntryTxnType,$P242)))</f>
        <v/>
      </c>
      <c r="H242" s="29">
        <f>IF($P242="","",IF(INDEX(EntryDep,$P242)=0,"",INDEX(EntryDep,$P242)))</f>
        <v/>
      </c>
      <c r="I242" s="29">
        <f>IF($P242="","",IF(INDEX(EntryWit,$P242)=0,"",INDEX(EntryWit,$P242)))</f>
        <v/>
      </c>
      <c r="J242" s="29">
        <f>IF($B242="","",IF($A242=1,$C$7,IF(J241="",0,J241))+IF($H242="",0,$H242)-IF($I242="",0,$I242))</f>
        <v/>
      </c>
      <c r="K242" s="29">
        <f>IF($P242="","",IF(INDEX(EntryMan,$P242)=0,"",INDEX(EntryMan,$P242)))</f>
        <v/>
      </c>
      <c r="L242" s="28">
        <f>IF($B242="","",IF($K242="","—",IF(ROUND($K242-$J242,0)=0,"√","×")))</f>
        <v/>
      </c>
      <c r="M242" s="28">
        <f>IF($B242="","",IF(COUNTIFS(EntryDates,$B242,CalcTime,$C242,CalcBank,$C$5,EntryParty,$D242,EntryDep,$H242,EntryWit,$I242)&gt;1,"تکرار",""))</f>
        <v/>
      </c>
      <c r="N242" s="28">
        <f>IF($P242="","",IF(INDEX(EntryNotes,$P242)=0,"",INDEX(EntryNotes,$P242)))</f>
        <v/>
      </c>
      <c r="O242" s="28">
        <f>IF($P242="","",IF(INDEX(EntryTxnID,$P242)=0,"",INDEX(EntryTxnID,$P242)))</f>
        <v/>
      </c>
      <c r="P242" s="28">
        <f>IFERROR(MATCH($C$5&amp;"|"&amp;RIGHT("000000"&amp;226,6),CalcRankKey,0),"")</f>
        <v/>
      </c>
    </row>
    <row r="243">
      <c r="A243" s="26">
        <f>IF($B243="","",227)</f>
        <v/>
      </c>
      <c r="B243" s="26">
        <f>IF($P243="","",IF(INDEX(CalcNormDate,$P243)=0,"",INDEX(CalcNormDate,$P243)))</f>
        <v/>
      </c>
      <c r="C243" s="26">
        <f>IF($P243="","",IF(INDEX(CalcTime,$P243)=0,"",INDEX(CalcTime,$P243)))</f>
        <v/>
      </c>
      <c r="D243" s="26">
        <f>IF($P243="","",IF(INDEX(EntryParty,$P243)=0,"",INDEX(EntryParty,$P243)))</f>
        <v/>
      </c>
      <c r="E243" s="26">
        <f>IF($P243="","",IF(INDEX(EntryPartyName,$P243)=0,"",INDEX(EntryPartyName,$P243)))</f>
        <v/>
      </c>
      <c r="F243" s="26">
        <f>IF($P243="","",IF(INDEX(EntryPartyType,$P243)=0,"",INDEX(EntryPartyType,$P243)))</f>
        <v/>
      </c>
      <c r="G243" s="26">
        <f>IF($P243="","",IF(INDEX(EntryTxnType,$P243)=0,"",INDEX(EntryTxnType,$P243)))</f>
        <v/>
      </c>
      <c r="H243" s="27">
        <f>IF($P243="","",IF(INDEX(EntryDep,$P243)=0,"",INDEX(EntryDep,$P243)))</f>
        <v/>
      </c>
      <c r="I243" s="27">
        <f>IF($P243="","",IF(INDEX(EntryWit,$P243)=0,"",INDEX(EntryWit,$P243)))</f>
        <v/>
      </c>
      <c r="J243" s="27">
        <f>IF($B243="","",IF($A243=1,$C$7,IF(J242="",0,J242))+IF($H243="",0,$H243)-IF($I243="",0,$I243))</f>
        <v/>
      </c>
      <c r="K243" s="27">
        <f>IF($P243="","",IF(INDEX(EntryMan,$P243)=0,"",INDEX(EntryMan,$P243)))</f>
        <v/>
      </c>
      <c r="L243" s="26">
        <f>IF($B243="","",IF($K243="","—",IF(ROUND($K243-$J243,0)=0,"√","×")))</f>
        <v/>
      </c>
      <c r="M243" s="26">
        <f>IF($B243="","",IF(COUNTIFS(EntryDates,$B243,CalcTime,$C243,CalcBank,$C$5,EntryParty,$D243,EntryDep,$H243,EntryWit,$I243)&gt;1,"تکرار",""))</f>
        <v/>
      </c>
      <c r="N243" s="26">
        <f>IF($P243="","",IF(INDEX(EntryNotes,$P243)=0,"",INDEX(EntryNotes,$P243)))</f>
        <v/>
      </c>
      <c r="O243" s="26">
        <f>IF($P243="","",IF(INDEX(EntryTxnID,$P243)=0,"",INDEX(EntryTxnID,$P243)))</f>
        <v/>
      </c>
      <c r="P243" s="26">
        <f>IFERROR(MATCH($C$5&amp;"|"&amp;RIGHT("000000"&amp;227,6),CalcRankKey,0),"")</f>
        <v/>
      </c>
    </row>
    <row r="244">
      <c r="A244" s="28">
        <f>IF($B244="","",228)</f>
        <v/>
      </c>
      <c r="B244" s="28">
        <f>IF($P244="","",IF(INDEX(CalcNormDate,$P244)=0,"",INDEX(CalcNormDate,$P244)))</f>
        <v/>
      </c>
      <c r="C244" s="28">
        <f>IF($P244="","",IF(INDEX(CalcTime,$P244)=0,"",INDEX(CalcTime,$P244)))</f>
        <v/>
      </c>
      <c r="D244" s="28">
        <f>IF($P244="","",IF(INDEX(EntryParty,$P244)=0,"",INDEX(EntryParty,$P244)))</f>
        <v/>
      </c>
      <c r="E244" s="28">
        <f>IF($P244="","",IF(INDEX(EntryPartyName,$P244)=0,"",INDEX(EntryPartyName,$P244)))</f>
        <v/>
      </c>
      <c r="F244" s="28">
        <f>IF($P244="","",IF(INDEX(EntryPartyType,$P244)=0,"",INDEX(EntryPartyType,$P244)))</f>
        <v/>
      </c>
      <c r="G244" s="28">
        <f>IF($P244="","",IF(INDEX(EntryTxnType,$P244)=0,"",INDEX(EntryTxnType,$P244)))</f>
        <v/>
      </c>
      <c r="H244" s="29">
        <f>IF($P244="","",IF(INDEX(EntryDep,$P244)=0,"",INDEX(EntryDep,$P244)))</f>
        <v/>
      </c>
      <c r="I244" s="29">
        <f>IF($P244="","",IF(INDEX(EntryWit,$P244)=0,"",INDEX(EntryWit,$P244)))</f>
        <v/>
      </c>
      <c r="J244" s="29">
        <f>IF($B244="","",IF($A244=1,$C$7,IF(J243="",0,J243))+IF($H244="",0,$H244)-IF($I244="",0,$I244))</f>
        <v/>
      </c>
      <c r="K244" s="29">
        <f>IF($P244="","",IF(INDEX(EntryMan,$P244)=0,"",INDEX(EntryMan,$P244)))</f>
        <v/>
      </c>
      <c r="L244" s="28">
        <f>IF($B244="","",IF($K244="","—",IF(ROUND($K244-$J244,0)=0,"√","×")))</f>
        <v/>
      </c>
      <c r="M244" s="28">
        <f>IF($B244="","",IF(COUNTIFS(EntryDates,$B244,CalcTime,$C244,CalcBank,$C$5,EntryParty,$D244,EntryDep,$H244,EntryWit,$I244)&gt;1,"تکرار",""))</f>
        <v/>
      </c>
      <c r="N244" s="28">
        <f>IF($P244="","",IF(INDEX(EntryNotes,$P244)=0,"",INDEX(EntryNotes,$P244)))</f>
        <v/>
      </c>
      <c r="O244" s="28">
        <f>IF($P244="","",IF(INDEX(EntryTxnID,$P244)=0,"",INDEX(EntryTxnID,$P244)))</f>
        <v/>
      </c>
      <c r="P244" s="28">
        <f>IFERROR(MATCH($C$5&amp;"|"&amp;RIGHT("000000"&amp;228,6),CalcRankKey,0),"")</f>
        <v/>
      </c>
    </row>
    <row r="245">
      <c r="A245" s="26">
        <f>IF($B245="","",229)</f>
        <v/>
      </c>
      <c r="B245" s="26">
        <f>IF($P245="","",IF(INDEX(CalcNormDate,$P245)=0,"",INDEX(CalcNormDate,$P245)))</f>
        <v/>
      </c>
      <c r="C245" s="26">
        <f>IF($P245="","",IF(INDEX(CalcTime,$P245)=0,"",INDEX(CalcTime,$P245)))</f>
        <v/>
      </c>
      <c r="D245" s="26">
        <f>IF($P245="","",IF(INDEX(EntryParty,$P245)=0,"",INDEX(EntryParty,$P245)))</f>
        <v/>
      </c>
      <c r="E245" s="26">
        <f>IF($P245="","",IF(INDEX(EntryPartyName,$P245)=0,"",INDEX(EntryPartyName,$P245)))</f>
        <v/>
      </c>
      <c r="F245" s="26">
        <f>IF($P245="","",IF(INDEX(EntryPartyType,$P245)=0,"",INDEX(EntryPartyType,$P245)))</f>
        <v/>
      </c>
      <c r="G245" s="26">
        <f>IF($P245="","",IF(INDEX(EntryTxnType,$P245)=0,"",INDEX(EntryTxnType,$P245)))</f>
        <v/>
      </c>
      <c r="H245" s="27">
        <f>IF($P245="","",IF(INDEX(EntryDep,$P245)=0,"",INDEX(EntryDep,$P245)))</f>
        <v/>
      </c>
      <c r="I245" s="27">
        <f>IF($P245="","",IF(INDEX(EntryWit,$P245)=0,"",INDEX(EntryWit,$P245)))</f>
        <v/>
      </c>
      <c r="J245" s="27">
        <f>IF($B245="","",IF($A245=1,$C$7,IF(J244="",0,J244))+IF($H245="",0,$H245)-IF($I245="",0,$I245))</f>
        <v/>
      </c>
      <c r="K245" s="27">
        <f>IF($P245="","",IF(INDEX(EntryMan,$P245)=0,"",INDEX(EntryMan,$P245)))</f>
        <v/>
      </c>
      <c r="L245" s="26">
        <f>IF($B245="","",IF($K245="","—",IF(ROUND($K245-$J245,0)=0,"√","×")))</f>
        <v/>
      </c>
      <c r="M245" s="26">
        <f>IF($B245="","",IF(COUNTIFS(EntryDates,$B245,CalcTime,$C245,CalcBank,$C$5,EntryParty,$D245,EntryDep,$H245,EntryWit,$I245)&gt;1,"تکرار",""))</f>
        <v/>
      </c>
      <c r="N245" s="26">
        <f>IF($P245="","",IF(INDEX(EntryNotes,$P245)=0,"",INDEX(EntryNotes,$P245)))</f>
        <v/>
      </c>
      <c r="O245" s="26">
        <f>IF($P245="","",IF(INDEX(EntryTxnID,$P245)=0,"",INDEX(EntryTxnID,$P245)))</f>
        <v/>
      </c>
      <c r="P245" s="26">
        <f>IFERROR(MATCH($C$5&amp;"|"&amp;RIGHT("000000"&amp;229,6),CalcRankKey,0),"")</f>
        <v/>
      </c>
    </row>
    <row r="246">
      <c r="A246" s="28">
        <f>IF($B246="","",230)</f>
        <v/>
      </c>
      <c r="B246" s="28">
        <f>IF($P246="","",IF(INDEX(CalcNormDate,$P246)=0,"",INDEX(CalcNormDate,$P246)))</f>
        <v/>
      </c>
      <c r="C246" s="28">
        <f>IF($P246="","",IF(INDEX(CalcTime,$P246)=0,"",INDEX(CalcTime,$P246)))</f>
        <v/>
      </c>
      <c r="D246" s="28">
        <f>IF($P246="","",IF(INDEX(EntryParty,$P246)=0,"",INDEX(EntryParty,$P246)))</f>
        <v/>
      </c>
      <c r="E246" s="28">
        <f>IF($P246="","",IF(INDEX(EntryPartyName,$P246)=0,"",INDEX(EntryPartyName,$P246)))</f>
        <v/>
      </c>
      <c r="F246" s="28">
        <f>IF($P246="","",IF(INDEX(EntryPartyType,$P246)=0,"",INDEX(EntryPartyType,$P246)))</f>
        <v/>
      </c>
      <c r="G246" s="28">
        <f>IF($P246="","",IF(INDEX(EntryTxnType,$P246)=0,"",INDEX(EntryTxnType,$P246)))</f>
        <v/>
      </c>
      <c r="H246" s="29">
        <f>IF($P246="","",IF(INDEX(EntryDep,$P246)=0,"",INDEX(EntryDep,$P246)))</f>
        <v/>
      </c>
      <c r="I246" s="29">
        <f>IF($P246="","",IF(INDEX(EntryWit,$P246)=0,"",INDEX(EntryWit,$P246)))</f>
        <v/>
      </c>
      <c r="J246" s="29">
        <f>IF($B246="","",IF($A246=1,$C$7,IF(J245="",0,J245))+IF($H246="",0,$H246)-IF($I246="",0,$I246))</f>
        <v/>
      </c>
      <c r="K246" s="29">
        <f>IF($P246="","",IF(INDEX(EntryMan,$P246)=0,"",INDEX(EntryMan,$P246)))</f>
        <v/>
      </c>
      <c r="L246" s="28">
        <f>IF($B246="","",IF($K246="","—",IF(ROUND($K246-$J246,0)=0,"√","×")))</f>
        <v/>
      </c>
      <c r="M246" s="28">
        <f>IF($B246="","",IF(COUNTIFS(EntryDates,$B246,CalcTime,$C246,CalcBank,$C$5,EntryParty,$D246,EntryDep,$H246,EntryWit,$I246)&gt;1,"تکرار",""))</f>
        <v/>
      </c>
      <c r="N246" s="28">
        <f>IF($P246="","",IF(INDEX(EntryNotes,$P246)=0,"",INDEX(EntryNotes,$P246)))</f>
        <v/>
      </c>
      <c r="O246" s="28">
        <f>IF($P246="","",IF(INDEX(EntryTxnID,$P246)=0,"",INDEX(EntryTxnID,$P246)))</f>
        <v/>
      </c>
      <c r="P246" s="28">
        <f>IFERROR(MATCH($C$5&amp;"|"&amp;RIGHT("000000"&amp;230,6),CalcRankKey,0),"")</f>
        <v/>
      </c>
    </row>
    <row r="247">
      <c r="A247" s="26">
        <f>IF($B247="","",231)</f>
        <v/>
      </c>
      <c r="B247" s="26">
        <f>IF($P247="","",IF(INDEX(CalcNormDate,$P247)=0,"",INDEX(CalcNormDate,$P247)))</f>
        <v/>
      </c>
      <c r="C247" s="26">
        <f>IF($P247="","",IF(INDEX(CalcTime,$P247)=0,"",INDEX(CalcTime,$P247)))</f>
        <v/>
      </c>
      <c r="D247" s="26">
        <f>IF($P247="","",IF(INDEX(EntryParty,$P247)=0,"",INDEX(EntryParty,$P247)))</f>
        <v/>
      </c>
      <c r="E247" s="26">
        <f>IF($P247="","",IF(INDEX(EntryPartyName,$P247)=0,"",INDEX(EntryPartyName,$P247)))</f>
        <v/>
      </c>
      <c r="F247" s="26">
        <f>IF($P247="","",IF(INDEX(EntryPartyType,$P247)=0,"",INDEX(EntryPartyType,$P247)))</f>
        <v/>
      </c>
      <c r="G247" s="26">
        <f>IF($P247="","",IF(INDEX(EntryTxnType,$P247)=0,"",INDEX(EntryTxnType,$P247)))</f>
        <v/>
      </c>
      <c r="H247" s="27">
        <f>IF($P247="","",IF(INDEX(EntryDep,$P247)=0,"",INDEX(EntryDep,$P247)))</f>
        <v/>
      </c>
      <c r="I247" s="27">
        <f>IF($P247="","",IF(INDEX(EntryWit,$P247)=0,"",INDEX(EntryWit,$P247)))</f>
        <v/>
      </c>
      <c r="J247" s="27">
        <f>IF($B247="","",IF($A247=1,$C$7,IF(J246="",0,J246))+IF($H247="",0,$H247)-IF($I247="",0,$I247))</f>
        <v/>
      </c>
      <c r="K247" s="27">
        <f>IF($P247="","",IF(INDEX(EntryMan,$P247)=0,"",INDEX(EntryMan,$P247)))</f>
        <v/>
      </c>
      <c r="L247" s="26">
        <f>IF($B247="","",IF($K247="","—",IF(ROUND($K247-$J247,0)=0,"√","×")))</f>
        <v/>
      </c>
      <c r="M247" s="26">
        <f>IF($B247="","",IF(COUNTIFS(EntryDates,$B247,CalcTime,$C247,CalcBank,$C$5,EntryParty,$D247,EntryDep,$H247,EntryWit,$I247)&gt;1,"تکرار",""))</f>
        <v/>
      </c>
      <c r="N247" s="26">
        <f>IF($P247="","",IF(INDEX(EntryNotes,$P247)=0,"",INDEX(EntryNotes,$P247)))</f>
        <v/>
      </c>
      <c r="O247" s="26">
        <f>IF($P247="","",IF(INDEX(EntryTxnID,$P247)=0,"",INDEX(EntryTxnID,$P247)))</f>
        <v/>
      </c>
      <c r="P247" s="26">
        <f>IFERROR(MATCH($C$5&amp;"|"&amp;RIGHT("000000"&amp;231,6),CalcRankKey,0),"")</f>
        <v/>
      </c>
    </row>
    <row r="248">
      <c r="A248" s="28">
        <f>IF($B248="","",232)</f>
        <v/>
      </c>
      <c r="B248" s="28">
        <f>IF($P248="","",IF(INDEX(CalcNormDate,$P248)=0,"",INDEX(CalcNormDate,$P248)))</f>
        <v/>
      </c>
      <c r="C248" s="28">
        <f>IF($P248="","",IF(INDEX(CalcTime,$P248)=0,"",INDEX(CalcTime,$P248)))</f>
        <v/>
      </c>
      <c r="D248" s="28">
        <f>IF($P248="","",IF(INDEX(EntryParty,$P248)=0,"",INDEX(EntryParty,$P248)))</f>
        <v/>
      </c>
      <c r="E248" s="28">
        <f>IF($P248="","",IF(INDEX(EntryPartyName,$P248)=0,"",INDEX(EntryPartyName,$P248)))</f>
        <v/>
      </c>
      <c r="F248" s="28">
        <f>IF($P248="","",IF(INDEX(EntryPartyType,$P248)=0,"",INDEX(EntryPartyType,$P248)))</f>
        <v/>
      </c>
      <c r="G248" s="28">
        <f>IF($P248="","",IF(INDEX(EntryTxnType,$P248)=0,"",INDEX(EntryTxnType,$P248)))</f>
        <v/>
      </c>
      <c r="H248" s="29">
        <f>IF($P248="","",IF(INDEX(EntryDep,$P248)=0,"",INDEX(EntryDep,$P248)))</f>
        <v/>
      </c>
      <c r="I248" s="29">
        <f>IF($P248="","",IF(INDEX(EntryWit,$P248)=0,"",INDEX(EntryWit,$P248)))</f>
        <v/>
      </c>
      <c r="J248" s="29">
        <f>IF($B248="","",IF($A248=1,$C$7,IF(J247="",0,J247))+IF($H248="",0,$H248)-IF($I248="",0,$I248))</f>
        <v/>
      </c>
      <c r="K248" s="29">
        <f>IF($P248="","",IF(INDEX(EntryMan,$P248)=0,"",INDEX(EntryMan,$P248)))</f>
        <v/>
      </c>
      <c r="L248" s="28">
        <f>IF($B248="","",IF($K248="","—",IF(ROUND($K248-$J248,0)=0,"√","×")))</f>
        <v/>
      </c>
      <c r="M248" s="28">
        <f>IF($B248="","",IF(COUNTIFS(EntryDates,$B248,CalcTime,$C248,CalcBank,$C$5,EntryParty,$D248,EntryDep,$H248,EntryWit,$I248)&gt;1,"تکرار",""))</f>
        <v/>
      </c>
      <c r="N248" s="28">
        <f>IF($P248="","",IF(INDEX(EntryNotes,$P248)=0,"",INDEX(EntryNotes,$P248)))</f>
        <v/>
      </c>
      <c r="O248" s="28">
        <f>IF($P248="","",IF(INDEX(EntryTxnID,$P248)=0,"",INDEX(EntryTxnID,$P248)))</f>
        <v/>
      </c>
      <c r="P248" s="28">
        <f>IFERROR(MATCH($C$5&amp;"|"&amp;RIGHT("000000"&amp;232,6),CalcRankKey,0),"")</f>
        <v/>
      </c>
    </row>
    <row r="249">
      <c r="A249" s="26">
        <f>IF($B249="","",233)</f>
        <v/>
      </c>
      <c r="B249" s="26">
        <f>IF($P249="","",IF(INDEX(CalcNormDate,$P249)=0,"",INDEX(CalcNormDate,$P249)))</f>
        <v/>
      </c>
      <c r="C249" s="26">
        <f>IF($P249="","",IF(INDEX(CalcTime,$P249)=0,"",INDEX(CalcTime,$P249)))</f>
        <v/>
      </c>
      <c r="D249" s="26">
        <f>IF($P249="","",IF(INDEX(EntryParty,$P249)=0,"",INDEX(EntryParty,$P249)))</f>
        <v/>
      </c>
      <c r="E249" s="26">
        <f>IF($P249="","",IF(INDEX(EntryPartyName,$P249)=0,"",INDEX(EntryPartyName,$P249)))</f>
        <v/>
      </c>
      <c r="F249" s="26">
        <f>IF($P249="","",IF(INDEX(EntryPartyType,$P249)=0,"",INDEX(EntryPartyType,$P249)))</f>
        <v/>
      </c>
      <c r="G249" s="26">
        <f>IF($P249="","",IF(INDEX(EntryTxnType,$P249)=0,"",INDEX(EntryTxnType,$P249)))</f>
        <v/>
      </c>
      <c r="H249" s="27">
        <f>IF($P249="","",IF(INDEX(EntryDep,$P249)=0,"",INDEX(EntryDep,$P249)))</f>
        <v/>
      </c>
      <c r="I249" s="27">
        <f>IF($P249="","",IF(INDEX(EntryWit,$P249)=0,"",INDEX(EntryWit,$P249)))</f>
        <v/>
      </c>
      <c r="J249" s="27">
        <f>IF($B249="","",IF($A249=1,$C$7,IF(J248="",0,J248))+IF($H249="",0,$H249)-IF($I249="",0,$I249))</f>
        <v/>
      </c>
      <c r="K249" s="27">
        <f>IF($P249="","",IF(INDEX(EntryMan,$P249)=0,"",INDEX(EntryMan,$P249)))</f>
        <v/>
      </c>
      <c r="L249" s="26">
        <f>IF($B249="","",IF($K249="","—",IF(ROUND($K249-$J249,0)=0,"√","×")))</f>
        <v/>
      </c>
      <c r="M249" s="26">
        <f>IF($B249="","",IF(COUNTIFS(EntryDates,$B249,CalcTime,$C249,CalcBank,$C$5,EntryParty,$D249,EntryDep,$H249,EntryWit,$I249)&gt;1,"تکرار",""))</f>
        <v/>
      </c>
      <c r="N249" s="26">
        <f>IF($P249="","",IF(INDEX(EntryNotes,$P249)=0,"",INDEX(EntryNotes,$P249)))</f>
        <v/>
      </c>
      <c r="O249" s="26">
        <f>IF($P249="","",IF(INDEX(EntryTxnID,$P249)=0,"",INDEX(EntryTxnID,$P249)))</f>
        <v/>
      </c>
      <c r="P249" s="26">
        <f>IFERROR(MATCH($C$5&amp;"|"&amp;RIGHT("000000"&amp;233,6),CalcRankKey,0),"")</f>
        <v/>
      </c>
    </row>
    <row r="250">
      <c r="A250" s="28">
        <f>IF($B250="","",234)</f>
        <v/>
      </c>
      <c r="B250" s="28">
        <f>IF($P250="","",IF(INDEX(CalcNormDate,$P250)=0,"",INDEX(CalcNormDate,$P250)))</f>
        <v/>
      </c>
      <c r="C250" s="28">
        <f>IF($P250="","",IF(INDEX(CalcTime,$P250)=0,"",INDEX(CalcTime,$P250)))</f>
        <v/>
      </c>
      <c r="D250" s="28">
        <f>IF($P250="","",IF(INDEX(EntryParty,$P250)=0,"",INDEX(EntryParty,$P250)))</f>
        <v/>
      </c>
      <c r="E250" s="28">
        <f>IF($P250="","",IF(INDEX(EntryPartyName,$P250)=0,"",INDEX(EntryPartyName,$P250)))</f>
        <v/>
      </c>
      <c r="F250" s="28">
        <f>IF($P250="","",IF(INDEX(EntryPartyType,$P250)=0,"",INDEX(EntryPartyType,$P250)))</f>
        <v/>
      </c>
      <c r="G250" s="28">
        <f>IF($P250="","",IF(INDEX(EntryTxnType,$P250)=0,"",INDEX(EntryTxnType,$P250)))</f>
        <v/>
      </c>
      <c r="H250" s="29">
        <f>IF($P250="","",IF(INDEX(EntryDep,$P250)=0,"",INDEX(EntryDep,$P250)))</f>
        <v/>
      </c>
      <c r="I250" s="29">
        <f>IF($P250="","",IF(INDEX(EntryWit,$P250)=0,"",INDEX(EntryWit,$P250)))</f>
        <v/>
      </c>
      <c r="J250" s="29">
        <f>IF($B250="","",IF($A250=1,$C$7,IF(J249="",0,J249))+IF($H250="",0,$H250)-IF($I250="",0,$I250))</f>
        <v/>
      </c>
      <c r="K250" s="29">
        <f>IF($P250="","",IF(INDEX(EntryMan,$P250)=0,"",INDEX(EntryMan,$P250)))</f>
        <v/>
      </c>
      <c r="L250" s="28">
        <f>IF($B250="","",IF($K250="","—",IF(ROUND($K250-$J250,0)=0,"√","×")))</f>
        <v/>
      </c>
      <c r="M250" s="28">
        <f>IF($B250="","",IF(COUNTIFS(EntryDates,$B250,CalcTime,$C250,CalcBank,$C$5,EntryParty,$D250,EntryDep,$H250,EntryWit,$I250)&gt;1,"تکرار",""))</f>
        <v/>
      </c>
      <c r="N250" s="28">
        <f>IF($P250="","",IF(INDEX(EntryNotes,$P250)=0,"",INDEX(EntryNotes,$P250)))</f>
        <v/>
      </c>
      <c r="O250" s="28">
        <f>IF($P250="","",IF(INDEX(EntryTxnID,$P250)=0,"",INDEX(EntryTxnID,$P250)))</f>
        <v/>
      </c>
      <c r="P250" s="28">
        <f>IFERROR(MATCH($C$5&amp;"|"&amp;RIGHT("000000"&amp;234,6),CalcRankKey,0),"")</f>
        <v/>
      </c>
    </row>
    <row r="251">
      <c r="A251" s="26">
        <f>IF($B251="","",235)</f>
        <v/>
      </c>
      <c r="B251" s="26">
        <f>IF($P251="","",IF(INDEX(CalcNormDate,$P251)=0,"",INDEX(CalcNormDate,$P251)))</f>
        <v/>
      </c>
      <c r="C251" s="26">
        <f>IF($P251="","",IF(INDEX(CalcTime,$P251)=0,"",INDEX(CalcTime,$P251)))</f>
        <v/>
      </c>
      <c r="D251" s="26">
        <f>IF($P251="","",IF(INDEX(EntryParty,$P251)=0,"",INDEX(EntryParty,$P251)))</f>
        <v/>
      </c>
      <c r="E251" s="26">
        <f>IF($P251="","",IF(INDEX(EntryPartyName,$P251)=0,"",INDEX(EntryPartyName,$P251)))</f>
        <v/>
      </c>
      <c r="F251" s="26">
        <f>IF($P251="","",IF(INDEX(EntryPartyType,$P251)=0,"",INDEX(EntryPartyType,$P251)))</f>
        <v/>
      </c>
      <c r="G251" s="26">
        <f>IF($P251="","",IF(INDEX(EntryTxnType,$P251)=0,"",INDEX(EntryTxnType,$P251)))</f>
        <v/>
      </c>
      <c r="H251" s="27">
        <f>IF($P251="","",IF(INDEX(EntryDep,$P251)=0,"",INDEX(EntryDep,$P251)))</f>
        <v/>
      </c>
      <c r="I251" s="27">
        <f>IF($P251="","",IF(INDEX(EntryWit,$P251)=0,"",INDEX(EntryWit,$P251)))</f>
        <v/>
      </c>
      <c r="J251" s="27">
        <f>IF($B251="","",IF($A251=1,$C$7,IF(J250="",0,J250))+IF($H251="",0,$H251)-IF($I251="",0,$I251))</f>
        <v/>
      </c>
      <c r="K251" s="27">
        <f>IF($P251="","",IF(INDEX(EntryMan,$P251)=0,"",INDEX(EntryMan,$P251)))</f>
        <v/>
      </c>
      <c r="L251" s="26">
        <f>IF($B251="","",IF($K251="","—",IF(ROUND($K251-$J251,0)=0,"√","×")))</f>
        <v/>
      </c>
      <c r="M251" s="26">
        <f>IF($B251="","",IF(COUNTIFS(EntryDates,$B251,CalcTime,$C251,CalcBank,$C$5,EntryParty,$D251,EntryDep,$H251,EntryWit,$I251)&gt;1,"تکرار",""))</f>
        <v/>
      </c>
      <c r="N251" s="26">
        <f>IF($P251="","",IF(INDEX(EntryNotes,$P251)=0,"",INDEX(EntryNotes,$P251)))</f>
        <v/>
      </c>
      <c r="O251" s="26">
        <f>IF($P251="","",IF(INDEX(EntryTxnID,$P251)=0,"",INDEX(EntryTxnID,$P251)))</f>
        <v/>
      </c>
      <c r="P251" s="26">
        <f>IFERROR(MATCH($C$5&amp;"|"&amp;RIGHT("000000"&amp;235,6),CalcRankKey,0),"")</f>
        <v/>
      </c>
    </row>
    <row r="252">
      <c r="A252" s="28">
        <f>IF($B252="","",236)</f>
        <v/>
      </c>
      <c r="B252" s="28">
        <f>IF($P252="","",IF(INDEX(CalcNormDate,$P252)=0,"",INDEX(CalcNormDate,$P252)))</f>
        <v/>
      </c>
      <c r="C252" s="28">
        <f>IF($P252="","",IF(INDEX(CalcTime,$P252)=0,"",INDEX(CalcTime,$P252)))</f>
        <v/>
      </c>
      <c r="D252" s="28">
        <f>IF($P252="","",IF(INDEX(EntryParty,$P252)=0,"",INDEX(EntryParty,$P252)))</f>
        <v/>
      </c>
      <c r="E252" s="28">
        <f>IF($P252="","",IF(INDEX(EntryPartyName,$P252)=0,"",INDEX(EntryPartyName,$P252)))</f>
        <v/>
      </c>
      <c r="F252" s="28">
        <f>IF($P252="","",IF(INDEX(EntryPartyType,$P252)=0,"",INDEX(EntryPartyType,$P252)))</f>
        <v/>
      </c>
      <c r="G252" s="28">
        <f>IF($P252="","",IF(INDEX(EntryTxnType,$P252)=0,"",INDEX(EntryTxnType,$P252)))</f>
        <v/>
      </c>
      <c r="H252" s="29">
        <f>IF($P252="","",IF(INDEX(EntryDep,$P252)=0,"",INDEX(EntryDep,$P252)))</f>
        <v/>
      </c>
      <c r="I252" s="29">
        <f>IF($P252="","",IF(INDEX(EntryWit,$P252)=0,"",INDEX(EntryWit,$P252)))</f>
        <v/>
      </c>
      <c r="J252" s="29">
        <f>IF($B252="","",IF($A252=1,$C$7,IF(J251="",0,J251))+IF($H252="",0,$H252)-IF($I252="",0,$I252))</f>
        <v/>
      </c>
      <c r="K252" s="29">
        <f>IF($P252="","",IF(INDEX(EntryMan,$P252)=0,"",INDEX(EntryMan,$P252)))</f>
        <v/>
      </c>
      <c r="L252" s="28">
        <f>IF($B252="","",IF($K252="","—",IF(ROUND($K252-$J252,0)=0,"√","×")))</f>
        <v/>
      </c>
      <c r="M252" s="28">
        <f>IF($B252="","",IF(COUNTIFS(EntryDates,$B252,CalcTime,$C252,CalcBank,$C$5,EntryParty,$D252,EntryDep,$H252,EntryWit,$I252)&gt;1,"تکرار",""))</f>
        <v/>
      </c>
      <c r="N252" s="28">
        <f>IF($P252="","",IF(INDEX(EntryNotes,$P252)=0,"",INDEX(EntryNotes,$P252)))</f>
        <v/>
      </c>
      <c r="O252" s="28">
        <f>IF($P252="","",IF(INDEX(EntryTxnID,$P252)=0,"",INDEX(EntryTxnID,$P252)))</f>
        <v/>
      </c>
      <c r="P252" s="28">
        <f>IFERROR(MATCH($C$5&amp;"|"&amp;RIGHT("000000"&amp;236,6),CalcRankKey,0),"")</f>
        <v/>
      </c>
    </row>
    <row r="253">
      <c r="A253" s="26">
        <f>IF($B253="","",237)</f>
        <v/>
      </c>
      <c r="B253" s="26">
        <f>IF($P253="","",IF(INDEX(CalcNormDate,$P253)=0,"",INDEX(CalcNormDate,$P253)))</f>
        <v/>
      </c>
      <c r="C253" s="26">
        <f>IF($P253="","",IF(INDEX(CalcTime,$P253)=0,"",INDEX(CalcTime,$P253)))</f>
        <v/>
      </c>
      <c r="D253" s="26">
        <f>IF($P253="","",IF(INDEX(EntryParty,$P253)=0,"",INDEX(EntryParty,$P253)))</f>
        <v/>
      </c>
      <c r="E253" s="26">
        <f>IF($P253="","",IF(INDEX(EntryPartyName,$P253)=0,"",INDEX(EntryPartyName,$P253)))</f>
        <v/>
      </c>
      <c r="F253" s="26">
        <f>IF($P253="","",IF(INDEX(EntryPartyType,$P253)=0,"",INDEX(EntryPartyType,$P253)))</f>
        <v/>
      </c>
      <c r="G253" s="26">
        <f>IF($P253="","",IF(INDEX(EntryTxnType,$P253)=0,"",INDEX(EntryTxnType,$P253)))</f>
        <v/>
      </c>
      <c r="H253" s="27">
        <f>IF($P253="","",IF(INDEX(EntryDep,$P253)=0,"",INDEX(EntryDep,$P253)))</f>
        <v/>
      </c>
      <c r="I253" s="27">
        <f>IF($P253="","",IF(INDEX(EntryWit,$P253)=0,"",INDEX(EntryWit,$P253)))</f>
        <v/>
      </c>
      <c r="J253" s="27">
        <f>IF($B253="","",IF($A253=1,$C$7,IF(J252="",0,J252))+IF($H253="",0,$H253)-IF($I253="",0,$I253))</f>
        <v/>
      </c>
      <c r="K253" s="27">
        <f>IF($P253="","",IF(INDEX(EntryMan,$P253)=0,"",INDEX(EntryMan,$P253)))</f>
        <v/>
      </c>
      <c r="L253" s="26">
        <f>IF($B253="","",IF($K253="","—",IF(ROUND($K253-$J253,0)=0,"√","×")))</f>
        <v/>
      </c>
      <c r="M253" s="26">
        <f>IF($B253="","",IF(COUNTIFS(EntryDates,$B253,CalcTime,$C253,CalcBank,$C$5,EntryParty,$D253,EntryDep,$H253,EntryWit,$I253)&gt;1,"تکرار",""))</f>
        <v/>
      </c>
      <c r="N253" s="26">
        <f>IF($P253="","",IF(INDEX(EntryNotes,$P253)=0,"",INDEX(EntryNotes,$P253)))</f>
        <v/>
      </c>
      <c r="O253" s="26">
        <f>IF($P253="","",IF(INDEX(EntryTxnID,$P253)=0,"",INDEX(EntryTxnID,$P253)))</f>
        <v/>
      </c>
      <c r="P253" s="26">
        <f>IFERROR(MATCH($C$5&amp;"|"&amp;RIGHT("000000"&amp;237,6),CalcRankKey,0),"")</f>
        <v/>
      </c>
    </row>
    <row r="254">
      <c r="A254" s="28">
        <f>IF($B254="","",238)</f>
        <v/>
      </c>
      <c r="B254" s="28">
        <f>IF($P254="","",IF(INDEX(CalcNormDate,$P254)=0,"",INDEX(CalcNormDate,$P254)))</f>
        <v/>
      </c>
      <c r="C254" s="28">
        <f>IF($P254="","",IF(INDEX(CalcTime,$P254)=0,"",INDEX(CalcTime,$P254)))</f>
        <v/>
      </c>
      <c r="D254" s="28">
        <f>IF($P254="","",IF(INDEX(EntryParty,$P254)=0,"",INDEX(EntryParty,$P254)))</f>
        <v/>
      </c>
      <c r="E254" s="28">
        <f>IF($P254="","",IF(INDEX(EntryPartyName,$P254)=0,"",INDEX(EntryPartyName,$P254)))</f>
        <v/>
      </c>
      <c r="F254" s="28">
        <f>IF($P254="","",IF(INDEX(EntryPartyType,$P254)=0,"",INDEX(EntryPartyType,$P254)))</f>
        <v/>
      </c>
      <c r="G254" s="28">
        <f>IF($P254="","",IF(INDEX(EntryTxnType,$P254)=0,"",INDEX(EntryTxnType,$P254)))</f>
        <v/>
      </c>
      <c r="H254" s="29">
        <f>IF($P254="","",IF(INDEX(EntryDep,$P254)=0,"",INDEX(EntryDep,$P254)))</f>
        <v/>
      </c>
      <c r="I254" s="29">
        <f>IF($P254="","",IF(INDEX(EntryWit,$P254)=0,"",INDEX(EntryWit,$P254)))</f>
        <v/>
      </c>
      <c r="J254" s="29">
        <f>IF($B254="","",IF($A254=1,$C$7,IF(J253="",0,J253))+IF($H254="",0,$H254)-IF($I254="",0,$I254))</f>
        <v/>
      </c>
      <c r="K254" s="29">
        <f>IF($P254="","",IF(INDEX(EntryMan,$P254)=0,"",INDEX(EntryMan,$P254)))</f>
        <v/>
      </c>
      <c r="L254" s="28">
        <f>IF($B254="","",IF($K254="","—",IF(ROUND($K254-$J254,0)=0,"√","×")))</f>
        <v/>
      </c>
      <c r="M254" s="28">
        <f>IF($B254="","",IF(COUNTIFS(EntryDates,$B254,CalcTime,$C254,CalcBank,$C$5,EntryParty,$D254,EntryDep,$H254,EntryWit,$I254)&gt;1,"تکرار",""))</f>
        <v/>
      </c>
      <c r="N254" s="28">
        <f>IF($P254="","",IF(INDEX(EntryNotes,$P254)=0,"",INDEX(EntryNotes,$P254)))</f>
        <v/>
      </c>
      <c r="O254" s="28">
        <f>IF($P254="","",IF(INDEX(EntryTxnID,$P254)=0,"",INDEX(EntryTxnID,$P254)))</f>
        <v/>
      </c>
      <c r="P254" s="28">
        <f>IFERROR(MATCH($C$5&amp;"|"&amp;RIGHT("000000"&amp;238,6),CalcRankKey,0),"")</f>
        <v/>
      </c>
    </row>
    <row r="255">
      <c r="A255" s="26">
        <f>IF($B255="","",239)</f>
        <v/>
      </c>
      <c r="B255" s="26">
        <f>IF($P255="","",IF(INDEX(CalcNormDate,$P255)=0,"",INDEX(CalcNormDate,$P255)))</f>
        <v/>
      </c>
      <c r="C255" s="26">
        <f>IF($P255="","",IF(INDEX(CalcTime,$P255)=0,"",INDEX(CalcTime,$P255)))</f>
        <v/>
      </c>
      <c r="D255" s="26">
        <f>IF($P255="","",IF(INDEX(EntryParty,$P255)=0,"",INDEX(EntryParty,$P255)))</f>
        <v/>
      </c>
      <c r="E255" s="26">
        <f>IF($P255="","",IF(INDEX(EntryPartyName,$P255)=0,"",INDEX(EntryPartyName,$P255)))</f>
        <v/>
      </c>
      <c r="F255" s="26">
        <f>IF($P255="","",IF(INDEX(EntryPartyType,$P255)=0,"",INDEX(EntryPartyType,$P255)))</f>
        <v/>
      </c>
      <c r="G255" s="26">
        <f>IF($P255="","",IF(INDEX(EntryTxnType,$P255)=0,"",INDEX(EntryTxnType,$P255)))</f>
        <v/>
      </c>
      <c r="H255" s="27">
        <f>IF($P255="","",IF(INDEX(EntryDep,$P255)=0,"",INDEX(EntryDep,$P255)))</f>
        <v/>
      </c>
      <c r="I255" s="27">
        <f>IF($P255="","",IF(INDEX(EntryWit,$P255)=0,"",INDEX(EntryWit,$P255)))</f>
        <v/>
      </c>
      <c r="J255" s="27">
        <f>IF($B255="","",IF($A255=1,$C$7,IF(J254="",0,J254))+IF($H255="",0,$H255)-IF($I255="",0,$I255))</f>
        <v/>
      </c>
      <c r="K255" s="27">
        <f>IF($P255="","",IF(INDEX(EntryMan,$P255)=0,"",INDEX(EntryMan,$P255)))</f>
        <v/>
      </c>
      <c r="L255" s="26">
        <f>IF($B255="","",IF($K255="","—",IF(ROUND($K255-$J255,0)=0,"√","×")))</f>
        <v/>
      </c>
      <c r="M255" s="26">
        <f>IF($B255="","",IF(COUNTIFS(EntryDates,$B255,CalcTime,$C255,CalcBank,$C$5,EntryParty,$D255,EntryDep,$H255,EntryWit,$I255)&gt;1,"تکرار",""))</f>
        <v/>
      </c>
      <c r="N255" s="26">
        <f>IF($P255="","",IF(INDEX(EntryNotes,$P255)=0,"",INDEX(EntryNotes,$P255)))</f>
        <v/>
      </c>
      <c r="O255" s="26">
        <f>IF($P255="","",IF(INDEX(EntryTxnID,$P255)=0,"",INDEX(EntryTxnID,$P255)))</f>
        <v/>
      </c>
      <c r="P255" s="26">
        <f>IFERROR(MATCH($C$5&amp;"|"&amp;RIGHT("000000"&amp;239,6),CalcRankKey,0),"")</f>
        <v/>
      </c>
    </row>
    <row r="256">
      <c r="A256" s="28">
        <f>IF($B256="","",240)</f>
        <v/>
      </c>
      <c r="B256" s="28">
        <f>IF($P256="","",IF(INDEX(CalcNormDate,$P256)=0,"",INDEX(CalcNormDate,$P256)))</f>
        <v/>
      </c>
      <c r="C256" s="28">
        <f>IF($P256="","",IF(INDEX(CalcTime,$P256)=0,"",INDEX(CalcTime,$P256)))</f>
        <v/>
      </c>
      <c r="D256" s="28">
        <f>IF($P256="","",IF(INDEX(EntryParty,$P256)=0,"",INDEX(EntryParty,$P256)))</f>
        <v/>
      </c>
      <c r="E256" s="28">
        <f>IF($P256="","",IF(INDEX(EntryPartyName,$P256)=0,"",INDEX(EntryPartyName,$P256)))</f>
        <v/>
      </c>
      <c r="F256" s="28">
        <f>IF($P256="","",IF(INDEX(EntryPartyType,$P256)=0,"",INDEX(EntryPartyType,$P256)))</f>
        <v/>
      </c>
      <c r="G256" s="28">
        <f>IF($P256="","",IF(INDEX(EntryTxnType,$P256)=0,"",INDEX(EntryTxnType,$P256)))</f>
        <v/>
      </c>
      <c r="H256" s="29">
        <f>IF($P256="","",IF(INDEX(EntryDep,$P256)=0,"",INDEX(EntryDep,$P256)))</f>
        <v/>
      </c>
      <c r="I256" s="29">
        <f>IF($P256="","",IF(INDEX(EntryWit,$P256)=0,"",INDEX(EntryWit,$P256)))</f>
        <v/>
      </c>
      <c r="J256" s="29">
        <f>IF($B256="","",IF($A256=1,$C$7,IF(J255="",0,J255))+IF($H256="",0,$H256)-IF($I256="",0,$I256))</f>
        <v/>
      </c>
      <c r="K256" s="29">
        <f>IF($P256="","",IF(INDEX(EntryMan,$P256)=0,"",INDEX(EntryMan,$P256)))</f>
        <v/>
      </c>
      <c r="L256" s="28">
        <f>IF($B256="","",IF($K256="","—",IF(ROUND($K256-$J256,0)=0,"√","×")))</f>
        <v/>
      </c>
      <c r="M256" s="28">
        <f>IF($B256="","",IF(COUNTIFS(EntryDates,$B256,CalcTime,$C256,CalcBank,$C$5,EntryParty,$D256,EntryDep,$H256,EntryWit,$I256)&gt;1,"تکرار",""))</f>
        <v/>
      </c>
      <c r="N256" s="28">
        <f>IF($P256="","",IF(INDEX(EntryNotes,$P256)=0,"",INDEX(EntryNotes,$P256)))</f>
        <v/>
      </c>
      <c r="O256" s="28">
        <f>IF($P256="","",IF(INDEX(EntryTxnID,$P256)=0,"",INDEX(EntryTxnID,$P256)))</f>
        <v/>
      </c>
      <c r="P256" s="28">
        <f>IFERROR(MATCH($C$5&amp;"|"&amp;RIGHT("000000"&amp;240,6),CalcRankKey,0),"")</f>
        <v/>
      </c>
    </row>
    <row r="257">
      <c r="A257" s="26">
        <f>IF($B257="","",241)</f>
        <v/>
      </c>
      <c r="B257" s="26">
        <f>IF($P257="","",IF(INDEX(CalcNormDate,$P257)=0,"",INDEX(CalcNormDate,$P257)))</f>
        <v/>
      </c>
      <c r="C257" s="26">
        <f>IF($P257="","",IF(INDEX(CalcTime,$P257)=0,"",INDEX(CalcTime,$P257)))</f>
        <v/>
      </c>
      <c r="D257" s="26">
        <f>IF($P257="","",IF(INDEX(EntryParty,$P257)=0,"",INDEX(EntryParty,$P257)))</f>
        <v/>
      </c>
      <c r="E257" s="26">
        <f>IF($P257="","",IF(INDEX(EntryPartyName,$P257)=0,"",INDEX(EntryPartyName,$P257)))</f>
        <v/>
      </c>
      <c r="F257" s="26">
        <f>IF($P257="","",IF(INDEX(EntryPartyType,$P257)=0,"",INDEX(EntryPartyType,$P257)))</f>
        <v/>
      </c>
      <c r="G257" s="26">
        <f>IF($P257="","",IF(INDEX(EntryTxnType,$P257)=0,"",INDEX(EntryTxnType,$P257)))</f>
        <v/>
      </c>
      <c r="H257" s="27">
        <f>IF($P257="","",IF(INDEX(EntryDep,$P257)=0,"",INDEX(EntryDep,$P257)))</f>
        <v/>
      </c>
      <c r="I257" s="27">
        <f>IF($P257="","",IF(INDEX(EntryWit,$P257)=0,"",INDEX(EntryWit,$P257)))</f>
        <v/>
      </c>
      <c r="J257" s="27">
        <f>IF($B257="","",IF($A257=1,$C$7,IF(J256="",0,J256))+IF($H257="",0,$H257)-IF($I257="",0,$I257))</f>
        <v/>
      </c>
      <c r="K257" s="27">
        <f>IF($P257="","",IF(INDEX(EntryMan,$P257)=0,"",INDEX(EntryMan,$P257)))</f>
        <v/>
      </c>
      <c r="L257" s="26">
        <f>IF($B257="","",IF($K257="","—",IF(ROUND($K257-$J257,0)=0,"√","×")))</f>
        <v/>
      </c>
      <c r="M257" s="26">
        <f>IF($B257="","",IF(COUNTIFS(EntryDates,$B257,CalcTime,$C257,CalcBank,$C$5,EntryParty,$D257,EntryDep,$H257,EntryWit,$I257)&gt;1,"تکرار",""))</f>
        <v/>
      </c>
      <c r="N257" s="26">
        <f>IF($P257="","",IF(INDEX(EntryNotes,$P257)=0,"",INDEX(EntryNotes,$P257)))</f>
        <v/>
      </c>
      <c r="O257" s="26">
        <f>IF($P257="","",IF(INDEX(EntryTxnID,$P257)=0,"",INDEX(EntryTxnID,$P257)))</f>
        <v/>
      </c>
      <c r="P257" s="26">
        <f>IFERROR(MATCH($C$5&amp;"|"&amp;RIGHT("000000"&amp;241,6),CalcRankKey,0),"")</f>
        <v/>
      </c>
    </row>
    <row r="258">
      <c r="A258" s="28">
        <f>IF($B258="","",242)</f>
        <v/>
      </c>
      <c r="B258" s="28">
        <f>IF($P258="","",IF(INDEX(CalcNormDate,$P258)=0,"",INDEX(CalcNormDate,$P258)))</f>
        <v/>
      </c>
      <c r="C258" s="28">
        <f>IF($P258="","",IF(INDEX(CalcTime,$P258)=0,"",INDEX(CalcTime,$P258)))</f>
        <v/>
      </c>
      <c r="D258" s="28">
        <f>IF($P258="","",IF(INDEX(EntryParty,$P258)=0,"",INDEX(EntryParty,$P258)))</f>
        <v/>
      </c>
      <c r="E258" s="28">
        <f>IF($P258="","",IF(INDEX(EntryPartyName,$P258)=0,"",INDEX(EntryPartyName,$P258)))</f>
        <v/>
      </c>
      <c r="F258" s="28">
        <f>IF($P258="","",IF(INDEX(EntryPartyType,$P258)=0,"",INDEX(EntryPartyType,$P258)))</f>
        <v/>
      </c>
      <c r="G258" s="28">
        <f>IF($P258="","",IF(INDEX(EntryTxnType,$P258)=0,"",INDEX(EntryTxnType,$P258)))</f>
        <v/>
      </c>
      <c r="H258" s="29">
        <f>IF($P258="","",IF(INDEX(EntryDep,$P258)=0,"",INDEX(EntryDep,$P258)))</f>
        <v/>
      </c>
      <c r="I258" s="29">
        <f>IF($P258="","",IF(INDEX(EntryWit,$P258)=0,"",INDEX(EntryWit,$P258)))</f>
        <v/>
      </c>
      <c r="J258" s="29">
        <f>IF($B258="","",IF($A258=1,$C$7,IF(J257="",0,J257))+IF($H258="",0,$H258)-IF($I258="",0,$I258))</f>
        <v/>
      </c>
      <c r="K258" s="29">
        <f>IF($P258="","",IF(INDEX(EntryMan,$P258)=0,"",INDEX(EntryMan,$P258)))</f>
        <v/>
      </c>
      <c r="L258" s="28">
        <f>IF($B258="","",IF($K258="","—",IF(ROUND($K258-$J258,0)=0,"√","×")))</f>
        <v/>
      </c>
      <c r="M258" s="28">
        <f>IF($B258="","",IF(COUNTIFS(EntryDates,$B258,CalcTime,$C258,CalcBank,$C$5,EntryParty,$D258,EntryDep,$H258,EntryWit,$I258)&gt;1,"تکرار",""))</f>
        <v/>
      </c>
      <c r="N258" s="28">
        <f>IF($P258="","",IF(INDEX(EntryNotes,$P258)=0,"",INDEX(EntryNotes,$P258)))</f>
        <v/>
      </c>
      <c r="O258" s="28">
        <f>IF($P258="","",IF(INDEX(EntryTxnID,$P258)=0,"",INDEX(EntryTxnID,$P258)))</f>
        <v/>
      </c>
      <c r="P258" s="28">
        <f>IFERROR(MATCH($C$5&amp;"|"&amp;RIGHT("000000"&amp;242,6),CalcRankKey,0),"")</f>
        <v/>
      </c>
    </row>
    <row r="259">
      <c r="A259" s="26">
        <f>IF($B259="","",243)</f>
        <v/>
      </c>
      <c r="B259" s="26">
        <f>IF($P259="","",IF(INDEX(CalcNormDate,$P259)=0,"",INDEX(CalcNormDate,$P259)))</f>
        <v/>
      </c>
      <c r="C259" s="26">
        <f>IF($P259="","",IF(INDEX(CalcTime,$P259)=0,"",INDEX(CalcTime,$P259)))</f>
        <v/>
      </c>
      <c r="D259" s="26">
        <f>IF($P259="","",IF(INDEX(EntryParty,$P259)=0,"",INDEX(EntryParty,$P259)))</f>
        <v/>
      </c>
      <c r="E259" s="26">
        <f>IF($P259="","",IF(INDEX(EntryPartyName,$P259)=0,"",INDEX(EntryPartyName,$P259)))</f>
        <v/>
      </c>
      <c r="F259" s="26">
        <f>IF($P259="","",IF(INDEX(EntryPartyType,$P259)=0,"",INDEX(EntryPartyType,$P259)))</f>
        <v/>
      </c>
      <c r="G259" s="26">
        <f>IF($P259="","",IF(INDEX(EntryTxnType,$P259)=0,"",INDEX(EntryTxnType,$P259)))</f>
        <v/>
      </c>
      <c r="H259" s="27">
        <f>IF($P259="","",IF(INDEX(EntryDep,$P259)=0,"",INDEX(EntryDep,$P259)))</f>
        <v/>
      </c>
      <c r="I259" s="27">
        <f>IF($P259="","",IF(INDEX(EntryWit,$P259)=0,"",INDEX(EntryWit,$P259)))</f>
        <v/>
      </c>
      <c r="J259" s="27">
        <f>IF($B259="","",IF($A259=1,$C$7,IF(J258="",0,J258))+IF($H259="",0,$H259)-IF($I259="",0,$I259))</f>
        <v/>
      </c>
      <c r="K259" s="27">
        <f>IF($P259="","",IF(INDEX(EntryMan,$P259)=0,"",INDEX(EntryMan,$P259)))</f>
        <v/>
      </c>
      <c r="L259" s="26">
        <f>IF($B259="","",IF($K259="","—",IF(ROUND($K259-$J259,0)=0,"√","×")))</f>
        <v/>
      </c>
      <c r="M259" s="26">
        <f>IF($B259="","",IF(COUNTIFS(EntryDates,$B259,CalcTime,$C259,CalcBank,$C$5,EntryParty,$D259,EntryDep,$H259,EntryWit,$I259)&gt;1,"تکرار",""))</f>
        <v/>
      </c>
      <c r="N259" s="26">
        <f>IF($P259="","",IF(INDEX(EntryNotes,$P259)=0,"",INDEX(EntryNotes,$P259)))</f>
        <v/>
      </c>
      <c r="O259" s="26">
        <f>IF($P259="","",IF(INDEX(EntryTxnID,$P259)=0,"",INDEX(EntryTxnID,$P259)))</f>
        <v/>
      </c>
      <c r="P259" s="26">
        <f>IFERROR(MATCH($C$5&amp;"|"&amp;RIGHT("000000"&amp;243,6),CalcRankKey,0),"")</f>
        <v/>
      </c>
    </row>
    <row r="260">
      <c r="A260" s="28">
        <f>IF($B260="","",244)</f>
        <v/>
      </c>
      <c r="B260" s="28">
        <f>IF($P260="","",IF(INDEX(CalcNormDate,$P260)=0,"",INDEX(CalcNormDate,$P260)))</f>
        <v/>
      </c>
      <c r="C260" s="28">
        <f>IF($P260="","",IF(INDEX(CalcTime,$P260)=0,"",INDEX(CalcTime,$P260)))</f>
        <v/>
      </c>
      <c r="D260" s="28">
        <f>IF($P260="","",IF(INDEX(EntryParty,$P260)=0,"",INDEX(EntryParty,$P260)))</f>
        <v/>
      </c>
      <c r="E260" s="28">
        <f>IF($P260="","",IF(INDEX(EntryPartyName,$P260)=0,"",INDEX(EntryPartyName,$P260)))</f>
        <v/>
      </c>
      <c r="F260" s="28">
        <f>IF($P260="","",IF(INDEX(EntryPartyType,$P260)=0,"",INDEX(EntryPartyType,$P260)))</f>
        <v/>
      </c>
      <c r="G260" s="28">
        <f>IF($P260="","",IF(INDEX(EntryTxnType,$P260)=0,"",INDEX(EntryTxnType,$P260)))</f>
        <v/>
      </c>
      <c r="H260" s="29">
        <f>IF($P260="","",IF(INDEX(EntryDep,$P260)=0,"",INDEX(EntryDep,$P260)))</f>
        <v/>
      </c>
      <c r="I260" s="29">
        <f>IF($P260="","",IF(INDEX(EntryWit,$P260)=0,"",INDEX(EntryWit,$P260)))</f>
        <v/>
      </c>
      <c r="J260" s="29">
        <f>IF($B260="","",IF($A260=1,$C$7,IF(J259="",0,J259))+IF($H260="",0,$H260)-IF($I260="",0,$I260))</f>
        <v/>
      </c>
      <c r="K260" s="29">
        <f>IF($P260="","",IF(INDEX(EntryMan,$P260)=0,"",INDEX(EntryMan,$P260)))</f>
        <v/>
      </c>
      <c r="L260" s="28">
        <f>IF($B260="","",IF($K260="","—",IF(ROUND($K260-$J260,0)=0,"√","×")))</f>
        <v/>
      </c>
      <c r="M260" s="28">
        <f>IF($B260="","",IF(COUNTIFS(EntryDates,$B260,CalcTime,$C260,CalcBank,$C$5,EntryParty,$D260,EntryDep,$H260,EntryWit,$I260)&gt;1,"تکرار",""))</f>
        <v/>
      </c>
      <c r="N260" s="28">
        <f>IF($P260="","",IF(INDEX(EntryNotes,$P260)=0,"",INDEX(EntryNotes,$P260)))</f>
        <v/>
      </c>
      <c r="O260" s="28">
        <f>IF($P260="","",IF(INDEX(EntryTxnID,$P260)=0,"",INDEX(EntryTxnID,$P260)))</f>
        <v/>
      </c>
      <c r="P260" s="28">
        <f>IFERROR(MATCH($C$5&amp;"|"&amp;RIGHT("000000"&amp;244,6),CalcRankKey,0),"")</f>
        <v/>
      </c>
    </row>
    <row r="261">
      <c r="A261" s="26">
        <f>IF($B261="","",245)</f>
        <v/>
      </c>
      <c r="B261" s="26">
        <f>IF($P261="","",IF(INDEX(CalcNormDate,$P261)=0,"",INDEX(CalcNormDate,$P261)))</f>
        <v/>
      </c>
      <c r="C261" s="26">
        <f>IF($P261="","",IF(INDEX(CalcTime,$P261)=0,"",INDEX(CalcTime,$P261)))</f>
        <v/>
      </c>
      <c r="D261" s="26">
        <f>IF($P261="","",IF(INDEX(EntryParty,$P261)=0,"",INDEX(EntryParty,$P261)))</f>
        <v/>
      </c>
      <c r="E261" s="26">
        <f>IF($P261="","",IF(INDEX(EntryPartyName,$P261)=0,"",INDEX(EntryPartyName,$P261)))</f>
        <v/>
      </c>
      <c r="F261" s="26">
        <f>IF($P261="","",IF(INDEX(EntryPartyType,$P261)=0,"",INDEX(EntryPartyType,$P261)))</f>
        <v/>
      </c>
      <c r="G261" s="26">
        <f>IF($P261="","",IF(INDEX(EntryTxnType,$P261)=0,"",INDEX(EntryTxnType,$P261)))</f>
        <v/>
      </c>
      <c r="H261" s="27">
        <f>IF($P261="","",IF(INDEX(EntryDep,$P261)=0,"",INDEX(EntryDep,$P261)))</f>
        <v/>
      </c>
      <c r="I261" s="27">
        <f>IF($P261="","",IF(INDEX(EntryWit,$P261)=0,"",INDEX(EntryWit,$P261)))</f>
        <v/>
      </c>
      <c r="J261" s="27">
        <f>IF($B261="","",IF($A261=1,$C$7,IF(J260="",0,J260))+IF($H261="",0,$H261)-IF($I261="",0,$I261))</f>
        <v/>
      </c>
      <c r="K261" s="27">
        <f>IF($P261="","",IF(INDEX(EntryMan,$P261)=0,"",INDEX(EntryMan,$P261)))</f>
        <v/>
      </c>
      <c r="L261" s="26">
        <f>IF($B261="","",IF($K261="","—",IF(ROUND($K261-$J261,0)=0,"√","×")))</f>
        <v/>
      </c>
      <c r="M261" s="26">
        <f>IF($B261="","",IF(COUNTIFS(EntryDates,$B261,CalcTime,$C261,CalcBank,$C$5,EntryParty,$D261,EntryDep,$H261,EntryWit,$I261)&gt;1,"تکرار",""))</f>
        <v/>
      </c>
      <c r="N261" s="26">
        <f>IF($P261="","",IF(INDEX(EntryNotes,$P261)=0,"",INDEX(EntryNotes,$P261)))</f>
        <v/>
      </c>
      <c r="O261" s="26">
        <f>IF($P261="","",IF(INDEX(EntryTxnID,$P261)=0,"",INDEX(EntryTxnID,$P261)))</f>
        <v/>
      </c>
      <c r="P261" s="26">
        <f>IFERROR(MATCH($C$5&amp;"|"&amp;RIGHT("000000"&amp;245,6),CalcRankKey,0),"")</f>
        <v/>
      </c>
    </row>
    <row r="262">
      <c r="A262" s="28">
        <f>IF($B262="","",246)</f>
        <v/>
      </c>
      <c r="B262" s="28">
        <f>IF($P262="","",IF(INDEX(CalcNormDate,$P262)=0,"",INDEX(CalcNormDate,$P262)))</f>
        <v/>
      </c>
      <c r="C262" s="28">
        <f>IF($P262="","",IF(INDEX(CalcTime,$P262)=0,"",INDEX(CalcTime,$P262)))</f>
        <v/>
      </c>
      <c r="D262" s="28">
        <f>IF($P262="","",IF(INDEX(EntryParty,$P262)=0,"",INDEX(EntryParty,$P262)))</f>
        <v/>
      </c>
      <c r="E262" s="28">
        <f>IF($P262="","",IF(INDEX(EntryPartyName,$P262)=0,"",INDEX(EntryPartyName,$P262)))</f>
        <v/>
      </c>
      <c r="F262" s="28">
        <f>IF($P262="","",IF(INDEX(EntryPartyType,$P262)=0,"",INDEX(EntryPartyType,$P262)))</f>
        <v/>
      </c>
      <c r="G262" s="28">
        <f>IF($P262="","",IF(INDEX(EntryTxnType,$P262)=0,"",INDEX(EntryTxnType,$P262)))</f>
        <v/>
      </c>
      <c r="H262" s="29">
        <f>IF($P262="","",IF(INDEX(EntryDep,$P262)=0,"",INDEX(EntryDep,$P262)))</f>
        <v/>
      </c>
      <c r="I262" s="29">
        <f>IF($P262="","",IF(INDEX(EntryWit,$P262)=0,"",INDEX(EntryWit,$P262)))</f>
        <v/>
      </c>
      <c r="J262" s="29">
        <f>IF($B262="","",IF($A262=1,$C$7,IF(J261="",0,J261))+IF($H262="",0,$H262)-IF($I262="",0,$I262))</f>
        <v/>
      </c>
      <c r="K262" s="29">
        <f>IF($P262="","",IF(INDEX(EntryMan,$P262)=0,"",INDEX(EntryMan,$P262)))</f>
        <v/>
      </c>
      <c r="L262" s="28">
        <f>IF($B262="","",IF($K262="","—",IF(ROUND($K262-$J262,0)=0,"√","×")))</f>
        <v/>
      </c>
      <c r="M262" s="28">
        <f>IF($B262="","",IF(COUNTIFS(EntryDates,$B262,CalcTime,$C262,CalcBank,$C$5,EntryParty,$D262,EntryDep,$H262,EntryWit,$I262)&gt;1,"تکرار",""))</f>
        <v/>
      </c>
      <c r="N262" s="28">
        <f>IF($P262="","",IF(INDEX(EntryNotes,$P262)=0,"",INDEX(EntryNotes,$P262)))</f>
        <v/>
      </c>
      <c r="O262" s="28">
        <f>IF($P262="","",IF(INDEX(EntryTxnID,$P262)=0,"",INDEX(EntryTxnID,$P262)))</f>
        <v/>
      </c>
      <c r="P262" s="28">
        <f>IFERROR(MATCH($C$5&amp;"|"&amp;RIGHT("000000"&amp;246,6),CalcRankKey,0),"")</f>
        <v/>
      </c>
    </row>
    <row r="263">
      <c r="A263" s="26">
        <f>IF($B263="","",247)</f>
        <v/>
      </c>
      <c r="B263" s="26">
        <f>IF($P263="","",IF(INDEX(CalcNormDate,$P263)=0,"",INDEX(CalcNormDate,$P263)))</f>
        <v/>
      </c>
      <c r="C263" s="26">
        <f>IF($P263="","",IF(INDEX(CalcTime,$P263)=0,"",INDEX(CalcTime,$P263)))</f>
        <v/>
      </c>
      <c r="D263" s="26">
        <f>IF($P263="","",IF(INDEX(EntryParty,$P263)=0,"",INDEX(EntryParty,$P263)))</f>
        <v/>
      </c>
      <c r="E263" s="26">
        <f>IF($P263="","",IF(INDEX(EntryPartyName,$P263)=0,"",INDEX(EntryPartyName,$P263)))</f>
        <v/>
      </c>
      <c r="F263" s="26">
        <f>IF($P263="","",IF(INDEX(EntryPartyType,$P263)=0,"",INDEX(EntryPartyType,$P263)))</f>
        <v/>
      </c>
      <c r="G263" s="26">
        <f>IF($P263="","",IF(INDEX(EntryTxnType,$P263)=0,"",INDEX(EntryTxnType,$P263)))</f>
        <v/>
      </c>
      <c r="H263" s="27">
        <f>IF($P263="","",IF(INDEX(EntryDep,$P263)=0,"",INDEX(EntryDep,$P263)))</f>
        <v/>
      </c>
      <c r="I263" s="27">
        <f>IF($P263="","",IF(INDEX(EntryWit,$P263)=0,"",INDEX(EntryWit,$P263)))</f>
        <v/>
      </c>
      <c r="J263" s="27">
        <f>IF($B263="","",IF($A263=1,$C$7,IF(J262="",0,J262))+IF($H263="",0,$H263)-IF($I263="",0,$I263))</f>
        <v/>
      </c>
      <c r="K263" s="27">
        <f>IF($P263="","",IF(INDEX(EntryMan,$P263)=0,"",INDEX(EntryMan,$P263)))</f>
        <v/>
      </c>
      <c r="L263" s="26">
        <f>IF($B263="","",IF($K263="","—",IF(ROUND($K263-$J263,0)=0,"√","×")))</f>
        <v/>
      </c>
      <c r="M263" s="26">
        <f>IF($B263="","",IF(COUNTIFS(EntryDates,$B263,CalcTime,$C263,CalcBank,$C$5,EntryParty,$D263,EntryDep,$H263,EntryWit,$I263)&gt;1,"تکرار",""))</f>
        <v/>
      </c>
      <c r="N263" s="26">
        <f>IF($P263="","",IF(INDEX(EntryNotes,$P263)=0,"",INDEX(EntryNotes,$P263)))</f>
        <v/>
      </c>
      <c r="O263" s="26">
        <f>IF($P263="","",IF(INDEX(EntryTxnID,$P263)=0,"",INDEX(EntryTxnID,$P263)))</f>
        <v/>
      </c>
      <c r="P263" s="26">
        <f>IFERROR(MATCH($C$5&amp;"|"&amp;RIGHT("000000"&amp;247,6),CalcRankKey,0),"")</f>
        <v/>
      </c>
    </row>
    <row r="264">
      <c r="A264" s="28">
        <f>IF($B264="","",248)</f>
        <v/>
      </c>
      <c r="B264" s="28">
        <f>IF($P264="","",IF(INDEX(CalcNormDate,$P264)=0,"",INDEX(CalcNormDate,$P264)))</f>
        <v/>
      </c>
      <c r="C264" s="28">
        <f>IF($P264="","",IF(INDEX(CalcTime,$P264)=0,"",INDEX(CalcTime,$P264)))</f>
        <v/>
      </c>
      <c r="D264" s="28">
        <f>IF($P264="","",IF(INDEX(EntryParty,$P264)=0,"",INDEX(EntryParty,$P264)))</f>
        <v/>
      </c>
      <c r="E264" s="28">
        <f>IF($P264="","",IF(INDEX(EntryPartyName,$P264)=0,"",INDEX(EntryPartyName,$P264)))</f>
        <v/>
      </c>
      <c r="F264" s="28">
        <f>IF($P264="","",IF(INDEX(EntryPartyType,$P264)=0,"",INDEX(EntryPartyType,$P264)))</f>
        <v/>
      </c>
      <c r="G264" s="28">
        <f>IF($P264="","",IF(INDEX(EntryTxnType,$P264)=0,"",INDEX(EntryTxnType,$P264)))</f>
        <v/>
      </c>
      <c r="H264" s="29">
        <f>IF($P264="","",IF(INDEX(EntryDep,$P264)=0,"",INDEX(EntryDep,$P264)))</f>
        <v/>
      </c>
      <c r="I264" s="29">
        <f>IF($P264="","",IF(INDEX(EntryWit,$P264)=0,"",INDEX(EntryWit,$P264)))</f>
        <v/>
      </c>
      <c r="J264" s="29">
        <f>IF($B264="","",IF($A264=1,$C$7,IF(J263="",0,J263))+IF($H264="",0,$H264)-IF($I264="",0,$I264))</f>
        <v/>
      </c>
      <c r="K264" s="29">
        <f>IF($P264="","",IF(INDEX(EntryMan,$P264)=0,"",INDEX(EntryMan,$P264)))</f>
        <v/>
      </c>
      <c r="L264" s="28">
        <f>IF($B264="","",IF($K264="","—",IF(ROUND($K264-$J264,0)=0,"√","×")))</f>
        <v/>
      </c>
      <c r="M264" s="28">
        <f>IF($B264="","",IF(COUNTIFS(EntryDates,$B264,CalcTime,$C264,CalcBank,$C$5,EntryParty,$D264,EntryDep,$H264,EntryWit,$I264)&gt;1,"تکرار",""))</f>
        <v/>
      </c>
      <c r="N264" s="28">
        <f>IF($P264="","",IF(INDEX(EntryNotes,$P264)=0,"",INDEX(EntryNotes,$P264)))</f>
        <v/>
      </c>
      <c r="O264" s="28">
        <f>IF($P264="","",IF(INDEX(EntryTxnID,$P264)=0,"",INDEX(EntryTxnID,$P264)))</f>
        <v/>
      </c>
      <c r="P264" s="28">
        <f>IFERROR(MATCH($C$5&amp;"|"&amp;RIGHT("000000"&amp;248,6),CalcRankKey,0),"")</f>
        <v/>
      </c>
    </row>
    <row r="265">
      <c r="A265" s="26">
        <f>IF($B265="","",249)</f>
        <v/>
      </c>
      <c r="B265" s="26">
        <f>IF($P265="","",IF(INDEX(CalcNormDate,$P265)=0,"",INDEX(CalcNormDate,$P265)))</f>
        <v/>
      </c>
      <c r="C265" s="26">
        <f>IF($P265="","",IF(INDEX(CalcTime,$P265)=0,"",INDEX(CalcTime,$P265)))</f>
        <v/>
      </c>
      <c r="D265" s="26">
        <f>IF($P265="","",IF(INDEX(EntryParty,$P265)=0,"",INDEX(EntryParty,$P265)))</f>
        <v/>
      </c>
      <c r="E265" s="26">
        <f>IF($P265="","",IF(INDEX(EntryPartyName,$P265)=0,"",INDEX(EntryPartyName,$P265)))</f>
        <v/>
      </c>
      <c r="F265" s="26">
        <f>IF($P265="","",IF(INDEX(EntryPartyType,$P265)=0,"",INDEX(EntryPartyType,$P265)))</f>
        <v/>
      </c>
      <c r="G265" s="26">
        <f>IF($P265="","",IF(INDEX(EntryTxnType,$P265)=0,"",INDEX(EntryTxnType,$P265)))</f>
        <v/>
      </c>
      <c r="H265" s="27">
        <f>IF($P265="","",IF(INDEX(EntryDep,$P265)=0,"",INDEX(EntryDep,$P265)))</f>
        <v/>
      </c>
      <c r="I265" s="27">
        <f>IF($P265="","",IF(INDEX(EntryWit,$P265)=0,"",INDEX(EntryWit,$P265)))</f>
        <v/>
      </c>
      <c r="J265" s="27">
        <f>IF($B265="","",IF($A265=1,$C$7,IF(J264="",0,J264))+IF($H265="",0,$H265)-IF($I265="",0,$I265))</f>
        <v/>
      </c>
      <c r="K265" s="27">
        <f>IF($P265="","",IF(INDEX(EntryMan,$P265)=0,"",INDEX(EntryMan,$P265)))</f>
        <v/>
      </c>
      <c r="L265" s="26">
        <f>IF($B265="","",IF($K265="","—",IF(ROUND($K265-$J265,0)=0,"√","×")))</f>
        <v/>
      </c>
      <c r="M265" s="26">
        <f>IF($B265="","",IF(COUNTIFS(EntryDates,$B265,CalcTime,$C265,CalcBank,$C$5,EntryParty,$D265,EntryDep,$H265,EntryWit,$I265)&gt;1,"تکرار",""))</f>
        <v/>
      </c>
      <c r="N265" s="26">
        <f>IF($P265="","",IF(INDEX(EntryNotes,$P265)=0,"",INDEX(EntryNotes,$P265)))</f>
        <v/>
      </c>
      <c r="O265" s="26">
        <f>IF($P265="","",IF(INDEX(EntryTxnID,$P265)=0,"",INDEX(EntryTxnID,$P265)))</f>
        <v/>
      </c>
      <c r="P265" s="26">
        <f>IFERROR(MATCH($C$5&amp;"|"&amp;RIGHT("000000"&amp;249,6),CalcRankKey,0),"")</f>
        <v/>
      </c>
    </row>
    <row r="266">
      <c r="A266" s="28">
        <f>IF($B266="","",250)</f>
        <v/>
      </c>
      <c r="B266" s="28">
        <f>IF($P266="","",IF(INDEX(CalcNormDate,$P266)=0,"",INDEX(CalcNormDate,$P266)))</f>
        <v/>
      </c>
      <c r="C266" s="28">
        <f>IF($P266="","",IF(INDEX(CalcTime,$P266)=0,"",INDEX(CalcTime,$P266)))</f>
        <v/>
      </c>
      <c r="D266" s="28">
        <f>IF($P266="","",IF(INDEX(EntryParty,$P266)=0,"",INDEX(EntryParty,$P266)))</f>
        <v/>
      </c>
      <c r="E266" s="28">
        <f>IF($P266="","",IF(INDEX(EntryPartyName,$P266)=0,"",INDEX(EntryPartyName,$P266)))</f>
        <v/>
      </c>
      <c r="F266" s="28">
        <f>IF($P266="","",IF(INDEX(EntryPartyType,$P266)=0,"",INDEX(EntryPartyType,$P266)))</f>
        <v/>
      </c>
      <c r="G266" s="28">
        <f>IF($P266="","",IF(INDEX(EntryTxnType,$P266)=0,"",INDEX(EntryTxnType,$P266)))</f>
        <v/>
      </c>
      <c r="H266" s="29">
        <f>IF($P266="","",IF(INDEX(EntryDep,$P266)=0,"",INDEX(EntryDep,$P266)))</f>
        <v/>
      </c>
      <c r="I266" s="29">
        <f>IF($P266="","",IF(INDEX(EntryWit,$P266)=0,"",INDEX(EntryWit,$P266)))</f>
        <v/>
      </c>
      <c r="J266" s="29">
        <f>IF($B266="","",IF($A266=1,$C$7,IF(J265="",0,J265))+IF($H266="",0,$H266)-IF($I266="",0,$I266))</f>
        <v/>
      </c>
      <c r="K266" s="29">
        <f>IF($P266="","",IF(INDEX(EntryMan,$P266)=0,"",INDEX(EntryMan,$P266)))</f>
        <v/>
      </c>
      <c r="L266" s="28">
        <f>IF($B266="","",IF($K266="","—",IF(ROUND($K266-$J266,0)=0,"√","×")))</f>
        <v/>
      </c>
      <c r="M266" s="28">
        <f>IF($B266="","",IF(COUNTIFS(EntryDates,$B266,CalcTime,$C266,CalcBank,$C$5,EntryParty,$D266,EntryDep,$H266,EntryWit,$I266)&gt;1,"تکرار",""))</f>
        <v/>
      </c>
      <c r="N266" s="28">
        <f>IF($P266="","",IF(INDEX(EntryNotes,$P266)=0,"",INDEX(EntryNotes,$P266)))</f>
        <v/>
      </c>
      <c r="O266" s="28">
        <f>IF($P266="","",IF(INDEX(EntryTxnID,$P266)=0,"",INDEX(EntryTxnID,$P266)))</f>
        <v/>
      </c>
      <c r="P266" s="28">
        <f>IFERROR(MATCH($C$5&amp;"|"&amp;RIGHT("000000"&amp;250,6),CalcRankKey,0),"")</f>
        <v/>
      </c>
    </row>
    <row r="267">
      <c r="A267" s="26">
        <f>IF($B267="","",251)</f>
        <v/>
      </c>
      <c r="B267" s="26">
        <f>IF($P267="","",IF(INDEX(CalcNormDate,$P267)=0,"",INDEX(CalcNormDate,$P267)))</f>
        <v/>
      </c>
      <c r="C267" s="26">
        <f>IF($P267="","",IF(INDEX(CalcTime,$P267)=0,"",INDEX(CalcTime,$P267)))</f>
        <v/>
      </c>
      <c r="D267" s="26">
        <f>IF($P267="","",IF(INDEX(EntryParty,$P267)=0,"",INDEX(EntryParty,$P267)))</f>
        <v/>
      </c>
      <c r="E267" s="26">
        <f>IF($P267="","",IF(INDEX(EntryPartyName,$P267)=0,"",INDEX(EntryPartyName,$P267)))</f>
        <v/>
      </c>
      <c r="F267" s="26">
        <f>IF($P267="","",IF(INDEX(EntryPartyType,$P267)=0,"",INDEX(EntryPartyType,$P267)))</f>
        <v/>
      </c>
      <c r="G267" s="26">
        <f>IF($P267="","",IF(INDEX(EntryTxnType,$P267)=0,"",INDEX(EntryTxnType,$P267)))</f>
        <v/>
      </c>
      <c r="H267" s="27">
        <f>IF($P267="","",IF(INDEX(EntryDep,$P267)=0,"",INDEX(EntryDep,$P267)))</f>
        <v/>
      </c>
      <c r="I267" s="27">
        <f>IF($P267="","",IF(INDEX(EntryWit,$P267)=0,"",INDEX(EntryWit,$P267)))</f>
        <v/>
      </c>
      <c r="J267" s="27">
        <f>IF($B267="","",IF($A267=1,$C$7,IF(J266="",0,J266))+IF($H267="",0,$H267)-IF($I267="",0,$I267))</f>
        <v/>
      </c>
      <c r="K267" s="27">
        <f>IF($P267="","",IF(INDEX(EntryMan,$P267)=0,"",INDEX(EntryMan,$P267)))</f>
        <v/>
      </c>
      <c r="L267" s="26">
        <f>IF($B267="","",IF($K267="","—",IF(ROUND($K267-$J267,0)=0,"√","×")))</f>
        <v/>
      </c>
      <c r="M267" s="26">
        <f>IF($B267="","",IF(COUNTIFS(EntryDates,$B267,CalcTime,$C267,CalcBank,$C$5,EntryParty,$D267,EntryDep,$H267,EntryWit,$I267)&gt;1,"تکرار",""))</f>
        <v/>
      </c>
      <c r="N267" s="26">
        <f>IF($P267="","",IF(INDEX(EntryNotes,$P267)=0,"",INDEX(EntryNotes,$P267)))</f>
        <v/>
      </c>
      <c r="O267" s="26">
        <f>IF($P267="","",IF(INDEX(EntryTxnID,$P267)=0,"",INDEX(EntryTxnID,$P267)))</f>
        <v/>
      </c>
      <c r="P267" s="26">
        <f>IFERROR(MATCH($C$5&amp;"|"&amp;RIGHT("000000"&amp;251,6),CalcRankKey,0),"")</f>
        <v/>
      </c>
    </row>
    <row r="268">
      <c r="A268" s="28">
        <f>IF($B268="","",252)</f>
        <v/>
      </c>
      <c r="B268" s="28">
        <f>IF($P268="","",IF(INDEX(CalcNormDate,$P268)=0,"",INDEX(CalcNormDate,$P268)))</f>
        <v/>
      </c>
      <c r="C268" s="28">
        <f>IF($P268="","",IF(INDEX(CalcTime,$P268)=0,"",INDEX(CalcTime,$P268)))</f>
        <v/>
      </c>
      <c r="D268" s="28">
        <f>IF($P268="","",IF(INDEX(EntryParty,$P268)=0,"",INDEX(EntryParty,$P268)))</f>
        <v/>
      </c>
      <c r="E268" s="28">
        <f>IF($P268="","",IF(INDEX(EntryPartyName,$P268)=0,"",INDEX(EntryPartyName,$P268)))</f>
        <v/>
      </c>
      <c r="F268" s="28">
        <f>IF($P268="","",IF(INDEX(EntryPartyType,$P268)=0,"",INDEX(EntryPartyType,$P268)))</f>
        <v/>
      </c>
      <c r="G268" s="28">
        <f>IF($P268="","",IF(INDEX(EntryTxnType,$P268)=0,"",INDEX(EntryTxnType,$P268)))</f>
        <v/>
      </c>
      <c r="H268" s="29">
        <f>IF($P268="","",IF(INDEX(EntryDep,$P268)=0,"",INDEX(EntryDep,$P268)))</f>
        <v/>
      </c>
      <c r="I268" s="29">
        <f>IF($P268="","",IF(INDEX(EntryWit,$P268)=0,"",INDEX(EntryWit,$P268)))</f>
        <v/>
      </c>
      <c r="J268" s="29">
        <f>IF($B268="","",IF($A268=1,$C$7,IF(J267="",0,J267))+IF($H268="",0,$H268)-IF($I268="",0,$I268))</f>
        <v/>
      </c>
      <c r="K268" s="29">
        <f>IF($P268="","",IF(INDEX(EntryMan,$P268)=0,"",INDEX(EntryMan,$P268)))</f>
        <v/>
      </c>
      <c r="L268" s="28">
        <f>IF($B268="","",IF($K268="","—",IF(ROUND($K268-$J268,0)=0,"√","×")))</f>
        <v/>
      </c>
      <c r="M268" s="28">
        <f>IF($B268="","",IF(COUNTIFS(EntryDates,$B268,CalcTime,$C268,CalcBank,$C$5,EntryParty,$D268,EntryDep,$H268,EntryWit,$I268)&gt;1,"تکرار",""))</f>
        <v/>
      </c>
      <c r="N268" s="28">
        <f>IF($P268="","",IF(INDEX(EntryNotes,$P268)=0,"",INDEX(EntryNotes,$P268)))</f>
        <v/>
      </c>
      <c r="O268" s="28">
        <f>IF($P268="","",IF(INDEX(EntryTxnID,$P268)=0,"",INDEX(EntryTxnID,$P268)))</f>
        <v/>
      </c>
      <c r="P268" s="28">
        <f>IFERROR(MATCH($C$5&amp;"|"&amp;RIGHT("000000"&amp;252,6),CalcRankKey,0),"")</f>
        <v/>
      </c>
    </row>
    <row r="269">
      <c r="A269" s="26">
        <f>IF($B269="","",253)</f>
        <v/>
      </c>
      <c r="B269" s="26">
        <f>IF($P269="","",IF(INDEX(CalcNormDate,$P269)=0,"",INDEX(CalcNormDate,$P269)))</f>
        <v/>
      </c>
      <c r="C269" s="26">
        <f>IF($P269="","",IF(INDEX(CalcTime,$P269)=0,"",INDEX(CalcTime,$P269)))</f>
        <v/>
      </c>
      <c r="D269" s="26">
        <f>IF($P269="","",IF(INDEX(EntryParty,$P269)=0,"",INDEX(EntryParty,$P269)))</f>
        <v/>
      </c>
      <c r="E269" s="26">
        <f>IF($P269="","",IF(INDEX(EntryPartyName,$P269)=0,"",INDEX(EntryPartyName,$P269)))</f>
        <v/>
      </c>
      <c r="F269" s="26">
        <f>IF($P269="","",IF(INDEX(EntryPartyType,$P269)=0,"",INDEX(EntryPartyType,$P269)))</f>
        <v/>
      </c>
      <c r="G269" s="26">
        <f>IF($P269="","",IF(INDEX(EntryTxnType,$P269)=0,"",INDEX(EntryTxnType,$P269)))</f>
        <v/>
      </c>
      <c r="H269" s="27">
        <f>IF($P269="","",IF(INDEX(EntryDep,$P269)=0,"",INDEX(EntryDep,$P269)))</f>
        <v/>
      </c>
      <c r="I269" s="27">
        <f>IF($P269="","",IF(INDEX(EntryWit,$P269)=0,"",INDEX(EntryWit,$P269)))</f>
        <v/>
      </c>
      <c r="J269" s="27">
        <f>IF($B269="","",IF($A269=1,$C$7,IF(J268="",0,J268))+IF($H269="",0,$H269)-IF($I269="",0,$I269))</f>
        <v/>
      </c>
      <c r="K269" s="27">
        <f>IF($P269="","",IF(INDEX(EntryMan,$P269)=0,"",INDEX(EntryMan,$P269)))</f>
        <v/>
      </c>
      <c r="L269" s="26">
        <f>IF($B269="","",IF($K269="","—",IF(ROUND($K269-$J269,0)=0,"√","×")))</f>
        <v/>
      </c>
      <c r="M269" s="26">
        <f>IF($B269="","",IF(COUNTIFS(EntryDates,$B269,CalcTime,$C269,CalcBank,$C$5,EntryParty,$D269,EntryDep,$H269,EntryWit,$I269)&gt;1,"تکرار",""))</f>
        <v/>
      </c>
      <c r="N269" s="26">
        <f>IF($P269="","",IF(INDEX(EntryNotes,$P269)=0,"",INDEX(EntryNotes,$P269)))</f>
        <v/>
      </c>
      <c r="O269" s="26">
        <f>IF($P269="","",IF(INDEX(EntryTxnID,$P269)=0,"",INDEX(EntryTxnID,$P269)))</f>
        <v/>
      </c>
      <c r="P269" s="26">
        <f>IFERROR(MATCH($C$5&amp;"|"&amp;RIGHT("000000"&amp;253,6),CalcRankKey,0),"")</f>
        <v/>
      </c>
    </row>
    <row r="270">
      <c r="A270" s="28">
        <f>IF($B270="","",254)</f>
        <v/>
      </c>
      <c r="B270" s="28">
        <f>IF($P270="","",IF(INDEX(CalcNormDate,$P270)=0,"",INDEX(CalcNormDate,$P270)))</f>
        <v/>
      </c>
      <c r="C270" s="28">
        <f>IF($P270="","",IF(INDEX(CalcTime,$P270)=0,"",INDEX(CalcTime,$P270)))</f>
        <v/>
      </c>
      <c r="D270" s="28">
        <f>IF($P270="","",IF(INDEX(EntryParty,$P270)=0,"",INDEX(EntryParty,$P270)))</f>
        <v/>
      </c>
      <c r="E270" s="28">
        <f>IF($P270="","",IF(INDEX(EntryPartyName,$P270)=0,"",INDEX(EntryPartyName,$P270)))</f>
        <v/>
      </c>
      <c r="F270" s="28">
        <f>IF($P270="","",IF(INDEX(EntryPartyType,$P270)=0,"",INDEX(EntryPartyType,$P270)))</f>
        <v/>
      </c>
      <c r="G270" s="28">
        <f>IF($P270="","",IF(INDEX(EntryTxnType,$P270)=0,"",INDEX(EntryTxnType,$P270)))</f>
        <v/>
      </c>
      <c r="H270" s="29">
        <f>IF($P270="","",IF(INDEX(EntryDep,$P270)=0,"",INDEX(EntryDep,$P270)))</f>
        <v/>
      </c>
      <c r="I270" s="29">
        <f>IF($P270="","",IF(INDEX(EntryWit,$P270)=0,"",INDEX(EntryWit,$P270)))</f>
        <v/>
      </c>
      <c r="J270" s="29">
        <f>IF($B270="","",IF($A270=1,$C$7,IF(J269="",0,J269))+IF($H270="",0,$H270)-IF($I270="",0,$I270))</f>
        <v/>
      </c>
      <c r="K270" s="29">
        <f>IF($P270="","",IF(INDEX(EntryMan,$P270)=0,"",INDEX(EntryMan,$P270)))</f>
        <v/>
      </c>
      <c r="L270" s="28">
        <f>IF($B270="","",IF($K270="","—",IF(ROUND($K270-$J270,0)=0,"√","×")))</f>
        <v/>
      </c>
      <c r="M270" s="28">
        <f>IF($B270="","",IF(COUNTIFS(EntryDates,$B270,CalcTime,$C270,CalcBank,$C$5,EntryParty,$D270,EntryDep,$H270,EntryWit,$I270)&gt;1,"تکرار",""))</f>
        <v/>
      </c>
      <c r="N270" s="28">
        <f>IF($P270="","",IF(INDEX(EntryNotes,$P270)=0,"",INDEX(EntryNotes,$P270)))</f>
        <v/>
      </c>
      <c r="O270" s="28">
        <f>IF($P270="","",IF(INDEX(EntryTxnID,$P270)=0,"",INDEX(EntryTxnID,$P270)))</f>
        <v/>
      </c>
      <c r="P270" s="28">
        <f>IFERROR(MATCH($C$5&amp;"|"&amp;RIGHT("000000"&amp;254,6),CalcRankKey,0),"")</f>
        <v/>
      </c>
    </row>
    <row r="271">
      <c r="A271" s="26">
        <f>IF($B271="","",255)</f>
        <v/>
      </c>
      <c r="B271" s="26">
        <f>IF($P271="","",IF(INDEX(CalcNormDate,$P271)=0,"",INDEX(CalcNormDate,$P271)))</f>
        <v/>
      </c>
      <c r="C271" s="26">
        <f>IF($P271="","",IF(INDEX(CalcTime,$P271)=0,"",INDEX(CalcTime,$P271)))</f>
        <v/>
      </c>
      <c r="D271" s="26">
        <f>IF($P271="","",IF(INDEX(EntryParty,$P271)=0,"",INDEX(EntryParty,$P271)))</f>
        <v/>
      </c>
      <c r="E271" s="26">
        <f>IF($P271="","",IF(INDEX(EntryPartyName,$P271)=0,"",INDEX(EntryPartyName,$P271)))</f>
        <v/>
      </c>
      <c r="F271" s="26">
        <f>IF($P271="","",IF(INDEX(EntryPartyType,$P271)=0,"",INDEX(EntryPartyType,$P271)))</f>
        <v/>
      </c>
      <c r="G271" s="26">
        <f>IF($P271="","",IF(INDEX(EntryTxnType,$P271)=0,"",INDEX(EntryTxnType,$P271)))</f>
        <v/>
      </c>
      <c r="H271" s="27">
        <f>IF($P271="","",IF(INDEX(EntryDep,$P271)=0,"",INDEX(EntryDep,$P271)))</f>
        <v/>
      </c>
      <c r="I271" s="27">
        <f>IF($P271="","",IF(INDEX(EntryWit,$P271)=0,"",INDEX(EntryWit,$P271)))</f>
        <v/>
      </c>
      <c r="J271" s="27">
        <f>IF($B271="","",IF($A271=1,$C$7,IF(J270="",0,J270))+IF($H271="",0,$H271)-IF($I271="",0,$I271))</f>
        <v/>
      </c>
      <c r="K271" s="27">
        <f>IF($P271="","",IF(INDEX(EntryMan,$P271)=0,"",INDEX(EntryMan,$P271)))</f>
        <v/>
      </c>
      <c r="L271" s="26">
        <f>IF($B271="","",IF($K271="","—",IF(ROUND($K271-$J271,0)=0,"√","×")))</f>
        <v/>
      </c>
      <c r="M271" s="26">
        <f>IF($B271="","",IF(COUNTIFS(EntryDates,$B271,CalcTime,$C271,CalcBank,$C$5,EntryParty,$D271,EntryDep,$H271,EntryWit,$I271)&gt;1,"تکرار",""))</f>
        <v/>
      </c>
      <c r="N271" s="26">
        <f>IF($P271="","",IF(INDEX(EntryNotes,$P271)=0,"",INDEX(EntryNotes,$P271)))</f>
        <v/>
      </c>
      <c r="O271" s="26">
        <f>IF($P271="","",IF(INDEX(EntryTxnID,$P271)=0,"",INDEX(EntryTxnID,$P271)))</f>
        <v/>
      </c>
      <c r="P271" s="26">
        <f>IFERROR(MATCH($C$5&amp;"|"&amp;RIGHT("000000"&amp;255,6),CalcRankKey,0),"")</f>
        <v/>
      </c>
    </row>
    <row r="272">
      <c r="A272" s="28">
        <f>IF($B272="","",256)</f>
        <v/>
      </c>
      <c r="B272" s="28">
        <f>IF($P272="","",IF(INDEX(CalcNormDate,$P272)=0,"",INDEX(CalcNormDate,$P272)))</f>
        <v/>
      </c>
      <c r="C272" s="28">
        <f>IF($P272="","",IF(INDEX(CalcTime,$P272)=0,"",INDEX(CalcTime,$P272)))</f>
        <v/>
      </c>
      <c r="D272" s="28">
        <f>IF($P272="","",IF(INDEX(EntryParty,$P272)=0,"",INDEX(EntryParty,$P272)))</f>
        <v/>
      </c>
      <c r="E272" s="28">
        <f>IF($P272="","",IF(INDEX(EntryPartyName,$P272)=0,"",INDEX(EntryPartyName,$P272)))</f>
        <v/>
      </c>
      <c r="F272" s="28">
        <f>IF($P272="","",IF(INDEX(EntryPartyType,$P272)=0,"",INDEX(EntryPartyType,$P272)))</f>
        <v/>
      </c>
      <c r="G272" s="28">
        <f>IF($P272="","",IF(INDEX(EntryTxnType,$P272)=0,"",INDEX(EntryTxnType,$P272)))</f>
        <v/>
      </c>
      <c r="H272" s="29">
        <f>IF($P272="","",IF(INDEX(EntryDep,$P272)=0,"",INDEX(EntryDep,$P272)))</f>
        <v/>
      </c>
      <c r="I272" s="29">
        <f>IF($P272="","",IF(INDEX(EntryWit,$P272)=0,"",INDEX(EntryWit,$P272)))</f>
        <v/>
      </c>
      <c r="J272" s="29">
        <f>IF($B272="","",IF($A272=1,$C$7,IF(J271="",0,J271))+IF($H272="",0,$H272)-IF($I272="",0,$I272))</f>
        <v/>
      </c>
      <c r="K272" s="29">
        <f>IF($P272="","",IF(INDEX(EntryMan,$P272)=0,"",INDEX(EntryMan,$P272)))</f>
        <v/>
      </c>
      <c r="L272" s="28">
        <f>IF($B272="","",IF($K272="","—",IF(ROUND($K272-$J272,0)=0,"√","×")))</f>
        <v/>
      </c>
      <c r="M272" s="28">
        <f>IF($B272="","",IF(COUNTIFS(EntryDates,$B272,CalcTime,$C272,CalcBank,$C$5,EntryParty,$D272,EntryDep,$H272,EntryWit,$I272)&gt;1,"تکرار",""))</f>
        <v/>
      </c>
      <c r="N272" s="28">
        <f>IF($P272="","",IF(INDEX(EntryNotes,$P272)=0,"",INDEX(EntryNotes,$P272)))</f>
        <v/>
      </c>
      <c r="O272" s="28">
        <f>IF($P272="","",IF(INDEX(EntryTxnID,$P272)=0,"",INDEX(EntryTxnID,$P272)))</f>
        <v/>
      </c>
      <c r="P272" s="28">
        <f>IFERROR(MATCH($C$5&amp;"|"&amp;RIGHT("000000"&amp;256,6),CalcRankKey,0),"")</f>
        <v/>
      </c>
    </row>
    <row r="273">
      <c r="A273" s="26">
        <f>IF($B273="","",257)</f>
        <v/>
      </c>
      <c r="B273" s="26">
        <f>IF($P273="","",IF(INDEX(CalcNormDate,$P273)=0,"",INDEX(CalcNormDate,$P273)))</f>
        <v/>
      </c>
      <c r="C273" s="26">
        <f>IF($P273="","",IF(INDEX(CalcTime,$P273)=0,"",INDEX(CalcTime,$P273)))</f>
        <v/>
      </c>
      <c r="D273" s="26">
        <f>IF($P273="","",IF(INDEX(EntryParty,$P273)=0,"",INDEX(EntryParty,$P273)))</f>
        <v/>
      </c>
      <c r="E273" s="26">
        <f>IF($P273="","",IF(INDEX(EntryPartyName,$P273)=0,"",INDEX(EntryPartyName,$P273)))</f>
        <v/>
      </c>
      <c r="F273" s="26">
        <f>IF($P273="","",IF(INDEX(EntryPartyType,$P273)=0,"",INDEX(EntryPartyType,$P273)))</f>
        <v/>
      </c>
      <c r="G273" s="26">
        <f>IF($P273="","",IF(INDEX(EntryTxnType,$P273)=0,"",INDEX(EntryTxnType,$P273)))</f>
        <v/>
      </c>
      <c r="H273" s="27">
        <f>IF($P273="","",IF(INDEX(EntryDep,$P273)=0,"",INDEX(EntryDep,$P273)))</f>
        <v/>
      </c>
      <c r="I273" s="27">
        <f>IF($P273="","",IF(INDEX(EntryWit,$P273)=0,"",INDEX(EntryWit,$P273)))</f>
        <v/>
      </c>
      <c r="J273" s="27">
        <f>IF($B273="","",IF($A273=1,$C$7,IF(J272="",0,J272))+IF($H273="",0,$H273)-IF($I273="",0,$I273))</f>
        <v/>
      </c>
      <c r="K273" s="27">
        <f>IF($P273="","",IF(INDEX(EntryMan,$P273)=0,"",INDEX(EntryMan,$P273)))</f>
        <v/>
      </c>
      <c r="L273" s="26">
        <f>IF($B273="","",IF($K273="","—",IF(ROUND($K273-$J273,0)=0,"√","×")))</f>
        <v/>
      </c>
      <c r="M273" s="26">
        <f>IF($B273="","",IF(COUNTIFS(EntryDates,$B273,CalcTime,$C273,CalcBank,$C$5,EntryParty,$D273,EntryDep,$H273,EntryWit,$I273)&gt;1,"تکرار",""))</f>
        <v/>
      </c>
      <c r="N273" s="26">
        <f>IF($P273="","",IF(INDEX(EntryNotes,$P273)=0,"",INDEX(EntryNotes,$P273)))</f>
        <v/>
      </c>
      <c r="O273" s="26">
        <f>IF($P273="","",IF(INDEX(EntryTxnID,$P273)=0,"",INDEX(EntryTxnID,$P273)))</f>
        <v/>
      </c>
      <c r="P273" s="26">
        <f>IFERROR(MATCH($C$5&amp;"|"&amp;RIGHT("000000"&amp;257,6),CalcRankKey,0),"")</f>
        <v/>
      </c>
    </row>
    <row r="274">
      <c r="A274" s="28">
        <f>IF($B274="","",258)</f>
        <v/>
      </c>
      <c r="B274" s="28">
        <f>IF($P274="","",IF(INDEX(CalcNormDate,$P274)=0,"",INDEX(CalcNormDate,$P274)))</f>
        <v/>
      </c>
      <c r="C274" s="28">
        <f>IF($P274="","",IF(INDEX(CalcTime,$P274)=0,"",INDEX(CalcTime,$P274)))</f>
        <v/>
      </c>
      <c r="D274" s="28">
        <f>IF($P274="","",IF(INDEX(EntryParty,$P274)=0,"",INDEX(EntryParty,$P274)))</f>
        <v/>
      </c>
      <c r="E274" s="28">
        <f>IF($P274="","",IF(INDEX(EntryPartyName,$P274)=0,"",INDEX(EntryPartyName,$P274)))</f>
        <v/>
      </c>
      <c r="F274" s="28">
        <f>IF($P274="","",IF(INDEX(EntryPartyType,$P274)=0,"",INDEX(EntryPartyType,$P274)))</f>
        <v/>
      </c>
      <c r="G274" s="28">
        <f>IF($P274="","",IF(INDEX(EntryTxnType,$P274)=0,"",INDEX(EntryTxnType,$P274)))</f>
        <v/>
      </c>
      <c r="H274" s="29">
        <f>IF($P274="","",IF(INDEX(EntryDep,$P274)=0,"",INDEX(EntryDep,$P274)))</f>
        <v/>
      </c>
      <c r="I274" s="29">
        <f>IF($P274="","",IF(INDEX(EntryWit,$P274)=0,"",INDEX(EntryWit,$P274)))</f>
        <v/>
      </c>
      <c r="J274" s="29">
        <f>IF($B274="","",IF($A274=1,$C$7,IF(J273="",0,J273))+IF($H274="",0,$H274)-IF($I274="",0,$I274))</f>
        <v/>
      </c>
      <c r="K274" s="29">
        <f>IF($P274="","",IF(INDEX(EntryMan,$P274)=0,"",INDEX(EntryMan,$P274)))</f>
        <v/>
      </c>
      <c r="L274" s="28">
        <f>IF($B274="","",IF($K274="","—",IF(ROUND($K274-$J274,0)=0,"√","×")))</f>
        <v/>
      </c>
      <c r="M274" s="28">
        <f>IF($B274="","",IF(COUNTIFS(EntryDates,$B274,CalcTime,$C274,CalcBank,$C$5,EntryParty,$D274,EntryDep,$H274,EntryWit,$I274)&gt;1,"تکرار",""))</f>
        <v/>
      </c>
      <c r="N274" s="28">
        <f>IF($P274="","",IF(INDEX(EntryNotes,$P274)=0,"",INDEX(EntryNotes,$P274)))</f>
        <v/>
      </c>
      <c r="O274" s="28">
        <f>IF($P274="","",IF(INDEX(EntryTxnID,$P274)=0,"",INDEX(EntryTxnID,$P274)))</f>
        <v/>
      </c>
      <c r="P274" s="28">
        <f>IFERROR(MATCH($C$5&amp;"|"&amp;RIGHT("000000"&amp;258,6),CalcRankKey,0),"")</f>
        <v/>
      </c>
    </row>
    <row r="275">
      <c r="A275" s="26">
        <f>IF($B275="","",259)</f>
        <v/>
      </c>
      <c r="B275" s="26">
        <f>IF($P275="","",IF(INDEX(CalcNormDate,$P275)=0,"",INDEX(CalcNormDate,$P275)))</f>
        <v/>
      </c>
      <c r="C275" s="26">
        <f>IF($P275="","",IF(INDEX(CalcTime,$P275)=0,"",INDEX(CalcTime,$P275)))</f>
        <v/>
      </c>
      <c r="D275" s="26">
        <f>IF($P275="","",IF(INDEX(EntryParty,$P275)=0,"",INDEX(EntryParty,$P275)))</f>
        <v/>
      </c>
      <c r="E275" s="26">
        <f>IF($P275="","",IF(INDEX(EntryPartyName,$P275)=0,"",INDEX(EntryPartyName,$P275)))</f>
        <v/>
      </c>
      <c r="F275" s="26">
        <f>IF($P275="","",IF(INDEX(EntryPartyType,$P275)=0,"",INDEX(EntryPartyType,$P275)))</f>
        <v/>
      </c>
      <c r="G275" s="26">
        <f>IF($P275="","",IF(INDEX(EntryTxnType,$P275)=0,"",INDEX(EntryTxnType,$P275)))</f>
        <v/>
      </c>
      <c r="H275" s="27">
        <f>IF($P275="","",IF(INDEX(EntryDep,$P275)=0,"",INDEX(EntryDep,$P275)))</f>
        <v/>
      </c>
      <c r="I275" s="27">
        <f>IF($P275="","",IF(INDEX(EntryWit,$P275)=0,"",INDEX(EntryWit,$P275)))</f>
        <v/>
      </c>
      <c r="J275" s="27">
        <f>IF($B275="","",IF($A275=1,$C$7,IF(J274="",0,J274))+IF($H275="",0,$H275)-IF($I275="",0,$I275))</f>
        <v/>
      </c>
      <c r="K275" s="27">
        <f>IF($P275="","",IF(INDEX(EntryMan,$P275)=0,"",INDEX(EntryMan,$P275)))</f>
        <v/>
      </c>
      <c r="L275" s="26">
        <f>IF($B275="","",IF($K275="","—",IF(ROUND($K275-$J275,0)=0,"√","×")))</f>
        <v/>
      </c>
      <c r="M275" s="26">
        <f>IF($B275="","",IF(COUNTIFS(EntryDates,$B275,CalcTime,$C275,CalcBank,$C$5,EntryParty,$D275,EntryDep,$H275,EntryWit,$I275)&gt;1,"تکرار",""))</f>
        <v/>
      </c>
      <c r="N275" s="26">
        <f>IF($P275="","",IF(INDEX(EntryNotes,$P275)=0,"",INDEX(EntryNotes,$P275)))</f>
        <v/>
      </c>
      <c r="O275" s="26">
        <f>IF($P275="","",IF(INDEX(EntryTxnID,$P275)=0,"",INDEX(EntryTxnID,$P275)))</f>
        <v/>
      </c>
      <c r="P275" s="26">
        <f>IFERROR(MATCH($C$5&amp;"|"&amp;RIGHT("000000"&amp;259,6),CalcRankKey,0),"")</f>
        <v/>
      </c>
    </row>
    <row r="276">
      <c r="A276" s="28">
        <f>IF($B276="","",260)</f>
        <v/>
      </c>
      <c r="B276" s="28">
        <f>IF($P276="","",IF(INDEX(CalcNormDate,$P276)=0,"",INDEX(CalcNormDate,$P276)))</f>
        <v/>
      </c>
      <c r="C276" s="28">
        <f>IF($P276="","",IF(INDEX(CalcTime,$P276)=0,"",INDEX(CalcTime,$P276)))</f>
        <v/>
      </c>
      <c r="D276" s="28">
        <f>IF($P276="","",IF(INDEX(EntryParty,$P276)=0,"",INDEX(EntryParty,$P276)))</f>
        <v/>
      </c>
      <c r="E276" s="28">
        <f>IF($P276="","",IF(INDEX(EntryPartyName,$P276)=0,"",INDEX(EntryPartyName,$P276)))</f>
        <v/>
      </c>
      <c r="F276" s="28">
        <f>IF($P276="","",IF(INDEX(EntryPartyType,$P276)=0,"",INDEX(EntryPartyType,$P276)))</f>
        <v/>
      </c>
      <c r="G276" s="28">
        <f>IF($P276="","",IF(INDEX(EntryTxnType,$P276)=0,"",INDEX(EntryTxnType,$P276)))</f>
        <v/>
      </c>
      <c r="H276" s="29">
        <f>IF($P276="","",IF(INDEX(EntryDep,$P276)=0,"",INDEX(EntryDep,$P276)))</f>
        <v/>
      </c>
      <c r="I276" s="29">
        <f>IF($P276="","",IF(INDEX(EntryWit,$P276)=0,"",INDEX(EntryWit,$P276)))</f>
        <v/>
      </c>
      <c r="J276" s="29">
        <f>IF($B276="","",IF($A276=1,$C$7,IF(J275="",0,J275))+IF($H276="",0,$H276)-IF($I276="",0,$I276))</f>
        <v/>
      </c>
      <c r="K276" s="29">
        <f>IF($P276="","",IF(INDEX(EntryMan,$P276)=0,"",INDEX(EntryMan,$P276)))</f>
        <v/>
      </c>
      <c r="L276" s="28">
        <f>IF($B276="","",IF($K276="","—",IF(ROUND($K276-$J276,0)=0,"√","×")))</f>
        <v/>
      </c>
      <c r="M276" s="28">
        <f>IF($B276="","",IF(COUNTIFS(EntryDates,$B276,CalcTime,$C276,CalcBank,$C$5,EntryParty,$D276,EntryDep,$H276,EntryWit,$I276)&gt;1,"تکرار",""))</f>
        <v/>
      </c>
      <c r="N276" s="28">
        <f>IF($P276="","",IF(INDEX(EntryNotes,$P276)=0,"",INDEX(EntryNotes,$P276)))</f>
        <v/>
      </c>
      <c r="O276" s="28">
        <f>IF($P276="","",IF(INDEX(EntryTxnID,$P276)=0,"",INDEX(EntryTxnID,$P276)))</f>
        <v/>
      </c>
      <c r="P276" s="28">
        <f>IFERROR(MATCH($C$5&amp;"|"&amp;RIGHT("000000"&amp;260,6),CalcRankKey,0),"")</f>
        <v/>
      </c>
    </row>
    <row r="277">
      <c r="A277" s="26">
        <f>IF($B277="","",261)</f>
        <v/>
      </c>
      <c r="B277" s="26">
        <f>IF($P277="","",IF(INDEX(CalcNormDate,$P277)=0,"",INDEX(CalcNormDate,$P277)))</f>
        <v/>
      </c>
      <c r="C277" s="26">
        <f>IF($P277="","",IF(INDEX(CalcTime,$P277)=0,"",INDEX(CalcTime,$P277)))</f>
        <v/>
      </c>
      <c r="D277" s="26">
        <f>IF($P277="","",IF(INDEX(EntryParty,$P277)=0,"",INDEX(EntryParty,$P277)))</f>
        <v/>
      </c>
      <c r="E277" s="26">
        <f>IF($P277="","",IF(INDEX(EntryPartyName,$P277)=0,"",INDEX(EntryPartyName,$P277)))</f>
        <v/>
      </c>
      <c r="F277" s="26">
        <f>IF($P277="","",IF(INDEX(EntryPartyType,$P277)=0,"",INDEX(EntryPartyType,$P277)))</f>
        <v/>
      </c>
      <c r="G277" s="26">
        <f>IF($P277="","",IF(INDEX(EntryTxnType,$P277)=0,"",INDEX(EntryTxnType,$P277)))</f>
        <v/>
      </c>
      <c r="H277" s="27">
        <f>IF($P277="","",IF(INDEX(EntryDep,$P277)=0,"",INDEX(EntryDep,$P277)))</f>
        <v/>
      </c>
      <c r="I277" s="27">
        <f>IF($P277="","",IF(INDEX(EntryWit,$P277)=0,"",INDEX(EntryWit,$P277)))</f>
        <v/>
      </c>
      <c r="J277" s="27">
        <f>IF($B277="","",IF($A277=1,$C$7,IF(J276="",0,J276))+IF($H277="",0,$H277)-IF($I277="",0,$I277))</f>
        <v/>
      </c>
      <c r="K277" s="27">
        <f>IF($P277="","",IF(INDEX(EntryMan,$P277)=0,"",INDEX(EntryMan,$P277)))</f>
        <v/>
      </c>
      <c r="L277" s="26">
        <f>IF($B277="","",IF($K277="","—",IF(ROUND($K277-$J277,0)=0,"√","×")))</f>
        <v/>
      </c>
      <c r="M277" s="26">
        <f>IF($B277="","",IF(COUNTIFS(EntryDates,$B277,CalcTime,$C277,CalcBank,$C$5,EntryParty,$D277,EntryDep,$H277,EntryWit,$I277)&gt;1,"تکرار",""))</f>
        <v/>
      </c>
      <c r="N277" s="26">
        <f>IF($P277="","",IF(INDEX(EntryNotes,$P277)=0,"",INDEX(EntryNotes,$P277)))</f>
        <v/>
      </c>
      <c r="O277" s="26">
        <f>IF($P277="","",IF(INDEX(EntryTxnID,$P277)=0,"",INDEX(EntryTxnID,$P277)))</f>
        <v/>
      </c>
      <c r="P277" s="26">
        <f>IFERROR(MATCH($C$5&amp;"|"&amp;RIGHT("000000"&amp;261,6),CalcRankKey,0),"")</f>
        <v/>
      </c>
    </row>
    <row r="278">
      <c r="A278" s="28">
        <f>IF($B278="","",262)</f>
        <v/>
      </c>
      <c r="B278" s="28">
        <f>IF($P278="","",IF(INDEX(CalcNormDate,$P278)=0,"",INDEX(CalcNormDate,$P278)))</f>
        <v/>
      </c>
      <c r="C278" s="28">
        <f>IF($P278="","",IF(INDEX(CalcTime,$P278)=0,"",INDEX(CalcTime,$P278)))</f>
        <v/>
      </c>
      <c r="D278" s="28">
        <f>IF($P278="","",IF(INDEX(EntryParty,$P278)=0,"",INDEX(EntryParty,$P278)))</f>
        <v/>
      </c>
      <c r="E278" s="28">
        <f>IF($P278="","",IF(INDEX(EntryPartyName,$P278)=0,"",INDEX(EntryPartyName,$P278)))</f>
        <v/>
      </c>
      <c r="F278" s="28">
        <f>IF($P278="","",IF(INDEX(EntryPartyType,$P278)=0,"",INDEX(EntryPartyType,$P278)))</f>
        <v/>
      </c>
      <c r="G278" s="28">
        <f>IF($P278="","",IF(INDEX(EntryTxnType,$P278)=0,"",INDEX(EntryTxnType,$P278)))</f>
        <v/>
      </c>
      <c r="H278" s="29">
        <f>IF($P278="","",IF(INDEX(EntryDep,$P278)=0,"",INDEX(EntryDep,$P278)))</f>
        <v/>
      </c>
      <c r="I278" s="29">
        <f>IF($P278="","",IF(INDEX(EntryWit,$P278)=0,"",INDEX(EntryWit,$P278)))</f>
        <v/>
      </c>
      <c r="J278" s="29">
        <f>IF($B278="","",IF($A278=1,$C$7,IF(J277="",0,J277))+IF($H278="",0,$H278)-IF($I278="",0,$I278))</f>
        <v/>
      </c>
      <c r="K278" s="29">
        <f>IF($P278="","",IF(INDEX(EntryMan,$P278)=0,"",INDEX(EntryMan,$P278)))</f>
        <v/>
      </c>
      <c r="L278" s="28">
        <f>IF($B278="","",IF($K278="","—",IF(ROUND($K278-$J278,0)=0,"√","×")))</f>
        <v/>
      </c>
      <c r="M278" s="28">
        <f>IF($B278="","",IF(COUNTIFS(EntryDates,$B278,CalcTime,$C278,CalcBank,$C$5,EntryParty,$D278,EntryDep,$H278,EntryWit,$I278)&gt;1,"تکرار",""))</f>
        <v/>
      </c>
      <c r="N278" s="28">
        <f>IF($P278="","",IF(INDEX(EntryNotes,$P278)=0,"",INDEX(EntryNotes,$P278)))</f>
        <v/>
      </c>
      <c r="O278" s="28">
        <f>IF($P278="","",IF(INDEX(EntryTxnID,$P278)=0,"",INDEX(EntryTxnID,$P278)))</f>
        <v/>
      </c>
      <c r="P278" s="28">
        <f>IFERROR(MATCH($C$5&amp;"|"&amp;RIGHT("000000"&amp;262,6),CalcRankKey,0),"")</f>
        <v/>
      </c>
    </row>
    <row r="279">
      <c r="A279" s="26">
        <f>IF($B279="","",263)</f>
        <v/>
      </c>
      <c r="B279" s="26">
        <f>IF($P279="","",IF(INDEX(CalcNormDate,$P279)=0,"",INDEX(CalcNormDate,$P279)))</f>
        <v/>
      </c>
      <c r="C279" s="26">
        <f>IF($P279="","",IF(INDEX(CalcTime,$P279)=0,"",INDEX(CalcTime,$P279)))</f>
        <v/>
      </c>
      <c r="D279" s="26">
        <f>IF($P279="","",IF(INDEX(EntryParty,$P279)=0,"",INDEX(EntryParty,$P279)))</f>
        <v/>
      </c>
      <c r="E279" s="26">
        <f>IF($P279="","",IF(INDEX(EntryPartyName,$P279)=0,"",INDEX(EntryPartyName,$P279)))</f>
        <v/>
      </c>
      <c r="F279" s="26">
        <f>IF($P279="","",IF(INDEX(EntryPartyType,$P279)=0,"",INDEX(EntryPartyType,$P279)))</f>
        <v/>
      </c>
      <c r="G279" s="26">
        <f>IF($P279="","",IF(INDEX(EntryTxnType,$P279)=0,"",INDEX(EntryTxnType,$P279)))</f>
        <v/>
      </c>
      <c r="H279" s="27">
        <f>IF($P279="","",IF(INDEX(EntryDep,$P279)=0,"",INDEX(EntryDep,$P279)))</f>
        <v/>
      </c>
      <c r="I279" s="27">
        <f>IF($P279="","",IF(INDEX(EntryWit,$P279)=0,"",INDEX(EntryWit,$P279)))</f>
        <v/>
      </c>
      <c r="J279" s="27">
        <f>IF($B279="","",IF($A279=1,$C$7,IF(J278="",0,J278))+IF($H279="",0,$H279)-IF($I279="",0,$I279))</f>
        <v/>
      </c>
      <c r="K279" s="27">
        <f>IF($P279="","",IF(INDEX(EntryMan,$P279)=0,"",INDEX(EntryMan,$P279)))</f>
        <v/>
      </c>
      <c r="L279" s="26">
        <f>IF($B279="","",IF($K279="","—",IF(ROUND($K279-$J279,0)=0,"√","×")))</f>
        <v/>
      </c>
      <c r="M279" s="26">
        <f>IF($B279="","",IF(COUNTIFS(EntryDates,$B279,CalcTime,$C279,CalcBank,$C$5,EntryParty,$D279,EntryDep,$H279,EntryWit,$I279)&gt;1,"تکرار",""))</f>
        <v/>
      </c>
      <c r="N279" s="26">
        <f>IF($P279="","",IF(INDEX(EntryNotes,$P279)=0,"",INDEX(EntryNotes,$P279)))</f>
        <v/>
      </c>
      <c r="O279" s="26">
        <f>IF($P279="","",IF(INDEX(EntryTxnID,$P279)=0,"",INDEX(EntryTxnID,$P279)))</f>
        <v/>
      </c>
      <c r="P279" s="26">
        <f>IFERROR(MATCH($C$5&amp;"|"&amp;RIGHT("000000"&amp;263,6),CalcRankKey,0),"")</f>
        <v/>
      </c>
    </row>
    <row r="280">
      <c r="A280" s="28">
        <f>IF($B280="","",264)</f>
        <v/>
      </c>
      <c r="B280" s="28">
        <f>IF($P280="","",IF(INDEX(CalcNormDate,$P280)=0,"",INDEX(CalcNormDate,$P280)))</f>
        <v/>
      </c>
      <c r="C280" s="28">
        <f>IF($P280="","",IF(INDEX(CalcTime,$P280)=0,"",INDEX(CalcTime,$P280)))</f>
        <v/>
      </c>
      <c r="D280" s="28">
        <f>IF($P280="","",IF(INDEX(EntryParty,$P280)=0,"",INDEX(EntryParty,$P280)))</f>
        <v/>
      </c>
      <c r="E280" s="28">
        <f>IF($P280="","",IF(INDEX(EntryPartyName,$P280)=0,"",INDEX(EntryPartyName,$P280)))</f>
        <v/>
      </c>
      <c r="F280" s="28">
        <f>IF($P280="","",IF(INDEX(EntryPartyType,$P280)=0,"",INDEX(EntryPartyType,$P280)))</f>
        <v/>
      </c>
      <c r="G280" s="28">
        <f>IF($P280="","",IF(INDEX(EntryTxnType,$P280)=0,"",INDEX(EntryTxnType,$P280)))</f>
        <v/>
      </c>
      <c r="H280" s="29">
        <f>IF($P280="","",IF(INDEX(EntryDep,$P280)=0,"",INDEX(EntryDep,$P280)))</f>
        <v/>
      </c>
      <c r="I280" s="29">
        <f>IF($P280="","",IF(INDEX(EntryWit,$P280)=0,"",INDEX(EntryWit,$P280)))</f>
        <v/>
      </c>
      <c r="J280" s="29">
        <f>IF($B280="","",IF($A280=1,$C$7,IF(J279="",0,J279))+IF($H280="",0,$H280)-IF($I280="",0,$I280))</f>
        <v/>
      </c>
      <c r="K280" s="29">
        <f>IF($P280="","",IF(INDEX(EntryMan,$P280)=0,"",INDEX(EntryMan,$P280)))</f>
        <v/>
      </c>
      <c r="L280" s="28">
        <f>IF($B280="","",IF($K280="","—",IF(ROUND($K280-$J280,0)=0,"√","×")))</f>
        <v/>
      </c>
      <c r="M280" s="28">
        <f>IF($B280="","",IF(COUNTIFS(EntryDates,$B280,CalcTime,$C280,CalcBank,$C$5,EntryParty,$D280,EntryDep,$H280,EntryWit,$I280)&gt;1,"تکرار",""))</f>
        <v/>
      </c>
      <c r="N280" s="28">
        <f>IF($P280="","",IF(INDEX(EntryNotes,$P280)=0,"",INDEX(EntryNotes,$P280)))</f>
        <v/>
      </c>
      <c r="O280" s="28">
        <f>IF($P280="","",IF(INDEX(EntryTxnID,$P280)=0,"",INDEX(EntryTxnID,$P280)))</f>
        <v/>
      </c>
      <c r="P280" s="28">
        <f>IFERROR(MATCH($C$5&amp;"|"&amp;RIGHT("000000"&amp;264,6),CalcRankKey,0),"")</f>
        <v/>
      </c>
    </row>
    <row r="281">
      <c r="A281" s="26">
        <f>IF($B281="","",265)</f>
        <v/>
      </c>
      <c r="B281" s="26">
        <f>IF($P281="","",IF(INDEX(CalcNormDate,$P281)=0,"",INDEX(CalcNormDate,$P281)))</f>
        <v/>
      </c>
      <c r="C281" s="26">
        <f>IF($P281="","",IF(INDEX(CalcTime,$P281)=0,"",INDEX(CalcTime,$P281)))</f>
        <v/>
      </c>
      <c r="D281" s="26">
        <f>IF($P281="","",IF(INDEX(EntryParty,$P281)=0,"",INDEX(EntryParty,$P281)))</f>
        <v/>
      </c>
      <c r="E281" s="26">
        <f>IF($P281="","",IF(INDEX(EntryPartyName,$P281)=0,"",INDEX(EntryPartyName,$P281)))</f>
        <v/>
      </c>
      <c r="F281" s="26">
        <f>IF($P281="","",IF(INDEX(EntryPartyType,$P281)=0,"",INDEX(EntryPartyType,$P281)))</f>
        <v/>
      </c>
      <c r="G281" s="26">
        <f>IF($P281="","",IF(INDEX(EntryTxnType,$P281)=0,"",INDEX(EntryTxnType,$P281)))</f>
        <v/>
      </c>
      <c r="H281" s="27">
        <f>IF($P281="","",IF(INDEX(EntryDep,$P281)=0,"",INDEX(EntryDep,$P281)))</f>
        <v/>
      </c>
      <c r="I281" s="27">
        <f>IF($P281="","",IF(INDEX(EntryWit,$P281)=0,"",INDEX(EntryWit,$P281)))</f>
        <v/>
      </c>
      <c r="J281" s="27">
        <f>IF($B281="","",IF($A281=1,$C$7,IF(J280="",0,J280))+IF($H281="",0,$H281)-IF($I281="",0,$I281))</f>
        <v/>
      </c>
      <c r="K281" s="27">
        <f>IF($P281="","",IF(INDEX(EntryMan,$P281)=0,"",INDEX(EntryMan,$P281)))</f>
        <v/>
      </c>
      <c r="L281" s="26">
        <f>IF($B281="","",IF($K281="","—",IF(ROUND($K281-$J281,0)=0,"√","×")))</f>
        <v/>
      </c>
      <c r="M281" s="26">
        <f>IF($B281="","",IF(COUNTIFS(EntryDates,$B281,CalcTime,$C281,CalcBank,$C$5,EntryParty,$D281,EntryDep,$H281,EntryWit,$I281)&gt;1,"تکرار",""))</f>
        <v/>
      </c>
      <c r="N281" s="26">
        <f>IF($P281="","",IF(INDEX(EntryNotes,$P281)=0,"",INDEX(EntryNotes,$P281)))</f>
        <v/>
      </c>
      <c r="O281" s="26">
        <f>IF($P281="","",IF(INDEX(EntryTxnID,$P281)=0,"",INDEX(EntryTxnID,$P281)))</f>
        <v/>
      </c>
      <c r="P281" s="26">
        <f>IFERROR(MATCH($C$5&amp;"|"&amp;RIGHT("000000"&amp;265,6),CalcRankKey,0),"")</f>
        <v/>
      </c>
    </row>
    <row r="282">
      <c r="A282" s="28">
        <f>IF($B282="","",266)</f>
        <v/>
      </c>
      <c r="B282" s="28">
        <f>IF($P282="","",IF(INDEX(CalcNormDate,$P282)=0,"",INDEX(CalcNormDate,$P282)))</f>
        <v/>
      </c>
      <c r="C282" s="28">
        <f>IF($P282="","",IF(INDEX(CalcTime,$P282)=0,"",INDEX(CalcTime,$P282)))</f>
        <v/>
      </c>
      <c r="D282" s="28">
        <f>IF($P282="","",IF(INDEX(EntryParty,$P282)=0,"",INDEX(EntryParty,$P282)))</f>
        <v/>
      </c>
      <c r="E282" s="28">
        <f>IF($P282="","",IF(INDEX(EntryPartyName,$P282)=0,"",INDEX(EntryPartyName,$P282)))</f>
        <v/>
      </c>
      <c r="F282" s="28">
        <f>IF($P282="","",IF(INDEX(EntryPartyType,$P282)=0,"",INDEX(EntryPartyType,$P282)))</f>
        <v/>
      </c>
      <c r="G282" s="28">
        <f>IF($P282="","",IF(INDEX(EntryTxnType,$P282)=0,"",INDEX(EntryTxnType,$P282)))</f>
        <v/>
      </c>
      <c r="H282" s="29">
        <f>IF($P282="","",IF(INDEX(EntryDep,$P282)=0,"",INDEX(EntryDep,$P282)))</f>
        <v/>
      </c>
      <c r="I282" s="29">
        <f>IF($P282="","",IF(INDEX(EntryWit,$P282)=0,"",INDEX(EntryWit,$P282)))</f>
        <v/>
      </c>
      <c r="J282" s="29">
        <f>IF($B282="","",IF($A282=1,$C$7,IF(J281="",0,J281))+IF($H282="",0,$H282)-IF($I282="",0,$I282))</f>
        <v/>
      </c>
      <c r="K282" s="29">
        <f>IF($P282="","",IF(INDEX(EntryMan,$P282)=0,"",INDEX(EntryMan,$P282)))</f>
        <v/>
      </c>
      <c r="L282" s="28">
        <f>IF($B282="","",IF($K282="","—",IF(ROUND($K282-$J282,0)=0,"√","×")))</f>
        <v/>
      </c>
      <c r="M282" s="28">
        <f>IF($B282="","",IF(COUNTIFS(EntryDates,$B282,CalcTime,$C282,CalcBank,$C$5,EntryParty,$D282,EntryDep,$H282,EntryWit,$I282)&gt;1,"تکرار",""))</f>
        <v/>
      </c>
      <c r="N282" s="28">
        <f>IF($P282="","",IF(INDEX(EntryNotes,$P282)=0,"",INDEX(EntryNotes,$P282)))</f>
        <v/>
      </c>
      <c r="O282" s="28">
        <f>IF($P282="","",IF(INDEX(EntryTxnID,$P282)=0,"",INDEX(EntryTxnID,$P282)))</f>
        <v/>
      </c>
      <c r="P282" s="28">
        <f>IFERROR(MATCH($C$5&amp;"|"&amp;RIGHT("000000"&amp;266,6),CalcRankKey,0),"")</f>
        <v/>
      </c>
    </row>
    <row r="283">
      <c r="A283" s="26">
        <f>IF($B283="","",267)</f>
        <v/>
      </c>
      <c r="B283" s="26">
        <f>IF($P283="","",IF(INDEX(CalcNormDate,$P283)=0,"",INDEX(CalcNormDate,$P283)))</f>
        <v/>
      </c>
      <c r="C283" s="26">
        <f>IF($P283="","",IF(INDEX(CalcTime,$P283)=0,"",INDEX(CalcTime,$P283)))</f>
        <v/>
      </c>
      <c r="D283" s="26">
        <f>IF($P283="","",IF(INDEX(EntryParty,$P283)=0,"",INDEX(EntryParty,$P283)))</f>
        <v/>
      </c>
      <c r="E283" s="26">
        <f>IF($P283="","",IF(INDEX(EntryPartyName,$P283)=0,"",INDEX(EntryPartyName,$P283)))</f>
        <v/>
      </c>
      <c r="F283" s="26">
        <f>IF($P283="","",IF(INDEX(EntryPartyType,$P283)=0,"",INDEX(EntryPartyType,$P283)))</f>
        <v/>
      </c>
      <c r="G283" s="26">
        <f>IF($P283="","",IF(INDEX(EntryTxnType,$P283)=0,"",INDEX(EntryTxnType,$P283)))</f>
        <v/>
      </c>
      <c r="H283" s="27">
        <f>IF($P283="","",IF(INDEX(EntryDep,$P283)=0,"",INDEX(EntryDep,$P283)))</f>
        <v/>
      </c>
      <c r="I283" s="27">
        <f>IF($P283="","",IF(INDEX(EntryWit,$P283)=0,"",INDEX(EntryWit,$P283)))</f>
        <v/>
      </c>
      <c r="J283" s="27">
        <f>IF($B283="","",IF($A283=1,$C$7,IF(J282="",0,J282))+IF($H283="",0,$H283)-IF($I283="",0,$I283))</f>
        <v/>
      </c>
      <c r="K283" s="27">
        <f>IF($P283="","",IF(INDEX(EntryMan,$P283)=0,"",INDEX(EntryMan,$P283)))</f>
        <v/>
      </c>
      <c r="L283" s="26">
        <f>IF($B283="","",IF($K283="","—",IF(ROUND($K283-$J283,0)=0,"√","×")))</f>
        <v/>
      </c>
      <c r="M283" s="26">
        <f>IF($B283="","",IF(COUNTIFS(EntryDates,$B283,CalcTime,$C283,CalcBank,$C$5,EntryParty,$D283,EntryDep,$H283,EntryWit,$I283)&gt;1,"تکرار",""))</f>
        <v/>
      </c>
      <c r="N283" s="26">
        <f>IF($P283="","",IF(INDEX(EntryNotes,$P283)=0,"",INDEX(EntryNotes,$P283)))</f>
        <v/>
      </c>
      <c r="O283" s="26">
        <f>IF($P283="","",IF(INDEX(EntryTxnID,$P283)=0,"",INDEX(EntryTxnID,$P283)))</f>
        <v/>
      </c>
      <c r="P283" s="26">
        <f>IFERROR(MATCH($C$5&amp;"|"&amp;RIGHT("000000"&amp;267,6),CalcRankKey,0),"")</f>
        <v/>
      </c>
    </row>
    <row r="284">
      <c r="A284" s="28">
        <f>IF($B284="","",268)</f>
        <v/>
      </c>
      <c r="B284" s="28">
        <f>IF($P284="","",IF(INDEX(CalcNormDate,$P284)=0,"",INDEX(CalcNormDate,$P284)))</f>
        <v/>
      </c>
      <c r="C284" s="28">
        <f>IF($P284="","",IF(INDEX(CalcTime,$P284)=0,"",INDEX(CalcTime,$P284)))</f>
        <v/>
      </c>
      <c r="D284" s="28">
        <f>IF($P284="","",IF(INDEX(EntryParty,$P284)=0,"",INDEX(EntryParty,$P284)))</f>
        <v/>
      </c>
      <c r="E284" s="28">
        <f>IF($P284="","",IF(INDEX(EntryPartyName,$P284)=0,"",INDEX(EntryPartyName,$P284)))</f>
        <v/>
      </c>
      <c r="F284" s="28">
        <f>IF($P284="","",IF(INDEX(EntryPartyType,$P284)=0,"",INDEX(EntryPartyType,$P284)))</f>
        <v/>
      </c>
      <c r="G284" s="28">
        <f>IF($P284="","",IF(INDEX(EntryTxnType,$P284)=0,"",INDEX(EntryTxnType,$P284)))</f>
        <v/>
      </c>
      <c r="H284" s="29">
        <f>IF($P284="","",IF(INDEX(EntryDep,$P284)=0,"",INDEX(EntryDep,$P284)))</f>
        <v/>
      </c>
      <c r="I284" s="29">
        <f>IF($P284="","",IF(INDEX(EntryWit,$P284)=0,"",INDEX(EntryWit,$P284)))</f>
        <v/>
      </c>
      <c r="J284" s="29">
        <f>IF($B284="","",IF($A284=1,$C$7,IF(J283="",0,J283))+IF($H284="",0,$H284)-IF($I284="",0,$I284))</f>
        <v/>
      </c>
      <c r="K284" s="29">
        <f>IF($P284="","",IF(INDEX(EntryMan,$P284)=0,"",INDEX(EntryMan,$P284)))</f>
        <v/>
      </c>
      <c r="L284" s="28">
        <f>IF($B284="","",IF($K284="","—",IF(ROUND($K284-$J284,0)=0,"√","×")))</f>
        <v/>
      </c>
      <c r="M284" s="28">
        <f>IF($B284="","",IF(COUNTIFS(EntryDates,$B284,CalcTime,$C284,CalcBank,$C$5,EntryParty,$D284,EntryDep,$H284,EntryWit,$I284)&gt;1,"تکرار",""))</f>
        <v/>
      </c>
      <c r="N284" s="28">
        <f>IF($P284="","",IF(INDEX(EntryNotes,$P284)=0,"",INDEX(EntryNotes,$P284)))</f>
        <v/>
      </c>
      <c r="O284" s="28">
        <f>IF($P284="","",IF(INDEX(EntryTxnID,$P284)=0,"",INDEX(EntryTxnID,$P284)))</f>
        <v/>
      </c>
      <c r="P284" s="28">
        <f>IFERROR(MATCH($C$5&amp;"|"&amp;RIGHT("000000"&amp;268,6),CalcRankKey,0),"")</f>
        <v/>
      </c>
    </row>
    <row r="285">
      <c r="A285" s="26">
        <f>IF($B285="","",269)</f>
        <v/>
      </c>
      <c r="B285" s="26">
        <f>IF($P285="","",IF(INDEX(CalcNormDate,$P285)=0,"",INDEX(CalcNormDate,$P285)))</f>
        <v/>
      </c>
      <c r="C285" s="26">
        <f>IF($P285="","",IF(INDEX(CalcTime,$P285)=0,"",INDEX(CalcTime,$P285)))</f>
        <v/>
      </c>
      <c r="D285" s="26">
        <f>IF($P285="","",IF(INDEX(EntryParty,$P285)=0,"",INDEX(EntryParty,$P285)))</f>
        <v/>
      </c>
      <c r="E285" s="26">
        <f>IF($P285="","",IF(INDEX(EntryPartyName,$P285)=0,"",INDEX(EntryPartyName,$P285)))</f>
        <v/>
      </c>
      <c r="F285" s="26">
        <f>IF($P285="","",IF(INDEX(EntryPartyType,$P285)=0,"",INDEX(EntryPartyType,$P285)))</f>
        <v/>
      </c>
      <c r="G285" s="26">
        <f>IF($P285="","",IF(INDEX(EntryTxnType,$P285)=0,"",INDEX(EntryTxnType,$P285)))</f>
        <v/>
      </c>
      <c r="H285" s="27">
        <f>IF($P285="","",IF(INDEX(EntryDep,$P285)=0,"",INDEX(EntryDep,$P285)))</f>
        <v/>
      </c>
      <c r="I285" s="27">
        <f>IF($P285="","",IF(INDEX(EntryWit,$P285)=0,"",INDEX(EntryWit,$P285)))</f>
        <v/>
      </c>
      <c r="J285" s="27">
        <f>IF($B285="","",IF($A285=1,$C$7,IF(J284="",0,J284))+IF($H285="",0,$H285)-IF($I285="",0,$I285))</f>
        <v/>
      </c>
      <c r="K285" s="27">
        <f>IF($P285="","",IF(INDEX(EntryMan,$P285)=0,"",INDEX(EntryMan,$P285)))</f>
        <v/>
      </c>
      <c r="L285" s="26">
        <f>IF($B285="","",IF($K285="","—",IF(ROUND($K285-$J285,0)=0,"√","×")))</f>
        <v/>
      </c>
      <c r="M285" s="26">
        <f>IF($B285="","",IF(COUNTIFS(EntryDates,$B285,CalcTime,$C285,CalcBank,$C$5,EntryParty,$D285,EntryDep,$H285,EntryWit,$I285)&gt;1,"تکرار",""))</f>
        <v/>
      </c>
      <c r="N285" s="26">
        <f>IF($P285="","",IF(INDEX(EntryNotes,$P285)=0,"",INDEX(EntryNotes,$P285)))</f>
        <v/>
      </c>
      <c r="O285" s="26">
        <f>IF($P285="","",IF(INDEX(EntryTxnID,$P285)=0,"",INDEX(EntryTxnID,$P285)))</f>
        <v/>
      </c>
      <c r="P285" s="26">
        <f>IFERROR(MATCH($C$5&amp;"|"&amp;RIGHT("000000"&amp;269,6),CalcRankKey,0),"")</f>
        <v/>
      </c>
    </row>
    <row r="286">
      <c r="A286" s="28">
        <f>IF($B286="","",270)</f>
        <v/>
      </c>
      <c r="B286" s="28">
        <f>IF($P286="","",IF(INDEX(CalcNormDate,$P286)=0,"",INDEX(CalcNormDate,$P286)))</f>
        <v/>
      </c>
      <c r="C286" s="28">
        <f>IF($P286="","",IF(INDEX(CalcTime,$P286)=0,"",INDEX(CalcTime,$P286)))</f>
        <v/>
      </c>
      <c r="D286" s="28">
        <f>IF($P286="","",IF(INDEX(EntryParty,$P286)=0,"",INDEX(EntryParty,$P286)))</f>
        <v/>
      </c>
      <c r="E286" s="28">
        <f>IF($P286="","",IF(INDEX(EntryPartyName,$P286)=0,"",INDEX(EntryPartyName,$P286)))</f>
        <v/>
      </c>
      <c r="F286" s="28">
        <f>IF($P286="","",IF(INDEX(EntryPartyType,$P286)=0,"",INDEX(EntryPartyType,$P286)))</f>
        <v/>
      </c>
      <c r="G286" s="28">
        <f>IF($P286="","",IF(INDEX(EntryTxnType,$P286)=0,"",INDEX(EntryTxnType,$P286)))</f>
        <v/>
      </c>
      <c r="H286" s="29">
        <f>IF($P286="","",IF(INDEX(EntryDep,$P286)=0,"",INDEX(EntryDep,$P286)))</f>
        <v/>
      </c>
      <c r="I286" s="29">
        <f>IF($P286="","",IF(INDEX(EntryWit,$P286)=0,"",INDEX(EntryWit,$P286)))</f>
        <v/>
      </c>
      <c r="J286" s="29">
        <f>IF($B286="","",IF($A286=1,$C$7,IF(J285="",0,J285))+IF($H286="",0,$H286)-IF($I286="",0,$I286))</f>
        <v/>
      </c>
      <c r="K286" s="29">
        <f>IF($P286="","",IF(INDEX(EntryMan,$P286)=0,"",INDEX(EntryMan,$P286)))</f>
        <v/>
      </c>
      <c r="L286" s="28">
        <f>IF($B286="","",IF($K286="","—",IF(ROUND($K286-$J286,0)=0,"√","×")))</f>
        <v/>
      </c>
      <c r="M286" s="28">
        <f>IF($B286="","",IF(COUNTIFS(EntryDates,$B286,CalcTime,$C286,CalcBank,$C$5,EntryParty,$D286,EntryDep,$H286,EntryWit,$I286)&gt;1,"تکرار",""))</f>
        <v/>
      </c>
      <c r="N286" s="28">
        <f>IF($P286="","",IF(INDEX(EntryNotes,$P286)=0,"",INDEX(EntryNotes,$P286)))</f>
        <v/>
      </c>
      <c r="O286" s="28">
        <f>IF($P286="","",IF(INDEX(EntryTxnID,$P286)=0,"",INDEX(EntryTxnID,$P286)))</f>
        <v/>
      </c>
      <c r="P286" s="28">
        <f>IFERROR(MATCH($C$5&amp;"|"&amp;RIGHT("000000"&amp;270,6),CalcRankKey,0),"")</f>
        <v/>
      </c>
    </row>
    <row r="287">
      <c r="A287" s="26">
        <f>IF($B287="","",271)</f>
        <v/>
      </c>
      <c r="B287" s="26">
        <f>IF($P287="","",IF(INDEX(CalcNormDate,$P287)=0,"",INDEX(CalcNormDate,$P287)))</f>
        <v/>
      </c>
      <c r="C287" s="26">
        <f>IF($P287="","",IF(INDEX(CalcTime,$P287)=0,"",INDEX(CalcTime,$P287)))</f>
        <v/>
      </c>
      <c r="D287" s="26">
        <f>IF($P287="","",IF(INDEX(EntryParty,$P287)=0,"",INDEX(EntryParty,$P287)))</f>
        <v/>
      </c>
      <c r="E287" s="26">
        <f>IF($P287="","",IF(INDEX(EntryPartyName,$P287)=0,"",INDEX(EntryPartyName,$P287)))</f>
        <v/>
      </c>
      <c r="F287" s="26">
        <f>IF($P287="","",IF(INDEX(EntryPartyType,$P287)=0,"",INDEX(EntryPartyType,$P287)))</f>
        <v/>
      </c>
      <c r="G287" s="26">
        <f>IF($P287="","",IF(INDEX(EntryTxnType,$P287)=0,"",INDEX(EntryTxnType,$P287)))</f>
        <v/>
      </c>
      <c r="H287" s="27">
        <f>IF($P287="","",IF(INDEX(EntryDep,$P287)=0,"",INDEX(EntryDep,$P287)))</f>
        <v/>
      </c>
      <c r="I287" s="27">
        <f>IF($P287="","",IF(INDEX(EntryWit,$P287)=0,"",INDEX(EntryWit,$P287)))</f>
        <v/>
      </c>
      <c r="J287" s="27">
        <f>IF($B287="","",IF($A287=1,$C$7,IF(J286="",0,J286))+IF($H287="",0,$H287)-IF($I287="",0,$I287))</f>
        <v/>
      </c>
      <c r="K287" s="27">
        <f>IF($P287="","",IF(INDEX(EntryMan,$P287)=0,"",INDEX(EntryMan,$P287)))</f>
        <v/>
      </c>
      <c r="L287" s="26">
        <f>IF($B287="","",IF($K287="","—",IF(ROUND($K287-$J287,0)=0,"√","×")))</f>
        <v/>
      </c>
      <c r="M287" s="26">
        <f>IF($B287="","",IF(COUNTIFS(EntryDates,$B287,CalcTime,$C287,CalcBank,$C$5,EntryParty,$D287,EntryDep,$H287,EntryWit,$I287)&gt;1,"تکرار",""))</f>
        <v/>
      </c>
      <c r="N287" s="26">
        <f>IF($P287="","",IF(INDEX(EntryNotes,$P287)=0,"",INDEX(EntryNotes,$P287)))</f>
        <v/>
      </c>
      <c r="O287" s="26">
        <f>IF($P287="","",IF(INDEX(EntryTxnID,$P287)=0,"",INDEX(EntryTxnID,$P287)))</f>
        <v/>
      </c>
      <c r="P287" s="26">
        <f>IFERROR(MATCH($C$5&amp;"|"&amp;RIGHT("000000"&amp;271,6),CalcRankKey,0),"")</f>
        <v/>
      </c>
    </row>
    <row r="288">
      <c r="A288" s="28">
        <f>IF($B288="","",272)</f>
        <v/>
      </c>
      <c r="B288" s="28">
        <f>IF($P288="","",IF(INDEX(CalcNormDate,$P288)=0,"",INDEX(CalcNormDate,$P288)))</f>
        <v/>
      </c>
      <c r="C288" s="28">
        <f>IF($P288="","",IF(INDEX(CalcTime,$P288)=0,"",INDEX(CalcTime,$P288)))</f>
        <v/>
      </c>
      <c r="D288" s="28">
        <f>IF($P288="","",IF(INDEX(EntryParty,$P288)=0,"",INDEX(EntryParty,$P288)))</f>
        <v/>
      </c>
      <c r="E288" s="28">
        <f>IF($P288="","",IF(INDEX(EntryPartyName,$P288)=0,"",INDEX(EntryPartyName,$P288)))</f>
        <v/>
      </c>
      <c r="F288" s="28">
        <f>IF($P288="","",IF(INDEX(EntryPartyType,$P288)=0,"",INDEX(EntryPartyType,$P288)))</f>
        <v/>
      </c>
      <c r="G288" s="28">
        <f>IF($P288="","",IF(INDEX(EntryTxnType,$P288)=0,"",INDEX(EntryTxnType,$P288)))</f>
        <v/>
      </c>
      <c r="H288" s="29">
        <f>IF($P288="","",IF(INDEX(EntryDep,$P288)=0,"",INDEX(EntryDep,$P288)))</f>
        <v/>
      </c>
      <c r="I288" s="29">
        <f>IF($P288="","",IF(INDEX(EntryWit,$P288)=0,"",INDEX(EntryWit,$P288)))</f>
        <v/>
      </c>
      <c r="J288" s="29">
        <f>IF($B288="","",IF($A288=1,$C$7,IF(J287="",0,J287))+IF($H288="",0,$H288)-IF($I288="",0,$I288))</f>
        <v/>
      </c>
      <c r="K288" s="29">
        <f>IF($P288="","",IF(INDEX(EntryMan,$P288)=0,"",INDEX(EntryMan,$P288)))</f>
        <v/>
      </c>
      <c r="L288" s="28">
        <f>IF($B288="","",IF($K288="","—",IF(ROUND($K288-$J288,0)=0,"√","×")))</f>
        <v/>
      </c>
      <c r="M288" s="28">
        <f>IF($B288="","",IF(COUNTIFS(EntryDates,$B288,CalcTime,$C288,CalcBank,$C$5,EntryParty,$D288,EntryDep,$H288,EntryWit,$I288)&gt;1,"تکرار",""))</f>
        <v/>
      </c>
      <c r="N288" s="28">
        <f>IF($P288="","",IF(INDEX(EntryNotes,$P288)=0,"",INDEX(EntryNotes,$P288)))</f>
        <v/>
      </c>
      <c r="O288" s="28">
        <f>IF($P288="","",IF(INDEX(EntryTxnID,$P288)=0,"",INDEX(EntryTxnID,$P288)))</f>
        <v/>
      </c>
      <c r="P288" s="28">
        <f>IFERROR(MATCH($C$5&amp;"|"&amp;RIGHT("000000"&amp;272,6),CalcRankKey,0),"")</f>
        <v/>
      </c>
    </row>
    <row r="289">
      <c r="A289" s="26">
        <f>IF($B289="","",273)</f>
        <v/>
      </c>
      <c r="B289" s="26">
        <f>IF($P289="","",IF(INDEX(CalcNormDate,$P289)=0,"",INDEX(CalcNormDate,$P289)))</f>
        <v/>
      </c>
      <c r="C289" s="26">
        <f>IF($P289="","",IF(INDEX(CalcTime,$P289)=0,"",INDEX(CalcTime,$P289)))</f>
        <v/>
      </c>
      <c r="D289" s="26">
        <f>IF($P289="","",IF(INDEX(EntryParty,$P289)=0,"",INDEX(EntryParty,$P289)))</f>
        <v/>
      </c>
      <c r="E289" s="26">
        <f>IF($P289="","",IF(INDEX(EntryPartyName,$P289)=0,"",INDEX(EntryPartyName,$P289)))</f>
        <v/>
      </c>
      <c r="F289" s="26">
        <f>IF($P289="","",IF(INDEX(EntryPartyType,$P289)=0,"",INDEX(EntryPartyType,$P289)))</f>
        <v/>
      </c>
      <c r="G289" s="26">
        <f>IF($P289="","",IF(INDEX(EntryTxnType,$P289)=0,"",INDEX(EntryTxnType,$P289)))</f>
        <v/>
      </c>
      <c r="H289" s="27">
        <f>IF($P289="","",IF(INDEX(EntryDep,$P289)=0,"",INDEX(EntryDep,$P289)))</f>
        <v/>
      </c>
      <c r="I289" s="27">
        <f>IF($P289="","",IF(INDEX(EntryWit,$P289)=0,"",INDEX(EntryWit,$P289)))</f>
        <v/>
      </c>
      <c r="J289" s="27">
        <f>IF($B289="","",IF($A289=1,$C$7,IF(J288="",0,J288))+IF($H289="",0,$H289)-IF($I289="",0,$I289))</f>
        <v/>
      </c>
      <c r="K289" s="27">
        <f>IF($P289="","",IF(INDEX(EntryMan,$P289)=0,"",INDEX(EntryMan,$P289)))</f>
        <v/>
      </c>
      <c r="L289" s="26">
        <f>IF($B289="","",IF($K289="","—",IF(ROUND($K289-$J289,0)=0,"√","×")))</f>
        <v/>
      </c>
      <c r="M289" s="26">
        <f>IF($B289="","",IF(COUNTIFS(EntryDates,$B289,CalcTime,$C289,CalcBank,$C$5,EntryParty,$D289,EntryDep,$H289,EntryWit,$I289)&gt;1,"تکرار",""))</f>
        <v/>
      </c>
      <c r="N289" s="26">
        <f>IF($P289="","",IF(INDEX(EntryNotes,$P289)=0,"",INDEX(EntryNotes,$P289)))</f>
        <v/>
      </c>
      <c r="O289" s="26">
        <f>IF($P289="","",IF(INDEX(EntryTxnID,$P289)=0,"",INDEX(EntryTxnID,$P289)))</f>
        <v/>
      </c>
      <c r="P289" s="26">
        <f>IFERROR(MATCH($C$5&amp;"|"&amp;RIGHT("000000"&amp;273,6),CalcRankKey,0),"")</f>
        <v/>
      </c>
    </row>
    <row r="290">
      <c r="A290" s="28">
        <f>IF($B290="","",274)</f>
        <v/>
      </c>
      <c r="B290" s="28">
        <f>IF($P290="","",IF(INDEX(CalcNormDate,$P290)=0,"",INDEX(CalcNormDate,$P290)))</f>
        <v/>
      </c>
      <c r="C290" s="28">
        <f>IF($P290="","",IF(INDEX(CalcTime,$P290)=0,"",INDEX(CalcTime,$P290)))</f>
        <v/>
      </c>
      <c r="D290" s="28">
        <f>IF($P290="","",IF(INDEX(EntryParty,$P290)=0,"",INDEX(EntryParty,$P290)))</f>
        <v/>
      </c>
      <c r="E290" s="28">
        <f>IF($P290="","",IF(INDEX(EntryPartyName,$P290)=0,"",INDEX(EntryPartyName,$P290)))</f>
        <v/>
      </c>
      <c r="F290" s="28">
        <f>IF($P290="","",IF(INDEX(EntryPartyType,$P290)=0,"",INDEX(EntryPartyType,$P290)))</f>
        <v/>
      </c>
      <c r="G290" s="28">
        <f>IF($P290="","",IF(INDEX(EntryTxnType,$P290)=0,"",INDEX(EntryTxnType,$P290)))</f>
        <v/>
      </c>
      <c r="H290" s="29">
        <f>IF($P290="","",IF(INDEX(EntryDep,$P290)=0,"",INDEX(EntryDep,$P290)))</f>
        <v/>
      </c>
      <c r="I290" s="29">
        <f>IF($P290="","",IF(INDEX(EntryWit,$P290)=0,"",INDEX(EntryWit,$P290)))</f>
        <v/>
      </c>
      <c r="J290" s="29">
        <f>IF($B290="","",IF($A290=1,$C$7,IF(J289="",0,J289))+IF($H290="",0,$H290)-IF($I290="",0,$I290))</f>
        <v/>
      </c>
      <c r="K290" s="29">
        <f>IF($P290="","",IF(INDEX(EntryMan,$P290)=0,"",INDEX(EntryMan,$P290)))</f>
        <v/>
      </c>
      <c r="L290" s="28">
        <f>IF($B290="","",IF($K290="","—",IF(ROUND($K290-$J290,0)=0,"√","×")))</f>
        <v/>
      </c>
      <c r="M290" s="28">
        <f>IF($B290="","",IF(COUNTIFS(EntryDates,$B290,CalcTime,$C290,CalcBank,$C$5,EntryParty,$D290,EntryDep,$H290,EntryWit,$I290)&gt;1,"تکرار",""))</f>
        <v/>
      </c>
      <c r="N290" s="28">
        <f>IF($P290="","",IF(INDEX(EntryNotes,$P290)=0,"",INDEX(EntryNotes,$P290)))</f>
        <v/>
      </c>
      <c r="O290" s="28">
        <f>IF($P290="","",IF(INDEX(EntryTxnID,$P290)=0,"",INDEX(EntryTxnID,$P290)))</f>
        <v/>
      </c>
      <c r="P290" s="28">
        <f>IFERROR(MATCH($C$5&amp;"|"&amp;RIGHT("000000"&amp;274,6),CalcRankKey,0),"")</f>
        <v/>
      </c>
    </row>
    <row r="291">
      <c r="A291" s="26">
        <f>IF($B291="","",275)</f>
        <v/>
      </c>
      <c r="B291" s="26">
        <f>IF($P291="","",IF(INDEX(CalcNormDate,$P291)=0,"",INDEX(CalcNormDate,$P291)))</f>
        <v/>
      </c>
      <c r="C291" s="26">
        <f>IF($P291="","",IF(INDEX(CalcTime,$P291)=0,"",INDEX(CalcTime,$P291)))</f>
        <v/>
      </c>
      <c r="D291" s="26">
        <f>IF($P291="","",IF(INDEX(EntryParty,$P291)=0,"",INDEX(EntryParty,$P291)))</f>
        <v/>
      </c>
      <c r="E291" s="26">
        <f>IF($P291="","",IF(INDEX(EntryPartyName,$P291)=0,"",INDEX(EntryPartyName,$P291)))</f>
        <v/>
      </c>
      <c r="F291" s="26">
        <f>IF($P291="","",IF(INDEX(EntryPartyType,$P291)=0,"",INDEX(EntryPartyType,$P291)))</f>
        <v/>
      </c>
      <c r="G291" s="26">
        <f>IF($P291="","",IF(INDEX(EntryTxnType,$P291)=0,"",INDEX(EntryTxnType,$P291)))</f>
        <v/>
      </c>
      <c r="H291" s="27">
        <f>IF($P291="","",IF(INDEX(EntryDep,$P291)=0,"",INDEX(EntryDep,$P291)))</f>
        <v/>
      </c>
      <c r="I291" s="27">
        <f>IF($P291="","",IF(INDEX(EntryWit,$P291)=0,"",INDEX(EntryWit,$P291)))</f>
        <v/>
      </c>
      <c r="J291" s="27">
        <f>IF($B291="","",IF($A291=1,$C$7,IF(J290="",0,J290))+IF($H291="",0,$H291)-IF($I291="",0,$I291))</f>
        <v/>
      </c>
      <c r="K291" s="27">
        <f>IF($P291="","",IF(INDEX(EntryMan,$P291)=0,"",INDEX(EntryMan,$P291)))</f>
        <v/>
      </c>
      <c r="L291" s="26">
        <f>IF($B291="","",IF($K291="","—",IF(ROUND($K291-$J291,0)=0,"√","×")))</f>
        <v/>
      </c>
      <c r="M291" s="26">
        <f>IF($B291="","",IF(COUNTIFS(EntryDates,$B291,CalcTime,$C291,CalcBank,$C$5,EntryParty,$D291,EntryDep,$H291,EntryWit,$I291)&gt;1,"تکرار",""))</f>
        <v/>
      </c>
      <c r="N291" s="26">
        <f>IF($P291="","",IF(INDEX(EntryNotes,$P291)=0,"",INDEX(EntryNotes,$P291)))</f>
        <v/>
      </c>
      <c r="O291" s="26">
        <f>IF($P291="","",IF(INDEX(EntryTxnID,$P291)=0,"",INDEX(EntryTxnID,$P291)))</f>
        <v/>
      </c>
      <c r="P291" s="26">
        <f>IFERROR(MATCH($C$5&amp;"|"&amp;RIGHT("000000"&amp;275,6),CalcRankKey,0),"")</f>
        <v/>
      </c>
    </row>
    <row r="292">
      <c r="A292" s="28">
        <f>IF($B292="","",276)</f>
        <v/>
      </c>
      <c r="B292" s="28">
        <f>IF($P292="","",IF(INDEX(CalcNormDate,$P292)=0,"",INDEX(CalcNormDate,$P292)))</f>
        <v/>
      </c>
      <c r="C292" s="28">
        <f>IF($P292="","",IF(INDEX(CalcTime,$P292)=0,"",INDEX(CalcTime,$P292)))</f>
        <v/>
      </c>
      <c r="D292" s="28">
        <f>IF($P292="","",IF(INDEX(EntryParty,$P292)=0,"",INDEX(EntryParty,$P292)))</f>
        <v/>
      </c>
      <c r="E292" s="28">
        <f>IF($P292="","",IF(INDEX(EntryPartyName,$P292)=0,"",INDEX(EntryPartyName,$P292)))</f>
        <v/>
      </c>
      <c r="F292" s="28">
        <f>IF($P292="","",IF(INDEX(EntryPartyType,$P292)=0,"",INDEX(EntryPartyType,$P292)))</f>
        <v/>
      </c>
      <c r="G292" s="28">
        <f>IF($P292="","",IF(INDEX(EntryTxnType,$P292)=0,"",INDEX(EntryTxnType,$P292)))</f>
        <v/>
      </c>
      <c r="H292" s="29">
        <f>IF($P292="","",IF(INDEX(EntryDep,$P292)=0,"",INDEX(EntryDep,$P292)))</f>
        <v/>
      </c>
      <c r="I292" s="29">
        <f>IF($P292="","",IF(INDEX(EntryWit,$P292)=0,"",INDEX(EntryWit,$P292)))</f>
        <v/>
      </c>
      <c r="J292" s="29">
        <f>IF($B292="","",IF($A292=1,$C$7,IF(J291="",0,J291))+IF($H292="",0,$H292)-IF($I292="",0,$I292))</f>
        <v/>
      </c>
      <c r="K292" s="29">
        <f>IF($P292="","",IF(INDEX(EntryMan,$P292)=0,"",INDEX(EntryMan,$P292)))</f>
        <v/>
      </c>
      <c r="L292" s="28">
        <f>IF($B292="","",IF($K292="","—",IF(ROUND($K292-$J292,0)=0,"√","×")))</f>
        <v/>
      </c>
      <c r="M292" s="28">
        <f>IF($B292="","",IF(COUNTIFS(EntryDates,$B292,CalcTime,$C292,CalcBank,$C$5,EntryParty,$D292,EntryDep,$H292,EntryWit,$I292)&gt;1,"تکرار",""))</f>
        <v/>
      </c>
      <c r="N292" s="28">
        <f>IF($P292="","",IF(INDEX(EntryNotes,$P292)=0,"",INDEX(EntryNotes,$P292)))</f>
        <v/>
      </c>
      <c r="O292" s="28">
        <f>IF($P292="","",IF(INDEX(EntryTxnID,$P292)=0,"",INDEX(EntryTxnID,$P292)))</f>
        <v/>
      </c>
      <c r="P292" s="28">
        <f>IFERROR(MATCH($C$5&amp;"|"&amp;RIGHT("000000"&amp;276,6),CalcRankKey,0),"")</f>
        <v/>
      </c>
    </row>
    <row r="293">
      <c r="A293" s="26">
        <f>IF($B293="","",277)</f>
        <v/>
      </c>
      <c r="B293" s="26">
        <f>IF($P293="","",IF(INDEX(CalcNormDate,$P293)=0,"",INDEX(CalcNormDate,$P293)))</f>
        <v/>
      </c>
      <c r="C293" s="26">
        <f>IF($P293="","",IF(INDEX(CalcTime,$P293)=0,"",INDEX(CalcTime,$P293)))</f>
        <v/>
      </c>
      <c r="D293" s="26">
        <f>IF($P293="","",IF(INDEX(EntryParty,$P293)=0,"",INDEX(EntryParty,$P293)))</f>
        <v/>
      </c>
      <c r="E293" s="26">
        <f>IF($P293="","",IF(INDEX(EntryPartyName,$P293)=0,"",INDEX(EntryPartyName,$P293)))</f>
        <v/>
      </c>
      <c r="F293" s="26">
        <f>IF($P293="","",IF(INDEX(EntryPartyType,$P293)=0,"",INDEX(EntryPartyType,$P293)))</f>
        <v/>
      </c>
      <c r="G293" s="26">
        <f>IF($P293="","",IF(INDEX(EntryTxnType,$P293)=0,"",INDEX(EntryTxnType,$P293)))</f>
        <v/>
      </c>
      <c r="H293" s="27">
        <f>IF($P293="","",IF(INDEX(EntryDep,$P293)=0,"",INDEX(EntryDep,$P293)))</f>
        <v/>
      </c>
      <c r="I293" s="27">
        <f>IF($P293="","",IF(INDEX(EntryWit,$P293)=0,"",INDEX(EntryWit,$P293)))</f>
        <v/>
      </c>
      <c r="J293" s="27">
        <f>IF($B293="","",IF($A293=1,$C$7,IF(J292="",0,J292))+IF($H293="",0,$H293)-IF($I293="",0,$I293))</f>
        <v/>
      </c>
      <c r="K293" s="27">
        <f>IF($P293="","",IF(INDEX(EntryMan,$P293)=0,"",INDEX(EntryMan,$P293)))</f>
        <v/>
      </c>
      <c r="L293" s="26">
        <f>IF($B293="","",IF($K293="","—",IF(ROUND($K293-$J293,0)=0,"√","×")))</f>
        <v/>
      </c>
      <c r="M293" s="26">
        <f>IF($B293="","",IF(COUNTIFS(EntryDates,$B293,CalcTime,$C293,CalcBank,$C$5,EntryParty,$D293,EntryDep,$H293,EntryWit,$I293)&gt;1,"تکرار",""))</f>
        <v/>
      </c>
      <c r="N293" s="26">
        <f>IF($P293="","",IF(INDEX(EntryNotes,$P293)=0,"",INDEX(EntryNotes,$P293)))</f>
        <v/>
      </c>
      <c r="O293" s="26">
        <f>IF($P293="","",IF(INDEX(EntryTxnID,$P293)=0,"",INDEX(EntryTxnID,$P293)))</f>
        <v/>
      </c>
      <c r="P293" s="26">
        <f>IFERROR(MATCH($C$5&amp;"|"&amp;RIGHT("000000"&amp;277,6),CalcRankKey,0),"")</f>
        <v/>
      </c>
    </row>
    <row r="294">
      <c r="A294" s="28">
        <f>IF($B294="","",278)</f>
        <v/>
      </c>
      <c r="B294" s="28">
        <f>IF($P294="","",IF(INDEX(CalcNormDate,$P294)=0,"",INDEX(CalcNormDate,$P294)))</f>
        <v/>
      </c>
      <c r="C294" s="28">
        <f>IF($P294="","",IF(INDEX(CalcTime,$P294)=0,"",INDEX(CalcTime,$P294)))</f>
        <v/>
      </c>
      <c r="D294" s="28">
        <f>IF($P294="","",IF(INDEX(EntryParty,$P294)=0,"",INDEX(EntryParty,$P294)))</f>
        <v/>
      </c>
      <c r="E294" s="28">
        <f>IF($P294="","",IF(INDEX(EntryPartyName,$P294)=0,"",INDEX(EntryPartyName,$P294)))</f>
        <v/>
      </c>
      <c r="F294" s="28">
        <f>IF($P294="","",IF(INDEX(EntryPartyType,$P294)=0,"",INDEX(EntryPartyType,$P294)))</f>
        <v/>
      </c>
      <c r="G294" s="28">
        <f>IF($P294="","",IF(INDEX(EntryTxnType,$P294)=0,"",INDEX(EntryTxnType,$P294)))</f>
        <v/>
      </c>
      <c r="H294" s="29">
        <f>IF($P294="","",IF(INDEX(EntryDep,$P294)=0,"",INDEX(EntryDep,$P294)))</f>
        <v/>
      </c>
      <c r="I294" s="29">
        <f>IF($P294="","",IF(INDEX(EntryWit,$P294)=0,"",INDEX(EntryWit,$P294)))</f>
        <v/>
      </c>
      <c r="J294" s="29">
        <f>IF($B294="","",IF($A294=1,$C$7,IF(J293="",0,J293))+IF($H294="",0,$H294)-IF($I294="",0,$I294))</f>
        <v/>
      </c>
      <c r="K294" s="29">
        <f>IF($P294="","",IF(INDEX(EntryMan,$P294)=0,"",INDEX(EntryMan,$P294)))</f>
        <v/>
      </c>
      <c r="L294" s="28">
        <f>IF($B294="","",IF($K294="","—",IF(ROUND($K294-$J294,0)=0,"√","×")))</f>
        <v/>
      </c>
      <c r="M294" s="28">
        <f>IF($B294="","",IF(COUNTIFS(EntryDates,$B294,CalcTime,$C294,CalcBank,$C$5,EntryParty,$D294,EntryDep,$H294,EntryWit,$I294)&gt;1,"تکرار",""))</f>
        <v/>
      </c>
      <c r="N294" s="28">
        <f>IF($P294="","",IF(INDEX(EntryNotes,$P294)=0,"",INDEX(EntryNotes,$P294)))</f>
        <v/>
      </c>
      <c r="O294" s="28">
        <f>IF($P294="","",IF(INDEX(EntryTxnID,$P294)=0,"",INDEX(EntryTxnID,$P294)))</f>
        <v/>
      </c>
      <c r="P294" s="28">
        <f>IFERROR(MATCH($C$5&amp;"|"&amp;RIGHT("000000"&amp;278,6),CalcRankKey,0),"")</f>
        <v/>
      </c>
    </row>
    <row r="295">
      <c r="A295" s="26">
        <f>IF($B295="","",279)</f>
        <v/>
      </c>
      <c r="B295" s="26">
        <f>IF($P295="","",IF(INDEX(CalcNormDate,$P295)=0,"",INDEX(CalcNormDate,$P295)))</f>
        <v/>
      </c>
      <c r="C295" s="26">
        <f>IF($P295="","",IF(INDEX(CalcTime,$P295)=0,"",INDEX(CalcTime,$P295)))</f>
        <v/>
      </c>
      <c r="D295" s="26">
        <f>IF($P295="","",IF(INDEX(EntryParty,$P295)=0,"",INDEX(EntryParty,$P295)))</f>
        <v/>
      </c>
      <c r="E295" s="26">
        <f>IF($P295="","",IF(INDEX(EntryPartyName,$P295)=0,"",INDEX(EntryPartyName,$P295)))</f>
        <v/>
      </c>
      <c r="F295" s="26">
        <f>IF($P295="","",IF(INDEX(EntryPartyType,$P295)=0,"",INDEX(EntryPartyType,$P295)))</f>
        <v/>
      </c>
      <c r="G295" s="26">
        <f>IF($P295="","",IF(INDEX(EntryTxnType,$P295)=0,"",INDEX(EntryTxnType,$P295)))</f>
        <v/>
      </c>
      <c r="H295" s="27">
        <f>IF($P295="","",IF(INDEX(EntryDep,$P295)=0,"",INDEX(EntryDep,$P295)))</f>
        <v/>
      </c>
      <c r="I295" s="27">
        <f>IF($P295="","",IF(INDEX(EntryWit,$P295)=0,"",INDEX(EntryWit,$P295)))</f>
        <v/>
      </c>
      <c r="J295" s="27">
        <f>IF($B295="","",IF($A295=1,$C$7,IF(J294="",0,J294))+IF($H295="",0,$H295)-IF($I295="",0,$I295))</f>
        <v/>
      </c>
      <c r="K295" s="27">
        <f>IF($P295="","",IF(INDEX(EntryMan,$P295)=0,"",INDEX(EntryMan,$P295)))</f>
        <v/>
      </c>
      <c r="L295" s="26">
        <f>IF($B295="","",IF($K295="","—",IF(ROUND($K295-$J295,0)=0,"√","×")))</f>
        <v/>
      </c>
      <c r="M295" s="26">
        <f>IF($B295="","",IF(COUNTIFS(EntryDates,$B295,CalcTime,$C295,CalcBank,$C$5,EntryParty,$D295,EntryDep,$H295,EntryWit,$I295)&gt;1,"تکرار",""))</f>
        <v/>
      </c>
      <c r="N295" s="26">
        <f>IF($P295="","",IF(INDEX(EntryNotes,$P295)=0,"",INDEX(EntryNotes,$P295)))</f>
        <v/>
      </c>
      <c r="O295" s="26">
        <f>IF($P295="","",IF(INDEX(EntryTxnID,$P295)=0,"",INDEX(EntryTxnID,$P295)))</f>
        <v/>
      </c>
      <c r="P295" s="26">
        <f>IFERROR(MATCH($C$5&amp;"|"&amp;RIGHT("000000"&amp;279,6),CalcRankKey,0),"")</f>
        <v/>
      </c>
    </row>
    <row r="296">
      <c r="A296" s="28">
        <f>IF($B296="","",280)</f>
        <v/>
      </c>
      <c r="B296" s="28">
        <f>IF($P296="","",IF(INDEX(CalcNormDate,$P296)=0,"",INDEX(CalcNormDate,$P296)))</f>
        <v/>
      </c>
      <c r="C296" s="28">
        <f>IF($P296="","",IF(INDEX(CalcTime,$P296)=0,"",INDEX(CalcTime,$P296)))</f>
        <v/>
      </c>
      <c r="D296" s="28">
        <f>IF($P296="","",IF(INDEX(EntryParty,$P296)=0,"",INDEX(EntryParty,$P296)))</f>
        <v/>
      </c>
      <c r="E296" s="28">
        <f>IF($P296="","",IF(INDEX(EntryPartyName,$P296)=0,"",INDEX(EntryPartyName,$P296)))</f>
        <v/>
      </c>
      <c r="F296" s="28">
        <f>IF($P296="","",IF(INDEX(EntryPartyType,$P296)=0,"",INDEX(EntryPartyType,$P296)))</f>
        <v/>
      </c>
      <c r="G296" s="28">
        <f>IF($P296="","",IF(INDEX(EntryTxnType,$P296)=0,"",INDEX(EntryTxnType,$P296)))</f>
        <v/>
      </c>
      <c r="H296" s="29">
        <f>IF($P296="","",IF(INDEX(EntryDep,$P296)=0,"",INDEX(EntryDep,$P296)))</f>
        <v/>
      </c>
      <c r="I296" s="29">
        <f>IF($P296="","",IF(INDEX(EntryWit,$P296)=0,"",INDEX(EntryWit,$P296)))</f>
        <v/>
      </c>
      <c r="J296" s="29">
        <f>IF($B296="","",IF($A296=1,$C$7,IF(J295="",0,J295))+IF($H296="",0,$H296)-IF($I296="",0,$I296))</f>
        <v/>
      </c>
      <c r="K296" s="29">
        <f>IF($P296="","",IF(INDEX(EntryMan,$P296)=0,"",INDEX(EntryMan,$P296)))</f>
        <v/>
      </c>
      <c r="L296" s="28">
        <f>IF($B296="","",IF($K296="","—",IF(ROUND($K296-$J296,0)=0,"√","×")))</f>
        <v/>
      </c>
      <c r="M296" s="28">
        <f>IF($B296="","",IF(COUNTIFS(EntryDates,$B296,CalcTime,$C296,CalcBank,$C$5,EntryParty,$D296,EntryDep,$H296,EntryWit,$I296)&gt;1,"تکرار",""))</f>
        <v/>
      </c>
      <c r="N296" s="28">
        <f>IF($P296="","",IF(INDEX(EntryNotes,$P296)=0,"",INDEX(EntryNotes,$P296)))</f>
        <v/>
      </c>
      <c r="O296" s="28">
        <f>IF($P296="","",IF(INDEX(EntryTxnID,$P296)=0,"",INDEX(EntryTxnID,$P296)))</f>
        <v/>
      </c>
      <c r="P296" s="28">
        <f>IFERROR(MATCH($C$5&amp;"|"&amp;RIGHT("000000"&amp;280,6),CalcRankKey,0),"")</f>
        <v/>
      </c>
    </row>
    <row r="297">
      <c r="A297" s="26">
        <f>IF($B297="","",281)</f>
        <v/>
      </c>
      <c r="B297" s="26">
        <f>IF($P297="","",IF(INDEX(CalcNormDate,$P297)=0,"",INDEX(CalcNormDate,$P297)))</f>
        <v/>
      </c>
      <c r="C297" s="26">
        <f>IF($P297="","",IF(INDEX(CalcTime,$P297)=0,"",INDEX(CalcTime,$P297)))</f>
        <v/>
      </c>
      <c r="D297" s="26">
        <f>IF($P297="","",IF(INDEX(EntryParty,$P297)=0,"",INDEX(EntryParty,$P297)))</f>
        <v/>
      </c>
      <c r="E297" s="26">
        <f>IF($P297="","",IF(INDEX(EntryPartyName,$P297)=0,"",INDEX(EntryPartyName,$P297)))</f>
        <v/>
      </c>
      <c r="F297" s="26">
        <f>IF($P297="","",IF(INDEX(EntryPartyType,$P297)=0,"",INDEX(EntryPartyType,$P297)))</f>
        <v/>
      </c>
      <c r="G297" s="26">
        <f>IF($P297="","",IF(INDEX(EntryTxnType,$P297)=0,"",INDEX(EntryTxnType,$P297)))</f>
        <v/>
      </c>
      <c r="H297" s="27">
        <f>IF($P297="","",IF(INDEX(EntryDep,$P297)=0,"",INDEX(EntryDep,$P297)))</f>
        <v/>
      </c>
      <c r="I297" s="27">
        <f>IF($P297="","",IF(INDEX(EntryWit,$P297)=0,"",INDEX(EntryWit,$P297)))</f>
        <v/>
      </c>
      <c r="J297" s="27">
        <f>IF($B297="","",IF($A297=1,$C$7,IF(J296="",0,J296))+IF($H297="",0,$H297)-IF($I297="",0,$I297))</f>
        <v/>
      </c>
      <c r="K297" s="27">
        <f>IF($P297="","",IF(INDEX(EntryMan,$P297)=0,"",INDEX(EntryMan,$P297)))</f>
        <v/>
      </c>
      <c r="L297" s="26">
        <f>IF($B297="","",IF($K297="","—",IF(ROUND($K297-$J297,0)=0,"√","×")))</f>
        <v/>
      </c>
      <c r="M297" s="26">
        <f>IF($B297="","",IF(COUNTIFS(EntryDates,$B297,CalcTime,$C297,CalcBank,$C$5,EntryParty,$D297,EntryDep,$H297,EntryWit,$I297)&gt;1,"تکرار",""))</f>
        <v/>
      </c>
      <c r="N297" s="26">
        <f>IF($P297="","",IF(INDEX(EntryNotes,$P297)=0,"",INDEX(EntryNotes,$P297)))</f>
        <v/>
      </c>
      <c r="O297" s="26">
        <f>IF($P297="","",IF(INDEX(EntryTxnID,$P297)=0,"",INDEX(EntryTxnID,$P297)))</f>
        <v/>
      </c>
      <c r="P297" s="26">
        <f>IFERROR(MATCH($C$5&amp;"|"&amp;RIGHT("000000"&amp;281,6),CalcRankKey,0),"")</f>
        <v/>
      </c>
    </row>
    <row r="298">
      <c r="A298" s="28">
        <f>IF($B298="","",282)</f>
        <v/>
      </c>
      <c r="B298" s="28">
        <f>IF($P298="","",IF(INDEX(CalcNormDate,$P298)=0,"",INDEX(CalcNormDate,$P298)))</f>
        <v/>
      </c>
      <c r="C298" s="28">
        <f>IF($P298="","",IF(INDEX(CalcTime,$P298)=0,"",INDEX(CalcTime,$P298)))</f>
        <v/>
      </c>
      <c r="D298" s="28">
        <f>IF($P298="","",IF(INDEX(EntryParty,$P298)=0,"",INDEX(EntryParty,$P298)))</f>
        <v/>
      </c>
      <c r="E298" s="28">
        <f>IF($P298="","",IF(INDEX(EntryPartyName,$P298)=0,"",INDEX(EntryPartyName,$P298)))</f>
        <v/>
      </c>
      <c r="F298" s="28">
        <f>IF($P298="","",IF(INDEX(EntryPartyType,$P298)=0,"",INDEX(EntryPartyType,$P298)))</f>
        <v/>
      </c>
      <c r="G298" s="28">
        <f>IF($P298="","",IF(INDEX(EntryTxnType,$P298)=0,"",INDEX(EntryTxnType,$P298)))</f>
        <v/>
      </c>
      <c r="H298" s="29">
        <f>IF($P298="","",IF(INDEX(EntryDep,$P298)=0,"",INDEX(EntryDep,$P298)))</f>
        <v/>
      </c>
      <c r="I298" s="29">
        <f>IF($P298="","",IF(INDEX(EntryWit,$P298)=0,"",INDEX(EntryWit,$P298)))</f>
        <v/>
      </c>
      <c r="J298" s="29">
        <f>IF($B298="","",IF($A298=1,$C$7,IF(J297="",0,J297))+IF($H298="",0,$H298)-IF($I298="",0,$I298))</f>
        <v/>
      </c>
      <c r="K298" s="29">
        <f>IF($P298="","",IF(INDEX(EntryMan,$P298)=0,"",INDEX(EntryMan,$P298)))</f>
        <v/>
      </c>
      <c r="L298" s="28">
        <f>IF($B298="","",IF($K298="","—",IF(ROUND($K298-$J298,0)=0,"√","×")))</f>
        <v/>
      </c>
      <c r="M298" s="28">
        <f>IF($B298="","",IF(COUNTIFS(EntryDates,$B298,CalcTime,$C298,CalcBank,$C$5,EntryParty,$D298,EntryDep,$H298,EntryWit,$I298)&gt;1,"تکرار",""))</f>
        <v/>
      </c>
      <c r="N298" s="28">
        <f>IF($P298="","",IF(INDEX(EntryNotes,$P298)=0,"",INDEX(EntryNotes,$P298)))</f>
        <v/>
      </c>
      <c r="O298" s="28">
        <f>IF($P298="","",IF(INDEX(EntryTxnID,$P298)=0,"",INDEX(EntryTxnID,$P298)))</f>
        <v/>
      </c>
      <c r="P298" s="28">
        <f>IFERROR(MATCH($C$5&amp;"|"&amp;RIGHT("000000"&amp;282,6),CalcRankKey,0),"")</f>
        <v/>
      </c>
    </row>
    <row r="299">
      <c r="A299" s="26">
        <f>IF($B299="","",283)</f>
        <v/>
      </c>
      <c r="B299" s="26">
        <f>IF($P299="","",IF(INDEX(CalcNormDate,$P299)=0,"",INDEX(CalcNormDate,$P299)))</f>
        <v/>
      </c>
      <c r="C299" s="26">
        <f>IF($P299="","",IF(INDEX(CalcTime,$P299)=0,"",INDEX(CalcTime,$P299)))</f>
        <v/>
      </c>
      <c r="D299" s="26">
        <f>IF($P299="","",IF(INDEX(EntryParty,$P299)=0,"",INDEX(EntryParty,$P299)))</f>
        <v/>
      </c>
      <c r="E299" s="26">
        <f>IF($P299="","",IF(INDEX(EntryPartyName,$P299)=0,"",INDEX(EntryPartyName,$P299)))</f>
        <v/>
      </c>
      <c r="F299" s="26">
        <f>IF($P299="","",IF(INDEX(EntryPartyType,$P299)=0,"",INDEX(EntryPartyType,$P299)))</f>
        <v/>
      </c>
      <c r="G299" s="26">
        <f>IF($P299="","",IF(INDEX(EntryTxnType,$P299)=0,"",INDEX(EntryTxnType,$P299)))</f>
        <v/>
      </c>
      <c r="H299" s="27">
        <f>IF($P299="","",IF(INDEX(EntryDep,$P299)=0,"",INDEX(EntryDep,$P299)))</f>
        <v/>
      </c>
      <c r="I299" s="27">
        <f>IF($P299="","",IF(INDEX(EntryWit,$P299)=0,"",INDEX(EntryWit,$P299)))</f>
        <v/>
      </c>
      <c r="J299" s="27">
        <f>IF($B299="","",IF($A299=1,$C$7,IF(J298="",0,J298))+IF($H299="",0,$H299)-IF($I299="",0,$I299))</f>
        <v/>
      </c>
      <c r="K299" s="27">
        <f>IF($P299="","",IF(INDEX(EntryMan,$P299)=0,"",INDEX(EntryMan,$P299)))</f>
        <v/>
      </c>
      <c r="L299" s="26">
        <f>IF($B299="","",IF($K299="","—",IF(ROUND($K299-$J299,0)=0,"√","×")))</f>
        <v/>
      </c>
      <c r="M299" s="26">
        <f>IF($B299="","",IF(COUNTIFS(EntryDates,$B299,CalcTime,$C299,CalcBank,$C$5,EntryParty,$D299,EntryDep,$H299,EntryWit,$I299)&gt;1,"تکرار",""))</f>
        <v/>
      </c>
      <c r="N299" s="26">
        <f>IF($P299="","",IF(INDEX(EntryNotes,$P299)=0,"",INDEX(EntryNotes,$P299)))</f>
        <v/>
      </c>
      <c r="O299" s="26">
        <f>IF($P299="","",IF(INDEX(EntryTxnID,$P299)=0,"",INDEX(EntryTxnID,$P299)))</f>
        <v/>
      </c>
      <c r="P299" s="26">
        <f>IFERROR(MATCH($C$5&amp;"|"&amp;RIGHT("000000"&amp;283,6),CalcRankKey,0),"")</f>
        <v/>
      </c>
    </row>
    <row r="300">
      <c r="A300" s="28">
        <f>IF($B300="","",284)</f>
        <v/>
      </c>
      <c r="B300" s="28">
        <f>IF($P300="","",IF(INDEX(CalcNormDate,$P300)=0,"",INDEX(CalcNormDate,$P300)))</f>
        <v/>
      </c>
      <c r="C300" s="28">
        <f>IF($P300="","",IF(INDEX(CalcTime,$P300)=0,"",INDEX(CalcTime,$P300)))</f>
        <v/>
      </c>
      <c r="D300" s="28">
        <f>IF($P300="","",IF(INDEX(EntryParty,$P300)=0,"",INDEX(EntryParty,$P300)))</f>
        <v/>
      </c>
      <c r="E300" s="28">
        <f>IF($P300="","",IF(INDEX(EntryPartyName,$P300)=0,"",INDEX(EntryPartyName,$P300)))</f>
        <v/>
      </c>
      <c r="F300" s="28">
        <f>IF($P300="","",IF(INDEX(EntryPartyType,$P300)=0,"",INDEX(EntryPartyType,$P300)))</f>
        <v/>
      </c>
      <c r="G300" s="28">
        <f>IF($P300="","",IF(INDEX(EntryTxnType,$P300)=0,"",INDEX(EntryTxnType,$P300)))</f>
        <v/>
      </c>
      <c r="H300" s="29">
        <f>IF($P300="","",IF(INDEX(EntryDep,$P300)=0,"",INDEX(EntryDep,$P300)))</f>
        <v/>
      </c>
      <c r="I300" s="29">
        <f>IF($P300="","",IF(INDEX(EntryWit,$P300)=0,"",INDEX(EntryWit,$P300)))</f>
        <v/>
      </c>
      <c r="J300" s="29">
        <f>IF($B300="","",IF($A300=1,$C$7,IF(J299="",0,J299))+IF($H300="",0,$H300)-IF($I300="",0,$I300))</f>
        <v/>
      </c>
      <c r="K300" s="29">
        <f>IF($P300="","",IF(INDEX(EntryMan,$P300)=0,"",INDEX(EntryMan,$P300)))</f>
        <v/>
      </c>
      <c r="L300" s="28">
        <f>IF($B300="","",IF($K300="","—",IF(ROUND($K300-$J300,0)=0,"√","×")))</f>
        <v/>
      </c>
      <c r="M300" s="28">
        <f>IF($B300="","",IF(COUNTIFS(EntryDates,$B300,CalcTime,$C300,CalcBank,$C$5,EntryParty,$D300,EntryDep,$H300,EntryWit,$I300)&gt;1,"تکرار",""))</f>
        <v/>
      </c>
      <c r="N300" s="28">
        <f>IF($P300="","",IF(INDEX(EntryNotes,$P300)=0,"",INDEX(EntryNotes,$P300)))</f>
        <v/>
      </c>
      <c r="O300" s="28">
        <f>IF($P300="","",IF(INDEX(EntryTxnID,$P300)=0,"",INDEX(EntryTxnID,$P300)))</f>
        <v/>
      </c>
      <c r="P300" s="28">
        <f>IFERROR(MATCH($C$5&amp;"|"&amp;RIGHT("000000"&amp;284,6),CalcRankKey,0),"")</f>
        <v/>
      </c>
    </row>
    <row r="301">
      <c r="A301" s="26">
        <f>IF($B301="","",285)</f>
        <v/>
      </c>
      <c r="B301" s="26">
        <f>IF($P301="","",IF(INDEX(CalcNormDate,$P301)=0,"",INDEX(CalcNormDate,$P301)))</f>
        <v/>
      </c>
      <c r="C301" s="26">
        <f>IF($P301="","",IF(INDEX(CalcTime,$P301)=0,"",INDEX(CalcTime,$P301)))</f>
        <v/>
      </c>
      <c r="D301" s="26">
        <f>IF($P301="","",IF(INDEX(EntryParty,$P301)=0,"",INDEX(EntryParty,$P301)))</f>
        <v/>
      </c>
      <c r="E301" s="26">
        <f>IF($P301="","",IF(INDEX(EntryPartyName,$P301)=0,"",INDEX(EntryPartyName,$P301)))</f>
        <v/>
      </c>
      <c r="F301" s="26">
        <f>IF($P301="","",IF(INDEX(EntryPartyType,$P301)=0,"",INDEX(EntryPartyType,$P301)))</f>
        <v/>
      </c>
      <c r="G301" s="26">
        <f>IF($P301="","",IF(INDEX(EntryTxnType,$P301)=0,"",INDEX(EntryTxnType,$P301)))</f>
        <v/>
      </c>
      <c r="H301" s="27">
        <f>IF($P301="","",IF(INDEX(EntryDep,$P301)=0,"",INDEX(EntryDep,$P301)))</f>
        <v/>
      </c>
      <c r="I301" s="27">
        <f>IF($P301="","",IF(INDEX(EntryWit,$P301)=0,"",INDEX(EntryWit,$P301)))</f>
        <v/>
      </c>
      <c r="J301" s="27">
        <f>IF($B301="","",IF($A301=1,$C$7,IF(J300="",0,J300))+IF($H301="",0,$H301)-IF($I301="",0,$I301))</f>
        <v/>
      </c>
      <c r="K301" s="27">
        <f>IF($P301="","",IF(INDEX(EntryMan,$P301)=0,"",INDEX(EntryMan,$P301)))</f>
        <v/>
      </c>
      <c r="L301" s="26">
        <f>IF($B301="","",IF($K301="","—",IF(ROUND($K301-$J301,0)=0,"√","×")))</f>
        <v/>
      </c>
      <c r="M301" s="26">
        <f>IF($B301="","",IF(COUNTIFS(EntryDates,$B301,CalcTime,$C301,CalcBank,$C$5,EntryParty,$D301,EntryDep,$H301,EntryWit,$I301)&gt;1,"تکرار",""))</f>
        <v/>
      </c>
      <c r="N301" s="26">
        <f>IF($P301="","",IF(INDEX(EntryNotes,$P301)=0,"",INDEX(EntryNotes,$P301)))</f>
        <v/>
      </c>
      <c r="O301" s="26">
        <f>IF($P301="","",IF(INDEX(EntryTxnID,$P301)=0,"",INDEX(EntryTxnID,$P301)))</f>
        <v/>
      </c>
      <c r="P301" s="26">
        <f>IFERROR(MATCH($C$5&amp;"|"&amp;RIGHT("000000"&amp;285,6),CalcRankKey,0),"")</f>
        <v/>
      </c>
    </row>
    <row r="302">
      <c r="A302" s="28">
        <f>IF($B302="","",286)</f>
        <v/>
      </c>
      <c r="B302" s="28">
        <f>IF($P302="","",IF(INDEX(CalcNormDate,$P302)=0,"",INDEX(CalcNormDate,$P302)))</f>
        <v/>
      </c>
      <c r="C302" s="28">
        <f>IF($P302="","",IF(INDEX(CalcTime,$P302)=0,"",INDEX(CalcTime,$P302)))</f>
        <v/>
      </c>
      <c r="D302" s="28">
        <f>IF($P302="","",IF(INDEX(EntryParty,$P302)=0,"",INDEX(EntryParty,$P302)))</f>
        <v/>
      </c>
      <c r="E302" s="28">
        <f>IF($P302="","",IF(INDEX(EntryPartyName,$P302)=0,"",INDEX(EntryPartyName,$P302)))</f>
        <v/>
      </c>
      <c r="F302" s="28">
        <f>IF($P302="","",IF(INDEX(EntryPartyType,$P302)=0,"",INDEX(EntryPartyType,$P302)))</f>
        <v/>
      </c>
      <c r="G302" s="28">
        <f>IF($P302="","",IF(INDEX(EntryTxnType,$P302)=0,"",INDEX(EntryTxnType,$P302)))</f>
        <v/>
      </c>
      <c r="H302" s="29">
        <f>IF($P302="","",IF(INDEX(EntryDep,$P302)=0,"",INDEX(EntryDep,$P302)))</f>
        <v/>
      </c>
      <c r="I302" s="29">
        <f>IF($P302="","",IF(INDEX(EntryWit,$P302)=0,"",INDEX(EntryWit,$P302)))</f>
        <v/>
      </c>
      <c r="J302" s="29">
        <f>IF($B302="","",IF($A302=1,$C$7,IF(J301="",0,J301))+IF($H302="",0,$H302)-IF($I302="",0,$I302))</f>
        <v/>
      </c>
      <c r="K302" s="29">
        <f>IF($P302="","",IF(INDEX(EntryMan,$P302)=0,"",INDEX(EntryMan,$P302)))</f>
        <v/>
      </c>
      <c r="L302" s="28">
        <f>IF($B302="","",IF($K302="","—",IF(ROUND($K302-$J302,0)=0,"√","×")))</f>
        <v/>
      </c>
      <c r="M302" s="28">
        <f>IF($B302="","",IF(COUNTIFS(EntryDates,$B302,CalcTime,$C302,CalcBank,$C$5,EntryParty,$D302,EntryDep,$H302,EntryWit,$I302)&gt;1,"تکرار",""))</f>
        <v/>
      </c>
      <c r="N302" s="28">
        <f>IF($P302="","",IF(INDEX(EntryNotes,$P302)=0,"",INDEX(EntryNotes,$P302)))</f>
        <v/>
      </c>
      <c r="O302" s="28">
        <f>IF($P302="","",IF(INDEX(EntryTxnID,$P302)=0,"",INDEX(EntryTxnID,$P302)))</f>
        <v/>
      </c>
      <c r="P302" s="28">
        <f>IFERROR(MATCH($C$5&amp;"|"&amp;RIGHT("000000"&amp;286,6),CalcRankKey,0),"")</f>
        <v/>
      </c>
    </row>
    <row r="303">
      <c r="A303" s="26">
        <f>IF($B303="","",287)</f>
        <v/>
      </c>
      <c r="B303" s="26">
        <f>IF($P303="","",IF(INDEX(CalcNormDate,$P303)=0,"",INDEX(CalcNormDate,$P303)))</f>
        <v/>
      </c>
      <c r="C303" s="26">
        <f>IF($P303="","",IF(INDEX(CalcTime,$P303)=0,"",INDEX(CalcTime,$P303)))</f>
        <v/>
      </c>
      <c r="D303" s="26">
        <f>IF($P303="","",IF(INDEX(EntryParty,$P303)=0,"",INDEX(EntryParty,$P303)))</f>
        <v/>
      </c>
      <c r="E303" s="26">
        <f>IF($P303="","",IF(INDEX(EntryPartyName,$P303)=0,"",INDEX(EntryPartyName,$P303)))</f>
        <v/>
      </c>
      <c r="F303" s="26">
        <f>IF($P303="","",IF(INDEX(EntryPartyType,$P303)=0,"",INDEX(EntryPartyType,$P303)))</f>
        <v/>
      </c>
      <c r="G303" s="26">
        <f>IF($P303="","",IF(INDEX(EntryTxnType,$P303)=0,"",INDEX(EntryTxnType,$P303)))</f>
        <v/>
      </c>
      <c r="H303" s="27">
        <f>IF($P303="","",IF(INDEX(EntryDep,$P303)=0,"",INDEX(EntryDep,$P303)))</f>
        <v/>
      </c>
      <c r="I303" s="27">
        <f>IF($P303="","",IF(INDEX(EntryWit,$P303)=0,"",INDEX(EntryWit,$P303)))</f>
        <v/>
      </c>
      <c r="J303" s="27">
        <f>IF($B303="","",IF($A303=1,$C$7,IF(J302="",0,J302))+IF($H303="",0,$H303)-IF($I303="",0,$I303))</f>
        <v/>
      </c>
      <c r="K303" s="27">
        <f>IF($P303="","",IF(INDEX(EntryMan,$P303)=0,"",INDEX(EntryMan,$P303)))</f>
        <v/>
      </c>
      <c r="L303" s="26">
        <f>IF($B303="","",IF($K303="","—",IF(ROUND($K303-$J303,0)=0,"√","×")))</f>
        <v/>
      </c>
      <c r="M303" s="26">
        <f>IF($B303="","",IF(COUNTIFS(EntryDates,$B303,CalcTime,$C303,CalcBank,$C$5,EntryParty,$D303,EntryDep,$H303,EntryWit,$I303)&gt;1,"تکرار",""))</f>
        <v/>
      </c>
      <c r="N303" s="26">
        <f>IF($P303="","",IF(INDEX(EntryNotes,$P303)=0,"",INDEX(EntryNotes,$P303)))</f>
        <v/>
      </c>
      <c r="O303" s="26">
        <f>IF($P303="","",IF(INDEX(EntryTxnID,$P303)=0,"",INDEX(EntryTxnID,$P303)))</f>
        <v/>
      </c>
      <c r="P303" s="26">
        <f>IFERROR(MATCH($C$5&amp;"|"&amp;RIGHT("000000"&amp;287,6),CalcRankKey,0),"")</f>
        <v/>
      </c>
    </row>
    <row r="304">
      <c r="A304" s="28">
        <f>IF($B304="","",288)</f>
        <v/>
      </c>
      <c r="B304" s="28">
        <f>IF($P304="","",IF(INDEX(CalcNormDate,$P304)=0,"",INDEX(CalcNormDate,$P304)))</f>
        <v/>
      </c>
      <c r="C304" s="28">
        <f>IF($P304="","",IF(INDEX(CalcTime,$P304)=0,"",INDEX(CalcTime,$P304)))</f>
        <v/>
      </c>
      <c r="D304" s="28">
        <f>IF($P304="","",IF(INDEX(EntryParty,$P304)=0,"",INDEX(EntryParty,$P304)))</f>
        <v/>
      </c>
      <c r="E304" s="28">
        <f>IF($P304="","",IF(INDEX(EntryPartyName,$P304)=0,"",INDEX(EntryPartyName,$P304)))</f>
        <v/>
      </c>
      <c r="F304" s="28">
        <f>IF($P304="","",IF(INDEX(EntryPartyType,$P304)=0,"",INDEX(EntryPartyType,$P304)))</f>
        <v/>
      </c>
      <c r="G304" s="28">
        <f>IF($P304="","",IF(INDEX(EntryTxnType,$P304)=0,"",INDEX(EntryTxnType,$P304)))</f>
        <v/>
      </c>
      <c r="H304" s="29">
        <f>IF($P304="","",IF(INDEX(EntryDep,$P304)=0,"",INDEX(EntryDep,$P304)))</f>
        <v/>
      </c>
      <c r="I304" s="29">
        <f>IF($P304="","",IF(INDEX(EntryWit,$P304)=0,"",INDEX(EntryWit,$P304)))</f>
        <v/>
      </c>
      <c r="J304" s="29">
        <f>IF($B304="","",IF($A304=1,$C$7,IF(J303="",0,J303))+IF($H304="",0,$H304)-IF($I304="",0,$I304))</f>
        <v/>
      </c>
      <c r="K304" s="29">
        <f>IF($P304="","",IF(INDEX(EntryMan,$P304)=0,"",INDEX(EntryMan,$P304)))</f>
        <v/>
      </c>
      <c r="L304" s="28">
        <f>IF($B304="","",IF($K304="","—",IF(ROUND($K304-$J304,0)=0,"√","×")))</f>
        <v/>
      </c>
      <c r="M304" s="28">
        <f>IF($B304="","",IF(COUNTIFS(EntryDates,$B304,CalcTime,$C304,CalcBank,$C$5,EntryParty,$D304,EntryDep,$H304,EntryWit,$I304)&gt;1,"تکرار",""))</f>
        <v/>
      </c>
      <c r="N304" s="28">
        <f>IF($P304="","",IF(INDEX(EntryNotes,$P304)=0,"",INDEX(EntryNotes,$P304)))</f>
        <v/>
      </c>
      <c r="O304" s="28">
        <f>IF($P304="","",IF(INDEX(EntryTxnID,$P304)=0,"",INDEX(EntryTxnID,$P304)))</f>
        <v/>
      </c>
      <c r="P304" s="28">
        <f>IFERROR(MATCH($C$5&amp;"|"&amp;RIGHT("000000"&amp;288,6),CalcRankKey,0),"")</f>
        <v/>
      </c>
    </row>
    <row r="305">
      <c r="A305" s="26">
        <f>IF($B305="","",289)</f>
        <v/>
      </c>
      <c r="B305" s="26">
        <f>IF($P305="","",IF(INDEX(CalcNormDate,$P305)=0,"",INDEX(CalcNormDate,$P305)))</f>
        <v/>
      </c>
      <c r="C305" s="26">
        <f>IF($P305="","",IF(INDEX(CalcTime,$P305)=0,"",INDEX(CalcTime,$P305)))</f>
        <v/>
      </c>
      <c r="D305" s="26">
        <f>IF($P305="","",IF(INDEX(EntryParty,$P305)=0,"",INDEX(EntryParty,$P305)))</f>
        <v/>
      </c>
      <c r="E305" s="26">
        <f>IF($P305="","",IF(INDEX(EntryPartyName,$P305)=0,"",INDEX(EntryPartyName,$P305)))</f>
        <v/>
      </c>
      <c r="F305" s="26">
        <f>IF($P305="","",IF(INDEX(EntryPartyType,$P305)=0,"",INDEX(EntryPartyType,$P305)))</f>
        <v/>
      </c>
      <c r="G305" s="26">
        <f>IF($P305="","",IF(INDEX(EntryTxnType,$P305)=0,"",INDEX(EntryTxnType,$P305)))</f>
        <v/>
      </c>
      <c r="H305" s="27">
        <f>IF($P305="","",IF(INDEX(EntryDep,$P305)=0,"",INDEX(EntryDep,$P305)))</f>
        <v/>
      </c>
      <c r="I305" s="27">
        <f>IF($P305="","",IF(INDEX(EntryWit,$P305)=0,"",INDEX(EntryWit,$P305)))</f>
        <v/>
      </c>
      <c r="J305" s="27">
        <f>IF($B305="","",IF($A305=1,$C$7,IF(J304="",0,J304))+IF($H305="",0,$H305)-IF($I305="",0,$I305))</f>
        <v/>
      </c>
      <c r="K305" s="27">
        <f>IF($P305="","",IF(INDEX(EntryMan,$P305)=0,"",INDEX(EntryMan,$P305)))</f>
        <v/>
      </c>
      <c r="L305" s="26">
        <f>IF($B305="","",IF($K305="","—",IF(ROUND($K305-$J305,0)=0,"√","×")))</f>
        <v/>
      </c>
      <c r="M305" s="26">
        <f>IF($B305="","",IF(COUNTIFS(EntryDates,$B305,CalcTime,$C305,CalcBank,$C$5,EntryParty,$D305,EntryDep,$H305,EntryWit,$I305)&gt;1,"تکرار",""))</f>
        <v/>
      </c>
      <c r="N305" s="26">
        <f>IF($P305="","",IF(INDEX(EntryNotes,$P305)=0,"",INDEX(EntryNotes,$P305)))</f>
        <v/>
      </c>
      <c r="O305" s="26">
        <f>IF($P305="","",IF(INDEX(EntryTxnID,$P305)=0,"",INDEX(EntryTxnID,$P305)))</f>
        <v/>
      </c>
      <c r="P305" s="26">
        <f>IFERROR(MATCH($C$5&amp;"|"&amp;RIGHT("000000"&amp;289,6),CalcRankKey,0),"")</f>
        <v/>
      </c>
    </row>
    <row r="306">
      <c r="A306" s="28">
        <f>IF($B306="","",290)</f>
        <v/>
      </c>
      <c r="B306" s="28">
        <f>IF($P306="","",IF(INDEX(CalcNormDate,$P306)=0,"",INDEX(CalcNormDate,$P306)))</f>
        <v/>
      </c>
      <c r="C306" s="28">
        <f>IF($P306="","",IF(INDEX(CalcTime,$P306)=0,"",INDEX(CalcTime,$P306)))</f>
        <v/>
      </c>
      <c r="D306" s="28">
        <f>IF($P306="","",IF(INDEX(EntryParty,$P306)=0,"",INDEX(EntryParty,$P306)))</f>
        <v/>
      </c>
      <c r="E306" s="28">
        <f>IF($P306="","",IF(INDEX(EntryPartyName,$P306)=0,"",INDEX(EntryPartyName,$P306)))</f>
        <v/>
      </c>
      <c r="F306" s="28">
        <f>IF($P306="","",IF(INDEX(EntryPartyType,$P306)=0,"",INDEX(EntryPartyType,$P306)))</f>
        <v/>
      </c>
      <c r="G306" s="28">
        <f>IF($P306="","",IF(INDEX(EntryTxnType,$P306)=0,"",INDEX(EntryTxnType,$P306)))</f>
        <v/>
      </c>
      <c r="H306" s="29">
        <f>IF($P306="","",IF(INDEX(EntryDep,$P306)=0,"",INDEX(EntryDep,$P306)))</f>
        <v/>
      </c>
      <c r="I306" s="29">
        <f>IF($P306="","",IF(INDEX(EntryWit,$P306)=0,"",INDEX(EntryWit,$P306)))</f>
        <v/>
      </c>
      <c r="J306" s="29">
        <f>IF($B306="","",IF($A306=1,$C$7,IF(J305="",0,J305))+IF($H306="",0,$H306)-IF($I306="",0,$I306))</f>
        <v/>
      </c>
      <c r="K306" s="29">
        <f>IF($P306="","",IF(INDEX(EntryMan,$P306)=0,"",INDEX(EntryMan,$P306)))</f>
        <v/>
      </c>
      <c r="L306" s="28">
        <f>IF($B306="","",IF($K306="","—",IF(ROUND($K306-$J306,0)=0,"√","×")))</f>
        <v/>
      </c>
      <c r="M306" s="28">
        <f>IF($B306="","",IF(COUNTIFS(EntryDates,$B306,CalcTime,$C306,CalcBank,$C$5,EntryParty,$D306,EntryDep,$H306,EntryWit,$I306)&gt;1,"تکرار",""))</f>
        <v/>
      </c>
      <c r="N306" s="28">
        <f>IF($P306="","",IF(INDEX(EntryNotes,$P306)=0,"",INDEX(EntryNotes,$P306)))</f>
        <v/>
      </c>
      <c r="O306" s="28">
        <f>IF($P306="","",IF(INDEX(EntryTxnID,$P306)=0,"",INDEX(EntryTxnID,$P306)))</f>
        <v/>
      </c>
      <c r="P306" s="28">
        <f>IFERROR(MATCH($C$5&amp;"|"&amp;RIGHT("000000"&amp;290,6),CalcRankKey,0),"")</f>
        <v/>
      </c>
    </row>
    <row r="307">
      <c r="A307" s="26">
        <f>IF($B307="","",291)</f>
        <v/>
      </c>
      <c r="B307" s="26">
        <f>IF($P307="","",IF(INDEX(CalcNormDate,$P307)=0,"",INDEX(CalcNormDate,$P307)))</f>
        <v/>
      </c>
      <c r="C307" s="26">
        <f>IF($P307="","",IF(INDEX(CalcTime,$P307)=0,"",INDEX(CalcTime,$P307)))</f>
        <v/>
      </c>
      <c r="D307" s="26">
        <f>IF($P307="","",IF(INDEX(EntryParty,$P307)=0,"",INDEX(EntryParty,$P307)))</f>
        <v/>
      </c>
      <c r="E307" s="26">
        <f>IF($P307="","",IF(INDEX(EntryPartyName,$P307)=0,"",INDEX(EntryPartyName,$P307)))</f>
        <v/>
      </c>
      <c r="F307" s="26">
        <f>IF($P307="","",IF(INDEX(EntryPartyType,$P307)=0,"",INDEX(EntryPartyType,$P307)))</f>
        <v/>
      </c>
      <c r="G307" s="26">
        <f>IF($P307="","",IF(INDEX(EntryTxnType,$P307)=0,"",INDEX(EntryTxnType,$P307)))</f>
        <v/>
      </c>
      <c r="H307" s="27">
        <f>IF($P307="","",IF(INDEX(EntryDep,$P307)=0,"",INDEX(EntryDep,$P307)))</f>
        <v/>
      </c>
      <c r="I307" s="27">
        <f>IF($P307="","",IF(INDEX(EntryWit,$P307)=0,"",INDEX(EntryWit,$P307)))</f>
        <v/>
      </c>
      <c r="J307" s="27">
        <f>IF($B307="","",IF($A307=1,$C$7,IF(J306="",0,J306))+IF($H307="",0,$H307)-IF($I307="",0,$I307))</f>
        <v/>
      </c>
      <c r="K307" s="27">
        <f>IF($P307="","",IF(INDEX(EntryMan,$P307)=0,"",INDEX(EntryMan,$P307)))</f>
        <v/>
      </c>
      <c r="L307" s="26">
        <f>IF($B307="","",IF($K307="","—",IF(ROUND($K307-$J307,0)=0,"√","×")))</f>
        <v/>
      </c>
      <c r="M307" s="26">
        <f>IF($B307="","",IF(COUNTIFS(EntryDates,$B307,CalcTime,$C307,CalcBank,$C$5,EntryParty,$D307,EntryDep,$H307,EntryWit,$I307)&gt;1,"تکرار",""))</f>
        <v/>
      </c>
      <c r="N307" s="26">
        <f>IF($P307="","",IF(INDEX(EntryNotes,$P307)=0,"",INDEX(EntryNotes,$P307)))</f>
        <v/>
      </c>
      <c r="O307" s="26">
        <f>IF($P307="","",IF(INDEX(EntryTxnID,$P307)=0,"",INDEX(EntryTxnID,$P307)))</f>
        <v/>
      </c>
      <c r="P307" s="26">
        <f>IFERROR(MATCH($C$5&amp;"|"&amp;RIGHT("000000"&amp;291,6),CalcRankKey,0),"")</f>
        <v/>
      </c>
    </row>
    <row r="308">
      <c r="A308" s="28">
        <f>IF($B308="","",292)</f>
        <v/>
      </c>
      <c r="B308" s="28">
        <f>IF($P308="","",IF(INDEX(CalcNormDate,$P308)=0,"",INDEX(CalcNormDate,$P308)))</f>
        <v/>
      </c>
      <c r="C308" s="28">
        <f>IF($P308="","",IF(INDEX(CalcTime,$P308)=0,"",INDEX(CalcTime,$P308)))</f>
        <v/>
      </c>
      <c r="D308" s="28">
        <f>IF($P308="","",IF(INDEX(EntryParty,$P308)=0,"",INDEX(EntryParty,$P308)))</f>
        <v/>
      </c>
      <c r="E308" s="28">
        <f>IF($P308="","",IF(INDEX(EntryPartyName,$P308)=0,"",INDEX(EntryPartyName,$P308)))</f>
        <v/>
      </c>
      <c r="F308" s="28">
        <f>IF($P308="","",IF(INDEX(EntryPartyType,$P308)=0,"",INDEX(EntryPartyType,$P308)))</f>
        <v/>
      </c>
      <c r="G308" s="28">
        <f>IF($P308="","",IF(INDEX(EntryTxnType,$P308)=0,"",INDEX(EntryTxnType,$P308)))</f>
        <v/>
      </c>
      <c r="H308" s="29">
        <f>IF($P308="","",IF(INDEX(EntryDep,$P308)=0,"",INDEX(EntryDep,$P308)))</f>
        <v/>
      </c>
      <c r="I308" s="29">
        <f>IF($P308="","",IF(INDEX(EntryWit,$P308)=0,"",INDEX(EntryWit,$P308)))</f>
        <v/>
      </c>
      <c r="J308" s="29">
        <f>IF($B308="","",IF($A308=1,$C$7,IF(J307="",0,J307))+IF($H308="",0,$H308)-IF($I308="",0,$I308))</f>
        <v/>
      </c>
      <c r="K308" s="29">
        <f>IF($P308="","",IF(INDEX(EntryMan,$P308)=0,"",INDEX(EntryMan,$P308)))</f>
        <v/>
      </c>
      <c r="L308" s="28">
        <f>IF($B308="","",IF($K308="","—",IF(ROUND($K308-$J308,0)=0,"√","×")))</f>
        <v/>
      </c>
      <c r="M308" s="28">
        <f>IF($B308="","",IF(COUNTIFS(EntryDates,$B308,CalcTime,$C308,CalcBank,$C$5,EntryParty,$D308,EntryDep,$H308,EntryWit,$I308)&gt;1,"تکرار",""))</f>
        <v/>
      </c>
      <c r="N308" s="28">
        <f>IF($P308="","",IF(INDEX(EntryNotes,$P308)=0,"",INDEX(EntryNotes,$P308)))</f>
        <v/>
      </c>
      <c r="O308" s="28">
        <f>IF($P308="","",IF(INDEX(EntryTxnID,$P308)=0,"",INDEX(EntryTxnID,$P308)))</f>
        <v/>
      </c>
      <c r="P308" s="28">
        <f>IFERROR(MATCH($C$5&amp;"|"&amp;RIGHT("000000"&amp;292,6),CalcRankKey,0),"")</f>
        <v/>
      </c>
    </row>
    <row r="309">
      <c r="A309" s="26">
        <f>IF($B309="","",293)</f>
        <v/>
      </c>
      <c r="B309" s="26">
        <f>IF($P309="","",IF(INDEX(CalcNormDate,$P309)=0,"",INDEX(CalcNormDate,$P309)))</f>
        <v/>
      </c>
      <c r="C309" s="26">
        <f>IF($P309="","",IF(INDEX(CalcTime,$P309)=0,"",INDEX(CalcTime,$P309)))</f>
        <v/>
      </c>
      <c r="D309" s="26">
        <f>IF($P309="","",IF(INDEX(EntryParty,$P309)=0,"",INDEX(EntryParty,$P309)))</f>
        <v/>
      </c>
      <c r="E309" s="26">
        <f>IF($P309="","",IF(INDEX(EntryPartyName,$P309)=0,"",INDEX(EntryPartyName,$P309)))</f>
        <v/>
      </c>
      <c r="F309" s="26">
        <f>IF($P309="","",IF(INDEX(EntryPartyType,$P309)=0,"",INDEX(EntryPartyType,$P309)))</f>
        <v/>
      </c>
      <c r="G309" s="26">
        <f>IF($P309="","",IF(INDEX(EntryTxnType,$P309)=0,"",INDEX(EntryTxnType,$P309)))</f>
        <v/>
      </c>
      <c r="H309" s="27">
        <f>IF($P309="","",IF(INDEX(EntryDep,$P309)=0,"",INDEX(EntryDep,$P309)))</f>
        <v/>
      </c>
      <c r="I309" s="27">
        <f>IF($P309="","",IF(INDEX(EntryWit,$P309)=0,"",INDEX(EntryWit,$P309)))</f>
        <v/>
      </c>
      <c r="J309" s="27">
        <f>IF($B309="","",IF($A309=1,$C$7,IF(J308="",0,J308))+IF($H309="",0,$H309)-IF($I309="",0,$I309))</f>
        <v/>
      </c>
      <c r="K309" s="27">
        <f>IF($P309="","",IF(INDEX(EntryMan,$P309)=0,"",INDEX(EntryMan,$P309)))</f>
        <v/>
      </c>
      <c r="L309" s="26">
        <f>IF($B309="","",IF($K309="","—",IF(ROUND($K309-$J309,0)=0,"√","×")))</f>
        <v/>
      </c>
      <c r="M309" s="26">
        <f>IF($B309="","",IF(COUNTIFS(EntryDates,$B309,CalcTime,$C309,CalcBank,$C$5,EntryParty,$D309,EntryDep,$H309,EntryWit,$I309)&gt;1,"تکرار",""))</f>
        <v/>
      </c>
      <c r="N309" s="26">
        <f>IF($P309="","",IF(INDEX(EntryNotes,$P309)=0,"",INDEX(EntryNotes,$P309)))</f>
        <v/>
      </c>
      <c r="O309" s="26">
        <f>IF($P309="","",IF(INDEX(EntryTxnID,$P309)=0,"",INDEX(EntryTxnID,$P309)))</f>
        <v/>
      </c>
      <c r="P309" s="26">
        <f>IFERROR(MATCH($C$5&amp;"|"&amp;RIGHT("000000"&amp;293,6),CalcRankKey,0),"")</f>
        <v/>
      </c>
    </row>
    <row r="310">
      <c r="A310" s="28">
        <f>IF($B310="","",294)</f>
        <v/>
      </c>
      <c r="B310" s="28">
        <f>IF($P310="","",IF(INDEX(CalcNormDate,$P310)=0,"",INDEX(CalcNormDate,$P310)))</f>
        <v/>
      </c>
      <c r="C310" s="28">
        <f>IF($P310="","",IF(INDEX(CalcTime,$P310)=0,"",INDEX(CalcTime,$P310)))</f>
        <v/>
      </c>
      <c r="D310" s="28">
        <f>IF($P310="","",IF(INDEX(EntryParty,$P310)=0,"",INDEX(EntryParty,$P310)))</f>
        <v/>
      </c>
      <c r="E310" s="28">
        <f>IF($P310="","",IF(INDEX(EntryPartyName,$P310)=0,"",INDEX(EntryPartyName,$P310)))</f>
        <v/>
      </c>
      <c r="F310" s="28">
        <f>IF($P310="","",IF(INDEX(EntryPartyType,$P310)=0,"",INDEX(EntryPartyType,$P310)))</f>
        <v/>
      </c>
      <c r="G310" s="28">
        <f>IF($P310="","",IF(INDEX(EntryTxnType,$P310)=0,"",INDEX(EntryTxnType,$P310)))</f>
        <v/>
      </c>
      <c r="H310" s="29">
        <f>IF($P310="","",IF(INDEX(EntryDep,$P310)=0,"",INDEX(EntryDep,$P310)))</f>
        <v/>
      </c>
      <c r="I310" s="29">
        <f>IF($P310="","",IF(INDEX(EntryWit,$P310)=0,"",INDEX(EntryWit,$P310)))</f>
        <v/>
      </c>
      <c r="J310" s="29">
        <f>IF($B310="","",IF($A310=1,$C$7,IF(J309="",0,J309))+IF($H310="",0,$H310)-IF($I310="",0,$I310))</f>
        <v/>
      </c>
      <c r="K310" s="29">
        <f>IF($P310="","",IF(INDEX(EntryMan,$P310)=0,"",INDEX(EntryMan,$P310)))</f>
        <v/>
      </c>
      <c r="L310" s="28">
        <f>IF($B310="","",IF($K310="","—",IF(ROUND($K310-$J310,0)=0,"√","×")))</f>
        <v/>
      </c>
      <c r="M310" s="28">
        <f>IF($B310="","",IF(COUNTIFS(EntryDates,$B310,CalcTime,$C310,CalcBank,$C$5,EntryParty,$D310,EntryDep,$H310,EntryWit,$I310)&gt;1,"تکرار",""))</f>
        <v/>
      </c>
      <c r="N310" s="28">
        <f>IF($P310="","",IF(INDEX(EntryNotes,$P310)=0,"",INDEX(EntryNotes,$P310)))</f>
        <v/>
      </c>
      <c r="O310" s="28">
        <f>IF($P310="","",IF(INDEX(EntryTxnID,$P310)=0,"",INDEX(EntryTxnID,$P310)))</f>
        <v/>
      </c>
      <c r="P310" s="28">
        <f>IFERROR(MATCH($C$5&amp;"|"&amp;RIGHT("000000"&amp;294,6),CalcRankKey,0),"")</f>
        <v/>
      </c>
    </row>
    <row r="311">
      <c r="A311" s="26">
        <f>IF($B311="","",295)</f>
        <v/>
      </c>
      <c r="B311" s="26">
        <f>IF($P311="","",IF(INDEX(CalcNormDate,$P311)=0,"",INDEX(CalcNormDate,$P311)))</f>
        <v/>
      </c>
      <c r="C311" s="26">
        <f>IF($P311="","",IF(INDEX(CalcTime,$P311)=0,"",INDEX(CalcTime,$P311)))</f>
        <v/>
      </c>
      <c r="D311" s="26">
        <f>IF($P311="","",IF(INDEX(EntryParty,$P311)=0,"",INDEX(EntryParty,$P311)))</f>
        <v/>
      </c>
      <c r="E311" s="26">
        <f>IF($P311="","",IF(INDEX(EntryPartyName,$P311)=0,"",INDEX(EntryPartyName,$P311)))</f>
        <v/>
      </c>
      <c r="F311" s="26">
        <f>IF($P311="","",IF(INDEX(EntryPartyType,$P311)=0,"",INDEX(EntryPartyType,$P311)))</f>
        <v/>
      </c>
      <c r="G311" s="26">
        <f>IF($P311="","",IF(INDEX(EntryTxnType,$P311)=0,"",INDEX(EntryTxnType,$P311)))</f>
        <v/>
      </c>
      <c r="H311" s="27">
        <f>IF($P311="","",IF(INDEX(EntryDep,$P311)=0,"",INDEX(EntryDep,$P311)))</f>
        <v/>
      </c>
      <c r="I311" s="27">
        <f>IF($P311="","",IF(INDEX(EntryWit,$P311)=0,"",INDEX(EntryWit,$P311)))</f>
        <v/>
      </c>
      <c r="J311" s="27">
        <f>IF($B311="","",IF($A311=1,$C$7,IF(J310="",0,J310))+IF($H311="",0,$H311)-IF($I311="",0,$I311))</f>
        <v/>
      </c>
      <c r="K311" s="27">
        <f>IF($P311="","",IF(INDEX(EntryMan,$P311)=0,"",INDEX(EntryMan,$P311)))</f>
        <v/>
      </c>
      <c r="L311" s="26">
        <f>IF($B311="","",IF($K311="","—",IF(ROUND($K311-$J311,0)=0,"√","×")))</f>
        <v/>
      </c>
      <c r="M311" s="26">
        <f>IF($B311="","",IF(COUNTIFS(EntryDates,$B311,CalcTime,$C311,CalcBank,$C$5,EntryParty,$D311,EntryDep,$H311,EntryWit,$I311)&gt;1,"تکرار",""))</f>
        <v/>
      </c>
      <c r="N311" s="26">
        <f>IF($P311="","",IF(INDEX(EntryNotes,$P311)=0,"",INDEX(EntryNotes,$P311)))</f>
        <v/>
      </c>
      <c r="O311" s="26">
        <f>IF($P311="","",IF(INDEX(EntryTxnID,$P311)=0,"",INDEX(EntryTxnID,$P311)))</f>
        <v/>
      </c>
      <c r="P311" s="26">
        <f>IFERROR(MATCH($C$5&amp;"|"&amp;RIGHT("000000"&amp;295,6),CalcRankKey,0),"")</f>
        <v/>
      </c>
    </row>
    <row r="312">
      <c r="A312" s="28">
        <f>IF($B312="","",296)</f>
        <v/>
      </c>
      <c r="B312" s="28">
        <f>IF($P312="","",IF(INDEX(CalcNormDate,$P312)=0,"",INDEX(CalcNormDate,$P312)))</f>
        <v/>
      </c>
      <c r="C312" s="28">
        <f>IF($P312="","",IF(INDEX(CalcTime,$P312)=0,"",INDEX(CalcTime,$P312)))</f>
        <v/>
      </c>
      <c r="D312" s="28">
        <f>IF($P312="","",IF(INDEX(EntryParty,$P312)=0,"",INDEX(EntryParty,$P312)))</f>
        <v/>
      </c>
      <c r="E312" s="28">
        <f>IF($P312="","",IF(INDEX(EntryPartyName,$P312)=0,"",INDEX(EntryPartyName,$P312)))</f>
        <v/>
      </c>
      <c r="F312" s="28">
        <f>IF($P312="","",IF(INDEX(EntryPartyType,$P312)=0,"",INDEX(EntryPartyType,$P312)))</f>
        <v/>
      </c>
      <c r="G312" s="28">
        <f>IF($P312="","",IF(INDEX(EntryTxnType,$P312)=0,"",INDEX(EntryTxnType,$P312)))</f>
        <v/>
      </c>
      <c r="H312" s="29">
        <f>IF($P312="","",IF(INDEX(EntryDep,$P312)=0,"",INDEX(EntryDep,$P312)))</f>
        <v/>
      </c>
      <c r="I312" s="29">
        <f>IF($P312="","",IF(INDEX(EntryWit,$P312)=0,"",INDEX(EntryWit,$P312)))</f>
        <v/>
      </c>
      <c r="J312" s="29">
        <f>IF($B312="","",IF($A312=1,$C$7,IF(J311="",0,J311))+IF($H312="",0,$H312)-IF($I312="",0,$I312))</f>
        <v/>
      </c>
      <c r="K312" s="29">
        <f>IF($P312="","",IF(INDEX(EntryMan,$P312)=0,"",INDEX(EntryMan,$P312)))</f>
        <v/>
      </c>
      <c r="L312" s="28">
        <f>IF($B312="","",IF($K312="","—",IF(ROUND($K312-$J312,0)=0,"√","×")))</f>
        <v/>
      </c>
      <c r="M312" s="28">
        <f>IF($B312="","",IF(COUNTIFS(EntryDates,$B312,CalcTime,$C312,CalcBank,$C$5,EntryParty,$D312,EntryDep,$H312,EntryWit,$I312)&gt;1,"تکرار",""))</f>
        <v/>
      </c>
      <c r="N312" s="28">
        <f>IF($P312="","",IF(INDEX(EntryNotes,$P312)=0,"",INDEX(EntryNotes,$P312)))</f>
        <v/>
      </c>
      <c r="O312" s="28">
        <f>IF($P312="","",IF(INDEX(EntryTxnID,$P312)=0,"",INDEX(EntryTxnID,$P312)))</f>
        <v/>
      </c>
      <c r="P312" s="28">
        <f>IFERROR(MATCH($C$5&amp;"|"&amp;RIGHT("000000"&amp;296,6),CalcRankKey,0),"")</f>
        <v/>
      </c>
    </row>
    <row r="313">
      <c r="A313" s="26">
        <f>IF($B313="","",297)</f>
        <v/>
      </c>
      <c r="B313" s="26">
        <f>IF($P313="","",IF(INDEX(CalcNormDate,$P313)=0,"",INDEX(CalcNormDate,$P313)))</f>
        <v/>
      </c>
      <c r="C313" s="26">
        <f>IF($P313="","",IF(INDEX(CalcTime,$P313)=0,"",INDEX(CalcTime,$P313)))</f>
        <v/>
      </c>
      <c r="D313" s="26">
        <f>IF($P313="","",IF(INDEX(EntryParty,$P313)=0,"",INDEX(EntryParty,$P313)))</f>
        <v/>
      </c>
      <c r="E313" s="26">
        <f>IF($P313="","",IF(INDEX(EntryPartyName,$P313)=0,"",INDEX(EntryPartyName,$P313)))</f>
        <v/>
      </c>
      <c r="F313" s="26">
        <f>IF($P313="","",IF(INDEX(EntryPartyType,$P313)=0,"",INDEX(EntryPartyType,$P313)))</f>
        <v/>
      </c>
      <c r="G313" s="26">
        <f>IF($P313="","",IF(INDEX(EntryTxnType,$P313)=0,"",INDEX(EntryTxnType,$P313)))</f>
        <v/>
      </c>
      <c r="H313" s="27">
        <f>IF($P313="","",IF(INDEX(EntryDep,$P313)=0,"",INDEX(EntryDep,$P313)))</f>
        <v/>
      </c>
      <c r="I313" s="27">
        <f>IF($P313="","",IF(INDEX(EntryWit,$P313)=0,"",INDEX(EntryWit,$P313)))</f>
        <v/>
      </c>
      <c r="J313" s="27">
        <f>IF($B313="","",IF($A313=1,$C$7,IF(J312="",0,J312))+IF($H313="",0,$H313)-IF($I313="",0,$I313))</f>
        <v/>
      </c>
      <c r="K313" s="27">
        <f>IF($P313="","",IF(INDEX(EntryMan,$P313)=0,"",INDEX(EntryMan,$P313)))</f>
        <v/>
      </c>
      <c r="L313" s="26">
        <f>IF($B313="","",IF($K313="","—",IF(ROUND($K313-$J313,0)=0,"√","×")))</f>
        <v/>
      </c>
      <c r="M313" s="26">
        <f>IF($B313="","",IF(COUNTIFS(EntryDates,$B313,CalcTime,$C313,CalcBank,$C$5,EntryParty,$D313,EntryDep,$H313,EntryWit,$I313)&gt;1,"تکرار",""))</f>
        <v/>
      </c>
      <c r="N313" s="26">
        <f>IF($P313="","",IF(INDEX(EntryNotes,$P313)=0,"",INDEX(EntryNotes,$P313)))</f>
        <v/>
      </c>
      <c r="O313" s="26">
        <f>IF($P313="","",IF(INDEX(EntryTxnID,$P313)=0,"",INDEX(EntryTxnID,$P313)))</f>
        <v/>
      </c>
      <c r="P313" s="26">
        <f>IFERROR(MATCH($C$5&amp;"|"&amp;RIGHT("000000"&amp;297,6),CalcRankKey,0),"")</f>
        <v/>
      </c>
    </row>
    <row r="314">
      <c r="A314" s="28">
        <f>IF($B314="","",298)</f>
        <v/>
      </c>
      <c r="B314" s="28">
        <f>IF($P314="","",IF(INDEX(CalcNormDate,$P314)=0,"",INDEX(CalcNormDate,$P314)))</f>
        <v/>
      </c>
      <c r="C314" s="28">
        <f>IF($P314="","",IF(INDEX(CalcTime,$P314)=0,"",INDEX(CalcTime,$P314)))</f>
        <v/>
      </c>
      <c r="D314" s="28">
        <f>IF($P314="","",IF(INDEX(EntryParty,$P314)=0,"",INDEX(EntryParty,$P314)))</f>
        <v/>
      </c>
      <c r="E314" s="28">
        <f>IF($P314="","",IF(INDEX(EntryPartyName,$P314)=0,"",INDEX(EntryPartyName,$P314)))</f>
        <v/>
      </c>
      <c r="F314" s="28">
        <f>IF($P314="","",IF(INDEX(EntryPartyType,$P314)=0,"",INDEX(EntryPartyType,$P314)))</f>
        <v/>
      </c>
      <c r="G314" s="28">
        <f>IF($P314="","",IF(INDEX(EntryTxnType,$P314)=0,"",INDEX(EntryTxnType,$P314)))</f>
        <v/>
      </c>
      <c r="H314" s="29">
        <f>IF($P314="","",IF(INDEX(EntryDep,$P314)=0,"",INDEX(EntryDep,$P314)))</f>
        <v/>
      </c>
      <c r="I314" s="29">
        <f>IF($P314="","",IF(INDEX(EntryWit,$P314)=0,"",INDEX(EntryWit,$P314)))</f>
        <v/>
      </c>
      <c r="J314" s="29">
        <f>IF($B314="","",IF($A314=1,$C$7,IF(J313="",0,J313))+IF($H314="",0,$H314)-IF($I314="",0,$I314))</f>
        <v/>
      </c>
      <c r="K314" s="29">
        <f>IF($P314="","",IF(INDEX(EntryMan,$P314)=0,"",INDEX(EntryMan,$P314)))</f>
        <v/>
      </c>
      <c r="L314" s="28">
        <f>IF($B314="","",IF($K314="","—",IF(ROUND($K314-$J314,0)=0,"√","×")))</f>
        <v/>
      </c>
      <c r="M314" s="28">
        <f>IF($B314="","",IF(COUNTIFS(EntryDates,$B314,CalcTime,$C314,CalcBank,$C$5,EntryParty,$D314,EntryDep,$H314,EntryWit,$I314)&gt;1,"تکرار",""))</f>
        <v/>
      </c>
      <c r="N314" s="28">
        <f>IF($P314="","",IF(INDEX(EntryNotes,$P314)=0,"",INDEX(EntryNotes,$P314)))</f>
        <v/>
      </c>
      <c r="O314" s="28">
        <f>IF($P314="","",IF(INDEX(EntryTxnID,$P314)=0,"",INDEX(EntryTxnID,$P314)))</f>
        <v/>
      </c>
      <c r="P314" s="28">
        <f>IFERROR(MATCH($C$5&amp;"|"&amp;RIGHT("000000"&amp;298,6),CalcRankKey,0),"")</f>
        <v/>
      </c>
    </row>
    <row r="315">
      <c r="A315" s="26">
        <f>IF($B315="","",299)</f>
        <v/>
      </c>
      <c r="B315" s="26">
        <f>IF($P315="","",IF(INDEX(CalcNormDate,$P315)=0,"",INDEX(CalcNormDate,$P315)))</f>
        <v/>
      </c>
      <c r="C315" s="26">
        <f>IF($P315="","",IF(INDEX(CalcTime,$P315)=0,"",INDEX(CalcTime,$P315)))</f>
        <v/>
      </c>
      <c r="D315" s="26">
        <f>IF($P315="","",IF(INDEX(EntryParty,$P315)=0,"",INDEX(EntryParty,$P315)))</f>
        <v/>
      </c>
      <c r="E315" s="26">
        <f>IF($P315="","",IF(INDEX(EntryPartyName,$P315)=0,"",INDEX(EntryPartyName,$P315)))</f>
        <v/>
      </c>
      <c r="F315" s="26">
        <f>IF($P315="","",IF(INDEX(EntryPartyType,$P315)=0,"",INDEX(EntryPartyType,$P315)))</f>
        <v/>
      </c>
      <c r="G315" s="26">
        <f>IF($P315="","",IF(INDEX(EntryTxnType,$P315)=0,"",INDEX(EntryTxnType,$P315)))</f>
        <v/>
      </c>
      <c r="H315" s="27">
        <f>IF($P315="","",IF(INDEX(EntryDep,$P315)=0,"",INDEX(EntryDep,$P315)))</f>
        <v/>
      </c>
      <c r="I315" s="27">
        <f>IF($P315="","",IF(INDEX(EntryWit,$P315)=0,"",INDEX(EntryWit,$P315)))</f>
        <v/>
      </c>
      <c r="J315" s="27">
        <f>IF($B315="","",IF($A315=1,$C$7,IF(J314="",0,J314))+IF($H315="",0,$H315)-IF($I315="",0,$I315))</f>
        <v/>
      </c>
      <c r="K315" s="27">
        <f>IF($P315="","",IF(INDEX(EntryMan,$P315)=0,"",INDEX(EntryMan,$P315)))</f>
        <v/>
      </c>
      <c r="L315" s="26">
        <f>IF($B315="","",IF($K315="","—",IF(ROUND($K315-$J315,0)=0,"√","×")))</f>
        <v/>
      </c>
      <c r="M315" s="26">
        <f>IF($B315="","",IF(COUNTIFS(EntryDates,$B315,CalcTime,$C315,CalcBank,$C$5,EntryParty,$D315,EntryDep,$H315,EntryWit,$I315)&gt;1,"تکرار",""))</f>
        <v/>
      </c>
      <c r="N315" s="26">
        <f>IF($P315="","",IF(INDEX(EntryNotes,$P315)=0,"",INDEX(EntryNotes,$P315)))</f>
        <v/>
      </c>
      <c r="O315" s="26">
        <f>IF($P315="","",IF(INDEX(EntryTxnID,$P315)=0,"",INDEX(EntryTxnID,$P315)))</f>
        <v/>
      </c>
      <c r="P315" s="26">
        <f>IFERROR(MATCH($C$5&amp;"|"&amp;RIGHT("000000"&amp;299,6),CalcRankKey,0),"")</f>
        <v/>
      </c>
    </row>
    <row r="316">
      <c r="A316" s="28">
        <f>IF($B316="","",300)</f>
        <v/>
      </c>
      <c r="B316" s="28">
        <f>IF($P316="","",IF(INDEX(CalcNormDate,$P316)=0,"",INDEX(CalcNormDate,$P316)))</f>
        <v/>
      </c>
      <c r="C316" s="28">
        <f>IF($P316="","",IF(INDEX(CalcTime,$P316)=0,"",INDEX(CalcTime,$P316)))</f>
        <v/>
      </c>
      <c r="D316" s="28">
        <f>IF($P316="","",IF(INDEX(EntryParty,$P316)=0,"",INDEX(EntryParty,$P316)))</f>
        <v/>
      </c>
      <c r="E316" s="28">
        <f>IF($P316="","",IF(INDEX(EntryPartyName,$P316)=0,"",INDEX(EntryPartyName,$P316)))</f>
        <v/>
      </c>
      <c r="F316" s="28">
        <f>IF($P316="","",IF(INDEX(EntryPartyType,$P316)=0,"",INDEX(EntryPartyType,$P316)))</f>
        <v/>
      </c>
      <c r="G316" s="28">
        <f>IF($P316="","",IF(INDEX(EntryTxnType,$P316)=0,"",INDEX(EntryTxnType,$P316)))</f>
        <v/>
      </c>
      <c r="H316" s="29">
        <f>IF($P316="","",IF(INDEX(EntryDep,$P316)=0,"",INDEX(EntryDep,$P316)))</f>
        <v/>
      </c>
      <c r="I316" s="29">
        <f>IF($P316="","",IF(INDEX(EntryWit,$P316)=0,"",INDEX(EntryWit,$P316)))</f>
        <v/>
      </c>
      <c r="J316" s="29">
        <f>IF($B316="","",IF($A316=1,$C$7,IF(J315="",0,J315))+IF($H316="",0,$H316)-IF($I316="",0,$I316))</f>
        <v/>
      </c>
      <c r="K316" s="29">
        <f>IF($P316="","",IF(INDEX(EntryMan,$P316)=0,"",INDEX(EntryMan,$P316)))</f>
        <v/>
      </c>
      <c r="L316" s="28">
        <f>IF($B316="","",IF($K316="","—",IF(ROUND($K316-$J316,0)=0,"√","×")))</f>
        <v/>
      </c>
      <c r="M316" s="28">
        <f>IF($B316="","",IF(COUNTIFS(EntryDates,$B316,CalcTime,$C316,CalcBank,$C$5,EntryParty,$D316,EntryDep,$H316,EntryWit,$I316)&gt;1,"تکرار",""))</f>
        <v/>
      </c>
      <c r="N316" s="28">
        <f>IF($P316="","",IF(INDEX(EntryNotes,$P316)=0,"",INDEX(EntryNotes,$P316)))</f>
        <v/>
      </c>
      <c r="O316" s="28">
        <f>IF($P316="","",IF(INDEX(EntryTxnID,$P316)=0,"",INDEX(EntryTxnID,$P316)))</f>
        <v/>
      </c>
      <c r="P316" s="28">
        <f>IFERROR(MATCH($C$5&amp;"|"&amp;RIGHT("000000"&amp;300,6),CalcRankKey,0),"")</f>
        <v/>
      </c>
    </row>
    <row r="317">
      <c r="A317" s="26">
        <f>IF($B317="","",301)</f>
        <v/>
      </c>
      <c r="B317" s="26">
        <f>IF($P317="","",IF(INDEX(CalcNormDate,$P317)=0,"",INDEX(CalcNormDate,$P317)))</f>
        <v/>
      </c>
      <c r="C317" s="26">
        <f>IF($P317="","",IF(INDEX(CalcTime,$P317)=0,"",INDEX(CalcTime,$P317)))</f>
        <v/>
      </c>
      <c r="D317" s="26">
        <f>IF($P317="","",IF(INDEX(EntryParty,$P317)=0,"",INDEX(EntryParty,$P317)))</f>
        <v/>
      </c>
      <c r="E317" s="26">
        <f>IF($P317="","",IF(INDEX(EntryPartyName,$P317)=0,"",INDEX(EntryPartyName,$P317)))</f>
        <v/>
      </c>
      <c r="F317" s="26">
        <f>IF($P317="","",IF(INDEX(EntryPartyType,$P317)=0,"",INDEX(EntryPartyType,$P317)))</f>
        <v/>
      </c>
      <c r="G317" s="26">
        <f>IF($P317="","",IF(INDEX(EntryTxnType,$P317)=0,"",INDEX(EntryTxnType,$P317)))</f>
        <v/>
      </c>
      <c r="H317" s="27">
        <f>IF($P317="","",IF(INDEX(EntryDep,$P317)=0,"",INDEX(EntryDep,$P317)))</f>
        <v/>
      </c>
      <c r="I317" s="27">
        <f>IF($P317="","",IF(INDEX(EntryWit,$P317)=0,"",INDEX(EntryWit,$P317)))</f>
        <v/>
      </c>
      <c r="J317" s="27">
        <f>IF($B317="","",IF($A317=1,$C$7,IF(J316="",0,J316))+IF($H317="",0,$H317)-IF($I317="",0,$I317))</f>
        <v/>
      </c>
      <c r="K317" s="27">
        <f>IF($P317="","",IF(INDEX(EntryMan,$P317)=0,"",INDEX(EntryMan,$P317)))</f>
        <v/>
      </c>
      <c r="L317" s="26">
        <f>IF($B317="","",IF($K317="","—",IF(ROUND($K317-$J317,0)=0,"√","×")))</f>
        <v/>
      </c>
      <c r="M317" s="26">
        <f>IF($B317="","",IF(COUNTIFS(EntryDates,$B317,CalcTime,$C317,CalcBank,$C$5,EntryParty,$D317,EntryDep,$H317,EntryWit,$I317)&gt;1,"تکرار",""))</f>
        <v/>
      </c>
      <c r="N317" s="26">
        <f>IF($P317="","",IF(INDEX(EntryNotes,$P317)=0,"",INDEX(EntryNotes,$P317)))</f>
        <v/>
      </c>
      <c r="O317" s="26">
        <f>IF($P317="","",IF(INDEX(EntryTxnID,$P317)=0,"",INDEX(EntryTxnID,$P317)))</f>
        <v/>
      </c>
      <c r="P317" s="26">
        <f>IFERROR(MATCH($C$5&amp;"|"&amp;RIGHT("000000"&amp;301,6),CalcRankKey,0),"")</f>
        <v/>
      </c>
    </row>
    <row r="318">
      <c r="A318" s="28">
        <f>IF($B318="","",302)</f>
        <v/>
      </c>
      <c r="B318" s="28">
        <f>IF($P318="","",IF(INDEX(CalcNormDate,$P318)=0,"",INDEX(CalcNormDate,$P318)))</f>
        <v/>
      </c>
      <c r="C318" s="28">
        <f>IF($P318="","",IF(INDEX(CalcTime,$P318)=0,"",INDEX(CalcTime,$P318)))</f>
        <v/>
      </c>
      <c r="D318" s="28">
        <f>IF($P318="","",IF(INDEX(EntryParty,$P318)=0,"",INDEX(EntryParty,$P318)))</f>
        <v/>
      </c>
      <c r="E318" s="28">
        <f>IF($P318="","",IF(INDEX(EntryPartyName,$P318)=0,"",INDEX(EntryPartyName,$P318)))</f>
        <v/>
      </c>
      <c r="F318" s="28">
        <f>IF($P318="","",IF(INDEX(EntryPartyType,$P318)=0,"",INDEX(EntryPartyType,$P318)))</f>
        <v/>
      </c>
      <c r="G318" s="28">
        <f>IF($P318="","",IF(INDEX(EntryTxnType,$P318)=0,"",INDEX(EntryTxnType,$P318)))</f>
        <v/>
      </c>
      <c r="H318" s="29">
        <f>IF($P318="","",IF(INDEX(EntryDep,$P318)=0,"",INDEX(EntryDep,$P318)))</f>
        <v/>
      </c>
      <c r="I318" s="29">
        <f>IF($P318="","",IF(INDEX(EntryWit,$P318)=0,"",INDEX(EntryWit,$P318)))</f>
        <v/>
      </c>
      <c r="J318" s="29">
        <f>IF($B318="","",IF($A318=1,$C$7,IF(J317="",0,J317))+IF($H318="",0,$H318)-IF($I318="",0,$I318))</f>
        <v/>
      </c>
      <c r="K318" s="29">
        <f>IF($P318="","",IF(INDEX(EntryMan,$P318)=0,"",INDEX(EntryMan,$P318)))</f>
        <v/>
      </c>
      <c r="L318" s="28">
        <f>IF($B318="","",IF($K318="","—",IF(ROUND($K318-$J318,0)=0,"√","×")))</f>
        <v/>
      </c>
      <c r="M318" s="28">
        <f>IF($B318="","",IF(COUNTIFS(EntryDates,$B318,CalcTime,$C318,CalcBank,$C$5,EntryParty,$D318,EntryDep,$H318,EntryWit,$I318)&gt;1,"تکرار",""))</f>
        <v/>
      </c>
      <c r="N318" s="28">
        <f>IF($P318="","",IF(INDEX(EntryNotes,$P318)=0,"",INDEX(EntryNotes,$P318)))</f>
        <v/>
      </c>
      <c r="O318" s="28">
        <f>IF($P318="","",IF(INDEX(EntryTxnID,$P318)=0,"",INDEX(EntryTxnID,$P318)))</f>
        <v/>
      </c>
      <c r="P318" s="28">
        <f>IFERROR(MATCH($C$5&amp;"|"&amp;RIGHT("000000"&amp;302,6),CalcRankKey,0),"")</f>
        <v/>
      </c>
    </row>
    <row r="319">
      <c r="A319" s="26">
        <f>IF($B319="","",303)</f>
        <v/>
      </c>
      <c r="B319" s="26">
        <f>IF($P319="","",IF(INDEX(CalcNormDate,$P319)=0,"",INDEX(CalcNormDate,$P319)))</f>
        <v/>
      </c>
      <c r="C319" s="26">
        <f>IF($P319="","",IF(INDEX(CalcTime,$P319)=0,"",INDEX(CalcTime,$P319)))</f>
        <v/>
      </c>
      <c r="D319" s="26">
        <f>IF($P319="","",IF(INDEX(EntryParty,$P319)=0,"",INDEX(EntryParty,$P319)))</f>
        <v/>
      </c>
      <c r="E319" s="26">
        <f>IF($P319="","",IF(INDEX(EntryPartyName,$P319)=0,"",INDEX(EntryPartyName,$P319)))</f>
        <v/>
      </c>
      <c r="F319" s="26">
        <f>IF($P319="","",IF(INDEX(EntryPartyType,$P319)=0,"",INDEX(EntryPartyType,$P319)))</f>
        <v/>
      </c>
      <c r="G319" s="26">
        <f>IF($P319="","",IF(INDEX(EntryTxnType,$P319)=0,"",INDEX(EntryTxnType,$P319)))</f>
        <v/>
      </c>
      <c r="H319" s="27">
        <f>IF($P319="","",IF(INDEX(EntryDep,$P319)=0,"",INDEX(EntryDep,$P319)))</f>
        <v/>
      </c>
      <c r="I319" s="27">
        <f>IF($P319="","",IF(INDEX(EntryWit,$P319)=0,"",INDEX(EntryWit,$P319)))</f>
        <v/>
      </c>
      <c r="J319" s="27">
        <f>IF($B319="","",IF($A319=1,$C$7,IF(J318="",0,J318))+IF($H319="",0,$H319)-IF($I319="",0,$I319))</f>
        <v/>
      </c>
      <c r="K319" s="27">
        <f>IF($P319="","",IF(INDEX(EntryMan,$P319)=0,"",INDEX(EntryMan,$P319)))</f>
        <v/>
      </c>
      <c r="L319" s="26">
        <f>IF($B319="","",IF($K319="","—",IF(ROUND($K319-$J319,0)=0,"√","×")))</f>
        <v/>
      </c>
      <c r="M319" s="26">
        <f>IF($B319="","",IF(COUNTIFS(EntryDates,$B319,CalcTime,$C319,CalcBank,$C$5,EntryParty,$D319,EntryDep,$H319,EntryWit,$I319)&gt;1,"تکرار",""))</f>
        <v/>
      </c>
      <c r="N319" s="26">
        <f>IF($P319="","",IF(INDEX(EntryNotes,$P319)=0,"",INDEX(EntryNotes,$P319)))</f>
        <v/>
      </c>
      <c r="O319" s="26">
        <f>IF($P319="","",IF(INDEX(EntryTxnID,$P319)=0,"",INDEX(EntryTxnID,$P319)))</f>
        <v/>
      </c>
      <c r="P319" s="26">
        <f>IFERROR(MATCH($C$5&amp;"|"&amp;RIGHT("000000"&amp;303,6),CalcRankKey,0),"")</f>
        <v/>
      </c>
    </row>
    <row r="320">
      <c r="A320" s="28">
        <f>IF($B320="","",304)</f>
        <v/>
      </c>
      <c r="B320" s="28">
        <f>IF($P320="","",IF(INDEX(CalcNormDate,$P320)=0,"",INDEX(CalcNormDate,$P320)))</f>
        <v/>
      </c>
      <c r="C320" s="28">
        <f>IF($P320="","",IF(INDEX(CalcTime,$P320)=0,"",INDEX(CalcTime,$P320)))</f>
        <v/>
      </c>
      <c r="D320" s="28">
        <f>IF($P320="","",IF(INDEX(EntryParty,$P320)=0,"",INDEX(EntryParty,$P320)))</f>
        <v/>
      </c>
      <c r="E320" s="28">
        <f>IF($P320="","",IF(INDEX(EntryPartyName,$P320)=0,"",INDEX(EntryPartyName,$P320)))</f>
        <v/>
      </c>
      <c r="F320" s="28">
        <f>IF($P320="","",IF(INDEX(EntryPartyType,$P320)=0,"",INDEX(EntryPartyType,$P320)))</f>
        <v/>
      </c>
      <c r="G320" s="28">
        <f>IF($P320="","",IF(INDEX(EntryTxnType,$P320)=0,"",INDEX(EntryTxnType,$P320)))</f>
        <v/>
      </c>
      <c r="H320" s="29">
        <f>IF($P320="","",IF(INDEX(EntryDep,$P320)=0,"",INDEX(EntryDep,$P320)))</f>
        <v/>
      </c>
      <c r="I320" s="29">
        <f>IF($P320="","",IF(INDEX(EntryWit,$P320)=0,"",INDEX(EntryWit,$P320)))</f>
        <v/>
      </c>
      <c r="J320" s="29">
        <f>IF($B320="","",IF($A320=1,$C$7,IF(J319="",0,J319))+IF($H320="",0,$H320)-IF($I320="",0,$I320))</f>
        <v/>
      </c>
      <c r="K320" s="29">
        <f>IF($P320="","",IF(INDEX(EntryMan,$P320)=0,"",INDEX(EntryMan,$P320)))</f>
        <v/>
      </c>
      <c r="L320" s="28">
        <f>IF($B320="","",IF($K320="","—",IF(ROUND($K320-$J320,0)=0,"√","×")))</f>
        <v/>
      </c>
      <c r="M320" s="28">
        <f>IF($B320="","",IF(COUNTIFS(EntryDates,$B320,CalcTime,$C320,CalcBank,$C$5,EntryParty,$D320,EntryDep,$H320,EntryWit,$I320)&gt;1,"تکرار",""))</f>
        <v/>
      </c>
      <c r="N320" s="28">
        <f>IF($P320="","",IF(INDEX(EntryNotes,$P320)=0,"",INDEX(EntryNotes,$P320)))</f>
        <v/>
      </c>
      <c r="O320" s="28">
        <f>IF($P320="","",IF(INDEX(EntryTxnID,$P320)=0,"",INDEX(EntryTxnID,$P320)))</f>
        <v/>
      </c>
      <c r="P320" s="28">
        <f>IFERROR(MATCH($C$5&amp;"|"&amp;RIGHT("000000"&amp;304,6),CalcRankKey,0),"")</f>
        <v/>
      </c>
    </row>
    <row r="321">
      <c r="A321" s="26">
        <f>IF($B321="","",305)</f>
        <v/>
      </c>
      <c r="B321" s="26">
        <f>IF($P321="","",IF(INDEX(CalcNormDate,$P321)=0,"",INDEX(CalcNormDate,$P321)))</f>
        <v/>
      </c>
      <c r="C321" s="26">
        <f>IF($P321="","",IF(INDEX(CalcTime,$P321)=0,"",INDEX(CalcTime,$P321)))</f>
        <v/>
      </c>
      <c r="D321" s="26">
        <f>IF($P321="","",IF(INDEX(EntryParty,$P321)=0,"",INDEX(EntryParty,$P321)))</f>
        <v/>
      </c>
      <c r="E321" s="26">
        <f>IF($P321="","",IF(INDEX(EntryPartyName,$P321)=0,"",INDEX(EntryPartyName,$P321)))</f>
        <v/>
      </c>
      <c r="F321" s="26">
        <f>IF($P321="","",IF(INDEX(EntryPartyType,$P321)=0,"",INDEX(EntryPartyType,$P321)))</f>
        <v/>
      </c>
      <c r="G321" s="26">
        <f>IF($P321="","",IF(INDEX(EntryTxnType,$P321)=0,"",INDEX(EntryTxnType,$P321)))</f>
        <v/>
      </c>
      <c r="H321" s="27">
        <f>IF($P321="","",IF(INDEX(EntryDep,$P321)=0,"",INDEX(EntryDep,$P321)))</f>
        <v/>
      </c>
      <c r="I321" s="27">
        <f>IF($P321="","",IF(INDEX(EntryWit,$P321)=0,"",INDEX(EntryWit,$P321)))</f>
        <v/>
      </c>
      <c r="J321" s="27">
        <f>IF($B321="","",IF($A321=1,$C$7,IF(J320="",0,J320))+IF($H321="",0,$H321)-IF($I321="",0,$I321))</f>
        <v/>
      </c>
      <c r="K321" s="27">
        <f>IF($P321="","",IF(INDEX(EntryMan,$P321)=0,"",INDEX(EntryMan,$P321)))</f>
        <v/>
      </c>
      <c r="L321" s="26">
        <f>IF($B321="","",IF($K321="","—",IF(ROUND($K321-$J321,0)=0,"√","×")))</f>
        <v/>
      </c>
      <c r="M321" s="26">
        <f>IF($B321="","",IF(COUNTIFS(EntryDates,$B321,CalcTime,$C321,CalcBank,$C$5,EntryParty,$D321,EntryDep,$H321,EntryWit,$I321)&gt;1,"تکرار",""))</f>
        <v/>
      </c>
      <c r="N321" s="26">
        <f>IF($P321="","",IF(INDEX(EntryNotes,$P321)=0,"",INDEX(EntryNotes,$P321)))</f>
        <v/>
      </c>
      <c r="O321" s="26">
        <f>IF($P321="","",IF(INDEX(EntryTxnID,$P321)=0,"",INDEX(EntryTxnID,$P321)))</f>
        <v/>
      </c>
      <c r="P321" s="26">
        <f>IFERROR(MATCH($C$5&amp;"|"&amp;RIGHT("000000"&amp;305,6),CalcRankKey,0),"")</f>
        <v/>
      </c>
    </row>
    <row r="322">
      <c r="A322" s="28">
        <f>IF($B322="","",306)</f>
        <v/>
      </c>
      <c r="B322" s="28">
        <f>IF($P322="","",IF(INDEX(CalcNormDate,$P322)=0,"",INDEX(CalcNormDate,$P322)))</f>
        <v/>
      </c>
      <c r="C322" s="28">
        <f>IF($P322="","",IF(INDEX(CalcTime,$P322)=0,"",INDEX(CalcTime,$P322)))</f>
        <v/>
      </c>
      <c r="D322" s="28">
        <f>IF($P322="","",IF(INDEX(EntryParty,$P322)=0,"",INDEX(EntryParty,$P322)))</f>
        <v/>
      </c>
      <c r="E322" s="28">
        <f>IF($P322="","",IF(INDEX(EntryPartyName,$P322)=0,"",INDEX(EntryPartyName,$P322)))</f>
        <v/>
      </c>
      <c r="F322" s="28">
        <f>IF($P322="","",IF(INDEX(EntryPartyType,$P322)=0,"",INDEX(EntryPartyType,$P322)))</f>
        <v/>
      </c>
      <c r="G322" s="28">
        <f>IF($P322="","",IF(INDEX(EntryTxnType,$P322)=0,"",INDEX(EntryTxnType,$P322)))</f>
        <v/>
      </c>
      <c r="H322" s="29">
        <f>IF($P322="","",IF(INDEX(EntryDep,$P322)=0,"",INDEX(EntryDep,$P322)))</f>
        <v/>
      </c>
      <c r="I322" s="29">
        <f>IF($P322="","",IF(INDEX(EntryWit,$P322)=0,"",INDEX(EntryWit,$P322)))</f>
        <v/>
      </c>
      <c r="J322" s="29">
        <f>IF($B322="","",IF($A322=1,$C$7,IF(J321="",0,J321))+IF($H322="",0,$H322)-IF($I322="",0,$I322))</f>
        <v/>
      </c>
      <c r="K322" s="29">
        <f>IF($P322="","",IF(INDEX(EntryMan,$P322)=0,"",INDEX(EntryMan,$P322)))</f>
        <v/>
      </c>
      <c r="L322" s="28">
        <f>IF($B322="","",IF($K322="","—",IF(ROUND($K322-$J322,0)=0,"√","×")))</f>
        <v/>
      </c>
      <c r="M322" s="28">
        <f>IF($B322="","",IF(COUNTIFS(EntryDates,$B322,CalcTime,$C322,CalcBank,$C$5,EntryParty,$D322,EntryDep,$H322,EntryWit,$I322)&gt;1,"تکرار",""))</f>
        <v/>
      </c>
      <c r="N322" s="28">
        <f>IF($P322="","",IF(INDEX(EntryNotes,$P322)=0,"",INDEX(EntryNotes,$P322)))</f>
        <v/>
      </c>
      <c r="O322" s="28">
        <f>IF($P322="","",IF(INDEX(EntryTxnID,$P322)=0,"",INDEX(EntryTxnID,$P322)))</f>
        <v/>
      </c>
      <c r="P322" s="28">
        <f>IFERROR(MATCH($C$5&amp;"|"&amp;RIGHT("000000"&amp;306,6),CalcRankKey,0),"")</f>
        <v/>
      </c>
    </row>
    <row r="323">
      <c r="A323" s="26">
        <f>IF($B323="","",307)</f>
        <v/>
      </c>
      <c r="B323" s="26">
        <f>IF($P323="","",IF(INDEX(CalcNormDate,$P323)=0,"",INDEX(CalcNormDate,$P323)))</f>
        <v/>
      </c>
      <c r="C323" s="26">
        <f>IF($P323="","",IF(INDEX(CalcTime,$P323)=0,"",INDEX(CalcTime,$P323)))</f>
        <v/>
      </c>
      <c r="D323" s="26">
        <f>IF($P323="","",IF(INDEX(EntryParty,$P323)=0,"",INDEX(EntryParty,$P323)))</f>
        <v/>
      </c>
      <c r="E323" s="26">
        <f>IF($P323="","",IF(INDEX(EntryPartyName,$P323)=0,"",INDEX(EntryPartyName,$P323)))</f>
        <v/>
      </c>
      <c r="F323" s="26">
        <f>IF($P323="","",IF(INDEX(EntryPartyType,$P323)=0,"",INDEX(EntryPartyType,$P323)))</f>
        <v/>
      </c>
      <c r="G323" s="26">
        <f>IF($P323="","",IF(INDEX(EntryTxnType,$P323)=0,"",INDEX(EntryTxnType,$P323)))</f>
        <v/>
      </c>
      <c r="H323" s="27">
        <f>IF($P323="","",IF(INDEX(EntryDep,$P323)=0,"",INDEX(EntryDep,$P323)))</f>
        <v/>
      </c>
      <c r="I323" s="27">
        <f>IF($P323="","",IF(INDEX(EntryWit,$P323)=0,"",INDEX(EntryWit,$P323)))</f>
        <v/>
      </c>
      <c r="J323" s="27">
        <f>IF($B323="","",IF($A323=1,$C$7,IF(J322="",0,J322))+IF($H323="",0,$H323)-IF($I323="",0,$I323))</f>
        <v/>
      </c>
      <c r="K323" s="27">
        <f>IF($P323="","",IF(INDEX(EntryMan,$P323)=0,"",INDEX(EntryMan,$P323)))</f>
        <v/>
      </c>
      <c r="L323" s="26">
        <f>IF($B323="","",IF($K323="","—",IF(ROUND($K323-$J323,0)=0,"√","×")))</f>
        <v/>
      </c>
      <c r="M323" s="26">
        <f>IF($B323="","",IF(COUNTIFS(EntryDates,$B323,CalcTime,$C323,CalcBank,$C$5,EntryParty,$D323,EntryDep,$H323,EntryWit,$I323)&gt;1,"تکرار",""))</f>
        <v/>
      </c>
      <c r="N323" s="26">
        <f>IF($P323="","",IF(INDEX(EntryNotes,$P323)=0,"",INDEX(EntryNotes,$P323)))</f>
        <v/>
      </c>
      <c r="O323" s="26">
        <f>IF($P323="","",IF(INDEX(EntryTxnID,$P323)=0,"",INDEX(EntryTxnID,$P323)))</f>
        <v/>
      </c>
      <c r="P323" s="26">
        <f>IFERROR(MATCH($C$5&amp;"|"&amp;RIGHT("000000"&amp;307,6),CalcRankKey,0),"")</f>
        <v/>
      </c>
    </row>
    <row r="324">
      <c r="A324" s="28">
        <f>IF($B324="","",308)</f>
        <v/>
      </c>
      <c r="B324" s="28">
        <f>IF($P324="","",IF(INDEX(CalcNormDate,$P324)=0,"",INDEX(CalcNormDate,$P324)))</f>
        <v/>
      </c>
      <c r="C324" s="28">
        <f>IF($P324="","",IF(INDEX(CalcTime,$P324)=0,"",INDEX(CalcTime,$P324)))</f>
        <v/>
      </c>
      <c r="D324" s="28">
        <f>IF($P324="","",IF(INDEX(EntryParty,$P324)=0,"",INDEX(EntryParty,$P324)))</f>
        <v/>
      </c>
      <c r="E324" s="28">
        <f>IF($P324="","",IF(INDEX(EntryPartyName,$P324)=0,"",INDEX(EntryPartyName,$P324)))</f>
        <v/>
      </c>
      <c r="F324" s="28">
        <f>IF($P324="","",IF(INDEX(EntryPartyType,$P324)=0,"",INDEX(EntryPartyType,$P324)))</f>
        <v/>
      </c>
      <c r="G324" s="28">
        <f>IF($P324="","",IF(INDEX(EntryTxnType,$P324)=0,"",INDEX(EntryTxnType,$P324)))</f>
        <v/>
      </c>
      <c r="H324" s="29">
        <f>IF($P324="","",IF(INDEX(EntryDep,$P324)=0,"",INDEX(EntryDep,$P324)))</f>
        <v/>
      </c>
      <c r="I324" s="29">
        <f>IF($P324="","",IF(INDEX(EntryWit,$P324)=0,"",INDEX(EntryWit,$P324)))</f>
        <v/>
      </c>
      <c r="J324" s="29">
        <f>IF($B324="","",IF($A324=1,$C$7,IF(J323="",0,J323))+IF($H324="",0,$H324)-IF($I324="",0,$I324))</f>
        <v/>
      </c>
      <c r="K324" s="29">
        <f>IF($P324="","",IF(INDEX(EntryMan,$P324)=0,"",INDEX(EntryMan,$P324)))</f>
        <v/>
      </c>
      <c r="L324" s="28">
        <f>IF($B324="","",IF($K324="","—",IF(ROUND($K324-$J324,0)=0,"√","×")))</f>
        <v/>
      </c>
      <c r="M324" s="28">
        <f>IF($B324="","",IF(COUNTIFS(EntryDates,$B324,CalcTime,$C324,CalcBank,$C$5,EntryParty,$D324,EntryDep,$H324,EntryWit,$I324)&gt;1,"تکرار",""))</f>
        <v/>
      </c>
      <c r="N324" s="28">
        <f>IF($P324="","",IF(INDEX(EntryNotes,$P324)=0,"",INDEX(EntryNotes,$P324)))</f>
        <v/>
      </c>
      <c r="O324" s="28">
        <f>IF($P324="","",IF(INDEX(EntryTxnID,$P324)=0,"",INDEX(EntryTxnID,$P324)))</f>
        <v/>
      </c>
      <c r="P324" s="28">
        <f>IFERROR(MATCH($C$5&amp;"|"&amp;RIGHT("000000"&amp;308,6),CalcRankKey,0),"")</f>
        <v/>
      </c>
    </row>
    <row r="325">
      <c r="A325" s="26">
        <f>IF($B325="","",309)</f>
        <v/>
      </c>
      <c r="B325" s="26">
        <f>IF($P325="","",IF(INDEX(CalcNormDate,$P325)=0,"",INDEX(CalcNormDate,$P325)))</f>
        <v/>
      </c>
      <c r="C325" s="26">
        <f>IF($P325="","",IF(INDEX(CalcTime,$P325)=0,"",INDEX(CalcTime,$P325)))</f>
        <v/>
      </c>
      <c r="D325" s="26">
        <f>IF($P325="","",IF(INDEX(EntryParty,$P325)=0,"",INDEX(EntryParty,$P325)))</f>
        <v/>
      </c>
      <c r="E325" s="26">
        <f>IF($P325="","",IF(INDEX(EntryPartyName,$P325)=0,"",INDEX(EntryPartyName,$P325)))</f>
        <v/>
      </c>
      <c r="F325" s="26">
        <f>IF($P325="","",IF(INDEX(EntryPartyType,$P325)=0,"",INDEX(EntryPartyType,$P325)))</f>
        <v/>
      </c>
      <c r="G325" s="26">
        <f>IF($P325="","",IF(INDEX(EntryTxnType,$P325)=0,"",INDEX(EntryTxnType,$P325)))</f>
        <v/>
      </c>
      <c r="H325" s="27">
        <f>IF($P325="","",IF(INDEX(EntryDep,$P325)=0,"",INDEX(EntryDep,$P325)))</f>
        <v/>
      </c>
      <c r="I325" s="27">
        <f>IF($P325="","",IF(INDEX(EntryWit,$P325)=0,"",INDEX(EntryWit,$P325)))</f>
        <v/>
      </c>
      <c r="J325" s="27">
        <f>IF($B325="","",IF($A325=1,$C$7,IF(J324="",0,J324))+IF($H325="",0,$H325)-IF($I325="",0,$I325))</f>
        <v/>
      </c>
      <c r="K325" s="27">
        <f>IF($P325="","",IF(INDEX(EntryMan,$P325)=0,"",INDEX(EntryMan,$P325)))</f>
        <v/>
      </c>
      <c r="L325" s="26">
        <f>IF($B325="","",IF($K325="","—",IF(ROUND($K325-$J325,0)=0,"√","×")))</f>
        <v/>
      </c>
      <c r="M325" s="26">
        <f>IF($B325="","",IF(COUNTIFS(EntryDates,$B325,CalcTime,$C325,CalcBank,$C$5,EntryParty,$D325,EntryDep,$H325,EntryWit,$I325)&gt;1,"تکرار",""))</f>
        <v/>
      </c>
      <c r="N325" s="26">
        <f>IF($P325="","",IF(INDEX(EntryNotes,$P325)=0,"",INDEX(EntryNotes,$P325)))</f>
        <v/>
      </c>
      <c r="O325" s="26">
        <f>IF($P325="","",IF(INDEX(EntryTxnID,$P325)=0,"",INDEX(EntryTxnID,$P325)))</f>
        <v/>
      </c>
      <c r="P325" s="26">
        <f>IFERROR(MATCH($C$5&amp;"|"&amp;RIGHT("000000"&amp;309,6),CalcRankKey,0),"")</f>
        <v/>
      </c>
    </row>
    <row r="326">
      <c r="A326" s="28">
        <f>IF($B326="","",310)</f>
        <v/>
      </c>
      <c r="B326" s="28">
        <f>IF($P326="","",IF(INDEX(CalcNormDate,$P326)=0,"",INDEX(CalcNormDate,$P326)))</f>
        <v/>
      </c>
      <c r="C326" s="28">
        <f>IF($P326="","",IF(INDEX(CalcTime,$P326)=0,"",INDEX(CalcTime,$P326)))</f>
        <v/>
      </c>
      <c r="D326" s="28">
        <f>IF($P326="","",IF(INDEX(EntryParty,$P326)=0,"",INDEX(EntryParty,$P326)))</f>
        <v/>
      </c>
      <c r="E326" s="28">
        <f>IF($P326="","",IF(INDEX(EntryPartyName,$P326)=0,"",INDEX(EntryPartyName,$P326)))</f>
        <v/>
      </c>
      <c r="F326" s="28">
        <f>IF($P326="","",IF(INDEX(EntryPartyType,$P326)=0,"",INDEX(EntryPartyType,$P326)))</f>
        <v/>
      </c>
      <c r="G326" s="28">
        <f>IF($P326="","",IF(INDEX(EntryTxnType,$P326)=0,"",INDEX(EntryTxnType,$P326)))</f>
        <v/>
      </c>
      <c r="H326" s="29">
        <f>IF($P326="","",IF(INDEX(EntryDep,$P326)=0,"",INDEX(EntryDep,$P326)))</f>
        <v/>
      </c>
      <c r="I326" s="29">
        <f>IF($P326="","",IF(INDEX(EntryWit,$P326)=0,"",INDEX(EntryWit,$P326)))</f>
        <v/>
      </c>
      <c r="J326" s="29">
        <f>IF($B326="","",IF($A326=1,$C$7,IF(J325="",0,J325))+IF($H326="",0,$H326)-IF($I326="",0,$I326))</f>
        <v/>
      </c>
      <c r="K326" s="29">
        <f>IF($P326="","",IF(INDEX(EntryMan,$P326)=0,"",INDEX(EntryMan,$P326)))</f>
        <v/>
      </c>
      <c r="L326" s="28">
        <f>IF($B326="","",IF($K326="","—",IF(ROUND($K326-$J326,0)=0,"√","×")))</f>
        <v/>
      </c>
      <c r="M326" s="28">
        <f>IF($B326="","",IF(COUNTIFS(EntryDates,$B326,CalcTime,$C326,CalcBank,$C$5,EntryParty,$D326,EntryDep,$H326,EntryWit,$I326)&gt;1,"تکرار",""))</f>
        <v/>
      </c>
      <c r="N326" s="28">
        <f>IF($P326="","",IF(INDEX(EntryNotes,$P326)=0,"",INDEX(EntryNotes,$P326)))</f>
        <v/>
      </c>
      <c r="O326" s="28">
        <f>IF($P326="","",IF(INDEX(EntryTxnID,$P326)=0,"",INDEX(EntryTxnID,$P326)))</f>
        <v/>
      </c>
      <c r="P326" s="28">
        <f>IFERROR(MATCH($C$5&amp;"|"&amp;RIGHT("000000"&amp;310,6),CalcRankKey,0),"")</f>
        <v/>
      </c>
    </row>
    <row r="327">
      <c r="A327" s="26">
        <f>IF($B327="","",311)</f>
        <v/>
      </c>
      <c r="B327" s="26">
        <f>IF($P327="","",IF(INDEX(CalcNormDate,$P327)=0,"",INDEX(CalcNormDate,$P327)))</f>
        <v/>
      </c>
      <c r="C327" s="26">
        <f>IF($P327="","",IF(INDEX(CalcTime,$P327)=0,"",INDEX(CalcTime,$P327)))</f>
        <v/>
      </c>
      <c r="D327" s="26">
        <f>IF($P327="","",IF(INDEX(EntryParty,$P327)=0,"",INDEX(EntryParty,$P327)))</f>
        <v/>
      </c>
      <c r="E327" s="26">
        <f>IF($P327="","",IF(INDEX(EntryPartyName,$P327)=0,"",INDEX(EntryPartyName,$P327)))</f>
        <v/>
      </c>
      <c r="F327" s="26">
        <f>IF($P327="","",IF(INDEX(EntryPartyType,$P327)=0,"",INDEX(EntryPartyType,$P327)))</f>
        <v/>
      </c>
      <c r="G327" s="26">
        <f>IF($P327="","",IF(INDEX(EntryTxnType,$P327)=0,"",INDEX(EntryTxnType,$P327)))</f>
        <v/>
      </c>
      <c r="H327" s="27">
        <f>IF($P327="","",IF(INDEX(EntryDep,$P327)=0,"",INDEX(EntryDep,$P327)))</f>
        <v/>
      </c>
      <c r="I327" s="27">
        <f>IF($P327="","",IF(INDEX(EntryWit,$P327)=0,"",INDEX(EntryWit,$P327)))</f>
        <v/>
      </c>
      <c r="J327" s="27">
        <f>IF($B327="","",IF($A327=1,$C$7,IF(J326="",0,J326))+IF($H327="",0,$H327)-IF($I327="",0,$I327))</f>
        <v/>
      </c>
      <c r="K327" s="27">
        <f>IF($P327="","",IF(INDEX(EntryMan,$P327)=0,"",INDEX(EntryMan,$P327)))</f>
        <v/>
      </c>
      <c r="L327" s="26">
        <f>IF($B327="","",IF($K327="","—",IF(ROUND($K327-$J327,0)=0,"√","×")))</f>
        <v/>
      </c>
      <c r="M327" s="26">
        <f>IF($B327="","",IF(COUNTIFS(EntryDates,$B327,CalcTime,$C327,CalcBank,$C$5,EntryParty,$D327,EntryDep,$H327,EntryWit,$I327)&gt;1,"تکرار",""))</f>
        <v/>
      </c>
      <c r="N327" s="26">
        <f>IF($P327="","",IF(INDEX(EntryNotes,$P327)=0,"",INDEX(EntryNotes,$P327)))</f>
        <v/>
      </c>
      <c r="O327" s="26">
        <f>IF($P327="","",IF(INDEX(EntryTxnID,$P327)=0,"",INDEX(EntryTxnID,$P327)))</f>
        <v/>
      </c>
      <c r="P327" s="26">
        <f>IFERROR(MATCH($C$5&amp;"|"&amp;RIGHT("000000"&amp;311,6),CalcRankKey,0),"")</f>
        <v/>
      </c>
    </row>
    <row r="328">
      <c r="A328" s="28">
        <f>IF($B328="","",312)</f>
        <v/>
      </c>
      <c r="B328" s="28">
        <f>IF($P328="","",IF(INDEX(CalcNormDate,$P328)=0,"",INDEX(CalcNormDate,$P328)))</f>
        <v/>
      </c>
      <c r="C328" s="28">
        <f>IF($P328="","",IF(INDEX(CalcTime,$P328)=0,"",INDEX(CalcTime,$P328)))</f>
        <v/>
      </c>
      <c r="D328" s="28">
        <f>IF($P328="","",IF(INDEX(EntryParty,$P328)=0,"",INDEX(EntryParty,$P328)))</f>
        <v/>
      </c>
      <c r="E328" s="28">
        <f>IF($P328="","",IF(INDEX(EntryPartyName,$P328)=0,"",INDEX(EntryPartyName,$P328)))</f>
        <v/>
      </c>
      <c r="F328" s="28">
        <f>IF($P328="","",IF(INDEX(EntryPartyType,$P328)=0,"",INDEX(EntryPartyType,$P328)))</f>
        <v/>
      </c>
      <c r="G328" s="28">
        <f>IF($P328="","",IF(INDEX(EntryTxnType,$P328)=0,"",INDEX(EntryTxnType,$P328)))</f>
        <v/>
      </c>
      <c r="H328" s="29">
        <f>IF($P328="","",IF(INDEX(EntryDep,$P328)=0,"",INDEX(EntryDep,$P328)))</f>
        <v/>
      </c>
      <c r="I328" s="29">
        <f>IF($P328="","",IF(INDEX(EntryWit,$P328)=0,"",INDEX(EntryWit,$P328)))</f>
        <v/>
      </c>
      <c r="J328" s="29">
        <f>IF($B328="","",IF($A328=1,$C$7,IF(J327="",0,J327))+IF($H328="",0,$H328)-IF($I328="",0,$I328))</f>
        <v/>
      </c>
      <c r="K328" s="29">
        <f>IF($P328="","",IF(INDEX(EntryMan,$P328)=0,"",INDEX(EntryMan,$P328)))</f>
        <v/>
      </c>
      <c r="L328" s="28">
        <f>IF($B328="","",IF($K328="","—",IF(ROUND($K328-$J328,0)=0,"√","×")))</f>
        <v/>
      </c>
      <c r="M328" s="28">
        <f>IF($B328="","",IF(COUNTIFS(EntryDates,$B328,CalcTime,$C328,CalcBank,$C$5,EntryParty,$D328,EntryDep,$H328,EntryWit,$I328)&gt;1,"تکرار",""))</f>
        <v/>
      </c>
      <c r="N328" s="28">
        <f>IF($P328="","",IF(INDEX(EntryNotes,$P328)=0,"",INDEX(EntryNotes,$P328)))</f>
        <v/>
      </c>
      <c r="O328" s="28">
        <f>IF($P328="","",IF(INDEX(EntryTxnID,$P328)=0,"",INDEX(EntryTxnID,$P328)))</f>
        <v/>
      </c>
      <c r="P328" s="28">
        <f>IFERROR(MATCH($C$5&amp;"|"&amp;RIGHT("000000"&amp;312,6),CalcRankKey,0),"")</f>
        <v/>
      </c>
    </row>
    <row r="329">
      <c r="A329" s="26">
        <f>IF($B329="","",313)</f>
        <v/>
      </c>
      <c r="B329" s="26">
        <f>IF($P329="","",IF(INDEX(CalcNormDate,$P329)=0,"",INDEX(CalcNormDate,$P329)))</f>
        <v/>
      </c>
      <c r="C329" s="26">
        <f>IF($P329="","",IF(INDEX(CalcTime,$P329)=0,"",INDEX(CalcTime,$P329)))</f>
        <v/>
      </c>
      <c r="D329" s="26">
        <f>IF($P329="","",IF(INDEX(EntryParty,$P329)=0,"",INDEX(EntryParty,$P329)))</f>
        <v/>
      </c>
      <c r="E329" s="26">
        <f>IF($P329="","",IF(INDEX(EntryPartyName,$P329)=0,"",INDEX(EntryPartyName,$P329)))</f>
        <v/>
      </c>
      <c r="F329" s="26">
        <f>IF($P329="","",IF(INDEX(EntryPartyType,$P329)=0,"",INDEX(EntryPartyType,$P329)))</f>
        <v/>
      </c>
      <c r="G329" s="26">
        <f>IF($P329="","",IF(INDEX(EntryTxnType,$P329)=0,"",INDEX(EntryTxnType,$P329)))</f>
        <v/>
      </c>
      <c r="H329" s="27">
        <f>IF($P329="","",IF(INDEX(EntryDep,$P329)=0,"",INDEX(EntryDep,$P329)))</f>
        <v/>
      </c>
      <c r="I329" s="27">
        <f>IF($P329="","",IF(INDEX(EntryWit,$P329)=0,"",INDEX(EntryWit,$P329)))</f>
        <v/>
      </c>
      <c r="J329" s="27">
        <f>IF($B329="","",IF($A329=1,$C$7,IF(J328="",0,J328))+IF($H329="",0,$H329)-IF($I329="",0,$I329))</f>
        <v/>
      </c>
      <c r="K329" s="27">
        <f>IF($P329="","",IF(INDEX(EntryMan,$P329)=0,"",INDEX(EntryMan,$P329)))</f>
        <v/>
      </c>
      <c r="L329" s="26">
        <f>IF($B329="","",IF($K329="","—",IF(ROUND($K329-$J329,0)=0,"√","×")))</f>
        <v/>
      </c>
      <c r="M329" s="26">
        <f>IF($B329="","",IF(COUNTIFS(EntryDates,$B329,CalcTime,$C329,CalcBank,$C$5,EntryParty,$D329,EntryDep,$H329,EntryWit,$I329)&gt;1,"تکرار",""))</f>
        <v/>
      </c>
      <c r="N329" s="26">
        <f>IF($P329="","",IF(INDEX(EntryNotes,$P329)=0,"",INDEX(EntryNotes,$P329)))</f>
        <v/>
      </c>
      <c r="O329" s="26">
        <f>IF($P329="","",IF(INDEX(EntryTxnID,$P329)=0,"",INDEX(EntryTxnID,$P329)))</f>
        <v/>
      </c>
      <c r="P329" s="26">
        <f>IFERROR(MATCH($C$5&amp;"|"&amp;RIGHT("000000"&amp;313,6),CalcRankKey,0),"")</f>
        <v/>
      </c>
    </row>
    <row r="330">
      <c r="A330" s="28">
        <f>IF($B330="","",314)</f>
        <v/>
      </c>
      <c r="B330" s="28">
        <f>IF($P330="","",IF(INDEX(CalcNormDate,$P330)=0,"",INDEX(CalcNormDate,$P330)))</f>
        <v/>
      </c>
      <c r="C330" s="28">
        <f>IF($P330="","",IF(INDEX(CalcTime,$P330)=0,"",INDEX(CalcTime,$P330)))</f>
        <v/>
      </c>
      <c r="D330" s="28">
        <f>IF($P330="","",IF(INDEX(EntryParty,$P330)=0,"",INDEX(EntryParty,$P330)))</f>
        <v/>
      </c>
      <c r="E330" s="28">
        <f>IF($P330="","",IF(INDEX(EntryPartyName,$P330)=0,"",INDEX(EntryPartyName,$P330)))</f>
        <v/>
      </c>
      <c r="F330" s="28">
        <f>IF($P330="","",IF(INDEX(EntryPartyType,$P330)=0,"",INDEX(EntryPartyType,$P330)))</f>
        <v/>
      </c>
      <c r="G330" s="28">
        <f>IF($P330="","",IF(INDEX(EntryTxnType,$P330)=0,"",INDEX(EntryTxnType,$P330)))</f>
        <v/>
      </c>
      <c r="H330" s="29">
        <f>IF($P330="","",IF(INDEX(EntryDep,$P330)=0,"",INDEX(EntryDep,$P330)))</f>
        <v/>
      </c>
      <c r="I330" s="29">
        <f>IF($P330="","",IF(INDEX(EntryWit,$P330)=0,"",INDEX(EntryWit,$P330)))</f>
        <v/>
      </c>
      <c r="J330" s="29">
        <f>IF($B330="","",IF($A330=1,$C$7,IF(J329="",0,J329))+IF($H330="",0,$H330)-IF($I330="",0,$I330))</f>
        <v/>
      </c>
      <c r="K330" s="29">
        <f>IF($P330="","",IF(INDEX(EntryMan,$P330)=0,"",INDEX(EntryMan,$P330)))</f>
        <v/>
      </c>
      <c r="L330" s="28">
        <f>IF($B330="","",IF($K330="","—",IF(ROUND($K330-$J330,0)=0,"√","×")))</f>
        <v/>
      </c>
      <c r="M330" s="28">
        <f>IF($B330="","",IF(COUNTIFS(EntryDates,$B330,CalcTime,$C330,CalcBank,$C$5,EntryParty,$D330,EntryDep,$H330,EntryWit,$I330)&gt;1,"تکرار",""))</f>
        <v/>
      </c>
      <c r="N330" s="28">
        <f>IF($P330="","",IF(INDEX(EntryNotes,$P330)=0,"",INDEX(EntryNotes,$P330)))</f>
        <v/>
      </c>
      <c r="O330" s="28">
        <f>IF($P330="","",IF(INDEX(EntryTxnID,$P330)=0,"",INDEX(EntryTxnID,$P330)))</f>
        <v/>
      </c>
      <c r="P330" s="28">
        <f>IFERROR(MATCH($C$5&amp;"|"&amp;RIGHT("000000"&amp;314,6),CalcRankKey,0),"")</f>
        <v/>
      </c>
    </row>
    <row r="331">
      <c r="A331" s="26">
        <f>IF($B331="","",315)</f>
        <v/>
      </c>
      <c r="B331" s="26">
        <f>IF($P331="","",IF(INDEX(CalcNormDate,$P331)=0,"",INDEX(CalcNormDate,$P331)))</f>
        <v/>
      </c>
      <c r="C331" s="26">
        <f>IF($P331="","",IF(INDEX(CalcTime,$P331)=0,"",INDEX(CalcTime,$P331)))</f>
        <v/>
      </c>
      <c r="D331" s="26">
        <f>IF($P331="","",IF(INDEX(EntryParty,$P331)=0,"",INDEX(EntryParty,$P331)))</f>
        <v/>
      </c>
      <c r="E331" s="26">
        <f>IF($P331="","",IF(INDEX(EntryPartyName,$P331)=0,"",INDEX(EntryPartyName,$P331)))</f>
        <v/>
      </c>
      <c r="F331" s="26">
        <f>IF($P331="","",IF(INDEX(EntryPartyType,$P331)=0,"",INDEX(EntryPartyType,$P331)))</f>
        <v/>
      </c>
      <c r="G331" s="26">
        <f>IF($P331="","",IF(INDEX(EntryTxnType,$P331)=0,"",INDEX(EntryTxnType,$P331)))</f>
        <v/>
      </c>
      <c r="H331" s="27">
        <f>IF($P331="","",IF(INDEX(EntryDep,$P331)=0,"",INDEX(EntryDep,$P331)))</f>
        <v/>
      </c>
      <c r="I331" s="27">
        <f>IF($P331="","",IF(INDEX(EntryWit,$P331)=0,"",INDEX(EntryWit,$P331)))</f>
        <v/>
      </c>
      <c r="J331" s="27">
        <f>IF($B331="","",IF($A331=1,$C$7,IF(J330="",0,J330))+IF($H331="",0,$H331)-IF($I331="",0,$I331))</f>
        <v/>
      </c>
      <c r="K331" s="27">
        <f>IF($P331="","",IF(INDEX(EntryMan,$P331)=0,"",INDEX(EntryMan,$P331)))</f>
        <v/>
      </c>
      <c r="L331" s="26">
        <f>IF($B331="","",IF($K331="","—",IF(ROUND($K331-$J331,0)=0,"√","×")))</f>
        <v/>
      </c>
      <c r="M331" s="26">
        <f>IF($B331="","",IF(COUNTIFS(EntryDates,$B331,CalcTime,$C331,CalcBank,$C$5,EntryParty,$D331,EntryDep,$H331,EntryWit,$I331)&gt;1,"تکرار",""))</f>
        <v/>
      </c>
      <c r="N331" s="26">
        <f>IF($P331="","",IF(INDEX(EntryNotes,$P331)=0,"",INDEX(EntryNotes,$P331)))</f>
        <v/>
      </c>
      <c r="O331" s="26">
        <f>IF($P331="","",IF(INDEX(EntryTxnID,$P331)=0,"",INDEX(EntryTxnID,$P331)))</f>
        <v/>
      </c>
      <c r="P331" s="26">
        <f>IFERROR(MATCH($C$5&amp;"|"&amp;RIGHT("000000"&amp;315,6),CalcRankKey,0),"")</f>
        <v/>
      </c>
    </row>
    <row r="332">
      <c r="A332" s="28">
        <f>IF($B332="","",316)</f>
        <v/>
      </c>
      <c r="B332" s="28">
        <f>IF($P332="","",IF(INDEX(CalcNormDate,$P332)=0,"",INDEX(CalcNormDate,$P332)))</f>
        <v/>
      </c>
      <c r="C332" s="28">
        <f>IF($P332="","",IF(INDEX(CalcTime,$P332)=0,"",INDEX(CalcTime,$P332)))</f>
        <v/>
      </c>
      <c r="D332" s="28">
        <f>IF($P332="","",IF(INDEX(EntryParty,$P332)=0,"",INDEX(EntryParty,$P332)))</f>
        <v/>
      </c>
      <c r="E332" s="28">
        <f>IF($P332="","",IF(INDEX(EntryPartyName,$P332)=0,"",INDEX(EntryPartyName,$P332)))</f>
        <v/>
      </c>
      <c r="F332" s="28">
        <f>IF($P332="","",IF(INDEX(EntryPartyType,$P332)=0,"",INDEX(EntryPartyType,$P332)))</f>
        <v/>
      </c>
      <c r="G332" s="28">
        <f>IF($P332="","",IF(INDEX(EntryTxnType,$P332)=0,"",INDEX(EntryTxnType,$P332)))</f>
        <v/>
      </c>
      <c r="H332" s="29">
        <f>IF($P332="","",IF(INDEX(EntryDep,$P332)=0,"",INDEX(EntryDep,$P332)))</f>
        <v/>
      </c>
      <c r="I332" s="29">
        <f>IF($P332="","",IF(INDEX(EntryWit,$P332)=0,"",INDEX(EntryWit,$P332)))</f>
        <v/>
      </c>
      <c r="J332" s="29">
        <f>IF($B332="","",IF($A332=1,$C$7,IF(J331="",0,J331))+IF($H332="",0,$H332)-IF($I332="",0,$I332))</f>
        <v/>
      </c>
      <c r="K332" s="29">
        <f>IF($P332="","",IF(INDEX(EntryMan,$P332)=0,"",INDEX(EntryMan,$P332)))</f>
        <v/>
      </c>
      <c r="L332" s="28">
        <f>IF($B332="","",IF($K332="","—",IF(ROUND($K332-$J332,0)=0,"√","×")))</f>
        <v/>
      </c>
      <c r="M332" s="28">
        <f>IF($B332="","",IF(COUNTIFS(EntryDates,$B332,CalcTime,$C332,CalcBank,$C$5,EntryParty,$D332,EntryDep,$H332,EntryWit,$I332)&gt;1,"تکرار",""))</f>
        <v/>
      </c>
      <c r="N332" s="28">
        <f>IF($P332="","",IF(INDEX(EntryNotes,$P332)=0,"",INDEX(EntryNotes,$P332)))</f>
        <v/>
      </c>
      <c r="O332" s="28">
        <f>IF($P332="","",IF(INDEX(EntryTxnID,$P332)=0,"",INDEX(EntryTxnID,$P332)))</f>
        <v/>
      </c>
      <c r="P332" s="28">
        <f>IFERROR(MATCH($C$5&amp;"|"&amp;RIGHT("000000"&amp;316,6),CalcRankKey,0),"")</f>
        <v/>
      </c>
    </row>
    <row r="333">
      <c r="A333" s="26">
        <f>IF($B333="","",317)</f>
        <v/>
      </c>
      <c r="B333" s="26">
        <f>IF($P333="","",IF(INDEX(CalcNormDate,$P333)=0,"",INDEX(CalcNormDate,$P333)))</f>
        <v/>
      </c>
      <c r="C333" s="26">
        <f>IF($P333="","",IF(INDEX(CalcTime,$P333)=0,"",INDEX(CalcTime,$P333)))</f>
        <v/>
      </c>
      <c r="D333" s="26">
        <f>IF($P333="","",IF(INDEX(EntryParty,$P333)=0,"",INDEX(EntryParty,$P333)))</f>
        <v/>
      </c>
      <c r="E333" s="26">
        <f>IF($P333="","",IF(INDEX(EntryPartyName,$P333)=0,"",INDEX(EntryPartyName,$P333)))</f>
        <v/>
      </c>
      <c r="F333" s="26">
        <f>IF($P333="","",IF(INDEX(EntryPartyType,$P333)=0,"",INDEX(EntryPartyType,$P333)))</f>
        <v/>
      </c>
      <c r="G333" s="26">
        <f>IF($P333="","",IF(INDEX(EntryTxnType,$P333)=0,"",INDEX(EntryTxnType,$P333)))</f>
        <v/>
      </c>
      <c r="H333" s="27">
        <f>IF($P333="","",IF(INDEX(EntryDep,$P333)=0,"",INDEX(EntryDep,$P333)))</f>
        <v/>
      </c>
      <c r="I333" s="27">
        <f>IF($P333="","",IF(INDEX(EntryWit,$P333)=0,"",INDEX(EntryWit,$P333)))</f>
        <v/>
      </c>
      <c r="J333" s="27">
        <f>IF($B333="","",IF($A333=1,$C$7,IF(J332="",0,J332))+IF($H333="",0,$H333)-IF($I333="",0,$I333))</f>
        <v/>
      </c>
      <c r="K333" s="27">
        <f>IF($P333="","",IF(INDEX(EntryMan,$P333)=0,"",INDEX(EntryMan,$P333)))</f>
        <v/>
      </c>
      <c r="L333" s="26">
        <f>IF($B333="","",IF($K333="","—",IF(ROUND($K333-$J333,0)=0,"√","×")))</f>
        <v/>
      </c>
      <c r="M333" s="26">
        <f>IF($B333="","",IF(COUNTIFS(EntryDates,$B333,CalcTime,$C333,CalcBank,$C$5,EntryParty,$D333,EntryDep,$H333,EntryWit,$I333)&gt;1,"تکرار",""))</f>
        <v/>
      </c>
      <c r="N333" s="26">
        <f>IF($P333="","",IF(INDEX(EntryNotes,$P333)=0,"",INDEX(EntryNotes,$P333)))</f>
        <v/>
      </c>
      <c r="O333" s="26">
        <f>IF($P333="","",IF(INDEX(EntryTxnID,$P333)=0,"",INDEX(EntryTxnID,$P333)))</f>
        <v/>
      </c>
      <c r="P333" s="26">
        <f>IFERROR(MATCH($C$5&amp;"|"&amp;RIGHT("000000"&amp;317,6),CalcRankKey,0),"")</f>
        <v/>
      </c>
    </row>
    <row r="334">
      <c r="A334" s="28">
        <f>IF($B334="","",318)</f>
        <v/>
      </c>
      <c r="B334" s="28">
        <f>IF($P334="","",IF(INDEX(CalcNormDate,$P334)=0,"",INDEX(CalcNormDate,$P334)))</f>
        <v/>
      </c>
      <c r="C334" s="28">
        <f>IF($P334="","",IF(INDEX(CalcTime,$P334)=0,"",INDEX(CalcTime,$P334)))</f>
        <v/>
      </c>
      <c r="D334" s="28">
        <f>IF($P334="","",IF(INDEX(EntryParty,$P334)=0,"",INDEX(EntryParty,$P334)))</f>
        <v/>
      </c>
      <c r="E334" s="28">
        <f>IF($P334="","",IF(INDEX(EntryPartyName,$P334)=0,"",INDEX(EntryPartyName,$P334)))</f>
        <v/>
      </c>
      <c r="F334" s="28">
        <f>IF($P334="","",IF(INDEX(EntryPartyType,$P334)=0,"",INDEX(EntryPartyType,$P334)))</f>
        <v/>
      </c>
      <c r="G334" s="28">
        <f>IF($P334="","",IF(INDEX(EntryTxnType,$P334)=0,"",INDEX(EntryTxnType,$P334)))</f>
        <v/>
      </c>
      <c r="H334" s="29">
        <f>IF($P334="","",IF(INDEX(EntryDep,$P334)=0,"",INDEX(EntryDep,$P334)))</f>
        <v/>
      </c>
      <c r="I334" s="29">
        <f>IF($P334="","",IF(INDEX(EntryWit,$P334)=0,"",INDEX(EntryWit,$P334)))</f>
        <v/>
      </c>
      <c r="J334" s="29">
        <f>IF($B334="","",IF($A334=1,$C$7,IF(J333="",0,J333))+IF($H334="",0,$H334)-IF($I334="",0,$I334))</f>
        <v/>
      </c>
      <c r="K334" s="29">
        <f>IF($P334="","",IF(INDEX(EntryMan,$P334)=0,"",INDEX(EntryMan,$P334)))</f>
        <v/>
      </c>
      <c r="L334" s="28">
        <f>IF($B334="","",IF($K334="","—",IF(ROUND($K334-$J334,0)=0,"√","×")))</f>
        <v/>
      </c>
      <c r="M334" s="28">
        <f>IF($B334="","",IF(COUNTIFS(EntryDates,$B334,CalcTime,$C334,CalcBank,$C$5,EntryParty,$D334,EntryDep,$H334,EntryWit,$I334)&gt;1,"تکرار",""))</f>
        <v/>
      </c>
      <c r="N334" s="28">
        <f>IF($P334="","",IF(INDEX(EntryNotes,$P334)=0,"",INDEX(EntryNotes,$P334)))</f>
        <v/>
      </c>
      <c r="O334" s="28">
        <f>IF($P334="","",IF(INDEX(EntryTxnID,$P334)=0,"",INDEX(EntryTxnID,$P334)))</f>
        <v/>
      </c>
      <c r="P334" s="28">
        <f>IFERROR(MATCH($C$5&amp;"|"&amp;RIGHT("000000"&amp;318,6),CalcRankKey,0),"")</f>
        <v/>
      </c>
    </row>
    <row r="335">
      <c r="A335" s="26">
        <f>IF($B335="","",319)</f>
        <v/>
      </c>
      <c r="B335" s="26">
        <f>IF($P335="","",IF(INDEX(CalcNormDate,$P335)=0,"",INDEX(CalcNormDate,$P335)))</f>
        <v/>
      </c>
      <c r="C335" s="26">
        <f>IF($P335="","",IF(INDEX(CalcTime,$P335)=0,"",INDEX(CalcTime,$P335)))</f>
        <v/>
      </c>
      <c r="D335" s="26">
        <f>IF($P335="","",IF(INDEX(EntryParty,$P335)=0,"",INDEX(EntryParty,$P335)))</f>
        <v/>
      </c>
      <c r="E335" s="26">
        <f>IF($P335="","",IF(INDEX(EntryPartyName,$P335)=0,"",INDEX(EntryPartyName,$P335)))</f>
        <v/>
      </c>
      <c r="F335" s="26">
        <f>IF($P335="","",IF(INDEX(EntryPartyType,$P335)=0,"",INDEX(EntryPartyType,$P335)))</f>
        <v/>
      </c>
      <c r="G335" s="26">
        <f>IF($P335="","",IF(INDEX(EntryTxnType,$P335)=0,"",INDEX(EntryTxnType,$P335)))</f>
        <v/>
      </c>
      <c r="H335" s="27">
        <f>IF($P335="","",IF(INDEX(EntryDep,$P335)=0,"",INDEX(EntryDep,$P335)))</f>
        <v/>
      </c>
      <c r="I335" s="27">
        <f>IF($P335="","",IF(INDEX(EntryWit,$P335)=0,"",INDEX(EntryWit,$P335)))</f>
        <v/>
      </c>
      <c r="J335" s="27">
        <f>IF($B335="","",IF($A335=1,$C$7,IF(J334="",0,J334))+IF($H335="",0,$H335)-IF($I335="",0,$I335))</f>
        <v/>
      </c>
      <c r="K335" s="27">
        <f>IF($P335="","",IF(INDEX(EntryMan,$P335)=0,"",INDEX(EntryMan,$P335)))</f>
        <v/>
      </c>
      <c r="L335" s="26">
        <f>IF($B335="","",IF($K335="","—",IF(ROUND($K335-$J335,0)=0,"√","×")))</f>
        <v/>
      </c>
      <c r="M335" s="26">
        <f>IF($B335="","",IF(COUNTIFS(EntryDates,$B335,CalcTime,$C335,CalcBank,$C$5,EntryParty,$D335,EntryDep,$H335,EntryWit,$I335)&gt;1,"تکرار",""))</f>
        <v/>
      </c>
      <c r="N335" s="26">
        <f>IF($P335="","",IF(INDEX(EntryNotes,$P335)=0,"",INDEX(EntryNotes,$P335)))</f>
        <v/>
      </c>
      <c r="O335" s="26">
        <f>IF($P335="","",IF(INDEX(EntryTxnID,$P335)=0,"",INDEX(EntryTxnID,$P335)))</f>
        <v/>
      </c>
      <c r="P335" s="26">
        <f>IFERROR(MATCH($C$5&amp;"|"&amp;RIGHT("000000"&amp;319,6),CalcRankKey,0),"")</f>
        <v/>
      </c>
    </row>
    <row r="336">
      <c r="A336" s="28">
        <f>IF($B336="","",320)</f>
        <v/>
      </c>
      <c r="B336" s="28">
        <f>IF($P336="","",IF(INDEX(CalcNormDate,$P336)=0,"",INDEX(CalcNormDate,$P336)))</f>
        <v/>
      </c>
      <c r="C336" s="28">
        <f>IF($P336="","",IF(INDEX(CalcTime,$P336)=0,"",INDEX(CalcTime,$P336)))</f>
        <v/>
      </c>
      <c r="D336" s="28">
        <f>IF($P336="","",IF(INDEX(EntryParty,$P336)=0,"",INDEX(EntryParty,$P336)))</f>
        <v/>
      </c>
      <c r="E336" s="28">
        <f>IF($P336="","",IF(INDEX(EntryPartyName,$P336)=0,"",INDEX(EntryPartyName,$P336)))</f>
        <v/>
      </c>
      <c r="F336" s="28">
        <f>IF($P336="","",IF(INDEX(EntryPartyType,$P336)=0,"",INDEX(EntryPartyType,$P336)))</f>
        <v/>
      </c>
      <c r="G336" s="28">
        <f>IF($P336="","",IF(INDEX(EntryTxnType,$P336)=0,"",INDEX(EntryTxnType,$P336)))</f>
        <v/>
      </c>
      <c r="H336" s="29">
        <f>IF($P336="","",IF(INDEX(EntryDep,$P336)=0,"",INDEX(EntryDep,$P336)))</f>
        <v/>
      </c>
      <c r="I336" s="29">
        <f>IF($P336="","",IF(INDEX(EntryWit,$P336)=0,"",INDEX(EntryWit,$P336)))</f>
        <v/>
      </c>
      <c r="J336" s="29">
        <f>IF($B336="","",IF($A336=1,$C$7,IF(J335="",0,J335))+IF($H336="",0,$H336)-IF($I336="",0,$I336))</f>
        <v/>
      </c>
      <c r="K336" s="29">
        <f>IF($P336="","",IF(INDEX(EntryMan,$P336)=0,"",INDEX(EntryMan,$P336)))</f>
        <v/>
      </c>
      <c r="L336" s="28">
        <f>IF($B336="","",IF($K336="","—",IF(ROUND($K336-$J336,0)=0,"√","×")))</f>
        <v/>
      </c>
      <c r="M336" s="28">
        <f>IF($B336="","",IF(COUNTIFS(EntryDates,$B336,CalcTime,$C336,CalcBank,$C$5,EntryParty,$D336,EntryDep,$H336,EntryWit,$I336)&gt;1,"تکرار",""))</f>
        <v/>
      </c>
      <c r="N336" s="28">
        <f>IF($P336="","",IF(INDEX(EntryNotes,$P336)=0,"",INDEX(EntryNotes,$P336)))</f>
        <v/>
      </c>
      <c r="O336" s="28">
        <f>IF($P336="","",IF(INDEX(EntryTxnID,$P336)=0,"",INDEX(EntryTxnID,$P336)))</f>
        <v/>
      </c>
      <c r="P336" s="28">
        <f>IFERROR(MATCH($C$5&amp;"|"&amp;RIGHT("000000"&amp;320,6),CalcRankKey,0),"")</f>
        <v/>
      </c>
    </row>
    <row r="337">
      <c r="A337" s="26">
        <f>IF($B337="","",321)</f>
        <v/>
      </c>
      <c r="B337" s="26">
        <f>IF($P337="","",IF(INDEX(CalcNormDate,$P337)=0,"",INDEX(CalcNormDate,$P337)))</f>
        <v/>
      </c>
      <c r="C337" s="26">
        <f>IF($P337="","",IF(INDEX(CalcTime,$P337)=0,"",INDEX(CalcTime,$P337)))</f>
        <v/>
      </c>
      <c r="D337" s="26">
        <f>IF($P337="","",IF(INDEX(EntryParty,$P337)=0,"",INDEX(EntryParty,$P337)))</f>
        <v/>
      </c>
      <c r="E337" s="26">
        <f>IF($P337="","",IF(INDEX(EntryPartyName,$P337)=0,"",INDEX(EntryPartyName,$P337)))</f>
        <v/>
      </c>
      <c r="F337" s="26">
        <f>IF($P337="","",IF(INDEX(EntryPartyType,$P337)=0,"",INDEX(EntryPartyType,$P337)))</f>
        <v/>
      </c>
      <c r="G337" s="26">
        <f>IF($P337="","",IF(INDEX(EntryTxnType,$P337)=0,"",INDEX(EntryTxnType,$P337)))</f>
        <v/>
      </c>
      <c r="H337" s="27">
        <f>IF($P337="","",IF(INDEX(EntryDep,$P337)=0,"",INDEX(EntryDep,$P337)))</f>
        <v/>
      </c>
      <c r="I337" s="27">
        <f>IF($P337="","",IF(INDEX(EntryWit,$P337)=0,"",INDEX(EntryWit,$P337)))</f>
        <v/>
      </c>
      <c r="J337" s="27">
        <f>IF($B337="","",IF($A337=1,$C$7,IF(J336="",0,J336))+IF($H337="",0,$H337)-IF($I337="",0,$I337))</f>
        <v/>
      </c>
      <c r="K337" s="27">
        <f>IF($P337="","",IF(INDEX(EntryMan,$P337)=0,"",INDEX(EntryMan,$P337)))</f>
        <v/>
      </c>
      <c r="L337" s="26">
        <f>IF($B337="","",IF($K337="","—",IF(ROUND($K337-$J337,0)=0,"√","×")))</f>
        <v/>
      </c>
      <c r="M337" s="26">
        <f>IF($B337="","",IF(COUNTIFS(EntryDates,$B337,CalcTime,$C337,CalcBank,$C$5,EntryParty,$D337,EntryDep,$H337,EntryWit,$I337)&gt;1,"تکرار",""))</f>
        <v/>
      </c>
      <c r="N337" s="26">
        <f>IF($P337="","",IF(INDEX(EntryNotes,$P337)=0,"",INDEX(EntryNotes,$P337)))</f>
        <v/>
      </c>
      <c r="O337" s="26">
        <f>IF($P337="","",IF(INDEX(EntryTxnID,$P337)=0,"",INDEX(EntryTxnID,$P337)))</f>
        <v/>
      </c>
      <c r="P337" s="26">
        <f>IFERROR(MATCH($C$5&amp;"|"&amp;RIGHT("000000"&amp;321,6),CalcRankKey,0),"")</f>
        <v/>
      </c>
    </row>
    <row r="338">
      <c r="A338" s="28">
        <f>IF($B338="","",322)</f>
        <v/>
      </c>
      <c r="B338" s="28">
        <f>IF($P338="","",IF(INDEX(CalcNormDate,$P338)=0,"",INDEX(CalcNormDate,$P338)))</f>
        <v/>
      </c>
      <c r="C338" s="28">
        <f>IF($P338="","",IF(INDEX(CalcTime,$P338)=0,"",INDEX(CalcTime,$P338)))</f>
        <v/>
      </c>
      <c r="D338" s="28">
        <f>IF($P338="","",IF(INDEX(EntryParty,$P338)=0,"",INDEX(EntryParty,$P338)))</f>
        <v/>
      </c>
      <c r="E338" s="28">
        <f>IF($P338="","",IF(INDEX(EntryPartyName,$P338)=0,"",INDEX(EntryPartyName,$P338)))</f>
        <v/>
      </c>
      <c r="F338" s="28">
        <f>IF($P338="","",IF(INDEX(EntryPartyType,$P338)=0,"",INDEX(EntryPartyType,$P338)))</f>
        <v/>
      </c>
      <c r="G338" s="28">
        <f>IF($P338="","",IF(INDEX(EntryTxnType,$P338)=0,"",INDEX(EntryTxnType,$P338)))</f>
        <v/>
      </c>
      <c r="H338" s="29">
        <f>IF($P338="","",IF(INDEX(EntryDep,$P338)=0,"",INDEX(EntryDep,$P338)))</f>
        <v/>
      </c>
      <c r="I338" s="29">
        <f>IF($P338="","",IF(INDEX(EntryWit,$P338)=0,"",INDEX(EntryWit,$P338)))</f>
        <v/>
      </c>
      <c r="J338" s="29">
        <f>IF($B338="","",IF($A338=1,$C$7,IF(J337="",0,J337))+IF($H338="",0,$H338)-IF($I338="",0,$I338))</f>
        <v/>
      </c>
      <c r="K338" s="29">
        <f>IF($P338="","",IF(INDEX(EntryMan,$P338)=0,"",INDEX(EntryMan,$P338)))</f>
        <v/>
      </c>
      <c r="L338" s="28">
        <f>IF($B338="","",IF($K338="","—",IF(ROUND($K338-$J338,0)=0,"√","×")))</f>
        <v/>
      </c>
      <c r="M338" s="28">
        <f>IF($B338="","",IF(COUNTIFS(EntryDates,$B338,CalcTime,$C338,CalcBank,$C$5,EntryParty,$D338,EntryDep,$H338,EntryWit,$I338)&gt;1,"تکرار",""))</f>
        <v/>
      </c>
      <c r="N338" s="28">
        <f>IF($P338="","",IF(INDEX(EntryNotes,$P338)=0,"",INDEX(EntryNotes,$P338)))</f>
        <v/>
      </c>
      <c r="O338" s="28">
        <f>IF($P338="","",IF(INDEX(EntryTxnID,$P338)=0,"",INDEX(EntryTxnID,$P338)))</f>
        <v/>
      </c>
      <c r="P338" s="28">
        <f>IFERROR(MATCH($C$5&amp;"|"&amp;RIGHT("000000"&amp;322,6),CalcRankKey,0),"")</f>
        <v/>
      </c>
    </row>
    <row r="339">
      <c r="A339" s="26">
        <f>IF($B339="","",323)</f>
        <v/>
      </c>
      <c r="B339" s="26">
        <f>IF($P339="","",IF(INDEX(CalcNormDate,$P339)=0,"",INDEX(CalcNormDate,$P339)))</f>
        <v/>
      </c>
      <c r="C339" s="26">
        <f>IF($P339="","",IF(INDEX(CalcTime,$P339)=0,"",INDEX(CalcTime,$P339)))</f>
        <v/>
      </c>
      <c r="D339" s="26">
        <f>IF($P339="","",IF(INDEX(EntryParty,$P339)=0,"",INDEX(EntryParty,$P339)))</f>
        <v/>
      </c>
      <c r="E339" s="26">
        <f>IF($P339="","",IF(INDEX(EntryPartyName,$P339)=0,"",INDEX(EntryPartyName,$P339)))</f>
        <v/>
      </c>
      <c r="F339" s="26">
        <f>IF($P339="","",IF(INDEX(EntryPartyType,$P339)=0,"",INDEX(EntryPartyType,$P339)))</f>
        <v/>
      </c>
      <c r="G339" s="26">
        <f>IF($P339="","",IF(INDEX(EntryTxnType,$P339)=0,"",INDEX(EntryTxnType,$P339)))</f>
        <v/>
      </c>
      <c r="H339" s="27">
        <f>IF($P339="","",IF(INDEX(EntryDep,$P339)=0,"",INDEX(EntryDep,$P339)))</f>
        <v/>
      </c>
      <c r="I339" s="27">
        <f>IF($P339="","",IF(INDEX(EntryWit,$P339)=0,"",INDEX(EntryWit,$P339)))</f>
        <v/>
      </c>
      <c r="J339" s="27">
        <f>IF($B339="","",IF($A339=1,$C$7,IF(J338="",0,J338))+IF($H339="",0,$H339)-IF($I339="",0,$I339))</f>
        <v/>
      </c>
      <c r="K339" s="27">
        <f>IF($P339="","",IF(INDEX(EntryMan,$P339)=0,"",INDEX(EntryMan,$P339)))</f>
        <v/>
      </c>
      <c r="L339" s="26">
        <f>IF($B339="","",IF($K339="","—",IF(ROUND($K339-$J339,0)=0,"√","×")))</f>
        <v/>
      </c>
      <c r="M339" s="26">
        <f>IF($B339="","",IF(COUNTIFS(EntryDates,$B339,CalcTime,$C339,CalcBank,$C$5,EntryParty,$D339,EntryDep,$H339,EntryWit,$I339)&gt;1,"تکرار",""))</f>
        <v/>
      </c>
      <c r="N339" s="26">
        <f>IF($P339="","",IF(INDEX(EntryNotes,$P339)=0,"",INDEX(EntryNotes,$P339)))</f>
        <v/>
      </c>
      <c r="O339" s="26">
        <f>IF($P339="","",IF(INDEX(EntryTxnID,$P339)=0,"",INDEX(EntryTxnID,$P339)))</f>
        <v/>
      </c>
      <c r="P339" s="26">
        <f>IFERROR(MATCH($C$5&amp;"|"&amp;RIGHT("000000"&amp;323,6),CalcRankKey,0),"")</f>
        <v/>
      </c>
    </row>
    <row r="340">
      <c r="A340" s="28">
        <f>IF($B340="","",324)</f>
        <v/>
      </c>
      <c r="B340" s="28">
        <f>IF($P340="","",IF(INDEX(CalcNormDate,$P340)=0,"",INDEX(CalcNormDate,$P340)))</f>
        <v/>
      </c>
      <c r="C340" s="28">
        <f>IF($P340="","",IF(INDEX(CalcTime,$P340)=0,"",INDEX(CalcTime,$P340)))</f>
        <v/>
      </c>
      <c r="D340" s="28">
        <f>IF($P340="","",IF(INDEX(EntryParty,$P340)=0,"",INDEX(EntryParty,$P340)))</f>
        <v/>
      </c>
      <c r="E340" s="28">
        <f>IF($P340="","",IF(INDEX(EntryPartyName,$P340)=0,"",INDEX(EntryPartyName,$P340)))</f>
        <v/>
      </c>
      <c r="F340" s="28">
        <f>IF($P340="","",IF(INDEX(EntryPartyType,$P340)=0,"",INDEX(EntryPartyType,$P340)))</f>
        <v/>
      </c>
      <c r="G340" s="28">
        <f>IF($P340="","",IF(INDEX(EntryTxnType,$P340)=0,"",INDEX(EntryTxnType,$P340)))</f>
        <v/>
      </c>
      <c r="H340" s="29">
        <f>IF($P340="","",IF(INDEX(EntryDep,$P340)=0,"",INDEX(EntryDep,$P340)))</f>
        <v/>
      </c>
      <c r="I340" s="29">
        <f>IF($P340="","",IF(INDEX(EntryWit,$P340)=0,"",INDEX(EntryWit,$P340)))</f>
        <v/>
      </c>
      <c r="J340" s="29">
        <f>IF($B340="","",IF($A340=1,$C$7,IF(J339="",0,J339))+IF($H340="",0,$H340)-IF($I340="",0,$I340))</f>
        <v/>
      </c>
      <c r="K340" s="29">
        <f>IF($P340="","",IF(INDEX(EntryMan,$P340)=0,"",INDEX(EntryMan,$P340)))</f>
        <v/>
      </c>
      <c r="L340" s="28">
        <f>IF($B340="","",IF($K340="","—",IF(ROUND($K340-$J340,0)=0,"√","×")))</f>
        <v/>
      </c>
      <c r="M340" s="28">
        <f>IF($B340="","",IF(COUNTIFS(EntryDates,$B340,CalcTime,$C340,CalcBank,$C$5,EntryParty,$D340,EntryDep,$H340,EntryWit,$I340)&gt;1,"تکرار",""))</f>
        <v/>
      </c>
      <c r="N340" s="28">
        <f>IF($P340="","",IF(INDEX(EntryNotes,$P340)=0,"",INDEX(EntryNotes,$P340)))</f>
        <v/>
      </c>
      <c r="O340" s="28">
        <f>IF($P340="","",IF(INDEX(EntryTxnID,$P340)=0,"",INDEX(EntryTxnID,$P340)))</f>
        <v/>
      </c>
      <c r="P340" s="28">
        <f>IFERROR(MATCH($C$5&amp;"|"&amp;RIGHT("000000"&amp;324,6),CalcRankKey,0),"")</f>
        <v/>
      </c>
    </row>
    <row r="341">
      <c r="A341" s="26">
        <f>IF($B341="","",325)</f>
        <v/>
      </c>
      <c r="B341" s="26">
        <f>IF($P341="","",IF(INDEX(CalcNormDate,$P341)=0,"",INDEX(CalcNormDate,$P341)))</f>
        <v/>
      </c>
      <c r="C341" s="26">
        <f>IF($P341="","",IF(INDEX(CalcTime,$P341)=0,"",INDEX(CalcTime,$P341)))</f>
        <v/>
      </c>
      <c r="D341" s="26">
        <f>IF($P341="","",IF(INDEX(EntryParty,$P341)=0,"",INDEX(EntryParty,$P341)))</f>
        <v/>
      </c>
      <c r="E341" s="26">
        <f>IF($P341="","",IF(INDEX(EntryPartyName,$P341)=0,"",INDEX(EntryPartyName,$P341)))</f>
        <v/>
      </c>
      <c r="F341" s="26">
        <f>IF($P341="","",IF(INDEX(EntryPartyType,$P341)=0,"",INDEX(EntryPartyType,$P341)))</f>
        <v/>
      </c>
      <c r="G341" s="26">
        <f>IF($P341="","",IF(INDEX(EntryTxnType,$P341)=0,"",INDEX(EntryTxnType,$P341)))</f>
        <v/>
      </c>
      <c r="H341" s="27">
        <f>IF($P341="","",IF(INDEX(EntryDep,$P341)=0,"",INDEX(EntryDep,$P341)))</f>
        <v/>
      </c>
      <c r="I341" s="27">
        <f>IF($P341="","",IF(INDEX(EntryWit,$P341)=0,"",INDEX(EntryWit,$P341)))</f>
        <v/>
      </c>
      <c r="J341" s="27">
        <f>IF($B341="","",IF($A341=1,$C$7,IF(J340="",0,J340))+IF($H341="",0,$H341)-IF($I341="",0,$I341))</f>
        <v/>
      </c>
      <c r="K341" s="27">
        <f>IF($P341="","",IF(INDEX(EntryMan,$P341)=0,"",INDEX(EntryMan,$P341)))</f>
        <v/>
      </c>
      <c r="L341" s="26">
        <f>IF($B341="","",IF($K341="","—",IF(ROUND($K341-$J341,0)=0,"√","×")))</f>
        <v/>
      </c>
      <c r="M341" s="26">
        <f>IF($B341="","",IF(COUNTIFS(EntryDates,$B341,CalcTime,$C341,CalcBank,$C$5,EntryParty,$D341,EntryDep,$H341,EntryWit,$I341)&gt;1,"تکرار",""))</f>
        <v/>
      </c>
      <c r="N341" s="26">
        <f>IF($P341="","",IF(INDEX(EntryNotes,$P341)=0,"",INDEX(EntryNotes,$P341)))</f>
        <v/>
      </c>
      <c r="O341" s="26">
        <f>IF($P341="","",IF(INDEX(EntryTxnID,$P341)=0,"",INDEX(EntryTxnID,$P341)))</f>
        <v/>
      </c>
      <c r="P341" s="26">
        <f>IFERROR(MATCH($C$5&amp;"|"&amp;RIGHT("000000"&amp;325,6),CalcRankKey,0),"")</f>
        <v/>
      </c>
    </row>
    <row r="342">
      <c r="A342" s="28">
        <f>IF($B342="","",326)</f>
        <v/>
      </c>
      <c r="B342" s="28">
        <f>IF($P342="","",IF(INDEX(CalcNormDate,$P342)=0,"",INDEX(CalcNormDate,$P342)))</f>
        <v/>
      </c>
      <c r="C342" s="28">
        <f>IF($P342="","",IF(INDEX(CalcTime,$P342)=0,"",INDEX(CalcTime,$P342)))</f>
        <v/>
      </c>
      <c r="D342" s="28">
        <f>IF($P342="","",IF(INDEX(EntryParty,$P342)=0,"",INDEX(EntryParty,$P342)))</f>
        <v/>
      </c>
      <c r="E342" s="28">
        <f>IF($P342="","",IF(INDEX(EntryPartyName,$P342)=0,"",INDEX(EntryPartyName,$P342)))</f>
        <v/>
      </c>
      <c r="F342" s="28">
        <f>IF($P342="","",IF(INDEX(EntryPartyType,$P342)=0,"",INDEX(EntryPartyType,$P342)))</f>
        <v/>
      </c>
      <c r="G342" s="28">
        <f>IF($P342="","",IF(INDEX(EntryTxnType,$P342)=0,"",INDEX(EntryTxnType,$P342)))</f>
        <v/>
      </c>
      <c r="H342" s="29">
        <f>IF($P342="","",IF(INDEX(EntryDep,$P342)=0,"",INDEX(EntryDep,$P342)))</f>
        <v/>
      </c>
      <c r="I342" s="29">
        <f>IF($P342="","",IF(INDEX(EntryWit,$P342)=0,"",INDEX(EntryWit,$P342)))</f>
        <v/>
      </c>
      <c r="J342" s="29">
        <f>IF($B342="","",IF($A342=1,$C$7,IF(J341="",0,J341))+IF($H342="",0,$H342)-IF($I342="",0,$I342))</f>
        <v/>
      </c>
      <c r="K342" s="29">
        <f>IF($P342="","",IF(INDEX(EntryMan,$P342)=0,"",INDEX(EntryMan,$P342)))</f>
        <v/>
      </c>
      <c r="L342" s="28">
        <f>IF($B342="","",IF($K342="","—",IF(ROUND($K342-$J342,0)=0,"√","×")))</f>
        <v/>
      </c>
      <c r="M342" s="28">
        <f>IF($B342="","",IF(COUNTIFS(EntryDates,$B342,CalcTime,$C342,CalcBank,$C$5,EntryParty,$D342,EntryDep,$H342,EntryWit,$I342)&gt;1,"تکرار",""))</f>
        <v/>
      </c>
      <c r="N342" s="28">
        <f>IF($P342="","",IF(INDEX(EntryNotes,$P342)=0,"",INDEX(EntryNotes,$P342)))</f>
        <v/>
      </c>
      <c r="O342" s="28">
        <f>IF($P342="","",IF(INDEX(EntryTxnID,$P342)=0,"",INDEX(EntryTxnID,$P342)))</f>
        <v/>
      </c>
      <c r="P342" s="28">
        <f>IFERROR(MATCH($C$5&amp;"|"&amp;RIGHT("000000"&amp;326,6),CalcRankKey,0),"")</f>
        <v/>
      </c>
    </row>
    <row r="343">
      <c r="A343" s="26">
        <f>IF($B343="","",327)</f>
        <v/>
      </c>
      <c r="B343" s="26">
        <f>IF($P343="","",IF(INDEX(CalcNormDate,$P343)=0,"",INDEX(CalcNormDate,$P343)))</f>
        <v/>
      </c>
      <c r="C343" s="26">
        <f>IF($P343="","",IF(INDEX(CalcTime,$P343)=0,"",INDEX(CalcTime,$P343)))</f>
        <v/>
      </c>
      <c r="D343" s="26">
        <f>IF($P343="","",IF(INDEX(EntryParty,$P343)=0,"",INDEX(EntryParty,$P343)))</f>
        <v/>
      </c>
      <c r="E343" s="26">
        <f>IF($P343="","",IF(INDEX(EntryPartyName,$P343)=0,"",INDEX(EntryPartyName,$P343)))</f>
        <v/>
      </c>
      <c r="F343" s="26">
        <f>IF($P343="","",IF(INDEX(EntryPartyType,$P343)=0,"",INDEX(EntryPartyType,$P343)))</f>
        <v/>
      </c>
      <c r="G343" s="26">
        <f>IF($P343="","",IF(INDEX(EntryTxnType,$P343)=0,"",INDEX(EntryTxnType,$P343)))</f>
        <v/>
      </c>
      <c r="H343" s="27">
        <f>IF($P343="","",IF(INDEX(EntryDep,$P343)=0,"",INDEX(EntryDep,$P343)))</f>
        <v/>
      </c>
      <c r="I343" s="27">
        <f>IF($P343="","",IF(INDEX(EntryWit,$P343)=0,"",INDEX(EntryWit,$P343)))</f>
        <v/>
      </c>
      <c r="J343" s="27">
        <f>IF($B343="","",IF($A343=1,$C$7,IF(J342="",0,J342))+IF($H343="",0,$H343)-IF($I343="",0,$I343))</f>
        <v/>
      </c>
      <c r="K343" s="27">
        <f>IF($P343="","",IF(INDEX(EntryMan,$P343)=0,"",INDEX(EntryMan,$P343)))</f>
        <v/>
      </c>
      <c r="L343" s="26">
        <f>IF($B343="","",IF($K343="","—",IF(ROUND($K343-$J343,0)=0,"√","×")))</f>
        <v/>
      </c>
      <c r="M343" s="26">
        <f>IF($B343="","",IF(COUNTIFS(EntryDates,$B343,CalcTime,$C343,CalcBank,$C$5,EntryParty,$D343,EntryDep,$H343,EntryWit,$I343)&gt;1,"تکرار",""))</f>
        <v/>
      </c>
      <c r="N343" s="26">
        <f>IF($P343="","",IF(INDEX(EntryNotes,$P343)=0,"",INDEX(EntryNotes,$P343)))</f>
        <v/>
      </c>
      <c r="O343" s="26">
        <f>IF($P343="","",IF(INDEX(EntryTxnID,$P343)=0,"",INDEX(EntryTxnID,$P343)))</f>
        <v/>
      </c>
      <c r="P343" s="26">
        <f>IFERROR(MATCH($C$5&amp;"|"&amp;RIGHT("000000"&amp;327,6),CalcRankKey,0),"")</f>
        <v/>
      </c>
    </row>
    <row r="344">
      <c r="A344" s="28">
        <f>IF($B344="","",328)</f>
        <v/>
      </c>
      <c r="B344" s="28">
        <f>IF($P344="","",IF(INDEX(CalcNormDate,$P344)=0,"",INDEX(CalcNormDate,$P344)))</f>
        <v/>
      </c>
      <c r="C344" s="28">
        <f>IF($P344="","",IF(INDEX(CalcTime,$P344)=0,"",INDEX(CalcTime,$P344)))</f>
        <v/>
      </c>
      <c r="D344" s="28">
        <f>IF($P344="","",IF(INDEX(EntryParty,$P344)=0,"",INDEX(EntryParty,$P344)))</f>
        <v/>
      </c>
      <c r="E344" s="28">
        <f>IF($P344="","",IF(INDEX(EntryPartyName,$P344)=0,"",INDEX(EntryPartyName,$P344)))</f>
        <v/>
      </c>
      <c r="F344" s="28">
        <f>IF($P344="","",IF(INDEX(EntryPartyType,$P344)=0,"",INDEX(EntryPartyType,$P344)))</f>
        <v/>
      </c>
      <c r="G344" s="28">
        <f>IF($P344="","",IF(INDEX(EntryTxnType,$P344)=0,"",INDEX(EntryTxnType,$P344)))</f>
        <v/>
      </c>
      <c r="H344" s="29">
        <f>IF($P344="","",IF(INDEX(EntryDep,$P344)=0,"",INDEX(EntryDep,$P344)))</f>
        <v/>
      </c>
      <c r="I344" s="29">
        <f>IF($P344="","",IF(INDEX(EntryWit,$P344)=0,"",INDEX(EntryWit,$P344)))</f>
        <v/>
      </c>
      <c r="J344" s="29">
        <f>IF($B344="","",IF($A344=1,$C$7,IF(J343="",0,J343))+IF($H344="",0,$H344)-IF($I344="",0,$I344))</f>
        <v/>
      </c>
      <c r="K344" s="29">
        <f>IF($P344="","",IF(INDEX(EntryMan,$P344)=0,"",INDEX(EntryMan,$P344)))</f>
        <v/>
      </c>
      <c r="L344" s="28">
        <f>IF($B344="","",IF($K344="","—",IF(ROUND($K344-$J344,0)=0,"√","×")))</f>
        <v/>
      </c>
      <c r="M344" s="28">
        <f>IF($B344="","",IF(COUNTIFS(EntryDates,$B344,CalcTime,$C344,CalcBank,$C$5,EntryParty,$D344,EntryDep,$H344,EntryWit,$I344)&gt;1,"تکرار",""))</f>
        <v/>
      </c>
      <c r="N344" s="28">
        <f>IF($P344="","",IF(INDEX(EntryNotes,$P344)=0,"",INDEX(EntryNotes,$P344)))</f>
        <v/>
      </c>
      <c r="O344" s="28">
        <f>IF($P344="","",IF(INDEX(EntryTxnID,$P344)=0,"",INDEX(EntryTxnID,$P344)))</f>
        <v/>
      </c>
      <c r="P344" s="28">
        <f>IFERROR(MATCH($C$5&amp;"|"&amp;RIGHT("000000"&amp;328,6),CalcRankKey,0),"")</f>
        <v/>
      </c>
    </row>
    <row r="345">
      <c r="A345" s="26">
        <f>IF($B345="","",329)</f>
        <v/>
      </c>
      <c r="B345" s="26">
        <f>IF($P345="","",IF(INDEX(CalcNormDate,$P345)=0,"",INDEX(CalcNormDate,$P345)))</f>
        <v/>
      </c>
      <c r="C345" s="26">
        <f>IF($P345="","",IF(INDEX(CalcTime,$P345)=0,"",INDEX(CalcTime,$P345)))</f>
        <v/>
      </c>
      <c r="D345" s="26">
        <f>IF($P345="","",IF(INDEX(EntryParty,$P345)=0,"",INDEX(EntryParty,$P345)))</f>
        <v/>
      </c>
      <c r="E345" s="26">
        <f>IF($P345="","",IF(INDEX(EntryPartyName,$P345)=0,"",INDEX(EntryPartyName,$P345)))</f>
        <v/>
      </c>
      <c r="F345" s="26">
        <f>IF($P345="","",IF(INDEX(EntryPartyType,$P345)=0,"",INDEX(EntryPartyType,$P345)))</f>
        <v/>
      </c>
      <c r="G345" s="26">
        <f>IF($P345="","",IF(INDEX(EntryTxnType,$P345)=0,"",INDEX(EntryTxnType,$P345)))</f>
        <v/>
      </c>
      <c r="H345" s="27">
        <f>IF($P345="","",IF(INDEX(EntryDep,$P345)=0,"",INDEX(EntryDep,$P345)))</f>
        <v/>
      </c>
      <c r="I345" s="27">
        <f>IF($P345="","",IF(INDEX(EntryWit,$P345)=0,"",INDEX(EntryWit,$P345)))</f>
        <v/>
      </c>
      <c r="J345" s="27">
        <f>IF($B345="","",IF($A345=1,$C$7,IF(J344="",0,J344))+IF($H345="",0,$H345)-IF($I345="",0,$I345))</f>
        <v/>
      </c>
      <c r="K345" s="27">
        <f>IF($P345="","",IF(INDEX(EntryMan,$P345)=0,"",INDEX(EntryMan,$P345)))</f>
        <v/>
      </c>
      <c r="L345" s="26">
        <f>IF($B345="","",IF($K345="","—",IF(ROUND($K345-$J345,0)=0,"√","×")))</f>
        <v/>
      </c>
      <c r="M345" s="26">
        <f>IF($B345="","",IF(COUNTIFS(EntryDates,$B345,CalcTime,$C345,CalcBank,$C$5,EntryParty,$D345,EntryDep,$H345,EntryWit,$I345)&gt;1,"تکرار",""))</f>
        <v/>
      </c>
      <c r="N345" s="26">
        <f>IF($P345="","",IF(INDEX(EntryNotes,$P345)=0,"",INDEX(EntryNotes,$P345)))</f>
        <v/>
      </c>
      <c r="O345" s="26">
        <f>IF($P345="","",IF(INDEX(EntryTxnID,$P345)=0,"",INDEX(EntryTxnID,$P345)))</f>
        <v/>
      </c>
      <c r="P345" s="26">
        <f>IFERROR(MATCH($C$5&amp;"|"&amp;RIGHT("000000"&amp;329,6),CalcRankKey,0),"")</f>
        <v/>
      </c>
    </row>
    <row r="346">
      <c r="A346" s="28">
        <f>IF($B346="","",330)</f>
        <v/>
      </c>
      <c r="B346" s="28">
        <f>IF($P346="","",IF(INDEX(CalcNormDate,$P346)=0,"",INDEX(CalcNormDate,$P346)))</f>
        <v/>
      </c>
      <c r="C346" s="28">
        <f>IF($P346="","",IF(INDEX(CalcTime,$P346)=0,"",INDEX(CalcTime,$P346)))</f>
        <v/>
      </c>
      <c r="D346" s="28">
        <f>IF($P346="","",IF(INDEX(EntryParty,$P346)=0,"",INDEX(EntryParty,$P346)))</f>
        <v/>
      </c>
      <c r="E346" s="28">
        <f>IF($P346="","",IF(INDEX(EntryPartyName,$P346)=0,"",INDEX(EntryPartyName,$P346)))</f>
        <v/>
      </c>
      <c r="F346" s="28">
        <f>IF($P346="","",IF(INDEX(EntryPartyType,$P346)=0,"",INDEX(EntryPartyType,$P346)))</f>
        <v/>
      </c>
      <c r="G346" s="28">
        <f>IF($P346="","",IF(INDEX(EntryTxnType,$P346)=0,"",INDEX(EntryTxnType,$P346)))</f>
        <v/>
      </c>
      <c r="H346" s="29">
        <f>IF($P346="","",IF(INDEX(EntryDep,$P346)=0,"",INDEX(EntryDep,$P346)))</f>
        <v/>
      </c>
      <c r="I346" s="29">
        <f>IF($P346="","",IF(INDEX(EntryWit,$P346)=0,"",INDEX(EntryWit,$P346)))</f>
        <v/>
      </c>
      <c r="J346" s="29">
        <f>IF($B346="","",IF($A346=1,$C$7,IF(J345="",0,J345))+IF($H346="",0,$H346)-IF($I346="",0,$I346))</f>
        <v/>
      </c>
      <c r="K346" s="29">
        <f>IF($P346="","",IF(INDEX(EntryMan,$P346)=0,"",INDEX(EntryMan,$P346)))</f>
        <v/>
      </c>
      <c r="L346" s="28">
        <f>IF($B346="","",IF($K346="","—",IF(ROUND($K346-$J346,0)=0,"√","×")))</f>
        <v/>
      </c>
      <c r="M346" s="28">
        <f>IF($B346="","",IF(COUNTIFS(EntryDates,$B346,CalcTime,$C346,CalcBank,$C$5,EntryParty,$D346,EntryDep,$H346,EntryWit,$I346)&gt;1,"تکرار",""))</f>
        <v/>
      </c>
      <c r="N346" s="28">
        <f>IF($P346="","",IF(INDEX(EntryNotes,$P346)=0,"",INDEX(EntryNotes,$P346)))</f>
        <v/>
      </c>
      <c r="O346" s="28">
        <f>IF($P346="","",IF(INDEX(EntryTxnID,$P346)=0,"",INDEX(EntryTxnID,$P346)))</f>
        <v/>
      </c>
      <c r="P346" s="28">
        <f>IFERROR(MATCH($C$5&amp;"|"&amp;RIGHT("000000"&amp;330,6),CalcRankKey,0),"")</f>
        <v/>
      </c>
    </row>
    <row r="347">
      <c r="A347" s="26">
        <f>IF($B347="","",331)</f>
        <v/>
      </c>
      <c r="B347" s="26">
        <f>IF($P347="","",IF(INDEX(CalcNormDate,$P347)=0,"",INDEX(CalcNormDate,$P347)))</f>
        <v/>
      </c>
      <c r="C347" s="26">
        <f>IF($P347="","",IF(INDEX(CalcTime,$P347)=0,"",INDEX(CalcTime,$P347)))</f>
        <v/>
      </c>
      <c r="D347" s="26">
        <f>IF($P347="","",IF(INDEX(EntryParty,$P347)=0,"",INDEX(EntryParty,$P347)))</f>
        <v/>
      </c>
      <c r="E347" s="26">
        <f>IF($P347="","",IF(INDEX(EntryPartyName,$P347)=0,"",INDEX(EntryPartyName,$P347)))</f>
        <v/>
      </c>
      <c r="F347" s="26">
        <f>IF($P347="","",IF(INDEX(EntryPartyType,$P347)=0,"",INDEX(EntryPartyType,$P347)))</f>
        <v/>
      </c>
      <c r="G347" s="26">
        <f>IF($P347="","",IF(INDEX(EntryTxnType,$P347)=0,"",INDEX(EntryTxnType,$P347)))</f>
        <v/>
      </c>
      <c r="H347" s="27">
        <f>IF($P347="","",IF(INDEX(EntryDep,$P347)=0,"",INDEX(EntryDep,$P347)))</f>
        <v/>
      </c>
      <c r="I347" s="27">
        <f>IF($P347="","",IF(INDEX(EntryWit,$P347)=0,"",INDEX(EntryWit,$P347)))</f>
        <v/>
      </c>
      <c r="J347" s="27">
        <f>IF($B347="","",IF($A347=1,$C$7,IF(J346="",0,J346))+IF($H347="",0,$H347)-IF($I347="",0,$I347))</f>
        <v/>
      </c>
      <c r="K347" s="27">
        <f>IF($P347="","",IF(INDEX(EntryMan,$P347)=0,"",INDEX(EntryMan,$P347)))</f>
        <v/>
      </c>
      <c r="L347" s="26">
        <f>IF($B347="","",IF($K347="","—",IF(ROUND($K347-$J347,0)=0,"√","×")))</f>
        <v/>
      </c>
      <c r="M347" s="26">
        <f>IF($B347="","",IF(COUNTIFS(EntryDates,$B347,CalcTime,$C347,CalcBank,$C$5,EntryParty,$D347,EntryDep,$H347,EntryWit,$I347)&gt;1,"تکرار",""))</f>
        <v/>
      </c>
      <c r="N347" s="26">
        <f>IF($P347="","",IF(INDEX(EntryNotes,$P347)=0,"",INDEX(EntryNotes,$P347)))</f>
        <v/>
      </c>
      <c r="O347" s="26">
        <f>IF($P347="","",IF(INDEX(EntryTxnID,$P347)=0,"",INDEX(EntryTxnID,$P347)))</f>
        <v/>
      </c>
      <c r="P347" s="26">
        <f>IFERROR(MATCH($C$5&amp;"|"&amp;RIGHT("000000"&amp;331,6),CalcRankKey,0),"")</f>
        <v/>
      </c>
    </row>
    <row r="348">
      <c r="A348" s="28">
        <f>IF($B348="","",332)</f>
        <v/>
      </c>
      <c r="B348" s="28">
        <f>IF($P348="","",IF(INDEX(CalcNormDate,$P348)=0,"",INDEX(CalcNormDate,$P348)))</f>
        <v/>
      </c>
      <c r="C348" s="28">
        <f>IF($P348="","",IF(INDEX(CalcTime,$P348)=0,"",INDEX(CalcTime,$P348)))</f>
        <v/>
      </c>
      <c r="D348" s="28">
        <f>IF($P348="","",IF(INDEX(EntryParty,$P348)=0,"",INDEX(EntryParty,$P348)))</f>
        <v/>
      </c>
      <c r="E348" s="28">
        <f>IF($P348="","",IF(INDEX(EntryPartyName,$P348)=0,"",INDEX(EntryPartyName,$P348)))</f>
        <v/>
      </c>
      <c r="F348" s="28">
        <f>IF($P348="","",IF(INDEX(EntryPartyType,$P348)=0,"",INDEX(EntryPartyType,$P348)))</f>
        <v/>
      </c>
      <c r="G348" s="28">
        <f>IF($P348="","",IF(INDEX(EntryTxnType,$P348)=0,"",INDEX(EntryTxnType,$P348)))</f>
        <v/>
      </c>
      <c r="H348" s="29">
        <f>IF($P348="","",IF(INDEX(EntryDep,$P348)=0,"",INDEX(EntryDep,$P348)))</f>
        <v/>
      </c>
      <c r="I348" s="29">
        <f>IF($P348="","",IF(INDEX(EntryWit,$P348)=0,"",INDEX(EntryWit,$P348)))</f>
        <v/>
      </c>
      <c r="J348" s="29">
        <f>IF($B348="","",IF($A348=1,$C$7,IF(J347="",0,J347))+IF($H348="",0,$H348)-IF($I348="",0,$I348))</f>
        <v/>
      </c>
      <c r="K348" s="29">
        <f>IF($P348="","",IF(INDEX(EntryMan,$P348)=0,"",INDEX(EntryMan,$P348)))</f>
        <v/>
      </c>
      <c r="L348" s="28">
        <f>IF($B348="","",IF($K348="","—",IF(ROUND($K348-$J348,0)=0,"√","×")))</f>
        <v/>
      </c>
      <c r="M348" s="28">
        <f>IF($B348="","",IF(COUNTIFS(EntryDates,$B348,CalcTime,$C348,CalcBank,$C$5,EntryParty,$D348,EntryDep,$H348,EntryWit,$I348)&gt;1,"تکرار",""))</f>
        <v/>
      </c>
      <c r="N348" s="28">
        <f>IF($P348="","",IF(INDEX(EntryNotes,$P348)=0,"",INDEX(EntryNotes,$P348)))</f>
        <v/>
      </c>
      <c r="O348" s="28">
        <f>IF($P348="","",IF(INDEX(EntryTxnID,$P348)=0,"",INDEX(EntryTxnID,$P348)))</f>
        <v/>
      </c>
      <c r="P348" s="28">
        <f>IFERROR(MATCH($C$5&amp;"|"&amp;RIGHT("000000"&amp;332,6),CalcRankKey,0),"")</f>
        <v/>
      </c>
    </row>
    <row r="349">
      <c r="A349" s="26">
        <f>IF($B349="","",333)</f>
        <v/>
      </c>
      <c r="B349" s="26">
        <f>IF($P349="","",IF(INDEX(CalcNormDate,$P349)=0,"",INDEX(CalcNormDate,$P349)))</f>
        <v/>
      </c>
      <c r="C349" s="26">
        <f>IF($P349="","",IF(INDEX(CalcTime,$P349)=0,"",INDEX(CalcTime,$P349)))</f>
        <v/>
      </c>
      <c r="D349" s="26">
        <f>IF($P349="","",IF(INDEX(EntryParty,$P349)=0,"",INDEX(EntryParty,$P349)))</f>
        <v/>
      </c>
      <c r="E349" s="26">
        <f>IF($P349="","",IF(INDEX(EntryPartyName,$P349)=0,"",INDEX(EntryPartyName,$P349)))</f>
        <v/>
      </c>
      <c r="F349" s="26">
        <f>IF($P349="","",IF(INDEX(EntryPartyType,$P349)=0,"",INDEX(EntryPartyType,$P349)))</f>
        <v/>
      </c>
      <c r="G349" s="26">
        <f>IF($P349="","",IF(INDEX(EntryTxnType,$P349)=0,"",INDEX(EntryTxnType,$P349)))</f>
        <v/>
      </c>
      <c r="H349" s="27">
        <f>IF($P349="","",IF(INDEX(EntryDep,$P349)=0,"",INDEX(EntryDep,$P349)))</f>
        <v/>
      </c>
      <c r="I349" s="27">
        <f>IF($P349="","",IF(INDEX(EntryWit,$P349)=0,"",INDEX(EntryWit,$P349)))</f>
        <v/>
      </c>
      <c r="J349" s="27">
        <f>IF($B349="","",IF($A349=1,$C$7,IF(J348="",0,J348))+IF($H349="",0,$H349)-IF($I349="",0,$I349))</f>
        <v/>
      </c>
      <c r="K349" s="27">
        <f>IF($P349="","",IF(INDEX(EntryMan,$P349)=0,"",INDEX(EntryMan,$P349)))</f>
        <v/>
      </c>
      <c r="L349" s="26">
        <f>IF($B349="","",IF($K349="","—",IF(ROUND($K349-$J349,0)=0,"√","×")))</f>
        <v/>
      </c>
      <c r="M349" s="26">
        <f>IF($B349="","",IF(COUNTIFS(EntryDates,$B349,CalcTime,$C349,CalcBank,$C$5,EntryParty,$D349,EntryDep,$H349,EntryWit,$I349)&gt;1,"تکرار",""))</f>
        <v/>
      </c>
      <c r="N349" s="26">
        <f>IF($P349="","",IF(INDEX(EntryNotes,$P349)=0,"",INDEX(EntryNotes,$P349)))</f>
        <v/>
      </c>
      <c r="O349" s="26">
        <f>IF($P349="","",IF(INDEX(EntryTxnID,$P349)=0,"",INDEX(EntryTxnID,$P349)))</f>
        <v/>
      </c>
      <c r="P349" s="26">
        <f>IFERROR(MATCH($C$5&amp;"|"&amp;RIGHT("000000"&amp;333,6),CalcRankKey,0),"")</f>
        <v/>
      </c>
    </row>
    <row r="350">
      <c r="A350" s="28">
        <f>IF($B350="","",334)</f>
        <v/>
      </c>
      <c r="B350" s="28">
        <f>IF($P350="","",IF(INDEX(CalcNormDate,$P350)=0,"",INDEX(CalcNormDate,$P350)))</f>
        <v/>
      </c>
      <c r="C350" s="28">
        <f>IF($P350="","",IF(INDEX(CalcTime,$P350)=0,"",INDEX(CalcTime,$P350)))</f>
        <v/>
      </c>
      <c r="D350" s="28">
        <f>IF($P350="","",IF(INDEX(EntryParty,$P350)=0,"",INDEX(EntryParty,$P350)))</f>
        <v/>
      </c>
      <c r="E350" s="28">
        <f>IF($P350="","",IF(INDEX(EntryPartyName,$P350)=0,"",INDEX(EntryPartyName,$P350)))</f>
        <v/>
      </c>
      <c r="F350" s="28">
        <f>IF($P350="","",IF(INDEX(EntryPartyType,$P350)=0,"",INDEX(EntryPartyType,$P350)))</f>
        <v/>
      </c>
      <c r="G350" s="28">
        <f>IF($P350="","",IF(INDEX(EntryTxnType,$P350)=0,"",INDEX(EntryTxnType,$P350)))</f>
        <v/>
      </c>
      <c r="H350" s="29">
        <f>IF($P350="","",IF(INDEX(EntryDep,$P350)=0,"",INDEX(EntryDep,$P350)))</f>
        <v/>
      </c>
      <c r="I350" s="29">
        <f>IF($P350="","",IF(INDEX(EntryWit,$P350)=0,"",INDEX(EntryWit,$P350)))</f>
        <v/>
      </c>
      <c r="J350" s="29">
        <f>IF($B350="","",IF($A350=1,$C$7,IF(J349="",0,J349))+IF($H350="",0,$H350)-IF($I350="",0,$I350))</f>
        <v/>
      </c>
      <c r="K350" s="29">
        <f>IF($P350="","",IF(INDEX(EntryMan,$P350)=0,"",INDEX(EntryMan,$P350)))</f>
        <v/>
      </c>
      <c r="L350" s="28">
        <f>IF($B350="","",IF($K350="","—",IF(ROUND($K350-$J350,0)=0,"√","×")))</f>
        <v/>
      </c>
      <c r="M350" s="28">
        <f>IF($B350="","",IF(COUNTIFS(EntryDates,$B350,CalcTime,$C350,CalcBank,$C$5,EntryParty,$D350,EntryDep,$H350,EntryWit,$I350)&gt;1,"تکرار",""))</f>
        <v/>
      </c>
      <c r="N350" s="28">
        <f>IF($P350="","",IF(INDEX(EntryNotes,$P350)=0,"",INDEX(EntryNotes,$P350)))</f>
        <v/>
      </c>
      <c r="O350" s="28">
        <f>IF($P350="","",IF(INDEX(EntryTxnID,$P350)=0,"",INDEX(EntryTxnID,$P350)))</f>
        <v/>
      </c>
      <c r="P350" s="28">
        <f>IFERROR(MATCH($C$5&amp;"|"&amp;RIGHT("000000"&amp;334,6),CalcRankKey,0),"")</f>
        <v/>
      </c>
    </row>
    <row r="351">
      <c r="A351" s="26">
        <f>IF($B351="","",335)</f>
        <v/>
      </c>
      <c r="B351" s="26">
        <f>IF($P351="","",IF(INDEX(CalcNormDate,$P351)=0,"",INDEX(CalcNormDate,$P351)))</f>
        <v/>
      </c>
      <c r="C351" s="26">
        <f>IF($P351="","",IF(INDEX(CalcTime,$P351)=0,"",INDEX(CalcTime,$P351)))</f>
        <v/>
      </c>
      <c r="D351" s="26">
        <f>IF($P351="","",IF(INDEX(EntryParty,$P351)=0,"",INDEX(EntryParty,$P351)))</f>
        <v/>
      </c>
      <c r="E351" s="26">
        <f>IF($P351="","",IF(INDEX(EntryPartyName,$P351)=0,"",INDEX(EntryPartyName,$P351)))</f>
        <v/>
      </c>
      <c r="F351" s="26">
        <f>IF($P351="","",IF(INDEX(EntryPartyType,$P351)=0,"",INDEX(EntryPartyType,$P351)))</f>
        <v/>
      </c>
      <c r="G351" s="26">
        <f>IF($P351="","",IF(INDEX(EntryTxnType,$P351)=0,"",INDEX(EntryTxnType,$P351)))</f>
        <v/>
      </c>
      <c r="H351" s="27">
        <f>IF($P351="","",IF(INDEX(EntryDep,$P351)=0,"",INDEX(EntryDep,$P351)))</f>
        <v/>
      </c>
      <c r="I351" s="27">
        <f>IF($P351="","",IF(INDEX(EntryWit,$P351)=0,"",INDEX(EntryWit,$P351)))</f>
        <v/>
      </c>
      <c r="J351" s="27">
        <f>IF($B351="","",IF($A351=1,$C$7,IF(J350="",0,J350))+IF($H351="",0,$H351)-IF($I351="",0,$I351))</f>
        <v/>
      </c>
      <c r="K351" s="27">
        <f>IF($P351="","",IF(INDEX(EntryMan,$P351)=0,"",INDEX(EntryMan,$P351)))</f>
        <v/>
      </c>
      <c r="L351" s="26">
        <f>IF($B351="","",IF($K351="","—",IF(ROUND($K351-$J351,0)=0,"√","×")))</f>
        <v/>
      </c>
      <c r="M351" s="26">
        <f>IF($B351="","",IF(COUNTIFS(EntryDates,$B351,CalcTime,$C351,CalcBank,$C$5,EntryParty,$D351,EntryDep,$H351,EntryWit,$I351)&gt;1,"تکرار",""))</f>
        <v/>
      </c>
      <c r="N351" s="26">
        <f>IF($P351="","",IF(INDEX(EntryNotes,$P351)=0,"",INDEX(EntryNotes,$P351)))</f>
        <v/>
      </c>
      <c r="O351" s="26">
        <f>IF($P351="","",IF(INDEX(EntryTxnID,$P351)=0,"",INDEX(EntryTxnID,$P351)))</f>
        <v/>
      </c>
      <c r="P351" s="26">
        <f>IFERROR(MATCH($C$5&amp;"|"&amp;RIGHT("000000"&amp;335,6),CalcRankKey,0),"")</f>
        <v/>
      </c>
    </row>
    <row r="352">
      <c r="A352" s="28">
        <f>IF($B352="","",336)</f>
        <v/>
      </c>
      <c r="B352" s="28">
        <f>IF($P352="","",IF(INDEX(CalcNormDate,$P352)=0,"",INDEX(CalcNormDate,$P352)))</f>
        <v/>
      </c>
      <c r="C352" s="28">
        <f>IF($P352="","",IF(INDEX(CalcTime,$P352)=0,"",INDEX(CalcTime,$P352)))</f>
        <v/>
      </c>
      <c r="D352" s="28">
        <f>IF($P352="","",IF(INDEX(EntryParty,$P352)=0,"",INDEX(EntryParty,$P352)))</f>
        <v/>
      </c>
      <c r="E352" s="28">
        <f>IF($P352="","",IF(INDEX(EntryPartyName,$P352)=0,"",INDEX(EntryPartyName,$P352)))</f>
        <v/>
      </c>
      <c r="F352" s="28">
        <f>IF($P352="","",IF(INDEX(EntryPartyType,$P352)=0,"",INDEX(EntryPartyType,$P352)))</f>
        <v/>
      </c>
      <c r="G352" s="28">
        <f>IF($P352="","",IF(INDEX(EntryTxnType,$P352)=0,"",INDEX(EntryTxnType,$P352)))</f>
        <v/>
      </c>
      <c r="H352" s="29">
        <f>IF($P352="","",IF(INDEX(EntryDep,$P352)=0,"",INDEX(EntryDep,$P352)))</f>
        <v/>
      </c>
      <c r="I352" s="29">
        <f>IF($P352="","",IF(INDEX(EntryWit,$P352)=0,"",INDEX(EntryWit,$P352)))</f>
        <v/>
      </c>
      <c r="J352" s="29">
        <f>IF($B352="","",IF($A352=1,$C$7,IF(J351="",0,J351))+IF($H352="",0,$H352)-IF($I352="",0,$I352))</f>
        <v/>
      </c>
      <c r="K352" s="29">
        <f>IF($P352="","",IF(INDEX(EntryMan,$P352)=0,"",INDEX(EntryMan,$P352)))</f>
        <v/>
      </c>
      <c r="L352" s="28">
        <f>IF($B352="","",IF($K352="","—",IF(ROUND($K352-$J352,0)=0,"√","×")))</f>
        <v/>
      </c>
      <c r="M352" s="28">
        <f>IF($B352="","",IF(COUNTIFS(EntryDates,$B352,CalcTime,$C352,CalcBank,$C$5,EntryParty,$D352,EntryDep,$H352,EntryWit,$I352)&gt;1,"تکرار",""))</f>
        <v/>
      </c>
      <c r="N352" s="28">
        <f>IF($P352="","",IF(INDEX(EntryNotes,$P352)=0,"",INDEX(EntryNotes,$P352)))</f>
        <v/>
      </c>
      <c r="O352" s="28">
        <f>IF($P352="","",IF(INDEX(EntryTxnID,$P352)=0,"",INDEX(EntryTxnID,$P352)))</f>
        <v/>
      </c>
      <c r="P352" s="28">
        <f>IFERROR(MATCH($C$5&amp;"|"&amp;RIGHT("000000"&amp;336,6),CalcRankKey,0),"")</f>
        <v/>
      </c>
    </row>
    <row r="353">
      <c r="A353" s="26">
        <f>IF($B353="","",337)</f>
        <v/>
      </c>
      <c r="B353" s="26">
        <f>IF($P353="","",IF(INDEX(CalcNormDate,$P353)=0,"",INDEX(CalcNormDate,$P353)))</f>
        <v/>
      </c>
      <c r="C353" s="26">
        <f>IF($P353="","",IF(INDEX(CalcTime,$P353)=0,"",INDEX(CalcTime,$P353)))</f>
        <v/>
      </c>
      <c r="D353" s="26">
        <f>IF($P353="","",IF(INDEX(EntryParty,$P353)=0,"",INDEX(EntryParty,$P353)))</f>
        <v/>
      </c>
      <c r="E353" s="26">
        <f>IF($P353="","",IF(INDEX(EntryPartyName,$P353)=0,"",INDEX(EntryPartyName,$P353)))</f>
        <v/>
      </c>
      <c r="F353" s="26">
        <f>IF($P353="","",IF(INDEX(EntryPartyType,$P353)=0,"",INDEX(EntryPartyType,$P353)))</f>
        <v/>
      </c>
      <c r="G353" s="26">
        <f>IF($P353="","",IF(INDEX(EntryTxnType,$P353)=0,"",INDEX(EntryTxnType,$P353)))</f>
        <v/>
      </c>
      <c r="H353" s="27">
        <f>IF($P353="","",IF(INDEX(EntryDep,$P353)=0,"",INDEX(EntryDep,$P353)))</f>
        <v/>
      </c>
      <c r="I353" s="27">
        <f>IF($P353="","",IF(INDEX(EntryWit,$P353)=0,"",INDEX(EntryWit,$P353)))</f>
        <v/>
      </c>
      <c r="J353" s="27">
        <f>IF($B353="","",IF($A353=1,$C$7,IF(J352="",0,J352))+IF($H353="",0,$H353)-IF($I353="",0,$I353))</f>
        <v/>
      </c>
      <c r="K353" s="27">
        <f>IF($P353="","",IF(INDEX(EntryMan,$P353)=0,"",INDEX(EntryMan,$P353)))</f>
        <v/>
      </c>
      <c r="L353" s="26">
        <f>IF($B353="","",IF($K353="","—",IF(ROUND($K353-$J353,0)=0,"√","×")))</f>
        <v/>
      </c>
      <c r="M353" s="26">
        <f>IF($B353="","",IF(COUNTIFS(EntryDates,$B353,CalcTime,$C353,CalcBank,$C$5,EntryParty,$D353,EntryDep,$H353,EntryWit,$I353)&gt;1,"تکرار",""))</f>
        <v/>
      </c>
      <c r="N353" s="26">
        <f>IF($P353="","",IF(INDEX(EntryNotes,$P353)=0,"",INDEX(EntryNotes,$P353)))</f>
        <v/>
      </c>
      <c r="O353" s="26">
        <f>IF($P353="","",IF(INDEX(EntryTxnID,$P353)=0,"",INDEX(EntryTxnID,$P353)))</f>
        <v/>
      </c>
      <c r="P353" s="26">
        <f>IFERROR(MATCH($C$5&amp;"|"&amp;RIGHT("000000"&amp;337,6),CalcRankKey,0),"")</f>
        <v/>
      </c>
    </row>
    <row r="354">
      <c r="A354" s="28">
        <f>IF($B354="","",338)</f>
        <v/>
      </c>
      <c r="B354" s="28">
        <f>IF($P354="","",IF(INDEX(CalcNormDate,$P354)=0,"",INDEX(CalcNormDate,$P354)))</f>
        <v/>
      </c>
      <c r="C354" s="28">
        <f>IF($P354="","",IF(INDEX(CalcTime,$P354)=0,"",INDEX(CalcTime,$P354)))</f>
        <v/>
      </c>
      <c r="D354" s="28">
        <f>IF($P354="","",IF(INDEX(EntryParty,$P354)=0,"",INDEX(EntryParty,$P354)))</f>
        <v/>
      </c>
      <c r="E354" s="28">
        <f>IF($P354="","",IF(INDEX(EntryPartyName,$P354)=0,"",INDEX(EntryPartyName,$P354)))</f>
        <v/>
      </c>
      <c r="F354" s="28">
        <f>IF($P354="","",IF(INDEX(EntryPartyType,$P354)=0,"",INDEX(EntryPartyType,$P354)))</f>
        <v/>
      </c>
      <c r="G354" s="28">
        <f>IF($P354="","",IF(INDEX(EntryTxnType,$P354)=0,"",INDEX(EntryTxnType,$P354)))</f>
        <v/>
      </c>
      <c r="H354" s="29">
        <f>IF($P354="","",IF(INDEX(EntryDep,$P354)=0,"",INDEX(EntryDep,$P354)))</f>
        <v/>
      </c>
      <c r="I354" s="29">
        <f>IF($P354="","",IF(INDEX(EntryWit,$P354)=0,"",INDEX(EntryWit,$P354)))</f>
        <v/>
      </c>
      <c r="J354" s="29">
        <f>IF($B354="","",IF($A354=1,$C$7,IF(J353="",0,J353))+IF($H354="",0,$H354)-IF($I354="",0,$I354))</f>
        <v/>
      </c>
      <c r="K354" s="29">
        <f>IF($P354="","",IF(INDEX(EntryMan,$P354)=0,"",INDEX(EntryMan,$P354)))</f>
        <v/>
      </c>
      <c r="L354" s="28">
        <f>IF($B354="","",IF($K354="","—",IF(ROUND($K354-$J354,0)=0,"√","×")))</f>
        <v/>
      </c>
      <c r="M354" s="28">
        <f>IF($B354="","",IF(COUNTIFS(EntryDates,$B354,CalcTime,$C354,CalcBank,$C$5,EntryParty,$D354,EntryDep,$H354,EntryWit,$I354)&gt;1,"تکرار",""))</f>
        <v/>
      </c>
      <c r="N354" s="28">
        <f>IF($P354="","",IF(INDEX(EntryNotes,$P354)=0,"",INDEX(EntryNotes,$P354)))</f>
        <v/>
      </c>
      <c r="O354" s="28">
        <f>IF($P354="","",IF(INDEX(EntryTxnID,$P354)=0,"",INDEX(EntryTxnID,$P354)))</f>
        <v/>
      </c>
      <c r="P354" s="28">
        <f>IFERROR(MATCH($C$5&amp;"|"&amp;RIGHT("000000"&amp;338,6),CalcRankKey,0),"")</f>
        <v/>
      </c>
    </row>
    <row r="355">
      <c r="A355" s="26">
        <f>IF($B355="","",339)</f>
        <v/>
      </c>
      <c r="B355" s="26">
        <f>IF($P355="","",IF(INDEX(CalcNormDate,$P355)=0,"",INDEX(CalcNormDate,$P355)))</f>
        <v/>
      </c>
      <c r="C355" s="26">
        <f>IF($P355="","",IF(INDEX(CalcTime,$P355)=0,"",INDEX(CalcTime,$P355)))</f>
        <v/>
      </c>
      <c r="D355" s="26">
        <f>IF($P355="","",IF(INDEX(EntryParty,$P355)=0,"",INDEX(EntryParty,$P355)))</f>
        <v/>
      </c>
      <c r="E355" s="26">
        <f>IF($P355="","",IF(INDEX(EntryPartyName,$P355)=0,"",INDEX(EntryPartyName,$P355)))</f>
        <v/>
      </c>
      <c r="F355" s="26">
        <f>IF($P355="","",IF(INDEX(EntryPartyType,$P355)=0,"",INDEX(EntryPartyType,$P355)))</f>
        <v/>
      </c>
      <c r="G355" s="26">
        <f>IF($P355="","",IF(INDEX(EntryTxnType,$P355)=0,"",INDEX(EntryTxnType,$P355)))</f>
        <v/>
      </c>
      <c r="H355" s="27">
        <f>IF($P355="","",IF(INDEX(EntryDep,$P355)=0,"",INDEX(EntryDep,$P355)))</f>
        <v/>
      </c>
      <c r="I355" s="27">
        <f>IF($P355="","",IF(INDEX(EntryWit,$P355)=0,"",INDEX(EntryWit,$P355)))</f>
        <v/>
      </c>
      <c r="J355" s="27">
        <f>IF($B355="","",IF($A355=1,$C$7,IF(J354="",0,J354))+IF($H355="",0,$H355)-IF($I355="",0,$I355))</f>
        <v/>
      </c>
      <c r="K355" s="27">
        <f>IF($P355="","",IF(INDEX(EntryMan,$P355)=0,"",INDEX(EntryMan,$P355)))</f>
        <v/>
      </c>
      <c r="L355" s="26">
        <f>IF($B355="","",IF($K355="","—",IF(ROUND($K355-$J355,0)=0,"√","×")))</f>
        <v/>
      </c>
      <c r="M355" s="26">
        <f>IF($B355="","",IF(COUNTIFS(EntryDates,$B355,CalcTime,$C355,CalcBank,$C$5,EntryParty,$D355,EntryDep,$H355,EntryWit,$I355)&gt;1,"تکرار",""))</f>
        <v/>
      </c>
      <c r="N355" s="26">
        <f>IF($P355="","",IF(INDEX(EntryNotes,$P355)=0,"",INDEX(EntryNotes,$P355)))</f>
        <v/>
      </c>
      <c r="O355" s="26">
        <f>IF($P355="","",IF(INDEX(EntryTxnID,$P355)=0,"",INDEX(EntryTxnID,$P355)))</f>
        <v/>
      </c>
      <c r="P355" s="26">
        <f>IFERROR(MATCH($C$5&amp;"|"&amp;RIGHT("000000"&amp;339,6),CalcRankKey,0),"")</f>
        <v/>
      </c>
    </row>
    <row r="356">
      <c r="A356" s="28">
        <f>IF($B356="","",340)</f>
        <v/>
      </c>
      <c r="B356" s="28">
        <f>IF($P356="","",IF(INDEX(CalcNormDate,$P356)=0,"",INDEX(CalcNormDate,$P356)))</f>
        <v/>
      </c>
      <c r="C356" s="28">
        <f>IF($P356="","",IF(INDEX(CalcTime,$P356)=0,"",INDEX(CalcTime,$P356)))</f>
        <v/>
      </c>
      <c r="D356" s="28">
        <f>IF($P356="","",IF(INDEX(EntryParty,$P356)=0,"",INDEX(EntryParty,$P356)))</f>
        <v/>
      </c>
      <c r="E356" s="28">
        <f>IF($P356="","",IF(INDEX(EntryPartyName,$P356)=0,"",INDEX(EntryPartyName,$P356)))</f>
        <v/>
      </c>
      <c r="F356" s="28">
        <f>IF($P356="","",IF(INDEX(EntryPartyType,$P356)=0,"",INDEX(EntryPartyType,$P356)))</f>
        <v/>
      </c>
      <c r="G356" s="28">
        <f>IF($P356="","",IF(INDEX(EntryTxnType,$P356)=0,"",INDEX(EntryTxnType,$P356)))</f>
        <v/>
      </c>
      <c r="H356" s="29">
        <f>IF($P356="","",IF(INDEX(EntryDep,$P356)=0,"",INDEX(EntryDep,$P356)))</f>
        <v/>
      </c>
      <c r="I356" s="29">
        <f>IF($P356="","",IF(INDEX(EntryWit,$P356)=0,"",INDEX(EntryWit,$P356)))</f>
        <v/>
      </c>
      <c r="J356" s="29">
        <f>IF($B356="","",IF($A356=1,$C$7,IF(J355="",0,J355))+IF($H356="",0,$H356)-IF($I356="",0,$I356))</f>
        <v/>
      </c>
      <c r="K356" s="29">
        <f>IF($P356="","",IF(INDEX(EntryMan,$P356)=0,"",INDEX(EntryMan,$P356)))</f>
        <v/>
      </c>
      <c r="L356" s="28">
        <f>IF($B356="","",IF($K356="","—",IF(ROUND($K356-$J356,0)=0,"√","×")))</f>
        <v/>
      </c>
      <c r="M356" s="28">
        <f>IF($B356="","",IF(COUNTIFS(EntryDates,$B356,CalcTime,$C356,CalcBank,$C$5,EntryParty,$D356,EntryDep,$H356,EntryWit,$I356)&gt;1,"تکرار",""))</f>
        <v/>
      </c>
      <c r="N356" s="28">
        <f>IF($P356="","",IF(INDEX(EntryNotes,$P356)=0,"",INDEX(EntryNotes,$P356)))</f>
        <v/>
      </c>
      <c r="O356" s="28">
        <f>IF($P356="","",IF(INDEX(EntryTxnID,$P356)=0,"",INDEX(EntryTxnID,$P356)))</f>
        <v/>
      </c>
      <c r="P356" s="28">
        <f>IFERROR(MATCH($C$5&amp;"|"&amp;RIGHT("000000"&amp;340,6),CalcRankKey,0),"")</f>
        <v/>
      </c>
    </row>
    <row r="357">
      <c r="A357" s="26">
        <f>IF($B357="","",341)</f>
        <v/>
      </c>
      <c r="B357" s="26">
        <f>IF($P357="","",IF(INDEX(CalcNormDate,$P357)=0,"",INDEX(CalcNormDate,$P357)))</f>
        <v/>
      </c>
      <c r="C357" s="26">
        <f>IF($P357="","",IF(INDEX(CalcTime,$P357)=0,"",INDEX(CalcTime,$P357)))</f>
        <v/>
      </c>
      <c r="D357" s="26">
        <f>IF($P357="","",IF(INDEX(EntryParty,$P357)=0,"",INDEX(EntryParty,$P357)))</f>
        <v/>
      </c>
      <c r="E357" s="26">
        <f>IF($P357="","",IF(INDEX(EntryPartyName,$P357)=0,"",INDEX(EntryPartyName,$P357)))</f>
        <v/>
      </c>
      <c r="F357" s="26">
        <f>IF($P357="","",IF(INDEX(EntryPartyType,$P357)=0,"",INDEX(EntryPartyType,$P357)))</f>
        <v/>
      </c>
      <c r="G357" s="26">
        <f>IF($P357="","",IF(INDEX(EntryTxnType,$P357)=0,"",INDEX(EntryTxnType,$P357)))</f>
        <v/>
      </c>
      <c r="H357" s="27">
        <f>IF($P357="","",IF(INDEX(EntryDep,$P357)=0,"",INDEX(EntryDep,$P357)))</f>
        <v/>
      </c>
      <c r="I357" s="27">
        <f>IF($P357="","",IF(INDEX(EntryWit,$P357)=0,"",INDEX(EntryWit,$P357)))</f>
        <v/>
      </c>
      <c r="J357" s="27">
        <f>IF($B357="","",IF($A357=1,$C$7,IF(J356="",0,J356))+IF($H357="",0,$H357)-IF($I357="",0,$I357))</f>
        <v/>
      </c>
      <c r="K357" s="27">
        <f>IF($P357="","",IF(INDEX(EntryMan,$P357)=0,"",INDEX(EntryMan,$P357)))</f>
        <v/>
      </c>
      <c r="L357" s="26">
        <f>IF($B357="","",IF($K357="","—",IF(ROUND($K357-$J357,0)=0,"√","×")))</f>
        <v/>
      </c>
      <c r="M357" s="26">
        <f>IF($B357="","",IF(COUNTIFS(EntryDates,$B357,CalcTime,$C357,CalcBank,$C$5,EntryParty,$D357,EntryDep,$H357,EntryWit,$I357)&gt;1,"تکرار",""))</f>
        <v/>
      </c>
      <c r="N357" s="26">
        <f>IF($P357="","",IF(INDEX(EntryNotes,$P357)=0,"",INDEX(EntryNotes,$P357)))</f>
        <v/>
      </c>
      <c r="O357" s="26">
        <f>IF($P357="","",IF(INDEX(EntryTxnID,$P357)=0,"",INDEX(EntryTxnID,$P357)))</f>
        <v/>
      </c>
      <c r="P357" s="26">
        <f>IFERROR(MATCH($C$5&amp;"|"&amp;RIGHT("000000"&amp;341,6),CalcRankKey,0),"")</f>
        <v/>
      </c>
    </row>
    <row r="358">
      <c r="A358" s="28">
        <f>IF($B358="","",342)</f>
        <v/>
      </c>
      <c r="B358" s="28">
        <f>IF($P358="","",IF(INDEX(CalcNormDate,$P358)=0,"",INDEX(CalcNormDate,$P358)))</f>
        <v/>
      </c>
      <c r="C358" s="28">
        <f>IF($P358="","",IF(INDEX(CalcTime,$P358)=0,"",INDEX(CalcTime,$P358)))</f>
        <v/>
      </c>
      <c r="D358" s="28">
        <f>IF($P358="","",IF(INDEX(EntryParty,$P358)=0,"",INDEX(EntryParty,$P358)))</f>
        <v/>
      </c>
      <c r="E358" s="28">
        <f>IF($P358="","",IF(INDEX(EntryPartyName,$P358)=0,"",INDEX(EntryPartyName,$P358)))</f>
        <v/>
      </c>
      <c r="F358" s="28">
        <f>IF($P358="","",IF(INDEX(EntryPartyType,$P358)=0,"",INDEX(EntryPartyType,$P358)))</f>
        <v/>
      </c>
      <c r="G358" s="28">
        <f>IF($P358="","",IF(INDEX(EntryTxnType,$P358)=0,"",INDEX(EntryTxnType,$P358)))</f>
        <v/>
      </c>
      <c r="H358" s="29">
        <f>IF($P358="","",IF(INDEX(EntryDep,$P358)=0,"",INDEX(EntryDep,$P358)))</f>
        <v/>
      </c>
      <c r="I358" s="29">
        <f>IF($P358="","",IF(INDEX(EntryWit,$P358)=0,"",INDEX(EntryWit,$P358)))</f>
        <v/>
      </c>
      <c r="J358" s="29">
        <f>IF($B358="","",IF($A358=1,$C$7,IF(J357="",0,J357))+IF($H358="",0,$H358)-IF($I358="",0,$I358))</f>
        <v/>
      </c>
      <c r="K358" s="29">
        <f>IF($P358="","",IF(INDEX(EntryMan,$P358)=0,"",INDEX(EntryMan,$P358)))</f>
        <v/>
      </c>
      <c r="L358" s="28">
        <f>IF($B358="","",IF($K358="","—",IF(ROUND($K358-$J358,0)=0,"√","×")))</f>
        <v/>
      </c>
      <c r="M358" s="28">
        <f>IF($B358="","",IF(COUNTIFS(EntryDates,$B358,CalcTime,$C358,CalcBank,$C$5,EntryParty,$D358,EntryDep,$H358,EntryWit,$I358)&gt;1,"تکرار",""))</f>
        <v/>
      </c>
      <c r="N358" s="28">
        <f>IF($P358="","",IF(INDEX(EntryNotes,$P358)=0,"",INDEX(EntryNotes,$P358)))</f>
        <v/>
      </c>
      <c r="O358" s="28">
        <f>IF($P358="","",IF(INDEX(EntryTxnID,$P358)=0,"",INDEX(EntryTxnID,$P358)))</f>
        <v/>
      </c>
      <c r="P358" s="28">
        <f>IFERROR(MATCH($C$5&amp;"|"&amp;RIGHT("000000"&amp;342,6),CalcRankKey,0),"")</f>
        <v/>
      </c>
    </row>
    <row r="359">
      <c r="A359" s="26">
        <f>IF($B359="","",343)</f>
        <v/>
      </c>
      <c r="B359" s="26">
        <f>IF($P359="","",IF(INDEX(CalcNormDate,$P359)=0,"",INDEX(CalcNormDate,$P359)))</f>
        <v/>
      </c>
      <c r="C359" s="26">
        <f>IF($P359="","",IF(INDEX(CalcTime,$P359)=0,"",INDEX(CalcTime,$P359)))</f>
        <v/>
      </c>
      <c r="D359" s="26">
        <f>IF($P359="","",IF(INDEX(EntryParty,$P359)=0,"",INDEX(EntryParty,$P359)))</f>
        <v/>
      </c>
      <c r="E359" s="26">
        <f>IF($P359="","",IF(INDEX(EntryPartyName,$P359)=0,"",INDEX(EntryPartyName,$P359)))</f>
        <v/>
      </c>
      <c r="F359" s="26">
        <f>IF($P359="","",IF(INDEX(EntryPartyType,$P359)=0,"",INDEX(EntryPartyType,$P359)))</f>
        <v/>
      </c>
      <c r="G359" s="26">
        <f>IF($P359="","",IF(INDEX(EntryTxnType,$P359)=0,"",INDEX(EntryTxnType,$P359)))</f>
        <v/>
      </c>
      <c r="H359" s="27">
        <f>IF($P359="","",IF(INDEX(EntryDep,$P359)=0,"",INDEX(EntryDep,$P359)))</f>
        <v/>
      </c>
      <c r="I359" s="27">
        <f>IF($P359="","",IF(INDEX(EntryWit,$P359)=0,"",INDEX(EntryWit,$P359)))</f>
        <v/>
      </c>
      <c r="J359" s="27">
        <f>IF($B359="","",IF($A359=1,$C$7,IF(J358="",0,J358))+IF($H359="",0,$H359)-IF($I359="",0,$I359))</f>
        <v/>
      </c>
      <c r="K359" s="27">
        <f>IF($P359="","",IF(INDEX(EntryMan,$P359)=0,"",INDEX(EntryMan,$P359)))</f>
        <v/>
      </c>
      <c r="L359" s="26">
        <f>IF($B359="","",IF($K359="","—",IF(ROUND($K359-$J359,0)=0,"√","×")))</f>
        <v/>
      </c>
      <c r="M359" s="26">
        <f>IF($B359="","",IF(COUNTIFS(EntryDates,$B359,CalcTime,$C359,CalcBank,$C$5,EntryParty,$D359,EntryDep,$H359,EntryWit,$I359)&gt;1,"تکرار",""))</f>
        <v/>
      </c>
      <c r="N359" s="26">
        <f>IF($P359="","",IF(INDEX(EntryNotes,$P359)=0,"",INDEX(EntryNotes,$P359)))</f>
        <v/>
      </c>
      <c r="O359" s="26">
        <f>IF($P359="","",IF(INDEX(EntryTxnID,$P359)=0,"",INDEX(EntryTxnID,$P359)))</f>
        <v/>
      </c>
      <c r="P359" s="26">
        <f>IFERROR(MATCH($C$5&amp;"|"&amp;RIGHT("000000"&amp;343,6),CalcRankKey,0),"")</f>
        <v/>
      </c>
    </row>
    <row r="360">
      <c r="A360" s="28">
        <f>IF($B360="","",344)</f>
        <v/>
      </c>
      <c r="B360" s="28">
        <f>IF($P360="","",IF(INDEX(CalcNormDate,$P360)=0,"",INDEX(CalcNormDate,$P360)))</f>
        <v/>
      </c>
      <c r="C360" s="28">
        <f>IF($P360="","",IF(INDEX(CalcTime,$P360)=0,"",INDEX(CalcTime,$P360)))</f>
        <v/>
      </c>
      <c r="D360" s="28">
        <f>IF($P360="","",IF(INDEX(EntryParty,$P360)=0,"",INDEX(EntryParty,$P360)))</f>
        <v/>
      </c>
      <c r="E360" s="28">
        <f>IF($P360="","",IF(INDEX(EntryPartyName,$P360)=0,"",INDEX(EntryPartyName,$P360)))</f>
        <v/>
      </c>
      <c r="F360" s="28">
        <f>IF($P360="","",IF(INDEX(EntryPartyType,$P360)=0,"",INDEX(EntryPartyType,$P360)))</f>
        <v/>
      </c>
      <c r="G360" s="28">
        <f>IF($P360="","",IF(INDEX(EntryTxnType,$P360)=0,"",INDEX(EntryTxnType,$P360)))</f>
        <v/>
      </c>
      <c r="H360" s="29">
        <f>IF($P360="","",IF(INDEX(EntryDep,$P360)=0,"",INDEX(EntryDep,$P360)))</f>
        <v/>
      </c>
      <c r="I360" s="29">
        <f>IF($P360="","",IF(INDEX(EntryWit,$P360)=0,"",INDEX(EntryWit,$P360)))</f>
        <v/>
      </c>
      <c r="J360" s="29">
        <f>IF($B360="","",IF($A360=1,$C$7,IF(J359="",0,J359))+IF($H360="",0,$H360)-IF($I360="",0,$I360))</f>
        <v/>
      </c>
      <c r="K360" s="29">
        <f>IF($P360="","",IF(INDEX(EntryMan,$P360)=0,"",INDEX(EntryMan,$P360)))</f>
        <v/>
      </c>
      <c r="L360" s="28">
        <f>IF($B360="","",IF($K360="","—",IF(ROUND($K360-$J360,0)=0,"√","×")))</f>
        <v/>
      </c>
      <c r="M360" s="28">
        <f>IF($B360="","",IF(COUNTIFS(EntryDates,$B360,CalcTime,$C360,CalcBank,$C$5,EntryParty,$D360,EntryDep,$H360,EntryWit,$I360)&gt;1,"تکرار",""))</f>
        <v/>
      </c>
      <c r="N360" s="28">
        <f>IF($P360="","",IF(INDEX(EntryNotes,$P360)=0,"",INDEX(EntryNotes,$P360)))</f>
        <v/>
      </c>
      <c r="O360" s="28">
        <f>IF($P360="","",IF(INDEX(EntryTxnID,$P360)=0,"",INDEX(EntryTxnID,$P360)))</f>
        <v/>
      </c>
      <c r="P360" s="28">
        <f>IFERROR(MATCH($C$5&amp;"|"&amp;RIGHT("000000"&amp;344,6),CalcRankKey,0),"")</f>
        <v/>
      </c>
    </row>
    <row r="361">
      <c r="A361" s="26">
        <f>IF($B361="","",345)</f>
        <v/>
      </c>
      <c r="B361" s="26">
        <f>IF($P361="","",IF(INDEX(CalcNormDate,$P361)=0,"",INDEX(CalcNormDate,$P361)))</f>
        <v/>
      </c>
      <c r="C361" s="26">
        <f>IF($P361="","",IF(INDEX(CalcTime,$P361)=0,"",INDEX(CalcTime,$P361)))</f>
        <v/>
      </c>
      <c r="D361" s="26">
        <f>IF($P361="","",IF(INDEX(EntryParty,$P361)=0,"",INDEX(EntryParty,$P361)))</f>
        <v/>
      </c>
      <c r="E361" s="26">
        <f>IF($P361="","",IF(INDEX(EntryPartyName,$P361)=0,"",INDEX(EntryPartyName,$P361)))</f>
        <v/>
      </c>
      <c r="F361" s="26">
        <f>IF($P361="","",IF(INDEX(EntryPartyType,$P361)=0,"",INDEX(EntryPartyType,$P361)))</f>
        <v/>
      </c>
      <c r="G361" s="26">
        <f>IF($P361="","",IF(INDEX(EntryTxnType,$P361)=0,"",INDEX(EntryTxnType,$P361)))</f>
        <v/>
      </c>
      <c r="H361" s="27">
        <f>IF($P361="","",IF(INDEX(EntryDep,$P361)=0,"",INDEX(EntryDep,$P361)))</f>
        <v/>
      </c>
      <c r="I361" s="27">
        <f>IF($P361="","",IF(INDEX(EntryWit,$P361)=0,"",INDEX(EntryWit,$P361)))</f>
        <v/>
      </c>
      <c r="J361" s="27">
        <f>IF($B361="","",IF($A361=1,$C$7,IF(J360="",0,J360))+IF($H361="",0,$H361)-IF($I361="",0,$I361))</f>
        <v/>
      </c>
      <c r="K361" s="27">
        <f>IF($P361="","",IF(INDEX(EntryMan,$P361)=0,"",INDEX(EntryMan,$P361)))</f>
        <v/>
      </c>
      <c r="L361" s="26">
        <f>IF($B361="","",IF($K361="","—",IF(ROUND($K361-$J361,0)=0,"√","×")))</f>
        <v/>
      </c>
      <c r="M361" s="26">
        <f>IF($B361="","",IF(COUNTIFS(EntryDates,$B361,CalcTime,$C361,CalcBank,$C$5,EntryParty,$D361,EntryDep,$H361,EntryWit,$I361)&gt;1,"تکرار",""))</f>
        <v/>
      </c>
      <c r="N361" s="26">
        <f>IF($P361="","",IF(INDEX(EntryNotes,$P361)=0,"",INDEX(EntryNotes,$P361)))</f>
        <v/>
      </c>
      <c r="O361" s="26">
        <f>IF($P361="","",IF(INDEX(EntryTxnID,$P361)=0,"",INDEX(EntryTxnID,$P361)))</f>
        <v/>
      </c>
      <c r="P361" s="26">
        <f>IFERROR(MATCH($C$5&amp;"|"&amp;RIGHT("000000"&amp;345,6),CalcRankKey,0),"")</f>
        <v/>
      </c>
    </row>
    <row r="362">
      <c r="A362" s="28">
        <f>IF($B362="","",346)</f>
        <v/>
      </c>
      <c r="B362" s="28">
        <f>IF($P362="","",IF(INDEX(CalcNormDate,$P362)=0,"",INDEX(CalcNormDate,$P362)))</f>
        <v/>
      </c>
      <c r="C362" s="28">
        <f>IF($P362="","",IF(INDEX(CalcTime,$P362)=0,"",INDEX(CalcTime,$P362)))</f>
        <v/>
      </c>
      <c r="D362" s="28">
        <f>IF($P362="","",IF(INDEX(EntryParty,$P362)=0,"",INDEX(EntryParty,$P362)))</f>
        <v/>
      </c>
      <c r="E362" s="28">
        <f>IF($P362="","",IF(INDEX(EntryPartyName,$P362)=0,"",INDEX(EntryPartyName,$P362)))</f>
        <v/>
      </c>
      <c r="F362" s="28">
        <f>IF($P362="","",IF(INDEX(EntryPartyType,$P362)=0,"",INDEX(EntryPartyType,$P362)))</f>
        <v/>
      </c>
      <c r="G362" s="28">
        <f>IF($P362="","",IF(INDEX(EntryTxnType,$P362)=0,"",INDEX(EntryTxnType,$P362)))</f>
        <v/>
      </c>
      <c r="H362" s="29">
        <f>IF($P362="","",IF(INDEX(EntryDep,$P362)=0,"",INDEX(EntryDep,$P362)))</f>
        <v/>
      </c>
      <c r="I362" s="29">
        <f>IF($P362="","",IF(INDEX(EntryWit,$P362)=0,"",INDEX(EntryWit,$P362)))</f>
        <v/>
      </c>
      <c r="J362" s="29">
        <f>IF($B362="","",IF($A362=1,$C$7,IF(J361="",0,J361))+IF($H362="",0,$H362)-IF($I362="",0,$I362))</f>
        <v/>
      </c>
      <c r="K362" s="29">
        <f>IF($P362="","",IF(INDEX(EntryMan,$P362)=0,"",INDEX(EntryMan,$P362)))</f>
        <v/>
      </c>
      <c r="L362" s="28">
        <f>IF($B362="","",IF($K362="","—",IF(ROUND($K362-$J362,0)=0,"√","×")))</f>
        <v/>
      </c>
      <c r="M362" s="28">
        <f>IF($B362="","",IF(COUNTIFS(EntryDates,$B362,CalcTime,$C362,CalcBank,$C$5,EntryParty,$D362,EntryDep,$H362,EntryWit,$I362)&gt;1,"تکرار",""))</f>
        <v/>
      </c>
      <c r="N362" s="28">
        <f>IF($P362="","",IF(INDEX(EntryNotes,$P362)=0,"",INDEX(EntryNotes,$P362)))</f>
        <v/>
      </c>
      <c r="O362" s="28">
        <f>IF($P362="","",IF(INDEX(EntryTxnID,$P362)=0,"",INDEX(EntryTxnID,$P362)))</f>
        <v/>
      </c>
      <c r="P362" s="28">
        <f>IFERROR(MATCH($C$5&amp;"|"&amp;RIGHT("000000"&amp;346,6),CalcRankKey,0),"")</f>
        <v/>
      </c>
    </row>
    <row r="363">
      <c r="A363" s="26">
        <f>IF($B363="","",347)</f>
        <v/>
      </c>
      <c r="B363" s="26">
        <f>IF($P363="","",IF(INDEX(CalcNormDate,$P363)=0,"",INDEX(CalcNormDate,$P363)))</f>
        <v/>
      </c>
      <c r="C363" s="26">
        <f>IF($P363="","",IF(INDEX(CalcTime,$P363)=0,"",INDEX(CalcTime,$P363)))</f>
        <v/>
      </c>
      <c r="D363" s="26">
        <f>IF($P363="","",IF(INDEX(EntryParty,$P363)=0,"",INDEX(EntryParty,$P363)))</f>
        <v/>
      </c>
      <c r="E363" s="26">
        <f>IF($P363="","",IF(INDEX(EntryPartyName,$P363)=0,"",INDEX(EntryPartyName,$P363)))</f>
        <v/>
      </c>
      <c r="F363" s="26">
        <f>IF($P363="","",IF(INDEX(EntryPartyType,$P363)=0,"",INDEX(EntryPartyType,$P363)))</f>
        <v/>
      </c>
      <c r="G363" s="26">
        <f>IF($P363="","",IF(INDEX(EntryTxnType,$P363)=0,"",INDEX(EntryTxnType,$P363)))</f>
        <v/>
      </c>
      <c r="H363" s="27">
        <f>IF($P363="","",IF(INDEX(EntryDep,$P363)=0,"",INDEX(EntryDep,$P363)))</f>
        <v/>
      </c>
      <c r="I363" s="27">
        <f>IF($P363="","",IF(INDEX(EntryWit,$P363)=0,"",INDEX(EntryWit,$P363)))</f>
        <v/>
      </c>
      <c r="J363" s="27">
        <f>IF($B363="","",IF($A363=1,$C$7,IF(J362="",0,J362))+IF($H363="",0,$H363)-IF($I363="",0,$I363))</f>
        <v/>
      </c>
      <c r="K363" s="27">
        <f>IF($P363="","",IF(INDEX(EntryMan,$P363)=0,"",INDEX(EntryMan,$P363)))</f>
        <v/>
      </c>
      <c r="L363" s="26">
        <f>IF($B363="","",IF($K363="","—",IF(ROUND($K363-$J363,0)=0,"√","×")))</f>
        <v/>
      </c>
      <c r="M363" s="26">
        <f>IF($B363="","",IF(COUNTIFS(EntryDates,$B363,CalcTime,$C363,CalcBank,$C$5,EntryParty,$D363,EntryDep,$H363,EntryWit,$I363)&gt;1,"تکرار",""))</f>
        <v/>
      </c>
      <c r="N363" s="26">
        <f>IF($P363="","",IF(INDEX(EntryNotes,$P363)=0,"",INDEX(EntryNotes,$P363)))</f>
        <v/>
      </c>
      <c r="O363" s="26">
        <f>IF($P363="","",IF(INDEX(EntryTxnID,$P363)=0,"",INDEX(EntryTxnID,$P363)))</f>
        <v/>
      </c>
      <c r="P363" s="26">
        <f>IFERROR(MATCH($C$5&amp;"|"&amp;RIGHT("000000"&amp;347,6),CalcRankKey,0),"")</f>
        <v/>
      </c>
    </row>
    <row r="364">
      <c r="A364" s="28">
        <f>IF($B364="","",348)</f>
        <v/>
      </c>
      <c r="B364" s="28">
        <f>IF($P364="","",IF(INDEX(CalcNormDate,$P364)=0,"",INDEX(CalcNormDate,$P364)))</f>
        <v/>
      </c>
      <c r="C364" s="28">
        <f>IF($P364="","",IF(INDEX(CalcTime,$P364)=0,"",INDEX(CalcTime,$P364)))</f>
        <v/>
      </c>
      <c r="D364" s="28">
        <f>IF($P364="","",IF(INDEX(EntryParty,$P364)=0,"",INDEX(EntryParty,$P364)))</f>
        <v/>
      </c>
      <c r="E364" s="28">
        <f>IF($P364="","",IF(INDEX(EntryPartyName,$P364)=0,"",INDEX(EntryPartyName,$P364)))</f>
        <v/>
      </c>
      <c r="F364" s="28">
        <f>IF($P364="","",IF(INDEX(EntryPartyType,$P364)=0,"",INDEX(EntryPartyType,$P364)))</f>
        <v/>
      </c>
      <c r="G364" s="28">
        <f>IF($P364="","",IF(INDEX(EntryTxnType,$P364)=0,"",INDEX(EntryTxnType,$P364)))</f>
        <v/>
      </c>
      <c r="H364" s="29">
        <f>IF($P364="","",IF(INDEX(EntryDep,$P364)=0,"",INDEX(EntryDep,$P364)))</f>
        <v/>
      </c>
      <c r="I364" s="29">
        <f>IF($P364="","",IF(INDEX(EntryWit,$P364)=0,"",INDEX(EntryWit,$P364)))</f>
        <v/>
      </c>
      <c r="J364" s="29">
        <f>IF($B364="","",IF($A364=1,$C$7,IF(J363="",0,J363))+IF($H364="",0,$H364)-IF($I364="",0,$I364))</f>
        <v/>
      </c>
      <c r="K364" s="29">
        <f>IF($P364="","",IF(INDEX(EntryMan,$P364)=0,"",INDEX(EntryMan,$P364)))</f>
        <v/>
      </c>
      <c r="L364" s="28">
        <f>IF($B364="","",IF($K364="","—",IF(ROUND($K364-$J364,0)=0,"√","×")))</f>
        <v/>
      </c>
      <c r="M364" s="28">
        <f>IF($B364="","",IF(COUNTIFS(EntryDates,$B364,CalcTime,$C364,CalcBank,$C$5,EntryParty,$D364,EntryDep,$H364,EntryWit,$I364)&gt;1,"تکرار",""))</f>
        <v/>
      </c>
      <c r="N364" s="28">
        <f>IF($P364="","",IF(INDEX(EntryNotes,$P364)=0,"",INDEX(EntryNotes,$P364)))</f>
        <v/>
      </c>
      <c r="O364" s="28">
        <f>IF($P364="","",IF(INDEX(EntryTxnID,$P364)=0,"",INDEX(EntryTxnID,$P364)))</f>
        <v/>
      </c>
      <c r="P364" s="28">
        <f>IFERROR(MATCH($C$5&amp;"|"&amp;RIGHT("000000"&amp;348,6),CalcRankKey,0),"")</f>
        <v/>
      </c>
    </row>
    <row r="365">
      <c r="A365" s="26">
        <f>IF($B365="","",349)</f>
        <v/>
      </c>
      <c r="B365" s="26">
        <f>IF($P365="","",IF(INDEX(CalcNormDate,$P365)=0,"",INDEX(CalcNormDate,$P365)))</f>
        <v/>
      </c>
      <c r="C365" s="26">
        <f>IF($P365="","",IF(INDEX(CalcTime,$P365)=0,"",INDEX(CalcTime,$P365)))</f>
        <v/>
      </c>
      <c r="D365" s="26">
        <f>IF($P365="","",IF(INDEX(EntryParty,$P365)=0,"",INDEX(EntryParty,$P365)))</f>
        <v/>
      </c>
      <c r="E365" s="26">
        <f>IF($P365="","",IF(INDEX(EntryPartyName,$P365)=0,"",INDEX(EntryPartyName,$P365)))</f>
        <v/>
      </c>
      <c r="F365" s="26">
        <f>IF($P365="","",IF(INDEX(EntryPartyType,$P365)=0,"",INDEX(EntryPartyType,$P365)))</f>
        <v/>
      </c>
      <c r="G365" s="26">
        <f>IF($P365="","",IF(INDEX(EntryTxnType,$P365)=0,"",INDEX(EntryTxnType,$P365)))</f>
        <v/>
      </c>
      <c r="H365" s="27">
        <f>IF($P365="","",IF(INDEX(EntryDep,$P365)=0,"",INDEX(EntryDep,$P365)))</f>
        <v/>
      </c>
      <c r="I365" s="27">
        <f>IF($P365="","",IF(INDEX(EntryWit,$P365)=0,"",INDEX(EntryWit,$P365)))</f>
        <v/>
      </c>
      <c r="J365" s="27">
        <f>IF($B365="","",IF($A365=1,$C$7,IF(J364="",0,J364))+IF($H365="",0,$H365)-IF($I365="",0,$I365))</f>
        <v/>
      </c>
      <c r="K365" s="27">
        <f>IF($P365="","",IF(INDEX(EntryMan,$P365)=0,"",INDEX(EntryMan,$P365)))</f>
        <v/>
      </c>
      <c r="L365" s="26">
        <f>IF($B365="","",IF($K365="","—",IF(ROUND($K365-$J365,0)=0,"√","×")))</f>
        <v/>
      </c>
      <c r="M365" s="26">
        <f>IF($B365="","",IF(COUNTIFS(EntryDates,$B365,CalcTime,$C365,CalcBank,$C$5,EntryParty,$D365,EntryDep,$H365,EntryWit,$I365)&gt;1,"تکرار",""))</f>
        <v/>
      </c>
      <c r="N365" s="26">
        <f>IF($P365="","",IF(INDEX(EntryNotes,$P365)=0,"",INDEX(EntryNotes,$P365)))</f>
        <v/>
      </c>
      <c r="O365" s="26">
        <f>IF($P365="","",IF(INDEX(EntryTxnID,$P365)=0,"",INDEX(EntryTxnID,$P365)))</f>
        <v/>
      </c>
      <c r="P365" s="26">
        <f>IFERROR(MATCH($C$5&amp;"|"&amp;RIGHT("000000"&amp;349,6),CalcRankKey,0),"")</f>
        <v/>
      </c>
    </row>
    <row r="366">
      <c r="A366" s="28">
        <f>IF($B366="","",350)</f>
        <v/>
      </c>
      <c r="B366" s="28">
        <f>IF($P366="","",IF(INDEX(CalcNormDate,$P366)=0,"",INDEX(CalcNormDate,$P366)))</f>
        <v/>
      </c>
      <c r="C366" s="28">
        <f>IF($P366="","",IF(INDEX(CalcTime,$P366)=0,"",INDEX(CalcTime,$P366)))</f>
        <v/>
      </c>
      <c r="D366" s="28">
        <f>IF($P366="","",IF(INDEX(EntryParty,$P366)=0,"",INDEX(EntryParty,$P366)))</f>
        <v/>
      </c>
      <c r="E366" s="28">
        <f>IF($P366="","",IF(INDEX(EntryPartyName,$P366)=0,"",INDEX(EntryPartyName,$P366)))</f>
        <v/>
      </c>
      <c r="F366" s="28">
        <f>IF($P366="","",IF(INDEX(EntryPartyType,$P366)=0,"",INDEX(EntryPartyType,$P366)))</f>
        <v/>
      </c>
      <c r="G366" s="28">
        <f>IF($P366="","",IF(INDEX(EntryTxnType,$P366)=0,"",INDEX(EntryTxnType,$P366)))</f>
        <v/>
      </c>
      <c r="H366" s="29">
        <f>IF($P366="","",IF(INDEX(EntryDep,$P366)=0,"",INDEX(EntryDep,$P366)))</f>
        <v/>
      </c>
      <c r="I366" s="29">
        <f>IF($P366="","",IF(INDEX(EntryWit,$P366)=0,"",INDEX(EntryWit,$P366)))</f>
        <v/>
      </c>
      <c r="J366" s="29">
        <f>IF($B366="","",IF($A366=1,$C$7,IF(J365="",0,J365))+IF($H366="",0,$H366)-IF($I366="",0,$I366))</f>
        <v/>
      </c>
      <c r="K366" s="29">
        <f>IF($P366="","",IF(INDEX(EntryMan,$P366)=0,"",INDEX(EntryMan,$P366)))</f>
        <v/>
      </c>
      <c r="L366" s="28">
        <f>IF($B366="","",IF($K366="","—",IF(ROUND($K366-$J366,0)=0,"√","×")))</f>
        <v/>
      </c>
      <c r="M366" s="28">
        <f>IF($B366="","",IF(COUNTIFS(EntryDates,$B366,CalcTime,$C366,CalcBank,$C$5,EntryParty,$D366,EntryDep,$H366,EntryWit,$I366)&gt;1,"تکرار",""))</f>
        <v/>
      </c>
      <c r="N366" s="28">
        <f>IF($P366="","",IF(INDEX(EntryNotes,$P366)=0,"",INDEX(EntryNotes,$P366)))</f>
        <v/>
      </c>
      <c r="O366" s="28">
        <f>IF($P366="","",IF(INDEX(EntryTxnID,$P366)=0,"",INDEX(EntryTxnID,$P366)))</f>
        <v/>
      </c>
      <c r="P366" s="28">
        <f>IFERROR(MATCH($C$5&amp;"|"&amp;RIGHT("000000"&amp;350,6),CalcRankKey,0),"")</f>
        <v/>
      </c>
    </row>
    <row r="367">
      <c r="A367" s="26">
        <f>IF($B367="","",351)</f>
        <v/>
      </c>
      <c r="B367" s="26">
        <f>IF($P367="","",IF(INDEX(CalcNormDate,$P367)=0,"",INDEX(CalcNormDate,$P367)))</f>
        <v/>
      </c>
      <c r="C367" s="26">
        <f>IF($P367="","",IF(INDEX(CalcTime,$P367)=0,"",INDEX(CalcTime,$P367)))</f>
        <v/>
      </c>
      <c r="D367" s="26">
        <f>IF($P367="","",IF(INDEX(EntryParty,$P367)=0,"",INDEX(EntryParty,$P367)))</f>
        <v/>
      </c>
      <c r="E367" s="26">
        <f>IF($P367="","",IF(INDEX(EntryPartyName,$P367)=0,"",INDEX(EntryPartyName,$P367)))</f>
        <v/>
      </c>
      <c r="F367" s="26">
        <f>IF($P367="","",IF(INDEX(EntryPartyType,$P367)=0,"",INDEX(EntryPartyType,$P367)))</f>
        <v/>
      </c>
      <c r="G367" s="26">
        <f>IF($P367="","",IF(INDEX(EntryTxnType,$P367)=0,"",INDEX(EntryTxnType,$P367)))</f>
        <v/>
      </c>
      <c r="H367" s="27">
        <f>IF($P367="","",IF(INDEX(EntryDep,$P367)=0,"",INDEX(EntryDep,$P367)))</f>
        <v/>
      </c>
      <c r="I367" s="27">
        <f>IF($P367="","",IF(INDEX(EntryWit,$P367)=0,"",INDEX(EntryWit,$P367)))</f>
        <v/>
      </c>
      <c r="J367" s="27">
        <f>IF($B367="","",IF($A367=1,$C$7,IF(J366="",0,J366))+IF($H367="",0,$H367)-IF($I367="",0,$I367))</f>
        <v/>
      </c>
      <c r="K367" s="27">
        <f>IF($P367="","",IF(INDEX(EntryMan,$P367)=0,"",INDEX(EntryMan,$P367)))</f>
        <v/>
      </c>
      <c r="L367" s="26">
        <f>IF($B367="","",IF($K367="","—",IF(ROUND($K367-$J367,0)=0,"√","×")))</f>
        <v/>
      </c>
      <c r="M367" s="26">
        <f>IF($B367="","",IF(COUNTIFS(EntryDates,$B367,CalcTime,$C367,CalcBank,$C$5,EntryParty,$D367,EntryDep,$H367,EntryWit,$I367)&gt;1,"تکرار",""))</f>
        <v/>
      </c>
      <c r="N367" s="26">
        <f>IF($P367="","",IF(INDEX(EntryNotes,$P367)=0,"",INDEX(EntryNotes,$P367)))</f>
        <v/>
      </c>
      <c r="O367" s="26">
        <f>IF($P367="","",IF(INDEX(EntryTxnID,$P367)=0,"",INDEX(EntryTxnID,$P367)))</f>
        <v/>
      </c>
      <c r="P367" s="26">
        <f>IFERROR(MATCH($C$5&amp;"|"&amp;RIGHT("000000"&amp;351,6),CalcRankKey,0),"")</f>
        <v/>
      </c>
    </row>
    <row r="368">
      <c r="A368" s="28">
        <f>IF($B368="","",352)</f>
        <v/>
      </c>
      <c r="B368" s="28">
        <f>IF($P368="","",IF(INDEX(CalcNormDate,$P368)=0,"",INDEX(CalcNormDate,$P368)))</f>
        <v/>
      </c>
      <c r="C368" s="28">
        <f>IF($P368="","",IF(INDEX(CalcTime,$P368)=0,"",INDEX(CalcTime,$P368)))</f>
        <v/>
      </c>
      <c r="D368" s="28">
        <f>IF($P368="","",IF(INDEX(EntryParty,$P368)=0,"",INDEX(EntryParty,$P368)))</f>
        <v/>
      </c>
      <c r="E368" s="28">
        <f>IF($P368="","",IF(INDEX(EntryPartyName,$P368)=0,"",INDEX(EntryPartyName,$P368)))</f>
        <v/>
      </c>
      <c r="F368" s="28">
        <f>IF($P368="","",IF(INDEX(EntryPartyType,$P368)=0,"",INDEX(EntryPartyType,$P368)))</f>
        <v/>
      </c>
      <c r="G368" s="28">
        <f>IF($P368="","",IF(INDEX(EntryTxnType,$P368)=0,"",INDEX(EntryTxnType,$P368)))</f>
        <v/>
      </c>
      <c r="H368" s="29">
        <f>IF($P368="","",IF(INDEX(EntryDep,$P368)=0,"",INDEX(EntryDep,$P368)))</f>
        <v/>
      </c>
      <c r="I368" s="29">
        <f>IF($P368="","",IF(INDEX(EntryWit,$P368)=0,"",INDEX(EntryWit,$P368)))</f>
        <v/>
      </c>
      <c r="J368" s="29">
        <f>IF($B368="","",IF($A368=1,$C$7,IF(J367="",0,J367))+IF($H368="",0,$H368)-IF($I368="",0,$I368))</f>
        <v/>
      </c>
      <c r="K368" s="29">
        <f>IF($P368="","",IF(INDEX(EntryMan,$P368)=0,"",INDEX(EntryMan,$P368)))</f>
        <v/>
      </c>
      <c r="L368" s="28">
        <f>IF($B368="","",IF($K368="","—",IF(ROUND($K368-$J368,0)=0,"√","×")))</f>
        <v/>
      </c>
      <c r="M368" s="28">
        <f>IF($B368="","",IF(COUNTIFS(EntryDates,$B368,CalcTime,$C368,CalcBank,$C$5,EntryParty,$D368,EntryDep,$H368,EntryWit,$I368)&gt;1,"تکرار",""))</f>
        <v/>
      </c>
      <c r="N368" s="28">
        <f>IF($P368="","",IF(INDEX(EntryNotes,$P368)=0,"",INDEX(EntryNotes,$P368)))</f>
        <v/>
      </c>
      <c r="O368" s="28">
        <f>IF($P368="","",IF(INDEX(EntryTxnID,$P368)=0,"",INDEX(EntryTxnID,$P368)))</f>
        <v/>
      </c>
      <c r="P368" s="28">
        <f>IFERROR(MATCH($C$5&amp;"|"&amp;RIGHT("000000"&amp;352,6),CalcRankKey,0),"")</f>
        <v/>
      </c>
    </row>
    <row r="369">
      <c r="A369" s="26">
        <f>IF($B369="","",353)</f>
        <v/>
      </c>
      <c r="B369" s="26">
        <f>IF($P369="","",IF(INDEX(CalcNormDate,$P369)=0,"",INDEX(CalcNormDate,$P369)))</f>
        <v/>
      </c>
      <c r="C369" s="26">
        <f>IF($P369="","",IF(INDEX(CalcTime,$P369)=0,"",INDEX(CalcTime,$P369)))</f>
        <v/>
      </c>
      <c r="D369" s="26">
        <f>IF($P369="","",IF(INDEX(EntryParty,$P369)=0,"",INDEX(EntryParty,$P369)))</f>
        <v/>
      </c>
      <c r="E369" s="26">
        <f>IF($P369="","",IF(INDEX(EntryPartyName,$P369)=0,"",INDEX(EntryPartyName,$P369)))</f>
        <v/>
      </c>
      <c r="F369" s="26">
        <f>IF($P369="","",IF(INDEX(EntryPartyType,$P369)=0,"",INDEX(EntryPartyType,$P369)))</f>
        <v/>
      </c>
      <c r="G369" s="26">
        <f>IF($P369="","",IF(INDEX(EntryTxnType,$P369)=0,"",INDEX(EntryTxnType,$P369)))</f>
        <v/>
      </c>
      <c r="H369" s="27">
        <f>IF($P369="","",IF(INDEX(EntryDep,$P369)=0,"",INDEX(EntryDep,$P369)))</f>
        <v/>
      </c>
      <c r="I369" s="27">
        <f>IF($P369="","",IF(INDEX(EntryWit,$P369)=0,"",INDEX(EntryWit,$P369)))</f>
        <v/>
      </c>
      <c r="J369" s="27">
        <f>IF($B369="","",IF($A369=1,$C$7,IF(J368="",0,J368))+IF($H369="",0,$H369)-IF($I369="",0,$I369))</f>
        <v/>
      </c>
      <c r="K369" s="27">
        <f>IF($P369="","",IF(INDEX(EntryMan,$P369)=0,"",INDEX(EntryMan,$P369)))</f>
        <v/>
      </c>
      <c r="L369" s="26">
        <f>IF($B369="","",IF($K369="","—",IF(ROUND($K369-$J369,0)=0,"√","×")))</f>
        <v/>
      </c>
      <c r="M369" s="26">
        <f>IF($B369="","",IF(COUNTIFS(EntryDates,$B369,CalcTime,$C369,CalcBank,$C$5,EntryParty,$D369,EntryDep,$H369,EntryWit,$I369)&gt;1,"تکرار",""))</f>
        <v/>
      </c>
      <c r="N369" s="26">
        <f>IF($P369="","",IF(INDEX(EntryNotes,$P369)=0,"",INDEX(EntryNotes,$P369)))</f>
        <v/>
      </c>
      <c r="O369" s="26">
        <f>IF($P369="","",IF(INDEX(EntryTxnID,$P369)=0,"",INDEX(EntryTxnID,$P369)))</f>
        <v/>
      </c>
      <c r="P369" s="26">
        <f>IFERROR(MATCH($C$5&amp;"|"&amp;RIGHT("000000"&amp;353,6),CalcRankKey,0),"")</f>
        <v/>
      </c>
    </row>
    <row r="370">
      <c r="A370" s="28">
        <f>IF($B370="","",354)</f>
        <v/>
      </c>
      <c r="B370" s="28">
        <f>IF($P370="","",IF(INDEX(CalcNormDate,$P370)=0,"",INDEX(CalcNormDate,$P370)))</f>
        <v/>
      </c>
      <c r="C370" s="28">
        <f>IF($P370="","",IF(INDEX(CalcTime,$P370)=0,"",INDEX(CalcTime,$P370)))</f>
        <v/>
      </c>
      <c r="D370" s="28">
        <f>IF($P370="","",IF(INDEX(EntryParty,$P370)=0,"",INDEX(EntryParty,$P370)))</f>
        <v/>
      </c>
      <c r="E370" s="28">
        <f>IF($P370="","",IF(INDEX(EntryPartyName,$P370)=0,"",INDEX(EntryPartyName,$P370)))</f>
        <v/>
      </c>
      <c r="F370" s="28">
        <f>IF($P370="","",IF(INDEX(EntryPartyType,$P370)=0,"",INDEX(EntryPartyType,$P370)))</f>
        <v/>
      </c>
      <c r="G370" s="28">
        <f>IF($P370="","",IF(INDEX(EntryTxnType,$P370)=0,"",INDEX(EntryTxnType,$P370)))</f>
        <v/>
      </c>
      <c r="H370" s="29">
        <f>IF($P370="","",IF(INDEX(EntryDep,$P370)=0,"",INDEX(EntryDep,$P370)))</f>
        <v/>
      </c>
      <c r="I370" s="29">
        <f>IF($P370="","",IF(INDEX(EntryWit,$P370)=0,"",INDEX(EntryWit,$P370)))</f>
        <v/>
      </c>
      <c r="J370" s="29">
        <f>IF($B370="","",IF($A370=1,$C$7,IF(J369="",0,J369))+IF($H370="",0,$H370)-IF($I370="",0,$I370))</f>
        <v/>
      </c>
      <c r="K370" s="29">
        <f>IF($P370="","",IF(INDEX(EntryMan,$P370)=0,"",INDEX(EntryMan,$P370)))</f>
        <v/>
      </c>
      <c r="L370" s="28">
        <f>IF($B370="","",IF($K370="","—",IF(ROUND($K370-$J370,0)=0,"√","×")))</f>
        <v/>
      </c>
      <c r="M370" s="28">
        <f>IF($B370="","",IF(COUNTIFS(EntryDates,$B370,CalcTime,$C370,CalcBank,$C$5,EntryParty,$D370,EntryDep,$H370,EntryWit,$I370)&gt;1,"تکرار",""))</f>
        <v/>
      </c>
      <c r="N370" s="28">
        <f>IF($P370="","",IF(INDEX(EntryNotes,$P370)=0,"",INDEX(EntryNotes,$P370)))</f>
        <v/>
      </c>
      <c r="O370" s="28">
        <f>IF($P370="","",IF(INDEX(EntryTxnID,$P370)=0,"",INDEX(EntryTxnID,$P370)))</f>
        <v/>
      </c>
      <c r="P370" s="28">
        <f>IFERROR(MATCH($C$5&amp;"|"&amp;RIGHT("000000"&amp;354,6),CalcRankKey,0),"")</f>
        <v/>
      </c>
    </row>
    <row r="371">
      <c r="A371" s="26">
        <f>IF($B371="","",355)</f>
        <v/>
      </c>
      <c r="B371" s="26">
        <f>IF($P371="","",IF(INDEX(CalcNormDate,$P371)=0,"",INDEX(CalcNormDate,$P371)))</f>
        <v/>
      </c>
      <c r="C371" s="26">
        <f>IF($P371="","",IF(INDEX(CalcTime,$P371)=0,"",INDEX(CalcTime,$P371)))</f>
        <v/>
      </c>
      <c r="D371" s="26">
        <f>IF($P371="","",IF(INDEX(EntryParty,$P371)=0,"",INDEX(EntryParty,$P371)))</f>
        <v/>
      </c>
      <c r="E371" s="26">
        <f>IF($P371="","",IF(INDEX(EntryPartyName,$P371)=0,"",INDEX(EntryPartyName,$P371)))</f>
        <v/>
      </c>
      <c r="F371" s="26">
        <f>IF($P371="","",IF(INDEX(EntryPartyType,$P371)=0,"",INDEX(EntryPartyType,$P371)))</f>
        <v/>
      </c>
      <c r="G371" s="26">
        <f>IF($P371="","",IF(INDEX(EntryTxnType,$P371)=0,"",INDEX(EntryTxnType,$P371)))</f>
        <v/>
      </c>
      <c r="H371" s="27">
        <f>IF($P371="","",IF(INDEX(EntryDep,$P371)=0,"",INDEX(EntryDep,$P371)))</f>
        <v/>
      </c>
      <c r="I371" s="27">
        <f>IF($P371="","",IF(INDEX(EntryWit,$P371)=0,"",INDEX(EntryWit,$P371)))</f>
        <v/>
      </c>
      <c r="J371" s="27">
        <f>IF($B371="","",IF($A371=1,$C$7,IF(J370="",0,J370))+IF($H371="",0,$H371)-IF($I371="",0,$I371))</f>
        <v/>
      </c>
      <c r="K371" s="27">
        <f>IF($P371="","",IF(INDEX(EntryMan,$P371)=0,"",INDEX(EntryMan,$P371)))</f>
        <v/>
      </c>
      <c r="L371" s="26">
        <f>IF($B371="","",IF($K371="","—",IF(ROUND($K371-$J371,0)=0,"√","×")))</f>
        <v/>
      </c>
      <c r="M371" s="26">
        <f>IF($B371="","",IF(COUNTIFS(EntryDates,$B371,CalcTime,$C371,CalcBank,$C$5,EntryParty,$D371,EntryDep,$H371,EntryWit,$I371)&gt;1,"تکرار",""))</f>
        <v/>
      </c>
      <c r="N371" s="26">
        <f>IF($P371="","",IF(INDEX(EntryNotes,$P371)=0,"",INDEX(EntryNotes,$P371)))</f>
        <v/>
      </c>
      <c r="O371" s="26">
        <f>IF($P371="","",IF(INDEX(EntryTxnID,$P371)=0,"",INDEX(EntryTxnID,$P371)))</f>
        <v/>
      </c>
      <c r="P371" s="26">
        <f>IFERROR(MATCH($C$5&amp;"|"&amp;RIGHT("000000"&amp;355,6),CalcRankKey,0),"")</f>
        <v/>
      </c>
    </row>
    <row r="372">
      <c r="A372" s="28">
        <f>IF($B372="","",356)</f>
        <v/>
      </c>
      <c r="B372" s="28">
        <f>IF($P372="","",IF(INDEX(CalcNormDate,$P372)=0,"",INDEX(CalcNormDate,$P372)))</f>
        <v/>
      </c>
      <c r="C372" s="28">
        <f>IF($P372="","",IF(INDEX(CalcTime,$P372)=0,"",INDEX(CalcTime,$P372)))</f>
        <v/>
      </c>
      <c r="D372" s="28">
        <f>IF($P372="","",IF(INDEX(EntryParty,$P372)=0,"",INDEX(EntryParty,$P372)))</f>
        <v/>
      </c>
      <c r="E372" s="28">
        <f>IF($P372="","",IF(INDEX(EntryPartyName,$P372)=0,"",INDEX(EntryPartyName,$P372)))</f>
        <v/>
      </c>
      <c r="F372" s="28">
        <f>IF($P372="","",IF(INDEX(EntryPartyType,$P372)=0,"",INDEX(EntryPartyType,$P372)))</f>
        <v/>
      </c>
      <c r="G372" s="28">
        <f>IF($P372="","",IF(INDEX(EntryTxnType,$P372)=0,"",INDEX(EntryTxnType,$P372)))</f>
        <v/>
      </c>
      <c r="H372" s="29">
        <f>IF($P372="","",IF(INDEX(EntryDep,$P372)=0,"",INDEX(EntryDep,$P372)))</f>
        <v/>
      </c>
      <c r="I372" s="29">
        <f>IF($P372="","",IF(INDEX(EntryWit,$P372)=0,"",INDEX(EntryWit,$P372)))</f>
        <v/>
      </c>
      <c r="J372" s="29">
        <f>IF($B372="","",IF($A372=1,$C$7,IF(J371="",0,J371))+IF($H372="",0,$H372)-IF($I372="",0,$I372))</f>
        <v/>
      </c>
      <c r="K372" s="29">
        <f>IF($P372="","",IF(INDEX(EntryMan,$P372)=0,"",INDEX(EntryMan,$P372)))</f>
        <v/>
      </c>
      <c r="L372" s="28">
        <f>IF($B372="","",IF($K372="","—",IF(ROUND($K372-$J372,0)=0,"√","×")))</f>
        <v/>
      </c>
      <c r="M372" s="28">
        <f>IF($B372="","",IF(COUNTIFS(EntryDates,$B372,CalcTime,$C372,CalcBank,$C$5,EntryParty,$D372,EntryDep,$H372,EntryWit,$I372)&gt;1,"تکرار",""))</f>
        <v/>
      </c>
      <c r="N372" s="28">
        <f>IF($P372="","",IF(INDEX(EntryNotes,$P372)=0,"",INDEX(EntryNotes,$P372)))</f>
        <v/>
      </c>
      <c r="O372" s="28">
        <f>IF($P372="","",IF(INDEX(EntryTxnID,$P372)=0,"",INDEX(EntryTxnID,$P372)))</f>
        <v/>
      </c>
      <c r="P372" s="28">
        <f>IFERROR(MATCH($C$5&amp;"|"&amp;RIGHT("000000"&amp;356,6),CalcRankKey,0),"")</f>
        <v/>
      </c>
    </row>
    <row r="373">
      <c r="A373" s="26">
        <f>IF($B373="","",357)</f>
        <v/>
      </c>
      <c r="B373" s="26">
        <f>IF($P373="","",IF(INDEX(CalcNormDate,$P373)=0,"",INDEX(CalcNormDate,$P373)))</f>
        <v/>
      </c>
      <c r="C373" s="26">
        <f>IF($P373="","",IF(INDEX(CalcTime,$P373)=0,"",INDEX(CalcTime,$P373)))</f>
        <v/>
      </c>
      <c r="D373" s="26">
        <f>IF($P373="","",IF(INDEX(EntryParty,$P373)=0,"",INDEX(EntryParty,$P373)))</f>
        <v/>
      </c>
      <c r="E373" s="26">
        <f>IF($P373="","",IF(INDEX(EntryPartyName,$P373)=0,"",INDEX(EntryPartyName,$P373)))</f>
        <v/>
      </c>
      <c r="F373" s="26">
        <f>IF($P373="","",IF(INDEX(EntryPartyType,$P373)=0,"",INDEX(EntryPartyType,$P373)))</f>
        <v/>
      </c>
      <c r="G373" s="26">
        <f>IF($P373="","",IF(INDEX(EntryTxnType,$P373)=0,"",INDEX(EntryTxnType,$P373)))</f>
        <v/>
      </c>
      <c r="H373" s="27">
        <f>IF($P373="","",IF(INDEX(EntryDep,$P373)=0,"",INDEX(EntryDep,$P373)))</f>
        <v/>
      </c>
      <c r="I373" s="27">
        <f>IF($P373="","",IF(INDEX(EntryWit,$P373)=0,"",INDEX(EntryWit,$P373)))</f>
        <v/>
      </c>
      <c r="J373" s="27">
        <f>IF($B373="","",IF($A373=1,$C$7,IF(J372="",0,J372))+IF($H373="",0,$H373)-IF($I373="",0,$I373))</f>
        <v/>
      </c>
      <c r="K373" s="27">
        <f>IF($P373="","",IF(INDEX(EntryMan,$P373)=0,"",INDEX(EntryMan,$P373)))</f>
        <v/>
      </c>
      <c r="L373" s="26">
        <f>IF($B373="","",IF($K373="","—",IF(ROUND($K373-$J373,0)=0,"√","×")))</f>
        <v/>
      </c>
      <c r="M373" s="26">
        <f>IF($B373="","",IF(COUNTIFS(EntryDates,$B373,CalcTime,$C373,CalcBank,$C$5,EntryParty,$D373,EntryDep,$H373,EntryWit,$I373)&gt;1,"تکرار",""))</f>
        <v/>
      </c>
      <c r="N373" s="26">
        <f>IF($P373="","",IF(INDEX(EntryNotes,$P373)=0,"",INDEX(EntryNotes,$P373)))</f>
        <v/>
      </c>
      <c r="O373" s="26">
        <f>IF($P373="","",IF(INDEX(EntryTxnID,$P373)=0,"",INDEX(EntryTxnID,$P373)))</f>
        <v/>
      </c>
      <c r="P373" s="26">
        <f>IFERROR(MATCH($C$5&amp;"|"&amp;RIGHT("000000"&amp;357,6),CalcRankKey,0),"")</f>
        <v/>
      </c>
    </row>
    <row r="374">
      <c r="A374" s="28">
        <f>IF($B374="","",358)</f>
        <v/>
      </c>
      <c r="B374" s="28">
        <f>IF($P374="","",IF(INDEX(CalcNormDate,$P374)=0,"",INDEX(CalcNormDate,$P374)))</f>
        <v/>
      </c>
      <c r="C374" s="28">
        <f>IF($P374="","",IF(INDEX(CalcTime,$P374)=0,"",INDEX(CalcTime,$P374)))</f>
        <v/>
      </c>
      <c r="D374" s="28">
        <f>IF($P374="","",IF(INDEX(EntryParty,$P374)=0,"",INDEX(EntryParty,$P374)))</f>
        <v/>
      </c>
      <c r="E374" s="28">
        <f>IF($P374="","",IF(INDEX(EntryPartyName,$P374)=0,"",INDEX(EntryPartyName,$P374)))</f>
        <v/>
      </c>
      <c r="F374" s="28">
        <f>IF($P374="","",IF(INDEX(EntryPartyType,$P374)=0,"",INDEX(EntryPartyType,$P374)))</f>
        <v/>
      </c>
      <c r="G374" s="28">
        <f>IF($P374="","",IF(INDEX(EntryTxnType,$P374)=0,"",INDEX(EntryTxnType,$P374)))</f>
        <v/>
      </c>
      <c r="H374" s="29">
        <f>IF($P374="","",IF(INDEX(EntryDep,$P374)=0,"",INDEX(EntryDep,$P374)))</f>
        <v/>
      </c>
      <c r="I374" s="29">
        <f>IF($P374="","",IF(INDEX(EntryWit,$P374)=0,"",INDEX(EntryWit,$P374)))</f>
        <v/>
      </c>
      <c r="J374" s="29">
        <f>IF($B374="","",IF($A374=1,$C$7,IF(J373="",0,J373))+IF($H374="",0,$H374)-IF($I374="",0,$I374))</f>
        <v/>
      </c>
      <c r="K374" s="29">
        <f>IF($P374="","",IF(INDEX(EntryMan,$P374)=0,"",INDEX(EntryMan,$P374)))</f>
        <v/>
      </c>
      <c r="L374" s="28">
        <f>IF($B374="","",IF($K374="","—",IF(ROUND($K374-$J374,0)=0,"√","×")))</f>
        <v/>
      </c>
      <c r="M374" s="28">
        <f>IF($B374="","",IF(COUNTIFS(EntryDates,$B374,CalcTime,$C374,CalcBank,$C$5,EntryParty,$D374,EntryDep,$H374,EntryWit,$I374)&gt;1,"تکرار",""))</f>
        <v/>
      </c>
      <c r="N374" s="28">
        <f>IF($P374="","",IF(INDEX(EntryNotes,$P374)=0,"",INDEX(EntryNotes,$P374)))</f>
        <v/>
      </c>
      <c r="O374" s="28">
        <f>IF($P374="","",IF(INDEX(EntryTxnID,$P374)=0,"",INDEX(EntryTxnID,$P374)))</f>
        <v/>
      </c>
      <c r="P374" s="28">
        <f>IFERROR(MATCH($C$5&amp;"|"&amp;RIGHT("000000"&amp;358,6),CalcRankKey,0),"")</f>
        <v/>
      </c>
    </row>
    <row r="375">
      <c r="A375" s="26">
        <f>IF($B375="","",359)</f>
        <v/>
      </c>
      <c r="B375" s="26">
        <f>IF($P375="","",IF(INDEX(CalcNormDate,$P375)=0,"",INDEX(CalcNormDate,$P375)))</f>
        <v/>
      </c>
      <c r="C375" s="26">
        <f>IF($P375="","",IF(INDEX(CalcTime,$P375)=0,"",INDEX(CalcTime,$P375)))</f>
        <v/>
      </c>
      <c r="D375" s="26">
        <f>IF($P375="","",IF(INDEX(EntryParty,$P375)=0,"",INDEX(EntryParty,$P375)))</f>
        <v/>
      </c>
      <c r="E375" s="26">
        <f>IF($P375="","",IF(INDEX(EntryPartyName,$P375)=0,"",INDEX(EntryPartyName,$P375)))</f>
        <v/>
      </c>
      <c r="F375" s="26">
        <f>IF($P375="","",IF(INDEX(EntryPartyType,$P375)=0,"",INDEX(EntryPartyType,$P375)))</f>
        <v/>
      </c>
      <c r="G375" s="26">
        <f>IF($P375="","",IF(INDEX(EntryTxnType,$P375)=0,"",INDEX(EntryTxnType,$P375)))</f>
        <v/>
      </c>
      <c r="H375" s="27">
        <f>IF($P375="","",IF(INDEX(EntryDep,$P375)=0,"",INDEX(EntryDep,$P375)))</f>
        <v/>
      </c>
      <c r="I375" s="27">
        <f>IF($P375="","",IF(INDEX(EntryWit,$P375)=0,"",INDEX(EntryWit,$P375)))</f>
        <v/>
      </c>
      <c r="J375" s="27">
        <f>IF($B375="","",IF($A375=1,$C$7,IF(J374="",0,J374))+IF($H375="",0,$H375)-IF($I375="",0,$I375))</f>
        <v/>
      </c>
      <c r="K375" s="27">
        <f>IF($P375="","",IF(INDEX(EntryMan,$P375)=0,"",INDEX(EntryMan,$P375)))</f>
        <v/>
      </c>
      <c r="L375" s="26">
        <f>IF($B375="","",IF($K375="","—",IF(ROUND($K375-$J375,0)=0,"√","×")))</f>
        <v/>
      </c>
      <c r="M375" s="26">
        <f>IF($B375="","",IF(COUNTIFS(EntryDates,$B375,CalcTime,$C375,CalcBank,$C$5,EntryParty,$D375,EntryDep,$H375,EntryWit,$I375)&gt;1,"تکرار",""))</f>
        <v/>
      </c>
      <c r="N375" s="26">
        <f>IF($P375="","",IF(INDEX(EntryNotes,$P375)=0,"",INDEX(EntryNotes,$P375)))</f>
        <v/>
      </c>
      <c r="O375" s="26">
        <f>IF($P375="","",IF(INDEX(EntryTxnID,$P375)=0,"",INDEX(EntryTxnID,$P375)))</f>
        <v/>
      </c>
      <c r="P375" s="26">
        <f>IFERROR(MATCH($C$5&amp;"|"&amp;RIGHT("000000"&amp;359,6),CalcRankKey,0),"")</f>
        <v/>
      </c>
    </row>
    <row r="376">
      <c r="A376" s="28">
        <f>IF($B376="","",360)</f>
        <v/>
      </c>
      <c r="B376" s="28">
        <f>IF($P376="","",IF(INDEX(CalcNormDate,$P376)=0,"",INDEX(CalcNormDate,$P376)))</f>
        <v/>
      </c>
      <c r="C376" s="28">
        <f>IF($P376="","",IF(INDEX(CalcTime,$P376)=0,"",INDEX(CalcTime,$P376)))</f>
        <v/>
      </c>
      <c r="D376" s="28">
        <f>IF($P376="","",IF(INDEX(EntryParty,$P376)=0,"",INDEX(EntryParty,$P376)))</f>
        <v/>
      </c>
      <c r="E376" s="28">
        <f>IF($P376="","",IF(INDEX(EntryPartyName,$P376)=0,"",INDEX(EntryPartyName,$P376)))</f>
        <v/>
      </c>
      <c r="F376" s="28">
        <f>IF($P376="","",IF(INDEX(EntryPartyType,$P376)=0,"",INDEX(EntryPartyType,$P376)))</f>
        <v/>
      </c>
      <c r="G376" s="28">
        <f>IF($P376="","",IF(INDEX(EntryTxnType,$P376)=0,"",INDEX(EntryTxnType,$P376)))</f>
        <v/>
      </c>
      <c r="H376" s="29">
        <f>IF($P376="","",IF(INDEX(EntryDep,$P376)=0,"",INDEX(EntryDep,$P376)))</f>
        <v/>
      </c>
      <c r="I376" s="29">
        <f>IF($P376="","",IF(INDEX(EntryWit,$P376)=0,"",INDEX(EntryWit,$P376)))</f>
        <v/>
      </c>
      <c r="J376" s="29">
        <f>IF($B376="","",IF($A376=1,$C$7,IF(J375="",0,J375))+IF($H376="",0,$H376)-IF($I376="",0,$I376))</f>
        <v/>
      </c>
      <c r="K376" s="29">
        <f>IF($P376="","",IF(INDEX(EntryMan,$P376)=0,"",INDEX(EntryMan,$P376)))</f>
        <v/>
      </c>
      <c r="L376" s="28">
        <f>IF($B376="","",IF($K376="","—",IF(ROUND($K376-$J376,0)=0,"√","×")))</f>
        <v/>
      </c>
      <c r="M376" s="28">
        <f>IF($B376="","",IF(COUNTIFS(EntryDates,$B376,CalcTime,$C376,CalcBank,$C$5,EntryParty,$D376,EntryDep,$H376,EntryWit,$I376)&gt;1,"تکرار",""))</f>
        <v/>
      </c>
      <c r="N376" s="28">
        <f>IF($P376="","",IF(INDEX(EntryNotes,$P376)=0,"",INDEX(EntryNotes,$P376)))</f>
        <v/>
      </c>
      <c r="O376" s="28">
        <f>IF($P376="","",IF(INDEX(EntryTxnID,$P376)=0,"",INDEX(EntryTxnID,$P376)))</f>
        <v/>
      </c>
      <c r="P376" s="28">
        <f>IFERROR(MATCH($C$5&amp;"|"&amp;RIGHT("000000"&amp;360,6),CalcRankKey,0),"")</f>
        <v/>
      </c>
    </row>
    <row r="377">
      <c r="A377" s="26">
        <f>IF($B377="","",361)</f>
        <v/>
      </c>
      <c r="B377" s="26">
        <f>IF($P377="","",IF(INDEX(CalcNormDate,$P377)=0,"",INDEX(CalcNormDate,$P377)))</f>
        <v/>
      </c>
      <c r="C377" s="26">
        <f>IF($P377="","",IF(INDEX(CalcTime,$P377)=0,"",INDEX(CalcTime,$P377)))</f>
        <v/>
      </c>
      <c r="D377" s="26">
        <f>IF($P377="","",IF(INDEX(EntryParty,$P377)=0,"",INDEX(EntryParty,$P377)))</f>
        <v/>
      </c>
      <c r="E377" s="26">
        <f>IF($P377="","",IF(INDEX(EntryPartyName,$P377)=0,"",INDEX(EntryPartyName,$P377)))</f>
        <v/>
      </c>
      <c r="F377" s="26">
        <f>IF($P377="","",IF(INDEX(EntryPartyType,$P377)=0,"",INDEX(EntryPartyType,$P377)))</f>
        <v/>
      </c>
      <c r="G377" s="26">
        <f>IF($P377="","",IF(INDEX(EntryTxnType,$P377)=0,"",INDEX(EntryTxnType,$P377)))</f>
        <v/>
      </c>
      <c r="H377" s="27">
        <f>IF($P377="","",IF(INDEX(EntryDep,$P377)=0,"",INDEX(EntryDep,$P377)))</f>
        <v/>
      </c>
      <c r="I377" s="27">
        <f>IF($P377="","",IF(INDEX(EntryWit,$P377)=0,"",INDEX(EntryWit,$P377)))</f>
        <v/>
      </c>
      <c r="J377" s="27">
        <f>IF($B377="","",IF($A377=1,$C$7,IF(J376="",0,J376))+IF($H377="",0,$H377)-IF($I377="",0,$I377))</f>
        <v/>
      </c>
      <c r="K377" s="27">
        <f>IF($P377="","",IF(INDEX(EntryMan,$P377)=0,"",INDEX(EntryMan,$P377)))</f>
        <v/>
      </c>
      <c r="L377" s="26">
        <f>IF($B377="","",IF($K377="","—",IF(ROUND($K377-$J377,0)=0,"√","×")))</f>
        <v/>
      </c>
      <c r="M377" s="26">
        <f>IF($B377="","",IF(COUNTIFS(EntryDates,$B377,CalcTime,$C377,CalcBank,$C$5,EntryParty,$D377,EntryDep,$H377,EntryWit,$I377)&gt;1,"تکرار",""))</f>
        <v/>
      </c>
      <c r="N377" s="26">
        <f>IF($P377="","",IF(INDEX(EntryNotes,$P377)=0,"",INDEX(EntryNotes,$P377)))</f>
        <v/>
      </c>
      <c r="O377" s="26">
        <f>IF($P377="","",IF(INDEX(EntryTxnID,$P377)=0,"",INDEX(EntryTxnID,$P377)))</f>
        <v/>
      </c>
      <c r="P377" s="26">
        <f>IFERROR(MATCH($C$5&amp;"|"&amp;RIGHT("000000"&amp;361,6),CalcRankKey,0),"")</f>
        <v/>
      </c>
    </row>
    <row r="378">
      <c r="A378" s="28">
        <f>IF($B378="","",362)</f>
        <v/>
      </c>
      <c r="B378" s="28">
        <f>IF($P378="","",IF(INDEX(CalcNormDate,$P378)=0,"",INDEX(CalcNormDate,$P378)))</f>
        <v/>
      </c>
      <c r="C378" s="28">
        <f>IF($P378="","",IF(INDEX(CalcTime,$P378)=0,"",INDEX(CalcTime,$P378)))</f>
        <v/>
      </c>
      <c r="D378" s="28">
        <f>IF($P378="","",IF(INDEX(EntryParty,$P378)=0,"",INDEX(EntryParty,$P378)))</f>
        <v/>
      </c>
      <c r="E378" s="28">
        <f>IF($P378="","",IF(INDEX(EntryPartyName,$P378)=0,"",INDEX(EntryPartyName,$P378)))</f>
        <v/>
      </c>
      <c r="F378" s="28">
        <f>IF($P378="","",IF(INDEX(EntryPartyType,$P378)=0,"",INDEX(EntryPartyType,$P378)))</f>
        <v/>
      </c>
      <c r="G378" s="28">
        <f>IF($P378="","",IF(INDEX(EntryTxnType,$P378)=0,"",INDEX(EntryTxnType,$P378)))</f>
        <v/>
      </c>
      <c r="H378" s="29">
        <f>IF($P378="","",IF(INDEX(EntryDep,$P378)=0,"",INDEX(EntryDep,$P378)))</f>
        <v/>
      </c>
      <c r="I378" s="29">
        <f>IF($P378="","",IF(INDEX(EntryWit,$P378)=0,"",INDEX(EntryWit,$P378)))</f>
        <v/>
      </c>
      <c r="J378" s="29">
        <f>IF($B378="","",IF($A378=1,$C$7,IF(J377="",0,J377))+IF($H378="",0,$H378)-IF($I378="",0,$I378))</f>
        <v/>
      </c>
      <c r="K378" s="29">
        <f>IF($P378="","",IF(INDEX(EntryMan,$P378)=0,"",INDEX(EntryMan,$P378)))</f>
        <v/>
      </c>
      <c r="L378" s="28">
        <f>IF($B378="","",IF($K378="","—",IF(ROUND($K378-$J378,0)=0,"√","×")))</f>
        <v/>
      </c>
      <c r="M378" s="28">
        <f>IF($B378="","",IF(COUNTIFS(EntryDates,$B378,CalcTime,$C378,CalcBank,$C$5,EntryParty,$D378,EntryDep,$H378,EntryWit,$I378)&gt;1,"تکرار",""))</f>
        <v/>
      </c>
      <c r="N378" s="28">
        <f>IF($P378="","",IF(INDEX(EntryNotes,$P378)=0,"",INDEX(EntryNotes,$P378)))</f>
        <v/>
      </c>
      <c r="O378" s="28">
        <f>IF($P378="","",IF(INDEX(EntryTxnID,$P378)=0,"",INDEX(EntryTxnID,$P378)))</f>
        <v/>
      </c>
      <c r="P378" s="28">
        <f>IFERROR(MATCH($C$5&amp;"|"&amp;RIGHT("000000"&amp;362,6),CalcRankKey,0),"")</f>
        <v/>
      </c>
    </row>
    <row r="379">
      <c r="A379" s="26">
        <f>IF($B379="","",363)</f>
        <v/>
      </c>
      <c r="B379" s="26">
        <f>IF($P379="","",IF(INDEX(CalcNormDate,$P379)=0,"",INDEX(CalcNormDate,$P379)))</f>
        <v/>
      </c>
      <c r="C379" s="26">
        <f>IF($P379="","",IF(INDEX(CalcTime,$P379)=0,"",INDEX(CalcTime,$P379)))</f>
        <v/>
      </c>
      <c r="D379" s="26">
        <f>IF($P379="","",IF(INDEX(EntryParty,$P379)=0,"",INDEX(EntryParty,$P379)))</f>
        <v/>
      </c>
      <c r="E379" s="26">
        <f>IF($P379="","",IF(INDEX(EntryPartyName,$P379)=0,"",INDEX(EntryPartyName,$P379)))</f>
        <v/>
      </c>
      <c r="F379" s="26">
        <f>IF($P379="","",IF(INDEX(EntryPartyType,$P379)=0,"",INDEX(EntryPartyType,$P379)))</f>
        <v/>
      </c>
      <c r="G379" s="26">
        <f>IF($P379="","",IF(INDEX(EntryTxnType,$P379)=0,"",INDEX(EntryTxnType,$P379)))</f>
        <v/>
      </c>
      <c r="H379" s="27">
        <f>IF($P379="","",IF(INDEX(EntryDep,$P379)=0,"",INDEX(EntryDep,$P379)))</f>
        <v/>
      </c>
      <c r="I379" s="27">
        <f>IF($P379="","",IF(INDEX(EntryWit,$P379)=0,"",INDEX(EntryWit,$P379)))</f>
        <v/>
      </c>
      <c r="J379" s="27">
        <f>IF($B379="","",IF($A379=1,$C$7,IF(J378="",0,J378))+IF($H379="",0,$H379)-IF($I379="",0,$I379))</f>
        <v/>
      </c>
      <c r="K379" s="27">
        <f>IF($P379="","",IF(INDEX(EntryMan,$P379)=0,"",INDEX(EntryMan,$P379)))</f>
        <v/>
      </c>
      <c r="L379" s="26">
        <f>IF($B379="","",IF($K379="","—",IF(ROUND($K379-$J379,0)=0,"√","×")))</f>
        <v/>
      </c>
      <c r="M379" s="26">
        <f>IF($B379="","",IF(COUNTIFS(EntryDates,$B379,CalcTime,$C379,CalcBank,$C$5,EntryParty,$D379,EntryDep,$H379,EntryWit,$I379)&gt;1,"تکرار",""))</f>
        <v/>
      </c>
      <c r="N379" s="26">
        <f>IF($P379="","",IF(INDEX(EntryNotes,$P379)=0,"",INDEX(EntryNotes,$P379)))</f>
        <v/>
      </c>
      <c r="O379" s="26">
        <f>IF($P379="","",IF(INDEX(EntryTxnID,$P379)=0,"",INDEX(EntryTxnID,$P379)))</f>
        <v/>
      </c>
      <c r="P379" s="26">
        <f>IFERROR(MATCH($C$5&amp;"|"&amp;RIGHT("000000"&amp;363,6),CalcRankKey,0),"")</f>
        <v/>
      </c>
    </row>
    <row r="380">
      <c r="A380" s="28">
        <f>IF($B380="","",364)</f>
        <v/>
      </c>
      <c r="B380" s="28">
        <f>IF($P380="","",IF(INDEX(CalcNormDate,$P380)=0,"",INDEX(CalcNormDate,$P380)))</f>
        <v/>
      </c>
      <c r="C380" s="28">
        <f>IF($P380="","",IF(INDEX(CalcTime,$P380)=0,"",INDEX(CalcTime,$P380)))</f>
        <v/>
      </c>
      <c r="D380" s="28">
        <f>IF($P380="","",IF(INDEX(EntryParty,$P380)=0,"",INDEX(EntryParty,$P380)))</f>
        <v/>
      </c>
      <c r="E380" s="28">
        <f>IF($P380="","",IF(INDEX(EntryPartyName,$P380)=0,"",INDEX(EntryPartyName,$P380)))</f>
        <v/>
      </c>
      <c r="F380" s="28">
        <f>IF($P380="","",IF(INDEX(EntryPartyType,$P380)=0,"",INDEX(EntryPartyType,$P380)))</f>
        <v/>
      </c>
      <c r="G380" s="28">
        <f>IF($P380="","",IF(INDEX(EntryTxnType,$P380)=0,"",INDEX(EntryTxnType,$P380)))</f>
        <v/>
      </c>
      <c r="H380" s="29">
        <f>IF($P380="","",IF(INDEX(EntryDep,$P380)=0,"",INDEX(EntryDep,$P380)))</f>
        <v/>
      </c>
      <c r="I380" s="29">
        <f>IF($P380="","",IF(INDEX(EntryWit,$P380)=0,"",INDEX(EntryWit,$P380)))</f>
        <v/>
      </c>
      <c r="J380" s="29">
        <f>IF($B380="","",IF($A380=1,$C$7,IF(J379="",0,J379))+IF($H380="",0,$H380)-IF($I380="",0,$I380))</f>
        <v/>
      </c>
      <c r="K380" s="29">
        <f>IF($P380="","",IF(INDEX(EntryMan,$P380)=0,"",INDEX(EntryMan,$P380)))</f>
        <v/>
      </c>
      <c r="L380" s="28">
        <f>IF($B380="","",IF($K380="","—",IF(ROUND($K380-$J380,0)=0,"√","×")))</f>
        <v/>
      </c>
      <c r="M380" s="28">
        <f>IF($B380="","",IF(COUNTIFS(EntryDates,$B380,CalcTime,$C380,CalcBank,$C$5,EntryParty,$D380,EntryDep,$H380,EntryWit,$I380)&gt;1,"تکرار",""))</f>
        <v/>
      </c>
      <c r="N380" s="28">
        <f>IF($P380="","",IF(INDEX(EntryNotes,$P380)=0,"",INDEX(EntryNotes,$P380)))</f>
        <v/>
      </c>
      <c r="O380" s="28">
        <f>IF($P380="","",IF(INDEX(EntryTxnID,$P380)=0,"",INDEX(EntryTxnID,$P380)))</f>
        <v/>
      </c>
      <c r="P380" s="28">
        <f>IFERROR(MATCH($C$5&amp;"|"&amp;RIGHT("000000"&amp;364,6),CalcRankKey,0),"")</f>
        <v/>
      </c>
    </row>
    <row r="381">
      <c r="A381" s="26">
        <f>IF($B381="","",365)</f>
        <v/>
      </c>
      <c r="B381" s="26">
        <f>IF($P381="","",IF(INDEX(CalcNormDate,$P381)=0,"",INDEX(CalcNormDate,$P381)))</f>
        <v/>
      </c>
      <c r="C381" s="26">
        <f>IF($P381="","",IF(INDEX(CalcTime,$P381)=0,"",INDEX(CalcTime,$P381)))</f>
        <v/>
      </c>
      <c r="D381" s="26">
        <f>IF($P381="","",IF(INDEX(EntryParty,$P381)=0,"",INDEX(EntryParty,$P381)))</f>
        <v/>
      </c>
      <c r="E381" s="26">
        <f>IF($P381="","",IF(INDEX(EntryPartyName,$P381)=0,"",INDEX(EntryPartyName,$P381)))</f>
        <v/>
      </c>
      <c r="F381" s="26">
        <f>IF($P381="","",IF(INDEX(EntryPartyType,$P381)=0,"",INDEX(EntryPartyType,$P381)))</f>
        <v/>
      </c>
      <c r="G381" s="26">
        <f>IF($P381="","",IF(INDEX(EntryTxnType,$P381)=0,"",INDEX(EntryTxnType,$P381)))</f>
        <v/>
      </c>
      <c r="H381" s="27">
        <f>IF($P381="","",IF(INDEX(EntryDep,$P381)=0,"",INDEX(EntryDep,$P381)))</f>
        <v/>
      </c>
      <c r="I381" s="27">
        <f>IF($P381="","",IF(INDEX(EntryWit,$P381)=0,"",INDEX(EntryWit,$P381)))</f>
        <v/>
      </c>
      <c r="J381" s="27">
        <f>IF($B381="","",IF($A381=1,$C$7,IF(J380="",0,J380))+IF($H381="",0,$H381)-IF($I381="",0,$I381))</f>
        <v/>
      </c>
      <c r="K381" s="27">
        <f>IF($P381="","",IF(INDEX(EntryMan,$P381)=0,"",INDEX(EntryMan,$P381)))</f>
        <v/>
      </c>
      <c r="L381" s="26">
        <f>IF($B381="","",IF($K381="","—",IF(ROUND($K381-$J381,0)=0,"√","×")))</f>
        <v/>
      </c>
      <c r="M381" s="26">
        <f>IF($B381="","",IF(COUNTIFS(EntryDates,$B381,CalcTime,$C381,CalcBank,$C$5,EntryParty,$D381,EntryDep,$H381,EntryWit,$I381)&gt;1,"تکرار",""))</f>
        <v/>
      </c>
      <c r="N381" s="26">
        <f>IF($P381="","",IF(INDEX(EntryNotes,$P381)=0,"",INDEX(EntryNotes,$P381)))</f>
        <v/>
      </c>
      <c r="O381" s="26">
        <f>IF($P381="","",IF(INDEX(EntryTxnID,$P381)=0,"",INDEX(EntryTxnID,$P381)))</f>
        <v/>
      </c>
      <c r="P381" s="26">
        <f>IFERROR(MATCH($C$5&amp;"|"&amp;RIGHT("000000"&amp;365,6),CalcRankKey,0),"")</f>
        <v/>
      </c>
    </row>
    <row r="382">
      <c r="A382" s="28">
        <f>IF($B382="","",366)</f>
        <v/>
      </c>
      <c r="B382" s="28">
        <f>IF($P382="","",IF(INDEX(CalcNormDate,$P382)=0,"",INDEX(CalcNormDate,$P382)))</f>
        <v/>
      </c>
      <c r="C382" s="28">
        <f>IF($P382="","",IF(INDEX(CalcTime,$P382)=0,"",INDEX(CalcTime,$P382)))</f>
        <v/>
      </c>
      <c r="D382" s="28">
        <f>IF($P382="","",IF(INDEX(EntryParty,$P382)=0,"",INDEX(EntryParty,$P382)))</f>
        <v/>
      </c>
      <c r="E382" s="28">
        <f>IF($P382="","",IF(INDEX(EntryPartyName,$P382)=0,"",INDEX(EntryPartyName,$P382)))</f>
        <v/>
      </c>
      <c r="F382" s="28">
        <f>IF($P382="","",IF(INDEX(EntryPartyType,$P382)=0,"",INDEX(EntryPartyType,$P382)))</f>
        <v/>
      </c>
      <c r="G382" s="28">
        <f>IF($P382="","",IF(INDEX(EntryTxnType,$P382)=0,"",INDEX(EntryTxnType,$P382)))</f>
        <v/>
      </c>
      <c r="H382" s="29">
        <f>IF($P382="","",IF(INDEX(EntryDep,$P382)=0,"",INDEX(EntryDep,$P382)))</f>
        <v/>
      </c>
      <c r="I382" s="29">
        <f>IF($P382="","",IF(INDEX(EntryWit,$P382)=0,"",INDEX(EntryWit,$P382)))</f>
        <v/>
      </c>
      <c r="J382" s="29">
        <f>IF($B382="","",IF($A382=1,$C$7,IF(J381="",0,J381))+IF($H382="",0,$H382)-IF($I382="",0,$I382))</f>
        <v/>
      </c>
      <c r="K382" s="29">
        <f>IF($P382="","",IF(INDEX(EntryMan,$P382)=0,"",INDEX(EntryMan,$P382)))</f>
        <v/>
      </c>
      <c r="L382" s="28">
        <f>IF($B382="","",IF($K382="","—",IF(ROUND($K382-$J382,0)=0,"√","×")))</f>
        <v/>
      </c>
      <c r="M382" s="28">
        <f>IF($B382="","",IF(COUNTIFS(EntryDates,$B382,CalcTime,$C382,CalcBank,$C$5,EntryParty,$D382,EntryDep,$H382,EntryWit,$I382)&gt;1,"تکرار",""))</f>
        <v/>
      </c>
      <c r="N382" s="28">
        <f>IF($P382="","",IF(INDEX(EntryNotes,$P382)=0,"",INDEX(EntryNotes,$P382)))</f>
        <v/>
      </c>
      <c r="O382" s="28">
        <f>IF($P382="","",IF(INDEX(EntryTxnID,$P382)=0,"",INDEX(EntryTxnID,$P382)))</f>
        <v/>
      </c>
      <c r="P382" s="28">
        <f>IFERROR(MATCH($C$5&amp;"|"&amp;RIGHT("000000"&amp;366,6),CalcRankKey,0),"")</f>
        <v/>
      </c>
    </row>
    <row r="383">
      <c r="A383" s="26">
        <f>IF($B383="","",367)</f>
        <v/>
      </c>
      <c r="B383" s="26">
        <f>IF($P383="","",IF(INDEX(CalcNormDate,$P383)=0,"",INDEX(CalcNormDate,$P383)))</f>
        <v/>
      </c>
      <c r="C383" s="26">
        <f>IF($P383="","",IF(INDEX(CalcTime,$P383)=0,"",INDEX(CalcTime,$P383)))</f>
        <v/>
      </c>
      <c r="D383" s="26">
        <f>IF($P383="","",IF(INDEX(EntryParty,$P383)=0,"",INDEX(EntryParty,$P383)))</f>
        <v/>
      </c>
      <c r="E383" s="26">
        <f>IF($P383="","",IF(INDEX(EntryPartyName,$P383)=0,"",INDEX(EntryPartyName,$P383)))</f>
        <v/>
      </c>
      <c r="F383" s="26">
        <f>IF($P383="","",IF(INDEX(EntryPartyType,$P383)=0,"",INDEX(EntryPartyType,$P383)))</f>
        <v/>
      </c>
      <c r="G383" s="26">
        <f>IF($P383="","",IF(INDEX(EntryTxnType,$P383)=0,"",INDEX(EntryTxnType,$P383)))</f>
        <v/>
      </c>
      <c r="H383" s="27">
        <f>IF($P383="","",IF(INDEX(EntryDep,$P383)=0,"",INDEX(EntryDep,$P383)))</f>
        <v/>
      </c>
      <c r="I383" s="27">
        <f>IF($P383="","",IF(INDEX(EntryWit,$P383)=0,"",INDEX(EntryWit,$P383)))</f>
        <v/>
      </c>
      <c r="J383" s="27">
        <f>IF($B383="","",IF($A383=1,$C$7,IF(J382="",0,J382))+IF($H383="",0,$H383)-IF($I383="",0,$I383))</f>
        <v/>
      </c>
      <c r="K383" s="27">
        <f>IF($P383="","",IF(INDEX(EntryMan,$P383)=0,"",INDEX(EntryMan,$P383)))</f>
        <v/>
      </c>
      <c r="L383" s="26">
        <f>IF($B383="","",IF($K383="","—",IF(ROUND($K383-$J383,0)=0,"√","×")))</f>
        <v/>
      </c>
      <c r="M383" s="26">
        <f>IF($B383="","",IF(COUNTIFS(EntryDates,$B383,CalcTime,$C383,CalcBank,$C$5,EntryParty,$D383,EntryDep,$H383,EntryWit,$I383)&gt;1,"تکرار",""))</f>
        <v/>
      </c>
      <c r="N383" s="26">
        <f>IF($P383="","",IF(INDEX(EntryNotes,$P383)=0,"",INDEX(EntryNotes,$P383)))</f>
        <v/>
      </c>
      <c r="O383" s="26">
        <f>IF($P383="","",IF(INDEX(EntryTxnID,$P383)=0,"",INDEX(EntryTxnID,$P383)))</f>
        <v/>
      </c>
      <c r="P383" s="26">
        <f>IFERROR(MATCH($C$5&amp;"|"&amp;RIGHT("000000"&amp;367,6),CalcRankKey,0),"")</f>
        <v/>
      </c>
    </row>
    <row r="384">
      <c r="A384" s="28">
        <f>IF($B384="","",368)</f>
        <v/>
      </c>
      <c r="B384" s="28">
        <f>IF($P384="","",IF(INDEX(CalcNormDate,$P384)=0,"",INDEX(CalcNormDate,$P384)))</f>
        <v/>
      </c>
      <c r="C384" s="28">
        <f>IF($P384="","",IF(INDEX(CalcTime,$P384)=0,"",INDEX(CalcTime,$P384)))</f>
        <v/>
      </c>
      <c r="D384" s="28">
        <f>IF($P384="","",IF(INDEX(EntryParty,$P384)=0,"",INDEX(EntryParty,$P384)))</f>
        <v/>
      </c>
      <c r="E384" s="28">
        <f>IF($P384="","",IF(INDEX(EntryPartyName,$P384)=0,"",INDEX(EntryPartyName,$P384)))</f>
        <v/>
      </c>
      <c r="F384" s="28">
        <f>IF($P384="","",IF(INDEX(EntryPartyType,$P384)=0,"",INDEX(EntryPartyType,$P384)))</f>
        <v/>
      </c>
      <c r="G384" s="28">
        <f>IF($P384="","",IF(INDEX(EntryTxnType,$P384)=0,"",INDEX(EntryTxnType,$P384)))</f>
        <v/>
      </c>
      <c r="H384" s="29">
        <f>IF($P384="","",IF(INDEX(EntryDep,$P384)=0,"",INDEX(EntryDep,$P384)))</f>
        <v/>
      </c>
      <c r="I384" s="29">
        <f>IF($P384="","",IF(INDEX(EntryWit,$P384)=0,"",INDEX(EntryWit,$P384)))</f>
        <v/>
      </c>
      <c r="J384" s="29">
        <f>IF($B384="","",IF($A384=1,$C$7,IF(J383="",0,J383))+IF($H384="",0,$H384)-IF($I384="",0,$I384))</f>
        <v/>
      </c>
      <c r="K384" s="29">
        <f>IF($P384="","",IF(INDEX(EntryMan,$P384)=0,"",INDEX(EntryMan,$P384)))</f>
        <v/>
      </c>
      <c r="L384" s="28">
        <f>IF($B384="","",IF($K384="","—",IF(ROUND($K384-$J384,0)=0,"√","×")))</f>
        <v/>
      </c>
      <c r="M384" s="28">
        <f>IF($B384="","",IF(COUNTIFS(EntryDates,$B384,CalcTime,$C384,CalcBank,$C$5,EntryParty,$D384,EntryDep,$H384,EntryWit,$I384)&gt;1,"تکرار",""))</f>
        <v/>
      </c>
      <c r="N384" s="28">
        <f>IF($P384="","",IF(INDEX(EntryNotes,$P384)=0,"",INDEX(EntryNotes,$P384)))</f>
        <v/>
      </c>
      <c r="O384" s="28">
        <f>IF($P384="","",IF(INDEX(EntryTxnID,$P384)=0,"",INDEX(EntryTxnID,$P384)))</f>
        <v/>
      </c>
      <c r="P384" s="28">
        <f>IFERROR(MATCH($C$5&amp;"|"&amp;RIGHT("000000"&amp;368,6),CalcRankKey,0),"")</f>
        <v/>
      </c>
    </row>
    <row r="385">
      <c r="A385" s="26">
        <f>IF($B385="","",369)</f>
        <v/>
      </c>
      <c r="B385" s="26">
        <f>IF($P385="","",IF(INDEX(CalcNormDate,$P385)=0,"",INDEX(CalcNormDate,$P385)))</f>
        <v/>
      </c>
      <c r="C385" s="26">
        <f>IF($P385="","",IF(INDEX(CalcTime,$P385)=0,"",INDEX(CalcTime,$P385)))</f>
        <v/>
      </c>
      <c r="D385" s="26">
        <f>IF($P385="","",IF(INDEX(EntryParty,$P385)=0,"",INDEX(EntryParty,$P385)))</f>
        <v/>
      </c>
      <c r="E385" s="26">
        <f>IF($P385="","",IF(INDEX(EntryPartyName,$P385)=0,"",INDEX(EntryPartyName,$P385)))</f>
        <v/>
      </c>
      <c r="F385" s="26">
        <f>IF($P385="","",IF(INDEX(EntryPartyType,$P385)=0,"",INDEX(EntryPartyType,$P385)))</f>
        <v/>
      </c>
      <c r="G385" s="26">
        <f>IF($P385="","",IF(INDEX(EntryTxnType,$P385)=0,"",INDEX(EntryTxnType,$P385)))</f>
        <v/>
      </c>
      <c r="H385" s="27">
        <f>IF($P385="","",IF(INDEX(EntryDep,$P385)=0,"",INDEX(EntryDep,$P385)))</f>
        <v/>
      </c>
      <c r="I385" s="27">
        <f>IF($P385="","",IF(INDEX(EntryWit,$P385)=0,"",INDEX(EntryWit,$P385)))</f>
        <v/>
      </c>
      <c r="J385" s="27">
        <f>IF($B385="","",IF($A385=1,$C$7,IF(J384="",0,J384))+IF($H385="",0,$H385)-IF($I385="",0,$I385))</f>
        <v/>
      </c>
      <c r="K385" s="27">
        <f>IF($P385="","",IF(INDEX(EntryMan,$P385)=0,"",INDEX(EntryMan,$P385)))</f>
        <v/>
      </c>
      <c r="L385" s="26">
        <f>IF($B385="","",IF($K385="","—",IF(ROUND($K385-$J385,0)=0,"√","×")))</f>
        <v/>
      </c>
      <c r="M385" s="26">
        <f>IF($B385="","",IF(COUNTIFS(EntryDates,$B385,CalcTime,$C385,CalcBank,$C$5,EntryParty,$D385,EntryDep,$H385,EntryWit,$I385)&gt;1,"تکرار",""))</f>
        <v/>
      </c>
      <c r="N385" s="26">
        <f>IF($P385="","",IF(INDEX(EntryNotes,$P385)=0,"",INDEX(EntryNotes,$P385)))</f>
        <v/>
      </c>
      <c r="O385" s="26">
        <f>IF($P385="","",IF(INDEX(EntryTxnID,$P385)=0,"",INDEX(EntryTxnID,$P385)))</f>
        <v/>
      </c>
      <c r="P385" s="26">
        <f>IFERROR(MATCH($C$5&amp;"|"&amp;RIGHT("000000"&amp;369,6),CalcRankKey,0),"")</f>
        <v/>
      </c>
    </row>
    <row r="386">
      <c r="A386" s="28">
        <f>IF($B386="","",370)</f>
        <v/>
      </c>
      <c r="B386" s="28">
        <f>IF($P386="","",IF(INDEX(CalcNormDate,$P386)=0,"",INDEX(CalcNormDate,$P386)))</f>
        <v/>
      </c>
      <c r="C386" s="28">
        <f>IF($P386="","",IF(INDEX(CalcTime,$P386)=0,"",INDEX(CalcTime,$P386)))</f>
        <v/>
      </c>
      <c r="D386" s="28">
        <f>IF($P386="","",IF(INDEX(EntryParty,$P386)=0,"",INDEX(EntryParty,$P386)))</f>
        <v/>
      </c>
      <c r="E386" s="28">
        <f>IF($P386="","",IF(INDEX(EntryPartyName,$P386)=0,"",INDEX(EntryPartyName,$P386)))</f>
        <v/>
      </c>
      <c r="F386" s="28">
        <f>IF($P386="","",IF(INDEX(EntryPartyType,$P386)=0,"",INDEX(EntryPartyType,$P386)))</f>
        <v/>
      </c>
      <c r="G386" s="28">
        <f>IF($P386="","",IF(INDEX(EntryTxnType,$P386)=0,"",INDEX(EntryTxnType,$P386)))</f>
        <v/>
      </c>
      <c r="H386" s="29">
        <f>IF($P386="","",IF(INDEX(EntryDep,$P386)=0,"",INDEX(EntryDep,$P386)))</f>
        <v/>
      </c>
      <c r="I386" s="29">
        <f>IF($P386="","",IF(INDEX(EntryWit,$P386)=0,"",INDEX(EntryWit,$P386)))</f>
        <v/>
      </c>
      <c r="J386" s="29">
        <f>IF($B386="","",IF($A386=1,$C$7,IF(J385="",0,J385))+IF($H386="",0,$H386)-IF($I386="",0,$I386))</f>
        <v/>
      </c>
      <c r="K386" s="29">
        <f>IF($P386="","",IF(INDEX(EntryMan,$P386)=0,"",INDEX(EntryMan,$P386)))</f>
        <v/>
      </c>
      <c r="L386" s="28">
        <f>IF($B386="","",IF($K386="","—",IF(ROUND($K386-$J386,0)=0,"√","×")))</f>
        <v/>
      </c>
      <c r="M386" s="28">
        <f>IF($B386="","",IF(COUNTIFS(EntryDates,$B386,CalcTime,$C386,CalcBank,$C$5,EntryParty,$D386,EntryDep,$H386,EntryWit,$I386)&gt;1,"تکرار",""))</f>
        <v/>
      </c>
      <c r="N386" s="28">
        <f>IF($P386="","",IF(INDEX(EntryNotes,$P386)=0,"",INDEX(EntryNotes,$P386)))</f>
        <v/>
      </c>
      <c r="O386" s="28">
        <f>IF($P386="","",IF(INDEX(EntryTxnID,$P386)=0,"",INDEX(EntryTxnID,$P386)))</f>
        <v/>
      </c>
      <c r="P386" s="28">
        <f>IFERROR(MATCH($C$5&amp;"|"&amp;RIGHT("000000"&amp;370,6),CalcRankKey,0),"")</f>
        <v/>
      </c>
    </row>
    <row r="387">
      <c r="A387" s="26">
        <f>IF($B387="","",371)</f>
        <v/>
      </c>
      <c r="B387" s="26">
        <f>IF($P387="","",IF(INDEX(CalcNormDate,$P387)=0,"",INDEX(CalcNormDate,$P387)))</f>
        <v/>
      </c>
      <c r="C387" s="26">
        <f>IF($P387="","",IF(INDEX(CalcTime,$P387)=0,"",INDEX(CalcTime,$P387)))</f>
        <v/>
      </c>
      <c r="D387" s="26">
        <f>IF($P387="","",IF(INDEX(EntryParty,$P387)=0,"",INDEX(EntryParty,$P387)))</f>
        <v/>
      </c>
      <c r="E387" s="26">
        <f>IF($P387="","",IF(INDEX(EntryPartyName,$P387)=0,"",INDEX(EntryPartyName,$P387)))</f>
        <v/>
      </c>
      <c r="F387" s="26">
        <f>IF($P387="","",IF(INDEX(EntryPartyType,$P387)=0,"",INDEX(EntryPartyType,$P387)))</f>
        <v/>
      </c>
      <c r="G387" s="26">
        <f>IF($P387="","",IF(INDEX(EntryTxnType,$P387)=0,"",INDEX(EntryTxnType,$P387)))</f>
        <v/>
      </c>
      <c r="H387" s="27">
        <f>IF($P387="","",IF(INDEX(EntryDep,$P387)=0,"",INDEX(EntryDep,$P387)))</f>
        <v/>
      </c>
      <c r="I387" s="27">
        <f>IF($P387="","",IF(INDEX(EntryWit,$P387)=0,"",INDEX(EntryWit,$P387)))</f>
        <v/>
      </c>
      <c r="J387" s="27">
        <f>IF($B387="","",IF($A387=1,$C$7,IF(J386="",0,J386))+IF($H387="",0,$H387)-IF($I387="",0,$I387))</f>
        <v/>
      </c>
      <c r="K387" s="27">
        <f>IF($P387="","",IF(INDEX(EntryMan,$P387)=0,"",INDEX(EntryMan,$P387)))</f>
        <v/>
      </c>
      <c r="L387" s="26">
        <f>IF($B387="","",IF($K387="","—",IF(ROUND($K387-$J387,0)=0,"√","×")))</f>
        <v/>
      </c>
      <c r="M387" s="26">
        <f>IF($B387="","",IF(COUNTIFS(EntryDates,$B387,CalcTime,$C387,CalcBank,$C$5,EntryParty,$D387,EntryDep,$H387,EntryWit,$I387)&gt;1,"تکرار",""))</f>
        <v/>
      </c>
      <c r="N387" s="26">
        <f>IF($P387="","",IF(INDEX(EntryNotes,$P387)=0,"",INDEX(EntryNotes,$P387)))</f>
        <v/>
      </c>
      <c r="O387" s="26">
        <f>IF($P387="","",IF(INDEX(EntryTxnID,$P387)=0,"",INDEX(EntryTxnID,$P387)))</f>
        <v/>
      </c>
      <c r="P387" s="26">
        <f>IFERROR(MATCH($C$5&amp;"|"&amp;RIGHT("000000"&amp;371,6),CalcRankKey,0),"")</f>
        <v/>
      </c>
    </row>
    <row r="388">
      <c r="A388" s="28">
        <f>IF($B388="","",372)</f>
        <v/>
      </c>
      <c r="B388" s="28">
        <f>IF($P388="","",IF(INDEX(CalcNormDate,$P388)=0,"",INDEX(CalcNormDate,$P388)))</f>
        <v/>
      </c>
      <c r="C388" s="28">
        <f>IF($P388="","",IF(INDEX(CalcTime,$P388)=0,"",INDEX(CalcTime,$P388)))</f>
        <v/>
      </c>
      <c r="D388" s="28">
        <f>IF($P388="","",IF(INDEX(EntryParty,$P388)=0,"",INDEX(EntryParty,$P388)))</f>
        <v/>
      </c>
      <c r="E388" s="28">
        <f>IF($P388="","",IF(INDEX(EntryPartyName,$P388)=0,"",INDEX(EntryPartyName,$P388)))</f>
        <v/>
      </c>
      <c r="F388" s="28">
        <f>IF($P388="","",IF(INDEX(EntryPartyType,$P388)=0,"",INDEX(EntryPartyType,$P388)))</f>
        <v/>
      </c>
      <c r="G388" s="28">
        <f>IF($P388="","",IF(INDEX(EntryTxnType,$P388)=0,"",INDEX(EntryTxnType,$P388)))</f>
        <v/>
      </c>
      <c r="H388" s="29">
        <f>IF($P388="","",IF(INDEX(EntryDep,$P388)=0,"",INDEX(EntryDep,$P388)))</f>
        <v/>
      </c>
      <c r="I388" s="29">
        <f>IF($P388="","",IF(INDEX(EntryWit,$P388)=0,"",INDEX(EntryWit,$P388)))</f>
        <v/>
      </c>
      <c r="J388" s="29">
        <f>IF($B388="","",IF($A388=1,$C$7,IF(J387="",0,J387))+IF($H388="",0,$H388)-IF($I388="",0,$I388))</f>
        <v/>
      </c>
      <c r="K388" s="29">
        <f>IF($P388="","",IF(INDEX(EntryMan,$P388)=0,"",INDEX(EntryMan,$P388)))</f>
        <v/>
      </c>
      <c r="L388" s="28">
        <f>IF($B388="","",IF($K388="","—",IF(ROUND($K388-$J388,0)=0,"√","×")))</f>
        <v/>
      </c>
      <c r="M388" s="28">
        <f>IF($B388="","",IF(COUNTIFS(EntryDates,$B388,CalcTime,$C388,CalcBank,$C$5,EntryParty,$D388,EntryDep,$H388,EntryWit,$I388)&gt;1,"تکرار",""))</f>
        <v/>
      </c>
      <c r="N388" s="28">
        <f>IF($P388="","",IF(INDEX(EntryNotes,$P388)=0,"",INDEX(EntryNotes,$P388)))</f>
        <v/>
      </c>
      <c r="O388" s="28">
        <f>IF($P388="","",IF(INDEX(EntryTxnID,$P388)=0,"",INDEX(EntryTxnID,$P388)))</f>
        <v/>
      </c>
      <c r="P388" s="28">
        <f>IFERROR(MATCH($C$5&amp;"|"&amp;RIGHT("000000"&amp;372,6),CalcRankKey,0),"")</f>
        <v/>
      </c>
    </row>
    <row r="389">
      <c r="A389" s="26">
        <f>IF($B389="","",373)</f>
        <v/>
      </c>
      <c r="B389" s="26">
        <f>IF($P389="","",IF(INDEX(CalcNormDate,$P389)=0,"",INDEX(CalcNormDate,$P389)))</f>
        <v/>
      </c>
      <c r="C389" s="26">
        <f>IF($P389="","",IF(INDEX(CalcTime,$P389)=0,"",INDEX(CalcTime,$P389)))</f>
        <v/>
      </c>
      <c r="D389" s="26">
        <f>IF($P389="","",IF(INDEX(EntryParty,$P389)=0,"",INDEX(EntryParty,$P389)))</f>
        <v/>
      </c>
      <c r="E389" s="26">
        <f>IF($P389="","",IF(INDEX(EntryPartyName,$P389)=0,"",INDEX(EntryPartyName,$P389)))</f>
        <v/>
      </c>
      <c r="F389" s="26">
        <f>IF($P389="","",IF(INDEX(EntryPartyType,$P389)=0,"",INDEX(EntryPartyType,$P389)))</f>
        <v/>
      </c>
      <c r="G389" s="26">
        <f>IF($P389="","",IF(INDEX(EntryTxnType,$P389)=0,"",INDEX(EntryTxnType,$P389)))</f>
        <v/>
      </c>
      <c r="H389" s="27">
        <f>IF($P389="","",IF(INDEX(EntryDep,$P389)=0,"",INDEX(EntryDep,$P389)))</f>
        <v/>
      </c>
      <c r="I389" s="27">
        <f>IF($P389="","",IF(INDEX(EntryWit,$P389)=0,"",INDEX(EntryWit,$P389)))</f>
        <v/>
      </c>
      <c r="J389" s="27">
        <f>IF($B389="","",IF($A389=1,$C$7,IF(J388="",0,J388))+IF($H389="",0,$H389)-IF($I389="",0,$I389))</f>
        <v/>
      </c>
      <c r="K389" s="27">
        <f>IF($P389="","",IF(INDEX(EntryMan,$P389)=0,"",INDEX(EntryMan,$P389)))</f>
        <v/>
      </c>
      <c r="L389" s="26">
        <f>IF($B389="","",IF($K389="","—",IF(ROUND($K389-$J389,0)=0,"√","×")))</f>
        <v/>
      </c>
      <c r="M389" s="26">
        <f>IF($B389="","",IF(COUNTIFS(EntryDates,$B389,CalcTime,$C389,CalcBank,$C$5,EntryParty,$D389,EntryDep,$H389,EntryWit,$I389)&gt;1,"تکرار",""))</f>
        <v/>
      </c>
      <c r="N389" s="26">
        <f>IF($P389="","",IF(INDEX(EntryNotes,$P389)=0,"",INDEX(EntryNotes,$P389)))</f>
        <v/>
      </c>
      <c r="O389" s="26">
        <f>IF($P389="","",IF(INDEX(EntryTxnID,$P389)=0,"",INDEX(EntryTxnID,$P389)))</f>
        <v/>
      </c>
      <c r="P389" s="26">
        <f>IFERROR(MATCH($C$5&amp;"|"&amp;RIGHT("000000"&amp;373,6),CalcRankKey,0),"")</f>
        <v/>
      </c>
    </row>
    <row r="390">
      <c r="A390" s="28">
        <f>IF($B390="","",374)</f>
        <v/>
      </c>
      <c r="B390" s="28">
        <f>IF($P390="","",IF(INDEX(CalcNormDate,$P390)=0,"",INDEX(CalcNormDate,$P390)))</f>
        <v/>
      </c>
      <c r="C390" s="28">
        <f>IF($P390="","",IF(INDEX(CalcTime,$P390)=0,"",INDEX(CalcTime,$P390)))</f>
        <v/>
      </c>
      <c r="D390" s="28">
        <f>IF($P390="","",IF(INDEX(EntryParty,$P390)=0,"",INDEX(EntryParty,$P390)))</f>
        <v/>
      </c>
      <c r="E390" s="28">
        <f>IF($P390="","",IF(INDEX(EntryPartyName,$P390)=0,"",INDEX(EntryPartyName,$P390)))</f>
        <v/>
      </c>
      <c r="F390" s="28">
        <f>IF($P390="","",IF(INDEX(EntryPartyType,$P390)=0,"",INDEX(EntryPartyType,$P390)))</f>
        <v/>
      </c>
      <c r="G390" s="28">
        <f>IF($P390="","",IF(INDEX(EntryTxnType,$P390)=0,"",INDEX(EntryTxnType,$P390)))</f>
        <v/>
      </c>
      <c r="H390" s="29">
        <f>IF($P390="","",IF(INDEX(EntryDep,$P390)=0,"",INDEX(EntryDep,$P390)))</f>
        <v/>
      </c>
      <c r="I390" s="29">
        <f>IF($P390="","",IF(INDEX(EntryWit,$P390)=0,"",INDEX(EntryWit,$P390)))</f>
        <v/>
      </c>
      <c r="J390" s="29">
        <f>IF($B390="","",IF($A390=1,$C$7,IF(J389="",0,J389))+IF($H390="",0,$H390)-IF($I390="",0,$I390))</f>
        <v/>
      </c>
      <c r="K390" s="29">
        <f>IF($P390="","",IF(INDEX(EntryMan,$P390)=0,"",INDEX(EntryMan,$P390)))</f>
        <v/>
      </c>
      <c r="L390" s="28">
        <f>IF($B390="","",IF($K390="","—",IF(ROUND($K390-$J390,0)=0,"√","×")))</f>
        <v/>
      </c>
      <c r="M390" s="28">
        <f>IF($B390="","",IF(COUNTIFS(EntryDates,$B390,CalcTime,$C390,CalcBank,$C$5,EntryParty,$D390,EntryDep,$H390,EntryWit,$I390)&gt;1,"تکرار",""))</f>
        <v/>
      </c>
      <c r="N390" s="28">
        <f>IF($P390="","",IF(INDEX(EntryNotes,$P390)=0,"",INDEX(EntryNotes,$P390)))</f>
        <v/>
      </c>
      <c r="O390" s="28">
        <f>IF($P390="","",IF(INDEX(EntryTxnID,$P390)=0,"",INDEX(EntryTxnID,$P390)))</f>
        <v/>
      </c>
      <c r="P390" s="28">
        <f>IFERROR(MATCH($C$5&amp;"|"&amp;RIGHT("000000"&amp;374,6),CalcRankKey,0),"")</f>
        <v/>
      </c>
    </row>
    <row r="391">
      <c r="A391" s="26">
        <f>IF($B391="","",375)</f>
        <v/>
      </c>
      <c r="B391" s="26">
        <f>IF($P391="","",IF(INDEX(CalcNormDate,$P391)=0,"",INDEX(CalcNormDate,$P391)))</f>
        <v/>
      </c>
      <c r="C391" s="26">
        <f>IF($P391="","",IF(INDEX(CalcTime,$P391)=0,"",INDEX(CalcTime,$P391)))</f>
        <v/>
      </c>
      <c r="D391" s="26">
        <f>IF($P391="","",IF(INDEX(EntryParty,$P391)=0,"",INDEX(EntryParty,$P391)))</f>
        <v/>
      </c>
      <c r="E391" s="26">
        <f>IF($P391="","",IF(INDEX(EntryPartyName,$P391)=0,"",INDEX(EntryPartyName,$P391)))</f>
        <v/>
      </c>
      <c r="F391" s="26">
        <f>IF($P391="","",IF(INDEX(EntryPartyType,$P391)=0,"",INDEX(EntryPartyType,$P391)))</f>
        <v/>
      </c>
      <c r="G391" s="26">
        <f>IF($P391="","",IF(INDEX(EntryTxnType,$P391)=0,"",INDEX(EntryTxnType,$P391)))</f>
        <v/>
      </c>
      <c r="H391" s="27">
        <f>IF($P391="","",IF(INDEX(EntryDep,$P391)=0,"",INDEX(EntryDep,$P391)))</f>
        <v/>
      </c>
      <c r="I391" s="27">
        <f>IF($P391="","",IF(INDEX(EntryWit,$P391)=0,"",INDEX(EntryWit,$P391)))</f>
        <v/>
      </c>
      <c r="J391" s="27">
        <f>IF($B391="","",IF($A391=1,$C$7,IF(J390="",0,J390))+IF($H391="",0,$H391)-IF($I391="",0,$I391))</f>
        <v/>
      </c>
      <c r="K391" s="27">
        <f>IF($P391="","",IF(INDEX(EntryMan,$P391)=0,"",INDEX(EntryMan,$P391)))</f>
        <v/>
      </c>
      <c r="L391" s="26">
        <f>IF($B391="","",IF($K391="","—",IF(ROUND($K391-$J391,0)=0,"√","×")))</f>
        <v/>
      </c>
      <c r="M391" s="26">
        <f>IF($B391="","",IF(COUNTIFS(EntryDates,$B391,CalcTime,$C391,CalcBank,$C$5,EntryParty,$D391,EntryDep,$H391,EntryWit,$I391)&gt;1,"تکرار",""))</f>
        <v/>
      </c>
      <c r="N391" s="26">
        <f>IF($P391="","",IF(INDEX(EntryNotes,$P391)=0,"",INDEX(EntryNotes,$P391)))</f>
        <v/>
      </c>
      <c r="O391" s="26">
        <f>IF($P391="","",IF(INDEX(EntryTxnID,$P391)=0,"",INDEX(EntryTxnID,$P391)))</f>
        <v/>
      </c>
      <c r="P391" s="26">
        <f>IFERROR(MATCH($C$5&amp;"|"&amp;RIGHT("000000"&amp;375,6),CalcRankKey,0),"")</f>
        <v/>
      </c>
    </row>
    <row r="392">
      <c r="A392" s="28">
        <f>IF($B392="","",376)</f>
        <v/>
      </c>
      <c r="B392" s="28">
        <f>IF($P392="","",IF(INDEX(CalcNormDate,$P392)=0,"",INDEX(CalcNormDate,$P392)))</f>
        <v/>
      </c>
      <c r="C392" s="28">
        <f>IF($P392="","",IF(INDEX(CalcTime,$P392)=0,"",INDEX(CalcTime,$P392)))</f>
        <v/>
      </c>
      <c r="D392" s="28">
        <f>IF($P392="","",IF(INDEX(EntryParty,$P392)=0,"",INDEX(EntryParty,$P392)))</f>
        <v/>
      </c>
      <c r="E392" s="28">
        <f>IF($P392="","",IF(INDEX(EntryPartyName,$P392)=0,"",INDEX(EntryPartyName,$P392)))</f>
        <v/>
      </c>
      <c r="F392" s="28">
        <f>IF($P392="","",IF(INDEX(EntryPartyType,$P392)=0,"",INDEX(EntryPartyType,$P392)))</f>
        <v/>
      </c>
      <c r="G392" s="28">
        <f>IF($P392="","",IF(INDEX(EntryTxnType,$P392)=0,"",INDEX(EntryTxnType,$P392)))</f>
        <v/>
      </c>
      <c r="H392" s="29">
        <f>IF($P392="","",IF(INDEX(EntryDep,$P392)=0,"",INDEX(EntryDep,$P392)))</f>
        <v/>
      </c>
      <c r="I392" s="29">
        <f>IF($P392="","",IF(INDEX(EntryWit,$P392)=0,"",INDEX(EntryWit,$P392)))</f>
        <v/>
      </c>
      <c r="J392" s="29">
        <f>IF($B392="","",IF($A392=1,$C$7,IF(J391="",0,J391))+IF($H392="",0,$H392)-IF($I392="",0,$I392))</f>
        <v/>
      </c>
      <c r="K392" s="29">
        <f>IF($P392="","",IF(INDEX(EntryMan,$P392)=0,"",INDEX(EntryMan,$P392)))</f>
        <v/>
      </c>
      <c r="L392" s="28">
        <f>IF($B392="","",IF($K392="","—",IF(ROUND($K392-$J392,0)=0,"√","×")))</f>
        <v/>
      </c>
      <c r="M392" s="28">
        <f>IF($B392="","",IF(COUNTIFS(EntryDates,$B392,CalcTime,$C392,CalcBank,$C$5,EntryParty,$D392,EntryDep,$H392,EntryWit,$I392)&gt;1,"تکرار",""))</f>
        <v/>
      </c>
      <c r="N392" s="28">
        <f>IF($P392="","",IF(INDEX(EntryNotes,$P392)=0,"",INDEX(EntryNotes,$P392)))</f>
        <v/>
      </c>
      <c r="O392" s="28">
        <f>IF($P392="","",IF(INDEX(EntryTxnID,$P392)=0,"",INDEX(EntryTxnID,$P392)))</f>
        <v/>
      </c>
      <c r="P392" s="28">
        <f>IFERROR(MATCH($C$5&amp;"|"&amp;RIGHT("000000"&amp;376,6),CalcRankKey,0),"")</f>
        <v/>
      </c>
    </row>
    <row r="393">
      <c r="A393" s="26">
        <f>IF($B393="","",377)</f>
        <v/>
      </c>
      <c r="B393" s="26">
        <f>IF($P393="","",IF(INDEX(CalcNormDate,$P393)=0,"",INDEX(CalcNormDate,$P393)))</f>
        <v/>
      </c>
      <c r="C393" s="26">
        <f>IF($P393="","",IF(INDEX(CalcTime,$P393)=0,"",INDEX(CalcTime,$P393)))</f>
        <v/>
      </c>
      <c r="D393" s="26">
        <f>IF($P393="","",IF(INDEX(EntryParty,$P393)=0,"",INDEX(EntryParty,$P393)))</f>
        <v/>
      </c>
      <c r="E393" s="26">
        <f>IF($P393="","",IF(INDEX(EntryPartyName,$P393)=0,"",INDEX(EntryPartyName,$P393)))</f>
        <v/>
      </c>
      <c r="F393" s="26">
        <f>IF($P393="","",IF(INDEX(EntryPartyType,$P393)=0,"",INDEX(EntryPartyType,$P393)))</f>
        <v/>
      </c>
      <c r="G393" s="26">
        <f>IF($P393="","",IF(INDEX(EntryTxnType,$P393)=0,"",INDEX(EntryTxnType,$P393)))</f>
        <v/>
      </c>
      <c r="H393" s="27">
        <f>IF($P393="","",IF(INDEX(EntryDep,$P393)=0,"",INDEX(EntryDep,$P393)))</f>
        <v/>
      </c>
      <c r="I393" s="27">
        <f>IF($P393="","",IF(INDEX(EntryWit,$P393)=0,"",INDEX(EntryWit,$P393)))</f>
        <v/>
      </c>
      <c r="J393" s="27">
        <f>IF($B393="","",IF($A393=1,$C$7,IF(J392="",0,J392))+IF($H393="",0,$H393)-IF($I393="",0,$I393))</f>
        <v/>
      </c>
      <c r="K393" s="27">
        <f>IF($P393="","",IF(INDEX(EntryMan,$P393)=0,"",INDEX(EntryMan,$P393)))</f>
        <v/>
      </c>
      <c r="L393" s="26">
        <f>IF($B393="","",IF($K393="","—",IF(ROUND($K393-$J393,0)=0,"√","×")))</f>
        <v/>
      </c>
      <c r="M393" s="26">
        <f>IF($B393="","",IF(COUNTIFS(EntryDates,$B393,CalcTime,$C393,CalcBank,$C$5,EntryParty,$D393,EntryDep,$H393,EntryWit,$I393)&gt;1,"تکرار",""))</f>
        <v/>
      </c>
      <c r="N393" s="26">
        <f>IF($P393="","",IF(INDEX(EntryNotes,$P393)=0,"",INDEX(EntryNotes,$P393)))</f>
        <v/>
      </c>
      <c r="O393" s="26">
        <f>IF($P393="","",IF(INDEX(EntryTxnID,$P393)=0,"",INDEX(EntryTxnID,$P393)))</f>
        <v/>
      </c>
      <c r="P393" s="26">
        <f>IFERROR(MATCH($C$5&amp;"|"&amp;RIGHT("000000"&amp;377,6),CalcRankKey,0),"")</f>
        <v/>
      </c>
    </row>
    <row r="394">
      <c r="A394" s="28">
        <f>IF($B394="","",378)</f>
        <v/>
      </c>
      <c r="B394" s="28">
        <f>IF($P394="","",IF(INDEX(CalcNormDate,$P394)=0,"",INDEX(CalcNormDate,$P394)))</f>
        <v/>
      </c>
      <c r="C394" s="28">
        <f>IF($P394="","",IF(INDEX(CalcTime,$P394)=0,"",INDEX(CalcTime,$P394)))</f>
        <v/>
      </c>
      <c r="D394" s="28">
        <f>IF($P394="","",IF(INDEX(EntryParty,$P394)=0,"",INDEX(EntryParty,$P394)))</f>
        <v/>
      </c>
      <c r="E394" s="28">
        <f>IF($P394="","",IF(INDEX(EntryPartyName,$P394)=0,"",INDEX(EntryPartyName,$P394)))</f>
        <v/>
      </c>
      <c r="F394" s="28">
        <f>IF($P394="","",IF(INDEX(EntryPartyType,$P394)=0,"",INDEX(EntryPartyType,$P394)))</f>
        <v/>
      </c>
      <c r="G394" s="28">
        <f>IF($P394="","",IF(INDEX(EntryTxnType,$P394)=0,"",INDEX(EntryTxnType,$P394)))</f>
        <v/>
      </c>
      <c r="H394" s="29">
        <f>IF($P394="","",IF(INDEX(EntryDep,$P394)=0,"",INDEX(EntryDep,$P394)))</f>
        <v/>
      </c>
      <c r="I394" s="29">
        <f>IF($P394="","",IF(INDEX(EntryWit,$P394)=0,"",INDEX(EntryWit,$P394)))</f>
        <v/>
      </c>
      <c r="J394" s="29">
        <f>IF($B394="","",IF($A394=1,$C$7,IF(J393="",0,J393))+IF($H394="",0,$H394)-IF($I394="",0,$I394))</f>
        <v/>
      </c>
      <c r="K394" s="29">
        <f>IF($P394="","",IF(INDEX(EntryMan,$P394)=0,"",INDEX(EntryMan,$P394)))</f>
        <v/>
      </c>
      <c r="L394" s="28">
        <f>IF($B394="","",IF($K394="","—",IF(ROUND($K394-$J394,0)=0,"√","×")))</f>
        <v/>
      </c>
      <c r="M394" s="28">
        <f>IF($B394="","",IF(COUNTIFS(EntryDates,$B394,CalcTime,$C394,CalcBank,$C$5,EntryParty,$D394,EntryDep,$H394,EntryWit,$I394)&gt;1,"تکرار",""))</f>
        <v/>
      </c>
      <c r="N394" s="28">
        <f>IF($P394="","",IF(INDEX(EntryNotes,$P394)=0,"",INDEX(EntryNotes,$P394)))</f>
        <v/>
      </c>
      <c r="O394" s="28">
        <f>IF($P394="","",IF(INDEX(EntryTxnID,$P394)=0,"",INDEX(EntryTxnID,$P394)))</f>
        <v/>
      </c>
      <c r="P394" s="28">
        <f>IFERROR(MATCH($C$5&amp;"|"&amp;RIGHT("000000"&amp;378,6),CalcRankKey,0),"")</f>
        <v/>
      </c>
    </row>
    <row r="395">
      <c r="A395" s="26">
        <f>IF($B395="","",379)</f>
        <v/>
      </c>
      <c r="B395" s="26">
        <f>IF($P395="","",IF(INDEX(CalcNormDate,$P395)=0,"",INDEX(CalcNormDate,$P395)))</f>
        <v/>
      </c>
      <c r="C395" s="26">
        <f>IF($P395="","",IF(INDEX(CalcTime,$P395)=0,"",INDEX(CalcTime,$P395)))</f>
        <v/>
      </c>
      <c r="D395" s="26">
        <f>IF($P395="","",IF(INDEX(EntryParty,$P395)=0,"",INDEX(EntryParty,$P395)))</f>
        <v/>
      </c>
      <c r="E395" s="26">
        <f>IF($P395="","",IF(INDEX(EntryPartyName,$P395)=0,"",INDEX(EntryPartyName,$P395)))</f>
        <v/>
      </c>
      <c r="F395" s="26">
        <f>IF($P395="","",IF(INDEX(EntryPartyType,$P395)=0,"",INDEX(EntryPartyType,$P395)))</f>
        <v/>
      </c>
      <c r="G395" s="26">
        <f>IF($P395="","",IF(INDEX(EntryTxnType,$P395)=0,"",INDEX(EntryTxnType,$P395)))</f>
        <v/>
      </c>
      <c r="H395" s="27">
        <f>IF($P395="","",IF(INDEX(EntryDep,$P395)=0,"",INDEX(EntryDep,$P395)))</f>
        <v/>
      </c>
      <c r="I395" s="27">
        <f>IF($P395="","",IF(INDEX(EntryWit,$P395)=0,"",INDEX(EntryWit,$P395)))</f>
        <v/>
      </c>
      <c r="J395" s="27">
        <f>IF($B395="","",IF($A395=1,$C$7,IF(J394="",0,J394))+IF($H395="",0,$H395)-IF($I395="",0,$I395))</f>
        <v/>
      </c>
      <c r="K395" s="27">
        <f>IF($P395="","",IF(INDEX(EntryMan,$P395)=0,"",INDEX(EntryMan,$P395)))</f>
        <v/>
      </c>
      <c r="L395" s="26">
        <f>IF($B395="","",IF($K395="","—",IF(ROUND($K395-$J395,0)=0,"√","×")))</f>
        <v/>
      </c>
      <c r="M395" s="26">
        <f>IF($B395="","",IF(COUNTIFS(EntryDates,$B395,CalcTime,$C395,CalcBank,$C$5,EntryParty,$D395,EntryDep,$H395,EntryWit,$I395)&gt;1,"تکرار",""))</f>
        <v/>
      </c>
      <c r="N395" s="26">
        <f>IF($P395="","",IF(INDEX(EntryNotes,$P395)=0,"",INDEX(EntryNotes,$P395)))</f>
        <v/>
      </c>
      <c r="O395" s="26">
        <f>IF($P395="","",IF(INDEX(EntryTxnID,$P395)=0,"",INDEX(EntryTxnID,$P395)))</f>
        <v/>
      </c>
      <c r="P395" s="26">
        <f>IFERROR(MATCH($C$5&amp;"|"&amp;RIGHT("000000"&amp;379,6),CalcRankKey,0),"")</f>
        <v/>
      </c>
    </row>
    <row r="396">
      <c r="A396" s="28">
        <f>IF($B396="","",380)</f>
        <v/>
      </c>
      <c r="B396" s="28">
        <f>IF($P396="","",IF(INDEX(CalcNormDate,$P396)=0,"",INDEX(CalcNormDate,$P396)))</f>
        <v/>
      </c>
      <c r="C396" s="28">
        <f>IF($P396="","",IF(INDEX(CalcTime,$P396)=0,"",INDEX(CalcTime,$P396)))</f>
        <v/>
      </c>
      <c r="D396" s="28">
        <f>IF($P396="","",IF(INDEX(EntryParty,$P396)=0,"",INDEX(EntryParty,$P396)))</f>
        <v/>
      </c>
      <c r="E396" s="28">
        <f>IF($P396="","",IF(INDEX(EntryPartyName,$P396)=0,"",INDEX(EntryPartyName,$P396)))</f>
        <v/>
      </c>
      <c r="F396" s="28">
        <f>IF($P396="","",IF(INDEX(EntryPartyType,$P396)=0,"",INDEX(EntryPartyType,$P396)))</f>
        <v/>
      </c>
      <c r="G396" s="28">
        <f>IF($P396="","",IF(INDEX(EntryTxnType,$P396)=0,"",INDEX(EntryTxnType,$P396)))</f>
        <v/>
      </c>
      <c r="H396" s="29">
        <f>IF($P396="","",IF(INDEX(EntryDep,$P396)=0,"",INDEX(EntryDep,$P396)))</f>
        <v/>
      </c>
      <c r="I396" s="29">
        <f>IF($P396="","",IF(INDEX(EntryWit,$P396)=0,"",INDEX(EntryWit,$P396)))</f>
        <v/>
      </c>
      <c r="J396" s="29">
        <f>IF($B396="","",IF($A396=1,$C$7,IF(J395="",0,J395))+IF($H396="",0,$H396)-IF($I396="",0,$I396))</f>
        <v/>
      </c>
      <c r="K396" s="29">
        <f>IF($P396="","",IF(INDEX(EntryMan,$P396)=0,"",INDEX(EntryMan,$P396)))</f>
        <v/>
      </c>
      <c r="L396" s="28">
        <f>IF($B396="","",IF($K396="","—",IF(ROUND($K396-$J396,0)=0,"√","×")))</f>
        <v/>
      </c>
      <c r="M396" s="28">
        <f>IF($B396="","",IF(COUNTIFS(EntryDates,$B396,CalcTime,$C396,CalcBank,$C$5,EntryParty,$D396,EntryDep,$H396,EntryWit,$I396)&gt;1,"تکرار",""))</f>
        <v/>
      </c>
      <c r="N396" s="28">
        <f>IF($P396="","",IF(INDEX(EntryNotes,$P396)=0,"",INDEX(EntryNotes,$P396)))</f>
        <v/>
      </c>
      <c r="O396" s="28">
        <f>IF($P396="","",IF(INDEX(EntryTxnID,$P396)=0,"",INDEX(EntryTxnID,$P396)))</f>
        <v/>
      </c>
      <c r="P396" s="28">
        <f>IFERROR(MATCH($C$5&amp;"|"&amp;RIGHT("000000"&amp;380,6),CalcRankKey,0),"")</f>
        <v/>
      </c>
    </row>
    <row r="397">
      <c r="A397" s="26">
        <f>IF($B397="","",381)</f>
        <v/>
      </c>
      <c r="B397" s="26">
        <f>IF($P397="","",IF(INDEX(CalcNormDate,$P397)=0,"",INDEX(CalcNormDate,$P397)))</f>
        <v/>
      </c>
      <c r="C397" s="26">
        <f>IF($P397="","",IF(INDEX(CalcTime,$P397)=0,"",INDEX(CalcTime,$P397)))</f>
        <v/>
      </c>
      <c r="D397" s="26">
        <f>IF($P397="","",IF(INDEX(EntryParty,$P397)=0,"",INDEX(EntryParty,$P397)))</f>
        <v/>
      </c>
      <c r="E397" s="26">
        <f>IF($P397="","",IF(INDEX(EntryPartyName,$P397)=0,"",INDEX(EntryPartyName,$P397)))</f>
        <v/>
      </c>
      <c r="F397" s="26">
        <f>IF($P397="","",IF(INDEX(EntryPartyType,$P397)=0,"",INDEX(EntryPartyType,$P397)))</f>
        <v/>
      </c>
      <c r="G397" s="26">
        <f>IF($P397="","",IF(INDEX(EntryTxnType,$P397)=0,"",INDEX(EntryTxnType,$P397)))</f>
        <v/>
      </c>
      <c r="H397" s="27">
        <f>IF($P397="","",IF(INDEX(EntryDep,$P397)=0,"",INDEX(EntryDep,$P397)))</f>
        <v/>
      </c>
      <c r="I397" s="27">
        <f>IF($P397="","",IF(INDEX(EntryWit,$P397)=0,"",INDEX(EntryWit,$P397)))</f>
        <v/>
      </c>
      <c r="J397" s="27">
        <f>IF($B397="","",IF($A397=1,$C$7,IF(J396="",0,J396))+IF($H397="",0,$H397)-IF($I397="",0,$I397))</f>
        <v/>
      </c>
      <c r="K397" s="27">
        <f>IF($P397="","",IF(INDEX(EntryMan,$P397)=0,"",INDEX(EntryMan,$P397)))</f>
        <v/>
      </c>
      <c r="L397" s="26">
        <f>IF($B397="","",IF($K397="","—",IF(ROUND($K397-$J397,0)=0,"√","×")))</f>
        <v/>
      </c>
      <c r="M397" s="26">
        <f>IF($B397="","",IF(COUNTIFS(EntryDates,$B397,CalcTime,$C397,CalcBank,$C$5,EntryParty,$D397,EntryDep,$H397,EntryWit,$I397)&gt;1,"تکرار",""))</f>
        <v/>
      </c>
      <c r="N397" s="26">
        <f>IF($P397="","",IF(INDEX(EntryNotes,$P397)=0,"",INDEX(EntryNotes,$P397)))</f>
        <v/>
      </c>
      <c r="O397" s="26">
        <f>IF($P397="","",IF(INDEX(EntryTxnID,$P397)=0,"",INDEX(EntryTxnID,$P397)))</f>
        <v/>
      </c>
      <c r="P397" s="26">
        <f>IFERROR(MATCH($C$5&amp;"|"&amp;RIGHT("000000"&amp;381,6),CalcRankKey,0),"")</f>
        <v/>
      </c>
    </row>
    <row r="398">
      <c r="A398" s="28">
        <f>IF($B398="","",382)</f>
        <v/>
      </c>
      <c r="B398" s="28">
        <f>IF($P398="","",IF(INDEX(CalcNormDate,$P398)=0,"",INDEX(CalcNormDate,$P398)))</f>
        <v/>
      </c>
      <c r="C398" s="28">
        <f>IF($P398="","",IF(INDEX(CalcTime,$P398)=0,"",INDEX(CalcTime,$P398)))</f>
        <v/>
      </c>
      <c r="D398" s="28">
        <f>IF($P398="","",IF(INDEX(EntryParty,$P398)=0,"",INDEX(EntryParty,$P398)))</f>
        <v/>
      </c>
      <c r="E398" s="28">
        <f>IF($P398="","",IF(INDEX(EntryPartyName,$P398)=0,"",INDEX(EntryPartyName,$P398)))</f>
        <v/>
      </c>
      <c r="F398" s="28">
        <f>IF($P398="","",IF(INDEX(EntryPartyType,$P398)=0,"",INDEX(EntryPartyType,$P398)))</f>
        <v/>
      </c>
      <c r="G398" s="28">
        <f>IF($P398="","",IF(INDEX(EntryTxnType,$P398)=0,"",INDEX(EntryTxnType,$P398)))</f>
        <v/>
      </c>
      <c r="H398" s="29">
        <f>IF($P398="","",IF(INDEX(EntryDep,$P398)=0,"",INDEX(EntryDep,$P398)))</f>
        <v/>
      </c>
      <c r="I398" s="29">
        <f>IF($P398="","",IF(INDEX(EntryWit,$P398)=0,"",INDEX(EntryWit,$P398)))</f>
        <v/>
      </c>
      <c r="J398" s="29">
        <f>IF($B398="","",IF($A398=1,$C$7,IF(J397="",0,J397))+IF($H398="",0,$H398)-IF($I398="",0,$I398))</f>
        <v/>
      </c>
      <c r="K398" s="29">
        <f>IF($P398="","",IF(INDEX(EntryMan,$P398)=0,"",INDEX(EntryMan,$P398)))</f>
        <v/>
      </c>
      <c r="L398" s="28">
        <f>IF($B398="","",IF($K398="","—",IF(ROUND($K398-$J398,0)=0,"√","×")))</f>
        <v/>
      </c>
      <c r="M398" s="28">
        <f>IF($B398="","",IF(COUNTIFS(EntryDates,$B398,CalcTime,$C398,CalcBank,$C$5,EntryParty,$D398,EntryDep,$H398,EntryWit,$I398)&gt;1,"تکرار",""))</f>
        <v/>
      </c>
      <c r="N398" s="28">
        <f>IF($P398="","",IF(INDEX(EntryNotes,$P398)=0,"",INDEX(EntryNotes,$P398)))</f>
        <v/>
      </c>
      <c r="O398" s="28">
        <f>IF($P398="","",IF(INDEX(EntryTxnID,$P398)=0,"",INDEX(EntryTxnID,$P398)))</f>
        <v/>
      </c>
      <c r="P398" s="28">
        <f>IFERROR(MATCH($C$5&amp;"|"&amp;RIGHT("000000"&amp;382,6),CalcRankKey,0),"")</f>
        <v/>
      </c>
    </row>
    <row r="399">
      <c r="A399" s="26">
        <f>IF($B399="","",383)</f>
        <v/>
      </c>
      <c r="B399" s="26">
        <f>IF($P399="","",IF(INDEX(CalcNormDate,$P399)=0,"",INDEX(CalcNormDate,$P399)))</f>
        <v/>
      </c>
      <c r="C399" s="26">
        <f>IF($P399="","",IF(INDEX(CalcTime,$P399)=0,"",INDEX(CalcTime,$P399)))</f>
        <v/>
      </c>
      <c r="D399" s="26">
        <f>IF($P399="","",IF(INDEX(EntryParty,$P399)=0,"",INDEX(EntryParty,$P399)))</f>
        <v/>
      </c>
      <c r="E399" s="26">
        <f>IF($P399="","",IF(INDEX(EntryPartyName,$P399)=0,"",INDEX(EntryPartyName,$P399)))</f>
        <v/>
      </c>
      <c r="F399" s="26">
        <f>IF($P399="","",IF(INDEX(EntryPartyType,$P399)=0,"",INDEX(EntryPartyType,$P399)))</f>
        <v/>
      </c>
      <c r="G399" s="26">
        <f>IF($P399="","",IF(INDEX(EntryTxnType,$P399)=0,"",INDEX(EntryTxnType,$P399)))</f>
        <v/>
      </c>
      <c r="H399" s="27">
        <f>IF($P399="","",IF(INDEX(EntryDep,$P399)=0,"",INDEX(EntryDep,$P399)))</f>
        <v/>
      </c>
      <c r="I399" s="27">
        <f>IF($P399="","",IF(INDEX(EntryWit,$P399)=0,"",INDEX(EntryWit,$P399)))</f>
        <v/>
      </c>
      <c r="J399" s="27">
        <f>IF($B399="","",IF($A399=1,$C$7,IF(J398="",0,J398))+IF($H399="",0,$H399)-IF($I399="",0,$I399))</f>
        <v/>
      </c>
      <c r="K399" s="27">
        <f>IF($P399="","",IF(INDEX(EntryMan,$P399)=0,"",INDEX(EntryMan,$P399)))</f>
        <v/>
      </c>
      <c r="L399" s="26">
        <f>IF($B399="","",IF($K399="","—",IF(ROUND($K399-$J399,0)=0,"√","×")))</f>
        <v/>
      </c>
      <c r="M399" s="26">
        <f>IF($B399="","",IF(COUNTIFS(EntryDates,$B399,CalcTime,$C399,CalcBank,$C$5,EntryParty,$D399,EntryDep,$H399,EntryWit,$I399)&gt;1,"تکرار",""))</f>
        <v/>
      </c>
      <c r="N399" s="26">
        <f>IF($P399="","",IF(INDEX(EntryNotes,$P399)=0,"",INDEX(EntryNotes,$P399)))</f>
        <v/>
      </c>
      <c r="O399" s="26">
        <f>IF($P399="","",IF(INDEX(EntryTxnID,$P399)=0,"",INDEX(EntryTxnID,$P399)))</f>
        <v/>
      </c>
      <c r="P399" s="26">
        <f>IFERROR(MATCH($C$5&amp;"|"&amp;RIGHT("000000"&amp;383,6),CalcRankKey,0),"")</f>
        <v/>
      </c>
    </row>
    <row r="400">
      <c r="A400" s="28">
        <f>IF($B400="","",384)</f>
        <v/>
      </c>
      <c r="B400" s="28">
        <f>IF($P400="","",IF(INDEX(CalcNormDate,$P400)=0,"",INDEX(CalcNormDate,$P400)))</f>
        <v/>
      </c>
      <c r="C400" s="28">
        <f>IF($P400="","",IF(INDEX(CalcTime,$P400)=0,"",INDEX(CalcTime,$P400)))</f>
        <v/>
      </c>
      <c r="D400" s="28">
        <f>IF($P400="","",IF(INDEX(EntryParty,$P400)=0,"",INDEX(EntryParty,$P400)))</f>
        <v/>
      </c>
      <c r="E400" s="28">
        <f>IF($P400="","",IF(INDEX(EntryPartyName,$P400)=0,"",INDEX(EntryPartyName,$P400)))</f>
        <v/>
      </c>
      <c r="F400" s="28">
        <f>IF($P400="","",IF(INDEX(EntryPartyType,$P400)=0,"",INDEX(EntryPartyType,$P400)))</f>
        <v/>
      </c>
      <c r="G400" s="28">
        <f>IF($P400="","",IF(INDEX(EntryTxnType,$P400)=0,"",INDEX(EntryTxnType,$P400)))</f>
        <v/>
      </c>
      <c r="H400" s="29">
        <f>IF($P400="","",IF(INDEX(EntryDep,$P400)=0,"",INDEX(EntryDep,$P400)))</f>
        <v/>
      </c>
      <c r="I400" s="29">
        <f>IF($P400="","",IF(INDEX(EntryWit,$P400)=0,"",INDEX(EntryWit,$P400)))</f>
        <v/>
      </c>
      <c r="J400" s="29">
        <f>IF($B400="","",IF($A400=1,$C$7,IF(J399="",0,J399))+IF($H400="",0,$H400)-IF($I400="",0,$I400))</f>
        <v/>
      </c>
      <c r="K400" s="29">
        <f>IF($P400="","",IF(INDEX(EntryMan,$P400)=0,"",INDEX(EntryMan,$P400)))</f>
        <v/>
      </c>
      <c r="L400" s="28">
        <f>IF($B400="","",IF($K400="","—",IF(ROUND($K400-$J400,0)=0,"√","×")))</f>
        <v/>
      </c>
      <c r="M400" s="28">
        <f>IF($B400="","",IF(COUNTIFS(EntryDates,$B400,CalcTime,$C400,CalcBank,$C$5,EntryParty,$D400,EntryDep,$H400,EntryWit,$I400)&gt;1,"تکرار",""))</f>
        <v/>
      </c>
      <c r="N400" s="28">
        <f>IF($P400="","",IF(INDEX(EntryNotes,$P400)=0,"",INDEX(EntryNotes,$P400)))</f>
        <v/>
      </c>
      <c r="O400" s="28">
        <f>IF($P400="","",IF(INDEX(EntryTxnID,$P400)=0,"",INDEX(EntryTxnID,$P400)))</f>
        <v/>
      </c>
      <c r="P400" s="28">
        <f>IFERROR(MATCH($C$5&amp;"|"&amp;RIGHT("000000"&amp;384,6),CalcRankKey,0),"")</f>
        <v/>
      </c>
    </row>
    <row r="401">
      <c r="A401" s="26">
        <f>IF($B401="","",385)</f>
        <v/>
      </c>
      <c r="B401" s="26">
        <f>IF($P401="","",IF(INDEX(CalcNormDate,$P401)=0,"",INDEX(CalcNormDate,$P401)))</f>
        <v/>
      </c>
      <c r="C401" s="26">
        <f>IF($P401="","",IF(INDEX(CalcTime,$P401)=0,"",INDEX(CalcTime,$P401)))</f>
        <v/>
      </c>
      <c r="D401" s="26">
        <f>IF($P401="","",IF(INDEX(EntryParty,$P401)=0,"",INDEX(EntryParty,$P401)))</f>
        <v/>
      </c>
      <c r="E401" s="26">
        <f>IF($P401="","",IF(INDEX(EntryPartyName,$P401)=0,"",INDEX(EntryPartyName,$P401)))</f>
        <v/>
      </c>
      <c r="F401" s="26">
        <f>IF($P401="","",IF(INDEX(EntryPartyType,$P401)=0,"",INDEX(EntryPartyType,$P401)))</f>
        <v/>
      </c>
      <c r="G401" s="26">
        <f>IF($P401="","",IF(INDEX(EntryTxnType,$P401)=0,"",INDEX(EntryTxnType,$P401)))</f>
        <v/>
      </c>
      <c r="H401" s="27">
        <f>IF($P401="","",IF(INDEX(EntryDep,$P401)=0,"",INDEX(EntryDep,$P401)))</f>
        <v/>
      </c>
      <c r="I401" s="27">
        <f>IF($P401="","",IF(INDEX(EntryWit,$P401)=0,"",INDEX(EntryWit,$P401)))</f>
        <v/>
      </c>
      <c r="J401" s="27">
        <f>IF($B401="","",IF($A401=1,$C$7,IF(J400="",0,J400))+IF($H401="",0,$H401)-IF($I401="",0,$I401))</f>
        <v/>
      </c>
      <c r="K401" s="27">
        <f>IF($P401="","",IF(INDEX(EntryMan,$P401)=0,"",INDEX(EntryMan,$P401)))</f>
        <v/>
      </c>
      <c r="L401" s="26">
        <f>IF($B401="","",IF($K401="","—",IF(ROUND($K401-$J401,0)=0,"√","×")))</f>
        <v/>
      </c>
      <c r="M401" s="26">
        <f>IF($B401="","",IF(COUNTIFS(EntryDates,$B401,CalcTime,$C401,CalcBank,$C$5,EntryParty,$D401,EntryDep,$H401,EntryWit,$I401)&gt;1,"تکرار",""))</f>
        <v/>
      </c>
      <c r="N401" s="26">
        <f>IF($P401="","",IF(INDEX(EntryNotes,$P401)=0,"",INDEX(EntryNotes,$P401)))</f>
        <v/>
      </c>
      <c r="O401" s="26">
        <f>IF($P401="","",IF(INDEX(EntryTxnID,$P401)=0,"",INDEX(EntryTxnID,$P401)))</f>
        <v/>
      </c>
      <c r="P401" s="26">
        <f>IFERROR(MATCH($C$5&amp;"|"&amp;RIGHT("000000"&amp;385,6),CalcRankKey,0),"")</f>
        <v/>
      </c>
    </row>
    <row r="402">
      <c r="A402" s="28">
        <f>IF($B402="","",386)</f>
        <v/>
      </c>
      <c r="B402" s="28">
        <f>IF($P402="","",IF(INDEX(CalcNormDate,$P402)=0,"",INDEX(CalcNormDate,$P402)))</f>
        <v/>
      </c>
      <c r="C402" s="28">
        <f>IF($P402="","",IF(INDEX(CalcTime,$P402)=0,"",INDEX(CalcTime,$P402)))</f>
        <v/>
      </c>
      <c r="D402" s="28">
        <f>IF($P402="","",IF(INDEX(EntryParty,$P402)=0,"",INDEX(EntryParty,$P402)))</f>
        <v/>
      </c>
      <c r="E402" s="28">
        <f>IF($P402="","",IF(INDEX(EntryPartyName,$P402)=0,"",INDEX(EntryPartyName,$P402)))</f>
        <v/>
      </c>
      <c r="F402" s="28">
        <f>IF($P402="","",IF(INDEX(EntryPartyType,$P402)=0,"",INDEX(EntryPartyType,$P402)))</f>
        <v/>
      </c>
      <c r="G402" s="28">
        <f>IF($P402="","",IF(INDEX(EntryTxnType,$P402)=0,"",INDEX(EntryTxnType,$P402)))</f>
        <v/>
      </c>
      <c r="H402" s="29">
        <f>IF($P402="","",IF(INDEX(EntryDep,$P402)=0,"",INDEX(EntryDep,$P402)))</f>
        <v/>
      </c>
      <c r="I402" s="29">
        <f>IF($P402="","",IF(INDEX(EntryWit,$P402)=0,"",INDEX(EntryWit,$P402)))</f>
        <v/>
      </c>
      <c r="J402" s="29">
        <f>IF($B402="","",IF($A402=1,$C$7,IF(J401="",0,J401))+IF($H402="",0,$H402)-IF($I402="",0,$I402))</f>
        <v/>
      </c>
      <c r="K402" s="29">
        <f>IF($P402="","",IF(INDEX(EntryMan,$P402)=0,"",INDEX(EntryMan,$P402)))</f>
        <v/>
      </c>
      <c r="L402" s="28">
        <f>IF($B402="","",IF($K402="","—",IF(ROUND($K402-$J402,0)=0,"√","×")))</f>
        <v/>
      </c>
      <c r="M402" s="28">
        <f>IF($B402="","",IF(COUNTIFS(EntryDates,$B402,CalcTime,$C402,CalcBank,$C$5,EntryParty,$D402,EntryDep,$H402,EntryWit,$I402)&gt;1,"تکرار",""))</f>
        <v/>
      </c>
      <c r="N402" s="28">
        <f>IF($P402="","",IF(INDEX(EntryNotes,$P402)=0,"",INDEX(EntryNotes,$P402)))</f>
        <v/>
      </c>
      <c r="O402" s="28">
        <f>IF($P402="","",IF(INDEX(EntryTxnID,$P402)=0,"",INDEX(EntryTxnID,$P402)))</f>
        <v/>
      </c>
      <c r="P402" s="28">
        <f>IFERROR(MATCH($C$5&amp;"|"&amp;RIGHT("000000"&amp;386,6),CalcRankKey,0),"")</f>
        <v/>
      </c>
    </row>
    <row r="403">
      <c r="A403" s="26">
        <f>IF($B403="","",387)</f>
        <v/>
      </c>
      <c r="B403" s="26">
        <f>IF($P403="","",IF(INDEX(CalcNormDate,$P403)=0,"",INDEX(CalcNormDate,$P403)))</f>
        <v/>
      </c>
      <c r="C403" s="26">
        <f>IF($P403="","",IF(INDEX(CalcTime,$P403)=0,"",INDEX(CalcTime,$P403)))</f>
        <v/>
      </c>
      <c r="D403" s="26">
        <f>IF($P403="","",IF(INDEX(EntryParty,$P403)=0,"",INDEX(EntryParty,$P403)))</f>
        <v/>
      </c>
      <c r="E403" s="26">
        <f>IF($P403="","",IF(INDEX(EntryPartyName,$P403)=0,"",INDEX(EntryPartyName,$P403)))</f>
        <v/>
      </c>
      <c r="F403" s="26">
        <f>IF($P403="","",IF(INDEX(EntryPartyType,$P403)=0,"",INDEX(EntryPartyType,$P403)))</f>
        <v/>
      </c>
      <c r="G403" s="26">
        <f>IF($P403="","",IF(INDEX(EntryTxnType,$P403)=0,"",INDEX(EntryTxnType,$P403)))</f>
        <v/>
      </c>
      <c r="H403" s="27">
        <f>IF($P403="","",IF(INDEX(EntryDep,$P403)=0,"",INDEX(EntryDep,$P403)))</f>
        <v/>
      </c>
      <c r="I403" s="27">
        <f>IF($P403="","",IF(INDEX(EntryWit,$P403)=0,"",INDEX(EntryWit,$P403)))</f>
        <v/>
      </c>
      <c r="J403" s="27">
        <f>IF($B403="","",IF($A403=1,$C$7,IF(J402="",0,J402))+IF($H403="",0,$H403)-IF($I403="",0,$I403))</f>
        <v/>
      </c>
      <c r="K403" s="27">
        <f>IF($P403="","",IF(INDEX(EntryMan,$P403)=0,"",INDEX(EntryMan,$P403)))</f>
        <v/>
      </c>
      <c r="L403" s="26">
        <f>IF($B403="","",IF($K403="","—",IF(ROUND($K403-$J403,0)=0,"√","×")))</f>
        <v/>
      </c>
      <c r="M403" s="26">
        <f>IF($B403="","",IF(COUNTIFS(EntryDates,$B403,CalcTime,$C403,CalcBank,$C$5,EntryParty,$D403,EntryDep,$H403,EntryWit,$I403)&gt;1,"تکرار",""))</f>
        <v/>
      </c>
      <c r="N403" s="26">
        <f>IF($P403="","",IF(INDEX(EntryNotes,$P403)=0,"",INDEX(EntryNotes,$P403)))</f>
        <v/>
      </c>
      <c r="O403" s="26">
        <f>IF($P403="","",IF(INDEX(EntryTxnID,$P403)=0,"",INDEX(EntryTxnID,$P403)))</f>
        <v/>
      </c>
      <c r="P403" s="26">
        <f>IFERROR(MATCH($C$5&amp;"|"&amp;RIGHT("000000"&amp;387,6),CalcRankKey,0),"")</f>
        <v/>
      </c>
    </row>
    <row r="404">
      <c r="A404" s="28">
        <f>IF($B404="","",388)</f>
        <v/>
      </c>
      <c r="B404" s="28">
        <f>IF($P404="","",IF(INDEX(CalcNormDate,$P404)=0,"",INDEX(CalcNormDate,$P404)))</f>
        <v/>
      </c>
      <c r="C404" s="28">
        <f>IF($P404="","",IF(INDEX(CalcTime,$P404)=0,"",INDEX(CalcTime,$P404)))</f>
        <v/>
      </c>
      <c r="D404" s="28">
        <f>IF($P404="","",IF(INDEX(EntryParty,$P404)=0,"",INDEX(EntryParty,$P404)))</f>
        <v/>
      </c>
      <c r="E404" s="28">
        <f>IF($P404="","",IF(INDEX(EntryPartyName,$P404)=0,"",INDEX(EntryPartyName,$P404)))</f>
        <v/>
      </c>
      <c r="F404" s="28">
        <f>IF($P404="","",IF(INDEX(EntryPartyType,$P404)=0,"",INDEX(EntryPartyType,$P404)))</f>
        <v/>
      </c>
      <c r="G404" s="28">
        <f>IF($P404="","",IF(INDEX(EntryTxnType,$P404)=0,"",INDEX(EntryTxnType,$P404)))</f>
        <v/>
      </c>
      <c r="H404" s="29">
        <f>IF($P404="","",IF(INDEX(EntryDep,$P404)=0,"",INDEX(EntryDep,$P404)))</f>
        <v/>
      </c>
      <c r="I404" s="29">
        <f>IF($P404="","",IF(INDEX(EntryWit,$P404)=0,"",INDEX(EntryWit,$P404)))</f>
        <v/>
      </c>
      <c r="J404" s="29">
        <f>IF($B404="","",IF($A404=1,$C$7,IF(J403="",0,J403))+IF($H404="",0,$H404)-IF($I404="",0,$I404))</f>
        <v/>
      </c>
      <c r="K404" s="29">
        <f>IF($P404="","",IF(INDEX(EntryMan,$P404)=0,"",INDEX(EntryMan,$P404)))</f>
        <v/>
      </c>
      <c r="L404" s="28">
        <f>IF($B404="","",IF($K404="","—",IF(ROUND($K404-$J404,0)=0,"√","×")))</f>
        <v/>
      </c>
      <c r="M404" s="28">
        <f>IF($B404="","",IF(COUNTIFS(EntryDates,$B404,CalcTime,$C404,CalcBank,$C$5,EntryParty,$D404,EntryDep,$H404,EntryWit,$I404)&gt;1,"تکرار",""))</f>
        <v/>
      </c>
      <c r="N404" s="28">
        <f>IF($P404="","",IF(INDEX(EntryNotes,$P404)=0,"",INDEX(EntryNotes,$P404)))</f>
        <v/>
      </c>
      <c r="O404" s="28">
        <f>IF($P404="","",IF(INDEX(EntryTxnID,$P404)=0,"",INDEX(EntryTxnID,$P404)))</f>
        <v/>
      </c>
      <c r="P404" s="28">
        <f>IFERROR(MATCH($C$5&amp;"|"&amp;RIGHT("000000"&amp;388,6),CalcRankKey,0),"")</f>
        <v/>
      </c>
    </row>
    <row r="405">
      <c r="A405" s="26">
        <f>IF($B405="","",389)</f>
        <v/>
      </c>
      <c r="B405" s="26">
        <f>IF($P405="","",IF(INDEX(CalcNormDate,$P405)=0,"",INDEX(CalcNormDate,$P405)))</f>
        <v/>
      </c>
      <c r="C405" s="26">
        <f>IF($P405="","",IF(INDEX(CalcTime,$P405)=0,"",INDEX(CalcTime,$P405)))</f>
        <v/>
      </c>
      <c r="D405" s="26">
        <f>IF($P405="","",IF(INDEX(EntryParty,$P405)=0,"",INDEX(EntryParty,$P405)))</f>
        <v/>
      </c>
      <c r="E405" s="26">
        <f>IF($P405="","",IF(INDEX(EntryPartyName,$P405)=0,"",INDEX(EntryPartyName,$P405)))</f>
        <v/>
      </c>
      <c r="F405" s="26">
        <f>IF($P405="","",IF(INDEX(EntryPartyType,$P405)=0,"",INDEX(EntryPartyType,$P405)))</f>
        <v/>
      </c>
      <c r="G405" s="26">
        <f>IF($P405="","",IF(INDEX(EntryTxnType,$P405)=0,"",INDEX(EntryTxnType,$P405)))</f>
        <v/>
      </c>
      <c r="H405" s="27">
        <f>IF($P405="","",IF(INDEX(EntryDep,$P405)=0,"",INDEX(EntryDep,$P405)))</f>
        <v/>
      </c>
      <c r="I405" s="27">
        <f>IF($P405="","",IF(INDEX(EntryWit,$P405)=0,"",INDEX(EntryWit,$P405)))</f>
        <v/>
      </c>
      <c r="J405" s="27">
        <f>IF($B405="","",IF($A405=1,$C$7,IF(J404="",0,J404))+IF($H405="",0,$H405)-IF($I405="",0,$I405))</f>
        <v/>
      </c>
      <c r="K405" s="27">
        <f>IF($P405="","",IF(INDEX(EntryMan,$P405)=0,"",INDEX(EntryMan,$P405)))</f>
        <v/>
      </c>
      <c r="L405" s="26">
        <f>IF($B405="","",IF($K405="","—",IF(ROUND($K405-$J405,0)=0,"√","×")))</f>
        <v/>
      </c>
      <c r="M405" s="26">
        <f>IF($B405="","",IF(COUNTIFS(EntryDates,$B405,CalcTime,$C405,CalcBank,$C$5,EntryParty,$D405,EntryDep,$H405,EntryWit,$I405)&gt;1,"تکرار",""))</f>
        <v/>
      </c>
      <c r="N405" s="26">
        <f>IF($P405="","",IF(INDEX(EntryNotes,$P405)=0,"",INDEX(EntryNotes,$P405)))</f>
        <v/>
      </c>
      <c r="O405" s="26">
        <f>IF($P405="","",IF(INDEX(EntryTxnID,$P405)=0,"",INDEX(EntryTxnID,$P405)))</f>
        <v/>
      </c>
      <c r="P405" s="26">
        <f>IFERROR(MATCH($C$5&amp;"|"&amp;RIGHT("000000"&amp;389,6),CalcRankKey,0),"")</f>
        <v/>
      </c>
    </row>
    <row r="406">
      <c r="A406" s="28">
        <f>IF($B406="","",390)</f>
        <v/>
      </c>
      <c r="B406" s="28">
        <f>IF($P406="","",IF(INDEX(CalcNormDate,$P406)=0,"",INDEX(CalcNormDate,$P406)))</f>
        <v/>
      </c>
      <c r="C406" s="28">
        <f>IF($P406="","",IF(INDEX(CalcTime,$P406)=0,"",INDEX(CalcTime,$P406)))</f>
        <v/>
      </c>
      <c r="D406" s="28">
        <f>IF($P406="","",IF(INDEX(EntryParty,$P406)=0,"",INDEX(EntryParty,$P406)))</f>
        <v/>
      </c>
      <c r="E406" s="28">
        <f>IF($P406="","",IF(INDEX(EntryPartyName,$P406)=0,"",INDEX(EntryPartyName,$P406)))</f>
        <v/>
      </c>
      <c r="F406" s="28">
        <f>IF($P406="","",IF(INDEX(EntryPartyType,$P406)=0,"",INDEX(EntryPartyType,$P406)))</f>
        <v/>
      </c>
      <c r="G406" s="28">
        <f>IF($P406="","",IF(INDEX(EntryTxnType,$P406)=0,"",INDEX(EntryTxnType,$P406)))</f>
        <v/>
      </c>
      <c r="H406" s="29">
        <f>IF($P406="","",IF(INDEX(EntryDep,$P406)=0,"",INDEX(EntryDep,$P406)))</f>
        <v/>
      </c>
      <c r="I406" s="29">
        <f>IF($P406="","",IF(INDEX(EntryWit,$P406)=0,"",INDEX(EntryWit,$P406)))</f>
        <v/>
      </c>
      <c r="J406" s="29">
        <f>IF($B406="","",IF($A406=1,$C$7,IF(J405="",0,J405))+IF($H406="",0,$H406)-IF($I406="",0,$I406))</f>
        <v/>
      </c>
      <c r="K406" s="29">
        <f>IF($P406="","",IF(INDEX(EntryMan,$P406)=0,"",INDEX(EntryMan,$P406)))</f>
        <v/>
      </c>
      <c r="L406" s="28">
        <f>IF($B406="","",IF($K406="","—",IF(ROUND($K406-$J406,0)=0,"√","×")))</f>
        <v/>
      </c>
      <c r="M406" s="28">
        <f>IF($B406="","",IF(COUNTIFS(EntryDates,$B406,CalcTime,$C406,CalcBank,$C$5,EntryParty,$D406,EntryDep,$H406,EntryWit,$I406)&gt;1,"تکرار",""))</f>
        <v/>
      </c>
      <c r="N406" s="28">
        <f>IF($P406="","",IF(INDEX(EntryNotes,$P406)=0,"",INDEX(EntryNotes,$P406)))</f>
        <v/>
      </c>
      <c r="O406" s="28">
        <f>IF($P406="","",IF(INDEX(EntryTxnID,$P406)=0,"",INDEX(EntryTxnID,$P406)))</f>
        <v/>
      </c>
      <c r="P406" s="28">
        <f>IFERROR(MATCH($C$5&amp;"|"&amp;RIGHT("000000"&amp;390,6),CalcRankKey,0),"")</f>
        <v/>
      </c>
    </row>
    <row r="407">
      <c r="A407" s="26">
        <f>IF($B407="","",391)</f>
        <v/>
      </c>
      <c r="B407" s="26">
        <f>IF($P407="","",IF(INDEX(CalcNormDate,$P407)=0,"",INDEX(CalcNormDate,$P407)))</f>
        <v/>
      </c>
      <c r="C407" s="26">
        <f>IF($P407="","",IF(INDEX(CalcTime,$P407)=0,"",INDEX(CalcTime,$P407)))</f>
        <v/>
      </c>
      <c r="D407" s="26">
        <f>IF($P407="","",IF(INDEX(EntryParty,$P407)=0,"",INDEX(EntryParty,$P407)))</f>
        <v/>
      </c>
      <c r="E407" s="26">
        <f>IF($P407="","",IF(INDEX(EntryPartyName,$P407)=0,"",INDEX(EntryPartyName,$P407)))</f>
        <v/>
      </c>
      <c r="F407" s="26">
        <f>IF($P407="","",IF(INDEX(EntryPartyType,$P407)=0,"",INDEX(EntryPartyType,$P407)))</f>
        <v/>
      </c>
      <c r="G407" s="26">
        <f>IF($P407="","",IF(INDEX(EntryTxnType,$P407)=0,"",INDEX(EntryTxnType,$P407)))</f>
        <v/>
      </c>
      <c r="H407" s="27">
        <f>IF($P407="","",IF(INDEX(EntryDep,$P407)=0,"",INDEX(EntryDep,$P407)))</f>
        <v/>
      </c>
      <c r="I407" s="27">
        <f>IF($P407="","",IF(INDEX(EntryWit,$P407)=0,"",INDEX(EntryWit,$P407)))</f>
        <v/>
      </c>
      <c r="J407" s="27">
        <f>IF($B407="","",IF($A407=1,$C$7,IF(J406="",0,J406))+IF($H407="",0,$H407)-IF($I407="",0,$I407))</f>
        <v/>
      </c>
      <c r="K407" s="27">
        <f>IF($P407="","",IF(INDEX(EntryMan,$P407)=0,"",INDEX(EntryMan,$P407)))</f>
        <v/>
      </c>
      <c r="L407" s="26">
        <f>IF($B407="","",IF($K407="","—",IF(ROUND($K407-$J407,0)=0,"√","×")))</f>
        <v/>
      </c>
      <c r="M407" s="26">
        <f>IF($B407="","",IF(COUNTIFS(EntryDates,$B407,CalcTime,$C407,CalcBank,$C$5,EntryParty,$D407,EntryDep,$H407,EntryWit,$I407)&gt;1,"تکرار",""))</f>
        <v/>
      </c>
      <c r="N407" s="26">
        <f>IF($P407="","",IF(INDEX(EntryNotes,$P407)=0,"",INDEX(EntryNotes,$P407)))</f>
        <v/>
      </c>
      <c r="O407" s="26">
        <f>IF($P407="","",IF(INDEX(EntryTxnID,$P407)=0,"",INDEX(EntryTxnID,$P407)))</f>
        <v/>
      </c>
      <c r="P407" s="26">
        <f>IFERROR(MATCH($C$5&amp;"|"&amp;RIGHT("000000"&amp;391,6),CalcRankKey,0),"")</f>
        <v/>
      </c>
    </row>
    <row r="408">
      <c r="A408" s="28">
        <f>IF($B408="","",392)</f>
        <v/>
      </c>
      <c r="B408" s="28">
        <f>IF($P408="","",IF(INDEX(CalcNormDate,$P408)=0,"",INDEX(CalcNormDate,$P408)))</f>
        <v/>
      </c>
      <c r="C408" s="28">
        <f>IF($P408="","",IF(INDEX(CalcTime,$P408)=0,"",INDEX(CalcTime,$P408)))</f>
        <v/>
      </c>
      <c r="D408" s="28">
        <f>IF($P408="","",IF(INDEX(EntryParty,$P408)=0,"",INDEX(EntryParty,$P408)))</f>
        <v/>
      </c>
      <c r="E408" s="28">
        <f>IF($P408="","",IF(INDEX(EntryPartyName,$P408)=0,"",INDEX(EntryPartyName,$P408)))</f>
        <v/>
      </c>
      <c r="F408" s="28">
        <f>IF($P408="","",IF(INDEX(EntryPartyType,$P408)=0,"",INDEX(EntryPartyType,$P408)))</f>
        <v/>
      </c>
      <c r="G408" s="28">
        <f>IF($P408="","",IF(INDEX(EntryTxnType,$P408)=0,"",INDEX(EntryTxnType,$P408)))</f>
        <v/>
      </c>
      <c r="H408" s="29">
        <f>IF($P408="","",IF(INDEX(EntryDep,$P408)=0,"",INDEX(EntryDep,$P408)))</f>
        <v/>
      </c>
      <c r="I408" s="29">
        <f>IF($P408="","",IF(INDEX(EntryWit,$P408)=0,"",INDEX(EntryWit,$P408)))</f>
        <v/>
      </c>
      <c r="J408" s="29">
        <f>IF($B408="","",IF($A408=1,$C$7,IF(J407="",0,J407))+IF($H408="",0,$H408)-IF($I408="",0,$I408))</f>
        <v/>
      </c>
      <c r="K408" s="29">
        <f>IF($P408="","",IF(INDEX(EntryMan,$P408)=0,"",INDEX(EntryMan,$P408)))</f>
        <v/>
      </c>
      <c r="L408" s="28">
        <f>IF($B408="","",IF($K408="","—",IF(ROUND($K408-$J408,0)=0,"√","×")))</f>
        <v/>
      </c>
      <c r="M408" s="28">
        <f>IF($B408="","",IF(COUNTIFS(EntryDates,$B408,CalcTime,$C408,CalcBank,$C$5,EntryParty,$D408,EntryDep,$H408,EntryWit,$I408)&gt;1,"تکرار",""))</f>
        <v/>
      </c>
      <c r="N408" s="28">
        <f>IF($P408="","",IF(INDEX(EntryNotes,$P408)=0,"",INDEX(EntryNotes,$P408)))</f>
        <v/>
      </c>
      <c r="O408" s="28">
        <f>IF($P408="","",IF(INDEX(EntryTxnID,$P408)=0,"",INDEX(EntryTxnID,$P408)))</f>
        <v/>
      </c>
      <c r="P408" s="28">
        <f>IFERROR(MATCH($C$5&amp;"|"&amp;RIGHT("000000"&amp;392,6),CalcRankKey,0),"")</f>
        <v/>
      </c>
    </row>
    <row r="409">
      <c r="A409" s="26">
        <f>IF($B409="","",393)</f>
        <v/>
      </c>
      <c r="B409" s="26">
        <f>IF($P409="","",IF(INDEX(CalcNormDate,$P409)=0,"",INDEX(CalcNormDate,$P409)))</f>
        <v/>
      </c>
      <c r="C409" s="26">
        <f>IF($P409="","",IF(INDEX(CalcTime,$P409)=0,"",INDEX(CalcTime,$P409)))</f>
        <v/>
      </c>
      <c r="D409" s="26">
        <f>IF($P409="","",IF(INDEX(EntryParty,$P409)=0,"",INDEX(EntryParty,$P409)))</f>
        <v/>
      </c>
      <c r="E409" s="26">
        <f>IF($P409="","",IF(INDEX(EntryPartyName,$P409)=0,"",INDEX(EntryPartyName,$P409)))</f>
        <v/>
      </c>
      <c r="F409" s="26">
        <f>IF($P409="","",IF(INDEX(EntryPartyType,$P409)=0,"",INDEX(EntryPartyType,$P409)))</f>
        <v/>
      </c>
      <c r="G409" s="26">
        <f>IF($P409="","",IF(INDEX(EntryTxnType,$P409)=0,"",INDEX(EntryTxnType,$P409)))</f>
        <v/>
      </c>
      <c r="H409" s="27">
        <f>IF($P409="","",IF(INDEX(EntryDep,$P409)=0,"",INDEX(EntryDep,$P409)))</f>
        <v/>
      </c>
      <c r="I409" s="27">
        <f>IF($P409="","",IF(INDEX(EntryWit,$P409)=0,"",INDEX(EntryWit,$P409)))</f>
        <v/>
      </c>
      <c r="J409" s="27">
        <f>IF($B409="","",IF($A409=1,$C$7,IF(J408="",0,J408))+IF($H409="",0,$H409)-IF($I409="",0,$I409))</f>
        <v/>
      </c>
      <c r="K409" s="27">
        <f>IF($P409="","",IF(INDEX(EntryMan,$P409)=0,"",INDEX(EntryMan,$P409)))</f>
        <v/>
      </c>
      <c r="L409" s="26">
        <f>IF($B409="","",IF($K409="","—",IF(ROUND($K409-$J409,0)=0,"√","×")))</f>
        <v/>
      </c>
      <c r="M409" s="26">
        <f>IF($B409="","",IF(COUNTIFS(EntryDates,$B409,CalcTime,$C409,CalcBank,$C$5,EntryParty,$D409,EntryDep,$H409,EntryWit,$I409)&gt;1,"تکرار",""))</f>
        <v/>
      </c>
      <c r="N409" s="26">
        <f>IF($P409="","",IF(INDEX(EntryNotes,$P409)=0,"",INDEX(EntryNotes,$P409)))</f>
        <v/>
      </c>
      <c r="O409" s="26">
        <f>IF($P409="","",IF(INDEX(EntryTxnID,$P409)=0,"",INDEX(EntryTxnID,$P409)))</f>
        <v/>
      </c>
      <c r="P409" s="26">
        <f>IFERROR(MATCH($C$5&amp;"|"&amp;RIGHT("000000"&amp;393,6),CalcRankKey,0),"")</f>
        <v/>
      </c>
    </row>
    <row r="410">
      <c r="A410" s="28">
        <f>IF($B410="","",394)</f>
        <v/>
      </c>
      <c r="B410" s="28">
        <f>IF($P410="","",IF(INDEX(CalcNormDate,$P410)=0,"",INDEX(CalcNormDate,$P410)))</f>
        <v/>
      </c>
      <c r="C410" s="28">
        <f>IF($P410="","",IF(INDEX(CalcTime,$P410)=0,"",INDEX(CalcTime,$P410)))</f>
        <v/>
      </c>
      <c r="D410" s="28">
        <f>IF($P410="","",IF(INDEX(EntryParty,$P410)=0,"",INDEX(EntryParty,$P410)))</f>
        <v/>
      </c>
      <c r="E410" s="28">
        <f>IF($P410="","",IF(INDEX(EntryPartyName,$P410)=0,"",INDEX(EntryPartyName,$P410)))</f>
        <v/>
      </c>
      <c r="F410" s="28">
        <f>IF($P410="","",IF(INDEX(EntryPartyType,$P410)=0,"",INDEX(EntryPartyType,$P410)))</f>
        <v/>
      </c>
      <c r="G410" s="28">
        <f>IF($P410="","",IF(INDEX(EntryTxnType,$P410)=0,"",INDEX(EntryTxnType,$P410)))</f>
        <v/>
      </c>
      <c r="H410" s="29">
        <f>IF($P410="","",IF(INDEX(EntryDep,$P410)=0,"",INDEX(EntryDep,$P410)))</f>
        <v/>
      </c>
      <c r="I410" s="29">
        <f>IF($P410="","",IF(INDEX(EntryWit,$P410)=0,"",INDEX(EntryWit,$P410)))</f>
        <v/>
      </c>
      <c r="J410" s="29">
        <f>IF($B410="","",IF($A410=1,$C$7,IF(J409="",0,J409))+IF($H410="",0,$H410)-IF($I410="",0,$I410))</f>
        <v/>
      </c>
      <c r="K410" s="29">
        <f>IF($P410="","",IF(INDEX(EntryMan,$P410)=0,"",INDEX(EntryMan,$P410)))</f>
        <v/>
      </c>
      <c r="L410" s="28">
        <f>IF($B410="","",IF($K410="","—",IF(ROUND($K410-$J410,0)=0,"√","×")))</f>
        <v/>
      </c>
      <c r="M410" s="28">
        <f>IF($B410="","",IF(COUNTIFS(EntryDates,$B410,CalcTime,$C410,CalcBank,$C$5,EntryParty,$D410,EntryDep,$H410,EntryWit,$I410)&gt;1,"تکرار",""))</f>
        <v/>
      </c>
      <c r="N410" s="28">
        <f>IF($P410="","",IF(INDEX(EntryNotes,$P410)=0,"",INDEX(EntryNotes,$P410)))</f>
        <v/>
      </c>
      <c r="O410" s="28">
        <f>IF($P410="","",IF(INDEX(EntryTxnID,$P410)=0,"",INDEX(EntryTxnID,$P410)))</f>
        <v/>
      </c>
      <c r="P410" s="28">
        <f>IFERROR(MATCH($C$5&amp;"|"&amp;RIGHT("000000"&amp;394,6),CalcRankKey,0),"")</f>
        <v/>
      </c>
    </row>
    <row r="411">
      <c r="A411" s="26">
        <f>IF($B411="","",395)</f>
        <v/>
      </c>
      <c r="B411" s="26">
        <f>IF($P411="","",IF(INDEX(CalcNormDate,$P411)=0,"",INDEX(CalcNormDate,$P411)))</f>
        <v/>
      </c>
      <c r="C411" s="26">
        <f>IF($P411="","",IF(INDEX(CalcTime,$P411)=0,"",INDEX(CalcTime,$P411)))</f>
        <v/>
      </c>
      <c r="D411" s="26">
        <f>IF($P411="","",IF(INDEX(EntryParty,$P411)=0,"",INDEX(EntryParty,$P411)))</f>
        <v/>
      </c>
      <c r="E411" s="26">
        <f>IF($P411="","",IF(INDEX(EntryPartyName,$P411)=0,"",INDEX(EntryPartyName,$P411)))</f>
        <v/>
      </c>
      <c r="F411" s="26">
        <f>IF($P411="","",IF(INDEX(EntryPartyType,$P411)=0,"",INDEX(EntryPartyType,$P411)))</f>
        <v/>
      </c>
      <c r="G411" s="26">
        <f>IF($P411="","",IF(INDEX(EntryTxnType,$P411)=0,"",INDEX(EntryTxnType,$P411)))</f>
        <v/>
      </c>
      <c r="H411" s="27">
        <f>IF($P411="","",IF(INDEX(EntryDep,$P411)=0,"",INDEX(EntryDep,$P411)))</f>
        <v/>
      </c>
      <c r="I411" s="27">
        <f>IF($P411="","",IF(INDEX(EntryWit,$P411)=0,"",INDEX(EntryWit,$P411)))</f>
        <v/>
      </c>
      <c r="J411" s="27">
        <f>IF($B411="","",IF($A411=1,$C$7,IF(J410="",0,J410))+IF($H411="",0,$H411)-IF($I411="",0,$I411))</f>
        <v/>
      </c>
      <c r="K411" s="27">
        <f>IF($P411="","",IF(INDEX(EntryMan,$P411)=0,"",INDEX(EntryMan,$P411)))</f>
        <v/>
      </c>
      <c r="L411" s="26">
        <f>IF($B411="","",IF($K411="","—",IF(ROUND($K411-$J411,0)=0,"√","×")))</f>
        <v/>
      </c>
      <c r="M411" s="26">
        <f>IF($B411="","",IF(COUNTIFS(EntryDates,$B411,CalcTime,$C411,CalcBank,$C$5,EntryParty,$D411,EntryDep,$H411,EntryWit,$I411)&gt;1,"تکرار",""))</f>
        <v/>
      </c>
      <c r="N411" s="26">
        <f>IF($P411="","",IF(INDEX(EntryNotes,$P411)=0,"",INDEX(EntryNotes,$P411)))</f>
        <v/>
      </c>
      <c r="O411" s="26">
        <f>IF($P411="","",IF(INDEX(EntryTxnID,$P411)=0,"",INDEX(EntryTxnID,$P411)))</f>
        <v/>
      </c>
      <c r="P411" s="26">
        <f>IFERROR(MATCH($C$5&amp;"|"&amp;RIGHT("000000"&amp;395,6),CalcRankKey,0),"")</f>
        <v/>
      </c>
    </row>
    <row r="412">
      <c r="A412" s="28">
        <f>IF($B412="","",396)</f>
        <v/>
      </c>
      <c r="B412" s="28">
        <f>IF($P412="","",IF(INDEX(CalcNormDate,$P412)=0,"",INDEX(CalcNormDate,$P412)))</f>
        <v/>
      </c>
      <c r="C412" s="28">
        <f>IF($P412="","",IF(INDEX(CalcTime,$P412)=0,"",INDEX(CalcTime,$P412)))</f>
        <v/>
      </c>
      <c r="D412" s="28">
        <f>IF($P412="","",IF(INDEX(EntryParty,$P412)=0,"",INDEX(EntryParty,$P412)))</f>
        <v/>
      </c>
      <c r="E412" s="28">
        <f>IF($P412="","",IF(INDEX(EntryPartyName,$P412)=0,"",INDEX(EntryPartyName,$P412)))</f>
        <v/>
      </c>
      <c r="F412" s="28">
        <f>IF($P412="","",IF(INDEX(EntryPartyType,$P412)=0,"",INDEX(EntryPartyType,$P412)))</f>
        <v/>
      </c>
      <c r="G412" s="28">
        <f>IF($P412="","",IF(INDEX(EntryTxnType,$P412)=0,"",INDEX(EntryTxnType,$P412)))</f>
        <v/>
      </c>
      <c r="H412" s="29">
        <f>IF($P412="","",IF(INDEX(EntryDep,$P412)=0,"",INDEX(EntryDep,$P412)))</f>
        <v/>
      </c>
      <c r="I412" s="29">
        <f>IF($P412="","",IF(INDEX(EntryWit,$P412)=0,"",INDEX(EntryWit,$P412)))</f>
        <v/>
      </c>
      <c r="J412" s="29">
        <f>IF($B412="","",IF($A412=1,$C$7,IF(J411="",0,J411))+IF($H412="",0,$H412)-IF($I412="",0,$I412))</f>
        <v/>
      </c>
      <c r="K412" s="29">
        <f>IF($P412="","",IF(INDEX(EntryMan,$P412)=0,"",INDEX(EntryMan,$P412)))</f>
        <v/>
      </c>
      <c r="L412" s="28">
        <f>IF($B412="","",IF($K412="","—",IF(ROUND($K412-$J412,0)=0,"√","×")))</f>
        <v/>
      </c>
      <c r="M412" s="28">
        <f>IF($B412="","",IF(COUNTIFS(EntryDates,$B412,CalcTime,$C412,CalcBank,$C$5,EntryParty,$D412,EntryDep,$H412,EntryWit,$I412)&gt;1,"تکرار",""))</f>
        <v/>
      </c>
      <c r="N412" s="28">
        <f>IF($P412="","",IF(INDEX(EntryNotes,$P412)=0,"",INDEX(EntryNotes,$P412)))</f>
        <v/>
      </c>
      <c r="O412" s="28">
        <f>IF($P412="","",IF(INDEX(EntryTxnID,$P412)=0,"",INDEX(EntryTxnID,$P412)))</f>
        <v/>
      </c>
      <c r="P412" s="28">
        <f>IFERROR(MATCH($C$5&amp;"|"&amp;RIGHT("000000"&amp;396,6),CalcRankKey,0),"")</f>
        <v/>
      </c>
    </row>
    <row r="413">
      <c r="A413" s="26">
        <f>IF($B413="","",397)</f>
        <v/>
      </c>
      <c r="B413" s="26">
        <f>IF($P413="","",IF(INDEX(CalcNormDate,$P413)=0,"",INDEX(CalcNormDate,$P413)))</f>
        <v/>
      </c>
      <c r="C413" s="26">
        <f>IF($P413="","",IF(INDEX(CalcTime,$P413)=0,"",INDEX(CalcTime,$P413)))</f>
        <v/>
      </c>
      <c r="D413" s="26">
        <f>IF($P413="","",IF(INDEX(EntryParty,$P413)=0,"",INDEX(EntryParty,$P413)))</f>
        <v/>
      </c>
      <c r="E413" s="26">
        <f>IF($P413="","",IF(INDEX(EntryPartyName,$P413)=0,"",INDEX(EntryPartyName,$P413)))</f>
        <v/>
      </c>
      <c r="F413" s="26">
        <f>IF($P413="","",IF(INDEX(EntryPartyType,$P413)=0,"",INDEX(EntryPartyType,$P413)))</f>
        <v/>
      </c>
      <c r="G413" s="26">
        <f>IF($P413="","",IF(INDEX(EntryTxnType,$P413)=0,"",INDEX(EntryTxnType,$P413)))</f>
        <v/>
      </c>
      <c r="H413" s="27">
        <f>IF($P413="","",IF(INDEX(EntryDep,$P413)=0,"",INDEX(EntryDep,$P413)))</f>
        <v/>
      </c>
      <c r="I413" s="27">
        <f>IF($P413="","",IF(INDEX(EntryWit,$P413)=0,"",INDEX(EntryWit,$P413)))</f>
        <v/>
      </c>
      <c r="J413" s="27">
        <f>IF($B413="","",IF($A413=1,$C$7,IF(J412="",0,J412))+IF($H413="",0,$H413)-IF($I413="",0,$I413))</f>
        <v/>
      </c>
      <c r="K413" s="27">
        <f>IF($P413="","",IF(INDEX(EntryMan,$P413)=0,"",INDEX(EntryMan,$P413)))</f>
        <v/>
      </c>
      <c r="L413" s="26">
        <f>IF($B413="","",IF($K413="","—",IF(ROUND($K413-$J413,0)=0,"√","×")))</f>
        <v/>
      </c>
      <c r="M413" s="26">
        <f>IF($B413="","",IF(COUNTIFS(EntryDates,$B413,CalcTime,$C413,CalcBank,$C$5,EntryParty,$D413,EntryDep,$H413,EntryWit,$I413)&gt;1,"تکرار",""))</f>
        <v/>
      </c>
      <c r="N413" s="26">
        <f>IF($P413="","",IF(INDEX(EntryNotes,$P413)=0,"",INDEX(EntryNotes,$P413)))</f>
        <v/>
      </c>
      <c r="O413" s="26">
        <f>IF($P413="","",IF(INDEX(EntryTxnID,$P413)=0,"",INDEX(EntryTxnID,$P413)))</f>
        <v/>
      </c>
      <c r="P413" s="26">
        <f>IFERROR(MATCH($C$5&amp;"|"&amp;RIGHT("000000"&amp;397,6),CalcRankKey,0),"")</f>
        <v/>
      </c>
    </row>
    <row r="414">
      <c r="A414" s="28">
        <f>IF($B414="","",398)</f>
        <v/>
      </c>
      <c r="B414" s="28">
        <f>IF($P414="","",IF(INDEX(CalcNormDate,$P414)=0,"",INDEX(CalcNormDate,$P414)))</f>
        <v/>
      </c>
      <c r="C414" s="28">
        <f>IF($P414="","",IF(INDEX(CalcTime,$P414)=0,"",INDEX(CalcTime,$P414)))</f>
        <v/>
      </c>
      <c r="D414" s="28">
        <f>IF($P414="","",IF(INDEX(EntryParty,$P414)=0,"",INDEX(EntryParty,$P414)))</f>
        <v/>
      </c>
      <c r="E414" s="28">
        <f>IF($P414="","",IF(INDEX(EntryPartyName,$P414)=0,"",INDEX(EntryPartyName,$P414)))</f>
        <v/>
      </c>
      <c r="F414" s="28">
        <f>IF($P414="","",IF(INDEX(EntryPartyType,$P414)=0,"",INDEX(EntryPartyType,$P414)))</f>
        <v/>
      </c>
      <c r="G414" s="28">
        <f>IF($P414="","",IF(INDEX(EntryTxnType,$P414)=0,"",INDEX(EntryTxnType,$P414)))</f>
        <v/>
      </c>
      <c r="H414" s="29">
        <f>IF($P414="","",IF(INDEX(EntryDep,$P414)=0,"",INDEX(EntryDep,$P414)))</f>
        <v/>
      </c>
      <c r="I414" s="29">
        <f>IF($P414="","",IF(INDEX(EntryWit,$P414)=0,"",INDEX(EntryWit,$P414)))</f>
        <v/>
      </c>
      <c r="J414" s="29">
        <f>IF($B414="","",IF($A414=1,$C$7,IF(J413="",0,J413))+IF($H414="",0,$H414)-IF($I414="",0,$I414))</f>
        <v/>
      </c>
      <c r="K414" s="29">
        <f>IF($P414="","",IF(INDEX(EntryMan,$P414)=0,"",INDEX(EntryMan,$P414)))</f>
        <v/>
      </c>
      <c r="L414" s="28">
        <f>IF($B414="","",IF($K414="","—",IF(ROUND($K414-$J414,0)=0,"√","×")))</f>
        <v/>
      </c>
      <c r="M414" s="28">
        <f>IF($B414="","",IF(COUNTIFS(EntryDates,$B414,CalcTime,$C414,CalcBank,$C$5,EntryParty,$D414,EntryDep,$H414,EntryWit,$I414)&gt;1,"تکرار",""))</f>
        <v/>
      </c>
      <c r="N414" s="28">
        <f>IF($P414="","",IF(INDEX(EntryNotes,$P414)=0,"",INDEX(EntryNotes,$P414)))</f>
        <v/>
      </c>
      <c r="O414" s="28">
        <f>IF($P414="","",IF(INDEX(EntryTxnID,$P414)=0,"",INDEX(EntryTxnID,$P414)))</f>
        <v/>
      </c>
      <c r="P414" s="28">
        <f>IFERROR(MATCH($C$5&amp;"|"&amp;RIGHT("000000"&amp;398,6),CalcRankKey,0),"")</f>
        <v/>
      </c>
    </row>
    <row r="415">
      <c r="A415" s="26">
        <f>IF($B415="","",399)</f>
        <v/>
      </c>
      <c r="B415" s="26">
        <f>IF($P415="","",IF(INDEX(CalcNormDate,$P415)=0,"",INDEX(CalcNormDate,$P415)))</f>
        <v/>
      </c>
      <c r="C415" s="26">
        <f>IF($P415="","",IF(INDEX(CalcTime,$P415)=0,"",INDEX(CalcTime,$P415)))</f>
        <v/>
      </c>
      <c r="D415" s="26">
        <f>IF($P415="","",IF(INDEX(EntryParty,$P415)=0,"",INDEX(EntryParty,$P415)))</f>
        <v/>
      </c>
      <c r="E415" s="26">
        <f>IF($P415="","",IF(INDEX(EntryPartyName,$P415)=0,"",INDEX(EntryPartyName,$P415)))</f>
        <v/>
      </c>
      <c r="F415" s="26">
        <f>IF($P415="","",IF(INDEX(EntryPartyType,$P415)=0,"",INDEX(EntryPartyType,$P415)))</f>
        <v/>
      </c>
      <c r="G415" s="26">
        <f>IF($P415="","",IF(INDEX(EntryTxnType,$P415)=0,"",INDEX(EntryTxnType,$P415)))</f>
        <v/>
      </c>
      <c r="H415" s="27">
        <f>IF($P415="","",IF(INDEX(EntryDep,$P415)=0,"",INDEX(EntryDep,$P415)))</f>
        <v/>
      </c>
      <c r="I415" s="27">
        <f>IF($P415="","",IF(INDEX(EntryWit,$P415)=0,"",INDEX(EntryWit,$P415)))</f>
        <v/>
      </c>
      <c r="J415" s="27">
        <f>IF($B415="","",IF($A415=1,$C$7,IF(J414="",0,J414))+IF($H415="",0,$H415)-IF($I415="",0,$I415))</f>
        <v/>
      </c>
      <c r="K415" s="27">
        <f>IF($P415="","",IF(INDEX(EntryMan,$P415)=0,"",INDEX(EntryMan,$P415)))</f>
        <v/>
      </c>
      <c r="L415" s="26">
        <f>IF($B415="","",IF($K415="","—",IF(ROUND($K415-$J415,0)=0,"√","×")))</f>
        <v/>
      </c>
      <c r="M415" s="26">
        <f>IF($B415="","",IF(COUNTIFS(EntryDates,$B415,CalcTime,$C415,CalcBank,$C$5,EntryParty,$D415,EntryDep,$H415,EntryWit,$I415)&gt;1,"تکرار",""))</f>
        <v/>
      </c>
      <c r="N415" s="26">
        <f>IF($P415="","",IF(INDEX(EntryNotes,$P415)=0,"",INDEX(EntryNotes,$P415)))</f>
        <v/>
      </c>
      <c r="O415" s="26">
        <f>IF($P415="","",IF(INDEX(EntryTxnID,$P415)=0,"",INDEX(EntryTxnID,$P415)))</f>
        <v/>
      </c>
      <c r="P415" s="26">
        <f>IFERROR(MATCH($C$5&amp;"|"&amp;RIGHT("000000"&amp;399,6),CalcRankKey,0),"")</f>
        <v/>
      </c>
    </row>
    <row r="416">
      <c r="A416" s="28">
        <f>IF($B416="","",400)</f>
        <v/>
      </c>
      <c r="B416" s="28">
        <f>IF($P416="","",IF(INDEX(CalcNormDate,$P416)=0,"",INDEX(CalcNormDate,$P416)))</f>
        <v/>
      </c>
      <c r="C416" s="28">
        <f>IF($P416="","",IF(INDEX(CalcTime,$P416)=0,"",INDEX(CalcTime,$P416)))</f>
        <v/>
      </c>
      <c r="D416" s="28">
        <f>IF($P416="","",IF(INDEX(EntryParty,$P416)=0,"",INDEX(EntryParty,$P416)))</f>
        <v/>
      </c>
      <c r="E416" s="28">
        <f>IF($P416="","",IF(INDEX(EntryPartyName,$P416)=0,"",INDEX(EntryPartyName,$P416)))</f>
        <v/>
      </c>
      <c r="F416" s="28">
        <f>IF($P416="","",IF(INDEX(EntryPartyType,$P416)=0,"",INDEX(EntryPartyType,$P416)))</f>
        <v/>
      </c>
      <c r="G416" s="28">
        <f>IF($P416="","",IF(INDEX(EntryTxnType,$P416)=0,"",INDEX(EntryTxnType,$P416)))</f>
        <v/>
      </c>
      <c r="H416" s="29">
        <f>IF($P416="","",IF(INDEX(EntryDep,$P416)=0,"",INDEX(EntryDep,$P416)))</f>
        <v/>
      </c>
      <c r="I416" s="29">
        <f>IF($P416="","",IF(INDEX(EntryWit,$P416)=0,"",INDEX(EntryWit,$P416)))</f>
        <v/>
      </c>
      <c r="J416" s="29">
        <f>IF($B416="","",IF($A416=1,$C$7,IF(J415="",0,J415))+IF($H416="",0,$H416)-IF($I416="",0,$I416))</f>
        <v/>
      </c>
      <c r="K416" s="29">
        <f>IF($P416="","",IF(INDEX(EntryMan,$P416)=0,"",INDEX(EntryMan,$P416)))</f>
        <v/>
      </c>
      <c r="L416" s="28">
        <f>IF($B416="","",IF($K416="","—",IF(ROUND($K416-$J416,0)=0,"√","×")))</f>
        <v/>
      </c>
      <c r="M416" s="28">
        <f>IF($B416="","",IF(COUNTIFS(EntryDates,$B416,CalcTime,$C416,CalcBank,$C$5,EntryParty,$D416,EntryDep,$H416,EntryWit,$I416)&gt;1,"تکرار",""))</f>
        <v/>
      </c>
      <c r="N416" s="28">
        <f>IF($P416="","",IF(INDEX(EntryNotes,$P416)=0,"",INDEX(EntryNotes,$P416)))</f>
        <v/>
      </c>
      <c r="O416" s="28">
        <f>IF($P416="","",IF(INDEX(EntryTxnID,$P416)=0,"",INDEX(EntryTxnID,$P416)))</f>
        <v/>
      </c>
      <c r="P416" s="28">
        <f>IFERROR(MATCH($C$5&amp;"|"&amp;RIGHT("000000"&amp;400,6),CalcRankKey,0),"")</f>
        <v/>
      </c>
    </row>
    <row r="417">
      <c r="A417" s="26">
        <f>IF($B417="","",401)</f>
        <v/>
      </c>
      <c r="B417" s="26">
        <f>IF($P417="","",IF(INDEX(CalcNormDate,$P417)=0,"",INDEX(CalcNormDate,$P417)))</f>
        <v/>
      </c>
      <c r="C417" s="26">
        <f>IF($P417="","",IF(INDEX(CalcTime,$P417)=0,"",INDEX(CalcTime,$P417)))</f>
        <v/>
      </c>
      <c r="D417" s="26">
        <f>IF($P417="","",IF(INDEX(EntryParty,$P417)=0,"",INDEX(EntryParty,$P417)))</f>
        <v/>
      </c>
      <c r="E417" s="26">
        <f>IF($P417="","",IF(INDEX(EntryPartyName,$P417)=0,"",INDEX(EntryPartyName,$P417)))</f>
        <v/>
      </c>
      <c r="F417" s="26">
        <f>IF($P417="","",IF(INDEX(EntryPartyType,$P417)=0,"",INDEX(EntryPartyType,$P417)))</f>
        <v/>
      </c>
      <c r="G417" s="26">
        <f>IF($P417="","",IF(INDEX(EntryTxnType,$P417)=0,"",INDEX(EntryTxnType,$P417)))</f>
        <v/>
      </c>
      <c r="H417" s="27">
        <f>IF($P417="","",IF(INDEX(EntryDep,$P417)=0,"",INDEX(EntryDep,$P417)))</f>
        <v/>
      </c>
      <c r="I417" s="27">
        <f>IF($P417="","",IF(INDEX(EntryWit,$P417)=0,"",INDEX(EntryWit,$P417)))</f>
        <v/>
      </c>
      <c r="J417" s="27">
        <f>IF($B417="","",IF($A417=1,$C$7,IF(J416="",0,J416))+IF($H417="",0,$H417)-IF($I417="",0,$I417))</f>
        <v/>
      </c>
      <c r="K417" s="27">
        <f>IF($P417="","",IF(INDEX(EntryMan,$P417)=0,"",INDEX(EntryMan,$P417)))</f>
        <v/>
      </c>
      <c r="L417" s="26">
        <f>IF($B417="","",IF($K417="","—",IF(ROUND($K417-$J417,0)=0,"√","×")))</f>
        <v/>
      </c>
      <c r="M417" s="26">
        <f>IF($B417="","",IF(COUNTIFS(EntryDates,$B417,CalcTime,$C417,CalcBank,$C$5,EntryParty,$D417,EntryDep,$H417,EntryWit,$I417)&gt;1,"تکرار",""))</f>
        <v/>
      </c>
      <c r="N417" s="26">
        <f>IF($P417="","",IF(INDEX(EntryNotes,$P417)=0,"",INDEX(EntryNotes,$P417)))</f>
        <v/>
      </c>
      <c r="O417" s="26">
        <f>IF($P417="","",IF(INDEX(EntryTxnID,$P417)=0,"",INDEX(EntryTxnID,$P417)))</f>
        <v/>
      </c>
      <c r="P417" s="26">
        <f>IFERROR(MATCH($C$5&amp;"|"&amp;RIGHT("000000"&amp;401,6),CalcRankKey,0),"")</f>
        <v/>
      </c>
    </row>
    <row r="418">
      <c r="A418" s="28">
        <f>IF($B418="","",402)</f>
        <v/>
      </c>
      <c r="B418" s="28">
        <f>IF($P418="","",IF(INDEX(CalcNormDate,$P418)=0,"",INDEX(CalcNormDate,$P418)))</f>
        <v/>
      </c>
      <c r="C418" s="28">
        <f>IF($P418="","",IF(INDEX(CalcTime,$P418)=0,"",INDEX(CalcTime,$P418)))</f>
        <v/>
      </c>
      <c r="D418" s="28">
        <f>IF($P418="","",IF(INDEX(EntryParty,$P418)=0,"",INDEX(EntryParty,$P418)))</f>
        <v/>
      </c>
      <c r="E418" s="28">
        <f>IF($P418="","",IF(INDEX(EntryPartyName,$P418)=0,"",INDEX(EntryPartyName,$P418)))</f>
        <v/>
      </c>
      <c r="F418" s="28">
        <f>IF($P418="","",IF(INDEX(EntryPartyType,$P418)=0,"",INDEX(EntryPartyType,$P418)))</f>
        <v/>
      </c>
      <c r="G418" s="28">
        <f>IF($P418="","",IF(INDEX(EntryTxnType,$P418)=0,"",INDEX(EntryTxnType,$P418)))</f>
        <v/>
      </c>
      <c r="H418" s="29">
        <f>IF($P418="","",IF(INDEX(EntryDep,$P418)=0,"",INDEX(EntryDep,$P418)))</f>
        <v/>
      </c>
      <c r="I418" s="29">
        <f>IF($P418="","",IF(INDEX(EntryWit,$P418)=0,"",INDEX(EntryWit,$P418)))</f>
        <v/>
      </c>
      <c r="J418" s="29">
        <f>IF($B418="","",IF($A418=1,$C$7,IF(J417="",0,J417))+IF($H418="",0,$H418)-IF($I418="",0,$I418))</f>
        <v/>
      </c>
      <c r="K418" s="29">
        <f>IF($P418="","",IF(INDEX(EntryMan,$P418)=0,"",INDEX(EntryMan,$P418)))</f>
        <v/>
      </c>
      <c r="L418" s="28">
        <f>IF($B418="","",IF($K418="","—",IF(ROUND($K418-$J418,0)=0,"√","×")))</f>
        <v/>
      </c>
      <c r="M418" s="28">
        <f>IF($B418="","",IF(COUNTIFS(EntryDates,$B418,CalcTime,$C418,CalcBank,$C$5,EntryParty,$D418,EntryDep,$H418,EntryWit,$I418)&gt;1,"تکرار",""))</f>
        <v/>
      </c>
      <c r="N418" s="28">
        <f>IF($P418="","",IF(INDEX(EntryNotes,$P418)=0,"",INDEX(EntryNotes,$P418)))</f>
        <v/>
      </c>
      <c r="O418" s="28">
        <f>IF($P418="","",IF(INDEX(EntryTxnID,$P418)=0,"",INDEX(EntryTxnID,$P418)))</f>
        <v/>
      </c>
      <c r="P418" s="28">
        <f>IFERROR(MATCH($C$5&amp;"|"&amp;RIGHT("000000"&amp;402,6),CalcRankKey,0),"")</f>
        <v/>
      </c>
    </row>
    <row r="419">
      <c r="A419" s="26">
        <f>IF($B419="","",403)</f>
        <v/>
      </c>
      <c r="B419" s="26">
        <f>IF($P419="","",IF(INDEX(CalcNormDate,$P419)=0,"",INDEX(CalcNormDate,$P419)))</f>
        <v/>
      </c>
      <c r="C419" s="26">
        <f>IF($P419="","",IF(INDEX(CalcTime,$P419)=0,"",INDEX(CalcTime,$P419)))</f>
        <v/>
      </c>
      <c r="D419" s="26">
        <f>IF($P419="","",IF(INDEX(EntryParty,$P419)=0,"",INDEX(EntryParty,$P419)))</f>
        <v/>
      </c>
      <c r="E419" s="26">
        <f>IF($P419="","",IF(INDEX(EntryPartyName,$P419)=0,"",INDEX(EntryPartyName,$P419)))</f>
        <v/>
      </c>
      <c r="F419" s="26">
        <f>IF($P419="","",IF(INDEX(EntryPartyType,$P419)=0,"",INDEX(EntryPartyType,$P419)))</f>
        <v/>
      </c>
      <c r="G419" s="26">
        <f>IF($P419="","",IF(INDEX(EntryTxnType,$P419)=0,"",INDEX(EntryTxnType,$P419)))</f>
        <v/>
      </c>
      <c r="H419" s="27">
        <f>IF($P419="","",IF(INDEX(EntryDep,$P419)=0,"",INDEX(EntryDep,$P419)))</f>
        <v/>
      </c>
      <c r="I419" s="27">
        <f>IF($P419="","",IF(INDEX(EntryWit,$P419)=0,"",INDEX(EntryWit,$P419)))</f>
        <v/>
      </c>
      <c r="J419" s="27">
        <f>IF($B419="","",IF($A419=1,$C$7,IF(J418="",0,J418))+IF($H419="",0,$H419)-IF($I419="",0,$I419))</f>
        <v/>
      </c>
      <c r="K419" s="27">
        <f>IF($P419="","",IF(INDEX(EntryMan,$P419)=0,"",INDEX(EntryMan,$P419)))</f>
        <v/>
      </c>
      <c r="L419" s="26">
        <f>IF($B419="","",IF($K419="","—",IF(ROUND($K419-$J419,0)=0,"√","×")))</f>
        <v/>
      </c>
      <c r="M419" s="26">
        <f>IF($B419="","",IF(COUNTIFS(EntryDates,$B419,CalcTime,$C419,CalcBank,$C$5,EntryParty,$D419,EntryDep,$H419,EntryWit,$I419)&gt;1,"تکرار",""))</f>
        <v/>
      </c>
      <c r="N419" s="26">
        <f>IF($P419="","",IF(INDEX(EntryNotes,$P419)=0,"",INDEX(EntryNotes,$P419)))</f>
        <v/>
      </c>
      <c r="O419" s="26">
        <f>IF($P419="","",IF(INDEX(EntryTxnID,$P419)=0,"",INDEX(EntryTxnID,$P419)))</f>
        <v/>
      </c>
      <c r="P419" s="26">
        <f>IFERROR(MATCH($C$5&amp;"|"&amp;RIGHT("000000"&amp;403,6),CalcRankKey,0),"")</f>
        <v/>
      </c>
    </row>
    <row r="420">
      <c r="A420" s="28">
        <f>IF($B420="","",404)</f>
        <v/>
      </c>
      <c r="B420" s="28">
        <f>IF($P420="","",IF(INDEX(CalcNormDate,$P420)=0,"",INDEX(CalcNormDate,$P420)))</f>
        <v/>
      </c>
      <c r="C420" s="28">
        <f>IF($P420="","",IF(INDEX(CalcTime,$P420)=0,"",INDEX(CalcTime,$P420)))</f>
        <v/>
      </c>
      <c r="D420" s="28">
        <f>IF($P420="","",IF(INDEX(EntryParty,$P420)=0,"",INDEX(EntryParty,$P420)))</f>
        <v/>
      </c>
      <c r="E420" s="28">
        <f>IF($P420="","",IF(INDEX(EntryPartyName,$P420)=0,"",INDEX(EntryPartyName,$P420)))</f>
        <v/>
      </c>
      <c r="F420" s="28">
        <f>IF($P420="","",IF(INDEX(EntryPartyType,$P420)=0,"",INDEX(EntryPartyType,$P420)))</f>
        <v/>
      </c>
      <c r="G420" s="28">
        <f>IF($P420="","",IF(INDEX(EntryTxnType,$P420)=0,"",INDEX(EntryTxnType,$P420)))</f>
        <v/>
      </c>
      <c r="H420" s="29">
        <f>IF($P420="","",IF(INDEX(EntryDep,$P420)=0,"",INDEX(EntryDep,$P420)))</f>
        <v/>
      </c>
      <c r="I420" s="29">
        <f>IF($P420="","",IF(INDEX(EntryWit,$P420)=0,"",INDEX(EntryWit,$P420)))</f>
        <v/>
      </c>
      <c r="J420" s="29">
        <f>IF($B420="","",IF($A420=1,$C$7,IF(J419="",0,J419))+IF($H420="",0,$H420)-IF($I420="",0,$I420))</f>
        <v/>
      </c>
      <c r="K420" s="29">
        <f>IF($P420="","",IF(INDEX(EntryMan,$P420)=0,"",INDEX(EntryMan,$P420)))</f>
        <v/>
      </c>
      <c r="L420" s="28">
        <f>IF($B420="","",IF($K420="","—",IF(ROUND($K420-$J420,0)=0,"√","×")))</f>
        <v/>
      </c>
      <c r="M420" s="28">
        <f>IF($B420="","",IF(COUNTIFS(EntryDates,$B420,CalcTime,$C420,CalcBank,$C$5,EntryParty,$D420,EntryDep,$H420,EntryWit,$I420)&gt;1,"تکرار",""))</f>
        <v/>
      </c>
      <c r="N420" s="28">
        <f>IF($P420="","",IF(INDEX(EntryNotes,$P420)=0,"",INDEX(EntryNotes,$P420)))</f>
        <v/>
      </c>
      <c r="O420" s="28">
        <f>IF($P420="","",IF(INDEX(EntryTxnID,$P420)=0,"",INDEX(EntryTxnID,$P420)))</f>
        <v/>
      </c>
      <c r="P420" s="28">
        <f>IFERROR(MATCH($C$5&amp;"|"&amp;RIGHT("000000"&amp;404,6),CalcRankKey,0),"")</f>
        <v/>
      </c>
    </row>
    <row r="421">
      <c r="A421" s="26">
        <f>IF($B421="","",405)</f>
        <v/>
      </c>
      <c r="B421" s="26">
        <f>IF($P421="","",IF(INDEX(CalcNormDate,$P421)=0,"",INDEX(CalcNormDate,$P421)))</f>
        <v/>
      </c>
      <c r="C421" s="26">
        <f>IF($P421="","",IF(INDEX(CalcTime,$P421)=0,"",INDEX(CalcTime,$P421)))</f>
        <v/>
      </c>
      <c r="D421" s="26">
        <f>IF($P421="","",IF(INDEX(EntryParty,$P421)=0,"",INDEX(EntryParty,$P421)))</f>
        <v/>
      </c>
      <c r="E421" s="26">
        <f>IF($P421="","",IF(INDEX(EntryPartyName,$P421)=0,"",INDEX(EntryPartyName,$P421)))</f>
        <v/>
      </c>
      <c r="F421" s="26">
        <f>IF($P421="","",IF(INDEX(EntryPartyType,$P421)=0,"",INDEX(EntryPartyType,$P421)))</f>
        <v/>
      </c>
      <c r="G421" s="26">
        <f>IF($P421="","",IF(INDEX(EntryTxnType,$P421)=0,"",INDEX(EntryTxnType,$P421)))</f>
        <v/>
      </c>
      <c r="H421" s="27">
        <f>IF($P421="","",IF(INDEX(EntryDep,$P421)=0,"",INDEX(EntryDep,$P421)))</f>
        <v/>
      </c>
      <c r="I421" s="27">
        <f>IF($P421="","",IF(INDEX(EntryWit,$P421)=0,"",INDEX(EntryWit,$P421)))</f>
        <v/>
      </c>
      <c r="J421" s="27">
        <f>IF($B421="","",IF($A421=1,$C$7,IF(J420="",0,J420))+IF($H421="",0,$H421)-IF($I421="",0,$I421))</f>
        <v/>
      </c>
      <c r="K421" s="27">
        <f>IF($P421="","",IF(INDEX(EntryMan,$P421)=0,"",INDEX(EntryMan,$P421)))</f>
        <v/>
      </c>
      <c r="L421" s="26">
        <f>IF($B421="","",IF($K421="","—",IF(ROUND($K421-$J421,0)=0,"√","×")))</f>
        <v/>
      </c>
      <c r="M421" s="26">
        <f>IF($B421="","",IF(COUNTIFS(EntryDates,$B421,CalcTime,$C421,CalcBank,$C$5,EntryParty,$D421,EntryDep,$H421,EntryWit,$I421)&gt;1,"تکرار",""))</f>
        <v/>
      </c>
      <c r="N421" s="26">
        <f>IF($P421="","",IF(INDEX(EntryNotes,$P421)=0,"",INDEX(EntryNotes,$P421)))</f>
        <v/>
      </c>
      <c r="O421" s="26">
        <f>IF($P421="","",IF(INDEX(EntryTxnID,$P421)=0,"",INDEX(EntryTxnID,$P421)))</f>
        <v/>
      </c>
      <c r="P421" s="26">
        <f>IFERROR(MATCH($C$5&amp;"|"&amp;RIGHT("000000"&amp;405,6),CalcRankKey,0),"")</f>
        <v/>
      </c>
    </row>
    <row r="422">
      <c r="A422" s="28">
        <f>IF($B422="","",406)</f>
        <v/>
      </c>
      <c r="B422" s="28">
        <f>IF($P422="","",IF(INDEX(CalcNormDate,$P422)=0,"",INDEX(CalcNormDate,$P422)))</f>
        <v/>
      </c>
      <c r="C422" s="28">
        <f>IF($P422="","",IF(INDEX(CalcTime,$P422)=0,"",INDEX(CalcTime,$P422)))</f>
        <v/>
      </c>
      <c r="D422" s="28">
        <f>IF($P422="","",IF(INDEX(EntryParty,$P422)=0,"",INDEX(EntryParty,$P422)))</f>
        <v/>
      </c>
      <c r="E422" s="28">
        <f>IF($P422="","",IF(INDEX(EntryPartyName,$P422)=0,"",INDEX(EntryPartyName,$P422)))</f>
        <v/>
      </c>
      <c r="F422" s="28">
        <f>IF($P422="","",IF(INDEX(EntryPartyType,$P422)=0,"",INDEX(EntryPartyType,$P422)))</f>
        <v/>
      </c>
      <c r="G422" s="28">
        <f>IF($P422="","",IF(INDEX(EntryTxnType,$P422)=0,"",INDEX(EntryTxnType,$P422)))</f>
        <v/>
      </c>
      <c r="H422" s="29">
        <f>IF($P422="","",IF(INDEX(EntryDep,$P422)=0,"",INDEX(EntryDep,$P422)))</f>
        <v/>
      </c>
      <c r="I422" s="29">
        <f>IF($P422="","",IF(INDEX(EntryWit,$P422)=0,"",INDEX(EntryWit,$P422)))</f>
        <v/>
      </c>
      <c r="J422" s="29">
        <f>IF($B422="","",IF($A422=1,$C$7,IF(J421="",0,J421))+IF($H422="",0,$H422)-IF($I422="",0,$I422))</f>
        <v/>
      </c>
      <c r="K422" s="29">
        <f>IF($P422="","",IF(INDEX(EntryMan,$P422)=0,"",INDEX(EntryMan,$P422)))</f>
        <v/>
      </c>
      <c r="L422" s="28">
        <f>IF($B422="","",IF($K422="","—",IF(ROUND($K422-$J422,0)=0,"√","×")))</f>
        <v/>
      </c>
      <c r="M422" s="28">
        <f>IF($B422="","",IF(COUNTIFS(EntryDates,$B422,CalcTime,$C422,CalcBank,$C$5,EntryParty,$D422,EntryDep,$H422,EntryWit,$I422)&gt;1,"تکرار",""))</f>
        <v/>
      </c>
      <c r="N422" s="28">
        <f>IF($P422="","",IF(INDEX(EntryNotes,$P422)=0,"",INDEX(EntryNotes,$P422)))</f>
        <v/>
      </c>
      <c r="O422" s="28">
        <f>IF($P422="","",IF(INDEX(EntryTxnID,$P422)=0,"",INDEX(EntryTxnID,$P422)))</f>
        <v/>
      </c>
      <c r="P422" s="28">
        <f>IFERROR(MATCH($C$5&amp;"|"&amp;RIGHT("000000"&amp;406,6),CalcRankKey,0),"")</f>
        <v/>
      </c>
    </row>
    <row r="423">
      <c r="A423" s="26">
        <f>IF($B423="","",407)</f>
        <v/>
      </c>
      <c r="B423" s="26">
        <f>IF($P423="","",IF(INDEX(CalcNormDate,$P423)=0,"",INDEX(CalcNormDate,$P423)))</f>
        <v/>
      </c>
      <c r="C423" s="26">
        <f>IF($P423="","",IF(INDEX(CalcTime,$P423)=0,"",INDEX(CalcTime,$P423)))</f>
        <v/>
      </c>
      <c r="D423" s="26">
        <f>IF($P423="","",IF(INDEX(EntryParty,$P423)=0,"",INDEX(EntryParty,$P423)))</f>
        <v/>
      </c>
      <c r="E423" s="26">
        <f>IF($P423="","",IF(INDEX(EntryPartyName,$P423)=0,"",INDEX(EntryPartyName,$P423)))</f>
        <v/>
      </c>
      <c r="F423" s="26">
        <f>IF($P423="","",IF(INDEX(EntryPartyType,$P423)=0,"",INDEX(EntryPartyType,$P423)))</f>
        <v/>
      </c>
      <c r="G423" s="26">
        <f>IF($P423="","",IF(INDEX(EntryTxnType,$P423)=0,"",INDEX(EntryTxnType,$P423)))</f>
        <v/>
      </c>
      <c r="H423" s="27">
        <f>IF($P423="","",IF(INDEX(EntryDep,$P423)=0,"",INDEX(EntryDep,$P423)))</f>
        <v/>
      </c>
      <c r="I423" s="27">
        <f>IF($P423="","",IF(INDEX(EntryWit,$P423)=0,"",INDEX(EntryWit,$P423)))</f>
        <v/>
      </c>
      <c r="J423" s="27">
        <f>IF($B423="","",IF($A423=1,$C$7,IF(J422="",0,J422))+IF($H423="",0,$H423)-IF($I423="",0,$I423))</f>
        <v/>
      </c>
      <c r="K423" s="27">
        <f>IF($P423="","",IF(INDEX(EntryMan,$P423)=0,"",INDEX(EntryMan,$P423)))</f>
        <v/>
      </c>
      <c r="L423" s="26">
        <f>IF($B423="","",IF($K423="","—",IF(ROUND($K423-$J423,0)=0,"√","×")))</f>
        <v/>
      </c>
      <c r="M423" s="26">
        <f>IF($B423="","",IF(COUNTIFS(EntryDates,$B423,CalcTime,$C423,CalcBank,$C$5,EntryParty,$D423,EntryDep,$H423,EntryWit,$I423)&gt;1,"تکرار",""))</f>
        <v/>
      </c>
      <c r="N423" s="26">
        <f>IF($P423="","",IF(INDEX(EntryNotes,$P423)=0,"",INDEX(EntryNotes,$P423)))</f>
        <v/>
      </c>
      <c r="O423" s="26">
        <f>IF($P423="","",IF(INDEX(EntryTxnID,$P423)=0,"",INDEX(EntryTxnID,$P423)))</f>
        <v/>
      </c>
      <c r="P423" s="26">
        <f>IFERROR(MATCH($C$5&amp;"|"&amp;RIGHT("000000"&amp;407,6),CalcRankKey,0),"")</f>
        <v/>
      </c>
    </row>
    <row r="424">
      <c r="A424" s="28">
        <f>IF($B424="","",408)</f>
        <v/>
      </c>
      <c r="B424" s="28">
        <f>IF($P424="","",IF(INDEX(CalcNormDate,$P424)=0,"",INDEX(CalcNormDate,$P424)))</f>
        <v/>
      </c>
      <c r="C424" s="28">
        <f>IF($P424="","",IF(INDEX(CalcTime,$P424)=0,"",INDEX(CalcTime,$P424)))</f>
        <v/>
      </c>
      <c r="D424" s="28">
        <f>IF($P424="","",IF(INDEX(EntryParty,$P424)=0,"",INDEX(EntryParty,$P424)))</f>
        <v/>
      </c>
      <c r="E424" s="28">
        <f>IF($P424="","",IF(INDEX(EntryPartyName,$P424)=0,"",INDEX(EntryPartyName,$P424)))</f>
        <v/>
      </c>
      <c r="F424" s="28">
        <f>IF($P424="","",IF(INDEX(EntryPartyType,$P424)=0,"",INDEX(EntryPartyType,$P424)))</f>
        <v/>
      </c>
      <c r="G424" s="28">
        <f>IF($P424="","",IF(INDEX(EntryTxnType,$P424)=0,"",INDEX(EntryTxnType,$P424)))</f>
        <v/>
      </c>
      <c r="H424" s="29">
        <f>IF($P424="","",IF(INDEX(EntryDep,$P424)=0,"",INDEX(EntryDep,$P424)))</f>
        <v/>
      </c>
      <c r="I424" s="29">
        <f>IF($P424="","",IF(INDEX(EntryWit,$P424)=0,"",INDEX(EntryWit,$P424)))</f>
        <v/>
      </c>
      <c r="J424" s="29">
        <f>IF($B424="","",IF($A424=1,$C$7,IF(J423="",0,J423))+IF($H424="",0,$H424)-IF($I424="",0,$I424))</f>
        <v/>
      </c>
      <c r="K424" s="29">
        <f>IF($P424="","",IF(INDEX(EntryMan,$P424)=0,"",INDEX(EntryMan,$P424)))</f>
        <v/>
      </c>
      <c r="L424" s="28">
        <f>IF($B424="","",IF($K424="","—",IF(ROUND($K424-$J424,0)=0,"√","×")))</f>
        <v/>
      </c>
      <c r="M424" s="28">
        <f>IF($B424="","",IF(COUNTIFS(EntryDates,$B424,CalcTime,$C424,CalcBank,$C$5,EntryParty,$D424,EntryDep,$H424,EntryWit,$I424)&gt;1,"تکرار",""))</f>
        <v/>
      </c>
      <c r="N424" s="28">
        <f>IF($P424="","",IF(INDEX(EntryNotes,$P424)=0,"",INDEX(EntryNotes,$P424)))</f>
        <v/>
      </c>
      <c r="O424" s="28">
        <f>IF($P424="","",IF(INDEX(EntryTxnID,$P424)=0,"",INDEX(EntryTxnID,$P424)))</f>
        <v/>
      </c>
      <c r="P424" s="28">
        <f>IFERROR(MATCH($C$5&amp;"|"&amp;RIGHT("000000"&amp;408,6),CalcRankKey,0),"")</f>
        <v/>
      </c>
    </row>
    <row r="425">
      <c r="A425" s="26">
        <f>IF($B425="","",409)</f>
        <v/>
      </c>
      <c r="B425" s="26">
        <f>IF($P425="","",IF(INDEX(CalcNormDate,$P425)=0,"",INDEX(CalcNormDate,$P425)))</f>
        <v/>
      </c>
      <c r="C425" s="26">
        <f>IF($P425="","",IF(INDEX(CalcTime,$P425)=0,"",INDEX(CalcTime,$P425)))</f>
        <v/>
      </c>
      <c r="D425" s="26">
        <f>IF($P425="","",IF(INDEX(EntryParty,$P425)=0,"",INDEX(EntryParty,$P425)))</f>
        <v/>
      </c>
      <c r="E425" s="26">
        <f>IF($P425="","",IF(INDEX(EntryPartyName,$P425)=0,"",INDEX(EntryPartyName,$P425)))</f>
        <v/>
      </c>
      <c r="F425" s="26">
        <f>IF($P425="","",IF(INDEX(EntryPartyType,$P425)=0,"",INDEX(EntryPartyType,$P425)))</f>
        <v/>
      </c>
      <c r="G425" s="26">
        <f>IF($P425="","",IF(INDEX(EntryTxnType,$P425)=0,"",INDEX(EntryTxnType,$P425)))</f>
        <v/>
      </c>
      <c r="H425" s="27">
        <f>IF($P425="","",IF(INDEX(EntryDep,$P425)=0,"",INDEX(EntryDep,$P425)))</f>
        <v/>
      </c>
      <c r="I425" s="27">
        <f>IF($P425="","",IF(INDEX(EntryWit,$P425)=0,"",INDEX(EntryWit,$P425)))</f>
        <v/>
      </c>
      <c r="J425" s="27">
        <f>IF($B425="","",IF($A425=1,$C$7,IF(J424="",0,J424))+IF($H425="",0,$H425)-IF($I425="",0,$I425))</f>
        <v/>
      </c>
      <c r="K425" s="27">
        <f>IF($P425="","",IF(INDEX(EntryMan,$P425)=0,"",INDEX(EntryMan,$P425)))</f>
        <v/>
      </c>
      <c r="L425" s="26">
        <f>IF($B425="","",IF($K425="","—",IF(ROUND($K425-$J425,0)=0,"√","×")))</f>
        <v/>
      </c>
      <c r="M425" s="26">
        <f>IF($B425="","",IF(COUNTIFS(EntryDates,$B425,CalcTime,$C425,CalcBank,$C$5,EntryParty,$D425,EntryDep,$H425,EntryWit,$I425)&gt;1,"تکرار",""))</f>
        <v/>
      </c>
      <c r="N425" s="26">
        <f>IF($P425="","",IF(INDEX(EntryNotes,$P425)=0,"",INDEX(EntryNotes,$P425)))</f>
        <v/>
      </c>
      <c r="O425" s="26">
        <f>IF($P425="","",IF(INDEX(EntryTxnID,$P425)=0,"",INDEX(EntryTxnID,$P425)))</f>
        <v/>
      </c>
      <c r="P425" s="26">
        <f>IFERROR(MATCH($C$5&amp;"|"&amp;RIGHT("000000"&amp;409,6),CalcRankKey,0),"")</f>
        <v/>
      </c>
    </row>
    <row r="426">
      <c r="A426" s="28">
        <f>IF($B426="","",410)</f>
        <v/>
      </c>
      <c r="B426" s="28">
        <f>IF($P426="","",IF(INDEX(CalcNormDate,$P426)=0,"",INDEX(CalcNormDate,$P426)))</f>
        <v/>
      </c>
      <c r="C426" s="28">
        <f>IF($P426="","",IF(INDEX(CalcTime,$P426)=0,"",INDEX(CalcTime,$P426)))</f>
        <v/>
      </c>
      <c r="D426" s="28">
        <f>IF($P426="","",IF(INDEX(EntryParty,$P426)=0,"",INDEX(EntryParty,$P426)))</f>
        <v/>
      </c>
      <c r="E426" s="28">
        <f>IF($P426="","",IF(INDEX(EntryPartyName,$P426)=0,"",INDEX(EntryPartyName,$P426)))</f>
        <v/>
      </c>
      <c r="F426" s="28">
        <f>IF($P426="","",IF(INDEX(EntryPartyType,$P426)=0,"",INDEX(EntryPartyType,$P426)))</f>
        <v/>
      </c>
      <c r="G426" s="28">
        <f>IF($P426="","",IF(INDEX(EntryTxnType,$P426)=0,"",INDEX(EntryTxnType,$P426)))</f>
        <v/>
      </c>
      <c r="H426" s="29">
        <f>IF($P426="","",IF(INDEX(EntryDep,$P426)=0,"",INDEX(EntryDep,$P426)))</f>
        <v/>
      </c>
      <c r="I426" s="29">
        <f>IF($P426="","",IF(INDEX(EntryWit,$P426)=0,"",INDEX(EntryWit,$P426)))</f>
        <v/>
      </c>
      <c r="J426" s="29">
        <f>IF($B426="","",IF($A426=1,$C$7,IF(J425="",0,J425))+IF($H426="",0,$H426)-IF($I426="",0,$I426))</f>
        <v/>
      </c>
      <c r="K426" s="29">
        <f>IF($P426="","",IF(INDEX(EntryMan,$P426)=0,"",INDEX(EntryMan,$P426)))</f>
        <v/>
      </c>
      <c r="L426" s="28">
        <f>IF($B426="","",IF($K426="","—",IF(ROUND($K426-$J426,0)=0,"√","×")))</f>
        <v/>
      </c>
      <c r="M426" s="28">
        <f>IF($B426="","",IF(COUNTIFS(EntryDates,$B426,CalcTime,$C426,CalcBank,$C$5,EntryParty,$D426,EntryDep,$H426,EntryWit,$I426)&gt;1,"تکرار",""))</f>
        <v/>
      </c>
      <c r="N426" s="28">
        <f>IF($P426="","",IF(INDEX(EntryNotes,$P426)=0,"",INDEX(EntryNotes,$P426)))</f>
        <v/>
      </c>
      <c r="O426" s="28">
        <f>IF($P426="","",IF(INDEX(EntryTxnID,$P426)=0,"",INDEX(EntryTxnID,$P426)))</f>
        <v/>
      </c>
      <c r="P426" s="28">
        <f>IFERROR(MATCH($C$5&amp;"|"&amp;RIGHT("000000"&amp;410,6),CalcRankKey,0),"")</f>
        <v/>
      </c>
    </row>
    <row r="427">
      <c r="A427" s="26">
        <f>IF($B427="","",411)</f>
        <v/>
      </c>
      <c r="B427" s="26">
        <f>IF($P427="","",IF(INDEX(CalcNormDate,$P427)=0,"",INDEX(CalcNormDate,$P427)))</f>
        <v/>
      </c>
      <c r="C427" s="26">
        <f>IF($P427="","",IF(INDEX(CalcTime,$P427)=0,"",INDEX(CalcTime,$P427)))</f>
        <v/>
      </c>
      <c r="D427" s="26">
        <f>IF($P427="","",IF(INDEX(EntryParty,$P427)=0,"",INDEX(EntryParty,$P427)))</f>
        <v/>
      </c>
      <c r="E427" s="26">
        <f>IF($P427="","",IF(INDEX(EntryPartyName,$P427)=0,"",INDEX(EntryPartyName,$P427)))</f>
        <v/>
      </c>
      <c r="F427" s="26">
        <f>IF($P427="","",IF(INDEX(EntryPartyType,$P427)=0,"",INDEX(EntryPartyType,$P427)))</f>
        <v/>
      </c>
      <c r="G427" s="26">
        <f>IF($P427="","",IF(INDEX(EntryTxnType,$P427)=0,"",INDEX(EntryTxnType,$P427)))</f>
        <v/>
      </c>
      <c r="H427" s="27">
        <f>IF($P427="","",IF(INDEX(EntryDep,$P427)=0,"",INDEX(EntryDep,$P427)))</f>
        <v/>
      </c>
      <c r="I427" s="27">
        <f>IF($P427="","",IF(INDEX(EntryWit,$P427)=0,"",INDEX(EntryWit,$P427)))</f>
        <v/>
      </c>
      <c r="J427" s="27">
        <f>IF($B427="","",IF($A427=1,$C$7,IF(J426="",0,J426))+IF($H427="",0,$H427)-IF($I427="",0,$I427))</f>
        <v/>
      </c>
      <c r="K427" s="27">
        <f>IF($P427="","",IF(INDEX(EntryMan,$P427)=0,"",INDEX(EntryMan,$P427)))</f>
        <v/>
      </c>
      <c r="L427" s="26">
        <f>IF($B427="","",IF($K427="","—",IF(ROUND($K427-$J427,0)=0,"√","×")))</f>
        <v/>
      </c>
      <c r="M427" s="26">
        <f>IF($B427="","",IF(COUNTIFS(EntryDates,$B427,CalcTime,$C427,CalcBank,$C$5,EntryParty,$D427,EntryDep,$H427,EntryWit,$I427)&gt;1,"تکرار",""))</f>
        <v/>
      </c>
      <c r="N427" s="26">
        <f>IF($P427="","",IF(INDEX(EntryNotes,$P427)=0,"",INDEX(EntryNotes,$P427)))</f>
        <v/>
      </c>
      <c r="O427" s="26">
        <f>IF($P427="","",IF(INDEX(EntryTxnID,$P427)=0,"",INDEX(EntryTxnID,$P427)))</f>
        <v/>
      </c>
      <c r="P427" s="26">
        <f>IFERROR(MATCH($C$5&amp;"|"&amp;RIGHT("000000"&amp;411,6),CalcRankKey,0),"")</f>
        <v/>
      </c>
    </row>
    <row r="428">
      <c r="A428" s="28">
        <f>IF($B428="","",412)</f>
        <v/>
      </c>
      <c r="B428" s="28">
        <f>IF($P428="","",IF(INDEX(CalcNormDate,$P428)=0,"",INDEX(CalcNormDate,$P428)))</f>
        <v/>
      </c>
      <c r="C428" s="28">
        <f>IF($P428="","",IF(INDEX(CalcTime,$P428)=0,"",INDEX(CalcTime,$P428)))</f>
        <v/>
      </c>
      <c r="D428" s="28">
        <f>IF($P428="","",IF(INDEX(EntryParty,$P428)=0,"",INDEX(EntryParty,$P428)))</f>
        <v/>
      </c>
      <c r="E428" s="28">
        <f>IF($P428="","",IF(INDEX(EntryPartyName,$P428)=0,"",INDEX(EntryPartyName,$P428)))</f>
        <v/>
      </c>
      <c r="F428" s="28">
        <f>IF($P428="","",IF(INDEX(EntryPartyType,$P428)=0,"",INDEX(EntryPartyType,$P428)))</f>
        <v/>
      </c>
      <c r="G428" s="28">
        <f>IF($P428="","",IF(INDEX(EntryTxnType,$P428)=0,"",INDEX(EntryTxnType,$P428)))</f>
        <v/>
      </c>
      <c r="H428" s="29">
        <f>IF($P428="","",IF(INDEX(EntryDep,$P428)=0,"",INDEX(EntryDep,$P428)))</f>
        <v/>
      </c>
      <c r="I428" s="29">
        <f>IF($P428="","",IF(INDEX(EntryWit,$P428)=0,"",INDEX(EntryWit,$P428)))</f>
        <v/>
      </c>
      <c r="J428" s="29">
        <f>IF($B428="","",IF($A428=1,$C$7,IF(J427="",0,J427))+IF($H428="",0,$H428)-IF($I428="",0,$I428))</f>
        <v/>
      </c>
      <c r="K428" s="29">
        <f>IF($P428="","",IF(INDEX(EntryMan,$P428)=0,"",INDEX(EntryMan,$P428)))</f>
        <v/>
      </c>
      <c r="L428" s="28">
        <f>IF($B428="","",IF($K428="","—",IF(ROUND($K428-$J428,0)=0,"√","×")))</f>
        <v/>
      </c>
      <c r="M428" s="28">
        <f>IF($B428="","",IF(COUNTIFS(EntryDates,$B428,CalcTime,$C428,CalcBank,$C$5,EntryParty,$D428,EntryDep,$H428,EntryWit,$I428)&gt;1,"تکرار",""))</f>
        <v/>
      </c>
      <c r="N428" s="28">
        <f>IF($P428="","",IF(INDEX(EntryNotes,$P428)=0,"",INDEX(EntryNotes,$P428)))</f>
        <v/>
      </c>
      <c r="O428" s="28">
        <f>IF($P428="","",IF(INDEX(EntryTxnID,$P428)=0,"",INDEX(EntryTxnID,$P428)))</f>
        <v/>
      </c>
      <c r="P428" s="28">
        <f>IFERROR(MATCH($C$5&amp;"|"&amp;RIGHT("000000"&amp;412,6),CalcRankKey,0),"")</f>
        <v/>
      </c>
    </row>
    <row r="429">
      <c r="A429" s="26">
        <f>IF($B429="","",413)</f>
        <v/>
      </c>
      <c r="B429" s="26">
        <f>IF($P429="","",IF(INDEX(CalcNormDate,$P429)=0,"",INDEX(CalcNormDate,$P429)))</f>
        <v/>
      </c>
      <c r="C429" s="26">
        <f>IF($P429="","",IF(INDEX(CalcTime,$P429)=0,"",INDEX(CalcTime,$P429)))</f>
        <v/>
      </c>
      <c r="D429" s="26">
        <f>IF($P429="","",IF(INDEX(EntryParty,$P429)=0,"",INDEX(EntryParty,$P429)))</f>
        <v/>
      </c>
      <c r="E429" s="26">
        <f>IF($P429="","",IF(INDEX(EntryPartyName,$P429)=0,"",INDEX(EntryPartyName,$P429)))</f>
        <v/>
      </c>
      <c r="F429" s="26">
        <f>IF($P429="","",IF(INDEX(EntryPartyType,$P429)=0,"",INDEX(EntryPartyType,$P429)))</f>
        <v/>
      </c>
      <c r="G429" s="26">
        <f>IF($P429="","",IF(INDEX(EntryTxnType,$P429)=0,"",INDEX(EntryTxnType,$P429)))</f>
        <v/>
      </c>
      <c r="H429" s="27">
        <f>IF($P429="","",IF(INDEX(EntryDep,$P429)=0,"",INDEX(EntryDep,$P429)))</f>
        <v/>
      </c>
      <c r="I429" s="27">
        <f>IF($P429="","",IF(INDEX(EntryWit,$P429)=0,"",INDEX(EntryWit,$P429)))</f>
        <v/>
      </c>
      <c r="J429" s="27">
        <f>IF($B429="","",IF($A429=1,$C$7,IF(J428="",0,J428))+IF($H429="",0,$H429)-IF($I429="",0,$I429))</f>
        <v/>
      </c>
      <c r="K429" s="27">
        <f>IF($P429="","",IF(INDEX(EntryMan,$P429)=0,"",INDEX(EntryMan,$P429)))</f>
        <v/>
      </c>
      <c r="L429" s="26">
        <f>IF($B429="","",IF($K429="","—",IF(ROUND($K429-$J429,0)=0,"√","×")))</f>
        <v/>
      </c>
      <c r="M429" s="26">
        <f>IF($B429="","",IF(COUNTIFS(EntryDates,$B429,CalcTime,$C429,CalcBank,$C$5,EntryParty,$D429,EntryDep,$H429,EntryWit,$I429)&gt;1,"تکرار",""))</f>
        <v/>
      </c>
      <c r="N429" s="26">
        <f>IF($P429="","",IF(INDEX(EntryNotes,$P429)=0,"",INDEX(EntryNotes,$P429)))</f>
        <v/>
      </c>
      <c r="O429" s="26">
        <f>IF($P429="","",IF(INDEX(EntryTxnID,$P429)=0,"",INDEX(EntryTxnID,$P429)))</f>
        <v/>
      </c>
      <c r="P429" s="26">
        <f>IFERROR(MATCH($C$5&amp;"|"&amp;RIGHT("000000"&amp;413,6),CalcRankKey,0),"")</f>
        <v/>
      </c>
    </row>
    <row r="430">
      <c r="A430" s="28">
        <f>IF($B430="","",414)</f>
        <v/>
      </c>
      <c r="B430" s="28">
        <f>IF($P430="","",IF(INDEX(CalcNormDate,$P430)=0,"",INDEX(CalcNormDate,$P430)))</f>
        <v/>
      </c>
      <c r="C430" s="28">
        <f>IF($P430="","",IF(INDEX(CalcTime,$P430)=0,"",INDEX(CalcTime,$P430)))</f>
        <v/>
      </c>
      <c r="D430" s="28">
        <f>IF($P430="","",IF(INDEX(EntryParty,$P430)=0,"",INDEX(EntryParty,$P430)))</f>
        <v/>
      </c>
      <c r="E430" s="28">
        <f>IF($P430="","",IF(INDEX(EntryPartyName,$P430)=0,"",INDEX(EntryPartyName,$P430)))</f>
        <v/>
      </c>
      <c r="F430" s="28">
        <f>IF($P430="","",IF(INDEX(EntryPartyType,$P430)=0,"",INDEX(EntryPartyType,$P430)))</f>
        <v/>
      </c>
      <c r="G430" s="28">
        <f>IF($P430="","",IF(INDEX(EntryTxnType,$P430)=0,"",INDEX(EntryTxnType,$P430)))</f>
        <v/>
      </c>
      <c r="H430" s="29">
        <f>IF($P430="","",IF(INDEX(EntryDep,$P430)=0,"",INDEX(EntryDep,$P430)))</f>
        <v/>
      </c>
      <c r="I430" s="29">
        <f>IF($P430="","",IF(INDEX(EntryWit,$P430)=0,"",INDEX(EntryWit,$P430)))</f>
        <v/>
      </c>
      <c r="J430" s="29">
        <f>IF($B430="","",IF($A430=1,$C$7,IF(J429="",0,J429))+IF($H430="",0,$H430)-IF($I430="",0,$I430))</f>
        <v/>
      </c>
      <c r="K430" s="29">
        <f>IF($P430="","",IF(INDEX(EntryMan,$P430)=0,"",INDEX(EntryMan,$P430)))</f>
        <v/>
      </c>
      <c r="L430" s="28">
        <f>IF($B430="","",IF($K430="","—",IF(ROUND($K430-$J430,0)=0,"√","×")))</f>
        <v/>
      </c>
      <c r="M430" s="28">
        <f>IF($B430="","",IF(COUNTIFS(EntryDates,$B430,CalcTime,$C430,CalcBank,$C$5,EntryParty,$D430,EntryDep,$H430,EntryWit,$I430)&gt;1,"تکرار",""))</f>
        <v/>
      </c>
      <c r="N430" s="28">
        <f>IF($P430="","",IF(INDEX(EntryNotes,$P430)=0,"",INDEX(EntryNotes,$P430)))</f>
        <v/>
      </c>
      <c r="O430" s="28">
        <f>IF($P430="","",IF(INDEX(EntryTxnID,$P430)=0,"",INDEX(EntryTxnID,$P430)))</f>
        <v/>
      </c>
      <c r="P430" s="28">
        <f>IFERROR(MATCH($C$5&amp;"|"&amp;RIGHT("000000"&amp;414,6),CalcRankKey,0),"")</f>
        <v/>
      </c>
    </row>
    <row r="431">
      <c r="A431" s="26">
        <f>IF($B431="","",415)</f>
        <v/>
      </c>
      <c r="B431" s="26">
        <f>IF($P431="","",IF(INDEX(CalcNormDate,$P431)=0,"",INDEX(CalcNormDate,$P431)))</f>
        <v/>
      </c>
      <c r="C431" s="26">
        <f>IF($P431="","",IF(INDEX(CalcTime,$P431)=0,"",INDEX(CalcTime,$P431)))</f>
        <v/>
      </c>
      <c r="D431" s="26">
        <f>IF($P431="","",IF(INDEX(EntryParty,$P431)=0,"",INDEX(EntryParty,$P431)))</f>
        <v/>
      </c>
      <c r="E431" s="26">
        <f>IF($P431="","",IF(INDEX(EntryPartyName,$P431)=0,"",INDEX(EntryPartyName,$P431)))</f>
        <v/>
      </c>
      <c r="F431" s="26">
        <f>IF($P431="","",IF(INDEX(EntryPartyType,$P431)=0,"",INDEX(EntryPartyType,$P431)))</f>
        <v/>
      </c>
      <c r="G431" s="26">
        <f>IF($P431="","",IF(INDEX(EntryTxnType,$P431)=0,"",INDEX(EntryTxnType,$P431)))</f>
        <v/>
      </c>
      <c r="H431" s="27">
        <f>IF($P431="","",IF(INDEX(EntryDep,$P431)=0,"",INDEX(EntryDep,$P431)))</f>
        <v/>
      </c>
      <c r="I431" s="27">
        <f>IF($P431="","",IF(INDEX(EntryWit,$P431)=0,"",INDEX(EntryWit,$P431)))</f>
        <v/>
      </c>
      <c r="J431" s="27">
        <f>IF($B431="","",IF($A431=1,$C$7,IF(J430="",0,J430))+IF($H431="",0,$H431)-IF($I431="",0,$I431))</f>
        <v/>
      </c>
      <c r="K431" s="27">
        <f>IF($P431="","",IF(INDEX(EntryMan,$P431)=0,"",INDEX(EntryMan,$P431)))</f>
        <v/>
      </c>
      <c r="L431" s="26">
        <f>IF($B431="","",IF($K431="","—",IF(ROUND($K431-$J431,0)=0,"√","×")))</f>
        <v/>
      </c>
      <c r="M431" s="26">
        <f>IF($B431="","",IF(COUNTIFS(EntryDates,$B431,CalcTime,$C431,CalcBank,$C$5,EntryParty,$D431,EntryDep,$H431,EntryWit,$I431)&gt;1,"تکرار",""))</f>
        <v/>
      </c>
      <c r="N431" s="26">
        <f>IF($P431="","",IF(INDEX(EntryNotes,$P431)=0,"",INDEX(EntryNotes,$P431)))</f>
        <v/>
      </c>
      <c r="O431" s="26">
        <f>IF($P431="","",IF(INDEX(EntryTxnID,$P431)=0,"",INDEX(EntryTxnID,$P431)))</f>
        <v/>
      </c>
      <c r="P431" s="26">
        <f>IFERROR(MATCH($C$5&amp;"|"&amp;RIGHT("000000"&amp;415,6),CalcRankKey,0),"")</f>
        <v/>
      </c>
    </row>
    <row r="432">
      <c r="A432" s="28">
        <f>IF($B432="","",416)</f>
        <v/>
      </c>
      <c r="B432" s="28">
        <f>IF($P432="","",IF(INDEX(CalcNormDate,$P432)=0,"",INDEX(CalcNormDate,$P432)))</f>
        <v/>
      </c>
      <c r="C432" s="28">
        <f>IF($P432="","",IF(INDEX(CalcTime,$P432)=0,"",INDEX(CalcTime,$P432)))</f>
        <v/>
      </c>
      <c r="D432" s="28">
        <f>IF($P432="","",IF(INDEX(EntryParty,$P432)=0,"",INDEX(EntryParty,$P432)))</f>
        <v/>
      </c>
      <c r="E432" s="28">
        <f>IF($P432="","",IF(INDEX(EntryPartyName,$P432)=0,"",INDEX(EntryPartyName,$P432)))</f>
        <v/>
      </c>
      <c r="F432" s="28">
        <f>IF($P432="","",IF(INDEX(EntryPartyType,$P432)=0,"",INDEX(EntryPartyType,$P432)))</f>
        <v/>
      </c>
      <c r="G432" s="28">
        <f>IF($P432="","",IF(INDEX(EntryTxnType,$P432)=0,"",INDEX(EntryTxnType,$P432)))</f>
        <v/>
      </c>
      <c r="H432" s="29">
        <f>IF($P432="","",IF(INDEX(EntryDep,$P432)=0,"",INDEX(EntryDep,$P432)))</f>
        <v/>
      </c>
      <c r="I432" s="29">
        <f>IF($P432="","",IF(INDEX(EntryWit,$P432)=0,"",INDEX(EntryWit,$P432)))</f>
        <v/>
      </c>
      <c r="J432" s="29">
        <f>IF($B432="","",IF($A432=1,$C$7,IF(J431="",0,J431))+IF($H432="",0,$H432)-IF($I432="",0,$I432))</f>
        <v/>
      </c>
      <c r="K432" s="29">
        <f>IF($P432="","",IF(INDEX(EntryMan,$P432)=0,"",INDEX(EntryMan,$P432)))</f>
        <v/>
      </c>
      <c r="L432" s="28">
        <f>IF($B432="","",IF($K432="","—",IF(ROUND($K432-$J432,0)=0,"√","×")))</f>
        <v/>
      </c>
      <c r="M432" s="28">
        <f>IF($B432="","",IF(COUNTIFS(EntryDates,$B432,CalcTime,$C432,CalcBank,$C$5,EntryParty,$D432,EntryDep,$H432,EntryWit,$I432)&gt;1,"تکرار",""))</f>
        <v/>
      </c>
      <c r="N432" s="28">
        <f>IF($P432="","",IF(INDEX(EntryNotes,$P432)=0,"",INDEX(EntryNotes,$P432)))</f>
        <v/>
      </c>
      <c r="O432" s="28">
        <f>IF($P432="","",IF(INDEX(EntryTxnID,$P432)=0,"",INDEX(EntryTxnID,$P432)))</f>
        <v/>
      </c>
      <c r="P432" s="28">
        <f>IFERROR(MATCH($C$5&amp;"|"&amp;RIGHT("000000"&amp;416,6),CalcRankKey,0),"")</f>
        <v/>
      </c>
    </row>
    <row r="433">
      <c r="A433" s="26">
        <f>IF($B433="","",417)</f>
        <v/>
      </c>
      <c r="B433" s="26">
        <f>IF($P433="","",IF(INDEX(CalcNormDate,$P433)=0,"",INDEX(CalcNormDate,$P433)))</f>
        <v/>
      </c>
      <c r="C433" s="26">
        <f>IF($P433="","",IF(INDEX(CalcTime,$P433)=0,"",INDEX(CalcTime,$P433)))</f>
        <v/>
      </c>
      <c r="D433" s="26">
        <f>IF($P433="","",IF(INDEX(EntryParty,$P433)=0,"",INDEX(EntryParty,$P433)))</f>
        <v/>
      </c>
      <c r="E433" s="26">
        <f>IF($P433="","",IF(INDEX(EntryPartyName,$P433)=0,"",INDEX(EntryPartyName,$P433)))</f>
        <v/>
      </c>
      <c r="F433" s="26">
        <f>IF($P433="","",IF(INDEX(EntryPartyType,$P433)=0,"",INDEX(EntryPartyType,$P433)))</f>
        <v/>
      </c>
      <c r="G433" s="26">
        <f>IF($P433="","",IF(INDEX(EntryTxnType,$P433)=0,"",INDEX(EntryTxnType,$P433)))</f>
        <v/>
      </c>
      <c r="H433" s="27">
        <f>IF($P433="","",IF(INDEX(EntryDep,$P433)=0,"",INDEX(EntryDep,$P433)))</f>
        <v/>
      </c>
      <c r="I433" s="27">
        <f>IF($P433="","",IF(INDEX(EntryWit,$P433)=0,"",INDEX(EntryWit,$P433)))</f>
        <v/>
      </c>
      <c r="J433" s="27">
        <f>IF($B433="","",IF($A433=1,$C$7,IF(J432="",0,J432))+IF($H433="",0,$H433)-IF($I433="",0,$I433))</f>
        <v/>
      </c>
      <c r="K433" s="27">
        <f>IF($P433="","",IF(INDEX(EntryMan,$P433)=0,"",INDEX(EntryMan,$P433)))</f>
        <v/>
      </c>
      <c r="L433" s="26">
        <f>IF($B433="","",IF($K433="","—",IF(ROUND($K433-$J433,0)=0,"√","×")))</f>
        <v/>
      </c>
      <c r="M433" s="26">
        <f>IF($B433="","",IF(COUNTIFS(EntryDates,$B433,CalcTime,$C433,CalcBank,$C$5,EntryParty,$D433,EntryDep,$H433,EntryWit,$I433)&gt;1,"تکرار",""))</f>
        <v/>
      </c>
      <c r="N433" s="26">
        <f>IF($P433="","",IF(INDEX(EntryNotes,$P433)=0,"",INDEX(EntryNotes,$P433)))</f>
        <v/>
      </c>
      <c r="O433" s="26">
        <f>IF($P433="","",IF(INDEX(EntryTxnID,$P433)=0,"",INDEX(EntryTxnID,$P433)))</f>
        <v/>
      </c>
      <c r="P433" s="26">
        <f>IFERROR(MATCH($C$5&amp;"|"&amp;RIGHT("000000"&amp;417,6),CalcRankKey,0),"")</f>
        <v/>
      </c>
    </row>
    <row r="434">
      <c r="A434" s="28">
        <f>IF($B434="","",418)</f>
        <v/>
      </c>
      <c r="B434" s="28">
        <f>IF($P434="","",IF(INDEX(CalcNormDate,$P434)=0,"",INDEX(CalcNormDate,$P434)))</f>
        <v/>
      </c>
      <c r="C434" s="28">
        <f>IF($P434="","",IF(INDEX(CalcTime,$P434)=0,"",INDEX(CalcTime,$P434)))</f>
        <v/>
      </c>
      <c r="D434" s="28">
        <f>IF($P434="","",IF(INDEX(EntryParty,$P434)=0,"",INDEX(EntryParty,$P434)))</f>
        <v/>
      </c>
      <c r="E434" s="28">
        <f>IF($P434="","",IF(INDEX(EntryPartyName,$P434)=0,"",INDEX(EntryPartyName,$P434)))</f>
        <v/>
      </c>
      <c r="F434" s="28">
        <f>IF($P434="","",IF(INDEX(EntryPartyType,$P434)=0,"",INDEX(EntryPartyType,$P434)))</f>
        <v/>
      </c>
      <c r="G434" s="28">
        <f>IF($P434="","",IF(INDEX(EntryTxnType,$P434)=0,"",INDEX(EntryTxnType,$P434)))</f>
        <v/>
      </c>
      <c r="H434" s="29">
        <f>IF($P434="","",IF(INDEX(EntryDep,$P434)=0,"",INDEX(EntryDep,$P434)))</f>
        <v/>
      </c>
      <c r="I434" s="29">
        <f>IF($P434="","",IF(INDEX(EntryWit,$P434)=0,"",INDEX(EntryWit,$P434)))</f>
        <v/>
      </c>
      <c r="J434" s="29">
        <f>IF($B434="","",IF($A434=1,$C$7,IF(J433="",0,J433))+IF($H434="",0,$H434)-IF($I434="",0,$I434))</f>
        <v/>
      </c>
      <c r="K434" s="29">
        <f>IF($P434="","",IF(INDEX(EntryMan,$P434)=0,"",INDEX(EntryMan,$P434)))</f>
        <v/>
      </c>
      <c r="L434" s="28">
        <f>IF($B434="","",IF($K434="","—",IF(ROUND($K434-$J434,0)=0,"√","×")))</f>
        <v/>
      </c>
      <c r="M434" s="28">
        <f>IF($B434="","",IF(COUNTIFS(EntryDates,$B434,CalcTime,$C434,CalcBank,$C$5,EntryParty,$D434,EntryDep,$H434,EntryWit,$I434)&gt;1,"تکرار",""))</f>
        <v/>
      </c>
      <c r="N434" s="28">
        <f>IF($P434="","",IF(INDEX(EntryNotes,$P434)=0,"",INDEX(EntryNotes,$P434)))</f>
        <v/>
      </c>
      <c r="O434" s="28">
        <f>IF($P434="","",IF(INDEX(EntryTxnID,$P434)=0,"",INDEX(EntryTxnID,$P434)))</f>
        <v/>
      </c>
      <c r="P434" s="28">
        <f>IFERROR(MATCH($C$5&amp;"|"&amp;RIGHT("000000"&amp;418,6),CalcRankKey,0),"")</f>
        <v/>
      </c>
    </row>
    <row r="435">
      <c r="A435" s="26">
        <f>IF($B435="","",419)</f>
        <v/>
      </c>
      <c r="B435" s="26">
        <f>IF($P435="","",IF(INDEX(CalcNormDate,$P435)=0,"",INDEX(CalcNormDate,$P435)))</f>
        <v/>
      </c>
      <c r="C435" s="26">
        <f>IF($P435="","",IF(INDEX(CalcTime,$P435)=0,"",INDEX(CalcTime,$P435)))</f>
        <v/>
      </c>
      <c r="D435" s="26">
        <f>IF($P435="","",IF(INDEX(EntryParty,$P435)=0,"",INDEX(EntryParty,$P435)))</f>
        <v/>
      </c>
      <c r="E435" s="26">
        <f>IF($P435="","",IF(INDEX(EntryPartyName,$P435)=0,"",INDEX(EntryPartyName,$P435)))</f>
        <v/>
      </c>
      <c r="F435" s="26">
        <f>IF($P435="","",IF(INDEX(EntryPartyType,$P435)=0,"",INDEX(EntryPartyType,$P435)))</f>
        <v/>
      </c>
      <c r="G435" s="26">
        <f>IF($P435="","",IF(INDEX(EntryTxnType,$P435)=0,"",INDEX(EntryTxnType,$P435)))</f>
        <v/>
      </c>
      <c r="H435" s="27">
        <f>IF($P435="","",IF(INDEX(EntryDep,$P435)=0,"",INDEX(EntryDep,$P435)))</f>
        <v/>
      </c>
      <c r="I435" s="27">
        <f>IF($P435="","",IF(INDEX(EntryWit,$P435)=0,"",INDEX(EntryWit,$P435)))</f>
        <v/>
      </c>
      <c r="J435" s="27">
        <f>IF($B435="","",IF($A435=1,$C$7,IF(J434="",0,J434))+IF($H435="",0,$H435)-IF($I435="",0,$I435))</f>
        <v/>
      </c>
      <c r="K435" s="27">
        <f>IF($P435="","",IF(INDEX(EntryMan,$P435)=0,"",INDEX(EntryMan,$P435)))</f>
        <v/>
      </c>
      <c r="L435" s="26">
        <f>IF($B435="","",IF($K435="","—",IF(ROUND($K435-$J435,0)=0,"√","×")))</f>
        <v/>
      </c>
      <c r="M435" s="26">
        <f>IF($B435="","",IF(COUNTIFS(EntryDates,$B435,CalcTime,$C435,CalcBank,$C$5,EntryParty,$D435,EntryDep,$H435,EntryWit,$I435)&gt;1,"تکرار",""))</f>
        <v/>
      </c>
      <c r="N435" s="26">
        <f>IF($P435="","",IF(INDEX(EntryNotes,$P435)=0,"",INDEX(EntryNotes,$P435)))</f>
        <v/>
      </c>
      <c r="O435" s="26">
        <f>IF($P435="","",IF(INDEX(EntryTxnID,$P435)=0,"",INDEX(EntryTxnID,$P435)))</f>
        <v/>
      </c>
      <c r="P435" s="26">
        <f>IFERROR(MATCH($C$5&amp;"|"&amp;RIGHT("000000"&amp;419,6),CalcRankKey,0),"")</f>
        <v/>
      </c>
    </row>
    <row r="436">
      <c r="A436" s="28">
        <f>IF($B436="","",420)</f>
        <v/>
      </c>
      <c r="B436" s="28">
        <f>IF($P436="","",IF(INDEX(CalcNormDate,$P436)=0,"",INDEX(CalcNormDate,$P436)))</f>
        <v/>
      </c>
      <c r="C436" s="28">
        <f>IF($P436="","",IF(INDEX(CalcTime,$P436)=0,"",INDEX(CalcTime,$P436)))</f>
        <v/>
      </c>
      <c r="D436" s="28">
        <f>IF($P436="","",IF(INDEX(EntryParty,$P436)=0,"",INDEX(EntryParty,$P436)))</f>
        <v/>
      </c>
      <c r="E436" s="28">
        <f>IF($P436="","",IF(INDEX(EntryPartyName,$P436)=0,"",INDEX(EntryPartyName,$P436)))</f>
        <v/>
      </c>
      <c r="F436" s="28">
        <f>IF($P436="","",IF(INDEX(EntryPartyType,$P436)=0,"",INDEX(EntryPartyType,$P436)))</f>
        <v/>
      </c>
      <c r="G436" s="28">
        <f>IF($P436="","",IF(INDEX(EntryTxnType,$P436)=0,"",INDEX(EntryTxnType,$P436)))</f>
        <v/>
      </c>
      <c r="H436" s="29">
        <f>IF($P436="","",IF(INDEX(EntryDep,$P436)=0,"",INDEX(EntryDep,$P436)))</f>
        <v/>
      </c>
      <c r="I436" s="29">
        <f>IF($P436="","",IF(INDEX(EntryWit,$P436)=0,"",INDEX(EntryWit,$P436)))</f>
        <v/>
      </c>
      <c r="J436" s="29">
        <f>IF($B436="","",IF($A436=1,$C$7,IF(J435="",0,J435))+IF($H436="",0,$H436)-IF($I436="",0,$I436))</f>
        <v/>
      </c>
      <c r="K436" s="29">
        <f>IF($P436="","",IF(INDEX(EntryMan,$P436)=0,"",INDEX(EntryMan,$P436)))</f>
        <v/>
      </c>
      <c r="L436" s="28">
        <f>IF($B436="","",IF($K436="","—",IF(ROUND($K436-$J436,0)=0,"√","×")))</f>
        <v/>
      </c>
      <c r="M436" s="28">
        <f>IF($B436="","",IF(COUNTIFS(EntryDates,$B436,CalcTime,$C436,CalcBank,$C$5,EntryParty,$D436,EntryDep,$H436,EntryWit,$I436)&gt;1,"تکرار",""))</f>
        <v/>
      </c>
      <c r="N436" s="28">
        <f>IF($P436="","",IF(INDEX(EntryNotes,$P436)=0,"",INDEX(EntryNotes,$P436)))</f>
        <v/>
      </c>
      <c r="O436" s="28">
        <f>IF($P436="","",IF(INDEX(EntryTxnID,$P436)=0,"",INDEX(EntryTxnID,$P436)))</f>
        <v/>
      </c>
      <c r="P436" s="28">
        <f>IFERROR(MATCH($C$5&amp;"|"&amp;RIGHT("000000"&amp;420,6),CalcRankKey,0),"")</f>
        <v/>
      </c>
    </row>
    <row r="437">
      <c r="A437" s="26">
        <f>IF($B437="","",421)</f>
        <v/>
      </c>
      <c r="B437" s="26">
        <f>IF($P437="","",IF(INDEX(CalcNormDate,$P437)=0,"",INDEX(CalcNormDate,$P437)))</f>
        <v/>
      </c>
      <c r="C437" s="26">
        <f>IF($P437="","",IF(INDEX(CalcTime,$P437)=0,"",INDEX(CalcTime,$P437)))</f>
        <v/>
      </c>
      <c r="D437" s="26">
        <f>IF($P437="","",IF(INDEX(EntryParty,$P437)=0,"",INDEX(EntryParty,$P437)))</f>
        <v/>
      </c>
      <c r="E437" s="26">
        <f>IF($P437="","",IF(INDEX(EntryPartyName,$P437)=0,"",INDEX(EntryPartyName,$P437)))</f>
        <v/>
      </c>
      <c r="F437" s="26">
        <f>IF($P437="","",IF(INDEX(EntryPartyType,$P437)=0,"",INDEX(EntryPartyType,$P437)))</f>
        <v/>
      </c>
      <c r="G437" s="26">
        <f>IF($P437="","",IF(INDEX(EntryTxnType,$P437)=0,"",INDEX(EntryTxnType,$P437)))</f>
        <v/>
      </c>
      <c r="H437" s="27">
        <f>IF($P437="","",IF(INDEX(EntryDep,$P437)=0,"",INDEX(EntryDep,$P437)))</f>
        <v/>
      </c>
      <c r="I437" s="27">
        <f>IF($P437="","",IF(INDEX(EntryWit,$P437)=0,"",INDEX(EntryWit,$P437)))</f>
        <v/>
      </c>
      <c r="J437" s="27">
        <f>IF($B437="","",IF($A437=1,$C$7,IF(J436="",0,J436))+IF($H437="",0,$H437)-IF($I437="",0,$I437))</f>
        <v/>
      </c>
      <c r="K437" s="27">
        <f>IF($P437="","",IF(INDEX(EntryMan,$P437)=0,"",INDEX(EntryMan,$P437)))</f>
        <v/>
      </c>
      <c r="L437" s="26">
        <f>IF($B437="","",IF($K437="","—",IF(ROUND($K437-$J437,0)=0,"√","×")))</f>
        <v/>
      </c>
      <c r="M437" s="26">
        <f>IF($B437="","",IF(COUNTIFS(EntryDates,$B437,CalcTime,$C437,CalcBank,$C$5,EntryParty,$D437,EntryDep,$H437,EntryWit,$I437)&gt;1,"تکرار",""))</f>
        <v/>
      </c>
      <c r="N437" s="26">
        <f>IF($P437="","",IF(INDEX(EntryNotes,$P437)=0,"",INDEX(EntryNotes,$P437)))</f>
        <v/>
      </c>
      <c r="O437" s="26">
        <f>IF($P437="","",IF(INDEX(EntryTxnID,$P437)=0,"",INDEX(EntryTxnID,$P437)))</f>
        <v/>
      </c>
      <c r="P437" s="26">
        <f>IFERROR(MATCH($C$5&amp;"|"&amp;RIGHT("000000"&amp;421,6),CalcRankKey,0),"")</f>
        <v/>
      </c>
    </row>
    <row r="438">
      <c r="A438" s="28">
        <f>IF($B438="","",422)</f>
        <v/>
      </c>
      <c r="B438" s="28">
        <f>IF($P438="","",IF(INDEX(CalcNormDate,$P438)=0,"",INDEX(CalcNormDate,$P438)))</f>
        <v/>
      </c>
      <c r="C438" s="28">
        <f>IF($P438="","",IF(INDEX(CalcTime,$P438)=0,"",INDEX(CalcTime,$P438)))</f>
        <v/>
      </c>
      <c r="D438" s="28">
        <f>IF($P438="","",IF(INDEX(EntryParty,$P438)=0,"",INDEX(EntryParty,$P438)))</f>
        <v/>
      </c>
      <c r="E438" s="28">
        <f>IF($P438="","",IF(INDEX(EntryPartyName,$P438)=0,"",INDEX(EntryPartyName,$P438)))</f>
        <v/>
      </c>
      <c r="F438" s="28">
        <f>IF($P438="","",IF(INDEX(EntryPartyType,$P438)=0,"",INDEX(EntryPartyType,$P438)))</f>
        <v/>
      </c>
      <c r="G438" s="28">
        <f>IF($P438="","",IF(INDEX(EntryTxnType,$P438)=0,"",INDEX(EntryTxnType,$P438)))</f>
        <v/>
      </c>
      <c r="H438" s="29">
        <f>IF($P438="","",IF(INDEX(EntryDep,$P438)=0,"",INDEX(EntryDep,$P438)))</f>
        <v/>
      </c>
      <c r="I438" s="29">
        <f>IF($P438="","",IF(INDEX(EntryWit,$P438)=0,"",INDEX(EntryWit,$P438)))</f>
        <v/>
      </c>
      <c r="J438" s="29">
        <f>IF($B438="","",IF($A438=1,$C$7,IF(J437="",0,J437))+IF($H438="",0,$H438)-IF($I438="",0,$I438))</f>
        <v/>
      </c>
      <c r="K438" s="29">
        <f>IF($P438="","",IF(INDEX(EntryMan,$P438)=0,"",INDEX(EntryMan,$P438)))</f>
        <v/>
      </c>
      <c r="L438" s="28">
        <f>IF($B438="","",IF($K438="","—",IF(ROUND($K438-$J438,0)=0,"√","×")))</f>
        <v/>
      </c>
      <c r="M438" s="28">
        <f>IF($B438="","",IF(COUNTIFS(EntryDates,$B438,CalcTime,$C438,CalcBank,$C$5,EntryParty,$D438,EntryDep,$H438,EntryWit,$I438)&gt;1,"تکرار",""))</f>
        <v/>
      </c>
      <c r="N438" s="28">
        <f>IF($P438="","",IF(INDEX(EntryNotes,$P438)=0,"",INDEX(EntryNotes,$P438)))</f>
        <v/>
      </c>
      <c r="O438" s="28">
        <f>IF($P438="","",IF(INDEX(EntryTxnID,$P438)=0,"",INDEX(EntryTxnID,$P438)))</f>
        <v/>
      </c>
      <c r="P438" s="28">
        <f>IFERROR(MATCH($C$5&amp;"|"&amp;RIGHT("000000"&amp;422,6),CalcRankKey,0),"")</f>
        <v/>
      </c>
    </row>
    <row r="439">
      <c r="A439" s="26">
        <f>IF($B439="","",423)</f>
        <v/>
      </c>
      <c r="B439" s="26">
        <f>IF($P439="","",IF(INDEX(CalcNormDate,$P439)=0,"",INDEX(CalcNormDate,$P439)))</f>
        <v/>
      </c>
      <c r="C439" s="26">
        <f>IF($P439="","",IF(INDEX(CalcTime,$P439)=0,"",INDEX(CalcTime,$P439)))</f>
        <v/>
      </c>
      <c r="D439" s="26">
        <f>IF($P439="","",IF(INDEX(EntryParty,$P439)=0,"",INDEX(EntryParty,$P439)))</f>
        <v/>
      </c>
      <c r="E439" s="26">
        <f>IF($P439="","",IF(INDEX(EntryPartyName,$P439)=0,"",INDEX(EntryPartyName,$P439)))</f>
        <v/>
      </c>
      <c r="F439" s="26">
        <f>IF($P439="","",IF(INDEX(EntryPartyType,$P439)=0,"",INDEX(EntryPartyType,$P439)))</f>
        <v/>
      </c>
      <c r="G439" s="26">
        <f>IF($P439="","",IF(INDEX(EntryTxnType,$P439)=0,"",INDEX(EntryTxnType,$P439)))</f>
        <v/>
      </c>
      <c r="H439" s="27">
        <f>IF($P439="","",IF(INDEX(EntryDep,$P439)=0,"",INDEX(EntryDep,$P439)))</f>
        <v/>
      </c>
      <c r="I439" s="27">
        <f>IF($P439="","",IF(INDEX(EntryWit,$P439)=0,"",INDEX(EntryWit,$P439)))</f>
        <v/>
      </c>
      <c r="J439" s="27">
        <f>IF($B439="","",IF($A439=1,$C$7,IF(J438="",0,J438))+IF($H439="",0,$H439)-IF($I439="",0,$I439))</f>
        <v/>
      </c>
      <c r="K439" s="27">
        <f>IF($P439="","",IF(INDEX(EntryMan,$P439)=0,"",INDEX(EntryMan,$P439)))</f>
        <v/>
      </c>
      <c r="L439" s="26">
        <f>IF($B439="","",IF($K439="","—",IF(ROUND($K439-$J439,0)=0,"√","×")))</f>
        <v/>
      </c>
      <c r="M439" s="26">
        <f>IF($B439="","",IF(COUNTIFS(EntryDates,$B439,CalcTime,$C439,CalcBank,$C$5,EntryParty,$D439,EntryDep,$H439,EntryWit,$I439)&gt;1,"تکرار",""))</f>
        <v/>
      </c>
      <c r="N439" s="26">
        <f>IF($P439="","",IF(INDEX(EntryNotes,$P439)=0,"",INDEX(EntryNotes,$P439)))</f>
        <v/>
      </c>
      <c r="O439" s="26">
        <f>IF($P439="","",IF(INDEX(EntryTxnID,$P439)=0,"",INDEX(EntryTxnID,$P439)))</f>
        <v/>
      </c>
      <c r="P439" s="26">
        <f>IFERROR(MATCH($C$5&amp;"|"&amp;RIGHT("000000"&amp;423,6),CalcRankKey,0),"")</f>
        <v/>
      </c>
    </row>
    <row r="440">
      <c r="A440" s="28">
        <f>IF($B440="","",424)</f>
        <v/>
      </c>
      <c r="B440" s="28">
        <f>IF($P440="","",IF(INDEX(CalcNormDate,$P440)=0,"",INDEX(CalcNormDate,$P440)))</f>
        <v/>
      </c>
      <c r="C440" s="28">
        <f>IF($P440="","",IF(INDEX(CalcTime,$P440)=0,"",INDEX(CalcTime,$P440)))</f>
        <v/>
      </c>
      <c r="D440" s="28">
        <f>IF($P440="","",IF(INDEX(EntryParty,$P440)=0,"",INDEX(EntryParty,$P440)))</f>
        <v/>
      </c>
      <c r="E440" s="28">
        <f>IF($P440="","",IF(INDEX(EntryPartyName,$P440)=0,"",INDEX(EntryPartyName,$P440)))</f>
        <v/>
      </c>
      <c r="F440" s="28">
        <f>IF($P440="","",IF(INDEX(EntryPartyType,$P440)=0,"",INDEX(EntryPartyType,$P440)))</f>
        <v/>
      </c>
      <c r="G440" s="28">
        <f>IF($P440="","",IF(INDEX(EntryTxnType,$P440)=0,"",INDEX(EntryTxnType,$P440)))</f>
        <v/>
      </c>
      <c r="H440" s="29">
        <f>IF($P440="","",IF(INDEX(EntryDep,$P440)=0,"",INDEX(EntryDep,$P440)))</f>
        <v/>
      </c>
      <c r="I440" s="29">
        <f>IF($P440="","",IF(INDEX(EntryWit,$P440)=0,"",INDEX(EntryWit,$P440)))</f>
        <v/>
      </c>
      <c r="J440" s="29">
        <f>IF($B440="","",IF($A440=1,$C$7,IF(J439="",0,J439))+IF($H440="",0,$H440)-IF($I440="",0,$I440))</f>
        <v/>
      </c>
      <c r="K440" s="29">
        <f>IF($P440="","",IF(INDEX(EntryMan,$P440)=0,"",INDEX(EntryMan,$P440)))</f>
        <v/>
      </c>
      <c r="L440" s="28">
        <f>IF($B440="","",IF($K440="","—",IF(ROUND($K440-$J440,0)=0,"√","×")))</f>
        <v/>
      </c>
      <c r="M440" s="28">
        <f>IF($B440="","",IF(COUNTIFS(EntryDates,$B440,CalcTime,$C440,CalcBank,$C$5,EntryParty,$D440,EntryDep,$H440,EntryWit,$I440)&gt;1,"تکرار",""))</f>
        <v/>
      </c>
      <c r="N440" s="28">
        <f>IF($P440="","",IF(INDEX(EntryNotes,$P440)=0,"",INDEX(EntryNotes,$P440)))</f>
        <v/>
      </c>
      <c r="O440" s="28">
        <f>IF($P440="","",IF(INDEX(EntryTxnID,$P440)=0,"",INDEX(EntryTxnID,$P440)))</f>
        <v/>
      </c>
      <c r="P440" s="28">
        <f>IFERROR(MATCH($C$5&amp;"|"&amp;RIGHT("000000"&amp;424,6),CalcRankKey,0),"")</f>
        <v/>
      </c>
    </row>
    <row r="441">
      <c r="A441" s="26">
        <f>IF($B441="","",425)</f>
        <v/>
      </c>
      <c r="B441" s="26">
        <f>IF($P441="","",IF(INDEX(CalcNormDate,$P441)=0,"",INDEX(CalcNormDate,$P441)))</f>
        <v/>
      </c>
      <c r="C441" s="26">
        <f>IF($P441="","",IF(INDEX(CalcTime,$P441)=0,"",INDEX(CalcTime,$P441)))</f>
        <v/>
      </c>
      <c r="D441" s="26">
        <f>IF($P441="","",IF(INDEX(EntryParty,$P441)=0,"",INDEX(EntryParty,$P441)))</f>
        <v/>
      </c>
      <c r="E441" s="26">
        <f>IF($P441="","",IF(INDEX(EntryPartyName,$P441)=0,"",INDEX(EntryPartyName,$P441)))</f>
        <v/>
      </c>
      <c r="F441" s="26">
        <f>IF($P441="","",IF(INDEX(EntryPartyType,$P441)=0,"",INDEX(EntryPartyType,$P441)))</f>
        <v/>
      </c>
      <c r="G441" s="26">
        <f>IF($P441="","",IF(INDEX(EntryTxnType,$P441)=0,"",INDEX(EntryTxnType,$P441)))</f>
        <v/>
      </c>
      <c r="H441" s="27">
        <f>IF($P441="","",IF(INDEX(EntryDep,$P441)=0,"",INDEX(EntryDep,$P441)))</f>
        <v/>
      </c>
      <c r="I441" s="27">
        <f>IF($P441="","",IF(INDEX(EntryWit,$P441)=0,"",INDEX(EntryWit,$P441)))</f>
        <v/>
      </c>
      <c r="J441" s="27">
        <f>IF($B441="","",IF($A441=1,$C$7,IF(J440="",0,J440))+IF($H441="",0,$H441)-IF($I441="",0,$I441))</f>
        <v/>
      </c>
      <c r="K441" s="27">
        <f>IF($P441="","",IF(INDEX(EntryMan,$P441)=0,"",INDEX(EntryMan,$P441)))</f>
        <v/>
      </c>
      <c r="L441" s="26">
        <f>IF($B441="","",IF($K441="","—",IF(ROUND($K441-$J441,0)=0,"√","×")))</f>
        <v/>
      </c>
      <c r="M441" s="26">
        <f>IF($B441="","",IF(COUNTIFS(EntryDates,$B441,CalcTime,$C441,CalcBank,$C$5,EntryParty,$D441,EntryDep,$H441,EntryWit,$I441)&gt;1,"تکرار",""))</f>
        <v/>
      </c>
      <c r="N441" s="26">
        <f>IF($P441="","",IF(INDEX(EntryNotes,$P441)=0,"",INDEX(EntryNotes,$P441)))</f>
        <v/>
      </c>
      <c r="O441" s="26">
        <f>IF($P441="","",IF(INDEX(EntryTxnID,$P441)=0,"",INDEX(EntryTxnID,$P441)))</f>
        <v/>
      </c>
      <c r="P441" s="26">
        <f>IFERROR(MATCH($C$5&amp;"|"&amp;RIGHT("000000"&amp;425,6),CalcRankKey,0),"")</f>
        <v/>
      </c>
    </row>
    <row r="442">
      <c r="A442" s="28">
        <f>IF($B442="","",426)</f>
        <v/>
      </c>
      <c r="B442" s="28">
        <f>IF($P442="","",IF(INDEX(CalcNormDate,$P442)=0,"",INDEX(CalcNormDate,$P442)))</f>
        <v/>
      </c>
      <c r="C442" s="28">
        <f>IF($P442="","",IF(INDEX(CalcTime,$P442)=0,"",INDEX(CalcTime,$P442)))</f>
        <v/>
      </c>
      <c r="D442" s="28">
        <f>IF($P442="","",IF(INDEX(EntryParty,$P442)=0,"",INDEX(EntryParty,$P442)))</f>
        <v/>
      </c>
      <c r="E442" s="28">
        <f>IF($P442="","",IF(INDEX(EntryPartyName,$P442)=0,"",INDEX(EntryPartyName,$P442)))</f>
        <v/>
      </c>
      <c r="F442" s="28">
        <f>IF($P442="","",IF(INDEX(EntryPartyType,$P442)=0,"",INDEX(EntryPartyType,$P442)))</f>
        <v/>
      </c>
      <c r="G442" s="28">
        <f>IF($P442="","",IF(INDEX(EntryTxnType,$P442)=0,"",INDEX(EntryTxnType,$P442)))</f>
        <v/>
      </c>
      <c r="H442" s="29">
        <f>IF($P442="","",IF(INDEX(EntryDep,$P442)=0,"",INDEX(EntryDep,$P442)))</f>
        <v/>
      </c>
      <c r="I442" s="29">
        <f>IF($P442="","",IF(INDEX(EntryWit,$P442)=0,"",INDEX(EntryWit,$P442)))</f>
        <v/>
      </c>
      <c r="J442" s="29">
        <f>IF($B442="","",IF($A442=1,$C$7,IF(J441="",0,J441))+IF($H442="",0,$H442)-IF($I442="",0,$I442))</f>
        <v/>
      </c>
      <c r="K442" s="29">
        <f>IF($P442="","",IF(INDEX(EntryMan,$P442)=0,"",INDEX(EntryMan,$P442)))</f>
        <v/>
      </c>
      <c r="L442" s="28">
        <f>IF($B442="","",IF($K442="","—",IF(ROUND($K442-$J442,0)=0,"√","×")))</f>
        <v/>
      </c>
      <c r="M442" s="28">
        <f>IF($B442="","",IF(COUNTIFS(EntryDates,$B442,CalcTime,$C442,CalcBank,$C$5,EntryParty,$D442,EntryDep,$H442,EntryWit,$I442)&gt;1,"تکرار",""))</f>
        <v/>
      </c>
      <c r="N442" s="28">
        <f>IF($P442="","",IF(INDEX(EntryNotes,$P442)=0,"",INDEX(EntryNotes,$P442)))</f>
        <v/>
      </c>
      <c r="O442" s="28">
        <f>IF($P442="","",IF(INDEX(EntryTxnID,$P442)=0,"",INDEX(EntryTxnID,$P442)))</f>
        <v/>
      </c>
      <c r="P442" s="28">
        <f>IFERROR(MATCH($C$5&amp;"|"&amp;RIGHT("000000"&amp;426,6),CalcRankKey,0),"")</f>
        <v/>
      </c>
    </row>
    <row r="443">
      <c r="A443" s="26">
        <f>IF($B443="","",427)</f>
        <v/>
      </c>
      <c r="B443" s="26">
        <f>IF($P443="","",IF(INDEX(CalcNormDate,$P443)=0,"",INDEX(CalcNormDate,$P443)))</f>
        <v/>
      </c>
      <c r="C443" s="26">
        <f>IF($P443="","",IF(INDEX(CalcTime,$P443)=0,"",INDEX(CalcTime,$P443)))</f>
        <v/>
      </c>
      <c r="D443" s="26">
        <f>IF($P443="","",IF(INDEX(EntryParty,$P443)=0,"",INDEX(EntryParty,$P443)))</f>
        <v/>
      </c>
      <c r="E443" s="26">
        <f>IF($P443="","",IF(INDEX(EntryPartyName,$P443)=0,"",INDEX(EntryPartyName,$P443)))</f>
        <v/>
      </c>
      <c r="F443" s="26">
        <f>IF($P443="","",IF(INDEX(EntryPartyType,$P443)=0,"",INDEX(EntryPartyType,$P443)))</f>
        <v/>
      </c>
      <c r="G443" s="26">
        <f>IF($P443="","",IF(INDEX(EntryTxnType,$P443)=0,"",INDEX(EntryTxnType,$P443)))</f>
        <v/>
      </c>
      <c r="H443" s="27">
        <f>IF($P443="","",IF(INDEX(EntryDep,$P443)=0,"",INDEX(EntryDep,$P443)))</f>
        <v/>
      </c>
      <c r="I443" s="27">
        <f>IF($P443="","",IF(INDEX(EntryWit,$P443)=0,"",INDEX(EntryWit,$P443)))</f>
        <v/>
      </c>
      <c r="J443" s="27">
        <f>IF($B443="","",IF($A443=1,$C$7,IF(J442="",0,J442))+IF($H443="",0,$H443)-IF($I443="",0,$I443))</f>
        <v/>
      </c>
      <c r="K443" s="27">
        <f>IF($P443="","",IF(INDEX(EntryMan,$P443)=0,"",INDEX(EntryMan,$P443)))</f>
        <v/>
      </c>
      <c r="L443" s="26">
        <f>IF($B443="","",IF($K443="","—",IF(ROUND($K443-$J443,0)=0,"√","×")))</f>
        <v/>
      </c>
      <c r="M443" s="26">
        <f>IF($B443="","",IF(COUNTIFS(EntryDates,$B443,CalcTime,$C443,CalcBank,$C$5,EntryParty,$D443,EntryDep,$H443,EntryWit,$I443)&gt;1,"تکرار",""))</f>
        <v/>
      </c>
      <c r="N443" s="26">
        <f>IF($P443="","",IF(INDEX(EntryNotes,$P443)=0,"",INDEX(EntryNotes,$P443)))</f>
        <v/>
      </c>
      <c r="O443" s="26">
        <f>IF($P443="","",IF(INDEX(EntryTxnID,$P443)=0,"",INDEX(EntryTxnID,$P443)))</f>
        <v/>
      </c>
      <c r="P443" s="26">
        <f>IFERROR(MATCH($C$5&amp;"|"&amp;RIGHT("000000"&amp;427,6),CalcRankKey,0),"")</f>
        <v/>
      </c>
    </row>
    <row r="444">
      <c r="A444" s="28">
        <f>IF($B444="","",428)</f>
        <v/>
      </c>
      <c r="B444" s="28">
        <f>IF($P444="","",IF(INDEX(CalcNormDate,$P444)=0,"",INDEX(CalcNormDate,$P444)))</f>
        <v/>
      </c>
      <c r="C444" s="28">
        <f>IF($P444="","",IF(INDEX(CalcTime,$P444)=0,"",INDEX(CalcTime,$P444)))</f>
        <v/>
      </c>
      <c r="D444" s="28">
        <f>IF($P444="","",IF(INDEX(EntryParty,$P444)=0,"",INDEX(EntryParty,$P444)))</f>
        <v/>
      </c>
      <c r="E444" s="28">
        <f>IF($P444="","",IF(INDEX(EntryPartyName,$P444)=0,"",INDEX(EntryPartyName,$P444)))</f>
        <v/>
      </c>
      <c r="F444" s="28">
        <f>IF($P444="","",IF(INDEX(EntryPartyType,$P444)=0,"",INDEX(EntryPartyType,$P444)))</f>
        <v/>
      </c>
      <c r="G444" s="28">
        <f>IF($P444="","",IF(INDEX(EntryTxnType,$P444)=0,"",INDEX(EntryTxnType,$P444)))</f>
        <v/>
      </c>
      <c r="H444" s="29">
        <f>IF($P444="","",IF(INDEX(EntryDep,$P444)=0,"",INDEX(EntryDep,$P444)))</f>
        <v/>
      </c>
      <c r="I444" s="29">
        <f>IF($P444="","",IF(INDEX(EntryWit,$P444)=0,"",INDEX(EntryWit,$P444)))</f>
        <v/>
      </c>
      <c r="J444" s="29">
        <f>IF($B444="","",IF($A444=1,$C$7,IF(J443="",0,J443))+IF($H444="",0,$H444)-IF($I444="",0,$I444))</f>
        <v/>
      </c>
      <c r="K444" s="29">
        <f>IF($P444="","",IF(INDEX(EntryMan,$P444)=0,"",INDEX(EntryMan,$P444)))</f>
        <v/>
      </c>
      <c r="L444" s="28">
        <f>IF($B444="","",IF($K444="","—",IF(ROUND($K444-$J444,0)=0,"√","×")))</f>
        <v/>
      </c>
      <c r="M444" s="28">
        <f>IF($B444="","",IF(COUNTIFS(EntryDates,$B444,CalcTime,$C444,CalcBank,$C$5,EntryParty,$D444,EntryDep,$H444,EntryWit,$I444)&gt;1,"تکرار",""))</f>
        <v/>
      </c>
      <c r="N444" s="28">
        <f>IF($P444="","",IF(INDEX(EntryNotes,$P444)=0,"",INDEX(EntryNotes,$P444)))</f>
        <v/>
      </c>
      <c r="O444" s="28">
        <f>IF($P444="","",IF(INDEX(EntryTxnID,$P444)=0,"",INDEX(EntryTxnID,$P444)))</f>
        <v/>
      </c>
      <c r="P444" s="28">
        <f>IFERROR(MATCH($C$5&amp;"|"&amp;RIGHT("000000"&amp;428,6),CalcRankKey,0),"")</f>
        <v/>
      </c>
    </row>
    <row r="445">
      <c r="A445" s="26">
        <f>IF($B445="","",429)</f>
        <v/>
      </c>
      <c r="B445" s="26">
        <f>IF($P445="","",IF(INDEX(CalcNormDate,$P445)=0,"",INDEX(CalcNormDate,$P445)))</f>
        <v/>
      </c>
      <c r="C445" s="26">
        <f>IF($P445="","",IF(INDEX(CalcTime,$P445)=0,"",INDEX(CalcTime,$P445)))</f>
        <v/>
      </c>
      <c r="D445" s="26">
        <f>IF($P445="","",IF(INDEX(EntryParty,$P445)=0,"",INDEX(EntryParty,$P445)))</f>
        <v/>
      </c>
      <c r="E445" s="26">
        <f>IF($P445="","",IF(INDEX(EntryPartyName,$P445)=0,"",INDEX(EntryPartyName,$P445)))</f>
        <v/>
      </c>
      <c r="F445" s="26">
        <f>IF($P445="","",IF(INDEX(EntryPartyType,$P445)=0,"",INDEX(EntryPartyType,$P445)))</f>
        <v/>
      </c>
      <c r="G445" s="26">
        <f>IF($P445="","",IF(INDEX(EntryTxnType,$P445)=0,"",INDEX(EntryTxnType,$P445)))</f>
        <v/>
      </c>
      <c r="H445" s="27">
        <f>IF($P445="","",IF(INDEX(EntryDep,$P445)=0,"",INDEX(EntryDep,$P445)))</f>
        <v/>
      </c>
      <c r="I445" s="27">
        <f>IF($P445="","",IF(INDEX(EntryWit,$P445)=0,"",INDEX(EntryWit,$P445)))</f>
        <v/>
      </c>
      <c r="J445" s="27">
        <f>IF($B445="","",IF($A445=1,$C$7,IF(J444="",0,J444))+IF($H445="",0,$H445)-IF($I445="",0,$I445))</f>
        <v/>
      </c>
      <c r="K445" s="27">
        <f>IF($P445="","",IF(INDEX(EntryMan,$P445)=0,"",INDEX(EntryMan,$P445)))</f>
        <v/>
      </c>
      <c r="L445" s="26">
        <f>IF($B445="","",IF($K445="","—",IF(ROUND($K445-$J445,0)=0,"√","×")))</f>
        <v/>
      </c>
      <c r="M445" s="26">
        <f>IF($B445="","",IF(COUNTIFS(EntryDates,$B445,CalcTime,$C445,CalcBank,$C$5,EntryParty,$D445,EntryDep,$H445,EntryWit,$I445)&gt;1,"تکرار",""))</f>
        <v/>
      </c>
      <c r="N445" s="26">
        <f>IF($P445="","",IF(INDEX(EntryNotes,$P445)=0,"",INDEX(EntryNotes,$P445)))</f>
        <v/>
      </c>
      <c r="O445" s="26">
        <f>IF($P445="","",IF(INDEX(EntryTxnID,$P445)=0,"",INDEX(EntryTxnID,$P445)))</f>
        <v/>
      </c>
      <c r="P445" s="26">
        <f>IFERROR(MATCH($C$5&amp;"|"&amp;RIGHT("000000"&amp;429,6),CalcRankKey,0),"")</f>
        <v/>
      </c>
    </row>
    <row r="446">
      <c r="A446" s="28">
        <f>IF($B446="","",430)</f>
        <v/>
      </c>
      <c r="B446" s="28">
        <f>IF($P446="","",IF(INDEX(CalcNormDate,$P446)=0,"",INDEX(CalcNormDate,$P446)))</f>
        <v/>
      </c>
      <c r="C446" s="28">
        <f>IF($P446="","",IF(INDEX(CalcTime,$P446)=0,"",INDEX(CalcTime,$P446)))</f>
        <v/>
      </c>
      <c r="D446" s="28">
        <f>IF($P446="","",IF(INDEX(EntryParty,$P446)=0,"",INDEX(EntryParty,$P446)))</f>
        <v/>
      </c>
      <c r="E446" s="28">
        <f>IF($P446="","",IF(INDEX(EntryPartyName,$P446)=0,"",INDEX(EntryPartyName,$P446)))</f>
        <v/>
      </c>
      <c r="F446" s="28">
        <f>IF($P446="","",IF(INDEX(EntryPartyType,$P446)=0,"",INDEX(EntryPartyType,$P446)))</f>
        <v/>
      </c>
      <c r="G446" s="28">
        <f>IF($P446="","",IF(INDEX(EntryTxnType,$P446)=0,"",INDEX(EntryTxnType,$P446)))</f>
        <v/>
      </c>
      <c r="H446" s="29">
        <f>IF($P446="","",IF(INDEX(EntryDep,$P446)=0,"",INDEX(EntryDep,$P446)))</f>
        <v/>
      </c>
      <c r="I446" s="29">
        <f>IF($P446="","",IF(INDEX(EntryWit,$P446)=0,"",INDEX(EntryWit,$P446)))</f>
        <v/>
      </c>
      <c r="J446" s="29">
        <f>IF($B446="","",IF($A446=1,$C$7,IF(J445="",0,J445))+IF($H446="",0,$H446)-IF($I446="",0,$I446))</f>
        <v/>
      </c>
      <c r="K446" s="29">
        <f>IF($P446="","",IF(INDEX(EntryMan,$P446)=0,"",INDEX(EntryMan,$P446)))</f>
        <v/>
      </c>
      <c r="L446" s="28">
        <f>IF($B446="","",IF($K446="","—",IF(ROUND($K446-$J446,0)=0,"√","×")))</f>
        <v/>
      </c>
      <c r="M446" s="28">
        <f>IF($B446="","",IF(COUNTIFS(EntryDates,$B446,CalcTime,$C446,CalcBank,$C$5,EntryParty,$D446,EntryDep,$H446,EntryWit,$I446)&gt;1,"تکرار",""))</f>
        <v/>
      </c>
      <c r="N446" s="28">
        <f>IF($P446="","",IF(INDEX(EntryNotes,$P446)=0,"",INDEX(EntryNotes,$P446)))</f>
        <v/>
      </c>
      <c r="O446" s="28">
        <f>IF($P446="","",IF(INDEX(EntryTxnID,$P446)=0,"",INDEX(EntryTxnID,$P446)))</f>
        <v/>
      </c>
      <c r="P446" s="28">
        <f>IFERROR(MATCH($C$5&amp;"|"&amp;RIGHT("000000"&amp;430,6),CalcRankKey,0),"")</f>
        <v/>
      </c>
    </row>
    <row r="447">
      <c r="A447" s="26">
        <f>IF($B447="","",431)</f>
        <v/>
      </c>
      <c r="B447" s="26">
        <f>IF($P447="","",IF(INDEX(CalcNormDate,$P447)=0,"",INDEX(CalcNormDate,$P447)))</f>
        <v/>
      </c>
      <c r="C447" s="26">
        <f>IF($P447="","",IF(INDEX(CalcTime,$P447)=0,"",INDEX(CalcTime,$P447)))</f>
        <v/>
      </c>
      <c r="D447" s="26">
        <f>IF($P447="","",IF(INDEX(EntryParty,$P447)=0,"",INDEX(EntryParty,$P447)))</f>
        <v/>
      </c>
      <c r="E447" s="26">
        <f>IF($P447="","",IF(INDEX(EntryPartyName,$P447)=0,"",INDEX(EntryPartyName,$P447)))</f>
        <v/>
      </c>
      <c r="F447" s="26">
        <f>IF($P447="","",IF(INDEX(EntryPartyType,$P447)=0,"",INDEX(EntryPartyType,$P447)))</f>
        <v/>
      </c>
      <c r="G447" s="26">
        <f>IF($P447="","",IF(INDEX(EntryTxnType,$P447)=0,"",INDEX(EntryTxnType,$P447)))</f>
        <v/>
      </c>
      <c r="H447" s="27">
        <f>IF($P447="","",IF(INDEX(EntryDep,$P447)=0,"",INDEX(EntryDep,$P447)))</f>
        <v/>
      </c>
      <c r="I447" s="27">
        <f>IF($P447="","",IF(INDEX(EntryWit,$P447)=0,"",INDEX(EntryWit,$P447)))</f>
        <v/>
      </c>
      <c r="J447" s="27">
        <f>IF($B447="","",IF($A447=1,$C$7,IF(J446="",0,J446))+IF($H447="",0,$H447)-IF($I447="",0,$I447))</f>
        <v/>
      </c>
      <c r="K447" s="27">
        <f>IF($P447="","",IF(INDEX(EntryMan,$P447)=0,"",INDEX(EntryMan,$P447)))</f>
        <v/>
      </c>
      <c r="L447" s="26">
        <f>IF($B447="","",IF($K447="","—",IF(ROUND($K447-$J447,0)=0,"√","×")))</f>
        <v/>
      </c>
      <c r="M447" s="26">
        <f>IF($B447="","",IF(COUNTIFS(EntryDates,$B447,CalcTime,$C447,CalcBank,$C$5,EntryParty,$D447,EntryDep,$H447,EntryWit,$I447)&gt;1,"تکرار",""))</f>
        <v/>
      </c>
      <c r="N447" s="26">
        <f>IF($P447="","",IF(INDEX(EntryNotes,$P447)=0,"",INDEX(EntryNotes,$P447)))</f>
        <v/>
      </c>
      <c r="O447" s="26">
        <f>IF($P447="","",IF(INDEX(EntryTxnID,$P447)=0,"",INDEX(EntryTxnID,$P447)))</f>
        <v/>
      </c>
      <c r="P447" s="26">
        <f>IFERROR(MATCH($C$5&amp;"|"&amp;RIGHT("000000"&amp;431,6),CalcRankKey,0),"")</f>
        <v/>
      </c>
    </row>
    <row r="448">
      <c r="A448" s="28">
        <f>IF($B448="","",432)</f>
        <v/>
      </c>
      <c r="B448" s="28">
        <f>IF($P448="","",IF(INDEX(CalcNormDate,$P448)=0,"",INDEX(CalcNormDate,$P448)))</f>
        <v/>
      </c>
      <c r="C448" s="28">
        <f>IF($P448="","",IF(INDEX(CalcTime,$P448)=0,"",INDEX(CalcTime,$P448)))</f>
        <v/>
      </c>
      <c r="D448" s="28">
        <f>IF($P448="","",IF(INDEX(EntryParty,$P448)=0,"",INDEX(EntryParty,$P448)))</f>
        <v/>
      </c>
      <c r="E448" s="28">
        <f>IF($P448="","",IF(INDEX(EntryPartyName,$P448)=0,"",INDEX(EntryPartyName,$P448)))</f>
        <v/>
      </c>
      <c r="F448" s="28">
        <f>IF($P448="","",IF(INDEX(EntryPartyType,$P448)=0,"",INDEX(EntryPartyType,$P448)))</f>
        <v/>
      </c>
      <c r="G448" s="28">
        <f>IF($P448="","",IF(INDEX(EntryTxnType,$P448)=0,"",INDEX(EntryTxnType,$P448)))</f>
        <v/>
      </c>
      <c r="H448" s="29">
        <f>IF($P448="","",IF(INDEX(EntryDep,$P448)=0,"",INDEX(EntryDep,$P448)))</f>
        <v/>
      </c>
      <c r="I448" s="29">
        <f>IF($P448="","",IF(INDEX(EntryWit,$P448)=0,"",INDEX(EntryWit,$P448)))</f>
        <v/>
      </c>
      <c r="J448" s="29">
        <f>IF($B448="","",IF($A448=1,$C$7,IF(J447="",0,J447))+IF($H448="",0,$H448)-IF($I448="",0,$I448))</f>
        <v/>
      </c>
      <c r="K448" s="29">
        <f>IF($P448="","",IF(INDEX(EntryMan,$P448)=0,"",INDEX(EntryMan,$P448)))</f>
        <v/>
      </c>
      <c r="L448" s="28">
        <f>IF($B448="","",IF($K448="","—",IF(ROUND($K448-$J448,0)=0,"√","×")))</f>
        <v/>
      </c>
      <c r="M448" s="28">
        <f>IF($B448="","",IF(COUNTIFS(EntryDates,$B448,CalcTime,$C448,CalcBank,$C$5,EntryParty,$D448,EntryDep,$H448,EntryWit,$I448)&gt;1,"تکرار",""))</f>
        <v/>
      </c>
      <c r="N448" s="28">
        <f>IF($P448="","",IF(INDEX(EntryNotes,$P448)=0,"",INDEX(EntryNotes,$P448)))</f>
        <v/>
      </c>
      <c r="O448" s="28">
        <f>IF($P448="","",IF(INDEX(EntryTxnID,$P448)=0,"",INDEX(EntryTxnID,$P448)))</f>
        <v/>
      </c>
      <c r="P448" s="28">
        <f>IFERROR(MATCH($C$5&amp;"|"&amp;RIGHT("000000"&amp;432,6),CalcRankKey,0),"")</f>
        <v/>
      </c>
    </row>
    <row r="449">
      <c r="A449" s="26">
        <f>IF($B449="","",433)</f>
        <v/>
      </c>
      <c r="B449" s="26">
        <f>IF($P449="","",IF(INDEX(CalcNormDate,$P449)=0,"",INDEX(CalcNormDate,$P449)))</f>
        <v/>
      </c>
      <c r="C449" s="26">
        <f>IF($P449="","",IF(INDEX(CalcTime,$P449)=0,"",INDEX(CalcTime,$P449)))</f>
        <v/>
      </c>
      <c r="D449" s="26">
        <f>IF($P449="","",IF(INDEX(EntryParty,$P449)=0,"",INDEX(EntryParty,$P449)))</f>
        <v/>
      </c>
      <c r="E449" s="26">
        <f>IF($P449="","",IF(INDEX(EntryPartyName,$P449)=0,"",INDEX(EntryPartyName,$P449)))</f>
        <v/>
      </c>
      <c r="F449" s="26">
        <f>IF($P449="","",IF(INDEX(EntryPartyType,$P449)=0,"",INDEX(EntryPartyType,$P449)))</f>
        <v/>
      </c>
      <c r="G449" s="26">
        <f>IF($P449="","",IF(INDEX(EntryTxnType,$P449)=0,"",INDEX(EntryTxnType,$P449)))</f>
        <v/>
      </c>
      <c r="H449" s="27">
        <f>IF($P449="","",IF(INDEX(EntryDep,$P449)=0,"",INDEX(EntryDep,$P449)))</f>
        <v/>
      </c>
      <c r="I449" s="27">
        <f>IF($P449="","",IF(INDEX(EntryWit,$P449)=0,"",INDEX(EntryWit,$P449)))</f>
        <v/>
      </c>
      <c r="J449" s="27">
        <f>IF($B449="","",IF($A449=1,$C$7,IF(J448="",0,J448))+IF($H449="",0,$H449)-IF($I449="",0,$I449))</f>
        <v/>
      </c>
      <c r="K449" s="27">
        <f>IF($P449="","",IF(INDEX(EntryMan,$P449)=0,"",INDEX(EntryMan,$P449)))</f>
        <v/>
      </c>
      <c r="L449" s="26">
        <f>IF($B449="","",IF($K449="","—",IF(ROUND($K449-$J449,0)=0,"√","×")))</f>
        <v/>
      </c>
      <c r="M449" s="26">
        <f>IF($B449="","",IF(COUNTIFS(EntryDates,$B449,CalcTime,$C449,CalcBank,$C$5,EntryParty,$D449,EntryDep,$H449,EntryWit,$I449)&gt;1,"تکرار",""))</f>
        <v/>
      </c>
      <c r="N449" s="26">
        <f>IF($P449="","",IF(INDEX(EntryNotes,$P449)=0,"",INDEX(EntryNotes,$P449)))</f>
        <v/>
      </c>
      <c r="O449" s="26">
        <f>IF($P449="","",IF(INDEX(EntryTxnID,$P449)=0,"",INDEX(EntryTxnID,$P449)))</f>
        <v/>
      </c>
      <c r="P449" s="26">
        <f>IFERROR(MATCH($C$5&amp;"|"&amp;RIGHT("000000"&amp;433,6),CalcRankKey,0),"")</f>
        <v/>
      </c>
    </row>
    <row r="450">
      <c r="A450" s="28">
        <f>IF($B450="","",434)</f>
        <v/>
      </c>
      <c r="B450" s="28">
        <f>IF($P450="","",IF(INDEX(CalcNormDate,$P450)=0,"",INDEX(CalcNormDate,$P450)))</f>
        <v/>
      </c>
      <c r="C450" s="28">
        <f>IF($P450="","",IF(INDEX(CalcTime,$P450)=0,"",INDEX(CalcTime,$P450)))</f>
        <v/>
      </c>
      <c r="D450" s="28">
        <f>IF($P450="","",IF(INDEX(EntryParty,$P450)=0,"",INDEX(EntryParty,$P450)))</f>
        <v/>
      </c>
      <c r="E450" s="28">
        <f>IF($P450="","",IF(INDEX(EntryPartyName,$P450)=0,"",INDEX(EntryPartyName,$P450)))</f>
        <v/>
      </c>
      <c r="F450" s="28">
        <f>IF($P450="","",IF(INDEX(EntryPartyType,$P450)=0,"",INDEX(EntryPartyType,$P450)))</f>
        <v/>
      </c>
      <c r="G450" s="28">
        <f>IF($P450="","",IF(INDEX(EntryTxnType,$P450)=0,"",INDEX(EntryTxnType,$P450)))</f>
        <v/>
      </c>
      <c r="H450" s="29">
        <f>IF($P450="","",IF(INDEX(EntryDep,$P450)=0,"",INDEX(EntryDep,$P450)))</f>
        <v/>
      </c>
      <c r="I450" s="29">
        <f>IF($P450="","",IF(INDEX(EntryWit,$P450)=0,"",INDEX(EntryWit,$P450)))</f>
        <v/>
      </c>
      <c r="J450" s="29">
        <f>IF($B450="","",IF($A450=1,$C$7,IF(J449="",0,J449))+IF($H450="",0,$H450)-IF($I450="",0,$I450))</f>
        <v/>
      </c>
      <c r="K450" s="29">
        <f>IF($P450="","",IF(INDEX(EntryMan,$P450)=0,"",INDEX(EntryMan,$P450)))</f>
        <v/>
      </c>
      <c r="L450" s="28">
        <f>IF($B450="","",IF($K450="","—",IF(ROUND($K450-$J450,0)=0,"√","×")))</f>
        <v/>
      </c>
      <c r="M450" s="28">
        <f>IF($B450="","",IF(COUNTIFS(EntryDates,$B450,CalcTime,$C450,CalcBank,$C$5,EntryParty,$D450,EntryDep,$H450,EntryWit,$I450)&gt;1,"تکرار",""))</f>
        <v/>
      </c>
      <c r="N450" s="28">
        <f>IF($P450="","",IF(INDEX(EntryNotes,$P450)=0,"",INDEX(EntryNotes,$P450)))</f>
        <v/>
      </c>
      <c r="O450" s="28">
        <f>IF($P450="","",IF(INDEX(EntryTxnID,$P450)=0,"",INDEX(EntryTxnID,$P450)))</f>
        <v/>
      </c>
      <c r="P450" s="28">
        <f>IFERROR(MATCH($C$5&amp;"|"&amp;RIGHT("000000"&amp;434,6),CalcRankKey,0),"")</f>
        <v/>
      </c>
    </row>
    <row r="451">
      <c r="A451" s="26">
        <f>IF($B451="","",435)</f>
        <v/>
      </c>
      <c r="B451" s="26">
        <f>IF($P451="","",IF(INDEX(CalcNormDate,$P451)=0,"",INDEX(CalcNormDate,$P451)))</f>
        <v/>
      </c>
      <c r="C451" s="26">
        <f>IF($P451="","",IF(INDEX(CalcTime,$P451)=0,"",INDEX(CalcTime,$P451)))</f>
        <v/>
      </c>
      <c r="D451" s="26">
        <f>IF($P451="","",IF(INDEX(EntryParty,$P451)=0,"",INDEX(EntryParty,$P451)))</f>
        <v/>
      </c>
      <c r="E451" s="26">
        <f>IF($P451="","",IF(INDEX(EntryPartyName,$P451)=0,"",INDEX(EntryPartyName,$P451)))</f>
        <v/>
      </c>
      <c r="F451" s="26">
        <f>IF($P451="","",IF(INDEX(EntryPartyType,$P451)=0,"",INDEX(EntryPartyType,$P451)))</f>
        <v/>
      </c>
      <c r="G451" s="26">
        <f>IF($P451="","",IF(INDEX(EntryTxnType,$P451)=0,"",INDEX(EntryTxnType,$P451)))</f>
        <v/>
      </c>
      <c r="H451" s="27">
        <f>IF($P451="","",IF(INDEX(EntryDep,$P451)=0,"",INDEX(EntryDep,$P451)))</f>
        <v/>
      </c>
      <c r="I451" s="27">
        <f>IF($P451="","",IF(INDEX(EntryWit,$P451)=0,"",INDEX(EntryWit,$P451)))</f>
        <v/>
      </c>
      <c r="J451" s="27">
        <f>IF($B451="","",IF($A451=1,$C$7,IF(J450="",0,J450))+IF($H451="",0,$H451)-IF($I451="",0,$I451))</f>
        <v/>
      </c>
      <c r="K451" s="27">
        <f>IF($P451="","",IF(INDEX(EntryMan,$P451)=0,"",INDEX(EntryMan,$P451)))</f>
        <v/>
      </c>
      <c r="L451" s="26">
        <f>IF($B451="","",IF($K451="","—",IF(ROUND($K451-$J451,0)=0,"√","×")))</f>
        <v/>
      </c>
      <c r="M451" s="26">
        <f>IF($B451="","",IF(COUNTIFS(EntryDates,$B451,CalcTime,$C451,CalcBank,$C$5,EntryParty,$D451,EntryDep,$H451,EntryWit,$I451)&gt;1,"تکرار",""))</f>
        <v/>
      </c>
      <c r="N451" s="26">
        <f>IF($P451="","",IF(INDEX(EntryNotes,$P451)=0,"",INDEX(EntryNotes,$P451)))</f>
        <v/>
      </c>
      <c r="O451" s="26">
        <f>IF($P451="","",IF(INDEX(EntryTxnID,$P451)=0,"",INDEX(EntryTxnID,$P451)))</f>
        <v/>
      </c>
      <c r="P451" s="26">
        <f>IFERROR(MATCH($C$5&amp;"|"&amp;RIGHT("000000"&amp;435,6),CalcRankKey,0),"")</f>
        <v/>
      </c>
    </row>
    <row r="452">
      <c r="A452" s="28">
        <f>IF($B452="","",436)</f>
        <v/>
      </c>
      <c r="B452" s="28">
        <f>IF($P452="","",IF(INDEX(CalcNormDate,$P452)=0,"",INDEX(CalcNormDate,$P452)))</f>
        <v/>
      </c>
      <c r="C452" s="28">
        <f>IF($P452="","",IF(INDEX(CalcTime,$P452)=0,"",INDEX(CalcTime,$P452)))</f>
        <v/>
      </c>
      <c r="D452" s="28">
        <f>IF($P452="","",IF(INDEX(EntryParty,$P452)=0,"",INDEX(EntryParty,$P452)))</f>
        <v/>
      </c>
      <c r="E452" s="28">
        <f>IF($P452="","",IF(INDEX(EntryPartyName,$P452)=0,"",INDEX(EntryPartyName,$P452)))</f>
        <v/>
      </c>
      <c r="F452" s="28">
        <f>IF($P452="","",IF(INDEX(EntryPartyType,$P452)=0,"",INDEX(EntryPartyType,$P452)))</f>
        <v/>
      </c>
      <c r="G452" s="28">
        <f>IF($P452="","",IF(INDEX(EntryTxnType,$P452)=0,"",INDEX(EntryTxnType,$P452)))</f>
        <v/>
      </c>
      <c r="H452" s="29">
        <f>IF($P452="","",IF(INDEX(EntryDep,$P452)=0,"",INDEX(EntryDep,$P452)))</f>
        <v/>
      </c>
      <c r="I452" s="29">
        <f>IF($P452="","",IF(INDEX(EntryWit,$P452)=0,"",INDEX(EntryWit,$P452)))</f>
        <v/>
      </c>
      <c r="J452" s="29">
        <f>IF($B452="","",IF($A452=1,$C$7,IF(J451="",0,J451))+IF($H452="",0,$H452)-IF($I452="",0,$I452))</f>
        <v/>
      </c>
      <c r="K452" s="29">
        <f>IF($P452="","",IF(INDEX(EntryMan,$P452)=0,"",INDEX(EntryMan,$P452)))</f>
        <v/>
      </c>
      <c r="L452" s="28">
        <f>IF($B452="","",IF($K452="","—",IF(ROUND($K452-$J452,0)=0,"√","×")))</f>
        <v/>
      </c>
      <c r="M452" s="28">
        <f>IF($B452="","",IF(COUNTIFS(EntryDates,$B452,CalcTime,$C452,CalcBank,$C$5,EntryParty,$D452,EntryDep,$H452,EntryWit,$I452)&gt;1,"تکرار",""))</f>
        <v/>
      </c>
      <c r="N452" s="28">
        <f>IF($P452="","",IF(INDEX(EntryNotes,$P452)=0,"",INDEX(EntryNotes,$P452)))</f>
        <v/>
      </c>
      <c r="O452" s="28">
        <f>IF($P452="","",IF(INDEX(EntryTxnID,$P452)=0,"",INDEX(EntryTxnID,$P452)))</f>
        <v/>
      </c>
      <c r="P452" s="28">
        <f>IFERROR(MATCH($C$5&amp;"|"&amp;RIGHT("000000"&amp;436,6),CalcRankKey,0),"")</f>
        <v/>
      </c>
    </row>
    <row r="453">
      <c r="A453" s="26">
        <f>IF($B453="","",437)</f>
        <v/>
      </c>
      <c r="B453" s="26">
        <f>IF($P453="","",IF(INDEX(CalcNormDate,$P453)=0,"",INDEX(CalcNormDate,$P453)))</f>
        <v/>
      </c>
      <c r="C453" s="26">
        <f>IF($P453="","",IF(INDEX(CalcTime,$P453)=0,"",INDEX(CalcTime,$P453)))</f>
        <v/>
      </c>
      <c r="D453" s="26">
        <f>IF($P453="","",IF(INDEX(EntryParty,$P453)=0,"",INDEX(EntryParty,$P453)))</f>
        <v/>
      </c>
      <c r="E453" s="26">
        <f>IF($P453="","",IF(INDEX(EntryPartyName,$P453)=0,"",INDEX(EntryPartyName,$P453)))</f>
        <v/>
      </c>
      <c r="F453" s="26">
        <f>IF($P453="","",IF(INDEX(EntryPartyType,$P453)=0,"",INDEX(EntryPartyType,$P453)))</f>
        <v/>
      </c>
      <c r="G453" s="26">
        <f>IF($P453="","",IF(INDEX(EntryTxnType,$P453)=0,"",INDEX(EntryTxnType,$P453)))</f>
        <v/>
      </c>
      <c r="H453" s="27">
        <f>IF($P453="","",IF(INDEX(EntryDep,$P453)=0,"",INDEX(EntryDep,$P453)))</f>
        <v/>
      </c>
      <c r="I453" s="27">
        <f>IF($P453="","",IF(INDEX(EntryWit,$P453)=0,"",INDEX(EntryWit,$P453)))</f>
        <v/>
      </c>
      <c r="J453" s="27">
        <f>IF($B453="","",IF($A453=1,$C$7,IF(J452="",0,J452))+IF($H453="",0,$H453)-IF($I453="",0,$I453))</f>
        <v/>
      </c>
      <c r="K453" s="27">
        <f>IF($P453="","",IF(INDEX(EntryMan,$P453)=0,"",INDEX(EntryMan,$P453)))</f>
        <v/>
      </c>
      <c r="L453" s="26">
        <f>IF($B453="","",IF($K453="","—",IF(ROUND($K453-$J453,0)=0,"√","×")))</f>
        <v/>
      </c>
      <c r="M453" s="26">
        <f>IF($B453="","",IF(COUNTIFS(EntryDates,$B453,CalcTime,$C453,CalcBank,$C$5,EntryParty,$D453,EntryDep,$H453,EntryWit,$I453)&gt;1,"تکرار",""))</f>
        <v/>
      </c>
      <c r="N453" s="26">
        <f>IF($P453="","",IF(INDEX(EntryNotes,$P453)=0,"",INDEX(EntryNotes,$P453)))</f>
        <v/>
      </c>
      <c r="O453" s="26">
        <f>IF($P453="","",IF(INDEX(EntryTxnID,$P453)=0,"",INDEX(EntryTxnID,$P453)))</f>
        <v/>
      </c>
      <c r="P453" s="26">
        <f>IFERROR(MATCH($C$5&amp;"|"&amp;RIGHT("000000"&amp;437,6),CalcRankKey,0),"")</f>
        <v/>
      </c>
    </row>
    <row r="454">
      <c r="A454" s="28">
        <f>IF($B454="","",438)</f>
        <v/>
      </c>
      <c r="B454" s="28">
        <f>IF($P454="","",IF(INDEX(CalcNormDate,$P454)=0,"",INDEX(CalcNormDate,$P454)))</f>
        <v/>
      </c>
      <c r="C454" s="28">
        <f>IF($P454="","",IF(INDEX(CalcTime,$P454)=0,"",INDEX(CalcTime,$P454)))</f>
        <v/>
      </c>
      <c r="D454" s="28">
        <f>IF($P454="","",IF(INDEX(EntryParty,$P454)=0,"",INDEX(EntryParty,$P454)))</f>
        <v/>
      </c>
      <c r="E454" s="28">
        <f>IF($P454="","",IF(INDEX(EntryPartyName,$P454)=0,"",INDEX(EntryPartyName,$P454)))</f>
        <v/>
      </c>
      <c r="F454" s="28">
        <f>IF($P454="","",IF(INDEX(EntryPartyType,$P454)=0,"",INDEX(EntryPartyType,$P454)))</f>
        <v/>
      </c>
      <c r="G454" s="28">
        <f>IF($P454="","",IF(INDEX(EntryTxnType,$P454)=0,"",INDEX(EntryTxnType,$P454)))</f>
        <v/>
      </c>
      <c r="H454" s="29">
        <f>IF($P454="","",IF(INDEX(EntryDep,$P454)=0,"",INDEX(EntryDep,$P454)))</f>
        <v/>
      </c>
      <c r="I454" s="29">
        <f>IF($P454="","",IF(INDEX(EntryWit,$P454)=0,"",INDEX(EntryWit,$P454)))</f>
        <v/>
      </c>
      <c r="J454" s="29">
        <f>IF($B454="","",IF($A454=1,$C$7,IF(J453="",0,J453))+IF($H454="",0,$H454)-IF($I454="",0,$I454))</f>
        <v/>
      </c>
      <c r="K454" s="29">
        <f>IF($P454="","",IF(INDEX(EntryMan,$P454)=0,"",INDEX(EntryMan,$P454)))</f>
        <v/>
      </c>
      <c r="L454" s="28">
        <f>IF($B454="","",IF($K454="","—",IF(ROUND($K454-$J454,0)=0,"√","×")))</f>
        <v/>
      </c>
      <c r="M454" s="28">
        <f>IF($B454="","",IF(COUNTIFS(EntryDates,$B454,CalcTime,$C454,CalcBank,$C$5,EntryParty,$D454,EntryDep,$H454,EntryWit,$I454)&gt;1,"تکرار",""))</f>
        <v/>
      </c>
      <c r="N454" s="28">
        <f>IF($P454="","",IF(INDEX(EntryNotes,$P454)=0,"",INDEX(EntryNotes,$P454)))</f>
        <v/>
      </c>
      <c r="O454" s="28">
        <f>IF($P454="","",IF(INDEX(EntryTxnID,$P454)=0,"",INDEX(EntryTxnID,$P454)))</f>
        <v/>
      </c>
      <c r="P454" s="28">
        <f>IFERROR(MATCH($C$5&amp;"|"&amp;RIGHT("000000"&amp;438,6),CalcRankKey,0),"")</f>
        <v/>
      </c>
    </row>
    <row r="455">
      <c r="A455" s="26">
        <f>IF($B455="","",439)</f>
        <v/>
      </c>
      <c r="B455" s="26">
        <f>IF($P455="","",IF(INDEX(CalcNormDate,$P455)=0,"",INDEX(CalcNormDate,$P455)))</f>
        <v/>
      </c>
      <c r="C455" s="26">
        <f>IF($P455="","",IF(INDEX(CalcTime,$P455)=0,"",INDEX(CalcTime,$P455)))</f>
        <v/>
      </c>
      <c r="D455" s="26">
        <f>IF($P455="","",IF(INDEX(EntryParty,$P455)=0,"",INDEX(EntryParty,$P455)))</f>
        <v/>
      </c>
      <c r="E455" s="26">
        <f>IF($P455="","",IF(INDEX(EntryPartyName,$P455)=0,"",INDEX(EntryPartyName,$P455)))</f>
        <v/>
      </c>
      <c r="F455" s="26">
        <f>IF($P455="","",IF(INDEX(EntryPartyType,$P455)=0,"",INDEX(EntryPartyType,$P455)))</f>
        <v/>
      </c>
      <c r="G455" s="26">
        <f>IF($P455="","",IF(INDEX(EntryTxnType,$P455)=0,"",INDEX(EntryTxnType,$P455)))</f>
        <v/>
      </c>
      <c r="H455" s="27">
        <f>IF($P455="","",IF(INDEX(EntryDep,$P455)=0,"",INDEX(EntryDep,$P455)))</f>
        <v/>
      </c>
      <c r="I455" s="27">
        <f>IF($P455="","",IF(INDEX(EntryWit,$P455)=0,"",INDEX(EntryWit,$P455)))</f>
        <v/>
      </c>
      <c r="J455" s="27">
        <f>IF($B455="","",IF($A455=1,$C$7,IF(J454="",0,J454))+IF($H455="",0,$H455)-IF($I455="",0,$I455))</f>
        <v/>
      </c>
      <c r="K455" s="27">
        <f>IF($P455="","",IF(INDEX(EntryMan,$P455)=0,"",INDEX(EntryMan,$P455)))</f>
        <v/>
      </c>
      <c r="L455" s="26">
        <f>IF($B455="","",IF($K455="","—",IF(ROUND($K455-$J455,0)=0,"√","×")))</f>
        <v/>
      </c>
      <c r="M455" s="26">
        <f>IF($B455="","",IF(COUNTIFS(EntryDates,$B455,CalcTime,$C455,CalcBank,$C$5,EntryParty,$D455,EntryDep,$H455,EntryWit,$I455)&gt;1,"تکرار",""))</f>
        <v/>
      </c>
      <c r="N455" s="26">
        <f>IF($P455="","",IF(INDEX(EntryNotes,$P455)=0,"",INDEX(EntryNotes,$P455)))</f>
        <v/>
      </c>
      <c r="O455" s="26">
        <f>IF($P455="","",IF(INDEX(EntryTxnID,$P455)=0,"",INDEX(EntryTxnID,$P455)))</f>
        <v/>
      </c>
      <c r="P455" s="26">
        <f>IFERROR(MATCH($C$5&amp;"|"&amp;RIGHT("000000"&amp;439,6),CalcRankKey,0),"")</f>
        <v/>
      </c>
    </row>
    <row r="456">
      <c r="A456" s="28">
        <f>IF($B456="","",440)</f>
        <v/>
      </c>
      <c r="B456" s="28">
        <f>IF($P456="","",IF(INDEX(CalcNormDate,$P456)=0,"",INDEX(CalcNormDate,$P456)))</f>
        <v/>
      </c>
      <c r="C456" s="28">
        <f>IF($P456="","",IF(INDEX(CalcTime,$P456)=0,"",INDEX(CalcTime,$P456)))</f>
        <v/>
      </c>
      <c r="D456" s="28">
        <f>IF($P456="","",IF(INDEX(EntryParty,$P456)=0,"",INDEX(EntryParty,$P456)))</f>
        <v/>
      </c>
      <c r="E456" s="28">
        <f>IF($P456="","",IF(INDEX(EntryPartyName,$P456)=0,"",INDEX(EntryPartyName,$P456)))</f>
        <v/>
      </c>
      <c r="F456" s="28">
        <f>IF($P456="","",IF(INDEX(EntryPartyType,$P456)=0,"",INDEX(EntryPartyType,$P456)))</f>
        <v/>
      </c>
      <c r="G456" s="28">
        <f>IF($P456="","",IF(INDEX(EntryTxnType,$P456)=0,"",INDEX(EntryTxnType,$P456)))</f>
        <v/>
      </c>
      <c r="H456" s="29">
        <f>IF($P456="","",IF(INDEX(EntryDep,$P456)=0,"",INDEX(EntryDep,$P456)))</f>
        <v/>
      </c>
      <c r="I456" s="29">
        <f>IF($P456="","",IF(INDEX(EntryWit,$P456)=0,"",INDEX(EntryWit,$P456)))</f>
        <v/>
      </c>
      <c r="J456" s="29">
        <f>IF($B456="","",IF($A456=1,$C$7,IF(J455="",0,J455))+IF($H456="",0,$H456)-IF($I456="",0,$I456))</f>
        <v/>
      </c>
      <c r="K456" s="29">
        <f>IF($P456="","",IF(INDEX(EntryMan,$P456)=0,"",INDEX(EntryMan,$P456)))</f>
        <v/>
      </c>
      <c r="L456" s="28">
        <f>IF($B456="","",IF($K456="","—",IF(ROUND($K456-$J456,0)=0,"√","×")))</f>
        <v/>
      </c>
      <c r="M456" s="28">
        <f>IF($B456="","",IF(COUNTIFS(EntryDates,$B456,CalcTime,$C456,CalcBank,$C$5,EntryParty,$D456,EntryDep,$H456,EntryWit,$I456)&gt;1,"تکرار",""))</f>
        <v/>
      </c>
      <c r="N456" s="28">
        <f>IF($P456="","",IF(INDEX(EntryNotes,$P456)=0,"",INDEX(EntryNotes,$P456)))</f>
        <v/>
      </c>
      <c r="O456" s="28">
        <f>IF($P456="","",IF(INDEX(EntryTxnID,$P456)=0,"",INDEX(EntryTxnID,$P456)))</f>
        <v/>
      </c>
      <c r="P456" s="28">
        <f>IFERROR(MATCH($C$5&amp;"|"&amp;RIGHT("000000"&amp;440,6),CalcRankKey,0),"")</f>
        <v/>
      </c>
    </row>
    <row r="457">
      <c r="A457" s="26">
        <f>IF($B457="","",441)</f>
        <v/>
      </c>
      <c r="B457" s="26">
        <f>IF($P457="","",IF(INDEX(CalcNormDate,$P457)=0,"",INDEX(CalcNormDate,$P457)))</f>
        <v/>
      </c>
      <c r="C457" s="26">
        <f>IF($P457="","",IF(INDEX(CalcTime,$P457)=0,"",INDEX(CalcTime,$P457)))</f>
        <v/>
      </c>
      <c r="D457" s="26">
        <f>IF($P457="","",IF(INDEX(EntryParty,$P457)=0,"",INDEX(EntryParty,$P457)))</f>
        <v/>
      </c>
      <c r="E457" s="26">
        <f>IF($P457="","",IF(INDEX(EntryPartyName,$P457)=0,"",INDEX(EntryPartyName,$P457)))</f>
        <v/>
      </c>
      <c r="F457" s="26">
        <f>IF($P457="","",IF(INDEX(EntryPartyType,$P457)=0,"",INDEX(EntryPartyType,$P457)))</f>
        <v/>
      </c>
      <c r="G457" s="26">
        <f>IF($P457="","",IF(INDEX(EntryTxnType,$P457)=0,"",INDEX(EntryTxnType,$P457)))</f>
        <v/>
      </c>
      <c r="H457" s="27">
        <f>IF($P457="","",IF(INDEX(EntryDep,$P457)=0,"",INDEX(EntryDep,$P457)))</f>
        <v/>
      </c>
      <c r="I457" s="27">
        <f>IF($P457="","",IF(INDEX(EntryWit,$P457)=0,"",INDEX(EntryWit,$P457)))</f>
        <v/>
      </c>
      <c r="J457" s="27">
        <f>IF($B457="","",IF($A457=1,$C$7,IF(J456="",0,J456))+IF($H457="",0,$H457)-IF($I457="",0,$I457))</f>
        <v/>
      </c>
      <c r="K457" s="27">
        <f>IF($P457="","",IF(INDEX(EntryMan,$P457)=0,"",INDEX(EntryMan,$P457)))</f>
        <v/>
      </c>
      <c r="L457" s="26">
        <f>IF($B457="","",IF($K457="","—",IF(ROUND($K457-$J457,0)=0,"√","×")))</f>
        <v/>
      </c>
      <c r="M457" s="26">
        <f>IF($B457="","",IF(COUNTIFS(EntryDates,$B457,CalcTime,$C457,CalcBank,$C$5,EntryParty,$D457,EntryDep,$H457,EntryWit,$I457)&gt;1,"تکرار",""))</f>
        <v/>
      </c>
      <c r="N457" s="26">
        <f>IF($P457="","",IF(INDEX(EntryNotes,$P457)=0,"",INDEX(EntryNotes,$P457)))</f>
        <v/>
      </c>
      <c r="O457" s="26">
        <f>IF($P457="","",IF(INDEX(EntryTxnID,$P457)=0,"",INDEX(EntryTxnID,$P457)))</f>
        <v/>
      </c>
      <c r="P457" s="26">
        <f>IFERROR(MATCH($C$5&amp;"|"&amp;RIGHT("000000"&amp;441,6),CalcRankKey,0),"")</f>
        <v/>
      </c>
    </row>
    <row r="458">
      <c r="A458" s="28">
        <f>IF($B458="","",442)</f>
        <v/>
      </c>
      <c r="B458" s="28">
        <f>IF($P458="","",IF(INDEX(CalcNormDate,$P458)=0,"",INDEX(CalcNormDate,$P458)))</f>
        <v/>
      </c>
      <c r="C458" s="28">
        <f>IF($P458="","",IF(INDEX(CalcTime,$P458)=0,"",INDEX(CalcTime,$P458)))</f>
        <v/>
      </c>
      <c r="D458" s="28">
        <f>IF($P458="","",IF(INDEX(EntryParty,$P458)=0,"",INDEX(EntryParty,$P458)))</f>
        <v/>
      </c>
      <c r="E458" s="28">
        <f>IF($P458="","",IF(INDEX(EntryPartyName,$P458)=0,"",INDEX(EntryPartyName,$P458)))</f>
        <v/>
      </c>
      <c r="F458" s="28">
        <f>IF($P458="","",IF(INDEX(EntryPartyType,$P458)=0,"",INDEX(EntryPartyType,$P458)))</f>
        <v/>
      </c>
      <c r="G458" s="28">
        <f>IF($P458="","",IF(INDEX(EntryTxnType,$P458)=0,"",INDEX(EntryTxnType,$P458)))</f>
        <v/>
      </c>
      <c r="H458" s="29">
        <f>IF($P458="","",IF(INDEX(EntryDep,$P458)=0,"",INDEX(EntryDep,$P458)))</f>
        <v/>
      </c>
      <c r="I458" s="29">
        <f>IF($P458="","",IF(INDEX(EntryWit,$P458)=0,"",INDEX(EntryWit,$P458)))</f>
        <v/>
      </c>
      <c r="J458" s="29">
        <f>IF($B458="","",IF($A458=1,$C$7,IF(J457="",0,J457))+IF($H458="",0,$H458)-IF($I458="",0,$I458))</f>
        <v/>
      </c>
      <c r="K458" s="29">
        <f>IF($P458="","",IF(INDEX(EntryMan,$P458)=0,"",INDEX(EntryMan,$P458)))</f>
        <v/>
      </c>
      <c r="L458" s="28">
        <f>IF($B458="","",IF($K458="","—",IF(ROUND($K458-$J458,0)=0,"√","×")))</f>
        <v/>
      </c>
      <c r="M458" s="28">
        <f>IF($B458="","",IF(COUNTIFS(EntryDates,$B458,CalcTime,$C458,CalcBank,$C$5,EntryParty,$D458,EntryDep,$H458,EntryWit,$I458)&gt;1,"تکرار",""))</f>
        <v/>
      </c>
      <c r="N458" s="28">
        <f>IF($P458="","",IF(INDEX(EntryNotes,$P458)=0,"",INDEX(EntryNotes,$P458)))</f>
        <v/>
      </c>
      <c r="O458" s="28">
        <f>IF($P458="","",IF(INDEX(EntryTxnID,$P458)=0,"",INDEX(EntryTxnID,$P458)))</f>
        <v/>
      </c>
      <c r="P458" s="28">
        <f>IFERROR(MATCH($C$5&amp;"|"&amp;RIGHT("000000"&amp;442,6),CalcRankKey,0),"")</f>
        <v/>
      </c>
    </row>
    <row r="459">
      <c r="A459" s="26">
        <f>IF($B459="","",443)</f>
        <v/>
      </c>
      <c r="B459" s="26">
        <f>IF($P459="","",IF(INDEX(CalcNormDate,$P459)=0,"",INDEX(CalcNormDate,$P459)))</f>
        <v/>
      </c>
      <c r="C459" s="26">
        <f>IF($P459="","",IF(INDEX(CalcTime,$P459)=0,"",INDEX(CalcTime,$P459)))</f>
        <v/>
      </c>
      <c r="D459" s="26">
        <f>IF($P459="","",IF(INDEX(EntryParty,$P459)=0,"",INDEX(EntryParty,$P459)))</f>
        <v/>
      </c>
      <c r="E459" s="26">
        <f>IF($P459="","",IF(INDEX(EntryPartyName,$P459)=0,"",INDEX(EntryPartyName,$P459)))</f>
        <v/>
      </c>
      <c r="F459" s="26">
        <f>IF($P459="","",IF(INDEX(EntryPartyType,$P459)=0,"",INDEX(EntryPartyType,$P459)))</f>
        <v/>
      </c>
      <c r="G459" s="26">
        <f>IF($P459="","",IF(INDEX(EntryTxnType,$P459)=0,"",INDEX(EntryTxnType,$P459)))</f>
        <v/>
      </c>
      <c r="H459" s="27">
        <f>IF($P459="","",IF(INDEX(EntryDep,$P459)=0,"",INDEX(EntryDep,$P459)))</f>
        <v/>
      </c>
      <c r="I459" s="27">
        <f>IF($P459="","",IF(INDEX(EntryWit,$P459)=0,"",INDEX(EntryWit,$P459)))</f>
        <v/>
      </c>
      <c r="J459" s="27">
        <f>IF($B459="","",IF($A459=1,$C$7,IF(J458="",0,J458))+IF($H459="",0,$H459)-IF($I459="",0,$I459))</f>
        <v/>
      </c>
      <c r="K459" s="27">
        <f>IF($P459="","",IF(INDEX(EntryMan,$P459)=0,"",INDEX(EntryMan,$P459)))</f>
        <v/>
      </c>
      <c r="L459" s="26">
        <f>IF($B459="","",IF($K459="","—",IF(ROUND($K459-$J459,0)=0,"√","×")))</f>
        <v/>
      </c>
      <c r="M459" s="26">
        <f>IF($B459="","",IF(COUNTIFS(EntryDates,$B459,CalcTime,$C459,CalcBank,$C$5,EntryParty,$D459,EntryDep,$H459,EntryWit,$I459)&gt;1,"تکرار",""))</f>
        <v/>
      </c>
      <c r="N459" s="26">
        <f>IF($P459="","",IF(INDEX(EntryNotes,$P459)=0,"",INDEX(EntryNotes,$P459)))</f>
        <v/>
      </c>
      <c r="O459" s="26">
        <f>IF($P459="","",IF(INDEX(EntryTxnID,$P459)=0,"",INDEX(EntryTxnID,$P459)))</f>
        <v/>
      </c>
      <c r="P459" s="26">
        <f>IFERROR(MATCH($C$5&amp;"|"&amp;RIGHT("000000"&amp;443,6),CalcRankKey,0),"")</f>
        <v/>
      </c>
    </row>
    <row r="460">
      <c r="A460" s="28">
        <f>IF($B460="","",444)</f>
        <v/>
      </c>
      <c r="B460" s="28">
        <f>IF($P460="","",IF(INDEX(CalcNormDate,$P460)=0,"",INDEX(CalcNormDate,$P460)))</f>
        <v/>
      </c>
      <c r="C460" s="28">
        <f>IF($P460="","",IF(INDEX(CalcTime,$P460)=0,"",INDEX(CalcTime,$P460)))</f>
        <v/>
      </c>
      <c r="D460" s="28">
        <f>IF($P460="","",IF(INDEX(EntryParty,$P460)=0,"",INDEX(EntryParty,$P460)))</f>
        <v/>
      </c>
      <c r="E460" s="28">
        <f>IF($P460="","",IF(INDEX(EntryPartyName,$P460)=0,"",INDEX(EntryPartyName,$P460)))</f>
        <v/>
      </c>
      <c r="F460" s="28">
        <f>IF($P460="","",IF(INDEX(EntryPartyType,$P460)=0,"",INDEX(EntryPartyType,$P460)))</f>
        <v/>
      </c>
      <c r="G460" s="28">
        <f>IF($P460="","",IF(INDEX(EntryTxnType,$P460)=0,"",INDEX(EntryTxnType,$P460)))</f>
        <v/>
      </c>
      <c r="H460" s="29">
        <f>IF($P460="","",IF(INDEX(EntryDep,$P460)=0,"",INDEX(EntryDep,$P460)))</f>
        <v/>
      </c>
      <c r="I460" s="29">
        <f>IF($P460="","",IF(INDEX(EntryWit,$P460)=0,"",INDEX(EntryWit,$P460)))</f>
        <v/>
      </c>
      <c r="J460" s="29">
        <f>IF($B460="","",IF($A460=1,$C$7,IF(J459="",0,J459))+IF($H460="",0,$H460)-IF($I460="",0,$I460))</f>
        <v/>
      </c>
      <c r="K460" s="29">
        <f>IF($P460="","",IF(INDEX(EntryMan,$P460)=0,"",INDEX(EntryMan,$P460)))</f>
        <v/>
      </c>
      <c r="L460" s="28">
        <f>IF($B460="","",IF($K460="","—",IF(ROUND($K460-$J460,0)=0,"√","×")))</f>
        <v/>
      </c>
      <c r="M460" s="28">
        <f>IF($B460="","",IF(COUNTIFS(EntryDates,$B460,CalcTime,$C460,CalcBank,$C$5,EntryParty,$D460,EntryDep,$H460,EntryWit,$I460)&gt;1,"تکرار",""))</f>
        <v/>
      </c>
      <c r="N460" s="28">
        <f>IF($P460="","",IF(INDEX(EntryNotes,$P460)=0,"",INDEX(EntryNotes,$P460)))</f>
        <v/>
      </c>
      <c r="O460" s="28">
        <f>IF($P460="","",IF(INDEX(EntryTxnID,$P460)=0,"",INDEX(EntryTxnID,$P460)))</f>
        <v/>
      </c>
      <c r="P460" s="28">
        <f>IFERROR(MATCH($C$5&amp;"|"&amp;RIGHT("000000"&amp;444,6),CalcRankKey,0),"")</f>
        <v/>
      </c>
    </row>
    <row r="461">
      <c r="A461" s="26">
        <f>IF($B461="","",445)</f>
        <v/>
      </c>
      <c r="B461" s="26">
        <f>IF($P461="","",IF(INDEX(CalcNormDate,$P461)=0,"",INDEX(CalcNormDate,$P461)))</f>
        <v/>
      </c>
      <c r="C461" s="26">
        <f>IF($P461="","",IF(INDEX(CalcTime,$P461)=0,"",INDEX(CalcTime,$P461)))</f>
        <v/>
      </c>
      <c r="D461" s="26">
        <f>IF($P461="","",IF(INDEX(EntryParty,$P461)=0,"",INDEX(EntryParty,$P461)))</f>
        <v/>
      </c>
      <c r="E461" s="26">
        <f>IF($P461="","",IF(INDEX(EntryPartyName,$P461)=0,"",INDEX(EntryPartyName,$P461)))</f>
        <v/>
      </c>
      <c r="F461" s="26">
        <f>IF($P461="","",IF(INDEX(EntryPartyType,$P461)=0,"",INDEX(EntryPartyType,$P461)))</f>
        <v/>
      </c>
      <c r="G461" s="26">
        <f>IF($P461="","",IF(INDEX(EntryTxnType,$P461)=0,"",INDEX(EntryTxnType,$P461)))</f>
        <v/>
      </c>
      <c r="H461" s="27">
        <f>IF($P461="","",IF(INDEX(EntryDep,$P461)=0,"",INDEX(EntryDep,$P461)))</f>
        <v/>
      </c>
      <c r="I461" s="27">
        <f>IF($P461="","",IF(INDEX(EntryWit,$P461)=0,"",INDEX(EntryWit,$P461)))</f>
        <v/>
      </c>
      <c r="J461" s="27">
        <f>IF($B461="","",IF($A461=1,$C$7,IF(J460="",0,J460))+IF($H461="",0,$H461)-IF($I461="",0,$I461))</f>
        <v/>
      </c>
      <c r="K461" s="27">
        <f>IF($P461="","",IF(INDEX(EntryMan,$P461)=0,"",INDEX(EntryMan,$P461)))</f>
        <v/>
      </c>
      <c r="L461" s="26">
        <f>IF($B461="","",IF($K461="","—",IF(ROUND($K461-$J461,0)=0,"√","×")))</f>
        <v/>
      </c>
      <c r="M461" s="26">
        <f>IF($B461="","",IF(COUNTIFS(EntryDates,$B461,CalcTime,$C461,CalcBank,$C$5,EntryParty,$D461,EntryDep,$H461,EntryWit,$I461)&gt;1,"تکرار",""))</f>
        <v/>
      </c>
      <c r="N461" s="26">
        <f>IF($P461="","",IF(INDEX(EntryNotes,$P461)=0,"",INDEX(EntryNotes,$P461)))</f>
        <v/>
      </c>
      <c r="O461" s="26">
        <f>IF($P461="","",IF(INDEX(EntryTxnID,$P461)=0,"",INDEX(EntryTxnID,$P461)))</f>
        <v/>
      </c>
      <c r="P461" s="26">
        <f>IFERROR(MATCH($C$5&amp;"|"&amp;RIGHT("000000"&amp;445,6),CalcRankKey,0),"")</f>
        <v/>
      </c>
    </row>
    <row r="462">
      <c r="A462" s="28">
        <f>IF($B462="","",446)</f>
        <v/>
      </c>
      <c r="B462" s="28">
        <f>IF($P462="","",IF(INDEX(CalcNormDate,$P462)=0,"",INDEX(CalcNormDate,$P462)))</f>
        <v/>
      </c>
      <c r="C462" s="28">
        <f>IF($P462="","",IF(INDEX(CalcTime,$P462)=0,"",INDEX(CalcTime,$P462)))</f>
        <v/>
      </c>
      <c r="D462" s="28">
        <f>IF($P462="","",IF(INDEX(EntryParty,$P462)=0,"",INDEX(EntryParty,$P462)))</f>
        <v/>
      </c>
      <c r="E462" s="28">
        <f>IF($P462="","",IF(INDEX(EntryPartyName,$P462)=0,"",INDEX(EntryPartyName,$P462)))</f>
        <v/>
      </c>
      <c r="F462" s="28">
        <f>IF($P462="","",IF(INDEX(EntryPartyType,$P462)=0,"",INDEX(EntryPartyType,$P462)))</f>
        <v/>
      </c>
      <c r="G462" s="28">
        <f>IF($P462="","",IF(INDEX(EntryTxnType,$P462)=0,"",INDEX(EntryTxnType,$P462)))</f>
        <v/>
      </c>
      <c r="H462" s="29">
        <f>IF($P462="","",IF(INDEX(EntryDep,$P462)=0,"",INDEX(EntryDep,$P462)))</f>
        <v/>
      </c>
      <c r="I462" s="29">
        <f>IF($P462="","",IF(INDEX(EntryWit,$P462)=0,"",INDEX(EntryWit,$P462)))</f>
        <v/>
      </c>
      <c r="J462" s="29">
        <f>IF($B462="","",IF($A462=1,$C$7,IF(J461="",0,J461))+IF($H462="",0,$H462)-IF($I462="",0,$I462))</f>
        <v/>
      </c>
      <c r="K462" s="29">
        <f>IF($P462="","",IF(INDEX(EntryMan,$P462)=0,"",INDEX(EntryMan,$P462)))</f>
        <v/>
      </c>
      <c r="L462" s="28">
        <f>IF($B462="","",IF($K462="","—",IF(ROUND($K462-$J462,0)=0,"√","×")))</f>
        <v/>
      </c>
      <c r="M462" s="28">
        <f>IF($B462="","",IF(COUNTIFS(EntryDates,$B462,CalcTime,$C462,CalcBank,$C$5,EntryParty,$D462,EntryDep,$H462,EntryWit,$I462)&gt;1,"تکرار",""))</f>
        <v/>
      </c>
      <c r="N462" s="28">
        <f>IF($P462="","",IF(INDEX(EntryNotes,$P462)=0,"",INDEX(EntryNotes,$P462)))</f>
        <v/>
      </c>
      <c r="O462" s="28">
        <f>IF($P462="","",IF(INDEX(EntryTxnID,$P462)=0,"",INDEX(EntryTxnID,$P462)))</f>
        <v/>
      </c>
      <c r="P462" s="28">
        <f>IFERROR(MATCH($C$5&amp;"|"&amp;RIGHT("000000"&amp;446,6),CalcRankKey,0),"")</f>
        <v/>
      </c>
    </row>
    <row r="463">
      <c r="A463" s="26">
        <f>IF($B463="","",447)</f>
        <v/>
      </c>
      <c r="B463" s="26">
        <f>IF($P463="","",IF(INDEX(CalcNormDate,$P463)=0,"",INDEX(CalcNormDate,$P463)))</f>
        <v/>
      </c>
      <c r="C463" s="26">
        <f>IF($P463="","",IF(INDEX(CalcTime,$P463)=0,"",INDEX(CalcTime,$P463)))</f>
        <v/>
      </c>
      <c r="D463" s="26">
        <f>IF($P463="","",IF(INDEX(EntryParty,$P463)=0,"",INDEX(EntryParty,$P463)))</f>
        <v/>
      </c>
      <c r="E463" s="26">
        <f>IF($P463="","",IF(INDEX(EntryPartyName,$P463)=0,"",INDEX(EntryPartyName,$P463)))</f>
        <v/>
      </c>
      <c r="F463" s="26">
        <f>IF($P463="","",IF(INDEX(EntryPartyType,$P463)=0,"",INDEX(EntryPartyType,$P463)))</f>
        <v/>
      </c>
      <c r="G463" s="26">
        <f>IF($P463="","",IF(INDEX(EntryTxnType,$P463)=0,"",INDEX(EntryTxnType,$P463)))</f>
        <v/>
      </c>
      <c r="H463" s="27">
        <f>IF($P463="","",IF(INDEX(EntryDep,$P463)=0,"",INDEX(EntryDep,$P463)))</f>
        <v/>
      </c>
      <c r="I463" s="27">
        <f>IF($P463="","",IF(INDEX(EntryWit,$P463)=0,"",INDEX(EntryWit,$P463)))</f>
        <v/>
      </c>
      <c r="J463" s="27">
        <f>IF($B463="","",IF($A463=1,$C$7,IF(J462="",0,J462))+IF($H463="",0,$H463)-IF($I463="",0,$I463))</f>
        <v/>
      </c>
      <c r="K463" s="27">
        <f>IF($P463="","",IF(INDEX(EntryMan,$P463)=0,"",INDEX(EntryMan,$P463)))</f>
        <v/>
      </c>
      <c r="L463" s="26">
        <f>IF($B463="","",IF($K463="","—",IF(ROUND($K463-$J463,0)=0,"√","×")))</f>
        <v/>
      </c>
      <c r="M463" s="26">
        <f>IF($B463="","",IF(COUNTIFS(EntryDates,$B463,CalcTime,$C463,CalcBank,$C$5,EntryParty,$D463,EntryDep,$H463,EntryWit,$I463)&gt;1,"تکرار",""))</f>
        <v/>
      </c>
      <c r="N463" s="26">
        <f>IF($P463="","",IF(INDEX(EntryNotes,$P463)=0,"",INDEX(EntryNotes,$P463)))</f>
        <v/>
      </c>
      <c r="O463" s="26">
        <f>IF($P463="","",IF(INDEX(EntryTxnID,$P463)=0,"",INDEX(EntryTxnID,$P463)))</f>
        <v/>
      </c>
      <c r="P463" s="26">
        <f>IFERROR(MATCH($C$5&amp;"|"&amp;RIGHT("000000"&amp;447,6),CalcRankKey,0),"")</f>
        <v/>
      </c>
    </row>
    <row r="464">
      <c r="A464" s="28">
        <f>IF($B464="","",448)</f>
        <v/>
      </c>
      <c r="B464" s="28">
        <f>IF($P464="","",IF(INDEX(CalcNormDate,$P464)=0,"",INDEX(CalcNormDate,$P464)))</f>
        <v/>
      </c>
      <c r="C464" s="28">
        <f>IF($P464="","",IF(INDEX(CalcTime,$P464)=0,"",INDEX(CalcTime,$P464)))</f>
        <v/>
      </c>
      <c r="D464" s="28">
        <f>IF($P464="","",IF(INDEX(EntryParty,$P464)=0,"",INDEX(EntryParty,$P464)))</f>
        <v/>
      </c>
      <c r="E464" s="28">
        <f>IF($P464="","",IF(INDEX(EntryPartyName,$P464)=0,"",INDEX(EntryPartyName,$P464)))</f>
        <v/>
      </c>
      <c r="F464" s="28">
        <f>IF($P464="","",IF(INDEX(EntryPartyType,$P464)=0,"",INDEX(EntryPartyType,$P464)))</f>
        <v/>
      </c>
      <c r="G464" s="28">
        <f>IF($P464="","",IF(INDEX(EntryTxnType,$P464)=0,"",INDEX(EntryTxnType,$P464)))</f>
        <v/>
      </c>
      <c r="H464" s="29">
        <f>IF($P464="","",IF(INDEX(EntryDep,$P464)=0,"",INDEX(EntryDep,$P464)))</f>
        <v/>
      </c>
      <c r="I464" s="29">
        <f>IF($P464="","",IF(INDEX(EntryWit,$P464)=0,"",INDEX(EntryWit,$P464)))</f>
        <v/>
      </c>
      <c r="J464" s="29">
        <f>IF($B464="","",IF($A464=1,$C$7,IF(J463="",0,J463))+IF($H464="",0,$H464)-IF($I464="",0,$I464))</f>
        <v/>
      </c>
      <c r="K464" s="29">
        <f>IF($P464="","",IF(INDEX(EntryMan,$P464)=0,"",INDEX(EntryMan,$P464)))</f>
        <v/>
      </c>
      <c r="L464" s="28">
        <f>IF($B464="","",IF($K464="","—",IF(ROUND($K464-$J464,0)=0,"√","×")))</f>
        <v/>
      </c>
      <c r="M464" s="28">
        <f>IF($B464="","",IF(COUNTIFS(EntryDates,$B464,CalcTime,$C464,CalcBank,$C$5,EntryParty,$D464,EntryDep,$H464,EntryWit,$I464)&gt;1,"تکرار",""))</f>
        <v/>
      </c>
      <c r="N464" s="28">
        <f>IF($P464="","",IF(INDEX(EntryNotes,$P464)=0,"",INDEX(EntryNotes,$P464)))</f>
        <v/>
      </c>
      <c r="O464" s="28">
        <f>IF($P464="","",IF(INDEX(EntryTxnID,$P464)=0,"",INDEX(EntryTxnID,$P464)))</f>
        <v/>
      </c>
      <c r="P464" s="28">
        <f>IFERROR(MATCH($C$5&amp;"|"&amp;RIGHT("000000"&amp;448,6),CalcRankKey,0),"")</f>
        <v/>
      </c>
    </row>
    <row r="465">
      <c r="A465" s="26">
        <f>IF($B465="","",449)</f>
        <v/>
      </c>
      <c r="B465" s="26">
        <f>IF($P465="","",IF(INDEX(CalcNormDate,$P465)=0,"",INDEX(CalcNormDate,$P465)))</f>
        <v/>
      </c>
      <c r="C465" s="26">
        <f>IF($P465="","",IF(INDEX(CalcTime,$P465)=0,"",INDEX(CalcTime,$P465)))</f>
        <v/>
      </c>
      <c r="D465" s="26">
        <f>IF($P465="","",IF(INDEX(EntryParty,$P465)=0,"",INDEX(EntryParty,$P465)))</f>
        <v/>
      </c>
      <c r="E465" s="26">
        <f>IF($P465="","",IF(INDEX(EntryPartyName,$P465)=0,"",INDEX(EntryPartyName,$P465)))</f>
        <v/>
      </c>
      <c r="F465" s="26">
        <f>IF($P465="","",IF(INDEX(EntryPartyType,$P465)=0,"",INDEX(EntryPartyType,$P465)))</f>
        <v/>
      </c>
      <c r="G465" s="26">
        <f>IF($P465="","",IF(INDEX(EntryTxnType,$P465)=0,"",INDEX(EntryTxnType,$P465)))</f>
        <v/>
      </c>
      <c r="H465" s="27">
        <f>IF($P465="","",IF(INDEX(EntryDep,$P465)=0,"",INDEX(EntryDep,$P465)))</f>
        <v/>
      </c>
      <c r="I465" s="27">
        <f>IF($P465="","",IF(INDEX(EntryWit,$P465)=0,"",INDEX(EntryWit,$P465)))</f>
        <v/>
      </c>
      <c r="J465" s="27">
        <f>IF($B465="","",IF($A465=1,$C$7,IF(J464="",0,J464))+IF($H465="",0,$H465)-IF($I465="",0,$I465))</f>
        <v/>
      </c>
      <c r="K465" s="27">
        <f>IF($P465="","",IF(INDEX(EntryMan,$P465)=0,"",INDEX(EntryMan,$P465)))</f>
        <v/>
      </c>
      <c r="L465" s="26">
        <f>IF($B465="","",IF($K465="","—",IF(ROUND($K465-$J465,0)=0,"√","×")))</f>
        <v/>
      </c>
      <c r="M465" s="26">
        <f>IF($B465="","",IF(COUNTIFS(EntryDates,$B465,CalcTime,$C465,CalcBank,$C$5,EntryParty,$D465,EntryDep,$H465,EntryWit,$I465)&gt;1,"تکرار",""))</f>
        <v/>
      </c>
      <c r="N465" s="26">
        <f>IF($P465="","",IF(INDEX(EntryNotes,$P465)=0,"",INDEX(EntryNotes,$P465)))</f>
        <v/>
      </c>
      <c r="O465" s="26">
        <f>IF($P465="","",IF(INDEX(EntryTxnID,$P465)=0,"",INDEX(EntryTxnID,$P465)))</f>
        <v/>
      </c>
      <c r="P465" s="26">
        <f>IFERROR(MATCH($C$5&amp;"|"&amp;RIGHT("000000"&amp;449,6),CalcRankKey,0),"")</f>
        <v/>
      </c>
    </row>
    <row r="466">
      <c r="A466" s="28">
        <f>IF($B466="","",450)</f>
        <v/>
      </c>
      <c r="B466" s="28">
        <f>IF($P466="","",IF(INDEX(CalcNormDate,$P466)=0,"",INDEX(CalcNormDate,$P466)))</f>
        <v/>
      </c>
      <c r="C466" s="28">
        <f>IF($P466="","",IF(INDEX(CalcTime,$P466)=0,"",INDEX(CalcTime,$P466)))</f>
        <v/>
      </c>
      <c r="D466" s="28">
        <f>IF($P466="","",IF(INDEX(EntryParty,$P466)=0,"",INDEX(EntryParty,$P466)))</f>
        <v/>
      </c>
      <c r="E466" s="28">
        <f>IF($P466="","",IF(INDEX(EntryPartyName,$P466)=0,"",INDEX(EntryPartyName,$P466)))</f>
        <v/>
      </c>
      <c r="F466" s="28">
        <f>IF($P466="","",IF(INDEX(EntryPartyType,$P466)=0,"",INDEX(EntryPartyType,$P466)))</f>
        <v/>
      </c>
      <c r="G466" s="28">
        <f>IF($P466="","",IF(INDEX(EntryTxnType,$P466)=0,"",INDEX(EntryTxnType,$P466)))</f>
        <v/>
      </c>
      <c r="H466" s="29">
        <f>IF($P466="","",IF(INDEX(EntryDep,$P466)=0,"",INDEX(EntryDep,$P466)))</f>
        <v/>
      </c>
      <c r="I466" s="29">
        <f>IF($P466="","",IF(INDEX(EntryWit,$P466)=0,"",INDEX(EntryWit,$P466)))</f>
        <v/>
      </c>
      <c r="J466" s="29">
        <f>IF($B466="","",IF($A466=1,$C$7,IF(J465="",0,J465))+IF($H466="",0,$H466)-IF($I466="",0,$I466))</f>
        <v/>
      </c>
      <c r="K466" s="29">
        <f>IF($P466="","",IF(INDEX(EntryMan,$P466)=0,"",INDEX(EntryMan,$P466)))</f>
        <v/>
      </c>
      <c r="L466" s="28">
        <f>IF($B466="","",IF($K466="","—",IF(ROUND($K466-$J466,0)=0,"√","×")))</f>
        <v/>
      </c>
      <c r="M466" s="28">
        <f>IF($B466="","",IF(COUNTIFS(EntryDates,$B466,CalcTime,$C466,CalcBank,$C$5,EntryParty,$D466,EntryDep,$H466,EntryWit,$I466)&gt;1,"تکرار",""))</f>
        <v/>
      </c>
      <c r="N466" s="28">
        <f>IF($P466="","",IF(INDEX(EntryNotes,$P466)=0,"",INDEX(EntryNotes,$P466)))</f>
        <v/>
      </c>
      <c r="O466" s="28">
        <f>IF($P466="","",IF(INDEX(EntryTxnID,$P466)=0,"",INDEX(EntryTxnID,$P466)))</f>
        <v/>
      </c>
      <c r="P466" s="28">
        <f>IFERROR(MATCH($C$5&amp;"|"&amp;RIGHT("000000"&amp;450,6),CalcRankKey,0),"")</f>
        <v/>
      </c>
    </row>
    <row r="467">
      <c r="A467" s="26">
        <f>IF($B467="","",451)</f>
        <v/>
      </c>
      <c r="B467" s="26">
        <f>IF($P467="","",IF(INDEX(CalcNormDate,$P467)=0,"",INDEX(CalcNormDate,$P467)))</f>
        <v/>
      </c>
      <c r="C467" s="26">
        <f>IF($P467="","",IF(INDEX(CalcTime,$P467)=0,"",INDEX(CalcTime,$P467)))</f>
        <v/>
      </c>
      <c r="D467" s="26">
        <f>IF($P467="","",IF(INDEX(EntryParty,$P467)=0,"",INDEX(EntryParty,$P467)))</f>
        <v/>
      </c>
      <c r="E467" s="26">
        <f>IF($P467="","",IF(INDEX(EntryPartyName,$P467)=0,"",INDEX(EntryPartyName,$P467)))</f>
        <v/>
      </c>
      <c r="F467" s="26">
        <f>IF($P467="","",IF(INDEX(EntryPartyType,$P467)=0,"",INDEX(EntryPartyType,$P467)))</f>
        <v/>
      </c>
      <c r="G467" s="26">
        <f>IF($P467="","",IF(INDEX(EntryTxnType,$P467)=0,"",INDEX(EntryTxnType,$P467)))</f>
        <v/>
      </c>
      <c r="H467" s="27">
        <f>IF($P467="","",IF(INDEX(EntryDep,$P467)=0,"",INDEX(EntryDep,$P467)))</f>
        <v/>
      </c>
      <c r="I467" s="27">
        <f>IF($P467="","",IF(INDEX(EntryWit,$P467)=0,"",INDEX(EntryWit,$P467)))</f>
        <v/>
      </c>
      <c r="J467" s="27">
        <f>IF($B467="","",IF($A467=1,$C$7,IF(J466="",0,J466))+IF($H467="",0,$H467)-IF($I467="",0,$I467))</f>
        <v/>
      </c>
      <c r="K467" s="27">
        <f>IF($P467="","",IF(INDEX(EntryMan,$P467)=0,"",INDEX(EntryMan,$P467)))</f>
        <v/>
      </c>
      <c r="L467" s="26">
        <f>IF($B467="","",IF($K467="","—",IF(ROUND($K467-$J467,0)=0,"√","×")))</f>
        <v/>
      </c>
      <c r="M467" s="26">
        <f>IF($B467="","",IF(COUNTIFS(EntryDates,$B467,CalcTime,$C467,CalcBank,$C$5,EntryParty,$D467,EntryDep,$H467,EntryWit,$I467)&gt;1,"تکرار",""))</f>
        <v/>
      </c>
      <c r="N467" s="26">
        <f>IF($P467="","",IF(INDEX(EntryNotes,$P467)=0,"",INDEX(EntryNotes,$P467)))</f>
        <v/>
      </c>
      <c r="O467" s="26">
        <f>IF($P467="","",IF(INDEX(EntryTxnID,$P467)=0,"",INDEX(EntryTxnID,$P467)))</f>
        <v/>
      </c>
      <c r="P467" s="26">
        <f>IFERROR(MATCH($C$5&amp;"|"&amp;RIGHT("000000"&amp;451,6),CalcRankKey,0),"")</f>
        <v/>
      </c>
    </row>
    <row r="468">
      <c r="A468" s="28">
        <f>IF($B468="","",452)</f>
        <v/>
      </c>
      <c r="B468" s="28">
        <f>IF($P468="","",IF(INDEX(CalcNormDate,$P468)=0,"",INDEX(CalcNormDate,$P468)))</f>
        <v/>
      </c>
      <c r="C468" s="28">
        <f>IF($P468="","",IF(INDEX(CalcTime,$P468)=0,"",INDEX(CalcTime,$P468)))</f>
        <v/>
      </c>
      <c r="D468" s="28">
        <f>IF($P468="","",IF(INDEX(EntryParty,$P468)=0,"",INDEX(EntryParty,$P468)))</f>
        <v/>
      </c>
      <c r="E468" s="28">
        <f>IF($P468="","",IF(INDEX(EntryPartyName,$P468)=0,"",INDEX(EntryPartyName,$P468)))</f>
        <v/>
      </c>
      <c r="F468" s="28">
        <f>IF($P468="","",IF(INDEX(EntryPartyType,$P468)=0,"",INDEX(EntryPartyType,$P468)))</f>
        <v/>
      </c>
      <c r="G468" s="28">
        <f>IF($P468="","",IF(INDEX(EntryTxnType,$P468)=0,"",INDEX(EntryTxnType,$P468)))</f>
        <v/>
      </c>
      <c r="H468" s="29">
        <f>IF($P468="","",IF(INDEX(EntryDep,$P468)=0,"",INDEX(EntryDep,$P468)))</f>
        <v/>
      </c>
      <c r="I468" s="29">
        <f>IF($P468="","",IF(INDEX(EntryWit,$P468)=0,"",INDEX(EntryWit,$P468)))</f>
        <v/>
      </c>
      <c r="J468" s="29">
        <f>IF($B468="","",IF($A468=1,$C$7,IF(J467="",0,J467))+IF($H468="",0,$H468)-IF($I468="",0,$I468))</f>
        <v/>
      </c>
      <c r="K468" s="29">
        <f>IF($P468="","",IF(INDEX(EntryMan,$P468)=0,"",INDEX(EntryMan,$P468)))</f>
        <v/>
      </c>
      <c r="L468" s="28">
        <f>IF($B468="","",IF($K468="","—",IF(ROUND($K468-$J468,0)=0,"√","×")))</f>
        <v/>
      </c>
      <c r="M468" s="28">
        <f>IF($B468="","",IF(COUNTIFS(EntryDates,$B468,CalcTime,$C468,CalcBank,$C$5,EntryParty,$D468,EntryDep,$H468,EntryWit,$I468)&gt;1,"تکرار",""))</f>
        <v/>
      </c>
      <c r="N468" s="28">
        <f>IF($P468="","",IF(INDEX(EntryNotes,$P468)=0,"",INDEX(EntryNotes,$P468)))</f>
        <v/>
      </c>
      <c r="O468" s="28">
        <f>IF($P468="","",IF(INDEX(EntryTxnID,$P468)=0,"",INDEX(EntryTxnID,$P468)))</f>
        <v/>
      </c>
      <c r="P468" s="28">
        <f>IFERROR(MATCH($C$5&amp;"|"&amp;RIGHT("000000"&amp;452,6),CalcRankKey,0),"")</f>
        <v/>
      </c>
    </row>
    <row r="469">
      <c r="A469" s="26">
        <f>IF($B469="","",453)</f>
        <v/>
      </c>
      <c r="B469" s="26">
        <f>IF($P469="","",IF(INDEX(CalcNormDate,$P469)=0,"",INDEX(CalcNormDate,$P469)))</f>
        <v/>
      </c>
      <c r="C469" s="26">
        <f>IF($P469="","",IF(INDEX(CalcTime,$P469)=0,"",INDEX(CalcTime,$P469)))</f>
        <v/>
      </c>
      <c r="D469" s="26">
        <f>IF($P469="","",IF(INDEX(EntryParty,$P469)=0,"",INDEX(EntryParty,$P469)))</f>
        <v/>
      </c>
      <c r="E469" s="26">
        <f>IF($P469="","",IF(INDEX(EntryPartyName,$P469)=0,"",INDEX(EntryPartyName,$P469)))</f>
        <v/>
      </c>
      <c r="F469" s="26">
        <f>IF($P469="","",IF(INDEX(EntryPartyType,$P469)=0,"",INDEX(EntryPartyType,$P469)))</f>
        <v/>
      </c>
      <c r="G469" s="26">
        <f>IF($P469="","",IF(INDEX(EntryTxnType,$P469)=0,"",INDEX(EntryTxnType,$P469)))</f>
        <v/>
      </c>
      <c r="H469" s="27">
        <f>IF($P469="","",IF(INDEX(EntryDep,$P469)=0,"",INDEX(EntryDep,$P469)))</f>
        <v/>
      </c>
      <c r="I469" s="27">
        <f>IF($P469="","",IF(INDEX(EntryWit,$P469)=0,"",INDEX(EntryWit,$P469)))</f>
        <v/>
      </c>
      <c r="J469" s="27">
        <f>IF($B469="","",IF($A469=1,$C$7,IF(J468="",0,J468))+IF($H469="",0,$H469)-IF($I469="",0,$I469))</f>
        <v/>
      </c>
      <c r="K469" s="27">
        <f>IF($P469="","",IF(INDEX(EntryMan,$P469)=0,"",INDEX(EntryMan,$P469)))</f>
        <v/>
      </c>
      <c r="L469" s="26">
        <f>IF($B469="","",IF($K469="","—",IF(ROUND($K469-$J469,0)=0,"√","×")))</f>
        <v/>
      </c>
      <c r="M469" s="26">
        <f>IF($B469="","",IF(COUNTIFS(EntryDates,$B469,CalcTime,$C469,CalcBank,$C$5,EntryParty,$D469,EntryDep,$H469,EntryWit,$I469)&gt;1,"تکرار",""))</f>
        <v/>
      </c>
      <c r="N469" s="26">
        <f>IF($P469="","",IF(INDEX(EntryNotes,$P469)=0,"",INDEX(EntryNotes,$P469)))</f>
        <v/>
      </c>
      <c r="O469" s="26">
        <f>IF($P469="","",IF(INDEX(EntryTxnID,$P469)=0,"",INDEX(EntryTxnID,$P469)))</f>
        <v/>
      </c>
      <c r="P469" s="26">
        <f>IFERROR(MATCH($C$5&amp;"|"&amp;RIGHT("000000"&amp;453,6),CalcRankKey,0),"")</f>
        <v/>
      </c>
    </row>
    <row r="470">
      <c r="A470" s="28">
        <f>IF($B470="","",454)</f>
        <v/>
      </c>
      <c r="B470" s="28">
        <f>IF($P470="","",IF(INDEX(CalcNormDate,$P470)=0,"",INDEX(CalcNormDate,$P470)))</f>
        <v/>
      </c>
      <c r="C470" s="28">
        <f>IF($P470="","",IF(INDEX(CalcTime,$P470)=0,"",INDEX(CalcTime,$P470)))</f>
        <v/>
      </c>
      <c r="D470" s="28">
        <f>IF($P470="","",IF(INDEX(EntryParty,$P470)=0,"",INDEX(EntryParty,$P470)))</f>
        <v/>
      </c>
      <c r="E470" s="28">
        <f>IF($P470="","",IF(INDEX(EntryPartyName,$P470)=0,"",INDEX(EntryPartyName,$P470)))</f>
        <v/>
      </c>
      <c r="F470" s="28">
        <f>IF($P470="","",IF(INDEX(EntryPartyType,$P470)=0,"",INDEX(EntryPartyType,$P470)))</f>
        <v/>
      </c>
      <c r="G470" s="28">
        <f>IF($P470="","",IF(INDEX(EntryTxnType,$P470)=0,"",INDEX(EntryTxnType,$P470)))</f>
        <v/>
      </c>
      <c r="H470" s="29">
        <f>IF($P470="","",IF(INDEX(EntryDep,$P470)=0,"",INDEX(EntryDep,$P470)))</f>
        <v/>
      </c>
      <c r="I470" s="29">
        <f>IF($P470="","",IF(INDEX(EntryWit,$P470)=0,"",INDEX(EntryWit,$P470)))</f>
        <v/>
      </c>
      <c r="J470" s="29">
        <f>IF($B470="","",IF($A470=1,$C$7,IF(J469="",0,J469))+IF($H470="",0,$H470)-IF($I470="",0,$I470))</f>
        <v/>
      </c>
      <c r="K470" s="29">
        <f>IF($P470="","",IF(INDEX(EntryMan,$P470)=0,"",INDEX(EntryMan,$P470)))</f>
        <v/>
      </c>
      <c r="L470" s="28">
        <f>IF($B470="","",IF($K470="","—",IF(ROUND($K470-$J470,0)=0,"√","×")))</f>
        <v/>
      </c>
      <c r="M470" s="28">
        <f>IF($B470="","",IF(COUNTIFS(EntryDates,$B470,CalcTime,$C470,CalcBank,$C$5,EntryParty,$D470,EntryDep,$H470,EntryWit,$I470)&gt;1,"تکرار",""))</f>
        <v/>
      </c>
      <c r="N470" s="28">
        <f>IF($P470="","",IF(INDEX(EntryNotes,$P470)=0,"",INDEX(EntryNotes,$P470)))</f>
        <v/>
      </c>
      <c r="O470" s="28">
        <f>IF($P470="","",IF(INDEX(EntryTxnID,$P470)=0,"",INDEX(EntryTxnID,$P470)))</f>
        <v/>
      </c>
      <c r="P470" s="28">
        <f>IFERROR(MATCH($C$5&amp;"|"&amp;RIGHT("000000"&amp;454,6),CalcRankKey,0),"")</f>
        <v/>
      </c>
    </row>
    <row r="471">
      <c r="A471" s="26">
        <f>IF($B471="","",455)</f>
        <v/>
      </c>
      <c r="B471" s="26">
        <f>IF($P471="","",IF(INDEX(CalcNormDate,$P471)=0,"",INDEX(CalcNormDate,$P471)))</f>
        <v/>
      </c>
      <c r="C471" s="26">
        <f>IF($P471="","",IF(INDEX(CalcTime,$P471)=0,"",INDEX(CalcTime,$P471)))</f>
        <v/>
      </c>
      <c r="D471" s="26">
        <f>IF($P471="","",IF(INDEX(EntryParty,$P471)=0,"",INDEX(EntryParty,$P471)))</f>
        <v/>
      </c>
      <c r="E471" s="26">
        <f>IF($P471="","",IF(INDEX(EntryPartyName,$P471)=0,"",INDEX(EntryPartyName,$P471)))</f>
        <v/>
      </c>
      <c r="F471" s="26">
        <f>IF($P471="","",IF(INDEX(EntryPartyType,$P471)=0,"",INDEX(EntryPartyType,$P471)))</f>
        <v/>
      </c>
      <c r="G471" s="26">
        <f>IF($P471="","",IF(INDEX(EntryTxnType,$P471)=0,"",INDEX(EntryTxnType,$P471)))</f>
        <v/>
      </c>
      <c r="H471" s="27">
        <f>IF($P471="","",IF(INDEX(EntryDep,$P471)=0,"",INDEX(EntryDep,$P471)))</f>
        <v/>
      </c>
      <c r="I471" s="27">
        <f>IF($P471="","",IF(INDEX(EntryWit,$P471)=0,"",INDEX(EntryWit,$P471)))</f>
        <v/>
      </c>
      <c r="J471" s="27">
        <f>IF($B471="","",IF($A471=1,$C$7,IF(J470="",0,J470))+IF($H471="",0,$H471)-IF($I471="",0,$I471))</f>
        <v/>
      </c>
      <c r="K471" s="27">
        <f>IF($P471="","",IF(INDEX(EntryMan,$P471)=0,"",INDEX(EntryMan,$P471)))</f>
        <v/>
      </c>
      <c r="L471" s="26">
        <f>IF($B471="","",IF($K471="","—",IF(ROUND($K471-$J471,0)=0,"√","×")))</f>
        <v/>
      </c>
      <c r="M471" s="26">
        <f>IF($B471="","",IF(COUNTIFS(EntryDates,$B471,CalcTime,$C471,CalcBank,$C$5,EntryParty,$D471,EntryDep,$H471,EntryWit,$I471)&gt;1,"تکرار",""))</f>
        <v/>
      </c>
      <c r="N471" s="26">
        <f>IF($P471="","",IF(INDEX(EntryNotes,$P471)=0,"",INDEX(EntryNotes,$P471)))</f>
        <v/>
      </c>
      <c r="O471" s="26">
        <f>IF($P471="","",IF(INDEX(EntryTxnID,$P471)=0,"",INDEX(EntryTxnID,$P471)))</f>
        <v/>
      </c>
      <c r="P471" s="26">
        <f>IFERROR(MATCH($C$5&amp;"|"&amp;RIGHT("000000"&amp;455,6),CalcRankKey,0),"")</f>
        <v/>
      </c>
    </row>
    <row r="472">
      <c r="A472" s="28">
        <f>IF($B472="","",456)</f>
        <v/>
      </c>
      <c r="B472" s="28">
        <f>IF($P472="","",IF(INDEX(CalcNormDate,$P472)=0,"",INDEX(CalcNormDate,$P472)))</f>
        <v/>
      </c>
      <c r="C472" s="28">
        <f>IF($P472="","",IF(INDEX(CalcTime,$P472)=0,"",INDEX(CalcTime,$P472)))</f>
        <v/>
      </c>
      <c r="D472" s="28">
        <f>IF($P472="","",IF(INDEX(EntryParty,$P472)=0,"",INDEX(EntryParty,$P472)))</f>
        <v/>
      </c>
      <c r="E472" s="28">
        <f>IF($P472="","",IF(INDEX(EntryPartyName,$P472)=0,"",INDEX(EntryPartyName,$P472)))</f>
        <v/>
      </c>
      <c r="F472" s="28">
        <f>IF($P472="","",IF(INDEX(EntryPartyType,$P472)=0,"",INDEX(EntryPartyType,$P472)))</f>
        <v/>
      </c>
      <c r="G472" s="28">
        <f>IF($P472="","",IF(INDEX(EntryTxnType,$P472)=0,"",INDEX(EntryTxnType,$P472)))</f>
        <v/>
      </c>
      <c r="H472" s="29">
        <f>IF($P472="","",IF(INDEX(EntryDep,$P472)=0,"",INDEX(EntryDep,$P472)))</f>
        <v/>
      </c>
      <c r="I472" s="29">
        <f>IF($P472="","",IF(INDEX(EntryWit,$P472)=0,"",INDEX(EntryWit,$P472)))</f>
        <v/>
      </c>
      <c r="J472" s="29">
        <f>IF($B472="","",IF($A472=1,$C$7,IF(J471="",0,J471))+IF($H472="",0,$H472)-IF($I472="",0,$I472))</f>
        <v/>
      </c>
      <c r="K472" s="29">
        <f>IF($P472="","",IF(INDEX(EntryMan,$P472)=0,"",INDEX(EntryMan,$P472)))</f>
        <v/>
      </c>
      <c r="L472" s="28">
        <f>IF($B472="","",IF($K472="","—",IF(ROUND($K472-$J472,0)=0,"√","×")))</f>
        <v/>
      </c>
      <c r="M472" s="28">
        <f>IF($B472="","",IF(COUNTIFS(EntryDates,$B472,CalcTime,$C472,CalcBank,$C$5,EntryParty,$D472,EntryDep,$H472,EntryWit,$I472)&gt;1,"تکرار",""))</f>
        <v/>
      </c>
      <c r="N472" s="28">
        <f>IF($P472="","",IF(INDEX(EntryNotes,$P472)=0,"",INDEX(EntryNotes,$P472)))</f>
        <v/>
      </c>
      <c r="O472" s="28">
        <f>IF($P472="","",IF(INDEX(EntryTxnID,$P472)=0,"",INDEX(EntryTxnID,$P472)))</f>
        <v/>
      </c>
      <c r="P472" s="28">
        <f>IFERROR(MATCH($C$5&amp;"|"&amp;RIGHT("000000"&amp;456,6),CalcRankKey,0),"")</f>
        <v/>
      </c>
    </row>
    <row r="473">
      <c r="A473" s="26">
        <f>IF($B473="","",457)</f>
        <v/>
      </c>
      <c r="B473" s="26">
        <f>IF($P473="","",IF(INDEX(CalcNormDate,$P473)=0,"",INDEX(CalcNormDate,$P473)))</f>
        <v/>
      </c>
      <c r="C473" s="26">
        <f>IF($P473="","",IF(INDEX(CalcTime,$P473)=0,"",INDEX(CalcTime,$P473)))</f>
        <v/>
      </c>
      <c r="D473" s="26">
        <f>IF($P473="","",IF(INDEX(EntryParty,$P473)=0,"",INDEX(EntryParty,$P473)))</f>
        <v/>
      </c>
      <c r="E473" s="26">
        <f>IF($P473="","",IF(INDEX(EntryPartyName,$P473)=0,"",INDEX(EntryPartyName,$P473)))</f>
        <v/>
      </c>
      <c r="F473" s="26">
        <f>IF($P473="","",IF(INDEX(EntryPartyType,$P473)=0,"",INDEX(EntryPartyType,$P473)))</f>
        <v/>
      </c>
      <c r="G473" s="26">
        <f>IF($P473="","",IF(INDEX(EntryTxnType,$P473)=0,"",INDEX(EntryTxnType,$P473)))</f>
        <v/>
      </c>
      <c r="H473" s="27">
        <f>IF($P473="","",IF(INDEX(EntryDep,$P473)=0,"",INDEX(EntryDep,$P473)))</f>
        <v/>
      </c>
      <c r="I473" s="27">
        <f>IF($P473="","",IF(INDEX(EntryWit,$P473)=0,"",INDEX(EntryWit,$P473)))</f>
        <v/>
      </c>
      <c r="J473" s="27">
        <f>IF($B473="","",IF($A473=1,$C$7,IF(J472="",0,J472))+IF($H473="",0,$H473)-IF($I473="",0,$I473))</f>
        <v/>
      </c>
      <c r="K473" s="27">
        <f>IF($P473="","",IF(INDEX(EntryMan,$P473)=0,"",INDEX(EntryMan,$P473)))</f>
        <v/>
      </c>
      <c r="L473" s="26">
        <f>IF($B473="","",IF($K473="","—",IF(ROUND($K473-$J473,0)=0,"√","×")))</f>
        <v/>
      </c>
      <c r="M473" s="26">
        <f>IF($B473="","",IF(COUNTIFS(EntryDates,$B473,CalcTime,$C473,CalcBank,$C$5,EntryParty,$D473,EntryDep,$H473,EntryWit,$I473)&gt;1,"تکرار",""))</f>
        <v/>
      </c>
      <c r="N473" s="26">
        <f>IF($P473="","",IF(INDEX(EntryNotes,$P473)=0,"",INDEX(EntryNotes,$P473)))</f>
        <v/>
      </c>
      <c r="O473" s="26">
        <f>IF($P473="","",IF(INDEX(EntryTxnID,$P473)=0,"",INDEX(EntryTxnID,$P473)))</f>
        <v/>
      </c>
      <c r="P473" s="26">
        <f>IFERROR(MATCH($C$5&amp;"|"&amp;RIGHT("000000"&amp;457,6),CalcRankKey,0),"")</f>
        <v/>
      </c>
    </row>
    <row r="474">
      <c r="A474" s="28">
        <f>IF($B474="","",458)</f>
        <v/>
      </c>
      <c r="B474" s="28">
        <f>IF($P474="","",IF(INDEX(CalcNormDate,$P474)=0,"",INDEX(CalcNormDate,$P474)))</f>
        <v/>
      </c>
      <c r="C474" s="28">
        <f>IF($P474="","",IF(INDEX(CalcTime,$P474)=0,"",INDEX(CalcTime,$P474)))</f>
        <v/>
      </c>
      <c r="D474" s="28">
        <f>IF($P474="","",IF(INDEX(EntryParty,$P474)=0,"",INDEX(EntryParty,$P474)))</f>
        <v/>
      </c>
      <c r="E474" s="28">
        <f>IF($P474="","",IF(INDEX(EntryPartyName,$P474)=0,"",INDEX(EntryPartyName,$P474)))</f>
        <v/>
      </c>
      <c r="F474" s="28">
        <f>IF($P474="","",IF(INDEX(EntryPartyType,$P474)=0,"",INDEX(EntryPartyType,$P474)))</f>
        <v/>
      </c>
      <c r="G474" s="28">
        <f>IF($P474="","",IF(INDEX(EntryTxnType,$P474)=0,"",INDEX(EntryTxnType,$P474)))</f>
        <v/>
      </c>
      <c r="H474" s="29">
        <f>IF($P474="","",IF(INDEX(EntryDep,$P474)=0,"",INDEX(EntryDep,$P474)))</f>
        <v/>
      </c>
      <c r="I474" s="29">
        <f>IF($P474="","",IF(INDEX(EntryWit,$P474)=0,"",INDEX(EntryWit,$P474)))</f>
        <v/>
      </c>
      <c r="J474" s="29">
        <f>IF($B474="","",IF($A474=1,$C$7,IF(J473="",0,J473))+IF($H474="",0,$H474)-IF($I474="",0,$I474))</f>
        <v/>
      </c>
      <c r="K474" s="29">
        <f>IF($P474="","",IF(INDEX(EntryMan,$P474)=0,"",INDEX(EntryMan,$P474)))</f>
        <v/>
      </c>
      <c r="L474" s="28">
        <f>IF($B474="","",IF($K474="","—",IF(ROUND($K474-$J474,0)=0,"√","×")))</f>
        <v/>
      </c>
      <c r="M474" s="28">
        <f>IF($B474="","",IF(COUNTIFS(EntryDates,$B474,CalcTime,$C474,CalcBank,$C$5,EntryParty,$D474,EntryDep,$H474,EntryWit,$I474)&gt;1,"تکرار",""))</f>
        <v/>
      </c>
      <c r="N474" s="28">
        <f>IF($P474="","",IF(INDEX(EntryNotes,$P474)=0,"",INDEX(EntryNotes,$P474)))</f>
        <v/>
      </c>
      <c r="O474" s="28">
        <f>IF($P474="","",IF(INDEX(EntryTxnID,$P474)=0,"",INDEX(EntryTxnID,$P474)))</f>
        <v/>
      </c>
      <c r="P474" s="28">
        <f>IFERROR(MATCH($C$5&amp;"|"&amp;RIGHT("000000"&amp;458,6),CalcRankKey,0),"")</f>
        <v/>
      </c>
    </row>
    <row r="475">
      <c r="A475" s="26">
        <f>IF($B475="","",459)</f>
        <v/>
      </c>
      <c r="B475" s="26">
        <f>IF($P475="","",IF(INDEX(CalcNormDate,$P475)=0,"",INDEX(CalcNormDate,$P475)))</f>
        <v/>
      </c>
      <c r="C475" s="26">
        <f>IF($P475="","",IF(INDEX(CalcTime,$P475)=0,"",INDEX(CalcTime,$P475)))</f>
        <v/>
      </c>
      <c r="D475" s="26">
        <f>IF($P475="","",IF(INDEX(EntryParty,$P475)=0,"",INDEX(EntryParty,$P475)))</f>
        <v/>
      </c>
      <c r="E475" s="26">
        <f>IF($P475="","",IF(INDEX(EntryPartyName,$P475)=0,"",INDEX(EntryPartyName,$P475)))</f>
        <v/>
      </c>
      <c r="F475" s="26">
        <f>IF($P475="","",IF(INDEX(EntryPartyType,$P475)=0,"",INDEX(EntryPartyType,$P475)))</f>
        <v/>
      </c>
      <c r="G475" s="26">
        <f>IF($P475="","",IF(INDEX(EntryTxnType,$P475)=0,"",INDEX(EntryTxnType,$P475)))</f>
        <v/>
      </c>
      <c r="H475" s="27">
        <f>IF($P475="","",IF(INDEX(EntryDep,$P475)=0,"",INDEX(EntryDep,$P475)))</f>
        <v/>
      </c>
      <c r="I475" s="27">
        <f>IF($P475="","",IF(INDEX(EntryWit,$P475)=0,"",INDEX(EntryWit,$P475)))</f>
        <v/>
      </c>
      <c r="J475" s="27">
        <f>IF($B475="","",IF($A475=1,$C$7,IF(J474="",0,J474))+IF($H475="",0,$H475)-IF($I475="",0,$I475))</f>
        <v/>
      </c>
      <c r="K475" s="27">
        <f>IF($P475="","",IF(INDEX(EntryMan,$P475)=0,"",INDEX(EntryMan,$P475)))</f>
        <v/>
      </c>
      <c r="L475" s="26">
        <f>IF($B475="","",IF($K475="","—",IF(ROUND($K475-$J475,0)=0,"√","×")))</f>
        <v/>
      </c>
      <c r="M475" s="26">
        <f>IF($B475="","",IF(COUNTIFS(EntryDates,$B475,CalcTime,$C475,CalcBank,$C$5,EntryParty,$D475,EntryDep,$H475,EntryWit,$I475)&gt;1,"تکرار",""))</f>
        <v/>
      </c>
      <c r="N475" s="26">
        <f>IF($P475="","",IF(INDEX(EntryNotes,$P475)=0,"",INDEX(EntryNotes,$P475)))</f>
        <v/>
      </c>
      <c r="O475" s="26">
        <f>IF($P475="","",IF(INDEX(EntryTxnID,$P475)=0,"",INDEX(EntryTxnID,$P475)))</f>
        <v/>
      </c>
      <c r="P475" s="26">
        <f>IFERROR(MATCH($C$5&amp;"|"&amp;RIGHT("000000"&amp;459,6),CalcRankKey,0),"")</f>
        <v/>
      </c>
    </row>
    <row r="476">
      <c r="A476" s="28">
        <f>IF($B476="","",460)</f>
        <v/>
      </c>
      <c r="B476" s="28">
        <f>IF($P476="","",IF(INDEX(CalcNormDate,$P476)=0,"",INDEX(CalcNormDate,$P476)))</f>
        <v/>
      </c>
      <c r="C476" s="28">
        <f>IF($P476="","",IF(INDEX(CalcTime,$P476)=0,"",INDEX(CalcTime,$P476)))</f>
        <v/>
      </c>
      <c r="D476" s="28">
        <f>IF($P476="","",IF(INDEX(EntryParty,$P476)=0,"",INDEX(EntryParty,$P476)))</f>
        <v/>
      </c>
      <c r="E476" s="28">
        <f>IF($P476="","",IF(INDEX(EntryPartyName,$P476)=0,"",INDEX(EntryPartyName,$P476)))</f>
        <v/>
      </c>
      <c r="F476" s="28">
        <f>IF($P476="","",IF(INDEX(EntryPartyType,$P476)=0,"",INDEX(EntryPartyType,$P476)))</f>
        <v/>
      </c>
      <c r="G476" s="28">
        <f>IF($P476="","",IF(INDEX(EntryTxnType,$P476)=0,"",INDEX(EntryTxnType,$P476)))</f>
        <v/>
      </c>
      <c r="H476" s="29">
        <f>IF($P476="","",IF(INDEX(EntryDep,$P476)=0,"",INDEX(EntryDep,$P476)))</f>
        <v/>
      </c>
      <c r="I476" s="29">
        <f>IF($P476="","",IF(INDEX(EntryWit,$P476)=0,"",INDEX(EntryWit,$P476)))</f>
        <v/>
      </c>
      <c r="J476" s="29">
        <f>IF($B476="","",IF($A476=1,$C$7,IF(J475="",0,J475))+IF($H476="",0,$H476)-IF($I476="",0,$I476))</f>
        <v/>
      </c>
      <c r="K476" s="29">
        <f>IF($P476="","",IF(INDEX(EntryMan,$P476)=0,"",INDEX(EntryMan,$P476)))</f>
        <v/>
      </c>
      <c r="L476" s="28">
        <f>IF($B476="","",IF($K476="","—",IF(ROUND($K476-$J476,0)=0,"√","×")))</f>
        <v/>
      </c>
      <c r="M476" s="28">
        <f>IF($B476="","",IF(COUNTIFS(EntryDates,$B476,CalcTime,$C476,CalcBank,$C$5,EntryParty,$D476,EntryDep,$H476,EntryWit,$I476)&gt;1,"تکرار",""))</f>
        <v/>
      </c>
      <c r="N476" s="28">
        <f>IF($P476="","",IF(INDEX(EntryNotes,$P476)=0,"",INDEX(EntryNotes,$P476)))</f>
        <v/>
      </c>
      <c r="O476" s="28">
        <f>IF($P476="","",IF(INDEX(EntryTxnID,$P476)=0,"",INDEX(EntryTxnID,$P476)))</f>
        <v/>
      </c>
      <c r="P476" s="28">
        <f>IFERROR(MATCH($C$5&amp;"|"&amp;RIGHT("000000"&amp;460,6),CalcRankKey,0),"")</f>
        <v/>
      </c>
    </row>
    <row r="477">
      <c r="A477" s="26">
        <f>IF($B477="","",461)</f>
        <v/>
      </c>
      <c r="B477" s="26">
        <f>IF($P477="","",IF(INDEX(CalcNormDate,$P477)=0,"",INDEX(CalcNormDate,$P477)))</f>
        <v/>
      </c>
      <c r="C477" s="26">
        <f>IF($P477="","",IF(INDEX(CalcTime,$P477)=0,"",INDEX(CalcTime,$P477)))</f>
        <v/>
      </c>
      <c r="D477" s="26">
        <f>IF($P477="","",IF(INDEX(EntryParty,$P477)=0,"",INDEX(EntryParty,$P477)))</f>
        <v/>
      </c>
      <c r="E477" s="26">
        <f>IF($P477="","",IF(INDEX(EntryPartyName,$P477)=0,"",INDEX(EntryPartyName,$P477)))</f>
        <v/>
      </c>
      <c r="F477" s="26">
        <f>IF($P477="","",IF(INDEX(EntryPartyType,$P477)=0,"",INDEX(EntryPartyType,$P477)))</f>
        <v/>
      </c>
      <c r="G477" s="26">
        <f>IF($P477="","",IF(INDEX(EntryTxnType,$P477)=0,"",INDEX(EntryTxnType,$P477)))</f>
        <v/>
      </c>
      <c r="H477" s="27">
        <f>IF($P477="","",IF(INDEX(EntryDep,$P477)=0,"",INDEX(EntryDep,$P477)))</f>
        <v/>
      </c>
      <c r="I477" s="27">
        <f>IF($P477="","",IF(INDEX(EntryWit,$P477)=0,"",INDEX(EntryWit,$P477)))</f>
        <v/>
      </c>
      <c r="J477" s="27">
        <f>IF($B477="","",IF($A477=1,$C$7,IF(J476="",0,J476))+IF($H477="",0,$H477)-IF($I477="",0,$I477))</f>
        <v/>
      </c>
      <c r="K477" s="27">
        <f>IF($P477="","",IF(INDEX(EntryMan,$P477)=0,"",INDEX(EntryMan,$P477)))</f>
        <v/>
      </c>
      <c r="L477" s="26">
        <f>IF($B477="","",IF($K477="","—",IF(ROUND($K477-$J477,0)=0,"√","×")))</f>
        <v/>
      </c>
      <c r="M477" s="26">
        <f>IF($B477="","",IF(COUNTIFS(EntryDates,$B477,CalcTime,$C477,CalcBank,$C$5,EntryParty,$D477,EntryDep,$H477,EntryWit,$I477)&gt;1,"تکرار",""))</f>
        <v/>
      </c>
      <c r="N477" s="26">
        <f>IF($P477="","",IF(INDEX(EntryNotes,$P477)=0,"",INDEX(EntryNotes,$P477)))</f>
        <v/>
      </c>
      <c r="O477" s="26">
        <f>IF($P477="","",IF(INDEX(EntryTxnID,$P477)=0,"",INDEX(EntryTxnID,$P477)))</f>
        <v/>
      </c>
      <c r="P477" s="26">
        <f>IFERROR(MATCH($C$5&amp;"|"&amp;RIGHT("000000"&amp;461,6),CalcRankKey,0),"")</f>
        <v/>
      </c>
    </row>
    <row r="478">
      <c r="A478" s="28">
        <f>IF($B478="","",462)</f>
        <v/>
      </c>
      <c r="B478" s="28">
        <f>IF($P478="","",IF(INDEX(CalcNormDate,$P478)=0,"",INDEX(CalcNormDate,$P478)))</f>
        <v/>
      </c>
      <c r="C478" s="28">
        <f>IF($P478="","",IF(INDEX(CalcTime,$P478)=0,"",INDEX(CalcTime,$P478)))</f>
        <v/>
      </c>
      <c r="D478" s="28">
        <f>IF($P478="","",IF(INDEX(EntryParty,$P478)=0,"",INDEX(EntryParty,$P478)))</f>
        <v/>
      </c>
      <c r="E478" s="28">
        <f>IF($P478="","",IF(INDEX(EntryPartyName,$P478)=0,"",INDEX(EntryPartyName,$P478)))</f>
        <v/>
      </c>
      <c r="F478" s="28">
        <f>IF($P478="","",IF(INDEX(EntryPartyType,$P478)=0,"",INDEX(EntryPartyType,$P478)))</f>
        <v/>
      </c>
      <c r="G478" s="28">
        <f>IF($P478="","",IF(INDEX(EntryTxnType,$P478)=0,"",INDEX(EntryTxnType,$P478)))</f>
        <v/>
      </c>
      <c r="H478" s="29">
        <f>IF($P478="","",IF(INDEX(EntryDep,$P478)=0,"",INDEX(EntryDep,$P478)))</f>
        <v/>
      </c>
      <c r="I478" s="29">
        <f>IF($P478="","",IF(INDEX(EntryWit,$P478)=0,"",INDEX(EntryWit,$P478)))</f>
        <v/>
      </c>
      <c r="J478" s="29">
        <f>IF($B478="","",IF($A478=1,$C$7,IF(J477="",0,J477))+IF($H478="",0,$H478)-IF($I478="",0,$I478))</f>
        <v/>
      </c>
      <c r="K478" s="29">
        <f>IF($P478="","",IF(INDEX(EntryMan,$P478)=0,"",INDEX(EntryMan,$P478)))</f>
        <v/>
      </c>
      <c r="L478" s="28">
        <f>IF($B478="","",IF($K478="","—",IF(ROUND($K478-$J478,0)=0,"√","×")))</f>
        <v/>
      </c>
      <c r="M478" s="28">
        <f>IF($B478="","",IF(COUNTIFS(EntryDates,$B478,CalcTime,$C478,CalcBank,$C$5,EntryParty,$D478,EntryDep,$H478,EntryWit,$I478)&gt;1,"تکرار",""))</f>
        <v/>
      </c>
      <c r="N478" s="28">
        <f>IF($P478="","",IF(INDEX(EntryNotes,$P478)=0,"",INDEX(EntryNotes,$P478)))</f>
        <v/>
      </c>
      <c r="O478" s="28">
        <f>IF($P478="","",IF(INDEX(EntryTxnID,$P478)=0,"",INDEX(EntryTxnID,$P478)))</f>
        <v/>
      </c>
      <c r="P478" s="28">
        <f>IFERROR(MATCH($C$5&amp;"|"&amp;RIGHT("000000"&amp;462,6),CalcRankKey,0),"")</f>
        <v/>
      </c>
    </row>
    <row r="479">
      <c r="A479" s="26">
        <f>IF($B479="","",463)</f>
        <v/>
      </c>
      <c r="B479" s="26">
        <f>IF($P479="","",IF(INDEX(CalcNormDate,$P479)=0,"",INDEX(CalcNormDate,$P479)))</f>
        <v/>
      </c>
      <c r="C479" s="26">
        <f>IF($P479="","",IF(INDEX(CalcTime,$P479)=0,"",INDEX(CalcTime,$P479)))</f>
        <v/>
      </c>
      <c r="D479" s="26">
        <f>IF($P479="","",IF(INDEX(EntryParty,$P479)=0,"",INDEX(EntryParty,$P479)))</f>
        <v/>
      </c>
      <c r="E479" s="26">
        <f>IF($P479="","",IF(INDEX(EntryPartyName,$P479)=0,"",INDEX(EntryPartyName,$P479)))</f>
        <v/>
      </c>
      <c r="F479" s="26">
        <f>IF($P479="","",IF(INDEX(EntryPartyType,$P479)=0,"",INDEX(EntryPartyType,$P479)))</f>
        <v/>
      </c>
      <c r="G479" s="26">
        <f>IF($P479="","",IF(INDEX(EntryTxnType,$P479)=0,"",INDEX(EntryTxnType,$P479)))</f>
        <v/>
      </c>
      <c r="H479" s="27">
        <f>IF($P479="","",IF(INDEX(EntryDep,$P479)=0,"",INDEX(EntryDep,$P479)))</f>
        <v/>
      </c>
      <c r="I479" s="27">
        <f>IF($P479="","",IF(INDEX(EntryWit,$P479)=0,"",INDEX(EntryWit,$P479)))</f>
        <v/>
      </c>
      <c r="J479" s="27">
        <f>IF($B479="","",IF($A479=1,$C$7,IF(J478="",0,J478))+IF($H479="",0,$H479)-IF($I479="",0,$I479))</f>
        <v/>
      </c>
      <c r="K479" s="27">
        <f>IF($P479="","",IF(INDEX(EntryMan,$P479)=0,"",INDEX(EntryMan,$P479)))</f>
        <v/>
      </c>
      <c r="L479" s="26">
        <f>IF($B479="","",IF($K479="","—",IF(ROUND($K479-$J479,0)=0,"√","×")))</f>
        <v/>
      </c>
      <c r="M479" s="26">
        <f>IF($B479="","",IF(COUNTIFS(EntryDates,$B479,CalcTime,$C479,CalcBank,$C$5,EntryParty,$D479,EntryDep,$H479,EntryWit,$I479)&gt;1,"تکرار",""))</f>
        <v/>
      </c>
      <c r="N479" s="26">
        <f>IF($P479="","",IF(INDEX(EntryNotes,$P479)=0,"",INDEX(EntryNotes,$P479)))</f>
        <v/>
      </c>
      <c r="O479" s="26">
        <f>IF($P479="","",IF(INDEX(EntryTxnID,$P479)=0,"",INDEX(EntryTxnID,$P479)))</f>
        <v/>
      </c>
      <c r="P479" s="26">
        <f>IFERROR(MATCH($C$5&amp;"|"&amp;RIGHT("000000"&amp;463,6),CalcRankKey,0),"")</f>
        <v/>
      </c>
    </row>
    <row r="480">
      <c r="A480" s="28">
        <f>IF($B480="","",464)</f>
        <v/>
      </c>
      <c r="B480" s="28">
        <f>IF($P480="","",IF(INDEX(CalcNormDate,$P480)=0,"",INDEX(CalcNormDate,$P480)))</f>
        <v/>
      </c>
      <c r="C480" s="28">
        <f>IF($P480="","",IF(INDEX(CalcTime,$P480)=0,"",INDEX(CalcTime,$P480)))</f>
        <v/>
      </c>
      <c r="D480" s="28">
        <f>IF($P480="","",IF(INDEX(EntryParty,$P480)=0,"",INDEX(EntryParty,$P480)))</f>
        <v/>
      </c>
      <c r="E480" s="28">
        <f>IF($P480="","",IF(INDEX(EntryPartyName,$P480)=0,"",INDEX(EntryPartyName,$P480)))</f>
        <v/>
      </c>
      <c r="F480" s="28">
        <f>IF($P480="","",IF(INDEX(EntryPartyType,$P480)=0,"",INDEX(EntryPartyType,$P480)))</f>
        <v/>
      </c>
      <c r="G480" s="28">
        <f>IF($P480="","",IF(INDEX(EntryTxnType,$P480)=0,"",INDEX(EntryTxnType,$P480)))</f>
        <v/>
      </c>
      <c r="H480" s="29">
        <f>IF($P480="","",IF(INDEX(EntryDep,$P480)=0,"",INDEX(EntryDep,$P480)))</f>
        <v/>
      </c>
      <c r="I480" s="29">
        <f>IF($P480="","",IF(INDEX(EntryWit,$P480)=0,"",INDEX(EntryWit,$P480)))</f>
        <v/>
      </c>
      <c r="J480" s="29">
        <f>IF($B480="","",IF($A480=1,$C$7,IF(J479="",0,J479))+IF($H480="",0,$H480)-IF($I480="",0,$I480))</f>
        <v/>
      </c>
      <c r="K480" s="29">
        <f>IF($P480="","",IF(INDEX(EntryMan,$P480)=0,"",INDEX(EntryMan,$P480)))</f>
        <v/>
      </c>
      <c r="L480" s="28">
        <f>IF($B480="","",IF($K480="","—",IF(ROUND($K480-$J480,0)=0,"√","×")))</f>
        <v/>
      </c>
      <c r="M480" s="28">
        <f>IF($B480="","",IF(COUNTIFS(EntryDates,$B480,CalcTime,$C480,CalcBank,$C$5,EntryParty,$D480,EntryDep,$H480,EntryWit,$I480)&gt;1,"تکرار",""))</f>
        <v/>
      </c>
      <c r="N480" s="28">
        <f>IF($P480="","",IF(INDEX(EntryNotes,$P480)=0,"",INDEX(EntryNotes,$P480)))</f>
        <v/>
      </c>
      <c r="O480" s="28">
        <f>IF($P480="","",IF(INDEX(EntryTxnID,$P480)=0,"",INDEX(EntryTxnID,$P480)))</f>
        <v/>
      </c>
      <c r="P480" s="28">
        <f>IFERROR(MATCH($C$5&amp;"|"&amp;RIGHT("000000"&amp;464,6),CalcRankKey,0),"")</f>
        <v/>
      </c>
    </row>
    <row r="481">
      <c r="A481" s="26">
        <f>IF($B481="","",465)</f>
        <v/>
      </c>
      <c r="B481" s="26">
        <f>IF($P481="","",IF(INDEX(CalcNormDate,$P481)=0,"",INDEX(CalcNormDate,$P481)))</f>
        <v/>
      </c>
      <c r="C481" s="26">
        <f>IF($P481="","",IF(INDEX(CalcTime,$P481)=0,"",INDEX(CalcTime,$P481)))</f>
        <v/>
      </c>
      <c r="D481" s="26">
        <f>IF($P481="","",IF(INDEX(EntryParty,$P481)=0,"",INDEX(EntryParty,$P481)))</f>
        <v/>
      </c>
      <c r="E481" s="26">
        <f>IF($P481="","",IF(INDEX(EntryPartyName,$P481)=0,"",INDEX(EntryPartyName,$P481)))</f>
        <v/>
      </c>
      <c r="F481" s="26">
        <f>IF($P481="","",IF(INDEX(EntryPartyType,$P481)=0,"",INDEX(EntryPartyType,$P481)))</f>
        <v/>
      </c>
      <c r="G481" s="26">
        <f>IF($P481="","",IF(INDEX(EntryTxnType,$P481)=0,"",INDEX(EntryTxnType,$P481)))</f>
        <v/>
      </c>
      <c r="H481" s="27">
        <f>IF($P481="","",IF(INDEX(EntryDep,$P481)=0,"",INDEX(EntryDep,$P481)))</f>
        <v/>
      </c>
      <c r="I481" s="27">
        <f>IF($P481="","",IF(INDEX(EntryWit,$P481)=0,"",INDEX(EntryWit,$P481)))</f>
        <v/>
      </c>
      <c r="J481" s="27">
        <f>IF($B481="","",IF($A481=1,$C$7,IF(J480="",0,J480))+IF($H481="",0,$H481)-IF($I481="",0,$I481))</f>
        <v/>
      </c>
      <c r="K481" s="27">
        <f>IF($P481="","",IF(INDEX(EntryMan,$P481)=0,"",INDEX(EntryMan,$P481)))</f>
        <v/>
      </c>
      <c r="L481" s="26">
        <f>IF($B481="","",IF($K481="","—",IF(ROUND($K481-$J481,0)=0,"√","×")))</f>
        <v/>
      </c>
      <c r="M481" s="26">
        <f>IF($B481="","",IF(COUNTIFS(EntryDates,$B481,CalcTime,$C481,CalcBank,$C$5,EntryParty,$D481,EntryDep,$H481,EntryWit,$I481)&gt;1,"تکرار",""))</f>
        <v/>
      </c>
      <c r="N481" s="26">
        <f>IF($P481="","",IF(INDEX(EntryNotes,$P481)=0,"",INDEX(EntryNotes,$P481)))</f>
        <v/>
      </c>
      <c r="O481" s="26">
        <f>IF($P481="","",IF(INDEX(EntryTxnID,$P481)=0,"",INDEX(EntryTxnID,$P481)))</f>
        <v/>
      </c>
      <c r="P481" s="26">
        <f>IFERROR(MATCH($C$5&amp;"|"&amp;RIGHT("000000"&amp;465,6),CalcRankKey,0),"")</f>
        <v/>
      </c>
    </row>
    <row r="482">
      <c r="A482" s="28">
        <f>IF($B482="","",466)</f>
        <v/>
      </c>
      <c r="B482" s="28">
        <f>IF($P482="","",IF(INDEX(CalcNormDate,$P482)=0,"",INDEX(CalcNormDate,$P482)))</f>
        <v/>
      </c>
      <c r="C482" s="28">
        <f>IF($P482="","",IF(INDEX(CalcTime,$P482)=0,"",INDEX(CalcTime,$P482)))</f>
        <v/>
      </c>
      <c r="D482" s="28">
        <f>IF($P482="","",IF(INDEX(EntryParty,$P482)=0,"",INDEX(EntryParty,$P482)))</f>
        <v/>
      </c>
      <c r="E482" s="28">
        <f>IF($P482="","",IF(INDEX(EntryPartyName,$P482)=0,"",INDEX(EntryPartyName,$P482)))</f>
        <v/>
      </c>
      <c r="F482" s="28">
        <f>IF($P482="","",IF(INDEX(EntryPartyType,$P482)=0,"",INDEX(EntryPartyType,$P482)))</f>
        <v/>
      </c>
      <c r="G482" s="28">
        <f>IF($P482="","",IF(INDEX(EntryTxnType,$P482)=0,"",INDEX(EntryTxnType,$P482)))</f>
        <v/>
      </c>
      <c r="H482" s="29">
        <f>IF($P482="","",IF(INDEX(EntryDep,$P482)=0,"",INDEX(EntryDep,$P482)))</f>
        <v/>
      </c>
      <c r="I482" s="29">
        <f>IF($P482="","",IF(INDEX(EntryWit,$P482)=0,"",INDEX(EntryWit,$P482)))</f>
        <v/>
      </c>
      <c r="J482" s="29">
        <f>IF($B482="","",IF($A482=1,$C$7,IF(J481="",0,J481))+IF($H482="",0,$H482)-IF($I482="",0,$I482))</f>
        <v/>
      </c>
      <c r="K482" s="29">
        <f>IF($P482="","",IF(INDEX(EntryMan,$P482)=0,"",INDEX(EntryMan,$P482)))</f>
        <v/>
      </c>
      <c r="L482" s="28">
        <f>IF($B482="","",IF($K482="","—",IF(ROUND($K482-$J482,0)=0,"√","×")))</f>
        <v/>
      </c>
      <c r="M482" s="28">
        <f>IF($B482="","",IF(COUNTIFS(EntryDates,$B482,CalcTime,$C482,CalcBank,$C$5,EntryParty,$D482,EntryDep,$H482,EntryWit,$I482)&gt;1,"تکرار",""))</f>
        <v/>
      </c>
      <c r="N482" s="28">
        <f>IF($P482="","",IF(INDEX(EntryNotes,$P482)=0,"",INDEX(EntryNotes,$P482)))</f>
        <v/>
      </c>
      <c r="O482" s="28">
        <f>IF($P482="","",IF(INDEX(EntryTxnID,$P482)=0,"",INDEX(EntryTxnID,$P482)))</f>
        <v/>
      </c>
      <c r="P482" s="28">
        <f>IFERROR(MATCH($C$5&amp;"|"&amp;RIGHT("000000"&amp;466,6),CalcRankKey,0),"")</f>
        <v/>
      </c>
    </row>
    <row r="483">
      <c r="A483" s="26">
        <f>IF($B483="","",467)</f>
        <v/>
      </c>
      <c r="B483" s="26">
        <f>IF($P483="","",IF(INDEX(CalcNormDate,$P483)=0,"",INDEX(CalcNormDate,$P483)))</f>
        <v/>
      </c>
      <c r="C483" s="26">
        <f>IF($P483="","",IF(INDEX(CalcTime,$P483)=0,"",INDEX(CalcTime,$P483)))</f>
        <v/>
      </c>
      <c r="D483" s="26">
        <f>IF($P483="","",IF(INDEX(EntryParty,$P483)=0,"",INDEX(EntryParty,$P483)))</f>
        <v/>
      </c>
      <c r="E483" s="26">
        <f>IF($P483="","",IF(INDEX(EntryPartyName,$P483)=0,"",INDEX(EntryPartyName,$P483)))</f>
        <v/>
      </c>
      <c r="F483" s="26">
        <f>IF($P483="","",IF(INDEX(EntryPartyType,$P483)=0,"",INDEX(EntryPartyType,$P483)))</f>
        <v/>
      </c>
      <c r="G483" s="26">
        <f>IF($P483="","",IF(INDEX(EntryTxnType,$P483)=0,"",INDEX(EntryTxnType,$P483)))</f>
        <v/>
      </c>
      <c r="H483" s="27">
        <f>IF($P483="","",IF(INDEX(EntryDep,$P483)=0,"",INDEX(EntryDep,$P483)))</f>
        <v/>
      </c>
      <c r="I483" s="27">
        <f>IF($P483="","",IF(INDEX(EntryWit,$P483)=0,"",INDEX(EntryWit,$P483)))</f>
        <v/>
      </c>
      <c r="J483" s="27">
        <f>IF($B483="","",IF($A483=1,$C$7,IF(J482="",0,J482))+IF($H483="",0,$H483)-IF($I483="",0,$I483))</f>
        <v/>
      </c>
      <c r="K483" s="27">
        <f>IF($P483="","",IF(INDEX(EntryMan,$P483)=0,"",INDEX(EntryMan,$P483)))</f>
        <v/>
      </c>
      <c r="L483" s="26">
        <f>IF($B483="","",IF($K483="","—",IF(ROUND($K483-$J483,0)=0,"√","×")))</f>
        <v/>
      </c>
      <c r="M483" s="26">
        <f>IF($B483="","",IF(COUNTIFS(EntryDates,$B483,CalcTime,$C483,CalcBank,$C$5,EntryParty,$D483,EntryDep,$H483,EntryWit,$I483)&gt;1,"تکرار",""))</f>
        <v/>
      </c>
      <c r="N483" s="26">
        <f>IF($P483="","",IF(INDEX(EntryNotes,$P483)=0,"",INDEX(EntryNotes,$P483)))</f>
        <v/>
      </c>
      <c r="O483" s="26">
        <f>IF($P483="","",IF(INDEX(EntryTxnID,$P483)=0,"",INDEX(EntryTxnID,$P483)))</f>
        <v/>
      </c>
      <c r="P483" s="26">
        <f>IFERROR(MATCH($C$5&amp;"|"&amp;RIGHT("000000"&amp;467,6),CalcRankKey,0),"")</f>
        <v/>
      </c>
    </row>
    <row r="484">
      <c r="A484" s="28">
        <f>IF($B484="","",468)</f>
        <v/>
      </c>
      <c r="B484" s="28">
        <f>IF($P484="","",IF(INDEX(CalcNormDate,$P484)=0,"",INDEX(CalcNormDate,$P484)))</f>
        <v/>
      </c>
      <c r="C484" s="28">
        <f>IF($P484="","",IF(INDEX(CalcTime,$P484)=0,"",INDEX(CalcTime,$P484)))</f>
        <v/>
      </c>
      <c r="D484" s="28">
        <f>IF($P484="","",IF(INDEX(EntryParty,$P484)=0,"",INDEX(EntryParty,$P484)))</f>
        <v/>
      </c>
      <c r="E484" s="28">
        <f>IF($P484="","",IF(INDEX(EntryPartyName,$P484)=0,"",INDEX(EntryPartyName,$P484)))</f>
        <v/>
      </c>
      <c r="F484" s="28">
        <f>IF($P484="","",IF(INDEX(EntryPartyType,$P484)=0,"",INDEX(EntryPartyType,$P484)))</f>
        <v/>
      </c>
      <c r="G484" s="28">
        <f>IF($P484="","",IF(INDEX(EntryTxnType,$P484)=0,"",INDEX(EntryTxnType,$P484)))</f>
        <v/>
      </c>
      <c r="H484" s="29">
        <f>IF($P484="","",IF(INDEX(EntryDep,$P484)=0,"",INDEX(EntryDep,$P484)))</f>
        <v/>
      </c>
      <c r="I484" s="29">
        <f>IF($P484="","",IF(INDEX(EntryWit,$P484)=0,"",INDEX(EntryWit,$P484)))</f>
        <v/>
      </c>
      <c r="J484" s="29">
        <f>IF($B484="","",IF($A484=1,$C$7,IF(J483="",0,J483))+IF($H484="",0,$H484)-IF($I484="",0,$I484))</f>
        <v/>
      </c>
      <c r="K484" s="29">
        <f>IF($P484="","",IF(INDEX(EntryMan,$P484)=0,"",INDEX(EntryMan,$P484)))</f>
        <v/>
      </c>
      <c r="L484" s="28">
        <f>IF($B484="","",IF($K484="","—",IF(ROUND($K484-$J484,0)=0,"√","×")))</f>
        <v/>
      </c>
      <c r="M484" s="28">
        <f>IF($B484="","",IF(COUNTIFS(EntryDates,$B484,CalcTime,$C484,CalcBank,$C$5,EntryParty,$D484,EntryDep,$H484,EntryWit,$I484)&gt;1,"تکرار",""))</f>
        <v/>
      </c>
      <c r="N484" s="28">
        <f>IF($P484="","",IF(INDEX(EntryNotes,$P484)=0,"",INDEX(EntryNotes,$P484)))</f>
        <v/>
      </c>
      <c r="O484" s="28">
        <f>IF($P484="","",IF(INDEX(EntryTxnID,$P484)=0,"",INDEX(EntryTxnID,$P484)))</f>
        <v/>
      </c>
      <c r="P484" s="28">
        <f>IFERROR(MATCH($C$5&amp;"|"&amp;RIGHT("000000"&amp;468,6),CalcRankKey,0),"")</f>
        <v/>
      </c>
    </row>
    <row r="485">
      <c r="A485" s="26">
        <f>IF($B485="","",469)</f>
        <v/>
      </c>
      <c r="B485" s="26">
        <f>IF($P485="","",IF(INDEX(CalcNormDate,$P485)=0,"",INDEX(CalcNormDate,$P485)))</f>
        <v/>
      </c>
      <c r="C485" s="26">
        <f>IF($P485="","",IF(INDEX(CalcTime,$P485)=0,"",INDEX(CalcTime,$P485)))</f>
        <v/>
      </c>
      <c r="D485" s="26">
        <f>IF($P485="","",IF(INDEX(EntryParty,$P485)=0,"",INDEX(EntryParty,$P485)))</f>
        <v/>
      </c>
      <c r="E485" s="26">
        <f>IF($P485="","",IF(INDEX(EntryPartyName,$P485)=0,"",INDEX(EntryPartyName,$P485)))</f>
        <v/>
      </c>
      <c r="F485" s="26">
        <f>IF($P485="","",IF(INDEX(EntryPartyType,$P485)=0,"",INDEX(EntryPartyType,$P485)))</f>
        <v/>
      </c>
      <c r="G485" s="26">
        <f>IF($P485="","",IF(INDEX(EntryTxnType,$P485)=0,"",INDEX(EntryTxnType,$P485)))</f>
        <v/>
      </c>
      <c r="H485" s="27">
        <f>IF($P485="","",IF(INDEX(EntryDep,$P485)=0,"",INDEX(EntryDep,$P485)))</f>
        <v/>
      </c>
      <c r="I485" s="27">
        <f>IF($P485="","",IF(INDEX(EntryWit,$P485)=0,"",INDEX(EntryWit,$P485)))</f>
        <v/>
      </c>
      <c r="J485" s="27">
        <f>IF($B485="","",IF($A485=1,$C$7,IF(J484="",0,J484))+IF($H485="",0,$H485)-IF($I485="",0,$I485))</f>
        <v/>
      </c>
      <c r="K485" s="27">
        <f>IF($P485="","",IF(INDEX(EntryMan,$P485)=0,"",INDEX(EntryMan,$P485)))</f>
        <v/>
      </c>
      <c r="L485" s="26">
        <f>IF($B485="","",IF($K485="","—",IF(ROUND($K485-$J485,0)=0,"√","×")))</f>
        <v/>
      </c>
      <c r="M485" s="26">
        <f>IF($B485="","",IF(COUNTIFS(EntryDates,$B485,CalcTime,$C485,CalcBank,$C$5,EntryParty,$D485,EntryDep,$H485,EntryWit,$I485)&gt;1,"تکرار",""))</f>
        <v/>
      </c>
      <c r="N485" s="26">
        <f>IF($P485="","",IF(INDEX(EntryNotes,$P485)=0,"",INDEX(EntryNotes,$P485)))</f>
        <v/>
      </c>
      <c r="O485" s="26">
        <f>IF($P485="","",IF(INDEX(EntryTxnID,$P485)=0,"",INDEX(EntryTxnID,$P485)))</f>
        <v/>
      </c>
      <c r="P485" s="26">
        <f>IFERROR(MATCH($C$5&amp;"|"&amp;RIGHT("000000"&amp;469,6),CalcRankKey,0),"")</f>
        <v/>
      </c>
    </row>
    <row r="486">
      <c r="A486" s="28">
        <f>IF($B486="","",470)</f>
        <v/>
      </c>
      <c r="B486" s="28">
        <f>IF($P486="","",IF(INDEX(CalcNormDate,$P486)=0,"",INDEX(CalcNormDate,$P486)))</f>
        <v/>
      </c>
      <c r="C486" s="28">
        <f>IF($P486="","",IF(INDEX(CalcTime,$P486)=0,"",INDEX(CalcTime,$P486)))</f>
        <v/>
      </c>
      <c r="D486" s="28">
        <f>IF($P486="","",IF(INDEX(EntryParty,$P486)=0,"",INDEX(EntryParty,$P486)))</f>
        <v/>
      </c>
      <c r="E486" s="28">
        <f>IF($P486="","",IF(INDEX(EntryPartyName,$P486)=0,"",INDEX(EntryPartyName,$P486)))</f>
        <v/>
      </c>
      <c r="F486" s="28">
        <f>IF($P486="","",IF(INDEX(EntryPartyType,$P486)=0,"",INDEX(EntryPartyType,$P486)))</f>
        <v/>
      </c>
      <c r="G486" s="28">
        <f>IF($P486="","",IF(INDEX(EntryTxnType,$P486)=0,"",INDEX(EntryTxnType,$P486)))</f>
        <v/>
      </c>
      <c r="H486" s="29">
        <f>IF($P486="","",IF(INDEX(EntryDep,$P486)=0,"",INDEX(EntryDep,$P486)))</f>
        <v/>
      </c>
      <c r="I486" s="29">
        <f>IF($P486="","",IF(INDEX(EntryWit,$P486)=0,"",INDEX(EntryWit,$P486)))</f>
        <v/>
      </c>
      <c r="J486" s="29">
        <f>IF($B486="","",IF($A486=1,$C$7,IF(J485="",0,J485))+IF($H486="",0,$H486)-IF($I486="",0,$I486))</f>
        <v/>
      </c>
      <c r="K486" s="29">
        <f>IF($P486="","",IF(INDEX(EntryMan,$P486)=0,"",INDEX(EntryMan,$P486)))</f>
        <v/>
      </c>
      <c r="L486" s="28">
        <f>IF($B486="","",IF($K486="","—",IF(ROUND($K486-$J486,0)=0,"√","×")))</f>
        <v/>
      </c>
      <c r="M486" s="28">
        <f>IF($B486="","",IF(COUNTIFS(EntryDates,$B486,CalcTime,$C486,CalcBank,$C$5,EntryParty,$D486,EntryDep,$H486,EntryWit,$I486)&gt;1,"تکرار",""))</f>
        <v/>
      </c>
      <c r="N486" s="28">
        <f>IF($P486="","",IF(INDEX(EntryNotes,$P486)=0,"",INDEX(EntryNotes,$P486)))</f>
        <v/>
      </c>
      <c r="O486" s="28">
        <f>IF($P486="","",IF(INDEX(EntryTxnID,$P486)=0,"",INDEX(EntryTxnID,$P486)))</f>
        <v/>
      </c>
      <c r="P486" s="28">
        <f>IFERROR(MATCH($C$5&amp;"|"&amp;RIGHT("000000"&amp;470,6),CalcRankKey,0),"")</f>
        <v/>
      </c>
    </row>
    <row r="487">
      <c r="A487" s="26">
        <f>IF($B487="","",471)</f>
        <v/>
      </c>
      <c r="B487" s="26">
        <f>IF($P487="","",IF(INDEX(CalcNormDate,$P487)=0,"",INDEX(CalcNormDate,$P487)))</f>
        <v/>
      </c>
      <c r="C487" s="26">
        <f>IF($P487="","",IF(INDEX(CalcTime,$P487)=0,"",INDEX(CalcTime,$P487)))</f>
        <v/>
      </c>
      <c r="D487" s="26">
        <f>IF($P487="","",IF(INDEX(EntryParty,$P487)=0,"",INDEX(EntryParty,$P487)))</f>
        <v/>
      </c>
      <c r="E487" s="26">
        <f>IF($P487="","",IF(INDEX(EntryPartyName,$P487)=0,"",INDEX(EntryPartyName,$P487)))</f>
        <v/>
      </c>
      <c r="F487" s="26">
        <f>IF($P487="","",IF(INDEX(EntryPartyType,$P487)=0,"",INDEX(EntryPartyType,$P487)))</f>
        <v/>
      </c>
      <c r="G487" s="26">
        <f>IF($P487="","",IF(INDEX(EntryTxnType,$P487)=0,"",INDEX(EntryTxnType,$P487)))</f>
        <v/>
      </c>
      <c r="H487" s="27">
        <f>IF($P487="","",IF(INDEX(EntryDep,$P487)=0,"",INDEX(EntryDep,$P487)))</f>
        <v/>
      </c>
      <c r="I487" s="27">
        <f>IF($P487="","",IF(INDEX(EntryWit,$P487)=0,"",INDEX(EntryWit,$P487)))</f>
        <v/>
      </c>
      <c r="J487" s="27">
        <f>IF($B487="","",IF($A487=1,$C$7,IF(J486="",0,J486))+IF($H487="",0,$H487)-IF($I487="",0,$I487))</f>
        <v/>
      </c>
      <c r="K487" s="27">
        <f>IF($P487="","",IF(INDEX(EntryMan,$P487)=0,"",INDEX(EntryMan,$P487)))</f>
        <v/>
      </c>
      <c r="L487" s="26">
        <f>IF($B487="","",IF($K487="","—",IF(ROUND($K487-$J487,0)=0,"√","×")))</f>
        <v/>
      </c>
      <c r="M487" s="26">
        <f>IF($B487="","",IF(COUNTIFS(EntryDates,$B487,CalcTime,$C487,CalcBank,$C$5,EntryParty,$D487,EntryDep,$H487,EntryWit,$I487)&gt;1,"تکرار",""))</f>
        <v/>
      </c>
      <c r="N487" s="26">
        <f>IF($P487="","",IF(INDEX(EntryNotes,$P487)=0,"",INDEX(EntryNotes,$P487)))</f>
        <v/>
      </c>
      <c r="O487" s="26">
        <f>IF($P487="","",IF(INDEX(EntryTxnID,$P487)=0,"",INDEX(EntryTxnID,$P487)))</f>
        <v/>
      </c>
      <c r="P487" s="26">
        <f>IFERROR(MATCH($C$5&amp;"|"&amp;RIGHT("000000"&amp;471,6),CalcRankKey,0),"")</f>
        <v/>
      </c>
    </row>
    <row r="488">
      <c r="A488" s="28">
        <f>IF($B488="","",472)</f>
        <v/>
      </c>
      <c r="B488" s="28">
        <f>IF($P488="","",IF(INDEX(CalcNormDate,$P488)=0,"",INDEX(CalcNormDate,$P488)))</f>
        <v/>
      </c>
      <c r="C488" s="28">
        <f>IF($P488="","",IF(INDEX(CalcTime,$P488)=0,"",INDEX(CalcTime,$P488)))</f>
        <v/>
      </c>
      <c r="D488" s="28">
        <f>IF($P488="","",IF(INDEX(EntryParty,$P488)=0,"",INDEX(EntryParty,$P488)))</f>
        <v/>
      </c>
      <c r="E488" s="28">
        <f>IF($P488="","",IF(INDEX(EntryPartyName,$P488)=0,"",INDEX(EntryPartyName,$P488)))</f>
        <v/>
      </c>
      <c r="F488" s="28">
        <f>IF($P488="","",IF(INDEX(EntryPartyType,$P488)=0,"",INDEX(EntryPartyType,$P488)))</f>
        <v/>
      </c>
      <c r="G488" s="28">
        <f>IF($P488="","",IF(INDEX(EntryTxnType,$P488)=0,"",INDEX(EntryTxnType,$P488)))</f>
        <v/>
      </c>
      <c r="H488" s="29">
        <f>IF($P488="","",IF(INDEX(EntryDep,$P488)=0,"",INDEX(EntryDep,$P488)))</f>
        <v/>
      </c>
      <c r="I488" s="29">
        <f>IF($P488="","",IF(INDEX(EntryWit,$P488)=0,"",INDEX(EntryWit,$P488)))</f>
        <v/>
      </c>
      <c r="J488" s="29">
        <f>IF($B488="","",IF($A488=1,$C$7,IF(J487="",0,J487))+IF($H488="",0,$H488)-IF($I488="",0,$I488))</f>
        <v/>
      </c>
      <c r="K488" s="29">
        <f>IF($P488="","",IF(INDEX(EntryMan,$P488)=0,"",INDEX(EntryMan,$P488)))</f>
        <v/>
      </c>
      <c r="L488" s="28">
        <f>IF($B488="","",IF($K488="","—",IF(ROUND($K488-$J488,0)=0,"√","×")))</f>
        <v/>
      </c>
      <c r="M488" s="28">
        <f>IF($B488="","",IF(COUNTIFS(EntryDates,$B488,CalcTime,$C488,CalcBank,$C$5,EntryParty,$D488,EntryDep,$H488,EntryWit,$I488)&gt;1,"تکرار",""))</f>
        <v/>
      </c>
      <c r="N488" s="28">
        <f>IF($P488="","",IF(INDEX(EntryNotes,$P488)=0,"",INDEX(EntryNotes,$P488)))</f>
        <v/>
      </c>
      <c r="O488" s="28">
        <f>IF($P488="","",IF(INDEX(EntryTxnID,$P488)=0,"",INDEX(EntryTxnID,$P488)))</f>
        <v/>
      </c>
      <c r="P488" s="28">
        <f>IFERROR(MATCH($C$5&amp;"|"&amp;RIGHT("000000"&amp;472,6),CalcRankKey,0),"")</f>
        <v/>
      </c>
    </row>
    <row r="489">
      <c r="A489" s="26">
        <f>IF($B489="","",473)</f>
        <v/>
      </c>
      <c r="B489" s="26">
        <f>IF($P489="","",IF(INDEX(CalcNormDate,$P489)=0,"",INDEX(CalcNormDate,$P489)))</f>
        <v/>
      </c>
      <c r="C489" s="26">
        <f>IF($P489="","",IF(INDEX(CalcTime,$P489)=0,"",INDEX(CalcTime,$P489)))</f>
        <v/>
      </c>
      <c r="D489" s="26">
        <f>IF($P489="","",IF(INDEX(EntryParty,$P489)=0,"",INDEX(EntryParty,$P489)))</f>
        <v/>
      </c>
      <c r="E489" s="26">
        <f>IF($P489="","",IF(INDEX(EntryPartyName,$P489)=0,"",INDEX(EntryPartyName,$P489)))</f>
        <v/>
      </c>
      <c r="F489" s="26">
        <f>IF($P489="","",IF(INDEX(EntryPartyType,$P489)=0,"",INDEX(EntryPartyType,$P489)))</f>
        <v/>
      </c>
      <c r="G489" s="26">
        <f>IF($P489="","",IF(INDEX(EntryTxnType,$P489)=0,"",INDEX(EntryTxnType,$P489)))</f>
        <v/>
      </c>
      <c r="H489" s="27">
        <f>IF($P489="","",IF(INDEX(EntryDep,$P489)=0,"",INDEX(EntryDep,$P489)))</f>
        <v/>
      </c>
      <c r="I489" s="27">
        <f>IF($P489="","",IF(INDEX(EntryWit,$P489)=0,"",INDEX(EntryWit,$P489)))</f>
        <v/>
      </c>
      <c r="J489" s="27">
        <f>IF($B489="","",IF($A489=1,$C$7,IF(J488="",0,J488))+IF($H489="",0,$H489)-IF($I489="",0,$I489))</f>
        <v/>
      </c>
      <c r="K489" s="27">
        <f>IF($P489="","",IF(INDEX(EntryMan,$P489)=0,"",INDEX(EntryMan,$P489)))</f>
        <v/>
      </c>
      <c r="L489" s="26">
        <f>IF($B489="","",IF($K489="","—",IF(ROUND($K489-$J489,0)=0,"√","×")))</f>
        <v/>
      </c>
      <c r="M489" s="26">
        <f>IF($B489="","",IF(COUNTIFS(EntryDates,$B489,CalcTime,$C489,CalcBank,$C$5,EntryParty,$D489,EntryDep,$H489,EntryWit,$I489)&gt;1,"تکرار",""))</f>
        <v/>
      </c>
      <c r="N489" s="26">
        <f>IF($P489="","",IF(INDEX(EntryNotes,$P489)=0,"",INDEX(EntryNotes,$P489)))</f>
        <v/>
      </c>
      <c r="O489" s="26">
        <f>IF($P489="","",IF(INDEX(EntryTxnID,$P489)=0,"",INDEX(EntryTxnID,$P489)))</f>
        <v/>
      </c>
      <c r="P489" s="26">
        <f>IFERROR(MATCH($C$5&amp;"|"&amp;RIGHT("000000"&amp;473,6),CalcRankKey,0),"")</f>
        <v/>
      </c>
    </row>
    <row r="490">
      <c r="A490" s="28">
        <f>IF($B490="","",474)</f>
        <v/>
      </c>
      <c r="B490" s="28">
        <f>IF($P490="","",IF(INDEX(CalcNormDate,$P490)=0,"",INDEX(CalcNormDate,$P490)))</f>
        <v/>
      </c>
      <c r="C490" s="28">
        <f>IF($P490="","",IF(INDEX(CalcTime,$P490)=0,"",INDEX(CalcTime,$P490)))</f>
        <v/>
      </c>
      <c r="D490" s="28">
        <f>IF($P490="","",IF(INDEX(EntryParty,$P490)=0,"",INDEX(EntryParty,$P490)))</f>
        <v/>
      </c>
      <c r="E490" s="28">
        <f>IF($P490="","",IF(INDEX(EntryPartyName,$P490)=0,"",INDEX(EntryPartyName,$P490)))</f>
        <v/>
      </c>
      <c r="F490" s="28">
        <f>IF($P490="","",IF(INDEX(EntryPartyType,$P490)=0,"",INDEX(EntryPartyType,$P490)))</f>
        <v/>
      </c>
      <c r="G490" s="28">
        <f>IF($P490="","",IF(INDEX(EntryTxnType,$P490)=0,"",INDEX(EntryTxnType,$P490)))</f>
        <v/>
      </c>
      <c r="H490" s="29">
        <f>IF($P490="","",IF(INDEX(EntryDep,$P490)=0,"",INDEX(EntryDep,$P490)))</f>
        <v/>
      </c>
      <c r="I490" s="29">
        <f>IF($P490="","",IF(INDEX(EntryWit,$P490)=0,"",INDEX(EntryWit,$P490)))</f>
        <v/>
      </c>
      <c r="J490" s="29">
        <f>IF($B490="","",IF($A490=1,$C$7,IF(J489="",0,J489))+IF($H490="",0,$H490)-IF($I490="",0,$I490))</f>
        <v/>
      </c>
      <c r="K490" s="29">
        <f>IF($P490="","",IF(INDEX(EntryMan,$P490)=0,"",INDEX(EntryMan,$P490)))</f>
        <v/>
      </c>
      <c r="L490" s="28">
        <f>IF($B490="","",IF($K490="","—",IF(ROUND($K490-$J490,0)=0,"√","×")))</f>
        <v/>
      </c>
      <c r="M490" s="28">
        <f>IF($B490="","",IF(COUNTIFS(EntryDates,$B490,CalcTime,$C490,CalcBank,$C$5,EntryParty,$D490,EntryDep,$H490,EntryWit,$I490)&gt;1,"تکرار",""))</f>
        <v/>
      </c>
      <c r="N490" s="28">
        <f>IF($P490="","",IF(INDEX(EntryNotes,$P490)=0,"",INDEX(EntryNotes,$P490)))</f>
        <v/>
      </c>
      <c r="O490" s="28">
        <f>IF($P490="","",IF(INDEX(EntryTxnID,$P490)=0,"",INDEX(EntryTxnID,$P490)))</f>
        <v/>
      </c>
      <c r="P490" s="28">
        <f>IFERROR(MATCH($C$5&amp;"|"&amp;RIGHT("000000"&amp;474,6),CalcRankKey,0),"")</f>
        <v/>
      </c>
    </row>
    <row r="491">
      <c r="A491" s="26">
        <f>IF($B491="","",475)</f>
        <v/>
      </c>
      <c r="B491" s="26">
        <f>IF($P491="","",IF(INDEX(CalcNormDate,$P491)=0,"",INDEX(CalcNormDate,$P491)))</f>
        <v/>
      </c>
      <c r="C491" s="26">
        <f>IF($P491="","",IF(INDEX(CalcTime,$P491)=0,"",INDEX(CalcTime,$P491)))</f>
        <v/>
      </c>
      <c r="D491" s="26">
        <f>IF($P491="","",IF(INDEX(EntryParty,$P491)=0,"",INDEX(EntryParty,$P491)))</f>
        <v/>
      </c>
      <c r="E491" s="26">
        <f>IF($P491="","",IF(INDEX(EntryPartyName,$P491)=0,"",INDEX(EntryPartyName,$P491)))</f>
        <v/>
      </c>
      <c r="F491" s="26">
        <f>IF($P491="","",IF(INDEX(EntryPartyType,$P491)=0,"",INDEX(EntryPartyType,$P491)))</f>
        <v/>
      </c>
      <c r="G491" s="26">
        <f>IF($P491="","",IF(INDEX(EntryTxnType,$P491)=0,"",INDEX(EntryTxnType,$P491)))</f>
        <v/>
      </c>
      <c r="H491" s="27">
        <f>IF($P491="","",IF(INDEX(EntryDep,$P491)=0,"",INDEX(EntryDep,$P491)))</f>
        <v/>
      </c>
      <c r="I491" s="27">
        <f>IF($P491="","",IF(INDEX(EntryWit,$P491)=0,"",INDEX(EntryWit,$P491)))</f>
        <v/>
      </c>
      <c r="J491" s="27">
        <f>IF($B491="","",IF($A491=1,$C$7,IF(J490="",0,J490))+IF($H491="",0,$H491)-IF($I491="",0,$I491))</f>
        <v/>
      </c>
      <c r="K491" s="27">
        <f>IF($P491="","",IF(INDEX(EntryMan,$P491)=0,"",INDEX(EntryMan,$P491)))</f>
        <v/>
      </c>
      <c r="L491" s="26">
        <f>IF($B491="","",IF($K491="","—",IF(ROUND($K491-$J491,0)=0,"√","×")))</f>
        <v/>
      </c>
      <c r="M491" s="26">
        <f>IF($B491="","",IF(COUNTIFS(EntryDates,$B491,CalcTime,$C491,CalcBank,$C$5,EntryParty,$D491,EntryDep,$H491,EntryWit,$I491)&gt;1,"تکرار",""))</f>
        <v/>
      </c>
      <c r="N491" s="26">
        <f>IF($P491="","",IF(INDEX(EntryNotes,$P491)=0,"",INDEX(EntryNotes,$P491)))</f>
        <v/>
      </c>
      <c r="O491" s="26">
        <f>IF($P491="","",IF(INDEX(EntryTxnID,$P491)=0,"",INDEX(EntryTxnID,$P491)))</f>
        <v/>
      </c>
      <c r="P491" s="26">
        <f>IFERROR(MATCH($C$5&amp;"|"&amp;RIGHT("000000"&amp;475,6),CalcRankKey,0),"")</f>
        <v/>
      </c>
    </row>
    <row r="492">
      <c r="A492" s="28">
        <f>IF($B492="","",476)</f>
        <v/>
      </c>
      <c r="B492" s="28">
        <f>IF($P492="","",IF(INDEX(CalcNormDate,$P492)=0,"",INDEX(CalcNormDate,$P492)))</f>
        <v/>
      </c>
      <c r="C492" s="28">
        <f>IF($P492="","",IF(INDEX(CalcTime,$P492)=0,"",INDEX(CalcTime,$P492)))</f>
        <v/>
      </c>
      <c r="D492" s="28">
        <f>IF($P492="","",IF(INDEX(EntryParty,$P492)=0,"",INDEX(EntryParty,$P492)))</f>
        <v/>
      </c>
      <c r="E492" s="28">
        <f>IF($P492="","",IF(INDEX(EntryPartyName,$P492)=0,"",INDEX(EntryPartyName,$P492)))</f>
        <v/>
      </c>
      <c r="F492" s="28">
        <f>IF($P492="","",IF(INDEX(EntryPartyType,$P492)=0,"",INDEX(EntryPartyType,$P492)))</f>
        <v/>
      </c>
      <c r="G492" s="28">
        <f>IF($P492="","",IF(INDEX(EntryTxnType,$P492)=0,"",INDEX(EntryTxnType,$P492)))</f>
        <v/>
      </c>
      <c r="H492" s="29">
        <f>IF($P492="","",IF(INDEX(EntryDep,$P492)=0,"",INDEX(EntryDep,$P492)))</f>
        <v/>
      </c>
      <c r="I492" s="29">
        <f>IF($P492="","",IF(INDEX(EntryWit,$P492)=0,"",INDEX(EntryWit,$P492)))</f>
        <v/>
      </c>
      <c r="J492" s="29">
        <f>IF($B492="","",IF($A492=1,$C$7,IF(J491="",0,J491))+IF($H492="",0,$H492)-IF($I492="",0,$I492))</f>
        <v/>
      </c>
      <c r="K492" s="29">
        <f>IF($P492="","",IF(INDEX(EntryMan,$P492)=0,"",INDEX(EntryMan,$P492)))</f>
        <v/>
      </c>
      <c r="L492" s="28">
        <f>IF($B492="","",IF($K492="","—",IF(ROUND($K492-$J492,0)=0,"√","×")))</f>
        <v/>
      </c>
      <c r="M492" s="28">
        <f>IF($B492="","",IF(COUNTIFS(EntryDates,$B492,CalcTime,$C492,CalcBank,$C$5,EntryParty,$D492,EntryDep,$H492,EntryWit,$I492)&gt;1,"تکرار",""))</f>
        <v/>
      </c>
      <c r="N492" s="28">
        <f>IF($P492="","",IF(INDEX(EntryNotes,$P492)=0,"",INDEX(EntryNotes,$P492)))</f>
        <v/>
      </c>
      <c r="O492" s="28">
        <f>IF($P492="","",IF(INDEX(EntryTxnID,$P492)=0,"",INDEX(EntryTxnID,$P492)))</f>
        <v/>
      </c>
      <c r="P492" s="28">
        <f>IFERROR(MATCH($C$5&amp;"|"&amp;RIGHT("000000"&amp;476,6),CalcRankKey,0),"")</f>
        <v/>
      </c>
    </row>
    <row r="493">
      <c r="A493" s="26">
        <f>IF($B493="","",477)</f>
        <v/>
      </c>
      <c r="B493" s="26">
        <f>IF($P493="","",IF(INDEX(CalcNormDate,$P493)=0,"",INDEX(CalcNormDate,$P493)))</f>
        <v/>
      </c>
      <c r="C493" s="26">
        <f>IF($P493="","",IF(INDEX(CalcTime,$P493)=0,"",INDEX(CalcTime,$P493)))</f>
        <v/>
      </c>
      <c r="D493" s="26">
        <f>IF($P493="","",IF(INDEX(EntryParty,$P493)=0,"",INDEX(EntryParty,$P493)))</f>
        <v/>
      </c>
      <c r="E493" s="26">
        <f>IF($P493="","",IF(INDEX(EntryPartyName,$P493)=0,"",INDEX(EntryPartyName,$P493)))</f>
        <v/>
      </c>
      <c r="F493" s="26">
        <f>IF($P493="","",IF(INDEX(EntryPartyType,$P493)=0,"",INDEX(EntryPartyType,$P493)))</f>
        <v/>
      </c>
      <c r="G493" s="26">
        <f>IF($P493="","",IF(INDEX(EntryTxnType,$P493)=0,"",INDEX(EntryTxnType,$P493)))</f>
        <v/>
      </c>
      <c r="H493" s="27">
        <f>IF($P493="","",IF(INDEX(EntryDep,$P493)=0,"",INDEX(EntryDep,$P493)))</f>
        <v/>
      </c>
      <c r="I493" s="27">
        <f>IF($P493="","",IF(INDEX(EntryWit,$P493)=0,"",INDEX(EntryWit,$P493)))</f>
        <v/>
      </c>
      <c r="J493" s="27">
        <f>IF($B493="","",IF($A493=1,$C$7,IF(J492="",0,J492))+IF($H493="",0,$H493)-IF($I493="",0,$I493))</f>
        <v/>
      </c>
      <c r="K493" s="27">
        <f>IF($P493="","",IF(INDEX(EntryMan,$P493)=0,"",INDEX(EntryMan,$P493)))</f>
        <v/>
      </c>
      <c r="L493" s="26">
        <f>IF($B493="","",IF($K493="","—",IF(ROUND($K493-$J493,0)=0,"√","×")))</f>
        <v/>
      </c>
      <c r="M493" s="26">
        <f>IF($B493="","",IF(COUNTIFS(EntryDates,$B493,CalcTime,$C493,CalcBank,$C$5,EntryParty,$D493,EntryDep,$H493,EntryWit,$I493)&gt;1,"تکرار",""))</f>
        <v/>
      </c>
      <c r="N493" s="26">
        <f>IF($P493="","",IF(INDEX(EntryNotes,$P493)=0,"",INDEX(EntryNotes,$P493)))</f>
        <v/>
      </c>
      <c r="O493" s="26">
        <f>IF($P493="","",IF(INDEX(EntryTxnID,$P493)=0,"",INDEX(EntryTxnID,$P493)))</f>
        <v/>
      </c>
      <c r="P493" s="26">
        <f>IFERROR(MATCH($C$5&amp;"|"&amp;RIGHT("000000"&amp;477,6),CalcRankKey,0),"")</f>
        <v/>
      </c>
    </row>
    <row r="494">
      <c r="A494" s="28">
        <f>IF($B494="","",478)</f>
        <v/>
      </c>
      <c r="B494" s="28">
        <f>IF($P494="","",IF(INDEX(CalcNormDate,$P494)=0,"",INDEX(CalcNormDate,$P494)))</f>
        <v/>
      </c>
      <c r="C494" s="28">
        <f>IF($P494="","",IF(INDEX(CalcTime,$P494)=0,"",INDEX(CalcTime,$P494)))</f>
        <v/>
      </c>
      <c r="D494" s="28">
        <f>IF($P494="","",IF(INDEX(EntryParty,$P494)=0,"",INDEX(EntryParty,$P494)))</f>
        <v/>
      </c>
      <c r="E494" s="28">
        <f>IF($P494="","",IF(INDEX(EntryPartyName,$P494)=0,"",INDEX(EntryPartyName,$P494)))</f>
        <v/>
      </c>
      <c r="F494" s="28">
        <f>IF($P494="","",IF(INDEX(EntryPartyType,$P494)=0,"",INDEX(EntryPartyType,$P494)))</f>
        <v/>
      </c>
      <c r="G494" s="28">
        <f>IF($P494="","",IF(INDEX(EntryTxnType,$P494)=0,"",INDEX(EntryTxnType,$P494)))</f>
        <v/>
      </c>
      <c r="H494" s="29">
        <f>IF($P494="","",IF(INDEX(EntryDep,$P494)=0,"",INDEX(EntryDep,$P494)))</f>
        <v/>
      </c>
      <c r="I494" s="29">
        <f>IF($P494="","",IF(INDEX(EntryWit,$P494)=0,"",INDEX(EntryWit,$P494)))</f>
        <v/>
      </c>
      <c r="J494" s="29">
        <f>IF($B494="","",IF($A494=1,$C$7,IF(J493="",0,J493))+IF($H494="",0,$H494)-IF($I494="",0,$I494))</f>
        <v/>
      </c>
      <c r="K494" s="29">
        <f>IF($P494="","",IF(INDEX(EntryMan,$P494)=0,"",INDEX(EntryMan,$P494)))</f>
        <v/>
      </c>
      <c r="L494" s="28">
        <f>IF($B494="","",IF($K494="","—",IF(ROUND($K494-$J494,0)=0,"√","×")))</f>
        <v/>
      </c>
      <c r="M494" s="28">
        <f>IF($B494="","",IF(COUNTIFS(EntryDates,$B494,CalcTime,$C494,CalcBank,$C$5,EntryParty,$D494,EntryDep,$H494,EntryWit,$I494)&gt;1,"تکرار",""))</f>
        <v/>
      </c>
      <c r="N494" s="28">
        <f>IF($P494="","",IF(INDEX(EntryNotes,$P494)=0,"",INDEX(EntryNotes,$P494)))</f>
        <v/>
      </c>
      <c r="O494" s="28">
        <f>IF($P494="","",IF(INDEX(EntryTxnID,$P494)=0,"",INDEX(EntryTxnID,$P494)))</f>
        <v/>
      </c>
      <c r="P494" s="28">
        <f>IFERROR(MATCH($C$5&amp;"|"&amp;RIGHT("000000"&amp;478,6),CalcRankKey,0),"")</f>
        <v/>
      </c>
    </row>
    <row r="495">
      <c r="A495" s="26">
        <f>IF($B495="","",479)</f>
        <v/>
      </c>
      <c r="B495" s="26">
        <f>IF($P495="","",IF(INDEX(CalcNormDate,$P495)=0,"",INDEX(CalcNormDate,$P495)))</f>
        <v/>
      </c>
      <c r="C495" s="26">
        <f>IF($P495="","",IF(INDEX(CalcTime,$P495)=0,"",INDEX(CalcTime,$P495)))</f>
        <v/>
      </c>
      <c r="D495" s="26">
        <f>IF($P495="","",IF(INDEX(EntryParty,$P495)=0,"",INDEX(EntryParty,$P495)))</f>
        <v/>
      </c>
      <c r="E495" s="26">
        <f>IF($P495="","",IF(INDEX(EntryPartyName,$P495)=0,"",INDEX(EntryPartyName,$P495)))</f>
        <v/>
      </c>
      <c r="F495" s="26">
        <f>IF($P495="","",IF(INDEX(EntryPartyType,$P495)=0,"",INDEX(EntryPartyType,$P495)))</f>
        <v/>
      </c>
      <c r="G495" s="26">
        <f>IF($P495="","",IF(INDEX(EntryTxnType,$P495)=0,"",INDEX(EntryTxnType,$P495)))</f>
        <v/>
      </c>
      <c r="H495" s="27">
        <f>IF($P495="","",IF(INDEX(EntryDep,$P495)=0,"",INDEX(EntryDep,$P495)))</f>
        <v/>
      </c>
      <c r="I495" s="27">
        <f>IF($P495="","",IF(INDEX(EntryWit,$P495)=0,"",INDEX(EntryWit,$P495)))</f>
        <v/>
      </c>
      <c r="J495" s="27">
        <f>IF($B495="","",IF($A495=1,$C$7,IF(J494="",0,J494))+IF($H495="",0,$H495)-IF($I495="",0,$I495))</f>
        <v/>
      </c>
      <c r="K495" s="27">
        <f>IF($P495="","",IF(INDEX(EntryMan,$P495)=0,"",INDEX(EntryMan,$P495)))</f>
        <v/>
      </c>
      <c r="L495" s="26">
        <f>IF($B495="","",IF($K495="","—",IF(ROUND($K495-$J495,0)=0,"√","×")))</f>
        <v/>
      </c>
      <c r="M495" s="26">
        <f>IF($B495="","",IF(COUNTIFS(EntryDates,$B495,CalcTime,$C495,CalcBank,$C$5,EntryParty,$D495,EntryDep,$H495,EntryWit,$I495)&gt;1,"تکرار",""))</f>
        <v/>
      </c>
      <c r="N495" s="26">
        <f>IF($P495="","",IF(INDEX(EntryNotes,$P495)=0,"",INDEX(EntryNotes,$P495)))</f>
        <v/>
      </c>
      <c r="O495" s="26">
        <f>IF($P495="","",IF(INDEX(EntryTxnID,$P495)=0,"",INDEX(EntryTxnID,$P495)))</f>
        <v/>
      </c>
      <c r="P495" s="26">
        <f>IFERROR(MATCH($C$5&amp;"|"&amp;RIGHT("000000"&amp;479,6),CalcRankKey,0),"")</f>
        <v/>
      </c>
    </row>
    <row r="496">
      <c r="A496" s="28">
        <f>IF($B496="","",480)</f>
        <v/>
      </c>
      <c r="B496" s="28">
        <f>IF($P496="","",IF(INDEX(CalcNormDate,$P496)=0,"",INDEX(CalcNormDate,$P496)))</f>
        <v/>
      </c>
      <c r="C496" s="28">
        <f>IF($P496="","",IF(INDEX(CalcTime,$P496)=0,"",INDEX(CalcTime,$P496)))</f>
        <v/>
      </c>
      <c r="D496" s="28">
        <f>IF($P496="","",IF(INDEX(EntryParty,$P496)=0,"",INDEX(EntryParty,$P496)))</f>
        <v/>
      </c>
      <c r="E496" s="28">
        <f>IF($P496="","",IF(INDEX(EntryPartyName,$P496)=0,"",INDEX(EntryPartyName,$P496)))</f>
        <v/>
      </c>
      <c r="F496" s="28">
        <f>IF($P496="","",IF(INDEX(EntryPartyType,$P496)=0,"",INDEX(EntryPartyType,$P496)))</f>
        <v/>
      </c>
      <c r="G496" s="28">
        <f>IF($P496="","",IF(INDEX(EntryTxnType,$P496)=0,"",INDEX(EntryTxnType,$P496)))</f>
        <v/>
      </c>
      <c r="H496" s="29">
        <f>IF($P496="","",IF(INDEX(EntryDep,$P496)=0,"",INDEX(EntryDep,$P496)))</f>
        <v/>
      </c>
      <c r="I496" s="29">
        <f>IF($P496="","",IF(INDEX(EntryWit,$P496)=0,"",INDEX(EntryWit,$P496)))</f>
        <v/>
      </c>
      <c r="J496" s="29">
        <f>IF($B496="","",IF($A496=1,$C$7,IF(J495="",0,J495))+IF($H496="",0,$H496)-IF($I496="",0,$I496))</f>
        <v/>
      </c>
      <c r="K496" s="29">
        <f>IF($P496="","",IF(INDEX(EntryMan,$P496)=0,"",INDEX(EntryMan,$P496)))</f>
        <v/>
      </c>
      <c r="L496" s="28">
        <f>IF($B496="","",IF($K496="","—",IF(ROUND($K496-$J496,0)=0,"√","×")))</f>
        <v/>
      </c>
      <c r="M496" s="28">
        <f>IF($B496="","",IF(COUNTIFS(EntryDates,$B496,CalcTime,$C496,CalcBank,$C$5,EntryParty,$D496,EntryDep,$H496,EntryWit,$I496)&gt;1,"تکرار",""))</f>
        <v/>
      </c>
      <c r="N496" s="28">
        <f>IF($P496="","",IF(INDEX(EntryNotes,$P496)=0,"",INDEX(EntryNotes,$P496)))</f>
        <v/>
      </c>
      <c r="O496" s="28">
        <f>IF($P496="","",IF(INDEX(EntryTxnID,$P496)=0,"",INDEX(EntryTxnID,$P496)))</f>
        <v/>
      </c>
      <c r="P496" s="28">
        <f>IFERROR(MATCH($C$5&amp;"|"&amp;RIGHT("000000"&amp;480,6),CalcRankKey,0),"")</f>
        <v/>
      </c>
    </row>
    <row r="497">
      <c r="A497" s="26">
        <f>IF($B497="","",481)</f>
        <v/>
      </c>
      <c r="B497" s="26">
        <f>IF($P497="","",IF(INDEX(CalcNormDate,$P497)=0,"",INDEX(CalcNormDate,$P497)))</f>
        <v/>
      </c>
      <c r="C497" s="26">
        <f>IF($P497="","",IF(INDEX(CalcTime,$P497)=0,"",INDEX(CalcTime,$P497)))</f>
        <v/>
      </c>
      <c r="D497" s="26">
        <f>IF($P497="","",IF(INDEX(EntryParty,$P497)=0,"",INDEX(EntryParty,$P497)))</f>
        <v/>
      </c>
      <c r="E497" s="26">
        <f>IF($P497="","",IF(INDEX(EntryPartyName,$P497)=0,"",INDEX(EntryPartyName,$P497)))</f>
        <v/>
      </c>
      <c r="F497" s="26">
        <f>IF($P497="","",IF(INDEX(EntryPartyType,$P497)=0,"",INDEX(EntryPartyType,$P497)))</f>
        <v/>
      </c>
      <c r="G497" s="26">
        <f>IF($P497="","",IF(INDEX(EntryTxnType,$P497)=0,"",INDEX(EntryTxnType,$P497)))</f>
        <v/>
      </c>
      <c r="H497" s="27">
        <f>IF($P497="","",IF(INDEX(EntryDep,$P497)=0,"",INDEX(EntryDep,$P497)))</f>
        <v/>
      </c>
      <c r="I497" s="27">
        <f>IF($P497="","",IF(INDEX(EntryWit,$P497)=0,"",INDEX(EntryWit,$P497)))</f>
        <v/>
      </c>
      <c r="J497" s="27">
        <f>IF($B497="","",IF($A497=1,$C$7,IF(J496="",0,J496))+IF($H497="",0,$H497)-IF($I497="",0,$I497))</f>
        <v/>
      </c>
      <c r="K497" s="27">
        <f>IF($P497="","",IF(INDEX(EntryMan,$P497)=0,"",INDEX(EntryMan,$P497)))</f>
        <v/>
      </c>
      <c r="L497" s="26">
        <f>IF($B497="","",IF($K497="","—",IF(ROUND($K497-$J497,0)=0,"√","×")))</f>
        <v/>
      </c>
      <c r="M497" s="26">
        <f>IF($B497="","",IF(COUNTIFS(EntryDates,$B497,CalcTime,$C497,CalcBank,$C$5,EntryParty,$D497,EntryDep,$H497,EntryWit,$I497)&gt;1,"تکرار",""))</f>
        <v/>
      </c>
      <c r="N497" s="26">
        <f>IF($P497="","",IF(INDEX(EntryNotes,$P497)=0,"",INDEX(EntryNotes,$P497)))</f>
        <v/>
      </c>
      <c r="O497" s="26">
        <f>IF($P497="","",IF(INDEX(EntryTxnID,$P497)=0,"",INDEX(EntryTxnID,$P497)))</f>
        <v/>
      </c>
      <c r="P497" s="26">
        <f>IFERROR(MATCH($C$5&amp;"|"&amp;RIGHT("000000"&amp;481,6),CalcRankKey,0),"")</f>
        <v/>
      </c>
    </row>
    <row r="498">
      <c r="A498" s="28">
        <f>IF($B498="","",482)</f>
        <v/>
      </c>
      <c r="B498" s="28">
        <f>IF($P498="","",IF(INDEX(CalcNormDate,$P498)=0,"",INDEX(CalcNormDate,$P498)))</f>
        <v/>
      </c>
      <c r="C498" s="28">
        <f>IF($P498="","",IF(INDEX(CalcTime,$P498)=0,"",INDEX(CalcTime,$P498)))</f>
        <v/>
      </c>
      <c r="D498" s="28">
        <f>IF($P498="","",IF(INDEX(EntryParty,$P498)=0,"",INDEX(EntryParty,$P498)))</f>
        <v/>
      </c>
      <c r="E498" s="28">
        <f>IF($P498="","",IF(INDEX(EntryPartyName,$P498)=0,"",INDEX(EntryPartyName,$P498)))</f>
        <v/>
      </c>
      <c r="F498" s="28">
        <f>IF($P498="","",IF(INDEX(EntryPartyType,$P498)=0,"",INDEX(EntryPartyType,$P498)))</f>
        <v/>
      </c>
      <c r="G498" s="28">
        <f>IF($P498="","",IF(INDEX(EntryTxnType,$P498)=0,"",INDEX(EntryTxnType,$P498)))</f>
        <v/>
      </c>
      <c r="H498" s="29">
        <f>IF($P498="","",IF(INDEX(EntryDep,$P498)=0,"",INDEX(EntryDep,$P498)))</f>
        <v/>
      </c>
      <c r="I498" s="29">
        <f>IF($P498="","",IF(INDEX(EntryWit,$P498)=0,"",INDEX(EntryWit,$P498)))</f>
        <v/>
      </c>
      <c r="J498" s="29">
        <f>IF($B498="","",IF($A498=1,$C$7,IF(J497="",0,J497))+IF($H498="",0,$H498)-IF($I498="",0,$I498))</f>
        <v/>
      </c>
      <c r="K498" s="29">
        <f>IF($P498="","",IF(INDEX(EntryMan,$P498)=0,"",INDEX(EntryMan,$P498)))</f>
        <v/>
      </c>
      <c r="L498" s="28">
        <f>IF($B498="","",IF($K498="","—",IF(ROUND($K498-$J498,0)=0,"√","×")))</f>
        <v/>
      </c>
      <c r="M498" s="28">
        <f>IF($B498="","",IF(COUNTIFS(EntryDates,$B498,CalcTime,$C498,CalcBank,$C$5,EntryParty,$D498,EntryDep,$H498,EntryWit,$I498)&gt;1,"تکرار",""))</f>
        <v/>
      </c>
      <c r="N498" s="28">
        <f>IF($P498="","",IF(INDEX(EntryNotes,$P498)=0,"",INDEX(EntryNotes,$P498)))</f>
        <v/>
      </c>
      <c r="O498" s="28">
        <f>IF($P498="","",IF(INDEX(EntryTxnID,$P498)=0,"",INDEX(EntryTxnID,$P498)))</f>
        <v/>
      </c>
      <c r="P498" s="28">
        <f>IFERROR(MATCH($C$5&amp;"|"&amp;RIGHT("000000"&amp;482,6),CalcRankKey,0),"")</f>
        <v/>
      </c>
    </row>
    <row r="499">
      <c r="A499" s="26">
        <f>IF($B499="","",483)</f>
        <v/>
      </c>
      <c r="B499" s="26">
        <f>IF($P499="","",IF(INDEX(CalcNormDate,$P499)=0,"",INDEX(CalcNormDate,$P499)))</f>
        <v/>
      </c>
      <c r="C499" s="26">
        <f>IF($P499="","",IF(INDEX(CalcTime,$P499)=0,"",INDEX(CalcTime,$P499)))</f>
        <v/>
      </c>
      <c r="D499" s="26">
        <f>IF($P499="","",IF(INDEX(EntryParty,$P499)=0,"",INDEX(EntryParty,$P499)))</f>
        <v/>
      </c>
      <c r="E499" s="26">
        <f>IF($P499="","",IF(INDEX(EntryPartyName,$P499)=0,"",INDEX(EntryPartyName,$P499)))</f>
        <v/>
      </c>
      <c r="F499" s="26">
        <f>IF($P499="","",IF(INDEX(EntryPartyType,$P499)=0,"",INDEX(EntryPartyType,$P499)))</f>
        <v/>
      </c>
      <c r="G499" s="26">
        <f>IF($P499="","",IF(INDEX(EntryTxnType,$P499)=0,"",INDEX(EntryTxnType,$P499)))</f>
        <v/>
      </c>
      <c r="H499" s="27">
        <f>IF($P499="","",IF(INDEX(EntryDep,$P499)=0,"",INDEX(EntryDep,$P499)))</f>
        <v/>
      </c>
      <c r="I499" s="27">
        <f>IF($P499="","",IF(INDEX(EntryWit,$P499)=0,"",INDEX(EntryWit,$P499)))</f>
        <v/>
      </c>
      <c r="J499" s="27">
        <f>IF($B499="","",IF($A499=1,$C$7,IF(J498="",0,J498))+IF($H499="",0,$H499)-IF($I499="",0,$I499))</f>
        <v/>
      </c>
      <c r="K499" s="27">
        <f>IF($P499="","",IF(INDEX(EntryMan,$P499)=0,"",INDEX(EntryMan,$P499)))</f>
        <v/>
      </c>
      <c r="L499" s="26">
        <f>IF($B499="","",IF($K499="","—",IF(ROUND($K499-$J499,0)=0,"√","×")))</f>
        <v/>
      </c>
      <c r="M499" s="26">
        <f>IF($B499="","",IF(COUNTIFS(EntryDates,$B499,CalcTime,$C499,CalcBank,$C$5,EntryParty,$D499,EntryDep,$H499,EntryWit,$I499)&gt;1,"تکرار",""))</f>
        <v/>
      </c>
      <c r="N499" s="26">
        <f>IF($P499="","",IF(INDEX(EntryNotes,$P499)=0,"",INDEX(EntryNotes,$P499)))</f>
        <v/>
      </c>
      <c r="O499" s="26">
        <f>IF($P499="","",IF(INDEX(EntryTxnID,$P499)=0,"",INDEX(EntryTxnID,$P499)))</f>
        <v/>
      </c>
      <c r="P499" s="26">
        <f>IFERROR(MATCH($C$5&amp;"|"&amp;RIGHT("000000"&amp;483,6),CalcRankKey,0),"")</f>
        <v/>
      </c>
    </row>
    <row r="500">
      <c r="A500" s="28">
        <f>IF($B500="","",484)</f>
        <v/>
      </c>
      <c r="B500" s="28">
        <f>IF($P500="","",IF(INDEX(CalcNormDate,$P500)=0,"",INDEX(CalcNormDate,$P500)))</f>
        <v/>
      </c>
      <c r="C500" s="28">
        <f>IF($P500="","",IF(INDEX(CalcTime,$P500)=0,"",INDEX(CalcTime,$P500)))</f>
        <v/>
      </c>
      <c r="D500" s="28">
        <f>IF($P500="","",IF(INDEX(EntryParty,$P500)=0,"",INDEX(EntryParty,$P500)))</f>
        <v/>
      </c>
      <c r="E500" s="28">
        <f>IF($P500="","",IF(INDEX(EntryPartyName,$P500)=0,"",INDEX(EntryPartyName,$P500)))</f>
        <v/>
      </c>
      <c r="F500" s="28">
        <f>IF($P500="","",IF(INDEX(EntryPartyType,$P500)=0,"",INDEX(EntryPartyType,$P500)))</f>
        <v/>
      </c>
      <c r="G500" s="28">
        <f>IF($P500="","",IF(INDEX(EntryTxnType,$P500)=0,"",INDEX(EntryTxnType,$P500)))</f>
        <v/>
      </c>
      <c r="H500" s="29">
        <f>IF($P500="","",IF(INDEX(EntryDep,$P500)=0,"",INDEX(EntryDep,$P500)))</f>
        <v/>
      </c>
      <c r="I500" s="29">
        <f>IF($P500="","",IF(INDEX(EntryWit,$P500)=0,"",INDEX(EntryWit,$P500)))</f>
        <v/>
      </c>
      <c r="J500" s="29">
        <f>IF($B500="","",IF($A500=1,$C$7,IF(J499="",0,J499))+IF($H500="",0,$H500)-IF($I500="",0,$I500))</f>
        <v/>
      </c>
      <c r="K500" s="29">
        <f>IF($P500="","",IF(INDEX(EntryMan,$P500)=0,"",INDEX(EntryMan,$P500)))</f>
        <v/>
      </c>
      <c r="L500" s="28">
        <f>IF($B500="","",IF($K500="","—",IF(ROUND($K500-$J500,0)=0,"√","×")))</f>
        <v/>
      </c>
      <c r="M500" s="28">
        <f>IF($B500="","",IF(COUNTIFS(EntryDates,$B500,CalcTime,$C500,CalcBank,$C$5,EntryParty,$D500,EntryDep,$H500,EntryWit,$I500)&gt;1,"تکرار",""))</f>
        <v/>
      </c>
      <c r="N500" s="28">
        <f>IF($P500="","",IF(INDEX(EntryNotes,$P500)=0,"",INDEX(EntryNotes,$P500)))</f>
        <v/>
      </c>
      <c r="O500" s="28">
        <f>IF($P500="","",IF(INDEX(EntryTxnID,$P500)=0,"",INDEX(EntryTxnID,$P500)))</f>
        <v/>
      </c>
      <c r="P500" s="28">
        <f>IFERROR(MATCH($C$5&amp;"|"&amp;RIGHT("000000"&amp;484,6),CalcRankKey,0),"")</f>
        <v/>
      </c>
    </row>
    <row r="501">
      <c r="A501" s="26">
        <f>IF($B501="","",485)</f>
        <v/>
      </c>
      <c r="B501" s="26">
        <f>IF($P501="","",IF(INDEX(CalcNormDate,$P501)=0,"",INDEX(CalcNormDate,$P501)))</f>
        <v/>
      </c>
      <c r="C501" s="26">
        <f>IF($P501="","",IF(INDEX(CalcTime,$P501)=0,"",INDEX(CalcTime,$P501)))</f>
        <v/>
      </c>
      <c r="D501" s="26">
        <f>IF($P501="","",IF(INDEX(EntryParty,$P501)=0,"",INDEX(EntryParty,$P501)))</f>
        <v/>
      </c>
      <c r="E501" s="26">
        <f>IF($P501="","",IF(INDEX(EntryPartyName,$P501)=0,"",INDEX(EntryPartyName,$P501)))</f>
        <v/>
      </c>
      <c r="F501" s="26">
        <f>IF($P501="","",IF(INDEX(EntryPartyType,$P501)=0,"",INDEX(EntryPartyType,$P501)))</f>
        <v/>
      </c>
      <c r="G501" s="26">
        <f>IF($P501="","",IF(INDEX(EntryTxnType,$P501)=0,"",INDEX(EntryTxnType,$P501)))</f>
        <v/>
      </c>
      <c r="H501" s="27">
        <f>IF($P501="","",IF(INDEX(EntryDep,$P501)=0,"",INDEX(EntryDep,$P501)))</f>
        <v/>
      </c>
      <c r="I501" s="27">
        <f>IF($P501="","",IF(INDEX(EntryWit,$P501)=0,"",INDEX(EntryWit,$P501)))</f>
        <v/>
      </c>
      <c r="J501" s="27">
        <f>IF($B501="","",IF($A501=1,$C$7,IF(J500="",0,J500))+IF($H501="",0,$H501)-IF($I501="",0,$I501))</f>
        <v/>
      </c>
      <c r="K501" s="27">
        <f>IF($P501="","",IF(INDEX(EntryMan,$P501)=0,"",INDEX(EntryMan,$P501)))</f>
        <v/>
      </c>
      <c r="L501" s="26">
        <f>IF($B501="","",IF($K501="","—",IF(ROUND($K501-$J501,0)=0,"√","×")))</f>
        <v/>
      </c>
      <c r="M501" s="26">
        <f>IF($B501="","",IF(COUNTIFS(EntryDates,$B501,CalcTime,$C501,CalcBank,$C$5,EntryParty,$D501,EntryDep,$H501,EntryWit,$I501)&gt;1,"تکرار",""))</f>
        <v/>
      </c>
      <c r="N501" s="26">
        <f>IF($P501="","",IF(INDEX(EntryNotes,$P501)=0,"",INDEX(EntryNotes,$P501)))</f>
        <v/>
      </c>
      <c r="O501" s="26">
        <f>IF($P501="","",IF(INDEX(EntryTxnID,$P501)=0,"",INDEX(EntryTxnID,$P501)))</f>
        <v/>
      </c>
      <c r="P501" s="26">
        <f>IFERROR(MATCH($C$5&amp;"|"&amp;RIGHT("000000"&amp;485,6),CalcRankKey,0),"")</f>
        <v/>
      </c>
    </row>
    <row r="502">
      <c r="A502" s="28">
        <f>IF($B502="","",486)</f>
        <v/>
      </c>
      <c r="B502" s="28">
        <f>IF($P502="","",IF(INDEX(CalcNormDate,$P502)=0,"",INDEX(CalcNormDate,$P502)))</f>
        <v/>
      </c>
      <c r="C502" s="28">
        <f>IF($P502="","",IF(INDEX(CalcTime,$P502)=0,"",INDEX(CalcTime,$P502)))</f>
        <v/>
      </c>
      <c r="D502" s="28">
        <f>IF($P502="","",IF(INDEX(EntryParty,$P502)=0,"",INDEX(EntryParty,$P502)))</f>
        <v/>
      </c>
      <c r="E502" s="28">
        <f>IF($P502="","",IF(INDEX(EntryPartyName,$P502)=0,"",INDEX(EntryPartyName,$P502)))</f>
        <v/>
      </c>
      <c r="F502" s="28">
        <f>IF($P502="","",IF(INDEX(EntryPartyType,$P502)=0,"",INDEX(EntryPartyType,$P502)))</f>
        <v/>
      </c>
      <c r="G502" s="28">
        <f>IF($P502="","",IF(INDEX(EntryTxnType,$P502)=0,"",INDEX(EntryTxnType,$P502)))</f>
        <v/>
      </c>
      <c r="H502" s="29">
        <f>IF($P502="","",IF(INDEX(EntryDep,$P502)=0,"",INDEX(EntryDep,$P502)))</f>
        <v/>
      </c>
      <c r="I502" s="29">
        <f>IF($P502="","",IF(INDEX(EntryWit,$P502)=0,"",INDEX(EntryWit,$P502)))</f>
        <v/>
      </c>
      <c r="J502" s="29">
        <f>IF($B502="","",IF($A502=1,$C$7,IF(J501="",0,J501))+IF($H502="",0,$H502)-IF($I502="",0,$I502))</f>
        <v/>
      </c>
      <c r="K502" s="29">
        <f>IF($P502="","",IF(INDEX(EntryMan,$P502)=0,"",INDEX(EntryMan,$P502)))</f>
        <v/>
      </c>
      <c r="L502" s="28">
        <f>IF($B502="","",IF($K502="","—",IF(ROUND($K502-$J502,0)=0,"√","×")))</f>
        <v/>
      </c>
      <c r="M502" s="28">
        <f>IF($B502="","",IF(COUNTIFS(EntryDates,$B502,CalcTime,$C502,CalcBank,$C$5,EntryParty,$D502,EntryDep,$H502,EntryWit,$I502)&gt;1,"تکرار",""))</f>
        <v/>
      </c>
      <c r="N502" s="28">
        <f>IF($P502="","",IF(INDEX(EntryNotes,$P502)=0,"",INDEX(EntryNotes,$P502)))</f>
        <v/>
      </c>
      <c r="O502" s="28">
        <f>IF($P502="","",IF(INDEX(EntryTxnID,$P502)=0,"",INDEX(EntryTxnID,$P502)))</f>
        <v/>
      </c>
      <c r="P502" s="28">
        <f>IFERROR(MATCH($C$5&amp;"|"&amp;RIGHT("000000"&amp;486,6),CalcRankKey,0),"")</f>
        <v/>
      </c>
    </row>
    <row r="503">
      <c r="A503" s="26">
        <f>IF($B503="","",487)</f>
        <v/>
      </c>
      <c r="B503" s="26">
        <f>IF($P503="","",IF(INDEX(CalcNormDate,$P503)=0,"",INDEX(CalcNormDate,$P503)))</f>
        <v/>
      </c>
      <c r="C503" s="26">
        <f>IF($P503="","",IF(INDEX(CalcTime,$P503)=0,"",INDEX(CalcTime,$P503)))</f>
        <v/>
      </c>
      <c r="D503" s="26">
        <f>IF($P503="","",IF(INDEX(EntryParty,$P503)=0,"",INDEX(EntryParty,$P503)))</f>
        <v/>
      </c>
      <c r="E503" s="26">
        <f>IF($P503="","",IF(INDEX(EntryPartyName,$P503)=0,"",INDEX(EntryPartyName,$P503)))</f>
        <v/>
      </c>
      <c r="F503" s="26">
        <f>IF($P503="","",IF(INDEX(EntryPartyType,$P503)=0,"",INDEX(EntryPartyType,$P503)))</f>
        <v/>
      </c>
      <c r="G503" s="26">
        <f>IF($P503="","",IF(INDEX(EntryTxnType,$P503)=0,"",INDEX(EntryTxnType,$P503)))</f>
        <v/>
      </c>
      <c r="H503" s="27">
        <f>IF($P503="","",IF(INDEX(EntryDep,$P503)=0,"",INDEX(EntryDep,$P503)))</f>
        <v/>
      </c>
      <c r="I503" s="27">
        <f>IF($P503="","",IF(INDEX(EntryWit,$P503)=0,"",INDEX(EntryWit,$P503)))</f>
        <v/>
      </c>
      <c r="J503" s="27">
        <f>IF($B503="","",IF($A503=1,$C$7,IF(J502="",0,J502))+IF($H503="",0,$H503)-IF($I503="",0,$I503))</f>
        <v/>
      </c>
      <c r="K503" s="27">
        <f>IF($P503="","",IF(INDEX(EntryMan,$P503)=0,"",INDEX(EntryMan,$P503)))</f>
        <v/>
      </c>
      <c r="L503" s="26">
        <f>IF($B503="","",IF($K503="","—",IF(ROUND($K503-$J503,0)=0,"√","×")))</f>
        <v/>
      </c>
      <c r="M503" s="26">
        <f>IF($B503="","",IF(COUNTIFS(EntryDates,$B503,CalcTime,$C503,CalcBank,$C$5,EntryParty,$D503,EntryDep,$H503,EntryWit,$I503)&gt;1,"تکرار",""))</f>
        <v/>
      </c>
      <c r="N503" s="26">
        <f>IF($P503="","",IF(INDEX(EntryNotes,$P503)=0,"",INDEX(EntryNotes,$P503)))</f>
        <v/>
      </c>
      <c r="O503" s="26">
        <f>IF($P503="","",IF(INDEX(EntryTxnID,$P503)=0,"",INDEX(EntryTxnID,$P503)))</f>
        <v/>
      </c>
      <c r="P503" s="26">
        <f>IFERROR(MATCH($C$5&amp;"|"&amp;RIGHT("000000"&amp;487,6),CalcRankKey,0),"")</f>
        <v/>
      </c>
    </row>
    <row r="504">
      <c r="A504" s="28">
        <f>IF($B504="","",488)</f>
        <v/>
      </c>
      <c r="B504" s="28">
        <f>IF($P504="","",IF(INDEX(CalcNormDate,$P504)=0,"",INDEX(CalcNormDate,$P504)))</f>
        <v/>
      </c>
      <c r="C504" s="28">
        <f>IF($P504="","",IF(INDEX(CalcTime,$P504)=0,"",INDEX(CalcTime,$P504)))</f>
        <v/>
      </c>
      <c r="D504" s="28">
        <f>IF($P504="","",IF(INDEX(EntryParty,$P504)=0,"",INDEX(EntryParty,$P504)))</f>
        <v/>
      </c>
      <c r="E504" s="28">
        <f>IF($P504="","",IF(INDEX(EntryPartyName,$P504)=0,"",INDEX(EntryPartyName,$P504)))</f>
        <v/>
      </c>
      <c r="F504" s="28">
        <f>IF($P504="","",IF(INDEX(EntryPartyType,$P504)=0,"",INDEX(EntryPartyType,$P504)))</f>
        <v/>
      </c>
      <c r="G504" s="28">
        <f>IF($P504="","",IF(INDEX(EntryTxnType,$P504)=0,"",INDEX(EntryTxnType,$P504)))</f>
        <v/>
      </c>
      <c r="H504" s="29">
        <f>IF($P504="","",IF(INDEX(EntryDep,$P504)=0,"",INDEX(EntryDep,$P504)))</f>
        <v/>
      </c>
      <c r="I504" s="29">
        <f>IF($P504="","",IF(INDEX(EntryWit,$P504)=0,"",INDEX(EntryWit,$P504)))</f>
        <v/>
      </c>
      <c r="J504" s="29">
        <f>IF($B504="","",IF($A504=1,$C$7,IF(J503="",0,J503))+IF($H504="",0,$H504)-IF($I504="",0,$I504))</f>
        <v/>
      </c>
      <c r="K504" s="29">
        <f>IF($P504="","",IF(INDEX(EntryMan,$P504)=0,"",INDEX(EntryMan,$P504)))</f>
        <v/>
      </c>
      <c r="L504" s="28">
        <f>IF($B504="","",IF($K504="","—",IF(ROUND($K504-$J504,0)=0,"√","×")))</f>
        <v/>
      </c>
      <c r="M504" s="28">
        <f>IF($B504="","",IF(COUNTIFS(EntryDates,$B504,CalcTime,$C504,CalcBank,$C$5,EntryParty,$D504,EntryDep,$H504,EntryWit,$I504)&gt;1,"تکرار",""))</f>
        <v/>
      </c>
      <c r="N504" s="28">
        <f>IF($P504="","",IF(INDEX(EntryNotes,$P504)=0,"",INDEX(EntryNotes,$P504)))</f>
        <v/>
      </c>
      <c r="O504" s="28">
        <f>IF($P504="","",IF(INDEX(EntryTxnID,$P504)=0,"",INDEX(EntryTxnID,$P504)))</f>
        <v/>
      </c>
      <c r="P504" s="28">
        <f>IFERROR(MATCH($C$5&amp;"|"&amp;RIGHT("000000"&amp;488,6),CalcRankKey,0),"")</f>
        <v/>
      </c>
    </row>
    <row r="505">
      <c r="A505" s="26">
        <f>IF($B505="","",489)</f>
        <v/>
      </c>
      <c r="B505" s="26">
        <f>IF($P505="","",IF(INDEX(CalcNormDate,$P505)=0,"",INDEX(CalcNormDate,$P505)))</f>
        <v/>
      </c>
      <c r="C505" s="26">
        <f>IF($P505="","",IF(INDEX(CalcTime,$P505)=0,"",INDEX(CalcTime,$P505)))</f>
        <v/>
      </c>
      <c r="D505" s="26">
        <f>IF($P505="","",IF(INDEX(EntryParty,$P505)=0,"",INDEX(EntryParty,$P505)))</f>
        <v/>
      </c>
      <c r="E505" s="26">
        <f>IF($P505="","",IF(INDEX(EntryPartyName,$P505)=0,"",INDEX(EntryPartyName,$P505)))</f>
        <v/>
      </c>
      <c r="F505" s="26">
        <f>IF($P505="","",IF(INDEX(EntryPartyType,$P505)=0,"",INDEX(EntryPartyType,$P505)))</f>
        <v/>
      </c>
      <c r="G505" s="26">
        <f>IF($P505="","",IF(INDEX(EntryTxnType,$P505)=0,"",INDEX(EntryTxnType,$P505)))</f>
        <v/>
      </c>
      <c r="H505" s="27">
        <f>IF($P505="","",IF(INDEX(EntryDep,$P505)=0,"",INDEX(EntryDep,$P505)))</f>
        <v/>
      </c>
      <c r="I505" s="27">
        <f>IF($P505="","",IF(INDEX(EntryWit,$P505)=0,"",INDEX(EntryWit,$P505)))</f>
        <v/>
      </c>
      <c r="J505" s="27">
        <f>IF($B505="","",IF($A505=1,$C$7,IF(J504="",0,J504))+IF($H505="",0,$H505)-IF($I505="",0,$I505))</f>
        <v/>
      </c>
      <c r="K505" s="27">
        <f>IF($P505="","",IF(INDEX(EntryMan,$P505)=0,"",INDEX(EntryMan,$P505)))</f>
        <v/>
      </c>
      <c r="L505" s="26">
        <f>IF($B505="","",IF($K505="","—",IF(ROUND($K505-$J505,0)=0,"√","×")))</f>
        <v/>
      </c>
      <c r="M505" s="26">
        <f>IF($B505="","",IF(COUNTIFS(EntryDates,$B505,CalcTime,$C505,CalcBank,$C$5,EntryParty,$D505,EntryDep,$H505,EntryWit,$I505)&gt;1,"تکرار",""))</f>
        <v/>
      </c>
      <c r="N505" s="26">
        <f>IF($P505="","",IF(INDEX(EntryNotes,$P505)=0,"",INDEX(EntryNotes,$P505)))</f>
        <v/>
      </c>
      <c r="O505" s="26">
        <f>IF($P505="","",IF(INDEX(EntryTxnID,$P505)=0,"",INDEX(EntryTxnID,$P505)))</f>
        <v/>
      </c>
      <c r="P505" s="26">
        <f>IFERROR(MATCH($C$5&amp;"|"&amp;RIGHT("000000"&amp;489,6),CalcRankKey,0),"")</f>
        <v/>
      </c>
    </row>
    <row r="506">
      <c r="A506" s="28">
        <f>IF($B506="","",490)</f>
        <v/>
      </c>
      <c r="B506" s="28">
        <f>IF($P506="","",IF(INDEX(CalcNormDate,$P506)=0,"",INDEX(CalcNormDate,$P506)))</f>
        <v/>
      </c>
      <c r="C506" s="28">
        <f>IF($P506="","",IF(INDEX(CalcTime,$P506)=0,"",INDEX(CalcTime,$P506)))</f>
        <v/>
      </c>
      <c r="D506" s="28">
        <f>IF($P506="","",IF(INDEX(EntryParty,$P506)=0,"",INDEX(EntryParty,$P506)))</f>
        <v/>
      </c>
      <c r="E506" s="28">
        <f>IF($P506="","",IF(INDEX(EntryPartyName,$P506)=0,"",INDEX(EntryPartyName,$P506)))</f>
        <v/>
      </c>
      <c r="F506" s="28">
        <f>IF($P506="","",IF(INDEX(EntryPartyType,$P506)=0,"",INDEX(EntryPartyType,$P506)))</f>
        <v/>
      </c>
      <c r="G506" s="28">
        <f>IF($P506="","",IF(INDEX(EntryTxnType,$P506)=0,"",INDEX(EntryTxnType,$P506)))</f>
        <v/>
      </c>
      <c r="H506" s="29">
        <f>IF($P506="","",IF(INDEX(EntryDep,$P506)=0,"",INDEX(EntryDep,$P506)))</f>
        <v/>
      </c>
      <c r="I506" s="29">
        <f>IF($P506="","",IF(INDEX(EntryWit,$P506)=0,"",INDEX(EntryWit,$P506)))</f>
        <v/>
      </c>
      <c r="J506" s="29">
        <f>IF($B506="","",IF($A506=1,$C$7,IF(J505="",0,J505))+IF($H506="",0,$H506)-IF($I506="",0,$I506))</f>
        <v/>
      </c>
      <c r="K506" s="29">
        <f>IF($P506="","",IF(INDEX(EntryMan,$P506)=0,"",INDEX(EntryMan,$P506)))</f>
        <v/>
      </c>
      <c r="L506" s="28">
        <f>IF($B506="","",IF($K506="","—",IF(ROUND($K506-$J506,0)=0,"√","×")))</f>
        <v/>
      </c>
      <c r="M506" s="28">
        <f>IF($B506="","",IF(COUNTIFS(EntryDates,$B506,CalcTime,$C506,CalcBank,$C$5,EntryParty,$D506,EntryDep,$H506,EntryWit,$I506)&gt;1,"تکرار",""))</f>
        <v/>
      </c>
      <c r="N506" s="28">
        <f>IF($P506="","",IF(INDEX(EntryNotes,$P506)=0,"",INDEX(EntryNotes,$P506)))</f>
        <v/>
      </c>
      <c r="O506" s="28">
        <f>IF($P506="","",IF(INDEX(EntryTxnID,$P506)=0,"",INDEX(EntryTxnID,$P506)))</f>
        <v/>
      </c>
      <c r="P506" s="28">
        <f>IFERROR(MATCH($C$5&amp;"|"&amp;RIGHT("000000"&amp;490,6),CalcRankKey,0),"")</f>
        <v/>
      </c>
    </row>
    <row r="507">
      <c r="A507" s="26">
        <f>IF($B507="","",491)</f>
        <v/>
      </c>
      <c r="B507" s="26">
        <f>IF($P507="","",IF(INDEX(CalcNormDate,$P507)=0,"",INDEX(CalcNormDate,$P507)))</f>
        <v/>
      </c>
      <c r="C507" s="26">
        <f>IF($P507="","",IF(INDEX(CalcTime,$P507)=0,"",INDEX(CalcTime,$P507)))</f>
        <v/>
      </c>
      <c r="D507" s="26">
        <f>IF($P507="","",IF(INDEX(EntryParty,$P507)=0,"",INDEX(EntryParty,$P507)))</f>
        <v/>
      </c>
      <c r="E507" s="26">
        <f>IF($P507="","",IF(INDEX(EntryPartyName,$P507)=0,"",INDEX(EntryPartyName,$P507)))</f>
        <v/>
      </c>
      <c r="F507" s="26">
        <f>IF($P507="","",IF(INDEX(EntryPartyType,$P507)=0,"",INDEX(EntryPartyType,$P507)))</f>
        <v/>
      </c>
      <c r="G507" s="26">
        <f>IF($P507="","",IF(INDEX(EntryTxnType,$P507)=0,"",INDEX(EntryTxnType,$P507)))</f>
        <v/>
      </c>
      <c r="H507" s="27">
        <f>IF($P507="","",IF(INDEX(EntryDep,$P507)=0,"",INDEX(EntryDep,$P507)))</f>
        <v/>
      </c>
      <c r="I507" s="27">
        <f>IF($P507="","",IF(INDEX(EntryWit,$P507)=0,"",INDEX(EntryWit,$P507)))</f>
        <v/>
      </c>
      <c r="J507" s="27">
        <f>IF($B507="","",IF($A507=1,$C$7,IF(J506="",0,J506))+IF($H507="",0,$H507)-IF($I507="",0,$I507))</f>
        <v/>
      </c>
      <c r="K507" s="27">
        <f>IF($P507="","",IF(INDEX(EntryMan,$P507)=0,"",INDEX(EntryMan,$P507)))</f>
        <v/>
      </c>
      <c r="L507" s="26">
        <f>IF($B507="","",IF($K507="","—",IF(ROUND($K507-$J507,0)=0,"√","×")))</f>
        <v/>
      </c>
      <c r="M507" s="26">
        <f>IF($B507="","",IF(COUNTIFS(EntryDates,$B507,CalcTime,$C507,CalcBank,$C$5,EntryParty,$D507,EntryDep,$H507,EntryWit,$I507)&gt;1,"تکرار",""))</f>
        <v/>
      </c>
      <c r="N507" s="26">
        <f>IF($P507="","",IF(INDEX(EntryNotes,$P507)=0,"",INDEX(EntryNotes,$P507)))</f>
        <v/>
      </c>
      <c r="O507" s="26">
        <f>IF($P507="","",IF(INDEX(EntryTxnID,$P507)=0,"",INDEX(EntryTxnID,$P507)))</f>
        <v/>
      </c>
      <c r="P507" s="26">
        <f>IFERROR(MATCH($C$5&amp;"|"&amp;RIGHT("000000"&amp;491,6),CalcRankKey,0),"")</f>
        <v/>
      </c>
    </row>
    <row r="508">
      <c r="A508" s="28">
        <f>IF($B508="","",492)</f>
        <v/>
      </c>
      <c r="B508" s="28">
        <f>IF($P508="","",IF(INDEX(CalcNormDate,$P508)=0,"",INDEX(CalcNormDate,$P508)))</f>
        <v/>
      </c>
      <c r="C508" s="28">
        <f>IF($P508="","",IF(INDEX(CalcTime,$P508)=0,"",INDEX(CalcTime,$P508)))</f>
        <v/>
      </c>
      <c r="D508" s="28">
        <f>IF($P508="","",IF(INDEX(EntryParty,$P508)=0,"",INDEX(EntryParty,$P508)))</f>
        <v/>
      </c>
      <c r="E508" s="28">
        <f>IF($P508="","",IF(INDEX(EntryPartyName,$P508)=0,"",INDEX(EntryPartyName,$P508)))</f>
        <v/>
      </c>
      <c r="F508" s="28">
        <f>IF($P508="","",IF(INDEX(EntryPartyType,$P508)=0,"",INDEX(EntryPartyType,$P508)))</f>
        <v/>
      </c>
      <c r="G508" s="28">
        <f>IF($P508="","",IF(INDEX(EntryTxnType,$P508)=0,"",INDEX(EntryTxnType,$P508)))</f>
        <v/>
      </c>
      <c r="H508" s="29">
        <f>IF($P508="","",IF(INDEX(EntryDep,$P508)=0,"",INDEX(EntryDep,$P508)))</f>
        <v/>
      </c>
      <c r="I508" s="29">
        <f>IF($P508="","",IF(INDEX(EntryWit,$P508)=0,"",INDEX(EntryWit,$P508)))</f>
        <v/>
      </c>
      <c r="J508" s="29">
        <f>IF($B508="","",IF($A508=1,$C$7,IF(J507="",0,J507))+IF($H508="",0,$H508)-IF($I508="",0,$I508))</f>
        <v/>
      </c>
      <c r="K508" s="29">
        <f>IF($P508="","",IF(INDEX(EntryMan,$P508)=0,"",INDEX(EntryMan,$P508)))</f>
        <v/>
      </c>
      <c r="L508" s="28">
        <f>IF($B508="","",IF($K508="","—",IF(ROUND($K508-$J508,0)=0,"√","×")))</f>
        <v/>
      </c>
      <c r="M508" s="28">
        <f>IF($B508="","",IF(COUNTIFS(EntryDates,$B508,CalcTime,$C508,CalcBank,$C$5,EntryParty,$D508,EntryDep,$H508,EntryWit,$I508)&gt;1,"تکرار",""))</f>
        <v/>
      </c>
      <c r="N508" s="28">
        <f>IF($P508="","",IF(INDEX(EntryNotes,$P508)=0,"",INDEX(EntryNotes,$P508)))</f>
        <v/>
      </c>
      <c r="O508" s="28">
        <f>IF($P508="","",IF(INDEX(EntryTxnID,$P508)=0,"",INDEX(EntryTxnID,$P508)))</f>
        <v/>
      </c>
      <c r="P508" s="28">
        <f>IFERROR(MATCH($C$5&amp;"|"&amp;RIGHT("000000"&amp;492,6),CalcRankKey,0),"")</f>
        <v/>
      </c>
    </row>
    <row r="509">
      <c r="A509" s="26">
        <f>IF($B509="","",493)</f>
        <v/>
      </c>
      <c r="B509" s="26">
        <f>IF($P509="","",IF(INDEX(CalcNormDate,$P509)=0,"",INDEX(CalcNormDate,$P509)))</f>
        <v/>
      </c>
      <c r="C509" s="26">
        <f>IF($P509="","",IF(INDEX(CalcTime,$P509)=0,"",INDEX(CalcTime,$P509)))</f>
        <v/>
      </c>
      <c r="D509" s="26">
        <f>IF($P509="","",IF(INDEX(EntryParty,$P509)=0,"",INDEX(EntryParty,$P509)))</f>
        <v/>
      </c>
      <c r="E509" s="26">
        <f>IF($P509="","",IF(INDEX(EntryPartyName,$P509)=0,"",INDEX(EntryPartyName,$P509)))</f>
        <v/>
      </c>
      <c r="F509" s="26">
        <f>IF($P509="","",IF(INDEX(EntryPartyType,$P509)=0,"",INDEX(EntryPartyType,$P509)))</f>
        <v/>
      </c>
      <c r="G509" s="26">
        <f>IF($P509="","",IF(INDEX(EntryTxnType,$P509)=0,"",INDEX(EntryTxnType,$P509)))</f>
        <v/>
      </c>
      <c r="H509" s="27">
        <f>IF($P509="","",IF(INDEX(EntryDep,$P509)=0,"",INDEX(EntryDep,$P509)))</f>
        <v/>
      </c>
      <c r="I509" s="27">
        <f>IF($P509="","",IF(INDEX(EntryWit,$P509)=0,"",INDEX(EntryWit,$P509)))</f>
        <v/>
      </c>
      <c r="J509" s="27">
        <f>IF($B509="","",IF($A509=1,$C$7,IF(J508="",0,J508))+IF($H509="",0,$H509)-IF($I509="",0,$I509))</f>
        <v/>
      </c>
      <c r="K509" s="27">
        <f>IF($P509="","",IF(INDEX(EntryMan,$P509)=0,"",INDEX(EntryMan,$P509)))</f>
        <v/>
      </c>
      <c r="L509" s="26">
        <f>IF($B509="","",IF($K509="","—",IF(ROUND($K509-$J509,0)=0,"√","×")))</f>
        <v/>
      </c>
      <c r="M509" s="26">
        <f>IF($B509="","",IF(COUNTIFS(EntryDates,$B509,CalcTime,$C509,CalcBank,$C$5,EntryParty,$D509,EntryDep,$H509,EntryWit,$I509)&gt;1,"تکرار",""))</f>
        <v/>
      </c>
      <c r="N509" s="26">
        <f>IF($P509="","",IF(INDEX(EntryNotes,$P509)=0,"",INDEX(EntryNotes,$P509)))</f>
        <v/>
      </c>
      <c r="O509" s="26">
        <f>IF($P509="","",IF(INDEX(EntryTxnID,$P509)=0,"",INDEX(EntryTxnID,$P509)))</f>
        <v/>
      </c>
      <c r="P509" s="26">
        <f>IFERROR(MATCH($C$5&amp;"|"&amp;RIGHT("000000"&amp;493,6),CalcRankKey,0),"")</f>
        <v/>
      </c>
    </row>
    <row r="510">
      <c r="A510" s="28">
        <f>IF($B510="","",494)</f>
        <v/>
      </c>
      <c r="B510" s="28">
        <f>IF($P510="","",IF(INDEX(CalcNormDate,$P510)=0,"",INDEX(CalcNormDate,$P510)))</f>
        <v/>
      </c>
      <c r="C510" s="28">
        <f>IF($P510="","",IF(INDEX(CalcTime,$P510)=0,"",INDEX(CalcTime,$P510)))</f>
        <v/>
      </c>
      <c r="D510" s="28">
        <f>IF($P510="","",IF(INDEX(EntryParty,$P510)=0,"",INDEX(EntryParty,$P510)))</f>
        <v/>
      </c>
      <c r="E510" s="28">
        <f>IF($P510="","",IF(INDEX(EntryPartyName,$P510)=0,"",INDEX(EntryPartyName,$P510)))</f>
        <v/>
      </c>
      <c r="F510" s="28">
        <f>IF($P510="","",IF(INDEX(EntryPartyType,$P510)=0,"",INDEX(EntryPartyType,$P510)))</f>
        <v/>
      </c>
      <c r="G510" s="28">
        <f>IF($P510="","",IF(INDEX(EntryTxnType,$P510)=0,"",INDEX(EntryTxnType,$P510)))</f>
        <v/>
      </c>
      <c r="H510" s="29">
        <f>IF($P510="","",IF(INDEX(EntryDep,$P510)=0,"",INDEX(EntryDep,$P510)))</f>
        <v/>
      </c>
      <c r="I510" s="29">
        <f>IF($P510="","",IF(INDEX(EntryWit,$P510)=0,"",INDEX(EntryWit,$P510)))</f>
        <v/>
      </c>
      <c r="J510" s="29">
        <f>IF($B510="","",IF($A510=1,$C$7,IF(J509="",0,J509))+IF($H510="",0,$H510)-IF($I510="",0,$I510))</f>
        <v/>
      </c>
      <c r="K510" s="29">
        <f>IF($P510="","",IF(INDEX(EntryMan,$P510)=0,"",INDEX(EntryMan,$P510)))</f>
        <v/>
      </c>
      <c r="L510" s="28">
        <f>IF($B510="","",IF($K510="","—",IF(ROUND($K510-$J510,0)=0,"√","×")))</f>
        <v/>
      </c>
      <c r="M510" s="28">
        <f>IF($B510="","",IF(COUNTIFS(EntryDates,$B510,CalcTime,$C510,CalcBank,$C$5,EntryParty,$D510,EntryDep,$H510,EntryWit,$I510)&gt;1,"تکرار",""))</f>
        <v/>
      </c>
      <c r="N510" s="28">
        <f>IF($P510="","",IF(INDEX(EntryNotes,$P510)=0,"",INDEX(EntryNotes,$P510)))</f>
        <v/>
      </c>
      <c r="O510" s="28">
        <f>IF($P510="","",IF(INDEX(EntryTxnID,$P510)=0,"",INDEX(EntryTxnID,$P510)))</f>
        <v/>
      </c>
      <c r="P510" s="28">
        <f>IFERROR(MATCH($C$5&amp;"|"&amp;RIGHT("000000"&amp;494,6),CalcRankKey,0),"")</f>
        <v/>
      </c>
    </row>
    <row r="511">
      <c r="A511" s="26">
        <f>IF($B511="","",495)</f>
        <v/>
      </c>
      <c r="B511" s="26">
        <f>IF($P511="","",IF(INDEX(CalcNormDate,$P511)=0,"",INDEX(CalcNormDate,$P511)))</f>
        <v/>
      </c>
      <c r="C511" s="26">
        <f>IF($P511="","",IF(INDEX(CalcTime,$P511)=0,"",INDEX(CalcTime,$P511)))</f>
        <v/>
      </c>
      <c r="D511" s="26">
        <f>IF($P511="","",IF(INDEX(EntryParty,$P511)=0,"",INDEX(EntryParty,$P511)))</f>
        <v/>
      </c>
      <c r="E511" s="26">
        <f>IF($P511="","",IF(INDEX(EntryPartyName,$P511)=0,"",INDEX(EntryPartyName,$P511)))</f>
        <v/>
      </c>
      <c r="F511" s="26">
        <f>IF($P511="","",IF(INDEX(EntryPartyType,$P511)=0,"",INDEX(EntryPartyType,$P511)))</f>
        <v/>
      </c>
      <c r="G511" s="26">
        <f>IF($P511="","",IF(INDEX(EntryTxnType,$P511)=0,"",INDEX(EntryTxnType,$P511)))</f>
        <v/>
      </c>
      <c r="H511" s="27">
        <f>IF($P511="","",IF(INDEX(EntryDep,$P511)=0,"",INDEX(EntryDep,$P511)))</f>
        <v/>
      </c>
      <c r="I511" s="27">
        <f>IF($P511="","",IF(INDEX(EntryWit,$P511)=0,"",INDEX(EntryWit,$P511)))</f>
        <v/>
      </c>
      <c r="J511" s="27">
        <f>IF($B511="","",IF($A511=1,$C$7,IF(J510="",0,J510))+IF($H511="",0,$H511)-IF($I511="",0,$I511))</f>
        <v/>
      </c>
      <c r="K511" s="27">
        <f>IF($P511="","",IF(INDEX(EntryMan,$P511)=0,"",INDEX(EntryMan,$P511)))</f>
        <v/>
      </c>
      <c r="L511" s="26">
        <f>IF($B511="","",IF($K511="","—",IF(ROUND($K511-$J511,0)=0,"√","×")))</f>
        <v/>
      </c>
      <c r="M511" s="26">
        <f>IF($B511="","",IF(COUNTIFS(EntryDates,$B511,CalcTime,$C511,CalcBank,$C$5,EntryParty,$D511,EntryDep,$H511,EntryWit,$I511)&gt;1,"تکرار",""))</f>
        <v/>
      </c>
      <c r="N511" s="26">
        <f>IF($P511="","",IF(INDEX(EntryNotes,$P511)=0,"",INDEX(EntryNotes,$P511)))</f>
        <v/>
      </c>
      <c r="O511" s="26">
        <f>IF($P511="","",IF(INDEX(EntryTxnID,$P511)=0,"",INDEX(EntryTxnID,$P511)))</f>
        <v/>
      </c>
      <c r="P511" s="26">
        <f>IFERROR(MATCH($C$5&amp;"|"&amp;RIGHT("000000"&amp;495,6),CalcRankKey,0),"")</f>
        <v/>
      </c>
    </row>
    <row r="512">
      <c r="A512" s="28">
        <f>IF($B512="","",496)</f>
        <v/>
      </c>
      <c r="B512" s="28">
        <f>IF($P512="","",IF(INDEX(CalcNormDate,$P512)=0,"",INDEX(CalcNormDate,$P512)))</f>
        <v/>
      </c>
      <c r="C512" s="28">
        <f>IF($P512="","",IF(INDEX(CalcTime,$P512)=0,"",INDEX(CalcTime,$P512)))</f>
        <v/>
      </c>
      <c r="D512" s="28">
        <f>IF($P512="","",IF(INDEX(EntryParty,$P512)=0,"",INDEX(EntryParty,$P512)))</f>
        <v/>
      </c>
      <c r="E512" s="28">
        <f>IF($P512="","",IF(INDEX(EntryPartyName,$P512)=0,"",INDEX(EntryPartyName,$P512)))</f>
        <v/>
      </c>
      <c r="F512" s="28">
        <f>IF($P512="","",IF(INDEX(EntryPartyType,$P512)=0,"",INDEX(EntryPartyType,$P512)))</f>
        <v/>
      </c>
      <c r="G512" s="28">
        <f>IF($P512="","",IF(INDEX(EntryTxnType,$P512)=0,"",INDEX(EntryTxnType,$P512)))</f>
        <v/>
      </c>
      <c r="H512" s="29">
        <f>IF($P512="","",IF(INDEX(EntryDep,$P512)=0,"",INDEX(EntryDep,$P512)))</f>
        <v/>
      </c>
      <c r="I512" s="29">
        <f>IF($P512="","",IF(INDEX(EntryWit,$P512)=0,"",INDEX(EntryWit,$P512)))</f>
        <v/>
      </c>
      <c r="J512" s="29">
        <f>IF($B512="","",IF($A512=1,$C$7,IF(J511="",0,J511))+IF($H512="",0,$H512)-IF($I512="",0,$I512))</f>
        <v/>
      </c>
      <c r="K512" s="29">
        <f>IF($P512="","",IF(INDEX(EntryMan,$P512)=0,"",INDEX(EntryMan,$P512)))</f>
        <v/>
      </c>
      <c r="L512" s="28">
        <f>IF($B512="","",IF($K512="","—",IF(ROUND($K512-$J512,0)=0,"√","×")))</f>
        <v/>
      </c>
      <c r="M512" s="28">
        <f>IF($B512="","",IF(COUNTIFS(EntryDates,$B512,CalcTime,$C512,CalcBank,$C$5,EntryParty,$D512,EntryDep,$H512,EntryWit,$I512)&gt;1,"تکرار",""))</f>
        <v/>
      </c>
      <c r="N512" s="28">
        <f>IF($P512="","",IF(INDEX(EntryNotes,$P512)=0,"",INDEX(EntryNotes,$P512)))</f>
        <v/>
      </c>
      <c r="O512" s="28">
        <f>IF($P512="","",IF(INDEX(EntryTxnID,$P512)=0,"",INDEX(EntryTxnID,$P512)))</f>
        <v/>
      </c>
      <c r="P512" s="28">
        <f>IFERROR(MATCH($C$5&amp;"|"&amp;RIGHT("000000"&amp;496,6),CalcRankKey,0),"")</f>
        <v/>
      </c>
    </row>
    <row r="513">
      <c r="A513" s="26">
        <f>IF($B513="","",497)</f>
        <v/>
      </c>
      <c r="B513" s="26">
        <f>IF($P513="","",IF(INDEX(CalcNormDate,$P513)=0,"",INDEX(CalcNormDate,$P513)))</f>
        <v/>
      </c>
      <c r="C513" s="26">
        <f>IF($P513="","",IF(INDEX(CalcTime,$P513)=0,"",INDEX(CalcTime,$P513)))</f>
        <v/>
      </c>
      <c r="D513" s="26">
        <f>IF($P513="","",IF(INDEX(EntryParty,$P513)=0,"",INDEX(EntryParty,$P513)))</f>
        <v/>
      </c>
      <c r="E513" s="26">
        <f>IF($P513="","",IF(INDEX(EntryPartyName,$P513)=0,"",INDEX(EntryPartyName,$P513)))</f>
        <v/>
      </c>
      <c r="F513" s="26">
        <f>IF($P513="","",IF(INDEX(EntryPartyType,$P513)=0,"",INDEX(EntryPartyType,$P513)))</f>
        <v/>
      </c>
      <c r="G513" s="26">
        <f>IF($P513="","",IF(INDEX(EntryTxnType,$P513)=0,"",INDEX(EntryTxnType,$P513)))</f>
        <v/>
      </c>
      <c r="H513" s="27">
        <f>IF($P513="","",IF(INDEX(EntryDep,$P513)=0,"",INDEX(EntryDep,$P513)))</f>
        <v/>
      </c>
      <c r="I513" s="27">
        <f>IF($P513="","",IF(INDEX(EntryWit,$P513)=0,"",INDEX(EntryWit,$P513)))</f>
        <v/>
      </c>
      <c r="J513" s="27">
        <f>IF($B513="","",IF($A513=1,$C$7,IF(J512="",0,J512))+IF($H513="",0,$H513)-IF($I513="",0,$I513))</f>
        <v/>
      </c>
      <c r="K513" s="27">
        <f>IF($P513="","",IF(INDEX(EntryMan,$P513)=0,"",INDEX(EntryMan,$P513)))</f>
        <v/>
      </c>
      <c r="L513" s="26">
        <f>IF($B513="","",IF($K513="","—",IF(ROUND($K513-$J513,0)=0,"√","×")))</f>
        <v/>
      </c>
      <c r="M513" s="26">
        <f>IF($B513="","",IF(COUNTIFS(EntryDates,$B513,CalcTime,$C513,CalcBank,$C$5,EntryParty,$D513,EntryDep,$H513,EntryWit,$I513)&gt;1,"تکرار",""))</f>
        <v/>
      </c>
      <c r="N513" s="26">
        <f>IF($P513="","",IF(INDEX(EntryNotes,$P513)=0,"",INDEX(EntryNotes,$P513)))</f>
        <v/>
      </c>
      <c r="O513" s="26">
        <f>IF($P513="","",IF(INDEX(EntryTxnID,$P513)=0,"",INDEX(EntryTxnID,$P513)))</f>
        <v/>
      </c>
      <c r="P513" s="26">
        <f>IFERROR(MATCH($C$5&amp;"|"&amp;RIGHT("000000"&amp;497,6),CalcRankKey,0),"")</f>
        <v/>
      </c>
    </row>
    <row r="514">
      <c r="A514" s="28">
        <f>IF($B514="","",498)</f>
        <v/>
      </c>
      <c r="B514" s="28">
        <f>IF($P514="","",IF(INDEX(CalcNormDate,$P514)=0,"",INDEX(CalcNormDate,$P514)))</f>
        <v/>
      </c>
      <c r="C514" s="28">
        <f>IF($P514="","",IF(INDEX(CalcTime,$P514)=0,"",INDEX(CalcTime,$P514)))</f>
        <v/>
      </c>
      <c r="D514" s="28">
        <f>IF($P514="","",IF(INDEX(EntryParty,$P514)=0,"",INDEX(EntryParty,$P514)))</f>
        <v/>
      </c>
      <c r="E514" s="28">
        <f>IF($P514="","",IF(INDEX(EntryPartyName,$P514)=0,"",INDEX(EntryPartyName,$P514)))</f>
        <v/>
      </c>
      <c r="F514" s="28">
        <f>IF($P514="","",IF(INDEX(EntryPartyType,$P514)=0,"",INDEX(EntryPartyType,$P514)))</f>
        <v/>
      </c>
      <c r="G514" s="28">
        <f>IF($P514="","",IF(INDEX(EntryTxnType,$P514)=0,"",INDEX(EntryTxnType,$P514)))</f>
        <v/>
      </c>
      <c r="H514" s="29">
        <f>IF($P514="","",IF(INDEX(EntryDep,$P514)=0,"",INDEX(EntryDep,$P514)))</f>
        <v/>
      </c>
      <c r="I514" s="29">
        <f>IF($P514="","",IF(INDEX(EntryWit,$P514)=0,"",INDEX(EntryWit,$P514)))</f>
        <v/>
      </c>
      <c r="J514" s="29">
        <f>IF($B514="","",IF($A514=1,$C$7,IF(J513="",0,J513))+IF($H514="",0,$H514)-IF($I514="",0,$I514))</f>
        <v/>
      </c>
      <c r="K514" s="29">
        <f>IF($P514="","",IF(INDEX(EntryMan,$P514)=0,"",INDEX(EntryMan,$P514)))</f>
        <v/>
      </c>
      <c r="L514" s="28">
        <f>IF($B514="","",IF($K514="","—",IF(ROUND($K514-$J514,0)=0,"√","×")))</f>
        <v/>
      </c>
      <c r="M514" s="28">
        <f>IF($B514="","",IF(COUNTIFS(EntryDates,$B514,CalcTime,$C514,CalcBank,$C$5,EntryParty,$D514,EntryDep,$H514,EntryWit,$I514)&gt;1,"تکرار",""))</f>
        <v/>
      </c>
      <c r="N514" s="28">
        <f>IF($P514="","",IF(INDEX(EntryNotes,$P514)=0,"",INDEX(EntryNotes,$P514)))</f>
        <v/>
      </c>
      <c r="O514" s="28">
        <f>IF($P514="","",IF(INDEX(EntryTxnID,$P514)=0,"",INDEX(EntryTxnID,$P514)))</f>
        <v/>
      </c>
      <c r="P514" s="28">
        <f>IFERROR(MATCH($C$5&amp;"|"&amp;RIGHT("000000"&amp;498,6),CalcRankKey,0),"")</f>
        <v/>
      </c>
    </row>
    <row r="515">
      <c r="A515" s="26">
        <f>IF($B515="","",499)</f>
        <v/>
      </c>
      <c r="B515" s="26">
        <f>IF($P515="","",IF(INDEX(CalcNormDate,$P515)=0,"",INDEX(CalcNormDate,$P515)))</f>
        <v/>
      </c>
      <c r="C515" s="26">
        <f>IF($P515="","",IF(INDEX(CalcTime,$P515)=0,"",INDEX(CalcTime,$P515)))</f>
        <v/>
      </c>
      <c r="D515" s="26">
        <f>IF($P515="","",IF(INDEX(EntryParty,$P515)=0,"",INDEX(EntryParty,$P515)))</f>
        <v/>
      </c>
      <c r="E515" s="26">
        <f>IF($P515="","",IF(INDEX(EntryPartyName,$P515)=0,"",INDEX(EntryPartyName,$P515)))</f>
        <v/>
      </c>
      <c r="F515" s="26">
        <f>IF($P515="","",IF(INDEX(EntryPartyType,$P515)=0,"",INDEX(EntryPartyType,$P515)))</f>
        <v/>
      </c>
      <c r="G515" s="26">
        <f>IF($P515="","",IF(INDEX(EntryTxnType,$P515)=0,"",INDEX(EntryTxnType,$P515)))</f>
        <v/>
      </c>
      <c r="H515" s="27">
        <f>IF($P515="","",IF(INDEX(EntryDep,$P515)=0,"",INDEX(EntryDep,$P515)))</f>
        <v/>
      </c>
      <c r="I515" s="27">
        <f>IF($P515="","",IF(INDEX(EntryWit,$P515)=0,"",INDEX(EntryWit,$P515)))</f>
        <v/>
      </c>
      <c r="J515" s="27">
        <f>IF($B515="","",IF($A515=1,$C$7,IF(J514="",0,J514))+IF($H515="",0,$H515)-IF($I515="",0,$I515))</f>
        <v/>
      </c>
      <c r="K515" s="27">
        <f>IF($P515="","",IF(INDEX(EntryMan,$P515)=0,"",INDEX(EntryMan,$P515)))</f>
        <v/>
      </c>
      <c r="L515" s="26">
        <f>IF($B515="","",IF($K515="","—",IF(ROUND($K515-$J515,0)=0,"√","×")))</f>
        <v/>
      </c>
      <c r="M515" s="26">
        <f>IF($B515="","",IF(COUNTIFS(EntryDates,$B515,CalcTime,$C515,CalcBank,$C$5,EntryParty,$D515,EntryDep,$H515,EntryWit,$I515)&gt;1,"تکرار",""))</f>
        <v/>
      </c>
      <c r="N515" s="26">
        <f>IF($P515="","",IF(INDEX(EntryNotes,$P515)=0,"",INDEX(EntryNotes,$P515)))</f>
        <v/>
      </c>
      <c r="O515" s="26">
        <f>IF($P515="","",IF(INDEX(EntryTxnID,$P515)=0,"",INDEX(EntryTxnID,$P515)))</f>
        <v/>
      </c>
      <c r="P515" s="26">
        <f>IFERROR(MATCH($C$5&amp;"|"&amp;RIGHT("000000"&amp;499,6),CalcRankKey,0),"")</f>
        <v/>
      </c>
    </row>
    <row r="516">
      <c r="A516" s="28">
        <f>IF($B516="","",500)</f>
        <v/>
      </c>
      <c r="B516" s="28">
        <f>IF($P516="","",IF(INDEX(CalcNormDate,$P516)=0,"",INDEX(CalcNormDate,$P516)))</f>
        <v/>
      </c>
      <c r="C516" s="28">
        <f>IF($P516="","",IF(INDEX(CalcTime,$P516)=0,"",INDEX(CalcTime,$P516)))</f>
        <v/>
      </c>
      <c r="D516" s="28">
        <f>IF($P516="","",IF(INDEX(EntryParty,$P516)=0,"",INDEX(EntryParty,$P516)))</f>
        <v/>
      </c>
      <c r="E516" s="28">
        <f>IF($P516="","",IF(INDEX(EntryPartyName,$P516)=0,"",INDEX(EntryPartyName,$P516)))</f>
        <v/>
      </c>
      <c r="F516" s="28">
        <f>IF($P516="","",IF(INDEX(EntryPartyType,$P516)=0,"",INDEX(EntryPartyType,$P516)))</f>
        <v/>
      </c>
      <c r="G516" s="28">
        <f>IF($P516="","",IF(INDEX(EntryTxnType,$P516)=0,"",INDEX(EntryTxnType,$P516)))</f>
        <v/>
      </c>
      <c r="H516" s="29">
        <f>IF($P516="","",IF(INDEX(EntryDep,$P516)=0,"",INDEX(EntryDep,$P516)))</f>
        <v/>
      </c>
      <c r="I516" s="29">
        <f>IF($P516="","",IF(INDEX(EntryWit,$P516)=0,"",INDEX(EntryWit,$P516)))</f>
        <v/>
      </c>
      <c r="J516" s="29">
        <f>IF($B516="","",IF($A516=1,$C$7,IF(J515="",0,J515))+IF($H516="",0,$H516)-IF($I516="",0,$I516))</f>
        <v/>
      </c>
      <c r="K516" s="29">
        <f>IF($P516="","",IF(INDEX(EntryMan,$P516)=0,"",INDEX(EntryMan,$P516)))</f>
        <v/>
      </c>
      <c r="L516" s="28">
        <f>IF($B516="","",IF($K516="","—",IF(ROUND($K516-$J516,0)=0,"√","×")))</f>
        <v/>
      </c>
      <c r="M516" s="28">
        <f>IF($B516="","",IF(COUNTIFS(EntryDates,$B516,CalcTime,$C516,CalcBank,$C$5,EntryParty,$D516,EntryDep,$H516,EntryWit,$I516)&gt;1,"تکرار",""))</f>
        <v/>
      </c>
      <c r="N516" s="28">
        <f>IF($P516="","",IF(INDEX(EntryNotes,$P516)=0,"",INDEX(EntryNotes,$P516)))</f>
        <v/>
      </c>
      <c r="O516" s="28">
        <f>IF($P516="","",IF(INDEX(EntryTxnID,$P516)=0,"",INDEX(EntryTxnID,$P516)))</f>
        <v/>
      </c>
      <c r="P516" s="28">
        <f>IFERROR(MATCH($C$5&amp;"|"&amp;RIGHT("000000"&amp;500,6),CalcRankKey,0),"")</f>
        <v/>
      </c>
    </row>
  </sheetData>
  <mergeCells count="43">
    <mergeCell ref="E12:F12"/>
    <mergeCell ref="G12:H12"/>
    <mergeCell ref="O12"/>
    <mergeCell ref="H10:I10"/>
    <mergeCell ref="I4:O4"/>
    <mergeCell ref="A6:B6"/>
    <mergeCell ref="H9:I9"/>
    <mergeCell ref="J7:O7"/>
    <mergeCell ref="O13"/>
    <mergeCell ref="A2:O2"/>
    <mergeCell ref="A7:B7"/>
    <mergeCell ref="H6:I6"/>
    <mergeCell ref="C8:E8"/>
    <mergeCell ref="E13:F13"/>
    <mergeCell ref="G13:H13"/>
    <mergeCell ref="C7:E7"/>
    <mergeCell ref="A9:E10"/>
    <mergeCell ref="A12:B12"/>
    <mergeCell ref="M13:N13"/>
    <mergeCell ref="C12:D12"/>
    <mergeCell ref="A3:H3"/>
    <mergeCell ref="I12:J12"/>
    <mergeCell ref="K12:L12"/>
    <mergeCell ref="M12:N12"/>
    <mergeCell ref="H7:I7"/>
    <mergeCell ref="A5:B5"/>
    <mergeCell ref="J8:O8"/>
    <mergeCell ref="A8:B8"/>
    <mergeCell ref="C6:E6"/>
    <mergeCell ref="A4:H4"/>
    <mergeCell ref="J5:O5"/>
    <mergeCell ref="C5:E5"/>
    <mergeCell ref="J10:O10"/>
    <mergeCell ref="I3:O3"/>
    <mergeCell ref="A1:O1"/>
    <mergeCell ref="A13:B13"/>
    <mergeCell ref="H5:I5"/>
    <mergeCell ref="J9:O9"/>
    <mergeCell ref="C13:D13"/>
    <mergeCell ref="H8:I8"/>
    <mergeCell ref="I13:J13"/>
    <mergeCell ref="K13:L13"/>
    <mergeCell ref="J6:O6"/>
  </mergeCells>
  <conditionalFormatting sqref="L17:L516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3">
      <formula>"—"</formula>
    </cfRule>
  </conditionalFormatting>
  <conditionalFormatting sqref="M17:M516">
    <cfRule type="cellIs" priority="4" operator="equal" dxfId="4">
      <formula>"تکرار"</formula>
    </cfRule>
  </conditionalFormatting>
  <conditionalFormatting sqref="J17:J516">
    <cfRule type="cellIs" priority="5" operator="lessThan" dxfId="5">
      <formula>0</formula>
    </cfRule>
  </conditionalFormatting>
  <conditionalFormatting sqref="H17:H516">
    <cfRule type="dataBar" priority="6">
      <dataBar showValue="1">
        <cfvo type="num" val="0"/>
        <cfvo type="max"/>
        <color rgb="0081C784"/>
      </dataBar>
    </cfRule>
  </conditionalFormatting>
  <conditionalFormatting sqref="I17:I516">
    <cfRule type="dataBar" priority="7">
      <dataBar showValue="1">
        <cfvo type="num" val="0"/>
        <cfvo type="max"/>
        <color rgb="00FF8A65"/>
      </dataBar>
    </cfRule>
  </conditionalFormatting>
  <conditionalFormatting sqref="A4:H4">
    <cfRule type="expression" priority="8" dxfId="6">
      <formula>LEN($A$4)&gt;0</formula>
    </cfRule>
  </conditionalFormatting>
  <conditionalFormatting sqref="I13">
    <cfRule type="expression" priority="9" dxfId="7">
      <formula>ISNUMBER(SEARCH("×",$I$13))</formula>
    </cfRule>
    <cfRule type="expression" priority="10" dxfId="8">
      <formula>ISNUMBER(SEARCH("√",$I$13))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بانکی — BANK10&amp;R&amp;"Tahoma"&amp;8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B5E20"/>
    <outlinePr summaryBelow="1" summaryRight="1"/>
    <pageSetUpPr fitToPage="1"/>
  </sheetPr>
  <dimension ref="A1:K42"/>
  <sheetViews>
    <sheetView showGridLines="0" rightToLeft="1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6" customWidth="1" min="4" max="4"/>
    <col width="16" customWidth="1" min="5" max="5"/>
    <col width="18" customWidth="1" min="6" max="6"/>
    <col width="19" customWidth="1" min="7" max="7"/>
    <col width="16" customWidth="1" min="8" max="8"/>
    <col width="10" customWidth="1" min="9" max="9"/>
    <col width="12" customWidth="1" min="10" max="10"/>
    <col width="10" customWidth="1" min="11" max="11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4" customHeight="1">
      <c r="A3" s="3" t="inlineStr">
        <is>
          <t>خلاصه و تحلیل کل حساب‌های بانکی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18" customHeight="1">
      <c r="A4" s="30">
        <f>IF(ISERROR(VLOOKUP("BANK01",BankTbl,2,0)),"× اتصال به فایل مادر (INFO) برقرار نیست — مسیر: Data ← Edit Links ← Update Values","√ متصل به فایل مادر (Mazandasht_INFO.xlsx)")</f>
        <v/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6" ht="13" customHeight="1">
      <c r="A6" s="5" t="inlineStr">
        <is>
          <t>جمع مانده اولیه (ریال)</t>
        </is>
      </c>
      <c r="B6" s="5" t="n"/>
      <c r="C6" s="5" t="n"/>
      <c r="D6" s="5" t="inlineStr">
        <is>
          <t>جمع واریز کل (ریال)</t>
        </is>
      </c>
      <c r="E6" s="5" t="n"/>
      <c r="F6" s="5" t="n"/>
      <c r="G6" s="5" t="inlineStr">
        <is>
          <t>جمع برداشت کل (ریال)</t>
        </is>
      </c>
      <c r="H6" s="5" t="n"/>
      <c r="I6" s="5" t="n"/>
      <c r="J6" s="5" t="inlineStr">
        <is>
          <t>جمع مانده نهایی سیستم (ریال)</t>
        </is>
      </c>
      <c r="K6" s="5" t="n"/>
    </row>
    <row r="7" ht="20" customHeight="1">
      <c r="A7" s="7">
        <f>$C$22</f>
        <v/>
      </c>
      <c r="B7" s="7" t="n"/>
      <c r="C7" s="7" t="n"/>
      <c r="D7" s="7">
        <f>$D$22</f>
        <v/>
      </c>
      <c r="E7" s="7" t="n"/>
      <c r="F7" s="7" t="n"/>
      <c r="G7" s="7">
        <f>$E$22</f>
        <v/>
      </c>
      <c r="H7" s="7" t="n"/>
      <c r="I7" s="7" t="n"/>
      <c r="J7" s="7">
        <f>$F$22</f>
        <v/>
      </c>
      <c r="K7" s="7" t="n"/>
    </row>
    <row r="8" ht="13" customHeight="1">
      <c r="A8" s="5" t="inlineStr">
        <is>
          <t>جمع آخرین موجودی بانک‌ها (ریال)</t>
        </is>
      </c>
      <c r="B8" s="5" t="n"/>
      <c r="C8" s="5" t="n"/>
      <c r="D8" s="5" t="inlineStr">
        <is>
          <t>تعداد کل تراکنش‌ها</t>
        </is>
      </c>
      <c r="E8" s="5" t="n"/>
      <c r="F8" s="5" t="n"/>
      <c r="G8" s="5" t="inlineStr">
        <is>
          <t>بانک‌های دارای مغایرت</t>
        </is>
      </c>
      <c r="H8" s="5" t="n"/>
      <c r="I8" s="5" t="n"/>
      <c r="J8" s="5" t="inlineStr">
        <is>
          <t>ردیف‌های تکراری کل</t>
        </is>
      </c>
      <c r="K8" s="5" t="n"/>
    </row>
    <row r="9" ht="20" customHeight="1">
      <c r="A9" s="7">
        <f>SUM($G$12:$G$21)</f>
        <v/>
      </c>
      <c r="B9" s="7" t="n"/>
      <c r="C9" s="7" t="n"/>
      <c r="D9" s="6">
        <f>$J$22</f>
        <v/>
      </c>
      <c r="E9" s="6" t="n"/>
      <c r="F9" s="6" t="n"/>
      <c r="G9" s="6">
        <f>COUNTIF($I$12:$I$21,"×")</f>
        <v/>
      </c>
      <c r="H9" s="6" t="n"/>
      <c r="I9" s="6" t="n"/>
      <c r="J9" s="6">
        <f>$K$22</f>
        <v/>
      </c>
      <c r="K9" s="6" t="n"/>
    </row>
    <row r="11" ht="30" customHeight="1">
      <c r="A11" s="8" t="inlineStr">
        <is>
          <t>کد</t>
        </is>
      </c>
      <c r="B11" s="8" t="inlineStr">
        <is>
          <t>بانک</t>
        </is>
      </c>
      <c r="C11" s="8" t="inlineStr">
        <is>
          <t>مانده اولیه</t>
        </is>
      </c>
      <c r="D11" s="8" t="inlineStr">
        <is>
          <t>واریز</t>
        </is>
      </c>
      <c r="E11" s="8" t="inlineStr">
        <is>
          <t>برداشت</t>
        </is>
      </c>
      <c r="F11" s="8" t="inlineStr">
        <is>
          <t>مانده نهایی سیستم</t>
        </is>
      </c>
      <c r="G11" s="8" t="inlineStr">
        <is>
          <t>آخرین موجودی بانک</t>
        </is>
      </c>
      <c r="H11" s="8" t="inlineStr">
        <is>
          <t>مغایرت (ریال)</t>
        </is>
      </c>
      <c r="I11" s="8" t="inlineStr">
        <is>
          <t>وضعیت</t>
        </is>
      </c>
      <c r="J11" s="8" t="inlineStr">
        <is>
          <t>تعداد تراکنش</t>
        </is>
      </c>
      <c r="K11" s="8" t="inlineStr">
        <is>
          <t>تکراری</t>
        </is>
      </c>
    </row>
    <row r="12" ht="13" customHeight="1">
      <c r="A12" s="26" t="inlineStr">
        <is>
          <t>BANK01</t>
        </is>
      </c>
      <c r="B12" s="26">
        <f>IFERROR(IF(VLOOKUP("BANK01",BankTbl,2,0)="","(بدون عنوان)",VLOOKUP("BANK01",BankTbl,2,0)),"—")</f>
        <v/>
      </c>
      <c r="C12" s="27">
        <f>IFERROR(VLOOKUP("BANK01",BankTbl,3,0),0)</f>
        <v/>
      </c>
      <c r="D12" s="27">
        <f>SUMIFS(CalcDep,CalcBank,$A12)</f>
        <v/>
      </c>
      <c r="E12" s="27">
        <f>SUMIFS(CalcWit,CalcBank,$A12)</f>
        <v/>
      </c>
      <c r="F12" s="27">
        <f>$C12+$D12-$E12</f>
        <v/>
      </c>
      <c r="G12" s="27">
        <f>IFERROR(LOOKUP(9.99E+307,Bank1!$K$17:$K$516),"")</f>
        <v/>
      </c>
      <c r="H12" s="27">
        <f>IF($G12="","—",ROUND($G12-$F12,0))</f>
        <v/>
      </c>
      <c r="I12" s="26">
        <f>IF($G12="","—",IF(ROUND($H12,0)=0,"√","×"))</f>
        <v/>
      </c>
      <c r="J12" s="26">
        <f>COUNTIFS(CalcBank,$A12)</f>
        <v/>
      </c>
      <c r="K12" s="26">
        <f>Bank1!$M$13</f>
        <v/>
      </c>
    </row>
    <row r="13">
      <c r="A13" s="28" t="inlineStr">
        <is>
          <t>BANK02</t>
        </is>
      </c>
      <c r="B13" s="28">
        <f>IFERROR(IF(VLOOKUP("BANK02",BankTbl,2,0)="","(بدون عنوان)",VLOOKUP("BANK02",BankTbl,2,0)),"—")</f>
        <v/>
      </c>
      <c r="C13" s="29">
        <f>IFERROR(VLOOKUP("BANK02",BankTbl,3,0),0)</f>
        <v/>
      </c>
      <c r="D13" s="29">
        <f>SUMIFS(CalcDep,CalcBank,$A13)</f>
        <v/>
      </c>
      <c r="E13" s="29">
        <f>SUMIFS(CalcWit,CalcBank,$A13)</f>
        <v/>
      </c>
      <c r="F13" s="29">
        <f>$C13+$D13-$E13</f>
        <v/>
      </c>
      <c r="G13" s="29">
        <f>IFERROR(LOOKUP(9.99E+307,Bank2!$K$17:$K$516),"")</f>
        <v/>
      </c>
      <c r="H13" s="29">
        <f>IF($G13="","—",ROUND($G13-$F13,0))</f>
        <v/>
      </c>
      <c r="I13" s="28">
        <f>IF($G13="","—",IF(ROUND($H13,0)=0,"√","×"))</f>
        <v/>
      </c>
      <c r="J13" s="28">
        <f>COUNTIFS(CalcBank,$A13)</f>
        <v/>
      </c>
      <c r="K13" s="28">
        <f>Bank2!$M$13</f>
        <v/>
      </c>
    </row>
    <row r="14">
      <c r="A14" s="26" t="inlineStr">
        <is>
          <t>BANK03</t>
        </is>
      </c>
      <c r="B14" s="26">
        <f>IFERROR(IF(VLOOKUP("BANK03",BankTbl,2,0)="","(بدون عنوان)",VLOOKUP("BANK03",BankTbl,2,0)),"—")</f>
        <v/>
      </c>
      <c r="C14" s="27">
        <f>IFERROR(VLOOKUP("BANK03",BankTbl,3,0),0)</f>
        <v/>
      </c>
      <c r="D14" s="27">
        <f>SUMIFS(CalcDep,CalcBank,$A14)</f>
        <v/>
      </c>
      <c r="E14" s="27">
        <f>SUMIFS(CalcWit,CalcBank,$A14)</f>
        <v/>
      </c>
      <c r="F14" s="27">
        <f>$C14+$D14-$E14</f>
        <v/>
      </c>
      <c r="G14" s="27">
        <f>IFERROR(LOOKUP(9.99E+307,Bank3!$K$17:$K$516),"")</f>
        <v/>
      </c>
      <c r="H14" s="27">
        <f>IF($G14="","—",ROUND($G14-$F14,0))</f>
        <v/>
      </c>
      <c r="I14" s="26">
        <f>IF($G14="","—",IF(ROUND($H14,0)=0,"√","×"))</f>
        <v/>
      </c>
      <c r="J14" s="26">
        <f>COUNTIFS(CalcBank,$A14)</f>
        <v/>
      </c>
      <c r="K14" s="26">
        <f>Bank3!$M$13</f>
        <v/>
      </c>
    </row>
    <row r="15">
      <c r="A15" s="28" t="inlineStr">
        <is>
          <t>BANK04</t>
        </is>
      </c>
      <c r="B15" s="28">
        <f>IFERROR(IF(VLOOKUP("BANK04",BankTbl,2,0)="","(بدون عنوان)",VLOOKUP("BANK04",BankTbl,2,0)),"—")</f>
        <v/>
      </c>
      <c r="C15" s="29">
        <f>IFERROR(VLOOKUP("BANK04",BankTbl,3,0),0)</f>
        <v/>
      </c>
      <c r="D15" s="29">
        <f>SUMIFS(CalcDep,CalcBank,$A15)</f>
        <v/>
      </c>
      <c r="E15" s="29">
        <f>SUMIFS(CalcWit,CalcBank,$A15)</f>
        <v/>
      </c>
      <c r="F15" s="29">
        <f>$C15+$D15-$E15</f>
        <v/>
      </c>
      <c r="G15" s="29">
        <f>IFERROR(LOOKUP(9.99E+307,Bank4!$K$17:$K$516),"")</f>
        <v/>
      </c>
      <c r="H15" s="29">
        <f>IF($G15="","—",ROUND($G15-$F15,0))</f>
        <v/>
      </c>
      <c r="I15" s="28">
        <f>IF($G15="","—",IF(ROUND($H15,0)=0,"√","×"))</f>
        <v/>
      </c>
      <c r="J15" s="28">
        <f>COUNTIFS(CalcBank,$A15)</f>
        <v/>
      </c>
      <c r="K15" s="28">
        <f>Bank4!$M$13</f>
        <v/>
      </c>
    </row>
    <row r="16">
      <c r="A16" s="26" t="inlineStr">
        <is>
          <t>BANK05</t>
        </is>
      </c>
      <c r="B16" s="26">
        <f>IFERROR(IF(VLOOKUP("BANK05",BankTbl,2,0)="","(بدون عنوان)",VLOOKUP("BANK05",BankTbl,2,0)),"—")</f>
        <v/>
      </c>
      <c r="C16" s="27">
        <f>IFERROR(VLOOKUP("BANK05",BankTbl,3,0),0)</f>
        <v/>
      </c>
      <c r="D16" s="27">
        <f>SUMIFS(CalcDep,CalcBank,$A16)</f>
        <v/>
      </c>
      <c r="E16" s="27">
        <f>SUMIFS(CalcWit,CalcBank,$A16)</f>
        <v/>
      </c>
      <c r="F16" s="27">
        <f>$C16+$D16-$E16</f>
        <v/>
      </c>
      <c r="G16" s="27">
        <f>IFERROR(LOOKUP(9.99E+307,Bank5!$K$17:$K$516),"")</f>
        <v/>
      </c>
      <c r="H16" s="27">
        <f>IF($G16="","—",ROUND($G16-$F16,0))</f>
        <v/>
      </c>
      <c r="I16" s="26">
        <f>IF($G16="","—",IF(ROUND($H16,0)=0,"√","×"))</f>
        <v/>
      </c>
      <c r="J16" s="26">
        <f>COUNTIFS(CalcBank,$A16)</f>
        <v/>
      </c>
      <c r="K16" s="26">
        <f>Bank5!$M$13</f>
        <v/>
      </c>
    </row>
    <row r="17">
      <c r="A17" s="28" t="inlineStr">
        <is>
          <t>BANK06</t>
        </is>
      </c>
      <c r="B17" s="28">
        <f>IFERROR(IF(VLOOKUP("BANK06",BankTbl,2,0)="","(بدون عنوان)",VLOOKUP("BANK06",BankTbl,2,0)),"—")</f>
        <v/>
      </c>
      <c r="C17" s="29">
        <f>IFERROR(VLOOKUP("BANK06",BankTbl,3,0),0)</f>
        <v/>
      </c>
      <c r="D17" s="29">
        <f>SUMIFS(CalcDep,CalcBank,$A17)</f>
        <v/>
      </c>
      <c r="E17" s="29">
        <f>SUMIFS(CalcWit,CalcBank,$A17)</f>
        <v/>
      </c>
      <c r="F17" s="29">
        <f>$C17+$D17-$E17</f>
        <v/>
      </c>
      <c r="G17" s="29">
        <f>IFERROR(LOOKUP(9.99E+307,Bank6!$K$17:$K$516),"")</f>
        <v/>
      </c>
      <c r="H17" s="29">
        <f>IF($G17="","—",ROUND($G17-$F17,0))</f>
        <v/>
      </c>
      <c r="I17" s="28">
        <f>IF($G17="","—",IF(ROUND($H17,0)=0,"√","×"))</f>
        <v/>
      </c>
      <c r="J17" s="28">
        <f>COUNTIFS(CalcBank,$A17)</f>
        <v/>
      </c>
      <c r="K17" s="28">
        <f>Bank6!$M$13</f>
        <v/>
      </c>
    </row>
    <row r="18">
      <c r="A18" s="26" t="inlineStr">
        <is>
          <t>BANK07</t>
        </is>
      </c>
      <c r="B18" s="26">
        <f>IFERROR(IF(VLOOKUP("BANK07",BankTbl,2,0)="","(بدون عنوان)",VLOOKUP("BANK07",BankTbl,2,0)),"—")</f>
        <v/>
      </c>
      <c r="C18" s="27">
        <f>IFERROR(VLOOKUP("BANK07",BankTbl,3,0),0)</f>
        <v/>
      </c>
      <c r="D18" s="27">
        <f>SUMIFS(CalcDep,CalcBank,$A18)</f>
        <v/>
      </c>
      <c r="E18" s="27">
        <f>SUMIFS(CalcWit,CalcBank,$A18)</f>
        <v/>
      </c>
      <c r="F18" s="27">
        <f>$C18+$D18-$E18</f>
        <v/>
      </c>
      <c r="G18" s="27">
        <f>IFERROR(LOOKUP(9.99E+307,Bank7!$K$17:$K$516),"")</f>
        <v/>
      </c>
      <c r="H18" s="27">
        <f>IF($G18="","—",ROUND($G18-$F18,0))</f>
        <v/>
      </c>
      <c r="I18" s="26">
        <f>IF($G18="","—",IF(ROUND($H18,0)=0,"√","×"))</f>
        <v/>
      </c>
      <c r="J18" s="26">
        <f>COUNTIFS(CalcBank,$A18)</f>
        <v/>
      </c>
      <c r="K18" s="26">
        <f>Bank7!$M$13</f>
        <v/>
      </c>
    </row>
    <row r="19">
      <c r="A19" s="28" t="inlineStr">
        <is>
          <t>BANK08</t>
        </is>
      </c>
      <c r="B19" s="28">
        <f>IFERROR(IF(VLOOKUP("BANK08",BankTbl,2,0)="","(بدون عنوان)",VLOOKUP("BANK08",BankTbl,2,0)),"—")</f>
        <v/>
      </c>
      <c r="C19" s="29">
        <f>IFERROR(VLOOKUP("BANK08",BankTbl,3,0),0)</f>
        <v/>
      </c>
      <c r="D19" s="29">
        <f>SUMIFS(CalcDep,CalcBank,$A19)</f>
        <v/>
      </c>
      <c r="E19" s="29">
        <f>SUMIFS(CalcWit,CalcBank,$A19)</f>
        <v/>
      </c>
      <c r="F19" s="29">
        <f>$C19+$D19-$E19</f>
        <v/>
      </c>
      <c r="G19" s="29">
        <f>IFERROR(LOOKUP(9.99E+307,Bank8!$K$17:$K$516),"")</f>
        <v/>
      </c>
      <c r="H19" s="29">
        <f>IF($G19="","—",ROUND($G19-$F19,0))</f>
        <v/>
      </c>
      <c r="I19" s="28">
        <f>IF($G19="","—",IF(ROUND($H19,0)=0,"√","×"))</f>
        <v/>
      </c>
      <c r="J19" s="28">
        <f>COUNTIFS(CalcBank,$A19)</f>
        <v/>
      </c>
      <c r="K19" s="28">
        <f>Bank8!$M$13</f>
        <v/>
      </c>
    </row>
    <row r="20">
      <c r="A20" s="26" t="inlineStr">
        <is>
          <t>BANK09</t>
        </is>
      </c>
      <c r="B20" s="26">
        <f>IFERROR(IF(VLOOKUP("BANK09",BankTbl,2,0)="","(بدون عنوان)",VLOOKUP("BANK09",BankTbl,2,0)),"—")</f>
        <v/>
      </c>
      <c r="C20" s="27">
        <f>IFERROR(VLOOKUP("BANK09",BankTbl,3,0),0)</f>
        <v/>
      </c>
      <c r="D20" s="27">
        <f>SUMIFS(CalcDep,CalcBank,$A20)</f>
        <v/>
      </c>
      <c r="E20" s="27">
        <f>SUMIFS(CalcWit,CalcBank,$A20)</f>
        <v/>
      </c>
      <c r="F20" s="27">
        <f>$C20+$D20-$E20</f>
        <v/>
      </c>
      <c r="G20" s="27">
        <f>IFERROR(LOOKUP(9.99E+307,Bank9!$K$17:$K$516),"")</f>
        <v/>
      </c>
      <c r="H20" s="27">
        <f>IF($G20="","—",ROUND($G20-$F20,0))</f>
        <v/>
      </c>
      <c r="I20" s="26">
        <f>IF($G20="","—",IF(ROUND($H20,0)=0,"√","×"))</f>
        <v/>
      </c>
      <c r="J20" s="26">
        <f>COUNTIFS(CalcBank,$A20)</f>
        <v/>
      </c>
      <c r="K20" s="26">
        <f>Bank9!$M$13</f>
        <v/>
      </c>
    </row>
    <row r="21">
      <c r="A21" s="28" t="inlineStr">
        <is>
          <t>BANK10</t>
        </is>
      </c>
      <c r="B21" s="28">
        <f>IFERROR(IF(VLOOKUP("BANK10",BankTbl,2,0)="","(بدون عنوان)",VLOOKUP("BANK10",BankTbl,2,0)),"—")</f>
        <v/>
      </c>
      <c r="C21" s="29">
        <f>IFERROR(VLOOKUP("BANK10",BankTbl,3,0),0)</f>
        <v/>
      </c>
      <c r="D21" s="29">
        <f>SUMIFS(CalcDep,CalcBank,$A21)</f>
        <v/>
      </c>
      <c r="E21" s="29">
        <f>SUMIFS(CalcWit,CalcBank,$A21)</f>
        <v/>
      </c>
      <c r="F21" s="29">
        <f>$C21+$D21-$E21</f>
        <v/>
      </c>
      <c r="G21" s="29">
        <f>IFERROR(LOOKUP(9.99E+307,Bank10!$K$17:$K$516),"")</f>
        <v/>
      </c>
      <c r="H21" s="29">
        <f>IF($G21="","—",ROUND($G21-$F21,0))</f>
        <v/>
      </c>
      <c r="I21" s="28">
        <f>IF($G21="","—",IF(ROUND($H21,0)=0,"√","×"))</f>
        <v/>
      </c>
      <c r="J21" s="28">
        <f>COUNTIFS(CalcBank,$A21)</f>
        <v/>
      </c>
      <c r="K21" s="28">
        <f>Bank10!$M$13</f>
        <v/>
      </c>
    </row>
    <row r="22">
      <c r="A22" s="31" t="inlineStr">
        <is>
          <t>جمع کل</t>
        </is>
      </c>
      <c r="B22" s="31" t="n"/>
      <c r="C22" s="32">
        <f>SUM(C12:C21)</f>
        <v/>
      </c>
      <c r="D22" s="32">
        <f>SUM(D12:D21)</f>
        <v/>
      </c>
      <c r="E22" s="32">
        <f>SUM(E12:E21)</f>
        <v/>
      </c>
      <c r="F22" s="32">
        <f>SUM(F12:F21)</f>
        <v/>
      </c>
      <c r="G22" s="32">
        <f>SUM(G12:G21)</f>
        <v/>
      </c>
      <c r="H22" s="32">
        <f>IF($G22="","—",ROUND($G22-$F22,0))</f>
        <v/>
      </c>
      <c r="I22" s="31">
        <f>IF($G22="","—",IF(ROUND($H22,0)=0,"√","×"))</f>
        <v/>
      </c>
      <c r="J22" s="31">
        <f>SUM(J12:J21)</f>
        <v/>
      </c>
      <c r="K22" s="31">
        <f>SUM(K12:K21)</f>
        <v/>
      </c>
    </row>
    <row r="24">
      <c r="A24" s="33" t="inlineStr">
        <is>
          <t>تحلیل ماهانه — سال را در خانه زردرنگ انتخاب/تایپ کنید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</row>
    <row r="25">
      <c r="A25" s="34" t="inlineStr">
        <is>
          <t>سال:</t>
        </is>
      </c>
      <c r="B25" s="35" t="inlineStr">
        <is>
          <t>1405</t>
        </is>
      </c>
    </row>
    <row r="26" ht="30" customHeight="1">
      <c r="A26" s="8" t="inlineStr">
        <is>
          <t>ماه</t>
        </is>
      </c>
      <c r="B26" s="8" t="inlineStr">
        <is>
          <t>نام ماه</t>
        </is>
      </c>
      <c r="C26" s="8" t="inlineStr">
        <is>
          <t>واریز (ریال)</t>
        </is>
      </c>
      <c r="D26" s="8" t="inlineStr">
        <is>
          <t>برداشت (ریال)</t>
        </is>
      </c>
      <c r="E26" s="8" t="inlineStr">
        <is>
          <t>خالص (ریال)</t>
        </is>
      </c>
      <c r="F26" s="8" t="inlineStr">
        <is>
          <t>تعداد تراکنش</t>
        </is>
      </c>
    </row>
    <row r="27" ht="13" customHeight="1">
      <c r="A27" s="9" t="inlineStr">
        <is>
          <t>Month</t>
        </is>
      </c>
      <c r="B27" s="9" t="inlineStr">
        <is>
          <t>Month Name</t>
        </is>
      </c>
      <c r="C27" s="9" t="inlineStr">
        <is>
          <t>Deposits</t>
        </is>
      </c>
      <c r="D27" s="9" t="inlineStr">
        <is>
          <t>Withdrawals</t>
        </is>
      </c>
      <c r="E27" s="9" t="inlineStr">
        <is>
          <t>Net</t>
        </is>
      </c>
      <c r="F27" s="9" t="inlineStr">
        <is>
          <t>Txns</t>
        </is>
      </c>
    </row>
    <row r="28">
      <c r="A28" s="26" t="inlineStr">
        <is>
          <t>01</t>
        </is>
      </c>
      <c r="B28" s="26" t="inlineStr">
        <is>
          <t>فروردین</t>
        </is>
      </c>
      <c r="C28" s="27">
        <f>SUMIFS(CalcDep,CalcMonth,$B$25&amp;"/"&amp;$A28)</f>
        <v/>
      </c>
      <c r="D28" s="27">
        <f>SUMIFS(CalcWit,CalcMonth,$B$25&amp;"/"&amp;$A28)</f>
        <v/>
      </c>
      <c r="E28" s="27">
        <f>$C28-$D28</f>
        <v/>
      </c>
      <c r="F28" s="26">
        <f>COUNTIFS(CalcMonth,$B$25&amp;"/"&amp;$A28)</f>
        <v/>
      </c>
    </row>
    <row r="29">
      <c r="A29" s="28" t="inlineStr">
        <is>
          <t>02</t>
        </is>
      </c>
      <c r="B29" s="28" t="inlineStr">
        <is>
          <t>اردیبهشت</t>
        </is>
      </c>
      <c r="C29" s="29">
        <f>SUMIFS(CalcDep,CalcMonth,$B$25&amp;"/"&amp;$A29)</f>
        <v/>
      </c>
      <c r="D29" s="29">
        <f>SUMIFS(CalcWit,CalcMonth,$B$25&amp;"/"&amp;$A29)</f>
        <v/>
      </c>
      <c r="E29" s="29">
        <f>$C29-$D29</f>
        <v/>
      </c>
      <c r="F29" s="28">
        <f>COUNTIFS(CalcMonth,$B$25&amp;"/"&amp;$A29)</f>
        <v/>
      </c>
    </row>
    <row r="30">
      <c r="A30" s="26" t="inlineStr">
        <is>
          <t>03</t>
        </is>
      </c>
      <c r="B30" s="26" t="inlineStr">
        <is>
          <t>خرداد</t>
        </is>
      </c>
      <c r="C30" s="27">
        <f>SUMIFS(CalcDep,CalcMonth,$B$25&amp;"/"&amp;$A30)</f>
        <v/>
      </c>
      <c r="D30" s="27">
        <f>SUMIFS(CalcWit,CalcMonth,$B$25&amp;"/"&amp;$A30)</f>
        <v/>
      </c>
      <c r="E30" s="27">
        <f>$C30-$D30</f>
        <v/>
      </c>
      <c r="F30" s="26">
        <f>COUNTIFS(CalcMonth,$B$25&amp;"/"&amp;$A30)</f>
        <v/>
      </c>
    </row>
    <row r="31">
      <c r="A31" s="28" t="inlineStr">
        <is>
          <t>04</t>
        </is>
      </c>
      <c r="B31" s="28" t="inlineStr">
        <is>
          <t>تیر</t>
        </is>
      </c>
      <c r="C31" s="29">
        <f>SUMIFS(CalcDep,CalcMonth,$B$25&amp;"/"&amp;$A31)</f>
        <v/>
      </c>
      <c r="D31" s="29">
        <f>SUMIFS(CalcWit,CalcMonth,$B$25&amp;"/"&amp;$A31)</f>
        <v/>
      </c>
      <c r="E31" s="29">
        <f>$C31-$D31</f>
        <v/>
      </c>
      <c r="F31" s="28">
        <f>COUNTIFS(CalcMonth,$B$25&amp;"/"&amp;$A31)</f>
        <v/>
      </c>
    </row>
    <row r="32">
      <c r="A32" s="26" t="inlineStr">
        <is>
          <t>05</t>
        </is>
      </c>
      <c r="B32" s="26" t="inlineStr">
        <is>
          <t>مرداد</t>
        </is>
      </c>
      <c r="C32" s="27">
        <f>SUMIFS(CalcDep,CalcMonth,$B$25&amp;"/"&amp;$A32)</f>
        <v/>
      </c>
      <c r="D32" s="27">
        <f>SUMIFS(CalcWit,CalcMonth,$B$25&amp;"/"&amp;$A32)</f>
        <v/>
      </c>
      <c r="E32" s="27">
        <f>$C32-$D32</f>
        <v/>
      </c>
      <c r="F32" s="26">
        <f>COUNTIFS(CalcMonth,$B$25&amp;"/"&amp;$A32)</f>
        <v/>
      </c>
    </row>
    <row r="33">
      <c r="A33" s="28" t="inlineStr">
        <is>
          <t>06</t>
        </is>
      </c>
      <c r="B33" s="28" t="inlineStr">
        <is>
          <t>شهریور</t>
        </is>
      </c>
      <c r="C33" s="29">
        <f>SUMIFS(CalcDep,CalcMonth,$B$25&amp;"/"&amp;$A33)</f>
        <v/>
      </c>
      <c r="D33" s="29">
        <f>SUMIFS(CalcWit,CalcMonth,$B$25&amp;"/"&amp;$A33)</f>
        <v/>
      </c>
      <c r="E33" s="29">
        <f>$C33-$D33</f>
        <v/>
      </c>
      <c r="F33" s="28">
        <f>COUNTIFS(CalcMonth,$B$25&amp;"/"&amp;$A33)</f>
        <v/>
      </c>
    </row>
    <row r="34">
      <c r="A34" s="26" t="inlineStr">
        <is>
          <t>07</t>
        </is>
      </c>
      <c r="B34" s="26" t="inlineStr">
        <is>
          <t>مهر</t>
        </is>
      </c>
      <c r="C34" s="27">
        <f>SUMIFS(CalcDep,CalcMonth,$B$25&amp;"/"&amp;$A34)</f>
        <v/>
      </c>
      <c r="D34" s="27">
        <f>SUMIFS(CalcWit,CalcMonth,$B$25&amp;"/"&amp;$A34)</f>
        <v/>
      </c>
      <c r="E34" s="27">
        <f>$C34-$D34</f>
        <v/>
      </c>
      <c r="F34" s="26">
        <f>COUNTIFS(CalcMonth,$B$25&amp;"/"&amp;$A34)</f>
        <v/>
      </c>
    </row>
    <row r="35">
      <c r="A35" s="28" t="inlineStr">
        <is>
          <t>08</t>
        </is>
      </c>
      <c r="B35" s="28" t="inlineStr">
        <is>
          <t>آبان</t>
        </is>
      </c>
      <c r="C35" s="29">
        <f>SUMIFS(CalcDep,CalcMonth,$B$25&amp;"/"&amp;$A35)</f>
        <v/>
      </c>
      <c r="D35" s="29">
        <f>SUMIFS(CalcWit,CalcMonth,$B$25&amp;"/"&amp;$A35)</f>
        <v/>
      </c>
      <c r="E35" s="29">
        <f>$C35-$D35</f>
        <v/>
      </c>
      <c r="F35" s="28">
        <f>COUNTIFS(CalcMonth,$B$25&amp;"/"&amp;$A35)</f>
        <v/>
      </c>
    </row>
    <row r="36">
      <c r="A36" s="26" t="inlineStr">
        <is>
          <t>09</t>
        </is>
      </c>
      <c r="B36" s="26" t="inlineStr">
        <is>
          <t>آذر</t>
        </is>
      </c>
      <c r="C36" s="27">
        <f>SUMIFS(CalcDep,CalcMonth,$B$25&amp;"/"&amp;$A36)</f>
        <v/>
      </c>
      <c r="D36" s="27">
        <f>SUMIFS(CalcWit,CalcMonth,$B$25&amp;"/"&amp;$A36)</f>
        <v/>
      </c>
      <c r="E36" s="27">
        <f>$C36-$D36</f>
        <v/>
      </c>
      <c r="F36" s="26">
        <f>COUNTIFS(CalcMonth,$B$25&amp;"/"&amp;$A36)</f>
        <v/>
      </c>
    </row>
    <row r="37">
      <c r="A37" s="28" t="inlineStr">
        <is>
          <t>10</t>
        </is>
      </c>
      <c r="B37" s="28" t="inlineStr">
        <is>
          <t>دی</t>
        </is>
      </c>
      <c r="C37" s="29">
        <f>SUMIFS(CalcDep,CalcMonth,$B$25&amp;"/"&amp;$A37)</f>
        <v/>
      </c>
      <c r="D37" s="29">
        <f>SUMIFS(CalcWit,CalcMonth,$B$25&amp;"/"&amp;$A37)</f>
        <v/>
      </c>
      <c r="E37" s="29">
        <f>$C37-$D37</f>
        <v/>
      </c>
      <c r="F37" s="28">
        <f>COUNTIFS(CalcMonth,$B$25&amp;"/"&amp;$A37)</f>
        <v/>
      </c>
    </row>
    <row r="38">
      <c r="A38" s="26" t="inlineStr">
        <is>
          <t>11</t>
        </is>
      </c>
      <c r="B38" s="26" t="inlineStr">
        <is>
          <t>بهمن</t>
        </is>
      </c>
      <c r="C38" s="27">
        <f>SUMIFS(CalcDep,CalcMonth,$B$25&amp;"/"&amp;$A38)</f>
        <v/>
      </c>
      <c r="D38" s="27">
        <f>SUMIFS(CalcWit,CalcMonth,$B$25&amp;"/"&amp;$A38)</f>
        <v/>
      </c>
      <c r="E38" s="27">
        <f>$C38-$D38</f>
        <v/>
      </c>
      <c r="F38" s="26">
        <f>COUNTIFS(CalcMonth,$B$25&amp;"/"&amp;$A38)</f>
        <v/>
      </c>
    </row>
    <row r="39">
      <c r="A39" s="28" t="inlineStr">
        <is>
          <t>12</t>
        </is>
      </c>
      <c r="B39" s="28" t="inlineStr">
        <is>
          <t>اسفند</t>
        </is>
      </c>
      <c r="C39" s="29">
        <f>SUMIFS(CalcDep,CalcMonth,$B$25&amp;"/"&amp;$A39)</f>
        <v/>
      </c>
      <c r="D39" s="29">
        <f>SUMIFS(CalcWit,CalcMonth,$B$25&amp;"/"&amp;$A39)</f>
        <v/>
      </c>
      <c r="E39" s="29">
        <f>$C39-$D39</f>
        <v/>
      </c>
      <c r="F39" s="28">
        <f>COUNTIFS(CalcMonth,$B$25&amp;"/"&amp;$A39)</f>
        <v/>
      </c>
    </row>
    <row r="40">
      <c r="A40" s="36" t="inlineStr">
        <is>
          <t>جمع سال</t>
        </is>
      </c>
      <c r="B40" s="36" t="n"/>
      <c r="C40" s="37">
        <f>SUM(C28:C39)</f>
        <v/>
      </c>
      <c r="D40" s="37">
        <f>SUM(D28:D39)</f>
        <v/>
      </c>
      <c r="E40" s="37">
        <f>SUM(E28:E39)</f>
        <v/>
      </c>
      <c r="F40" s="37">
        <f>SUM(F28:F39)</f>
        <v/>
      </c>
    </row>
    <row r="42">
      <c r="A42" s="33" t="inlineStr">
        <is>
          <t>نمودارها</t>
        </is>
      </c>
    </row>
  </sheetData>
  <mergeCells count="23">
    <mergeCell ref="G6:I6"/>
    <mergeCell ref="A24:K24"/>
    <mergeCell ref="D7:F7"/>
    <mergeCell ref="A1:K1"/>
    <mergeCell ref="J9:K9"/>
    <mergeCell ref="J6:K6"/>
    <mergeCell ref="A8:C8"/>
    <mergeCell ref="J8:K8"/>
    <mergeCell ref="D9:F9"/>
    <mergeCell ref="D8:F8"/>
    <mergeCell ref="A3:K3"/>
    <mergeCell ref="J7:K7"/>
    <mergeCell ref="A2:K2"/>
    <mergeCell ref="A9:C9"/>
    <mergeCell ref="G9:I9"/>
    <mergeCell ref="A22:B22"/>
    <mergeCell ref="A4:K4"/>
    <mergeCell ref="A6:C6"/>
    <mergeCell ref="D6:F6"/>
    <mergeCell ref="G8:I8"/>
    <mergeCell ref="A40:B40"/>
    <mergeCell ref="A7:C7"/>
    <mergeCell ref="G7:I7"/>
  </mergeCells>
  <conditionalFormatting sqref="A4">
    <cfRule type="expression" priority="1" dxfId="9">
      <formula>ISNUMBER(SEARCH("√",$A$4))</formula>
    </cfRule>
    <cfRule type="expression" priority="2" dxfId="10">
      <formula>ISNUMBER(SEARCH("×",$A$4))</formula>
    </cfRule>
  </conditionalFormatting>
  <conditionalFormatting sqref="I12:I22">
    <cfRule type="cellIs" priority="3" operator="equal" dxfId="9">
      <formula>"√"</formula>
    </cfRule>
    <cfRule type="cellIs" priority="4" operator="equal" dxfId="10">
      <formula>"×"</formula>
    </cfRule>
  </conditionalFormatting>
  <conditionalFormatting sqref="H12:H22">
    <cfRule type="expression" priority="5" dxfId="4">
      <formula>AND(ISNUMBER($H12),$H12&lt;&gt;0)</formula>
    </cfRule>
    <cfRule type="expression" priority="6" dxfId="9">
      <formula>AND(ISNUMBER($H12),$H12=0)</formula>
    </cfRule>
  </conditionalFormatting>
  <conditionalFormatting sqref="F12:F21">
    <cfRule type="dataBar" priority="7">
      <dataBar showValue="1">
        <cfvo type="num" val="0"/>
        <cfvo type="max"/>
        <color rgb="00A5D6A7"/>
      </dataBar>
    </cfRule>
  </conditionalFormatting>
  <conditionalFormatting sqref="E28:E39">
    <cfRule type="cellIs" priority="8" operator="lessThan" dxfId="5">
      <formula>0</formula>
    </cfRule>
  </conditionalFormatting>
  <dataValidations count="1">
    <dataValidation sqref="B25" showDropDown="0" showInputMessage="0" showErrorMessage="0" allowBlank="0" type="list">
      <formula1>"1400,1401,1402,1403,1404,1405,1406,1407,1408,1409,1410"</formula1>
    </dataValidation>
  </dataValidations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خلاصه و تحلیل حساب‌های بانکی&amp;R&amp;"Tahoma"&amp;8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90A4AE"/>
    <outlinePr summaryBelow="1" summaryRight="1"/>
    <pageSetUpPr/>
  </sheetPr>
  <dimension ref="A1:AT205"/>
  <sheetViews>
    <sheetView showGridLines="0"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8" customWidth="1" min="4" max="4"/>
    <col width="9" customWidth="1" min="6" max="6"/>
    <col width="26" customWidth="1" min="7" max="7"/>
    <col width="9" customWidth="1" min="9" max="9"/>
    <col width="26" customWidth="1" min="10" max="10"/>
    <col width="9" customWidth="1" min="12" max="12"/>
    <col width="26" customWidth="1" min="13" max="13"/>
    <col width="9" customWidth="1" min="15" max="15"/>
    <col width="24" customWidth="1" min="16" max="16"/>
    <col width="9" customWidth="1" min="18" max="18"/>
    <col width="22" customWidth="1" min="19" max="19"/>
    <col width="9" customWidth="1" min="21" max="21"/>
    <col width="22" customWidth="1" min="22" max="22"/>
    <col width="9" customWidth="1" min="24" max="24"/>
    <col width="24" customWidth="1" min="25" max="25"/>
    <col width="9" customWidth="1" min="27" max="27"/>
    <col width="24" customWidth="1" min="28" max="28"/>
    <col width="9" customWidth="1" min="30" max="30"/>
    <col width="20" customWidth="1" min="31" max="31"/>
    <col width="9" customWidth="1" min="33" max="33"/>
    <col width="20" customWidth="1" min="34" max="34"/>
    <col width="30" customWidth="1" min="36" max="36"/>
    <col width="7" customWidth="1" min="40" max="40"/>
    <col width="22" customWidth="1" min="41" max="41"/>
    <col width="7" customWidth="1" min="42" max="42"/>
    <col width="22" customWidth="1" min="43" max="43"/>
    <col width="7" customWidth="1" min="44" max="44"/>
    <col width="22" customWidth="1" min="45" max="45"/>
    <col width="34" customWidth="1" min="46" max="46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</row>
    <row r="3">
      <c r="A3" s="38" t="inlineStr">
        <is>
          <t>برگه فنی — آینه‌ی فایل مادر (INFO). فرمول‌ها را تغییر ندهید. اگر همه سلول‌ها خالی/صفر شدند یعنی لینک به‌روز نشده: Data ← Edit Links ← Update Values.</t>
        </is>
      </c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  <c r="AL3" s="38" t="n"/>
      <c r="AM3" s="38" t="n"/>
      <c r="AN3" s="38" t="n"/>
      <c r="AO3" s="38" t="n"/>
      <c r="AP3" s="38" t="n"/>
      <c r="AQ3" s="38" t="n"/>
      <c r="AR3" s="38" t="n"/>
      <c r="AS3" s="38" t="n"/>
      <c r="AT3" s="38" t="n"/>
    </row>
    <row r="5">
      <c r="A5" s="39" t="inlineStr">
        <is>
          <t>Banks · Code</t>
        </is>
      </c>
      <c r="B5" s="39" t="inlineStr">
        <is>
          <t>Banks · Title</t>
        </is>
      </c>
      <c r="C5" s="39" t="inlineStr">
        <is>
          <t>Banks · Opening</t>
        </is>
      </c>
      <c r="D5" s="39" t="inlineStr">
        <is>
          <t>Banks · Active</t>
        </is>
      </c>
      <c r="F5" s="39" t="inlineStr">
        <is>
          <t>Customers · Code</t>
        </is>
      </c>
      <c r="G5" s="39" t="inlineStr">
        <is>
          <t>Customers · Name</t>
        </is>
      </c>
      <c r="I5" s="39" t="inlineStr">
        <is>
          <t>Suppliers · Code</t>
        </is>
      </c>
      <c r="J5" s="39" t="inlineStr">
        <is>
          <t>Suppliers · Name</t>
        </is>
      </c>
      <c r="L5" s="39" t="inlineStr">
        <is>
          <t>Accounts · Code</t>
        </is>
      </c>
      <c r="M5" s="39" t="inlineStr">
        <is>
          <t>Accounts · Name</t>
        </is>
      </c>
      <c r="O5" s="39" t="inlineStr">
        <is>
          <t>Staff · Code</t>
        </is>
      </c>
      <c r="P5" s="39" t="inlineStr">
        <is>
          <t>Staff · Name</t>
        </is>
      </c>
      <c r="R5" s="39" t="inlineStr">
        <is>
          <t>PartyTypes · Code</t>
        </is>
      </c>
      <c r="S5" s="39" t="inlineStr">
        <is>
          <t>PartyTypes · Title</t>
        </is>
      </c>
      <c r="U5" s="39" t="inlineStr">
        <is>
          <t>TxnTypes · Code</t>
        </is>
      </c>
      <c r="V5" s="39" t="inlineStr">
        <is>
          <t>TxnTypes · Title</t>
        </is>
      </c>
      <c r="X5" s="39" t="inlineStr">
        <is>
          <t>Products_Buy · Code</t>
        </is>
      </c>
      <c r="Y5" s="39" t="inlineStr">
        <is>
          <t>Products_Buy · Name</t>
        </is>
      </c>
      <c r="AA5" s="39" t="inlineStr">
        <is>
          <t>Products_Sell · Code</t>
        </is>
      </c>
      <c r="AB5" s="39" t="inlineStr">
        <is>
          <t>Products_Sell · Name</t>
        </is>
      </c>
      <c r="AD5" s="39" t="inlineStr">
        <is>
          <t>Baskets · Code</t>
        </is>
      </c>
      <c r="AE5" s="39" t="inlineStr">
        <is>
          <t>Baskets · Name</t>
        </is>
      </c>
      <c r="AG5" s="39" t="inlineStr">
        <is>
          <t>Warehouses · Code</t>
        </is>
      </c>
      <c r="AH5" s="39" t="inlineStr">
        <is>
          <t>Warehouses · Name</t>
        </is>
      </c>
      <c r="AJ5" s="39" t="inlineStr">
        <is>
          <t>Company</t>
        </is>
      </c>
      <c r="AN5" s="39" t="inlineStr">
        <is>
          <t>cum·PT</t>
        </is>
      </c>
      <c r="AO5" s="39" t="inlineStr">
        <is>
          <t>LIST · PartyTypes</t>
        </is>
      </c>
      <c r="AP5" s="39" t="inlineStr">
        <is>
          <t>cum·TT</t>
        </is>
      </c>
      <c r="AQ5" s="39" t="inlineStr">
        <is>
          <t>LIST · TxnTypes</t>
        </is>
      </c>
      <c r="AR5" s="39" t="inlineStr">
        <is>
          <t>cum·B</t>
        </is>
      </c>
      <c r="AS5" s="39" t="inlineStr">
        <is>
          <t>LIST · Bank codes</t>
        </is>
      </c>
      <c r="AT5" s="39" t="inlineStr">
        <is>
          <t>LIST · Banks</t>
        </is>
      </c>
    </row>
    <row r="6">
      <c r="A6">
        <f>IF([1]Banks!$A$7="","",[1]Banks!$A$7)</f>
        <v/>
      </c>
      <c r="B6">
        <f>IF([1]Banks!$B$7="","",[1]Banks!$B$7)</f>
        <v/>
      </c>
      <c r="C6">
        <f>[1]Banks!$C$7</f>
        <v/>
      </c>
      <c r="D6">
        <f>IF([1]Banks!$D$7="","",[1]Banks!$D$7)</f>
        <v/>
      </c>
      <c r="F6">
        <f>IF([1]Customers!$A$7="","",[1]Customers!$A$7)</f>
        <v/>
      </c>
      <c r="G6">
        <f>IF([1]Customers!$C$7="","",[1]Customers!$C$7)</f>
        <v/>
      </c>
      <c r="I6">
        <f>IF([1]Suppliers!$A$7="","",[1]Suppliers!$A$7)</f>
        <v/>
      </c>
      <c r="J6">
        <f>IF([1]Suppliers!$C$7="","",[1]Suppliers!$C$7)</f>
        <v/>
      </c>
      <c r="L6">
        <f>IF([1]Accounts!$A$7="","",[1]Accounts!$A$7)</f>
        <v/>
      </c>
      <c r="M6">
        <f>IF([1]Accounts!$C$7="","",[1]Accounts!$C$7)</f>
        <v/>
      </c>
      <c r="O6">
        <f>IF([1]Staff!$A$7="","",[1]Staff!$A$7)</f>
        <v/>
      </c>
      <c r="P6">
        <f>IF([1]Staff!$B$7="","",[1]Staff!$B$7)</f>
        <v/>
      </c>
      <c r="R6">
        <f>IF([1]PartyTypes!$A$7="","",[1]PartyTypes!$A$7)</f>
        <v/>
      </c>
      <c r="S6">
        <f>IF([1]PartyTypes!$B$7="","",[1]PartyTypes!$B$7)</f>
        <v/>
      </c>
      <c r="U6">
        <f>IF([1]TxnTypes!$A$7="","",[1]TxnTypes!$A$7)</f>
        <v/>
      </c>
      <c r="V6">
        <f>IF([1]TxnTypes!$B$7="","",[1]TxnTypes!$B$7)</f>
        <v/>
      </c>
      <c r="X6">
        <f>IF([1]Products_Buy!$A$7="","",[1]Products_Buy!$A$7)</f>
        <v/>
      </c>
      <c r="Y6">
        <f>IF([1]Products_Buy!$B$7="","",[1]Products_Buy!$B$7)</f>
        <v/>
      </c>
      <c r="AA6">
        <f>IF([1]Products_Sell!$A$7="","",[1]Products_Sell!$A$7)</f>
        <v/>
      </c>
      <c r="AB6">
        <f>IF([1]Products_Sell!$B$7="","",[1]Products_Sell!$B$7)</f>
        <v/>
      </c>
      <c r="AD6">
        <f>IF([1]Baskets!$A$7="","",[1]Baskets!$A$7)</f>
        <v/>
      </c>
      <c r="AE6">
        <f>IF([1]Baskets!$B$7="","",[1]Baskets!$B$7)</f>
        <v/>
      </c>
      <c r="AG6">
        <f>IF([1]Warehouses!$A$7="","",[1]Warehouses!$A$7)</f>
        <v/>
      </c>
      <c r="AH6">
        <f>IF([1]Warehouses!$B$7="","",[1]Warehouses!$B$7)</f>
        <v/>
      </c>
      <c r="AJ6">
        <f>IF([1]Company!$D$5="","",[1]Company!$D$5)</f>
        <v/>
      </c>
      <c r="AN6">
        <f>COUNTIF($S$6:$S6,"?*")</f>
        <v/>
      </c>
      <c r="AO6">
        <f>IFERROR(INDEX($S$6:$S$25,MATCH(ROW()-5,$AN$6:$AN$25,0)),"")</f>
        <v/>
      </c>
      <c r="AP6">
        <f>COUNTIF($V$6:$V6,"?*")</f>
        <v/>
      </c>
      <c r="AQ6">
        <f>IFERROR(INDEX($V$6:$V$19,MATCH(ROW()-5,$AP$6:$AP$19,0)),"")</f>
        <v/>
      </c>
      <c r="AR6">
        <f>COUNTIF($A$6:$A6,"?*")</f>
        <v/>
      </c>
      <c r="AS6">
        <f>IFERROR(INDEX($A$6:$A$15,MATCH(ROW()-5,$AR$6:$AR$15,0)),"")</f>
        <v/>
      </c>
      <c r="AT6">
        <f>IF($AS6="","",$AS6&amp;" – "&amp;IF(IFERROR(VLOOKUP($AS6,$A$6:$D$15,2,0),"")="","(بدون عنوان)",VLOOKUP($AS6,$A$6:$D$15,2,0)))</f>
        <v/>
      </c>
    </row>
    <row r="7">
      <c r="A7">
        <f>IF([1]Banks!$A$8="","",[1]Banks!$A$8)</f>
        <v/>
      </c>
      <c r="B7">
        <f>IF([1]Banks!$B$8="","",[1]Banks!$B$8)</f>
        <v/>
      </c>
      <c r="C7">
        <f>[1]Banks!$C$8</f>
        <v/>
      </c>
      <c r="D7">
        <f>IF([1]Banks!$D$8="","",[1]Banks!$D$8)</f>
        <v/>
      </c>
      <c r="F7">
        <f>IF([1]Customers!$A$8="","",[1]Customers!$A$8)</f>
        <v/>
      </c>
      <c r="G7">
        <f>IF([1]Customers!$C$8="","",[1]Customers!$C$8)</f>
        <v/>
      </c>
      <c r="I7">
        <f>IF([1]Suppliers!$A$8="","",[1]Suppliers!$A$8)</f>
        <v/>
      </c>
      <c r="J7">
        <f>IF([1]Suppliers!$C$8="","",[1]Suppliers!$C$8)</f>
        <v/>
      </c>
      <c r="L7">
        <f>IF([1]Accounts!$A$8="","",[1]Accounts!$A$8)</f>
        <v/>
      </c>
      <c r="M7">
        <f>IF([1]Accounts!$C$8="","",[1]Accounts!$C$8)</f>
        <v/>
      </c>
      <c r="O7">
        <f>IF([1]Staff!$A$8="","",[1]Staff!$A$8)</f>
        <v/>
      </c>
      <c r="P7">
        <f>IF([1]Staff!$B$8="","",[1]Staff!$B$8)</f>
        <v/>
      </c>
      <c r="R7">
        <f>IF([1]PartyTypes!$A$8="","",[1]PartyTypes!$A$8)</f>
        <v/>
      </c>
      <c r="S7">
        <f>IF([1]PartyTypes!$B$8="","",[1]PartyTypes!$B$8)</f>
        <v/>
      </c>
      <c r="U7">
        <f>IF([1]TxnTypes!$A$8="","",[1]TxnTypes!$A$8)</f>
        <v/>
      </c>
      <c r="V7">
        <f>IF([1]TxnTypes!$B$8="","",[1]TxnTypes!$B$8)</f>
        <v/>
      </c>
      <c r="X7">
        <f>IF([1]Products_Buy!$A$8="","",[1]Products_Buy!$A$8)</f>
        <v/>
      </c>
      <c r="Y7">
        <f>IF([1]Products_Buy!$B$8="","",[1]Products_Buy!$B$8)</f>
        <v/>
      </c>
      <c r="AA7">
        <f>IF([1]Products_Sell!$A$8="","",[1]Products_Sell!$A$8)</f>
        <v/>
      </c>
      <c r="AB7">
        <f>IF([1]Products_Sell!$B$8="","",[1]Products_Sell!$B$8)</f>
        <v/>
      </c>
      <c r="AD7">
        <f>IF([1]Baskets!$A$8="","",[1]Baskets!$A$8)</f>
        <v/>
      </c>
      <c r="AE7">
        <f>IF([1]Baskets!$B$8="","",[1]Baskets!$B$8)</f>
        <v/>
      </c>
      <c r="AG7">
        <f>IF([1]Warehouses!$A$8="","",[1]Warehouses!$A$8)</f>
        <v/>
      </c>
      <c r="AH7">
        <f>IF([1]Warehouses!$B$8="","",[1]Warehouses!$B$8)</f>
        <v/>
      </c>
      <c r="AJ7">
        <f>IF([1]Company!$D$8="","",[1]Company!$D$8)</f>
        <v/>
      </c>
      <c r="AN7">
        <f>COUNTIF($S$6:$S7,"?*")</f>
        <v/>
      </c>
      <c r="AO7">
        <f>IFERROR(INDEX($S$6:$S$25,MATCH(ROW()-5,$AN$6:$AN$25,0)),"")</f>
        <v/>
      </c>
      <c r="AP7">
        <f>COUNTIF($V$6:$V7,"?*")</f>
        <v/>
      </c>
      <c r="AQ7">
        <f>IFERROR(INDEX($V$6:$V$19,MATCH(ROW()-5,$AP$6:$AP$19,0)),"")</f>
        <v/>
      </c>
      <c r="AR7">
        <f>COUNTIF($A$6:$A7,"?*")</f>
        <v/>
      </c>
      <c r="AS7">
        <f>IFERROR(INDEX($A$6:$A$15,MATCH(ROW()-5,$AR$6:$AR$15,0)),"")</f>
        <v/>
      </c>
      <c r="AT7">
        <f>IF($AS7="","",$AS7&amp;" – "&amp;IF(IFERROR(VLOOKUP($AS7,$A$6:$D$15,2,0),"")="","(بدون عنوان)",VLOOKUP($AS7,$A$6:$D$15,2,0)))</f>
        <v/>
      </c>
    </row>
    <row r="8">
      <c r="A8">
        <f>IF([1]Banks!$A$9="","",[1]Banks!$A$9)</f>
        <v/>
      </c>
      <c r="B8">
        <f>IF([1]Banks!$B$9="","",[1]Banks!$B$9)</f>
        <v/>
      </c>
      <c r="C8">
        <f>[1]Banks!$C$9</f>
        <v/>
      </c>
      <c r="D8">
        <f>IF([1]Banks!$D$9="","",[1]Banks!$D$9)</f>
        <v/>
      </c>
      <c r="F8">
        <f>IF([1]Customers!$A$9="","",[1]Customers!$A$9)</f>
        <v/>
      </c>
      <c r="G8">
        <f>IF([1]Customers!$C$9="","",[1]Customers!$C$9)</f>
        <v/>
      </c>
      <c r="I8">
        <f>IF([1]Suppliers!$A$9="","",[1]Suppliers!$A$9)</f>
        <v/>
      </c>
      <c r="J8">
        <f>IF([1]Suppliers!$C$9="","",[1]Suppliers!$C$9)</f>
        <v/>
      </c>
      <c r="L8">
        <f>IF([1]Accounts!$A$9="","",[1]Accounts!$A$9)</f>
        <v/>
      </c>
      <c r="M8">
        <f>IF([1]Accounts!$C$9="","",[1]Accounts!$C$9)</f>
        <v/>
      </c>
      <c r="O8">
        <f>IF([1]Staff!$A$9="","",[1]Staff!$A$9)</f>
        <v/>
      </c>
      <c r="P8">
        <f>IF([1]Staff!$B$9="","",[1]Staff!$B$9)</f>
        <v/>
      </c>
      <c r="R8">
        <f>IF([1]PartyTypes!$A$9="","",[1]PartyTypes!$A$9)</f>
        <v/>
      </c>
      <c r="S8">
        <f>IF([1]PartyTypes!$B$9="","",[1]PartyTypes!$B$9)</f>
        <v/>
      </c>
      <c r="U8">
        <f>IF([1]TxnTypes!$A$9="","",[1]TxnTypes!$A$9)</f>
        <v/>
      </c>
      <c r="V8">
        <f>IF([1]TxnTypes!$B$9="","",[1]TxnTypes!$B$9)</f>
        <v/>
      </c>
      <c r="X8">
        <f>IF([1]Products_Buy!$A$9="","",[1]Products_Buy!$A$9)</f>
        <v/>
      </c>
      <c r="Y8">
        <f>IF([1]Products_Buy!$B$9="","",[1]Products_Buy!$B$9)</f>
        <v/>
      </c>
      <c r="AA8">
        <f>IF([1]Products_Sell!$A$9="","",[1]Products_Sell!$A$9)</f>
        <v/>
      </c>
      <c r="AB8">
        <f>IF([1]Products_Sell!$B$9="","",[1]Products_Sell!$B$9)</f>
        <v/>
      </c>
      <c r="AD8">
        <f>IF([1]Baskets!$A$9="","",[1]Baskets!$A$9)</f>
        <v/>
      </c>
      <c r="AE8">
        <f>IF([1]Baskets!$B$9="","",[1]Baskets!$B$9)</f>
        <v/>
      </c>
      <c r="AG8">
        <f>IF([1]Warehouses!$A$9="","",[1]Warehouses!$A$9)</f>
        <v/>
      </c>
      <c r="AH8">
        <f>IF([1]Warehouses!$B$9="","",[1]Warehouses!$B$9)</f>
        <v/>
      </c>
      <c r="AJ8">
        <f>IF([1]Company!$D$9="","",[1]Company!$D$9)</f>
        <v/>
      </c>
      <c r="AN8">
        <f>COUNTIF($S$6:$S8,"?*")</f>
        <v/>
      </c>
      <c r="AO8">
        <f>IFERROR(INDEX($S$6:$S$25,MATCH(ROW()-5,$AN$6:$AN$25,0)),"")</f>
        <v/>
      </c>
      <c r="AP8">
        <f>COUNTIF($V$6:$V8,"?*")</f>
        <v/>
      </c>
      <c r="AQ8">
        <f>IFERROR(INDEX($V$6:$V$19,MATCH(ROW()-5,$AP$6:$AP$19,0)),"")</f>
        <v/>
      </c>
      <c r="AR8">
        <f>COUNTIF($A$6:$A8,"?*")</f>
        <v/>
      </c>
      <c r="AS8">
        <f>IFERROR(INDEX($A$6:$A$15,MATCH(ROW()-5,$AR$6:$AR$15,0)),"")</f>
        <v/>
      </c>
      <c r="AT8">
        <f>IF($AS8="","",$AS8&amp;" – "&amp;IF(IFERROR(VLOOKUP($AS8,$A$6:$D$15,2,0),"")="","(بدون عنوان)",VLOOKUP($AS8,$A$6:$D$15,2,0)))</f>
        <v/>
      </c>
    </row>
    <row r="9">
      <c r="A9">
        <f>IF([1]Banks!$A$10="","",[1]Banks!$A$10)</f>
        <v/>
      </c>
      <c r="B9">
        <f>IF([1]Banks!$B$10="","",[1]Banks!$B$10)</f>
        <v/>
      </c>
      <c r="C9">
        <f>[1]Banks!$C$10</f>
        <v/>
      </c>
      <c r="D9">
        <f>IF([1]Banks!$D$10="","",[1]Banks!$D$10)</f>
        <v/>
      </c>
      <c r="F9">
        <f>IF([1]Customers!$A$10="","",[1]Customers!$A$10)</f>
        <v/>
      </c>
      <c r="G9">
        <f>IF([1]Customers!$C$10="","",[1]Customers!$C$10)</f>
        <v/>
      </c>
      <c r="I9">
        <f>IF([1]Suppliers!$A$10="","",[1]Suppliers!$A$10)</f>
        <v/>
      </c>
      <c r="J9">
        <f>IF([1]Suppliers!$C$10="","",[1]Suppliers!$C$10)</f>
        <v/>
      </c>
      <c r="L9">
        <f>IF([1]Accounts!$A$10="","",[1]Accounts!$A$10)</f>
        <v/>
      </c>
      <c r="M9">
        <f>IF([1]Accounts!$C$10="","",[1]Accounts!$C$10)</f>
        <v/>
      </c>
      <c r="O9">
        <f>IF([1]Staff!$A$10="","",[1]Staff!$A$10)</f>
        <v/>
      </c>
      <c r="P9">
        <f>IF([1]Staff!$B$10="","",[1]Staff!$B$10)</f>
        <v/>
      </c>
      <c r="R9">
        <f>IF([1]PartyTypes!$A$10="","",[1]PartyTypes!$A$10)</f>
        <v/>
      </c>
      <c r="S9">
        <f>IF([1]PartyTypes!$B$10="","",[1]PartyTypes!$B$10)</f>
        <v/>
      </c>
      <c r="U9">
        <f>IF([1]TxnTypes!$A$10="","",[1]TxnTypes!$A$10)</f>
        <v/>
      </c>
      <c r="V9">
        <f>IF([1]TxnTypes!$B$10="","",[1]TxnTypes!$B$10)</f>
        <v/>
      </c>
      <c r="X9">
        <f>IF([1]Products_Buy!$A$10="","",[1]Products_Buy!$A$10)</f>
        <v/>
      </c>
      <c r="Y9">
        <f>IF([1]Products_Buy!$B$10="","",[1]Products_Buy!$B$10)</f>
        <v/>
      </c>
      <c r="AA9">
        <f>IF([1]Products_Sell!$A$10="","",[1]Products_Sell!$A$10)</f>
        <v/>
      </c>
      <c r="AB9">
        <f>IF([1]Products_Sell!$B$10="","",[1]Products_Sell!$B$10)</f>
        <v/>
      </c>
      <c r="AD9">
        <f>IF([1]Baskets!$A$10="","",[1]Baskets!$A$10)</f>
        <v/>
      </c>
      <c r="AE9">
        <f>IF([1]Baskets!$B$10="","",[1]Baskets!$B$10)</f>
        <v/>
      </c>
      <c r="AG9">
        <f>IF([1]Warehouses!$A$10="","",[1]Warehouses!$A$10)</f>
        <v/>
      </c>
      <c r="AH9">
        <f>IF([1]Warehouses!$B$10="","",[1]Warehouses!$B$10)</f>
        <v/>
      </c>
      <c r="AJ9">
        <f>IF([1]Company!$D$7="","",[1]Company!$D$7)</f>
        <v/>
      </c>
      <c r="AN9">
        <f>COUNTIF($S$6:$S9,"?*")</f>
        <v/>
      </c>
      <c r="AO9">
        <f>IFERROR(INDEX($S$6:$S$25,MATCH(ROW()-5,$AN$6:$AN$25,0)),"")</f>
        <v/>
      </c>
      <c r="AP9">
        <f>COUNTIF($V$6:$V9,"?*")</f>
        <v/>
      </c>
      <c r="AQ9">
        <f>IFERROR(INDEX($V$6:$V$19,MATCH(ROW()-5,$AP$6:$AP$19,0)),"")</f>
        <v/>
      </c>
      <c r="AR9">
        <f>COUNTIF($A$6:$A9,"?*")</f>
        <v/>
      </c>
      <c r="AS9">
        <f>IFERROR(INDEX($A$6:$A$15,MATCH(ROW()-5,$AR$6:$AR$15,0)),"")</f>
        <v/>
      </c>
      <c r="AT9">
        <f>IF($AS9="","",$AS9&amp;" – "&amp;IF(IFERROR(VLOOKUP($AS9,$A$6:$D$15,2,0),"")="","(بدون عنوان)",VLOOKUP($AS9,$A$6:$D$15,2,0)))</f>
        <v/>
      </c>
    </row>
    <row r="10">
      <c r="A10">
        <f>IF([1]Banks!$A$11="","",[1]Banks!$A$11)</f>
        <v/>
      </c>
      <c r="B10">
        <f>IF([1]Banks!$B$11="","",[1]Banks!$B$11)</f>
        <v/>
      </c>
      <c r="C10">
        <f>[1]Banks!$C$11</f>
        <v/>
      </c>
      <c r="D10">
        <f>IF([1]Banks!$D$11="","",[1]Banks!$D$11)</f>
        <v/>
      </c>
      <c r="F10">
        <f>IF([1]Customers!$A$11="","",[1]Customers!$A$11)</f>
        <v/>
      </c>
      <c r="G10">
        <f>IF([1]Customers!$C$11="","",[1]Customers!$C$11)</f>
        <v/>
      </c>
      <c r="I10">
        <f>IF([1]Suppliers!$A$11="","",[1]Suppliers!$A$11)</f>
        <v/>
      </c>
      <c r="J10">
        <f>IF([1]Suppliers!$C$11="","",[1]Suppliers!$C$11)</f>
        <v/>
      </c>
      <c r="L10">
        <f>IF([1]Accounts!$A$11="","",[1]Accounts!$A$11)</f>
        <v/>
      </c>
      <c r="M10">
        <f>IF([1]Accounts!$C$11="","",[1]Accounts!$C$11)</f>
        <v/>
      </c>
      <c r="O10">
        <f>IF([1]Staff!$A$11="","",[1]Staff!$A$11)</f>
        <v/>
      </c>
      <c r="P10">
        <f>IF([1]Staff!$B$11="","",[1]Staff!$B$11)</f>
        <v/>
      </c>
      <c r="R10">
        <f>IF([1]PartyTypes!$A$11="","",[1]PartyTypes!$A$11)</f>
        <v/>
      </c>
      <c r="S10">
        <f>IF([1]PartyTypes!$B$11="","",[1]PartyTypes!$B$11)</f>
        <v/>
      </c>
      <c r="U10">
        <f>IF([1]TxnTypes!$A$11="","",[1]TxnTypes!$A$11)</f>
        <v/>
      </c>
      <c r="V10">
        <f>IF([1]TxnTypes!$B$11="","",[1]TxnTypes!$B$11)</f>
        <v/>
      </c>
      <c r="X10">
        <f>IF([1]Products_Buy!$A$11="","",[1]Products_Buy!$A$11)</f>
        <v/>
      </c>
      <c r="Y10">
        <f>IF([1]Products_Buy!$B$11="","",[1]Products_Buy!$B$11)</f>
        <v/>
      </c>
      <c r="AA10">
        <f>IF([1]Products_Sell!$A$11="","",[1]Products_Sell!$A$11)</f>
        <v/>
      </c>
      <c r="AB10">
        <f>IF([1]Products_Sell!$B$11="","",[1]Products_Sell!$B$11)</f>
        <v/>
      </c>
      <c r="AD10">
        <f>IF([1]Baskets!$A$11="","",[1]Baskets!$A$11)</f>
        <v/>
      </c>
      <c r="AE10">
        <f>IF([1]Baskets!$B$11="","",[1]Baskets!$B$11)</f>
        <v/>
      </c>
      <c r="AG10">
        <f>IF([1]Warehouses!$A$11="","",[1]Warehouses!$A$11)</f>
        <v/>
      </c>
      <c r="AH10">
        <f>IF([1]Warehouses!$B$11="","",[1]Warehouses!$B$11)</f>
        <v/>
      </c>
      <c r="AJ10" s="40" t="inlineStr">
        <is>
          <t>→ نام شرکت</t>
        </is>
      </c>
      <c r="AN10">
        <f>COUNTIF($S$6:$S10,"?*")</f>
        <v/>
      </c>
      <c r="AO10">
        <f>IFERROR(INDEX($S$6:$S$25,MATCH(ROW()-5,$AN$6:$AN$25,0)),"")</f>
        <v/>
      </c>
      <c r="AP10">
        <f>COUNTIF($V$6:$V10,"?*")</f>
        <v/>
      </c>
      <c r="AQ10">
        <f>IFERROR(INDEX($V$6:$V$19,MATCH(ROW()-5,$AP$6:$AP$19,0)),"")</f>
        <v/>
      </c>
      <c r="AR10">
        <f>COUNTIF($A$6:$A10,"?*")</f>
        <v/>
      </c>
      <c r="AS10">
        <f>IFERROR(INDEX($A$6:$A$15,MATCH(ROW()-5,$AR$6:$AR$15,0)),"")</f>
        <v/>
      </c>
      <c r="AT10">
        <f>IF($AS10="","",$AS10&amp;" – "&amp;IF(IFERROR(VLOOKUP($AS10,$A$6:$D$15,2,0),"")="","(بدون عنوان)",VLOOKUP($AS10,$A$6:$D$15,2,0)))</f>
        <v/>
      </c>
    </row>
    <row r="11">
      <c r="A11">
        <f>IF([1]Banks!$A$12="","",[1]Banks!$A$12)</f>
        <v/>
      </c>
      <c r="B11">
        <f>IF([1]Banks!$B$12="","",[1]Banks!$B$12)</f>
        <v/>
      </c>
      <c r="C11">
        <f>[1]Banks!$C$12</f>
        <v/>
      </c>
      <c r="D11">
        <f>IF([1]Banks!$D$12="","",[1]Banks!$D$12)</f>
        <v/>
      </c>
      <c r="F11">
        <f>IF([1]Customers!$A$12="","",[1]Customers!$A$12)</f>
        <v/>
      </c>
      <c r="G11">
        <f>IF([1]Customers!$C$12="","",[1]Customers!$C$12)</f>
        <v/>
      </c>
      <c r="I11">
        <f>IF([1]Suppliers!$A$12="","",[1]Suppliers!$A$12)</f>
        <v/>
      </c>
      <c r="J11">
        <f>IF([1]Suppliers!$C$12="","",[1]Suppliers!$C$12)</f>
        <v/>
      </c>
      <c r="L11">
        <f>IF([1]Accounts!$A$12="","",[1]Accounts!$A$12)</f>
        <v/>
      </c>
      <c r="M11">
        <f>IF([1]Accounts!$C$12="","",[1]Accounts!$C$12)</f>
        <v/>
      </c>
      <c r="O11">
        <f>IF([1]Staff!$A$12="","",[1]Staff!$A$12)</f>
        <v/>
      </c>
      <c r="P11">
        <f>IF([1]Staff!$B$12="","",[1]Staff!$B$12)</f>
        <v/>
      </c>
      <c r="R11">
        <f>IF([1]PartyTypes!$A$12="","",[1]PartyTypes!$A$12)</f>
        <v/>
      </c>
      <c r="S11">
        <f>IF([1]PartyTypes!$B$12="","",[1]PartyTypes!$B$12)</f>
        <v/>
      </c>
      <c r="U11">
        <f>IF([1]TxnTypes!$A$12="","",[1]TxnTypes!$A$12)</f>
        <v/>
      </c>
      <c r="V11">
        <f>IF([1]TxnTypes!$B$12="","",[1]TxnTypes!$B$12)</f>
        <v/>
      </c>
      <c r="X11">
        <f>IF([1]Products_Buy!$A$12="","",[1]Products_Buy!$A$12)</f>
        <v/>
      </c>
      <c r="Y11">
        <f>IF([1]Products_Buy!$B$12="","",[1]Products_Buy!$B$12)</f>
        <v/>
      </c>
      <c r="AA11">
        <f>IF([1]Products_Sell!$A$12="","",[1]Products_Sell!$A$12)</f>
        <v/>
      </c>
      <c r="AB11">
        <f>IF([1]Products_Sell!$B$12="","",[1]Products_Sell!$B$12)</f>
        <v/>
      </c>
      <c r="AD11">
        <f>IF([1]Baskets!$A$12="","",[1]Baskets!$A$12)</f>
        <v/>
      </c>
      <c r="AE11">
        <f>IF([1]Baskets!$B$12="","",[1]Baskets!$B$12)</f>
        <v/>
      </c>
      <c r="AG11">
        <f>IF([1]Warehouses!$A$12="","",[1]Warehouses!$A$12)</f>
        <v/>
      </c>
      <c r="AH11">
        <f>IF([1]Warehouses!$B$12="","",[1]Warehouses!$B$12)</f>
        <v/>
      </c>
      <c r="AJ11" s="40" t="inlineStr">
        <is>
          <t>→ نشانی</t>
        </is>
      </c>
      <c r="AN11">
        <f>COUNTIF($S$6:$S11,"?*")</f>
        <v/>
      </c>
      <c r="AO11">
        <f>IFERROR(INDEX($S$6:$S$25,MATCH(ROW()-5,$AN$6:$AN$25,0)),"")</f>
        <v/>
      </c>
      <c r="AP11">
        <f>COUNTIF($V$6:$V11,"?*")</f>
        <v/>
      </c>
      <c r="AQ11">
        <f>IFERROR(INDEX($V$6:$V$19,MATCH(ROW()-5,$AP$6:$AP$19,0)),"")</f>
        <v/>
      </c>
      <c r="AR11">
        <f>COUNTIF($A$6:$A11,"?*")</f>
        <v/>
      </c>
      <c r="AS11">
        <f>IFERROR(INDEX($A$6:$A$15,MATCH(ROW()-5,$AR$6:$AR$15,0)),"")</f>
        <v/>
      </c>
      <c r="AT11">
        <f>IF($AS11="","",$AS11&amp;" – "&amp;IF(IFERROR(VLOOKUP($AS11,$A$6:$D$15,2,0),"")="","(بدون عنوان)",VLOOKUP($AS11,$A$6:$D$15,2,0)))</f>
        <v/>
      </c>
    </row>
    <row r="12">
      <c r="A12">
        <f>IF([1]Banks!$A$13="","",[1]Banks!$A$13)</f>
        <v/>
      </c>
      <c r="B12">
        <f>IF([1]Banks!$B$13="","",[1]Banks!$B$13)</f>
        <v/>
      </c>
      <c r="C12">
        <f>[1]Banks!$C$13</f>
        <v/>
      </c>
      <c r="D12">
        <f>IF([1]Banks!$D$13="","",[1]Banks!$D$13)</f>
        <v/>
      </c>
      <c r="F12">
        <f>IF([1]Customers!$A$13="","",[1]Customers!$A$13)</f>
        <v/>
      </c>
      <c r="G12">
        <f>IF([1]Customers!$C$13="","",[1]Customers!$C$13)</f>
        <v/>
      </c>
      <c r="I12">
        <f>IF([1]Suppliers!$A$13="","",[1]Suppliers!$A$13)</f>
        <v/>
      </c>
      <c r="J12">
        <f>IF([1]Suppliers!$C$13="","",[1]Suppliers!$C$13)</f>
        <v/>
      </c>
      <c r="L12">
        <f>IF([1]Accounts!$A$13="","",[1]Accounts!$A$13)</f>
        <v/>
      </c>
      <c r="M12">
        <f>IF([1]Accounts!$C$13="","",[1]Accounts!$C$13)</f>
        <v/>
      </c>
      <c r="O12">
        <f>IF([1]Staff!$A$13="","",[1]Staff!$A$13)</f>
        <v/>
      </c>
      <c r="P12">
        <f>IF([1]Staff!$B$13="","",[1]Staff!$B$13)</f>
        <v/>
      </c>
      <c r="R12">
        <f>IF([1]PartyTypes!$A$13="","",[1]PartyTypes!$A$13)</f>
        <v/>
      </c>
      <c r="S12">
        <f>IF([1]PartyTypes!$B$13="","",[1]PartyTypes!$B$13)</f>
        <v/>
      </c>
      <c r="U12">
        <f>IF([1]TxnTypes!$A$13="","",[1]TxnTypes!$A$13)</f>
        <v/>
      </c>
      <c r="V12">
        <f>IF([1]TxnTypes!$B$13="","",[1]TxnTypes!$B$13)</f>
        <v/>
      </c>
      <c r="X12">
        <f>IF([1]Products_Buy!$A$13="","",[1]Products_Buy!$A$13)</f>
        <v/>
      </c>
      <c r="Y12">
        <f>IF([1]Products_Buy!$B$13="","",[1]Products_Buy!$B$13)</f>
        <v/>
      </c>
      <c r="AA12">
        <f>IF([1]Products_Sell!$A$13="","",[1]Products_Sell!$A$13)</f>
        <v/>
      </c>
      <c r="AB12">
        <f>IF([1]Products_Sell!$B$13="","",[1]Products_Sell!$B$13)</f>
        <v/>
      </c>
      <c r="AD12">
        <f>IF([1]Baskets!$A$13="","",[1]Baskets!$A$13)</f>
        <v/>
      </c>
      <c r="AE12">
        <f>IF([1]Baskets!$B$13="","",[1]Baskets!$B$13)</f>
        <v/>
      </c>
      <c r="AG12">
        <f>IF([1]Warehouses!$A$13="","",[1]Warehouses!$A$13)</f>
        <v/>
      </c>
      <c r="AH12">
        <f>IF([1]Warehouses!$B$13="","",[1]Warehouses!$B$13)</f>
        <v/>
      </c>
      <c r="AJ12" s="40" t="inlineStr">
        <is>
          <t>→ تلفن</t>
        </is>
      </c>
      <c r="AN12">
        <f>COUNTIF($S$6:$S12,"?*")</f>
        <v/>
      </c>
      <c r="AO12">
        <f>IFERROR(INDEX($S$6:$S$25,MATCH(ROW()-5,$AN$6:$AN$25,0)),"")</f>
        <v/>
      </c>
      <c r="AP12">
        <f>COUNTIF($V$6:$V12,"?*")</f>
        <v/>
      </c>
      <c r="AQ12">
        <f>IFERROR(INDEX($V$6:$V$19,MATCH(ROW()-5,$AP$6:$AP$19,0)),"")</f>
        <v/>
      </c>
      <c r="AR12">
        <f>COUNTIF($A$6:$A12,"?*")</f>
        <v/>
      </c>
      <c r="AS12">
        <f>IFERROR(INDEX($A$6:$A$15,MATCH(ROW()-5,$AR$6:$AR$15,0)),"")</f>
        <v/>
      </c>
      <c r="AT12">
        <f>IF($AS12="","",$AS12&amp;" – "&amp;IF(IFERROR(VLOOKUP($AS12,$A$6:$D$15,2,0),"")="","(بدون عنوان)",VLOOKUP($AS12,$A$6:$D$15,2,0)))</f>
        <v/>
      </c>
    </row>
    <row r="13">
      <c r="A13">
        <f>IF([1]Banks!$A$14="","",[1]Banks!$A$14)</f>
        <v/>
      </c>
      <c r="B13">
        <f>IF([1]Banks!$B$14="","",[1]Banks!$B$14)</f>
        <v/>
      </c>
      <c r="C13">
        <f>[1]Banks!$C$14</f>
        <v/>
      </c>
      <c r="D13">
        <f>IF([1]Banks!$D$14="","",[1]Banks!$D$14)</f>
        <v/>
      </c>
      <c r="F13">
        <f>IF([1]Customers!$A$14="","",[1]Customers!$A$14)</f>
        <v/>
      </c>
      <c r="G13">
        <f>IF([1]Customers!$C$14="","",[1]Customers!$C$14)</f>
        <v/>
      </c>
      <c r="I13">
        <f>IF([1]Suppliers!$A$14="","",[1]Suppliers!$A$14)</f>
        <v/>
      </c>
      <c r="J13">
        <f>IF([1]Suppliers!$C$14="","",[1]Suppliers!$C$14)</f>
        <v/>
      </c>
      <c r="L13">
        <f>IF([1]Accounts!$A$14="","",[1]Accounts!$A$14)</f>
        <v/>
      </c>
      <c r="M13">
        <f>IF([1]Accounts!$C$14="","",[1]Accounts!$C$14)</f>
        <v/>
      </c>
      <c r="O13">
        <f>IF([1]Staff!$A$14="","",[1]Staff!$A$14)</f>
        <v/>
      </c>
      <c r="P13">
        <f>IF([1]Staff!$B$14="","",[1]Staff!$B$14)</f>
        <v/>
      </c>
      <c r="R13">
        <f>IF([1]PartyTypes!$A$14="","",[1]PartyTypes!$A$14)</f>
        <v/>
      </c>
      <c r="S13">
        <f>IF([1]PartyTypes!$B$14="","",[1]PartyTypes!$B$14)</f>
        <v/>
      </c>
      <c r="U13">
        <f>IF([1]TxnTypes!$A$14="","",[1]TxnTypes!$A$14)</f>
        <v/>
      </c>
      <c r="V13">
        <f>IF([1]TxnTypes!$B$14="","",[1]TxnTypes!$B$14)</f>
        <v/>
      </c>
      <c r="X13">
        <f>IF([1]Products_Buy!$A$14="","",[1]Products_Buy!$A$14)</f>
        <v/>
      </c>
      <c r="Y13">
        <f>IF([1]Products_Buy!$B$14="","",[1]Products_Buy!$B$14)</f>
        <v/>
      </c>
      <c r="AA13">
        <f>IF([1]Products_Sell!$A$14="","",[1]Products_Sell!$A$14)</f>
        <v/>
      </c>
      <c r="AB13">
        <f>IF([1]Products_Sell!$B$14="","",[1]Products_Sell!$B$14)</f>
        <v/>
      </c>
      <c r="AD13">
        <f>IF([1]Baskets!$A$14="","",[1]Baskets!$A$14)</f>
        <v/>
      </c>
      <c r="AE13">
        <f>IF([1]Baskets!$B$14="","",[1]Baskets!$B$14)</f>
        <v/>
      </c>
      <c r="AG13">
        <f>IF([1]Warehouses!$A$14="","",[1]Warehouses!$A$14)</f>
        <v/>
      </c>
      <c r="AH13">
        <f>IF([1]Warehouses!$B$14="","",[1]Warehouses!$B$14)</f>
        <v/>
      </c>
      <c r="AJ13" s="40" t="inlineStr">
        <is>
          <t>→ زمینه فعالیت</t>
        </is>
      </c>
      <c r="AN13">
        <f>COUNTIF($S$6:$S13,"?*")</f>
        <v/>
      </c>
      <c r="AO13">
        <f>IFERROR(INDEX($S$6:$S$25,MATCH(ROW()-5,$AN$6:$AN$25,0)),"")</f>
        <v/>
      </c>
      <c r="AP13">
        <f>COUNTIF($V$6:$V13,"?*")</f>
        <v/>
      </c>
      <c r="AQ13">
        <f>IFERROR(INDEX($V$6:$V$19,MATCH(ROW()-5,$AP$6:$AP$19,0)),"")</f>
        <v/>
      </c>
      <c r="AR13">
        <f>COUNTIF($A$6:$A13,"?*")</f>
        <v/>
      </c>
      <c r="AS13">
        <f>IFERROR(INDEX($A$6:$A$15,MATCH(ROW()-5,$AR$6:$AR$15,0)),"")</f>
        <v/>
      </c>
      <c r="AT13">
        <f>IF($AS13="","",$AS13&amp;" – "&amp;IF(IFERROR(VLOOKUP($AS13,$A$6:$D$15,2,0),"")="","(بدون عنوان)",VLOOKUP($AS13,$A$6:$D$15,2,0)))</f>
        <v/>
      </c>
    </row>
    <row r="14">
      <c r="A14">
        <f>IF([1]Banks!$A$15="","",[1]Banks!$A$15)</f>
        <v/>
      </c>
      <c r="B14">
        <f>IF([1]Banks!$B$15="","",[1]Banks!$B$15)</f>
        <v/>
      </c>
      <c r="C14">
        <f>[1]Banks!$C$15</f>
        <v/>
      </c>
      <c r="D14">
        <f>IF([1]Banks!$D$15="","",[1]Banks!$D$15)</f>
        <v/>
      </c>
      <c r="F14">
        <f>IF([1]Customers!$A$15="","",[1]Customers!$A$15)</f>
        <v/>
      </c>
      <c r="G14">
        <f>IF([1]Customers!$C$15="","",[1]Customers!$C$15)</f>
        <v/>
      </c>
      <c r="I14">
        <f>IF([1]Suppliers!$A$15="","",[1]Suppliers!$A$15)</f>
        <v/>
      </c>
      <c r="J14">
        <f>IF([1]Suppliers!$C$15="","",[1]Suppliers!$C$15)</f>
        <v/>
      </c>
      <c r="L14">
        <f>IF([1]Accounts!$A$15="","",[1]Accounts!$A$15)</f>
        <v/>
      </c>
      <c r="M14">
        <f>IF([1]Accounts!$C$15="","",[1]Accounts!$C$15)</f>
        <v/>
      </c>
      <c r="O14">
        <f>IF([1]Staff!$A$15="","",[1]Staff!$A$15)</f>
        <v/>
      </c>
      <c r="P14">
        <f>IF([1]Staff!$B$15="","",[1]Staff!$B$15)</f>
        <v/>
      </c>
      <c r="R14">
        <f>IF([1]PartyTypes!$A$15="","",[1]PartyTypes!$A$15)</f>
        <v/>
      </c>
      <c r="S14">
        <f>IF([1]PartyTypes!$B$15="","",[1]PartyTypes!$B$15)</f>
        <v/>
      </c>
      <c r="U14">
        <f>IF([1]TxnTypes!$A$15="","",[1]TxnTypes!$A$15)</f>
        <v/>
      </c>
      <c r="V14">
        <f>IF([1]TxnTypes!$B$15="","",[1]TxnTypes!$B$15)</f>
        <v/>
      </c>
      <c r="X14">
        <f>IF([1]Products_Buy!$A$15="","",[1]Products_Buy!$A$15)</f>
        <v/>
      </c>
      <c r="Y14">
        <f>IF([1]Products_Buy!$B$15="","",[1]Products_Buy!$B$15)</f>
        <v/>
      </c>
      <c r="AA14">
        <f>IF([1]Products_Sell!$A$15="","",[1]Products_Sell!$A$15)</f>
        <v/>
      </c>
      <c r="AB14">
        <f>IF([1]Products_Sell!$B$15="","",[1]Products_Sell!$B$15)</f>
        <v/>
      </c>
      <c r="AD14">
        <f>IF([1]Baskets!$A$15="","",[1]Baskets!$A$15)</f>
        <v/>
      </c>
      <c r="AE14">
        <f>IF([1]Baskets!$B$15="","",[1]Baskets!$B$15)</f>
        <v/>
      </c>
      <c r="AG14">
        <f>IF([1]Warehouses!$A$15="","",[1]Warehouses!$A$15)</f>
        <v/>
      </c>
      <c r="AH14">
        <f>IF([1]Warehouses!$B$15="","",[1]Warehouses!$B$15)</f>
        <v/>
      </c>
      <c r="AN14">
        <f>COUNTIF($S$6:$S14,"?*")</f>
        <v/>
      </c>
      <c r="AO14">
        <f>IFERROR(INDEX($S$6:$S$25,MATCH(ROW()-5,$AN$6:$AN$25,0)),"")</f>
        <v/>
      </c>
      <c r="AP14">
        <f>COUNTIF($V$6:$V14,"?*")</f>
        <v/>
      </c>
      <c r="AQ14">
        <f>IFERROR(INDEX($V$6:$V$19,MATCH(ROW()-5,$AP$6:$AP$19,0)),"")</f>
        <v/>
      </c>
      <c r="AR14">
        <f>COUNTIF($A$6:$A14,"?*")</f>
        <v/>
      </c>
      <c r="AS14">
        <f>IFERROR(INDEX($A$6:$A$15,MATCH(ROW()-5,$AR$6:$AR$15,0)),"")</f>
        <v/>
      </c>
      <c r="AT14">
        <f>IF($AS14="","",$AS14&amp;" – "&amp;IF(IFERROR(VLOOKUP($AS14,$A$6:$D$15,2,0),"")="","(بدون عنوان)",VLOOKUP($AS14,$A$6:$D$15,2,0)))</f>
        <v/>
      </c>
    </row>
    <row r="15">
      <c r="A15">
        <f>IF([1]Banks!$A$16="","",[1]Banks!$A$16)</f>
        <v/>
      </c>
      <c r="B15">
        <f>IF([1]Banks!$B$16="","",[1]Banks!$B$16)</f>
        <v/>
      </c>
      <c r="C15">
        <f>[1]Banks!$C$16</f>
        <v/>
      </c>
      <c r="D15">
        <f>IF([1]Banks!$D$16="","",[1]Banks!$D$16)</f>
        <v/>
      </c>
      <c r="F15">
        <f>IF([1]Customers!$A$16="","",[1]Customers!$A$16)</f>
        <v/>
      </c>
      <c r="G15">
        <f>IF([1]Customers!$C$16="","",[1]Customers!$C$16)</f>
        <v/>
      </c>
      <c r="I15">
        <f>IF([1]Suppliers!$A$16="","",[1]Suppliers!$A$16)</f>
        <v/>
      </c>
      <c r="J15">
        <f>IF([1]Suppliers!$C$16="","",[1]Suppliers!$C$16)</f>
        <v/>
      </c>
      <c r="L15">
        <f>IF([1]Accounts!$A$16="","",[1]Accounts!$A$16)</f>
        <v/>
      </c>
      <c r="M15">
        <f>IF([1]Accounts!$C$16="","",[1]Accounts!$C$16)</f>
        <v/>
      </c>
      <c r="O15">
        <f>IF([1]Staff!$A$16="","",[1]Staff!$A$16)</f>
        <v/>
      </c>
      <c r="P15">
        <f>IF([1]Staff!$B$16="","",[1]Staff!$B$16)</f>
        <v/>
      </c>
      <c r="R15">
        <f>IF([1]PartyTypes!$A$16="","",[1]PartyTypes!$A$16)</f>
        <v/>
      </c>
      <c r="S15">
        <f>IF([1]PartyTypes!$B$16="","",[1]PartyTypes!$B$16)</f>
        <v/>
      </c>
      <c r="U15">
        <f>IF([1]TxnTypes!$A$16="","",[1]TxnTypes!$A$16)</f>
        <v/>
      </c>
      <c r="V15">
        <f>IF([1]TxnTypes!$B$16="","",[1]TxnTypes!$B$16)</f>
        <v/>
      </c>
      <c r="X15">
        <f>IF([1]Products_Buy!$A$16="","",[1]Products_Buy!$A$16)</f>
        <v/>
      </c>
      <c r="Y15">
        <f>IF([1]Products_Buy!$B$16="","",[1]Products_Buy!$B$16)</f>
        <v/>
      </c>
      <c r="AA15">
        <f>IF([1]Products_Sell!$A$16="","",[1]Products_Sell!$A$16)</f>
        <v/>
      </c>
      <c r="AB15">
        <f>IF([1]Products_Sell!$B$16="","",[1]Products_Sell!$B$16)</f>
        <v/>
      </c>
      <c r="AD15">
        <f>IF([1]Baskets!$A$16="","",[1]Baskets!$A$16)</f>
        <v/>
      </c>
      <c r="AE15">
        <f>IF([1]Baskets!$B$16="","",[1]Baskets!$B$16)</f>
        <v/>
      </c>
      <c r="AG15">
        <f>IF([1]Warehouses!$A$16="","",[1]Warehouses!$A$16)</f>
        <v/>
      </c>
      <c r="AH15">
        <f>IF([1]Warehouses!$B$16="","",[1]Warehouses!$B$16)</f>
        <v/>
      </c>
      <c r="AN15">
        <f>COUNTIF($S$6:$S15,"?*")</f>
        <v/>
      </c>
      <c r="AO15">
        <f>IFERROR(INDEX($S$6:$S$25,MATCH(ROW()-5,$AN$6:$AN$25,0)),"")</f>
        <v/>
      </c>
      <c r="AP15">
        <f>COUNTIF($V$6:$V15,"?*")</f>
        <v/>
      </c>
      <c r="AQ15">
        <f>IFERROR(INDEX($V$6:$V$19,MATCH(ROW()-5,$AP$6:$AP$19,0)),"")</f>
        <v/>
      </c>
      <c r="AR15">
        <f>COUNTIF($A$6:$A15,"?*")</f>
        <v/>
      </c>
      <c r="AS15">
        <f>IFERROR(INDEX($A$6:$A$15,MATCH(ROW()-5,$AR$6:$AR$15,0)),"")</f>
        <v/>
      </c>
      <c r="AT15">
        <f>IF($AS15="","",$AS15&amp;" – "&amp;IF(IFERROR(VLOOKUP($AS15,$A$6:$D$15,2,0),"")="","(بدون عنوان)",VLOOKUP($AS15,$A$6:$D$15,2,0)))</f>
        <v/>
      </c>
    </row>
    <row r="16">
      <c r="F16">
        <f>IF([1]Customers!$A$17="","",[1]Customers!$A$17)</f>
        <v/>
      </c>
      <c r="G16">
        <f>IF([1]Customers!$C$17="","",[1]Customers!$C$17)</f>
        <v/>
      </c>
      <c r="I16">
        <f>IF([1]Suppliers!$A$17="","",[1]Suppliers!$A$17)</f>
        <v/>
      </c>
      <c r="J16">
        <f>IF([1]Suppliers!$C$17="","",[1]Suppliers!$C$17)</f>
        <v/>
      </c>
      <c r="L16">
        <f>IF([1]Accounts!$A$17="","",[1]Accounts!$A$17)</f>
        <v/>
      </c>
      <c r="M16">
        <f>IF([1]Accounts!$C$17="","",[1]Accounts!$C$17)</f>
        <v/>
      </c>
      <c r="O16">
        <f>IF([1]Staff!$A$17="","",[1]Staff!$A$17)</f>
        <v/>
      </c>
      <c r="P16">
        <f>IF([1]Staff!$B$17="","",[1]Staff!$B$17)</f>
        <v/>
      </c>
      <c r="R16">
        <f>IF([1]PartyTypes!$A$17="","",[1]PartyTypes!$A$17)</f>
        <v/>
      </c>
      <c r="S16">
        <f>IF([1]PartyTypes!$B$17="","",[1]PartyTypes!$B$17)</f>
        <v/>
      </c>
      <c r="U16">
        <f>IF([1]TxnTypes!$A$17="","",[1]TxnTypes!$A$17)</f>
        <v/>
      </c>
      <c r="V16">
        <f>IF([1]TxnTypes!$B$17="","",[1]TxnTypes!$B$17)</f>
        <v/>
      </c>
      <c r="X16">
        <f>IF([1]Products_Buy!$A$17="","",[1]Products_Buy!$A$17)</f>
        <v/>
      </c>
      <c r="Y16">
        <f>IF([1]Products_Buy!$B$17="","",[1]Products_Buy!$B$17)</f>
        <v/>
      </c>
      <c r="AA16">
        <f>IF([1]Products_Sell!$A$17="","",[1]Products_Sell!$A$17)</f>
        <v/>
      </c>
      <c r="AB16">
        <f>IF([1]Products_Sell!$B$17="","",[1]Products_Sell!$B$17)</f>
        <v/>
      </c>
      <c r="AD16">
        <f>IF([1]Baskets!$A$17="","",[1]Baskets!$A$17)</f>
        <v/>
      </c>
      <c r="AE16">
        <f>IF([1]Baskets!$B$17="","",[1]Baskets!$B$17)</f>
        <v/>
      </c>
      <c r="AG16">
        <f>IF([1]Warehouses!$A$17="","",[1]Warehouses!$A$17)</f>
        <v/>
      </c>
      <c r="AH16">
        <f>IF([1]Warehouses!$B$17="","",[1]Warehouses!$B$17)</f>
        <v/>
      </c>
      <c r="AN16">
        <f>COUNTIF($S$6:$S16,"?*")</f>
        <v/>
      </c>
      <c r="AO16">
        <f>IFERROR(INDEX($S$6:$S$25,MATCH(ROW()-5,$AN$6:$AN$25,0)),"")</f>
        <v/>
      </c>
      <c r="AP16">
        <f>COUNTIF($V$6:$V16,"?*")</f>
        <v/>
      </c>
      <c r="AQ16">
        <f>IFERROR(INDEX($V$6:$V$19,MATCH(ROW()-5,$AP$6:$AP$19,0)),"")</f>
        <v/>
      </c>
    </row>
    <row r="17">
      <c r="F17">
        <f>IF([1]Customers!$A$18="","",[1]Customers!$A$18)</f>
        <v/>
      </c>
      <c r="G17">
        <f>IF([1]Customers!$C$18="","",[1]Customers!$C$18)</f>
        <v/>
      </c>
      <c r="I17">
        <f>IF([1]Suppliers!$A$18="","",[1]Suppliers!$A$18)</f>
        <v/>
      </c>
      <c r="J17">
        <f>IF([1]Suppliers!$C$18="","",[1]Suppliers!$C$18)</f>
        <v/>
      </c>
      <c r="L17">
        <f>IF([1]Accounts!$A$18="","",[1]Accounts!$A$18)</f>
        <v/>
      </c>
      <c r="M17">
        <f>IF([1]Accounts!$C$18="","",[1]Accounts!$C$18)</f>
        <v/>
      </c>
      <c r="O17">
        <f>IF([1]Staff!$A$18="","",[1]Staff!$A$18)</f>
        <v/>
      </c>
      <c r="P17">
        <f>IF([1]Staff!$B$18="","",[1]Staff!$B$18)</f>
        <v/>
      </c>
      <c r="R17">
        <f>IF([1]PartyTypes!$A$18="","",[1]PartyTypes!$A$18)</f>
        <v/>
      </c>
      <c r="S17">
        <f>IF([1]PartyTypes!$B$18="","",[1]PartyTypes!$B$18)</f>
        <v/>
      </c>
      <c r="U17">
        <f>IF([1]TxnTypes!$A$18="","",[1]TxnTypes!$A$18)</f>
        <v/>
      </c>
      <c r="V17">
        <f>IF([1]TxnTypes!$B$18="","",[1]TxnTypes!$B$18)</f>
        <v/>
      </c>
      <c r="X17">
        <f>IF([1]Products_Buy!$A$18="","",[1]Products_Buy!$A$18)</f>
        <v/>
      </c>
      <c r="Y17">
        <f>IF([1]Products_Buy!$B$18="","",[1]Products_Buy!$B$18)</f>
        <v/>
      </c>
      <c r="AA17">
        <f>IF([1]Products_Sell!$A$18="","",[1]Products_Sell!$A$18)</f>
        <v/>
      </c>
      <c r="AB17">
        <f>IF([1]Products_Sell!$B$18="","",[1]Products_Sell!$B$18)</f>
        <v/>
      </c>
      <c r="AD17">
        <f>IF([1]Baskets!$A$18="","",[1]Baskets!$A$18)</f>
        <v/>
      </c>
      <c r="AE17">
        <f>IF([1]Baskets!$B$18="","",[1]Baskets!$B$18)</f>
        <v/>
      </c>
      <c r="AG17">
        <f>IF([1]Warehouses!$A$18="","",[1]Warehouses!$A$18)</f>
        <v/>
      </c>
      <c r="AH17">
        <f>IF([1]Warehouses!$B$18="","",[1]Warehouses!$B$18)</f>
        <v/>
      </c>
      <c r="AN17">
        <f>COUNTIF($S$6:$S17,"?*")</f>
        <v/>
      </c>
      <c r="AO17">
        <f>IFERROR(INDEX($S$6:$S$25,MATCH(ROW()-5,$AN$6:$AN$25,0)),"")</f>
        <v/>
      </c>
      <c r="AP17">
        <f>COUNTIF($V$6:$V17,"?*")</f>
        <v/>
      </c>
      <c r="AQ17">
        <f>IFERROR(INDEX($V$6:$V$19,MATCH(ROW()-5,$AP$6:$AP$19,0)),"")</f>
        <v/>
      </c>
    </row>
    <row r="18">
      <c r="F18">
        <f>IF([1]Customers!$A$19="","",[1]Customers!$A$19)</f>
        <v/>
      </c>
      <c r="G18">
        <f>IF([1]Customers!$C$19="","",[1]Customers!$C$19)</f>
        <v/>
      </c>
      <c r="I18">
        <f>IF([1]Suppliers!$A$19="","",[1]Suppliers!$A$19)</f>
        <v/>
      </c>
      <c r="J18">
        <f>IF([1]Suppliers!$C$19="","",[1]Suppliers!$C$19)</f>
        <v/>
      </c>
      <c r="L18">
        <f>IF([1]Accounts!$A$19="","",[1]Accounts!$A$19)</f>
        <v/>
      </c>
      <c r="M18">
        <f>IF([1]Accounts!$C$19="","",[1]Accounts!$C$19)</f>
        <v/>
      </c>
      <c r="O18">
        <f>IF([1]Staff!$A$19="","",[1]Staff!$A$19)</f>
        <v/>
      </c>
      <c r="P18">
        <f>IF([1]Staff!$B$19="","",[1]Staff!$B$19)</f>
        <v/>
      </c>
      <c r="R18">
        <f>IF([1]PartyTypes!$A$19="","",[1]PartyTypes!$A$19)</f>
        <v/>
      </c>
      <c r="S18">
        <f>IF([1]PartyTypes!$B$19="","",[1]PartyTypes!$B$19)</f>
        <v/>
      </c>
      <c r="U18">
        <f>IF([1]TxnTypes!$A$19="","",[1]TxnTypes!$A$19)</f>
        <v/>
      </c>
      <c r="V18">
        <f>IF([1]TxnTypes!$B$19="","",[1]TxnTypes!$B$19)</f>
        <v/>
      </c>
      <c r="X18">
        <f>IF([1]Products_Buy!$A$19="","",[1]Products_Buy!$A$19)</f>
        <v/>
      </c>
      <c r="Y18">
        <f>IF([1]Products_Buy!$B$19="","",[1]Products_Buy!$B$19)</f>
        <v/>
      </c>
      <c r="AA18">
        <f>IF([1]Products_Sell!$A$19="","",[1]Products_Sell!$A$19)</f>
        <v/>
      </c>
      <c r="AB18">
        <f>IF([1]Products_Sell!$B$19="","",[1]Products_Sell!$B$19)</f>
        <v/>
      </c>
      <c r="AD18">
        <f>IF([1]Baskets!$A$19="","",[1]Baskets!$A$19)</f>
        <v/>
      </c>
      <c r="AE18">
        <f>IF([1]Baskets!$B$19="","",[1]Baskets!$B$19)</f>
        <v/>
      </c>
      <c r="AG18">
        <f>IF([1]Warehouses!$A$19="","",[1]Warehouses!$A$19)</f>
        <v/>
      </c>
      <c r="AH18">
        <f>IF([1]Warehouses!$B$19="","",[1]Warehouses!$B$19)</f>
        <v/>
      </c>
      <c r="AN18">
        <f>COUNTIF($S$6:$S18,"?*")</f>
        <v/>
      </c>
      <c r="AO18">
        <f>IFERROR(INDEX($S$6:$S$25,MATCH(ROW()-5,$AN$6:$AN$25,0)),"")</f>
        <v/>
      </c>
      <c r="AP18">
        <f>COUNTIF($V$6:$V18,"?*")</f>
        <v/>
      </c>
      <c r="AQ18">
        <f>IFERROR(INDEX($V$6:$V$19,MATCH(ROW()-5,$AP$6:$AP$19,0)),"")</f>
        <v/>
      </c>
    </row>
    <row r="19">
      <c r="F19">
        <f>IF([1]Customers!$A$20="","",[1]Customers!$A$20)</f>
        <v/>
      </c>
      <c r="G19">
        <f>IF([1]Customers!$C$20="","",[1]Customers!$C$20)</f>
        <v/>
      </c>
      <c r="I19">
        <f>IF([1]Suppliers!$A$20="","",[1]Suppliers!$A$20)</f>
        <v/>
      </c>
      <c r="J19">
        <f>IF([1]Suppliers!$C$20="","",[1]Suppliers!$C$20)</f>
        <v/>
      </c>
      <c r="L19">
        <f>IF([1]Accounts!$A$20="","",[1]Accounts!$A$20)</f>
        <v/>
      </c>
      <c r="M19">
        <f>IF([1]Accounts!$C$20="","",[1]Accounts!$C$20)</f>
        <v/>
      </c>
      <c r="O19">
        <f>IF([1]Staff!$A$20="","",[1]Staff!$A$20)</f>
        <v/>
      </c>
      <c r="P19">
        <f>IF([1]Staff!$B$20="","",[1]Staff!$B$20)</f>
        <v/>
      </c>
      <c r="R19">
        <f>IF([1]PartyTypes!$A$20="","",[1]PartyTypes!$A$20)</f>
        <v/>
      </c>
      <c r="S19">
        <f>IF([1]PartyTypes!$B$20="","",[1]PartyTypes!$B$20)</f>
        <v/>
      </c>
      <c r="U19">
        <f>IF([1]TxnTypes!$A$20="","",[1]TxnTypes!$A$20)</f>
        <v/>
      </c>
      <c r="V19">
        <f>IF([1]TxnTypes!$B$20="","",[1]TxnTypes!$B$20)</f>
        <v/>
      </c>
      <c r="X19">
        <f>IF([1]Products_Buy!$A$20="","",[1]Products_Buy!$A$20)</f>
        <v/>
      </c>
      <c r="Y19">
        <f>IF([1]Products_Buy!$B$20="","",[1]Products_Buy!$B$20)</f>
        <v/>
      </c>
      <c r="AA19">
        <f>IF([1]Products_Sell!$A$20="","",[1]Products_Sell!$A$20)</f>
        <v/>
      </c>
      <c r="AB19">
        <f>IF([1]Products_Sell!$B$20="","",[1]Products_Sell!$B$20)</f>
        <v/>
      </c>
      <c r="AD19">
        <f>IF([1]Baskets!$A$20="","",[1]Baskets!$A$20)</f>
        <v/>
      </c>
      <c r="AE19">
        <f>IF([1]Baskets!$B$20="","",[1]Baskets!$B$20)</f>
        <v/>
      </c>
      <c r="AG19">
        <f>IF([1]Warehouses!$A$20="","",[1]Warehouses!$A$20)</f>
        <v/>
      </c>
      <c r="AH19">
        <f>IF([1]Warehouses!$B$20="","",[1]Warehouses!$B$20)</f>
        <v/>
      </c>
      <c r="AN19">
        <f>COUNTIF($S$6:$S19,"?*")</f>
        <v/>
      </c>
      <c r="AO19">
        <f>IFERROR(INDEX($S$6:$S$25,MATCH(ROW()-5,$AN$6:$AN$25,0)),"")</f>
        <v/>
      </c>
      <c r="AP19">
        <f>COUNTIF($V$6:$V19,"?*")</f>
        <v/>
      </c>
      <c r="AQ19">
        <f>IFERROR(INDEX($V$6:$V$19,MATCH(ROW()-5,$AP$6:$AP$19,0)),"")</f>
        <v/>
      </c>
    </row>
    <row r="20">
      <c r="F20">
        <f>IF([1]Customers!$A$21="","",[1]Customers!$A$21)</f>
        <v/>
      </c>
      <c r="G20">
        <f>IF([1]Customers!$C$21="","",[1]Customers!$C$21)</f>
        <v/>
      </c>
      <c r="I20">
        <f>IF([1]Suppliers!$A$21="","",[1]Suppliers!$A$21)</f>
        <v/>
      </c>
      <c r="J20">
        <f>IF([1]Suppliers!$C$21="","",[1]Suppliers!$C$21)</f>
        <v/>
      </c>
      <c r="L20">
        <f>IF([1]Accounts!$A$21="","",[1]Accounts!$A$21)</f>
        <v/>
      </c>
      <c r="M20">
        <f>IF([1]Accounts!$C$21="","",[1]Accounts!$C$21)</f>
        <v/>
      </c>
      <c r="O20">
        <f>IF([1]Staff!$A$21="","",[1]Staff!$A$21)</f>
        <v/>
      </c>
      <c r="P20">
        <f>IF([1]Staff!$B$21="","",[1]Staff!$B$21)</f>
        <v/>
      </c>
      <c r="R20">
        <f>IF([1]PartyTypes!$A$21="","",[1]PartyTypes!$A$21)</f>
        <v/>
      </c>
      <c r="S20">
        <f>IF([1]PartyTypes!$B$21="","",[1]PartyTypes!$B$21)</f>
        <v/>
      </c>
      <c r="X20">
        <f>IF([1]Products_Buy!$A$21="","",[1]Products_Buy!$A$21)</f>
        <v/>
      </c>
      <c r="Y20">
        <f>IF([1]Products_Buy!$B$21="","",[1]Products_Buy!$B$21)</f>
        <v/>
      </c>
      <c r="AA20">
        <f>IF([1]Products_Sell!$A$21="","",[1]Products_Sell!$A$21)</f>
        <v/>
      </c>
      <c r="AB20">
        <f>IF([1]Products_Sell!$B$21="","",[1]Products_Sell!$B$21)</f>
        <v/>
      </c>
      <c r="AD20">
        <f>IF([1]Baskets!$A$21="","",[1]Baskets!$A$21)</f>
        <v/>
      </c>
      <c r="AE20">
        <f>IF([1]Baskets!$B$21="","",[1]Baskets!$B$21)</f>
        <v/>
      </c>
      <c r="AG20">
        <f>IF([1]Warehouses!$A$21="","",[1]Warehouses!$A$21)</f>
        <v/>
      </c>
      <c r="AH20">
        <f>IF([1]Warehouses!$B$21="","",[1]Warehouses!$B$21)</f>
        <v/>
      </c>
      <c r="AN20">
        <f>COUNTIF($S$6:$S20,"?*")</f>
        <v/>
      </c>
      <c r="AO20">
        <f>IFERROR(INDEX($S$6:$S$25,MATCH(ROW()-5,$AN$6:$AN$25,0)),"")</f>
        <v/>
      </c>
    </row>
    <row r="21">
      <c r="F21">
        <f>IF([1]Customers!$A$22="","",[1]Customers!$A$22)</f>
        <v/>
      </c>
      <c r="G21">
        <f>IF([1]Customers!$C$22="","",[1]Customers!$C$22)</f>
        <v/>
      </c>
      <c r="I21">
        <f>IF([1]Suppliers!$A$22="","",[1]Suppliers!$A$22)</f>
        <v/>
      </c>
      <c r="J21">
        <f>IF([1]Suppliers!$C$22="","",[1]Suppliers!$C$22)</f>
        <v/>
      </c>
      <c r="L21">
        <f>IF([1]Accounts!$A$22="","",[1]Accounts!$A$22)</f>
        <v/>
      </c>
      <c r="M21">
        <f>IF([1]Accounts!$C$22="","",[1]Accounts!$C$22)</f>
        <v/>
      </c>
      <c r="O21">
        <f>IF([1]Staff!$A$22="","",[1]Staff!$A$22)</f>
        <v/>
      </c>
      <c r="P21">
        <f>IF([1]Staff!$B$22="","",[1]Staff!$B$22)</f>
        <v/>
      </c>
      <c r="R21">
        <f>IF([1]PartyTypes!$A$22="","",[1]PartyTypes!$A$22)</f>
        <v/>
      </c>
      <c r="S21">
        <f>IF([1]PartyTypes!$B$22="","",[1]PartyTypes!$B$22)</f>
        <v/>
      </c>
      <c r="X21">
        <f>IF([1]Products_Buy!$A$22="","",[1]Products_Buy!$A$22)</f>
        <v/>
      </c>
      <c r="Y21">
        <f>IF([1]Products_Buy!$B$22="","",[1]Products_Buy!$B$22)</f>
        <v/>
      </c>
      <c r="AA21">
        <f>IF([1]Products_Sell!$A$22="","",[1]Products_Sell!$A$22)</f>
        <v/>
      </c>
      <c r="AB21">
        <f>IF([1]Products_Sell!$B$22="","",[1]Products_Sell!$B$22)</f>
        <v/>
      </c>
      <c r="AD21">
        <f>IF([1]Baskets!$A$22="","",[1]Baskets!$A$22)</f>
        <v/>
      </c>
      <c r="AE21">
        <f>IF([1]Baskets!$B$22="","",[1]Baskets!$B$22)</f>
        <v/>
      </c>
      <c r="AN21">
        <f>COUNTIF($S$6:$S21,"?*")</f>
        <v/>
      </c>
      <c r="AO21">
        <f>IFERROR(INDEX($S$6:$S$25,MATCH(ROW()-5,$AN$6:$AN$25,0)),"")</f>
        <v/>
      </c>
    </row>
    <row r="22">
      <c r="F22">
        <f>IF([1]Customers!$A$23="","",[1]Customers!$A$23)</f>
        <v/>
      </c>
      <c r="G22">
        <f>IF([1]Customers!$C$23="","",[1]Customers!$C$23)</f>
        <v/>
      </c>
      <c r="I22">
        <f>IF([1]Suppliers!$A$23="","",[1]Suppliers!$A$23)</f>
        <v/>
      </c>
      <c r="J22">
        <f>IF([1]Suppliers!$C$23="","",[1]Suppliers!$C$23)</f>
        <v/>
      </c>
      <c r="L22">
        <f>IF([1]Accounts!$A$23="","",[1]Accounts!$A$23)</f>
        <v/>
      </c>
      <c r="M22">
        <f>IF([1]Accounts!$C$23="","",[1]Accounts!$C$23)</f>
        <v/>
      </c>
      <c r="O22">
        <f>IF([1]Staff!$A$23="","",[1]Staff!$A$23)</f>
        <v/>
      </c>
      <c r="P22">
        <f>IF([1]Staff!$B$23="","",[1]Staff!$B$23)</f>
        <v/>
      </c>
      <c r="R22">
        <f>IF([1]PartyTypes!$A$23="","",[1]PartyTypes!$A$23)</f>
        <v/>
      </c>
      <c r="S22">
        <f>IF([1]PartyTypes!$B$23="","",[1]PartyTypes!$B$23)</f>
        <v/>
      </c>
      <c r="X22">
        <f>IF([1]Products_Buy!$A$23="","",[1]Products_Buy!$A$23)</f>
        <v/>
      </c>
      <c r="Y22">
        <f>IF([1]Products_Buy!$B$23="","",[1]Products_Buy!$B$23)</f>
        <v/>
      </c>
      <c r="AA22">
        <f>IF([1]Products_Sell!$A$23="","",[1]Products_Sell!$A$23)</f>
        <v/>
      </c>
      <c r="AB22">
        <f>IF([1]Products_Sell!$B$23="","",[1]Products_Sell!$B$23)</f>
        <v/>
      </c>
      <c r="AD22">
        <f>IF([1]Baskets!$A$23="","",[1]Baskets!$A$23)</f>
        <v/>
      </c>
      <c r="AE22">
        <f>IF([1]Baskets!$B$23="","",[1]Baskets!$B$23)</f>
        <v/>
      </c>
      <c r="AN22">
        <f>COUNTIF($S$6:$S22,"?*")</f>
        <v/>
      </c>
      <c r="AO22">
        <f>IFERROR(INDEX($S$6:$S$25,MATCH(ROW()-5,$AN$6:$AN$25,0)),"")</f>
        <v/>
      </c>
    </row>
    <row r="23">
      <c r="F23">
        <f>IF([1]Customers!$A$24="","",[1]Customers!$A$24)</f>
        <v/>
      </c>
      <c r="G23">
        <f>IF([1]Customers!$C$24="","",[1]Customers!$C$24)</f>
        <v/>
      </c>
      <c r="I23">
        <f>IF([1]Suppliers!$A$24="","",[1]Suppliers!$A$24)</f>
        <v/>
      </c>
      <c r="J23">
        <f>IF([1]Suppliers!$C$24="","",[1]Suppliers!$C$24)</f>
        <v/>
      </c>
      <c r="L23">
        <f>IF([1]Accounts!$A$24="","",[1]Accounts!$A$24)</f>
        <v/>
      </c>
      <c r="M23">
        <f>IF([1]Accounts!$C$24="","",[1]Accounts!$C$24)</f>
        <v/>
      </c>
      <c r="O23">
        <f>IF([1]Staff!$A$24="","",[1]Staff!$A$24)</f>
        <v/>
      </c>
      <c r="P23">
        <f>IF([1]Staff!$B$24="","",[1]Staff!$B$24)</f>
        <v/>
      </c>
      <c r="R23">
        <f>IF([1]PartyTypes!$A$24="","",[1]PartyTypes!$A$24)</f>
        <v/>
      </c>
      <c r="S23">
        <f>IF([1]PartyTypes!$B$24="","",[1]PartyTypes!$B$24)</f>
        <v/>
      </c>
      <c r="X23">
        <f>IF([1]Products_Buy!$A$24="","",[1]Products_Buy!$A$24)</f>
        <v/>
      </c>
      <c r="Y23">
        <f>IF([1]Products_Buy!$B$24="","",[1]Products_Buy!$B$24)</f>
        <v/>
      </c>
      <c r="AA23">
        <f>IF([1]Products_Sell!$A$24="","",[1]Products_Sell!$A$24)</f>
        <v/>
      </c>
      <c r="AB23">
        <f>IF([1]Products_Sell!$B$24="","",[1]Products_Sell!$B$24)</f>
        <v/>
      </c>
      <c r="AD23">
        <f>IF([1]Baskets!$A$24="","",[1]Baskets!$A$24)</f>
        <v/>
      </c>
      <c r="AE23">
        <f>IF([1]Baskets!$B$24="","",[1]Baskets!$B$24)</f>
        <v/>
      </c>
      <c r="AN23">
        <f>COUNTIF($S$6:$S23,"?*")</f>
        <v/>
      </c>
      <c r="AO23">
        <f>IFERROR(INDEX($S$6:$S$25,MATCH(ROW()-5,$AN$6:$AN$25,0)),"")</f>
        <v/>
      </c>
    </row>
    <row r="24">
      <c r="F24">
        <f>IF([1]Customers!$A$25="","",[1]Customers!$A$25)</f>
        <v/>
      </c>
      <c r="G24">
        <f>IF([1]Customers!$C$25="","",[1]Customers!$C$25)</f>
        <v/>
      </c>
      <c r="I24">
        <f>IF([1]Suppliers!$A$25="","",[1]Suppliers!$A$25)</f>
        <v/>
      </c>
      <c r="J24">
        <f>IF([1]Suppliers!$C$25="","",[1]Suppliers!$C$25)</f>
        <v/>
      </c>
      <c r="L24">
        <f>IF([1]Accounts!$A$25="","",[1]Accounts!$A$25)</f>
        <v/>
      </c>
      <c r="M24">
        <f>IF([1]Accounts!$C$25="","",[1]Accounts!$C$25)</f>
        <v/>
      </c>
      <c r="O24">
        <f>IF([1]Staff!$A$25="","",[1]Staff!$A$25)</f>
        <v/>
      </c>
      <c r="P24">
        <f>IF([1]Staff!$B$25="","",[1]Staff!$B$25)</f>
        <v/>
      </c>
      <c r="R24">
        <f>IF([1]PartyTypes!$A$25="","",[1]PartyTypes!$A$25)</f>
        <v/>
      </c>
      <c r="S24">
        <f>IF([1]PartyTypes!$B$25="","",[1]PartyTypes!$B$25)</f>
        <v/>
      </c>
      <c r="X24">
        <f>IF([1]Products_Buy!$A$25="","",[1]Products_Buy!$A$25)</f>
        <v/>
      </c>
      <c r="Y24">
        <f>IF([1]Products_Buy!$B$25="","",[1]Products_Buy!$B$25)</f>
        <v/>
      </c>
      <c r="AA24">
        <f>IF([1]Products_Sell!$A$25="","",[1]Products_Sell!$A$25)</f>
        <v/>
      </c>
      <c r="AB24">
        <f>IF([1]Products_Sell!$B$25="","",[1]Products_Sell!$B$25)</f>
        <v/>
      </c>
      <c r="AD24">
        <f>IF([1]Baskets!$A$25="","",[1]Baskets!$A$25)</f>
        <v/>
      </c>
      <c r="AE24">
        <f>IF([1]Baskets!$B$25="","",[1]Baskets!$B$25)</f>
        <v/>
      </c>
      <c r="AN24">
        <f>COUNTIF($S$6:$S24,"?*")</f>
        <v/>
      </c>
      <c r="AO24">
        <f>IFERROR(INDEX($S$6:$S$25,MATCH(ROW()-5,$AN$6:$AN$25,0)),"")</f>
        <v/>
      </c>
    </row>
    <row r="25">
      <c r="F25">
        <f>IF([1]Customers!$A$26="","",[1]Customers!$A$26)</f>
        <v/>
      </c>
      <c r="G25">
        <f>IF([1]Customers!$C$26="","",[1]Customers!$C$26)</f>
        <v/>
      </c>
      <c r="I25">
        <f>IF([1]Suppliers!$A$26="","",[1]Suppliers!$A$26)</f>
        <v/>
      </c>
      <c r="J25">
        <f>IF([1]Suppliers!$C$26="","",[1]Suppliers!$C$26)</f>
        <v/>
      </c>
      <c r="L25">
        <f>IF([1]Accounts!$A$26="","",[1]Accounts!$A$26)</f>
        <v/>
      </c>
      <c r="M25">
        <f>IF([1]Accounts!$C$26="","",[1]Accounts!$C$26)</f>
        <v/>
      </c>
      <c r="O25">
        <f>IF([1]Staff!$A$26="","",[1]Staff!$A$26)</f>
        <v/>
      </c>
      <c r="P25">
        <f>IF([1]Staff!$B$26="","",[1]Staff!$B$26)</f>
        <v/>
      </c>
      <c r="R25">
        <f>IF([1]PartyTypes!$A$26="","",[1]PartyTypes!$A$26)</f>
        <v/>
      </c>
      <c r="S25">
        <f>IF([1]PartyTypes!$B$26="","",[1]PartyTypes!$B$26)</f>
        <v/>
      </c>
      <c r="X25">
        <f>IF([1]Products_Buy!$A$26="","",[1]Products_Buy!$A$26)</f>
        <v/>
      </c>
      <c r="Y25">
        <f>IF([1]Products_Buy!$B$26="","",[1]Products_Buy!$B$26)</f>
        <v/>
      </c>
      <c r="AA25">
        <f>IF([1]Products_Sell!$A$26="","",[1]Products_Sell!$A$26)</f>
        <v/>
      </c>
      <c r="AB25">
        <f>IF([1]Products_Sell!$B$26="","",[1]Products_Sell!$B$26)</f>
        <v/>
      </c>
      <c r="AD25">
        <f>IF([1]Baskets!$A$26="","",[1]Baskets!$A$26)</f>
        <v/>
      </c>
      <c r="AE25">
        <f>IF([1]Baskets!$B$26="","",[1]Baskets!$B$26)</f>
        <v/>
      </c>
      <c r="AN25">
        <f>COUNTIF($S$6:$S25,"?*")</f>
        <v/>
      </c>
      <c r="AO25">
        <f>IFERROR(INDEX($S$6:$S$25,MATCH(ROW()-5,$AN$6:$AN$25,0)),"")</f>
        <v/>
      </c>
    </row>
    <row r="26">
      <c r="F26">
        <f>IF([1]Customers!$A$27="","",[1]Customers!$A$27)</f>
        <v/>
      </c>
      <c r="G26">
        <f>IF([1]Customers!$C$27="","",[1]Customers!$C$27)</f>
        <v/>
      </c>
      <c r="I26">
        <f>IF([1]Suppliers!$A$27="","",[1]Suppliers!$A$27)</f>
        <v/>
      </c>
      <c r="J26">
        <f>IF([1]Suppliers!$C$27="","",[1]Suppliers!$C$27)</f>
        <v/>
      </c>
      <c r="L26">
        <f>IF([1]Accounts!$A$27="","",[1]Accounts!$A$27)</f>
        <v/>
      </c>
      <c r="M26">
        <f>IF([1]Accounts!$C$27="","",[1]Accounts!$C$27)</f>
        <v/>
      </c>
      <c r="O26">
        <f>IF([1]Staff!$A$27="","",[1]Staff!$A$27)</f>
        <v/>
      </c>
      <c r="P26">
        <f>IF([1]Staff!$B$27="","",[1]Staff!$B$27)</f>
        <v/>
      </c>
      <c r="X26">
        <f>IF([1]Products_Buy!$A$27="","",[1]Products_Buy!$A$27)</f>
        <v/>
      </c>
      <c r="Y26">
        <f>IF([1]Products_Buy!$B$27="","",[1]Products_Buy!$B$27)</f>
        <v/>
      </c>
      <c r="AA26">
        <f>IF([1]Products_Sell!$A$27="","",[1]Products_Sell!$A$27)</f>
        <v/>
      </c>
      <c r="AB26">
        <f>IF([1]Products_Sell!$B$27="","",[1]Products_Sell!$B$27)</f>
        <v/>
      </c>
      <c r="AD26">
        <f>IF([1]Baskets!$A$27="","",[1]Baskets!$A$27)</f>
        <v/>
      </c>
      <c r="AE26">
        <f>IF([1]Baskets!$B$27="","",[1]Baskets!$B$27)</f>
        <v/>
      </c>
    </row>
    <row r="27">
      <c r="F27">
        <f>IF([1]Customers!$A$28="","",[1]Customers!$A$28)</f>
        <v/>
      </c>
      <c r="G27">
        <f>IF([1]Customers!$C$28="","",[1]Customers!$C$28)</f>
        <v/>
      </c>
      <c r="I27">
        <f>IF([1]Suppliers!$A$28="","",[1]Suppliers!$A$28)</f>
        <v/>
      </c>
      <c r="J27">
        <f>IF([1]Suppliers!$C$28="","",[1]Suppliers!$C$28)</f>
        <v/>
      </c>
      <c r="L27">
        <f>IF([1]Accounts!$A$28="","",[1]Accounts!$A$28)</f>
        <v/>
      </c>
      <c r="M27">
        <f>IF([1]Accounts!$C$28="","",[1]Accounts!$C$28)</f>
        <v/>
      </c>
      <c r="O27">
        <f>IF([1]Staff!$A$28="","",[1]Staff!$A$28)</f>
        <v/>
      </c>
      <c r="P27">
        <f>IF([1]Staff!$B$28="","",[1]Staff!$B$28)</f>
        <v/>
      </c>
      <c r="X27">
        <f>IF([1]Products_Buy!$A$28="","",[1]Products_Buy!$A$28)</f>
        <v/>
      </c>
      <c r="Y27">
        <f>IF([1]Products_Buy!$B$28="","",[1]Products_Buy!$B$28)</f>
        <v/>
      </c>
      <c r="AA27">
        <f>IF([1]Products_Sell!$A$28="","",[1]Products_Sell!$A$28)</f>
        <v/>
      </c>
      <c r="AB27">
        <f>IF([1]Products_Sell!$B$28="","",[1]Products_Sell!$B$28)</f>
        <v/>
      </c>
      <c r="AD27">
        <f>IF([1]Baskets!$A$28="","",[1]Baskets!$A$28)</f>
        <v/>
      </c>
      <c r="AE27">
        <f>IF([1]Baskets!$B$28="","",[1]Baskets!$B$28)</f>
        <v/>
      </c>
    </row>
    <row r="28">
      <c r="F28">
        <f>IF([1]Customers!$A$29="","",[1]Customers!$A$29)</f>
        <v/>
      </c>
      <c r="G28">
        <f>IF([1]Customers!$C$29="","",[1]Customers!$C$29)</f>
        <v/>
      </c>
      <c r="I28">
        <f>IF([1]Suppliers!$A$29="","",[1]Suppliers!$A$29)</f>
        <v/>
      </c>
      <c r="J28">
        <f>IF([1]Suppliers!$C$29="","",[1]Suppliers!$C$29)</f>
        <v/>
      </c>
      <c r="L28">
        <f>IF([1]Accounts!$A$29="","",[1]Accounts!$A$29)</f>
        <v/>
      </c>
      <c r="M28">
        <f>IF([1]Accounts!$C$29="","",[1]Accounts!$C$29)</f>
        <v/>
      </c>
      <c r="O28">
        <f>IF([1]Staff!$A$29="","",[1]Staff!$A$29)</f>
        <v/>
      </c>
      <c r="P28">
        <f>IF([1]Staff!$B$29="","",[1]Staff!$B$29)</f>
        <v/>
      </c>
      <c r="X28">
        <f>IF([1]Products_Buy!$A$29="","",[1]Products_Buy!$A$29)</f>
        <v/>
      </c>
      <c r="Y28">
        <f>IF([1]Products_Buy!$B$29="","",[1]Products_Buy!$B$29)</f>
        <v/>
      </c>
      <c r="AA28">
        <f>IF([1]Products_Sell!$A$29="","",[1]Products_Sell!$A$29)</f>
        <v/>
      </c>
      <c r="AB28">
        <f>IF([1]Products_Sell!$B$29="","",[1]Products_Sell!$B$29)</f>
        <v/>
      </c>
      <c r="AD28">
        <f>IF([1]Baskets!$A$29="","",[1]Baskets!$A$29)</f>
        <v/>
      </c>
      <c r="AE28">
        <f>IF([1]Baskets!$B$29="","",[1]Baskets!$B$29)</f>
        <v/>
      </c>
    </row>
    <row r="29">
      <c r="F29">
        <f>IF([1]Customers!$A$30="","",[1]Customers!$A$30)</f>
        <v/>
      </c>
      <c r="G29">
        <f>IF([1]Customers!$C$30="","",[1]Customers!$C$30)</f>
        <v/>
      </c>
      <c r="I29">
        <f>IF([1]Suppliers!$A$30="","",[1]Suppliers!$A$30)</f>
        <v/>
      </c>
      <c r="J29">
        <f>IF([1]Suppliers!$C$30="","",[1]Suppliers!$C$30)</f>
        <v/>
      </c>
      <c r="L29">
        <f>IF([1]Accounts!$A$30="","",[1]Accounts!$A$30)</f>
        <v/>
      </c>
      <c r="M29">
        <f>IF([1]Accounts!$C$30="","",[1]Accounts!$C$30)</f>
        <v/>
      </c>
      <c r="O29">
        <f>IF([1]Staff!$A$30="","",[1]Staff!$A$30)</f>
        <v/>
      </c>
      <c r="P29">
        <f>IF([1]Staff!$B$30="","",[1]Staff!$B$30)</f>
        <v/>
      </c>
      <c r="X29">
        <f>IF([1]Products_Buy!$A$30="","",[1]Products_Buy!$A$30)</f>
        <v/>
      </c>
      <c r="Y29">
        <f>IF([1]Products_Buy!$B$30="","",[1]Products_Buy!$B$30)</f>
        <v/>
      </c>
      <c r="AA29">
        <f>IF([1]Products_Sell!$A$30="","",[1]Products_Sell!$A$30)</f>
        <v/>
      </c>
      <c r="AB29">
        <f>IF([1]Products_Sell!$B$30="","",[1]Products_Sell!$B$30)</f>
        <v/>
      </c>
      <c r="AD29">
        <f>IF([1]Baskets!$A$30="","",[1]Baskets!$A$30)</f>
        <v/>
      </c>
      <c r="AE29">
        <f>IF([1]Baskets!$B$30="","",[1]Baskets!$B$30)</f>
        <v/>
      </c>
    </row>
    <row r="30">
      <c r="F30">
        <f>IF([1]Customers!$A$31="","",[1]Customers!$A$31)</f>
        <v/>
      </c>
      <c r="G30">
        <f>IF([1]Customers!$C$31="","",[1]Customers!$C$31)</f>
        <v/>
      </c>
      <c r="I30">
        <f>IF([1]Suppliers!$A$31="","",[1]Suppliers!$A$31)</f>
        <v/>
      </c>
      <c r="J30">
        <f>IF([1]Suppliers!$C$31="","",[1]Suppliers!$C$31)</f>
        <v/>
      </c>
      <c r="L30">
        <f>IF([1]Accounts!$A$31="","",[1]Accounts!$A$31)</f>
        <v/>
      </c>
      <c r="M30">
        <f>IF([1]Accounts!$C$31="","",[1]Accounts!$C$31)</f>
        <v/>
      </c>
      <c r="O30">
        <f>IF([1]Staff!$A$31="","",[1]Staff!$A$31)</f>
        <v/>
      </c>
      <c r="P30">
        <f>IF([1]Staff!$B$31="","",[1]Staff!$B$31)</f>
        <v/>
      </c>
      <c r="X30">
        <f>IF([1]Products_Buy!$A$31="","",[1]Products_Buy!$A$31)</f>
        <v/>
      </c>
      <c r="Y30">
        <f>IF([1]Products_Buy!$B$31="","",[1]Products_Buy!$B$31)</f>
        <v/>
      </c>
      <c r="AA30">
        <f>IF([1]Products_Sell!$A$31="","",[1]Products_Sell!$A$31)</f>
        <v/>
      </c>
      <c r="AB30">
        <f>IF([1]Products_Sell!$B$31="","",[1]Products_Sell!$B$31)</f>
        <v/>
      </c>
      <c r="AD30">
        <f>IF([1]Baskets!$A$31="","",[1]Baskets!$A$31)</f>
        <v/>
      </c>
      <c r="AE30">
        <f>IF([1]Baskets!$B$31="","",[1]Baskets!$B$31)</f>
        <v/>
      </c>
    </row>
    <row r="31">
      <c r="F31">
        <f>IF([1]Customers!$A$32="","",[1]Customers!$A$32)</f>
        <v/>
      </c>
      <c r="G31">
        <f>IF([1]Customers!$C$32="","",[1]Customers!$C$32)</f>
        <v/>
      </c>
      <c r="I31">
        <f>IF([1]Suppliers!$A$32="","",[1]Suppliers!$A$32)</f>
        <v/>
      </c>
      <c r="J31">
        <f>IF([1]Suppliers!$C$32="","",[1]Suppliers!$C$32)</f>
        <v/>
      </c>
      <c r="L31">
        <f>IF([1]Accounts!$A$32="","",[1]Accounts!$A$32)</f>
        <v/>
      </c>
      <c r="M31">
        <f>IF([1]Accounts!$C$32="","",[1]Accounts!$C$32)</f>
        <v/>
      </c>
      <c r="O31">
        <f>IF([1]Staff!$A$32="","",[1]Staff!$A$32)</f>
        <v/>
      </c>
      <c r="P31">
        <f>IF([1]Staff!$B$32="","",[1]Staff!$B$32)</f>
        <v/>
      </c>
      <c r="X31">
        <f>IF([1]Products_Buy!$A$32="","",[1]Products_Buy!$A$32)</f>
        <v/>
      </c>
      <c r="Y31">
        <f>IF([1]Products_Buy!$B$32="","",[1]Products_Buy!$B$32)</f>
        <v/>
      </c>
      <c r="AA31">
        <f>IF([1]Products_Sell!$A$32="","",[1]Products_Sell!$A$32)</f>
        <v/>
      </c>
      <c r="AB31">
        <f>IF([1]Products_Sell!$B$32="","",[1]Products_Sell!$B$32)</f>
        <v/>
      </c>
      <c r="AD31">
        <f>IF([1]Baskets!$A$32="","",[1]Baskets!$A$32)</f>
        <v/>
      </c>
      <c r="AE31">
        <f>IF([1]Baskets!$B$32="","",[1]Baskets!$B$32)</f>
        <v/>
      </c>
    </row>
    <row r="32">
      <c r="F32">
        <f>IF([1]Customers!$A$33="","",[1]Customers!$A$33)</f>
        <v/>
      </c>
      <c r="G32">
        <f>IF([1]Customers!$C$33="","",[1]Customers!$C$33)</f>
        <v/>
      </c>
      <c r="I32">
        <f>IF([1]Suppliers!$A$33="","",[1]Suppliers!$A$33)</f>
        <v/>
      </c>
      <c r="J32">
        <f>IF([1]Suppliers!$C$33="","",[1]Suppliers!$C$33)</f>
        <v/>
      </c>
      <c r="L32">
        <f>IF([1]Accounts!$A$33="","",[1]Accounts!$A$33)</f>
        <v/>
      </c>
      <c r="M32">
        <f>IF([1]Accounts!$C$33="","",[1]Accounts!$C$33)</f>
        <v/>
      </c>
      <c r="O32">
        <f>IF([1]Staff!$A$33="","",[1]Staff!$A$33)</f>
        <v/>
      </c>
      <c r="P32">
        <f>IF([1]Staff!$B$33="","",[1]Staff!$B$33)</f>
        <v/>
      </c>
      <c r="X32">
        <f>IF([1]Products_Buy!$A$33="","",[1]Products_Buy!$A$33)</f>
        <v/>
      </c>
      <c r="Y32">
        <f>IF([1]Products_Buy!$B$33="","",[1]Products_Buy!$B$33)</f>
        <v/>
      </c>
      <c r="AA32">
        <f>IF([1]Products_Sell!$A$33="","",[1]Products_Sell!$A$33)</f>
        <v/>
      </c>
      <c r="AB32">
        <f>IF([1]Products_Sell!$B$33="","",[1]Products_Sell!$B$33)</f>
        <v/>
      </c>
      <c r="AD32">
        <f>IF([1]Baskets!$A$33="","",[1]Baskets!$A$33)</f>
        <v/>
      </c>
      <c r="AE32">
        <f>IF([1]Baskets!$B$33="","",[1]Baskets!$B$33)</f>
        <v/>
      </c>
    </row>
    <row r="33">
      <c r="F33">
        <f>IF([1]Customers!$A$34="","",[1]Customers!$A$34)</f>
        <v/>
      </c>
      <c r="G33">
        <f>IF([1]Customers!$C$34="","",[1]Customers!$C$34)</f>
        <v/>
      </c>
      <c r="I33">
        <f>IF([1]Suppliers!$A$34="","",[1]Suppliers!$A$34)</f>
        <v/>
      </c>
      <c r="J33">
        <f>IF([1]Suppliers!$C$34="","",[1]Suppliers!$C$34)</f>
        <v/>
      </c>
      <c r="L33">
        <f>IF([1]Accounts!$A$34="","",[1]Accounts!$A$34)</f>
        <v/>
      </c>
      <c r="M33">
        <f>IF([1]Accounts!$C$34="","",[1]Accounts!$C$34)</f>
        <v/>
      </c>
      <c r="O33">
        <f>IF([1]Staff!$A$34="","",[1]Staff!$A$34)</f>
        <v/>
      </c>
      <c r="P33">
        <f>IF([1]Staff!$B$34="","",[1]Staff!$B$34)</f>
        <v/>
      </c>
      <c r="X33">
        <f>IF([1]Products_Buy!$A$34="","",[1]Products_Buy!$A$34)</f>
        <v/>
      </c>
      <c r="Y33">
        <f>IF([1]Products_Buy!$B$34="","",[1]Products_Buy!$B$34)</f>
        <v/>
      </c>
      <c r="AA33">
        <f>IF([1]Products_Sell!$A$34="","",[1]Products_Sell!$A$34)</f>
        <v/>
      </c>
      <c r="AB33">
        <f>IF([1]Products_Sell!$B$34="","",[1]Products_Sell!$B$34)</f>
        <v/>
      </c>
      <c r="AD33">
        <f>IF([1]Baskets!$A$34="","",[1]Baskets!$A$34)</f>
        <v/>
      </c>
      <c r="AE33">
        <f>IF([1]Baskets!$B$34="","",[1]Baskets!$B$34)</f>
        <v/>
      </c>
    </row>
    <row r="34">
      <c r="F34">
        <f>IF([1]Customers!$A$35="","",[1]Customers!$A$35)</f>
        <v/>
      </c>
      <c r="G34">
        <f>IF([1]Customers!$C$35="","",[1]Customers!$C$35)</f>
        <v/>
      </c>
      <c r="I34">
        <f>IF([1]Suppliers!$A$35="","",[1]Suppliers!$A$35)</f>
        <v/>
      </c>
      <c r="J34">
        <f>IF([1]Suppliers!$C$35="","",[1]Suppliers!$C$35)</f>
        <v/>
      </c>
      <c r="L34">
        <f>IF([1]Accounts!$A$35="","",[1]Accounts!$A$35)</f>
        <v/>
      </c>
      <c r="M34">
        <f>IF([1]Accounts!$C$35="","",[1]Accounts!$C$35)</f>
        <v/>
      </c>
      <c r="O34">
        <f>IF([1]Staff!$A$35="","",[1]Staff!$A$35)</f>
        <v/>
      </c>
      <c r="P34">
        <f>IF([1]Staff!$B$35="","",[1]Staff!$B$35)</f>
        <v/>
      </c>
      <c r="X34">
        <f>IF([1]Products_Buy!$A$35="","",[1]Products_Buy!$A$35)</f>
        <v/>
      </c>
      <c r="Y34">
        <f>IF([1]Products_Buy!$B$35="","",[1]Products_Buy!$B$35)</f>
        <v/>
      </c>
      <c r="AA34">
        <f>IF([1]Products_Sell!$A$35="","",[1]Products_Sell!$A$35)</f>
        <v/>
      </c>
      <c r="AB34">
        <f>IF([1]Products_Sell!$B$35="","",[1]Products_Sell!$B$35)</f>
        <v/>
      </c>
      <c r="AD34">
        <f>IF([1]Baskets!$A$35="","",[1]Baskets!$A$35)</f>
        <v/>
      </c>
      <c r="AE34">
        <f>IF([1]Baskets!$B$35="","",[1]Baskets!$B$35)</f>
        <v/>
      </c>
    </row>
    <row r="35">
      <c r="F35">
        <f>IF([1]Customers!$A$36="","",[1]Customers!$A$36)</f>
        <v/>
      </c>
      <c r="G35">
        <f>IF([1]Customers!$C$36="","",[1]Customers!$C$36)</f>
        <v/>
      </c>
      <c r="I35">
        <f>IF([1]Suppliers!$A$36="","",[1]Suppliers!$A$36)</f>
        <v/>
      </c>
      <c r="J35">
        <f>IF([1]Suppliers!$C$36="","",[1]Suppliers!$C$36)</f>
        <v/>
      </c>
      <c r="L35">
        <f>IF([1]Accounts!$A$36="","",[1]Accounts!$A$36)</f>
        <v/>
      </c>
      <c r="M35">
        <f>IF([1]Accounts!$C$36="","",[1]Accounts!$C$36)</f>
        <v/>
      </c>
      <c r="O35">
        <f>IF([1]Staff!$A$36="","",[1]Staff!$A$36)</f>
        <v/>
      </c>
      <c r="P35">
        <f>IF([1]Staff!$B$36="","",[1]Staff!$B$36)</f>
        <v/>
      </c>
      <c r="X35">
        <f>IF([1]Products_Buy!$A$36="","",[1]Products_Buy!$A$36)</f>
        <v/>
      </c>
      <c r="Y35">
        <f>IF([1]Products_Buy!$B$36="","",[1]Products_Buy!$B$36)</f>
        <v/>
      </c>
      <c r="AA35">
        <f>IF([1]Products_Sell!$A$36="","",[1]Products_Sell!$A$36)</f>
        <v/>
      </c>
      <c r="AB35">
        <f>IF([1]Products_Sell!$B$36="","",[1]Products_Sell!$B$36)</f>
        <v/>
      </c>
      <c r="AD35">
        <f>IF([1]Baskets!$A$36="","",[1]Baskets!$A$36)</f>
        <v/>
      </c>
      <c r="AE35">
        <f>IF([1]Baskets!$B$36="","",[1]Baskets!$B$36)</f>
        <v/>
      </c>
    </row>
    <row r="36">
      <c r="F36">
        <f>IF([1]Customers!$A$37="","",[1]Customers!$A$37)</f>
        <v/>
      </c>
      <c r="G36">
        <f>IF([1]Customers!$C$37="","",[1]Customers!$C$37)</f>
        <v/>
      </c>
      <c r="I36">
        <f>IF([1]Suppliers!$A$37="","",[1]Suppliers!$A$37)</f>
        <v/>
      </c>
      <c r="J36">
        <f>IF([1]Suppliers!$C$37="","",[1]Suppliers!$C$37)</f>
        <v/>
      </c>
      <c r="L36">
        <f>IF([1]Accounts!$A$37="","",[1]Accounts!$A$37)</f>
        <v/>
      </c>
      <c r="M36">
        <f>IF([1]Accounts!$C$37="","",[1]Accounts!$C$37)</f>
        <v/>
      </c>
      <c r="O36">
        <f>IF([1]Staff!$A$37="","",[1]Staff!$A$37)</f>
        <v/>
      </c>
      <c r="P36">
        <f>IF([1]Staff!$B$37="","",[1]Staff!$B$37)</f>
        <v/>
      </c>
      <c r="X36">
        <f>IF([1]Products_Buy!$A$37="","",[1]Products_Buy!$A$37)</f>
        <v/>
      </c>
      <c r="Y36">
        <f>IF([1]Products_Buy!$B$37="","",[1]Products_Buy!$B$37)</f>
        <v/>
      </c>
      <c r="AA36">
        <f>IF([1]Products_Sell!$A$37="","",[1]Products_Sell!$A$37)</f>
        <v/>
      </c>
      <c r="AB36">
        <f>IF([1]Products_Sell!$B$37="","",[1]Products_Sell!$B$37)</f>
        <v/>
      </c>
    </row>
    <row r="37">
      <c r="F37">
        <f>IF([1]Customers!$A$38="","",[1]Customers!$A$38)</f>
        <v/>
      </c>
      <c r="G37">
        <f>IF([1]Customers!$C$38="","",[1]Customers!$C$38)</f>
        <v/>
      </c>
      <c r="I37">
        <f>IF([1]Suppliers!$A$38="","",[1]Suppliers!$A$38)</f>
        <v/>
      </c>
      <c r="J37">
        <f>IF([1]Suppliers!$C$38="","",[1]Suppliers!$C$38)</f>
        <v/>
      </c>
      <c r="L37">
        <f>IF([1]Accounts!$A$38="","",[1]Accounts!$A$38)</f>
        <v/>
      </c>
      <c r="M37">
        <f>IF([1]Accounts!$C$38="","",[1]Accounts!$C$38)</f>
        <v/>
      </c>
      <c r="O37">
        <f>IF([1]Staff!$A$38="","",[1]Staff!$A$38)</f>
        <v/>
      </c>
      <c r="P37">
        <f>IF([1]Staff!$B$38="","",[1]Staff!$B$38)</f>
        <v/>
      </c>
      <c r="X37">
        <f>IF([1]Products_Buy!$A$38="","",[1]Products_Buy!$A$38)</f>
        <v/>
      </c>
      <c r="Y37">
        <f>IF([1]Products_Buy!$B$38="","",[1]Products_Buy!$B$38)</f>
        <v/>
      </c>
      <c r="AA37">
        <f>IF([1]Products_Sell!$A$38="","",[1]Products_Sell!$A$38)</f>
        <v/>
      </c>
      <c r="AB37">
        <f>IF([1]Products_Sell!$B$38="","",[1]Products_Sell!$B$38)</f>
        <v/>
      </c>
    </row>
    <row r="38">
      <c r="F38">
        <f>IF([1]Customers!$A$39="","",[1]Customers!$A$39)</f>
        <v/>
      </c>
      <c r="G38">
        <f>IF([1]Customers!$C$39="","",[1]Customers!$C$39)</f>
        <v/>
      </c>
      <c r="I38">
        <f>IF([1]Suppliers!$A$39="","",[1]Suppliers!$A$39)</f>
        <v/>
      </c>
      <c r="J38">
        <f>IF([1]Suppliers!$C$39="","",[1]Suppliers!$C$39)</f>
        <v/>
      </c>
      <c r="L38">
        <f>IF([1]Accounts!$A$39="","",[1]Accounts!$A$39)</f>
        <v/>
      </c>
      <c r="M38">
        <f>IF([1]Accounts!$C$39="","",[1]Accounts!$C$39)</f>
        <v/>
      </c>
      <c r="O38">
        <f>IF([1]Staff!$A$39="","",[1]Staff!$A$39)</f>
        <v/>
      </c>
      <c r="P38">
        <f>IF([1]Staff!$B$39="","",[1]Staff!$B$39)</f>
        <v/>
      </c>
      <c r="X38">
        <f>IF([1]Products_Buy!$A$39="","",[1]Products_Buy!$A$39)</f>
        <v/>
      </c>
      <c r="Y38">
        <f>IF([1]Products_Buy!$B$39="","",[1]Products_Buy!$B$39)</f>
        <v/>
      </c>
      <c r="AA38">
        <f>IF([1]Products_Sell!$A$39="","",[1]Products_Sell!$A$39)</f>
        <v/>
      </c>
      <c r="AB38">
        <f>IF([1]Products_Sell!$B$39="","",[1]Products_Sell!$B$39)</f>
        <v/>
      </c>
    </row>
    <row r="39">
      <c r="F39">
        <f>IF([1]Customers!$A$40="","",[1]Customers!$A$40)</f>
        <v/>
      </c>
      <c r="G39">
        <f>IF([1]Customers!$C$40="","",[1]Customers!$C$40)</f>
        <v/>
      </c>
      <c r="I39">
        <f>IF([1]Suppliers!$A$40="","",[1]Suppliers!$A$40)</f>
        <v/>
      </c>
      <c r="J39">
        <f>IF([1]Suppliers!$C$40="","",[1]Suppliers!$C$40)</f>
        <v/>
      </c>
      <c r="L39">
        <f>IF([1]Accounts!$A$40="","",[1]Accounts!$A$40)</f>
        <v/>
      </c>
      <c r="M39">
        <f>IF([1]Accounts!$C$40="","",[1]Accounts!$C$40)</f>
        <v/>
      </c>
      <c r="O39">
        <f>IF([1]Staff!$A$40="","",[1]Staff!$A$40)</f>
        <v/>
      </c>
      <c r="P39">
        <f>IF([1]Staff!$B$40="","",[1]Staff!$B$40)</f>
        <v/>
      </c>
      <c r="X39">
        <f>IF([1]Products_Buy!$A$40="","",[1]Products_Buy!$A$40)</f>
        <v/>
      </c>
      <c r="Y39">
        <f>IF([1]Products_Buy!$B$40="","",[1]Products_Buy!$B$40)</f>
        <v/>
      </c>
      <c r="AA39">
        <f>IF([1]Products_Sell!$A$40="","",[1]Products_Sell!$A$40)</f>
        <v/>
      </c>
      <c r="AB39">
        <f>IF([1]Products_Sell!$B$40="","",[1]Products_Sell!$B$40)</f>
        <v/>
      </c>
    </row>
    <row r="40">
      <c r="F40">
        <f>IF([1]Customers!$A$41="","",[1]Customers!$A$41)</f>
        <v/>
      </c>
      <c r="G40">
        <f>IF([1]Customers!$C$41="","",[1]Customers!$C$41)</f>
        <v/>
      </c>
      <c r="I40">
        <f>IF([1]Suppliers!$A$41="","",[1]Suppliers!$A$41)</f>
        <v/>
      </c>
      <c r="J40">
        <f>IF([1]Suppliers!$C$41="","",[1]Suppliers!$C$41)</f>
        <v/>
      </c>
      <c r="L40">
        <f>IF([1]Accounts!$A$41="","",[1]Accounts!$A$41)</f>
        <v/>
      </c>
      <c r="M40">
        <f>IF([1]Accounts!$C$41="","",[1]Accounts!$C$41)</f>
        <v/>
      </c>
      <c r="O40">
        <f>IF([1]Staff!$A$41="","",[1]Staff!$A$41)</f>
        <v/>
      </c>
      <c r="P40">
        <f>IF([1]Staff!$B$41="","",[1]Staff!$B$41)</f>
        <v/>
      </c>
      <c r="X40">
        <f>IF([1]Products_Buy!$A$41="","",[1]Products_Buy!$A$41)</f>
        <v/>
      </c>
      <c r="Y40">
        <f>IF([1]Products_Buy!$B$41="","",[1]Products_Buy!$B$41)</f>
        <v/>
      </c>
      <c r="AA40">
        <f>IF([1]Products_Sell!$A$41="","",[1]Products_Sell!$A$41)</f>
        <v/>
      </c>
      <c r="AB40">
        <f>IF([1]Products_Sell!$B$41="","",[1]Products_Sell!$B$41)</f>
        <v/>
      </c>
    </row>
    <row r="41">
      <c r="F41">
        <f>IF([1]Customers!$A$42="","",[1]Customers!$A$42)</f>
        <v/>
      </c>
      <c r="G41">
        <f>IF([1]Customers!$C$42="","",[1]Customers!$C$42)</f>
        <v/>
      </c>
      <c r="I41">
        <f>IF([1]Suppliers!$A$42="","",[1]Suppliers!$A$42)</f>
        <v/>
      </c>
      <c r="J41">
        <f>IF([1]Suppliers!$C$42="","",[1]Suppliers!$C$42)</f>
        <v/>
      </c>
      <c r="L41">
        <f>IF([1]Accounts!$A$42="","",[1]Accounts!$A$42)</f>
        <v/>
      </c>
      <c r="M41">
        <f>IF([1]Accounts!$C$42="","",[1]Accounts!$C$42)</f>
        <v/>
      </c>
      <c r="O41">
        <f>IF([1]Staff!$A$42="","",[1]Staff!$A$42)</f>
        <v/>
      </c>
      <c r="P41">
        <f>IF([1]Staff!$B$42="","",[1]Staff!$B$42)</f>
        <v/>
      </c>
      <c r="X41">
        <f>IF([1]Products_Buy!$A$42="","",[1]Products_Buy!$A$42)</f>
        <v/>
      </c>
      <c r="Y41">
        <f>IF([1]Products_Buy!$B$42="","",[1]Products_Buy!$B$42)</f>
        <v/>
      </c>
      <c r="AA41">
        <f>IF([1]Products_Sell!$A$42="","",[1]Products_Sell!$A$42)</f>
        <v/>
      </c>
      <c r="AB41">
        <f>IF([1]Products_Sell!$B$42="","",[1]Products_Sell!$B$42)</f>
        <v/>
      </c>
    </row>
    <row r="42">
      <c r="F42">
        <f>IF([1]Customers!$A$43="","",[1]Customers!$A$43)</f>
        <v/>
      </c>
      <c r="G42">
        <f>IF([1]Customers!$C$43="","",[1]Customers!$C$43)</f>
        <v/>
      </c>
      <c r="I42">
        <f>IF([1]Suppliers!$A$43="","",[1]Suppliers!$A$43)</f>
        <v/>
      </c>
      <c r="J42">
        <f>IF([1]Suppliers!$C$43="","",[1]Suppliers!$C$43)</f>
        <v/>
      </c>
      <c r="L42">
        <f>IF([1]Accounts!$A$43="","",[1]Accounts!$A$43)</f>
        <v/>
      </c>
      <c r="M42">
        <f>IF([1]Accounts!$C$43="","",[1]Accounts!$C$43)</f>
        <v/>
      </c>
      <c r="O42">
        <f>IF([1]Staff!$A$43="","",[1]Staff!$A$43)</f>
        <v/>
      </c>
      <c r="P42">
        <f>IF([1]Staff!$B$43="","",[1]Staff!$B$43)</f>
        <v/>
      </c>
      <c r="X42">
        <f>IF([1]Products_Buy!$A$43="","",[1]Products_Buy!$A$43)</f>
        <v/>
      </c>
      <c r="Y42">
        <f>IF([1]Products_Buy!$B$43="","",[1]Products_Buy!$B$43)</f>
        <v/>
      </c>
      <c r="AA42">
        <f>IF([1]Products_Sell!$A$43="","",[1]Products_Sell!$A$43)</f>
        <v/>
      </c>
      <c r="AB42">
        <f>IF([1]Products_Sell!$B$43="","",[1]Products_Sell!$B$43)</f>
        <v/>
      </c>
    </row>
    <row r="43">
      <c r="F43">
        <f>IF([1]Customers!$A$44="","",[1]Customers!$A$44)</f>
        <v/>
      </c>
      <c r="G43">
        <f>IF([1]Customers!$C$44="","",[1]Customers!$C$44)</f>
        <v/>
      </c>
      <c r="I43">
        <f>IF([1]Suppliers!$A$44="","",[1]Suppliers!$A$44)</f>
        <v/>
      </c>
      <c r="J43">
        <f>IF([1]Suppliers!$C$44="","",[1]Suppliers!$C$44)</f>
        <v/>
      </c>
      <c r="L43">
        <f>IF([1]Accounts!$A$44="","",[1]Accounts!$A$44)</f>
        <v/>
      </c>
      <c r="M43">
        <f>IF([1]Accounts!$C$44="","",[1]Accounts!$C$44)</f>
        <v/>
      </c>
      <c r="O43">
        <f>IF([1]Staff!$A$44="","",[1]Staff!$A$44)</f>
        <v/>
      </c>
      <c r="P43">
        <f>IF([1]Staff!$B$44="","",[1]Staff!$B$44)</f>
        <v/>
      </c>
      <c r="X43">
        <f>IF([1]Products_Buy!$A$44="","",[1]Products_Buy!$A$44)</f>
        <v/>
      </c>
      <c r="Y43">
        <f>IF([1]Products_Buy!$B$44="","",[1]Products_Buy!$B$44)</f>
        <v/>
      </c>
      <c r="AA43">
        <f>IF([1]Products_Sell!$A$44="","",[1]Products_Sell!$A$44)</f>
        <v/>
      </c>
      <c r="AB43">
        <f>IF([1]Products_Sell!$B$44="","",[1]Products_Sell!$B$44)</f>
        <v/>
      </c>
    </row>
    <row r="44">
      <c r="F44">
        <f>IF([1]Customers!$A$45="","",[1]Customers!$A$45)</f>
        <v/>
      </c>
      <c r="G44">
        <f>IF([1]Customers!$C$45="","",[1]Customers!$C$45)</f>
        <v/>
      </c>
      <c r="I44">
        <f>IF([1]Suppliers!$A$45="","",[1]Suppliers!$A$45)</f>
        <v/>
      </c>
      <c r="J44">
        <f>IF([1]Suppliers!$C$45="","",[1]Suppliers!$C$45)</f>
        <v/>
      </c>
      <c r="L44">
        <f>IF([1]Accounts!$A$45="","",[1]Accounts!$A$45)</f>
        <v/>
      </c>
      <c r="M44">
        <f>IF([1]Accounts!$C$45="","",[1]Accounts!$C$45)</f>
        <v/>
      </c>
      <c r="O44">
        <f>IF([1]Staff!$A$45="","",[1]Staff!$A$45)</f>
        <v/>
      </c>
      <c r="P44">
        <f>IF([1]Staff!$B$45="","",[1]Staff!$B$45)</f>
        <v/>
      </c>
      <c r="X44">
        <f>IF([1]Products_Buy!$A$45="","",[1]Products_Buy!$A$45)</f>
        <v/>
      </c>
      <c r="Y44">
        <f>IF([1]Products_Buy!$B$45="","",[1]Products_Buy!$B$45)</f>
        <v/>
      </c>
      <c r="AA44">
        <f>IF([1]Products_Sell!$A$45="","",[1]Products_Sell!$A$45)</f>
        <v/>
      </c>
      <c r="AB44">
        <f>IF([1]Products_Sell!$B$45="","",[1]Products_Sell!$B$45)</f>
        <v/>
      </c>
    </row>
    <row r="45">
      <c r="F45">
        <f>IF([1]Customers!$A$46="","",[1]Customers!$A$46)</f>
        <v/>
      </c>
      <c r="G45">
        <f>IF([1]Customers!$C$46="","",[1]Customers!$C$46)</f>
        <v/>
      </c>
      <c r="I45">
        <f>IF([1]Suppliers!$A$46="","",[1]Suppliers!$A$46)</f>
        <v/>
      </c>
      <c r="J45">
        <f>IF([1]Suppliers!$C$46="","",[1]Suppliers!$C$46)</f>
        <v/>
      </c>
      <c r="L45">
        <f>IF([1]Accounts!$A$46="","",[1]Accounts!$A$46)</f>
        <v/>
      </c>
      <c r="M45">
        <f>IF([1]Accounts!$C$46="","",[1]Accounts!$C$46)</f>
        <v/>
      </c>
      <c r="O45">
        <f>IF([1]Staff!$A$46="","",[1]Staff!$A$46)</f>
        <v/>
      </c>
      <c r="P45">
        <f>IF([1]Staff!$B$46="","",[1]Staff!$B$46)</f>
        <v/>
      </c>
      <c r="X45">
        <f>IF([1]Products_Buy!$A$46="","",[1]Products_Buy!$A$46)</f>
        <v/>
      </c>
      <c r="Y45">
        <f>IF([1]Products_Buy!$B$46="","",[1]Products_Buy!$B$46)</f>
        <v/>
      </c>
      <c r="AA45">
        <f>IF([1]Products_Sell!$A$46="","",[1]Products_Sell!$A$46)</f>
        <v/>
      </c>
      <c r="AB45">
        <f>IF([1]Products_Sell!$B$46="","",[1]Products_Sell!$B$46)</f>
        <v/>
      </c>
    </row>
    <row r="46">
      <c r="F46">
        <f>IF([1]Customers!$A$47="","",[1]Customers!$A$47)</f>
        <v/>
      </c>
      <c r="G46">
        <f>IF([1]Customers!$C$47="","",[1]Customers!$C$47)</f>
        <v/>
      </c>
      <c r="I46">
        <f>IF([1]Suppliers!$A$47="","",[1]Suppliers!$A$47)</f>
        <v/>
      </c>
      <c r="J46">
        <f>IF([1]Suppliers!$C$47="","",[1]Suppliers!$C$47)</f>
        <v/>
      </c>
      <c r="L46">
        <f>IF([1]Accounts!$A$47="","",[1]Accounts!$A$47)</f>
        <v/>
      </c>
      <c r="M46">
        <f>IF([1]Accounts!$C$47="","",[1]Accounts!$C$47)</f>
        <v/>
      </c>
      <c r="O46">
        <f>IF([1]Staff!$A$47="","",[1]Staff!$A$47)</f>
        <v/>
      </c>
      <c r="P46">
        <f>IF([1]Staff!$B$47="","",[1]Staff!$B$47)</f>
        <v/>
      </c>
      <c r="X46">
        <f>IF([1]Products_Buy!$A$47="","",[1]Products_Buy!$A$47)</f>
        <v/>
      </c>
      <c r="Y46">
        <f>IF([1]Products_Buy!$B$47="","",[1]Products_Buy!$B$47)</f>
        <v/>
      </c>
      <c r="AA46">
        <f>IF([1]Products_Sell!$A$47="","",[1]Products_Sell!$A$47)</f>
        <v/>
      </c>
      <c r="AB46">
        <f>IF([1]Products_Sell!$B$47="","",[1]Products_Sell!$B$47)</f>
        <v/>
      </c>
    </row>
    <row r="47">
      <c r="F47">
        <f>IF([1]Customers!$A$48="","",[1]Customers!$A$48)</f>
        <v/>
      </c>
      <c r="G47">
        <f>IF([1]Customers!$C$48="","",[1]Customers!$C$48)</f>
        <v/>
      </c>
      <c r="I47">
        <f>IF([1]Suppliers!$A$48="","",[1]Suppliers!$A$48)</f>
        <v/>
      </c>
      <c r="J47">
        <f>IF([1]Suppliers!$C$48="","",[1]Suppliers!$C$48)</f>
        <v/>
      </c>
      <c r="L47">
        <f>IF([1]Accounts!$A$48="","",[1]Accounts!$A$48)</f>
        <v/>
      </c>
      <c r="M47">
        <f>IF([1]Accounts!$C$48="","",[1]Accounts!$C$48)</f>
        <v/>
      </c>
      <c r="O47">
        <f>IF([1]Staff!$A$48="","",[1]Staff!$A$48)</f>
        <v/>
      </c>
      <c r="P47">
        <f>IF([1]Staff!$B$48="","",[1]Staff!$B$48)</f>
        <v/>
      </c>
      <c r="X47">
        <f>IF([1]Products_Buy!$A$48="","",[1]Products_Buy!$A$48)</f>
        <v/>
      </c>
      <c r="Y47">
        <f>IF([1]Products_Buy!$B$48="","",[1]Products_Buy!$B$48)</f>
        <v/>
      </c>
      <c r="AA47">
        <f>IF([1]Products_Sell!$A$48="","",[1]Products_Sell!$A$48)</f>
        <v/>
      </c>
      <c r="AB47">
        <f>IF([1]Products_Sell!$B$48="","",[1]Products_Sell!$B$48)</f>
        <v/>
      </c>
    </row>
    <row r="48">
      <c r="F48">
        <f>IF([1]Customers!$A$49="","",[1]Customers!$A$49)</f>
        <v/>
      </c>
      <c r="G48">
        <f>IF([1]Customers!$C$49="","",[1]Customers!$C$49)</f>
        <v/>
      </c>
      <c r="I48">
        <f>IF([1]Suppliers!$A$49="","",[1]Suppliers!$A$49)</f>
        <v/>
      </c>
      <c r="J48">
        <f>IF([1]Suppliers!$C$49="","",[1]Suppliers!$C$49)</f>
        <v/>
      </c>
      <c r="L48">
        <f>IF([1]Accounts!$A$49="","",[1]Accounts!$A$49)</f>
        <v/>
      </c>
      <c r="M48">
        <f>IF([1]Accounts!$C$49="","",[1]Accounts!$C$49)</f>
        <v/>
      </c>
      <c r="O48">
        <f>IF([1]Staff!$A$49="","",[1]Staff!$A$49)</f>
        <v/>
      </c>
      <c r="P48">
        <f>IF([1]Staff!$B$49="","",[1]Staff!$B$49)</f>
        <v/>
      </c>
      <c r="X48">
        <f>IF([1]Products_Buy!$A$49="","",[1]Products_Buy!$A$49)</f>
        <v/>
      </c>
      <c r="Y48">
        <f>IF([1]Products_Buy!$B$49="","",[1]Products_Buy!$B$49)</f>
        <v/>
      </c>
      <c r="AA48">
        <f>IF([1]Products_Sell!$A$49="","",[1]Products_Sell!$A$49)</f>
        <v/>
      </c>
      <c r="AB48">
        <f>IF([1]Products_Sell!$B$49="","",[1]Products_Sell!$B$49)</f>
        <v/>
      </c>
    </row>
    <row r="49">
      <c r="F49">
        <f>IF([1]Customers!$A$50="","",[1]Customers!$A$50)</f>
        <v/>
      </c>
      <c r="G49">
        <f>IF([1]Customers!$C$50="","",[1]Customers!$C$50)</f>
        <v/>
      </c>
      <c r="I49">
        <f>IF([1]Suppliers!$A$50="","",[1]Suppliers!$A$50)</f>
        <v/>
      </c>
      <c r="J49">
        <f>IF([1]Suppliers!$C$50="","",[1]Suppliers!$C$50)</f>
        <v/>
      </c>
      <c r="L49">
        <f>IF([1]Accounts!$A$50="","",[1]Accounts!$A$50)</f>
        <v/>
      </c>
      <c r="M49">
        <f>IF([1]Accounts!$C$50="","",[1]Accounts!$C$50)</f>
        <v/>
      </c>
      <c r="O49">
        <f>IF([1]Staff!$A$50="","",[1]Staff!$A$50)</f>
        <v/>
      </c>
      <c r="P49">
        <f>IF([1]Staff!$B$50="","",[1]Staff!$B$50)</f>
        <v/>
      </c>
      <c r="X49">
        <f>IF([1]Products_Buy!$A$50="","",[1]Products_Buy!$A$50)</f>
        <v/>
      </c>
      <c r="Y49">
        <f>IF([1]Products_Buy!$B$50="","",[1]Products_Buy!$B$50)</f>
        <v/>
      </c>
      <c r="AA49">
        <f>IF([1]Products_Sell!$A$50="","",[1]Products_Sell!$A$50)</f>
        <v/>
      </c>
      <c r="AB49">
        <f>IF([1]Products_Sell!$B$50="","",[1]Products_Sell!$B$50)</f>
        <v/>
      </c>
    </row>
    <row r="50">
      <c r="F50">
        <f>IF([1]Customers!$A$51="","",[1]Customers!$A$51)</f>
        <v/>
      </c>
      <c r="G50">
        <f>IF([1]Customers!$C$51="","",[1]Customers!$C$51)</f>
        <v/>
      </c>
      <c r="I50">
        <f>IF([1]Suppliers!$A$51="","",[1]Suppliers!$A$51)</f>
        <v/>
      </c>
      <c r="J50">
        <f>IF([1]Suppliers!$C$51="","",[1]Suppliers!$C$51)</f>
        <v/>
      </c>
      <c r="L50">
        <f>IF([1]Accounts!$A$51="","",[1]Accounts!$A$51)</f>
        <v/>
      </c>
      <c r="M50">
        <f>IF([1]Accounts!$C$51="","",[1]Accounts!$C$51)</f>
        <v/>
      </c>
      <c r="O50">
        <f>IF([1]Staff!$A$51="","",[1]Staff!$A$51)</f>
        <v/>
      </c>
      <c r="P50">
        <f>IF([1]Staff!$B$51="","",[1]Staff!$B$51)</f>
        <v/>
      </c>
      <c r="X50">
        <f>IF([1]Products_Buy!$A$51="","",[1]Products_Buy!$A$51)</f>
        <v/>
      </c>
      <c r="Y50">
        <f>IF([1]Products_Buy!$B$51="","",[1]Products_Buy!$B$51)</f>
        <v/>
      </c>
      <c r="AA50">
        <f>IF([1]Products_Sell!$A$51="","",[1]Products_Sell!$A$51)</f>
        <v/>
      </c>
      <c r="AB50">
        <f>IF([1]Products_Sell!$B$51="","",[1]Products_Sell!$B$51)</f>
        <v/>
      </c>
    </row>
    <row r="51">
      <c r="F51">
        <f>IF([1]Customers!$A$52="","",[1]Customers!$A$52)</f>
        <v/>
      </c>
      <c r="G51">
        <f>IF([1]Customers!$C$52="","",[1]Customers!$C$52)</f>
        <v/>
      </c>
      <c r="I51">
        <f>IF([1]Suppliers!$A$52="","",[1]Suppliers!$A$52)</f>
        <v/>
      </c>
      <c r="J51">
        <f>IF([1]Suppliers!$C$52="","",[1]Suppliers!$C$52)</f>
        <v/>
      </c>
      <c r="L51">
        <f>IF([1]Accounts!$A$52="","",[1]Accounts!$A$52)</f>
        <v/>
      </c>
      <c r="M51">
        <f>IF([1]Accounts!$C$52="","",[1]Accounts!$C$52)</f>
        <v/>
      </c>
      <c r="O51">
        <f>IF([1]Staff!$A$52="","",[1]Staff!$A$52)</f>
        <v/>
      </c>
      <c r="P51">
        <f>IF([1]Staff!$B$52="","",[1]Staff!$B$52)</f>
        <v/>
      </c>
      <c r="X51">
        <f>IF([1]Products_Buy!$A$52="","",[1]Products_Buy!$A$52)</f>
        <v/>
      </c>
      <c r="Y51">
        <f>IF([1]Products_Buy!$B$52="","",[1]Products_Buy!$B$52)</f>
        <v/>
      </c>
      <c r="AA51">
        <f>IF([1]Products_Sell!$A$52="","",[1]Products_Sell!$A$52)</f>
        <v/>
      </c>
      <c r="AB51">
        <f>IF([1]Products_Sell!$B$52="","",[1]Products_Sell!$B$52)</f>
        <v/>
      </c>
    </row>
    <row r="52">
      <c r="F52">
        <f>IF([1]Customers!$A$53="","",[1]Customers!$A$53)</f>
        <v/>
      </c>
      <c r="G52">
        <f>IF([1]Customers!$C$53="","",[1]Customers!$C$53)</f>
        <v/>
      </c>
      <c r="I52">
        <f>IF([1]Suppliers!$A$53="","",[1]Suppliers!$A$53)</f>
        <v/>
      </c>
      <c r="J52">
        <f>IF([1]Suppliers!$C$53="","",[1]Suppliers!$C$53)</f>
        <v/>
      </c>
      <c r="L52">
        <f>IF([1]Accounts!$A$53="","",[1]Accounts!$A$53)</f>
        <v/>
      </c>
      <c r="M52">
        <f>IF([1]Accounts!$C$53="","",[1]Accounts!$C$53)</f>
        <v/>
      </c>
      <c r="O52">
        <f>IF([1]Staff!$A$53="","",[1]Staff!$A$53)</f>
        <v/>
      </c>
      <c r="P52">
        <f>IF([1]Staff!$B$53="","",[1]Staff!$B$53)</f>
        <v/>
      </c>
      <c r="X52">
        <f>IF([1]Products_Buy!$A$53="","",[1]Products_Buy!$A$53)</f>
        <v/>
      </c>
      <c r="Y52">
        <f>IF([1]Products_Buy!$B$53="","",[1]Products_Buy!$B$53)</f>
        <v/>
      </c>
      <c r="AA52">
        <f>IF([1]Products_Sell!$A$53="","",[1]Products_Sell!$A$53)</f>
        <v/>
      </c>
      <c r="AB52">
        <f>IF([1]Products_Sell!$B$53="","",[1]Products_Sell!$B$53)</f>
        <v/>
      </c>
    </row>
    <row r="53">
      <c r="F53">
        <f>IF([1]Customers!$A$54="","",[1]Customers!$A$54)</f>
        <v/>
      </c>
      <c r="G53">
        <f>IF([1]Customers!$C$54="","",[1]Customers!$C$54)</f>
        <v/>
      </c>
      <c r="I53">
        <f>IF([1]Suppliers!$A$54="","",[1]Suppliers!$A$54)</f>
        <v/>
      </c>
      <c r="J53">
        <f>IF([1]Suppliers!$C$54="","",[1]Suppliers!$C$54)</f>
        <v/>
      </c>
      <c r="L53">
        <f>IF([1]Accounts!$A$54="","",[1]Accounts!$A$54)</f>
        <v/>
      </c>
      <c r="M53">
        <f>IF([1]Accounts!$C$54="","",[1]Accounts!$C$54)</f>
        <v/>
      </c>
      <c r="O53">
        <f>IF([1]Staff!$A$54="","",[1]Staff!$A$54)</f>
        <v/>
      </c>
      <c r="P53">
        <f>IF([1]Staff!$B$54="","",[1]Staff!$B$54)</f>
        <v/>
      </c>
      <c r="X53">
        <f>IF([1]Products_Buy!$A$54="","",[1]Products_Buy!$A$54)</f>
        <v/>
      </c>
      <c r="Y53">
        <f>IF([1]Products_Buy!$B$54="","",[1]Products_Buy!$B$54)</f>
        <v/>
      </c>
      <c r="AA53">
        <f>IF([1]Products_Sell!$A$54="","",[1]Products_Sell!$A$54)</f>
        <v/>
      </c>
      <c r="AB53">
        <f>IF([1]Products_Sell!$B$54="","",[1]Products_Sell!$B$54)</f>
        <v/>
      </c>
    </row>
    <row r="54">
      <c r="F54">
        <f>IF([1]Customers!$A$55="","",[1]Customers!$A$55)</f>
        <v/>
      </c>
      <c r="G54">
        <f>IF([1]Customers!$C$55="","",[1]Customers!$C$55)</f>
        <v/>
      </c>
      <c r="I54">
        <f>IF([1]Suppliers!$A$55="","",[1]Suppliers!$A$55)</f>
        <v/>
      </c>
      <c r="J54">
        <f>IF([1]Suppliers!$C$55="","",[1]Suppliers!$C$55)</f>
        <v/>
      </c>
      <c r="L54">
        <f>IF([1]Accounts!$A$55="","",[1]Accounts!$A$55)</f>
        <v/>
      </c>
      <c r="M54">
        <f>IF([1]Accounts!$C$55="","",[1]Accounts!$C$55)</f>
        <v/>
      </c>
      <c r="O54">
        <f>IF([1]Staff!$A$55="","",[1]Staff!$A$55)</f>
        <v/>
      </c>
      <c r="P54">
        <f>IF([1]Staff!$B$55="","",[1]Staff!$B$55)</f>
        <v/>
      </c>
      <c r="X54">
        <f>IF([1]Products_Buy!$A$55="","",[1]Products_Buy!$A$55)</f>
        <v/>
      </c>
      <c r="Y54">
        <f>IF([1]Products_Buy!$B$55="","",[1]Products_Buy!$B$55)</f>
        <v/>
      </c>
      <c r="AA54">
        <f>IF([1]Products_Sell!$A$55="","",[1]Products_Sell!$A$55)</f>
        <v/>
      </c>
      <c r="AB54">
        <f>IF([1]Products_Sell!$B$55="","",[1]Products_Sell!$B$55)</f>
        <v/>
      </c>
    </row>
    <row r="55">
      <c r="F55">
        <f>IF([1]Customers!$A$56="","",[1]Customers!$A$56)</f>
        <v/>
      </c>
      <c r="G55">
        <f>IF([1]Customers!$C$56="","",[1]Customers!$C$56)</f>
        <v/>
      </c>
      <c r="I55">
        <f>IF([1]Suppliers!$A$56="","",[1]Suppliers!$A$56)</f>
        <v/>
      </c>
      <c r="J55">
        <f>IF([1]Suppliers!$C$56="","",[1]Suppliers!$C$56)</f>
        <v/>
      </c>
      <c r="L55">
        <f>IF([1]Accounts!$A$56="","",[1]Accounts!$A$56)</f>
        <v/>
      </c>
      <c r="M55">
        <f>IF([1]Accounts!$C$56="","",[1]Accounts!$C$56)</f>
        <v/>
      </c>
      <c r="O55">
        <f>IF([1]Staff!$A$56="","",[1]Staff!$A$56)</f>
        <v/>
      </c>
      <c r="P55">
        <f>IF([1]Staff!$B$56="","",[1]Staff!$B$56)</f>
        <v/>
      </c>
      <c r="X55">
        <f>IF([1]Products_Buy!$A$56="","",[1]Products_Buy!$A$56)</f>
        <v/>
      </c>
      <c r="Y55">
        <f>IF([1]Products_Buy!$B$56="","",[1]Products_Buy!$B$56)</f>
        <v/>
      </c>
      <c r="AA55">
        <f>IF([1]Products_Sell!$A$56="","",[1]Products_Sell!$A$56)</f>
        <v/>
      </c>
      <c r="AB55">
        <f>IF([1]Products_Sell!$B$56="","",[1]Products_Sell!$B$56)</f>
        <v/>
      </c>
    </row>
    <row r="56">
      <c r="F56">
        <f>IF([1]Customers!$A$57="","",[1]Customers!$A$57)</f>
        <v/>
      </c>
      <c r="G56">
        <f>IF([1]Customers!$C$57="","",[1]Customers!$C$57)</f>
        <v/>
      </c>
      <c r="I56">
        <f>IF([1]Suppliers!$A$57="","",[1]Suppliers!$A$57)</f>
        <v/>
      </c>
      <c r="J56">
        <f>IF([1]Suppliers!$C$57="","",[1]Suppliers!$C$57)</f>
        <v/>
      </c>
      <c r="X56">
        <f>IF([1]Products_Buy!$A$57="","",[1]Products_Buy!$A$57)</f>
        <v/>
      </c>
      <c r="Y56">
        <f>IF([1]Products_Buy!$B$57="","",[1]Products_Buy!$B$57)</f>
        <v/>
      </c>
      <c r="AA56">
        <f>IF([1]Products_Sell!$A$57="","",[1]Products_Sell!$A$57)</f>
        <v/>
      </c>
      <c r="AB56">
        <f>IF([1]Products_Sell!$B$57="","",[1]Products_Sell!$B$57)</f>
        <v/>
      </c>
    </row>
    <row r="57">
      <c r="F57">
        <f>IF([1]Customers!$A$58="","",[1]Customers!$A$58)</f>
        <v/>
      </c>
      <c r="G57">
        <f>IF([1]Customers!$C$58="","",[1]Customers!$C$58)</f>
        <v/>
      </c>
      <c r="I57">
        <f>IF([1]Suppliers!$A$58="","",[1]Suppliers!$A$58)</f>
        <v/>
      </c>
      <c r="J57">
        <f>IF([1]Suppliers!$C$58="","",[1]Suppliers!$C$58)</f>
        <v/>
      </c>
      <c r="X57">
        <f>IF([1]Products_Buy!$A$58="","",[1]Products_Buy!$A$58)</f>
        <v/>
      </c>
      <c r="Y57">
        <f>IF([1]Products_Buy!$B$58="","",[1]Products_Buy!$B$58)</f>
        <v/>
      </c>
      <c r="AA57">
        <f>IF([1]Products_Sell!$A$58="","",[1]Products_Sell!$A$58)</f>
        <v/>
      </c>
      <c r="AB57">
        <f>IF([1]Products_Sell!$B$58="","",[1]Products_Sell!$B$58)</f>
        <v/>
      </c>
    </row>
    <row r="58">
      <c r="F58">
        <f>IF([1]Customers!$A$59="","",[1]Customers!$A$59)</f>
        <v/>
      </c>
      <c r="G58">
        <f>IF([1]Customers!$C$59="","",[1]Customers!$C$59)</f>
        <v/>
      </c>
      <c r="I58">
        <f>IF([1]Suppliers!$A$59="","",[1]Suppliers!$A$59)</f>
        <v/>
      </c>
      <c r="J58">
        <f>IF([1]Suppliers!$C$59="","",[1]Suppliers!$C$59)</f>
        <v/>
      </c>
      <c r="X58">
        <f>IF([1]Products_Buy!$A$59="","",[1]Products_Buy!$A$59)</f>
        <v/>
      </c>
      <c r="Y58">
        <f>IF([1]Products_Buy!$B$59="","",[1]Products_Buy!$B$59)</f>
        <v/>
      </c>
      <c r="AA58">
        <f>IF([1]Products_Sell!$A$59="","",[1]Products_Sell!$A$59)</f>
        <v/>
      </c>
      <c r="AB58">
        <f>IF([1]Products_Sell!$B$59="","",[1]Products_Sell!$B$59)</f>
        <v/>
      </c>
    </row>
    <row r="59">
      <c r="F59">
        <f>IF([1]Customers!$A$60="","",[1]Customers!$A$60)</f>
        <v/>
      </c>
      <c r="G59">
        <f>IF([1]Customers!$C$60="","",[1]Customers!$C$60)</f>
        <v/>
      </c>
      <c r="I59">
        <f>IF([1]Suppliers!$A$60="","",[1]Suppliers!$A$60)</f>
        <v/>
      </c>
      <c r="J59">
        <f>IF([1]Suppliers!$C$60="","",[1]Suppliers!$C$60)</f>
        <v/>
      </c>
      <c r="X59">
        <f>IF([1]Products_Buy!$A$60="","",[1]Products_Buy!$A$60)</f>
        <v/>
      </c>
      <c r="Y59">
        <f>IF([1]Products_Buy!$B$60="","",[1]Products_Buy!$B$60)</f>
        <v/>
      </c>
      <c r="AA59">
        <f>IF([1]Products_Sell!$A$60="","",[1]Products_Sell!$A$60)</f>
        <v/>
      </c>
      <c r="AB59">
        <f>IF([1]Products_Sell!$B$60="","",[1]Products_Sell!$B$60)</f>
        <v/>
      </c>
    </row>
    <row r="60">
      <c r="F60">
        <f>IF([1]Customers!$A$61="","",[1]Customers!$A$61)</f>
        <v/>
      </c>
      <c r="G60">
        <f>IF([1]Customers!$C$61="","",[1]Customers!$C$61)</f>
        <v/>
      </c>
      <c r="I60">
        <f>IF([1]Suppliers!$A$61="","",[1]Suppliers!$A$61)</f>
        <v/>
      </c>
      <c r="J60">
        <f>IF([1]Suppliers!$C$61="","",[1]Suppliers!$C$61)</f>
        <v/>
      </c>
      <c r="X60">
        <f>IF([1]Products_Buy!$A$61="","",[1]Products_Buy!$A$61)</f>
        <v/>
      </c>
      <c r="Y60">
        <f>IF([1]Products_Buy!$B$61="","",[1]Products_Buy!$B$61)</f>
        <v/>
      </c>
      <c r="AA60">
        <f>IF([1]Products_Sell!$A$61="","",[1]Products_Sell!$A$61)</f>
        <v/>
      </c>
      <c r="AB60">
        <f>IF([1]Products_Sell!$B$61="","",[1]Products_Sell!$B$61)</f>
        <v/>
      </c>
    </row>
    <row r="61">
      <c r="F61">
        <f>IF([1]Customers!$A$62="","",[1]Customers!$A$62)</f>
        <v/>
      </c>
      <c r="G61">
        <f>IF([1]Customers!$C$62="","",[1]Customers!$C$62)</f>
        <v/>
      </c>
      <c r="I61">
        <f>IF([1]Suppliers!$A$62="","",[1]Suppliers!$A$62)</f>
        <v/>
      </c>
      <c r="J61">
        <f>IF([1]Suppliers!$C$62="","",[1]Suppliers!$C$62)</f>
        <v/>
      </c>
      <c r="X61">
        <f>IF([1]Products_Buy!$A$62="","",[1]Products_Buy!$A$62)</f>
        <v/>
      </c>
      <c r="Y61">
        <f>IF([1]Products_Buy!$B$62="","",[1]Products_Buy!$B$62)</f>
        <v/>
      </c>
      <c r="AA61">
        <f>IF([1]Products_Sell!$A$62="","",[1]Products_Sell!$A$62)</f>
        <v/>
      </c>
      <c r="AB61">
        <f>IF([1]Products_Sell!$B$62="","",[1]Products_Sell!$B$62)</f>
        <v/>
      </c>
    </row>
    <row r="62">
      <c r="F62">
        <f>IF([1]Customers!$A$63="","",[1]Customers!$A$63)</f>
        <v/>
      </c>
      <c r="G62">
        <f>IF([1]Customers!$C$63="","",[1]Customers!$C$63)</f>
        <v/>
      </c>
      <c r="I62">
        <f>IF([1]Suppliers!$A$63="","",[1]Suppliers!$A$63)</f>
        <v/>
      </c>
      <c r="J62">
        <f>IF([1]Suppliers!$C$63="","",[1]Suppliers!$C$63)</f>
        <v/>
      </c>
      <c r="X62">
        <f>IF([1]Products_Buy!$A$63="","",[1]Products_Buy!$A$63)</f>
        <v/>
      </c>
      <c r="Y62">
        <f>IF([1]Products_Buy!$B$63="","",[1]Products_Buy!$B$63)</f>
        <v/>
      </c>
      <c r="AA62">
        <f>IF([1]Products_Sell!$A$63="","",[1]Products_Sell!$A$63)</f>
        <v/>
      </c>
      <c r="AB62">
        <f>IF([1]Products_Sell!$B$63="","",[1]Products_Sell!$B$63)</f>
        <v/>
      </c>
    </row>
    <row r="63">
      <c r="F63">
        <f>IF([1]Customers!$A$64="","",[1]Customers!$A$64)</f>
        <v/>
      </c>
      <c r="G63">
        <f>IF([1]Customers!$C$64="","",[1]Customers!$C$64)</f>
        <v/>
      </c>
      <c r="I63">
        <f>IF([1]Suppliers!$A$64="","",[1]Suppliers!$A$64)</f>
        <v/>
      </c>
      <c r="J63">
        <f>IF([1]Suppliers!$C$64="","",[1]Suppliers!$C$64)</f>
        <v/>
      </c>
      <c r="X63">
        <f>IF([1]Products_Buy!$A$64="","",[1]Products_Buy!$A$64)</f>
        <v/>
      </c>
      <c r="Y63">
        <f>IF([1]Products_Buy!$B$64="","",[1]Products_Buy!$B$64)</f>
        <v/>
      </c>
      <c r="AA63">
        <f>IF([1]Products_Sell!$A$64="","",[1]Products_Sell!$A$64)</f>
        <v/>
      </c>
      <c r="AB63">
        <f>IF([1]Products_Sell!$B$64="","",[1]Products_Sell!$B$64)</f>
        <v/>
      </c>
    </row>
    <row r="64">
      <c r="F64">
        <f>IF([1]Customers!$A$65="","",[1]Customers!$A$65)</f>
        <v/>
      </c>
      <c r="G64">
        <f>IF([1]Customers!$C$65="","",[1]Customers!$C$65)</f>
        <v/>
      </c>
      <c r="I64">
        <f>IF([1]Suppliers!$A$65="","",[1]Suppliers!$A$65)</f>
        <v/>
      </c>
      <c r="J64">
        <f>IF([1]Suppliers!$C$65="","",[1]Suppliers!$C$65)</f>
        <v/>
      </c>
      <c r="X64">
        <f>IF([1]Products_Buy!$A$65="","",[1]Products_Buy!$A$65)</f>
        <v/>
      </c>
      <c r="Y64">
        <f>IF([1]Products_Buy!$B$65="","",[1]Products_Buy!$B$65)</f>
        <v/>
      </c>
      <c r="AA64">
        <f>IF([1]Products_Sell!$A$65="","",[1]Products_Sell!$A$65)</f>
        <v/>
      </c>
      <c r="AB64">
        <f>IF([1]Products_Sell!$B$65="","",[1]Products_Sell!$B$65)</f>
        <v/>
      </c>
    </row>
    <row r="65">
      <c r="F65">
        <f>IF([1]Customers!$A$66="","",[1]Customers!$A$66)</f>
        <v/>
      </c>
      <c r="G65">
        <f>IF([1]Customers!$C$66="","",[1]Customers!$C$66)</f>
        <v/>
      </c>
      <c r="I65">
        <f>IF([1]Suppliers!$A$66="","",[1]Suppliers!$A$66)</f>
        <v/>
      </c>
      <c r="J65">
        <f>IF([1]Suppliers!$C$66="","",[1]Suppliers!$C$66)</f>
        <v/>
      </c>
      <c r="X65">
        <f>IF([1]Products_Buy!$A$66="","",[1]Products_Buy!$A$66)</f>
        <v/>
      </c>
      <c r="Y65">
        <f>IF([1]Products_Buy!$B$66="","",[1]Products_Buy!$B$66)</f>
        <v/>
      </c>
      <c r="AA65">
        <f>IF([1]Products_Sell!$A$66="","",[1]Products_Sell!$A$66)</f>
        <v/>
      </c>
      <c r="AB65">
        <f>IF([1]Products_Sell!$B$66="","",[1]Products_Sell!$B$66)</f>
        <v/>
      </c>
    </row>
    <row r="66">
      <c r="F66">
        <f>IF([1]Customers!$A$67="","",[1]Customers!$A$67)</f>
        <v/>
      </c>
      <c r="G66">
        <f>IF([1]Customers!$C$67="","",[1]Customers!$C$67)</f>
        <v/>
      </c>
      <c r="I66">
        <f>IF([1]Suppliers!$A$67="","",[1]Suppliers!$A$67)</f>
        <v/>
      </c>
      <c r="J66">
        <f>IF([1]Suppliers!$C$67="","",[1]Suppliers!$C$67)</f>
        <v/>
      </c>
      <c r="X66">
        <f>IF([1]Products_Buy!$A$67="","",[1]Products_Buy!$A$67)</f>
        <v/>
      </c>
      <c r="Y66">
        <f>IF([1]Products_Buy!$B$67="","",[1]Products_Buy!$B$67)</f>
        <v/>
      </c>
      <c r="AA66">
        <f>IF([1]Products_Sell!$A$67="","",[1]Products_Sell!$A$67)</f>
        <v/>
      </c>
      <c r="AB66">
        <f>IF([1]Products_Sell!$B$67="","",[1]Products_Sell!$B$67)</f>
        <v/>
      </c>
    </row>
    <row r="67">
      <c r="F67">
        <f>IF([1]Customers!$A$68="","",[1]Customers!$A$68)</f>
        <v/>
      </c>
      <c r="G67">
        <f>IF([1]Customers!$C$68="","",[1]Customers!$C$68)</f>
        <v/>
      </c>
      <c r="I67">
        <f>IF([1]Suppliers!$A$68="","",[1]Suppliers!$A$68)</f>
        <v/>
      </c>
      <c r="J67">
        <f>IF([1]Suppliers!$C$68="","",[1]Suppliers!$C$68)</f>
        <v/>
      </c>
      <c r="X67">
        <f>IF([1]Products_Buy!$A$68="","",[1]Products_Buy!$A$68)</f>
        <v/>
      </c>
      <c r="Y67">
        <f>IF([1]Products_Buy!$B$68="","",[1]Products_Buy!$B$68)</f>
        <v/>
      </c>
      <c r="AA67">
        <f>IF([1]Products_Sell!$A$68="","",[1]Products_Sell!$A$68)</f>
        <v/>
      </c>
      <c r="AB67">
        <f>IF([1]Products_Sell!$B$68="","",[1]Products_Sell!$B$68)</f>
        <v/>
      </c>
    </row>
    <row r="68">
      <c r="F68">
        <f>IF([1]Customers!$A$69="","",[1]Customers!$A$69)</f>
        <v/>
      </c>
      <c r="G68">
        <f>IF([1]Customers!$C$69="","",[1]Customers!$C$69)</f>
        <v/>
      </c>
      <c r="I68">
        <f>IF([1]Suppliers!$A$69="","",[1]Suppliers!$A$69)</f>
        <v/>
      </c>
      <c r="J68">
        <f>IF([1]Suppliers!$C$69="","",[1]Suppliers!$C$69)</f>
        <v/>
      </c>
      <c r="X68">
        <f>IF([1]Products_Buy!$A$69="","",[1]Products_Buy!$A$69)</f>
        <v/>
      </c>
      <c r="Y68">
        <f>IF([1]Products_Buy!$B$69="","",[1]Products_Buy!$B$69)</f>
        <v/>
      </c>
      <c r="AA68">
        <f>IF([1]Products_Sell!$A$69="","",[1]Products_Sell!$A$69)</f>
        <v/>
      </c>
      <c r="AB68">
        <f>IF([1]Products_Sell!$B$69="","",[1]Products_Sell!$B$69)</f>
        <v/>
      </c>
    </row>
    <row r="69">
      <c r="F69">
        <f>IF([1]Customers!$A$70="","",[1]Customers!$A$70)</f>
        <v/>
      </c>
      <c r="G69">
        <f>IF([1]Customers!$C$70="","",[1]Customers!$C$70)</f>
        <v/>
      </c>
      <c r="I69">
        <f>IF([1]Suppliers!$A$70="","",[1]Suppliers!$A$70)</f>
        <v/>
      </c>
      <c r="J69">
        <f>IF([1]Suppliers!$C$70="","",[1]Suppliers!$C$70)</f>
        <v/>
      </c>
      <c r="X69">
        <f>IF([1]Products_Buy!$A$70="","",[1]Products_Buy!$A$70)</f>
        <v/>
      </c>
      <c r="Y69">
        <f>IF([1]Products_Buy!$B$70="","",[1]Products_Buy!$B$70)</f>
        <v/>
      </c>
      <c r="AA69">
        <f>IF([1]Products_Sell!$A$70="","",[1]Products_Sell!$A$70)</f>
        <v/>
      </c>
      <c r="AB69">
        <f>IF([1]Products_Sell!$B$70="","",[1]Products_Sell!$B$70)</f>
        <v/>
      </c>
    </row>
    <row r="70">
      <c r="F70">
        <f>IF([1]Customers!$A$71="","",[1]Customers!$A$71)</f>
        <v/>
      </c>
      <c r="G70">
        <f>IF([1]Customers!$C$71="","",[1]Customers!$C$71)</f>
        <v/>
      </c>
      <c r="I70">
        <f>IF([1]Suppliers!$A$71="","",[1]Suppliers!$A$71)</f>
        <v/>
      </c>
      <c r="J70">
        <f>IF([1]Suppliers!$C$71="","",[1]Suppliers!$C$71)</f>
        <v/>
      </c>
      <c r="X70">
        <f>IF([1]Products_Buy!$A$71="","",[1]Products_Buy!$A$71)</f>
        <v/>
      </c>
      <c r="Y70">
        <f>IF([1]Products_Buy!$B$71="","",[1]Products_Buy!$B$71)</f>
        <v/>
      </c>
      <c r="AA70">
        <f>IF([1]Products_Sell!$A$71="","",[1]Products_Sell!$A$71)</f>
        <v/>
      </c>
      <c r="AB70">
        <f>IF([1]Products_Sell!$B$71="","",[1]Products_Sell!$B$71)</f>
        <v/>
      </c>
    </row>
    <row r="71">
      <c r="F71">
        <f>IF([1]Customers!$A$72="","",[1]Customers!$A$72)</f>
        <v/>
      </c>
      <c r="G71">
        <f>IF([1]Customers!$C$72="","",[1]Customers!$C$72)</f>
        <v/>
      </c>
      <c r="I71">
        <f>IF([1]Suppliers!$A$72="","",[1]Suppliers!$A$72)</f>
        <v/>
      </c>
      <c r="J71">
        <f>IF([1]Suppliers!$C$72="","",[1]Suppliers!$C$72)</f>
        <v/>
      </c>
      <c r="X71">
        <f>IF([1]Products_Buy!$A$72="","",[1]Products_Buy!$A$72)</f>
        <v/>
      </c>
      <c r="Y71">
        <f>IF([1]Products_Buy!$B$72="","",[1]Products_Buy!$B$72)</f>
        <v/>
      </c>
      <c r="AA71">
        <f>IF([1]Products_Sell!$A$72="","",[1]Products_Sell!$A$72)</f>
        <v/>
      </c>
      <c r="AB71">
        <f>IF([1]Products_Sell!$B$72="","",[1]Products_Sell!$B$72)</f>
        <v/>
      </c>
    </row>
    <row r="72">
      <c r="F72">
        <f>IF([1]Customers!$A$73="","",[1]Customers!$A$73)</f>
        <v/>
      </c>
      <c r="G72">
        <f>IF([1]Customers!$C$73="","",[1]Customers!$C$73)</f>
        <v/>
      </c>
      <c r="I72">
        <f>IF([1]Suppliers!$A$73="","",[1]Suppliers!$A$73)</f>
        <v/>
      </c>
      <c r="J72">
        <f>IF([1]Suppliers!$C$73="","",[1]Suppliers!$C$73)</f>
        <v/>
      </c>
      <c r="X72">
        <f>IF([1]Products_Buy!$A$73="","",[1]Products_Buy!$A$73)</f>
        <v/>
      </c>
      <c r="Y72">
        <f>IF([1]Products_Buy!$B$73="","",[1]Products_Buy!$B$73)</f>
        <v/>
      </c>
      <c r="AA72">
        <f>IF([1]Products_Sell!$A$73="","",[1]Products_Sell!$A$73)</f>
        <v/>
      </c>
      <c r="AB72">
        <f>IF([1]Products_Sell!$B$73="","",[1]Products_Sell!$B$73)</f>
        <v/>
      </c>
    </row>
    <row r="73">
      <c r="F73">
        <f>IF([1]Customers!$A$74="","",[1]Customers!$A$74)</f>
        <v/>
      </c>
      <c r="G73">
        <f>IF([1]Customers!$C$74="","",[1]Customers!$C$74)</f>
        <v/>
      </c>
      <c r="I73">
        <f>IF([1]Suppliers!$A$74="","",[1]Suppliers!$A$74)</f>
        <v/>
      </c>
      <c r="J73">
        <f>IF([1]Suppliers!$C$74="","",[1]Suppliers!$C$74)</f>
        <v/>
      </c>
      <c r="X73">
        <f>IF([1]Products_Buy!$A$74="","",[1]Products_Buy!$A$74)</f>
        <v/>
      </c>
      <c r="Y73">
        <f>IF([1]Products_Buy!$B$74="","",[1]Products_Buy!$B$74)</f>
        <v/>
      </c>
      <c r="AA73">
        <f>IF([1]Products_Sell!$A$74="","",[1]Products_Sell!$A$74)</f>
        <v/>
      </c>
      <c r="AB73">
        <f>IF([1]Products_Sell!$B$74="","",[1]Products_Sell!$B$74)</f>
        <v/>
      </c>
    </row>
    <row r="74">
      <c r="F74">
        <f>IF([1]Customers!$A$75="","",[1]Customers!$A$75)</f>
        <v/>
      </c>
      <c r="G74">
        <f>IF([1]Customers!$C$75="","",[1]Customers!$C$75)</f>
        <v/>
      </c>
      <c r="I74">
        <f>IF([1]Suppliers!$A$75="","",[1]Suppliers!$A$75)</f>
        <v/>
      </c>
      <c r="J74">
        <f>IF([1]Suppliers!$C$75="","",[1]Suppliers!$C$75)</f>
        <v/>
      </c>
      <c r="X74">
        <f>IF([1]Products_Buy!$A$75="","",[1]Products_Buy!$A$75)</f>
        <v/>
      </c>
      <c r="Y74">
        <f>IF([1]Products_Buy!$B$75="","",[1]Products_Buy!$B$75)</f>
        <v/>
      </c>
      <c r="AA74">
        <f>IF([1]Products_Sell!$A$75="","",[1]Products_Sell!$A$75)</f>
        <v/>
      </c>
      <c r="AB74">
        <f>IF([1]Products_Sell!$B$75="","",[1]Products_Sell!$B$75)</f>
        <v/>
      </c>
    </row>
    <row r="75">
      <c r="F75">
        <f>IF([1]Customers!$A$76="","",[1]Customers!$A$76)</f>
        <v/>
      </c>
      <c r="G75">
        <f>IF([1]Customers!$C$76="","",[1]Customers!$C$76)</f>
        <v/>
      </c>
      <c r="I75">
        <f>IF([1]Suppliers!$A$76="","",[1]Suppliers!$A$76)</f>
        <v/>
      </c>
      <c r="J75">
        <f>IF([1]Suppliers!$C$76="","",[1]Suppliers!$C$76)</f>
        <v/>
      </c>
      <c r="X75">
        <f>IF([1]Products_Buy!$A$76="","",[1]Products_Buy!$A$76)</f>
        <v/>
      </c>
      <c r="Y75">
        <f>IF([1]Products_Buy!$B$76="","",[1]Products_Buy!$B$76)</f>
        <v/>
      </c>
      <c r="AA75">
        <f>IF([1]Products_Sell!$A$76="","",[1]Products_Sell!$A$76)</f>
        <v/>
      </c>
      <c r="AB75">
        <f>IF([1]Products_Sell!$B$76="","",[1]Products_Sell!$B$76)</f>
        <v/>
      </c>
    </row>
    <row r="76">
      <c r="F76">
        <f>IF([1]Customers!$A$77="","",[1]Customers!$A$77)</f>
        <v/>
      </c>
      <c r="G76">
        <f>IF([1]Customers!$C$77="","",[1]Customers!$C$77)</f>
        <v/>
      </c>
      <c r="I76">
        <f>IF([1]Suppliers!$A$77="","",[1]Suppliers!$A$77)</f>
        <v/>
      </c>
      <c r="J76">
        <f>IF([1]Suppliers!$C$77="","",[1]Suppliers!$C$77)</f>
        <v/>
      </c>
      <c r="X76">
        <f>IF([1]Products_Buy!$A$77="","",[1]Products_Buy!$A$77)</f>
        <v/>
      </c>
      <c r="Y76">
        <f>IF([1]Products_Buy!$B$77="","",[1]Products_Buy!$B$77)</f>
        <v/>
      </c>
      <c r="AA76">
        <f>IF([1]Products_Sell!$A$77="","",[1]Products_Sell!$A$77)</f>
        <v/>
      </c>
      <c r="AB76">
        <f>IF([1]Products_Sell!$B$77="","",[1]Products_Sell!$B$77)</f>
        <v/>
      </c>
    </row>
    <row r="77">
      <c r="F77">
        <f>IF([1]Customers!$A$78="","",[1]Customers!$A$78)</f>
        <v/>
      </c>
      <c r="G77">
        <f>IF([1]Customers!$C$78="","",[1]Customers!$C$78)</f>
        <v/>
      </c>
      <c r="I77">
        <f>IF([1]Suppliers!$A$78="","",[1]Suppliers!$A$78)</f>
        <v/>
      </c>
      <c r="J77">
        <f>IF([1]Suppliers!$C$78="","",[1]Suppliers!$C$78)</f>
        <v/>
      </c>
      <c r="X77">
        <f>IF([1]Products_Buy!$A$78="","",[1]Products_Buy!$A$78)</f>
        <v/>
      </c>
      <c r="Y77">
        <f>IF([1]Products_Buy!$B$78="","",[1]Products_Buy!$B$78)</f>
        <v/>
      </c>
      <c r="AA77">
        <f>IF([1]Products_Sell!$A$78="","",[1]Products_Sell!$A$78)</f>
        <v/>
      </c>
      <c r="AB77">
        <f>IF([1]Products_Sell!$B$78="","",[1]Products_Sell!$B$78)</f>
        <v/>
      </c>
    </row>
    <row r="78">
      <c r="F78">
        <f>IF([1]Customers!$A$79="","",[1]Customers!$A$79)</f>
        <v/>
      </c>
      <c r="G78">
        <f>IF([1]Customers!$C$79="","",[1]Customers!$C$79)</f>
        <v/>
      </c>
      <c r="I78">
        <f>IF([1]Suppliers!$A$79="","",[1]Suppliers!$A$79)</f>
        <v/>
      </c>
      <c r="J78">
        <f>IF([1]Suppliers!$C$79="","",[1]Suppliers!$C$79)</f>
        <v/>
      </c>
      <c r="X78">
        <f>IF([1]Products_Buy!$A$79="","",[1]Products_Buy!$A$79)</f>
        <v/>
      </c>
      <c r="Y78">
        <f>IF([1]Products_Buy!$B$79="","",[1]Products_Buy!$B$79)</f>
        <v/>
      </c>
      <c r="AA78">
        <f>IF([1]Products_Sell!$A$79="","",[1]Products_Sell!$A$79)</f>
        <v/>
      </c>
      <c r="AB78">
        <f>IF([1]Products_Sell!$B$79="","",[1]Products_Sell!$B$79)</f>
        <v/>
      </c>
    </row>
    <row r="79">
      <c r="F79">
        <f>IF([1]Customers!$A$80="","",[1]Customers!$A$80)</f>
        <v/>
      </c>
      <c r="G79">
        <f>IF([1]Customers!$C$80="","",[1]Customers!$C$80)</f>
        <v/>
      </c>
      <c r="I79">
        <f>IF([1]Suppliers!$A$80="","",[1]Suppliers!$A$80)</f>
        <v/>
      </c>
      <c r="J79">
        <f>IF([1]Suppliers!$C$80="","",[1]Suppliers!$C$80)</f>
        <v/>
      </c>
      <c r="X79">
        <f>IF([1]Products_Buy!$A$80="","",[1]Products_Buy!$A$80)</f>
        <v/>
      </c>
      <c r="Y79">
        <f>IF([1]Products_Buy!$B$80="","",[1]Products_Buy!$B$80)</f>
        <v/>
      </c>
      <c r="AA79">
        <f>IF([1]Products_Sell!$A$80="","",[1]Products_Sell!$A$80)</f>
        <v/>
      </c>
      <c r="AB79">
        <f>IF([1]Products_Sell!$B$80="","",[1]Products_Sell!$B$80)</f>
        <v/>
      </c>
    </row>
    <row r="80">
      <c r="F80">
        <f>IF([1]Customers!$A$81="","",[1]Customers!$A$81)</f>
        <v/>
      </c>
      <c r="G80">
        <f>IF([1]Customers!$C$81="","",[1]Customers!$C$81)</f>
        <v/>
      </c>
      <c r="I80">
        <f>IF([1]Suppliers!$A$81="","",[1]Suppliers!$A$81)</f>
        <v/>
      </c>
      <c r="J80">
        <f>IF([1]Suppliers!$C$81="","",[1]Suppliers!$C$81)</f>
        <v/>
      </c>
      <c r="X80">
        <f>IF([1]Products_Buy!$A$81="","",[1]Products_Buy!$A$81)</f>
        <v/>
      </c>
      <c r="Y80">
        <f>IF([1]Products_Buy!$B$81="","",[1]Products_Buy!$B$81)</f>
        <v/>
      </c>
      <c r="AA80">
        <f>IF([1]Products_Sell!$A$81="","",[1]Products_Sell!$A$81)</f>
        <v/>
      </c>
      <c r="AB80">
        <f>IF([1]Products_Sell!$B$81="","",[1]Products_Sell!$B$81)</f>
        <v/>
      </c>
    </row>
    <row r="81">
      <c r="F81">
        <f>IF([1]Customers!$A$82="","",[1]Customers!$A$82)</f>
        <v/>
      </c>
      <c r="G81">
        <f>IF([1]Customers!$C$82="","",[1]Customers!$C$82)</f>
        <v/>
      </c>
      <c r="I81">
        <f>IF([1]Suppliers!$A$82="","",[1]Suppliers!$A$82)</f>
        <v/>
      </c>
      <c r="J81">
        <f>IF([1]Suppliers!$C$82="","",[1]Suppliers!$C$82)</f>
        <v/>
      </c>
      <c r="X81">
        <f>IF([1]Products_Buy!$A$82="","",[1]Products_Buy!$A$82)</f>
        <v/>
      </c>
      <c r="Y81">
        <f>IF([1]Products_Buy!$B$82="","",[1]Products_Buy!$B$82)</f>
        <v/>
      </c>
      <c r="AA81">
        <f>IF([1]Products_Sell!$A$82="","",[1]Products_Sell!$A$82)</f>
        <v/>
      </c>
      <c r="AB81">
        <f>IF([1]Products_Sell!$B$82="","",[1]Products_Sell!$B$82)</f>
        <v/>
      </c>
    </row>
    <row r="82">
      <c r="F82">
        <f>IF([1]Customers!$A$83="","",[1]Customers!$A$83)</f>
        <v/>
      </c>
      <c r="G82">
        <f>IF([1]Customers!$C$83="","",[1]Customers!$C$83)</f>
        <v/>
      </c>
      <c r="I82">
        <f>IF([1]Suppliers!$A$83="","",[1]Suppliers!$A$83)</f>
        <v/>
      </c>
      <c r="J82">
        <f>IF([1]Suppliers!$C$83="","",[1]Suppliers!$C$83)</f>
        <v/>
      </c>
      <c r="X82">
        <f>IF([1]Products_Buy!$A$83="","",[1]Products_Buy!$A$83)</f>
        <v/>
      </c>
      <c r="Y82">
        <f>IF([1]Products_Buy!$B$83="","",[1]Products_Buy!$B$83)</f>
        <v/>
      </c>
      <c r="AA82">
        <f>IF([1]Products_Sell!$A$83="","",[1]Products_Sell!$A$83)</f>
        <v/>
      </c>
      <c r="AB82">
        <f>IF([1]Products_Sell!$B$83="","",[1]Products_Sell!$B$83)</f>
        <v/>
      </c>
    </row>
    <row r="83">
      <c r="F83">
        <f>IF([1]Customers!$A$84="","",[1]Customers!$A$84)</f>
        <v/>
      </c>
      <c r="G83">
        <f>IF([1]Customers!$C$84="","",[1]Customers!$C$84)</f>
        <v/>
      </c>
      <c r="I83">
        <f>IF([1]Suppliers!$A$84="","",[1]Suppliers!$A$84)</f>
        <v/>
      </c>
      <c r="J83">
        <f>IF([1]Suppliers!$C$84="","",[1]Suppliers!$C$84)</f>
        <v/>
      </c>
      <c r="X83">
        <f>IF([1]Products_Buy!$A$84="","",[1]Products_Buy!$A$84)</f>
        <v/>
      </c>
      <c r="Y83">
        <f>IF([1]Products_Buy!$B$84="","",[1]Products_Buy!$B$84)</f>
        <v/>
      </c>
      <c r="AA83">
        <f>IF([1]Products_Sell!$A$84="","",[1]Products_Sell!$A$84)</f>
        <v/>
      </c>
      <c r="AB83">
        <f>IF([1]Products_Sell!$B$84="","",[1]Products_Sell!$B$84)</f>
        <v/>
      </c>
    </row>
    <row r="84">
      <c r="F84">
        <f>IF([1]Customers!$A$85="","",[1]Customers!$A$85)</f>
        <v/>
      </c>
      <c r="G84">
        <f>IF([1]Customers!$C$85="","",[1]Customers!$C$85)</f>
        <v/>
      </c>
      <c r="I84">
        <f>IF([1]Suppliers!$A$85="","",[1]Suppliers!$A$85)</f>
        <v/>
      </c>
      <c r="J84">
        <f>IF([1]Suppliers!$C$85="","",[1]Suppliers!$C$85)</f>
        <v/>
      </c>
      <c r="X84">
        <f>IF([1]Products_Buy!$A$85="","",[1]Products_Buy!$A$85)</f>
        <v/>
      </c>
      <c r="Y84">
        <f>IF([1]Products_Buy!$B$85="","",[1]Products_Buy!$B$85)</f>
        <v/>
      </c>
      <c r="AA84">
        <f>IF([1]Products_Sell!$A$85="","",[1]Products_Sell!$A$85)</f>
        <v/>
      </c>
      <c r="AB84">
        <f>IF([1]Products_Sell!$B$85="","",[1]Products_Sell!$B$85)</f>
        <v/>
      </c>
    </row>
    <row r="85">
      <c r="F85">
        <f>IF([1]Customers!$A$86="","",[1]Customers!$A$86)</f>
        <v/>
      </c>
      <c r="G85">
        <f>IF([1]Customers!$C$86="","",[1]Customers!$C$86)</f>
        <v/>
      </c>
      <c r="I85">
        <f>IF([1]Suppliers!$A$86="","",[1]Suppliers!$A$86)</f>
        <v/>
      </c>
      <c r="J85">
        <f>IF([1]Suppliers!$C$86="","",[1]Suppliers!$C$86)</f>
        <v/>
      </c>
      <c r="X85">
        <f>IF([1]Products_Buy!$A$86="","",[1]Products_Buy!$A$86)</f>
        <v/>
      </c>
      <c r="Y85">
        <f>IF([1]Products_Buy!$B$86="","",[1]Products_Buy!$B$86)</f>
        <v/>
      </c>
      <c r="AA85">
        <f>IF([1]Products_Sell!$A$86="","",[1]Products_Sell!$A$86)</f>
        <v/>
      </c>
      <c r="AB85">
        <f>IF([1]Products_Sell!$B$86="","",[1]Products_Sell!$B$86)</f>
        <v/>
      </c>
    </row>
    <row r="86">
      <c r="F86">
        <f>IF([1]Customers!$A$87="","",[1]Customers!$A$87)</f>
        <v/>
      </c>
      <c r="G86">
        <f>IF([1]Customers!$C$87="","",[1]Customers!$C$87)</f>
        <v/>
      </c>
      <c r="I86">
        <f>IF([1]Suppliers!$A$87="","",[1]Suppliers!$A$87)</f>
        <v/>
      </c>
      <c r="J86">
        <f>IF([1]Suppliers!$C$87="","",[1]Suppliers!$C$87)</f>
        <v/>
      </c>
      <c r="X86">
        <f>IF([1]Products_Buy!$A$87="","",[1]Products_Buy!$A$87)</f>
        <v/>
      </c>
      <c r="Y86">
        <f>IF([1]Products_Buy!$B$87="","",[1]Products_Buy!$B$87)</f>
        <v/>
      </c>
      <c r="AA86">
        <f>IF([1]Products_Sell!$A$87="","",[1]Products_Sell!$A$87)</f>
        <v/>
      </c>
      <c r="AB86">
        <f>IF([1]Products_Sell!$B$87="","",[1]Products_Sell!$B$87)</f>
        <v/>
      </c>
    </row>
    <row r="87">
      <c r="F87">
        <f>IF([1]Customers!$A$88="","",[1]Customers!$A$88)</f>
        <v/>
      </c>
      <c r="G87">
        <f>IF([1]Customers!$C$88="","",[1]Customers!$C$88)</f>
        <v/>
      </c>
      <c r="I87">
        <f>IF([1]Suppliers!$A$88="","",[1]Suppliers!$A$88)</f>
        <v/>
      </c>
      <c r="J87">
        <f>IF([1]Suppliers!$C$88="","",[1]Suppliers!$C$88)</f>
        <v/>
      </c>
      <c r="X87">
        <f>IF([1]Products_Buy!$A$88="","",[1]Products_Buy!$A$88)</f>
        <v/>
      </c>
      <c r="Y87">
        <f>IF([1]Products_Buy!$B$88="","",[1]Products_Buy!$B$88)</f>
        <v/>
      </c>
      <c r="AA87">
        <f>IF([1]Products_Sell!$A$88="","",[1]Products_Sell!$A$88)</f>
        <v/>
      </c>
      <c r="AB87">
        <f>IF([1]Products_Sell!$B$88="","",[1]Products_Sell!$B$88)</f>
        <v/>
      </c>
    </row>
    <row r="88">
      <c r="F88">
        <f>IF([1]Customers!$A$89="","",[1]Customers!$A$89)</f>
        <v/>
      </c>
      <c r="G88">
        <f>IF([1]Customers!$C$89="","",[1]Customers!$C$89)</f>
        <v/>
      </c>
      <c r="I88">
        <f>IF([1]Suppliers!$A$89="","",[1]Suppliers!$A$89)</f>
        <v/>
      </c>
      <c r="J88">
        <f>IF([1]Suppliers!$C$89="","",[1]Suppliers!$C$89)</f>
        <v/>
      </c>
      <c r="X88">
        <f>IF([1]Products_Buy!$A$89="","",[1]Products_Buy!$A$89)</f>
        <v/>
      </c>
      <c r="Y88">
        <f>IF([1]Products_Buy!$B$89="","",[1]Products_Buy!$B$89)</f>
        <v/>
      </c>
      <c r="AA88">
        <f>IF([1]Products_Sell!$A$89="","",[1]Products_Sell!$A$89)</f>
        <v/>
      </c>
      <c r="AB88">
        <f>IF([1]Products_Sell!$B$89="","",[1]Products_Sell!$B$89)</f>
        <v/>
      </c>
    </row>
    <row r="89">
      <c r="F89">
        <f>IF([1]Customers!$A$90="","",[1]Customers!$A$90)</f>
        <v/>
      </c>
      <c r="G89">
        <f>IF([1]Customers!$C$90="","",[1]Customers!$C$90)</f>
        <v/>
      </c>
      <c r="I89">
        <f>IF([1]Suppliers!$A$90="","",[1]Suppliers!$A$90)</f>
        <v/>
      </c>
      <c r="J89">
        <f>IF([1]Suppliers!$C$90="","",[1]Suppliers!$C$90)</f>
        <v/>
      </c>
      <c r="X89">
        <f>IF([1]Products_Buy!$A$90="","",[1]Products_Buy!$A$90)</f>
        <v/>
      </c>
      <c r="Y89">
        <f>IF([1]Products_Buy!$B$90="","",[1]Products_Buy!$B$90)</f>
        <v/>
      </c>
      <c r="AA89">
        <f>IF([1]Products_Sell!$A$90="","",[1]Products_Sell!$A$90)</f>
        <v/>
      </c>
      <c r="AB89">
        <f>IF([1]Products_Sell!$B$90="","",[1]Products_Sell!$B$90)</f>
        <v/>
      </c>
    </row>
    <row r="90">
      <c r="F90">
        <f>IF([1]Customers!$A$91="","",[1]Customers!$A$91)</f>
        <v/>
      </c>
      <c r="G90">
        <f>IF([1]Customers!$C$91="","",[1]Customers!$C$91)</f>
        <v/>
      </c>
      <c r="I90">
        <f>IF([1]Suppliers!$A$91="","",[1]Suppliers!$A$91)</f>
        <v/>
      </c>
      <c r="J90">
        <f>IF([1]Suppliers!$C$91="","",[1]Suppliers!$C$91)</f>
        <v/>
      </c>
      <c r="X90">
        <f>IF([1]Products_Buy!$A$91="","",[1]Products_Buy!$A$91)</f>
        <v/>
      </c>
      <c r="Y90">
        <f>IF([1]Products_Buy!$B$91="","",[1]Products_Buy!$B$91)</f>
        <v/>
      </c>
      <c r="AA90">
        <f>IF([1]Products_Sell!$A$91="","",[1]Products_Sell!$A$91)</f>
        <v/>
      </c>
      <c r="AB90">
        <f>IF([1]Products_Sell!$B$91="","",[1]Products_Sell!$B$91)</f>
        <v/>
      </c>
    </row>
    <row r="91">
      <c r="F91">
        <f>IF([1]Customers!$A$92="","",[1]Customers!$A$92)</f>
        <v/>
      </c>
      <c r="G91">
        <f>IF([1]Customers!$C$92="","",[1]Customers!$C$92)</f>
        <v/>
      </c>
      <c r="I91">
        <f>IF([1]Suppliers!$A$92="","",[1]Suppliers!$A$92)</f>
        <v/>
      </c>
      <c r="J91">
        <f>IF([1]Suppliers!$C$92="","",[1]Suppliers!$C$92)</f>
        <v/>
      </c>
      <c r="X91">
        <f>IF([1]Products_Buy!$A$92="","",[1]Products_Buy!$A$92)</f>
        <v/>
      </c>
      <c r="Y91">
        <f>IF([1]Products_Buy!$B$92="","",[1]Products_Buy!$B$92)</f>
        <v/>
      </c>
      <c r="AA91">
        <f>IF([1]Products_Sell!$A$92="","",[1]Products_Sell!$A$92)</f>
        <v/>
      </c>
      <c r="AB91">
        <f>IF([1]Products_Sell!$B$92="","",[1]Products_Sell!$B$92)</f>
        <v/>
      </c>
    </row>
    <row r="92">
      <c r="F92">
        <f>IF([1]Customers!$A$93="","",[1]Customers!$A$93)</f>
        <v/>
      </c>
      <c r="G92">
        <f>IF([1]Customers!$C$93="","",[1]Customers!$C$93)</f>
        <v/>
      </c>
      <c r="I92">
        <f>IF([1]Suppliers!$A$93="","",[1]Suppliers!$A$93)</f>
        <v/>
      </c>
      <c r="J92">
        <f>IF([1]Suppliers!$C$93="","",[1]Suppliers!$C$93)</f>
        <v/>
      </c>
      <c r="X92">
        <f>IF([1]Products_Buy!$A$93="","",[1]Products_Buy!$A$93)</f>
        <v/>
      </c>
      <c r="Y92">
        <f>IF([1]Products_Buy!$B$93="","",[1]Products_Buy!$B$93)</f>
        <v/>
      </c>
      <c r="AA92">
        <f>IF([1]Products_Sell!$A$93="","",[1]Products_Sell!$A$93)</f>
        <v/>
      </c>
      <c r="AB92">
        <f>IF([1]Products_Sell!$B$93="","",[1]Products_Sell!$B$93)</f>
        <v/>
      </c>
    </row>
    <row r="93">
      <c r="F93">
        <f>IF([1]Customers!$A$94="","",[1]Customers!$A$94)</f>
        <v/>
      </c>
      <c r="G93">
        <f>IF([1]Customers!$C$94="","",[1]Customers!$C$94)</f>
        <v/>
      </c>
      <c r="I93">
        <f>IF([1]Suppliers!$A$94="","",[1]Suppliers!$A$94)</f>
        <v/>
      </c>
      <c r="J93">
        <f>IF([1]Suppliers!$C$94="","",[1]Suppliers!$C$94)</f>
        <v/>
      </c>
      <c r="X93">
        <f>IF([1]Products_Buy!$A$94="","",[1]Products_Buy!$A$94)</f>
        <v/>
      </c>
      <c r="Y93">
        <f>IF([1]Products_Buy!$B$94="","",[1]Products_Buy!$B$94)</f>
        <v/>
      </c>
      <c r="AA93">
        <f>IF([1]Products_Sell!$A$94="","",[1]Products_Sell!$A$94)</f>
        <v/>
      </c>
      <c r="AB93">
        <f>IF([1]Products_Sell!$B$94="","",[1]Products_Sell!$B$94)</f>
        <v/>
      </c>
    </row>
    <row r="94">
      <c r="F94">
        <f>IF([1]Customers!$A$95="","",[1]Customers!$A$95)</f>
        <v/>
      </c>
      <c r="G94">
        <f>IF([1]Customers!$C$95="","",[1]Customers!$C$95)</f>
        <v/>
      </c>
      <c r="I94">
        <f>IF([1]Suppliers!$A$95="","",[1]Suppliers!$A$95)</f>
        <v/>
      </c>
      <c r="J94">
        <f>IF([1]Suppliers!$C$95="","",[1]Suppliers!$C$95)</f>
        <v/>
      </c>
      <c r="X94">
        <f>IF([1]Products_Buy!$A$95="","",[1]Products_Buy!$A$95)</f>
        <v/>
      </c>
      <c r="Y94">
        <f>IF([1]Products_Buy!$B$95="","",[1]Products_Buy!$B$95)</f>
        <v/>
      </c>
      <c r="AA94">
        <f>IF([1]Products_Sell!$A$95="","",[1]Products_Sell!$A$95)</f>
        <v/>
      </c>
      <c r="AB94">
        <f>IF([1]Products_Sell!$B$95="","",[1]Products_Sell!$B$95)</f>
        <v/>
      </c>
    </row>
    <row r="95">
      <c r="F95">
        <f>IF([1]Customers!$A$96="","",[1]Customers!$A$96)</f>
        <v/>
      </c>
      <c r="G95">
        <f>IF([1]Customers!$C$96="","",[1]Customers!$C$96)</f>
        <v/>
      </c>
      <c r="I95">
        <f>IF([1]Suppliers!$A$96="","",[1]Suppliers!$A$96)</f>
        <v/>
      </c>
      <c r="J95">
        <f>IF([1]Suppliers!$C$96="","",[1]Suppliers!$C$96)</f>
        <v/>
      </c>
      <c r="X95">
        <f>IF([1]Products_Buy!$A$96="","",[1]Products_Buy!$A$96)</f>
        <v/>
      </c>
      <c r="Y95">
        <f>IF([1]Products_Buy!$B$96="","",[1]Products_Buy!$B$96)</f>
        <v/>
      </c>
      <c r="AA95">
        <f>IF([1]Products_Sell!$A$96="","",[1]Products_Sell!$A$96)</f>
        <v/>
      </c>
      <c r="AB95">
        <f>IF([1]Products_Sell!$B$96="","",[1]Products_Sell!$B$96)</f>
        <v/>
      </c>
    </row>
    <row r="96">
      <c r="F96">
        <f>IF([1]Customers!$A$97="","",[1]Customers!$A$97)</f>
        <v/>
      </c>
      <c r="G96">
        <f>IF([1]Customers!$C$97="","",[1]Customers!$C$97)</f>
        <v/>
      </c>
      <c r="I96">
        <f>IF([1]Suppliers!$A$97="","",[1]Suppliers!$A$97)</f>
        <v/>
      </c>
      <c r="J96">
        <f>IF([1]Suppliers!$C$97="","",[1]Suppliers!$C$97)</f>
        <v/>
      </c>
      <c r="X96">
        <f>IF([1]Products_Buy!$A$97="","",[1]Products_Buy!$A$97)</f>
        <v/>
      </c>
      <c r="Y96">
        <f>IF([1]Products_Buy!$B$97="","",[1]Products_Buy!$B$97)</f>
        <v/>
      </c>
      <c r="AA96">
        <f>IF([1]Products_Sell!$A$97="","",[1]Products_Sell!$A$97)</f>
        <v/>
      </c>
      <c r="AB96">
        <f>IF([1]Products_Sell!$B$97="","",[1]Products_Sell!$B$97)</f>
        <v/>
      </c>
    </row>
    <row r="97">
      <c r="F97">
        <f>IF([1]Customers!$A$98="","",[1]Customers!$A$98)</f>
        <v/>
      </c>
      <c r="G97">
        <f>IF([1]Customers!$C$98="","",[1]Customers!$C$98)</f>
        <v/>
      </c>
      <c r="I97">
        <f>IF([1]Suppliers!$A$98="","",[1]Suppliers!$A$98)</f>
        <v/>
      </c>
      <c r="J97">
        <f>IF([1]Suppliers!$C$98="","",[1]Suppliers!$C$98)</f>
        <v/>
      </c>
      <c r="X97">
        <f>IF([1]Products_Buy!$A$98="","",[1]Products_Buy!$A$98)</f>
        <v/>
      </c>
      <c r="Y97">
        <f>IF([1]Products_Buy!$B$98="","",[1]Products_Buy!$B$98)</f>
        <v/>
      </c>
      <c r="AA97">
        <f>IF([1]Products_Sell!$A$98="","",[1]Products_Sell!$A$98)</f>
        <v/>
      </c>
      <c r="AB97">
        <f>IF([1]Products_Sell!$B$98="","",[1]Products_Sell!$B$98)</f>
        <v/>
      </c>
    </row>
    <row r="98">
      <c r="F98">
        <f>IF([1]Customers!$A$99="","",[1]Customers!$A$99)</f>
        <v/>
      </c>
      <c r="G98">
        <f>IF([1]Customers!$C$99="","",[1]Customers!$C$99)</f>
        <v/>
      </c>
      <c r="I98">
        <f>IF([1]Suppliers!$A$99="","",[1]Suppliers!$A$99)</f>
        <v/>
      </c>
      <c r="J98">
        <f>IF([1]Suppliers!$C$99="","",[1]Suppliers!$C$99)</f>
        <v/>
      </c>
      <c r="X98">
        <f>IF([1]Products_Buy!$A$99="","",[1]Products_Buy!$A$99)</f>
        <v/>
      </c>
      <c r="Y98">
        <f>IF([1]Products_Buy!$B$99="","",[1]Products_Buy!$B$99)</f>
        <v/>
      </c>
      <c r="AA98">
        <f>IF([1]Products_Sell!$A$99="","",[1]Products_Sell!$A$99)</f>
        <v/>
      </c>
      <c r="AB98">
        <f>IF([1]Products_Sell!$B$99="","",[1]Products_Sell!$B$99)</f>
        <v/>
      </c>
    </row>
    <row r="99">
      <c r="F99">
        <f>IF([1]Customers!$A$100="","",[1]Customers!$A$100)</f>
        <v/>
      </c>
      <c r="G99">
        <f>IF([1]Customers!$C$100="","",[1]Customers!$C$100)</f>
        <v/>
      </c>
      <c r="I99">
        <f>IF([1]Suppliers!$A$100="","",[1]Suppliers!$A$100)</f>
        <v/>
      </c>
      <c r="J99">
        <f>IF([1]Suppliers!$C$100="","",[1]Suppliers!$C$100)</f>
        <v/>
      </c>
      <c r="X99">
        <f>IF([1]Products_Buy!$A$100="","",[1]Products_Buy!$A$100)</f>
        <v/>
      </c>
      <c r="Y99">
        <f>IF([1]Products_Buy!$B$100="","",[1]Products_Buy!$B$100)</f>
        <v/>
      </c>
      <c r="AA99">
        <f>IF([1]Products_Sell!$A$100="","",[1]Products_Sell!$A$100)</f>
        <v/>
      </c>
      <c r="AB99">
        <f>IF([1]Products_Sell!$B$100="","",[1]Products_Sell!$B$100)</f>
        <v/>
      </c>
    </row>
    <row r="100">
      <c r="F100">
        <f>IF([1]Customers!$A$101="","",[1]Customers!$A$101)</f>
        <v/>
      </c>
      <c r="G100">
        <f>IF([1]Customers!$C$101="","",[1]Customers!$C$101)</f>
        <v/>
      </c>
      <c r="I100">
        <f>IF([1]Suppliers!$A$101="","",[1]Suppliers!$A$101)</f>
        <v/>
      </c>
      <c r="J100">
        <f>IF([1]Suppliers!$C$101="","",[1]Suppliers!$C$101)</f>
        <v/>
      </c>
      <c r="X100">
        <f>IF([1]Products_Buy!$A$101="","",[1]Products_Buy!$A$101)</f>
        <v/>
      </c>
      <c r="Y100">
        <f>IF([1]Products_Buy!$B$101="","",[1]Products_Buy!$B$101)</f>
        <v/>
      </c>
      <c r="AA100">
        <f>IF([1]Products_Sell!$A$101="","",[1]Products_Sell!$A$101)</f>
        <v/>
      </c>
      <c r="AB100">
        <f>IF([1]Products_Sell!$B$101="","",[1]Products_Sell!$B$101)</f>
        <v/>
      </c>
    </row>
    <row r="101">
      <c r="F101">
        <f>IF([1]Customers!$A$102="","",[1]Customers!$A$102)</f>
        <v/>
      </c>
      <c r="G101">
        <f>IF([1]Customers!$C$102="","",[1]Customers!$C$102)</f>
        <v/>
      </c>
      <c r="I101">
        <f>IF([1]Suppliers!$A$102="","",[1]Suppliers!$A$102)</f>
        <v/>
      </c>
      <c r="J101">
        <f>IF([1]Suppliers!$C$102="","",[1]Suppliers!$C$102)</f>
        <v/>
      </c>
      <c r="X101">
        <f>IF([1]Products_Buy!$A$102="","",[1]Products_Buy!$A$102)</f>
        <v/>
      </c>
      <c r="Y101">
        <f>IF([1]Products_Buy!$B$102="","",[1]Products_Buy!$B$102)</f>
        <v/>
      </c>
      <c r="AA101">
        <f>IF([1]Products_Sell!$A$102="","",[1]Products_Sell!$A$102)</f>
        <v/>
      </c>
      <c r="AB101">
        <f>IF([1]Products_Sell!$B$102="","",[1]Products_Sell!$B$102)</f>
        <v/>
      </c>
    </row>
    <row r="102">
      <c r="F102">
        <f>IF([1]Customers!$A$103="","",[1]Customers!$A$103)</f>
        <v/>
      </c>
      <c r="G102">
        <f>IF([1]Customers!$C$103="","",[1]Customers!$C$103)</f>
        <v/>
      </c>
      <c r="I102">
        <f>IF([1]Suppliers!$A$103="","",[1]Suppliers!$A$103)</f>
        <v/>
      </c>
      <c r="J102">
        <f>IF([1]Suppliers!$C$103="","",[1]Suppliers!$C$103)</f>
        <v/>
      </c>
      <c r="X102">
        <f>IF([1]Products_Buy!$A$103="","",[1]Products_Buy!$A$103)</f>
        <v/>
      </c>
      <c r="Y102">
        <f>IF([1]Products_Buy!$B$103="","",[1]Products_Buy!$B$103)</f>
        <v/>
      </c>
      <c r="AA102">
        <f>IF([1]Products_Sell!$A$103="","",[1]Products_Sell!$A$103)</f>
        <v/>
      </c>
      <c r="AB102">
        <f>IF([1]Products_Sell!$B$103="","",[1]Products_Sell!$B$103)</f>
        <v/>
      </c>
    </row>
    <row r="103">
      <c r="F103">
        <f>IF([1]Customers!$A$104="","",[1]Customers!$A$104)</f>
        <v/>
      </c>
      <c r="G103">
        <f>IF([1]Customers!$C$104="","",[1]Customers!$C$104)</f>
        <v/>
      </c>
      <c r="I103">
        <f>IF([1]Suppliers!$A$104="","",[1]Suppliers!$A$104)</f>
        <v/>
      </c>
      <c r="J103">
        <f>IF([1]Suppliers!$C$104="","",[1]Suppliers!$C$104)</f>
        <v/>
      </c>
      <c r="X103">
        <f>IF([1]Products_Buy!$A$104="","",[1]Products_Buy!$A$104)</f>
        <v/>
      </c>
      <c r="Y103">
        <f>IF([1]Products_Buy!$B$104="","",[1]Products_Buy!$B$104)</f>
        <v/>
      </c>
      <c r="AA103">
        <f>IF([1]Products_Sell!$A$104="","",[1]Products_Sell!$A$104)</f>
        <v/>
      </c>
      <c r="AB103">
        <f>IF([1]Products_Sell!$B$104="","",[1]Products_Sell!$B$104)</f>
        <v/>
      </c>
    </row>
    <row r="104">
      <c r="F104">
        <f>IF([1]Customers!$A$105="","",[1]Customers!$A$105)</f>
        <v/>
      </c>
      <c r="G104">
        <f>IF([1]Customers!$C$105="","",[1]Customers!$C$105)</f>
        <v/>
      </c>
      <c r="I104">
        <f>IF([1]Suppliers!$A$105="","",[1]Suppliers!$A$105)</f>
        <v/>
      </c>
      <c r="J104">
        <f>IF([1]Suppliers!$C$105="","",[1]Suppliers!$C$105)</f>
        <v/>
      </c>
      <c r="X104">
        <f>IF([1]Products_Buy!$A$105="","",[1]Products_Buy!$A$105)</f>
        <v/>
      </c>
      <c r="Y104">
        <f>IF([1]Products_Buy!$B$105="","",[1]Products_Buy!$B$105)</f>
        <v/>
      </c>
      <c r="AA104">
        <f>IF([1]Products_Sell!$A$105="","",[1]Products_Sell!$A$105)</f>
        <v/>
      </c>
      <c r="AB104">
        <f>IF([1]Products_Sell!$B$105="","",[1]Products_Sell!$B$105)</f>
        <v/>
      </c>
    </row>
    <row r="105">
      <c r="F105">
        <f>IF([1]Customers!$A$106="","",[1]Customers!$A$106)</f>
        <v/>
      </c>
      <c r="G105">
        <f>IF([1]Customers!$C$106="","",[1]Customers!$C$106)</f>
        <v/>
      </c>
      <c r="I105">
        <f>IF([1]Suppliers!$A$106="","",[1]Suppliers!$A$106)</f>
        <v/>
      </c>
      <c r="J105">
        <f>IF([1]Suppliers!$C$106="","",[1]Suppliers!$C$106)</f>
        <v/>
      </c>
      <c r="X105">
        <f>IF([1]Products_Buy!$A$106="","",[1]Products_Buy!$A$106)</f>
        <v/>
      </c>
      <c r="Y105">
        <f>IF([1]Products_Buy!$B$106="","",[1]Products_Buy!$B$106)</f>
        <v/>
      </c>
      <c r="AA105">
        <f>IF([1]Products_Sell!$A$106="","",[1]Products_Sell!$A$106)</f>
        <v/>
      </c>
      <c r="AB105">
        <f>IF([1]Products_Sell!$B$106="","",[1]Products_Sell!$B$106)</f>
        <v/>
      </c>
    </row>
    <row r="106">
      <c r="F106">
        <f>IF([1]Customers!$A$107="","",[1]Customers!$A$107)</f>
        <v/>
      </c>
      <c r="G106">
        <f>IF([1]Customers!$C$107="","",[1]Customers!$C$107)</f>
        <v/>
      </c>
    </row>
    <row r="107">
      <c r="F107">
        <f>IF([1]Customers!$A$108="","",[1]Customers!$A$108)</f>
        <v/>
      </c>
      <c r="G107">
        <f>IF([1]Customers!$C$108="","",[1]Customers!$C$108)</f>
        <v/>
      </c>
    </row>
    <row r="108">
      <c r="F108">
        <f>IF([1]Customers!$A$109="","",[1]Customers!$A$109)</f>
        <v/>
      </c>
      <c r="G108">
        <f>IF([1]Customers!$C$109="","",[1]Customers!$C$109)</f>
        <v/>
      </c>
    </row>
    <row r="109">
      <c r="F109">
        <f>IF([1]Customers!$A$110="","",[1]Customers!$A$110)</f>
        <v/>
      </c>
      <c r="G109">
        <f>IF([1]Customers!$C$110="","",[1]Customers!$C$110)</f>
        <v/>
      </c>
    </row>
    <row r="110">
      <c r="F110">
        <f>IF([1]Customers!$A$111="","",[1]Customers!$A$111)</f>
        <v/>
      </c>
      <c r="G110">
        <f>IF([1]Customers!$C$111="","",[1]Customers!$C$111)</f>
        <v/>
      </c>
    </row>
    <row r="111">
      <c r="F111">
        <f>IF([1]Customers!$A$112="","",[1]Customers!$A$112)</f>
        <v/>
      </c>
      <c r="G111">
        <f>IF([1]Customers!$C$112="","",[1]Customers!$C$112)</f>
        <v/>
      </c>
    </row>
    <row r="112">
      <c r="F112">
        <f>IF([1]Customers!$A$113="","",[1]Customers!$A$113)</f>
        <v/>
      </c>
      <c r="G112">
        <f>IF([1]Customers!$C$113="","",[1]Customers!$C$113)</f>
        <v/>
      </c>
    </row>
    <row r="113">
      <c r="F113">
        <f>IF([1]Customers!$A$114="","",[1]Customers!$A$114)</f>
        <v/>
      </c>
      <c r="G113">
        <f>IF([1]Customers!$C$114="","",[1]Customers!$C$114)</f>
        <v/>
      </c>
    </row>
    <row r="114">
      <c r="F114">
        <f>IF([1]Customers!$A$115="","",[1]Customers!$A$115)</f>
        <v/>
      </c>
      <c r="G114">
        <f>IF([1]Customers!$C$115="","",[1]Customers!$C$115)</f>
        <v/>
      </c>
    </row>
    <row r="115">
      <c r="F115">
        <f>IF([1]Customers!$A$116="","",[1]Customers!$A$116)</f>
        <v/>
      </c>
      <c r="G115">
        <f>IF([1]Customers!$C$116="","",[1]Customers!$C$116)</f>
        <v/>
      </c>
    </row>
    <row r="116">
      <c r="F116">
        <f>IF([1]Customers!$A$117="","",[1]Customers!$A$117)</f>
        <v/>
      </c>
      <c r="G116">
        <f>IF([1]Customers!$C$117="","",[1]Customers!$C$117)</f>
        <v/>
      </c>
    </row>
    <row r="117">
      <c r="F117">
        <f>IF([1]Customers!$A$118="","",[1]Customers!$A$118)</f>
        <v/>
      </c>
      <c r="G117">
        <f>IF([1]Customers!$C$118="","",[1]Customers!$C$118)</f>
        <v/>
      </c>
    </row>
    <row r="118">
      <c r="F118">
        <f>IF([1]Customers!$A$119="","",[1]Customers!$A$119)</f>
        <v/>
      </c>
      <c r="G118">
        <f>IF([1]Customers!$C$119="","",[1]Customers!$C$119)</f>
        <v/>
      </c>
    </row>
    <row r="119">
      <c r="F119">
        <f>IF([1]Customers!$A$120="","",[1]Customers!$A$120)</f>
        <v/>
      </c>
      <c r="G119">
        <f>IF([1]Customers!$C$120="","",[1]Customers!$C$120)</f>
        <v/>
      </c>
    </row>
    <row r="120">
      <c r="F120">
        <f>IF([1]Customers!$A$121="","",[1]Customers!$A$121)</f>
        <v/>
      </c>
      <c r="G120">
        <f>IF([1]Customers!$C$121="","",[1]Customers!$C$121)</f>
        <v/>
      </c>
    </row>
    <row r="121">
      <c r="F121">
        <f>IF([1]Customers!$A$122="","",[1]Customers!$A$122)</f>
        <v/>
      </c>
      <c r="G121">
        <f>IF([1]Customers!$C$122="","",[1]Customers!$C$122)</f>
        <v/>
      </c>
    </row>
    <row r="122">
      <c r="F122">
        <f>IF([1]Customers!$A$123="","",[1]Customers!$A$123)</f>
        <v/>
      </c>
      <c r="G122">
        <f>IF([1]Customers!$C$123="","",[1]Customers!$C$123)</f>
        <v/>
      </c>
    </row>
    <row r="123">
      <c r="F123">
        <f>IF([1]Customers!$A$124="","",[1]Customers!$A$124)</f>
        <v/>
      </c>
      <c r="G123">
        <f>IF([1]Customers!$C$124="","",[1]Customers!$C$124)</f>
        <v/>
      </c>
    </row>
    <row r="124">
      <c r="F124">
        <f>IF([1]Customers!$A$125="","",[1]Customers!$A$125)</f>
        <v/>
      </c>
      <c r="G124">
        <f>IF([1]Customers!$C$125="","",[1]Customers!$C$125)</f>
        <v/>
      </c>
    </row>
    <row r="125">
      <c r="F125">
        <f>IF([1]Customers!$A$126="","",[1]Customers!$A$126)</f>
        <v/>
      </c>
      <c r="G125">
        <f>IF([1]Customers!$C$126="","",[1]Customers!$C$126)</f>
        <v/>
      </c>
    </row>
    <row r="126">
      <c r="F126">
        <f>IF([1]Customers!$A$127="","",[1]Customers!$A$127)</f>
        <v/>
      </c>
      <c r="G126">
        <f>IF([1]Customers!$C$127="","",[1]Customers!$C$127)</f>
        <v/>
      </c>
    </row>
    <row r="127">
      <c r="F127">
        <f>IF([1]Customers!$A$128="","",[1]Customers!$A$128)</f>
        <v/>
      </c>
      <c r="G127">
        <f>IF([1]Customers!$C$128="","",[1]Customers!$C$128)</f>
        <v/>
      </c>
    </row>
    <row r="128">
      <c r="F128">
        <f>IF([1]Customers!$A$129="","",[1]Customers!$A$129)</f>
        <v/>
      </c>
      <c r="G128">
        <f>IF([1]Customers!$C$129="","",[1]Customers!$C$129)</f>
        <v/>
      </c>
    </row>
    <row r="129">
      <c r="F129">
        <f>IF([1]Customers!$A$130="","",[1]Customers!$A$130)</f>
        <v/>
      </c>
      <c r="G129">
        <f>IF([1]Customers!$C$130="","",[1]Customers!$C$130)</f>
        <v/>
      </c>
    </row>
    <row r="130">
      <c r="F130">
        <f>IF([1]Customers!$A$131="","",[1]Customers!$A$131)</f>
        <v/>
      </c>
      <c r="G130">
        <f>IF([1]Customers!$C$131="","",[1]Customers!$C$131)</f>
        <v/>
      </c>
    </row>
    <row r="131">
      <c r="F131">
        <f>IF([1]Customers!$A$132="","",[1]Customers!$A$132)</f>
        <v/>
      </c>
      <c r="G131">
        <f>IF([1]Customers!$C$132="","",[1]Customers!$C$132)</f>
        <v/>
      </c>
    </row>
    <row r="132">
      <c r="F132">
        <f>IF([1]Customers!$A$133="","",[1]Customers!$A$133)</f>
        <v/>
      </c>
      <c r="G132">
        <f>IF([1]Customers!$C$133="","",[1]Customers!$C$133)</f>
        <v/>
      </c>
    </row>
    <row r="133">
      <c r="F133">
        <f>IF([1]Customers!$A$134="","",[1]Customers!$A$134)</f>
        <v/>
      </c>
      <c r="G133">
        <f>IF([1]Customers!$C$134="","",[1]Customers!$C$134)</f>
        <v/>
      </c>
    </row>
    <row r="134">
      <c r="F134">
        <f>IF([1]Customers!$A$135="","",[1]Customers!$A$135)</f>
        <v/>
      </c>
      <c r="G134">
        <f>IF([1]Customers!$C$135="","",[1]Customers!$C$135)</f>
        <v/>
      </c>
    </row>
    <row r="135">
      <c r="F135">
        <f>IF([1]Customers!$A$136="","",[1]Customers!$A$136)</f>
        <v/>
      </c>
      <c r="G135">
        <f>IF([1]Customers!$C$136="","",[1]Customers!$C$136)</f>
        <v/>
      </c>
    </row>
    <row r="136">
      <c r="F136">
        <f>IF([1]Customers!$A$137="","",[1]Customers!$A$137)</f>
        <v/>
      </c>
      <c r="G136">
        <f>IF([1]Customers!$C$137="","",[1]Customers!$C$137)</f>
        <v/>
      </c>
    </row>
    <row r="137">
      <c r="F137">
        <f>IF([1]Customers!$A$138="","",[1]Customers!$A$138)</f>
        <v/>
      </c>
      <c r="G137">
        <f>IF([1]Customers!$C$138="","",[1]Customers!$C$138)</f>
        <v/>
      </c>
    </row>
    <row r="138">
      <c r="F138">
        <f>IF([1]Customers!$A$139="","",[1]Customers!$A$139)</f>
        <v/>
      </c>
      <c r="G138">
        <f>IF([1]Customers!$C$139="","",[1]Customers!$C$139)</f>
        <v/>
      </c>
    </row>
    <row r="139">
      <c r="F139">
        <f>IF([1]Customers!$A$140="","",[1]Customers!$A$140)</f>
        <v/>
      </c>
      <c r="G139">
        <f>IF([1]Customers!$C$140="","",[1]Customers!$C$140)</f>
        <v/>
      </c>
    </row>
    <row r="140">
      <c r="F140">
        <f>IF([1]Customers!$A$141="","",[1]Customers!$A$141)</f>
        <v/>
      </c>
      <c r="G140">
        <f>IF([1]Customers!$C$141="","",[1]Customers!$C$141)</f>
        <v/>
      </c>
    </row>
    <row r="141">
      <c r="F141">
        <f>IF([1]Customers!$A$142="","",[1]Customers!$A$142)</f>
        <v/>
      </c>
      <c r="G141">
        <f>IF([1]Customers!$C$142="","",[1]Customers!$C$142)</f>
        <v/>
      </c>
    </row>
    <row r="142">
      <c r="F142">
        <f>IF([1]Customers!$A$143="","",[1]Customers!$A$143)</f>
        <v/>
      </c>
      <c r="G142">
        <f>IF([1]Customers!$C$143="","",[1]Customers!$C$143)</f>
        <v/>
      </c>
    </row>
    <row r="143">
      <c r="F143">
        <f>IF([1]Customers!$A$144="","",[1]Customers!$A$144)</f>
        <v/>
      </c>
      <c r="G143">
        <f>IF([1]Customers!$C$144="","",[1]Customers!$C$144)</f>
        <v/>
      </c>
    </row>
    <row r="144">
      <c r="F144">
        <f>IF([1]Customers!$A$145="","",[1]Customers!$A$145)</f>
        <v/>
      </c>
      <c r="G144">
        <f>IF([1]Customers!$C$145="","",[1]Customers!$C$145)</f>
        <v/>
      </c>
    </row>
    <row r="145">
      <c r="F145">
        <f>IF([1]Customers!$A$146="","",[1]Customers!$A$146)</f>
        <v/>
      </c>
      <c r="G145">
        <f>IF([1]Customers!$C$146="","",[1]Customers!$C$146)</f>
        <v/>
      </c>
    </row>
    <row r="146">
      <c r="F146">
        <f>IF([1]Customers!$A$147="","",[1]Customers!$A$147)</f>
        <v/>
      </c>
      <c r="G146">
        <f>IF([1]Customers!$C$147="","",[1]Customers!$C$147)</f>
        <v/>
      </c>
    </row>
    <row r="147">
      <c r="F147">
        <f>IF([1]Customers!$A$148="","",[1]Customers!$A$148)</f>
        <v/>
      </c>
      <c r="G147">
        <f>IF([1]Customers!$C$148="","",[1]Customers!$C$148)</f>
        <v/>
      </c>
    </row>
    <row r="148">
      <c r="F148">
        <f>IF([1]Customers!$A$149="","",[1]Customers!$A$149)</f>
        <v/>
      </c>
      <c r="G148">
        <f>IF([1]Customers!$C$149="","",[1]Customers!$C$149)</f>
        <v/>
      </c>
    </row>
    <row r="149">
      <c r="F149">
        <f>IF([1]Customers!$A$150="","",[1]Customers!$A$150)</f>
        <v/>
      </c>
      <c r="G149">
        <f>IF([1]Customers!$C$150="","",[1]Customers!$C$150)</f>
        <v/>
      </c>
    </row>
    <row r="150">
      <c r="F150">
        <f>IF([1]Customers!$A$151="","",[1]Customers!$A$151)</f>
        <v/>
      </c>
      <c r="G150">
        <f>IF([1]Customers!$C$151="","",[1]Customers!$C$151)</f>
        <v/>
      </c>
    </row>
    <row r="151">
      <c r="F151">
        <f>IF([1]Customers!$A$152="","",[1]Customers!$A$152)</f>
        <v/>
      </c>
      <c r="G151">
        <f>IF([1]Customers!$C$152="","",[1]Customers!$C$152)</f>
        <v/>
      </c>
    </row>
    <row r="152">
      <c r="F152">
        <f>IF([1]Customers!$A$153="","",[1]Customers!$A$153)</f>
        <v/>
      </c>
      <c r="G152">
        <f>IF([1]Customers!$C$153="","",[1]Customers!$C$153)</f>
        <v/>
      </c>
    </row>
    <row r="153">
      <c r="F153">
        <f>IF([1]Customers!$A$154="","",[1]Customers!$A$154)</f>
        <v/>
      </c>
      <c r="G153">
        <f>IF([1]Customers!$C$154="","",[1]Customers!$C$154)</f>
        <v/>
      </c>
    </row>
    <row r="154">
      <c r="F154">
        <f>IF([1]Customers!$A$155="","",[1]Customers!$A$155)</f>
        <v/>
      </c>
      <c r="G154">
        <f>IF([1]Customers!$C$155="","",[1]Customers!$C$155)</f>
        <v/>
      </c>
    </row>
    <row r="155">
      <c r="F155">
        <f>IF([1]Customers!$A$156="","",[1]Customers!$A$156)</f>
        <v/>
      </c>
      <c r="G155">
        <f>IF([1]Customers!$C$156="","",[1]Customers!$C$156)</f>
        <v/>
      </c>
    </row>
    <row r="156">
      <c r="F156">
        <f>IF([1]Customers!$A$157="","",[1]Customers!$A$157)</f>
        <v/>
      </c>
      <c r="G156">
        <f>IF([1]Customers!$C$157="","",[1]Customers!$C$157)</f>
        <v/>
      </c>
    </row>
    <row r="157">
      <c r="F157">
        <f>IF([1]Customers!$A$158="","",[1]Customers!$A$158)</f>
        <v/>
      </c>
      <c r="G157">
        <f>IF([1]Customers!$C$158="","",[1]Customers!$C$158)</f>
        <v/>
      </c>
    </row>
    <row r="158">
      <c r="F158">
        <f>IF([1]Customers!$A$159="","",[1]Customers!$A$159)</f>
        <v/>
      </c>
      <c r="G158">
        <f>IF([1]Customers!$C$159="","",[1]Customers!$C$159)</f>
        <v/>
      </c>
    </row>
    <row r="159">
      <c r="F159">
        <f>IF([1]Customers!$A$160="","",[1]Customers!$A$160)</f>
        <v/>
      </c>
      <c r="G159">
        <f>IF([1]Customers!$C$160="","",[1]Customers!$C$160)</f>
        <v/>
      </c>
    </row>
    <row r="160">
      <c r="F160">
        <f>IF([1]Customers!$A$161="","",[1]Customers!$A$161)</f>
        <v/>
      </c>
      <c r="G160">
        <f>IF([1]Customers!$C$161="","",[1]Customers!$C$161)</f>
        <v/>
      </c>
    </row>
    <row r="161">
      <c r="F161">
        <f>IF([1]Customers!$A$162="","",[1]Customers!$A$162)</f>
        <v/>
      </c>
      <c r="G161">
        <f>IF([1]Customers!$C$162="","",[1]Customers!$C$162)</f>
        <v/>
      </c>
    </row>
    <row r="162">
      <c r="F162">
        <f>IF([1]Customers!$A$163="","",[1]Customers!$A$163)</f>
        <v/>
      </c>
      <c r="G162">
        <f>IF([1]Customers!$C$163="","",[1]Customers!$C$163)</f>
        <v/>
      </c>
    </row>
    <row r="163">
      <c r="F163">
        <f>IF([1]Customers!$A$164="","",[1]Customers!$A$164)</f>
        <v/>
      </c>
      <c r="G163">
        <f>IF([1]Customers!$C$164="","",[1]Customers!$C$164)</f>
        <v/>
      </c>
    </row>
    <row r="164">
      <c r="F164">
        <f>IF([1]Customers!$A$165="","",[1]Customers!$A$165)</f>
        <v/>
      </c>
      <c r="G164">
        <f>IF([1]Customers!$C$165="","",[1]Customers!$C$165)</f>
        <v/>
      </c>
    </row>
    <row r="165">
      <c r="F165">
        <f>IF([1]Customers!$A$166="","",[1]Customers!$A$166)</f>
        <v/>
      </c>
      <c r="G165">
        <f>IF([1]Customers!$C$166="","",[1]Customers!$C$166)</f>
        <v/>
      </c>
    </row>
    <row r="166">
      <c r="F166">
        <f>IF([1]Customers!$A$167="","",[1]Customers!$A$167)</f>
        <v/>
      </c>
      <c r="G166">
        <f>IF([1]Customers!$C$167="","",[1]Customers!$C$167)</f>
        <v/>
      </c>
    </row>
    <row r="167">
      <c r="F167">
        <f>IF([1]Customers!$A$168="","",[1]Customers!$A$168)</f>
        <v/>
      </c>
      <c r="G167">
        <f>IF([1]Customers!$C$168="","",[1]Customers!$C$168)</f>
        <v/>
      </c>
    </row>
    <row r="168">
      <c r="F168">
        <f>IF([1]Customers!$A$169="","",[1]Customers!$A$169)</f>
        <v/>
      </c>
      <c r="G168">
        <f>IF([1]Customers!$C$169="","",[1]Customers!$C$169)</f>
        <v/>
      </c>
    </row>
    <row r="169">
      <c r="F169">
        <f>IF([1]Customers!$A$170="","",[1]Customers!$A$170)</f>
        <v/>
      </c>
      <c r="G169">
        <f>IF([1]Customers!$C$170="","",[1]Customers!$C$170)</f>
        <v/>
      </c>
    </row>
    <row r="170">
      <c r="F170">
        <f>IF([1]Customers!$A$171="","",[1]Customers!$A$171)</f>
        <v/>
      </c>
      <c r="G170">
        <f>IF([1]Customers!$C$171="","",[1]Customers!$C$171)</f>
        <v/>
      </c>
    </row>
    <row r="171">
      <c r="F171">
        <f>IF([1]Customers!$A$172="","",[1]Customers!$A$172)</f>
        <v/>
      </c>
      <c r="G171">
        <f>IF([1]Customers!$C$172="","",[1]Customers!$C$172)</f>
        <v/>
      </c>
    </row>
    <row r="172">
      <c r="F172">
        <f>IF([1]Customers!$A$173="","",[1]Customers!$A$173)</f>
        <v/>
      </c>
      <c r="G172">
        <f>IF([1]Customers!$C$173="","",[1]Customers!$C$173)</f>
        <v/>
      </c>
    </row>
    <row r="173">
      <c r="F173">
        <f>IF([1]Customers!$A$174="","",[1]Customers!$A$174)</f>
        <v/>
      </c>
      <c r="G173">
        <f>IF([1]Customers!$C$174="","",[1]Customers!$C$174)</f>
        <v/>
      </c>
    </row>
    <row r="174">
      <c r="F174">
        <f>IF([1]Customers!$A$175="","",[1]Customers!$A$175)</f>
        <v/>
      </c>
      <c r="G174">
        <f>IF([1]Customers!$C$175="","",[1]Customers!$C$175)</f>
        <v/>
      </c>
    </row>
    <row r="175">
      <c r="F175">
        <f>IF([1]Customers!$A$176="","",[1]Customers!$A$176)</f>
        <v/>
      </c>
      <c r="G175">
        <f>IF([1]Customers!$C$176="","",[1]Customers!$C$176)</f>
        <v/>
      </c>
    </row>
    <row r="176">
      <c r="F176">
        <f>IF([1]Customers!$A$177="","",[1]Customers!$A$177)</f>
        <v/>
      </c>
      <c r="G176">
        <f>IF([1]Customers!$C$177="","",[1]Customers!$C$177)</f>
        <v/>
      </c>
    </row>
    <row r="177">
      <c r="F177">
        <f>IF([1]Customers!$A$178="","",[1]Customers!$A$178)</f>
        <v/>
      </c>
      <c r="G177">
        <f>IF([1]Customers!$C$178="","",[1]Customers!$C$178)</f>
        <v/>
      </c>
    </row>
    <row r="178">
      <c r="F178">
        <f>IF([1]Customers!$A$179="","",[1]Customers!$A$179)</f>
        <v/>
      </c>
      <c r="G178">
        <f>IF([1]Customers!$C$179="","",[1]Customers!$C$179)</f>
        <v/>
      </c>
    </row>
    <row r="179">
      <c r="F179">
        <f>IF([1]Customers!$A$180="","",[1]Customers!$A$180)</f>
        <v/>
      </c>
      <c r="G179">
        <f>IF([1]Customers!$C$180="","",[1]Customers!$C$180)</f>
        <v/>
      </c>
    </row>
    <row r="180">
      <c r="F180">
        <f>IF([1]Customers!$A$181="","",[1]Customers!$A$181)</f>
        <v/>
      </c>
      <c r="G180">
        <f>IF([1]Customers!$C$181="","",[1]Customers!$C$181)</f>
        <v/>
      </c>
    </row>
    <row r="181">
      <c r="F181">
        <f>IF([1]Customers!$A$182="","",[1]Customers!$A$182)</f>
        <v/>
      </c>
      <c r="G181">
        <f>IF([1]Customers!$C$182="","",[1]Customers!$C$182)</f>
        <v/>
      </c>
    </row>
    <row r="182">
      <c r="F182">
        <f>IF([1]Customers!$A$183="","",[1]Customers!$A$183)</f>
        <v/>
      </c>
      <c r="G182">
        <f>IF([1]Customers!$C$183="","",[1]Customers!$C$183)</f>
        <v/>
      </c>
    </row>
    <row r="183">
      <c r="F183">
        <f>IF([1]Customers!$A$184="","",[1]Customers!$A$184)</f>
        <v/>
      </c>
      <c r="G183">
        <f>IF([1]Customers!$C$184="","",[1]Customers!$C$184)</f>
        <v/>
      </c>
    </row>
    <row r="184">
      <c r="F184">
        <f>IF([1]Customers!$A$185="","",[1]Customers!$A$185)</f>
        <v/>
      </c>
      <c r="G184">
        <f>IF([1]Customers!$C$185="","",[1]Customers!$C$185)</f>
        <v/>
      </c>
    </row>
    <row r="185">
      <c r="F185">
        <f>IF([1]Customers!$A$186="","",[1]Customers!$A$186)</f>
        <v/>
      </c>
      <c r="G185">
        <f>IF([1]Customers!$C$186="","",[1]Customers!$C$186)</f>
        <v/>
      </c>
    </row>
    <row r="186">
      <c r="F186">
        <f>IF([1]Customers!$A$187="","",[1]Customers!$A$187)</f>
        <v/>
      </c>
      <c r="G186">
        <f>IF([1]Customers!$C$187="","",[1]Customers!$C$187)</f>
        <v/>
      </c>
    </row>
    <row r="187">
      <c r="F187">
        <f>IF([1]Customers!$A$188="","",[1]Customers!$A$188)</f>
        <v/>
      </c>
      <c r="G187">
        <f>IF([1]Customers!$C$188="","",[1]Customers!$C$188)</f>
        <v/>
      </c>
    </row>
    <row r="188">
      <c r="F188">
        <f>IF([1]Customers!$A$189="","",[1]Customers!$A$189)</f>
        <v/>
      </c>
      <c r="G188">
        <f>IF([1]Customers!$C$189="","",[1]Customers!$C$189)</f>
        <v/>
      </c>
    </row>
    <row r="189">
      <c r="F189">
        <f>IF([1]Customers!$A$190="","",[1]Customers!$A$190)</f>
        <v/>
      </c>
      <c r="G189">
        <f>IF([1]Customers!$C$190="","",[1]Customers!$C$190)</f>
        <v/>
      </c>
    </row>
    <row r="190">
      <c r="F190">
        <f>IF([1]Customers!$A$191="","",[1]Customers!$A$191)</f>
        <v/>
      </c>
      <c r="G190">
        <f>IF([1]Customers!$C$191="","",[1]Customers!$C$191)</f>
        <v/>
      </c>
    </row>
    <row r="191">
      <c r="F191">
        <f>IF([1]Customers!$A$192="","",[1]Customers!$A$192)</f>
        <v/>
      </c>
      <c r="G191">
        <f>IF([1]Customers!$C$192="","",[1]Customers!$C$192)</f>
        <v/>
      </c>
    </row>
    <row r="192">
      <c r="F192">
        <f>IF([1]Customers!$A$193="","",[1]Customers!$A$193)</f>
        <v/>
      </c>
      <c r="G192">
        <f>IF([1]Customers!$C$193="","",[1]Customers!$C$193)</f>
        <v/>
      </c>
    </row>
    <row r="193">
      <c r="F193">
        <f>IF([1]Customers!$A$194="","",[1]Customers!$A$194)</f>
        <v/>
      </c>
      <c r="G193">
        <f>IF([1]Customers!$C$194="","",[1]Customers!$C$194)</f>
        <v/>
      </c>
    </row>
    <row r="194">
      <c r="F194">
        <f>IF([1]Customers!$A$195="","",[1]Customers!$A$195)</f>
        <v/>
      </c>
      <c r="G194">
        <f>IF([1]Customers!$C$195="","",[1]Customers!$C$195)</f>
        <v/>
      </c>
    </row>
    <row r="195">
      <c r="F195">
        <f>IF([1]Customers!$A$196="","",[1]Customers!$A$196)</f>
        <v/>
      </c>
      <c r="G195">
        <f>IF([1]Customers!$C$196="","",[1]Customers!$C$196)</f>
        <v/>
      </c>
    </row>
    <row r="196">
      <c r="F196">
        <f>IF([1]Customers!$A$197="","",[1]Customers!$A$197)</f>
        <v/>
      </c>
      <c r="G196">
        <f>IF([1]Customers!$C$197="","",[1]Customers!$C$197)</f>
        <v/>
      </c>
    </row>
    <row r="197">
      <c r="F197">
        <f>IF([1]Customers!$A$198="","",[1]Customers!$A$198)</f>
        <v/>
      </c>
      <c r="G197">
        <f>IF([1]Customers!$C$198="","",[1]Customers!$C$198)</f>
        <v/>
      </c>
    </row>
    <row r="198">
      <c r="F198">
        <f>IF([1]Customers!$A$199="","",[1]Customers!$A$199)</f>
        <v/>
      </c>
      <c r="G198">
        <f>IF([1]Customers!$C$199="","",[1]Customers!$C$199)</f>
        <v/>
      </c>
    </row>
    <row r="199">
      <c r="F199">
        <f>IF([1]Customers!$A$200="","",[1]Customers!$A$200)</f>
        <v/>
      </c>
      <c r="G199">
        <f>IF([1]Customers!$C$200="","",[1]Customers!$C$200)</f>
        <v/>
      </c>
    </row>
    <row r="200">
      <c r="F200">
        <f>IF([1]Customers!$A$201="","",[1]Customers!$A$201)</f>
        <v/>
      </c>
      <c r="G200">
        <f>IF([1]Customers!$C$201="","",[1]Customers!$C$201)</f>
        <v/>
      </c>
    </row>
    <row r="201">
      <c r="F201">
        <f>IF([1]Customers!$A$202="","",[1]Customers!$A$202)</f>
        <v/>
      </c>
      <c r="G201">
        <f>IF([1]Customers!$C$202="","",[1]Customers!$C$202)</f>
        <v/>
      </c>
    </row>
    <row r="202">
      <c r="F202">
        <f>IF([1]Customers!$A$203="","",[1]Customers!$A$203)</f>
        <v/>
      </c>
      <c r="G202">
        <f>IF([1]Customers!$C$203="","",[1]Customers!$C$203)</f>
        <v/>
      </c>
    </row>
    <row r="203">
      <c r="F203">
        <f>IF([1]Customers!$A$204="","",[1]Customers!$A$204)</f>
        <v/>
      </c>
      <c r="G203">
        <f>IF([1]Customers!$C$204="","",[1]Customers!$C$204)</f>
        <v/>
      </c>
    </row>
    <row r="204">
      <c r="F204">
        <f>IF([1]Customers!$A$205="","",[1]Customers!$A$205)</f>
        <v/>
      </c>
      <c r="G204">
        <f>IF([1]Customers!$C$205="","",[1]Customers!$C$205)</f>
        <v/>
      </c>
    </row>
    <row r="205">
      <c r="F205">
        <f>IF([1]Customers!$A$206="","",[1]Customers!$A$206)</f>
        <v/>
      </c>
      <c r="G205">
        <f>IF([1]Customers!$C$206="","",[1]Customers!$C$206)</f>
        <v/>
      </c>
    </row>
  </sheetData>
  <mergeCells count="3">
    <mergeCell ref="A3:AT3"/>
    <mergeCell ref="A2:AT2"/>
    <mergeCell ref="A1:AT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0A4AE"/>
    <outlinePr summaryBelow="1" summaryRight="1"/>
    <pageSetUpPr/>
  </sheetPr>
  <dimension ref="A1:M2008"/>
  <sheetViews>
    <sheetView showGridLines="0" rightToLeft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2" customWidth="1" min="5" max="5"/>
    <col width="10" customWidth="1" min="6" max="6"/>
    <col width="10" customWidth="1" min="7" max="7"/>
    <col width="20" customWidth="1" min="8" max="8"/>
    <col width="9" customWidth="1" min="9" max="9"/>
    <col width="16" customWidth="1" min="10" max="10"/>
    <col width="9" customWidth="1" min="11" max="11"/>
    <col width="15" customWidth="1" min="12" max="12"/>
    <col width="15" customWidth="1" min="13" max="13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1" t="inlineStr">
        <is>
          <t>برگه فنی — موتور محاسبات (نرمال‌سازی تاریخ/ساعت، مرتب‌سازی و رتبه‌بندی). فرمول‌ها را تغییر ندهید.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</row>
    <row r="8" ht="24" customHeight="1">
      <c r="A8" s="42" t="inlineStr">
        <is>
          <t>تاریخ خام · Raw Date</t>
        </is>
      </c>
      <c r="B8" s="42" t="inlineStr">
        <is>
          <t>سال · Y</t>
        </is>
      </c>
      <c r="C8" s="42" t="inlineStr">
        <is>
          <t>ماه · M</t>
        </is>
      </c>
      <c r="D8" s="42" t="inlineStr">
        <is>
          <t>روز · D</t>
        </is>
      </c>
      <c r="E8" s="42" t="inlineStr">
        <is>
          <t>تاریخ استاندارد · Norm Date</t>
        </is>
      </c>
      <c r="F8" s="42" t="inlineStr">
        <is>
          <t>ساعت استاندارد · Norm Time</t>
        </is>
      </c>
      <c r="G8" s="42" t="inlineStr">
        <is>
          <t>کد بانک · Bank Code</t>
        </is>
      </c>
      <c r="H8" s="42" t="inlineStr">
        <is>
          <t>کلید مرتب‌سازی · Sort Key</t>
        </is>
      </c>
      <c r="I8" s="42" t="inlineStr">
        <is>
          <t>رتبه در بانک · Rank</t>
        </is>
      </c>
      <c r="J8" s="42" t="inlineStr">
        <is>
          <t>کلید رتبه · Rank Key</t>
        </is>
      </c>
      <c r="K8" s="42" t="inlineStr">
        <is>
          <t>سال/ماه · Year-Month</t>
        </is>
      </c>
      <c r="L8" s="42" t="inlineStr">
        <is>
          <t>واریز (عدد) · Dep N</t>
        </is>
      </c>
      <c r="M8" s="42" t="inlineStr">
        <is>
          <t>برداشت (عدد) · Wit N</t>
        </is>
      </c>
    </row>
    <row r="9">
      <c r="A9">
        <f>IF(Entry!$C9="","",Entry!$C9)</f>
        <v/>
      </c>
      <c r="B9">
        <f>IF($A9="","",IF(ISNUMBER($A9),IF(AND($A9&gt;=10000101,$A9&lt;=99991231),INT($A9/10000),""),IFERROR(VALUE(TRIM(LEFT($A9,FIND("/",$A9)-1))),"")))</f>
        <v/>
      </c>
      <c r="C9">
        <f>IF(OR($A9="",$B9=""),"",IF(ISNUMBER($A9),INT(MOD($A9,10000)/100),IFERROR(VALUE(TRIM(LEFT(MID($A9,FIND("/",$A9)+1,20),FIND("/",MID($A9,FIND("/",$A9)+1,20))-1))),"")))</f>
        <v/>
      </c>
      <c r="D9">
        <f>IF(OR($A9="",$B9=""),"",IF(ISNUMBER($A9),MOD($A9,100),IFERROR(VALUE(TRIM(MID(MID($A9,FIND("/",$A9)+1,20),FIND("/",MID($A9,FIND("/",$A9)+1,20))+1,20))),"")))</f>
        <v/>
      </c>
      <c r="E9">
        <f>IF($A9="","",IF(OR($B9="",$C9="",$D9="",$B9&lt;1300,$B9&gt;1500,$C9&lt;1,$C9&gt;12,$D9&lt;1,$D9&gt;31),"نامعتبر",RIGHT("0000"&amp;$B9,4)&amp;"/"&amp;RIGHT("00"&amp;$C9,2)&amp;"/"&amp;RIGHT("00"&amp;$D9,2)))</f>
        <v/>
      </c>
      <c r="F9">
        <f>IF(Entry!$D9&lt;&gt;"",IF(AND(ISNUMBER(Entry!$D9),Entry!$D9&gt;=0,Entry!$D9&lt;1),RIGHT("00"&amp;HOUR(Entry!$D9),2)&amp;":"&amp;RIGHT("00"&amp;MINUTE(Entry!$D9),2),IFERROR(RIGHT("00"&amp;VALUE(TRIM(LEFT(Entry!$D9,FIND(":",Entry!$D9)-1))),2)&amp;":"&amp;RIGHT("00"&amp;VALUE(TRIM(MID(Entry!$D9,FIND(":",Entry!$D9)+1,2))),2),"نامعتبر")),IF(OR($E9="",$E9="نامعتبر"),"","00:00"))</f>
        <v/>
      </c>
      <c r="G9">
        <f>IF(OR($E9="",$E9="نامعتبر"),"",IF(Entry!$E9="","",LEFT(UPPER(TRIM(Entry!$E9)),6)))</f>
        <v/>
      </c>
      <c r="H9">
        <f>IF($G9="","",RIGHT($E9,4)&amp;MID($E9,6,2)&amp;RIGHT($E9,2)&amp;IF($F9="","0000",IF($F9="نامعتبر","9999",LEFT($F9,2)&amp;RIGHT($F9,2)))&amp;"|"&amp;RIGHT("00000"&amp;1,5))</f>
        <v/>
      </c>
      <c r="I9">
        <f>IF($H9="","",COUNTIFS(CalcBank,$G9,CalcKey,"&lt;"&amp;$H9)+1)</f>
        <v/>
      </c>
      <c r="J9">
        <f>IF($I9="","",$G9&amp;"|"&amp;RIGHT("000000"&amp;$I9,6))</f>
        <v/>
      </c>
      <c r="K9">
        <f>IF(OR($E9="",$E9="نامعتبر"),"",LEFT($E9,4)&amp;"/"&amp;MID($E9,6,2))</f>
        <v/>
      </c>
      <c r="L9">
        <f>IF(Entry!$K9="",0,Entry!$K9)</f>
        <v/>
      </c>
      <c r="M9">
        <f>IF(Entry!$L9="",0,Entry!$L9)</f>
        <v/>
      </c>
    </row>
    <row r="10">
      <c r="A10">
        <f>IF(Entry!$C10="","",Entry!$C10)</f>
        <v/>
      </c>
      <c r="B10">
        <f>IF($A10="","",IF(ISNUMBER($A10),IF(AND($A10&gt;=10000101,$A10&lt;=99991231),INT($A10/10000),""),IFERROR(VALUE(TRIM(LEFT($A10,FIND("/",$A10)-1))),"")))</f>
        <v/>
      </c>
      <c r="C10">
        <f>IF(OR($A10="",$B10=""),"",IF(ISNUMBER($A10),INT(MOD($A10,10000)/100),IFERROR(VALUE(TRIM(LEFT(MID($A10,FIND("/",$A10)+1,20),FIND("/",MID($A10,FIND("/",$A10)+1,20))-1))),"")))</f>
        <v/>
      </c>
      <c r="D10">
        <f>IF(OR($A10="",$B10=""),"",IF(ISNUMBER($A10),MOD($A10,100),IFERROR(VALUE(TRIM(MID(MID($A10,FIND("/",$A10)+1,20),FIND("/",MID($A10,FIND("/",$A10)+1,20))+1,20))),"")))</f>
        <v/>
      </c>
      <c r="E10">
        <f>IF($A10="","",IF(OR($B10="",$C10="",$D10="",$B10&lt;1300,$B10&gt;1500,$C10&lt;1,$C10&gt;12,$D10&lt;1,$D10&gt;31),"نامعتبر",RIGHT("0000"&amp;$B10,4)&amp;"/"&amp;RIGHT("00"&amp;$C10,2)&amp;"/"&amp;RIGHT("00"&amp;$D10,2)))</f>
        <v/>
      </c>
      <c r="F10">
        <f>IF(Entry!$D10&lt;&gt;"",IF(AND(ISNUMBER(Entry!$D10),Entry!$D10&gt;=0,Entry!$D10&lt;1),RIGHT("00"&amp;HOUR(Entry!$D10),2)&amp;":"&amp;RIGHT("00"&amp;MINUTE(Entry!$D10),2),IFERROR(RIGHT("00"&amp;VALUE(TRIM(LEFT(Entry!$D10,FIND(":",Entry!$D10)-1))),2)&amp;":"&amp;RIGHT("00"&amp;VALUE(TRIM(MID(Entry!$D10,FIND(":",Entry!$D10)+1,2))),2),"نامعتبر")),IF(OR($E10="",$E10="نامعتبر"),"","00:00"))</f>
        <v/>
      </c>
      <c r="G10">
        <f>IF(OR($E10="",$E10="نامعتبر"),"",IF(Entry!$E10="","",LEFT(UPPER(TRIM(Entry!$E10)),6)))</f>
        <v/>
      </c>
      <c r="H10">
        <f>IF($G10="","",RIGHT($E10,4)&amp;MID($E10,6,2)&amp;RIGHT($E10,2)&amp;IF($F10="","0000",IF($F10="نامعتبر","9999",LEFT($F10,2)&amp;RIGHT($F10,2)))&amp;"|"&amp;RIGHT("00000"&amp;2,5))</f>
        <v/>
      </c>
      <c r="I10">
        <f>IF($H10="","",COUNTIFS(CalcBank,$G10,CalcKey,"&lt;"&amp;$H10)+1)</f>
        <v/>
      </c>
      <c r="J10">
        <f>IF($I10="","",$G10&amp;"|"&amp;RIGHT("000000"&amp;$I10,6))</f>
        <v/>
      </c>
      <c r="K10">
        <f>IF(OR($E10="",$E10="نامعتبر"),"",LEFT($E10,4)&amp;"/"&amp;MID($E10,6,2))</f>
        <v/>
      </c>
      <c r="L10">
        <f>IF(Entry!$K10="",0,Entry!$K10)</f>
        <v/>
      </c>
      <c r="M10">
        <f>IF(Entry!$L10="",0,Entry!$L10)</f>
        <v/>
      </c>
    </row>
    <row r="11">
      <c r="A11">
        <f>IF(Entry!$C11="","",Entry!$C11)</f>
        <v/>
      </c>
      <c r="B11">
        <f>IF($A11="","",IF(ISNUMBER($A11),IF(AND($A11&gt;=10000101,$A11&lt;=99991231),INT($A11/10000),""),IFERROR(VALUE(TRIM(LEFT($A11,FIND("/",$A11)-1))),"")))</f>
        <v/>
      </c>
      <c r="C11">
        <f>IF(OR($A11="",$B11=""),"",IF(ISNUMBER($A11),INT(MOD($A11,10000)/100),IFERROR(VALUE(TRIM(LEFT(MID($A11,FIND("/",$A11)+1,20),FIND("/",MID($A11,FIND("/",$A11)+1,20))-1))),"")))</f>
        <v/>
      </c>
      <c r="D11">
        <f>IF(OR($A11="",$B11=""),"",IF(ISNUMBER($A11),MOD($A11,100),IFERROR(VALUE(TRIM(MID(MID($A11,FIND("/",$A11)+1,20),FIND("/",MID($A11,FIND("/",$A11)+1,20))+1,20))),"")))</f>
        <v/>
      </c>
      <c r="E11">
        <f>IF($A11="","",IF(OR($B11="",$C11="",$D11="",$B11&lt;1300,$B11&gt;1500,$C11&lt;1,$C11&gt;12,$D11&lt;1,$D11&gt;31),"نامعتبر",RIGHT("0000"&amp;$B11,4)&amp;"/"&amp;RIGHT("00"&amp;$C11,2)&amp;"/"&amp;RIGHT("00"&amp;$D11,2)))</f>
        <v/>
      </c>
      <c r="F11">
        <f>IF(Entry!$D11&lt;&gt;"",IF(AND(ISNUMBER(Entry!$D11),Entry!$D11&gt;=0,Entry!$D11&lt;1),RIGHT("00"&amp;HOUR(Entry!$D11),2)&amp;":"&amp;RIGHT("00"&amp;MINUTE(Entry!$D11),2),IFERROR(RIGHT("00"&amp;VALUE(TRIM(LEFT(Entry!$D11,FIND(":",Entry!$D11)-1))),2)&amp;":"&amp;RIGHT("00"&amp;VALUE(TRIM(MID(Entry!$D11,FIND(":",Entry!$D11)+1,2))),2),"نامعتبر")),IF(OR($E11="",$E11="نامعتبر"),"","00:00"))</f>
        <v/>
      </c>
      <c r="G11">
        <f>IF(OR($E11="",$E11="نامعتبر"),"",IF(Entry!$E11="","",LEFT(UPPER(TRIM(Entry!$E11)),6)))</f>
        <v/>
      </c>
      <c r="H11">
        <f>IF($G11="","",RIGHT($E11,4)&amp;MID($E11,6,2)&amp;RIGHT($E11,2)&amp;IF($F11="","0000",IF($F11="نامعتبر","9999",LEFT($F11,2)&amp;RIGHT($F11,2)))&amp;"|"&amp;RIGHT("00000"&amp;3,5))</f>
        <v/>
      </c>
      <c r="I11">
        <f>IF($H11="","",COUNTIFS(CalcBank,$G11,CalcKey,"&lt;"&amp;$H11)+1)</f>
        <v/>
      </c>
      <c r="J11">
        <f>IF($I11="","",$G11&amp;"|"&amp;RIGHT("000000"&amp;$I11,6))</f>
        <v/>
      </c>
      <c r="K11">
        <f>IF(OR($E11="",$E11="نامعتبر"),"",LEFT($E11,4)&amp;"/"&amp;MID($E11,6,2))</f>
        <v/>
      </c>
      <c r="L11">
        <f>IF(Entry!$K11="",0,Entry!$K11)</f>
        <v/>
      </c>
      <c r="M11">
        <f>IF(Entry!$L11="",0,Entry!$L11)</f>
        <v/>
      </c>
    </row>
    <row r="12">
      <c r="A12">
        <f>IF(Entry!$C12="","",Entry!$C12)</f>
        <v/>
      </c>
      <c r="B12">
        <f>IF($A12="","",IF(ISNUMBER($A12),IF(AND($A12&gt;=10000101,$A12&lt;=99991231),INT($A12/10000),""),IFERROR(VALUE(TRIM(LEFT($A12,FIND("/",$A12)-1))),"")))</f>
        <v/>
      </c>
      <c r="C12">
        <f>IF(OR($A12="",$B12=""),"",IF(ISNUMBER($A12),INT(MOD($A12,10000)/100),IFERROR(VALUE(TRIM(LEFT(MID($A12,FIND("/",$A12)+1,20),FIND("/",MID($A12,FIND("/",$A12)+1,20))-1))),"")))</f>
        <v/>
      </c>
      <c r="D12">
        <f>IF(OR($A12="",$B12=""),"",IF(ISNUMBER($A12),MOD($A12,100),IFERROR(VALUE(TRIM(MID(MID($A12,FIND("/",$A12)+1,20),FIND("/",MID($A12,FIND("/",$A12)+1,20))+1,20))),"")))</f>
        <v/>
      </c>
      <c r="E12">
        <f>IF($A12="","",IF(OR($B12="",$C12="",$D12="",$B12&lt;1300,$B12&gt;1500,$C12&lt;1,$C12&gt;12,$D12&lt;1,$D12&gt;31),"نامعتبر",RIGHT("0000"&amp;$B12,4)&amp;"/"&amp;RIGHT("00"&amp;$C12,2)&amp;"/"&amp;RIGHT("00"&amp;$D12,2)))</f>
        <v/>
      </c>
      <c r="F12">
        <f>IF(Entry!$D12&lt;&gt;"",IF(AND(ISNUMBER(Entry!$D12),Entry!$D12&gt;=0,Entry!$D12&lt;1),RIGHT("00"&amp;HOUR(Entry!$D12),2)&amp;":"&amp;RIGHT("00"&amp;MINUTE(Entry!$D12),2),IFERROR(RIGHT("00"&amp;VALUE(TRIM(LEFT(Entry!$D12,FIND(":",Entry!$D12)-1))),2)&amp;":"&amp;RIGHT("00"&amp;VALUE(TRIM(MID(Entry!$D12,FIND(":",Entry!$D12)+1,2))),2),"نامعتبر")),IF(OR($E12="",$E12="نامعتبر"),"","00:00"))</f>
        <v/>
      </c>
      <c r="G12">
        <f>IF(OR($E12="",$E12="نامعتبر"),"",IF(Entry!$E12="","",LEFT(UPPER(TRIM(Entry!$E12)),6)))</f>
        <v/>
      </c>
      <c r="H12">
        <f>IF($G12="","",RIGHT($E12,4)&amp;MID($E12,6,2)&amp;RIGHT($E12,2)&amp;IF($F12="","0000",IF($F12="نامعتبر","9999",LEFT($F12,2)&amp;RIGHT($F12,2)))&amp;"|"&amp;RIGHT("00000"&amp;4,5))</f>
        <v/>
      </c>
      <c r="I12">
        <f>IF($H12="","",COUNTIFS(CalcBank,$G12,CalcKey,"&lt;"&amp;$H12)+1)</f>
        <v/>
      </c>
      <c r="J12">
        <f>IF($I12="","",$G12&amp;"|"&amp;RIGHT("000000"&amp;$I12,6))</f>
        <v/>
      </c>
      <c r="K12">
        <f>IF(OR($E12="",$E12="نامعتبر"),"",LEFT($E12,4)&amp;"/"&amp;MID($E12,6,2))</f>
        <v/>
      </c>
      <c r="L12">
        <f>IF(Entry!$K12="",0,Entry!$K12)</f>
        <v/>
      </c>
      <c r="M12">
        <f>IF(Entry!$L12="",0,Entry!$L12)</f>
        <v/>
      </c>
    </row>
    <row r="13">
      <c r="A13">
        <f>IF(Entry!$C13="","",Entry!$C13)</f>
        <v/>
      </c>
      <c r="B13">
        <f>IF($A13="","",IF(ISNUMBER($A13),IF(AND($A13&gt;=10000101,$A13&lt;=99991231),INT($A13/10000),""),IFERROR(VALUE(TRIM(LEFT($A13,FIND("/",$A13)-1))),"")))</f>
        <v/>
      </c>
      <c r="C13">
        <f>IF(OR($A13="",$B13=""),"",IF(ISNUMBER($A13),INT(MOD($A13,10000)/100),IFERROR(VALUE(TRIM(LEFT(MID($A13,FIND("/",$A13)+1,20),FIND("/",MID($A13,FIND("/",$A13)+1,20))-1))),"")))</f>
        <v/>
      </c>
      <c r="D13">
        <f>IF(OR($A13="",$B13=""),"",IF(ISNUMBER($A13),MOD($A13,100),IFERROR(VALUE(TRIM(MID(MID($A13,FIND("/",$A13)+1,20),FIND("/",MID($A13,FIND("/",$A13)+1,20))+1,20))),"")))</f>
        <v/>
      </c>
      <c r="E13">
        <f>IF($A13="","",IF(OR($B13="",$C13="",$D13="",$B13&lt;1300,$B13&gt;1500,$C13&lt;1,$C13&gt;12,$D13&lt;1,$D13&gt;31),"نامعتبر",RIGHT("0000"&amp;$B13,4)&amp;"/"&amp;RIGHT("00"&amp;$C13,2)&amp;"/"&amp;RIGHT("00"&amp;$D13,2)))</f>
        <v/>
      </c>
      <c r="F13">
        <f>IF(Entry!$D13&lt;&gt;"",IF(AND(ISNUMBER(Entry!$D13),Entry!$D13&gt;=0,Entry!$D13&lt;1),RIGHT("00"&amp;HOUR(Entry!$D13),2)&amp;":"&amp;RIGHT("00"&amp;MINUTE(Entry!$D13),2),IFERROR(RIGHT("00"&amp;VALUE(TRIM(LEFT(Entry!$D13,FIND(":",Entry!$D13)-1))),2)&amp;":"&amp;RIGHT("00"&amp;VALUE(TRIM(MID(Entry!$D13,FIND(":",Entry!$D13)+1,2))),2),"نامعتبر")),IF(OR($E13="",$E13="نامعتبر"),"","00:00"))</f>
        <v/>
      </c>
      <c r="G13">
        <f>IF(OR($E13="",$E13="نامعتبر"),"",IF(Entry!$E13="","",LEFT(UPPER(TRIM(Entry!$E13)),6)))</f>
        <v/>
      </c>
      <c r="H13">
        <f>IF($G13="","",RIGHT($E13,4)&amp;MID($E13,6,2)&amp;RIGHT($E13,2)&amp;IF($F13="","0000",IF($F13="نامعتبر","9999",LEFT($F13,2)&amp;RIGHT($F13,2)))&amp;"|"&amp;RIGHT("00000"&amp;5,5))</f>
        <v/>
      </c>
      <c r="I13">
        <f>IF($H13="","",COUNTIFS(CalcBank,$G13,CalcKey,"&lt;"&amp;$H13)+1)</f>
        <v/>
      </c>
      <c r="J13">
        <f>IF($I13="","",$G13&amp;"|"&amp;RIGHT("000000"&amp;$I13,6))</f>
        <v/>
      </c>
      <c r="K13">
        <f>IF(OR($E13="",$E13="نامعتبر"),"",LEFT($E13,4)&amp;"/"&amp;MID($E13,6,2))</f>
        <v/>
      </c>
      <c r="L13">
        <f>IF(Entry!$K13="",0,Entry!$K13)</f>
        <v/>
      </c>
      <c r="M13">
        <f>IF(Entry!$L13="",0,Entry!$L13)</f>
        <v/>
      </c>
    </row>
    <row r="14">
      <c r="A14">
        <f>IF(Entry!$C14="","",Entry!$C14)</f>
        <v/>
      </c>
      <c r="B14">
        <f>IF($A14="","",IF(ISNUMBER($A14),IF(AND($A14&gt;=10000101,$A14&lt;=99991231),INT($A14/10000),""),IFERROR(VALUE(TRIM(LEFT($A14,FIND("/",$A14)-1))),"")))</f>
        <v/>
      </c>
      <c r="C14">
        <f>IF(OR($A14="",$B14=""),"",IF(ISNUMBER($A14),INT(MOD($A14,10000)/100),IFERROR(VALUE(TRIM(LEFT(MID($A14,FIND("/",$A14)+1,20),FIND("/",MID($A14,FIND("/",$A14)+1,20))-1))),"")))</f>
        <v/>
      </c>
      <c r="D14">
        <f>IF(OR($A14="",$B14=""),"",IF(ISNUMBER($A14),MOD($A14,100),IFERROR(VALUE(TRIM(MID(MID($A14,FIND("/",$A14)+1,20),FIND("/",MID($A14,FIND("/",$A14)+1,20))+1,20))),"")))</f>
        <v/>
      </c>
      <c r="E14">
        <f>IF($A14="","",IF(OR($B14="",$C14="",$D14="",$B14&lt;1300,$B14&gt;1500,$C14&lt;1,$C14&gt;12,$D14&lt;1,$D14&gt;31),"نامعتبر",RIGHT("0000"&amp;$B14,4)&amp;"/"&amp;RIGHT("00"&amp;$C14,2)&amp;"/"&amp;RIGHT("00"&amp;$D14,2)))</f>
        <v/>
      </c>
      <c r="F14">
        <f>IF(Entry!$D14&lt;&gt;"",IF(AND(ISNUMBER(Entry!$D14),Entry!$D14&gt;=0,Entry!$D14&lt;1),RIGHT("00"&amp;HOUR(Entry!$D14),2)&amp;":"&amp;RIGHT("00"&amp;MINUTE(Entry!$D14),2),IFERROR(RIGHT("00"&amp;VALUE(TRIM(LEFT(Entry!$D14,FIND(":",Entry!$D14)-1))),2)&amp;":"&amp;RIGHT("00"&amp;VALUE(TRIM(MID(Entry!$D14,FIND(":",Entry!$D14)+1,2))),2),"نامعتبر")),IF(OR($E14="",$E14="نامعتبر"),"","00:00"))</f>
        <v/>
      </c>
      <c r="G14">
        <f>IF(OR($E14="",$E14="نامعتبر"),"",IF(Entry!$E14="","",LEFT(UPPER(TRIM(Entry!$E14)),6)))</f>
        <v/>
      </c>
      <c r="H14">
        <f>IF($G14="","",RIGHT($E14,4)&amp;MID($E14,6,2)&amp;RIGHT($E14,2)&amp;IF($F14="","0000",IF($F14="نامعتبر","9999",LEFT($F14,2)&amp;RIGHT($F14,2)))&amp;"|"&amp;RIGHT("00000"&amp;6,5))</f>
        <v/>
      </c>
      <c r="I14">
        <f>IF($H14="","",COUNTIFS(CalcBank,$G14,CalcKey,"&lt;"&amp;$H14)+1)</f>
        <v/>
      </c>
      <c r="J14">
        <f>IF($I14="","",$G14&amp;"|"&amp;RIGHT("000000"&amp;$I14,6))</f>
        <v/>
      </c>
      <c r="K14">
        <f>IF(OR($E14="",$E14="نامعتبر"),"",LEFT($E14,4)&amp;"/"&amp;MID($E14,6,2))</f>
        <v/>
      </c>
      <c r="L14">
        <f>IF(Entry!$K14="",0,Entry!$K14)</f>
        <v/>
      </c>
      <c r="M14">
        <f>IF(Entry!$L14="",0,Entry!$L14)</f>
        <v/>
      </c>
    </row>
    <row r="15">
      <c r="A15">
        <f>IF(Entry!$C15="","",Entry!$C15)</f>
        <v/>
      </c>
      <c r="B15">
        <f>IF($A15="","",IF(ISNUMBER($A15),IF(AND($A15&gt;=10000101,$A15&lt;=99991231),INT($A15/10000),""),IFERROR(VALUE(TRIM(LEFT($A15,FIND("/",$A15)-1))),"")))</f>
        <v/>
      </c>
      <c r="C15">
        <f>IF(OR($A15="",$B15=""),"",IF(ISNUMBER($A15),INT(MOD($A15,10000)/100),IFERROR(VALUE(TRIM(LEFT(MID($A15,FIND("/",$A15)+1,20),FIND("/",MID($A15,FIND("/",$A15)+1,20))-1))),"")))</f>
        <v/>
      </c>
      <c r="D15">
        <f>IF(OR($A15="",$B15=""),"",IF(ISNUMBER($A15),MOD($A15,100),IFERROR(VALUE(TRIM(MID(MID($A15,FIND("/",$A15)+1,20),FIND("/",MID($A15,FIND("/",$A15)+1,20))+1,20))),"")))</f>
        <v/>
      </c>
      <c r="E15">
        <f>IF($A15="","",IF(OR($B15="",$C15="",$D15="",$B15&lt;1300,$B15&gt;1500,$C15&lt;1,$C15&gt;12,$D15&lt;1,$D15&gt;31),"نامعتبر",RIGHT("0000"&amp;$B15,4)&amp;"/"&amp;RIGHT("00"&amp;$C15,2)&amp;"/"&amp;RIGHT("00"&amp;$D15,2)))</f>
        <v/>
      </c>
      <c r="F15">
        <f>IF(Entry!$D15&lt;&gt;"",IF(AND(ISNUMBER(Entry!$D15),Entry!$D15&gt;=0,Entry!$D15&lt;1),RIGHT("00"&amp;HOUR(Entry!$D15),2)&amp;":"&amp;RIGHT("00"&amp;MINUTE(Entry!$D15),2),IFERROR(RIGHT("00"&amp;VALUE(TRIM(LEFT(Entry!$D15,FIND(":",Entry!$D15)-1))),2)&amp;":"&amp;RIGHT("00"&amp;VALUE(TRIM(MID(Entry!$D15,FIND(":",Entry!$D15)+1,2))),2),"نامعتبر")),IF(OR($E15="",$E15="نامعتبر"),"","00:00"))</f>
        <v/>
      </c>
      <c r="G15">
        <f>IF(OR($E15="",$E15="نامعتبر"),"",IF(Entry!$E15="","",LEFT(UPPER(TRIM(Entry!$E15)),6)))</f>
        <v/>
      </c>
      <c r="H15">
        <f>IF($G15="","",RIGHT($E15,4)&amp;MID($E15,6,2)&amp;RIGHT($E15,2)&amp;IF($F15="","0000",IF($F15="نامعتبر","9999",LEFT($F15,2)&amp;RIGHT($F15,2)))&amp;"|"&amp;RIGHT("00000"&amp;7,5))</f>
        <v/>
      </c>
      <c r="I15">
        <f>IF($H15="","",COUNTIFS(CalcBank,$G15,CalcKey,"&lt;"&amp;$H15)+1)</f>
        <v/>
      </c>
      <c r="J15">
        <f>IF($I15="","",$G15&amp;"|"&amp;RIGHT("000000"&amp;$I15,6))</f>
        <v/>
      </c>
      <c r="K15">
        <f>IF(OR($E15="",$E15="نامعتبر"),"",LEFT($E15,4)&amp;"/"&amp;MID($E15,6,2))</f>
        <v/>
      </c>
      <c r="L15">
        <f>IF(Entry!$K15="",0,Entry!$K15)</f>
        <v/>
      </c>
      <c r="M15">
        <f>IF(Entry!$L15="",0,Entry!$L15)</f>
        <v/>
      </c>
    </row>
    <row r="16">
      <c r="A16">
        <f>IF(Entry!$C16="","",Entry!$C16)</f>
        <v/>
      </c>
      <c r="B16">
        <f>IF($A16="","",IF(ISNUMBER($A16),IF(AND($A16&gt;=10000101,$A16&lt;=99991231),INT($A16/10000),""),IFERROR(VALUE(TRIM(LEFT($A16,FIND("/",$A16)-1))),"")))</f>
        <v/>
      </c>
      <c r="C16">
        <f>IF(OR($A16="",$B16=""),"",IF(ISNUMBER($A16),INT(MOD($A16,10000)/100),IFERROR(VALUE(TRIM(LEFT(MID($A16,FIND("/",$A16)+1,20),FIND("/",MID($A16,FIND("/",$A16)+1,20))-1))),"")))</f>
        <v/>
      </c>
      <c r="D16">
        <f>IF(OR($A16="",$B16=""),"",IF(ISNUMBER($A16),MOD($A16,100),IFERROR(VALUE(TRIM(MID(MID($A16,FIND("/",$A16)+1,20),FIND("/",MID($A16,FIND("/",$A16)+1,20))+1,20))),"")))</f>
        <v/>
      </c>
      <c r="E16">
        <f>IF($A16="","",IF(OR($B16="",$C16="",$D16="",$B16&lt;1300,$B16&gt;1500,$C16&lt;1,$C16&gt;12,$D16&lt;1,$D16&gt;31),"نامعتبر",RIGHT("0000"&amp;$B16,4)&amp;"/"&amp;RIGHT("00"&amp;$C16,2)&amp;"/"&amp;RIGHT("00"&amp;$D16,2)))</f>
        <v/>
      </c>
      <c r="F16">
        <f>IF(Entry!$D16&lt;&gt;"",IF(AND(ISNUMBER(Entry!$D16),Entry!$D16&gt;=0,Entry!$D16&lt;1),RIGHT("00"&amp;HOUR(Entry!$D16),2)&amp;":"&amp;RIGHT("00"&amp;MINUTE(Entry!$D16),2),IFERROR(RIGHT("00"&amp;VALUE(TRIM(LEFT(Entry!$D16,FIND(":",Entry!$D16)-1))),2)&amp;":"&amp;RIGHT("00"&amp;VALUE(TRIM(MID(Entry!$D16,FIND(":",Entry!$D16)+1,2))),2),"نامعتبر")),IF(OR($E16="",$E16="نامعتبر"),"","00:00"))</f>
        <v/>
      </c>
      <c r="G16">
        <f>IF(OR($E16="",$E16="نامعتبر"),"",IF(Entry!$E16="","",LEFT(UPPER(TRIM(Entry!$E16)),6)))</f>
        <v/>
      </c>
      <c r="H16">
        <f>IF($G16="","",RIGHT($E16,4)&amp;MID($E16,6,2)&amp;RIGHT($E16,2)&amp;IF($F16="","0000",IF($F16="نامعتبر","9999",LEFT($F16,2)&amp;RIGHT($F16,2)))&amp;"|"&amp;RIGHT("00000"&amp;8,5))</f>
        <v/>
      </c>
      <c r="I16">
        <f>IF($H16="","",COUNTIFS(CalcBank,$G16,CalcKey,"&lt;"&amp;$H16)+1)</f>
        <v/>
      </c>
      <c r="J16">
        <f>IF($I16="","",$G16&amp;"|"&amp;RIGHT("000000"&amp;$I16,6))</f>
        <v/>
      </c>
      <c r="K16">
        <f>IF(OR($E16="",$E16="نامعتبر"),"",LEFT($E16,4)&amp;"/"&amp;MID($E16,6,2))</f>
        <v/>
      </c>
      <c r="L16">
        <f>IF(Entry!$K16="",0,Entry!$K16)</f>
        <v/>
      </c>
      <c r="M16">
        <f>IF(Entry!$L16="",0,Entry!$L16)</f>
        <v/>
      </c>
    </row>
    <row r="17">
      <c r="A17">
        <f>IF(Entry!$C17="","",Entry!$C17)</f>
        <v/>
      </c>
      <c r="B17">
        <f>IF($A17="","",IF(ISNUMBER($A17),IF(AND($A17&gt;=10000101,$A17&lt;=99991231),INT($A17/10000),""),IFERROR(VALUE(TRIM(LEFT($A17,FIND("/",$A17)-1))),"")))</f>
        <v/>
      </c>
      <c r="C17">
        <f>IF(OR($A17="",$B17=""),"",IF(ISNUMBER($A17),INT(MOD($A17,10000)/100),IFERROR(VALUE(TRIM(LEFT(MID($A17,FIND("/",$A17)+1,20),FIND("/",MID($A17,FIND("/",$A17)+1,20))-1))),"")))</f>
        <v/>
      </c>
      <c r="D17">
        <f>IF(OR($A17="",$B17=""),"",IF(ISNUMBER($A17),MOD($A17,100),IFERROR(VALUE(TRIM(MID(MID($A17,FIND("/",$A17)+1,20),FIND("/",MID($A17,FIND("/",$A17)+1,20))+1,20))),"")))</f>
        <v/>
      </c>
      <c r="E17">
        <f>IF($A17="","",IF(OR($B17="",$C17="",$D17="",$B17&lt;1300,$B17&gt;1500,$C17&lt;1,$C17&gt;12,$D17&lt;1,$D17&gt;31),"نامعتبر",RIGHT("0000"&amp;$B17,4)&amp;"/"&amp;RIGHT("00"&amp;$C17,2)&amp;"/"&amp;RIGHT("00"&amp;$D17,2)))</f>
        <v/>
      </c>
      <c r="F17">
        <f>IF(Entry!$D17&lt;&gt;"",IF(AND(ISNUMBER(Entry!$D17),Entry!$D17&gt;=0,Entry!$D17&lt;1),RIGHT("00"&amp;HOUR(Entry!$D17),2)&amp;":"&amp;RIGHT("00"&amp;MINUTE(Entry!$D17),2),IFERROR(RIGHT("00"&amp;VALUE(TRIM(LEFT(Entry!$D17,FIND(":",Entry!$D17)-1))),2)&amp;":"&amp;RIGHT("00"&amp;VALUE(TRIM(MID(Entry!$D17,FIND(":",Entry!$D17)+1,2))),2),"نامعتبر")),IF(OR($E17="",$E17="نامعتبر"),"","00:00"))</f>
        <v/>
      </c>
      <c r="G17">
        <f>IF(OR($E17="",$E17="نامعتبر"),"",IF(Entry!$E17="","",LEFT(UPPER(TRIM(Entry!$E17)),6)))</f>
        <v/>
      </c>
      <c r="H17">
        <f>IF($G17="","",RIGHT($E17,4)&amp;MID($E17,6,2)&amp;RIGHT($E17,2)&amp;IF($F17="","0000",IF($F17="نامعتبر","9999",LEFT($F17,2)&amp;RIGHT($F17,2)))&amp;"|"&amp;RIGHT("00000"&amp;9,5))</f>
        <v/>
      </c>
      <c r="I17">
        <f>IF($H17="","",COUNTIFS(CalcBank,$G17,CalcKey,"&lt;"&amp;$H17)+1)</f>
        <v/>
      </c>
      <c r="J17">
        <f>IF($I17="","",$G17&amp;"|"&amp;RIGHT("000000"&amp;$I17,6))</f>
        <v/>
      </c>
      <c r="K17">
        <f>IF(OR($E17="",$E17="نامعتبر"),"",LEFT($E17,4)&amp;"/"&amp;MID($E17,6,2))</f>
        <v/>
      </c>
      <c r="L17">
        <f>IF(Entry!$K17="",0,Entry!$K17)</f>
        <v/>
      </c>
      <c r="M17">
        <f>IF(Entry!$L17="",0,Entry!$L17)</f>
        <v/>
      </c>
    </row>
    <row r="18">
      <c r="A18">
        <f>IF(Entry!$C18="","",Entry!$C18)</f>
        <v/>
      </c>
      <c r="B18">
        <f>IF($A18="","",IF(ISNUMBER($A18),IF(AND($A18&gt;=10000101,$A18&lt;=99991231),INT($A18/10000),""),IFERROR(VALUE(TRIM(LEFT($A18,FIND("/",$A18)-1))),"")))</f>
        <v/>
      </c>
      <c r="C18">
        <f>IF(OR($A18="",$B18=""),"",IF(ISNUMBER($A18),INT(MOD($A18,10000)/100),IFERROR(VALUE(TRIM(LEFT(MID($A18,FIND("/",$A18)+1,20),FIND("/",MID($A18,FIND("/",$A18)+1,20))-1))),"")))</f>
        <v/>
      </c>
      <c r="D18">
        <f>IF(OR($A18="",$B18=""),"",IF(ISNUMBER($A18),MOD($A18,100),IFERROR(VALUE(TRIM(MID(MID($A18,FIND("/",$A18)+1,20),FIND("/",MID($A18,FIND("/",$A18)+1,20))+1,20))),"")))</f>
        <v/>
      </c>
      <c r="E18">
        <f>IF($A18="","",IF(OR($B18="",$C18="",$D18="",$B18&lt;1300,$B18&gt;1500,$C18&lt;1,$C18&gt;12,$D18&lt;1,$D18&gt;31),"نامعتبر",RIGHT("0000"&amp;$B18,4)&amp;"/"&amp;RIGHT("00"&amp;$C18,2)&amp;"/"&amp;RIGHT("00"&amp;$D18,2)))</f>
        <v/>
      </c>
      <c r="F18">
        <f>IF(Entry!$D18&lt;&gt;"",IF(AND(ISNUMBER(Entry!$D18),Entry!$D18&gt;=0,Entry!$D18&lt;1),RIGHT("00"&amp;HOUR(Entry!$D18),2)&amp;":"&amp;RIGHT("00"&amp;MINUTE(Entry!$D18),2),IFERROR(RIGHT("00"&amp;VALUE(TRIM(LEFT(Entry!$D18,FIND(":",Entry!$D18)-1))),2)&amp;":"&amp;RIGHT("00"&amp;VALUE(TRIM(MID(Entry!$D18,FIND(":",Entry!$D18)+1,2))),2),"نامعتبر")),IF(OR($E18="",$E18="نامعتبر"),"","00:00"))</f>
        <v/>
      </c>
      <c r="G18">
        <f>IF(OR($E18="",$E18="نامعتبر"),"",IF(Entry!$E18="","",LEFT(UPPER(TRIM(Entry!$E18)),6)))</f>
        <v/>
      </c>
      <c r="H18">
        <f>IF($G18="","",RIGHT($E18,4)&amp;MID($E18,6,2)&amp;RIGHT($E18,2)&amp;IF($F18="","0000",IF($F18="نامعتبر","9999",LEFT($F18,2)&amp;RIGHT($F18,2)))&amp;"|"&amp;RIGHT("00000"&amp;10,5))</f>
        <v/>
      </c>
      <c r="I18">
        <f>IF($H18="","",COUNTIFS(CalcBank,$G18,CalcKey,"&lt;"&amp;$H18)+1)</f>
        <v/>
      </c>
      <c r="J18">
        <f>IF($I18="","",$G18&amp;"|"&amp;RIGHT("000000"&amp;$I18,6))</f>
        <v/>
      </c>
      <c r="K18">
        <f>IF(OR($E18="",$E18="نامعتبر"),"",LEFT($E18,4)&amp;"/"&amp;MID($E18,6,2))</f>
        <v/>
      </c>
      <c r="L18">
        <f>IF(Entry!$K18="",0,Entry!$K18)</f>
        <v/>
      </c>
      <c r="M18">
        <f>IF(Entry!$L18="",0,Entry!$L18)</f>
        <v/>
      </c>
    </row>
    <row r="19">
      <c r="A19">
        <f>IF(Entry!$C19="","",Entry!$C19)</f>
        <v/>
      </c>
      <c r="B19">
        <f>IF($A19="","",IF(ISNUMBER($A19),IF(AND($A19&gt;=10000101,$A19&lt;=99991231),INT($A19/10000),""),IFERROR(VALUE(TRIM(LEFT($A19,FIND("/",$A19)-1))),"")))</f>
        <v/>
      </c>
      <c r="C19">
        <f>IF(OR($A19="",$B19=""),"",IF(ISNUMBER($A19),INT(MOD($A19,10000)/100),IFERROR(VALUE(TRIM(LEFT(MID($A19,FIND("/",$A19)+1,20),FIND("/",MID($A19,FIND("/",$A19)+1,20))-1))),"")))</f>
        <v/>
      </c>
      <c r="D19">
        <f>IF(OR($A19="",$B19=""),"",IF(ISNUMBER($A19),MOD($A19,100),IFERROR(VALUE(TRIM(MID(MID($A19,FIND("/",$A19)+1,20),FIND("/",MID($A19,FIND("/",$A19)+1,20))+1,20))),"")))</f>
        <v/>
      </c>
      <c r="E19">
        <f>IF($A19="","",IF(OR($B19="",$C19="",$D19="",$B19&lt;1300,$B19&gt;1500,$C19&lt;1,$C19&gt;12,$D19&lt;1,$D19&gt;31),"نامعتبر",RIGHT("0000"&amp;$B19,4)&amp;"/"&amp;RIGHT("00"&amp;$C19,2)&amp;"/"&amp;RIGHT("00"&amp;$D19,2)))</f>
        <v/>
      </c>
      <c r="F19">
        <f>IF(Entry!$D19&lt;&gt;"",IF(AND(ISNUMBER(Entry!$D19),Entry!$D19&gt;=0,Entry!$D19&lt;1),RIGHT("00"&amp;HOUR(Entry!$D19),2)&amp;":"&amp;RIGHT("00"&amp;MINUTE(Entry!$D19),2),IFERROR(RIGHT("00"&amp;VALUE(TRIM(LEFT(Entry!$D19,FIND(":",Entry!$D19)-1))),2)&amp;":"&amp;RIGHT("00"&amp;VALUE(TRIM(MID(Entry!$D19,FIND(":",Entry!$D19)+1,2))),2),"نامعتبر")),IF(OR($E19="",$E19="نامعتبر"),"","00:00"))</f>
        <v/>
      </c>
      <c r="G19">
        <f>IF(OR($E19="",$E19="نامعتبر"),"",IF(Entry!$E19="","",LEFT(UPPER(TRIM(Entry!$E19)),6)))</f>
        <v/>
      </c>
      <c r="H19">
        <f>IF($G19="","",RIGHT($E19,4)&amp;MID($E19,6,2)&amp;RIGHT($E19,2)&amp;IF($F19="","0000",IF($F19="نامعتبر","9999",LEFT($F19,2)&amp;RIGHT($F19,2)))&amp;"|"&amp;RIGHT("00000"&amp;11,5))</f>
        <v/>
      </c>
      <c r="I19">
        <f>IF($H19="","",COUNTIFS(CalcBank,$G19,CalcKey,"&lt;"&amp;$H19)+1)</f>
        <v/>
      </c>
      <c r="J19">
        <f>IF($I19="","",$G19&amp;"|"&amp;RIGHT("000000"&amp;$I19,6))</f>
        <v/>
      </c>
      <c r="K19">
        <f>IF(OR($E19="",$E19="نامعتبر"),"",LEFT($E19,4)&amp;"/"&amp;MID($E19,6,2))</f>
        <v/>
      </c>
      <c r="L19">
        <f>IF(Entry!$K19="",0,Entry!$K19)</f>
        <v/>
      </c>
      <c r="M19">
        <f>IF(Entry!$L19="",0,Entry!$L19)</f>
        <v/>
      </c>
    </row>
    <row r="20">
      <c r="A20">
        <f>IF(Entry!$C20="","",Entry!$C20)</f>
        <v/>
      </c>
      <c r="B20">
        <f>IF($A20="","",IF(ISNUMBER($A20),IF(AND($A20&gt;=10000101,$A20&lt;=99991231),INT($A20/10000),""),IFERROR(VALUE(TRIM(LEFT($A20,FIND("/",$A20)-1))),"")))</f>
        <v/>
      </c>
      <c r="C20">
        <f>IF(OR($A20="",$B20=""),"",IF(ISNUMBER($A20),INT(MOD($A20,10000)/100),IFERROR(VALUE(TRIM(LEFT(MID($A20,FIND("/",$A20)+1,20),FIND("/",MID($A20,FIND("/",$A20)+1,20))-1))),"")))</f>
        <v/>
      </c>
      <c r="D20">
        <f>IF(OR($A20="",$B20=""),"",IF(ISNUMBER($A20),MOD($A20,100),IFERROR(VALUE(TRIM(MID(MID($A20,FIND("/",$A20)+1,20),FIND("/",MID($A20,FIND("/",$A20)+1,20))+1,20))),"")))</f>
        <v/>
      </c>
      <c r="E20">
        <f>IF($A20="","",IF(OR($B20="",$C20="",$D20="",$B20&lt;1300,$B20&gt;1500,$C20&lt;1,$C20&gt;12,$D20&lt;1,$D20&gt;31),"نامعتبر",RIGHT("0000"&amp;$B20,4)&amp;"/"&amp;RIGHT("00"&amp;$C20,2)&amp;"/"&amp;RIGHT("00"&amp;$D20,2)))</f>
        <v/>
      </c>
      <c r="F20">
        <f>IF(Entry!$D20&lt;&gt;"",IF(AND(ISNUMBER(Entry!$D20),Entry!$D20&gt;=0,Entry!$D20&lt;1),RIGHT("00"&amp;HOUR(Entry!$D20),2)&amp;":"&amp;RIGHT("00"&amp;MINUTE(Entry!$D20),2),IFERROR(RIGHT("00"&amp;VALUE(TRIM(LEFT(Entry!$D20,FIND(":",Entry!$D20)-1))),2)&amp;":"&amp;RIGHT("00"&amp;VALUE(TRIM(MID(Entry!$D20,FIND(":",Entry!$D20)+1,2))),2),"نامعتبر")),IF(OR($E20="",$E20="نامعتبر"),"","00:00"))</f>
        <v/>
      </c>
      <c r="G20">
        <f>IF(OR($E20="",$E20="نامعتبر"),"",IF(Entry!$E20="","",LEFT(UPPER(TRIM(Entry!$E20)),6)))</f>
        <v/>
      </c>
      <c r="H20">
        <f>IF($G20="","",RIGHT($E20,4)&amp;MID($E20,6,2)&amp;RIGHT($E20,2)&amp;IF($F20="","0000",IF($F20="نامعتبر","9999",LEFT($F20,2)&amp;RIGHT($F20,2)))&amp;"|"&amp;RIGHT("00000"&amp;12,5))</f>
        <v/>
      </c>
      <c r="I20">
        <f>IF($H20="","",COUNTIFS(CalcBank,$G20,CalcKey,"&lt;"&amp;$H20)+1)</f>
        <v/>
      </c>
      <c r="J20">
        <f>IF($I20="","",$G20&amp;"|"&amp;RIGHT("000000"&amp;$I20,6))</f>
        <v/>
      </c>
      <c r="K20">
        <f>IF(OR($E20="",$E20="نامعتبر"),"",LEFT($E20,4)&amp;"/"&amp;MID($E20,6,2))</f>
        <v/>
      </c>
      <c r="L20">
        <f>IF(Entry!$K20="",0,Entry!$K20)</f>
        <v/>
      </c>
      <c r="M20">
        <f>IF(Entry!$L20="",0,Entry!$L20)</f>
        <v/>
      </c>
    </row>
    <row r="21">
      <c r="A21">
        <f>IF(Entry!$C21="","",Entry!$C21)</f>
        <v/>
      </c>
      <c r="B21">
        <f>IF($A21="","",IF(ISNUMBER($A21),IF(AND($A21&gt;=10000101,$A21&lt;=99991231),INT($A21/10000),""),IFERROR(VALUE(TRIM(LEFT($A21,FIND("/",$A21)-1))),"")))</f>
        <v/>
      </c>
      <c r="C21">
        <f>IF(OR($A21="",$B21=""),"",IF(ISNUMBER($A21),INT(MOD($A21,10000)/100),IFERROR(VALUE(TRIM(LEFT(MID($A21,FIND("/",$A21)+1,20),FIND("/",MID($A21,FIND("/",$A21)+1,20))-1))),"")))</f>
        <v/>
      </c>
      <c r="D21">
        <f>IF(OR($A21="",$B21=""),"",IF(ISNUMBER($A21),MOD($A21,100),IFERROR(VALUE(TRIM(MID(MID($A21,FIND("/",$A21)+1,20),FIND("/",MID($A21,FIND("/",$A21)+1,20))+1,20))),"")))</f>
        <v/>
      </c>
      <c r="E21">
        <f>IF($A21="","",IF(OR($B21="",$C21="",$D21="",$B21&lt;1300,$B21&gt;1500,$C21&lt;1,$C21&gt;12,$D21&lt;1,$D21&gt;31),"نامعتبر",RIGHT("0000"&amp;$B21,4)&amp;"/"&amp;RIGHT("00"&amp;$C21,2)&amp;"/"&amp;RIGHT("00"&amp;$D21,2)))</f>
        <v/>
      </c>
      <c r="F21">
        <f>IF(Entry!$D21&lt;&gt;"",IF(AND(ISNUMBER(Entry!$D21),Entry!$D21&gt;=0,Entry!$D21&lt;1),RIGHT("00"&amp;HOUR(Entry!$D21),2)&amp;":"&amp;RIGHT("00"&amp;MINUTE(Entry!$D21),2),IFERROR(RIGHT("00"&amp;VALUE(TRIM(LEFT(Entry!$D21,FIND(":",Entry!$D21)-1))),2)&amp;":"&amp;RIGHT("00"&amp;VALUE(TRIM(MID(Entry!$D21,FIND(":",Entry!$D21)+1,2))),2),"نامعتبر")),IF(OR($E21="",$E21="نامعتبر"),"","00:00"))</f>
        <v/>
      </c>
      <c r="G21">
        <f>IF(OR($E21="",$E21="نامعتبر"),"",IF(Entry!$E21="","",LEFT(UPPER(TRIM(Entry!$E21)),6)))</f>
        <v/>
      </c>
      <c r="H21">
        <f>IF($G21="","",RIGHT($E21,4)&amp;MID($E21,6,2)&amp;RIGHT($E21,2)&amp;IF($F21="","0000",IF($F21="نامعتبر","9999",LEFT($F21,2)&amp;RIGHT($F21,2)))&amp;"|"&amp;RIGHT("00000"&amp;13,5))</f>
        <v/>
      </c>
      <c r="I21">
        <f>IF($H21="","",COUNTIFS(CalcBank,$G21,CalcKey,"&lt;"&amp;$H21)+1)</f>
        <v/>
      </c>
      <c r="J21">
        <f>IF($I21="","",$G21&amp;"|"&amp;RIGHT("000000"&amp;$I21,6))</f>
        <v/>
      </c>
      <c r="K21">
        <f>IF(OR($E21="",$E21="نامعتبر"),"",LEFT($E21,4)&amp;"/"&amp;MID($E21,6,2))</f>
        <v/>
      </c>
      <c r="L21">
        <f>IF(Entry!$K21="",0,Entry!$K21)</f>
        <v/>
      </c>
      <c r="M21">
        <f>IF(Entry!$L21="",0,Entry!$L21)</f>
        <v/>
      </c>
    </row>
    <row r="22">
      <c r="A22">
        <f>IF(Entry!$C22="","",Entry!$C22)</f>
        <v/>
      </c>
      <c r="B22">
        <f>IF($A22="","",IF(ISNUMBER($A22),IF(AND($A22&gt;=10000101,$A22&lt;=99991231),INT($A22/10000),""),IFERROR(VALUE(TRIM(LEFT($A22,FIND("/",$A22)-1))),"")))</f>
        <v/>
      </c>
      <c r="C22">
        <f>IF(OR($A22="",$B22=""),"",IF(ISNUMBER($A22),INT(MOD($A22,10000)/100),IFERROR(VALUE(TRIM(LEFT(MID($A22,FIND("/",$A22)+1,20),FIND("/",MID($A22,FIND("/",$A22)+1,20))-1))),"")))</f>
        <v/>
      </c>
      <c r="D22">
        <f>IF(OR($A22="",$B22=""),"",IF(ISNUMBER($A22),MOD($A22,100),IFERROR(VALUE(TRIM(MID(MID($A22,FIND("/",$A22)+1,20),FIND("/",MID($A22,FIND("/",$A22)+1,20))+1,20))),"")))</f>
        <v/>
      </c>
      <c r="E22">
        <f>IF($A22="","",IF(OR($B22="",$C22="",$D22="",$B22&lt;1300,$B22&gt;1500,$C22&lt;1,$C22&gt;12,$D22&lt;1,$D22&gt;31),"نامعتبر",RIGHT("0000"&amp;$B22,4)&amp;"/"&amp;RIGHT("00"&amp;$C22,2)&amp;"/"&amp;RIGHT("00"&amp;$D22,2)))</f>
        <v/>
      </c>
      <c r="F22">
        <f>IF(Entry!$D22&lt;&gt;"",IF(AND(ISNUMBER(Entry!$D22),Entry!$D22&gt;=0,Entry!$D22&lt;1),RIGHT("00"&amp;HOUR(Entry!$D22),2)&amp;":"&amp;RIGHT("00"&amp;MINUTE(Entry!$D22),2),IFERROR(RIGHT("00"&amp;VALUE(TRIM(LEFT(Entry!$D22,FIND(":",Entry!$D22)-1))),2)&amp;":"&amp;RIGHT("00"&amp;VALUE(TRIM(MID(Entry!$D22,FIND(":",Entry!$D22)+1,2))),2),"نامعتبر")),IF(OR($E22="",$E22="نامعتبر"),"","00:00"))</f>
        <v/>
      </c>
      <c r="G22">
        <f>IF(OR($E22="",$E22="نامعتبر"),"",IF(Entry!$E22="","",LEFT(UPPER(TRIM(Entry!$E22)),6)))</f>
        <v/>
      </c>
      <c r="H22">
        <f>IF($G22="","",RIGHT($E22,4)&amp;MID($E22,6,2)&amp;RIGHT($E22,2)&amp;IF($F22="","0000",IF($F22="نامعتبر","9999",LEFT($F22,2)&amp;RIGHT($F22,2)))&amp;"|"&amp;RIGHT("00000"&amp;14,5))</f>
        <v/>
      </c>
      <c r="I22">
        <f>IF($H22="","",COUNTIFS(CalcBank,$G22,CalcKey,"&lt;"&amp;$H22)+1)</f>
        <v/>
      </c>
      <c r="J22">
        <f>IF($I22="","",$G22&amp;"|"&amp;RIGHT("000000"&amp;$I22,6))</f>
        <v/>
      </c>
      <c r="K22">
        <f>IF(OR($E22="",$E22="نامعتبر"),"",LEFT($E22,4)&amp;"/"&amp;MID($E22,6,2))</f>
        <v/>
      </c>
      <c r="L22">
        <f>IF(Entry!$K22="",0,Entry!$K22)</f>
        <v/>
      </c>
      <c r="M22">
        <f>IF(Entry!$L22="",0,Entry!$L22)</f>
        <v/>
      </c>
    </row>
    <row r="23">
      <c r="A23">
        <f>IF(Entry!$C23="","",Entry!$C23)</f>
        <v/>
      </c>
      <c r="B23">
        <f>IF($A23="","",IF(ISNUMBER($A23),IF(AND($A23&gt;=10000101,$A23&lt;=99991231),INT($A23/10000),""),IFERROR(VALUE(TRIM(LEFT($A23,FIND("/",$A23)-1))),"")))</f>
        <v/>
      </c>
      <c r="C23">
        <f>IF(OR($A23="",$B23=""),"",IF(ISNUMBER($A23),INT(MOD($A23,10000)/100),IFERROR(VALUE(TRIM(LEFT(MID($A23,FIND("/",$A23)+1,20),FIND("/",MID($A23,FIND("/",$A23)+1,20))-1))),"")))</f>
        <v/>
      </c>
      <c r="D23">
        <f>IF(OR($A23="",$B23=""),"",IF(ISNUMBER($A23),MOD($A23,100),IFERROR(VALUE(TRIM(MID(MID($A23,FIND("/",$A23)+1,20),FIND("/",MID($A23,FIND("/",$A23)+1,20))+1,20))),"")))</f>
        <v/>
      </c>
      <c r="E23">
        <f>IF($A23="","",IF(OR($B23="",$C23="",$D23="",$B23&lt;1300,$B23&gt;1500,$C23&lt;1,$C23&gt;12,$D23&lt;1,$D23&gt;31),"نامعتبر",RIGHT("0000"&amp;$B23,4)&amp;"/"&amp;RIGHT("00"&amp;$C23,2)&amp;"/"&amp;RIGHT("00"&amp;$D23,2)))</f>
        <v/>
      </c>
      <c r="F23">
        <f>IF(Entry!$D23&lt;&gt;"",IF(AND(ISNUMBER(Entry!$D23),Entry!$D23&gt;=0,Entry!$D23&lt;1),RIGHT("00"&amp;HOUR(Entry!$D23),2)&amp;":"&amp;RIGHT("00"&amp;MINUTE(Entry!$D23),2),IFERROR(RIGHT("00"&amp;VALUE(TRIM(LEFT(Entry!$D23,FIND(":",Entry!$D23)-1))),2)&amp;":"&amp;RIGHT("00"&amp;VALUE(TRIM(MID(Entry!$D23,FIND(":",Entry!$D23)+1,2))),2),"نامعتبر")),IF(OR($E23="",$E23="نامعتبر"),"","00:00"))</f>
        <v/>
      </c>
      <c r="G23">
        <f>IF(OR($E23="",$E23="نامعتبر"),"",IF(Entry!$E23="","",LEFT(UPPER(TRIM(Entry!$E23)),6)))</f>
        <v/>
      </c>
      <c r="H23">
        <f>IF($G23="","",RIGHT($E23,4)&amp;MID($E23,6,2)&amp;RIGHT($E23,2)&amp;IF($F23="","0000",IF($F23="نامعتبر","9999",LEFT($F23,2)&amp;RIGHT($F23,2)))&amp;"|"&amp;RIGHT("00000"&amp;15,5))</f>
        <v/>
      </c>
      <c r="I23">
        <f>IF($H23="","",COUNTIFS(CalcBank,$G23,CalcKey,"&lt;"&amp;$H23)+1)</f>
        <v/>
      </c>
      <c r="J23">
        <f>IF($I23="","",$G23&amp;"|"&amp;RIGHT("000000"&amp;$I23,6))</f>
        <v/>
      </c>
      <c r="K23">
        <f>IF(OR($E23="",$E23="نامعتبر"),"",LEFT($E23,4)&amp;"/"&amp;MID($E23,6,2))</f>
        <v/>
      </c>
      <c r="L23">
        <f>IF(Entry!$K23="",0,Entry!$K23)</f>
        <v/>
      </c>
      <c r="M23">
        <f>IF(Entry!$L23="",0,Entry!$L23)</f>
        <v/>
      </c>
    </row>
    <row r="24">
      <c r="A24">
        <f>IF(Entry!$C24="","",Entry!$C24)</f>
        <v/>
      </c>
      <c r="B24">
        <f>IF($A24="","",IF(ISNUMBER($A24),IF(AND($A24&gt;=10000101,$A24&lt;=99991231),INT($A24/10000),""),IFERROR(VALUE(TRIM(LEFT($A24,FIND("/",$A24)-1))),"")))</f>
        <v/>
      </c>
      <c r="C24">
        <f>IF(OR($A24="",$B24=""),"",IF(ISNUMBER($A24),INT(MOD($A24,10000)/100),IFERROR(VALUE(TRIM(LEFT(MID($A24,FIND("/",$A24)+1,20),FIND("/",MID($A24,FIND("/",$A24)+1,20))-1))),"")))</f>
        <v/>
      </c>
      <c r="D24">
        <f>IF(OR($A24="",$B24=""),"",IF(ISNUMBER($A24),MOD($A24,100),IFERROR(VALUE(TRIM(MID(MID($A24,FIND("/",$A24)+1,20),FIND("/",MID($A24,FIND("/",$A24)+1,20))+1,20))),"")))</f>
        <v/>
      </c>
      <c r="E24">
        <f>IF($A24="","",IF(OR($B24="",$C24="",$D24="",$B24&lt;1300,$B24&gt;1500,$C24&lt;1,$C24&gt;12,$D24&lt;1,$D24&gt;31),"نامعتبر",RIGHT("0000"&amp;$B24,4)&amp;"/"&amp;RIGHT("00"&amp;$C24,2)&amp;"/"&amp;RIGHT("00"&amp;$D24,2)))</f>
        <v/>
      </c>
      <c r="F24">
        <f>IF(Entry!$D24&lt;&gt;"",IF(AND(ISNUMBER(Entry!$D24),Entry!$D24&gt;=0,Entry!$D24&lt;1),RIGHT("00"&amp;HOUR(Entry!$D24),2)&amp;":"&amp;RIGHT("00"&amp;MINUTE(Entry!$D24),2),IFERROR(RIGHT("00"&amp;VALUE(TRIM(LEFT(Entry!$D24,FIND(":",Entry!$D24)-1))),2)&amp;":"&amp;RIGHT("00"&amp;VALUE(TRIM(MID(Entry!$D24,FIND(":",Entry!$D24)+1,2))),2),"نامعتبر")),IF(OR($E24="",$E24="نامعتبر"),"","00:00"))</f>
        <v/>
      </c>
      <c r="G24">
        <f>IF(OR($E24="",$E24="نامعتبر"),"",IF(Entry!$E24="","",LEFT(UPPER(TRIM(Entry!$E24)),6)))</f>
        <v/>
      </c>
      <c r="H24">
        <f>IF($G24="","",RIGHT($E24,4)&amp;MID($E24,6,2)&amp;RIGHT($E24,2)&amp;IF($F24="","0000",IF($F24="نامعتبر","9999",LEFT($F24,2)&amp;RIGHT($F24,2)))&amp;"|"&amp;RIGHT("00000"&amp;16,5))</f>
        <v/>
      </c>
      <c r="I24">
        <f>IF($H24="","",COUNTIFS(CalcBank,$G24,CalcKey,"&lt;"&amp;$H24)+1)</f>
        <v/>
      </c>
      <c r="J24">
        <f>IF($I24="","",$G24&amp;"|"&amp;RIGHT("000000"&amp;$I24,6))</f>
        <v/>
      </c>
      <c r="K24">
        <f>IF(OR($E24="",$E24="نامعتبر"),"",LEFT($E24,4)&amp;"/"&amp;MID($E24,6,2))</f>
        <v/>
      </c>
      <c r="L24">
        <f>IF(Entry!$K24="",0,Entry!$K24)</f>
        <v/>
      </c>
      <c r="M24">
        <f>IF(Entry!$L24="",0,Entry!$L24)</f>
        <v/>
      </c>
    </row>
    <row r="25">
      <c r="A25">
        <f>IF(Entry!$C25="","",Entry!$C25)</f>
        <v/>
      </c>
      <c r="B25">
        <f>IF($A25="","",IF(ISNUMBER($A25),IF(AND($A25&gt;=10000101,$A25&lt;=99991231),INT($A25/10000),""),IFERROR(VALUE(TRIM(LEFT($A25,FIND("/",$A25)-1))),"")))</f>
        <v/>
      </c>
      <c r="C25">
        <f>IF(OR($A25="",$B25=""),"",IF(ISNUMBER($A25),INT(MOD($A25,10000)/100),IFERROR(VALUE(TRIM(LEFT(MID($A25,FIND("/",$A25)+1,20),FIND("/",MID($A25,FIND("/",$A25)+1,20))-1))),"")))</f>
        <v/>
      </c>
      <c r="D25">
        <f>IF(OR($A25="",$B25=""),"",IF(ISNUMBER($A25),MOD($A25,100),IFERROR(VALUE(TRIM(MID(MID($A25,FIND("/",$A25)+1,20),FIND("/",MID($A25,FIND("/",$A25)+1,20))+1,20))),"")))</f>
        <v/>
      </c>
      <c r="E25">
        <f>IF($A25="","",IF(OR($B25="",$C25="",$D25="",$B25&lt;1300,$B25&gt;1500,$C25&lt;1,$C25&gt;12,$D25&lt;1,$D25&gt;31),"نامعتبر",RIGHT("0000"&amp;$B25,4)&amp;"/"&amp;RIGHT("00"&amp;$C25,2)&amp;"/"&amp;RIGHT("00"&amp;$D25,2)))</f>
        <v/>
      </c>
      <c r="F25">
        <f>IF(Entry!$D25&lt;&gt;"",IF(AND(ISNUMBER(Entry!$D25),Entry!$D25&gt;=0,Entry!$D25&lt;1),RIGHT("00"&amp;HOUR(Entry!$D25),2)&amp;":"&amp;RIGHT("00"&amp;MINUTE(Entry!$D25),2),IFERROR(RIGHT("00"&amp;VALUE(TRIM(LEFT(Entry!$D25,FIND(":",Entry!$D25)-1))),2)&amp;":"&amp;RIGHT("00"&amp;VALUE(TRIM(MID(Entry!$D25,FIND(":",Entry!$D25)+1,2))),2),"نامعتبر")),IF(OR($E25="",$E25="نامعتبر"),"","00:00"))</f>
        <v/>
      </c>
      <c r="G25">
        <f>IF(OR($E25="",$E25="نامعتبر"),"",IF(Entry!$E25="","",LEFT(UPPER(TRIM(Entry!$E25)),6)))</f>
        <v/>
      </c>
      <c r="H25">
        <f>IF($G25="","",RIGHT($E25,4)&amp;MID($E25,6,2)&amp;RIGHT($E25,2)&amp;IF($F25="","0000",IF($F25="نامعتبر","9999",LEFT($F25,2)&amp;RIGHT($F25,2)))&amp;"|"&amp;RIGHT("00000"&amp;17,5))</f>
        <v/>
      </c>
      <c r="I25">
        <f>IF($H25="","",COUNTIFS(CalcBank,$G25,CalcKey,"&lt;"&amp;$H25)+1)</f>
        <v/>
      </c>
      <c r="J25">
        <f>IF($I25="","",$G25&amp;"|"&amp;RIGHT("000000"&amp;$I25,6))</f>
        <v/>
      </c>
      <c r="K25">
        <f>IF(OR($E25="",$E25="نامعتبر"),"",LEFT($E25,4)&amp;"/"&amp;MID($E25,6,2))</f>
        <v/>
      </c>
      <c r="L25">
        <f>IF(Entry!$K25="",0,Entry!$K25)</f>
        <v/>
      </c>
      <c r="M25">
        <f>IF(Entry!$L25="",0,Entry!$L25)</f>
        <v/>
      </c>
    </row>
    <row r="26">
      <c r="A26">
        <f>IF(Entry!$C26="","",Entry!$C26)</f>
        <v/>
      </c>
      <c r="B26">
        <f>IF($A26="","",IF(ISNUMBER($A26),IF(AND($A26&gt;=10000101,$A26&lt;=99991231),INT($A26/10000),""),IFERROR(VALUE(TRIM(LEFT($A26,FIND("/",$A26)-1))),"")))</f>
        <v/>
      </c>
      <c r="C26">
        <f>IF(OR($A26="",$B26=""),"",IF(ISNUMBER($A26),INT(MOD($A26,10000)/100),IFERROR(VALUE(TRIM(LEFT(MID($A26,FIND("/",$A26)+1,20),FIND("/",MID($A26,FIND("/",$A26)+1,20))-1))),"")))</f>
        <v/>
      </c>
      <c r="D26">
        <f>IF(OR($A26="",$B26=""),"",IF(ISNUMBER($A26),MOD($A26,100),IFERROR(VALUE(TRIM(MID(MID($A26,FIND("/",$A26)+1,20),FIND("/",MID($A26,FIND("/",$A26)+1,20))+1,20))),"")))</f>
        <v/>
      </c>
      <c r="E26">
        <f>IF($A26="","",IF(OR($B26="",$C26="",$D26="",$B26&lt;1300,$B26&gt;1500,$C26&lt;1,$C26&gt;12,$D26&lt;1,$D26&gt;31),"نامعتبر",RIGHT("0000"&amp;$B26,4)&amp;"/"&amp;RIGHT("00"&amp;$C26,2)&amp;"/"&amp;RIGHT("00"&amp;$D26,2)))</f>
        <v/>
      </c>
      <c r="F26">
        <f>IF(Entry!$D26&lt;&gt;"",IF(AND(ISNUMBER(Entry!$D26),Entry!$D26&gt;=0,Entry!$D26&lt;1),RIGHT("00"&amp;HOUR(Entry!$D26),2)&amp;":"&amp;RIGHT("00"&amp;MINUTE(Entry!$D26),2),IFERROR(RIGHT("00"&amp;VALUE(TRIM(LEFT(Entry!$D26,FIND(":",Entry!$D26)-1))),2)&amp;":"&amp;RIGHT("00"&amp;VALUE(TRIM(MID(Entry!$D26,FIND(":",Entry!$D26)+1,2))),2),"نامعتبر")),IF(OR($E26="",$E26="نامعتبر"),"","00:00"))</f>
        <v/>
      </c>
      <c r="G26">
        <f>IF(OR($E26="",$E26="نامعتبر"),"",IF(Entry!$E26="","",LEFT(UPPER(TRIM(Entry!$E26)),6)))</f>
        <v/>
      </c>
      <c r="H26">
        <f>IF($G26="","",RIGHT($E26,4)&amp;MID($E26,6,2)&amp;RIGHT($E26,2)&amp;IF($F26="","0000",IF($F26="نامعتبر","9999",LEFT($F26,2)&amp;RIGHT($F26,2)))&amp;"|"&amp;RIGHT("00000"&amp;18,5))</f>
        <v/>
      </c>
      <c r="I26">
        <f>IF($H26="","",COUNTIFS(CalcBank,$G26,CalcKey,"&lt;"&amp;$H26)+1)</f>
        <v/>
      </c>
      <c r="J26">
        <f>IF($I26="","",$G26&amp;"|"&amp;RIGHT("000000"&amp;$I26,6))</f>
        <v/>
      </c>
      <c r="K26">
        <f>IF(OR($E26="",$E26="نامعتبر"),"",LEFT($E26,4)&amp;"/"&amp;MID($E26,6,2))</f>
        <v/>
      </c>
      <c r="L26">
        <f>IF(Entry!$K26="",0,Entry!$K26)</f>
        <v/>
      </c>
      <c r="M26">
        <f>IF(Entry!$L26="",0,Entry!$L26)</f>
        <v/>
      </c>
    </row>
    <row r="27">
      <c r="A27">
        <f>IF(Entry!$C27="","",Entry!$C27)</f>
        <v/>
      </c>
      <c r="B27">
        <f>IF($A27="","",IF(ISNUMBER($A27),IF(AND($A27&gt;=10000101,$A27&lt;=99991231),INT($A27/10000),""),IFERROR(VALUE(TRIM(LEFT($A27,FIND("/",$A27)-1))),"")))</f>
        <v/>
      </c>
      <c r="C27">
        <f>IF(OR($A27="",$B27=""),"",IF(ISNUMBER($A27),INT(MOD($A27,10000)/100),IFERROR(VALUE(TRIM(LEFT(MID($A27,FIND("/",$A27)+1,20),FIND("/",MID($A27,FIND("/",$A27)+1,20))-1))),"")))</f>
        <v/>
      </c>
      <c r="D27">
        <f>IF(OR($A27="",$B27=""),"",IF(ISNUMBER($A27),MOD($A27,100),IFERROR(VALUE(TRIM(MID(MID($A27,FIND("/",$A27)+1,20),FIND("/",MID($A27,FIND("/",$A27)+1,20))+1,20))),"")))</f>
        <v/>
      </c>
      <c r="E27">
        <f>IF($A27="","",IF(OR($B27="",$C27="",$D27="",$B27&lt;1300,$B27&gt;1500,$C27&lt;1,$C27&gt;12,$D27&lt;1,$D27&gt;31),"نامعتبر",RIGHT("0000"&amp;$B27,4)&amp;"/"&amp;RIGHT("00"&amp;$C27,2)&amp;"/"&amp;RIGHT("00"&amp;$D27,2)))</f>
        <v/>
      </c>
      <c r="F27">
        <f>IF(Entry!$D27&lt;&gt;"",IF(AND(ISNUMBER(Entry!$D27),Entry!$D27&gt;=0,Entry!$D27&lt;1),RIGHT("00"&amp;HOUR(Entry!$D27),2)&amp;":"&amp;RIGHT("00"&amp;MINUTE(Entry!$D27),2),IFERROR(RIGHT("00"&amp;VALUE(TRIM(LEFT(Entry!$D27,FIND(":",Entry!$D27)-1))),2)&amp;":"&amp;RIGHT("00"&amp;VALUE(TRIM(MID(Entry!$D27,FIND(":",Entry!$D27)+1,2))),2),"نامعتبر")),IF(OR($E27="",$E27="نامعتبر"),"","00:00"))</f>
        <v/>
      </c>
      <c r="G27">
        <f>IF(OR($E27="",$E27="نامعتبر"),"",IF(Entry!$E27="","",LEFT(UPPER(TRIM(Entry!$E27)),6)))</f>
        <v/>
      </c>
      <c r="H27">
        <f>IF($G27="","",RIGHT($E27,4)&amp;MID($E27,6,2)&amp;RIGHT($E27,2)&amp;IF($F27="","0000",IF($F27="نامعتبر","9999",LEFT($F27,2)&amp;RIGHT($F27,2)))&amp;"|"&amp;RIGHT("00000"&amp;19,5))</f>
        <v/>
      </c>
      <c r="I27">
        <f>IF($H27="","",COUNTIFS(CalcBank,$G27,CalcKey,"&lt;"&amp;$H27)+1)</f>
        <v/>
      </c>
      <c r="J27">
        <f>IF($I27="","",$G27&amp;"|"&amp;RIGHT("000000"&amp;$I27,6))</f>
        <v/>
      </c>
      <c r="K27">
        <f>IF(OR($E27="",$E27="نامعتبر"),"",LEFT($E27,4)&amp;"/"&amp;MID($E27,6,2))</f>
        <v/>
      </c>
      <c r="L27">
        <f>IF(Entry!$K27="",0,Entry!$K27)</f>
        <v/>
      </c>
      <c r="M27">
        <f>IF(Entry!$L27="",0,Entry!$L27)</f>
        <v/>
      </c>
    </row>
    <row r="28">
      <c r="A28">
        <f>IF(Entry!$C28="","",Entry!$C28)</f>
        <v/>
      </c>
      <c r="B28">
        <f>IF($A28="","",IF(ISNUMBER($A28),IF(AND($A28&gt;=10000101,$A28&lt;=99991231),INT($A28/10000),""),IFERROR(VALUE(TRIM(LEFT($A28,FIND("/",$A28)-1))),"")))</f>
        <v/>
      </c>
      <c r="C28">
        <f>IF(OR($A28="",$B28=""),"",IF(ISNUMBER($A28),INT(MOD($A28,10000)/100),IFERROR(VALUE(TRIM(LEFT(MID($A28,FIND("/",$A28)+1,20),FIND("/",MID($A28,FIND("/",$A28)+1,20))-1))),"")))</f>
        <v/>
      </c>
      <c r="D28">
        <f>IF(OR($A28="",$B28=""),"",IF(ISNUMBER($A28),MOD($A28,100),IFERROR(VALUE(TRIM(MID(MID($A28,FIND("/",$A28)+1,20),FIND("/",MID($A28,FIND("/",$A28)+1,20))+1,20))),"")))</f>
        <v/>
      </c>
      <c r="E28">
        <f>IF($A28="","",IF(OR($B28="",$C28="",$D28="",$B28&lt;1300,$B28&gt;1500,$C28&lt;1,$C28&gt;12,$D28&lt;1,$D28&gt;31),"نامعتبر",RIGHT("0000"&amp;$B28,4)&amp;"/"&amp;RIGHT("00"&amp;$C28,2)&amp;"/"&amp;RIGHT("00"&amp;$D28,2)))</f>
        <v/>
      </c>
      <c r="F28">
        <f>IF(Entry!$D28&lt;&gt;"",IF(AND(ISNUMBER(Entry!$D28),Entry!$D28&gt;=0,Entry!$D28&lt;1),RIGHT("00"&amp;HOUR(Entry!$D28),2)&amp;":"&amp;RIGHT("00"&amp;MINUTE(Entry!$D28),2),IFERROR(RIGHT("00"&amp;VALUE(TRIM(LEFT(Entry!$D28,FIND(":",Entry!$D28)-1))),2)&amp;":"&amp;RIGHT("00"&amp;VALUE(TRIM(MID(Entry!$D28,FIND(":",Entry!$D28)+1,2))),2),"نامعتبر")),IF(OR($E28="",$E28="نامعتبر"),"","00:00"))</f>
        <v/>
      </c>
      <c r="G28">
        <f>IF(OR($E28="",$E28="نامعتبر"),"",IF(Entry!$E28="","",LEFT(UPPER(TRIM(Entry!$E28)),6)))</f>
        <v/>
      </c>
      <c r="H28">
        <f>IF($G28="","",RIGHT($E28,4)&amp;MID($E28,6,2)&amp;RIGHT($E28,2)&amp;IF($F28="","0000",IF($F28="نامعتبر","9999",LEFT($F28,2)&amp;RIGHT($F28,2)))&amp;"|"&amp;RIGHT("00000"&amp;20,5))</f>
        <v/>
      </c>
      <c r="I28">
        <f>IF($H28="","",COUNTIFS(CalcBank,$G28,CalcKey,"&lt;"&amp;$H28)+1)</f>
        <v/>
      </c>
      <c r="J28">
        <f>IF($I28="","",$G28&amp;"|"&amp;RIGHT("000000"&amp;$I28,6))</f>
        <v/>
      </c>
      <c r="K28">
        <f>IF(OR($E28="",$E28="نامعتبر"),"",LEFT($E28,4)&amp;"/"&amp;MID($E28,6,2))</f>
        <v/>
      </c>
      <c r="L28">
        <f>IF(Entry!$K28="",0,Entry!$K28)</f>
        <v/>
      </c>
      <c r="M28">
        <f>IF(Entry!$L28="",0,Entry!$L28)</f>
        <v/>
      </c>
    </row>
    <row r="29">
      <c r="A29">
        <f>IF(Entry!$C29="","",Entry!$C29)</f>
        <v/>
      </c>
      <c r="B29">
        <f>IF($A29="","",IF(ISNUMBER($A29),IF(AND($A29&gt;=10000101,$A29&lt;=99991231),INT($A29/10000),""),IFERROR(VALUE(TRIM(LEFT($A29,FIND("/",$A29)-1))),"")))</f>
        <v/>
      </c>
      <c r="C29">
        <f>IF(OR($A29="",$B29=""),"",IF(ISNUMBER($A29),INT(MOD($A29,10000)/100),IFERROR(VALUE(TRIM(LEFT(MID($A29,FIND("/",$A29)+1,20),FIND("/",MID($A29,FIND("/",$A29)+1,20))-1))),"")))</f>
        <v/>
      </c>
      <c r="D29">
        <f>IF(OR($A29="",$B29=""),"",IF(ISNUMBER($A29),MOD($A29,100),IFERROR(VALUE(TRIM(MID(MID($A29,FIND("/",$A29)+1,20),FIND("/",MID($A29,FIND("/",$A29)+1,20))+1,20))),"")))</f>
        <v/>
      </c>
      <c r="E29">
        <f>IF($A29="","",IF(OR($B29="",$C29="",$D29="",$B29&lt;1300,$B29&gt;1500,$C29&lt;1,$C29&gt;12,$D29&lt;1,$D29&gt;31),"نامعتبر",RIGHT("0000"&amp;$B29,4)&amp;"/"&amp;RIGHT("00"&amp;$C29,2)&amp;"/"&amp;RIGHT("00"&amp;$D29,2)))</f>
        <v/>
      </c>
      <c r="F29">
        <f>IF(Entry!$D29&lt;&gt;"",IF(AND(ISNUMBER(Entry!$D29),Entry!$D29&gt;=0,Entry!$D29&lt;1),RIGHT("00"&amp;HOUR(Entry!$D29),2)&amp;":"&amp;RIGHT("00"&amp;MINUTE(Entry!$D29),2),IFERROR(RIGHT("00"&amp;VALUE(TRIM(LEFT(Entry!$D29,FIND(":",Entry!$D29)-1))),2)&amp;":"&amp;RIGHT("00"&amp;VALUE(TRIM(MID(Entry!$D29,FIND(":",Entry!$D29)+1,2))),2),"نامعتبر")),IF(OR($E29="",$E29="نامعتبر"),"","00:00"))</f>
        <v/>
      </c>
      <c r="G29">
        <f>IF(OR($E29="",$E29="نامعتبر"),"",IF(Entry!$E29="","",LEFT(UPPER(TRIM(Entry!$E29)),6)))</f>
        <v/>
      </c>
      <c r="H29">
        <f>IF($G29="","",RIGHT($E29,4)&amp;MID($E29,6,2)&amp;RIGHT($E29,2)&amp;IF($F29="","0000",IF($F29="نامعتبر","9999",LEFT($F29,2)&amp;RIGHT($F29,2)))&amp;"|"&amp;RIGHT("00000"&amp;21,5))</f>
        <v/>
      </c>
      <c r="I29">
        <f>IF($H29="","",COUNTIFS(CalcBank,$G29,CalcKey,"&lt;"&amp;$H29)+1)</f>
        <v/>
      </c>
      <c r="J29">
        <f>IF($I29="","",$G29&amp;"|"&amp;RIGHT("000000"&amp;$I29,6))</f>
        <v/>
      </c>
      <c r="K29">
        <f>IF(OR($E29="",$E29="نامعتبر"),"",LEFT($E29,4)&amp;"/"&amp;MID($E29,6,2))</f>
        <v/>
      </c>
      <c r="L29">
        <f>IF(Entry!$K29="",0,Entry!$K29)</f>
        <v/>
      </c>
      <c r="M29">
        <f>IF(Entry!$L29="",0,Entry!$L29)</f>
        <v/>
      </c>
    </row>
    <row r="30">
      <c r="A30">
        <f>IF(Entry!$C30="","",Entry!$C30)</f>
        <v/>
      </c>
      <c r="B30">
        <f>IF($A30="","",IF(ISNUMBER($A30),IF(AND($A30&gt;=10000101,$A30&lt;=99991231),INT($A30/10000),""),IFERROR(VALUE(TRIM(LEFT($A30,FIND("/",$A30)-1))),"")))</f>
        <v/>
      </c>
      <c r="C30">
        <f>IF(OR($A30="",$B30=""),"",IF(ISNUMBER($A30),INT(MOD($A30,10000)/100),IFERROR(VALUE(TRIM(LEFT(MID($A30,FIND("/",$A30)+1,20),FIND("/",MID($A30,FIND("/",$A30)+1,20))-1))),"")))</f>
        <v/>
      </c>
      <c r="D30">
        <f>IF(OR($A30="",$B30=""),"",IF(ISNUMBER($A30),MOD($A30,100),IFERROR(VALUE(TRIM(MID(MID($A30,FIND("/",$A30)+1,20),FIND("/",MID($A30,FIND("/",$A30)+1,20))+1,20))),"")))</f>
        <v/>
      </c>
      <c r="E30">
        <f>IF($A30="","",IF(OR($B30="",$C30="",$D30="",$B30&lt;1300,$B30&gt;1500,$C30&lt;1,$C30&gt;12,$D30&lt;1,$D30&gt;31),"نامعتبر",RIGHT("0000"&amp;$B30,4)&amp;"/"&amp;RIGHT("00"&amp;$C30,2)&amp;"/"&amp;RIGHT("00"&amp;$D30,2)))</f>
        <v/>
      </c>
      <c r="F30">
        <f>IF(Entry!$D30&lt;&gt;"",IF(AND(ISNUMBER(Entry!$D30),Entry!$D30&gt;=0,Entry!$D30&lt;1),RIGHT("00"&amp;HOUR(Entry!$D30),2)&amp;":"&amp;RIGHT("00"&amp;MINUTE(Entry!$D30),2),IFERROR(RIGHT("00"&amp;VALUE(TRIM(LEFT(Entry!$D30,FIND(":",Entry!$D30)-1))),2)&amp;":"&amp;RIGHT("00"&amp;VALUE(TRIM(MID(Entry!$D30,FIND(":",Entry!$D30)+1,2))),2),"نامعتبر")),IF(OR($E30="",$E30="نامعتبر"),"","00:00"))</f>
        <v/>
      </c>
      <c r="G30">
        <f>IF(OR($E30="",$E30="نامعتبر"),"",IF(Entry!$E30="","",LEFT(UPPER(TRIM(Entry!$E30)),6)))</f>
        <v/>
      </c>
      <c r="H30">
        <f>IF($G30="","",RIGHT($E30,4)&amp;MID($E30,6,2)&amp;RIGHT($E30,2)&amp;IF($F30="","0000",IF($F30="نامعتبر","9999",LEFT($F30,2)&amp;RIGHT($F30,2)))&amp;"|"&amp;RIGHT("00000"&amp;22,5))</f>
        <v/>
      </c>
      <c r="I30">
        <f>IF($H30="","",COUNTIFS(CalcBank,$G30,CalcKey,"&lt;"&amp;$H30)+1)</f>
        <v/>
      </c>
      <c r="J30">
        <f>IF($I30="","",$G30&amp;"|"&amp;RIGHT("000000"&amp;$I30,6))</f>
        <v/>
      </c>
      <c r="K30">
        <f>IF(OR($E30="",$E30="نامعتبر"),"",LEFT($E30,4)&amp;"/"&amp;MID($E30,6,2))</f>
        <v/>
      </c>
      <c r="L30">
        <f>IF(Entry!$K30="",0,Entry!$K30)</f>
        <v/>
      </c>
      <c r="M30">
        <f>IF(Entry!$L30="",0,Entry!$L30)</f>
        <v/>
      </c>
    </row>
    <row r="31">
      <c r="A31">
        <f>IF(Entry!$C31="","",Entry!$C31)</f>
        <v/>
      </c>
      <c r="B31">
        <f>IF($A31="","",IF(ISNUMBER($A31),IF(AND($A31&gt;=10000101,$A31&lt;=99991231),INT($A31/10000),""),IFERROR(VALUE(TRIM(LEFT($A31,FIND("/",$A31)-1))),"")))</f>
        <v/>
      </c>
      <c r="C31">
        <f>IF(OR($A31="",$B31=""),"",IF(ISNUMBER($A31),INT(MOD($A31,10000)/100),IFERROR(VALUE(TRIM(LEFT(MID($A31,FIND("/",$A31)+1,20),FIND("/",MID($A31,FIND("/",$A31)+1,20))-1))),"")))</f>
        <v/>
      </c>
      <c r="D31">
        <f>IF(OR($A31="",$B31=""),"",IF(ISNUMBER($A31),MOD($A31,100),IFERROR(VALUE(TRIM(MID(MID($A31,FIND("/",$A31)+1,20),FIND("/",MID($A31,FIND("/",$A31)+1,20))+1,20))),"")))</f>
        <v/>
      </c>
      <c r="E31">
        <f>IF($A31="","",IF(OR($B31="",$C31="",$D31="",$B31&lt;1300,$B31&gt;1500,$C31&lt;1,$C31&gt;12,$D31&lt;1,$D31&gt;31),"نامعتبر",RIGHT("0000"&amp;$B31,4)&amp;"/"&amp;RIGHT("00"&amp;$C31,2)&amp;"/"&amp;RIGHT("00"&amp;$D31,2)))</f>
        <v/>
      </c>
      <c r="F31">
        <f>IF(Entry!$D31&lt;&gt;"",IF(AND(ISNUMBER(Entry!$D31),Entry!$D31&gt;=0,Entry!$D31&lt;1),RIGHT("00"&amp;HOUR(Entry!$D31),2)&amp;":"&amp;RIGHT("00"&amp;MINUTE(Entry!$D31),2),IFERROR(RIGHT("00"&amp;VALUE(TRIM(LEFT(Entry!$D31,FIND(":",Entry!$D31)-1))),2)&amp;":"&amp;RIGHT("00"&amp;VALUE(TRIM(MID(Entry!$D31,FIND(":",Entry!$D31)+1,2))),2),"نامعتبر")),IF(OR($E31="",$E31="نامعتبر"),"","00:00"))</f>
        <v/>
      </c>
      <c r="G31">
        <f>IF(OR($E31="",$E31="نامعتبر"),"",IF(Entry!$E31="","",LEFT(UPPER(TRIM(Entry!$E31)),6)))</f>
        <v/>
      </c>
      <c r="H31">
        <f>IF($G31="","",RIGHT($E31,4)&amp;MID($E31,6,2)&amp;RIGHT($E31,2)&amp;IF($F31="","0000",IF($F31="نامعتبر","9999",LEFT($F31,2)&amp;RIGHT($F31,2)))&amp;"|"&amp;RIGHT("00000"&amp;23,5))</f>
        <v/>
      </c>
      <c r="I31">
        <f>IF($H31="","",COUNTIFS(CalcBank,$G31,CalcKey,"&lt;"&amp;$H31)+1)</f>
        <v/>
      </c>
      <c r="J31">
        <f>IF($I31="","",$G31&amp;"|"&amp;RIGHT("000000"&amp;$I31,6))</f>
        <v/>
      </c>
      <c r="K31">
        <f>IF(OR($E31="",$E31="نامعتبر"),"",LEFT($E31,4)&amp;"/"&amp;MID($E31,6,2))</f>
        <v/>
      </c>
      <c r="L31">
        <f>IF(Entry!$K31="",0,Entry!$K31)</f>
        <v/>
      </c>
      <c r="M31">
        <f>IF(Entry!$L31="",0,Entry!$L31)</f>
        <v/>
      </c>
    </row>
    <row r="32">
      <c r="A32">
        <f>IF(Entry!$C32="","",Entry!$C32)</f>
        <v/>
      </c>
      <c r="B32">
        <f>IF($A32="","",IF(ISNUMBER($A32),IF(AND($A32&gt;=10000101,$A32&lt;=99991231),INT($A32/10000),""),IFERROR(VALUE(TRIM(LEFT($A32,FIND("/",$A32)-1))),"")))</f>
        <v/>
      </c>
      <c r="C32">
        <f>IF(OR($A32="",$B32=""),"",IF(ISNUMBER($A32),INT(MOD($A32,10000)/100),IFERROR(VALUE(TRIM(LEFT(MID($A32,FIND("/",$A32)+1,20),FIND("/",MID($A32,FIND("/",$A32)+1,20))-1))),"")))</f>
        <v/>
      </c>
      <c r="D32">
        <f>IF(OR($A32="",$B32=""),"",IF(ISNUMBER($A32),MOD($A32,100),IFERROR(VALUE(TRIM(MID(MID($A32,FIND("/",$A32)+1,20),FIND("/",MID($A32,FIND("/",$A32)+1,20))+1,20))),"")))</f>
        <v/>
      </c>
      <c r="E32">
        <f>IF($A32="","",IF(OR($B32="",$C32="",$D32="",$B32&lt;1300,$B32&gt;1500,$C32&lt;1,$C32&gt;12,$D32&lt;1,$D32&gt;31),"نامعتبر",RIGHT("0000"&amp;$B32,4)&amp;"/"&amp;RIGHT("00"&amp;$C32,2)&amp;"/"&amp;RIGHT("00"&amp;$D32,2)))</f>
        <v/>
      </c>
      <c r="F32">
        <f>IF(Entry!$D32&lt;&gt;"",IF(AND(ISNUMBER(Entry!$D32),Entry!$D32&gt;=0,Entry!$D32&lt;1),RIGHT("00"&amp;HOUR(Entry!$D32),2)&amp;":"&amp;RIGHT("00"&amp;MINUTE(Entry!$D32),2),IFERROR(RIGHT("00"&amp;VALUE(TRIM(LEFT(Entry!$D32,FIND(":",Entry!$D32)-1))),2)&amp;":"&amp;RIGHT("00"&amp;VALUE(TRIM(MID(Entry!$D32,FIND(":",Entry!$D32)+1,2))),2),"نامعتبر")),IF(OR($E32="",$E32="نامعتبر"),"","00:00"))</f>
        <v/>
      </c>
      <c r="G32">
        <f>IF(OR($E32="",$E32="نامعتبر"),"",IF(Entry!$E32="","",LEFT(UPPER(TRIM(Entry!$E32)),6)))</f>
        <v/>
      </c>
      <c r="H32">
        <f>IF($G32="","",RIGHT($E32,4)&amp;MID($E32,6,2)&amp;RIGHT($E32,2)&amp;IF($F32="","0000",IF($F32="نامعتبر","9999",LEFT($F32,2)&amp;RIGHT($F32,2)))&amp;"|"&amp;RIGHT("00000"&amp;24,5))</f>
        <v/>
      </c>
      <c r="I32">
        <f>IF($H32="","",COUNTIFS(CalcBank,$G32,CalcKey,"&lt;"&amp;$H32)+1)</f>
        <v/>
      </c>
      <c r="J32">
        <f>IF($I32="","",$G32&amp;"|"&amp;RIGHT("000000"&amp;$I32,6))</f>
        <v/>
      </c>
      <c r="K32">
        <f>IF(OR($E32="",$E32="نامعتبر"),"",LEFT($E32,4)&amp;"/"&amp;MID($E32,6,2))</f>
        <v/>
      </c>
      <c r="L32">
        <f>IF(Entry!$K32="",0,Entry!$K32)</f>
        <v/>
      </c>
      <c r="M32">
        <f>IF(Entry!$L32="",0,Entry!$L32)</f>
        <v/>
      </c>
    </row>
    <row r="33">
      <c r="A33">
        <f>IF(Entry!$C33="","",Entry!$C33)</f>
        <v/>
      </c>
      <c r="B33">
        <f>IF($A33="","",IF(ISNUMBER($A33),IF(AND($A33&gt;=10000101,$A33&lt;=99991231),INT($A33/10000),""),IFERROR(VALUE(TRIM(LEFT($A33,FIND("/",$A33)-1))),"")))</f>
        <v/>
      </c>
      <c r="C33">
        <f>IF(OR($A33="",$B33=""),"",IF(ISNUMBER($A33),INT(MOD($A33,10000)/100),IFERROR(VALUE(TRIM(LEFT(MID($A33,FIND("/",$A33)+1,20),FIND("/",MID($A33,FIND("/",$A33)+1,20))-1))),"")))</f>
        <v/>
      </c>
      <c r="D33">
        <f>IF(OR($A33="",$B33=""),"",IF(ISNUMBER($A33),MOD($A33,100),IFERROR(VALUE(TRIM(MID(MID($A33,FIND("/",$A33)+1,20),FIND("/",MID($A33,FIND("/",$A33)+1,20))+1,20))),"")))</f>
        <v/>
      </c>
      <c r="E33">
        <f>IF($A33="","",IF(OR($B33="",$C33="",$D33="",$B33&lt;1300,$B33&gt;1500,$C33&lt;1,$C33&gt;12,$D33&lt;1,$D33&gt;31),"نامعتبر",RIGHT("0000"&amp;$B33,4)&amp;"/"&amp;RIGHT("00"&amp;$C33,2)&amp;"/"&amp;RIGHT("00"&amp;$D33,2)))</f>
        <v/>
      </c>
      <c r="F33">
        <f>IF(Entry!$D33&lt;&gt;"",IF(AND(ISNUMBER(Entry!$D33),Entry!$D33&gt;=0,Entry!$D33&lt;1),RIGHT("00"&amp;HOUR(Entry!$D33),2)&amp;":"&amp;RIGHT("00"&amp;MINUTE(Entry!$D33),2),IFERROR(RIGHT("00"&amp;VALUE(TRIM(LEFT(Entry!$D33,FIND(":",Entry!$D33)-1))),2)&amp;":"&amp;RIGHT("00"&amp;VALUE(TRIM(MID(Entry!$D33,FIND(":",Entry!$D33)+1,2))),2),"نامعتبر")),IF(OR($E33="",$E33="نامعتبر"),"","00:00"))</f>
        <v/>
      </c>
      <c r="G33">
        <f>IF(OR($E33="",$E33="نامعتبر"),"",IF(Entry!$E33="","",LEFT(UPPER(TRIM(Entry!$E33)),6)))</f>
        <v/>
      </c>
      <c r="H33">
        <f>IF($G33="","",RIGHT($E33,4)&amp;MID($E33,6,2)&amp;RIGHT($E33,2)&amp;IF($F33="","0000",IF($F33="نامعتبر","9999",LEFT($F33,2)&amp;RIGHT($F33,2)))&amp;"|"&amp;RIGHT("00000"&amp;25,5))</f>
        <v/>
      </c>
      <c r="I33">
        <f>IF($H33="","",COUNTIFS(CalcBank,$G33,CalcKey,"&lt;"&amp;$H33)+1)</f>
        <v/>
      </c>
      <c r="J33">
        <f>IF($I33="","",$G33&amp;"|"&amp;RIGHT("000000"&amp;$I33,6))</f>
        <v/>
      </c>
      <c r="K33">
        <f>IF(OR($E33="",$E33="نامعتبر"),"",LEFT($E33,4)&amp;"/"&amp;MID($E33,6,2))</f>
        <v/>
      </c>
      <c r="L33">
        <f>IF(Entry!$K33="",0,Entry!$K33)</f>
        <v/>
      </c>
      <c r="M33">
        <f>IF(Entry!$L33="",0,Entry!$L33)</f>
        <v/>
      </c>
    </row>
    <row r="34">
      <c r="A34">
        <f>IF(Entry!$C34="","",Entry!$C34)</f>
        <v/>
      </c>
      <c r="B34">
        <f>IF($A34="","",IF(ISNUMBER($A34),IF(AND($A34&gt;=10000101,$A34&lt;=99991231),INT($A34/10000),""),IFERROR(VALUE(TRIM(LEFT($A34,FIND("/",$A34)-1))),"")))</f>
        <v/>
      </c>
      <c r="C34">
        <f>IF(OR($A34="",$B34=""),"",IF(ISNUMBER($A34),INT(MOD($A34,10000)/100),IFERROR(VALUE(TRIM(LEFT(MID($A34,FIND("/",$A34)+1,20),FIND("/",MID($A34,FIND("/",$A34)+1,20))-1))),"")))</f>
        <v/>
      </c>
      <c r="D34">
        <f>IF(OR($A34="",$B34=""),"",IF(ISNUMBER($A34),MOD($A34,100),IFERROR(VALUE(TRIM(MID(MID($A34,FIND("/",$A34)+1,20),FIND("/",MID($A34,FIND("/",$A34)+1,20))+1,20))),"")))</f>
        <v/>
      </c>
      <c r="E34">
        <f>IF($A34="","",IF(OR($B34="",$C34="",$D34="",$B34&lt;1300,$B34&gt;1500,$C34&lt;1,$C34&gt;12,$D34&lt;1,$D34&gt;31),"نامعتبر",RIGHT("0000"&amp;$B34,4)&amp;"/"&amp;RIGHT("00"&amp;$C34,2)&amp;"/"&amp;RIGHT("00"&amp;$D34,2)))</f>
        <v/>
      </c>
      <c r="F34">
        <f>IF(Entry!$D34&lt;&gt;"",IF(AND(ISNUMBER(Entry!$D34),Entry!$D34&gt;=0,Entry!$D34&lt;1),RIGHT("00"&amp;HOUR(Entry!$D34),2)&amp;":"&amp;RIGHT("00"&amp;MINUTE(Entry!$D34),2),IFERROR(RIGHT("00"&amp;VALUE(TRIM(LEFT(Entry!$D34,FIND(":",Entry!$D34)-1))),2)&amp;":"&amp;RIGHT("00"&amp;VALUE(TRIM(MID(Entry!$D34,FIND(":",Entry!$D34)+1,2))),2),"نامعتبر")),IF(OR($E34="",$E34="نامعتبر"),"","00:00"))</f>
        <v/>
      </c>
      <c r="G34">
        <f>IF(OR($E34="",$E34="نامعتبر"),"",IF(Entry!$E34="","",LEFT(UPPER(TRIM(Entry!$E34)),6)))</f>
        <v/>
      </c>
      <c r="H34">
        <f>IF($G34="","",RIGHT($E34,4)&amp;MID($E34,6,2)&amp;RIGHT($E34,2)&amp;IF($F34="","0000",IF($F34="نامعتبر","9999",LEFT($F34,2)&amp;RIGHT($F34,2)))&amp;"|"&amp;RIGHT("00000"&amp;26,5))</f>
        <v/>
      </c>
      <c r="I34">
        <f>IF($H34="","",COUNTIFS(CalcBank,$G34,CalcKey,"&lt;"&amp;$H34)+1)</f>
        <v/>
      </c>
      <c r="J34">
        <f>IF($I34="","",$G34&amp;"|"&amp;RIGHT("000000"&amp;$I34,6))</f>
        <v/>
      </c>
      <c r="K34">
        <f>IF(OR($E34="",$E34="نامعتبر"),"",LEFT($E34,4)&amp;"/"&amp;MID($E34,6,2))</f>
        <v/>
      </c>
      <c r="L34">
        <f>IF(Entry!$K34="",0,Entry!$K34)</f>
        <v/>
      </c>
      <c r="M34">
        <f>IF(Entry!$L34="",0,Entry!$L34)</f>
        <v/>
      </c>
    </row>
    <row r="35">
      <c r="A35">
        <f>IF(Entry!$C35="","",Entry!$C35)</f>
        <v/>
      </c>
      <c r="B35">
        <f>IF($A35="","",IF(ISNUMBER($A35),IF(AND($A35&gt;=10000101,$A35&lt;=99991231),INT($A35/10000),""),IFERROR(VALUE(TRIM(LEFT($A35,FIND("/",$A35)-1))),"")))</f>
        <v/>
      </c>
      <c r="C35">
        <f>IF(OR($A35="",$B35=""),"",IF(ISNUMBER($A35),INT(MOD($A35,10000)/100),IFERROR(VALUE(TRIM(LEFT(MID($A35,FIND("/",$A35)+1,20),FIND("/",MID($A35,FIND("/",$A35)+1,20))-1))),"")))</f>
        <v/>
      </c>
      <c r="D35">
        <f>IF(OR($A35="",$B35=""),"",IF(ISNUMBER($A35),MOD($A35,100),IFERROR(VALUE(TRIM(MID(MID($A35,FIND("/",$A35)+1,20),FIND("/",MID($A35,FIND("/",$A35)+1,20))+1,20))),"")))</f>
        <v/>
      </c>
      <c r="E35">
        <f>IF($A35="","",IF(OR($B35="",$C35="",$D35="",$B35&lt;1300,$B35&gt;1500,$C35&lt;1,$C35&gt;12,$D35&lt;1,$D35&gt;31),"نامعتبر",RIGHT("0000"&amp;$B35,4)&amp;"/"&amp;RIGHT("00"&amp;$C35,2)&amp;"/"&amp;RIGHT("00"&amp;$D35,2)))</f>
        <v/>
      </c>
      <c r="F35">
        <f>IF(Entry!$D35&lt;&gt;"",IF(AND(ISNUMBER(Entry!$D35),Entry!$D35&gt;=0,Entry!$D35&lt;1),RIGHT("00"&amp;HOUR(Entry!$D35),2)&amp;":"&amp;RIGHT("00"&amp;MINUTE(Entry!$D35),2),IFERROR(RIGHT("00"&amp;VALUE(TRIM(LEFT(Entry!$D35,FIND(":",Entry!$D35)-1))),2)&amp;":"&amp;RIGHT("00"&amp;VALUE(TRIM(MID(Entry!$D35,FIND(":",Entry!$D35)+1,2))),2),"نامعتبر")),IF(OR($E35="",$E35="نامعتبر"),"","00:00"))</f>
        <v/>
      </c>
      <c r="G35">
        <f>IF(OR($E35="",$E35="نامعتبر"),"",IF(Entry!$E35="","",LEFT(UPPER(TRIM(Entry!$E35)),6)))</f>
        <v/>
      </c>
      <c r="H35">
        <f>IF($G35="","",RIGHT($E35,4)&amp;MID($E35,6,2)&amp;RIGHT($E35,2)&amp;IF($F35="","0000",IF($F35="نامعتبر","9999",LEFT($F35,2)&amp;RIGHT($F35,2)))&amp;"|"&amp;RIGHT("00000"&amp;27,5))</f>
        <v/>
      </c>
      <c r="I35">
        <f>IF($H35="","",COUNTIFS(CalcBank,$G35,CalcKey,"&lt;"&amp;$H35)+1)</f>
        <v/>
      </c>
      <c r="J35">
        <f>IF($I35="","",$G35&amp;"|"&amp;RIGHT("000000"&amp;$I35,6))</f>
        <v/>
      </c>
      <c r="K35">
        <f>IF(OR($E35="",$E35="نامعتبر"),"",LEFT($E35,4)&amp;"/"&amp;MID($E35,6,2))</f>
        <v/>
      </c>
      <c r="L35">
        <f>IF(Entry!$K35="",0,Entry!$K35)</f>
        <v/>
      </c>
      <c r="M35">
        <f>IF(Entry!$L35="",0,Entry!$L35)</f>
        <v/>
      </c>
    </row>
    <row r="36">
      <c r="A36">
        <f>IF(Entry!$C36="","",Entry!$C36)</f>
        <v/>
      </c>
      <c r="B36">
        <f>IF($A36="","",IF(ISNUMBER($A36),IF(AND($A36&gt;=10000101,$A36&lt;=99991231),INT($A36/10000),""),IFERROR(VALUE(TRIM(LEFT($A36,FIND("/",$A36)-1))),"")))</f>
        <v/>
      </c>
      <c r="C36">
        <f>IF(OR($A36="",$B36=""),"",IF(ISNUMBER($A36),INT(MOD($A36,10000)/100),IFERROR(VALUE(TRIM(LEFT(MID($A36,FIND("/",$A36)+1,20),FIND("/",MID($A36,FIND("/",$A36)+1,20))-1))),"")))</f>
        <v/>
      </c>
      <c r="D36">
        <f>IF(OR($A36="",$B36=""),"",IF(ISNUMBER($A36),MOD($A36,100),IFERROR(VALUE(TRIM(MID(MID($A36,FIND("/",$A36)+1,20),FIND("/",MID($A36,FIND("/",$A36)+1,20))+1,20))),"")))</f>
        <v/>
      </c>
      <c r="E36">
        <f>IF($A36="","",IF(OR($B36="",$C36="",$D36="",$B36&lt;1300,$B36&gt;1500,$C36&lt;1,$C36&gt;12,$D36&lt;1,$D36&gt;31),"نامعتبر",RIGHT("0000"&amp;$B36,4)&amp;"/"&amp;RIGHT("00"&amp;$C36,2)&amp;"/"&amp;RIGHT("00"&amp;$D36,2)))</f>
        <v/>
      </c>
      <c r="F36">
        <f>IF(Entry!$D36&lt;&gt;"",IF(AND(ISNUMBER(Entry!$D36),Entry!$D36&gt;=0,Entry!$D36&lt;1),RIGHT("00"&amp;HOUR(Entry!$D36),2)&amp;":"&amp;RIGHT("00"&amp;MINUTE(Entry!$D36),2),IFERROR(RIGHT("00"&amp;VALUE(TRIM(LEFT(Entry!$D36,FIND(":",Entry!$D36)-1))),2)&amp;":"&amp;RIGHT("00"&amp;VALUE(TRIM(MID(Entry!$D36,FIND(":",Entry!$D36)+1,2))),2),"نامعتبر")),IF(OR($E36="",$E36="نامعتبر"),"","00:00"))</f>
        <v/>
      </c>
      <c r="G36">
        <f>IF(OR($E36="",$E36="نامعتبر"),"",IF(Entry!$E36="","",LEFT(UPPER(TRIM(Entry!$E36)),6)))</f>
        <v/>
      </c>
      <c r="H36">
        <f>IF($G36="","",RIGHT($E36,4)&amp;MID($E36,6,2)&amp;RIGHT($E36,2)&amp;IF($F36="","0000",IF($F36="نامعتبر","9999",LEFT($F36,2)&amp;RIGHT($F36,2)))&amp;"|"&amp;RIGHT("00000"&amp;28,5))</f>
        <v/>
      </c>
      <c r="I36">
        <f>IF($H36="","",COUNTIFS(CalcBank,$G36,CalcKey,"&lt;"&amp;$H36)+1)</f>
        <v/>
      </c>
      <c r="J36">
        <f>IF($I36="","",$G36&amp;"|"&amp;RIGHT("000000"&amp;$I36,6))</f>
        <v/>
      </c>
      <c r="K36">
        <f>IF(OR($E36="",$E36="نامعتبر"),"",LEFT($E36,4)&amp;"/"&amp;MID($E36,6,2))</f>
        <v/>
      </c>
      <c r="L36">
        <f>IF(Entry!$K36="",0,Entry!$K36)</f>
        <v/>
      </c>
      <c r="M36">
        <f>IF(Entry!$L36="",0,Entry!$L36)</f>
        <v/>
      </c>
    </row>
    <row r="37">
      <c r="A37">
        <f>IF(Entry!$C37="","",Entry!$C37)</f>
        <v/>
      </c>
      <c r="B37">
        <f>IF($A37="","",IF(ISNUMBER($A37),IF(AND($A37&gt;=10000101,$A37&lt;=99991231),INT($A37/10000),""),IFERROR(VALUE(TRIM(LEFT($A37,FIND("/",$A37)-1))),"")))</f>
        <v/>
      </c>
      <c r="C37">
        <f>IF(OR($A37="",$B37=""),"",IF(ISNUMBER($A37),INT(MOD($A37,10000)/100),IFERROR(VALUE(TRIM(LEFT(MID($A37,FIND("/",$A37)+1,20),FIND("/",MID($A37,FIND("/",$A37)+1,20))-1))),"")))</f>
        <v/>
      </c>
      <c r="D37">
        <f>IF(OR($A37="",$B37=""),"",IF(ISNUMBER($A37),MOD($A37,100),IFERROR(VALUE(TRIM(MID(MID($A37,FIND("/",$A37)+1,20),FIND("/",MID($A37,FIND("/",$A37)+1,20))+1,20))),"")))</f>
        <v/>
      </c>
      <c r="E37">
        <f>IF($A37="","",IF(OR($B37="",$C37="",$D37="",$B37&lt;1300,$B37&gt;1500,$C37&lt;1,$C37&gt;12,$D37&lt;1,$D37&gt;31),"نامعتبر",RIGHT("0000"&amp;$B37,4)&amp;"/"&amp;RIGHT("00"&amp;$C37,2)&amp;"/"&amp;RIGHT("00"&amp;$D37,2)))</f>
        <v/>
      </c>
      <c r="F37">
        <f>IF(Entry!$D37&lt;&gt;"",IF(AND(ISNUMBER(Entry!$D37),Entry!$D37&gt;=0,Entry!$D37&lt;1),RIGHT("00"&amp;HOUR(Entry!$D37),2)&amp;":"&amp;RIGHT("00"&amp;MINUTE(Entry!$D37),2),IFERROR(RIGHT("00"&amp;VALUE(TRIM(LEFT(Entry!$D37,FIND(":",Entry!$D37)-1))),2)&amp;":"&amp;RIGHT("00"&amp;VALUE(TRIM(MID(Entry!$D37,FIND(":",Entry!$D37)+1,2))),2),"نامعتبر")),IF(OR($E37="",$E37="نامعتبر"),"","00:00"))</f>
        <v/>
      </c>
      <c r="G37">
        <f>IF(OR($E37="",$E37="نامعتبر"),"",IF(Entry!$E37="","",LEFT(UPPER(TRIM(Entry!$E37)),6)))</f>
        <v/>
      </c>
      <c r="H37">
        <f>IF($G37="","",RIGHT($E37,4)&amp;MID($E37,6,2)&amp;RIGHT($E37,2)&amp;IF($F37="","0000",IF($F37="نامعتبر","9999",LEFT($F37,2)&amp;RIGHT($F37,2)))&amp;"|"&amp;RIGHT("00000"&amp;29,5))</f>
        <v/>
      </c>
      <c r="I37">
        <f>IF($H37="","",COUNTIFS(CalcBank,$G37,CalcKey,"&lt;"&amp;$H37)+1)</f>
        <v/>
      </c>
      <c r="J37">
        <f>IF($I37="","",$G37&amp;"|"&amp;RIGHT("000000"&amp;$I37,6))</f>
        <v/>
      </c>
      <c r="K37">
        <f>IF(OR($E37="",$E37="نامعتبر"),"",LEFT($E37,4)&amp;"/"&amp;MID($E37,6,2))</f>
        <v/>
      </c>
      <c r="L37">
        <f>IF(Entry!$K37="",0,Entry!$K37)</f>
        <v/>
      </c>
      <c r="M37">
        <f>IF(Entry!$L37="",0,Entry!$L37)</f>
        <v/>
      </c>
    </row>
    <row r="38">
      <c r="A38">
        <f>IF(Entry!$C38="","",Entry!$C38)</f>
        <v/>
      </c>
      <c r="B38">
        <f>IF($A38="","",IF(ISNUMBER($A38),IF(AND($A38&gt;=10000101,$A38&lt;=99991231),INT($A38/10000),""),IFERROR(VALUE(TRIM(LEFT($A38,FIND("/",$A38)-1))),"")))</f>
        <v/>
      </c>
      <c r="C38">
        <f>IF(OR($A38="",$B38=""),"",IF(ISNUMBER($A38),INT(MOD($A38,10000)/100),IFERROR(VALUE(TRIM(LEFT(MID($A38,FIND("/",$A38)+1,20),FIND("/",MID($A38,FIND("/",$A38)+1,20))-1))),"")))</f>
        <v/>
      </c>
      <c r="D38">
        <f>IF(OR($A38="",$B38=""),"",IF(ISNUMBER($A38),MOD($A38,100),IFERROR(VALUE(TRIM(MID(MID($A38,FIND("/",$A38)+1,20),FIND("/",MID($A38,FIND("/",$A38)+1,20))+1,20))),"")))</f>
        <v/>
      </c>
      <c r="E38">
        <f>IF($A38="","",IF(OR($B38="",$C38="",$D38="",$B38&lt;1300,$B38&gt;1500,$C38&lt;1,$C38&gt;12,$D38&lt;1,$D38&gt;31),"نامعتبر",RIGHT("0000"&amp;$B38,4)&amp;"/"&amp;RIGHT("00"&amp;$C38,2)&amp;"/"&amp;RIGHT("00"&amp;$D38,2)))</f>
        <v/>
      </c>
      <c r="F38">
        <f>IF(Entry!$D38&lt;&gt;"",IF(AND(ISNUMBER(Entry!$D38),Entry!$D38&gt;=0,Entry!$D38&lt;1),RIGHT("00"&amp;HOUR(Entry!$D38),2)&amp;":"&amp;RIGHT("00"&amp;MINUTE(Entry!$D38),2),IFERROR(RIGHT("00"&amp;VALUE(TRIM(LEFT(Entry!$D38,FIND(":",Entry!$D38)-1))),2)&amp;":"&amp;RIGHT("00"&amp;VALUE(TRIM(MID(Entry!$D38,FIND(":",Entry!$D38)+1,2))),2),"نامعتبر")),IF(OR($E38="",$E38="نامعتبر"),"","00:00"))</f>
        <v/>
      </c>
      <c r="G38">
        <f>IF(OR($E38="",$E38="نامعتبر"),"",IF(Entry!$E38="","",LEFT(UPPER(TRIM(Entry!$E38)),6)))</f>
        <v/>
      </c>
      <c r="H38">
        <f>IF($G38="","",RIGHT($E38,4)&amp;MID($E38,6,2)&amp;RIGHT($E38,2)&amp;IF($F38="","0000",IF($F38="نامعتبر","9999",LEFT($F38,2)&amp;RIGHT($F38,2)))&amp;"|"&amp;RIGHT("00000"&amp;30,5))</f>
        <v/>
      </c>
      <c r="I38">
        <f>IF($H38="","",COUNTIFS(CalcBank,$G38,CalcKey,"&lt;"&amp;$H38)+1)</f>
        <v/>
      </c>
      <c r="J38">
        <f>IF($I38="","",$G38&amp;"|"&amp;RIGHT("000000"&amp;$I38,6))</f>
        <v/>
      </c>
      <c r="K38">
        <f>IF(OR($E38="",$E38="نامعتبر"),"",LEFT($E38,4)&amp;"/"&amp;MID($E38,6,2))</f>
        <v/>
      </c>
      <c r="L38">
        <f>IF(Entry!$K38="",0,Entry!$K38)</f>
        <v/>
      </c>
      <c r="M38">
        <f>IF(Entry!$L38="",0,Entry!$L38)</f>
        <v/>
      </c>
    </row>
    <row r="39">
      <c r="A39">
        <f>IF(Entry!$C39="","",Entry!$C39)</f>
        <v/>
      </c>
      <c r="B39">
        <f>IF($A39="","",IF(ISNUMBER($A39),IF(AND($A39&gt;=10000101,$A39&lt;=99991231),INT($A39/10000),""),IFERROR(VALUE(TRIM(LEFT($A39,FIND("/",$A39)-1))),"")))</f>
        <v/>
      </c>
      <c r="C39">
        <f>IF(OR($A39="",$B39=""),"",IF(ISNUMBER($A39),INT(MOD($A39,10000)/100),IFERROR(VALUE(TRIM(LEFT(MID($A39,FIND("/",$A39)+1,20),FIND("/",MID($A39,FIND("/",$A39)+1,20))-1))),"")))</f>
        <v/>
      </c>
      <c r="D39">
        <f>IF(OR($A39="",$B39=""),"",IF(ISNUMBER($A39),MOD($A39,100),IFERROR(VALUE(TRIM(MID(MID($A39,FIND("/",$A39)+1,20),FIND("/",MID($A39,FIND("/",$A39)+1,20))+1,20))),"")))</f>
        <v/>
      </c>
      <c r="E39">
        <f>IF($A39="","",IF(OR($B39="",$C39="",$D39="",$B39&lt;1300,$B39&gt;1500,$C39&lt;1,$C39&gt;12,$D39&lt;1,$D39&gt;31),"نامعتبر",RIGHT("0000"&amp;$B39,4)&amp;"/"&amp;RIGHT("00"&amp;$C39,2)&amp;"/"&amp;RIGHT("00"&amp;$D39,2)))</f>
        <v/>
      </c>
      <c r="F39">
        <f>IF(Entry!$D39&lt;&gt;"",IF(AND(ISNUMBER(Entry!$D39),Entry!$D39&gt;=0,Entry!$D39&lt;1),RIGHT("00"&amp;HOUR(Entry!$D39),2)&amp;":"&amp;RIGHT("00"&amp;MINUTE(Entry!$D39),2),IFERROR(RIGHT("00"&amp;VALUE(TRIM(LEFT(Entry!$D39,FIND(":",Entry!$D39)-1))),2)&amp;":"&amp;RIGHT("00"&amp;VALUE(TRIM(MID(Entry!$D39,FIND(":",Entry!$D39)+1,2))),2),"نامعتبر")),IF(OR($E39="",$E39="نامعتبر"),"","00:00"))</f>
        <v/>
      </c>
      <c r="G39">
        <f>IF(OR($E39="",$E39="نامعتبر"),"",IF(Entry!$E39="","",LEFT(UPPER(TRIM(Entry!$E39)),6)))</f>
        <v/>
      </c>
      <c r="H39">
        <f>IF($G39="","",RIGHT($E39,4)&amp;MID($E39,6,2)&amp;RIGHT($E39,2)&amp;IF($F39="","0000",IF($F39="نامعتبر","9999",LEFT($F39,2)&amp;RIGHT($F39,2)))&amp;"|"&amp;RIGHT("00000"&amp;31,5))</f>
        <v/>
      </c>
      <c r="I39">
        <f>IF($H39="","",COUNTIFS(CalcBank,$G39,CalcKey,"&lt;"&amp;$H39)+1)</f>
        <v/>
      </c>
      <c r="J39">
        <f>IF($I39="","",$G39&amp;"|"&amp;RIGHT("000000"&amp;$I39,6))</f>
        <v/>
      </c>
      <c r="K39">
        <f>IF(OR($E39="",$E39="نامعتبر"),"",LEFT($E39,4)&amp;"/"&amp;MID($E39,6,2))</f>
        <v/>
      </c>
      <c r="L39">
        <f>IF(Entry!$K39="",0,Entry!$K39)</f>
        <v/>
      </c>
      <c r="M39">
        <f>IF(Entry!$L39="",0,Entry!$L39)</f>
        <v/>
      </c>
    </row>
    <row r="40">
      <c r="A40">
        <f>IF(Entry!$C40="","",Entry!$C40)</f>
        <v/>
      </c>
      <c r="B40">
        <f>IF($A40="","",IF(ISNUMBER($A40),IF(AND($A40&gt;=10000101,$A40&lt;=99991231),INT($A40/10000),""),IFERROR(VALUE(TRIM(LEFT($A40,FIND("/",$A40)-1))),"")))</f>
        <v/>
      </c>
      <c r="C40">
        <f>IF(OR($A40="",$B40=""),"",IF(ISNUMBER($A40),INT(MOD($A40,10000)/100),IFERROR(VALUE(TRIM(LEFT(MID($A40,FIND("/",$A40)+1,20),FIND("/",MID($A40,FIND("/",$A40)+1,20))-1))),"")))</f>
        <v/>
      </c>
      <c r="D40">
        <f>IF(OR($A40="",$B40=""),"",IF(ISNUMBER($A40),MOD($A40,100),IFERROR(VALUE(TRIM(MID(MID($A40,FIND("/",$A40)+1,20),FIND("/",MID($A40,FIND("/",$A40)+1,20))+1,20))),"")))</f>
        <v/>
      </c>
      <c r="E40">
        <f>IF($A40="","",IF(OR($B40="",$C40="",$D40="",$B40&lt;1300,$B40&gt;1500,$C40&lt;1,$C40&gt;12,$D40&lt;1,$D40&gt;31),"نامعتبر",RIGHT("0000"&amp;$B40,4)&amp;"/"&amp;RIGHT("00"&amp;$C40,2)&amp;"/"&amp;RIGHT("00"&amp;$D40,2)))</f>
        <v/>
      </c>
      <c r="F40">
        <f>IF(Entry!$D40&lt;&gt;"",IF(AND(ISNUMBER(Entry!$D40),Entry!$D40&gt;=0,Entry!$D40&lt;1),RIGHT("00"&amp;HOUR(Entry!$D40),2)&amp;":"&amp;RIGHT("00"&amp;MINUTE(Entry!$D40),2),IFERROR(RIGHT("00"&amp;VALUE(TRIM(LEFT(Entry!$D40,FIND(":",Entry!$D40)-1))),2)&amp;":"&amp;RIGHT("00"&amp;VALUE(TRIM(MID(Entry!$D40,FIND(":",Entry!$D40)+1,2))),2),"نامعتبر")),IF(OR($E40="",$E40="نامعتبر"),"","00:00"))</f>
        <v/>
      </c>
      <c r="G40">
        <f>IF(OR($E40="",$E40="نامعتبر"),"",IF(Entry!$E40="","",LEFT(UPPER(TRIM(Entry!$E40)),6)))</f>
        <v/>
      </c>
      <c r="H40">
        <f>IF($G40="","",RIGHT($E40,4)&amp;MID($E40,6,2)&amp;RIGHT($E40,2)&amp;IF($F40="","0000",IF($F40="نامعتبر","9999",LEFT($F40,2)&amp;RIGHT($F40,2)))&amp;"|"&amp;RIGHT("00000"&amp;32,5))</f>
        <v/>
      </c>
      <c r="I40">
        <f>IF($H40="","",COUNTIFS(CalcBank,$G40,CalcKey,"&lt;"&amp;$H40)+1)</f>
        <v/>
      </c>
      <c r="J40">
        <f>IF($I40="","",$G40&amp;"|"&amp;RIGHT("000000"&amp;$I40,6))</f>
        <v/>
      </c>
      <c r="K40">
        <f>IF(OR($E40="",$E40="نامعتبر"),"",LEFT($E40,4)&amp;"/"&amp;MID($E40,6,2))</f>
        <v/>
      </c>
      <c r="L40">
        <f>IF(Entry!$K40="",0,Entry!$K40)</f>
        <v/>
      </c>
      <c r="M40">
        <f>IF(Entry!$L40="",0,Entry!$L40)</f>
        <v/>
      </c>
    </row>
    <row r="41">
      <c r="A41">
        <f>IF(Entry!$C41="","",Entry!$C41)</f>
        <v/>
      </c>
      <c r="B41">
        <f>IF($A41="","",IF(ISNUMBER($A41),IF(AND($A41&gt;=10000101,$A41&lt;=99991231),INT($A41/10000),""),IFERROR(VALUE(TRIM(LEFT($A41,FIND("/",$A41)-1))),"")))</f>
        <v/>
      </c>
      <c r="C41">
        <f>IF(OR($A41="",$B41=""),"",IF(ISNUMBER($A41),INT(MOD($A41,10000)/100),IFERROR(VALUE(TRIM(LEFT(MID($A41,FIND("/",$A41)+1,20),FIND("/",MID($A41,FIND("/",$A41)+1,20))-1))),"")))</f>
        <v/>
      </c>
      <c r="D41">
        <f>IF(OR($A41="",$B41=""),"",IF(ISNUMBER($A41),MOD($A41,100),IFERROR(VALUE(TRIM(MID(MID($A41,FIND("/",$A41)+1,20),FIND("/",MID($A41,FIND("/",$A41)+1,20))+1,20))),"")))</f>
        <v/>
      </c>
      <c r="E41">
        <f>IF($A41="","",IF(OR($B41="",$C41="",$D41="",$B41&lt;1300,$B41&gt;1500,$C41&lt;1,$C41&gt;12,$D41&lt;1,$D41&gt;31),"نامعتبر",RIGHT("0000"&amp;$B41,4)&amp;"/"&amp;RIGHT("00"&amp;$C41,2)&amp;"/"&amp;RIGHT("00"&amp;$D41,2)))</f>
        <v/>
      </c>
      <c r="F41">
        <f>IF(Entry!$D41&lt;&gt;"",IF(AND(ISNUMBER(Entry!$D41),Entry!$D41&gt;=0,Entry!$D41&lt;1),RIGHT("00"&amp;HOUR(Entry!$D41),2)&amp;":"&amp;RIGHT("00"&amp;MINUTE(Entry!$D41),2),IFERROR(RIGHT("00"&amp;VALUE(TRIM(LEFT(Entry!$D41,FIND(":",Entry!$D41)-1))),2)&amp;":"&amp;RIGHT("00"&amp;VALUE(TRIM(MID(Entry!$D41,FIND(":",Entry!$D41)+1,2))),2),"نامعتبر")),IF(OR($E41="",$E41="نامعتبر"),"","00:00"))</f>
        <v/>
      </c>
      <c r="G41">
        <f>IF(OR($E41="",$E41="نامعتبر"),"",IF(Entry!$E41="","",LEFT(UPPER(TRIM(Entry!$E41)),6)))</f>
        <v/>
      </c>
      <c r="H41">
        <f>IF($G41="","",RIGHT($E41,4)&amp;MID($E41,6,2)&amp;RIGHT($E41,2)&amp;IF($F41="","0000",IF($F41="نامعتبر","9999",LEFT($F41,2)&amp;RIGHT($F41,2)))&amp;"|"&amp;RIGHT("00000"&amp;33,5))</f>
        <v/>
      </c>
      <c r="I41">
        <f>IF($H41="","",COUNTIFS(CalcBank,$G41,CalcKey,"&lt;"&amp;$H41)+1)</f>
        <v/>
      </c>
      <c r="J41">
        <f>IF($I41="","",$G41&amp;"|"&amp;RIGHT("000000"&amp;$I41,6))</f>
        <v/>
      </c>
      <c r="K41">
        <f>IF(OR($E41="",$E41="نامعتبر"),"",LEFT($E41,4)&amp;"/"&amp;MID($E41,6,2))</f>
        <v/>
      </c>
      <c r="L41">
        <f>IF(Entry!$K41="",0,Entry!$K41)</f>
        <v/>
      </c>
      <c r="M41">
        <f>IF(Entry!$L41="",0,Entry!$L41)</f>
        <v/>
      </c>
    </row>
    <row r="42">
      <c r="A42">
        <f>IF(Entry!$C42="","",Entry!$C42)</f>
        <v/>
      </c>
      <c r="B42">
        <f>IF($A42="","",IF(ISNUMBER($A42),IF(AND($A42&gt;=10000101,$A42&lt;=99991231),INT($A42/10000),""),IFERROR(VALUE(TRIM(LEFT($A42,FIND("/",$A42)-1))),"")))</f>
        <v/>
      </c>
      <c r="C42">
        <f>IF(OR($A42="",$B42=""),"",IF(ISNUMBER($A42),INT(MOD($A42,10000)/100),IFERROR(VALUE(TRIM(LEFT(MID($A42,FIND("/",$A42)+1,20),FIND("/",MID($A42,FIND("/",$A42)+1,20))-1))),"")))</f>
        <v/>
      </c>
      <c r="D42">
        <f>IF(OR($A42="",$B42=""),"",IF(ISNUMBER($A42),MOD($A42,100),IFERROR(VALUE(TRIM(MID(MID($A42,FIND("/",$A42)+1,20),FIND("/",MID($A42,FIND("/",$A42)+1,20))+1,20))),"")))</f>
        <v/>
      </c>
      <c r="E42">
        <f>IF($A42="","",IF(OR($B42="",$C42="",$D42="",$B42&lt;1300,$B42&gt;1500,$C42&lt;1,$C42&gt;12,$D42&lt;1,$D42&gt;31),"نامعتبر",RIGHT("0000"&amp;$B42,4)&amp;"/"&amp;RIGHT("00"&amp;$C42,2)&amp;"/"&amp;RIGHT("00"&amp;$D42,2)))</f>
        <v/>
      </c>
      <c r="F42">
        <f>IF(Entry!$D42&lt;&gt;"",IF(AND(ISNUMBER(Entry!$D42),Entry!$D42&gt;=0,Entry!$D42&lt;1),RIGHT("00"&amp;HOUR(Entry!$D42),2)&amp;":"&amp;RIGHT("00"&amp;MINUTE(Entry!$D42),2),IFERROR(RIGHT("00"&amp;VALUE(TRIM(LEFT(Entry!$D42,FIND(":",Entry!$D42)-1))),2)&amp;":"&amp;RIGHT("00"&amp;VALUE(TRIM(MID(Entry!$D42,FIND(":",Entry!$D42)+1,2))),2),"نامعتبر")),IF(OR($E42="",$E42="نامعتبر"),"","00:00"))</f>
        <v/>
      </c>
      <c r="G42">
        <f>IF(OR($E42="",$E42="نامعتبر"),"",IF(Entry!$E42="","",LEFT(UPPER(TRIM(Entry!$E42)),6)))</f>
        <v/>
      </c>
      <c r="H42">
        <f>IF($G42="","",RIGHT($E42,4)&amp;MID($E42,6,2)&amp;RIGHT($E42,2)&amp;IF($F42="","0000",IF($F42="نامعتبر","9999",LEFT($F42,2)&amp;RIGHT($F42,2)))&amp;"|"&amp;RIGHT("00000"&amp;34,5))</f>
        <v/>
      </c>
      <c r="I42">
        <f>IF($H42="","",COUNTIFS(CalcBank,$G42,CalcKey,"&lt;"&amp;$H42)+1)</f>
        <v/>
      </c>
      <c r="J42">
        <f>IF($I42="","",$G42&amp;"|"&amp;RIGHT("000000"&amp;$I42,6))</f>
        <v/>
      </c>
      <c r="K42">
        <f>IF(OR($E42="",$E42="نامعتبر"),"",LEFT($E42,4)&amp;"/"&amp;MID($E42,6,2))</f>
        <v/>
      </c>
      <c r="L42">
        <f>IF(Entry!$K42="",0,Entry!$K42)</f>
        <v/>
      </c>
      <c r="M42">
        <f>IF(Entry!$L42="",0,Entry!$L42)</f>
        <v/>
      </c>
    </row>
    <row r="43">
      <c r="A43">
        <f>IF(Entry!$C43="","",Entry!$C43)</f>
        <v/>
      </c>
      <c r="B43">
        <f>IF($A43="","",IF(ISNUMBER($A43),IF(AND($A43&gt;=10000101,$A43&lt;=99991231),INT($A43/10000),""),IFERROR(VALUE(TRIM(LEFT($A43,FIND("/",$A43)-1))),"")))</f>
        <v/>
      </c>
      <c r="C43">
        <f>IF(OR($A43="",$B43=""),"",IF(ISNUMBER($A43),INT(MOD($A43,10000)/100),IFERROR(VALUE(TRIM(LEFT(MID($A43,FIND("/",$A43)+1,20),FIND("/",MID($A43,FIND("/",$A43)+1,20))-1))),"")))</f>
        <v/>
      </c>
      <c r="D43">
        <f>IF(OR($A43="",$B43=""),"",IF(ISNUMBER($A43),MOD($A43,100),IFERROR(VALUE(TRIM(MID(MID($A43,FIND("/",$A43)+1,20),FIND("/",MID($A43,FIND("/",$A43)+1,20))+1,20))),"")))</f>
        <v/>
      </c>
      <c r="E43">
        <f>IF($A43="","",IF(OR($B43="",$C43="",$D43="",$B43&lt;1300,$B43&gt;1500,$C43&lt;1,$C43&gt;12,$D43&lt;1,$D43&gt;31),"نامعتبر",RIGHT("0000"&amp;$B43,4)&amp;"/"&amp;RIGHT("00"&amp;$C43,2)&amp;"/"&amp;RIGHT("00"&amp;$D43,2)))</f>
        <v/>
      </c>
      <c r="F43">
        <f>IF(Entry!$D43&lt;&gt;"",IF(AND(ISNUMBER(Entry!$D43),Entry!$D43&gt;=0,Entry!$D43&lt;1),RIGHT("00"&amp;HOUR(Entry!$D43),2)&amp;":"&amp;RIGHT("00"&amp;MINUTE(Entry!$D43),2),IFERROR(RIGHT("00"&amp;VALUE(TRIM(LEFT(Entry!$D43,FIND(":",Entry!$D43)-1))),2)&amp;":"&amp;RIGHT("00"&amp;VALUE(TRIM(MID(Entry!$D43,FIND(":",Entry!$D43)+1,2))),2),"نامعتبر")),IF(OR($E43="",$E43="نامعتبر"),"","00:00"))</f>
        <v/>
      </c>
      <c r="G43">
        <f>IF(OR($E43="",$E43="نامعتبر"),"",IF(Entry!$E43="","",LEFT(UPPER(TRIM(Entry!$E43)),6)))</f>
        <v/>
      </c>
      <c r="H43">
        <f>IF($G43="","",RIGHT($E43,4)&amp;MID($E43,6,2)&amp;RIGHT($E43,2)&amp;IF($F43="","0000",IF($F43="نامعتبر","9999",LEFT($F43,2)&amp;RIGHT($F43,2)))&amp;"|"&amp;RIGHT("00000"&amp;35,5))</f>
        <v/>
      </c>
      <c r="I43">
        <f>IF($H43="","",COUNTIFS(CalcBank,$G43,CalcKey,"&lt;"&amp;$H43)+1)</f>
        <v/>
      </c>
      <c r="J43">
        <f>IF($I43="","",$G43&amp;"|"&amp;RIGHT("000000"&amp;$I43,6))</f>
        <v/>
      </c>
      <c r="K43">
        <f>IF(OR($E43="",$E43="نامعتبر"),"",LEFT($E43,4)&amp;"/"&amp;MID($E43,6,2))</f>
        <v/>
      </c>
      <c r="L43">
        <f>IF(Entry!$K43="",0,Entry!$K43)</f>
        <v/>
      </c>
      <c r="M43">
        <f>IF(Entry!$L43="",0,Entry!$L43)</f>
        <v/>
      </c>
    </row>
    <row r="44">
      <c r="A44">
        <f>IF(Entry!$C44="","",Entry!$C44)</f>
        <v/>
      </c>
      <c r="B44">
        <f>IF($A44="","",IF(ISNUMBER($A44),IF(AND($A44&gt;=10000101,$A44&lt;=99991231),INT($A44/10000),""),IFERROR(VALUE(TRIM(LEFT($A44,FIND("/",$A44)-1))),"")))</f>
        <v/>
      </c>
      <c r="C44">
        <f>IF(OR($A44="",$B44=""),"",IF(ISNUMBER($A44),INT(MOD($A44,10000)/100),IFERROR(VALUE(TRIM(LEFT(MID($A44,FIND("/",$A44)+1,20),FIND("/",MID($A44,FIND("/",$A44)+1,20))-1))),"")))</f>
        <v/>
      </c>
      <c r="D44">
        <f>IF(OR($A44="",$B44=""),"",IF(ISNUMBER($A44),MOD($A44,100),IFERROR(VALUE(TRIM(MID(MID($A44,FIND("/",$A44)+1,20),FIND("/",MID($A44,FIND("/",$A44)+1,20))+1,20))),"")))</f>
        <v/>
      </c>
      <c r="E44">
        <f>IF($A44="","",IF(OR($B44="",$C44="",$D44="",$B44&lt;1300,$B44&gt;1500,$C44&lt;1,$C44&gt;12,$D44&lt;1,$D44&gt;31),"نامعتبر",RIGHT("0000"&amp;$B44,4)&amp;"/"&amp;RIGHT("00"&amp;$C44,2)&amp;"/"&amp;RIGHT("00"&amp;$D44,2)))</f>
        <v/>
      </c>
      <c r="F44">
        <f>IF(Entry!$D44&lt;&gt;"",IF(AND(ISNUMBER(Entry!$D44),Entry!$D44&gt;=0,Entry!$D44&lt;1),RIGHT("00"&amp;HOUR(Entry!$D44),2)&amp;":"&amp;RIGHT("00"&amp;MINUTE(Entry!$D44),2),IFERROR(RIGHT("00"&amp;VALUE(TRIM(LEFT(Entry!$D44,FIND(":",Entry!$D44)-1))),2)&amp;":"&amp;RIGHT("00"&amp;VALUE(TRIM(MID(Entry!$D44,FIND(":",Entry!$D44)+1,2))),2),"نامعتبر")),IF(OR($E44="",$E44="نامعتبر"),"","00:00"))</f>
        <v/>
      </c>
      <c r="G44">
        <f>IF(OR($E44="",$E44="نامعتبر"),"",IF(Entry!$E44="","",LEFT(UPPER(TRIM(Entry!$E44)),6)))</f>
        <v/>
      </c>
      <c r="H44">
        <f>IF($G44="","",RIGHT($E44,4)&amp;MID($E44,6,2)&amp;RIGHT($E44,2)&amp;IF($F44="","0000",IF($F44="نامعتبر","9999",LEFT($F44,2)&amp;RIGHT($F44,2)))&amp;"|"&amp;RIGHT("00000"&amp;36,5))</f>
        <v/>
      </c>
      <c r="I44">
        <f>IF($H44="","",COUNTIFS(CalcBank,$G44,CalcKey,"&lt;"&amp;$H44)+1)</f>
        <v/>
      </c>
      <c r="J44">
        <f>IF($I44="","",$G44&amp;"|"&amp;RIGHT("000000"&amp;$I44,6))</f>
        <v/>
      </c>
      <c r="K44">
        <f>IF(OR($E44="",$E44="نامعتبر"),"",LEFT($E44,4)&amp;"/"&amp;MID($E44,6,2))</f>
        <v/>
      </c>
      <c r="L44">
        <f>IF(Entry!$K44="",0,Entry!$K44)</f>
        <v/>
      </c>
      <c r="M44">
        <f>IF(Entry!$L44="",0,Entry!$L44)</f>
        <v/>
      </c>
    </row>
    <row r="45">
      <c r="A45">
        <f>IF(Entry!$C45="","",Entry!$C45)</f>
        <v/>
      </c>
      <c r="B45">
        <f>IF($A45="","",IF(ISNUMBER($A45),IF(AND($A45&gt;=10000101,$A45&lt;=99991231),INT($A45/10000),""),IFERROR(VALUE(TRIM(LEFT($A45,FIND("/",$A45)-1))),"")))</f>
        <v/>
      </c>
      <c r="C45">
        <f>IF(OR($A45="",$B45=""),"",IF(ISNUMBER($A45),INT(MOD($A45,10000)/100),IFERROR(VALUE(TRIM(LEFT(MID($A45,FIND("/",$A45)+1,20),FIND("/",MID($A45,FIND("/",$A45)+1,20))-1))),"")))</f>
        <v/>
      </c>
      <c r="D45">
        <f>IF(OR($A45="",$B45=""),"",IF(ISNUMBER($A45),MOD($A45,100),IFERROR(VALUE(TRIM(MID(MID($A45,FIND("/",$A45)+1,20),FIND("/",MID($A45,FIND("/",$A45)+1,20))+1,20))),"")))</f>
        <v/>
      </c>
      <c r="E45">
        <f>IF($A45="","",IF(OR($B45="",$C45="",$D45="",$B45&lt;1300,$B45&gt;1500,$C45&lt;1,$C45&gt;12,$D45&lt;1,$D45&gt;31),"نامعتبر",RIGHT("0000"&amp;$B45,4)&amp;"/"&amp;RIGHT("00"&amp;$C45,2)&amp;"/"&amp;RIGHT("00"&amp;$D45,2)))</f>
        <v/>
      </c>
      <c r="F45">
        <f>IF(Entry!$D45&lt;&gt;"",IF(AND(ISNUMBER(Entry!$D45),Entry!$D45&gt;=0,Entry!$D45&lt;1),RIGHT("00"&amp;HOUR(Entry!$D45),2)&amp;":"&amp;RIGHT("00"&amp;MINUTE(Entry!$D45),2),IFERROR(RIGHT("00"&amp;VALUE(TRIM(LEFT(Entry!$D45,FIND(":",Entry!$D45)-1))),2)&amp;":"&amp;RIGHT("00"&amp;VALUE(TRIM(MID(Entry!$D45,FIND(":",Entry!$D45)+1,2))),2),"نامعتبر")),IF(OR($E45="",$E45="نامعتبر"),"","00:00"))</f>
        <v/>
      </c>
      <c r="G45">
        <f>IF(OR($E45="",$E45="نامعتبر"),"",IF(Entry!$E45="","",LEFT(UPPER(TRIM(Entry!$E45)),6)))</f>
        <v/>
      </c>
      <c r="H45">
        <f>IF($G45="","",RIGHT($E45,4)&amp;MID($E45,6,2)&amp;RIGHT($E45,2)&amp;IF($F45="","0000",IF($F45="نامعتبر","9999",LEFT($F45,2)&amp;RIGHT($F45,2)))&amp;"|"&amp;RIGHT("00000"&amp;37,5))</f>
        <v/>
      </c>
      <c r="I45">
        <f>IF($H45="","",COUNTIFS(CalcBank,$G45,CalcKey,"&lt;"&amp;$H45)+1)</f>
        <v/>
      </c>
      <c r="J45">
        <f>IF($I45="","",$G45&amp;"|"&amp;RIGHT("000000"&amp;$I45,6))</f>
        <v/>
      </c>
      <c r="K45">
        <f>IF(OR($E45="",$E45="نامعتبر"),"",LEFT($E45,4)&amp;"/"&amp;MID($E45,6,2))</f>
        <v/>
      </c>
      <c r="L45">
        <f>IF(Entry!$K45="",0,Entry!$K45)</f>
        <v/>
      </c>
      <c r="M45">
        <f>IF(Entry!$L45="",0,Entry!$L45)</f>
        <v/>
      </c>
    </row>
    <row r="46">
      <c r="A46">
        <f>IF(Entry!$C46="","",Entry!$C46)</f>
        <v/>
      </c>
      <c r="B46">
        <f>IF($A46="","",IF(ISNUMBER($A46),IF(AND($A46&gt;=10000101,$A46&lt;=99991231),INT($A46/10000),""),IFERROR(VALUE(TRIM(LEFT($A46,FIND("/",$A46)-1))),"")))</f>
        <v/>
      </c>
      <c r="C46">
        <f>IF(OR($A46="",$B46=""),"",IF(ISNUMBER($A46),INT(MOD($A46,10000)/100),IFERROR(VALUE(TRIM(LEFT(MID($A46,FIND("/",$A46)+1,20),FIND("/",MID($A46,FIND("/",$A46)+1,20))-1))),"")))</f>
        <v/>
      </c>
      <c r="D46">
        <f>IF(OR($A46="",$B46=""),"",IF(ISNUMBER($A46),MOD($A46,100),IFERROR(VALUE(TRIM(MID(MID($A46,FIND("/",$A46)+1,20),FIND("/",MID($A46,FIND("/",$A46)+1,20))+1,20))),"")))</f>
        <v/>
      </c>
      <c r="E46">
        <f>IF($A46="","",IF(OR($B46="",$C46="",$D46="",$B46&lt;1300,$B46&gt;1500,$C46&lt;1,$C46&gt;12,$D46&lt;1,$D46&gt;31),"نامعتبر",RIGHT("0000"&amp;$B46,4)&amp;"/"&amp;RIGHT("00"&amp;$C46,2)&amp;"/"&amp;RIGHT("00"&amp;$D46,2)))</f>
        <v/>
      </c>
      <c r="F46">
        <f>IF(Entry!$D46&lt;&gt;"",IF(AND(ISNUMBER(Entry!$D46),Entry!$D46&gt;=0,Entry!$D46&lt;1),RIGHT("00"&amp;HOUR(Entry!$D46),2)&amp;":"&amp;RIGHT("00"&amp;MINUTE(Entry!$D46),2),IFERROR(RIGHT("00"&amp;VALUE(TRIM(LEFT(Entry!$D46,FIND(":",Entry!$D46)-1))),2)&amp;":"&amp;RIGHT("00"&amp;VALUE(TRIM(MID(Entry!$D46,FIND(":",Entry!$D46)+1,2))),2),"نامعتبر")),IF(OR($E46="",$E46="نامعتبر"),"","00:00"))</f>
        <v/>
      </c>
      <c r="G46">
        <f>IF(OR($E46="",$E46="نامعتبر"),"",IF(Entry!$E46="","",LEFT(UPPER(TRIM(Entry!$E46)),6)))</f>
        <v/>
      </c>
      <c r="H46">
        <f>IF($G46="","",RIGHT($E46,4)&amp;MID($E46,6,2)&amp;RIGHT($E46,2)&amp;IF($F46="","0000",IF($F46="نامعتبر","9999",LEFT($F46,2)&amp;RIGHT($F46,2)))&amp;"|"&amp;RIGHT("00000"&amp;38,5))</f>
        <v/>
      </c>
      <c r="I46">
        <f>IF($H46="","",COUNTIFS(CalcBank,$G46,CalcKey,"&lt;"&amp;$H46)+1)</f>
        <v/>
      </c>
      <c r="J46">
        <f>IF($I46="","",$G46&amp;"|"&amp;RIGHT("000000"&amp;$I46,6))</f>
        <v/>
      </c>
      <c r="K46">
        <f>IF(OR($E46="",$E46="نامعتبر"),"",LEFT($E46,4)&amp;"/"&amp;MID($E46,6,2))</f>
        <v/>
      </c>
      <c r="L46">
        <f>IF(Entry!$K46="",0,Entry!$K46)</f>
        <v/>
      </c>
      <c r="M46">
        <f>IF(Entry!$L46="",0,Entry!$L46)</f>
        <v/>
      </c>
    </row>
    <row r="47">
      <c r="A47">
        <f>IF(Entry!$C47="","",Entry!$C47)</f>
        <v/>
      </c>
      <c r="B47">
        <f>IF($A47="","",IF(ISNUMBER($A47),IF(AND($A47&gt;=10000101,$A47&lt;=99991231),INT($A47/10000),""),IFERROR(VALUE(TRIM(LEFT($A47,FIND("/",$A47)-1))),"")))</f>
        <v/>
      </c>
      <c r="C47">
        <f>IF(OR($A47="",$B47=""),"",IF(ISNUMBER($A47),INT(MOD($A47,10000)/100),IFERROR(VALUE(TRIM(LEFT(MID($A47,FIND("/",$A47)+1,20),FIND("/",MID($A47,FIND("/",$A47)+1,20))-1))),"")))</f>
        <v/>
      </c>
      <c r="D47">
        <f>IF(OR($A47="",$B47=""),"",IF(ISNUMBER($A47),MOD($A47,100),IFERROR(VALUE(TRIM(MID(MID($A47,FIND("/",$A47)+1,20),FIND("/",MID($A47,FIND("/",$A47)+1,20))+1,20))),"")))</f>
        <v/>
      </c>
      <c r="E47">
        <f>IF($A47="","",IF(OR($B47="",$C47="",$D47="",$B47&lt;1300,$B47&gt;1500,$C47&lt;1,$C47&gt;12,$D47&lt;1,$D47&gt;31),"نامعتبر",RIGHT("0000"&amp;$B47,4)&amp;"/"&amp;RIGHT("00"&amp;$C47,2)&amp;"/"&amp;RIGHT("00"&amp;$D47,2)))</f>
        <v/>
      </c>
      <c r="F47">
        <f>IF(Entry!$D47&lt;&gt;"",IF(AND(ISNUMBER(Entry!$D47),Entry!$D47&gt;=0,Entry!$D47&lt;1),RIGHT("00"&amp;HOUR(Entry!$D47),2)&amp;":"&amp;RIGHT("00"&amp;MINUTE(Entry!$D47),2),IFERROR(RIGHT("00"&amp;VALUE(TRIM(LEFT(Entry!$D47,FIND(":",Entry!$D47)-1))),2)&amp;":"&amp;RIGHT("00"&amp;VALUE(TRIM(MID(Entry!$D47,FIND(":",Entry!$D47)+1,2))),2),"نامعتبر")),IF(OR($E47="",$E47="نامعتبر"),"","00:00"))</f>
        <v/>
      </c>
      <c r="G47">
        <f>IF(OR($E47="",$E47="نامعتبر"),"",IF(Entry!$E47="","",LEFT(UPPER(TRIM(Entry!$E47)),6)))</f>
        <v/>
      </c>
      <c r="H47">
        <f>IF($G47="","",RIGHT($E47,4)&amp;MID($E47,6,2)&amp;RIGHT($E47,2)&amp;IF($F47="","0000",IF($F47="نامعتبر","9999",LEFT($F47,2)&amp;RIGHT($F47,2)))&amp;"|"&amp;RIGHT("00000"&amp;39,5))</f>
        <v/>
      </c>
      <c r="I47">
        <f>IF($H47="","",COUNTIFS(CalcBank,$G47,CalcKey,"&lt;"&amp;$H47)+1)</f>
        <v/>
      </c>
      <c r="J47">
        <f>IF($I47="","",$G47&amp;"|"&amp;RIGHT("000000"&amp;$I47,6))</f>
        <v/>
      </c>
      <c r="K47">
        <f>IF(OR($E47="",$E47="نامعتبر"),"",LEFT($E47,4)&amp;"/"&amp;MID($E47,6,2))</f>
        <v/>
      </c>
      <c r="L47">
        <f>IF(Entry!$K47="",0,Entry!$K47)</f>
        <v/>
      </c>
      <c r="M47">
        <f>IF(Entry!$L47="",0,Entry!$L47)</f>
        <v/>
      </c>
    </row>
    <row r="48">
      <c r="A48">
        <f>IF(Entry!$C48="","",Entry!$C48)</f>
        <v/>
      </c>
      <c r="B48">
        <f>IF($A48="","",IF(ISNUMBER($A48),IF(AND($A48&gt;=10000101,$A48&lt;=99991231),INT($A48/10000),""),IFERROR(VALUE(TRIM(LEFT($A48,FIND("/",$A48)-1))),"")))</f>
        <v/>
      </c>
      <c r="C48">
        <f>IF(OR($A48="",$B48=""),"",IF(ISNUMBER($A48),INT(MOD($A48,10000)/100),IFERROR(VALUE(TRIM(LEFT(MID($A48,FIND("/",$A48)+1,20),FIND("/",MID($A48,FIND("/",$A48)+1,20))-1))),"")))</f>
        <v/>
      </c>
      <c r="D48">
        <f>IF(OR($A48="",$B48=""),"",IF(ISNUMBER($A48),MOD($A48,100),IFERROR(VALUE(TRIM(MID(MID($A48,FIND("/",$A48)+1,20),FIND("/",MID($A48,FIND("/",$A48)+1,20))+1,20))),"")))</f>
        <v/>
      </c>
      <c r="E48">
        <f>IF($A48="","",IF(OR($B48="",$C48="",$D48="",$B48&lt;1300,$B48&gt;1500,$C48&lt;1,$C48&gt;12,$D48&lt;1,$D48&gt;31),"نامعتبر",RIGHT("0000"&amp;$B48,4)&amp;"/"&amp;RIGHT("00"&amp;$C48,2)&amp;"/"&amp;RIGHT("00"&amp;$D48,2)))</f>
        <v/>
      </c>
      <c r="F48">
        <f>IF(Entry!$D48&lt;&gt;"",IF(AND(ISNUMBER(Entry!$D48),Entry!$D48&gt;=0,Entry!$D48&lt;1),RIGHT("00"&amp;HOUR(Entry!$D48),2)&amp;":"&amp;RIGHT("00"&amp;MINUTE(Entry!$D48),2),IFERROR(RIGHT("00"&amp;VALUE(TRIM(LEFT(Entry!$D48,FIND(":",Entry!$D48)-1))),2)&amp;":"&amp;RIGHT("00"&amp;VALUE(TRIM(MID(Entry!$D48,FIND(":",Entry!$D48)+1,2))),2),"نامعتبر")),IF(OR($E48="",$E48="نامعتبر"),"","00:00"))</f>
        <v/>
      </c>
      <c r="G48">
        <f>IF(OR($E48="",$E48="نامعتبر"),"",IF(Entry!$E48="","",LEFT(UPPER(TRIM(Entry!$E48)),6)))</f>
        <v/>
      </c>
      <c r="H48">
        <f>IF($G48="","",RIGHT($E48,4)&amp;MID($E48,6,2)&amp;RIGHT($E48,2)&amp;IF($F48="","0000",IF($F48="نامعتبر","9999",LEFT($F48,2)&amp;RIGHT($F48,2)))&amp;"|"&amp;RIGHT("00000"&amp;40,5))</f>
        <v/>
      </c>
      <c r="I48">
        <f>IF($H48="","",COUNTIFS(CalcBank,$G48,CalcKey,"&lt;"&amp;$H48)+1)</f>
        <v/>
      </c>
      <c r="J48">
        <f>IF($I48="","",$G48&amp;"|"&amp;RIGHT("000000"&amp;$I48,6))</f>
        <v/>
      </c>
      <c r="K48">
        <f>IF(OR($E48="",$E48="نامعتبر"),"",LEFT($E48,4)&amp;"/"&amp;MID($E48,6,2))</f>
        <v/>
      </c>
      <c r="L48">
        <f>IF(Entry!$K48="",0,Entry!$K48)</f>
        <v/>
      </c>
      <c r="M48">
        <f>IF(Entry!$L48="",0,Entry!$L48)</f>
        <v/>
      </c>
    </row>
    <row r="49">
      <c r="A49">
        <f>IF(Entry!$C49="","",Entry!$C49)</f>
        <v/>
      </c>
      <c r="B49">
        <f>IF($A49="","",IF(ISNUMBER($A49),IF(AND($A49&gt;=10000101,$A49&lt;=99991231),INT($A49/10000),""),IFERROR(VALUE(TRIM(LEFT($A49,FIND("/",$A49)-1))),"")))</f>
        <v/>
      </c>
      <c r="C49">
        <f>IF(OR($A49="",$B49=""),"",IF(ISNUMBER($A49),INT(MOD($A49,10000)/100),IFERROR(VALUE(TRIM(LEFT(MID($A49,FIND("/",$A49)+1,20),FIND("/",MID($A49,FIND("/",$A49)+1,20))-1))),"")))</f>
        <v/>
      </c>
      <c r="D49">
        <f>IF(OR($A49="",$B49=""),"",IF(ISNUMBER($A49),MOD($A49,100),IFERROR(VALUE(TRIM(MID(MID($A49,FIND("/",$A49)+1,20),FIND("/",MID($A49,FIND("/",$A49)+1,20))+1,20))),"")))</f>
        <v/>
      </c>
      <c r="E49">
        <f>IF($A49="","",IF(OR($B49="",$C49="",$D49="",$B49&lt;1300,$B49&gt;1500,$C49&lt;1,$C49&gt;12,$D49&lt;1,$D49&gt;31),"نامعتبر",RIGHT("0000"&amp;$B49,4)&amp;"/"&amp;RIGHT("00"&amp;$C49,2)&amp;"/"&amp;RIGHT("00"&amp;$D49,2)))</f>
        <v/>
      </c>
      <c r="F49">
        <f>IF(Entry!$D49&lt;&gt;"",IF(AND(ISNUMBER(Entry!$D49),Entry!$D49&gt;=0,Entry!$D49&lt;1),RIGHT("00"&amp;HOUR(Entry!$D49),2)&amp;":"&amp;RIGHT("00"&amp;MINUTE(Entry!$D49),2),IFERROR(RIGHT("00"&amp;VALUE(TRIM(LEFT(Entry!$D49,FIND(":",Entry!$D49)-1))),2)&amp;":"&amp;RIGHT("00"&amp;VALUE(TRIM(MID(Entry!$D49,FIND(":",Entry!$D49)+1,2))),2),"نامعتبر")),IF(OR($E49="",$E49="نامعتبر"),"","00:00"))</f>
        <v/>
      </c>
      <c r="G49">
        <f>IF(OR($E49="",$E49="نامعتبر"),"",IF(Entry!$E49="","",LEFT(UPPER(TRIM(Entry!$E49)),6)))</f>
        <v/>
      </c>
      <c r="H49">
        <f>IF($G49="","",RIGHT($E49,4)&amp;MID($E49,6,2)&amp;RIGHT($E49,2)&amp;IF($F49="","0000",IF($F49="نامعتبر","9999",LEFT($F49,2)&amp;RIGHT($F49,2)))&amp;"|"&amp;RIGHT("00000"&amp;41,5))</f>
        <v/>
      </c>
      <c r="I49">
        <f>IF($H49="","",COUNTIFS(CalcBank,$G49,CalcKey,"&lt;"&amp;$H49)+1)</f>
        <v/>
      </c>
      <c r="J49">
        <f>IF($I49="","",$G49&amp;"|"&amp;RIGHT("000000"&amp;$I49,6))</f>
        <v/>
      </c>
      <c r="K49">
        <f>IF(OR($E49="",$E49="نامعتبر"),"",LEFT($E49,4)&amp;"/"&amp;MID($E49,6,2))</f>
        <v/>
      </c>
      <c r="L49">
        <f>IF(Entry!$K49="",0,Entry!$K49)</f>
        <v/>
      </c>
      <c r="M49">
        <f>IF(Entry!$L49="",0,Entry!$L49)</f>
        <v/>
      </c>
    </row>
    <row r="50">
      <c r="A50">
        <f>IF(Entry!$C50="","",Entry!$C50)</f>
        <v/>
      </c>
      <c r="B50">
        <f>IF($A50="","",IF(ISNUMBER($A50),IF(AND($A50&gt;=10000101,$A50&lt;=99991231),INT($A50/10000),""),IFERROR(VALUE(TRIM(LEFT($A50,FIND("/",$A50)-1))),"")))</f>
        <v/>
      </c>
      <c r="C50">
        <f>IF(OR($A50="",$B50=""),"",IF(ISNUMBER($A50),INT(MOD($A50,10000)/100),IFERROR(VALUE(TRIM(LEFT(MID($A50,FIND("/",$A50)+1,20),FIND("/",MID($A50,FIND("/",$A50)+1,20))-1))),"")))</f>
        <v/>
      </c>
      <c r="D50">
        <f>IF(OR($A50="",$B50=""),"",IF(ISNUMBER($A50),MOD($A50,100),IFERROR(VALUE(TRIM(MID(MID($A50,FIND("/",$A50)+1,20),FIND("/",MID($A50,FIND("/",$A50)+1,20))+1,20))),"")))</f>
        <v/>
      </c>
      <c r="E50">
        <f>IF($A50="","",IF(OR($B50="",$C50="",$D50="",$B50&lt;1300,$B50&gt;1500,$C50&lt;1,$C50&gt;12,$D50&lt;1,$D50&gt;31),"نامعتبر",RIGHT("0000"&amp;$B50,4)&amp;"/"&amp;RIGHT("00"&amp;$C50,2)&amp;"/"&amp;RIGHT("00"&amp;$D50,2)))</f>
        <v/>
      </c>
      <c r="F50">
        <f>IF(Entry!$D50&lt;&gt;"",IF(AND(ISNUMBER(Entry!$D50),Entry!$D50&gt;=0,Entry!$D50&lt;1),RIGHT("00"&amp;HOUR(Entry!$D50),2)&amp;":"&amp;RIGHT("00"&amp;MINUTE(Entry!$D50),2),IFERROR(RIGHT("00"&amp;VALUE(TRIM(LEFT(Entry!$D50,FIND(":",Entry!$D50)-1))),2)&amp;":"&amp;RIGHT("00"&amp;VALUE(TRIM(MID(Entry!$D50,FIND(":",Entry!$D50)+1,2))),2),"نامعتبر")),IF(OR($E50="",$E50="نامعتبر"),"","00:00"))</f>
        <v/>
      </c>
      <c r="G50">
        <f>IF(OR($E50="",$E50="نامعتبر"),"",IF(Entry!$E50="","",LEFT(UPPER(TRIM(Entry!$E50)),6)))</f>
        <v/>
      </c>
      <c r="H50">
        <f>IF($G50="","",RIGHT($E50,4)&amp;MID($E50,6,2)&amp;RIGHT($E50,2)&amp;IF($F50="","0000",IF($F50="نامعتبر","9999",LEFT($F50,2)&amp;RIGHT($F50,2)))&amp;"|"&amp;RIGHT("00000"&amp;42,5))</f>
        <v/>
      </c>
      <c r="I50">
        <f>IF($H50="","",COUNTIFS(CalcBank,$G50,CalcKey,"&lt;"&amp;$H50)+1)</f>
        <v/>
      </c>
      <c r="J50">
        <f>IF($I50="","",$G50&amp;"|"&amp;RIGHT("000000"&amp;$I50,6))</f>
        <v/>
      </c>
      <c r="K50">
        <f>IF(OR($E50="",$E50="نامعتبر"),"",LEFT($E50,4)&amp;"/"&amp;MID($E50,6,2))</f>
        <v/>
      </c>
      <c r="L50">
        <f>IF(Entry!$K50="",0,Entry!$K50)</f>
        <v/>
      </c>
      <c r="M50">
        <f>IF(Entry!$L50="",0,Entry!$L50)</f>
        <v/>
      </c>
    </row>
    <row r="51">
      <c r="A51">
        <f>IF(Entry!$C51="","",Entry!$C51)</f>
        <v/>
      </c>
      <c r="B51">
        <f>IF($A51="","",IF(ISNUMBER($A51),IF(AND($A51&gt;=10000101,$A51&lt;=99991231),INT($A51/10000),""),IFERROR(VALUE(TRIM(LEFT($A51,FIND("/",$A51)-1))),"")))</f>
        <v/>
      </c>
      <c r="C51">
        <f>IF(OR($A51="",$B51=""),"",IF(ISNUMBER($A51),INT(MOD($A51,10000)/100),IFERROR(VALUE(TRIM(LEFT(MID($A51,FIND("/",$A51)+1,20),FIND("/",MID($A51,FIND("/",$A51)+1,20))-1))),"")))</f>
        <v/>
      </c>
      <c r="D51">
        <f>IF(OR($A51="",$B51=""),"",IF(ISNUMBER($A51),MOD($A51,100),IFERROR(VALUE(TRIM(MID(MID($A51,FIND("/",$A51)+1,20),FIND("/",MID($A51,FIND("/",$A51)+1,20))+1,20))),"")))</f>
        <v/>
      </c>
      <c r="E51">
        <f>IF($A51="","",IF(OR($B51="",$C51="",$D51="",$B51&lt;1300,$B51&gt;1500,$C51&lt;1,$C51&gt;12,$D51&lt;1,$D51&gt;31),"نامعتبر",RIGHT("0000"&amp;$B51,4)&amp;"/"&amp;RIGHT("00"&amp;$C51,2)&amp;"/"&amp;RIGHT("00"&amp;$D51,2)))</f>
        <v/>
      </c>
      <c r="F51">
        <f>IF(Entry!$D51&lt;&gt;"",IF(AND(ISNUMBER(Entry!$D51),Entry!$D51&gt;=0,Entry!$D51&lt;1),RIGHT("00"&amp;HOUR(Entry!$D51),2)&amp;":"&amp;RIGHT("00"&amp;MINUTE(Entry!$D51),2),IFERROR(RIGHT("00"&amp;VALUE(TRIM(LEFT(Entry!$D51,FIND(":",Entry!$D51)-1))),2)&amp;":"&amp;RIGHT("00"&amp;VALUE(TRIM(MID(Entry!$D51,FIND(":",Entry!$D51)+1,2))),2),"نامعتبر")),IF(OR($E51="",$E51="نامعتبر"),"","00:00"))</f>
        <v/>
      </c>
      <c r="G51">
        <f>IF(OR($E51="",$E51="نامعتبر"),"",IF(Entry!$E51="","",LEFT(UPPER(TRIM(Entry!$E51)),6)))</f>
        <v/>
      </c>
      <c r="H51">
        <f>IF($G51="","",RIGHT($E51,4)&amp;MID($E51,6,2)&amp;RIGHT($E51,2)&amp;IF($F51="","0000",IF($F51="نامعتبر","9999",LEFT($F51,2)&amp;RIGHT($F51,2)))&amp;"|"&amp;RIGHT("00000"&amp;43,5))</f>
        <v/>
      </c>
      <c r="I51">
        <f>IF($H51="","",COUNTIFS(CalcBank,$G51,CalcKey,"&lt;"&amp;$H51)+1)</f>
        <v/>
      </c>
      <c r="J51">
        <f>IF($I51="","",$G51&amp;"|"&amp;RIGHT("000000"&amp;$I51,6))</f>
        <v/>
      </c>
      <c r="K51">
        <f>IF(OR($E51="",$E51="نامعتبر"),"",LEFT($E51,4)&amp;"/"&amp;MID($E51,6,2))</f>
        <v/>
      </c>
      <c r="L51">
        <f>IF(Entry!$K51="",0,Entry!$K51)</f>
        <v/>
      </c>
      <c r="M51">
        <f>IF(Entry!$L51="",0,Entry!$L51)</f>
        <v/>
      </c>
    </row>
    <row r="52">
      <c r="A52">
        <f>IF(Entry!$C52="","",Entry!$C52)</f>
        <v/>
      </c>
      <c r="B52">
        <f>IF($A52="","",IF(ISNUMBER($A52),IF(AND($A52&gt;=10000101,$A52&lt;=99991231),INT($A52/10000),""),IFERROR(VALUE(TRIM(LEFT($A52,FIND("/",$A52)-1))),"")))</f>
        <v/>
      </c>
      <c r="C52">
        <f>IF(OR($A52="",$B52=""),"",IF(ISNUMBER($A52),INT(MOD($A52,10000)/100),IFERROR(VALUE(TRIM(LEFT(MID($A52,FIND("/",$A52)+1,20),FIND("/",MID($A52,FIND("/",$A52)+1,20))-1))),"")))</f>
        <v/>
      </c>
      <c r="D52">
        <f>IF(OR($A52="",$B52=""),"",IF(ISNUMBER($A52),MOD($A52,100),IFERROR(VALUE(TRIM(MID(MID($A52,FIND("/",$A52)+1,20),FIND("/",MID($A52,FIND("/",$A52)+1,20))+1,20))),"")))</f>
        <v/>
      </c>
      <c r="E52">
        <f>IF($A52="","",IF(OR($B52="",$C52="",$D52="",$B52&lt;1300,$B52&gt;1500,$C52&lt;1,$C52&gt;12,$D52&lt;1,$D52&gt;31),"نامعتبر",RIGHT("0000"&amp;$B52,4)&amp;"/"&amp;RIGHT("00"&amp;$C52,2)&amp;"/"&amp;RIGHT("00"&amp;$D52,2)))</f>
        <v/>
      </c>
      <c r="F52">
        <f>IF(Entry!$D52&lt;&gt;"",IF(AND(ISNUMBER(Entry!$D52),Entry!$D52&gt;=0,Entry!$D52&lt;1),RIGHT("00"&amp;HOUR(Entry!$D52),2)&amp;":"&amp;RIGHT("00"&amp;MINUTE(Entry!$D52),2),IFERROR(RIGHT("00"&amp;VALUE(TRIM(LEFT(Entry!$D52,FIND(":",Entry!$D52)-1))),2)&amp;":"&amp;RIGHT("00"&amp;VALUE(TRIM(MID(Entry!$D52,FIND(":",Entry!$D52)+1,2))),2),"نامعتبر")),IF(OR($E52="",$E52="نامعتبر"),"","00:00"))</f>
        <v/>
      </c>
      <c r="G52">
        <f>IF(OR($E52="",$E52="نامعتبر"),"",IF(Entry!$E52="","",LEFT(UPPER(TRIM(Entry!$E52)),6)))</f>
        <v/>
      </c>
      <c r="H52">
        <f>IF($G52="","",RIGHT($E52,4)&amp;MID($E52,6,2)&amp;RIGHT($E52,2)&amp;IF($F52="","0000",IF($F52="نامعتبر","9999",LEFT($F52,2)&amp;RIGHT($F52,2)))&amp;"|"&amp;RIGHT("00000"&amp;44,5))</f>
        <v/>
      </c>
      <c r="I52">
        <f>IF($H52="","",COUNTIFS(CalcBank,$G52,CalcKey,"&lt;"&amp;$H52)+1)</f>
        <v/>
      </c>
      <c r="J52">
        <f>IF($I52="","",$G52&amp;"|"&amp;RIGHT("000000"&amp;$I52,6))</f>
        <v/>
      </c>
      <c r="K52">
        <f>IF(OR($E52="",$E52="نامعتبر"),"",LEFT($E52,4)&amp;"/"&amp;MID($E52,6,2))</f>
        <v/>
      </c>
      <c r="L52">
        <f>IF(Entry!$K52="",0,Entry!$K52)</f>
        <v/>
      </c>
      <c r="M52">
        <f>IF(Entry!$L52="",0,Entry!$L52)</f>
        <v/>
      </c>
    </row>
    <row r="53">
      <c r="A53">
        <f>IF(Entry!$C53="","",Entry!$C53)</f>
        <v/>
      </c>
      <c r="B53">
        <f>IF($A53="","",IF(ISNUMBER($A53),IF(AND($A53&gt;=10000101,$A53&lt;=99991231),INT($A53/10000),""),IFERROR(VALUE(TRIM(LEFT($A53,FIND("/",$A53)-1))),"")))</f>
        <v/>
      </c>
      <c r="C53">
        <f>IF(OR($A53="",$B53=""),"",IF(ISNUMBER($A53),INT(MOD($A53,10000)/100),IFERROR(VALUE(TRIM(LEFT(MID($A53,FIND("/",$A53)+1,20),FIND("/",MID($A53,FIND("/",$A53)+1,20))-1))),"")))</f>
        <v/>
      </c>
      <c r="D53">
        <f>IF(OR($A53="",$B53=""),"",IF(ISNUMBER($A53),MOD($A53,100),IFERROR(VALUE(TRIM(MID(MID($A53,FIND("/",$A53)+1,20),FIND("/",MID($A53,FIND("/",$A53)+1,20))+1,20))),"")))</f>
        <v/>
      </c>
      <c r="E53">
        <f>IF($A53="","",IF(OR($B53="",$C53="",$D53="",$B53&lt;1300,$B53&gt;1500,$C53&lt;1,$C53&gt;12,$D53&lt;1,$D53&gt;31),"نامعتبر",RIGHT("0000"&amp;$B53,4)&amp;"/"&amp;RIGHT("00"&amp;$C53,2)&amp;"/"&amp;RIGHT("00"&amp;$D53,2)))</f>
        <v/>
      </c>
      <c r="F53">
        <f>IF(Entry!$D53&lt;&gt;"",IF(AND(ISNUMBER(Entry!$D53),Entry!$D53&gt;=0,Entry!$D53&lt;1),RIGHT("00"&amp;HOUR(Entry!$D53),2)&amp;":"&amp;RIGHT("00"&amp;MINUTE(Entry!$D53),2),IFERROR(RIGHT("00"&amp;VALUE(TRIM(LEFT(Entry!$D53,FIND(":",Entry!$D53)-1))),2)&amp;":"&amp;RIGHT("00"&amp;VALUE(TRIM(MID(Entry!$D53,FIND(":",Entry!$D53)+1,2))),2),"نامعتبر")),IF(OR($E53="",$E53="نامعتبر"),"","00:00"))</f>
        <v/>
      </c>
      <c r="G53">
        <f>IF(OR($E53="",$E53="نامعتبر"),"",IF(Entry!$E53="","",LEFT(UPPER(TRIM(Entry!$E53)),6)))</f>
        <v/>
      </c>
      <c r="H53">
        <f>IF($G53="","",RIGHT($E53,4)&amp;MID($E53,6,2)&amp;RIGHT($E53,2)&amp;IF($F53="","0000",IF($F53="نامعتبر","9999",LEFT($F53,2)&amp;RIGHT($F53,2)))&amp;"|"&amp;RIGHT("00000"&amp;45,5))</f>
        <v/>
      </c>
      <c r="I53">
        <f>IF($H53="","",COUNTIFS(CalcBank,$G53,CalcKey,"&lt;"&amp;$H53)+1)</f>
        <v/>
      </c>
      <c r="J53">
        <f>IF($I53="","",$G53&amp;"|"&amp;RIGHT("000000"&amp;$I53,6))</f>
        <v/>
      </c>
      <c r="K53">
        <f>IF(OR($E53="",$E53="نامعتبر"),"",LEFT($E53,4)&amp;"/"&amp;MID($E53,6,2))</f>
        <v/>
      </c>
      <c r="L53">
        <f>IF(Entry!$K53="",0,Entry!$K53)</f>
        <v/>
      </c>
      <c r="M53">
        <f>IF(Entry!$L53="",0,Entry!$L53)</f>
        <v/>
      </c>
    </row>
    <row r="54">
      <c r="A54">
        <f>IF(Entry!$C54="","",Entry!$C54)</f>
        <v/>
      </c>
      <c r="B54">
        <f>IF($A54="","",IF(ISNUMBER($A54),IF(AND($A54&gt;=10000101,$A54&lt;=99991231),INT($A54/10000),""),IFERROR(VALUE(TRIM(LEFT($A54,FIND("/",$A54)-1))),"")))</f>
        <v/>
      </c>
      <c r="C54">
        <f>IF(OR($A54="",$B54=""),"",IF(ISNUMBER($A54),INT(MOD($A54,10000)/100),IFERROR(VALUE(TRIM(LEFT(MID($A54,FIND("/",$A54)+1,20),FIND("/",MID($A54,FIND("/",$A54)+1,20))-1))),"")))</f>
        <v/>
      </c>
      <c r="D54">
        <f>IF(OR($A54="",$B54=""),"",IF(ISNUMBER($A54),MOD($A54,100),IFERROR(VALUE(TRIM(MID(MID($A54,FIND("/",$A54)+1,20),FIND("/",MID($A54,FIND("/",$A54)+1,20))+1,20))),"")))</f>
        <v/>
      </c>
      <c r="E54">
        <f>IF($A54="","",IF(OR($B54="",$C54="",$D54="",$B54&lt;1300,$B54&gt;1500,$C54&lt;1,$C54&gt;12,$D54&lt;1,$D54&gt;31),"نامعتبر",RIGHT("0000"&amp;$B54,4)&amp;"/"&amp;RIGHT("00"&amp;$C54,2)&amp;"/"&amp;RIGHT("00"&amp;$D54,2)))</f>
        <v/>
      </c>
      <c r="F54">
        <f>IF(Entry!$D54&lt;&gt;"",IF(AND(ISNUMBER(Entry!$D54),Entry!$D54&gt;=0,Entry!$D54&lt;1),RIGHT("00"&amp;HOUR(Entry!$D54),2)&amp;":"&amp;RIGHT("00"&amp;MINUTE(Entry!$D54),2),IFERROR(RIGHT("00"&amp;VALUE(TRIM(LEFT(Entry!$D54,FIND(":",Entry!$D54)-1))),2)&amp;":"&amp;RIGHT("00"&amp;VALUE(TRIM(MID(Entry!$D54,FIND(":",Entry!$D54)+1,2))),2),"نامعتبر")),IF(OR($E54="",$E54="نامعتبر"),"","00:00"))</f>
        <v/>
      </c>
      <c r="G54">
        <f>IF(OR($E54="",$E54="نامعتبر"),"",IF(Entry!$E54="","",LEFT(UPPER(TRIM(Entry!$E54)),6)))</f>
        <v/>
      </c>
      <c r="H54">
        <f>IF($G54="","",RIGHT($E54,4)&amp;MID($E54,6,2)&amp;RIGHT($E54,2)&amp;IF($F54="","0000",IF($F54="نامعتبر","9999",LEFT($F54,2)&amp;RIGHT($F54,2)))&amp;"|"&amp;RIGHT("00000"&amp;46,5))</f>
        <v/>
      </c>
      <c r="I54">
        <f>IF($H54="","",COUNTIFS(CalcBank,$G54,CalcKey,"&lt;"&amp;$H54)+1)</f>
        <v/>
      </c>
      <c r="J54">
        <f>IF($I54="","",$G54&amp;"|"&amp;RIGHT("000000"&amp;$I54,6))</f>
        <v/>
      </c>
      <c r="K54">
        <f>IF(OR($E54="",$E54="نامعتبر"),"",LEFT($E54,4)&amp;"/"&amp;MID($E54,6,2))</f>
        <v/>
      </c>
      <c r="L54">
        <f>IF(Entry!$K54="",0,Entry!$K54)</f>
        <v/>
      </c>
      <c r="M54">
        <f>IF(Entry!$L54="",0,Entry!$L54)</f>
        <v/>
      </c>
    </row>
    <row r="55">
      <c r="A55">
        <f>IF(Entry!$C55="","",Entry!$C55)</f>
        <v/>
      </c>
      <c r="B55">
        <f>IF($A55="","",IF(ISNUMBER($A55),IF(AND($A55&gt;=10000101,$A55&lt;=99991231),INT($A55/10000),""),IFERROR(VALUE(TRIM(LEFT($A55,FIND("/",$A55)-1))),"")))</f>
        <v/>
      </c>
      <c r="C55">
        <f>IF(OR($A55="",$B55=""),"",IF(ISNUMBER($A55),INT(MOD($A55,10000)/100),IFERROR(VALUE(TRIM(LEFT(MID($A55,FIND("/",$A55)+1,20),FIND("/",MID($A55,FIND("/",$A55)+1,20))-1))),"")))</f>
        <v/>
      </c>
      <c r="D55">
        <f>IF(OR($A55="",$B55=""),"",IF(ISNUMBER($A55),MOD($A55,100),IFERROR(VALUE(TRIM(MID(MID($A55,FIND("/",$A55)+1,20),FIND("/",MID($A55,FIND("/",$A55)+1,20))+1,20))),"")))</f>
        <v/>
      </c>
      <c r="E55">
        <f>IF($A55="","",IF(OR($B55="",$C55="",$D55="",$B55&lt;1300,$B55&gt;1500,$C55&lt;1,$C55&gt;12,$D55&lt;1,$D55&gt;31),"نامعتبر",RIGHT("0000"&amp;$B55,4)&amp;"/"&amp;RIGHT("00"&amp;$C55,2)&amp;"/"&amp;RIGHT("00"&amp;$D55,2)))</f>
        <v/>
      </c>
      <c r="F55">
        <f>IF(Entry!$D55&lt;&gt;"",IF(AND(ISNUMBER(Entry!$D55),Entry!$D55&gt;=0,Entry!$D55&lt;1),RIGHT("00"&amp;HOUR(Entry!$D55),2)&amp;":"&amp;RIGHT("00"&amp;MINUTE(Entry!$D55),2),IFERROR(RIGHT("00"&amp;VALUE(TRIM(LEFT(Entry!$D55,FIND(":",Entry!$D55)-1))),2)&amp;":"&amp;RIGHT("00"&amp;VALUE(TRIM(MID(Entry!$D55,FIND(":",Entry!$D55)+1,2))),2),"نامعتبر")),IF(OR($E55="",$E55="نامعتبر"),"","00:00"))</f>
        <v/>
      </c>
      <c r="G55">
        <f>IF(OR($E55="",$E55="نامعتبر"),"",IF(Entry!$E55="","",LEFT(UPPER(TRIM(Entry!$E55)),6)))</f>
        <v/>
      </c>
      <c r="H55">
        <f>IF($G55="","",RIGHT($E55,4)&amp;MID($E55,6,2)&amp;RIGHT($E55,2)&amp;IF($F55="","0000",IF($F55="نامعتبر","9999",LEFT($F55,2)&amp;RIGHT($F55,2)))&amp;"|"&amp;RIGHT("00000"&amp;47,5))</f>
        <v/>
      </c>
      <c r="I55">
        <f>IF($H55="","",COUNTIFS(CalcBank,$G55,CalcKey,"&lt;"&amp;$H55)+1)</f>
        <v/>
      </c>
      <c r="J55">
        <f>IF($I55="","",$G55&amp;"|"&amp;RIGHT("000000"&amp;$I55,6))</f>
        <v/>
      </c>
      <c r="K55">
        <f>IF(OR($E55="",$E55="نامعتبر"),"",LEFT($E55,4)&amp;"/"&amp;MID($E55,6,2))</f>
        <v/>
      </c>
      <c r="L55">
        <f>IF(Entry!$K55="",0,Entry!$K55)</f>
        <v/>
      </c>
      <c r="M55">
        <f>IF(Entry!$L55="",0,Entry!$L55)</f>
        <v/>
      </c>
    </row>
    <row r="56">
      <c r="A56">
        <f>IF(Entry!$C56="","",Entry!$C56)</f>
        <v/>
      </c>
      <c r="B56">
        <f>IF($A56="","",IF(ISNUMBER($A56),IF(AND($A56&gt;=10000101,$A56&lt;=99991231),INT($A56/10000),""),IFERROR(VALUE(TRIM(LEFT($A56,FIND("/",$A56)-1))),"")))</f>
        <v/>
      </c>
      <c r="C56">
        <f>IF(OR($A56="",$B56=""),"",IF(ISNUMBER($A56),INT(MOD($A56,10000)/100),IFERROR(VALUE(TRIM(LEFT(MID($A56,FIND("/",$A56)+1,20),FIND("/",MID($A56,FIND("/",$A56)+1,20))-1))),"")))</f>
        <v/>
      </c>
      <c r="D56">
        <f>IF(OR($A56="",$B56=""),"",IF(ISNUMBER($A56),MOD($A56,100),IFERROR(VALUE(TRIM(MID(MID($A56,FIND("/",$A56)+1,20),FIND("/",MID($A56,FIND("/",$A56)+1,20))+1,20))),"")))</f>
        <v/>
      </c>
      <c r="E56">
        <f>IF($A56="","",IF(OR($B56="",$C56="",$D56="",$B56&lt;1300,$B56&gt;1500,$C56&lt;1,$C56&gt;12,$D56&lt;1,$D56&gt;31),"نامعتبر",RIGHT("0000"&amp;$B56,4)&amp;"/"&amp;RIGHT("00"&amp;$C56,2)&amp;"/"&amp;RIGHT("00"&amp;$D56,2)))</f>
        <v/>
      </c>
      <c r="F56">
        <f>IF(Entry!$D56&lt;&gt;"",IF(AND(ISNUMBER(Entry!$D56),Entry!$D56&gt;=0,Entry!$D56&lt;1),RIGHT("00"&amp;HOUR(Entry!$D56),2)&amp;":"&amp;RIGHT("00"&amp;MINUTE(Entry!$D56),2),IFERROR(RIGHT("00"&amp;VALUE(TRIM(LEFT(Entry!$D56,FIND(":",Entry!$D56)-1))),2)&amp;":"&amp;RIGHT("00"&amp;VALUE(TRIM(MID(Entry!$D56,FIND(":",Entry!$D56)+1,2))),2),"نامعتبر")),IF(OR($E56="",$E56="نامعتبر"),"","00:00"))</f>
        <v/>
      </c>
      <c r="G56">
        <f>IF(OR($E56="",$E56="نامعتبر"),"",IF(Entry!$E56="","",LEFT(UPPER(TRIM(Entry!$E56)),6)))</f>
        <v/>
      </c>
      <c r="H56">
        <f>IF($G56="","",RIGHT($E56,4)&amp;MID($E56,6,2)&amp;RIGHT($E56,2)&amp;IF($F56="","0000",IF($F56="نامعتبر","9999",LEFT($F56,2)&amp;RIGHT($F56,2)))&amp;"|"&amp;RIGHT("00000"&amp;48,5))</f>
        <v/>
      </c>
      <c r="I56">
        <f>IF($H56="","",COUNTIFS(CalcBank,$G56,CalcKey,"&lt;"&amp;$H56)+1)</f>
        <v/>
      </c>
      <c r="J56">
        <f>IF($I56="","",$G56&amp;"|"&amp;RIGHT("000000"&amp;$I56,6))</f>
        <v/>
      </c>
      <c r="K56">
        <f>IF(OR($E56="",$E56="نامعتبر"),"",LEFT($E56,4)&amp;"/"&amp;MID($E56,6,2))</f>
        <v/>
      </c>
      <c r="L56">
        <f>IF(Entry!$K56="",0,Entry!$K56)</f>
        <v/>
      </c>
      <c r="M56">
        <f>IF(Entry!$L56="",0,Entry!$L56)</f>
        <v/>
      </c>
    </row>
    <row r="57">
      <c r="A57">
        <f>IF(Entry!$C57="","",Entry!$C57)</f>
        <v/>
      </c>
      <c r="B57">
        <f>IF($A57="","",IF(ISNUMBER($A57),IF(AND($A57&gt;=10000101,$A57&lt;=99991231),INT($A57/10000),""),IFERROR(VALUE(TRIM(LEFT($A57,FIND("/",$A57)-1))),"")))</f>
        <v/>
      </c>
      <c r="C57">
        <f>IF(OR($A57="",$B57=""),"",IF(ISNUMBER($A57),INT(MOD($A57,10000)/100),IFERROR(VALUE(TRIM(LEFT(MID($A57,FIND("/",$A57)+1,20),FIND("/",MID($A57,FIND("/",$A57)+1,20))-1))),"")))</f>
        <v/>
      </c>
      <c r="D57">
        <f>IF(OR($A57="",$B57=""),"",IF(ISNUMBER($A57),MOD($A57,100),IFERROR(VALUE(TRIM(MID(MID($A57,FIND("/",$A57)+1,20),FIND("/",MID($A57,FIND("/",$A57)+1,20))+1,20))),"")))</f>
        <v/>
      </c>
      <c r="E57">
        <f>IF($A57="","",IF(OR($B57="",$C57="",$D57="",$B57&lt;1300,$B57&gt;1500,$C57&lt;1,$C57&gt;12,$D57&lt;1,$D57&gt;31),"نامعتبر",RIGHT("0000"&amp;$B57,4)&amp;"/"&amp;RIGHT("00"&amp;$C57,2)&amp;"/"&amp;RIGHT("00"&amp;$D57,2)))</f>
        <v/>
      </c>
      <c r="F57">
        <f>IF(Entry!$D57&lt;&gt;"",IF(AND(ISNUMBER(Entry!$D57),Entry!$D57&gt;=0,Entry!$D57&lt;1),RIGHT("00"&amp;HOUR(Entry!$D57),2)&amp;":"&amp;RIGHT("00"&amp;MINUTE(Entry!$D57),2),IFERROR(RIGHT("00"&amp;VALUE(TRIM(LEFT(Entry!$D57,FIND(":",Entry!$D57)-1))),2)&amp;":"&amp;RIGHT("00"&amp;VALUE(TRIM(MID(Entry!$D57,FIND(":",Entry!$D57)+1,2))),2),"نامعتبر")),IF(OR($E57="",$E57="نامعتبر"),"","00:00"))</f>
        <v/>
      </c>
      <c r="G57">
        <f>IF(OR($E57="",$E57="نامعتبر"),"",IF(Entry!$E57="","",LEFT(UPPER(TRIM(Entry!$E57)),6)))</f>
        <v/>
      </c>
      <c r="H57">
        <f>IF($G57="","",RIGHT($E57,4)&amp;MID($E57,6,2)&amp;RIGHT($E57,2)&amp;IF($F57="","0000",IF($F57="نامعتبر","9999",LEFT($F57,2)&amp;RIGHT($F57,2)))&amp;"|"&amp;RIGHT("00000"&amp;49,5))</f>
        <v/>
      </c>
      <c r="I57">
        <f>IF($H57="","",COUNTIFS(CalcBank,$G57,CalcKey,"&lt;"&amp;$H57)+1)</f>
        <v/>
      </c>
      <c r="J57">
        <f>IF($I57="","",$G57&amp;"|"&amp;RIGHT("000000"&amp;$I57,6))</f>
        <v/>
      </c>
      <c r="K57">
        <f>IF(OR($E57="",$E57="نامعتبر"),"",LEFT($E57,4)&amp;"/"&amp;MID($E57,6,2))</f>
        <v/>
      </c>
      <c r="L57">
        <f>IF(Entry!$K57="",0,Entry!$K57)</f>
        <v/>
      </c>
      <c r="M57">
        <f>IF(Entry!$L57="",0,Entry!$L57)</f>
        <v/>
      </c>
    </row>
    <row r="58">
      <c r="A58">
        <f>IF(Entry!$C58="","",Entry!$C58)</f>
        <v/>
      </c>
      <c r="B58">
        <f>IF($A58="","",IF(ISNUMBER($A58),IF(AND($A58&gt;=10000101,$A58&lt;=99991231),INT($A58/10000),""),IFERROR(VALUE(TRIM(LEFT($A58,FIND("/",$A58)-1))),"")))</f>
        <v/>
      </c>
      <c r="C58">
        <f>IF(OR($A58="",$B58=""),"",IF(ISNUMBER($A58),INT(MOD($A58,10000)/100),IFERROR(VALUE(TRIM(LEFT(MID($A58,FIND("/",$A58)+1,20),FIND("/",MID($A58,FIND("/",$A58)+1,20))-1))),"")))</f>
        <v/>
      </c>
      <c r="D58">
        <f>IF(OR($A58="",$B58=""),"",IF(ISNUMBER($A58),MOD($A58,100),IFERROR(VALUE(TRIM(MID(MID($A58,FIND("/",$A58)+1,20),FIND("/",MID($A58,FIND("/",$A58)+1,20))+1,20))),"")))</f>
        <v/>
      </c>
      <c r="E58">
        <f>IF($A58="","",IF(OR($B58="",$C58="",$D58="",$B58&lt;1300,$B58&gt;1500,$C58&lt;1,$C58&gt;12,$D58&lt;1,$D58&gt;31),"نامعتبر",RIGHT("0000"&amp;$B58,4)&amp;"/"&amp;RIGHT("00"&amp;$C58,2)&amp;"/"&amp;RIGHT("00"&amp;$D58,2)))</f>
        <v/>
      </c>
      <c r="F58">
        <f>IF(Entry!$D58&lt;&gt;"",IF(AND(ISNUMBER(Entry!$D58),Entry!$D58&gt;=0,Entry!$D58&lt;1),RIGHT("00"&amp;HOUR(Entry!$D58),2)&amp;":"&amp;RIGHT("00"&amp;MINUTE(Entry!$D58),2),IFERROR(RIGHT("00"&amp;VALUE(TRIM(LEFT(Entry!$D58,FIND(":",Entry!$D58)-1))),2)&amp;":"&amp;RIGHT("00"&amp;VALUE(TRIM(MID(Entry!$D58,FIND(":",Entry!$D58)+1,2))),2),"نامعتبر")),IF(OR($E58="",$E58="نامعتبر"),"","00:00"))</f>
        <v/>
      </c>
      <c r="G58">
        <f>IF(OR($E58="",$E58="نامعتبر"),"",IF(Entry!$E58="","",LEFT(UPPER(TRIM(Entry!$E58)),6)))</f>
        <v/>
      </c>
      <c r="H58">
        <f>IF($G58="","",RIGHT($E58,4)&amp;MID($E58,6,2)&amp;RIGHT($E58,2)&amp;IF($F58="","0000",IF($F58="نامعتبر","9999",LEFT($F58,2)&amp;RIGHT($F58,2)))&amp;"|"&amp;RIGHT("00000"&amp;50,5))</f>
        <v/>
      </c>
      <c r="I58">
        <f>IF($H58="","",COUNTIFS(CalcBank,$G58,CalcKey,"&lt;"&amp;$H58)+1)</f>
        <v/>
      </c>
      <c r="J58">
        <f>IF($I58="","",$G58&amp;"|"&amp;RIGHT("000000"&amp;$I58,6))</f>
        <v/>
      </c>
      <c r="K58">
        <f>IF(OR($E58="",$E58="نامعتبر"),"",LEFT($E58,4)&amp;"/"&amp;MID($E58,6,2))</f>
        <v/>
      </c>
      <c r="L58">
        <f>IF(Entry!$K58="",0,Entry!$K58)</f>
        <v/>
      </c>
      <c r="M58">
        <f>IF(Entry!$L58="",0,Entry!$L58)</f>
        <v/>
      </c>
    </row>
    <row r="59">
      <c r="A59">
        <f>IF(Entry!$C59="","",Entry!$C59)</f>
        <v/>
      </c>
      <c r="B59">
        <f>IF($A59="","",IF(ISNUMBER($A59),IF(AND($A59&gt;=10000101,$A59&lt;=99991231),INT($A59/10000),""),IFERROR(VALUE(TRIM(LEFT($A59,FIND("/",$A59)-1))),"")))</f>
        <v/>
      </c>
      <c r="C59">
        <f>IF(OR($A59="",$B59=""),"",IF(ISNUMBER($A59),INT(MOD($A59,10000)/100),IFERROR(VALUE(TRIM(LEFT(MID($A59,FIND("/",$A59)+1,20),FIND("/",MID($A59,FIND("/",$A59)+1,20))-1))),"")))</f>
        <v/>
      </c>
      <c r="D59">
        <f>IF(OR($A59="",$B59=""),"",IF(ISNUMBER($A59),MOD($A59,100),IFERROR(VALUE(TRIM(MID(MID($A59,FIND("/",$A59)+1,20),FIND("/",MID($A59,FIND("/",$A59)+1,20))+1,20))),"")))</f>
        <v/>
      </c>
      <c r="E59">
        <f>IF($A59="","",IF(OR($B59="",$C59="",$D59="",$B59&lt;1300,$B59&gt;1500,$C59&lt;1,$C59&gt;12,$D59&lt;1,$D59&gt;31),"نامعتبر",RIGHT("0000"&amp;$B59,4)&amp;"/"&amp;RIGHT("00"&amp;$C59,2)&amp;"/"&amp;RIGHT("00"&amp;$D59,2)))</f>
        <v/>
      </c>
      <c r="F59">
        <f>IF(Entry!$D59&lt;&gt;"",IF(AND(ISNUMBER(Entry!$D59),Entry!$D59&gt;=0,Entry!$D59&lt;1),RIGHT("00"&amp;HOUR(Entry!$D59),2)&amp;":"&amp;RIGHT("00"&amp;MINUTE(Entry!$D59),2),IFERROR(RIGHT("00"&amp;VALUE(TRIM(LEFT(Entry!$D59,FIND(":",Entry!$D59)-1))),2)&amp;":"&amp;RIGHT("00"&amp;VALUE(TRIM(MID(Entry!$D59,FIND(":",Entry!$D59)+1,2))),2),"نامعتبر")),IF(OR($E59="",$E59="نامعتبر"),"","00:00"))</f>
        <v/>
      </c>
      <c r="G59">
        <f>IF(OR($E59="",$E59="نامعتبر"),"",IF(Entry!$E59="","",LEFT(UPPER(TRIM(Entry!$E59)),6)))</f>
        <v/>
      </c>
      <c r="H59">
        <f>IF($G59="","",RIGHT($E59,4)&amp;MID($E59,6,2)&amp;RIGHT($E59,2)&amp;IF($F59="","0000",IF($F59="نامعتبر","9999",LEFT($F59,2)&amp;RIGHT($F59,2)))&amp;"|"&amp;RIGHT("00000"&amp;51,5))</f>
        <v/>
      </c>
      <c r="I59">
        <f>IF($H59="","",COUNTIFS(CalcBank,$G59,CalcKey,"&lt;"&amp;$H59)+1)</f>
        <v/>
      </c>
      <c r="J59">
        <f>IF($I59="","",$G59&amp;"|"&amp;RIGHT("000000"&amp;$I59,6))</f>
        <v/>
      </c>
      <c r="K59">
        <f>IF(OR($E59="",$E59="نامعتبر"),"",LEFT($E59,4)&amp;"/"&amp;MID($E59,6,2))</f>
        <v/>
      </c>
      <c r="L59">
        <f>IF(Entry!$K59="",0,Entry!$K59)</f>
        <v/>
      </c>
      <c r="M59">
        <f>IF(Entry!$L59="",0,Entry!$L59)</f>
        <v/>
      </c>
    </row>
    <row r="60">
      <c r="A60">
        <f>IF(Entry!$C60="","",Entry!$C60)</f>
        <v/>
      </c>
      <c r="B60">
        <f>IF($A60="","",IF(ISNUMBER($A60),IF(AND($A60&gt;=10000101,$A60&lt;=99991231),INT($A60/10000),""),IFERROR(VALUE(TRIM(LEFT($A60,FIND("/",$A60)-1))),"")))</f>
        <v/>
      </c>
      <c r="C60">
        <f>IF(OR($A60="",$B60=""),"",IF(ISNUMBER($A60),INT(MOD($A60,10000)/100),IFERROR(VALUE(TRIM(LEFT(MID($A60,FIND("/",$A60)+1,20),FIND("/",MID($A60,FIND("/",$A60)+1,20))-1))),"")))</f>
        <v/>
      </c>
      <c r="D60">
        <f>IF(OR($A60="",$B60=""),"",IF(ISNUMBER($A60),MOD($A60,100),IFERROR(VALUE(TRIM(MID(MID($A60,FIND("/",$A60)+1,20),FIND("/",MID($A60,FIND("/",$A60)+1,20))+1,20))),"")))</f>
        <v/>
      </c>
      <c r="E60">
        <f>IF($A60="","",IF(OR($B60="",$C60="",$D60="",$B60&lt;1300,$B60&gt;1500,$C60&lt;1,$C60&gt;12,$D60&lt;1,$D60&gt;31),"نامعتبر",RIGHT("0000"&amp;$B60,4)&amp;"/"&amp;RIGHT("00"&amp;$C60,2)&amp;"/"&amp;RIGHT("00"&amp;$D60,2)))</f>
        <v/>
      </c>
      <c r="F60">
        <f>IF(Entry!$D60&lt;&gt;"",IF(AND(ISNUMBER(Entry!$D60),Entry!$D60&gt;=0,Entry!$D60&lt;1),RIGHT("00"&amp;HOUR(Entry!$D60),2)&amp;":"&amp;RIGHT("00"&amp;MINUTE(Entry!$D60),2),IFERROR(RIGHT("00"&amp;VALUE(TRIM(LEFT(Entry!$D60,FIND(":",Entry!$D60)-1))),2)&amp;":"&amp;RIGHT("00"&amp;VALUE(TRIM(MID(Entry!$D60,FIND(":",Entry!$D60)+1,2))),2),"نامعتبر")),IF(OR($E60="",$E60="نامعتبر"),"","00:00"))</f>
        <v/>
      </c>
      <c r="G60">
        <f>IF(OR($E60="",$E60="نامعتبر"),"",IF(Entry!$E60="","",LEFT(UPPER(TRIM(Entry!$E60)),6)))</f>
        <v/>
      </c>
      <c r="H60">
        <f>IF($G60="","",RIGHT($E60,4)&amp;MID($E60,6,2)&amp;RIGHT($E60,2)&amp;IF($F60="","0000",IF($F60="نامعتبر","9999",LEFT($F60,2)&amp;RIGHT($F60,2)))&amp;"|"&amp;RIGHT("00000"&amp;52,5))</f>
        <v/>
      </c>
      <c r="I60">
        <f>IF($H60="","",COUNTIFS(CalcBank,$G60,CalcKey,"&lt;"&amp;$H60)+1)</f>
        <v/>
      </c>
      <c r="J60">
        <f>IF($I60="","",$G60&amp;"|"&amp;RIGHT("000000"&amp;$I60,6))</f>
        <v/>
      </c>
      <c r="K60">
        <f>IF(OR($E60="",$E60="نامعتبر"),"",LEFT($E60,4)&amp;"/"&amp;MID($E60,6,2))</f>
        <v/>
      </c>
      <c r="L60">
        <f>IF(Entry!$K60="",0,Entry!$K60)</f>
        <v/>
      </c>
      <c r="M60">
        <f>IF(Entry!$L60="",0,Entry!$L60)</f>
        <v/>
      </c>
    </row>
    <row r="61">
      <c r="A61">
        <f>IF(Entry!$C61="","",Entry!$C61)</f>
        <v/>
      </c>
      <c r="B61">
        <f>IF($A61="","",IF(ISNUMBER($A61),IF(AND($A61&gt;=10000101,$A61&lt;=99991231),INT($A61/10000),""),IFERROR(VALUE(TRIM(LEFT($A61,FIND("/",$A61)-1))),"")))</f>
        <v/>
      </c>
      <c r="C61">
        <f>IF(OR($A61="",$B61=""),"",IF(ISNUMBER($A61),INT(MOD($A61,10000)/100),IFERROR(VALUE(TRIM(LEFT(MID($A61,FIND("/",$A61)+1,20),FIND("/",MID($A61,FIND("/",$A61)+1,20))-1))),"")))</f>
        <v/>
      </c>
      <c r="D61">
        <f>IF(OR($A61="",$B61=""),"",IF(ISNUMBER($A61),MOD($A61,100),IFERROR(VALUE(TRIM(MID(MID($A61,FIND("/",$A61)+1,20),FIND("/",MID($A61,FIND("/",$A61)+1,20))+1,20))),"")))</f>
        <v/>
      </c>
      <c r="E61">
        <f>IF($A61="","",IF(OR($B61="",$C61="",$D61="",$B61&lt;1300,$B61&gt;1500,$C61&lt;1,$C61&gt;12,$D61&lt;1,$D61&gt;31),"نامعتبر",RIGHT("0000"&amp;$B61,4)&amp;"/"&amp;RIGHT("00"&amp;$C61,2)&amp;"/"&amp;RIGHT("00"&amp;$D61,2)))</f>
        <v/>
      </c>
      <c r="F61">
        <f>IF(Entry!$D61&lt;&gt;"",IF(AND(ISNUMBER(Entry!$D61),Entry!$D61&gt;=0,Entry!$D61&lt;1),RIGHT("00"&amp;HOUR(Entry!$D61),2)&amp;":"&amp;RIGHT("00"&amp;MINUTE(Entry!$D61),2),IFERROR(RIGHT("00"&amp;VALUE(TRIM(LEFT(Entry!$D61,FIND(":",Entry!$D61)-1))),2)&amp;":"&amp;RIGHT("00"&amp;VALUE(TRIM(MID(Entry!$D61,FIND(":",Entry!$D61)+1,2))),2),"نامعتبر")),IF(OR($E61="",$E61="نامعتبر"),"","00:00"))</f>
        <v/>
      </c>
      <c r="G61">
        <f>IF(OR($E61="",$E61="نامعتبر"),"",IF(Entry!$E61="","",LEFT(UPPER(TRIM(Entry!$E61)),6)))</f>
        <v/>
      </c>
      <c r="H61">
        <f>IF($G61="","",RIGHT($E61,4)&amp;MID($E61,6,2)&amp;RIGHT($E61,2)&amp;IF($F61="","0000",IF($F61="نامعتبر","9999",LEFT($F61,2)&amp;RIGHT($F61,2)))&amp;"|"&amp;RIGHT("00000"&amp;53,5))</f>
        <v/>
      </c>
      <c r="I61">
        <f>IF($H61="","",COUNTIFS(CalcBank,$G61,CalcKey,"&lt;"&amp;$H61)+1)</f>
        <v/>
      </c>
      <c r="J61">
        <f>IF($I61="","",$G61&amp;"|"&amp;RIGHT("000000"&amp;$I61,6))</f>
        <v/>
      </c>
      <c r="K61">
        <f>IF(OR($E61="",$E61="نامعتبر"),"",LEFT($E61,4)&amp;"/"&amp;MID($E61,6,2))</f>
        <v/>
      </c>
      <c r="L61">
        <f>IF(Entry!$K61="",0,Entry!$K61)</f>
        <v/>
      </c>
      <c r="M61">
        <f>IF(Entry!$L61="",0,Entry!$L61)</f>
        <v/>
      </c>
    </row>
    <row r="62">
      <c r="A62">
        <f>IF(Entry!$C62="","",Entry!$C62)</f>
        <v/>
      </c>
      <c r="B62">
        <f>IF($A62="","",IF(ISNUMBER($A62),IF(AND($A62&gt;=10000101,$A62&lt;=99991231),INT($A62/10000),""),IFERROR(VALUE(TRIM(LEFT($A62,FIND("/",$A62)-1))),"")))</f>
        <v/>
      </c>
      <c r="C62">
        <f>IF(OR($A62="",$B62=""),"",IF(ISNUMBER($A62),INT(MOD($A62,10000)/100),IFERROR(VALUE(TRIM(LEFT(MID($A62,FIND("/",$A62)+1,20),FIND("/",MID($A62,FIND("/",$A62)+1,20))-1))),"")))</f>
        <v/>
      </c>
      <c r="D62">
        <f>IF(OR($A62="",$B62=""),"",IF(ISNUMBER($A62),MOD($A62,100),IFERROR(VALUE(TRIM(MID(MID($A62,FIND("/",$A62)+1,20),FIND("/",MID($A62,FIND("/",$A62)+1,20))+1,20))),"")))</f>
        <v/>
      </c>
      <c r="E62">
        <f>IF($A62="","",IF(OR($B62="",$C62="",$D62="",$B62&lt;1300,$B62&gt;1500,$C62&lt;1,$C62&gt;12,$D62&lt;1,$D62&gt;31),"نامعتبر",RIGHT("0000"&amp;$B62,4)&amp;"/"&amp;RIGHT("00"&amp;$C62,2)&amp;"/"&amp;RIGHT("00"&amp;$D62,2)))</f>
        <v/>
      </c>
      <c r="F62">
        <f>IF(Entry!$D62&lt;&gt;"",IF(AND(ISNUMBER(Entry!$D62),Entry!$D62&gt;=0,Entry!$D62&lt;1),RIGHT("00"&amp;HOUR(Entry!$D62),2)&amp;":"&amp;RIGHT("00"&amp;MINUTE(Entry!$D62),2),IFERROR(RIGHT("00"&amp;VALUE(TRIM(LEFT(Entry!$D62,FIND(":",Entry!$D62)-1))),2)&amp;":"&amp;RIGHT("00"&amp;VALUE(TRIM(MID(Entry!$D62,FIND(":",Entry!$D62)+1,2))),2),"نامعتبر")),IF(OR($E62="",$E62="نامعتبر"),"","00:00"))</f>
        <v/>
      </c>
      <c r="G62">
        <f>IF(OR($E62="",$E62="نامعتبر"),"",IF(Entry!$E62="","",LEFT(UPPER(TRIM(Entry!$E62)),6)))</f>
        <v/>
      </c>
      <c r="H62">
        <f>IF($G62="","",RIGHT($E62,4)&amp;MID($E62,6,2)&amp;RIGHT($E62,2)&amp;IF($F62="","0000",IF($F62="نامعتبر","9999",LEFT($F62,2)&amp;RIGHT($F62,2)))&amp;"|"&amp;RIGHT("00000"&amp;54,5))</f>
        <v/>
      </c>
      <c r="I62">
        <f>IF($H62="","",COUNTIFS(CalcBank,$G62,CalcKey,"&lt;"&amp;$H62)+1)</f>
        <v/>
      </c>
      <c r="J62">
        <f>IF($I62="","",$G62&amp;"|"&amp;RIGHT("000000"&amp;$I62,6))</f>
        <v/>
      </c>
      <c r="K62">
        <f>IF(OR($E62="",$E62="نامعتبر"),"",LEFT($E62,4)&amp;"/"&amp;MID($E62,6,2))</f>
        <v/>
      </c>
      <c r="L62">
        <f>IF(Entry!$K62="",0,Entry!$K62)</f>
        <v/>
      </c>
      <c r="M62">
        <f>IF(Entry!$L62="",0,Entry!$L62)</f>
        <v/>
      </c>
    </row>
    <row r="63">
      <c r="A63">
        <f>IF(Entry!$C63="","",Entry!$C63)</f>
        <v/>
      </c>
      <c r="B63">
        <f>IF($A63="","",IF(ISNUMBER($A63),IF(AND($A63&gt;=10000101,$A63&lt;=99991231),INT($A63/10000),""),IFERROR(VALUE(TRIM(LEFT($A63,FIND("/",$A63)-1))),"")))</f>
        <v/>
      </c>
      <c r="C63">
        <f>IF(OR($A63="",$B63=""),"",IF(ISNUMBER($A63),INT(MOD($A63,10000)/100),IFERROR(VALUE(TRIM(LEFT(MID($A63,FIND("/",$A63)+1,20),FIND("/",MID($A63,FIND("/",$A63)+1,20))-1))),"")))</f>
        <v/>
      </c>
      <c r="D63">
        <f>IF(OR($A63="",$B63=""),"",IF(ISNUMBER($A63),MOD($A63,100),IFERROR(VALUE(TRIM(MID(MID($A63,FIND("/",$A63)+1,20),FIND("/",MID($A63,FIND("/",$A63)+1,20))+1,20))),"")))</f>
        <v/>
      </c>
      <c r="E63">
        <f>IF($A63="","",IF(OR($B63="",$C63="",$D63="",$B63&lt;1300,$B63&gt;1500,$C63&lt;1,$C63&gt;12,$D63&lt;1,$D63&gt;31),"نامعتبر",RIGHT("0000"&amp;$B63,4)&amp;"/"&amp;RIGHT("00"&amp;$C63,2)&amp;"/"&amp;RIGHT("00"&amp;$D63,2)))</f>
        <v/>
      </c>
      <c r="F63">
        <f>IF(Entry!$D63&lt;&gt;"",IF(AND(ISNUMBER(Entry!$D63),Entry!$D63&gt;=0,Entry!$D63&lt;1),RIGHT("00"&amp;HOUR(Entry!$D63),2)&amp;":"&amp;RIGHT("00"&amp;MINUTE(Entry!$D63),2),IFERROR(RIGHT("00"&amp;VALUE(TRIM(LEFT(Entry!$D63,FIND(":",Entry!$D63)-1))),2)&amp;":"&amp;RIGHT("00"&amp;VALUE(TRIM(MID(Entry!$D63,FIND(":",Entry!$D63)+1,2))),2),"نامعتبر")),IF(OR($E63="",$E63="نامعتبر"),"","00:00"))</f>
        <v/>
      </c>
      <c r="G63">
        <f>IF(OR($E63="",$E63="نامعتبر"),"",IF(Entry!$E63="","",LEFT(UPPER(TRIM(Entry!$E63)),6)))</f>
        <v/>
      </c>
      <c r="H63">
        <f>IF($G63="","",RIGHT($E63,4)&amp;MID($E63,6,2)&amp;RIGHT($E63,2)&amp;IF($F63="","0000",IF($F63="نامعتبر","9999",LEFT($F63,2)&amp;RIGHT($F63,2)))&amp;"|"&amp;RIGHT("00000"&amp;55,5))</f>
        <v/>
      </c>
      <c r="I63">
        <f>IF($H63="","",COUNTIFS(CalcBank,$G63,CalcKey,"&lt;"&amp;$H63)+1)</f>
        <v/>
      </c>
      <c r="J63">
        <f>IF($I63="","",$G63&amp;"|"&amp;RIGHT("000000"&amp;$I63,6))</f>
        <v/>
      </c>
      <c r="K63">
        <f>IF(OR($E63="",$E63="نامعتبر"),"",LEFT($E63,4)&amp;"/"&amp;MID($E63,6,2))</f>
        <v/>
      </c>
      <c r="L63">
        <f>IF(Entry!$K63="",0,Entry!$K63)</f>
        <v/>
      </c>
      <c r="M63">
        <f>IF(Entry!$L63="",0,Entry!$L63)</f>
        <v/>
      </c>
    </row>
    <row r="64">
      <c r="A64">
        <f>IF(Entry!$C64="","",Entry!$C64)</f>
        <v/>
      </c>
      <c r="B64">
        <f>IF($A64="","",IF(ISNUMBER($A64),IF(AND($A64&gt;=10000101,$A64&lt;=99991231),INT($A64/10000),""),IFERROR(VALUE(TRIM(LEFT($A64,FIND("/",$A64)-1))),"")))</f>
        <v/>
      </c>
      <c r="C64">
        <f>IF(OR($A64="",$B64=""),"",IF(ISNUMBER($A64),INT(MOD($A64,10000)/100),IFERROR(VALUE(TRIM(LEFT(MID($A64,FIND("/",$A64)+1,20),FIND("/",MID($A64,FIND("/",$A64)+1,20))-1))),"")))</f>
        <v/>
      </c>
      <c r="D64">
        <f>IF(OR($A64="",$B64=""),"",IF(ISNUMBER($A64),MOD($A64,100),IFERROR(VALUE(TRIM(MID(MID($A64,FIND("/",$A64)+1,20),FIND("/",MID($A64,FIND("/",$A64)+1,20))+1,20))),"")))</f>
        <v/>
      </c>
      <c r="E64">
        <f>IF($A64="","",IF(OR($B64="",$C64="",$D64="",$B64&lt;1300,$B64&gt;1500,$C64&lt;1,$C64&gt;12,$D64&lt;1,$D64&gt;31),"نامعتبر",RIGHT("0000"&amp;$B64,4)&amp;"/"&amp;RIGHT("00"&amp;$C64,2)&amp;"/"&amp;RIGHT("00"&amp;$D64,2)))</f>
        <v/>
      </c>
      <c r="F64">
        <f>IF(Entry!$D64&lt;&gt;"",IF(AND(ISNUMBER(Entry!$D64),Entry!$D64&gt;=0,Entry!$D64&lt;1),RIGHT("00"&amp;HOUR(Entry!$D64),2)&amp;":"&amp;RIGHT("00"&amp;MINUTE(Entry!$D64),2),IFERROR(RIGHT("00"&amp;VALUE(TRIM(LEFT(Entry!$D64,FIND(":",Entry!$D64)-1))),2)&amp;":"&amp;RIGHT("00"&amp;VALUE(TRIM(MID(Entry!$D64,FIND(":",Entry!$D64)+1,2))),2),"نامعتبر")),IF(OR($E64="",$E64="نامعتبر"),"","00:00"))</f>
        <v/>
      </c>
      <c r="G64">
        <f>IF(OR($E64="",$E64="نامعتبر"),"",IF(Entry!$E64="","",LEFT(UPPER(TRIM(Entry!$E64)),6)))</f>
        <v/>
      </c>
      <c r="H64">
        <f>IF($G64="","",RIGHT($E64,4)&amp;MID($E64,6,2)&amp;RIGHT($E64,2)&amp;IF($F64="","0000",IF($F64="نامعتبر","9999",LEFT($F64,2)&amp;RIGHT($F64,2)))&amp;"|"&amp;RIGHT("00000"&amp;56,5))</f>
        <v/>
      </c>
      <c r="I64">
        <f>IF($H64="","",COUNTIFS(CalcBank,$G64,CalcKey,"&lt;"&amp;$H64)+1)</f>
        <v/>
      </c>
      <c r="J64">
        <f>IF($I64="","",$G64&amp;"|"&amp;RIGHT("000000"&amp;$I64,6))</f>
        <v/>
      </c>
      <c r="K64">
        <f>IF(OR($E64="",$E64="نامعتبر"),"",LEFT($E64,4)&amp;"/"&amp;MID($E64,6,2))</f>
        <v/>
      </c>
      <c r="L64">
        <f>IF(Entry!$K64="",0,Entry!$K64)</f>
        <v/>
      </c>
      <c r="M64">
        <f>IF(Entry!$L64="",0,Entry!$L64)</f>
        <v/>
      </c>
    </row>
    <row r="65">
      <c r="A65">
        <f>IF(Entry!$C65="","",Entry!$C65)</f>
        <v/>
      </c>
      <c r="B65">
        <f>IF($A65="","",IF(ISNUMBER($A65),IF(AND($A65&gt;=10000101,$A65&lt;=99991231),INT($A65/10000),""),IFERROR(VALUE(TRIM(LEFT($A65,FIND("/",$A65)-1))),"")))</f>
        <v/>
      </c>
      <c r="C65">
        <f>IF(OR($A65="",$B65=""),"",IF(ISNUMBER($A65),INT(MOD($A65,10000)/100),IFERROR(VALUE(TRIM(LEFT(MID($A65,FIND("/",$A65)+1,20),FIND("/",MID($A65,FIND("/",$A65)+1,20))-1))),"")))</f>
        <v/>
      </c>
      <c r="D65">
        <f>IF(OR($A65="",$B65=""),"",IF(ISNUMBER($A65),MOD($A65,100),IFERROR(VALUE(TRIM(MID(MID($A65,FIND("/",$A65)+1,20),FIND("/",MID($A65,FIND("/",$A65)+1,20))+1,20))),"")))</f>
        <v/>
      </c>
      <c r="E65">
        <f>IF($A65="","",IF(OR($B65="",$C65="",$D65="",$B65&lt;1300,$B65&gt;1500,$C65&lt;1,$C65&gt;12,$D65&lt;1,$D65&gt;31),"نامعتبر",RIGHT("0000"&amp;$B65,4)&amp;"/"&amp;RIGHT("00"&amp;$C65,2)&amp;"/"&amp;RIGHT("00"&amp;$D65,2)))</f>
        <v/>
      </c>
      <c r="F65">
        <f>IF(Entry!$D65&lt;&gt;"",IF(AND(ISNUMBER(Entry!$D65),Entry!$D65&gt;=0,Entry!$D65&lt;1),RIGHT("00"&amp;HOUR(Entry!$D65),2)&amp;":"&amp;RIGHT("00"&amp;MINUTE(Entry!$D65),2),IFERROR(RIGHT("00"&amp;VALUE(TRIM(LEFT(Entry!$D65,FIND(":",Entry!$D65)-1))),2)&amp;":"&amp;RIGHT("00"&amp;VALUE(TRIM(MID(Entry!$D65,FIND(":",Entry!$D65)+1,2))),2),"نامعتبر")),IF(OR($E65="",$E65="نامعتبر"),"","00:00"))</f>
        <v/>
      </c>
      <c r="G65">
        <f>IF(OR($E65="",$E65="نامعتبر"),"",IF(Entry!$E65="","",LEFT(UPPER(TRIM(Entry!$E65)),6)))</f>
        <v/>
      </c>
      <c r="H65">
        <f>IF($G65="","",RIGHT($E65,4)&amp;MID($E65,6,2)&amp;RIGHT($E65,2)&amp;IF($F65="","0000",IF($F65="نامعتبر","9999",LEFT($F65,2)&amp;RIGHT($F65,2)))&amp;"|"&amp;RIGHT("00000"&amp;57,5))</f>
        <v/>
      </c>
      <c r="I65">
        <f>IF($H65="","",COUNTIFS(CalcBank,$G65,CalcKey,"&lt;"&amp;$H65)+1)</f>
        <v/>
      </c>
      <c r="J65">
        <f>IF($I65="","",$G65&amp;"|"&amp;RIGHT("000000"&amp;$I65,6))</f>
        <v/>
      </c>
      <c r="K65">
        <f>IF(OR($E65="",$E65="نامعتبر"),"",LEFT($E65,4)&amp;"/"&amp;MID($E65,6,2))</f>
        <v/>
      </c>
      <c r="L65">
        <f>IF(Entry!$K65="",0,Entry!$K65)</f>
        <v/>
      </c>
      <c r="M65">
        <f>IF(Entry!$L65="",0,Entry!$L65)</f>
        <v/>
      </c>
    </row>
    <row r="66">
      <c r="A66">
        <f>IF(Entry!$C66="","",Entry!$C66)</f>
        <v/>
      </c>
      <c r="B66">
        <f>IF($A66="","",IF(ISNUMBER($A66),IF(AND($A66&gt;=10000101,$A66&lt;=99991231),INT($A66/10000),""),IFERROR(VALUE(TRIM(LEFT($A66,FIND("/",$A66)-1))),"")))</f>
        <v/>
      </c>
      <c r="C66">
        <f>IF(OR($A66="",$B66=""),"",IF(ISNUMBER($A66),INT(MOD($A66,10000)/100),IFERROR(VALUE(TRIM(LEFT(MID($A66,FIND("/",$A66)+1,20),FIND("/",MID($A66,FIND("/",$A66)+1,20))-1))),"")))</f>
        <v/>
      </c>
      <c r="D66">
        <f>IF(OR($A66="",$B66=""),"",IF(ISNUMBER($A66),MOD($A66,100),IFERROR(VALUE(TRIM(MID(MID($A66,FIND("/",$A66)+1,20),FIND("/",MID($A66,FIND("/",$A66)+1,20))+1,20))),"")))</f>
        <v/>
      </c>
      <c r="E66">
        <f>IF($A66="","",IF(OR($B66="",$C66="",$D66="",$B66&lt;1300,$B66&gt;1500,$C66&lt;1,$C66&gt;12,$D66&lt;1,$D66&gt;31),"نامعتبر",RIGHT("0000"&amp;$B66,4)&amp;"/"&amp;RIGHT("00"&amp;$C66,2)&amp;"/"&amp;RIGHT("00"&amp;$D66,2)))</f>
        <v/>
      </c>
      <c r="F66">
        <f>IF(Entry!$D66&lt;&gt;"",IF(AND(ISNUMBER(Entry!$D66),Entry!$D66&gt;=0,Entry!$D66&lt;1),RIGHT("00"&amp;HOUR(Entry!$D66),2)&amp;":"&amp;RIGHT("00"&amp;MINUTE(Entry!$D66),2),IFERROR(RIGHT("00"&amp;VALUE(TRIM(LEFT(Entry!$D66,FIND(":",Entry!$D66)-1))),2)&amp;":"&amp;RIGHT("00"&amp;VALUE(TRIM(MID(Entry!$D66,FIND(":",Entry!$D66)+1,2))),2),"نامعتبر")),IF(OR($E66="",$E66="نامعتبر"),"","00:00"))</f>
        <v/>
      </c>
      <c r="G66">
        <f>IF(OR($E66="",$E66="نامعتبر"),"",IF(Entry!$E66="","",LEFT(UPPER(TRIM(Entry!$E66)),6)))</f>
        <v/>
      </c>
      <c r="H66">
        <f>IF($G66="","",RIGHT($E66,4)&amp;MID($E66,6,2)&amp;RIGHT($E66,2)&amp;IF($F66="","0000",IF($F66="نامعتبر","9999",LEFT($F66,2)&amp;RIGHT($F66,2)))&amp;"|"&amp;RIGHT("00000"&amp;58,5))</f>
        <v/>
      </c>
      <c r="I66">
        <f>IF($H66="","",COUNTIFS(CalcBank,$G66,CalcKey,"&lt;"&amp;$H66)+1)</f>
        <v/>
      </c>
      <c r="J66">
        <f>IF($I66="","",$G66&amp;"|"&amp;RIGHT("000000"&amp;$I66,6))</f>
        <v/>
      </c>
      <c r="K66">
        <f>IF(OR($E66="",$E66="نامعتبر"),"",LEFT($E66,4)&amp;"/"&amp;MID($E66,6,2))</f>
        <v/>
      </c>
      <c r="L66">
        <f>IF(Entry!$K66="",0,Entry!$K66)</f>
        <v/>
      </c>
      <c r="M66">
        <f>IF(Entry!$L66="",0,Entry!$L66)</f>
        <v/>
      </c>
    </row>
    <row r="67">
      <c r="A67">
        <f>IF(Entry!$C67="","",Entry!$C67)</f>
        <v/>
      </c>
      <c r="B67">
        <f>IF($A67="","",IF(ISNUMBER($A67),IF(AND($A67&gt;=10000101,$A67&lt;=99991231),INT($A67/10000),""),IFERROR(VALUE(TRIM(LEFT($A67,FIND("/",$A67)-1))),"")))</f>
        <v/>
      </c>
      <c r="C67">
        <f>IF(OR($A67="",$B67=""),"",IF(ISNUMBER($A67),INT(MOD($A67,10000)/100),IFERROR(VALUE(TRIM(LEFT(MID($A67,FIND("/",$A67)+1,20),FIND("/",MID($A67,FIND("/",$A67)+1,20))-1))),"")))</f>
        <v/>
      </c>
      <c r="D67">
        <f>IF(OR($A67="",$B67=""),"",IF(ISNUMBER($A67),MOD($A67,100),IFERROR(VALUE(TRIM(MID(MID($A67,FIND("/",$A67)+1,20),FIND("/",MID($A67,FIND("/",$A67)+1,20))+1,20))),"")))</f>
        <v/>
      </c>
      <c r="E67">
        <f>IF($A67="","",IF(OR($B67="",$C67="",$D67="",$B67&lt;1300,$B67&gt;1500,$C67&lt;1,$C67&gt;12,$D67&lt;1,$D67&gt;31),"نامعتبر",RIGHT("0000"&amp;$B67,4)&amp;"/"&amp;RIGHT("00"&amp;$C67,2)&amp;"/"&amp;RIGHT("00"&amp;$D67,2)))</f>
        <v/>
      </c>
      <c r="F67">
        <f>IF(Entry!$D67&lt;&gt;"",IF(AND(ISNUMBER(Entry!$D67),Entry!$D67&gt;=0,Entry!$D67&lt;1),RIGHT("00"&amp;HOUR(Entry!$D67),2)&amp;":"&amp;RIGHT("00"&amp;MINUTE(Entry!$D67),2),IFERROR(RIGHT("00"&amp;VALUE(TRIM(LEFT(Entry!$D67,FIND(":",Entry!$D67)-1))),2)&amp;":"&amp;RIGHT("00"&amp;VALUE(TRIM(MID(Entry!$D67,FIND(":",Entry!$D67)+1,2))),2),"نامعتبر")),IF(OR($E67="",$E67="نامعتبر"),"","00:00"))</f>
        <v/>
      </c>
      <c r="G67">
        <f>IF(OR($E67="",$E67="نامعتبر"),"",IF(Entry!$E67="","",LEFT(UPPER(TRIM(Entry!$E67)),6)))</f>
        <v/>
      </c>
      <c r="H67">
        <f>IF($G67="","",RIGHT($E67,4)&amp;MID($E67,6,2)&amp;RIGHT($E67,2)&amp;IF($F67="","0000",IF($F67="نامعتبر","9999",LEFT($F67,2)&amp;RIGHT($F67,2)))&amp;"|"&amp;RIGHT("00000"&amp;59,5))</f>
        <v/>
      </c>
      <c r="I67">
        <f>IF($H67="","",COUNTIFS(CalcBank,$G67,CalcKey,"&lt;"&amp;$H67)+1)</f>
        <v/>
      </c>
      <c r="J67">
        <f>IF($I67="","",$G67&amp;"|"&amp;RIGHT("000000"&amp;$I67,6))</f>
        <v/>
      </c>
      <c r="K67">
        <f>IF(OR($E67="",$E67="نامعتبر"),"",LEFT($E67,4)&amp;"/"&amp;MID($E67,6,2))</f>
        <v/>
      </c>
      <c r="L67">
        <f>IF(Entry!$K67="",0,Entry!$K67)</f>
        <v/>
      </c>
      <c r="M67">
        <f>IF(Entry!$L67="",0,Entry!$L67)</f>
        <v/>
      </c>
    </row>
    <row r="68">
      <c r="A68">
        <f>IF(Entry!$C68="","",Entry!$C68)</f>
        <v/>
      </c>
      <c r="B68">
        <f>IF($A68="","",IF(ISNUMBER($A68),IF(AND($A68&gt;=10000101,$A68&lt;=99991231),INT($A68/10000),""),IFERROR(VALUE(TRIM(LEFT($A68,FIND("/",$A68)-1))),"")))</f>
        <v/>
      </c>
      <c r="C68">
        <f>IF(OR($A68="",$B68=""),"",IF(ISNUMBER($A68),INT(MOD($A68,10000)/100),IFERROR(VALUE(TRIM(LEFT(MID($A68,FIND("/",$A68)+1,20),FIND("/",MID($A68,FIND("/",$A68)+1,20))-1))),"")))</f>
        <v/>
      </c>
      <c r="D68">
        <f>IF(OR($A68="",$B68=""),"",IF(ISNUMBER($A68),MOD($A68,100),IFERROR(VALUE(TRIM(MID(MID($A68,FIND("/",$A68)+1,20),FIND("/",MID($A68,FIND("/",$A68)+1,20))+1,20))),"")))</f>
        <v/>
      </c>
      <c r="E68">
        <f>IF($A68="","",IF(OR($B68="",$C68="",$D68="",$B68&lt;1300,$B68&gt;1500,$C68&lt;1,$C68&gt;12,$D68&lt;1,$D68&gt;31),"نامعتبر",RIGHT("0000"&amp;$B68,4)&amp;"/"&amp;RIGHT("00"&amp;$C68,2)&amp;"/"&amp;RIGHT("00"&amp;$D68,2)))</f>
        <v/>
      </c>
      <c r="F68">
        <f>IF(Entry!$D68&lt;&gt;"",IF(AND(ISNUMBER(Entry!$D68),Entry!$D68&gt;=0,Entry!$D68&lt;1),RIGHT("00"&amp;HOUR(Entry!$D68),2)&amp;":"&amp;RIGHT("00"&amp;MINUTE(Entry!$D68),2),IFERROR(RIGHT("00"&amp;VALUE(TRIM(LEFT(Entry!$D68,FIND(":",Entry!$D68)-1))),2)&amp;":"&amp;RIGHT("00"&amp;VALUE(TRIM(MID(Entry!$D68,FIND(":",Entry!$D68)+1,2))),2),"نامعتبر")),IF(OR($E68="",$E68="نامعتبر"),"","00:00"))</f>
        <v/>
      </c>
      <c r="G68">
        <f>IF(OR($E68="",$E68="نامعتبر"),"",IF(Entry!$E68="","",LEFT(UPPER(TRIM(Entry!$E68)),6)))</f>
        <v/>
      </c>
      <c r="H68">
        <f>IF($G68="","",RIGHT($E68,4)&amp;MID($E68,6,2)&amp;RIGHT($E68,2)&amp;IF($F68="","0000",IF($F68="نامعتبر","9999",LEFT($F68,2)&amp;RIGHT($F68,2)))&amp;"|"&amp;RIGHT("00000"&amp;60,5))</f>
        <v/>
      </c>
      <c r="I68">
        <f>IF($H68="","",COUNTIFS(CalcBank,$G68,CalcKey,"&lt;"&amp;$H68)+1)</f>
        <v/>
      </c>
      <c r="J68">
        <f>IF($I68="","",$G68&amp;"|"&amp;RIGHT("000000"&amp;$I68,6))</f>
        <v/>
      </c>
      <c r="K68">
        <f>IF(OR($E68="",$E68="نامعتبر"),"",LEFT($E68,4)&amp;"/"&amp;MID($E68,6,2))</f>
        <v/>
      </c>
      <c r="L68">
        <f>IF(Entry!$K68="",0,Entry!$K68)</f>
        <v/>
      </c>
      <c r="M68">
        <f>IF(Entry!$L68="",0,Entry!$L68)</f>
        <v/>
      </c>
    </row>
    <row r="69">
      <c r="A69">
        <f>IF(Entry!$C69="","",Entry!$C69)</f>
        <v/>
      </c>
      <c r="B69">
        <f>IF($A69="","",IF(ISNUMBER($A69),IF(AND($A69&gt;=10000101,$A69&lt;=99991231),INT($A69/10000),""),IFERROR(VALUE(TRIM(LEFT($A69,FIND("/",$A69)-1))),"")))</f>
        <v/>
      </c>
      <c r="C69">
        <f>IF(OR($A69="",$B69=""),"",IF(ISNUMBER($A69),INT(MOD($A69,10000)/100),IFERROR(VALUE(TRIM(LEFT(MID($A69,FIND("/",$A69)+1,20),FIND("/",MID($A69,FIND("/",$A69)+1,20))-1))),"")))</f>
        <v/>
      </c>
      <c r="D69">
        <f>IF(OR($A69="",$B69=""),"",IF(ISNUMBER($A69),MOD($A69,100),IFERROR(VALUE(TRIM(MID(MID($A69,FIND("/",$A69)+1,20),FIND("/",MID($A69,FIND("/",$A69)+1,20))+1,20))),"")))</f>
        <v/>
      </c>
      <c r="E69">
        <f>IF($A69="","",IF(OR($B69="",$C69="",$D69="",$B69&lt;1300,$B69&gt;1500,$C69&lt;1,$C69&gt;12,$D69&lt;1,$D69&gt;31),"نامعتبر",RIGHT("0000"&amp;$B69,4)&amp;"/"&amp;RIGHT("00"&amp;$C69,2)&amp;"/"&amp;RIGHT("00"&amp;$D69,2)))</f>
        <v/>
      </c>
      <c r="F69">
        <f>IF(Entry!$D69&lt;&gt;"",IF(AND(ISNUMBER(Entry!$D69),Entry!$D69&gt;=0,Entry!$D69&lt;1),RIGHT("00"&amp;HOUR(Entry!$D69),2)&amp;":"&amp;RIGHT("00"&amp;MINUTE(Entry!$D69),2),IFERROR(RIGHT("00"&amp;VALUE(TRIM(LEFT(Entry!$D69,FIND(":",Entry!$D69)-1))),2)&amp;":"&amp;RIGHT("00"&amp;VALUE(TRIM(MID(Entry!$D69,FIND(":",Entry!$D69)+1,2))),2),"نامعتبر")),IF(OR($E69="",$E69="نامعتبر"),"","00:00"))</f>
        <v/>
      </c>
      <c r="G69">
        <f>IF(OR($E69="",$E69="نامعتبر"),"",IF(Entry!$E69="","",LEFT(UPPER(TRIM(Entry!$E69)),6)))</f>
        <v/>
      </c>
      <c r="H69">
        <f>IF($G69="","",RIGHT($E69,4)&amp;MID($E69,6,2)&amp;RIGHT($E69,2)&amp;IF($F69="","0000",IF($F69="نامعتبر","9999",LEFT($F69,2)&amp;RIGHT($F69,2)))&amp;"|"&amp;RIGHT("00000"&amp;61,5))</f>
        <v/>
      </c>
      <c r="I69">
        <f>IF($H69="","",COUNTIFS(CalcBank,$G69,CalcKey,"&lt;"&amp;$H69)+1)</f>
        <v/>
      </c>
      <c r="J69">
        <f>IF($I69="","",$G69&amp;"|"&amp;RIGHT("000000"&amp;$I69,6))</f>
        <v/>
      </c>
      <c r="K69">
        <f>IF(OR($E69="",$E69="نامعتبر"),"",LEFT($E69,4)&amp;"/"&amp;MID($E69,6,2))</f>
        <v/>
      </c>
      <c r="L69">
        <f>IF(Entry!$K69="",0,Entry!$K69)</f>
        <v/>
      </c>
      <c r="M69">
        <f>IF(Entry!$L69="",0,Entry!$L69)</f>
        <v/>
      </c>
    </row>
    <row r="70">
      <c r="A70">
        <f>IF(Entry!$C70="","",Entry!$C70)</f>
        <v/>
      </c>
      <c r="B70">
        <f>IF($A70="","",IF(ISNUMBER($A70),IF(AND($A70&gt;=10000101,$A70&lt;=99991231),INT($A70/10000),""),IFERROR(VALUE(TRIM(LEFT($A70,FIND("/",$A70)-1))),"")))</f>
        <v/>
      </c>
      <c r="C70">
        <f>IF(OR($A70="",$B70=""),"",IF(ISNUMBER($A70),INT(MOD($A70,10000)/100),IFERROR(VALUE(TRIM(LEFT(MID($A70,FIND("/",$A70)+1,20),FIND("/",MID($A70,FIND("/",$A70)+1,20))-1))),"")))</f>
        <v/>
      </c>
      <c r="D70">
        <f>IF(OR($A70="",$B70=""),"",IF(ISNUMBER($A70),MOD($A70,100),IFERROR(VALUE(TRIM(MID(MID($A70,FIND("/",$A70)+1,20),FIND("/",MID($A70,FIND("/",$A70)+1,20))+1,20))),"")))</f>
        <v/>
      </c>
      <c r="E70">
        <f>IF($A70="","",IF(OR($B70="",$C70="",$D70="",$B70&lt;1300,$B70&gt;1500,$C70&lt;1,$C70&gt;12,$D70&lt;1,$D70&gt;31),"نامعتبر",RIGHT("0000"&amp;$B70,4)&amp;"/"&amp;RIGHT("00"&amp;$C70,2)&amp;"/"&amp;RIGHT("00"&amp;$D70,2)))</f>
        <v/>
      </c>
      <c r="F70">
        <f>IF(Entry!$D70&lt;&gt;"",IF(AND(ISNUMBER(Entry!$D70),Entry!$D70&gt;=0,Entry!$D70&lt;1),RIGHT("00"&amp;HOUR(Entry!$D70),2)&amp;":"&amp;RIGHT("00"&amp;MINUTE(Entry!$D70),2),IFERROR(RIGHT("00"&amp;VALUE(TRIM(LEFT(Entry!$D70,FIND(":",Entry!$D70)-1))),2)&amp;":"&amp;RIGHT("00"&amp;VALUE(TRIM(MID(Entry!$D70,FIND(":",Entry!$D70)+1,2))),2),"نامعتبر")),IF(OR($E70="",$E70="نامعتبر"),"","00:00"))</f>
        <v/>
      </c>
      <c r="G70">
        <f>IF(OR($E70="",$E70="نامعتبر"),"",IF(Entry!$E70="","",LEFT(UPPER(TRIM(Entry!$E70)),6)))</f>
        <v/>
      </c>
      <c r="H70">
        <f>IF($G70="","",RIGHT($E70,4)&amp;MID($E70,6,2)&amp;RIGHT($E70,2)&amp;IF($F70="","0000",IF($F70="نامعتبر","9999",LEFT($F70,2)&amp;RIGHT($F70,2)))&amp;"|"&amp;RIGHT("00000"&amp;62,5))</f>
        <v/>
      </c>
      <c r="I70">
        <f>IF($H70="","",COUNTIFS(CalcBank,$G70,CalcKey,"&lt;"&amp;$H70)+1)</f>
        <v/>
      </c>
      <c r="J70">
        <f>IF($I70="","",$G70&amp;"|"&amp;RIGHT("000000"&amp;$I70,6))</f>
        <v/>
      </c>
      <c r="K70">
        <f>IF(OR($E70="",$E70="نامعتبر"),"",LEFT($E70,4)&amp;"/"&amp;MID($E70,6,2))</f>
        <v/>
      </c>
      <c r="L70">
        <f>IF(Entry!$K70="",0,Entry!$K70)</f>
        <v/>
      </c>
      <c r="M70">
        <f>IF(Entry!$L70="",0,Entry!$L70)</f>
        <v/>
      </c>
    </row>
    <row r="71">
      <c r="A71">
        <f>IF(Entry!$C71="","",Entry!$C71)</f>
        <v/>
      </c>
      <c r="B71">
        <f>IF($A71="","",IF(ISNUMBER($A71),IF(AND($A71&gt;=10000101,$A71&lt;=99991231),INT($A71/10000),""),IFERROR(VALUE(TRIM(LEFT($A71,FIND("/",$A71)-1))),"")))</f>
        <v/>
      </c>
      <c r="C71">
        <f>IF(OR($A71="",$B71=""),"",IF(ISNUMBER($A71),INT(MOD($A71,10000)/100),IFERROR(VALUE(TRIM(LEFT(MID($A71,FIND("/",$A71)+1,20),FIND("/",MID($A71,FIND("/",$A71)+1,20))-1))),"")))</f>
        <v/>
      </c>
      <c r="D71">
        <f>IF(OR($A71="",$B71=""),"",IF(ISNUMBER($A71),MOD($A71,100),IFERROR(VALUE(TRIM(MID(MID($A71,FIND("/",$A71)+1,20),FIND("/",MID($A71,FIND("/",$A71)+1,20))+1,20))),"")))</f>
        <v/>
      </c>
      <c r="E71">
        <f>IF($A71="","",IF(OR($B71="",$C71="",$D71="",$B71&lt;1300,$B71&gt;1500,$C71&lt;1,$C71&gt;12,$D71&lt;1,$D71&gt;31),"نامعتبر",RIGHT("0000"&amp;$B71,4)&amp;"/"&amp;RIGHT("00"&amp;$C71,2)&amp;"/"&amp;RIGHT("00"&amp;$D71,2)))</f>
        <v/>
      </c>
      <c r="F71">
        <f>IF(Entry!$D71&lt;&gt;"",IF(AND(ISNUMBER(Entry!$D71),Entry!$D71&gt;=0,Entry!$D71&lt;1),RIGHT("00"&amp;HOUR(Entry!$D71),2)&amp;":"&amp;RIGHT("00"&amp;MINUTE(Entry!$D71),2),IFERROR(RIGHT("00"&amp;VALUE(TRIM(LEFT(Entry!$D71,FIND(":",Entry!$D71)-1))),2)&amp;":"&amp;RIGHT("00"&amp;VALUE(TRIM(MID(Entry!$D71,FIND(":",Entry!$D71)+1,2))),2),"نامعتبر")),IF(OR($E71="",$E71="نامعتبر"),"","00:00"))</f>
        <v/>
      </c>
      <c r="G71">
        <f>IF(OR($E71="",$E71="نامعتبر"),"",IF(Entry!$E71="","",LEFT(UPPER(TRIM(Entry!$E71)),6)))</f>
        <v/>
      </c>
      <c r="H71">
        <f>IF($G71="","",RIGHT($E71,4)&amp;MID($E71,6,2)&amp;RIGHT($E71,2)&amp;IF($F71="","0000",IF($F71="نامعتبر","9999",LEFT($F71,2)&amp;RIGHT($F71,2)))&amp;"|"&amp;RIGHT("00000"&amp;63,5))</f>
        <v/>
      </c>
      <c r="I71">
        <f>IF($H71="","",COUNTIFS(CalcBank,$G71,CalcKey,"&lt;"&amp;$H71)+1)</f>
        <v/>
      </c>
      <c r="J71">
        <f>IF($I71="","",$G71&amp;"|"&amp;RIGHT("000000"&amp;$I71,6))</f>
        <v/>
      </c>
      <c r="K71">
        <f>IF(OR($E71="",$E71="نامعتبر"),"",LEFT($E71,4)&amp;"/"&amp;MID($E71,6,2))</f>
        <v/>
      </c>
      <c r="L71">
        <f>IF(Entry!$K71="",0,Entry!$K71)</f>
        <v/>
      </c>
      <c r="M71">
        <f>IF(Entry!$L71="",0,Entry!$L71)</f>
        <v/>
      </c>
    </row>
    <row r="72">
      <c r="A72">
        <f>IF(Entry!$C72="","",Entry!$C72)</f>
        <v/>
      </c>
      <c r="B72">
        <f>IF($A72="","",IF(ISNUMBER($A72),IF(AND($A72&gt;=10000101,$A72&lt;=99991231),INT($A72/10000),""),IFERROR(VALUE(TRIM(LEFT($A72,FIND("/",$A72)-1))),"")))</f>
        <v/>
      </c>
      <c r="C72">
        <f>IF(OR($A72="",$B72=""),"",IF(ISNUMBER($A72),INT(MOD($A72,10000)/100),IFERROR(VALUE(TRIM(LEFT(MID($A72,FIND("/",$A72)+1,20),FIND("/",MID($A72,FIND("/",$A72)+1,20))-1))),"")))</f>
        <v/>
      </c>
      <c r="D72">
        <f>IF(OR($A72="",$B72=""),"",IF(ISNUMBER($A72),MOD($A72,100),IFERROR(VALUE(TRIM(MID(MID($A72,FIND("/",$A72)+1,20),FIND("/",MID($A72,FIND("/",$A72)+1,20))+1,20))),"")))</f>
        <v/>
      </c>
      <c r="E72">
        <f>IF($A72="","",IF(OR($B72="",$C72="",$D72="",$B72&lt;1300,$B72&gt;1500,$C72&lt;1,$C72&gt;12,$D72&lt;1,$D72&gt;31),"نامعتبر",RIGHT("0000"&amp;$B72,4)&amp;"/"&amp;RIGHT("00"&amp;$C72,2)&amp;"/"&amp;RIGHT("00"&amp;$D72,2)))</f>
        <v/>
      </c>
      <c r="F72">
        <f>IF(Entry!$D72&lt;&gt;"",IF(AND(ISNUMBER(Entry!$D72),Entry!$D72&gt;=0,Entry!$D72&lt;1),RIGHT("00"&amp;HOUR(Entry!$D72),2)&amp;":"&amp;RIGHT("00"&amp;MINUTE(Entry!$D72),2),IFERROR(RIGHT("00"&amp;VALUE(TRIM(LEFT(Entry!$D72,FIND(":",Entry!$D72)-1))),2)&amp;":"&amp;RIGHT("00"&amp;VALUE(TRIM(MID(Entry!$D72,FIND(":",Entry!$D72)+1,2))),2),"نامعتبر")),IF(OR($E72="",$E72="نامعتبر"),"","00:00"))</f>
        <v/>
      </c>
      <c r="G72">
        <f>IF(OR($E72="",$E72="نامعتبر"),"",IF(Entry!$E72="","",LEFT(UPPER(TRIM(Entry!$E72)),6)))</f>
        <v/>
      </c>
      <c r="H72">
        <f>IF($G72="","",RIGHT($E72,4)&amp;MID($E72,6,2)&amp;RIGHT($E72,2)&amp;IF($F72="","0000",IF($F72="نامعتبر","9999",LEFT($F72,2)&amp;RIGHT($F72,2)))&amp;"|"&amp;RIGHT("00000"&amp;64,5))</f>
        <v/>
      </c>
      <c r="I72">
        <f>IF($H72="","",COUNTIFS(CalcBank,$G72,CalcKey,"&lt;"&amp;$H72)+1)</f>
        <v/>
      </c>
      <c r="J72">
        <f>IF($I72="","",$G72&amp;"|"&amp;RIGHT("000000"&amp;$I72,6))</f>
        <v/>
      </c>
      <c r="K72">
        <f>IF(OR($E72="",$E72="نامعتبر"),"",LEFT($E72,4)&amp;"/"&amp;MID($E72,6,2))</f>
        <v/>
      </c>
      <c r="L72">
        <f>IF(Entry!$K72="",0,Entry!$K72)</f>
        <v/>
      </c>
      <c r="M72">
        <f>IF(Entry!$L72="",0,Entry!$L72)</f>
        <v/>
      </c>
    </row>
    <row r="73">
      <c r="A73">
        <f>IF(Entry!$C73="","",Entry!$C73)</f>
        <v/>
      </c>
      <c r="B73">
        <f>IF($A73="","",IF(ISNUMBER($A73),IF(AND($A73&gt;=10000101,$A73&lt;=99991231),INT($A73/10000),""),IFERROR(VALUE(TRIM(LEFT($A73,FIND("/",$A73)-1))),"")))</f>
        <v/>
      </c>
      <c r="C73">
        <f>IF(OR($A73="",$B73=""),"",IF(ISNUMBER($A73),INT(MOD($A73,10000)/100),IFERROR(VALUE(TRIM(LEFT(MID($A73,FIND("/",$A73)+1,20),FIND("/",MID($A73,FIND("/",$A73)+1,20))-1))),"")))</f>
        <v/>
      </c>
      <c r="D73">
        <f>IF(OR($A73="",$B73=""),"",IF(ISNUMBER($A73),MOD($A73,100),IFERROR(VALUE(TRIM(MID(MID($A73,FIND("/",$A73)+1,20),FIND("/",MID($A73,FIND("/",$A73)+1,20))+1,20))),"")))</f>
        <v/>
      </c>
      <c r="E73">
        <f>IF($A73="","",IF(OR($B73="",$C73="",$D73="",$B73&lt;1300,$B73&gt;1500,$C73&lt;1,$C73&gt;12,$D73&lt;1,$D73&gt;31),"نامعتبر",RIGHT("0000"&amp;$B73,4)&amp;"/"&amp;RIGHT("00"&amp;$C73,2)&amp;"/"&amp;RIGHT("00"&amp;$D73,2)))</f>
        <v/>
      </c>
      <c r="F73">
        <f>IF(Entry!$D73&lt;&gt;"",IF(AND(ISNUMBER(Entry!$D73),Entry!$D73&gt;=0,Entry!$D73&lt;1),RIGHT("00"&amp;HOUR(Entry!$D73),2)&amp;":"&amp;RIGHT("00"&amp;MINUTE(Entry!$D73),2),IFERROR(RIGHT("00"&amp;VALUE(TRIM(LEFT(Entry!$D73,FIND(":",Entry!$D73)-1))),2)&amp;":"&amp;RIGHT("00"&amp;VALUE(TRIM(MID(Entry!$D73,FIND(":",Entry!$D73)+1,2))),2),"نامعتبر")),IF(OR($E73="",$E73="نامعتبر"),"","00:00"))</f>
        <v/>
      </c>
      <c r="G73">
        <f>IF(OR($E73="",$E73="نامعتبر"),"",IF(Entry!$E73="","",LEFT(UPPER(TRIM(Entry!$E73)),6)))</f>
        <v/>
      </c>
      <c r="H73">
        <f>IF($G73="","",RIGHT($E73,4)&amp;MID($E73,6,2)&amp;RIGHT($E73,2)&amp;IF($F73="","0000",IF($F73="نامعتبر","9999",LEFT($F73,2)&amp;RIGHT($F73,2)))&amp;"|"&amp;RIGHT("00000"&amp;65,5))</f>
        <v/>
      </c>
      <c r="I73">
        <f>IF($H73="","",COUNTIFS(CalcBank,$G73,CalcKey,"&lt;"&amp;$H73)+1)</f>
        <v/>
      </c>
      <c r="J73">
        <f>IF($I73="","",$G73&amp;"|"&amp;RIGHT("000000"&amp;$I73,6))</f>
        <v/>
      </c>
      <c r="K73">
        <f>IF(OR($E73="",$E73="نامعتبر"),"",LEFT($E73,4)&amp;"/"&amp;MID($E73,6,2))</f>
        <v/>
      </c>
      <c r="L73">
        <f>IF(Entry!$K73="",0,Entry!$K73)</f>
        <v/>
      </c>
      <c r="M73">
        <f>IF(Entry!$L73="",0,Entry!$L73)</f>
        <v/>
      </c>
    </row>
    <row r="74">
      <c r="A74">
        <f>IF(Entry!$C74="","",Entry!$C74)</f>
        <v/>
      </c>
      <c r="B74">
        <f>IF($A74="","",IF(ISNUMBER($A74),IF(AND($A74&gt;=10000101,$A74&lt;=99991231),INT($A74/10000),""),IFERROR(VALUE(TRIM(LEFT($A74,FIND("/",$A74)-1))),"")))</f>
        <v/>
      </c>
      <c r="C74">
        <f>IF(OR($A74="",$B74=""),"",IF(ISNUMBER($A74),INT(MOD($A74,10000)/100),IFERROR(VALUE(TRIM(LEFT(MID($A74,FIND("/",$A74)+1,20),FIND("/",MID($A74,FIND("/",$A74)+1,20))-1))),"")))</f>
        <v/>
      </c>
      <c r="D74">
        <f>IF(OR($A74="",$B74=""),"",IF(ISNUMBER($A74),MOD($A74,100),IFERROR(VALUE(TRIM(MID(MID($A74,FIND("/",$A74)+1,20),FIND("/",MID($A74,FIND("/",$A74)+1,20))+1,20))),"")))</f>
        <v/>
      </c>
      <c r="E74">
        <f>IF($A74="","",IF(OR($B74="",$C74="",$D74="",$B74&lt;1300,$B74&gt;1500,$C74&lt;1,$C74&gt;12,$D74&lt;1,$D74&gt;31),"نامعتبر",RIGHT("0000"&amp;$B74,4)&amp;"/"&amp;RIGHT("00"&amp;$C74,2)&amp;"/"&amp;RIGHT("00"&amp;$D74,2)))</f>
        <v/>
      </c>
      <c r="F74">
        <f>IF(Entry!$D74&lt;&gt;"",IF(AND(ISNUMBER(Entry!$D74),Entry!$D74&gt;=0,Entry!$D74&lt;1),RIGHT("00"&amp;HOUR(Entry!$D74),2)&amp;":"&amp;RIGHT("00"&amp;MINUTE(Entry!$D74),2),IFERROR(RIGHT("00"&amp;VALUE(TRIM(LEFT(Entry!$D74,FIND(":",Entry!$D74)-1))),2)&amp;":"&amp;RIGHT("00"&amp;VALUE(TRIM(MID(Entry!$D74,FIND(":",Entry!$D74)+1,2))),2),"نامعتبر")),IF(OR($E74="",$E74="نامعتبر"),"","00:00"))</f>
        <v/>
      </c>
      <c r="G74">
        <f>IF(OR($E74="",$E74="نامعتبر"),"",IF(Entry!$E74="","",LEFT(UPPER(TRIM(Entry!$E74)),6)))</f>
        <v/>
      </c>
      <c r="H74">
        <f>IF($G74="","",RIGHT($E74,4)&amp;MID($E74,6,2)&amp;RIGHT($E74,2)&amp;IF($F74="","0000",IF($F74="نامعتبر","9999",LEFT($F74,2)&amp;RIGHT($F74,2)))&amp;"|"&amp;RIGHT("00000"&amp;66,5))</f>
        <v/>
      </c>
      <c r="I74">
        <f>IF($H74="","",COUNTIFS(CalcBank,$G74,CalcKey,"&lt;"&amp;$H74)+1)</f>
        <v/>
      </c>
      <c r="J74">
        <f>IF($I74="","",$G74&amp;"|"&amp;RIGHT("000000"&amp;$I74,6))</f>
        <v/>
      </c>
      <c r="K74">
        <f>IF(OR($E74="",$E74="نامعتبر"),"",LEFT($E74,4)&amp;"/"&amp;MID($E74,6,2))</f>
        <v/>
      </c>
      <c r="L74">
        <f>IF(Entry!$K74="",0,Entry!$K74)</f>
        <v/>
      </c>
      <c r="M74">
        <f>IF(Entry!$L74="",0,Entry!$L74)</f>
        <v/>
      </c>
    </row>
    <row r="75">
      <c r="A75">
        <f>IF(Entry!$C75="","",Entry!$C75)</f>
        <v/>
      </c>
      <c r="B75">
        <f>IF($A75="","",IF(ISNUMBER($A75),IF(AND($A75&gt;=10000101,$A75&lt;=99991231),INT($A75/10000),""),IFERROR(VALUE(TRIM(LEFT($A75,FIND("/",$A75)-1))),"")))</f>
        <v/>
      </c>
      <c r="C75">
        <f>IF(OR($A75="",$B75=""),"",IF(ISNUMBER($A75),INT(MOD($A75,10000)/100),IFERROR(VALUE(TRIM(LEFT(MID($A75,FIND("/",$A75)+1,20),FIND("/",MID($A75,FIND("/",$A75)+1,20))-1))),"")))</f>
        <v/>
      </c>
      <c r="D75">
        <f>IF(OR($A75="",$B75=""),"",IF(ISNUMBER($A75),MOD($A75,100),IFERROR(VALUE(TRIM(MID(MID($A75,FIND("/",$A75)+1,20),FIND("/",MID($A75,FIND("/",$A75)+1,20))+1,20))),"")))</f>
        <v/>
      </c>
      <c r="E75">
        <f>IF($A75="","",IF(OR($B75="",$C75="",$D75="",$B75&lt;1300,$B75&gt;1500,$C75&lt;1,$C75&gt;12,$D75&lt;1,$D75&gt;31),"نامعتبر",RIGHT("0000"&amp;$B75,4)&amp;"/"&amp;RIGHT("00"&amp;$C75,2)&amp;"/"&amp;RIGHT("00"&amp;$D75,2)))</f>
        <v/>
      </c>
      <c r="F75">
        <f>IF(Entry!$D75&lt;&gt;"",IF(AND(ISNUMBER(Entry!$D75),Entry!$D75&gt;=0,Entry!$D75&lt;1),RIGHT("00"&amp;HOUR(Entry!$D75),2)&amp;":"&amp;RIGHT("00"&amp;MINUTE(Entry!$D75),2),IFERROR(RIGHT("00"&amp;VALUE(TRIM(LEFT(Entry!$D75,FIND(":",Entry!$D75)-1))),2)&amp;":"&amp;RIGHT("00"&amp;VALUE(TRIM(MID(Entry!$D75,FIND(":",Entry!$D75)+1,2))),2),"نامعتبر")),IF(OR($E75="",$E75="نامعتبر"),"","00:00"))</f>
        <v/>
      </c>
      <c r="G75">
        <f>IF(OR($E75="",$E75="نامعتبر"),"",IF(Entry!$E75="","",LEFT(UPPER(TRIM(Entry!$E75)),6)))</f>
        <v/>
      </c>
      <c r="H75">
        <f>IF($G75="","",RIGHT($E75,4)&amp;MID($E75,6,2)&amp;RIGHT($E75,2)&amp;IF($F75="","0000",IF($F75="نامعتبر","9999",LEFT($F75,2)&amp;RIGHT($F75,2)))&amp;"|"&amp;RIGHT("00000"&amp;67,5))</f>
        <v/>
      </c>
      <c r="I75">
        <f>IF($H75="","",COUNTIFS(CalcBank,$G75,CalcKey,"&lt;"&amp;$H75)+1)</f>
        <v/>
      </c>
      <c r="J75">
        <f>IF($I75="","",$G75&amp;"|"&amp;RIGHT("000000"&amp;$I75,6))</f>
        <v/>
      </c>
      <c r="K75">
        <f>IF(OR($E75="",$E75="نامعتبر"),"",LEFT($E75,4)&amp;"/"&amp;MID($E75,6,2))</f>
        <v/>
      </c>
      <c r="L75">
        <f>IF(Entry!$K75="",0,Entry!$K75)</f>
        <v/>
      </c>
      <c r="M75">
        <f>IF(Entry!$L75="",0,Entry!$L75)</f>
        <v/>
      </c>
    </row>
    <row r="76">
      <c r="A76">
        <f>IF(Entry!$C76="","",Entry!$C76)</f>
        <v/>
      </c>
      <c r="B76">
        <f>IF($A76="","",IF(ISNUMBER($A76),IF(AND($A76&gt;=10000101,$A76&lt;=99991231),INT($A76/10000),""),IFERROR(VALUE(TRIM(LEFT($A76,FIND("/",$A76)-1))),"")))</f>
        <v/>
      </c>
      <c r="C76">
        <f>IF(OR($A76="",$B76=""),"",IF(ISNUMBER($A76),INT(MOD($A76,10000)/100),IFERROR(VALUE(TRIM(LEFT(MID($A76,FIND("/",$A76)+1,20),FIND("/",MID($A76,FIND("/",$A76)+1,20))-1))),"")))</f>
        <v/>
      </c>
      <c r="D76">
        <f>IF(OR($A76="",$B76=""),"",IF(ISNUMBER($A76),MOD($A76,100),IFERROR(VALUE(TRIM(MID(MID($A76,FIND("/",$A76)+1,20),FIND("/",MID($A76,FIND("/",$A76)+1,20))+1,20))),"")))</f>
        <v/>
      </c>
      <c r="E76">
        <f>IF($A76="","",IF(OR($B76="",$C76="",$D76="",$B76&lt;1300,$B76&gt;1500,$C76&lt;1,$C76&gt;12,$D76&lt;1,$D76&gt;31),"نامعتبر",RIGHT("0000"&amp;$B76,4)&amp;"/"&amp;RIGHT("00"&amp;$C76,2)&amp;"/"&amp;RIGHT("00"&amp;$D76,2)))</f>
        <v/>
      </c>
      <c r="F76">
        <f>IF(Entry!$D76&lt;&gt;"",IF(AND(ISNUMBER(Entry!$D76),Entry!$D76&gt;=0,Entry!$D76&lt;1),RIGHT("00"&amp;HOUR(Entry!$D76),2)&amp;":"&amp;RIGHT("00"&amp;MINUTE(Entry!$D76),2),IFERROR(RIGHT("00"&amp;VALUE(TRIM(LEFT(Entry!$D76,FIND(":",Entry!$D76)-1))),2)&amp;":"&amp;RIGHT("00"&amp;VALUE(TRIM(MID(Entry!$D76,FIND(":",Entry!$D76)+1,2))),2),"نامعتبر")),IF(OR($E76="",$E76="نامعتبر"),"","00:00"))</f>
        <v/>
      </c>
      <c r="G76">
        <f>IF(OR($E76="",$E76="نامعتبر"),"",IF(Entry!$E76="","",LEFT(UPPER(TRIM(Entry!$E76)),6)))</f>
        <v/>
      </c>
      <c r="H76">
        <f>IF($G76="","",RIGHT($E76,4)&amp;MID($E76,6,2)&amp;RIGHT($E76,2)&amp;IF($F76="","0000",IF($F76="نامعتبر","9999",LEFT($F76,2)&amp;RIGHT($F76,2)))&amp;"|"&amp;RIGHT("00000"&amp;68,5))</f>
        <v/>
      </c>
      <c r="I76">
        <f>IF($H76="","",COUNTIFS(CalcBank,$G76,CalcKey,"&lt;"&amp;$H76)+1)</f>
        <v/>
      </c>
      <c r="J76">
        <f>IF($I76="","",$G76&amp;"|"&amp;RIGHT("000000"&amp;$I76,6))</f>
        <v/>
      </c>
      <c r="K76">
        <f>IF(OR($E76="",$E76="نامعتبر"),"",LEFT($E76,4)&amp;"/"&amp;MID($E76,6,2))</f>
        <v/>
      </c>
      <c r="L76">
        <f>IF(Entry!$K76="",0,Entry!$K76)</f>
        <v/>
      </c>
      <c r="M76">
        <f>IF(Entry!$L76="",0,Entry!$L76)</f>
        <v/>
      </c>
    </row>
    <row r="77">
      <c r="A77">
        <f>IF(Entry!$C77="","",Entry!$C77)</f>
        <v/>
      </c>
      <c r="B77">
        <f>IF($A77="","",IF(ISNUMBER($A77),IF(AND($A77&gt;=10000101,$A77&lt;=99991231),INT($A77/10000),""),IFERROR(VALUE(TRIM(LEFT($A77,FIND("/",$A77)-1))),"")))</f>
        <v/>
      </c>
      <c r="C77">
        <f>IF(OR($A77="",$B77=""),"",IF(ISNUMBER($A77),INT(MOD($A77,10000)/100),IFERROR(VALUE(TRIM(LEFT(MID($A77,FIND("/",$A77)+1,20),FIND("/",MID($A77,FIND("/",$A77)+1,20))-1))),"")))</f>
        <v/>
      </c>
      <c r="D77">
        <f>IF(OR($A77="",$B77=""),"",IF(ISNUMBER($A77),MOD($A77,100),IFERROR(VALUE(TRIM(MID(MID($A77,FIND("/",$A77)+1,20),FIND("/",MID($A77,FIND("/",$A77)+1,20))+1,20))),"")))</f>
        <v/>
      </c>
      <c r="E77">
        <f>IF($A77="","",IF(OR($B77="",$C77="",$D77="",$B77&lt;1300,$B77&gt;1500,$C77&lt;1,$C77&gt;12,$D77&lt;1,$D77&gt;31),"نامعتبر",RIGHT("0000"&amp;$B77,4)&amp;"/"&amp;RIGHT("00"&amp;$C77,2)&amp;"/"&amp;RIGHT("00"&amp;$D77,2)))</f>
        <v/>
      </c>
      <c r="F77">
        <f>IF(Entry!$D77&lt;&gt;"",IF(AND(ISNUMBER(Entry!$D77),Entry!$D77&gt;=0,Entry!$D77&lt;1),RIGHT("00"&amp;HOUR(Entry!$D77),2)&amp;":"&amp;RIGHT("00"&amp;MINUTE(Entry!$D77),2),IFERROR(RIGHT("00"&amp;VALUE(TRIM(LEFT(Entry!$D77,FIND(":",Entry!$D77)-1))),2)&amp;":"&amp;RIGHT("00"&amp;VALUE(TRIM(MID(Entry!$D77,FIND(":",Entry!$D77)+1,2))),2),"نامعتبر")),IF(OR($E77="",$E77="نامعتبر"),"","00:00"))</f>
        <v/>
      </c>
      <c r="G77">
        <f>IF(OR($E77="",$E77="نامعتبر"),"",IF(Entry!$E77="","",LEFT(UPPER(TRIM(Entry!$E77)),6)))</f>
        <v/>
      </c>
      <c r="H77">
        <f>IF($G77="","",RIGHT($E77,4)&amp;MID($E77,6,2)&amp;RIGHT($E77,2)&amp;IF($F77="","0000",IF($F77="نامعتبر","9999",LEFT($F77,2)&amp;RIGHT($F77,2)))&amp;"|"&amp;RIGHT("00000"&amp;69,5))</f>
        <v/>
      </c>
      <c r="I77">
        <f>IF($H77="","",COUNTIFS(CalcBank,$G77,CalcKey,"&lt;"&amp;$H77)+1)</f>
        <v/>
      </c>
      <c r="J77">
        <f>IF($I77="","",$G77&amp;"|"&amp;RIGHT("000000"&amp;$I77,6))</f>
        <v/>
      </c>
      <c r="K77">
        <f>IF(OR($E77="",$E77="نامعتبر"),"",LEFT($E77,4)&amp;"/"&amp;MID($E77,6,2))</f>
        <v/>
      </c>
      <c r="L77">
        <f>IF(Entry!$K77="",0,Entry!$K77)</f>
        <v/>
      </c>
      <c r="M77">
        <f>IF(Entry!$L77="",0,Entry!$L77)</f>
        <v/>
      </c>
    </row>
    <row r="78">
      <c r="A78">
        <f>IF(Entry!$C78="","",Entry!$C78)</f>
        <v/>
      </c>
      <c r="B78">
        <f>IF($A78="","",IF(ISNUMBER($A78),IF(AND($A78&gt;=10000101,$A78&lt;=99991231),INT($A78/10000),""),IFERROR(VALUE(TRIM(LEFT($A78,FIND("/",$A78)-1))),"")))</f>
        <v/>
      </c>
      <c r="C78">
        <f>IF(OR($A78="",$B78=""),"",IF(ISNUMBER($A78),INT(MOD($A78,10000)/100),IFERROR(VALUE(TRIM(LEFT(MID($A78,FIND("/",$A78)+1,20),FIND("/",MID($A78,FIND("/",$A78)+1,20))-1))),"")))</f>
        <v/>
      </c>
      <c r="D78">
        <f>IF(OR($A78="",$B78=""),"",IF(ISNUMBER($A78),MOD($A78,100),IFERROR(VALUE(TRIM(MID(MID($A78,FIND("/",$A78)+1,20),FIND("/",MID($A78,FIND("/",$A78)+1,20))+1,20))),"")))</f>
        <v/>
      </c>
      <c r="E78">
        <f>IF($A78="","",IF(OR($B78="",$C78="",$D78="",$B78&lt;1300,$B78&gt;1500,$C78&lt;1,$C78&gt;12,$D78&lt;1,$D78&gt;31),"نامعتبر",RIGHT("0000"&amp;$B78,4)&amp;"/"&amp;RIGHT("00"&amp;$C78,2)&amp;"/"&amp;RIGHT("00"&amp;$D78,2)))</f>
        <v/>
      </c>
      <c r="F78">
        <f>IF(Entry!$D78&lt;&gt;"",IF(AND(ISNUMBER(Entry!$D78),Entry!$D78&gt;=0,Entry!$D78&lt;1),RIGHT("00"&amp;HOUR(Entry!$D78),2)&amp;":"&amp;RIGHT("00"&amp;MINUTE(Entry!$D78),2),IFERROR(RIGHT("00"&amp;VALUE(TRIM(LEFT(Entry!$D78,FIND(":",Entry!$D78)-1))),2)&amp;":"&amp;RIGHT("00"&amp;VALUE(TRIM(MID(Entry!$D78,FIND(":",Entry!$D78)+1,2))),2),"نامعتبر")),IF(OR($E78="",$E78="نامعتبر"),"","00:00"))</f>
        <v/>
      </c>
      <c r="G78">
        <f>IF(OR($E78="",$E78="نامعتبر"),"",IF(Entry!$E78="","",LEFT(UPPER(TRIM(Entry!$E78)),6)))</f>
        <v/>
      </c>
      <c r="H78">
        <f>IF($G78="","",RIGHT($E78,4)&amp;MID($E78,6,2)&amp;RIGHT($E78,2)&amp;IF($F78="","0000",IF($F78="نامعتبر","9999",LEFT($F78,2)&amp;RIGHT($F78,2)))&amp;"|"&amp;RIGHT("00000"&amp;70,5))</f>
        <v/>
      </c>
      <c r="I78">
        <f>IF($H78="","",COUNTIFS(CalcBank,$G78,CalcKey,"&lt;"&amp;$H78)+1)</f>
        <v/>
      </c>
      <c r="J78">
        <f>IF($I78="","",$G78&amp;"|"&amp;RIGHT("000000"&amp;$I78,6))</f>
        <v/>
      </c>
      <c r="K78">
        <f>IF(OR($E78="",$E78="نامعتبر"),"",LEFT($E78,4)&amp;"/"&amp;MID($E78,6,2))</f>
        <v/>
      </c>
      <c r="L78">
        <f>IF(Entry!$K78="",0,Entry!$K78)</f>
        <v/>
      </c>
      <c r="M78">
        <f>IF(Entry!$L78="",0,Entry!$L78)</f>
        <v/>
      </c>
    </row>
    <row r="79">
      <c r="A79">
        <f>IF(Entry!$C79="","",Entry!$C79)</f>
        <v/>
      </c>
      <c r="B79">
        <f>IF($A79="","",IF(ISNUMBER($A79),IF(AND($A79&gt;=10000101,$A79&lt;=99991231),INT($A79/10000),""),IFERROR(VALUE(TRIM(LEFT($A79,FIND("/",$A79)-1))),"")))</f>
        <v/>
      </c>
      <c r="C79">
        <f>IF(OR($A79="",$B79=""),"",IF(ISNUMBER($A79),INT(MOD($A79,10000)/100),IFERROR(VALUE(TRIM(LEFT(MID($A79,FIND("/",$A79)+1,20),FIND("/",MID($A79,FIND("/",$A79)+1,20))-1))),"")))</f>
        <v/>
      </c>
      <c r="D79">
        <f>IF(OR($A79="",$B79=""),"",IF(ISNUMBER($A79),MOD($A79,100),IFERROR(VALUE(TRIM(MID(MID($A79,FIND("/",$A79)+1,20),FIND("/",MID($A79,FIND("/",$A79)+1,20))+1,20))),"")))</f>
        <v/>
      </c>
      <c r="E79">
        <f>IF($A79="","",IF(OR($B79="",$C79="",$D79="",$B79&lt;1300,$B79&gt;1500,$C79&lt;1,$C79&gt;12,$D79&lt;1,$D79&gt;31),"نامعتبر",RIGHT("0000"&amp;$B79,4)&amp;"/"&amp;RIGHT("00"&amp;$C79,2)&amp;"/"&amp;RIGHT("00"&amp;$D79,2)))</f>
        <v/>
      </c>
      <c r="F79">
        <f>IF(Entry!$D79&lt;&gt;"",IF(AND(ISNUMBER(Entry!$D79),Entry!$D79&gt;=0,Entry!$D79&lt;1),RIGHT("00"&amp;HOUR(Entry!$D79),2)&amp;":"&amp;RIGHT("00"&amp;MINUTE(Entry!$D79),2),IFERROR(RIGHT("00"&amp;VALUE(TRIM(LEFT(Entry!$D79,FIND(":",Entry!$D79)-1))),2)&amp;":"&amp;RIGHT("00"&amp;VALUE(TRIM(MID(Entry!$D79,FIND(":",Entry!$D79)+1,2))),2),"نامعتبر")),IF(OR($E79="",$E79="نامعتبر"),"","00:00"))</f>
        <v/>
      </c>
      <c r="G79">
        <f>IF(OR($E79="",$E79="نامعتبر"),"",IF(Entry!$E79="","",LEFT(UPPER(TRIM(Entry!$E79)),6)))</f>
        <v/>
      </c>
      <c r="H79">
        <f>IF($G79="","",RIGHT($E79,4)&amp;MID($E79,6,2)&amp;RIGHT($E79,2)&amp;IF($F79="","0000",IF($F79="نامعتبر","9999",LEFT($F79,2)&amp;RIGHT($F79,2)))&amp;"|"&amp;RIGHT("00000"&amp;71,5))</f>
        <v/>
      </c>
      <c r="I79">
        <f>IF($H79="","",COUNTIFS(CalcBank,$G79,CalcKey,"&lt;"&amp;$H79)+1)</f>
        <v/>
      </c>
      <c r="J79">
        <f>IF($I79="","",$G79&amp;"|"&amp;RIGHT("000000"&amp;$I79,6))</f>
        <v/>
      </c>
      <c r="K79">
        <f>IF(OR($E79="",$E79="نامعتبر"),"",LEFT($E79,4)&amp;"/"&amp;MID($E79,6,2))</f>
        <v/>
      </c>
      <c r="L79">
        <f>IF(Entry!$K79="",0,Entry!$K79)</f>
        <v/>
      </c>
      <c r="M79">
        <f>IF(Entry!$L79="",0,Entry!$L79)</f>
        <v/>
      </c>
    </row>
    <row r="80">
      <c r="A80">
        <f>IF(Entry!$C80="","",Entry!$C80)</f>
        <v/>
      </c>
      <c r="B80">
        <f>IF($A80="","",IF(ISNUMBER($A80),IF(AND($A80&gt;=10000101,$A80&lt;=99991231),INT($A80/10000),""),IFERROR(VALUE(TRIM(LEFT($A80,FIND("/",$A80)-1))),"")))</f>
        <v/>
      </c>
      <c r="C80">
        <f>IF(OR($A80="",$B80=""),"",IF(ISNUMBER($A80),INT(MOD($A80,10000)/100),IFERROR(VALUE(TRIM(LEFT(MID($A80,FIND("/",$A80)+1,20),FIND("/",MID($A80,FIND("/",$A80)+1,20))-1))),"")))</f>
        <v/>
      </c>
      <c r="D80">
        <f>IF(OR($A80="",$B80=""),"",IF(ISNUMBER($A80),MOD($A80,100),IFERROR(VALUE(TRIM(MID(MID($A80,FIND("/",$A80)+1,20),FIND("/",MID($A80,FIND("/",$A80)+1,20))+1,20))),"")))</f>
        <v/>
      </c>
      <c r="E80">
        <f>IF($A80="","",IF(OR($B80="",$C80="",$D80="",$B80&lt;1300,$B80&gt;1500,$C80&lt;1,$C80&gt;12,$D80&lt;1,$D80&gt;31),"نامعتبر",RIGHT("0000"&amp;$B80,4)&amp;"/"&amp;RIGHT("00"&amp;$C80,2)&amp;"/"&amp;RIGHT("00"&amp;$D80,2)))</f>
        <v/>
      </c>
      <c r="F80">
        <f>IF(Entry!$D80&lt;&gt;"",IF(AND(ISNUMBER(Entry!$D80),Entry!$D80&gt;=0,Entry!$D80&lt;1),RIGHT("00"&amp;HOUR(Entry!$D80),2)&amp;":"&amp;RIGHT("00"&amp;MINUTE(Entry!$D80),2),IFERROR(RIGHT("00"&amp;VALUE(TRIM(LEFT(Entry!$D80,FIND(":",Entry!$D80)-1))),2)&amp;":"&amp;RIGHT("00"&amp;VALUE(TRIM(MID(Entry!$D80,FIND(":",Entry!$D80)+1,2))),2),"نامعتبر")),IF(OR($E80="",$E80="نامعتبر"),"","00:00"))</f>
        <v/>
      </c>
      <c r="G80">
        <f>IF(OR($E80="",$E80="نامعتبر"),"",IF(Entry!$E80="","",LEFT(UPPER(TRIM(Entry!$E80)),6)))</f>
        <v/>
      </c>
      <c r="H80">
        <f>IF($G80="","",RIGHT($E80,4)&amp;MID($E80,6,2)&amp;RIGHT($E80,2)&amp;IF($F80="","0000",IF($F80="نامعتبر","9999",LEFT($F80,2)&amp;RIGHT($F80,2)))&amp;"|"&amp;RIGHT("00000"&amp;72,5))</f>
        <v/>
      </c>
      <c r="I80">
        <f>IF($H80="","",COUNTIFS(CalcBank,$G80,CalcKey,"&lt;"&amp;$H80)+1)</f>
        <v/>
      </c>
      <c r="J80">
        <f>IF($I80="","",$G80&amp;"|"&amp;RIGHT("000000"&amp;$I80,6))</f>
        <v/>
      </c>
      <c r="K80">
        <f>IF(OR($E80="",$E80="نامعتبر"),"",LEFT($E80,4)&amp;"/"&amp;MID($E80,6,2))</f>
        <v/>
      </c>
      <c r="L80">
        <f>IF(Entry!$K80="",0,Entry!$K80)</f>
        <v/>
      </c>
      <c r="M80">
        <f>IF(Entry!$L80="",0,Entry!$L80)</f>
        <v/>
      </c>
    </row>
    <row r="81">
      <c r="A81">
        <f>IF(Entry!$C81="","",Entry!$C81)</f>
        <v/>
      </c>
      <c r="B81">
        <f>IF($A81="","",IF(ISNUMBER($A81),IF(AND($A81&gt;=10000101,$A81&lt;=99991231),INT($A81/10000),""),IFERROR(VALUE(TRIM(LEFT($A81,FIND("/",$A81)-1))),"")))</f>
        <v/>
      </c>
      <c r="C81">
        <f>IF(OR($A81="",$B81=""),"",IF(ISNUMBER($A81),INT(MOD($A81,10000)/100),IFERROR(VALUE(TRIM(LEFT(MID($A81,FIND("/",$A81)+1,20),FIND("/",MID($A81,FIND("/",$A81)+1,20))-1))),"")))</f>
        <v/>
      </c>
      <c r="D81">
        <f>IF(OR($A81="",$B81=""),"",IF(ISNUMBER($A81),MOD($A81,100),IFERROR(VALUE(TRIM(MID(MID($A81,FIND("/",$A81)+1,20),FIND("/",MID($A81,FIND("/",$A81)+1,20))+1,20))),"")))</f>
        <v/>
      </c>
      <c r="E81">
        <f>IF($A81="","",IF(OR($B81="",$C81="",$D81="",$B81&lt;1300,$B81&gt;1500,$C81&lt;1,$C81&gt;12,$D81&lt;1,$D81&gt;31),"نامعتبر",RIGHT("0000"&amp;$B81,4)&amp;"/"&amp;RIGHT("00"&amp;$C81,2)&amp;"/"&amp;RIGHT("00"&amp;$D81,2)))</f>
        <v/>
      </c>
      <c r="F81">
        <f>IF(Entry!$D81&lt;&gt;"",IF(AND(ISNUMBER(Entry!$D81),Entry!$D81&gt;=0,Entry!$D81&lt;1),RIGHT("00"&amp;HOUR(Entry!$D81),2)&amp;":"&amp;RIGHT("00"&amp;MINUTE(Entry!$D81),2),IFERROR(RIGHT("00"&amp;VALUE(TRIM(LEFT(Entry!$D81,FIND(":",Entry!$D81)-1))),2)&amp;":"&amp;RIGHT("00"&amp;VALUE(TRIM(MID(Entry!$D81,FIND(":",Entry!$D81)+1,2))),2),"نامعتبر")),IF(OR($E81="",$E81="نامعتبر"),"","00:00"))</f>
        <v/>
      </c>
      <c r="G81">
        <f>IF(OR($E81="",$E81="نامعتبر"),"",IF(Entry!$E81="","",LEFT(UPPER(TRIM(Entry!$E81)),6)))</f>
        <v/>
      </c>
      <c r="H81">
        <f>IF($G81="","",RIGHT($E81,4)&amp;MID($E81,6,2)&amp;RIGHT($E81,2)&amp;IF($F81="","0000",IF($F81="نامعتبر","9999",LEFT($F81,2)&amp;RIGHT($F81,2)))&amp;"|"&amp;RIGHT("00000"&amp;73,5))</f>
        <v/>
      </c>
      <c r="I81">
        <f>IF($H81="","",COUNTIFS(CalcBank,$G81,CalcKey,"&lt;"&amp;$H81)+1)</f>
        <v/>
      </c>
      <c r="J81">
        <f>IF($I81="","",$G81&amp;"|"&amp;RIGHT("000000"&amp;$I81,6))</f>
        <v/>
      </c>
      <c r="K81">
        <f>IF(OR($E81="",$E81="نامعتبر"),"",LEFT($E81,4)&amp;"/"&amp;MID($E81,6,2))</f>
        <v/>
      </c>
      <c r="L81">
        <f>IF(Entry!$K81="",0,Entry!$K81)</f>
        <v/>
      </c>
      <c r="M81">
        <f>IF(Entry!$L81="",0,Entry!$L81)</f>
        <v/>
      </c>
    </row>
    <row r="82">
      <c r="A82">
        <f>IF(Entry!$C82="","",Entry!$C82)</f>
        <v/>
      </c>
      <c r="B82">
        <f>IF($A82="","",IF(ISNUMBER($A82),IF(AND($A82&gt;=10000101,$A82&lt;=99991231),INT($A82/10000),""),IFERROR(VALUE(TRIM(LEFT($A82,FIND("/",$A82)-1))),"")))</f>
        <v/>
      </c>
      <c r="C82">
        <f>IF(OR($A82="",$B82=""),"",IF(ISNUMBER($A82),INT(MOD($A82,10000)/100),IFERROR(VALUE(TRIM(LEFT(MID($A82,FIND("/",$A82)+1,20),FIND("/",MID($A82,FIND("/",$A82)+1,20))-1))),"")))</f>
        <v/>
      </c>
      <c r="D82">
        <f>IF(OR($A82="",$B82=""),"",IF(ISNUMBER($A82),MOD($A82,100),IFERROR(VALUE(TRIM(MID(MID($A82,FIND("/",$A82)+1,20),FIND("/",MID($A82,FIND("/",$A82)+1,20))+1,20))),"")))</f>
        <v/>
      </c>
      <c r="E82">
        <f>IF($A82="","",IF(OR($B82="",$C82="",$D82="",$B82&lt;1300,$B82&gt;1500,$C82&lt;1,$C82&gt;12,$D82&lt;1,$D82&gt;31),"نامعتبر",RIGHT("0000"&amp;$B82,4)&amp;"/"&amp;RIGHT("00"&amp;$C82,2)&amp;"/"&amp;RIGHT("00"&amp;$D82,2)))</f>
        <v/>
      </c>
      <c r="F82">
        <f>IF(Entry!$D82&lt;&gt;"",IF(AND(ISNUMBER(Entry!$D82),Entry!$D82&gt;=0,Entry!$D82&lt;1),RIGHT("00"&amp;HOUR(Entry!$D82),2)&amp;":"&amp;RIGHT("00"&amp;MINUTE(Entry!$D82),2),IFERROR(RIGHT("00"&amp;VALUE(TRIM(LEFT(Entry!$D82,FIND(":",Entry!$D82)-1))),2)&amp;":"&amp;RIGHT("00"&amp;VALUE(TRIM(MID(Entry!$D82,FIND(":",Entry!$D82)+1,2))),2),"نامعتبر")),IF(OR($E82="",$E82="نامعتبر"),"","00:00"))</f>
        <v/>
      </c>
      <c r="G82">
        <f>IF(OR($E82="",$E82="نامعتبر"),"",IF(Entry!$E82="","",LEFT(UPPER(TRIM(Entry!$E82)),6)))</f>
        <v/>
      </c>
      <c r="H82">
        <f>IF($G82="","",RIGHT($E82,4)&amp;MID($E82,6,2)&amp;RIGHT($E82,2)&amp;IF($F82="","0000",IF($F82="نامعتبر","9999",LEFT($F82,2)&amp;RIGHT($F82,2)))&amp;"|"&amp;RIGHT("00000"&amp;74,5))</f>
        <v/>
      </c>
      <c r="I82">
        <f>IF($H82="","",COUNTIFS(CalcBank,$G82,CalcKey,"&lt;"&amp;$H82)+1)</f>
        <v/>
      </c>
      <c r="J82">
        <f>IF($I82="","",$G82&amp;"|"&amp;RIGHT("000000"&amp;$I82,6))</f>
        <v/>
      </c>
      <c r="K82">
        <f>IF(OR($E82="",$E82="نامعتبر"),"",LEFT($E82,4)&amp;"/"&amp;MID($E82,6,2))</f>
        <v/>
      </c>
      <c r="L82">
        <f>IF(Entry!$K82="",0,Entry!$K82)</f>
        <v/>
      </c>
      <c r="M82">
        <f>IF(Entry!$L82="",0,Entry!$L82)</f>
        <v/>
      </c>
    </row>
    <row r="83">
      <c r="A83">
        <f>IF(Entry!$C83="","",Entry!$C83)</f>
        <v/>
      </c>
      <c r="B83">
        <f>IF($A83="","",IF(ISNUMBER($A83),IF(AND($A83&gt;=10000101,$A83&lt;=99991231),INT($A83/10000),""),IFERROR(VALUE(TRIM(LEFT($A83,FIND("/",$A83)-1))),"")))</f>
        <v/>
      </c>
      <c r="C83">
        <f>IF(OR($A83="",$B83=""),"",IF(ISNUMBER($A83),INT(MOD($A83,10000)/100),IFERROR(VALUE(TRIM(LEFT(MID($A83,FIND("/",$A83)+1,20),FIND("/",MID($A83,FIND("/",$A83)+1,20))-1))),"")))</f>
        <v/>
      </c>
      <c r="D83">
        <f>IF(OR($A83="",$B83=""),"",IF(ISNUMBER($A83),MOD($A83,100),IFERROR(VALUE(TRIM(MID(MID($A83,FIND("/",$A83)+1,20),FIND("/",MID($A83,FIND("/",$A83)+1,20))+1,20))),"")))</f>
        <v/>
      </c>
      <c r="E83">
        <f>IF($A83="","",IF(OR($B83="",$C83="",$D83="",$B83&lt;1300,$B83&gt;1500,$C83&lt;1,$C83&gt;12,$D83&lt;1,$D83&gt;31),"نامعتبر",RIGHT("0000"&amp;$B83,4)&amp;"/"&amp;RIGHT("00"&amp;$C83,2)&amp;"/"&amp;RIGHT("00"&amp;$D83,2)))</f>
        <v/>
      </c>
      <c r="F83">
        <f>IF(Entry!$D83&lt;&gt;"",IF(AND(ISNUMBER(Entry!$D83),Entry!$D83&gt;=0,Entry!$D83&lt;1),RIGHT("00"&amp;HOUR(Entry!$D83),2)&amp;":"&amp;RIGHT("00"&amp;MINUTE(Entry!$D83),2),IFERROR(RIGHT("00"&amp;VALUE(TRIM(LEFT(Entry!$D83,FIND(":",Entry!$D83)-1))),2)&amp;":"&amp;RIGHT("00"&amp;VALUE(TRIM(MID(Entry!$D83,FIND(":",Entry!$D83)+1,2))),2),"نامعتبر")),IF(OR($E83="",$E83="نامعتبر"),"","00:00"))</f>
        <v/>
      </c>
      <c r="G83">
        <f>IF(OR($E83="",$E83="نامعتبر"),"",IF(Entry!$E83="","",LEFT(UPPER(TRIM(Entry!$E83)),6)))</f>
        <v/>
      </c>
      <c r="H83">
        <f>IF($G83="","",RIGHT($E83,4)&amp;MID($E83,6,2)&amp;RIGHT($E83,2)&amp;IF($F83="","0000",IF($F83="نامعتبر","9999",LEFT($F83,2)&amp;RIGHT($F83,2)))&amp;"|"&amp;RIGHT("00000"&amp;75,5))</f>
        <v/>
      </c>
      <c r="I83">
        <f>IF($H83="","",COUNTIFS(CalcBank,$G83,CalcKey,"&lt;"&amp;$H83)+1)</f>
        <v/>
      </c>
      <c r="J83">
        <f>IF($I83="","",$G83&amp;"|"&amp;RIGHT("000000"&amp;$I83,6))</f>
        <v/>
      </c>
      <c r="K83">
        <f>IF(OR($E83="",$E83="نامعتبر"),"",LEFT($E83,4)&amp;"/"&amp;MID($E83,6,2))</f>
        <v/>
      </c>
      <c r="L83">
        <f>IF(Entry!$K83="",0,Entry!$K83)</f>
        <v/>
      </c>
      <c r="M83">
        <f>IF(Entry!$L83="",0,Entry!$L83)</f>
        <v/>
      </c>
    </row>
    <row r="84">
      <c r="A84">
        <f>IF(Entry!$C84="","",Entry!$C84)</f>
        <v/>
      </c>
      <c r="B84">
        <f>IF($A84="","",IF(ISNUMBER($A84),IF(AND($A84&gt;=10000101,$A84&lt;=99991231),INT($A84/10000),""),IFERROR(VALUE(TRIM(LEFT($A84,FIND("/",$A84)-1))),"")))</f>
        <v/>
      </c>
      <c r="C84">
        <f>IF(OR($A84="",$B84=""),"",IF(ISNUMBER($A84),INT(MOD($A84,10000)/100),IFERROR(VALUE(TRIM(LEFT(MID($A84,FIND("/",$A84)+1,20),FIND("/",MID($A84,FIND("/",$A84)+1,20))-1))),"")))</f>
        <v/>
      </c>
      <c r="D84">
        <f>IF(OR($A84="",$B84=""),"",IF(ISNUMBER($A84),MOD($A84,100),IFERROR(VALUE(TRIM(MID(MID($A84,FIND("/",$A84)+1,20),FIND("/",MID($A84,FIND("/",$A84)+1,20))+1,20))),"")))</f>
        <v/>
      </c>
      <c r="E84">
        <f>IF($A84="","",IF(OR($B84="",$C84="",$D84="",$B84&lt;1300,$B84&gt;1500,$C84&lt;1,$C84&gt;12,$D84&lt;1,$D84&gt;31),"نامعتبر",RIGHT("0000"&amp;$B84,4)&amp;"/"&amp;RIGHT("00"&amp;$C84,2)&amp;"/"&amp;RIGHT("00"&amp;$D84,2)))</f>
        <v/>
      </c>
      <c r="F84">
        <f>IF(Entry!$D84&lt;&gt;"",IF(AND(ISNUMBER(Entry!$D84),Entry!$D84&gt;=0,Entry!$D84&lt;1),RIGHT("00"&amp;HOUR(Entry!$D84),2)&amp;":"&amp;RIGHT("00"&amp;MINUTE(Entry!$D84),2),IFERROR(RIGHT("00"&amp;VALUE(TRIM(LEFT(Entry!$D84,FIND(":",Entry!$D84)-1))),2)&amp;":"&amp;RIGHT("00"&amp;VALUE(TRIM(MID(Entry!$D84,FIND(":",Entry!$D84)+1,2))),2),"نامعتبر")),IF(OR($E84="",$E84="نامعتبر"),"","00:00"))</f>
        <v/>
      </c>
      <c r="G84">
        <f>IF(OR($E84="",$E84="نامعتبر"),"",IF(Entry!$E84="","",LEFT(UPPER(TRIM(Entry!$E84)),6)))</f>
        <v/>
      </c>
      <c r="H84">
        <f>IF($G84="","",RIGHT($E84,4)&amp;MID($E84,6,2)&amp;RIGHT($E84,2)&amp;IF($F84="","0000",IF($F84="نامعتبر","9999",LEFT($F84,2)&amp;RIGHT($F84,2)))&amp;"|"&amp;RIGHT("00000"&amp;76,5))</f>
        <v/>
      </c>
      <c r="I84">
        <f>IF($H84="","",COUNTIFS(CalcBank,$G84,CalcKey,"&lt;"&amp;$H84)+1)</f>
        <v/>
      </c>
      <c r="J84">
        <f>IF($I84="","",$G84&amp;"|"&amp;RIGHT("000000"&amp;$I84,6))</f>
        <v/>
      </c>
      <c r="K84">
        <f>IF(OR($E84="",$E84="نامعتبر"),"",LEFT($E84,4)&amp;"/"&amp;MID($E84,6,2))</f>
        <v/>
      </c>
      <c r="L84">
        <f>IF(Entry!$K84="",0,Entry!$K84)</f>
        <v/>
      </c>
      <c r="M84">
        <f>IF(Entry!$L84="",0,Entry!$L84)</f>
        <v/>
      </c>
    </row>
    <row r="85">
      <c r="A85">
        <f>IF(Entry!$C85="","",Entry!$C85)</f>
        <v/>
      </c>
      <c r="B85">
        <f>IF($A85="","",IF(ISNUMBER($A85),IF(AND($A85&gt;=10000101,$A85&lt;=99991231),INT($A85/10000),""),IFERROR(VALUE(TRIM(LEFT($A85,FIND("/",$A85)-1))),"")))</f>
        <v/>
      </c>
      <c r="C85">
        <f>IF(OR($A85="",$B85=""),"",IF(ISNUMBER($A85),INT(MOD($A85,10000)/100),IFERROR(VALUE(TRIM(LEFT(MID($A85,FIND("/",$A85)+1,20),FIND("/",MID($A85,FIND("/",$A85)+1,20))-1))),"")))</f>
        <v/>
      </c>
      <c r="D85">
        <f>IF(OR($A85="",$B85=""),"",IF(ISNUMBER($A85),MOD($A85,100),IFERROR(VALUE(TRIM(MID(MID($A85,FIND("/",$A85)+1,20),FIND("/",MID($A85,FIND("/",$A85)+1,20))+1,20))),"")))</f>
        <v/>
      </c>
      <c r="E85">
        <f>IF($A85="","",IF(OR($B85="",$C85="",$D85="",$B85&lt;1300,$B85&gt;1500,$C85&lt;1,$C85&gt;12,$D85&lt;1,$D85&gt;31),"نامعتبر",RIGHT("0000"&amp;$B85,4)&amp;"/"&amp;RIGHT("00"&amp;$C85,2)&amp;"/"&amp;RIGHT("00"&amp;$D85,2)))</f>
        <v/>
      </c>
      <c r="F85">
        <f>IF(Entry!$D85&lt;&gt;"",IF(AND(ISNUMBER(Entry!$D85),Entry!$D85&gt;=0,Entry!$D85&lt;1),RIGHT("00"&amp;HOUR(Entry!$D85),2)&amp;":"&amp;RIGHT("00"&amp;MINUTE(Entry!$D85),2),IFERROR(RIGHT("00"&amp;VALUE(TRIM(LEFT(Entry!$D85,FIND(":",Entry!$D85)-1))),2)&amp;":"&amp;RIGHT("00"&amp;VALUE(TRIM(MID(Entry!$D85,FIND(":",Entry!$D85)+1,2))),2),"نامعتبر")),IF(OR($E85="",$E85="نامعتبر"),"","00:00"))</f>
        <v/>
      </c>
      <c r="G85">
        <f>IF(OR($E85="",$E85="نامعتبر"),"",IF(Entry!$E85="","",LEFT(UPPER(TRIM(Entry!$E85)),6)))</f>
        <v/>
      </c>
      <c r="H85">
        <f>IF($G85="","",RIGHT($E85,4)&amp;MID($E85,6,2)&amp;RIGHT($E85,2)&amp;IF($F85="","0000",IF($F85="نامعتبر","9999",LEFT($F85,2)&amp;RIGHT($F85,2)))&amp;"|"&amp;RIGHT("00000"&amp;77,5))</f>
        <v/>
      </c>
      <c r="I85">
        <f>IF($H85="","",COUNTIFS(CalcBank,$G85,CalcKey,"&lt;"&amp;$H85)+1)</f>
        <v/>
      </c>
      <c r="J85">
        <f>IF($I85="","",$G85&amp;"|"&amp;RIGHT("000000"&amp;$I85,6))</f>
        <v/>
      </c>
      <c r="K85">
        <f>IF(OR($E85="",$E85="نامعتبر"),"",LEFT($E85,4)&amp;"/"&amp;MID($E85,6,2))</f>
        <v/>
      </c>
      <c r="L85">
        <f>IF(Entry!$K85="",0,Entry!$K85)</f>
        <v/>
      </c>
      <c r="M85">
        <f>IF(Entry!$L85="",0,Entry!$L85)</f>
        <v/>
      </c>
    </row>
    <row r="86">
      <c r="A86">
        <f>IF(Entry!$C86="","",Entry!$C86)</f>
        <v/>
      </c>
      <c r="B86">
        <f>IF($A86="","",IF(ISNUMBER($A86),IF(AND($A86&gt;=10000101,$A86&lt;=99991231),INT($A86/10000),""),IFERROR(VALUE(TRIM(LEFT($A86,FIND("/",$A86)-1))),"")))</f>
        <v/>
      </c>
      <c r="C86">
        <f>IF(OR($A86="",$B86=""),"",IF(ISNUMBER($A86),INT(MOD($A86,10000)/100),IFERROR(VALUE(TRIM(LEFT(MID($A86,FIND("/",$A86)+1,20),FIND("/",MID($A86,FIND("/",$A86)+1,20))-1))),"")))</f>
        <v/>
      </c>
      <c r="D86">
        <f>IF(OR($A86="",$B86=""),"",IF(ISNUMBER($A86),MOD($A86,100),IFERROR(VALUE(TRIM(MID(MID($A86,FIND("/",$A86)+1,20),FIND("/",MID($A86,FIND("/",$A86)+1,20))+1,20))),"")))</f>
        <v/>
      </c>
      <c r="E86">
        <f>IF($A86="","",IF(OR($B86="",$C86="",$D86="",$B86&lt;1300,$B86&gt;1500,$C86&lt;1,$C86&gt;12,$D86&lt;1,$D86&gt;31),"نامعتبر",RIGHT("0000"&amp;$B86,4)&amp;"/"&amp;RIGHT("00"&amp;$C86,2)&amp;"/"&amp;RIGHT("00"&amp;$D86,2)))</f>
        <v/>
      </c>
      <c r="F86">
        <f>IF(Entry!$D86&lt;&gt;"",IF(AND(ISNUMBER(Entry!$D86),Entry!$D86&gt;=0,Entry!$D86&lt;1),RIGHT("00"&amp;HOUR(Entry!$D86),2)&amp;":"&amp;RIGHT("00"&amp;MINUTE(Entry!$D86),2),IFERROR(RIGHT("00"&amp;VALUE(TRIM(LEFT(Entry!$D86,FIND(":",Entry!$D86)-1))),2)&amp;":"&amp;RIGHT("00"&amp;VALUE(TRIM(MID(Entry!$D86,FIND(":",Entry!$D86)+1,2))),2),"نامعتبر")),IF(OR($E86="",$E86="نامعتبر"),"","00:00"))</f>
        <v/>
      </c>
      <c r="G86">
        <f>IF(OR($E86="",$E86="نامعتبر"),"",IF(Entry!$E86="","",LEFT(UPPER(TRIM(Entry!$E86)),6)))</f>
        <v/>
      </c>
      <c r="H86">
        <f>IF($G86="","",RIGHT($E86,4)&amp;MID($E86,6,2)&amp;RIGHT($E86,2)&amp;IF($F86="","0000",IF($F86="نامعتبر","9999",LEFT($F86,2)&amp;RIGHT($F86,2)))&amp;"|"&amp;RIGHT("00000"&amp;78,5))</f>
        <v/>
      </c>
      <c r="I86">
        <f>IF($H86="","",COUNTIFS(CalcBank,$G86,CalcKey,"&lt;"&amp;$H86)+1)</f>
        <v/>
      </c>
      <c r="J86">
        <f>IF($I86="","",$G86&amp;"|"&amp;RIGHT("000000"&amp;$I86,6))</f>
        <v/>
      </c>
      <c r="K86">
        <f>IF(OR($E86="",$E86="نامعتبر"),"",LEFT($E86,4)&amp;"/"&amp;MID($E86,6,2))</f>
        <v/>
      </c>
      <c r="L86">
        <f>IF(Entry!$K86="",0,Entry!$K86)</f>
        <v/>
      </c>
      <c r="M86">
        <f>IF(Entry!$L86="",0,Entry!$L86)</f>
        <v/>
      </c>
    </row>
    <row r="87">
      <c r="A87">
        <f>IF(Entry!$C87="","",Entry!$C87)</f>
        <v/>
      </c>
      <c r="B87">
        <f>IF($A87="","",IF(ISNUMBER($A87),IF(AND($A87&gt;=10000101,$A87&lt;=99991231),INT($A87/10000),""),IFERROR(VALUE(TRIM(LEFT($A87,FIND("/",$A87)-1))),"")))</f>
        <v/>
      </c>
      <c r="C87">
        <f>IF(OR($A87="",$B87=""),"",IF(ISNUMBER($A87),INT(MOD($A87,10000)/100),IFERROR(VALUE(TRIM(LEFT(MID($A87,FIND("/",$A87)+1,20),FIND("/",MID($A87,FIND("/",$A87)+1,20))-1))),"")))</f>
        <v/>
      </c>
      <c r="D87">
        <f>IF(OR($A87="",$B87=""),"",IF(ISNUMBER($A87),MOD($A87,100),IFERROR(VALUE(TRIM(MID(MID($A87,FIND("/",$A87)+1,20),FIND("/",MID($A87,FIND("/",$A87)+1,20))+1,20))),"")))</f>
        <v/>
      </c>
      <c r="E87">
        <f>IF($A87="","",IF(OR($B87="",$C87="",$D87="",$B87&lt;1300,$B87&gt;1500,$C87&lt;1,$C87&gt;12,$D87&lt;1,$D87&gt;31),"نامعتبر",RIGHT("0000"&amp;$B87,4)&amp;"/"&amp;RIGHT("00"&amp;$C87,2)&amp;"/"&amp;RIGHT("00"&amp;$D87,2)))</f>
        <v/>
      </c>
      <c r="F87">
        <f>IF(Entry!$D87&lt;&gt;"",IF(AND(ISNUMBER(Entry!$D87),Entry!$D87&gt;=0,Entry!$D87&lt;1),RIGHT("00"&amp;HOUR(Entry!$D87),2)&amp;":"&amp;RIGHT("00"&amp;MINUTE(Entry!$D87),2),IFERROR(RIGHT("00"&amp;VALUE(TRIM(LEFT(Entry!$D87,FIND(":",Entry!$D87)-1))),2)&amp;":"&amp;RIGHT("00"&amp;VALUE(TRIM(MID(Entry!$D87,FIND(":",Entry!$D87)+1,2))),2),"نامعتبر")),IF(OR($E87="",$E87="نامعتبر"),"","00:00"))</f>
        <v/>
      </c>
      <c r="G87">
        <f>IF(OR($E87="",$E87="نامعتبر"),"",IF(Entry!$E87="","",LEFT(UPPER(TRIM(Entry!$E87)),6)))</f>
        <v/>
      </c>
      <c r="H87">
        <f>IF($G87="","",RIGHT($E87,4)&amp;MID($E87,6,2)&amp;RIGHT($E87,2)&amp;IF($F87="","0000",IF($F87="نامعتبر","9999",LEFT($F87,2)&amp;RIGHT($F87,2)))&amp;"|"&amp;RIGHT("00000"&amp;79,5))</f>
        <v/>
      </c>
      <c r="I87">
        <f>IF($H87="","",COUNTIFS(CalcBank,$G87,CalcKey,"&lt;"&amp;$H87)+1)</f>
        <v/>
      </c>
      <c r="J87">
        <f>IF($I87="","",$G87&amp;"|"&amp;RIGHT("000000"&amp;$I87,6))</f>
        <v/>
      </c>
      <c r="K87">
        <f>IF(OR($E87="",$E87="نامعتبر"),"",LEFT($E87,4)&amp;"/"&amp;MID($E87,6,2))</f>
        <v/>
      </c>
      <c r="L87">
        <f>IF(Entry!$K87="",0,Entry!$K87)</f>
        <v/>
      </c>
      <c r="M87">
        <f>IF(Entry!$L87="",0,Entry!$L87)</f>
        <v/>
      </c>
    </row>
    <row r="88">
      <c r="A88">
        <f>IF(Entry!$C88="","",Entry!$C88)</f>
        <v/>
      </c>
      <c r="B88">
        <f>IF($A88="","",IF(ISNUMBER($A88),IF(AND($A88&gt;=10000101,$A88&lt;=99991231),INT($A88/10000),""),IFERROR(VALUE(TRIM(LEFT($A88,FIND("/",$A88)-1))),"")))</f>
        <v/>
      </c>
      <c r="C88">
        <f>IF(OR($A88="",$B88=""),"",IF(ISNUMBER($A88),INT(MOD($A88,10000)/100),IFERROR(VALUE(TRIM(LEFT(MID($A88,FIND("/",$A88)+1,20),FIND("/",MID($A88,FIND("/",$A88)+1,20))-1))),"")))</f>
        <v/>
      </c>
      <c r="D88">
        <f>IF(OR($A88="",$B88=""),"",IF(ISNUMBER($A88),MOD($A88,100),IFERROR(VALUE(TRIM(MID(MID($A88,FIND("/",$A88)+1,20),FIND("/",MID($A88,FIND("/",$A88)+1,20))+1,20))),"")))</f>
        <v/>
      </c>
      <c r="E88">
        <f>IF($A88="","",IF(OR($B88="",$C88="",$D88="",$B88&lt;1300,$B88&gt;1500,$C88&lt;1,$C88&gt;12,$D88&lt;1,$D88&gt;31),"نامعتبر",RIGHT("0000"&amp;$B88,4)&amp;"/"&amp;RIGHT("00"&amp;$C88,2)&amp;"/"&amp;RIGHT("00"&amp;$D88,2)))</f>
        <v/>
      </c>
      <c r="F88">
        <f>IF(Entry!$D88&lt;&gt;"",IF(AND(ISNUMBER(Entry!$D88),Entry!$D88&gt;=0,Entry!$D88&lt;1),RIGHT("00"&amp;HOUR(Entry!$D88),2)&amp;":"&amp;RIGHT("00"&amp;MINUTE(Entry!$D88),2),IFERROR(RIGHT("00"&amp;VALUE(TRIM(LEFT(Entry!$D88,FIND(":",Entry!$D88)-1))),2)&amp;":"&amp;RIGHT("00"&amp;VALUE(TRIM(MID(Entry!$D88,FIND(":",Entry!$D88)+1,2))),2),"نامعتبر")),IF(OR($E88="",$E88="نامعتبر"),"","00:00"))</f>
        <v/>
      </c>
      <c r="G88">
        <f>IF(OR($E88="",$E88="نامعتبر"),"",IF(Entry!$E88="","",LEFT(UPPER(TRIM(Entry!$E88)),6)))</f>
        <v/>
      </c>
      <c r="H88">
        <f>IF($G88="","",RIGHT($E88,4)&amp;MID($E88,6,2)&amp;RIGHT($E88,2)&amp;IF($F88="","0000",IF($F88="نامعتبر","9999",LEFT($F88,2)&amp;RIGHT($F88,2)))&amp;"|"&amp;RIGHT("00000"&amp;80,5))</f>
        <v/>
      </c>
      <c r="I88">
        <f>IF($H88="","",COUNTIFS(CalcBank,$G88,CalcKey,"&lt;"&amp;$H88)+1)</f>
        <v/>
      </c>
      <c r="J88">
        <f>IF($I88="","",$G88&amp;"|"&amp;RIGHT("000000"&amp;$I88,6))</f>
        <v/>
      </c>
      <c r="K88">
        <f>IF(OR($E88="",$E88="نامعتبر"),"",LEFT($E88,4)&amp;"/"&amp;MID($E88,6,2))</f>
        <v/>
      </c>
      <c r="L88">
        <f>IF(Entry!$K88="",0,Entry!$K88)</f>
        <v/>
      </c>
      <c r="M88">
        <f>IF(Entry!$L88="",0,Entry!$L88)</f>
        <v/>
      </c>
    </row>
    <row r="89">
      <c r="A89">
        <f>IF(Entry!$C89="","",Entry!$C89)</f>
        <v/>
      </c>
      <c r="B89">
        <f>IF($A89="","",IF(ISNUMBER($A89),IF(AND($A89&gt;=10000101,$A89&lt;=99991231),INT($A89/10000),""),IFERROR(VALUE(TRIM(LEFT($A89,FIND("/",$A89)-1))),"")))</f>
        <v/>
      </c>
      <c r="C89">
        <f>IF(OR($A89="",$B89=""),"",IF(ISNUMBER($A89),INT(MOD($A89,10000)/100),IFERROR(VALUE(TRIM(LEFT(MID($A89,FIND("/",$A89)+1,20),FIND("/",MID($A89,FIND("/",$A89)+1,20))-1))),"")))</f>
        <v/>
      </c>
      <c r="D89">
        <f>IF(OR($A89="",$B89=""),"",IF(ISNUMBER($A89),MOD($A89,100),IFERROR(VALUE(TRIM(MID(MID($A89,FIND("/",$A89)+1,20),FIND("/",MID($A89,FIND("/",$A89)+1,20))+1,20))),"")))</f>
        <v/>
      </c>
      <c r="E89">
        <f>IF($A89="","",IF(OR($B89="",$C89="",$D89="",$B89&lt;1300,$B89&gt;1500,$C89&lt;1,$C89&gt;12,$D89&lt;1,$D89&gt;31),"نامعتبر",RIGHT("0000"&amp;$B89,4)&amp;"/"&amp;RIGHT("00"&amp;$C89,2)&amp;"/"&amp;RIGHT("00"&amp;$D89,2)))</f>
        <v/>
      </c>
      <c r="F89">
        <f>IF(Entry!$D89&lt;&gt;"",IF(AND(ISNUMBER(Entry!$D89),Entry!$D89&gt;=0,Entry!$D89&lt;1),RIGHT("00"&amp;HOUR(Entry!$D89),2)&amp;":"&amp;RIGHT("00"&amp;MINUTE(Entry!$D89),2),IFERROR(RIGHT("00"&amp;VALUE(TRIM(LEFT(Entry!$D89,FIND(":",Entry!$D89)-1))),2)&amp;":"&amp;RIGHT("00"&amp;VALUE(TRIM(MID(Entry!$D89,FIND(":",Entry!$D89)+1,2))),2),"نامعتبر")),IF(OR($E89="",$E89="نامعتبر"),"","00:00"))</f>
        <v/>
      </c>
      <c r="G89">
        <f>IF(OR($E89="",$E89="نامعتبر"),"",IF(Entry!$E89="","",LEFT(UPPER(TRIM(Entry!$E89)),6)))</f>
        <v/>
      </c>
      <c r="H89">
        <f>IF($G89="","",RIGHT($E89,4)&amp;MID($E89,6,2)&amp;RIGHT($E89,2)&amp;IF($F89="","0000",IF($F89="نامعتبر","9999",LEFT($F89,2)&amp;RIGHT($F89,2)))&amp;"|"&amp;RIGHT("00000"&amp;81,5))</f>
        <v/>
      </c>
      <c r="I89">
        <f>IF($H89="","",COUNTIFS(CalcBank,$G89,CalcKey,"&lt;"&amp;$H89)+1)</f>
        <v/>
      </c>
      <c r="J89">
        <f>IF($I89="","",$G89&amp;"|"&amp;RIGHT("000000"&amp;$I89,6))</f>
        <v/>
      </c>
      <c r="K89">
        <f>IF(OR($E89="",$E89="نامعتبر"),"",LEFT($E89,4)&amp;"/"&amp;MID($E89,6,2))</f>
        <v/>
      </c>
      <c r="L89">
        <f>IF(Entry!$K89="",0,Entry!$K89)</f>
        <v/>
      </c>
      <c r="M89">
        <f>IF(Entry!$L89="",0,Entry!$L89)</f>
        <v/>
      </c>
    </row>
    <row r="90">
      <c r="A90">
        <f>IF(Entry!$C90="","",Entry!$C90)</f>
        <v/>
      </c>
      <c r="B90">
        <f>IF($A90="","",IF(ISNUMBER($A90),IF(AND($A90&gt;=10000101,$A90&lt;=99991231),INT($A90/10000),""),IFERROR(VALUE(TRIM(LEFT($A90,FIND("/",$A90)-1))),"")))</f>
        <v/>
      </c>
      <c r="C90">
        <f>IF(OR($A90="",$B90=""),"",IF(ISNUMBER($A90),INT(MOD($A90,10000)/100),IFERROR(VALUE(TRIM(LEFT(MID($A90,FIND("/",$A90)+1,20),FIND("/",MID($A90,FIND("/",$A90)+1,20))-1))),"")))</f>
        <v/>
      </c>
      <c r="D90">
        <f>IF(OR($A90="",$B90=""),"",IF(ISNUMBER($A90),MOD($A90,100),IFERROR(VALUE(TRIM(MID(MID($A90,FIND("/",$A90)+1,20),FIND("/",MID($A90,FIND("/",$A90)+1,20))+1,20))),"")))</f>
        <v/>
      </c>
      <c r="E90">
        <f>IF($A90="","",IF(OR($B90="",$C90="",$D90="",$B90&lt;1300,$B90&gt;1500,$C90&lt;1,$C90&gt;12,$D90&lt;1,$D90&gt;31),"نامعتبر",RIGHT("0000"&amp;$B90,4)&amp;"/"&amp;RIGHT("00"&amp;$C90,2)&amp;"/"&amp;RIGHT("00"&amp;$D90,2)))</f>
        <v/>
      </c>
      <c r="F90">
        <f>IF(Entry!$D90&lt;&gt;"",IF(AND(ISNUMBER(Entry!$D90),Entry!$D90&gt;=0,Entry!$D90&lt;1),RIGHT("00"&amp;HOUR(Entry!$D90),2)&amp;":"&amp;RIGHT("00"&amp;MINUTE(Entry!$D90),2),IFERROR(RIGHT("00"&amp;VALUE(TRIM(LEFT(Entry!$D90,FIND(":",Entry!$D90)-1))),2)&amp;":"&amp;RIGHT("00"&amp;VALUE(TRIM(MID(Entry!$D90,FIND(":",Entry!$D90)+1,2))),2),"نامعتبر")),IF(OR($E90="",$E90="نامعتبر"),"","00:00"))</f>
        <v/>
      </c>
      <c r="G90">
        <f>IF(OR($E90="",$E90="نامعتبر"),"",IF(Entry!$E90="","",LEFT(UPPER(TRIM(Entry!$E90)),6)))</f>
        <v/>
      </c>
      <c r="H90">
        <f>IF($G90="","",RIGHT($E90,4)&amp;MID($E90,6,2)&amp;RIGHT($E90,2)&amp;IF($F90="","0000",IF($F90="نامعتبر","9999",LEFT($F90,2)&amp;RIGHT($F90,2)))&amp;"|"&amp;RIGHT("00000"&amp;82,5))</f>
        <v/>
      </c>
      <c r="I90">
        <f>IF($H90="","",COUNTIFS(CalcBank,$G90,CalcKey,"&lt;"&amp;$H90)+1)</f>
        <v/>
      </c>
      <c r="J90">
        <f>IF($I90="","",$G90&amp;"|"&amp;RIGHT("000000"&amp;$I90,6))</f>
        <v/>
      </c>
      <c r="K90">
        <f>IF(OR($E90="",$E90="نامعتبر"),"",LEFT($E90,4)&amp;"/"&amp;MID($E90,6,2))</f>
        <v/>
      </c>
      <c r="L90">
        <f>IF(Entry!$K90="",0,Entry!$K90)</f>
        <v/>
      </c>
      <c r="M90">
        <f>IF(Entry!$L90="",0,Entry!$L90)</f>
        <v/>
      </c>
    </row>
    <row r="91">
      <c r="A91">
        <f>IF(Entry!$C91="","",Entry!$C91)</f>
        <v/>
      </c>
      <c r="B91">
        <f>IF($A91="","",IF(ISNUMBER($A91),IF(AND($A91&gt;=10000101,$A91&lt;=99991231),INT($A91/10000),""),IFERROR(VALUE(TRIM(LEFT($A91,FIND("/",$A91)-1))),"")))</f>
        <v/>
      </c>
      <c r="C91">
        <f>IF(OR($A91="",$B91=""),"",IF(ISNUMBER($A91),INT(MOD($A91,10000)/100),IFERROR(VALUE(TRIM(LEFT(MID($A91,FIND("/",$A91)+1,20),FIND("/",MID($A91,FIND("/",$A91)+1,20))-1))),"")))</f>
        <v/>
      </c>
      <c r="D91">
        <f>IF(OR($A91="",$B91=""),"",IF(ISNUMBER($A91),MOD($A91,100),IFERROR(VALUE(TRIM(MID(MID($A91,FIND("/",$A91)+1,20),FIND("/",MID($A91,FIND("/",$A91)+1,20))+1,20))),"")))</f>
        <v/>
      </c>
      <c r="E91">
        <f>IF($A91="","",IF(OR($B91="",$C91="",$D91="",$B91&lt;1300,$B91&gt;1500,$C91&lt;1,$C91&gt;12,$D91&lt;1,$D91&gt;31),"نامعتبر",RIGHT("0000"&amp;$B91,4)&amp;"/"&amp;RIGHT("00"&amp;$C91,2)&amp;"/"&amp;RIGHT("00"&amp;$D91,2)))</f>
        <v/>
      </c>
      <c r="F91">
        <f>IF(Entry!$D91&lt;&gt;"",IF(AND(ISNUMBER(Entry!$D91),Entry!$D91&gt;=0,Entry!$D91&lt;1),RIGHT("00"&amp;HOUR(Entry!$D91),2)&amp;":"&amp;RIGHT("00"&amp;MINUTE(Entry!$D91),2),IFERROR(RIGHT("00"&amp;VALUE(TRIM(LEFT(Entry!$D91,FIND(":",Entry!$D91)-1))),2)&amp;":"&amp;RIGHT("00"&amp;VALUE(TRIM(MID(Entry!$D91,FIND(":",Entry!$D91)+1,2))),2),"نامعتبر")),IF(OR($E91="",$E91="نامعتبر"),"","00:00"))</f>
        <v/>
      </c>
      <c r="G91">
        <f>IF(OR($E91="",$E91="نامعتبر"),"",IF(Entry!$E91="","",LEFT(UPPER(TRIM(Entry!$E91)),6)))</f>
        <v/>
      </c>
      <c r="H91">
        <f>IF($G91="","",RIGHT($E91,4)&amp;MID($E91,6,2)&amp;RIGHT($E91,2)&amp;IF($F91="","0000",IF($F91="نامعتبر","9999",LEFT($F91,2)&amp;RIGHT($F91,2)))&amp;"|"&amp;RIGHT("00000"&amp;83,5))</f>
        <v/>
      </c>
      <c r="I91">
        <f>IF($H91="","",COUNTIFS(CalcBank,$G91,CalcKey,"&lt;"&amp;$H91)+1)</f>
        <v/>
      </c>
      <c r="J91">
        <f>IF($I91="","",$G91&amp;"|"&amp;RIGHT("000000"&amp;$I91,6))</f>
        <v/>
      </c>
      <c r="K91">
        <f>IF(OR($E91="",$E91="نامعتبر"),"",LEFT($E91,4)&amp;"/"&amp;MID($E91,6,2))</f>
        <v/>
      </c>
      <c r="L91">
        <f>IF(Entry!$K91="",0,Entry!$K91)</f>
        <v/>
      </c>
      <c r="M91">
        <f>IF(Entry!$L91="",0,Entry!$L91)</f>
        <v/>
      </c>
    </row>
    <row r="92">
      <c r="A92">
        <f>IF(Entry!$C92="","",Entry!$C92)</f>
        <v/>
      </c>
      <c r="B92">
        <f>IF($A92="","",IF(ISNUMBER($A92),IF(AND($A92&gt;=10000101,$A92&lt;=99991231),INT($A92/10000),""),IFERROR(VALUE(TRIM(LEFT($A92,FIND("/",$A92)-1))),"")))</f>
        <v/>
      </c>
      <c r="C92">
        <f>IF(OR($A92="",$B92=""),"",IF(ISNUMBER($A92),INT(MOD($A92,10000)/100),IFERROR(VALUE(TRIM(LEFT(MID($A92,FIND("/",$A92)+1,20),FIND("/",MID($A92,FIND("/",$A92)+1,20))-1))),"")))</f>
        <v/>
      </c>
      <c r="D92">
        <f>IF(OR($A92="",$B92=""),"",IF(ISNUMBER($A92),MOD($A92,100),IFERROR(VALUE(TRIM(MID(MID($A92,FIND("/",$A92)+1,20),FIND("/",MID($A92,FIND("/",$A92)+1,20))+1,20))),"")))</f>
        <v/>
      </c>
      <c r="E92">
        <f>IF($A92="","",IF(OR($B92="",$C92="",$D92="",$B92&lt;1300,$B92&gt;1500,$C92&lt;1,$C92&gt;12,$D92&lt;1,$D92&gt;31),"نامعتبر",RIGHT("0000"&amp;$B92,4)&amp;"/"&amp;RIGHT("00"&amp;$C92,2)&amp;"/"&amp;RIGHT("00"&amp;$D92,2)))</f>
        <v/>
      </c>
      <c r="F92">
        <f>IF(Entry!$D92&lt;&gt;"",IF(AND(ISNUMBER(Entry!$D92),Entry!$D92&gt;=0,Entry!$D92&lt;1),RIGHT("00"&amp;HOUR(Entry!$D92),2)&amp;":"&amp;RIGHT("00"&amp;MINUTE(Entry!$D92),2),IFERROR(RIGHT("00"&amp;VALUE(TRIM(LEFT(Entry!$D92,FIND(":",Entry!$D92)-1))),2)&amp;":"&amp;RIGHT("00"&amp;VALUE(TRIM(MID(Entry!$D92,FIND(":",Entry!$D92)+1,2))),2),"نامعتبر")),IF(OR($E92="",$E92="نامعتبر"),"","00:00"))</f>
        <v/>
      </c>
      <c r="G92">
        <f>IF(OR($E92="",$E92="نامعتبر"),"",IF(Entry!$E92="","",LEFT(UPPER(TRIM(Entry!$E92)),6)))</f>
        <v/>
      </c>
      <c r="H92">
        <f>IF($G92="","",RIGHT($E92,4)&amp;MID($E92,6,2)&amp;RIGHT($E92,2)&amp;IF($F92="","0000",IF($F92="نامعتبر","9999",LEFT($F92,2)&amp;RIGHT($F92,2)))&amp;"|"&amp;RIGHT("00000"&amp;84,5))</f>
        <v/>
      </c>
      <c r="I92">
        <f>IF($H92="","",COUNTIFS(CalcBank,$G92,CalcKey,"&lt;"&amp;$H92)+1)</f>
        <v/>
      </c>
      <c r="J92">
        <f>IF($I92="","",$G92&amp;"|"&amp;RIGHT("000000"&amp;$I92,6))</f>
        <v/>
      </c>
      <c r="K92">
        <f>IF(OR($E92="",$E92="نامعتبر"),"",LEFT($E92,4)&amp;"/"&amp;MID($E92,6,2))</f>
        <v/>
      </c>
      <c r="L92">
        <f>IF(Entry!$K92="",0,Entry!$K92)</f>
        <v/>
      </c>
      <c r="M92">
        <f>IF(Entry!$L92="",0,Entry!$L92)</f>
        <v/>
      </c>
    </row>
    <row r="93">
      <c r="A93">
        <f>IF(Entry!$C93="","",Entry!$C93)</f>
        <v/>
      </c>
      <c r="B93">
        <f>IF($A93="","",IF(ISNUMBER($A93),IF(AND($A93&gt;=10000101,$A93&lt;=99991231),INT($A93/10000),""),IFERROR(VALUE(TRIM(LEFT($A93,FIND("/",$A93)-1))),"")))</f>
        <v/>
      </c>
      <c r="C93">
        <f>IF(OR($A93="",$B93=""),"",IF(ISNUMBER($A93),INT(MOD($A93,10000)/100),IFERROR(VALUE(TRIM(LEFT(MID($A93,FIND("/",$A93)+1,20),FIND("/",MID($A93,FIND("/",$A93)+1,20))-1))),"")))</f>
        <v/>
      </c>
      <c r="D93">
        <f>IF(OR($A93="",$B93=""),"",IF(ISNUMBER($A93),MOD($A93,100),IFERROR(VALUE(TRIM(MID(MID($A93,FIND("/",$A93)+1,20),FIND("/",MID($A93,FIND("/",$A93)+1,20))+1,20))),"")))</f>
        <v/>
      </c>
      <c r="E93">
        <f>IF($A93="","",IF(OR($B93="",$C93="",$D93="",$B93&lt;1300,$B93&gt;1500,$C93&lt;1,$C93&gt;12,$D93&lt;1,$D93&gt;31),"نامعتبر",RIGHT("0000"&amp;$B93,4)&amp;"/"&amp;RIGHT("00"&amp;$C93,2)&amp;"/"&amp;RIGHT("00"&amp;$D93,2)))</f>
        <v/>
      </c>
      <c r="F93">
        <f>IF(Entry!$D93&lt;&gt;"",IF(AND(ISNUMBER(Entry!$D93),Entry!$D93&gt;=0,Entry!$D93&lt;1),RIGHT("00"&amp;HOUR(Entry!$D93),2)&amp;":"&amp;RIGHT("00"&amp;MINUTE(Entry!$D93),2),IFERROR(RIGHT("00"&amp;VALUE(TRIM(LEFT(Entry!$D93,FIND(":",Entry!$D93)-1))),2)&amp;":"&amp;RIGHT("00"&amp;VALUE(TRIM(MID(Entry!$D93,FIND(":",Entry!$D93)+1,2))),2),"نامعتبر")),IF(OR($E93="",$E93="نامعتبر"),"","00:00"))</f>
        <v/>
      </c>
      <c r="G93">
        <f>IF(OR($E93="",$E93="نامعتبر"),"",IF(Entry!$E93="","",LEFT(UPPER(TRIM(Entry!$E93)),6)))</f>
        <v/>
      </c>
      <c r="H93">
        <f>IF($G93="","",RIGHT($E93,4)&amp;MID($E93,6,2)&amp;RIGHT($E93,2)&amp;IF($F93="","0000",IF($F93="نامعتبر","9999",LEFT($F93,2)&amp;RIGHT($F93,2)))&amp;"|"&amp;RIGHT("00000"&amp;85,5))</f>
        <v/>
      </c>
      <c r="I93">
        <f>IF($H93="","",COUNTIFS(CalcBank,$G93,CalcKey,"&lt;"&amp;$H93)+1)</f>
        <v/>
      </c>
      <c r="J93">
        <f>IF($I93="","",$G93&amp;"|"&amp;RIGHT("000000"&amp;$I93,6))</f>
        <v/>
      </c>
      <c r="K93">
        <f>IF(OR($E93="",$E93="نامعتبر"),"",LEFT($E93,4)&amp;"/"&amp;MID($E93,6,2))</f>
        <v/>
      </c>
      <c r="L93">
        <f>IF(Entry!$K93="",0,Entry!$K93)</f>
        <v/>
      </c>
      <c r="M93">
        <f>IF(Entry!$L93="",0,Entry!$L93)</f>
        <v/>
      </c>
    </row>
    <row r="94">
      <c r="A94">
        <f>IF(Entry!$C94="","",Entry!$C94)</f>
        <v/>
      </c>
      <c r="B94">
        <f>IF($A94="","",IF(ISNUMBER($A94),IF(AND($A94&gt;=10000101,$A94&lt;=99991231),INT($A94/10000),""),IFERROR(VALUE(TRIM(LEFT($A94,FIND("/",$A94)-1))),"")))</f>
        <v/>
      </c>
      <c r="C94">
        <f>IF(OR($A94="",$B94=""),"",IF(ISNUMBER($A94),INT(MOD($A94,10000)/100),IFERROR(VALUE(TRIM(LEFT(MID($A94,FIND("/",$A94)+1,20),FIND("/",MID($A94,FIND("/",$A94)+1,20))-1))),"")))</f>
        <v/>
      </c>
      <c r="D94">
        <f>IF(OR($A94="",$B94=""),"",IF(ISNUMBER($A94),MOD($A94,100),IFERROR(VALUE(TRIM(MID(MID($A94,FIND("/",$A94)+1,20),FIND("/",MID($A94,FIND("/",$A94)+1,20))+1,20))),"")))</f>
        <v/>
      </c>
      <c r="E94">
        <f>IF($A94="","",IF(OR($B94="",$C94="",$D94="",$B94&lt;1300,$B94&gt;1500,$C94&lt;1,$C94&gt;12,$D94&lt;1,$D94&gt;31),"نامعتبر",RIGHT("0000"&amp;$B94,4)&amp;"/"&amp;RIGHT("00"&amp;$C94,2)&amp;"/"&amp;RIGHT("00"&amp;$D94,2)))</f>
        <v/>
      </c>
      <c r="F94">
        <f>IF(Entry!$D94&lt;&gt;"",IF(AND(ISNUMBER(Entry!$D94),Entry!$D94&gt;=0,Entry!$D94&lt;1),RIGHT("00"&amp;HOUR(Entry!$D94),2)&amp;":"&amp;RIGHT("00"&amp;MINUTE(Entry!$D94),2),IFERROR(RIGHT("00"&amp;VALUE(TRIM(LEFT(Entry!$D94,FIND(":",Entry!$D94)-1))),2)&amp;":"&amp;RIGHT("00"&amp;VALUE(TRIM(MID(Entry!$D94,FIND(":",Entry!$D94)+1,2))),2),"نامعتبر")),IF(OR($E94="",$E94="نامعتبر"),"","00:00"))</f>
        <v/>
      </c>
      <c r="G94">
        <f>IF(OR($E94="",$E94="نامعتبر"),"",IF(Entry!$E94="","",LEFT(UPPER(TRIM(Entry!$E94)),6)))</f>
        <v/>
      </c>
      <c r="H94">
        <f>IF($G94="","",RIGHT($E94,4)&amp;MID($E94,6,2)&amp;RIGHT($E94,2)&amp;IF($F94="","0000",IF($F94="نامعتبر","9999",LEFT($F94,2)&amp;RIGHT($F94,2)))&amp;"|"&amp;RIGHT("00000"&amp;86,5))</f>
        <v/>
      </c>
      <c r="I94">
        <f>IF($H94="","",COUNTIFS(CalcBank,$G94,CalcKey,"&lt;"&amp;$H94)+1)</f>
        <v/>
      </c>
      <c r="J94">
        <f>IF($I94="","",$G94&amp;"|"&amp;RIGHT("000000"&amp;$I94,6))</f>
        <v/>
      </c>
      <c r="K94">
        <f>IF(OR($E94="",$E94="نامعتبر"),"",LEFT($E94,4)&amp;"/"&amp;MID($E94,6,2))</f>
        <v/>
      </c>
      <c r="L94">
        <f>IF(Entry!$K94="",0,Entry!$K94)</f>
        <v/>
      </c>
      <c r="M94">
        <f>IF(Entry!$L94="",0,Entry!$L94)</f>
        <v/>
      </c>
    </row>
    <row r="95">
      <c r="A95">
        <f>IF(Entry!$C95="","",Entry!$C95)</f>
        <v/>
      </c>
      <c r="B95">
        <f>IF($A95="","",IF(ISNUMBER($A95),IF(AND($A95&gt;=10000101,$A95&lt;=99991231),INT($A95/10000),""),IFERROR(VALUE(TRIM(LEFT($A95,FIND("/",$A95)-1))),"")))</f>
        <v/>
      </c>
      <c r="C95">
        <f>IF(OR($A95="",$B95=""),"",IF(ISNUMBER($A95),INT(MOD($A95,10000)/100),IFERROR(VALUE(TRIM(LEFT(MID($A95,FIND("/",$A95)+1,20),FIND("/",MID($A95,FIND("/",$A95)+1,20))-1))),"")))</f>
        <v/>
      </c>
      <c r="D95">
        <f>IF(OR($A95="",$B95=""),"",IF(ISNUMBER($A95),MOD($A95,100),IFERROR(VALUE(TRIM(MID(MID($A95,FIND("/",$A95)+1,20),FIND("/",MID($A95,FIND("/",$A95)+1,20))+1,20))),"")))</f>
        <v/>
      </c>
      <c r="E95">
        <f>IF($A95="","",IF(OR($B95="",$C95="",$D95="",$B95&lt;1300,$B95&gt;1500,$C95&lt;1,$C95&gt;12,$D95&lt;1,$D95&gt;31),"نامعتبر",RIGHT("0000"&amp;$B95,4)&amp;"/"&amp;RIGHT("00"&amp;$C95,2)&amp;"/"&amp;RIGHT("00"&amp;$D95,2)))</f>
        <v/>
      </c>
      <c r="F95">
        <f>IF(Entry!$D95&lt;&gt;"",IF(AND(ISNUMBER(Entry!$D95),Entry!$D95&gt;=0,Entry!$D95&lt;1),RIGHT("00"&amp;HOUR(Entry!$D95),2)&amp;":"&amp;RIGHT("00"&amp;MINUTE(Entry!$D95),2),IFERROR(RIGHT("00"&amp;VALUE(TRIM(LEFT(Entry!$D95,FIND(":",Entry!$D95)-1))),2)&amp;":"&amp;RIGHT("00"&amp;VALUE(TRIM(MID(Entry!$D95,FIND(":",Entry!$D95)+1,2))),2),"نامعتبر")),IF(OR($E95="",$E95="نامعتبر"),"","00:00"))</f>
        <v/>
      </c>
      <c r="G95">
        <f>IF(OR($E95="",$E95="نامعتبر"),"",IF(Entry!$E95="","",LEFT(UPPER(TRIM(Entry!$E95)),6)))</f>
        <v/>
      </c>
      <c r="H95">
        <f>IF($G95="","",RIGHT($E95,4)&amp;MID($E95,6,2)&amp;RIGHT($E95,2)&amp;IF($F95="","0000",IF($F95="نامعتبر","9999",LEFT($F95,2)&amp;RIGHT($F95,2)))&amp;"|"&amp;RIGHT("00000"&amp;87,5))</f>
        <v/>
      </c>
      <c r="I95">
        <f>IF($H95="","",COUNTIFS(CalcBank,$G95,CalcKey,"&lt;"&amp;$H95)+1)</f>
        <v/>
      </c>
      <c r="J95">
        <f>IF($I95="","",$G95&amp;"|"&amp;RIGHT("000000"&amp;$I95,6))</f>
        <v/>
      </c>
      <c r="K95">
        <f>IF(OR($E95="",$E95="نامعتبر"),"",LEFT($E95,4)&amp;"/"&amp;MID($E95,6,2))</f>
        <v/>
      </c>
      <c r="L95">
        <f>IF(Entry!$K95="",0,Entry!$K95)</f>
        <v/>
      </c>
      <c r="M95">
        <f>IF(Entry!$L95="",0,Entry!$L95)</f>
        <v/>
      </c>
    </row>
    <row r="96">
      <c r="A96">
        <f>IF(Entry!$C96="","",Entry!$C96)</f>
        <v/>
      </c>
      <c r="B96">
        <f>IF($A96="","",IF(ISNUMBER($A96),IF(AND($A96&gt;=10000101,$A96&lt;=99991231),INT($A96/10000),""),IFERROR(VALUE(TRIM(LEFT($A96,FIND("/",$A96)-1))),"")))</f>
        <v/>
      </c>
      <c r="C96">
        <f>IF(OR($A96="",$B96=""),"",IF(ISNUMBER($A96),INT(MOD($A96,10000)/100),IFERROR(VALUE(TRIM(LEFT(MID($A96,FIND("/",$A96)+1,20),FIND("/",MID($A96,FIND("/",$A96)+1,20))-1))),"")))</f>
        <v/>
      </c>
      <c r="D96">
        <f>IF(OR($A96="",$B96=""),"",IF(ISNUMBER($A96),MOD($A96,100),IFERROR(VALUE(TRIM(MID(MID($A96,FIND("/",$A96)+1,20),FIND("/",MID($A96,FIND("/",$A96)+1,20))+1,20))),"")))</f>
        <v/>
      </c>
      <c r="E96">
        <f>IF($A96="","",IF(OR($B96="",$C96="",$D96="",$B96&lt;1300,$B96&gt;1500,$C96&lt;1,$C96&gt;12,$D96&lt;1,$D96&gt;31),"نامعتبر",RIGHT("0000"&amp;$B96,4)&amp;"/"&amp;RIGHT("00"&amp;$C96,2)&amp;"/"&amp;RIGHT("00"&amp;$D96,2)))</f>
        <v/>
      </c>
      <c r="F96">
        <f>IF(Entry!$D96&lt;&gt;"",IF(AND(ISNUMBER(Entry!$D96),Entry!$D96&gt;=0,Entry!$D96&lt;1),RIGHT("00"&amp;HOUR(Entry!$D96),2)&amp;":"&amp;RIGHT("00"&amp;MINUTE(Entry!$D96),2),IFERROR(RIGHT("00"&amp;VALUE(TRIM(LEFT(Entry!$D96,FIND(":",Entry!$D96)-1))),2)&amp;":"&amp;RIGHT("00"&amp;VALUE(TRIM(MID(Entry!$D96,FIND(":",Entry!$D96)+1,2))),2),"نامعتبر")),IF(OR($E96="",$E96="نامعتبر"),"","00:00"))</f>
        <v/>
      </c>
      <c r="G96">
        <f>IF(OR($E96="",$E96="نامعتبر"),"",IF(Entry!$E96="","",LEFT(UPPER(TRIM(Entry!$E96)),6)))</f>
        <v/>
      </c>
      <c r="H96">
        <f>IF($G96="","",RIGHT($E96,4)&amp;MID($E96,6,2)&amp;RIGHT($E96,2)&amp;IF($F96="","0000",IF($F96="نامعتبر","9999",LEFT($F96,2)&amp;RIGHT($F96,2)))&amp;"|"&amp;RIGHT("00000"&amp;88,5))</f>
        <v/>
      </c>
      <c r="I96">
        <f>IF($H96="","",COUNTIFS(CalcBank,$G96,CalcKey,"&lt;"&amp;$H96)+1)</f>
        <v/>
      </c>
      <c r="J96">
        <f>IF($I96="","",$G96&amp;"|"&amp;RIGHT("000000"&amp;$I96,6))</f>
        <v/>
      </c>
      <c r="K96">
        <f>IF(OR($E96="",$E96="نامعتبر"),"",LEFT($E96,4)&amp;"/"&amp;MID($E96,6,2))</f>
        <v/>
      </c>
      <c r="L96">
        <f>IF(Entry!$K96="",0,Entry!$K96)</f>
        <v/>
      </c>
      <c r="M96">
        <f>IF(Entry!$L96="",0,Entry!$L96)</f>
        <v/>
      </c>
    </row>
    <row r="97">
      <c r="A97">
        <f>IF(Entry!$C97="","",Entry!$C97)</f>
        <v/>
      </c>
      <c r="B97">
        <f>IF($A97="","",IF(ISNUMBER($A97),IF(AND($A97&gt;=10000101,$A97&lt;=99991231),INT($A97/10000),""),IFERROR(VALUE(TRIM(LEFT($A97,FIND("/",$A97)-1))),"")))</f>
        <v/>
      </c>
      <c r="C97">
        <f>IF(OR($A97="",$B97=""),"",IF(ISNUMBER($A97),INT(MOD($A97,10000)/100),IFERROR(VALUE(TRIM(LEFT(MID($A97,FIND("/",$A97)+1,20),FIND("/",MID($A97,FIND("/",$A97)+1,20))-1))),"")))</f>
        <v/>
      </c>
      <c r="D97">
        <f>IF(OR($A97="",$B97=""),"",IF(ISNUMBER($A97),MOD($A97,100),IFERROR(VALUE(TRIM(MID(MID($A97,FIND("/",$A97)+1,20),FIND("/",MID($A97,FIND("/",$A97)+1,20))+1,20))),"")))</f>
        <v/>
      </c>
      <c r="E97">
        <f>IF($A97="","",IF(OR($B97="",$C97="",$D97="",$B97&lt;1300,$B97&gt;1500,$C97&lt;1,$C97&gt;12,$D97&lt;1,$D97&gt;31),"نامعتبر",RIGHT("0000"&amp;$B97,4)&amp;"/"&amp;RIGHT("00"&amp;$C97,2)&amp;"/"&amp;RIGHT("00"&amp;$D97,2)))</f>
        <v/>
      </c>
      <c r="F97">
        <f>IF(Entry!$D97&lt;&gt;"",IF(AND(ISNUMBER(Entry!$D97),Entry!$D97&gt;=0,Entry!$D97&lt;1),RIGHT("00"&amp;HOUR(Entry!$D97),2)&amp;":"&amp;RIGHT("00"&amp;MINUTE(Entry!$D97),2),IFERROR(RIGHT("00"&amp;VALUE(TRIM(LEFT(Entry!$D97,FIND(":",Entry!$D97)-1))),2)&amp;":"&amp;RIGHT("00"&amp;VALUE(TRIM(MID(Entry!$D97,FIND(":",Entry!$D97)+1,2))),2),"نامعتبر")),IF(OR($E97="",$E97="نامعتبر"),"","00:00"))</f>
        <v/>
      </c>
      <c r="G97">
        <f>IF(OR($E97="",$E97="نامعتبر"),"",IF(Entry!$E97="","",LEFT(UPPER(TRIM(Entry!$E97)),6)))</f>
        <v/>
      </c>
      <c r="H97">
        <f>IF($G97="","",RIGHT($E97,4)&amp;MID($E97,6,2)&amp;RIGHT($E97,2)&amp;IF($F97="","0000",IF($F97="نامعتبر","9999",LEFT($F97,2)&amp;RIGHT($F97,2)))&amp;"|"&amp;RIGHT("00000"&amp;89,5))</f>
        <v/>
      </c>
      <c r="I97">
        <f>IF($H97="","",COUNTIFS(CalcBank,$G97,CalcKey,"&lt;"&amp;$H97)+1)</f>
        <v/>
      </c>
      <c r="J97">
        <f>IF($I97="","",$G97&amp;"|"&amp;RIGHT("000000"&amp;$I97,6))</f>
        <v/>
      </c>
      <c r="K97">
        <f>IF(OR($E97="",$E97="نامعتبر"),"",LEFT($E97,4)&amp;"/"&amp;MID($E97,6,2))</f>
        <v/>
      </c>
      <c r="L97">
        <f>IF(Entry!$K97="",0,Entry!$K97)</f>
        <v/>
      </c>
      <c r="M97">
        <f>IF(Entry!$L97="",0,Entry!$L97)</f>
        <v/>
      </c>
    </row>
    <row r="98">
      <c r="A98">
        <f>IF(Entry!$C98="","",Entry!$C98)</f>
        <v/>
      </c>
      <c r="B98">
        <f>IF($A98="","",IF(ISNUMBER($A98),IF(AND($A98&gt;=10000101,$A98&lt;=99991231),INT($A98/10000),""),IFERROR(VALUE(TRIM(LEFT($A98,FIND("/",$A98)-1))),"")))</f>
        <v/>
      </c>
      <c r="C98">
        <f>IF(OR($A98="",$B98=""),"",IF(ISNUMBER($A98),INT(MOD($A98,10000)/100),IFERROR(VALUE(TRIM(LEFT(MID($A98,FIND("/",$A98)+1,20),FIND("/",MID($A98,FIND("/",$A98)+1,20))-1))),"")))</f>
        <v/>
      </c>
      <c r="D98">
        <f>IF(OR($A98="",$B98=""),"",IF(ISNUMBER($A98),MOD($A98,100),IFERROR(VALUE(TRIM(MID(MID($A98,FIND("/",$A98)+1,20),FIND("/",MID($A98,FIND("/",$A98)+1,20))+1,20))),"")))</f>
        <v/>
      </c>
      <c r="E98">
        <f>IF($A98="","",IF(OR($B98="",$C98="",$D98="",$B98&lt;1300,$B98&gt;1500,$C98&lt;1,$C98&gt;12,$D98&lt;1,$D98&gt;31),"نامعتبر",RIGHT("0000"&amp;$B98,4)&amp;"/"&amp;RIGHT("00"&amp;$C98,2)&amp;"/"&amp;RIGHT("00"&amp;$D98,2)))</f>
        <v/>
      </c>
      <c r="F98">
        <f>IF(Entry!$D98&lt;&gt;"",IF(AND(ISNUMBER(Entry!$D98),Entry!$D98&gt;=0,Entry!$D98&lt;1),RIGHT("00"&amp;HOUR(Entry!$D98),2)&amp;":"&amp;RIGHT("00"&amp;MINUTE(Entry!$D98),2),IFERROR(RIGHT("00"&amp;VALUE(TRIM(LEFT(Entry!$D98,FIND(":",Entry!$D98)-1))),2)&amp;":"&amp;RIGHT("00"&amp;VALUE(TRIM(MID(Entry!$D98,FIND(":",Entry!$D98)+1,2))),2),"نامعتبر")),IF(OR($E98="",$E98="نامعتبر"),"","00:00"))</f>
        <v/>
      </c>
      <c r="G98">
        <f>IF(OR($E98="",$E98="نامعتبر"),"",IF(Entry!$E98="","",LEFT(UPPER(TRIM(Entry!$E98)),6)))</f>
        <v/>
      </c>
      <c r="H98">
        <f>IF($G98="","",RIGHT($E98,4)&amp;MID($E98,6,2)&amp;RIGHT($E98,2)&amp;IF($F98="","0000",IF($F98="نامعتبر","9999",LEFT($F98,2)&amp;RIGHT($F98,2)))&amp;"|"&amp;RIGHT("00000"&amp;90,5))</f>
        <v/>
      </c>
      <c r="I98">
        <f>IF($H98="","",COUNTIFS(CalcBank,$G98,CalcKey,"&lt;"&amp;$H98)+1)</f>
        <v/>
      </c>
      <c r="J98">
        <f>IF($I98="","",$G98&amp;"|"&amp;RIGHT("000000"&amp;$I98,6))</f>
        <v/>
      </c>
      <c r="K98">
        <f>IF(OR($E98="",$E98="نامعتبر"),"",LEFT($E98,4)&amp;"/"&amp;MID($E98,6,2))</f>
        <v/>
      </c>
      <c r="L98">
        <f>IF(Entry!$K98="",0,Entry!$K98)</f>
        <v/>
      </c>
      <c r="M98">
        <f>IF(Entry!$L98="",0,Entry!$L98)</f>
        <v/>
      </c>
    </row>
    <row r="99">
      <c r="A99">
        <f>IF(Entry!$C99="","",Entry!$C99)</f>
        <v/>
      </c>
      <c r="B99">
        <f>IF($A99="","",IF(ISNUMBER($A99),IF(AND($A99&gt;=10000101,$A99&lt;=99991231),INT($A99/10000),""),IFERROR(VALUE(TRIM(LEFT($A99,FIND("/",$A99)-1))),"")))</f>
        <v/>
      </c>
      <c r="C99">
        <f>IF(OR($A99="",$B99=""),"",IF(ISNUMBER($A99),INT(MOD($A99,10000)/100),IFERROR(VALUE(TRIM(LEFT(MID($A99,FIND("/",$A99)+1,20),FIND("/",MID($A99,FIND("/",$A99)+1,20))-1))),"")))</f>
        <v/>
      </c>
      <c r="D99">
        <f>IF(OR($A99="",$B99=""),"",IF(ISNUMBER($A99),MOD($A99,100),IFERROR(VALUE(TRIM(MID(MID($A99,FIND("/",$A99)+1,20),FIND("/",MID($A99,FIND("/",$A99)+1,20))+1,20))),"")))</f>
        <v/>
      </c>
      <c r="E99">
        <f>IF($A99="","",IF(OR($B99="",$C99="",$D99="",$B99&lt;1300,$B99&gt;1500,$C99&lt;1,$C99&gt;12,$D99&lt;1,$D99&gt;31),"نامعتبر",RIGHT("0000"&amp;$B99,4)&amp;"/"&amp;RIGHT("00"&amp;$C99,2)&amp;"/"&amp;RIGHT("00"&amp;$D99,2)))</f>
        <v/>
      </c>
      <c r="F99">
        <f>IF(Entry!$D99&lt;&gt;"",IF(AND(ISNUMBER(Entry!$D99),Entry!$D99&gt;=0,Entry!$D99&lt;1),RIGHT("00"&amp;HOUR(Entry!$D99),2)&amp;":"&amp;RIGHT("00"&amp;MINUTE(Entry!$D99),2),IFERROR(RIGHT("00"&amp;VALUE(TRIM(LEFT(Entry!$D99,FIND(":",Entry!$D99)-1))),2)&amp;":"&amp;RIGHT("00"&amp;VALUE(TRIM(MID(Entry!$D99,FIND(":",Entry!$D99)+1,2))),2),"نامعتبر")),IF(OR($E99="",$E99="نامعتبر"),"","00:00"))</f>
        <v/>
      </c>
      <c r="G99">
        <f>IF(OR($E99="",$E99="نامعتبر"),"",IF(Entry!$E99="","",LEFT(UPPER(TRIM(Entry!$E99)),6)))</f>
        <v/>
      </c>
      <c r="H99">
        <f>IF($G99="","",RIGHT($E99,4)&amp;MID($E99,6,2)&amp;RIGHT($E99,2)&amp;IF($F99="","0000",IF($F99="نامعتبر","9999",LEFT($F99,2)&amp;RIGHT($F99,2)))&amp;"|"&amp;RIGHT("00000"&amp;91,5))</f>
        <v/>
      </c>
      <c r="I99">
        <f>IF($H99="","",COUNTIFS(CalcBank,$G99,CalcKey,"&lt;"&amp;$H99)+1)</f>
        <v/>
      </c>
      <c r="J99">
        <f>IF($I99="","",$G99&amp;"|"&amp;RIGHT("000000"&amp;$I99,6))</f>
        <v/>
      </c>
      <c r="K99">
        <f>IF(OR($E99="",$E99="نامعتبر"),"",LEFT($E99,4)&amp;"/"&amp;MID($E99,6,2))</f>
        <v/>
      </c>
      <c r="L99">
        <f>IF(Entry!$K99="",0,Entry!$K99)</f>
        <v/>
      </c>
      <c r="M99">
        <f>IF(Entry!$L99="",0,Entry!$L99)</f>
        <v/>
      </c>
    </row>
    <row r="100">
      <c r="A100">
        <f>IF(Entry!$C100="","",Entry!$C100)</f>
        <v/>
      </c>
      <c r="B100">
        <f>IF($A100="","",IF(ISNUMBER($A100),IF(AND($A100&gt;=10000101,$A100&lt;=99991231),INT($A100/10000),""),IFERROR(VALUE(TRIM(LEFT($A100,FIND("/",$A100)-1))),"")))</f>
        <v/>
      </c>
      <c r="C100">
        <f>IF(OR($A100="",$B100=""),"",IF(ISNUMBER($A100),INT(MOD($A100,10000)/100),IFERROR(VALUE(TRIM(LEFT(MID($A100,FIND("/",$A100)+1,20),FIND("/",MID($A100,FIND("/",$A100)+1,20))-1))),"")))</f>
        <v/>
      </c>
      <c r="D100">
        <f>IF(OR($A100="",$B100=""),"",IF(ISNUMBER($A100),MOD($A100,100),IFERROR(VALUE(TRIM(MID(MID($A100,FIND("/",$A100)+1,20),FIND("/",MID($A100,FIND("/",$A100)+1,20))+1,20))),"")))</f>
        <v/>
      </c>
      <c r="E100">
        <f>IF($A100="","",IF(OR($B100="",$C100="",$D100="",$B100&lt;1300,$B100&gt;1500,$C100&lt;1,$C100&gt;12,$D100&lt;1,$D100&gt;31),"نامعتبر",RIGHT("0000"&amp;$B100,4)&amp;"/"&amp;RIGHT("00"&amp;$C100,2)&amp;"/"&amp;RIGHT("00"&amp;$D100,2)))</f>
        <v/>
      </c>
      <c r="F100">
        <f>IF(Entry!$D100&lt;&gt;"",IF(AND(ISNUMBER(Entry!$D100),Entry!$D100&gt;=0,Entry!$D100&lt;1),RIGHT("00"&amp;HOUR(Entry!$D100),2)&amp;":"&amp;RIGHT("00"&amp;MINUTE(Entry!$D100),2),IFERROR(RIGHT("00"&amp;VALUE(TRIM(LEFT(Entry!$D100,FIND(":",Entry!$D100)-1))),2)&amp;":"&amp;RIGHT("00"&amp;VALUE(TRIM(MID(Entry!$D100,FIND(":",Entry!$D100)+1,2))),2),"نامعتبر")),IF(OR($E100="",$E100="نامعتبر"),"","00:00"))</f>
        <v/>
      </c>
      <c r="G100">
        <f>IF(OR($E100="",$E100="نامعتبر"),"",IF(Entry!$E100="","",LEFT(UPPER(TRIM(Entry!$E100)),6)))</f>
        <v/>
      </c>
      <c r="H100">
        <f>IF($G100="","",RIGHT($E100,4)&amp;MID($E100,6,2)&amp;RIGHT($E100,2)&amp;IF($F100="","0000",IF($F100="نامعتبر","9999",LEFT($F100,2)&amp;RIGHT($F100,2)))&amp;"|"&amp;RIGHT("00000"&amp;92,5))</f>
        <v/>
      </c>
      <c r="I100">
        <f>IF($H100="","",COUNTIFS(CalcBank,$G100,CalcKey,"&lt;"&amp;$H100)+1)</f>
        <v/>
      </c>
      <c r="J100">
        <f>IF($I100="","",$G100&amp;"|"&amp;RIGHT("000000"&amp;$I100,6))</f>
        <v/>
      </c>
      <c r="K100">
        <f>IF(OR($E100="",$E100="نامعتبر"),"",LEFT($E100,4)&amp;"/"&amp;MID($E100,6,2))</f>
        <v/>
      </c>
      <c r="L100">
        <f>IF(Entry!$K100="",0,Entry!$K100)</f>
        <v/>
      </c>
      <c r="M100">
        <f>IF(Entry!$L100="",0,Entry!$L100)</f>
        <v/>
      </c>
    </row>
    <row r="101">
      <c r="A101">
        <f>IF(Entry!$C101="","",Entry!$C101)</f>
        <v/>
      </c>
      <c r="B101">
        <f>IF($A101="","",IF(ISNUMBER($A101),IF(AND($A101&gt;=10000101,$A101&lt;=99991231),INT($A101/10000),""),IFERROR(VALUE(TRIM(LEFT($A101,FIND("/",$A101)-1))),"")))</f>
        <v/>
      </c>
      <c r="C101">
        <f>IF(OR($A101="",$B101=""),"",IF(ISNUMBER($A101),INT(MOD($A101,10000)/100),IFERROR(VALUE(TRIM(LEFT(MID($A101,FIND("/",$A101)+1,20),FIND("/",MID($A101,FIND("/",$A101)+1,20))-1))),"")))</f>
        <v/>
      </c>
      <c r="D101">
        <f>IF(OR($A101="",$B101=""),"",IF(ISNUMBER($A101),MOD($A101,100),IFERROR(VALUE(TRIM(MID(MID($A101,FIND("/",$A101)+1,20),FIND("/",MID($A101,FIND("/",$A101)+1,20))+1,20))),"")))</f>
        <v/>
      </c>
      <c r="E101">
        <f>IF($A101="","",IF(OR($B101="",$C101="",$D101="",$B101&lt;1300,$B101&gt;1500,$C101&lt;1,$C101&gt;12,$D101&lt;1,$D101&gt;31),"نامعتبر",RIGHT("0000"&amp;$B101,4)&amp;"/"&amp;RIGHT("00"&amp;$C101,2)&amp;"/"&amp;RIGHT("00"&amp;$D101,2)))</f>
        <v/>
      </c>
      <c r="F101">
        <f>IF(Entry!$D101&lt;&gt;"",IF(AND(ISNUMBER(Entry!$D101),Entry!$D101&gt;=0,Entry!$D101&lt;1),RIGHT("00"&amp;HOUR(Entry!$D101),2)&amp;":"&amp;RIGHT("00"&amp;MINUTE(Entry!$D101),2),IFERROR(RIGHT("00"&amp;VALUE(TRIM(LEFT(Entry!$D101,FIND(":",Entry!$D101)-1))),2)&amp;":"&amp;RIGHT("00"&amp;VALUE(TRIM(MID(Entry!$D101,FIND(":",Entry!$D101)+1,2))),2),"نامعتبر")),IF(OR($E101="",$E101="نامعتبر"),"","00:00"))</f>
        <v/>
      </c>
      <c r="G101">
        <f>IF(OR($E101="",$E101="نامعتبر"),"",IF(Entry!$E101="","",LEFT(UPPER(TRIM(Entry!$E101)),6)))</f>
        <v/>
      </c>
      <c r="H101">
        <f>IF($G101="","",RIGHT($E101,4)&amp;MID($E101,6,2)&amp;RIGHT($E101,2)&amp;IF($F101="","0000",IF($F101="نامعتبر","9999",LEFT($F101,2)&amp;RIGHT($F101,2)))&amp;"|"&amp;RIGHT("00000"&amp;93,5))</f>
        <v/>
      </c>
      <c r="I101">
        <f>IF($H101="","",COUNTIFS(CalcBank,$G101,CalcKey,"&lt;"&amp;$H101)+1)</f>
        <v/>
      </c>
      <c r="J101">
        <f>IF($I101="","",$G101&amp;"|"&amp;RIGHT("000000"&amp;$I101,6))</f>
        <v/>
      </c>
      <c r="K101">
        <f>IF(OR($E101="",$E101="نامعتبر"),"",LEFT($E101,4)&amp;"/"&amp;MID($E101,6,2))</f>
        <v/>
      </c>
      <c r="L101">
        <f>IF(Entry!$K101="",0,Entry!$K101)</f>
        <v/>
      </c>
      <c r="M101">
        <f>IF(Entry!$L101="",0,Entry!$L101)</f>
        <v/>
      </c>
    </row>
    <row r="102">
      <c r="A102">
        <f>IF(Entry!$C102="","",Entry!$C102)</f>
        <v/>
      </c>
      <c r="B102">
        <f>IF($A102="","",IF(ISNUMBER($A102),IF(AND($A102&gt;=10000101,$A102&lt;=99991231),INT($A102/10000),""),IFERROR(VALUE(TRIM(LEFT($A102,FIND("/",$A102)-1))),"")))</f>
        <v/>
      </c>
      <c r="C102">
        <f>IF(OR($A102="",$B102=""),"",IF(ISNUMBER($A102),INT(MOD($A102,10000)/100),IFERROR(VALUE(TRIM(LEFT(MID($A102,FIND("/",$A102)+1,20),FIND("/",MID($A102,FIND("/",$A102)+1,20))-1))),"")))</f>
        <v/>
      </c>
      <c r="D102">
        <f>IF(OR($A102="",$B102=""),"",IF(ISNUMBER($A102),MOD($A102,100),IFERROR(VALUE(TRIM(MID(MID($A102,FIND("/",$A102)+1,20),FIND("/",MID($A102,FIND("/",$A102)+1,20))+1,20))),"")))</f>
        <v/>
      </c>
      <c r="E102">
        <f>IF($A102="","",IF(OR($B102="",$C102="",$D102="",$B102&lt;1300,$B102&gt;1500,$C102&lt;1,$C102&gt;12,$D102&lt;1,$D102&gt;31),"نامعتبر",RIGHT("0000"&amp;$B102,4)&amp;"/"&amp;RIGHT("00"&amp;$C102,2)&amp;"/"&amp;RIGHT("00"&amp;$D102,2)))</f>
        <v/>
      </c>
      <c r="F102">
        <f>IF(Entry!$D102&lt;&gt;"",IF(AND(ISNUMBER(Entry!$D102),Entry!$D102&gt;=0,Entry!$D102&lt;1),RIGHT("00"&amp;HOUR(Entry!$D102),2)&amp;":"&amp;RIGHT("00"&amp;MINUTE(Entry!$D102),2),IFERROR(RIGHT("00"&amp;VALUE(TRIM(LEFT(Entry!$D102,FIND(":",Entry!$D102)-1))),2)&amp;":"&amp;RIGHT("00"&amp;VALUE(TRIM(MID(Entry!$D102,FIND(":",Entry!$D102)+1,2))),2),"نامعتبر")),IF(OR($E102="",$E102="نامعتبر"),"","00:00"))</f>
        <v/>
      </c>
      <c r="G102">
        <f>IF(OR($E102="",$E102="نامعتبر"),"",IF(Entry!$E102="","",LEFT(UPPER(TRIM(Entry!$E102)),6)))</f>
        <v/>
      </c>
      <c r="H102">
        <f>IF($G102="","",RIGHT($E102,4)&amp;MID($E102,6,2)&amp;RIGHT($E102,2)&amp;IF($F102="","0000",IF($F102="نامعتبر","9999",LEFT($F102,2)&amp;RIGHT($F102,2)))&amp;"|"&amp;RIGHT("00000"&amp;94,5))</f>
        <v/>
      </c>
      <c r="I102">
        <f>IF($H102="","",COUNTIFS(CalcBank,$G102,CalcKey,"&lt;"&amp;$H102)+1)</f>
        <v/>
      </c>
      <c r="J102">
        <f>IF($I102="","",$G102&amp;"|"&amp;RIGHT("000000"&amp;$I102,6))</f>
        <v/>
      </c>
      <c r="K102">
        <f>IF(OR($E102="",$E102="نامعتبر"),"",LEFT($E102,4)&amp;"/"&amp;MID($E102,6,2))</f>
        <v/>
      </c>
      <c r="L102">
        <f>IF(Entry!$K102="",0,Entry!$K102)</f>
        <v/>
      </c>
      <c r="M102">
        <f>IF(Entry!$L102="",0,Entry!$L102)</f>
        <v/>
      </c>
    </row>
    <row r="103">
      <c r="A103">
        <f>IF(Entry!$C103="","",Entry!$C103)</f>
        <v/>
      </c>
      <c r="B103">
        <f>IF($A103="","",IF(ISNUMBER($A103),IF(AND($A103&gt;=10000101,$A103&lt;=99991231),INT($A103/10000),""),IFERROR(VALUE(TRIM(LEFT($A103,FIND("/",$A103)-1))),"")))</f>
        <v/>
      </c>
      <c r="C103">
        <f>IF(OR($A103="",$B103=""),"",IF(ISNUMBER($A103),INT(MOD($A103,10000)/100),IFERROR(VALUE(TRIM(LEFT(MID($A103,FIND("/",$A103)+1,20),FIND("/",MID($A103,FIND("/",$A103)+1,20))-1))),"")))</f>
        <v/>
      </c>
      <c r="D103">
        <f>IF(OR($A103="",$B103=""),"",IF(ISNUMBER($A103),MOD($A103,100),IFERROR(VALUE(TRIM(MID(MID($A103,FIND("/",$A103)+1,20),FIND("/",MID($A103,FIND("/",$A103)+1,20))+1,20))),"")))</f>
        <v/>
      </c>
      <c r="E103">
        <f>IF($A103="","",IF(OR($B103="",$C103="",$D103="",$B103&lt;1300,$B103&gt;1500,$C103&lt;1,$C103&gt;12,$D103&lt;1,$D103&gt;31),"نامعتبر",RIGHT("0000"&amp;$B103,4)&amp;"/"&amp;RIGHT("00"&amp;$C103,2)&amp;"/"&amp;RIGHT("00"&amp;$D103,2)))</f>
        <v/>
      </c>
      <c r="F103">
        <f>IF(Entry!$D103&lt;&gt;"",IF(AND(ISNUMBER(Entry!$D103),Entry!$D103&gt;=0,Entry!$D103&lt;1),RIGHT("00"&amp;HOUR(Entry!$D103),2)&amp;":"&amp;RIGHT("00"&amp;MINUTE(Entry!$D103),2),IFERROR(RIGHT("00"&amp;VALUE(TRIM(LEFT(Entry!$D103,FIND(":",Entry!$D103)-1))),2)&amp;":"&amp;RIGHT("00"&amp;VALUE(TRIM(MID(Entry!$D103,FIND(":",Entry!$D103)+1,2))),2),"نامعتبر")),IF(OR($E103="",$E103="نامعتبر"),"","00:00"))</f>
        <v/>
      </c>
      <c r="G103">
        <f>IF(OR($E103="",$E103="نامعتبر"),"",IF(Entry!$E103="","",LEFT(UPPER(TRIM(Entry!$E103)),6)))</f>
        <v/>
      </c>
      <c r="H103">
        <f>IF($G103="","",RIGHT($E103,4)&amp;MID($E103,6,2)&amp;RIGHT($E103,2)&amp;IF($F103="","0000",IF($F103="نامعتبر","9999",LEFT($F103,2)&amp;RIGHT($F103,2)))&amp;"|"&amp;RIGHT("00000"&amp;95,5))</f>
        <v/>
      </c>
      <c r="I103">
        <f>IF($H103="","",COUNTIFS(CalcBank,$G103,CalcKey,"&lt;"&amp;$H103)+1)</f>
        <v/>
      </c>
      <c r="J103">
        <f>IF($I103="","",$G103&amp;"|"&amp;RIGHT("000000"&amp;$I103,6))</f>
        <v/>
      </c>
      <c r="K103">
        <f>IF(OR($E103="",$E103="نامعتبر"),"",LEFT($E103,4)&amp;"/"&amp;MID($E103,6,2))</f>
        <v/>
      </c>
      <c r="L103">
        <f>IF(Entry!$K103="",0,Entry!$K103)</f>
        <v/>
      </c>
      <c r="M103">
        <f>IF(Entry!$L103="",0,Entry!$L103)</f>
        <v/>
      </c>
    </row>
    <row r="104">
      <c r="A104">
        <f>IF(Entry!$C104="","",Entry!$C104)</f>
        <v/>
      </c>
      <c r="B104">
        <f>IF($A104="","",IF(ISNUMBER($A104),IF(AND($A104&gt;=10000101,$A104&lt;=99991231),INT($A104/10000),""),IFERROR(VALUE(TRIM(LEFT($A104,FIND("/",$A104)-1))),"")))</f>
        <v/>
      </c>
      <c r="C104">
        <f>IF(OR($A104="",$B104=""),"",IF(ISNUMBER($A104),INT(MOD($A104,10000)/100),IFERROR(VALUE(TRIM(LEFT(MID($A104,FIND("/",$A104)+1,20),FIND("/",MID($A104,FIND("/",$A104)+1,20))-1))),"")))</f>
        <v/>
      </c>
      <c r="D104">
        <f>IF(OR($A104="",$B104=""),"",IF(ISNUMBER($A104),MOD($A104,100),IFERROR(VALUE(TRIM(MID(MID($A104,FIND("/",$A104)+1,20),FIND("/",MID($A104,FIND("/",$A104)+1,20))+1,20))),"")))</f>
        <v/>
      </c>
      <c r="E104">
        <f>IF($A104="","",IF(OR($B104="",$C104="",$D104="",$B104&lt;1300,$B104&gt;1500,$C104&lt;1,$C104&gt;12,$D104&lt;1,$D104&gt;31),"نامعتبر",RIGHT("0000"&amp;$B104,4)&amp;"/"&amp;RIGHT("00"&amp;$C104,2)&amp;"/"&amp;RIGHT("00"&amp;$D104,2)))</f>
        <v/>
      </c>
      <c r="F104">
        <f>IF(Entry!$D104&lt;&gt;"",IF(AND(ISNUMBER(Entry!$D104),Entry!$D104&gt;=0,Entry!$D104&lt;1),RIGHT("00"&amp;HOUR(Entry!$D104),2)&amp;":"&amp;RIGHT("00"&amp;MINUTE(Entry!$D104),2),IFERROR(RIGHT("00"&amp;VALUE(TRIM(LEFT(Entry!$D104,FIND(":",Entry!$D104)-1))),2)&amp;":"&amp;RIGHT("00"&amp;VALUE(TRIM(MID(Entry!$D104,FIND(":",Entry!$D104)+1,2))),2),"نامعتبر")),IF(OR($E104="",$E104="نامعتبر"),"","00:00"))</f>
        <v/>
      </c>
      <c r="G104">
        <f>IF(OR($E104="",$E104="نامعتبر"),"",IF(Entry!$E104="","",LEFT(UPPER(TRIM(Entry!$E104)),6)))</f>
        <v/>
      </c>
      <c r="H104">
        <f>IF($G104="","",RIGHT($E104,4)&amp;MID($E104,6,2)&amp;RIGHT($E104,2)&amp;IF($F104="","0000",IF($F104="نامعتبر","9999",LEFT($F104,2)&amp;RIGHT($F104,2)))&amp;"|"&amp;RIGHT("00000"&amp;96,5))</f>
        <v/>
      </c>
      <c r="I104">
        <f>IF($H104="","",COUNTIFS(CalcBank,$G104,CalcKey,"&lt;"&amp;$H104)+1)</f>
        <v/>
      </c>
      <c r="J104">
        <f>IF($I104="","",$G104&amp;"|"&amp;RIGHT("000000"&amp;$I104,6))</f>
        <v/>
      </c>
      <c r="K104">
        <f>IF(OR($E104="",$E104="نامعتبر"),"",LEFT($E104,4)&amp;"/"&amp;MID($E104,6,2))</f>
        <v/>
      </c>
      <c r="L104">
        <f>IF(Entry!$K104="",0,Entry!$K104)</f>
        <v/>
      </c>
      <c r="M104">
        <f>IF(Entry!$L104="",0,Entry!$L104)</f>
        <v/>
      </c>
    </row>
    <row r="105">
      <c r="A105">
        <f>IF(Entry!$C105="","",Entry!$C105)</f>
        <v/>
      </c>
      <c r="B105">
        <f>IF($A105="","",IF(ISNUMBER($A105),IF(AND($A105&gt;=10000101,$A105&lt;=99991231),INT($A105/10000),""),IFERROR(VALUE(TRIM(LEFT($A105,FIND("/",$A105)-1))),"")))</f>
        <v/>
      </c>
      <c r="C105">
        <f>IF(OR($A105="",$B105=""),"",IF(ISNUMBER($A105),INT(MOD($A105,10000)/100),IFERROR(VALUE(TRIM(LEFT(MID($A105,FIND("/",$A105)+1,20),FIND("/",MID($A105,FIND("/",$A105)+1,20))-1))),"")))</f>
        <v/>
      </c>
      <c r="D105">
        <f>IF(OR($A105="",$B105=""),"",IF(ISNUMBER($A105),MOD($A105,100),IFERROR(VALUE(TRIM(MID(MID($A105,FIND("/",$A105)+1,20),FIND("/",MID($A105,FIND("/",$A105)+1,20))+1,20))),"")))</f>
        <v/>
      </c>
      <c r="E105">
        <f>IF($A105="","",IF(OR($B105="",$C105="",$D105="",$B105&lt;1300,$B105&gt;1500,$C105&lt;1,$C105&gt;12,$D105&lt;1,$D105&gt;31),"نامعتبر",RIGHT("0000"&amp;$B105,4)&amp;"/"&amp;RIGHT("00"&amp;$C105,2)&amp;"/"&amp;RIGHT("00"&amp;$D105,2)))</f>
        <v/>
      </c>
      <c r="F105">
        <f>IF(Entry!$D105&lt;&gt;"",IF(AND(ISNUMBER(Entry!$D105),Entry!$D105&gt;=0,Entry!$D105&lt;1),RIGHT("00"&amp;HOUR(Entry!$D105),2)&amp;":"&amp;RIGHT("00"&amp;MINUTE(Entry!$D105),2),IFERROR(RIGHT("00"&amp;VALUE(TRIM(LEFT(Entry!$D105,FIND(":",Entry!$D105)-1))),2)&amp;":"&amp;RIGHT("00"&amp;VALUE(TRIM(MID(Entry!$D105,FIND(":",Entry!$D105)+1,2))),2),"نامعتبر")),IF(OR($E105="",$E105="نامعتبر"),"","00:00"))</f>
        <v/>
      </c>
      <c r="G105">
        <f>IF(OR($E105="",$E105="نامعتبر"),"",IF(Entry!$E105="","",LEFT(UPPER(TRIM(Entry!$E105)),6)))</f>
        <v/>
      </c>
      <c r="H105">
        <f>IF($G105="","",RIGHT($E105,4)&amp;MID($E105,6,2)&amp;RIGHT($E105,2)&amp;IF($F105="","0000",IF($F105="نامعتبر","9999",LEFT($F105,2)&amp;RIGHT($F105,2)))&amp;"|"&amp;RIGHT("00000"&amp;97,5))</f>
        <v/>
      </c>
      <c r="I105">
        <f>IF($H105="","",COUNTIFS(CalcBank,$G105,CalcKey,"&lt;"&amp;$H105)+1)</f>
        <v/>
      </c>
      <c r="J105">
        <f>IF($I105="","",$G105&amp;"|"&amp;RIGHT("000000"&amp;$I105,6))</f>
        <v/>
      </c>
      <c r="K105">
        <f>IF(OR($E105="",$E105="نامعتبر"),"",LEFT($E105,4)&amp;"/"&amp;MID($E105,6,2))</f>
        <v/>
      </c>
      <c r="L105">
        <f>IF(Entry!$K105="",0,Entry!$K105)</f>
        <v/>
      </c>
      <c r="M105">
        <f>IF(Entry!$L105="",0,Entry!$L105)</f>
        <v/>
      </c>
    </row>
    <row r="106">
      <c r="A106">
        <f>IF(Entry!$C106="","",Entry!$C106)</f>
        <v/>
      </c>
      <c r="B106">
        <f>IF($A106="","",IF(ISNUMBER($A106),IF(AND($A106&gt;=10000101,$A106&lt;=99991231),INT($A106/10000),""),IFERROR(VALUE(TRIM(LEFT($A106,FIND("/",$A106)-1))),"")))</f>
        <v/>
      </c>
      <c r="C106">
        <f>IF(OR($A106="",$B106=""),"",IF(ISNUMBER($A106),INT(MOD($A106,10000)/100),IFERROR(VALUE(TRIM(LEFT(MID($A106,FIND("/",$A106)+1,20),FIND("/",MID($A106,FIND("/",$A106)+1,20))-1))),"")))</f>
        <v/>
      </c>
      <c r="D106">
        <f>IF(OR($A106="",$B106=""),"",IF(ISNUMBER($A106),MOD($A106,100),IFERROR(VALUE(TRIM(MID(MID($A106,FIND("/",$A106)+1,20),FIND("/",MID($A106,FIND("/",$A106)+1,20))+1,20))),"")))</f>
        <v/>
      </c>
      <c r="E106">
        <f>IF($A106="","",IF(OR($B106="",$C106="",$D106="",$B106&lt;1300,$B106&gt;1500,$C106&lt;1,$C106&gt;12,$D106&lt;1,$D106&gt;31),"نامعتبر",RIGHT("0000"&amp;$B106,4)&amp;"/"&amp;RIGHT("00"&amp;$C106,2)&amp;"/"&amp;RIGHT("00"&amp;$D106,2)))</f>
        <v/>
      </c>
      <c r="F106">
        <f>IF(Entry!$D106&lt;&gt;"",IF(AND(ISNUMBER(Entry!$D106),Entry!$D106&gt;=0,Entry!$D106&lt;1),RIGHT("00"&amp;HOUR(Entry!$D106),2)&amp;":"&amp;RIGHT("00"&amp;MINUTE(Entry!$D106),2),IFERROR(RIGHT("00"&amp;VALUE(TRIM(LEFT(Entry!$D106,FIND(":",Entry!$D106)-1))),2)&amp;":"&amp;RIGHT("00"&amp;VALUE(TRIM(MID(Entry!$D106,FIND(":",Entry!$D106)+1,2))),2),"نامعتبر")),IF(OR($E106="",$E106="نامعتبر"),"","00:00"))</f>
        <v/>
      </c>
      <c r="G106">
        <f>IF(OR($E106="",$E106="نامعتبر"),"",IF(Entry!$E106="","",LEFT(UPPER(TRIM(Entry!$E106)),6)))</f>
        <v/>
      </c>
      <c r="H106">
        <f>IF($G106="","",RIGHT($E106,4)&amp;MID($E106,6,2)&amp;RIGHT($E106,2)&amp;IF($F106="","0000",IF($F106="نامعتبر","9999",LEFT($F106,2)&amp;RIGHT($F106,2)))&amp;"|"&amp;RIGHT("00000"&amp;98,5))</f>
        <v/>
      </c>
      <c r="I106">
        <f>IF($H106="","",COUNTIFS(CalcBank,$G106,CalcKey,"&lt;"&amp;$H106)+1)</f>
        <v/>
      </c>
      <c r="J106">
        <f>IF($I106="","",$G106&amp;"|"&amp;RIGHT("000000"&amp;$I106,6))</f>
        <v/>
      </c>
      <c r="K106">
        <f>IF(OR($E106="",$E106="نامعتبر"),"",LEFT($E106,4)&amp;"/"&amp;MID($E106,6,2))</f>
        <v/>
      </c>
      <c r="L106">
        <f>IF(Entry!$K106="",0,Entry!$K106)</f>
        <v/>
      </c>
      <c r="M106">
        <f>IF(Entry!$L106="",0,Entry!$L106)</f>
        <v/>
      </c>
    </row>
    <row r="107">
      <c r="A107">
        <f>IF(Entry!$C107="","",Entry!$C107)</f>
        <v/>
      </c>
      <c r="B107">
        <f>IF($A107="","",IF(ISNUMBER($A107),IF(AND($A107&gt;=10000101,$A107&lt;=99991231),INT($A107/10000),""),IFERROR(VALUE(TRIM(LEFT($A107,FIND("/",$A107)-1))),"")))</f>
        <v/>
      </c>
      <c r="C107">
        <f>IF(OR($A107="",$B107=""),"",IF(ISNUMBER($A107),INT(MOD($A107,10000)/100),IFERROR(VALUE(TRIM(LEFT(MID($A107,FIND("/",$A107)+1,20),FIND("/",MID($A107,FIND("/",$A107)+1,20))-1))),"")))</f>
        <v/>
      </c>
      <c r="D107">
        <f>IF(OR($A107="",$B107=""),"",IF(ISNUMBER($A107),MOD($A107,100),IFERROR(VALUE(TRIM(MID(MID($A107,FIND("/",$A107)+1,20),FIND("/",MID($A107,FIND("/",$A107)+1,20))+1,20))),"")))</f>
        <v/>
      </c>
      <c r="E107">
        <f>IF($A107="","",IF(OR($B107="",$C107="",$D107="",$B107&lt;1300,$B107&gt;1500,$C107&lt;1,$C107&gt;12,$D107&lt;1,$D107&gt;31),"نامعتبر",RIGHT("0000"&amp;$B107,4)&amp;"/"&amp;RIGHT("00"&amp;$C107,2)&amp;"/"&amp;RIGHT("00"&amp;$D107,2)))</f>
        <v/>
      </c>
      <c r="F107">
        <f>IF(Entry!$D107&lt;&gt;"",IF(AND(ISNUMBER(Entry!$D107),Entry!$D107&gt;=0,Entry!$D107&lt;1),RIGHT("00"&amp;HOUR(Entry!$D107),2)&amp;":"&amp;RIGHT("00"&amp;MINUTE(Entry!$D107),2),IFERROR(RIGHT("00"&amp;VALUE(TRIM(LEFT(Entry!$D107,FIND(":",Entry!$D107)-1))),2)&amp;":"&amp;RIGHT("00"&amp;VALUE(TRIM(MID(Entry!$D107,FIND(":",Entry!$D107)+1,2))),2),"نامعتبر")),IF(OR($E107="",$E107="نامعتبر"),"","00:00"))</f>
        <v/>
      </c>
      <c r="G107">
        <f>IF(OR($E107="",$E107="نامعتبر"),"",IF(Entry!$E107="","",LEFT(UPPER(TRIM(Entry!$E107)),6)))</f>
        <v/>
      </c>
      <c r="H107">
        <f>IF($G107="","",RIGHT($E107,4)&amp;MID($E107,6,2)&amp;RIGHT($E107,2)&amp;IF($F107="","0000",IF($F107="نامعتبر","9999",LEFT($F107,2)&amp;RIGHT($F107,2)))&amp;"|"&amp;RIGHT("00000"&amp;99,5))</f>
        <v/>
      </c>
      <c r="I107">
        <f>IF($H107="","",COUNTIFS(CalcBank,$G107,CalcKey,"&lt;"&amp;$H107)+1)</f>
        <v/>
      </c>
      <c r="J107">
        <f>IF($I107="","",$G107&amp;"|"&amp;RIGHT("000000"&amp;$I107,6))</f>
        <v/>
      </c>
      <c r="K107">
        <f>IF(OR($E107="",$E107="نامعتبر"),"",LEFT($E107,4)&amp;"/"&amp;MID($E107,6,2))</f>
        <v/>
      </c>
      <c r="L107">
        <f>IF(Entry!$K107="",0,Entry!$K107)</f>
        <v/>
      </c>
      <c r="M107">
        <f>IF(Entry!$L107="",0,Entry!$L107)</f>
        <v/>
      </c>
    </row>
    <row r="108">
      <c r="A108">
        <f>IF(Entry!$C108="","",Entry!$C108)</f>
        <v/>
      </c>
      <c r="B108">
        <f>IF($A108="","",IF(ISNUMBER($A108),IF(AND($A108&gt;=10000101,$A108&lt;=99991231),INT($A108/10000),""),IFERROR(VALUE(TRIM(LEFT($A108,FIND("/",$A108)-1))),"")))</f>
        <v/>
      </c>
      <c r="C108">
        <f>IF(OR($A108="",$B108=""),"",IF(ISNUMBER($A108),INT(MOD($A108,10000)/100),IFERROR(VALUE(TRIM(LEFT(MID($A108,FIND("/",$A108)+1,20),FIND("/",MID($A108,FIND("/",$A108)+1,20))-1))),"")))</f>
        <v/>
      </c>
      <c r="D108">
        <f>IF(OR($A108="",$B108=""),"",IF(ISNUMBER($A108),MOD($A108,100),IFERROR(VALUE(TRIM(MID(MID($A108,FIND("/",$A108)+1,20),FIND("/",MID($A108,FIND("/",$A108)+1,20))+1,20))),"")))</f>
        <v/>
      </c>
      <c r="E108">
        <f>IF($A108="","",IF(OR($B108="",$C108="",$D108="",$B108&lt;1300,$B108&gt;1500,$C108&lt;1,$C108&gt;12,$D108&lt;1,$D108&gt;31),"نامعتبر",RIGHT("0000"&amp;$B108,4)&amp;"/"&amp;RIGHT("00"&amp;$C108,2)&amp;"/"&amp;RIGHT("00"&amp;$D108,2)))</f>
        <v/>
      </c>
      <c r="F108">
        <f>IF(Entry!$D108&lt;&gt;"",IF(AND(ISNUMBER(Entry!$D108),Entry!$D108&gt;=0,Entry!$D108&lt;1),RIGHT("00"&amp;HOUR(Entry!$D108),2)&amp;":"&amp;RIGHT("00"&amp;MINUTE(Entry!$D108),2),IFERROR(RIGHT("00"&amp;VALUE(TRIM(LEFT(Entry!$D108,FIND(":",Entry!$D108)-1))),2)&amp;":"&amp;RIGHT("00"&amp;VALUE(TRIM(MID(Entry!$D108,FIND(":",Entry!$D108)+1,2))),2),"نامعتبر")),IF(OR($E108="",$E108="نامعتبر"),"","00:00"))</f>
        <v/>
      </c>
      <c r="G108">
        <f>IF(OR($E108="",$E108="نامعتبر"),"",IF(Entry!$E108="","",LEFT(UPPER(TRIM(Entry!$E108)),6)))</f>
        <v/>
      </c>
      <c r="H108">
        <f>IF($G108="","",RIGHT($E108,4)&amp;MID($E108,6,2)&amp;RIGHT($E108,2)&amp;IF($F108="","0000",IF($F108="نامعتبر","9999",LEFT($F108,2)&amp;RIGHT($F108,2)))&amp;"|"&amp;RIGHT("00000"&amp;100,5))</f>
        <v/>
      </c>
      <c r="I108">
        <f>IF($H108="","",COUNTIFS(CalcBank,$G108,CalcKey,"&lt;"&amp;$H108)+1)</f>
        <v/>
      </c>
      <c r="J108">
        <f>IF($I108="","",$G108&amp;"|"&amp;RIGHT("000000"&amp;$I108,6))</f>
        <v/>
      </c>
      <c r="K108">
        <f>IF(OR($E108="",$E108="نامعتبر"),"",LEFT($E108,4)&amp;"/"&amp;MID($E108,6,2))</f>
        <v/>
      </c>
      <c r="L108">
        <f>IF(Entry!$K108="",0,Entry!$K108)</f>
        <v/>
      </c>
      <c r="M108">
        <f>IF(Entry!$L108="",0,Entry!$L108)</f>
        <v/>
      </c>
    </row>
    <row r="109">
      <c r="A109">
        <f>IF(Entry!$C109="","",Entry!$C109)</f>
        <v/>
      </c>
      <c r="B109">
        <f>IF($A109="","",IF(ISNUMBER($A109),IF(AND($A109&gt;=10000101,$A109&lt;=99991231),INT($A109/10000),""),IFERROR(VALUE(TRIM(LEFT($A109,FIND("/",$A109)-1))),"")))</f>
        <v/>
      </c>
      <c r="C109">
        <f>IF(OR($A109="",$B109=""),"",IF(ISNUMBER($A109),INT(MOD($A109,10000)/100),IFERROR(VALUE(TRIM(LEFT(MID($A109,FIND("/",$A109)+1,20),FIND("/",MID($A109,FIND("/",$A109)+1,20))-1))),"")))</f>
        <v/>
      </c>
      <c r="D109">
        <f>IF(OR($A109="",$B109=""),"",IF(ISNUMBER($A109),MOD($A109,100),IFERROR(VALUE(TRIM(MID(MID($A109,FIND("/",$A109)+1,20),FIND("/",MID($A109,FIND("/",$A109)+1,20))+1,20))),"")))</f>
        <v/>
      </c>
      <c r="E109">
        <f>IF($A109="","",IF(OR($B109="",$C109="",$D109="",$B109&lt;1300,$B109&gt;1500,$C109&lt;1,$C109&gt;12,$D109&lt;1,$D109&gt;31),"نامعتبر",RIGHT("0000"&amp;$B109,4)&amp;"/"&amp;RIGHT("00"&amp;$C109,2)&amp;"/"&amp;RIGHT("00"&amp;$D109,2)))</f>
        <v/>
      </c>
      <c r="F109">
        <f>IF(Entry!$D109&lt;&gt;"",IF(AND(ISNUMBER(Entry!$D109),Entry!$D109&gt;=0,Entry!$D109&lt;1),RIGHT("00"&amp;HOUR(Entry!$D109),2)&amp;":"&amp;RIGHT("00"&amp;MINUTE(Entry!$D109),2),IFERROR(RIGHT("00"&amp;VALUE(TRIM(LEFT(Entry!$D109,FIND(":",Entry!$D109)-1))),2)&amp;":"&amp;RIGHT("00"&amp;VALUE(TRIM(MID(Entry!$D109,FIND(":",Entry!$D109)+1,2))),2),"نامعتبر")),IF(OR($E109="",$E109="نامعتبر"),"","00:00"))</f>
        <v/>
      </c>
      <c r="G109">
        <f>IF(OR($E109="",$E109="نامعتبر"),"",IF(Entry!$E109="","",LEFT(UPPER(TRIM(Entry!$E109)),6)))</f>
        <v/>
      </c>
      <c r="H109">
        <f>IF($G109="","",RIGHT($E109,4)&amp;MID($E109,6,2)&amp;RIGHT($E109,2)&amp;IF($F109="","0000",IF($F109="نامعتبر","9999",LEFT($F109,2)&amp;RIGHT($F109,2)))&amp;"|"&amp;RIGHT("00000"&amp;101,5))</f>
        <v/>
      </c>
      <c r="I109">
        <f>IF($H109="","",COUNTIFS(CalcBank,$G109,CalcKey,"&lt;"&amp;$H109)+1)</f>
        <v/>
      </c>
      <c r="J109">
        <f>IF($I109="","",$G109&amp;"|"&amp;RIGHT("000000"&amp;$I109,6))</f>
        <v/>
      </c>
      <c r="K109">
        <f>IF(OR($E109="",$E109="نامعتبر"),"",LEFT($E109,4)&amp;"/"&amp;MID($E109,6,2))</f>
        <v/>
      </c>
      <c r="L109">
        <f>IF(Entry!$K109="",0,Entry!$K109)</f>
        <v/>
      </c>
      <c r="M109">
        <f>IF(Entry!$L109="",0,Entry!$L109)</f>
        <v/>
      </c>
    </row>
    <row r="110">
      <c r="A110">
        <f>IF(Entry!$C110="","",Entry!$C110)</f>
        <v/>
      </c>
      <c r="B110">
        <f>IF($A110="","",IF(ISNUMBER($A110),IF(AND($A110&gt;=10000101,$A110&lt;=99991231),INT($A110/10000),""),IFERROR(VALUE(TRIM(LEFT($A110,FIND("/",$A110)-1))),"")))</f>
        <v/>
      </c>
      <c r="C110">
        <f>IF(OR($A110="",$B110=""),"",IF(ISNUMBER($A110),INT(MOD($A110,10000)/100),IFERROR(VALUE(TRIM(LEFT(MID($A110,FIND("/",$A110)+1,20),FIND("/",MID($A110,FIND("/",$A110)+1,20))-1))),"")))</f>
        <v/>
      </c>
      <c r="D110">
        <f>IF(OR($A110="",$B110=""),"",IF(ISNUMBER($A110),MOD($A110,100),IFERROR(VALUE(TRIM(MID(MID($A110,FIND("/",$A110)+1,20),FIND("/",MID($A110,FIND("/",$A110)+1,20))+1,20))),"")))</f>
        <v/>
      </c>
      <c r="E110">
        <f>IF($A110="","",IF(OR($B110="",$C110="",$D110="",$B110&lt;1300,$B110&gt;1500,$C110&lt;1,$C110&gt;12,$D110&lt;1,$D110&gt;31),"نامعتبر",RIGHT("0000"&amp;$B110,4)&amp;"/"&amp;RIGHT("00"&amp;$C110,2)&amp;"/"&amp;RIGHT("00"&amp;$D110,2)))</f>
        <v/>
      </c>
      <c r="F110">
        <f>IF(Entry!$D110&lt;&gt;"",IF(AND(ISNUMBER(Entry!$D110),Entry!$D110&gt;=0,Entry!$D110&lt;1),RIGHT("00"&amp;HOUR(Entry!$D110),2)&amp;":"&amp;RIGHT("00"&amp;MINUTE(Entry!$D110),2),IFERROR(RIGHT("00"&amp;VALUE(TRIM(LEFT(Entry!$D110,FIND(":",Entry!$D110)-1))),2)&amp;":"&amp;RIGHT("00"&amp;VALUE(TRIM(MID(Entry!$D110,FIND(":",Entry!$D110)+1,2))),2),"نامعتبر")),IF(OR($E110="",$E110="نامعتبر"),"","00:00"))</f>
        <v/>
      </c>
      <c r="G110">
        <f>IF(OR($E110="",$E110="نامعتبر"),"",IF(Entry!$E110="","",LEFT(UPPER(TRIM(Entry!$E110)),6)))</f>
        <v/>
      </c>
      <c r="H110">
        <f>IF($G110="","",RIGHT($E110,4)&amp;MID($E110,6,2)&amp;RIGHT($E110,2)&amp;IF($F110="","0000",IF($F110="نامعتبر","9999",LEFT($F110,2)&amp;RIGHT($F110,2)))&amp;"|"&amp;RIGHT("00000"&amp;102,5))</f>
        <v/>
      </c>
      <c r="I110">
        <f>IF($H110="","",COUNTIFS(CalcBank,$G110,CalcKey,"&lt;"&amp;$H110)+1)</f>
        <v/>
      </c>
      <c r="J110">
        <f>IF($I110="","",$G110&amp;"|"&amp;RIGHT("000000"&amp;$I110,6))</f>
        <v/>
      </c>
      <c r="K110">
        <f>IF(OR($E110="",$E110="نامعتبر"),"",LEFT($E110,4)&amp;"/"&amp;MID($E110,6,2))</f>
        <v/>
      </c>
      <c r="L110">
        <f>IF(Entry!$K110="",0,Entry!$K110)</f>
        <v/>
      </c>
      <c r="M110">
        <f>IF(Entry!$L110="",0,Entry!$L110)</f>
        <v/>
      </c>
    </row>
    <row r="111">
      <c r="A111">
        <f>IF(Entry!$C111="","",Entry!$C111)</f>
        <v/>
      </c>
      <c r="B111">
        <f>IF($A111="","",IF(ISNUMBER($A111),IF(AND($A111&gt;=10000101,$A111&lt;=99991231),INT($A111/10000),""),IFERROR(VALUE(TRIM(LEFT($A111,FIND("/",$A111)-1))),"")))</f>
        <v/>
      </c>
      <c r="C111">
        <f>IF(OR($A111="",$B111=""),"",IF(ISNUMBER($A111),INT(MOD($A111,10000)/100),IFERROR(VALUE(TRIM(LEFT(MID($A111,FIND("/",$A111)+1,20),FIND("/",MID($A111,FIND("/",$A111)+1,20))-1))),"")))</f>
        <v/>
      </c>
      <c r="D111">
        <f>IF(OR($A111="",$B111=""),"",IF(ISNUMBER($A111),MOD($A111,100),IFERROR(VALUE(TRIM(MID(MID($A111,FIND("/",$A111)+1,20),FIND("/",MID($A111,FIND("/",$A111)+1,20))+1,20))),"")))</f>
        <v/>
      </c>
      <c r="E111">
        <f>IF($A111="","",IF(OR($B111="",$C111="",$D111="",$B111&lt;1300,$B111&gt;1500,$C111&lt;1,$C111&gt;12,$D111&lt;1,$D111&gt;31),"نامعتبر",RIGHT("0000"&amp;$B111,4)&amp;"/"&amp;RIGHT("00"&amp;$C111,2)&amp;"/"&amp;RIGHT("00"&amp;$D111,2)))</f>
        <v/>
      </c>
      <c r="F111">
        <f>IF(Entry!$D111&lt;&gt;"",IF(AND(ISNUMBER(Entry!$D111),Entry!$D111&gt;=0,Entry!$D111&lt;1),RIGHT("00"&amp;HOUR(Entry!$D111),2)&amp;":"&amp;RIGHT("00"&amp;MINUTE(Entry!$D111),2),IFERROR(RIGHT("00"&amp;VALUE(TRIM(LEFT(Entry!$D111,FIND(":",Entry!$D111)-1))),2)&amp;":"&amp;RIGHT("00"&amp;VALUE(TRIM(MID(Entry!$D111,FIND(":",Entry!$D111)+1,2))),2),"نامعتبر")),IF(OR($E111="",$E111="نامعتبر"),"","00:00"))</f>
        <v/>
      </c>
      <c r="G111">
        <f>IF(OR($E111="",$E111="نامعتبر"),"",IF(Entry!$E111="","",LEFT(UPPER(TRIM(Entry!$E111)),6)))</f>
        <v/>
      </c>
      <c r="H111">
        <f>IF($G111="","",RIGHT($E111,4)&amp;MID($E111,6,2)&amp;RIGHT($E111,2)&amp;IF($F111="","0000",IF($F111="نامعتبر","9999",LEFT($F111,2)&amp;RIGHT($F111,2)))&amp;"|"&amp;RIGHT("00000"&amp;103,5))</f>
        <v/>
      </c>
      <c r="I111">
        <f>IF($H111="","",COUNTIFS(CalcBank,$G111,CalcKey,"&lt;"&amp;$H111)+1)</f>
        <v/>
      </c>
      <c r="J111">
        <f>IF($I111="","",$G111&amp;"|"&amp;RIGHT("000000"&amp;$I111,6))</f>
        <v/>
      </c>
      <c r="K111">
        <f>IF(OR($E111="",$E111="نامعتبر"),"",LEFT($E111,4)&amp;"/"&amp;MID($E111,6,2))</f>
        <v/>
      </c>
      <c r="L111">
        <f>IF(Entry!$K111="",0,Entry!$K111)</f>
        <v/>
      </c>
      <c r="M111">
        <f>IF(Entry!$L111="",0,Entry!$L111)</f>
        <v/>
      </c>
    </row>
    <row r="112">
      <c r="A112">
        <f>IF(Entry!$C112="","",Entry!$C112)</f>
        <v/>
      </c>
      <c r="B112">
        <f>IF($A112="","",IF(ISNUMBER($A112),IF(AND($A112&gt;=10000101,$A112&lt;=99991231),INT($A112/10000),""),IFERROR(VALUE(TRIM(LEFT($A112,FIND("/",$A112)-1))),"")))</f>
        <v/>
      </c>
      <c r="C112">
        <f>IF(OR($A112="",$B112=""),"",IF(ISNUMBER($A112),INT(MOD($A112,10000)/100),IFERROR(VALUE(TRIM(LEFT(MID($A112,FIND("/",$A112)+1,20),FIND("/",MID($A112,FIND("/",$A112)+1,20))-1))),"")))</f>
        <v/>
      </c>
      <c r="D112">
        <f>IF(OR($A112="",$B112=""),"",IF(ISNUMBER($A112),MOD($A112,100),IFERROR(VALUE(TRIM(MID(MID($A112,FIND("/",$A112)+1,20),FIND("/",MID($A112,FIND("/",$A112)+1,20))+1,20))),"")))</f>
        <v/>
      </c>
      <c r="E112">
        <f>IF($A112="","",IF(OR($B112="",$C112="",$D112="",$B112&lt;1300,$B112&gt;1500,$C112&lt;1,$C112&gt;12,$D112&lt;1,$D112&gt;31),"نامعتبر",RIGHT("0000"&amp;$B112,4)&amp;"/"&amp;RIGHT("00"&amp;$C112,2)&amp;"/"&amp;RIGHT("00"&amp;$D112,2)))</f>
        <v/>
      </c>
      <c r="F112">
        <f>IF(Entry!$D112&lt;&gt;"",IF(AND(ISNUMBER(Entry!$D112),Entry!$D112&gt;=0,Entry!$D112&lt;1),RIGHT("00"&amp;HOUR(Entry!$D112),2)&amp;":"&amp;RIGHT("00"&amp;MINUTE(Entry!$D112),2),IFERROR(RIGHT("00"&amp;VALUE(TRIM(LEFT(Entry!$D112,FIND(":",Entry!$D112)-1))),2)&amp;":"&amp;RIGHT("00"&amp;VALUE(TRIM(MID(Entry!$D112,FIND(":",Entry!$D112)+1,2))),2),"نامعتبر")),IF(OR($E112="",$E112="نامعتبر"),"","00:00"))</f>
        <v/>
      </c>
      <c r="G112">
        <f>IF(OR($E112="",$E112="نامعتبر"),"",IF(Entry!$E112="","",LEFT(UPPER(TRIM(Entry!$E112)),6)))</f>
        <v/>
      </c>
      <c r="H112">
        <f>IF($G112="","",RIGHT($E112,4)&amp;MID($E112,6,2)&amp;RIGHT($E112,2)&amp;IF($F112="","0000",IF($F112="نامعتبر","9999",LEFT($F112,2)&amp;RIGHT($F112,2)))&amp;"|"&amp;RIGHT("00000"&amp;104,5))</f>
        <v/>
      </c>
      <c r="I112">
        <f>IF($H112="","",COUNTIFS(CalcBank,$G112,CalcKey,"&lt;"&amp;$H112)+1)</f>
        <v/>
      </c>
      <c r="J112">
        <f>IF($I112="","",$G112&amp;"|"&amp;RIGHT("000000"&amp;$I112,6))</f>
        <v/>
      </c>
      <c r="K112">
        <f>IF(OR($E112="",$E112="نامعتبر"),"",LEFT($E112,4)&amp;"/"&amp;MID($E112,6,2))</f>
        <v/>
      </c>
      <c r="L112">
        <f>IF(Entry!$K112="",0,Entry!$K112)</f>
        <v/>
      </c>
      <c r="M112">
        <f>IF(Entry!$L112="",0,Entry!$L112)</f>
        <v/>
      </c>
    </row>
    <row r="113">
      <c r="A113">
        <f>IF(Entry!$C113="","",Entry!$C113)</f>
        <v/>
      </c>
      <c r="B113">
        <f>IF($A113="","",IF(ISNUMBER($A113),IF(AND($A113&gt;=10000101,$A113&lt;=99991231),INT($A113/10000),""),IFERROR(VALUE(TRIM(LEFT($A113,FIND("/",$A113)-1))),"")))</f>
        <v/>
      </c>
      <c r="C113">
        <f>IF(OR($A113="",$B113=""),"",IF(ISNUMBER($A113),INT(MOD($A113,10000)/100),IFERROR(VALUE(TRIM(LEFT(MID($A113,FIND("/",$A113)+1,20),FIND("/",MID($A113,FIND("/",$A113)+1,20))-1))),"")))</f>
        <v/>
      </c>
      <c r="D113">
        <f>IF(OR($A113="",$B113=""),"",IF(ISNUMBER($A113),MOD($A113,100),IFERROR(VALUE(TRIM(MID(MID($A113,FIND("/",$A113)+1,20),FIND("/",MID($A113,FIND("/",$A113)+1,20))+1,20))),"")))</f>
        <v/>
      </c>
      <c r="E113">
        <f>IF($A113="","",IF(OR($B113="",$C113="",$D113="",$B113&lt;1300,$B113&gt;1500,$C113&lt;1,$C113&gt;12,$D113&lt;1,$D113&gt;31),"نامعتبر",RIGHT("0000"&amp;$B113,4)&amp;"/"&amp;RIGHT("00"&amp;$C113,2)&amp;"/"&amp;RIGHT("00"&amp;$D113,2)))</f>
        <v/>
      </c>
      <c r="F113">
        <f>IF(Entry!$D113&lt;&gt;"",IF(AND(ISNUMBER(Entry!$D113),Entry!$D113&gt;=0,Entry!$D113&lt;1),RIGHT("00"&amp;HOUR(Entry!$D113),2)&amp;":"&amp;RIGHT("00"&amp;MINUTE(Entry!$D113),2),IFERROR(RIGHT("00"&amp;VALUE(TRIM(LEFT(Entry!$D113,FIND(":",Entry!$D113)-1))),2)&amp;":"&amp;RIGHT("00"&amp;VALUE(TRIM(MID(Entry!$D113,FIND(":",Entry!$D113)+1,2))),2),"نامعتبر")),IF(OR($E113="",$E113="نامعتبر"),"","00:00"))</f>
        <v/>
      </c>
      <c r="G113">
        <f>IF(OR($E113="",$E113="نامعتبر"),"",IF(Entry!$E113="","",LEFT(UPPER(TRIM(Entry!$E113)),6)))</f>
        <v/>
      </c>
      <c r="H113">
        <f>IF($G113="","",RIGHT($E113,4)&amp;MID($E113,6,2)&amp;RIGHT($E113,2)&amp;IF($F113="","0000",IF($F113="نامعتبر","9999",LEFT($F113,2)&amp;RIGHT($F113,2)))&amp;"|"&amp;RIGHT("00000"&amp;105,5))</f>
        <v/>
      </c>
      <c r="I113">
        <f>IF($H113="","",COUNTIFS(CalcBank,$G113,CalcKey,"&lt;"&amp;$H113)+1)</f>
        <v/>
      </c>
      <c r="J113">
        <f>IF($I113="","",$G113&amp;"|"&amp;RIGHT("000000"&amp;$I113,6))</f>
        <v/>
      </c>
      <c r="K113">
        <f>IF(OR($E113="",$E113="نامعتبر"),"",LEFT($E113,4)&amp;"/"&amp;MID($E113,6,2))</f>
        <v/>
      </c>
      <c r="L113">
        <f>IF(Entry!$K113="",0,Entry!$K113)</f>
        <v/>
      </c>
      <c r="M113">
        <f>IF(Entry!$L113="",0,Entry!$L113)</f>
        <v/>
      </c>
    </row>
    <row r="114">
      <c r="A114">
        <f>IF(Entry!$C114="","",Entry!$C114)</f>
        <v/>
      </c>
      <c r="B114">
        <f>IF($A114="","",IF(ISNUMBER($A114),IF(AND($A114&gt;=10000101,$A114&lt;=99991231),INT($A114/10000),""),IFERROR(VALUE(TRIM(LEFT($A114,FIND("/",$A114)-1))),"")))</f>
        <v/>
      </c>
      <c r="C114">
        <f>IF(OR($A114="",$B114=""),"",IF(ISNUMBER($A114),INT(MOD($A114,10000)/100),IFERROR(VALUE(TRIM(LEFT(MID($A114,FIND("/",$A114)+1,20),FIND("/",MID($A114,FIND("/",$A114)+1,20))-1))),"")))</f>
        <v/>
      </c>
      <c r="D114">
        <f>IF(OR($A114="",$B114=""),"",IF(ISNUMBER($A114),MOD($A114,100),IFERROR(VALUE(TRIM(MID(MID($A114,FIND("/",$A114)+1,20),FIND("/",MID($A114,FIND("/",$A114)+1,20))+1,20))),"")))</f>
        <v/>
      </c>
      <c r="E114">
        <f>IF($A114="","",IF(OR($B114="",$C114="",$D114="",$B114&lt;1300,$B114&gt;1500,$C114&lt;1,$C114&gt;12,$D114&lt;1,$D114&gt;31),"نامعتبر",RIGHT("0000"&amp;$B114,4)&amp;"/"&amp;RIGHT("00"&amp;$C114,2)&amp;"/"&amp;RIGHT("00"&amp;$D114,2)))</f>
        <v/>
      </c>
      <c r="F114">
        <f>IF(Entry!$D114&lt;&gt;"",IF(AND(ISNUMBER(Entry!$D114),Entry!$D114&gt;=0,Entry!$D114&lt;1),RIGHT("00"&amp;HOUR(Entry!$D114),2)&amp;":"&amp;RIGHT("00"&amp;MINUTE(Entry!$D114),2),IFERROR(RIGHT("00"&amp;VALUE(TRIM(LEFT(Entry!$D114,FIND(":",Entry!$D114)-1))),2)&amp;":"&amp;RIGHT("00"&amp;VALUE(TRIM(MID(Entry!$D114,FIND(":",Entry!$D114)+1,2))),2),"نامعتبر")),IF(OR($E114="",$E114="نامعتبر"),"","00:00"))</f>
        <v/>
      </c>
      <c r="G114">
        <f>IF(OR($E114="",$E114="نامعتبر"),"",IF(Entry!$E114="","",LEFT(UPPER(TRIM(Entry!$E114)),6)))</f>
        <v/>
      </c>
      <c r="H114">
        <f>IF($G114="","",RIGHT($E114,4)&amp;MID($E114,6,2)&amp;RIGHT($E114,2)&amp;IF($F114="","0000",IF($F114="نامعتبر","9999",LEFT($F114,2)&amp;RIGHT($F114,2)))&amp;"|"&amp;RIGHT("00000"&amp;106,5))</f>
        <v/>
      </c>
      <c r="I114">
        <f>IF($H114="","",COUNTIFS(CalcBank,$G114,CalcKey,"&lt;"&amp;$H114)+1)</f>
        <v/>
      </c>
      <c r="J114">
        <f>IF($I114="","",$G114&amp;"|"&amp;RIGHT("000000"&amp;$I114,6))</f>
        <v/>
      </c>
      <c r="K114">
        <f>IF(OR($E114="",$E114="نامعتبر"),"",LEFT($E114,4)&amp;"/"&amp;MID($E114,6,2))</f>
        <v/>
      </c>
      <c r="L114">
        <f>IF(Entry!$K114="",0,Entry!$K114)</f>
        <v/>
      </c>
      <c r="M114">
        <f>IF(Entry!$L114="",0,Entry!$L114)</f>
        <v/>
      </c>
    </row>
    <row r="115">
      <c r="A115">
        <f>IF(Entry!$C115="","",Entry!$C115)</f>
        <v/>
      </c>
      <c r="B115">
        <f>IF($A115="","",IF(ISNUMBER($A115),IF(AND($A115&gt;=10000101,$A115&lt;=99991231),INT($A115/10000),""),IFERROR(VALUE(TRIM(LEFT($A115,FIND("/",$A115)-1))),"")))</f>
        <v/>
      </c>
      <c r="C115">
        <f>IF(OR($A115="",$B115=""),"",IF(ISNUMBER($A115),INT(MOD($A115,10000)/100),IFERROR(VALUE(TRIM(LEFT(MID($A115,FIND("/",$A115)+1,20),FIND("/",MID($A115,FIND("/",$A115)+1,20))-1))),"")))</f>
        <v/>
      </c>
      <c r="D115">
        <f>IF(OR($A115="",$B115=""),"",IF(ISNUMBER($A115),MOD($A115,100),IFERROR(VALUE(TRIM(MID(MID($A115,FIND("/",$A115)+1,20),FIND("/",MID($A115,FIND("/",$A115)+1,20))+1,20))),"")))</f>
        <v/>
      </c>
      <c r="E115">
        <f>IF($A115="","",IF(OR($B115="",$C115="",$D115="",$B115&lt;1300,$B115&gt;1500,$C115&lt;1,$C115&gt;12,$D115&lt;1,$D115&gt;31),"نامعتبر",RIGHT("0000"&amp;$B115,4)&amp;"/"&amp;RIGHT("00"&amp;$C115,2)&amp;"/"&amp;RIGHT("00"&amp;$D115,2)))</f>
        <v/>
      </c>
      <c r="F115">
        <f>IF(Entry!$D115&lt;&gt;"",IF(AND(ISNUMBER(Entry!$D115),Entry!$D115&gt;=0,Entry!$D115&lt;1),RIGHT("00"&amp;HOUR(Entry!$D115),2)&amp;":"&amp;RIGHT("00"&amp;MINUTE(Entry!$D115),2),IFERROR(RIGHT("00"&amp;VALUE(TRIM(LEFT(Entry!$D115,FIND(":",Entry!$D115)-1))),2)&amp;":"&amp;RIGHT("00"&amp;VALUE(TRIM(MID(Entry!$D115,FIND(":",Entry!$D115)+1,2))),2),"نامعتبر")),IF(OR($E115="",$E115="نامعتبر"),"","00:00"))</f>
        <v/>
      </c>
      <c r="G115">
        <f>IF(OR($E115="",$E115="نامعتبر"),"",IF(Entry!$E115="","",LEFT(UPPER(TRIM(Entry!$E115)),6)))</f>
        <v/>
      </c>
      <c r="H115">
        <f>IF($G115="","",RIGHT($E115,4)&amp;MID($E115,6,2)&amp;RIGHT($E115,2)&amp;IF($F115="","0000",IF($F115="نامعتبر","9999",LEFT($F115,2)&amp;RIGHT($F115,2)))&amp;"|"&amp;RIGHT("00000"&amp;107,5))</f>
        <v/>
      </c>
      <c r="I115">
        <f>IF($H115="","",COUNTIFS(CalcBank,$G115,CalcKey,"&lt;"&amp;$H115)+1)</f>
        <v/>
      </c>
      <c r="J115">
        <f>IF($I115="","",$G115&amp;"|"&amp;RIGHT("000000"&amp;$I115,6))</f>
        <v/>
      </c>
      <c r="K115">
        <f>IF(OR($E115="",$E115="نامعتبر"),"",LEFT($E115,4)&amp;"/"&amp;MID($E115,6,2))</f>
        <v/>
      </c>
      <c r="L115">
        <f>IF(Entry!$K115="",0,Entry!$K115)</f>
        <v/>
      </c>
      <c r="M115">
        <f>IF(Entry!$L115="",0,Entry!$L115)</f>
        <v/>
      </c>
    </row>
    <row r="116">
      <c r="A116">
        <f>IF(Entry!$C116="","",Entry!$C116)</f>
        <v/>
      </c>
      <c r="B116">
        <f>IF($A116="","",IF(ISNUMBER($A116),IF(AND($A116&gt;=10000101,$A116&lt;=99991231),INT($A116/10000),""),IFERROR(VALUE(TRIM(LEFT($A116,FIND("/",$A116)-1))),"")))</f>
        <v/>
      </c>
      <c r="C116">
        <f>IF(OR($A116="",$B116=""),"",IF(ISNUMBER($A116),INT(MOD($A116,10000)/100),IFERROR(VALUE(TRIM(LEFT(MID($A116,FIND("/",$A116)+1,20),FIND("/",MID($A116,FIND("/",$A116)+1,20))-1))),"")))</f>
        <v/>
      </c>
      <c r="D116">
        <f>IF(OR($A116="",$B116=""),"",IF(ISNUMBER($A116),MOD($A116,100),IFERROR(VALUE(TRIM(MID(MID($A116,FIND("/",$A116)+1,20),FIND("/",MID($A116,FIND("/",$A116)+1,20))+1,20))),"")))</f>
        <v/>
      </c>
      <c r="E116">
        <f>IF($A116="","",IF(OR($B116="",$C116="",$D116="",$B116&lt;1300,$B116&gt;1500,$C116&lt;1,$C116&gt;12,$D116&lt;1,$D116&gt;31),"نامعتبر",RIGHT("0000"&amp;$B116,4)&amp;"/"&amp;RIGHT("00"&amp;$C116,2)&amp;"/"&amp;RIGHT("00"&amp;$D116,2)))</f>
        <v/>
      </c>
      <c r="F116">
        <f>IF(Entry!$D116&lt;&gt;"",IF(AND(ISNUMBER(Entry!$D116),Entry!$D116&gt;=0,Entry!$D116&lt;1),RIGHT("00"&amp;HOUR(Entry!$D116),2)&amp;":"&amp;RIGHT("00"&amp;MINUTE(Entry!$D116),2),IFERROR(RIGHT("00"&amp;VALUE(TRIM(LEFT(Entry!$D116,FIND(":",Entry!$D116)-1))),2)&amp;":"&amp;RIGHT("00"&amp;VALUE(TRIM(MID(Entry!$D116,FIND(":",Entry!$D116)+1,2))),2),"نامعتبر")),IF(OR($E116="",$E116="نامعتبر"),"","00:00"))</f>
        <v/>
      </c>
      <c r="G116">
        <f>IF(OR($E116="",$E116="نامعتبر"),"",IF(Entry!$E116="","",LEFT(UPPER(TRIM(Entry!$E116)),6)))</f>
        <v/>
      </c>
      <c r="H116">
        <f>IF($G116="","",RIGHT($E116,4)&amp;MID($E116,6,2)&amp;RIGHT($E116,2)&amp;IF($F116="","0000",IF($F116="نامعتبر","9999",LEFT($F116,2)&amp;RIGHT($F116,2)))&amp;"|"&amp;RIGHT("00000"&amp;108,5))</f>
        <v/>
      </c>
      <c r="I116">
        <f>IF($H116="","",COUNTIFS(CalcBank,$G116,CalcKey,"&lt;"&amp;$H116)+1)</f>
        <v/>
      </c>
      <c r="J116">
        <f>IF($I116="","",$G116&amp;"|"&amp;RIGHT("000000"&amp;$I116,6))</f>
        <v/>
      </c>
      <c r="K116">
        <f>IF(OR($E116="",$E116="نامعتبر"),"",LEFT($E116,4)&amp;"/"&amp;MID($E116,6,2))</f>
        <v/>
      </c>
      <c r="L116">
        <f>IF(Entry!$K116="",0,Entry!$K116)</f>
        <v/>
      </c>
      <c r="M116">
        <f>IF(Entry!$L116="",0,Entry!$L116)</f>
        <v/>
      </c>
    </row>
    <row r="117">
      <c r="A117">
        <f>IF(Entry!$C117="","",Entry!$C117)</f>
        <v/>
      </c>
      <c r="B117">
        <f>IF($A117="","",IF(ISNUMBER($A117),IF(AND($A117&gt;=10000101,$A117&lt;=99991231),INT($A117/10000),""),IFERROR(VALUE(TRIM(LEFT($A117,FIND("/",$A117)-1))),"")))</f>
        <v/>
      </c>
      <c r="C117">
        <f>IF(OR($A117="",$B117=""),"",IF(ISNUMBER($A117),INT(MOD($A117,10000)/100),IFERROR(VALUE(TRIM(LEFT(MID($A117,FIND("/",$A117)+1,20),FIND("/",MID($A117,FIND("/",$A117)+1,20))-1))),"")))</f>
        <v/>
      </c>
      <c r="D117">
        <f>IF(OR($A117="",$B117=""),"",IF(ISNUMBER($A117),MOD($A117,100),IFERROR(VALUE(TRIM(MID(MID($A117,FIND("/",$A117)+1,20),FIND("/",MID($A117,FIND("/",$A117)+1,20))+1,20))),"")))</f>
        <v/>
      </c>
      <c r="E117">
        <f>IF($A117="","",IF(OR($B117="",$C117="",$D117="",$B117&lt;1300,$B117&gt;1500,$C117&lt;1,$C117&gt;12,$D117&lt;1,$D117&gt;31),"نامعتبر",RIGHT("0000"&amp;$B117,4)&amp;"/"&amp;RIGHT("00"&amp;$C117,2)&amp;"/"&amp;RIGHT("00"&amp;$D117,2)))</f>
        <v/>
      </c>
      <c r="F117">
        <f>IF(Entry!$D117&lt;&gt;"",IF(AND(ISNUMBER(Entry!$D117),Entry!$D117&gt;=0,Entry!$D117&lt;1),RIGHT("00"&amp;HOUR(Entry!$D117),2)&amp;":"&amp;RIGHT("00"&amp;MINUTE(Entry!$D117),2),IFERROR(RIGHT("00"&amp;VALUE(TRIM(LEFT(Entry!$D117,FIND(":",Entry!$D117)-1))),2)&amp;":"&amp;RIGHT("00"&amp;VALUE(TRIM(MID(Entry!$D117,FIND(":",Entry!$D117)+1,2))),2),"نامعتبر")),IF(OR($E117="",$E117="نامعتبر"),"","00:00"))</f>
        <v/>
      </c>
      <c r="G117">
        <f>IF(OR($E117="",$E117="نامعتبر"),"",IF(Entry!$E117="","",LEFT(UPPER(TRIM(Entry!$E117)),6)))</f>
        <v/>
      </c>
      <c r="H117">
        <f>IF($G117="","",RIGHT($E117,4)&amp;MID($E117,6,2)&amp;RIGHT($E117,2)&amp;IF($F117="","0000",IF($F117="نامعتبر","9999",LEFT($F117,2)&amp;RIGHT($F117,2)))&amp;"|"&amp;RIGHT("00000"&amp;109,5))</f>
        <v/>
      </c>
      <c r="I117">
        <f>IF($H117="","",COUNTIFS(CalcBank,$G117,CalcKey,"&lt;"&amp;$H117)+1)</f>
        <v/>
      </c>
      <c r="J117">
        <f>IF($I117="","",$G117&amp;"|"&amp;RIGHT("000000"&amp;$I117,6))</f>
        <v/>
      </c>
      <c r="K117">
        <f>IF(OR($E117="",$E117="نامعتبر"),"",LEFT($E117,4)&amp;"/"&amp;MID($E117,6,2))</f>
        <v/>
      </c>
      <c r="L117">
        <f>IF(Entry!$K117="",0,Entry!$K117)</f>
        <v/>
      </c>
      <c r="M117">
        <f>IF(Entry!$L117="",0,Entry!$L117)</f>
        <v/>
      </c>
    </row>
    <row r="118">
      <c r="A118">
        <f>IF(Entry!$C118="","",Entry!$C118)</f>
        <v/>
      </c>
      <c r="B118">
        <f>IF($A118="","",IF(ISNUMBER($A118),IF(AND($A118&gt;=10000101,$A118&lt;=99991231),INT($A118/10000),""),IFERROR(VALUE(TRIM(LEFT($A118,FIND("/",$A118)-1))),"")))</f>
        <v/>
      </c>
      <c r="C118">
        <f>IF(OR($A118="",$B118=""),"",IF(ISNUMBER($A118),INT(MOD($A118,10000)/100),IFERROR(VALUE(TRIM(LEFT(MID($A118,FIND("/",$A118)+1,20),FIND("/",MID($A118,FIND("/",$A118)+1,20))-1))),"")))</f>
        <v/>
      </c>
      <c r="D118">
        <f>IF(OR($A118="",$B118=""),"",IF(ISNUMBER($A118),MOD($A118,100),IFERROR(VALUE(TRIM(MID(MID($A118,FIND("/",$A118)+1,20),FIND("/",MID($A118,FIND("/",$A118)+1,20))+1,20))),"")))</f>
        <v/>
      </c>
      <c r="E118">
        <f>IF($A118="","",IF(OR($B118="",$C118="",$D118="",$B118&lt;1300,$B118&gt;1500,$C118&lt;1,$C118&gt;12,$D118&lt;1,$D118&gt;31),"نامعتبر",RIGHT("0000"&amp;$B118,4)&amp;"/"&amp;RIGHT("00"&amp;$C118,2)&amp;"/"&amp;RIGHT("00"&amp;$D118,2)))</f>
        <v/>
      </c>
      <c r="F118">
        <f>IF(Entry!$D118&lt;&gt;"",IF(AND(ISNUMBER(Entry!$D118),Entry!$D118&gt;=0,Entry!$D118&lt;1),RIGHT("00"&amp;HOUR(Entry!$D118),2)&amp;":"&amp;RIGHT("00"&amp;MINUTE(Entry!$D118),2),IFERROR(RIGHT("00"&amp;VALUE(TRIM(LEFT(Entry!$D118,FIND(":",Entry!$D118)-1))),2)&amp;":"&amp;RIGHT("00"&amp;VALUE(TRIM(MID(Entry!$D118,FIND(":",Entry!$D118)+1,2))),2),"نامعتبر")),IF(OR($E118="",$E118="نامعتبر"),"","00:00"))</f>
        <v/>
      </c>
      <c r="G118">
        <f>IF(OR($E118="",$E118="نامعتبر"),"",IF(Entry!$E118="","",LEFT(UPPER(TRIM(Entry!$E118)),6)))</f>
        <v/>
      </c>
      <c r="H118">
        <f>IF($G118="","",RIGHT($E118,4)&amp;MID($E118,6,2)&amp;RIGHT($E118,2)&amp;IF($F118="","0000",IF($F118="نامعتبر","9999",LEFT($F118,2)&amp;RIGHT($F118,2)))&amp;"|"&amp;RIGHT("00000"&amp;110,5))</f>
        <v/>
      </c>
      <c r="I118">
        <f>IF($H118="","",COUNTIFS(CalcBank,$G118,CalcKey,"&lt;"&amp;$H118)+1)</f>
        <v/>
      </c>
      <c r="J118">
        <f>IF($I118="","",$G118&amp;"|"&amp;RIGHT("000000"&amp;$I118,6))</f>
        <v/>
      </c>
      <c r="K118">
        <f>IF(OR($E118="",$E118="نامعتبر"),"",LEFT($E118,4)&amp;"/"&amp;MID($E118,6,2))</f>
        <v/>
      </c>
      <c r="L118">
        <f>IF(Entry!$K118="",0,Entry!$K118)</f>
        <v/>
      </c>
      <c r="M118">
        <f>IF(Entry!$L118="",0,Entry!$L118)</f>
        <v/>
      </c>
    </row>
    <row r="119">
      <c r="A119">
        <f>IF(Entry!$C119="","",Entry!$C119)</f>
        <v/>
      </c>
      <c r="B119">
        <f>IF($A119="","",IF(ISNUMBER($A119),IF(AND($A119&gt;=10000101,$A119&lt;=99991231),INT($A119/10000),""),IFERROR(VALUE(TRIM(LEFT($A119,FIND("/",$A119)-1))),"")))</f>
        <v/>
      </c>
      <c r="C119">
        <f>IF(OR($A119="",$B119=""),"",IF(ISNUMBER($A119),INT(MOD($A119,10000)/100),IFERROR(VALUE(TRIM(LEFT(MID($A119,FIND("/",$A119)+1,20),FIND("/",MID($A119,FIND("/",$A119)+1,20))-1))),"")))</f>
        <v/>
      </c>
      <c r="D119">
        <f>IF(OR($A119="",$B119=""),"",IF(ISNUMBER($A119),MOD($A119,100),IFERROR(VALUE(TRIM(MID(MID($A119,FIND("/",$A119)+1,20),FIND("/",MID($A119,FIND("/",$A119)+1,20))+1,20))),"")))</f>
        <v/>
      </c>
      <c r="E119">
        <f>IF($A119="","",IF(OR($B119="",$C119="",$D119="",$B119&lt;1300,$B119&gt;1500,$C119&lt;1,$C119&gt;12,$D119&lt;1,$D119&gt;31),"نامعتبر",RIGHT("0000"&amp;$B119,4)&amp;"/"&amp;RIGHT("00"&amp;$C119,2)&amp;"/"&amp;RIGHT("00"&amp;$D119,2)))</f>
        <v/>
      </c>
      <c r="F119">
        <f>IF(Entry!$D119&lt;&gt;"",IF(AND(ISNUMBER(Entry!$D119),Entry!$D119&gt;=0,Entry!$D119&lt;1),RIGHT("00"&amp;HOUR(Entry!$D119),2)&amp;":"&amp;RIGHT("00"&amp;MINUTE(Entry!$D119),2),IFERROR(RIGHT("00"&amp;VALUE(TRIM(LEFT(Entry!$D119,FIND(":",Entry!$D119)-1))),2)&amp;":"&amp;RIGHT("00"&amp;VALUE(TRIM(MID(Entry!$D119,FIND(":",Entry!$D119)+1,2))),2),"نامعتبر")),IF(OR($E119="",$E119="نامعتبر"),"","00:00"))</f>
        <v/>
      </c>
      <c r="G119">
        <f>IF(OR($E119="",$E119="نامعتبر"),"",IF(Entry!$E119="","",LEFT(UPPER(TRIM(Entry!$E119)),6)))</f>
        <v/>
      </c>
      <c r="H119">
        <f>IF($G119="","",RIGHT($E119,4)&amp;MID($E119,6,2)&amp;RIGHT($E119,2)&amp;IF($F119="","0000",IF($F119="نامعتبر","9999",LEFT($F119,2)&amp;RIGHT($F119,2)))&amp;"|"&amp;RIGHT("00000"&amp;111,5))</f>
        <v/>
      </c>
      <c r="I119">
        <f>IF($H119="","",COUNTIFS(CalcBank,$G119,CalcKey,"&lt;"&amp;$H119)+1)</f>
        <v/>
      </c>
      <c r="J119">
        <f>IF($I119="","",$G119&amp;"|"&amp;RIGHT("000000"&amp;$I119,6))</f>
        <v/>
      </c>
      <c r="K119">
        <f>IF(OR($E119="",$E119="نامعتبر"),"",LEFT($E119,4)&amp;"/"&amp;MID($E119,6,2))</f>
        <v/>
      </c>
      <c r="L119">
        <f>IF(Entry!$K119="",0,Entry!$K119)</f>
        <v/>
      </c>
      <c r="M119">
        <f>IF(Entry!$L119="",0,Entry!$L119)</f>
        <v/>
      </c>
    </row>
    <row r="120">
      <c r="A120">
        <f>IF(Entry!$C120="","",Entry!$C120)</f>
        <v/>
      </c>
      <c r="B120">
        <f>IF($A120="","",IF(ISNUMBER($A120),IF(AND($A120&gt;=10000101,$A120&lt;=99991231),INT($A120/10000),""),IFERROR(VALUE(TRIM(LEFT($A120,FIND("/",$A120)-1))),"")))</f>
        <v/>
      </c>
      <c r="C120">
        <f>IF(OR($A120="",$B120=""),"",IF(ISNUMBER($A120),INT(MOD($A120,10000)/100),IFERROR(VALUE(TRIM(LEFT(MID($A120,FIND("/",$A120)+1,20),FIND("/",MID($A120,FIND("/",$A120)+1,20))-1))),"")))</f>
        <v/>
      </c>
      <c r="D120">
        <f>IF(OR($A120="",$B120=""),"",IF(ISNUMBER($A120),MOD($A120,100),IFERROR(VALUE(TRIM(MID(MID($A120,FIND("/",$A120)+1,20),FIND("/",MID($A120,FIND("/",$A120)+1,20))+1,20))),"")))</f>
        <v/>
      </c>
      <c r="E120">
        <f>IF($A120="","",IF(OR($B120="",$C120="",$D120="",$B120&lt;1300,$B120&gt;1500,$C120&lt;1,$C120&gt;12,$D120&lt;1,$D120&gt;31),"نامعتبر",RIGHT("0000"&amp;$B120,4)&amp;"/"&amp;RIGHT("00"&amp;$C120,2)&amp;"/"&amp;RIGHT("00"&amp;$D120,2)))</f>
        <v/>
      </c>
      <c r="F120">
        <f>IF(Entry!$D120&lt;&gt;"",IF(AND(ISNUMBER(Entry!$D120),Entry!$D120&gt;=0,Entry!$D120&lt;1),RIGHT("00"&amp;HOUR(Entry!$D120),2)&amp;":"&amp;RIGHT("00"&amp;MINUTE(Entry!$D120),2),IFERROR(RIGHT("00"&amp;VALUE(TRIM(LEFT(Entry!$D120,FIND(":",Entry!$D120)-1))),2)&amp;":"&amp;RIGHT("00"&amp;VALUE(TRIM(MID(Entry!$D120,FIND(":",Entry!$D120)+1,2))),2),"نامعتبر")),IF(OR($E120="",$E120="نامعتبر"),"","00:00"))</f>
        <v/>
      </c>
      <c r="G120">
        <f>IF(OR($E120="",$E120="نامعتبر"),"",IF(Entry!$E120="","",LEFT(UPPER(TRIM(Entry!$E120)),6)))</f>
        <v/>
      </c>
      <c r="H120">
        <f>IF($G120="","",RIGHT($E120,4)&amp;MID($E120,6,2)&amp;RIGHT($E120,2)&amp;IF($F120="","0000",IF($F120="نامعتبر","9999",LEFT($F120,2)&amp;RIGHT($F120,2)))&amp;"|"&amp;RIGHT("00000"&amp;112,5))</f>
        <v/>
      </c>
      <c r="I120">
        <f>IF($H120="","",COUNTIFS(CalcBank,$G120,CalcKey,"&lt;"&amp;$H120)+1)</f>
        <v/>
      </c>
      <c r="J120">
        <f>IF($I120="","",$G120&amp;"|"&amp;RIGHT("000000"&amp;$I120,6))</f>
        <v/>
      </c>
      <c r="K120">
        <f>IF(OR($E120="",$E120="نامعتبر"),"",LEFT($E120,4)&amp;"/"&amp;MID($E120,6,2))</f>
        <v/>
      </c>
      <c r="L120">
        <f>IF(Entry!$K120="",0,Entry!$K120)</f>
        <v/>
      </c>
      <c r="M120">
        <f>IF(Entry!$L120="",0,Entry!$L120)</f>
        <v/>
      </c>
    </row>
    <row r="121">
      <c r="A121">
        <f>IF(Entry!$C121="","",Entry!$C121)</f>
        <v/>
      </c>
      <c r="B121">
        <f>IF($A121="","",IF(ISNUMBER($A121),IF(AND($A121&gt;=10000101,$A121&lt;=99991231),INT($A121/10000),""),IFERROR(VALUE(TRIM(LEFT($A121,FIND("/",$A121)-1))),"")))</f>
        <v/>
      </c>
      <c r="C121">
        <f>IF(OR($A121="",$B121=""),"",IF(ISNUMBER($A121),INT(MOD($A121,10000)/100),IFERROR(VALUE(TRIM(LEFT(MID($A121,FIND("/",$A121)+1,20),FIND("/",MID($A121,FIND("/",$A121)+1,20))-1))),"")))</f>
        <v/>
      </c>
      <c r="D121">
        <f>IF(OR($A121="",$B121=""),"",IF(ISNUMBER($A121),MOD($A121,100),IFERROR(VALUE(TRIM(MID(MID($A121,FIND("/",$A121)+1,20),FIND("/",MID($A121,FIND("/",$A121)+1,20))+1,20))),"")))</f>
        <v/>
      </c>
      <c r="E121">
        <f>IF($A121="","",IF(OR($B121="",$C121="",$D121="",$B121&lt;1300,$B121&gt;1500,$C121&lt;1,$C121&gt;12,$D121&lt;1,$D121&gt;31),"نامعتبر",RIGHT("0000"&amp;$B121,4)&amp;"/"&amp;RIGHT("00"&amp;$C121,2)&amp;"/"&amp;RIGHT("00"&amp;$D121,2)))</f>
        <v/>
      </c>
      <c r="F121">
        <f>IF(Entry!$D121&lt;&gt;"",IF(AND(ISNUMBER(Entry!$D121),Entry!$D121&gt;=0,Entry!$D121&lt;1),RIGHT("00"&amp;HOUR(Entry!$D121),2)&amp;":"&amp;RIGHT("00"&amp;MINUTE(Entry!$D121),2),IFERROR(RIGHT("00"&amp;VALUE(TRIM(LEFT(Entry!$D121,FIND(":",Entry!$D121)-1))),2)&amp;":"&amp;RIGHT("00"&amp;VALUE(TRIM(MID(Entry!$D121,FIND(":",Entry!$D121)+1,2))),2),"نامعتبر")),IF(OR($E121="",$E121="نامعتبر"),"","00:00"))</f>
        <v/>
      </c>
      <c r="G121">
        <f>IF(OR($E121="",$E121="نامعتبر"),"",IF(Entry!$E121="","",LEFT(UPPER(TRIM(Entry!$E121)),6)))</f>
        <v/>
      </c>
      <c r="H121">
        <f>IF($G121="","",RIGHT($E121,4)&amp;MID($E121,6,2)&amp;RIGHT($E121,2)&amp;IF($F121="","0000",IF($F121="نامعتبر","9999",LEFT($F121,2)&amp;RIGHT($F121,2)))&amp;"|"&amp;RIGHT("00000"&amp;113,5))</f>
        <v/>
      </c>
      <c r="I121">
        <f>IF($H121="","",COUNTIFS(CalcBank,$G121,CalcKey,"&lt;"&amp;$H121)+1)</f>
        <v/>
      </c>
      <c r="J121">
        <f>IF($I121="","",$G121&amp;"|"&amp;RIGHT("000000"&amp;$I121,6))</f>
        <v/>
      </c>
      <c r="K121">
        <f>IF(OR($E121="",$E121="نامعتبر"),"",LEFT($E121,4)&amp;"/"&amp;MID($E121,6,2))</f>
        <v/>
      </c>
      <c r="L121">
        <f>IF(Entry!$K121="",0,Entry!$K121)</f>
        <v/>
      </c>
      <c r="M121">
        <f>IF(Entry!$L121="",0,Entry!$L121)</f>
        <v/>
      </c>
    </row>
    <row r="122">
      <c r="A122">
        <f>IF(Entry!$C122="","",Entry!$C122)</f>
        <v/>
      </c>
      <c r="B122">
        <f>IF($A122="","",IF(ISNUMBER($A122),IF(AND($A122&gt;=10000101,$A122&lt;=99991231),INT($A122/10000),""),IFERROR(VALUE(TRIM(LEFT($A122,FIND("/",$A122)-1))),"")))</f>
        <v/>
      </c>
      <c r="C122">
        <f>IF(OR($A122="",$B122=""),"",IF(ISNUMBER($A122),INT(MOD($A122,10000)/100),IFERROR(VALUE(TRIM(LEFT(MID($A122,FIND("/",$A122)+1,20),FIND("/",MID($A122,FIND("/",$A122)+1,20))-1))),"")))</f>
        <v/>
      </c>
      <c r="D122">
        <f>IF(OR($A122="",$B122=""),"",IF(ISNUMBER($A122),MOD($A122,100),IFERROR(VALUE(TRIM(MID(MID($A122,FIND("/",$A122)+1,20),FIND("/",MID($A122,FIND("/",$A122)+1,20))+1,20))),"")))</f>
        <v/>
      </c>
      <c r="E122">
        <f>IF($A122="","",IF(OR($B122="",$C122="",$D122="",$B122&lt;1300,$B122&gt;1500,$C122&lt;1,$C122&gt;12,$D122&lt;1,$D122&gt;31),"نامعتبر",RIGHT("0000"&amp;$B122,4)&amp;"/"&amp;RIGHT("00"&amp;$C122,2)&amp;"/"&amp;RIGHT("00"&amp;$D122,2)))</f>
        <v/>
      </c>
      <c r="F122">
        <f>IF(Entry!$D122&lt;&gt;"",IF(AND(ISNUMBER(Entry!$D122),Entry!$D122&gt;=0,Entry!$D122&lt;1),RIGHT("00"&amp;HOUR(Entry!$D122),2)&amp;":"&amp;RIGHT("00"&amp;MINUTE(Entry!$D122),2),IFERROR(RIGHT("00"&amp;VALUE(TRIM(LEFT(Entry!$D122,FIND(":",Entry!$D122)-1))),2)&amp;":"&amp;RIGHT("00"&amp;VALUE(TRIM(MID(Entry!$D122,FIND(":",Entry!$D122)+1,2))),2),"نامعتبر")),IF(OR($E122="",$E122="نامعتبر"),"","00:00"))</f>
        <v/>
      </c>
      <c r="G122">
        <f>IF(OR($E122="",$E122="نامعتبر"),"",IF(Entry!$E122="","",LEFT(UPPER(TRIM(Entry!$E122)),6)))</f>
        <v/>
      </c>
      <c r="H122">
        <f>IF($G122="","",RIGHT($E122,4)&amp;MID($E122,6,2)&amp;RIGHT($E122,2)&amp;IF($F122="","0000",IF($F122="نامعتبر","9999",LEFT($F122,2)&amp;RIGHT($F122,2)))&amp;"|"&amp;RIGHT("00000"&amp;114,5))</f>
        <v/>
      </c>
      <c r="I122">
        <f>IF($H122="","",COUNTIFS(CalcBank,$G122,CalcKey,"&lt;"&amp;$H122)+1)</f>
        <v/>
      </c>
      <c r="J122">
        <f>IF($I122="","",$G122&amp;"|"&amp;RIGHT("000000"&amp;$I122,6))</f>
        <v/>
      </c>
      <c r="K122">
        <f>IF(OR($E122="",$E122="نامعتبر"),"",LEFT($E122,4)&amp;"/"&amp;MID($E122,6,2))</f>
        <v/>
      </c>
      <c r="L122">
        <f>IF(Entry!$K122="",0,Entry!$K122)</f>
        <v/>
      </c>
      <c r="M122">
        <f>IF(Entry!$L122="",0,Entry!$L122)</f>
        <v/>
      </c>
    </row>
    <row r="123">
      <c r="A123">
        <f>IF(Entry!$C123="","",Entry!$C123)</f>
        <v/>
      </c>
      <c r="B123">
        <f>IF($A123="","",IF(ISNUMBER($A123),IF(AND($A123&gt;=10000101,$A123&lt;=99991231),INT($A123/10000),""),IFERROR(VALUE(TRIM(LEFT($A123,FIND("/",$A123)-1))),"")))</f>
        <v/>
      </c>
      <c r="C123">
        <f>IF(OR($A123="",$B123=""),"",IF(ISNUMBER($A123),INT(MOD($A123,10000)/100),IFERROR(VALUE(TRIM(LEFT(MID($A123,FIND("/",$A123)+1,20),FIND("/",MID($A123,FIND("/",$A123)+1,20))-1))),"")))</f>
        <v/>
      </c>
      <c r="D123">
        <f>IF(OR($A123="",$B123=""),"",IF(ISNUMBER($A123),MOD($A123,100),IFERROR(VALUE(TRIM(MID(MID($A123,FIND("/",$A123)+1,20),FIND("/",MID($A123,FIND("/",$A123)+1,20))+1,20))),"")))</f>
        <v/>
      </c>
      <c r="E123">
        <f>IF($A123="","",IF(OR($B123="",$C123="",$D123="",$B123&lt;1300,$B123&gt;1500,$C123&lt;1,$C123&gt;12,$D123&lt;1,$D123&gt;31),"نامعتبر",RIGHT("0000"&amp;$B123,4)&amp;"/"&amp;RIGHT("00"&amp;$C123,2)&amp;"/"&amp;RIGHT("00"&amp;$D123,2)))</f>
        <v/>
      </c>
      <c r="F123">
        <f>IF(Entry!$D123&lt;&gt;"",IF(AND(ISNUMBER(Entry!$D123),Entry!$D123&gt;=0,Entry!$D123&lt;1),RIGHT("00"&amp;HOUR(Entry!$D123),2)&amp;":"&amp;RIGHT("00"&amp;MINUTE(Entry!$D123),2),IFERROR(RIGHT("00"&amp;VALUE(TRIM(LEFT(Entry!$D123,FIND(":",Entry!$D123)-1))),2)&amp;":"&amp;RIGHT("00"&amp;VALUE(TRIM(MID(Entry!$D123,FIND(":",Entry!$D123)+1,2))),2),"نامعتبر")),IF(OR($E123="",$E123="نامعتبر"),"","00:00"))</f>
        <v/>
      </c>
      <c r="G123">
        <f>IF(OR($E123="",$E123="نامعتبر"),"",IF(Entry!$E123="","",LEFT(UPPER(TRIM(Entry!$E123)),6)))</f>
        <v/>
      </c>
      <c r="H123">
        <f>IF($G123="","",RIGHT($E123,4)&amp;MID($E123,6,2)&amp;RIGHT($E123,2)&amp;IF($F123="","0000",IF($F123="نامعتبر","9999",LEFT($F123,2)&amp;RIGHT($F123,2)))&amp;"|"&amp;RIGHT("00000"&amp;115,5))</f>
        <v/>
      </c>
      <c r="I123">
        <f>IF($H123="","",COUNTIFS(CalcBank,$G123,CalcKey,"&lt;"&amp;$H123)+1)</f>
        <v/>
      </c>
      <c r="J123">
        <f>IF($I123="","",$G123&amp;"|"&amp;RIGHT("000000"&amp;$I123,6))</f>
        <v/>
      </c>
      <c r="K123">
        <f>IF(OR($E123="",$E123="نامعتبر"),"",LEFT($E123,4)&amp;"/"&amp;MID($E123,6,2))</f>
        <v/>
      </c>
      <c r="L123">
        <f>IF(Entry!$K123="",0,Entry!$K123)</f>
        <v/>
      </c>
      <c r="M123">
        <f>IF(Entry!$L123="",0,Entry!$L123)</f>
        <v/>
      </c>
    </row>
    <row r="124">
      <c r="A124">
        <f>IF(Entry!$C124="","",Entry!$C124)</f>
        <v/>
      </c>
      <c r="B124">
        <f>IF($A124="","",IF(ISNUMBER($A124),IF(AND($A124&gt;=10000101,$A124&lt;=99991231),INT($A124/10000),""),IFERROR(VALUE(TRIM(LEFT($A124,FIND("/",$A124)-1))),"")))</f>
        <v/>
      </c>
      <c r="C124">
        <f>IF(OR($A124="",$B124=""),"",IF(ISNUMBER($A124),INT(MOD($A124,10000)/100),IFERROR(VALUE(TRIM(LEFT(MID($A124,FIND("/",$A124)+1,20),FIND("/",MID($A124,FIND("/",$A124)+1,20))-1))),"")))</f>
        <v/>
      </c>
      <c r="D124">
        <f>IF(OR($A124="",$B124=""),"",IF(ISNUMBER($A124),MOD($A124,100),IFERROR(VALUE(TRIM(MID(MID($A124,FIND("/",$A124)+1,20),FIND("/",MID($A124,FIND("/",$A124)+1,20))+1,20))),"")))</f>
        <v/>
      </c>
      <c r="E124">
        <f>IF($A124="","",IF(OR($B124="",$C124="",$D124="",$B124&lt;1300,$B124&gt;1500,$C124&lt;1,$C124&gt;12,$D124&lt;1,$D124&gt;31),"نامعتبر",RIGHT("0000"&amp;$B124,4)&amp;"/"&amp;RIGHT("00"&amp;$C124,2)&amp;"/"&amp;RIGHT("00"&amp;$D124,2)))</f>
        <v/>
      </c>
      <c r="F124">
        <f>IF(Entry!$D124&lt;&gt;"",IF(AND(ISNUMBER(Entry!$D124),Entry!$D124&gt;=0,Entry!$D124&lt;1),RIGHT("00"&amp;HOUR(Entry!$D124),2)&amp;":"&amp;RIGHT("00"&amp;MINUTE(Entry!$D124),2),IFERROR(RIGHT("00"&amp;VALUE(TRIM(LEFT(Entry!$D124,FIND(":",Entry!$D124)-1))),2)&amp;":"&amp;RIGHT("00"&amp;VALUE(TRIM(MID(Entry!$D124,FIND(":",Entry!$D124)+1,2))),2),"نامعتبر")),IF(OR($E124="",$E124="نامعتبر"),"","00:00"))</f>
        <v/>
      </c>
      <c r="G124">
        <f>IF(OR($E124="",$E124="نامعتبر"),"",IF(Entry!$E124="","",LEFT(UPPER(TRIM(Entry!$E124)),6)))</f>
        <v/>
      </c>
      <c r="H124">
        <f>IF($G124="","",RIGHT($E124,4)&amp;MID($E124,6,2)&amp;RIGHT($E124,2)&amp;IF($F124="","0000",IF($F124="نامعتبر","9999",LEFT($F124,2)&amp;RIGHT($F124,2)))&amp;"|"&amp;RIGHT("00000"&amp;116,5))</f>
        <v/>
      </c>
      <c r="I124">
        <f>IF($H124="","",COUNTIFS(CalcBank,$G124,CalcKey,"&lt;"&amp;$H124)+1)</f>
        <v/>
      </c>
      <c r="J124">
        <f>IF($I124="","",$G124&amp;"|"&amp;RIGHT("000000"&amp;$I124,6))</f>
        <v/>
      </c>
      <c r="K124">
        <f>IF(OR($E124="",$E124="نامعتبر"),"",LEFT($E124,4)&amp;"/"&amp;MID($E124,6,2))</f>
        <v/>
      </c>
      <c r="L124">
        <f>IF(Entry!$K124="",0,Entry!$K124)</f>
        <v/>
      </c>
      <c r="M124">
        <f>IF(Entry!$L124="",0,Entry!$L124)</f>
        <v/>
      </c>
    </row>
    <row r="125">
      <c r="A125">
        <f>IF(Entry!$C125="","",Entry!$C125)</f>
        <v/>
      </c>
      <c r="B125">
        <f>IF($A125="","",IF(ISNUMBER($A125),IF(AND($A125&gt;=10000101,$A125&lt;=99991231),INT($A125/10000),""),IFERROR(VALUE(TRIM(LEFT($A125,FIND("/",$A125)-1))),"")))</f>
        <v/>
      </c>
      <c r="C125">
        <f>IF(OR($A125="",$B125=""),"",IF(ISNUMBER($A125),INT(MOD($A125,10000)/100),IFERROR(VALUE(TRIM(LEFT(MID($A125,FIND("/",$A125)+1,20),FIND("/",MID($A125,FIND("/",$A125)+1,20))-1))),"")))</f>
        <v/>
      </c>
      <c r="D125">
        <f>IF(OR($A125="",$B125=""),"",IF(ISNUMBER($A125),MOD($A125,100),IFERROR(VALUE(TRIM(MID(MID($A125,FIND("/",$A125)+1,20),FIND("/",MID($A125,FIND("/",$A125)+1,20))+1,20))),"")))</f>
        <v/>
      </c>
      <c r="E125">
        <f>IF($A125="","",IF(OR($B125="",$C125="",$D125="",$B125&lt;1300,$B125&gt;1500,$C125&lt;1,$C125&gt;12,$D125&lt;1,$D125&gt;31),"نامعتبر",RIGHT("0000"&amp;$B125,4)&amp;"/"&amp;RIGHT("00"&amp;$C125,2)&amp;"/"&amp;RIGHT("00"&amp;$D125,2)))</f>
        <v/>
      </c>
      <c r="F125">
        <f>IF(Entry!$D125&lt;&gt;"",IF(AND(ISNUMBER(Entry!$D125),Entry!$D125&gt;=0,Entry!$D125&lt;1),RIGHT("00"&amp;HOUR(Entry!$D125),2)&amp;":"&amp;RIGHT("00"&amp;MINUTE(Entry!$D125),2),IFERROR(RIGHT("00"&amp;VALUE(TRIM(LEFT(Entry!$D125,FIND(":",Entry!$D125)-1))),2)&amp;":"&amp;RIGHT("00"&amp;VALUE(TRIM(MID(Entry!$D125,FIND(":",Entry!$D125)+1,2))),2),"نامعتبر")),IF(OR($E125="",$E125="نامعتبر"),"","00:00"))</f>
        <v/>
      </c>
      <c r="G125">
        <f>IF(OR($E125="",$E125="نامعتبر"),"",IF(Entry!$E125="","",LEFT(UPPER(TRIM(Entry!$E125)),6)))</f>
        <v/>
      </c>
      <c r="H125">
        <f>IF($G125="","",RIGHT($E125,4)&amp;MID($E125,6,2)&amp;RIGHT($E125,2)&amp;IF($F125="","0000",IF($F125="نامعتبر","9999",LEFT($F125,2)&amp;RIGHT($F125,2)))&amp;"|"&amp;RIGHT("00000"&amp;117,5))</f>
        <v/>
      </c>
      <c r="I125">
        <f>IF($H125="","",COUNTIFS(CalcBank,$G125,CalcKey,"&lt;"&amp;$H125)+1)</f>
        <v/>
      </c>
      <c r="J125">
        <f>IF($I125="","",$G125&amp;"|"&amp;RIGHT("000000"&amp;$I125,6))</f>
        <v/>
      </c>
      <c r="K125">
        <f>IF(OR($E125="",$E125="نامعتبر"),"",LEFT($E125,4)&amp;"/"&amp;MID($E125,6,2))</f>
        <v/>
      </c>
      <c r="L125">
        <f>IF(Entry!$K125="",0,Entry!$K125)</f>
        <v/>
      </c>
      <c r="M125">
        <f>IF(Entry!$L125="",0,Entry!$L125)</f>
        <v/>
      </c>
    </row>
    <row r="126">
      <c r="A126">
        <f>IF(Entry!$C126="","",Entry!$C126)</f>
        <v/>
      </c>
      <c r="B126">
        <f>IF($A126="","",IF(ISNUMBER($A126),IF(AND($A126&gt;=10000101,$A126&lt;=99991231),INT($A126/10000),""),IFERROR(VALUE(TRIM(LEFT($A126,FIND("/",$A126)-1))),"")))</f>
        <v/>
      </c>
      <c r="C126">
        <f>IF(OR($A126="",$B126=""),"",IF(ISNUMBER($A126),INT(MOD($A126,10000)/100),IFERROR(VALUE(TRIM(LEFT(MID($A126,FIND("/",$A126)+1,20),FIND("/",MID($A126,FIND("/",$A126)+1,20))-1))),"")))</f>
        <v/>
      </c>
      <c r="D126">
        <f>IF(OR($A126="",$B126=""),"",IF(ISNUMBER($A126),MOD($A126,100),IFERROR(VALUE(TRIM(MID(MID($A126,FIND("/",$A126)+1,20),FIND("/",MID($A126,FIND("/",$A126)+1,20))+1,20))),"")))</f>
        <v/>
      </c>
      <c r="E126">
        <f>IF($A126="","",IF(OR($B126="",$C126="",$D126="",$B126&lt;1300,$B126&gt;1500,$C126&lt;1,$C126&gt;12,$D126&lt;1,$D126&gt;31),"نامعتبر",RIGHT("0000"&amp;$B126,4)&amp;"/"&amp;RIGHT("00"&amp;$C126,2)&amp;"/"&amp;RIGHT("00"&amp;$D126,2)))</f>
        <v/>
      </c>
      <c r="F126">
        <f>IF(Entry!$D126&lt;&gt;"",IF(AND(ISNUMBER(Entry!$D126),Entry!$D126&gt;=0,Entry!$D126&lt;1),RIGHT("00"&amp;HOUR(Entry!$D126),2)&amp;":"&amp;RIGHT("00"&amp;MINUTE(Entry!$D126),2),IFERROR(RIGHT("00"&amp;VALUE(TRIM(LEFT(Entry!$D126,FIND(":",Entry!$D126)-1))),2)&amp;":"&amp;RIGHT("00"&amp;VALUE(TRIM(MID(Entry!$D126,FIND(":",Entry!$D126)+1,2))),2),"نامعتبر")),IF(OR($E126="",$E126="نامعتبر"),"","00:00"))</f>
        <v/>
      </c>
      <c r="G126">
        <f>IF(OR($E126="",$E126="نامعتبر"),"",IF(Entry!$E126="","",LEFT(UPPER(TRIM(Entry!$E126)),6)))</f>
        <v/>
      </c>
      <c r="H126">
        <f>IF($G126="","",RIGHT($E126,4)&amp;MID($E126,6,2)&amp;RIGHT($E126,2)&amp;IF($F126="","0000",IF($F126="نامعتبر","9999",LEFT($F126,2)&amp;RIGHT($F126,2)))&amp;"|"&amp;RIGHT("00000"&amp;118,5))</f>
        <v/>
      </c>
      <c r="I126">
        <f>IF($H126="","",COUNTIFS(CalcBank,$G126,CalcKey,"&lt;"&amp;$H126)+1)</f>
        <v/>
      </c>
      <c r="J126">
        <f>IF($I126="","",$G126&amp;"|"&amp;RIGHT("000000"&amp;$I126,6))</f>
        <v/>
      </c>
      <c r="K126">
        <f>IF(OR($E126="",$E126="نامعتبر"),"",LEFT($E126,4)&amp;"/"&amp;MID($E126,6,2))</f>
        <v/>
      </c>
      <c r="L126">
        <f>IF(Entry!$K126="",0,Entry!$K126)</f>
        <v/>
      </c>
      <c r="M126">
        <f>IF(Entry!$L126="",0,Entry!$L126)</f>
        <v/>
      </c>
    </row>
    <row r="127">
      <c r="A127">
        <f>IF(Entry!$C127="","",Entry!$C127)</f>
        <v/>
      </c>
      <c r="B127">
        <f>IF($A127="","",IF(ISNUMBER($A127),IF(AND($A127&gt;=10000101,$A127&lt;=99991231),INT($A127/10000),""),IFERROR(VALUE(TRIM(LEFT($A127,FIND("/",$A127)-1))),"")))</f>
        <v/>
      </c>
      <c r="C127">
        <f>IF(OR($A127="",$B127=""),"",IF(ISNUMBER($A127),INT(MOD($A127,10000)/100),IFERROR(VALUE(TRIM(LEFT(MID($A127,FIND("/",$A127)+1,20),FIND("/",MID($A127,FIND("/",$A127)+1,20))-1))),"")))</f>
        <v/>
      </c>
      <c r="D127">
        <f>IF(OR($A127="",$B127=""),"",IF(ISNUMBER($A127),MOD($A127,100),IFERROR(VALUE(TRIM(MID(MID($A127,FIND("/",$A127)+1,20),FIND("/",MID($A127,FIND("/",$A127)+1,20))+1,20))),"")))</f>
        <v/>
      </c>
      <c r="E127">
        <f>IF($A127="","",IF(OR($B127="",$C127="",$D127="",$B127&lt;1300,$B127&gt;1500,$C127&lt;1,$C127&gt;12,$D127&lt;1,$D127&gt;31),"نامعتبر",RIGHT("0000"&amp;$B127,4)&amp;"/"&amp;RIGHT("00"&amp;$C127,2)&amp;"/"&amp;RIGHT("00"&amp;$D127,2)))</f>
        <v/>
      </c>
      <c r="F127">
        <f>IF(Entry!$D127&lt;&gt;"",IF(AND(ISNUMBER(Entry!$D127),Entry!$D127&gt;=0,Entry!$D127&lt;1),RIGHT("00"&amp;HOUR(Entry!$D127),2)&amp;":"&amp;RIGHT("00"&amp;MINUTE(Entry!$D127),2),IFERROR(RIGHT("00"&amp;VALUE(TRIM(LEFT(Entry!$D127,FIND(":",Entry!$D127)-1))),2)&amp;":"&amp;RIGHT("00"&amp;VALUE(TRIM(MID(Entry!$D127,FIND(":",Entry!$D127)+1,2))),2),"نامعتبر")),IF(OR($E127="",$E127="نامعتبر"),"","00:00"))</f>
        <v/>
      </c>
      <c r="G127">
        <f>IF(OR($E127="",$E127="نامعتبر"),"",IF(Entry!$E127="","",LEFT(UPPER(TRIM(Entry!$E127)),6)))</f>
        <v/>
      </c>
      <c r="H127">
        <f>IF($G127="","",RIGHT($E127,4)&amp;MID($E127,6,2)&amp;RIGHT($E127,2)&amp;IF($F127="","0000",IF($F127="نامعتبر","9999",LEFT($F127,2)&amp;RIGHT($F127,2)))&amp;"|"&amp;RIGHT("00000"&amp;119,5))</f>
        <v/>
      </c>
      <c r="I127">
        <f>IF($H127="","",COUNTIFS(CalcBank,$G127,CalcKey,"&lt;"&amp;$H127)+1)</f>
        <v/>
      </c>
      <c r="J127">
        <f>IF($I127="","",$G127&amp;"|"&amp;RIGHT("000000"&amp;$I127,6))</f>
        <v/>
      </c>
      <c r="K127">
        <f>IF(OR($E127="",$E127="نامعتبر"),"",LEFT($E127,4)&amp;"/"&amp;MID($E127,6,2))</f>
        <v/>
      </c>
      <c r="L127">
        <f>IF(Entry!$K127="",0,Entry!$K127)</f>
        <v/>
      </c>
      <c r="M127">
        <f>IF(Entry!$L127="",0,Entry!$L127)</f>
        <v/>
      </c>
    </row>
    <row r="128">
      <c r="A128">
        <f>IF(Entry!$C128="","",Entry!$C128)</f>
        <v/>
      </c>
      <c r="B128">
        <f>IF($A128="","",IF(ISNUMBER($A128),IF(AND($A128&gt;=10000101,$A128&lt;=99991231),INT($A128/10000),""),IFERROR(VALUE(TRIM(LEFT($A128,FIND("/",$A128)-1))),"")))</f>
        <v/>
      </c>
      <c r="C128">
        <f>IF(OR($A128="",$B128=""),"",IF(ISNUMBER($A128),INT(MOD($A128,10000)/100),IFERROR(VALUE(TRIM(LEFT(MID($A128,FIND("/",$A128)+1,20),FIND("/",MID($A128,FIND("/",$A128)+1,20))-1))),"")))</f>
        <v/>
      </c>
      <c r="D128">
        <f>IF(OR($A128="",$B128=""),"",IF(ISNUMBER($A128),MOD($A128,100),IFERROR(VALUE(TRIM(MID(MID($A128,FIND("/",$A128)+1,20),FIND("/",MID($A128,FIND("/",$A128)+1,20))+1,20))),"")))</f>
        <v/>
      </c>
      <c r="E128">
        <f>IF($A128="","",IF(OR($B128="",$C128="",$D128="",$B128&lt;1300,$B128&gt;1500,$C128&lt;1,$C128&gt;12,$D128&lt;1,$D128&gt;31),"نامعتبر",RIGHT("0000"&amp;$B128,4)&amp;"/"&amp;RIGHT("00"&amp;$C128,2)&amp;"/"&amp;RIGHT("00"&amp;$D128,2)))</f>
        <v/>
      </c>
      <c r="F128">
        <f>IF(Entry!$D128&lt;&gt;"",IF(AND(ISNUMBER(Entry!$D128),Entry!$D128&gt;=0,Entry!$D128&lt;1),RIGHT("00"&amp;HOUR(Entry!$D128),2)&amp;":"&amp;RIGHT("00"&amp;MINUTE(Entry!$D128),2),IFERROR(RIGHT("00"&amp;VALUE(TRIM(LEFT(Entry!$D128,FIND(":",Entry!$D128)-1))),2)&amp;":"&amp;RIGHT("00"&amp;VALUE(TRIM(MID(Entry!$D128,FIND(":",Entry!$D128)+1,2))),2),"نامعتبر")),IF(OR($E128="",$E128="نامعتبر"),"","00:00"))</f>
        <v/>
      </c>
      <c r="G128">
        <f>IF(OR($E128="",$E128="نامعتبر"),"",IF(Entry!$E128="","",LEFT(UPPER(TRIM(Entry!$E128)),6)))</f>
        <v/>
      </c>
      <c r="H128">
        <f>IF($G128="","",RIGHT($E128,4)&amp;MID($E128,6,2)&amp;RIGHT($E128,2)&amp;IF($F128="","0000",IF($F128="نامعتبر","9999",LEFT($F128,2)&amp;RIGHT($F128,2)))&amp;"|"&amp;RIGHT("00000"&amp;120,5))</f>
        <v/>
      </c>
      <c r="I128">
        <f>IF($H128="","",COUNTIFS(CalcBank,$G128,CalcKey,"&lt;"&amp;$H128)+1)</f>
        <v/>
      </c>
      <c r="J128">
        <f>IF($I128="","",$G128&amp;"|"&amp;RIGHT("000000"&amp;$I128,6))</f>
        <v/>
      </c>
      <c r="K128">
        <f>IF(OR($E128="",$E128="نامعتبر"),"",LEFT($E128,4)&amp;"/"&amp;MID($E128,6,2))</f>
        <v/>
      </c>
      <c r="L128">
        <f>IF(Entry!$K128="",0,Entry!$K128)</f>
        <v/>
      </c>
      <c r="M128">
        <f>IF(Entry!$L128="",0,Entry!$L128)</f>
        <v/>
      </c>
    </row>
    <row r="129">
      <c r="A129">
        <f>IF(Entry!$C129="","",Entry!$C129)</f>
        <v/>
      </c>
      <c r="B129">
        <f>IF($A129="","",IF(ISNUMBER($A129),IF(AND($A129&gt;=10000101,$A129&lt;=99991231),INT($A129/10000),""),IFERROR(VALUE(TRIM(LEFT($A129,FIND("/",$A129)-1))),"")))</f>
        <v/>
      </c>
      <c r="C129">
        <f>IF(OR($A129="",$B129=""),"",IF(ISNUMBER($A129),INT(MOD($A129,10000)/100),IFERROR(VALUE(TRIM(LEFT(MID($A129,FIND("/",$A129)+1,20),FIND("/",MID($A129,FIND("/",$A129)+1,20))-1))),"")))</f>
        <v/>
      </c>
      <c r="D129">
        <f>IF(OR($A129="",$B129=""),"",IF(ISNUMBER($A129),MOD($A129,100),IFERROR(VALUE(TRIM(MID(MID($A129,FIND("/",$A129)+1,20),FIND("/",MID($A129,FIND("/",$A129)+1,20))+1,20))),"")))</f>
        <v/>
      </c>
      <c r="E129">
        <f>IF($A129="","",IF(OR($B129="",$C129="",$D129="",$B129&lt;1300,$B129&gt;1500,$C129&lt;1,$C129&gt;12,$D129&lt;1,$D129&gt;31),"نامعتبر",RIGHT("0000"&amp;$B129,4)&amp;"/"&amp;RIGHT("00"&amp;$C129,2)&amp;"/"&amp;RIGHT("00"&amp;$D129,2)))</f>
        <v/>
      </c>
      <c r="F129">
        <f>IF(Entry!$D129&lt;&gt;"",IF(AND(ISNUMBER(Entry!$D129),Entry!$D129&gt;=0,Entry!$D129&lt;1),RIGHT("00"&amp;HOUR(Entry!$D129),2)&amp;":"&amp;RIGHT("00"&amp;MINUTE(Entry!$D129),2),IFERROR(RIGHT("00"&amp;VALUE(TRIM(LEFT(Entry!$D129,FIND(":",Entry!$D129)-1))),2)&amp;":"&amp;RIGHT("00"&amp;VALUE(TRIM(MID(Entry!$D129,FIND(":",Entry!$D129)+1,2))),2),"نامعتبر")),IF(OR($E129="",$E129="نامعتبر"),"","00:00"))</f>
        <v/>
      </c>
      <c r="G129">
        <f>IF(OR($E129="",$E129="نامعتبر"),"",IF(Entry!$E129="","",LEFT(UPPER(TRIM(Entry!$E129)),6)))</f>
        <v/>
      </c>
      <c r="H129">
        <f>IF($G129="","",RIGHT($E129,4)&amp;MID($E129,6,2)&amp;RIGHT($E129,2)&amp;IF($F129="","0000",IF($F129="نامعتبر","9999",LEFT($F129,2)&amp;RIGHT($F129,2)))&amp;"|"&amp;RIGHT("00000"&amp;121,5))</f>
        <v/>
      </c>
      <c r="I129">
        <f>IF($H129="","",COUNTIFS(CalcBank,$G129,CalcKey,"&lt;"&amp;$H129)+1)</f>
        <v/>
      </c>
      <c r="J129">
        <f>IF($I129="","",$G129&amp;"|"&amp;RIGHT("000000"&amp;$I129,6))</f>
        <v/>
      </c>
      <c r="K129">
        <f>IF(OR($E129="",$E129="نامعتبر"),"",LEFT($E129,4)&amp;"/"&amp;MID($E129,6,2))</f>
        <v/>
      </c>
      <c r="L129">
        <f>IF(Entry!$K129="",0,Entry!$K129)</f>
        <v/>
      </c>
      <c r="M129">
        <f>IF(Entry!$L129="",0,Entry!$L129)</f>
        <v/>
      </c>
    </row>
    <row r="130">
      <c r="A130">
        <f>IF(Entry!$C130="","",Entry!$C130)</f>
        <v/>
      </c>
      <c r="B130">
        <f>IF($A130="","",IF(ISNUMBER($A130),IF(AND($A130&gt;=10000101,$A130&lt;=99991231),INT($A130/10000),""),IFERROR(VALUE(TRIM(LEFT($A130,FIND("/",$A130)-1))),"")))</f>
        <v/>
      </c>
      <c r="C130">
        <f>IF(OR($A130="",$B130=""),"",IF(ISNUMBER($A130),INT(MOD($A130,10000)/100),IFERROR(VALUE(TRIM(LEFT(MID($A130,FIND("/",$A130)+1,20),FIND("/",MID($A130,FIND("/",$A130)+1,20))-1))),"")))</f>
        <v/>
      </c>
      <c r="D130">
        <f>IF(OR($A130="",$B130=""),"",IF(ISNUMBER($A130),MOD($A130,100),IFERROR(VALUE(TRIM(MID(MID($A130,FIND("/",$A130)+1,20),FIND("/",MID($A130,FIND("/",$A130)+1,20))+1,20))),"")))</f>
        <v/>
      </c>
      <c r="E130">
        <f>IF($A130="","",IF(OR($B130="",$C130="",$D130="",$B130&lt;1300,$B130&gt;1500,$C130&lt;1,$C130&gt;12,$D130&lt;1,$D130&gt;31),"نامعتبر",RIGHT("0000"&amp;$B130,4)&amp;"/"&amp;RIGHT("00"&amp;$C130,2)&amp;"/"&amp;RIGHT("00"&amp;$D130,2)))</f>
        <v/>
      </c>
      <c r="F130">
        <f>IF(Entry!$D130&lt;&gt;"",IF(AND(ISNUMBER(Entry!$D130),Entry!$D130&gt;=0,Entry!$D130&lt;1),RIGHT("00"&amp;HOUR(Entry!$D130),2)&amp;":"&amp;RIGHT("00"&amp;MINUTE(Entry!$D130),2),IFERROR(RIGHT("00"&amp;VALUE(TRIM(LEFT(Entry!$D130,FIND(":",Entry!$D130)-1))),2)&amp;":"&amp;RIGHT("00"&amp;VALUE(TRIM(MID(Entry!$D130,FIND(":",Entry!$D130)+1,2))),2),"نامعتبر")),IF(OR($E130="",$E130="نامعتبر"),"","00:00"))</f>
        <v/>
      </c>
      <c r="G130">
        <f>IF(OR($E130="",$E130="نامعتبر"),"",IF(Entry!$E130="","",LEFT(UPPER(TRIM(Entry!$E130)),6)))</f>
        <v/>
      </c>
      <c r="H130">
        <f>IF($G130="","",RIGHT($E130,4)&amp;MID($E130,6,2)&amp;RIGHT($E130,2)&amp;IF($F130="","0000",IF($F130="نامعتبر","9999",LEFT($F130,2)&amp;RIGHT($F130,2)))&amp;"|"&amp;RIGHT("00000"&amp;122,5))</f>
        <v/>
      </c>
      <c r="I130">
        <f>IF($H130="","",COUNTIFS(CalcBank,$G130,CalcKey,"&lt;"&amp;$H130)+1)</f>
        <v/>
      </c>
      <c r="J130">
        <f>IF($I130="","",$G130&amp;"|"&amp;RIGHT("000000"&amp;$I130,6))</f>
        <v/>
      </c>
      <c r="K130">
        <f>IF(OR($E130="",$E130="نامعتبر"),"",LEFT($E130,4)&amp;"/"&amp;MID($E130,6,2))</f>
        <v/>
      </c>
      <c r="L130">
        <f>IF(Entry!$K130="",0,Entry!$K130)</f>
        <v/>
      </c>
      <c r="M130">
        <f>IF(Entry!$L130="",0,Entry!$L130)</f>
        <v/>
      </c>
    </row>
    <row r="131">
      <c r="A131">
        <f>IF(Entry!$C131="","",Entry!$C131)</f>
        <v/>
      </c>
      <c r="B131">
        <f>IF($A131="","",IF(ISNUMBER($A131),IF(AND($A131&gt;=10000101,$A131&lt;=99991231),INT($A131/10000),""),IFERROR(VALUE(TRIM(LEFT($A131,FIND("/",$A131)-1))),"")))</f>
        <v/>
      </c>
      <c r="C131">
        <f>IF(OR($A131="",$B131=""),"",IF(ISNUMBER($A131),INT(MOD($A131,10000)/100),IFERROR(VALUE(TRIM(LEFT(MID($A131,FIND("/",$A131)+1,20),FIND("/",MID($A131,FIND("/",$A131)+1,20))-1))),"")))</f>
        <v/>
      </c>
      <c r="D131">
        <f>IF(OR($A131="",$B131=""),"",IF(ISNUMBER($A131),MOD($A131,100),IFERROR(VALUE(TRIM(MID(MID($A131,FIND("/",$A131)+1,20),FIND("/",MID($A131,FIND("/",$A131)+1,20))+1,20))),"")))</f>
        <v/>
      </c>
      <c r="E131">
        <f>IF($A131="","",IF(OR($B131="",$C131="",$D131="",$B131&lt;1300,$B131&gt;1500,$C131&lt;1,$C131&gt;12,$D131&lt;1,$D131&gt;31),"نامعتبر",RIGHT("0000"&amp;$B131,4)&amp;"/"&amp;RIGHT("00"&amp;$C131,2)&amp;"/"&amp;RIGHT("00"&amp;$D131,2)))</f>
        <v/>
      </c>
      <c r="F131">
        <f>IF(Entry!$D131&lt;&gt;"",IF(AND(ISNUMBER(Entry!$D131),Entry!$D131&gt;=0,Entry!$D131&lt;1),RIGHT("00"&amp;HOUR(Entry!$D131),2)&amp;":"&amp;RIGHT("00"&amp;MINUTE(Entry!$D131),2),IFERROR(RIGHT("00"&amp;VALUE(TRIM(LEFT(Entry!$D131,FIND(":",Entry!$D131)-1))),2)&amp;":"&amp;RIGHT("00"&amp;VALUE(TRIM(MID(Entry!$D131,FIND(":",Entry!$D131)+1,2))),2),"نامعتبر")),IF(OR($E131="",$E131="نامعتبر"),"","00:00"))</f>
        <v/>
      </c>
      <c r="G131">
        <f>IF(OR($E131="",$E131="نامعتبر"),"",IF(Entry!$E131="","",LEFT(UPPER(TRIM(Entry!$E131)),6)))</f>
        <v/>
      </c>
      <c r="H131">
        <f>IF($G131="","",RIGHT($E131,4)&amp;MID($E131,6,2)&amp;RIGHT($E131,2)&amp;IF($F131="","0000",IF($F131="نامعتبر","9999",LEFT($F131,2)&amp;RIGHT($F131,2)))&amp;"|"&amp;RIGHT("00000"&amp;123,5))</f>
        <v/>
      </c>
      <c r="I131">
        <f>IF($H131="","",COUNTIFS(CalcBank,$G131,CalcKey,"&lt;"&amp;$H131)+1)</f>
        <v/>
      </c>
      <c r="J131">
        <f>IF($I131="","",$G131&amp;"|"&amp;RIGHT("000000"&amp;$I131,6))</f>
        <v/>
      </c>
      <c r="K131">
        <f>IF(OR($E131="",$E131="نامعتبر"),"",LEFT($E131,4)&amp;"/"&amp;MID($E131,6,2))</f>
        <v/>
      </c>
      <c r="L131">
        <f>IF(Entry!$K131="",0,Entry!$K131)</f>
        <v/>
      </c>
      <c r="M131">
        <f>IF(Entry!$L131="",0,Entry!$L131)</f>
        <v/>
      </c>
    </row>
    <row r="132">
      <c r="A132">
        <f>IF(Entry!$C132="","",Entry!$C132)</f>
        <v/>
      </c>
      <c r="B132">
        <f>IF($A132="","",IF(ISNUMBER($A132),IF(AND($A132&gt;=10000101,$A132&lt;=99991231),INT($A132/10000),""),IFERROR(VALUE(TRIM(LEFT($A132,FIND("/",$A132)-1))),"")))</f>
        <v/>
      </c>
      <c r="C132">
        <f>IF(OR($A132="",$B132=""),"",IF(ISNUMBER($A132),INT(MOD($A132,10000)/100),IFERROR(VALUE(TRIM(LEFT(MID($A132,FIND("/",$A132)+1,20),FIND("/",MID($A132,FIND("/",$A132)+1,20))-1))),"")))</f>
        <v/>
      </c>
      <c r="D132">
        <f>IF(OR($A132="",$B132=""),"",IF(ISNUMBER($A132),MOD($A132,100),IFERROR(VALUE(TRIM(MID(MID($A132,FIND("/",$A132)+1,20),FIND("/",MID($A132,FIND("/",$A132)+1,20))+1,20))),"")))</f>
        <v/>
      </c>
      <c r="E132">
        <f>IF($A132="","",IF(OR($B132="",$C132="",$D132="",$B132&lt;1300,$B132&gt;1500,$C132&lt;1,$C132&gt;12,$D132&lt;1,$D132&gt;31),"نامعتبر",RIGHT("0000"&amp;$B132,4)&amp;"/"&amp;RIGHT("00"&amp;$C132,2)&amp;"/"&amp;RIGHT("00"&amp;$D132,2)))</f>
        <v/>
      </c>
      <c r="F132">
        <f>IF(Entry!$D132&lt;&gt;"",IF(AND(ISNUMBER(Entry!$D132),Entry!$D132&gt;=0,Entry!$D132&lt;1),RIGHT("00"&amp;HOUR(Entry!$D132),2)&amp;":"&amp;RIGHT("00"&amp;MINUTE(Entry!$D132),2),IFERROR(RIGHT("00"&amp;VALUE(TRIM(LEFT(Entry!$D132,FIND(":",Entry!$D132)-1))),2)&amp;":"&amp;RIGHT("00"&amp;VALUE(TRIM(MID(Entry!$D132,FIND(":",Entry!$D132)+1,2))),2),"نامعتبر")),IF(OR($E132="",$E132="نامعتبر"),"","00:00"))</f>
        <v/>
      </c>
      <c r="G132">
        <f>IF(OR($E132="",$E132="نامعتبر"),"",IF(Entry!$E132="","",LEFT(UPPER(TRIM(Entry!$E132)),6)))</f>
        <v/>
      </c>
      <c r="H132">
        <f>IF($G132="","",RIGHT($E132,4)&amp;MID($E132,6,2)&amp;RIGHT($E132,2)&amp;IF($F132="","0000",IF($F132="نامعتبر","9999",LEFT($F132,2)&amp;RIGHT($F132,2)))&amp;"|"&amp;RIGHT("00000"&amp;124,5))</f>
        <v/>
      </c>
      <c r="I132">
        <f>IF($H132="","",COUNTIFS(CalcBank,$G132,CalcKey,"&lt;"&amp;$H132)+1)</f>
        <v/>
      </c>
      <c r="J132">
        <f>IF($I132="","",$G132&amp;"|"&amp;RIGHT("000000"&amp;$I132,6))</f>
        <v/>
      </c>
      <c r="K132">
        <f>IF(OR($E132="",$E132="نامعتبر"),"",LEFT($E132,4)&amp;"/"&amp;MID($E132,6,2))</f>
        <v/>
      </c>
      <c r="L132">
        <f>IF(Entry!$K132="",0,Entry!$K132)</f>
        <v/>
      </c>
      <c r="M132">
        <f>IF(Entry!$L132="",0,Entry!$L132)</f>
        <v/>
      </c>
    </row>
    <row r="133">
      <c r="A133">
        <f>IF(Entry!$C133="","",Entry!$C133)</f>
        <v/>
      </c>
      <c r="B133">
        <f>IF($A133="","",IF(ISNUMBER($A133),IF(AND($A133&gt;=10000101,$A133&lt;=99991231),INT($A133/10000),""),IFERROR(VALUE(TRIM(LEFT($A133,FIND("/",$A133)-1))),"")))</f>
        <v/>
      </c>
      <c r="C133">
        <f>IF(OR($A133="",$B133=""),"",IF(ISNUMBER($A133),INT(MOD($A133,10000)/100),IFERROR(VALUE(TRIM(LEFT(MID($A133,FIND("/",$A133)+1,20),FIND("/",MID($A133,FIND("/",$A133)+1,20))-1))),"")))</f>
        <v/>
      </c>
      <c r="D133">
        <f>IF(OR($A133="",$B133=""),"",IF(ISNUMBER($A133),MOD($A133,100),IFERROR(VALUE(TRIM(MID(MID($A133,FIND("/",$A133)+1,20),FIND("/",MID($A133,FIND("/",$A133)+1,20))+1,20))),"")))</f>
        <v/>
      </c>
      <c r="E133">
        <f>IF($A133="","",IF(OR($B133="",$C133="",$D133="",$B133&lt;1300,$B133&gt;1500,$C133&lt;1,$C133&gt;12,$D133&lt;1,$D133&gt;31),"نامعتبر",RIGHT("0000"&amp;$B133,4)&amp;"/"&amp;RIGHT("00"&amp;$C133,2)&amp;"/"&amp;RIGHT("00"&amp;$D133,2)))</f>
        <v/>
      </c>
      <c r="F133">
        <f>IF(Entry!$D133&lt;&gt;"",IF(AND(ISNUMBER(Entry!$D133),Entry!$D133&gt;=0,Entry!$D133&lt;1),RIGHT("00"&amp;HOUR(Entry!$D133),2)&amp;":"&amp;RIGHT("00"&amp;MINUTE(Entry!$D133),2),IFERROR(RIGHT("00"&amp;VALUE(TRIM(LEFT(Entry!$D133,FIND(":",Entry!$D133)-1))),2)&amp;":"&amp;RIGHT("00"&amp;VALUE(TRIM(MID(Entry!$D133,FIND(":",Entry!$D133)+1,2))),2),"نامعتبر")),IF(OR($E133="",$E133="نامعتبر"),"","00:00"))</f>
        <v/>
      </c>
      <c r="G133">
        <f>IF(OR($E133="",$E133="نامعتبر"),"",IF(Entry!$E133="","",LEFT(UPPER(TRIM(Entry!$E133)),6)))</f>
        <v/>
      </c>
      <c r="H133">
        <f>IF($G133="","",RIGHT($E133,4)&amp;MID($E133,6,2)&amp;RIGHT($E133,2)&amp;IF($F133="","0000",IF($F133="نامعتبر","9999",LEFT($F133,2)&amp;RIGHT($F133,2)))&amp;"|"&amp;RIGHT("00000"&amp;125,5))</f>
        <v/>
      </c>
      <c r="I133">
        <f>IF($H133="","",COUNTIFS(CalcBank,$G133,CalcKey,"&lt;"&amp;$H133)+1)</f>
        <v/>
      </c>
      <c r="J133">
        <f>IF($I133="","",$G133&amp;"|"&amp;RIGHT("000000"&amp;$I133,6))</f>
        <v/>
      </c>
      <c r="K133">
        <f>IF(OR($E133="",$E133="نامعتبر"),"",LEFT($E133,4)&amp;"/"&amp;MID($E133,6,2))</f>
        <v/>
      </c>
      <c r="L133">
        <f>IF(Entry!$K133="",0,Entry!$K133)</f>
        <v/>
      </c>
      <c r="M133">
        <f>IF(Entry!$L133="",0,Entry!$L133)</f>
        <v/>
      </c>
    </row>
    <row r="134">
      <c r="A134">
        <f>IF(Entry!$C134="","",Entry!$C134)</f>
        <v/>
      </c>
      <c r="B134">
        <f>IF($A134="","",IF(ISNUMBER($A134),IF(AND($A134&gt;=10000101,$A134&lt;=99991231),INT($A134/10000),""),IFERROR(VALUE(TRIM(LEFT($A134,FIND("/",$A134)-1))),"")))</f>
        <v/>
      </c>
      <c r="C134">
        <f>IF(OR($A134="",$B134=""),"",IF(ISNUMBER($A134),INT(MOD($A134,10000)/100),IFERROR(VALUE(TRIM(LEFT(MID($A134,FIND("/",$A134)+1,20),FIND("/",MID($A134,FIND("/",$A134)+1,20))-1))),"")))</f>
        <v/>
      </c>
      <c r="D134">
        <f>IF(OR($A134="",$B134=""),"",IF(ISNUMBER($A134),MOD($A134,100),IFERROR(VALUE(TRIM(MID(MID($A134,FIND("/",$A134)+1,20),FIND("/",MID($A134,FIND("/",$A134)+1,20))+1,20))),"")))</f>
        <v/>
      </c>
      <c r="E134">
        <f>IF($A134="","",IF(OR($B134="",$C134="",$D134="",$B134&lt;1300,$B134&gt;1500,$C134&lt;1,$C134&gt;12,$D134&lt;1,$D134&gt;31),"نامعتبر",RIGHT("0000"&amp;$B134,4)&amp;"/"&amp;RIGHT("00"&amp;$C134,2)&amp;"/"&amp;RIGHT("00"&amp;$D134,2)))</f>
        <v/>
      </c>
      <c r="F134">
        <f>IF(Entry!$D134&lt;&gt;"",IF(AND(ISNUMBER(Entry!$D134),Entry!$D134&gt;=0,Entry!$D134&lt;1),RIGHT("00"&amp;HOUR(Entry!$D134),2)&amp;":"&amp;RIGHT("00"&amp;MINUTE(Entry!$D134),2),IFERROR(RIGHT("00"&amp;VALUE(TRIM(LEFT(Entry!$D134,FIND(":",Entry!$D134)-1))),2)&amp;":"&amp;RIGHT("00"&amp;VALUE(TRIM(MID(Entry!$D134,FIND(":",Entry!$D134)+1,2))),2),"نامعتبر")),IF(OR($E134="",$E134="نامعتبر"),"","00:00"))</f>
        <v/>
      </c>
      <c r="G134">
        <f>IF(OR($E134="",$E134="نامعتبر"),"",IF(Entry!$E134="","",LEFT(UPPER(TRIM(Entry!$E134)),6)))</f>
        <v/>
      </c>
      <c r="H134">
        <f>IF($G134="","",RIGHT($E134,4)&amp;MID($E134,6,2)&amp;RIGHT($E134,2)&amp;IF($F134="","0000",IF($F134="نامعتبر","9999",LEFT($F134,2)&amp;RIGHT($F134,2)))&amp;"|"&amp;RIGHT("00000"&amp;126,5))</f>
        <v/>
      </c>
      <c r="I134">
        <f>IF($H134="","",COUNTIFS(CalcBank,$G134,CalcKey,"&lt;"&amp;$H134)+1)</f>
        <v/>
      </c>
      <c r="J134">
        <f>IF($I134="","",$G134&amp;"|"&amp;RIGHT("000000"&amp;$I134,6))</f>
        <v/>
      </c>
      <c r="K134">
        <f>IF(OR($E134="",$E134="نامعتبر"),"",LEFT($E134,4)&amp;"/"&amp;MID($E134,6,2))</f>
        <v/>
      </c>
      <c r="L134">
        <f>IF(Entry!$K134="",0,Entry!$K134)</f>
        <v/>
      </c>
      <c r="M134">
        <f>IF(Entry!$L134="",0,Entry!$L134)</f>
        <v/>
      </c>
    </row>
    <row r="135">
      <c r="A135">
        <f>IF(Entry!$C135="","",Entry!$C135)</f>
        <v/>
      </c>
      <c r="B135">
        <f>IF($A135="","",IF(ISNUMBER($A135),IF(AND($A135&gt;=10000101,$A135&lt;=99991231),INT($A135/10000),""),IFERROR(VALUE(TRIM(LEFT($A135,FIND("/",$A135)-1))),"")))</f>
        <v/>
      </c>
      <c r="C135">
        <f>IF(OR($A135="",$B135=""),"",IF(ISNUMBER($A135),INT(MOD($A135,10000)/100),IFERROR(VALUE(TRIM(LEFT(MID($A135,FIND("/",$A135)+1,20),FIND("/",MID($A135,FIND("/",$A135)+1,20))-1))),"")))</f>
        <v/>
      </c>
      <c r="D135">
        <f>IF(OR($A135="",$B135=""),"",IF(ISNUMBER($A135),MOD($A135,100),IFERROR(VALUE(TRIM(MID(MID($A135,FIND("/",$A135)+1,20),FIND("/",MID($A135,FIND("/",$A135)+1,20))+1,20))),"")))</f>
        <v/>
      </c>
      <c r="E135">
        <f>IF($A135="","",IF(OR($B135="",$C135="",$D135="",$B135&lt;1300,$B135&gt;1500,$C135&lt;1,$C135&gt;12,$D135&lt;1,$D135&gt;31),"نامعتبر",RIGHT("0000"&amp;$B135,4)&amp;"/"&amp;RIGHT("00"&amp;$C135,2)&amp;"/"&amp;RIGHT("00"&amp;$D135,2)))</f>
        <v/>
      </c>
      <c r="F135">
        <f>IF(Entry!$D135&lt;&gt;"",IF(AND(ISNUMBER(Entry!$D135),Entry!$D135&gt;=0,Entry!$D135&lt;1),RIGHT("00"&amp;HOUR(Entry!$D135),2)&amp;":"&amp;RIGHT("00"&amp;MINUTE(Entry!$D135),2),IFERROR(RIGHT("00"&amp;VALUE(TRIM(LEFT(Entry!$D135,FIND(":",Entry!$D135)-1))),2)&amp;":"&amp;RIGHT("00"&amp;VALUE(TRIM(MID(Entry!$D135,FIND(":",Entry!$D135)+1,2))),2),"نامعتبر")),IF(OR($E135="",$E135="نامعتبر"),"","00:00"))</f>
        <v/>
      </c>
      <c r="G135">
        <f>IF(OR($E135="",$E135="نامعتبر"),"",IF(Entry!$E135="","",LEFT(UPPER(TRIM(Entry!$E135)),6)))</f>
        <v/>
      </c>
      <c r="H135">
        <f>IF($G135="","",RIGHT($E135,4)&amp;MID($E135,6,2)&amp;RIGHT($E135,2)&amp;IF($F135="","0000",IF($F135="نامعتبر","9999",LEFT($F135,2)&amp;RIGHT($F135,2)))&amp;"|"&amp;RIGHT("00000"&amp;127,5))</f>
        <v/>
      </c>
      <c r="I135">
        <f>IF($H135="","",COUNTIFS(CalcBank,$G135,CalcKey,"&lt;"&amp;$H135)+1)</f>
        <v/>
      </c>
      <c r="J135">
        <f>IF($I135="","",$G135&amp;"|"&amp;RIGHT("000000"&amp;$I135,6))</f>
        <v/>
      </c>
      <c r="K135">
        <f>IF(OR($E135="",$E135="نامعتبر"),"",LEFT($E135,4)&amp;"/"&amp;MID($E135,6,2))</f>
        <v/>
      </c>
      <c r="L135">
        <f>IF(Entry!$K135="",0,Entry!$K135)</f>
        <v/>
      </c>
      <c r="M135">
        <f>IF(Entry!$L135="",0,Entry!$L135)</f>
        <v/>
      </c>
    </row>
    <row r="136">
      <c r="A136">
        <f>IF(Entry!$C136="","",Entry!$C136)</f>
        <v/>
      </c>
      <c r="B136">
        <f>IF($A136="","",IF(ISNUMBER($A136),IF(AND($A136&gt;=10000101,$A136&lt;=99991231),INT($A136/10000),""),IFERROR(VALUE(TRIM(LEFT($A136,FIND("/",$A136)-1))),"")))</f>
        <v/>
      </c>
      <c r="C136">
        <f>IF(OR($A136="",$B136=""),"",IF(ISNUMBER($A136),INT(MOD($A136,10000)/100),IFERROR(VALUE(TRIM(LEFT(MID($A136,FIND("/",$A136)+1,20),FIND("/",MID($A136,FIND("/",$A136)+1,20))-1))),"")))</f>
        <v/>
      </c>
      <c r="D136">
        <f>IF(OR($A136="",$B136=""),"",IF(ISNUMBER($A136),MOD($A136,100),IFERROR(VALUE(TRIM(MID(MID($A136,FIND("/",$A136)+1,20),FIND("/",MID($A136,FIND("/",$A136)+1,20))+1,20))),"")))</f>
        <v/>
      </c>
      <c r="E136">
        <f>IF($A136="","",IF(OR($B136="",$C136="",$D136="",$B136&lt;1300,$B136&gt;1500,$C136&lt;1,$C136&gt;12,$D136&lt;1,$D136&gt;31),"نامعتبر",RIGHT("0000"&amp;$B136,4)&amp;"/"&amp;RIGHT("00"&amp;$C136,2)&amp;"/"&amp;RIGHT("00"&amp;$D136,2)))</f>
        <v/>
      </c>
      <c r="F136">
        <f>IF(Entry!$D136&lt;&gt;"",IF(AND(ISNUMBER(Entry!$D136),Entry!$D136&gt;=0,Entry!$D136&lt;1),RIGHT("00"&amp;HOUR(Entry!$D136),2)&amp;":"&amp;RIGHT("00"&amp;MINUTE(Entry!$D136),2),IFERROR(RIGHT("00"&amp;VALUE(TRIM(LEFT(Entry!$D136,FIND(":",Entry!$D136)-1))),2)&amp;":"&amp;RIGHT("00"&amp;VALUE(TRIM(MID(Entry!$D136,FIND(":",Entry!$D136)+1,2))),2),"نامعتبر")),IF(OR($E136="",$E136="نامعتبر"),"","00:00"))</f>
        <v/>
      </c>
      <c r="G136">
        <f>IF(OR($E136="",$E136="نامعتبر"),"",IF(Entry!$E136="","",LEFT(UPPER(TRIM(Entry!$E136)),6)))</f>
        <v/>
      </c>
      <c r="H136">
        <f>IF($G136="","",RIGHT($E136,4)&amp;MID($E136,6,2)&amp;RIGHT($E136,2)&amp;IF($F136="","0000",IF($F136="نامعتبر","9999",LEFT($F136,2)&amp;RIGHT($F136,2)))&amp;"|"&amp;RIGHT("00000"&amp;128,5))</f>
        <v/>
      </c>
      <c r="I136">
        <f>IF($H136="","",COUNTIFS(CalcBank,$G136,CalcKey,"&lt;"&amp;$H136)+1)</f>
        <v/>
      </c>
      <c r="J136">
        <f>IF($I136="","",$G136&amp;"|"&amp;RIGHT("000000"&amp;$I136,6))</f>
        <v/>
      </c>
      <c r="K136">
        <f>IF(OR($E136="",$E136="نامعتبر"),"",LEFT($E136,4)&amp;"/"&amp;MID($E136,6,2))</f>
        <v/>
      </c>
      <c r="L136">
        <f>IF(Entry!$K136="",0,Entry!$K136)</f>
        <v/>
      </c>
      <c r="M136">
        <f>IF(Entry!$L136="",0,Entry!$L136)</f>
        <v/>
      </c>
    </row>
    <row r="137">
      <c r="A137">
        <f>IF(Entry!$C137="","",Entry!$C137)</f>
        <v/>
      </c>
      <c r="B137">
        <f>IF($A137="","",IF(ISNUMBER($A137),IF(AND($A137&gt;=10000101,$A137&lt;=99991231),INT($A137/10000),""),IFERROR(VALUE(TRIM(LEFT($A137,FIND("/",$A137)-1))),"")))</f>
        <v/>
      </c>
      <c r="C137">
        <f>IF(OR($A137="",$B137=""),"",IF(ISNUMBER($A137),INT(MOD($A137,10000)/100),IFERROR(VALUE(TRIM(LEFT(MID($A137,FIND("/",$A137)+1,20),FIND("/",MID($A137,FIND("/",$A137)+1,20))-1))),"")))</f>
        <v/>
      </c>
      <c r="D137">
        <f>IF(OR($A137="",$B137=""),"",IF(ISNUMBER($A137),MOD($A137,100),IFERROR(VALUE(TRIM(MID(MID($A137,FIND("/",$A137)+1,20),FIND("/",MID($A137,FIND("/",$A137)+1,20))+1,20))),"")))</f>
        <v/>
      </c>
      <c r="E137">
        <f>IF($A137="","",IF(OR($B137="",$C137="",$D137="",$B137&lt;1300,$B137&gt;1500,$C137&lt;1,$C137&gt;12,$D137&lt;1,$D137&gt;31),"نامعتبر",RIGHT("0000"&amp;$B137,4)&amp;"/"&amp;RIGHT("00"&amp;$C137,2)&amp;"/"&amp;RIGHT("00"&amp;$D137,2)))</f>
        <v/>
      </c>
      <c r="F137">
        <f>IF(Entry!$D137&lt;&gt;"",IF(AND(ISNUMBER(Entry!$D137),Entry!$D137&gt;=0,Entry!$D137&lt;1),RIGHT("00"&amp;HOUR(Entry!$D137),2)&amp;":"&amp;RIGHT("00"&amp;MINUTE(Entry!$D137),2),IFERROR(RIGHT("00"&amp;VALUE(TRIM(LEFT(Entry!$D137,FIND(":",Entry!$D137)-1))),2)&amp;":"&amp;RIGHT("00"&amp;VALUE(TRIM(MID(Entry!$D137,FIND(":",Entry!$D137)+1,2))),2),"نامعتبر")),IF(OR($E137="",$E137="نامعتبر"),"","00:00"))</f>
        <v/>
      </c>
      <c r="G137">
        <f>IF(OR($E137="",$E137="نامعتبر"),"",IF(Entry!$E137="","",LEFT(UPPER(TRIM(Entry!$E137)),6)))</f>
        <v/>
      </c>
      <c r="H137">
        <f>IF($G137="","",RIGHT($E137,4)&amp;MID($E137,6,2)&amp;RIGHT($E137,2)&amp;IF($F137="","0000",IF($F137="نامعتبر","9999",LEFT($F137,2)&amp;RIGHT($F137,2)))&amp;"|"&amp;RIGHT("00000"&amp;129,5))</f>
        <v/>
      </c>
      <c r="I137">
        <f>IF($H137="","",COUNTIFS(CalcBank,$G137,CalcKey,"&lt;"&amp;$H137)+1)</f>
        <v/>
      </c>
      <c r="J137">
        <f>IF($I137="","",$G137&amp;"|"&amp;RIGHT("000000"&amp;$I137,6))</f>
        <v/>
      </c>
      <c r="K137">
        <f>IF(OR($E137="",$E137="نامعتبر"),"",LEFT($E137,4)&amp;"/"&amp;MID($E137,6,2))</f>
        <v/>
      </c>
      <c r="L137">
        <f>IF(Entry!$K137="",0,Entry!$K137)</f>
        <v/>
      </c>
      <c r="M137">
        <f>IF(Entry!$L137="",0,Entry!$L137)</f>
        <v/>
      </c>
    </row>
    <row r="138">
      <c r="A138">
        <f>IF(Entry!$C138="","",Entry!$C138)</f>
        <v/>
      </c>
      <c r="B138">
        <f>IF($A138="","",IF(ISNUMBER($A138),IF(AND($A138&gt;=10000101,$A138&lt;=99991231),INT($A138/10000),""),IFERROR(VALUE(TRIM(LEFT($A138,FIND("/",$A138)-1))),"")))</f>
        <v/>
      </c>
      <c r="C138">
        <f>IF(OR($A138="",$B138=""),"",IF(ISNUMBER($A138),INT(MOD($A138,10000)/100),IFERROR(VALUE(TRIM(LEFT(MID($A138,FIND("/",$A138)+1,20),FIND("/",MID($A138,FIND("/",$A138)+1,20))-1))),"")))</f>
        <v/>
      </c>
      <c r="D138">
        <f>IF(OR($A138="",$B138=""),"",IF(ISNUMBER($A138),MOD($A138,100),IFERROR(VALUE(TRIM(MID(MID($A138,FIND("/",$A138)+1,20),FIND("/",MID($A138,FIND("/",$A138)+1,20))+1,20))),"")))</f>
        <v/>
      </c>
      <c r="E138">
        <f>IF($A138="","",IF(OR($B138="",$C138="",$D138="",$B138&lt;1300,$B138&gt;1500,$C138&lt;1,$C138&gt;12,$D138&lt;1,$D138&gt;31),"نامعتبر",RIGHT("0000"&amp;$B138,4)&amp;"/"&amp;RIGHT("00"&amp;$C138,2)&amp;"/"&amp;RIGHT("00"&amp;$D138,2)))</f>
        <v/>
      </c>
      <c r="F138">
        <f>IF(Entry!$D138&lt;&gt;"",IF(AND(ISNUMBER(Entry!$D138),Entry!$D138&gt;=0,Entry!$D138&lt;1),RIGHT("00"&amp;HOUR(Entry!$D138),2)&amp;":"&amp;RIGHT("00"&amp;MINUTE(Entry!$D138),2),IFERROR(RIGHT("00"&amp;VALUE(TRIM(LEFT(Entry!$D138,FIND(":",Entry!$D138)-1))),2)&amp;":"&amp;RIGHT("00"&amp;VALUE(TRIM(MID(Entry!$D138,FIND(":",Entry!$D138)+1,2))),2),"نامعتبر")),IF(OR($E138="",$E138="نامعتبر"),"","00:00"))</f>
        <v/>
      </c>
      <c r="G138">
        <f>IF(OR($E138="",$E138="نامعتبر"),"",IF(Entry!$E138="","",LEFT(UPPER(TRIM(Entry!$E138)),6)))</f>
        <v/>
      </c>
      <c r="H138">
        <f>IF($G138="","",RIGHT($E138,4)&amp;MID($E138,6,2)&amp;RIGHT($E138,2)&amp;IF($F138="","0000",IF($F138="نامعتبر","9999",LEFT($F138,2)&amp;RIGHT($F138,2)))&amp;"|"&amp;RIGHT("00000"&amp;130,5))</f>
        <v/>
      </c>
      <c r="I138">
        <f>IF($H138="","",COUNTIFS(CalcBank,$G138,CalcKey,"&lt;"&amp;$H138)+1)</f>
        <v/>
      </c>
      <c r="J138">
        <f>IF($I138="","",$G138&amp;"|"&amp;RIGHT("000000"&amp;$I138,6))</f>
        <v/>
      </c>
      <c r="K138">
        <f>IF(OR($E138="",$E138="نامعتبر"),"",LEFT($E138,4)&amp;"/"&amp;MID($E138,6,2))</f>
        <v/>
      </c>
      <c r="L138">
        <f>IF(Entry!$K138="",0,Entry!$K138)</f>
        <v/>
      </c>
      <c r="M138">
        <f>IF(Entry!$L138="",0,Entry!$L138)</f>
        <v/>
      </c>
    </row>
    <row r="139">
      <c r="A139">
        <f>IF(Entry!$C139="","",Entry!$C139)</f>
        <v/>
      </c>
      <c r="B139">
        <f>IF($A139="","",IF(ISNUMBER($A139),IF(AND($A139&gt;=10000101,$A139&lt;=99991231),INT($A139/10000),""),IFERROR(VALUE(TRIM(LEFT($A139,FIND("/",$A139)-1))),"")))</f>
        <v/>
      </c>
      <c r="C139">
        <f>IF(OR($A139="",$B139=""),"",IF(ISNUMBER($A139),INT(MOD($A139,10000)/100),IFERROR(VALUE(TRIM(LEFT(MID($A139,FIND("/",$A139)+1,20),FIND("/",MID($A139,FIND("/",$A139)+1,20))-1))),"")))</f>
        <v/>
      </c>
      <c r="D139">
        <f>IF(OR($A139="",$B139=""),"",IF(ISNUMBER($A139),MOD($A139,100),IFERROR(VALUE(TRIM(MID(MID($A139,FIND("/",$A139)+1,20),FIND("/",MID($A139,FIND("/",$A139)+1,20))+1,20))),"")))</f>
        <v/>
      </c>
      <c r="E139">
        <f>IF($A139="","",IF(OR($B139="",$C139="",$D139="",$B139&lt;1300,$B139&gt;1500,$C139&lt;1,$C139&gt;12,$D139&lt;1,$D139&gt;31),"نامعتبر",RIGHT("0000"&amp;$B139,4)&amp;"/"&amp;RIGHT("00"&amp;$C139,2)&amp;"/"&amp;RIGHT("00"&amp;$D139,2)))</f>
        <v/>
      </c>
      <c r="F139">
        <f>IF(Entry!$D139&lt;&gt;"",IF(AND(ISNUMBER(Entry!$D139),Entry!$D139&gt;=0,Entry!$D139&lt;1),RIGHT("00"&amp;HOUR(Entry!$D139),2)&amp;":"&amp;RIGHT("00"&amp;MINUTE(Entry!$D139),2),IFERROR(RIGHT("00"&amp;VALUE(TRIM(LEFT(Entry!$D139,FIND(":",Entry!$D139)-1))),2)&amp;":"&amp;RIGHT("00"&amp;VALUE(TRIM(MID(Entry!$D139,FIND(":",Entry!$D139)+1,2))),2),"نامعتبر")),IF(OR($E139="",$E139="نامعتبر"),"","00:00"))</f>
        <v/>
      </c>
      <c r="G139">
        <f>IF(OR($E139="",$E139="نامعتبر"),"",IF(Entry!$E139="","",LEFT(UPPER(TRIM(Entry!$E139)),6)))</f>
        <v/>
      </c>
      <c r="H139">
        <f>IF($G139="","",RIGHT($E139,4)&amp;MID($E139,6,2)&amp;RIGHT($E139,2)&amp;IF($F139="","0000",IF($F139="نامعتبر","9999",LEFT($F139,2)&amp;RIGHT($F139,2)))&amp;"|"&amp;RIGHT("00000"&amp;131,5))</f>
        <v/>
      </c>
      <c r="I139">
        <f>IF($H139="","",COUNTIFS(CalcBank,$G139,CalcKey,"&lt;"&amp;$H139)+1)</f>
        <v/>
      </c>
      <c r="J139">
        <f>IF($I139="","",$G139&amp;"|"&amp;RIGHT("000000"&amp;$I139,6))</f>
        <v/>
      </c>
      <c r="K139">
        <f>IF(OR($E139="",$E139="نامعتبر"),"",LEFT($E139,4)&amp;"/"&amp;MID($E139,6,2))</f>
        <v/>
      </c>
      <c r="L139">
        <f>IF(Entry!$K139="",0,Entry!$K139)</f>
        <v/>
      </c>
      <c r="M139">
        <f>IF(Entry!$L139="",0,Entry!$L139)</f>
        <v/>
      </c>
    </row>
    <row r="140">
      <c r="A140">
        <f>IF(Entry!$C140="","",Entry!$C140)</f>
        <v/>
      </c>
      <c r="B140">
        <f>IF($A140="","",IF(ISNUMBER($A140),IF(AND($A140&gt;=10000101,$A140&lt;=99991231),INT($A140/10000),""),IFERROR(VALUE(TRIM(LEFT($A140,FIND("/",$A140)-1))),"")))</f>
        <v/>
      </c>
      <c r="C140">
        <f>IF(OR($A140="",$B140=""),"",IF(ISNUMBER($A140),INT(MOD($A140,10000)/100),IFERROR(VALUE(TRIM(LEFT(MID($A140,FIND("/",$A140)+1,20),FIND("/",MID($A140,FIND("/",$A140)+1,20))-1))),"")))</f>
        <v/>
      </c>
      <c r="D140">
        <f>IF(OR($A140="",$B140=""),"",IF(ISNUMBER($A140),MOD($A140,100),IFERROR(VALUE(TRIM(MID(MID($A140,FIND("/",$A140)+1,20),FIND("/",MID($A140,FIND("/",$A140)+1,20))+1,20))),"")))</f>
        <v/>
      </c>
      <c r="E140">
        <f>IF($A140="","",IF(OR($B140="",$C140="",$D140="",$B140&lt;1300,$B140&gt;1500,$C140&lt;1,$C140&gt;12,$D140&lt;1,$D140&gt;31),"نامعتبر",RIGHT("0000"&amp;$B140,4)&amp;"/"&amp;RIGHT("00"&amp;$C140,2)&amp;"/"&amp;RIGHT("00"&amp;$D140,2)))</f>
        <v/>
      </c>
      <c r="F140">
        <f>IF(Entry!$D140&lt;&gt;"",IF(AND(ISNUMBER(Entry!$D140),Entry!$D140&gt;=0,Entry!$D140&lt;1),RIGHT("00"&amp;HOUR(Entry!$D140),2)&amp;":"&amp;RIGHT("00"&amp;MINUTE(Entry!$D140),2),IFERROR(RIGHT("00"&amp;VALUE(TRIM(LEFT(Entry!$D140,FIND(":",Entry!$D140)-1))),2)&amp;":"&amp;RIGHT("00"&amp;VALUE(TRIM(MID(Entry!$D140,FIND(":",Entry!$D140)+1,2))),2),"نامعتبر")),IF(OR($E140="",$E140="نامعتبر"),"","00:00"))</f>
        <v/>
      </c>
      <c r="G140">
        <f>IF(OR($E140="",$E140="نامعتبر"),"",IF(Entry!$E140="","",LEFT(UPPER(TRIM(Entry!$E140)),6)))</f>
        <v/>
      </c>
      <c r="H140">
        <f>IF($G140="","",RIGHT($E140,4)&amp;MID($E140,6,2)&amp;RIGHT($E140,2)&amp;IF($F140="","0000",IF($F140="نامعتبر","9999",LEFT($F140,2)&amp;RIGHT($F140,2)))&amp;"|"&amp;RIGHT("00000"&amp;132,5))</f>
        <v/>
      </c>
      <c r="I140">
        <f>IF($H140="","",COUNTIFS(CalcBank,$G140,CalcKey,"&lt;"&amp;$H140)+1)</f>
        <v/>
      </c>
      <c r="J140">
        <f>IF($I140="","",$G140&amp;"|"&amp;RIGHT("000000"&amp;$I140,6))</f>
        <v/>
      </c>
      <c r="K140">
        <f>IF(OR($E140="",$E140="نامعتبر"),"",LEFT($E140,4)&amp;"/"&amp;MID($E140,6,2))</f>
        <v/>
      </c>
      <c r="L140">
        <f>IF(Entry!$K140="",0,Entry!$K140)</f>
        <v/>
      </c>
      <c r="M140">
        <f>IF(Entry!$L140="",0,Entry!$L140)</f>
        <v/>
      </c>
    </row>
    <row r="141">
      <c r="A141">
        <f>IF(Entry!$C141="","",Entry!$C141)</f>
        <v/>
      </c>
      <c r="B141">
        <f>IF($A141="","",IF(ISNUMBER($A141),IF(AND($A141&gt;=10000101,$A141&lt;=99991231),INT($A141/10000),""),IFERROR(VALUE(TRIM(LEFT($A141,FIND("/",$A141)-1))),"")))</f>
        <v/>
      </c>
      <c r="C141">
        <f>IF(OR($A141="",$B141=""),"",IF(ISNUMBER($A141),INT(MOD($A141,10000)/100),IFERROR(VALUE(TRIM(LEFT(MID($A141,FIND("/",$A141)+1,20),FIND("/",MID($A141,FIND("/",$A141)+1,20))-1))),"")))</f>
        <v/>
      </c>
      <c r="D141">
        <f>IF(OR($A141="",$B141=""),"",IF(ISNUMBER($A141),MOD($A141,100),IFERROR(VALUE(TRIM(MID(MID($A141,FIND("/",$A141)+1,20),FIND("/",MID($A141,FIND("/",$A141)+1,20))+1,20))),"")))</f>
        <v/>
      </c>
      <c r="E141">
        <f>IF($A141="","",IF(OR($B141="",$C141="",$D141="",$B141&lt;1300,$B141&gt;1500,$C141&lt;1,$C141&gt;12,$D141&lt;1,$D141&gt;31),"نامعتبر",RIGHT("0000"&amp;$B141,4)&amp;"/"&amp;RIGHT("00"&amp;$C141,2)&amp;"/"&amp;RIGHT("00"&amp;$D141,2)))</f>
        <v/>
      </c>
      <c r="F141">
        <f>IF(Entry!$D141&lt;&gt;"",IF(AND(ISNUMBER(Entry!$D141),Entry!$D141&gt;=0,Entry!$D141&lt;1),RIGHT("00"&amp;HOUR(Entry!$D141),2)&amp;":"&amp;RIGHT("00"&amp;MINUTE(Entry!$D141),2),IFERROR(RIGHT("00"&amp;VALUE(TRIM(LEFT(Entry!$D141,FIND(":",Entry!$D141)-1))),2)&amp;":"&amp;RIGHT("00"&amp;VALUE(TRIM(MID(Entry!$D141,FIND(":",Entry!$D141)+1,2))),2),"نامعتبر")),IF(OR($E141="",$E141="نامعتبر"),"","00:00"))</f>
        <v/>
      </c>
      <c r="G141">
        <f>IF(OR($E141="",$E141="نامعتبر"),"",IF(Entry!$E141="","",LEFT(UPPER(TRIM(Entry!$E141)),6)))</f>
        <v/>
      </c>
      <c r="H141">
        <f>IF($G141="","",RIGHT($E141,4)&amp;MID($E141,6,2)&amp;RIGHT($E141,2)&amp;IF($F141="","0000",IF($F141="نامعتبر","9999",LEFT($F141,2)&amp;RIGHT($F141,2)))&amp;"|"&amp;RIGHT("00000"&amp;133,5))</f>
        <v/>
      </c>
      <c r="I141">
        <f>IF($H141="","",COUNTIFS(CalcBank,$G141,CalcKey,"&lt;"&amp;$H141)+1)</f>
        <v/>
      </c>
      <c r="J141">
        <f>IF($I141="","",$G141&amp;"|"&amp;RIGHT("000000"&amp;$I141,6))</f>
        <v/>
      </c>
      <c r="K141">
        <f>IF(OR($E141="",$E141="نامعتبر"),"",LEFT($E141,4)&amp;"/"&amp;MID($E141,6,2))</f>
        <v/>
      </c>
      <c r="L141">
        <f>IF(Entry!$K141="",0,Entry!$K141)</f>
        <v/>
      </c>
      <c r="M141">
        <f>IF(Entry!$L141="",0,Entry!$L141)</f>
        <v/>
      </c>
    </row>
    <row r="142">
      <c r="A142">
        <f>IF(Entry!$C142="","",Entry!$C142)</f>
        <v/>
      </c>
      <c r="B142">
        <f>IF($A142="","",IF(ISNUMBER($A142),IF(AND($A142&gt;=10000101,$A142&lt;=99991231),INT($A142/10000),""),IFERROR(VALUE(TRIM(LEFT($A142,FIND("/",$A142)-1))),"")))</f>
        <v/>
      </c>
      <c r="C142">
        <f>IF(OR($A142="",$B142=""),"",IF(ISNUMBER($A142),INT(MOD($A142,10000)/100),IFERROR(VALUE(TRIM(LEFT(MID($A142,FIND("/",$A142)+1,20),FIND("/",MID($A142,FIND("/",$A142)+1,20))-1))),"")))</f>
        <v/>
      </c>
      <c r="D142">
        <f>IF(OR($A142="",$B142=""),"",IF(ISNUMBER($A142),MOD($A142,100),IFERROR(VALUE(TRIM(MID(MID($A142,FIND("/",$A142)+1,20),FIND("/",MID($A142,FIND("/",$A142)+1,20))+1,20))),"")))</f>
        <v/>
      </c>
      <c r="E142">
        <f>IF($A142="","",IF(OR($B142="",$C142="",$D142="",$B142&lt;1300,$B142&gt;1500,$C142&lt;1,$C142&gt;12,$D142&lt;1,$D142&gt;31),"نامعتبر",RIGHT("0000"&amp;$B142,4)&amp;"/"&amp;RIGHT("00"&amp;$C142,2)&amp;"/"&amp;RIGHT("00"&amp;$D142,2)))</f>
        <v/>
      </c>
      <c r="F142">
        <f>IF(Entry!$D142&lt;&gt;"",IF(AND(ISNUMBER(Entry!$D142),Entry!$D142&gt;=0,Entry!$D142&lt;1),RIGHT("00"&amp;HOUR(Entry!$D142),2)&amp;":"&amp;RIGHT("00"&amp;MINUTE(Entry!$D142),2),IFERROR(RIGHT("00"&amp;VALUE(TRIM(LEFT(Entry!$D142,FIND(":",Entry!$D142)-1))),2)&amp;":"&amp;RIGHT("00"&amp;VALUE(TRIM(MID(Entry!$D142,FIND(":",Entry!$D142)+1,2))),2),"نامعتبر")),IF(OR($E142="",$E142="نامعتبر"),"","00:00"))</f>
        <v/>
      </c>
      <c r="G142">
        <f>IF(OR($E142="",$E142="نامعتبر"),"",IF(Entry!$E142="","",LEFT(UPPER(TRIM(Entry!$E142)),6)))</f>
        <v/>
      </c>
      <c r="H142">
        <f>IF($G142="","",RIGHT($E142,4)&amp;MID($E142,6,2)&amp;RIGHT($E142,2)&amp;IF($F142="","0000",IF($F142="نامعتبر","9999",LEFT($F142,2)&amp;RIGHT($F142,2)))&amp;"|"&amp;RIGHT("00000"&amp;134,5))</f>
        <v/>
      </c>
      <c r="I142">
        <f>IF($H142="","",COUNTIFS(CalcBank,$G142,CalcKey,"&lt;"&amp;$H142)+1)</f>
        <v/>
      </c>
      <c r="J142">
        <f>IF($I142="","",$G142&amp;"|"&amp;RIGHT("000000"&amp;$I142,6))</f>
        <v/>
      </c>
      <c r="K142">
        <f>IF(OR($E142="",$E142="نامعتبر"),"",LEFT($E142,4)&amp;"/"&amp;MID($E142,6,2))</f>
        <v/>
      </c>
      <c r="L142">
        <f>IF(Entry!$K142="",0,Entry!$K142)</f>
        <v/>
      </c>
      <c r="M142">
        <f>IF(Entry!$L142="",0,Entry!$L142)</f>
        <v/>
      </c>
    </row>
    <row r="143">
      <c r="A143">
        <f>IF(Entry!$C143="","",Entry!$C143)</f>
        <v/>
      </c>
      <c r="B143">
        <f>IF($A143="","",IF(ISNUMBER($A143),IF(AND($A143&gt;=10000101,$A143&lt;=99991231),INT($A143/10000),""),IFERROR(VALUE(TRIM(LEFT($A143,FIND("/",$A143)-1))),"")))</f>
        <v/>
      </c>
      <c r="C143">
        <f>IF(OR($A143="",$B143=""),"",IF(ISNUMBER($A143),INT(MOD($A143,10000)/100),IFERROR(VALUE(TRIM(LEFT(MID($A143,FIND("/",$A143)+1,20),FIND("/",MID($A143,FIND("/",$A143)+1,20))-1))),"")))</f>
        <v/>
      </c>
      <c r="D143">
        <f>IF(OR($A143="",$B143=""),"",IF(ISNUMBER($A143),MOD($A143,100),IFERROR(VALUE(TRIM(MID(MID($A143,FIND("/",$A143)+1,20),FIND("/",MID($A143,FIND("/",$A143)+1,20))+1,20))),"")))</f>
        <v/>
      </c>
      <c r="E143">
        <f>IF($A143="","",IF(OR($B143="",$C143="",$D143="",$B143&lt;1300,$B143&gt;1500,$C143&lt;1,$C143&gt;12,$D143&lt;1,$D143&gt;31),"نامعتبر",RIGHT("0000"&amp;$B143,4)&amp;"/"&amp;RIGHT("00"&amp;$C143,2)&amp;"/"&amp;RIGHT("00"&amp;$D143,2)))</f>
        <v/>
      </c>
      <c r="F143">
        <f>IF(Entry!$D143&lt;&gt;"",IF(AND(ISNUMBER(Entry!$D143),Entry!$D143&gt;=0,Entry!$D143&lt;1),RIGHT("00"&amp;HOUR(Entry!$D143),2)&amp;":"&amp;RIGHT("00"&amp;MINUTE(Entry!$D143),2),IFERROR(RIGHT("00"&amp;VALUE(TRIM(LEFT(Entry!$D143,FIND(":",Entry!$D143)-1))),2)&amp;":"&amp;RIGHT("00"&amp;VALUE(TRIM(MID(Entry!$D143,FIND(":",Entry!$D143)+1,2))),2),"نامعتبر")),IF(OR($E143="",$E143="نامعتبر"),"","00:00"))</f>
        <v/>
      </c>
      <c r="G143">
        <f>IF(OR($E143="",$E143="نامعتبر"),"",IF(Entry!$E143="","",LEFT(UPPER(TRIM(Entry!$E143)),6)))</f>
        <v/>
      </c>
      <c r="H143">
        <f>IF($G143="","",RIGHT($E143,4)&amp;MID($E143,6,2)&amp;RIGHT($E143,2)&amp;IF($F143="","0000",IF($F143="نامعتبر","9999",LEFT($F143,2)&amp;RIGHT($F143,2)))&amp;"|"&amp;RIGHT("00000"&amp;135,5))</f>
        <v/>
      </c>
      <c r="I143">
        <f>IF($H143="","",COUNTIFS(CalcBank,$G143,CalcKey,"&lt;"&amp;$H143)+1)</f>
        <v/>
      </c>
      <c r="J143">
        <f>IF($I143="","",$G143&amp;"|"&amp;RIGHT("000000"&amp;$I143,6))</f>
        <v/>
      </c>
      <c r="K143">
        <f>IF(OR($E143="",$E143="نامعتبر"),"",LEFT($E143,4)&amp;"/"&amp;MID($E143,6,2))</f>
        <v/>
      </c>
      <c r="L143">
        <f>IF(Entry!$K143="",0,Entry!$K143)</f>
        <v/>
      </c>
      <c r="M143">
        <f>IF(Entry!$L143="",0,Entry!$L143)</f>
        <v/>
      </c>
    </row>
    <row r="144">
      <c r="A144">
        <f>IF(Entry!$C144="","",Entry!$C144)</f>
        <v/>
      </c>
      <c r="B144">
        <f>IF($A144="","",IF(ISNUMBER($A144),IF(AND($A144&gt;=10000101,$A144&lt;=99991231),INT($A144/10000),""),IFERROR(VALUE(TRIM(LEFT($A144,FIND("/",$A144)-1))),"")))</f>
        <v/>
      </c>
      <c r="C144">
        <f>IF(OR($A144="",$B144=""),"",IF(ISNUMBER($A144),INT(MOD($A144,10000)/100),IFERROR(VALUE(TRIM(LEFT(MID($A144,FIND("/",$A144)+1,20),FIND("/",MID($A144,FIND("/",$A144)+1,20))-1))),"")))</f>
        <v/>
      </c>
      <c r="D144">
        <f>IF(OR($A144="",$B144=""),"",IF(ISNUMBER($A144),MOD($A144,100),IFERROR(VALUE(TRIM(MID(MID($A144,FIND("/",$A144)+1,20),FIND("/",MID($A144,FIND("/",$A144)+1,20))+1,20))),"")))</f>
        <v/>
      </c>
      <c r="E144">
        <f>IF($A144="","",IF(OR($B144="",$C144="",$D144="",$B144&lt;1300,$B144&gt;1500,$C144&lt;1,$C144&gt;12,$D144&lt;1,$D144&gt;31),"نامعتبر",RIGHT("0000"&amp;$B144,4)&amp;"/"&amp;RIGHT("00"&amp;$C144,2)&amp;"/"&amp;RIGHT("00"&amp;$D144,2)))</f>
        <v/>
      </c>
      <c r="F144">
        <f>IF(Entry!$D144&lt;&gt;"",IF(AND(ISNUMBER(Entry!$D144),Entry!$D144&gt;=0,Entry!$D144&lt;1),RIGHT("00"&amp;HOUR(Entry!$D144),2)&amp;":"&amp;RIGHT("00"&amp;MINUTE(Entry!$D144),2),IFERROR(RIGHT("00"&amp;VALUE(TRIM(LEFT(Entry!$D144,FIND(":",Entry!$D144)-1))),2)&amp;":"&amp;RIGHT("00"&amp;VALUE(TRIM(MID(Entry!$D144,FIND(":",Entry!$D144)+1,2))),2),"نامعتبر")),IF(OR($E144="",$E144="نامعتبر"),"","00:00"))</f>
        <v/>
      </c>
      <c r="G144">
        <f>IF(OR($E144="",$E144="نامعتبر"),"",IF(Entry!$E144="","",LEFT(UPPER(TRIM(Entry!$E144)),6)))</f>
        <v/>
      </c>
      <c r="H144">
        <f>IF($G144="","",RIGHT($E144,4)&amp;MID($E144,6,2)&amp;RIGHT($E144,2)&amp;IF($F144="","0000",IF($F144="نامعتبر","9999",LEFT($F144,2)&amp;RIGHT($F144,2)))&amp;"|"&amp;RIGHT("00000"&amp;136,5))</f>
        <v/>
      </c>
      <c r="I144">
        <f>IF($H144="","",COUNTIFS(CalcBank,$G144,CalcKey,"&lt;"&amp;$H144)+1)</f>
        <v/>
      </c>
      <c r="J144">
        <f>IF($I144="","",$G144&amp;"|"&amp;RIGHT("000000"&amp;$I144,6))</f>
        <v/>
      </c>
      <c r="K144">
        <f>IF(OR($E144="",$E144="نامعتبر"),"",LEFT($E144,4)&amp;"/"&amp;MID($E144,6,2))</f>
        <v/>
      </c>
      <c r="L144">
        <f>IF(Entry!$K144="",0,Entry!$K144)</f>
        <v/>
      </c>
      <c r="M144">
        <f>IF(Entry!$L144="",0,Entry!$L144)</f>
        <v/>
      </c>
    </row>
    <row r="145">
      <c r="A145">
        <f>IF(Entry!$C145="","",Entry!$C145)</f>
        <v/>
      </c>
      <c r="B145">
        <f>IF($A145="","",IF(ISNUMBER($A145),IF(AND($A145&gt;=10000101,$A145&lt;=99991231),INT($A145/10000),""),IFERROR(VALUE(TRIM(LEFT($A145,FIND("/",$A145)-1))),"")))</f>
        <v/>
      </c>
      <c r="C145">
        <f>IF(OR($A145="",$B145=""),"",IF(ISNUMBER($A145),INT(MOD($A145,10000)/100),IFERROR(VALUE(TRIM(LEFT(MID($A145,FIND("/",$A145)+1,20),FIND("/",MID($A145,FIND("/",$A145)+1,20))-1))),"")))</f>
        <v/>
      </c>
      <c r="D145">
        <f>IF(OR($A145="",$B145=""),"",IF(ISNUMBER($A145),MOD($A145,100),IFERROR(VALUE(TRIM(MID(MID($A145,FIND("/",$A145)+1,20),FIND("/",MID($A145,FIND("/",$A145)+1,20))+1,20))),"")))</f>
        <v/>
      </c>
      <c r="E145">
        <f>IF($A145="","",IF(OR($B145="",$C145="",$D145="",$B145&lt;1300,$B145&gt;1500,$C145&lt;1,$C145&gt;12,$D145&lt;1,$D145&gt;31),"نامعتبر",RIGHT("0000"&amp;$B145,4)&amp;"/"&amp;RIGHT("00"&amp;$C145,2)&amp;"/"&amp;RIGHT("00"&amp;$D145,2)))</f>
        <v/>
      </c>
      <c r="F145">
        <f>IF(Entry!$D145&lt;&gt;"",IF(AND(ISNUMBER(Entry!$D145),Entry!$D145&gt;=0,Entry!$D145&lt;1),RIGHT("00"&amp;HOUR(Entry!$D145),2)&amp;":"&amp;RIGHT("00"&amp;MINUTE(Entry!$D145),2),IFERROR(RIGHT("00"&amp;VALUE(TRIM(LEFT(Entry!$D145,FIND(":",Entry!$D145)-1))),2)&amp;":"&amp;RIGHT("00"&amp;VALUE(TRIM(MID(Entry!$D145,FIND(":",Entry!$D145)+1,2))),2),"نامعتبر")),IF(OR($E145="",$E145="نامعتبر"),"","00:00"))</f>
        <v/>
      </c>
      <c r="G145">
        <f>IF(OR($E145="",$E145="نامعتبر"),"",IF(Entry!$E145="","",LEFT(UPPER(TRIM(Entry!$E145)),6)))</f>
        <v/>
      </c>
      <c r="H145">
        <f>IF($G145="","",RIGHT($E145,4)&amp;MID($E145,6,2)&amp;RIGHT($E145,2)&amp;IF($F145="","0000",IF($F145="نامعتبر","9999",LEFT($F145,2)&amp;RIGHT($F145,2)))&amp;"|"&amp;RIGHT("00000"&amp;137,5))</f>
        <v/>
      </c>
      <c r="I145">
        <f>IF($H145="","",COUNTIFS(CalcBank,$G145,CalcKey,"&lt;"&amp;$H145)+1)</f>
        <v/>
      </c>
      <c r="J145">
        <f>IF($I145="","",$G145&amp;"|"&amp;RIGHT("000000"&amp;$I145,6))</f>
        <v/>
      </c>
      <c r="K145">
        <f>IF(OR($E145="",$E145="نامعتبر"),"",LEFT($E145,4)&amp;"/"&amp;MID($E145,6,2))</f>
        <v/>
      </c>
      <c r="L145">
        <f>IF(Entry!$K145="",0,Entry!$K145)</f>
        <v/>
      </c>
      <c r="M145">
        <f>IF(Entry!$L145="",0,Entry!$L145)</f>
        <v/>
      </c>
    </row>
    <row r="146">
      <c r="A146">
        <f>IF(Entry!$C146="","",Entry!$C146)</f>
        <v/>
      </c>
      <c r="B146">
        <f>IF($A146="","",IF(ISNUMBER($A146),IF(AND($A146&gt;=10000101,$A146&lt;=99991231),INT($A146/10000),""),IFERROR(VALUE(TRIM(LEFT($A146,FIND("/",$A146)-1))),"")))</f>
        <v/>
      </c>
      <c r="C146">
        <f>IF(OR($A146="",$B146=""),"",IF(ISNUMBER($A146),INT(MOD($A146,10000)/100),IFERROR(VALUE(TRIM(LEFT(MID($A146,FIND("/",$A146)+1,20),FIND("/",MID($A146,FIND("/",$A146)+1,20))-1))),"")))</f>
        <v/>
      </c>
      <c r="D146">
        <f>IF(OR($A146="",$B146=""),"",IF(ISNUMBER($A146),MOD($A146,100),IFERROR(VALUE(TRIM(MID(MID($A146,FIND("/",$A146)+1,20),FIND("/",MID($A146,FIND("/",$A146)+1,20))+1,20))),"")))</f>
        <v/>
      </c>
      <c r="E146">
        <f>IF($A146="","",IF(OR($B146="",$C146="",$D146="",$B146&lt;1300,$B146&gt;1500,$C146&lt;1,$C146&gt;12,$D146&lt;1,$D146&gt;31),"نامعتبر",RIGHT("0000"&amp;$B146,4)&amp;"/"&amp;RIGHT("00"&amp;$C146,2)&amp;"/"&amp;RIGHT("00"&amp;$D146,2)))</f>
        <v/>
      </c>
      <c r="F146">
        <f>IF(Entry!$D146&lt;&gt;"",IF(AND(ISNUMBER(Entry!$D146),Entry!$D146&gt;=0,Entry!$D146&lt;1),RIGHT("00"&amp;HOUR(Entry!$D146),2)&amp;":"&amp;RIGHT("00"&amp;MINUTE(Entry!$D146),2),IFERROR(RIGHT("00"&amp;VALUE(TRIM(LEFT(Entry!$D146,FIND(":",Entry!$D146)-1))),2)&amp;":"&amp;RIGHT("00"&amp;VALUE(TRIM(MID(Entry!$D146,FIND(":",Entry!$D146)+1,2))),2),"نامعتبر")),IF(OR($E146="",$E146="نامعتبر"),"","00:00"))</f>
        <v/>
      </c>
      <c r="G146">
        <f>IF(OR($E146="",$E146="نامعتبر"),"",IF(Entry!$E146="","",LEFT(UPPER(TRIM(Entry!$E146)),6)))</f>
        <v/>
      </c>
      <c r="H146">
        <f>IF($G146="","",RIGHT($E146,4)&amp;MID($E146,6,2)&amp;RIGHT($E146,2)&amp;IF($F146="","0000",IF($F146="نامعتبر","9999",LEFT($F146,2)&amp;RIGHT($F146,2)))&amp;"|"&amp;RIGHT("00000"&amp;138,5))</f>
        <v/>
      </c>
      <c r="I146">
        <f>IF($H146="","",COUNTIFS(CalcBank,$G146,CalcKey,"&lt;"&amp;$H146)+1)</f>
        <v/>
      </c>
      <c r="J146">
        <f>IF($I146="","",$G146&amp;"|"&amp;RIGHT("000000"&amp;$I146,6))</f>
        <v/>
      </c>
      <c r="K146">
        <f>IF(OR($E146="",$E146="نامعتبر"),"",LEFT($E146,4)&amp;"/"&amp;MID($E146,6,2))</f>
        <v/>
      </c>
      <c r="L146">
        <f>IF(Entry!$K146="",0,Entry!$K146)</f>
        <v/>
      </c>
      <c r="M146">
        <f>IF(Entry!$L146="",0,Entry!$L146)</f>
        <v/>
      </c>
    </row>
    <row r="147">
      <c r="A147">
        <f>IF(Entry!$C147="","",Entry!$C147)</f>
        <v/>
      </c>
      <c r="B147">
        <f>IF($A147="","",IF(ISNUMBER($A147),IF(AND($A147&gt;=10000101,$A147&lt;=99991231),INT($A147/10000),""),IFERROR(VALUE(TRIM(LEFT($A147,FIND("/",$A147)-1))),"")))</f>
        <v/>
      </c>
      <c r="C147">
        <f>IF(OR($A147="",$B147=""),"",IF(ISNUMBER($A147),INT(MOD($A147,10000)/100),IFERROR(VALUE(TRIM(LEFT(MID($A147,FIND("/",$A147)+1,20),FIND("/",MID($A147,FIND("/",$A147)+1,20))-1))),"")))</f>
        <v/>
      </c>
      <c r="D147">
        <f>IF(OR($A147="",$B147=""),"",IF(ISNUMBER($A147),MOD($A147,100),IFERROR(VALUE(TRIM(MID(MID($A147,FIND("/",$A147)+1,20),FIND("/",MID($A147,FIND("/",$A147)+1,20))+1,20))),"")))</f>
        <v/>
      </c>
      <c r="E147">
        <f>IF($A147="","",IF(OR($B147="",$C147="",$D147="",$B147&lt;1300,$B147&gt;1500,$C147&lt;1,$C147&gt;12,$D147&lt;1,$D147&gt;31),"نامعتبر",RIGHT("0000"&amp;$B147,4)&amp;"/"&amp;RIGHT("00"&amp;$C147,2)&amp;"/"&amp;RIGHT("00"&amp;$D147,2)))</f>
        <v/>
      </c>
      <c r="F147">
        <f>IF(Entry!$D147&lt;&gt;"",IF(AND(ISNUMBER(Entry!$D147),Entry!$D147&gt;=0,Entry!$D147&lt;1),RIGHT("00"&amp;HOUR(Entry!$D147),2)&amp;":"&amp;RIGHT("00"&amp;MINUTE(Entry!$D147),2),IFERROR(RIGHT("00"&amp;VALUE(TRIM(LEFT(Entry!$D147,FIND(":",Entry!$D147)-1))),2)&amp;":"&amp;RIGHT("00"&amp;VALUE(TRIM(MID(Entry!$D147,FIND(":",Entry!$D147)+1,2))),2),"نامعتبر")),IF(OR($E147="",$E147="نامعتبر"),"","00:00"))</f>
        <v/>
      </c>
      <c r="G147">
        <f>IF(OR($E147="",$E147="نامعتبر"),"",IF(Entry!$E147="","",LEFT(UPPER(TRIM(Entry!$E147)),6)))</f>
        <v/>
      </c>
      <c r="H147">
        <f>IF($G147="","",RIGHT($E147,4)&amp;MID($E147,6,2)&amp;RIGHT($E147,2)&amp;IF($F147="","0000",IF($F147="نامعتبر","9999",LEFT($F147,2)&amp;RIGHT($F147,2)))&amp;"|"&amp;RIGHT("00000"&amp;139,5))</f>
        <v/>
      </c>
      <c r="I147">
        <f>IF($H147="","",COUNTIFS(CalcBank,$G147,CalcKey,"&lt;"&amp;$H147)+1)</f>
        <v/>
      </c>
      <c r="J147">
        <f>IF($I147="","",$G147&amp;"|"&amp;RIGHT("000000"&amp;$I147,6))</f>
        <v/>
      </c>
      <c r="K147">
        <f>IF(OR($E147="",$E147="نامعتبر"),"",LEFT($E147,4)&amp;"/"&amp;MID($E147,6,2))</f>
        <v/>
      </c>
      <c r="L147">
        <f>IF(Entry!$K147="",0,Entry!$K147)</f>
        <v/>
      </c>
      <c r="M147">
        <f>IF(Entry!$L147="",0,Entry!$L147)</f>
        <v/>
      </c>
    </row>
    <row r="148">
      <c r="A148">
        <f>IF(Entry!$C148="","",Entry!$C148)</f>
        <v/>
      </c>
      <c r="B148">
        <f>IF($A148="","",IF(ISNUMBER($A148),IF(AND($A148&gt;=10000101,$A148&lt;=99991231),INT($A148/10000),""),IFERROR(VALUE(TRIM(LEFT($A148,FIND("/",$A148)-1))),"")))</f>
        <v/>
      </c>
      <c r="C148">
        <f>IF(OR($A148="",$B148=""),"",IF(ISNUMBER($A148),INT(MOD($A148,10000)/100),IFERROR(VALUE(TRIM(LEFT(MID($A148,FIND("/",$A148)+1,20),FIND("/",MID($A148,FIND("/",$A148)+1,20))-1))),"")))</f>
        <v/>
      </c>
      <c r="D148">
        <f>IF(OR($A148="",$B148=""),"",IF(ISNUMBER($A148),MOD($A148,100),IFERROR(VALUE(TRIM(MID(MID($A148,FIND("/",$A148)+1,20),FIND("/",MID($A148,FIND("/",$A148)+1,20))+1,20))),"")))</f>
        <v/>
      </c>
      <c r="E148">
        <f>IF($A148="","",IF(OR($B148="",$C148="",$D148="",$B148&lt;1300,$B148&gt;1500,$C148&lt;1,$C148&gt;12,$D148&lt;1,$D148&gt;31),"نامعتبر",RIGHT("0000"&amp;$B148,4)&amp;"/"&amp;RIGHT("00"&amp;$C148,2)&amp;"/"&amp;RIGHT("00"&amp;$D148,2)))</f>
        <v/>
      </c>
      <c r="F148">
        <f>IF(Entry!$D148&lt;&gt;"",IF(AND(ISNUMBER(Entry!$D148),Entry!$D148&gt;=0,Entry!$D148&lt;1),RIGHT("00"&amp;HOUR(Entry!$D148),2)&amp;":"&amp;RIGHT("00"&amp;MINUTE(Entry!$D148),2),IFERROR(RIGHT("00"&amp;VALUE(TRIM(LEFT(Entry!$D148,FIND(":",Entry!$D148)-1))),2)&amp;":"&amp;RIGHT("00"&amp;VALUE(TRIM(MID(Entry!$D148,FIND(":",Entry!$D148)+1,2))),2),"نامعتبر")),IF(OR($E148="",$E148="نامعتبر"),"","00:00"))</f>
        <v/>
      </c>
      <c r="G148">
        <f>IF(OR($E148="",$E148="نامعتبر"),"",IF(Entry!$E148="","",LEFT(UPPER(TRIM(Entry!$E148)),6)))</f>
        <v/>
      </c>
      <c r="H148">
        <f>IF($G148="","",RIGHT($E148,4)&amp;MID($E148,6,2)&amp;RIGHT($E148,2)&amp;IF($F148="","0000",IF($F148="نامعتبر","9999",LEFT($F148,2)&amp;RIGHT($F148,2)))&amp;"|"&amp;RIGHT("00000"&amp;140,5))</f>
        <v/>
      </c>
      <c r="I148">
        <f>IF($H148="","",COUNTIFS(CalcBank,$G148,CalcKey,"&lt;"&amp;$H148)+1)</f>
        <v/>
      </c>
      <c r="J148">
        <f>IF($I148="","",$G148&amp;"|"&amp;RIGHT("000000"&amp;$I148,6))</f>
        <v/>
      </c>
      <c r="K148">
        <f>IF(OR($E148="",$E148="نامعتبر"),"",LEFT($E148,4)&amp;"/"&amp;MID($E148,6,2))</f>
        <v/>
      </c>
      <c r="L148">
        <f>IF(Entry!$K148="",0,Entry!$K148)</f>
        <v/>
      </c>
      <c r="M148">
        <f>IF(Entry!$L148="",0,Entry!$L148)</f>
        <v/>
      </c>
    </row>
    <row r="149">
      <c r="A149">
        <f>IF(Entry!$C149="","",Entry!$C149)</f>
        <v/>
      </c>
      <c r="B149">
        <f>IF($A149="","",IF(ISNUMBER($A149),IF(AND($A149&gt;=10000101,$A149&lt;=99991231),INT($A149/10000),""),IFERROR(VALUE(TRIM(LEFT($A149,FIND("/",$A149)-1))),"")))</f>
        <v/>
      </c>
      <c r="C149">
        <f>IF(OR($A149="",$B149=""),"",IF(ISNUMBER($A149),INT(MOD($A149,10000)/100),IFERROR(VALUE(TRIM(LEFT(MID($A149,FIND("/",$A149)+1,20),FIND("/",MID($A149,FIND("/",$A149)+1,20))-1))),"")))</f>
        <v/>
      </c>
      <c r="D149">
        <f>IF(OR($A149="",$B149=""),"",IF(ISNUMBER($A149),MOD($A149,100),IFERROR(VALUE(TRIM(MID(MID($A149,FIND("/",$A149)+1,20),FIND("/",MID($A149,FIND("/",$A149)+1,20))+1,20))),"")))</f>
        <v/>
      </c>
      <c r="E149">
        <f>IF($A149="","",IF(OR($B149="",$C149="",$D149="",$B149&lt;1300,$B149&gt;1500,$C149&lt;1,$C149&gt;12,$D149&lt;1,$D149&gt;31),"نامعتبر",RIGHT("0000"&amp;$B149,4)&amp;"/"&amp;RIGHT("00"&amp;$C149,2)&amp;"/"&amp;RIGHT("00"&amp;$D149,2)))</f>
        <v/>
      </c>
      <c r="F149">
        <f>IF(Entry!$D149&lt;&gt;"",IF(AND(ISNUMBER(Entry!$D149),Entry!$D149&gt;=0,Entry!$D149&lt;1),RIGHT("00"&amp;HOUR(Entry!$D149),2)&amp;":"&amp;RIGHT("00"&amp;MINUTE(Entry!$D149),2),IFERROR(RIGHT("00"&amp;VALUE(TRIM(LEFT(Entry!$D149,FIND(":",Entry!$D149)-1))),2)&amp;":"&amp;RIGHT("00"&amp;VALUE(TRIM(MID(Entry!$D149,FIND(":",Entry!$D149)+1,2))),2),"نامعتبر")),IF(OR($E149="",$E149="نامعتبر"),"","00:00"))</f>
        <v/>
      </c>
      <c r="G149">
        <f>IF(OR($E149="",$E149="نامعتبر"),"",IF(Entry!$E149="","",LEFT(UPPER(TRIM(Entry!$E149)),6)))</f>
        <v/>
      </c>
      <c r="H149">
        <f>IF($G149="","",RIGHT($E149,4)&amp;MID($E149,6,2)&amp;RIGHT($E149,2)&amp;IF($F149="","0000",IF($F149="نامعتبر","9999",LEFT($F149,2)&amp;RIGHT($F149,2)))&amp;"|"&amp;RIGHT("00000"&amp;141,5))</f>
        <v/>
      </c>
      <c r="I149">
        <f>IF($H149="","",COUNTIFS(CalcBank,$G149,CalcKey,"&lt;"&amp;$H149)+1)</f>
        <v/>
      </c>
      <c r="J149">
        <f>IF($I149="","",$G149&amp;"|"&amp;RIGHT("000000"&amp;$I149,6))</f>
        <v/>
      </c>
      <c r="K149">
        <f>IF(OR($E149="",$E149="نامعتبر"),"",LEFT($E149,4)&amp;"/"&amp;MID($E149,6,2))</f>
        <v/>
      </c>
      <c r="L149">
        <f>IF(Entry!$K149="",0,Entry!$K149)</f>
        <v/>
      </c>
      <c r="M149">
        <f>IF(Entry!$L149="",0,Entry!$L149)</f>
        <v/>
      </c>
    </row>
    <row r="150">
      <c r="A150">
        <f>IF(Entry!$C150="","",Entry!$C150)</f>
        <v/>
      </c>
      <c r="B150">
        <f>IF($A150="","",IF(ISNUMBER($A150),IF(AND($A150&gt;=10000101,$A150&lt;=99991231),INT($A150/10000),""),IFERROR(VALUE(TRIM(LEFT($A150,FIND("/",$A150)-1))),"")))</f>
        <v/>
      </c>
      <c r="C150">
        <f>IF(OR($A150="",$B150=""),"",IF(ISNUMBER($A150),INT(MOD($A150,10000)/100),IFERROR(VALUE(TRIM(LEFT(MID($A150,FIND("/",$A150)+1,20),FIND("/",MID($A150,FIND("/",$A150)+1,20))-1))),"")))</f>
        <v/>
      </c>
      <c r="D150">
        <f>IF(OR($A150="",$B150=""),"",IF(ISNUMBER($A150),MOD($A150,100),IFERROR(VALUE(TRIM(MID(MID($A150,FIND("/",$A150)+1,20),FIND("/",MID($A150,FIND("/",$A150)+1,20))+1,20))),"")))</f>
        <v/>
      </c>
      <c r="E150">
        <f>IF($A150="","",IF(OR($B150="",$C150="",$D150="",$B150&lt;1300,$B150&gt;1500,$C150&lt;1,$C150&gt;12,$D150&lt;1,$D150&gt;31),"نامعتبر",RIGHT("0000"&amp;$B150,4)&amp;"/"&amp;RIGHT("00"&amp;$C150,2)&amp;"/"&amp;RIGHT("00"&amp;$D150,2)))</f>
        <v/>
      </c>
      <c r="F150">
        <f>IF(Entry!$D150&lt;&gt;"",IF(AND(ISNUMBER(Entry!$D150),Entry!$D150&gt;=0,Entry!$D150&lt;1),RIGHT("00"&amp;HOUR(Entry!$D150),2)&amp;":"&amp;RIGHT("00"&amp;MINUTE(Entry!$D150),2),IFERROR(RIGHT("00"&amp;VALUE(TRIM(LEFT(Entry!$D150,FIND(":",Entry!$D150)-1))),2)&amp;":"&amp;RIGHT("00"&amp;VALUE(TRIM(MID(Entry!$D150,FIND(":",Entry!$D150)+1,2))),2),"نامعتبر")),IF(OR($E150="",$E150="نامعتبر"),"","00:00"))</f>
        <v/>
      </c>
      <c r="G150">
        <f>IF(OR($E150="",$E150="نامعتبر"),"",IF(Entry!$E150="","",LEFT(UPPER(TRIM(Entry!$E150)),6)))</f>
        <v/>
      </c>
      <c r="H150">
        <f>IF($G150="","",RIGHT($E150,4)&amp;MID($E150,6,2)&amp;RIGHT($E150,2)&amp;IF($F150="","0000",IF($F150="نامعتبر","9999",LEFT($F150,2)&amp;RIGHT($F150,2)))&amp;"|"&amp;RIGHT("00000"&amp;142,5))</f>
        <v/>
      </c>
      <c r="I150">
        <f>IF($H150="","",COUNTIFS(CalcBank,$G150,CalcKey,"&lt;"&amp;$H150)+1)</f>
        <v/>
      </c>
      <c r="J150">
        <f>IF($I150="","",$G150&amp;"|"&amp;RIGHT("000000"&amp;$I150,6))</f>
        <v/>
      </c>
      <c r="K150">
        <f>IF(OR($E150="",$E150="نامعتبر"),"",LEFT($E150,4)&amp;"/"&amp;MID($E150,6,2))</f>
        <v/>
      </c>
      <c r="L150">
        <f>IF(Entry!$K150="",0,Entry!$K150)</f>
        <v/>
      </c>
      <c r="M150">
        <f>IF(Entry!$L150="",0,Entry!$L150)</f>
        <v/>
      </c>
    </row>
    <row r="151">
      <c r="A151">
        <f>IF(Entry!$C151="","",Entry!$C151)</f>
        <v/>
      </c>
      <c r="B151">
        <f>IF($A151="","",IF(ISNUMBER($A151),IF(AND($A151&gt;=10000101,$A151&lt;=99991231),INT($A151/10000),""),IFERROR(VALUE(TRIM(LEFT($A151,FIND("/",$A151)-1))),"")))</f>
        <v/>
      </c>
      <c r="C151">
        <f>IF(OR($A151="",$B151=""),"",IF(ISNUMBER($A151),INT(MOD($A151,10000)/100),IFERROR(VALUE(TRIM(LEFT(MID($A151,FIND("/",$A151)+1,20),FIND("/",MID($A151,FIND("/",$A151)+1,20))-1))),"")))</f>
        <v/>
      </c>
      <c r="D151">
        <f>IF(OR($A151="",$B151=""),"",IF(ISNUMBER($A151),MOD($A151,100),IFERROR(VALUE(TRIM(MID(MID($A151,FIND("/",$A151)+1,20),FIND("/",MID($A151,FIND("/",$A151)+1,20))+1,20))),"")))</f>
        <v/>
      </c>
      <c r="E151">
        <f>IF($A151="","",IF(OR($B151="",$C151="",$D151="",$B151&lt;1300,$B151&gt;1500,$C151&lt;1,$C151&gt;12,$D151&lt;1,$D151&gt;31),"نامعتبر",RIGHT("0000"&amp;$B151,4)&amp;"/"&amp;RIGHT("00"&amp;$C151,2)&amp;"/"&amp;RIGHT("00"&amp;$D151,2)))</f>
        <v/>
      </c>
      <c r="F151">
        <f>IF(Entry!$D151&lt;&gt;"",IF(AND(ISNUMBER(Entry!$D151),Entry!$D151&gt;=0,Entry!$D151&lt;1),RIGHT("00"&amp;HOUR(Entry!$D151),2)&amp;":"&amp;RIGHT("00"&amp;MINUTE(Entry!$D151),2),IFERROR(RIGHT("00"&amp;VALUE(TRIM(LEFT(Entry!$D151,FIND(":",Entry!$D151)-1))),2)&amp;":"&amp;RIGHT("00"&amp;VALUE(TRIM(MID(Entry!$D151,FIND(":",Entry!$D151)+1,2))),2),"نامعتبر")),IF(OR($E151="",$E151="نامعتبر"),"","00:00"))</f>
        <v/>
      </c>
      <c r="G151">
        <f>IF(OR($E151="",$E151="نامعتبر"),"",IF(Entry!$E151="","",LEFT(UPPER(TRIM(Entry!$E151)),6)))</f>
        <v/>
      </c>
      <c r="H151">
        <f>IF($G151="","",RIGHT($E151,4)&amp;MID($E151,6,2)&amp;RIGHT($E151,2)&amp;IF($F151="","0000",IF($F151="نامعتبر","9999",LEFT($F151,2)&amp;RIGHT($F151,2)))&amp;"|"&amp;RIGHT("00000"&amp;143,5))</f>
        <v/>
      </c>
      <c r="I151">
        <f>IF($H151="","",COUNTIFS(CalcBank,$G151,CalcKey,"&lt;"&amp;$H151)+1)</f>
        <v/>
      </c>
      <c r="J151">
        <f>IF($I151="","",$G151&amp;"|"&amp;RIGHT("000000"&amp;$I151,6))</f>
        <v/>
      </c>
      <c r="K151">
        <f>IF(OR($E151="",$E151="نامعتبر"),"",LEFT($E151,4)&amp;"/"&amp;MID($E151,6,2))</f>
        <v/>
      </c>
      <c r="L151">
        <f>IF(Entry!$K151="",0,Entry!$K151)</f>
        <v/>
      </c>
      <c r="M151">
        <f>IF(Entry!$L151="",0,Entry!$L151)</f>
        <v/>
      </c>
    </row>
    <row r="152">
      <c r="A152">
        <f>IF(Entry!$C152="","",Entry!$C152)</f>
        <v/>
      </c>
      <c r="B152">
        <f>IF($A152="","",IF(ISNUMBER($A152),IF(AND($A152&gt;=10000101,$A152&lt;=99991231),INT($A152/10000),""),IFERROR(VALUE(TRIM(LEFT($A152,FIND("/",$A152)-1))),"")))</f>
        <v/>
      </c>
      <c r="C152">
        <f>IF(OR($A152="",$B152=""),"",IF(ISNUMBER($A152),INT(MOD($A152,10000)/100),IFERROR(VALUE(TRIM(LEFT(MID($A152,FIND("/",$A152)+1,20),FIND("/",MID($A152,FIND("/",$A152)+1,20))-1))),"")))</f>
        <v/>
      </c>
      <c r="D152">
        <f>IF(OR($A152="",$B152=""),"",IF(ISNUMBER($A152),MOD($A152,100),IFERROR(VALUE(TRIM(MID(MID($A152,FIND("/",$A152)+1,20),FIND("/",MID($A152,FIND("/",$A152)+1,20))+1,20))),"")))</f>
        <v/>
      </c>
      <c r="E152">
        <f>IF($A152="","",IF(OR($B152="",$C152="",$D152="",$B152&lt;1300,$B152&gt;1500,$C152&lt;1,$C152&gt;12,$D152&lt;1,$D152&gt;31),"نامعتبر",RIGHT("0000"&amp;$B152,4)&amp;"/"&amp;RIGHT("00"&amp;$C152,2)&amp;"/"&amp;RIGHT("00"&amp;$D152,2)))</f>
        <v/>
      </c>
      <c r="F152">
        <f>IF(Entry!$D152&lt;&gt;"",IF(AND(ISNUMBER(Entry!$D152),Entry!$D152&gt;=0,Entry!$D152&lt;1),RIGHT("00"&amp;HOUR(Entry!$D152),2)&amp;":"&amp;RIGHT("00"&amp;MINUTE(Entry!$D152),2),IFERROR(RIGHT("00"&amp;VALUE(TRIM(LEFT(Entry!$D152,FIND(":",Entry!$D152)-1))),2)&amp;":"&amp;RIGHT("00"&amp;VALUE(TRIM(MID(Entry!$D152,FIND(":",Entry!$D152)+1,2))),2),"نامعتبر")),IF(OR($E152="",$E152="نامعتبر"),"","00:00"))</f>
        <v/>
      </c>
      <c r="G152">
        <f>IF(OR($E152="",$E152="نامعتبر"),"",IF(Entry!$E152="","",LEFT(UPPER(TRIM(Entry!$E152)),6)))</f>
        <v/>
      </c>
      <c r="H152">
        <f>IF($G152="","",RIGHT($E152,4)&amp;MID($E152,6,2)&amp;RIGHT($E152,2)&amp;IF($F152="","0000",IF($F152="نامعتبر","9999",LEFT($F152,2)&amp;RIGHT($F152,2)))&amp;"|"&amp;RIGHT("00000"&amp;144,5))</f>
        <v/>
      </c>
      <c r="I152">
        <f>IF($H152="","",COUNTIFS(CalcBank,$G152,CalcKey,"&lt;"&amp;$H152)+1)</f>
        <v/>
      </c>
      <c r="J152">
        <f>IF($I152="","",$G152&amp;"|"&amp;RIGHT("000000"&amp;$I152,6))</f>
        <v/>
      </c>
      <c r="K152">
        <f>IF(OR($E152="",$E152="نامعتبر"),"",LEFT($E152,4)&amp;"/"&amp;MID($E152,6,2))</f>
        <v/>
      </c>
      <c r="L152">
        <f>IF(Entry!$K152="",0,Entry!$K152)</f>
        <v/>
      </c>
      <c r="M152">
        <f>IF(Entry!$L152="",0,Entry!$L152)</f>
        <v/>
      </c>
    </row>
    <row r="153">
      <c r="A153">
        <f>IF(Entry!$C153="","",Entry!$C153)</f>
        <v/>
      </c>
      <c r="B153">
        <f>IF($A153="","",IF(ISNUMBER($A153),IF(AND($A153&gt;=10000101,$A153&lt;=99991231),INT($A153/10000),""),IFERROR(VALUE(TRIM(LEFT($A153,FIND("/",$A153)-1))),"")))</f>
        <v/>
      </c>
      <c r="C153">
        <f>IF(OR($A153="",$B153=""),"",IF(ISNUMBER($A153),INT(MOD($A153,10000)/100),IFERROR(VALUE(TRIM(LEFT(MID($A153,FIND("/",$A153)+1,20),FIND("/",MID($A153,FIND("/",$A153)+1,20))-1))),"")))</f>
        <v/>
      </c>
      <c r="D153">
        <f>IF(OR($A153="",$B153=""),"",IF(ISNUMBER($A153),MOD($A153,100),IFERROR(VALUE(TRIM(MID(MID($A153,FIND("/",$A153)+1,20),FIND("/",MID($A153,FIND("/",$A153)+1,20))+1,20))),"")))</f>
        <v/>
      </c>
      <c r="E153">
        <f>IF($A153="","",IF(OR($B153="",$C153="",$D153="",$B153&lt;1300,$B153&gt;1500,$C153&lt;1,$C153&gt;12,$D153&lt;1,$D153&gt;31),"نامعتبر",RIGHT("0000"&amp;$B153,4)&amp;"/"&amp;RIGHT("00"&amp;$C153,2)&amp;"/"&amp;RIGHT("00"&amp;$D153,2)))</f>
        <v/>
      </c>
      <c r="F153">
        <f>IF(Entry!$D153&lt;&gt;"",IF(AND(ISNUMBER(Entry!$D153),Entry!$D153&gt;=0,Entry!$D153&lt;1),RIGHT("00"&amp;HOUR(Entry!$D153),2)&amp;":"&amp;RIGHT("00"&amp;MINUTE(Entry!$D153),2),IFERROR(RIGHT("00"&amp;VALUE(TRIM(LEFT(Entry!$D153,FIND(":",Entry!$D153)-1))),2)&amp;":"&amp;RIGHT("00"&amp;VALUE(TRIM(MID(Entry!$D153,FIND(":",Entry!$D153)+1,2))),2),"نامعتبر")),IF(OR($E153="",$E153="نامعتبر"),"","00:00"))</f>
        <v/>
      </c>
      <c r="G153">
        <f>IF(OR($E153="",$E153="نامعتبر"),"",IF(Entry!$E153="","",LEFT(UPPER(TRIM(Entry!$E153)),6)))</f>
        <v/>
      </c>
      <c r="H153">
        <f>IF($G153="","",RIGHT($E153,4)&amp;MID($E153,6,2)&amp;RIGHT($E153,2)&amp;IF($F153="","0000",IF($F153="نامعتبر","9999",LEFT($F153,2)&amp;RIGHT($F153,2)))&amp;"|"&amp;RIGHT("00000"&amp;145,5))</f>
        <v/>
      </c>
      <c r="I153">
        <f>IF($H153="","",COUNTIFS(CalcBank,$G153,CalcKey,"&lt;"&amp;$H153)+1)</f>
        <v/>
      </c>
      <c r="J153">
        <f>IF($I153="","",$G153&amp;"|"&amp;RIGHT("000000"&amp;$I153,6))</f>
        <v/>
      </c>
      <c r="K153">
        <f>IF(OR($E153="",$E153="نامعتبر"),"",LEFT($E153,4)&amp;"/"&amp;MID($E153,6,2))</f>
        <v/>
      </c>
      <c r="L153">
        <f>IF(Entry!$K153="",0,Entry!$K153)</f>
        <v/>
      </c>
      <c r="M153">
        <f>IF(Entry!$L153="",0,Entry!$L153)</f>
        <v/>
      </c>
    </row>
    <row r="154">
      <c r="A154">
        <f>IF(Entry!$C154="","",Entry!$C154)</f>
        <v/>
      </c>
      <c r="B154">
        <f>IF($A154="","",IF(ISNUMBER($A154),IF(AND($A154&gt;=10000101,$A154&lt;=99991231),INT($A154/10000),""),IFERROR(VALUE(TRIM(LEFT($A154,FIND("/",$A154)-1))),"")))</f>
        <v/>
      </c>
      <c r="C154">
        <f>IF(OR($A154="",$B154=""),"",IF(ISNUMBER($A154),INT(MOD($A154,10000)/100),IFERROR(VALUE(TRIM(LEFT(MID($A154,FIND("/",$A154)+1,20),FIND("/",MID($A154,FIND("/",$A154)+1,20))-1))),"")))</f>
        <v/>
      </c>
      <c r="D154">
        <f>IF(OR($A154="",$B154=""),"",IF(ISNUMBER($A154),MOD($A154,100),IFERROR(VALUE(TRIM(MID(MID($A154,FIND("/",$A154)+1,20),FIND("/",MID($A154,FIND("/",$A154)+1,20))+1,20))),"")))</f>
        <v/>
      </c>
      <c r="E154">
        <f>IF($A154="","",IF(OR($B154="",$C154="",$D154="",$B154&lt;1300,$B154&gt;1500,$C154&lt;1,$C154&gt;12,$D154&lt;1,$D154&gt;31),"نامعتبر",RIGHT("0000"&amp;$B154,4)&amp;"/"&amp;RIGHT("00"&amp;$C154,2)&amp;"/"&amp;RIGHT("00"&amp;$D154,2)))</f>
        <v/>
      </c>
      <c r="F154">
        <f>IF(Entry!$D154&lt;&gt;"",IF(AND(ISNUMBER(Entry!$D154),Entry!$D154&gt;=0,Entry!$D154&lt;1),RIGHT("00"&amp;HOUR(Entry!$D154),2)&amp;":"&amp;RIGHT("00"&amp;MINUTE(Entry!$D154),2),IFERROR(RIGHT("00"&amp;VALUE(TRIM(LEFT(Entry!$D154,FIND(":",Entry!$D154)-1))),2)&amp;":"&amp;RIGHT("00"&amp;VALUE(TRIM(MID(Entry!$D154,FIND(":",Entry!$D154)+1,2))),2),"نامعتبر")),IF(OR($E154="",$E154="نامعتبر"),"","00:00"))</f>
        <v/>
      </c>
      <c r="G154">
        <f>IF(OR($E154="",$E154="نامعتبر"),"",IF(Entry!$E154="","",LEFT(UPPER(TRIM(Entry!$E154)),6)))</f>
        <v/>
      </c>
      <c r="H154">
        <f>IF($G154="","",RIGHT($E154,4)&amp;MID($E154,6,2)&amp;RIGHT($E154,2)&amp;IF($F154="","0000",IF($F154="نامعتبر","9999",LEFT($F154,2)&amp;RIGHT($F154,2)))&amp;"|"&amp;RIGHT("00000"&amp;146,5))</f>
        <v/>
      </c>
      <c r="I154">
        <f>IF($H154="","",COUNTIFS(CalcBank,$G154,CalcKey,"&lt;"&amp;$H154)+1)</f>
        <v/>
      </c>
      <c r="J154">
        <f>IF($I154="","",$G154&amp;"|"&amp;RIGHT("000000"&amp;$I154,6))</f>
        <v/>
      </c>
      <c r="K154">
        <f>IF(OR($E154="",$E154="نامعتبر"),"",LEFT($E154,4)&amp;"/"&amp;MID($E154,6,2))</f>
        <v/>
      </c>
      <c r="L154">
        <f>IF(Entry!$K154="",0,Entry!$K154)</f>
        <v/>
      </c>
      <c r="M154">
        <f>IF(Entry!$L154="",0,Entry!$L154)</f>
        <v/>
      </c>
    </row>
    <row r="155">
      <c r="A155">
        <f>IF(Entry!$C155="","",Entry!$C155)</f>
        <v/>
      </c>
      <c r="B155">
        <f>IF($A155="","",IF(ISNUMBER($A155),IF(AND($A155&gt;=10000101,$A155&lt;=99991231),INT($A155/10000),""),IFERROR(VALUE(TRIM(LEFT($A155,FIND("/",$A155)-1))),"")))</f>
        <v/>
      </c>
      <c r="C155">
        <f>IF(OR($A155="",$B155=""),"",IF(ISNUMBER($A155),INT(MOD($A155,10000)/100),IFERROR(VALUE(TRIM(LEFT(MID($A155,FIND("/",$A155)+1,20),FIND("/",MID($A155,FIND("/",$A155)+1,20))-1))),"")))</f>
        <v/>
      </c>
      <c r="D155">
        <f>IF(OR($A155="",$B155=""),"",IF(ISNUMBER($A155),MOD($A155,100),IFERROR(VALUE(TRIM(MID(MID($A155,FIND("/",$A155)+1,20),FIND("/",MID($A155,FIND("/",$A155)+1,20))+1,20))),"")))</f>
        <v/>
      </c>
      <c r="E155">
        <f>IF($A155="","",IF(OR($B155="",$C155="",$D155="",$B155&lt;1300,$B155&gt;1500,$C155&lt;1,$C155&gt;12,$D155&lt;1,$D155&gt;31),"نامعتبر",RIGHT("0000"&amp;$B155,4)&amp;"/"&amp;RIGHT("00"&amp;$C155,2)&amp;"/"&amp;RIGHT("00"&amp;$D155,2)))</f>
        <v/>
      </c>
      <c r="F155">
        <f>IF(Entry!$D155&lt;&gt;"",IF(AND(ISNUMBER(Entry!$D155),Entry!$D155&gt;=0,Entry!$D155&lt;1),RIGHT("00"&amp;HOUR(Entry!$D155),2)&amp;":"&amp;RIGHT("00"&amp;MINUTE(Entry!$D155),2),IFERROR(RIGHT("00"&amp;VALUE(TRIM(LEFT(Entry!$D155,FIND(":",Entry!$D155)-1))),2)&amp;":"&amp;RIGHT("00"&amp;VALUE(TRIM(MID(Entry!$D155,FIND(":",Entry!$D155)+1,2))),2),"نامعتبر")),IF(OR($E155="",$E155="نامعتبر"),"","00:00"))</f>
        <v/>
      </c>
      <c r="G155">
        <f>IF(OR($E155="",$E155="نامعتبر"),"",IF(Entry!$E155="","",LEFT(UPPER(TRIM(Entry!$E155)),6)))</f>
        <v/>
      </c>
      <c r="H155">
        <f>IF($G155="","",RIGHT($E155,4)&amp;MID($E155,6,2)&amp;RIGHT($E155,2)&amp;IF($F155="","0000",IF($F155="نامعتبر","9999",LEFT($F155,2)&amp;RIGHT($F155,2)))&amp;"|"&amp;RIGHT("00000"&amp;147,5))</f>
        <v/>
      </c>
      <c r="I155">
        <f>IF($H155="","",COUNTIFS(CalcBank,$G155,CalcKey,"&lt;"&amp;$H155)+1)</f>
        <v/>
      </c>
      <c r="J155">
        <f>IF($I155="","",$G155&amp;"|"&amp;RIGHT("000000"&amp;$I155,6))</f>
        <v/>
      </c>
      <c r="K155">
        <f>IF(OR($E155="",$E155="نامعتبر"),"",LEFT($E155,4)&amp;"/"&amp;MID($E155,6,2))</f>
        <v/>
      </c>
      <c r="L155">
        <f>IF(Entry!$K155="",0,Entry!$K155)</f>
        <v/>
      </c>
      <c r="M155">
        <f>IF(Entry!$L155="",0,Entry!$L155)</f>
        <v/>
      </c>
    </row>
    <row r="156">
      <c r="A156">
        <f>IF(Entry!$C156="","",Entry!$C156)</f>
        <v/>
      </c>
      <c r="B156">
        <f>IF($A156="","",IF(ISNUMBER($A156),IF(AND($A156&gt;=10000101,$A156&lt;=99991231),INT($A156/10000),""),IFERROR(VALUE(TRIM(LEFT($A156,FIND("/",$A156)-1))),"")))</f>
        <v/>
      </c>
      <c r="C156">
        <f>IF(OR($A156="",$B156=""),"",IF(ISNUMBER($A156),INT(MOD($A156,10000)/100),IFERROR(VALUE(TRIM(LEFT(MID($A156,FIND("/",$A156)+1,20),FIND("/",MID($A156,FIND("/",$A156)+1,20))-1))),"")))</f>
        <v/>
      </c>
      <c r="D156">
        <f>IF(OR($A156="",$B156=""),"",IF(ISNUMBER($A156),MOD($A156,100),IFERROR(VALUE(TRIM(MID(MID($A156,FIND("/",$A156)+1,20),FIND("/",MID($A156,FIND("/",$A156)+1,20))+1,20))),"")))</f>
        <v/>
      </c>
      <c r="E156">
        <f>IF($A156="","",IF(OR($B156="",$C156="",$D156="",$B156&lt;1300,$B156&gt;1500,$C156&lt;1,$C156&gt;12,$D156&lt;1,$D156&gt;31),"نامعتبر",RIGHT("0000"&amp;$B156,4)&amp;"/"&amp;RIGHT("00"&amp;$C156,2)&amp;"/"&amp;RIGHT("00"&amp;$D156,2)))</f>
        <v/>
      </c>
      <c r="F156">
        <f>IF(Entry!$D156&lt;&gt;"",IF(AND(ISNUMBER(Entry!$D156),Entry!$D156&gt;=0,Entry!$D156&lt;1),RIGHT("00"&amp;HOUR(Entry!$D156),2)&amp;":"&amp;RIGHT("00"&amp;MINUTE(Entry!$D156),2),IFERROR(RIGHT("00"&amp;VALUE(TRIM(LEFT(Entry!$D156,FIND(":",Entry!$D156)-1))),2)&amp;":"&amp;RIGHT("00"&amp;VALUE(TRIM(MID(Entry!$D156,FIND(":",Entry!$D156)+1,2))),2),"نامعتبر")),IF(OR($E156="",$E156="نامعتبر"),"","00:00"))</f>
        <v/>
      </c>
      <c r="G156">
        <f>IF(OR($E156="",$E156="نامعتبر"),"",IF(Entry!$E156="","",LEFT(UPPER(TRIM(Entry!$E156)),6)))</f>
        <v/>
      </c>
      <c r="H156">
        <f>IF($G156="","",RIGHT($E156,4)&amp;MID($E156,6,2)&amp;RIGHT($E156,2)&amp;IF($F156="","0000",IF($F156="نامعتبر","9999",LEFT($F156,2)&amp;RIGHT($F156,2)))&amp;"|"&amp;RIGHT("00000"&amp;148,5))</f>
        <v/>
      </c>
      <c r="I156">
        <f>IF($H156="","",COUNTIFS(CalcBank,$G156,CalcKey,"&lt;"&amp;$H156)+1)</f>
        <v/>
      </c>
      <c r="J156">
        <f>IF($I156="","",$G156&amp;"|"&amp;RIGHT("000000"&amp;$I156,6))</f>
        <v/>
      </c>
      <c r="K156">
        <f>IF(OR($E156="",$E156="نامعتبر"),"",LEFT($E156,4)&amp;"/"&amp;MID($E156,6,2))</f>
        <v/>
      </c>
      <c r="L156">
        <f>IF(Entry!$K156="",0,Entry!$K156)</f>
        <v/>
      </c>
      <c r="M156">
        <f>IF(Entry!$L156="",0,Entry!$L156)</f>
        <v/>
      </c>
    </row>
    <row r="157">
      <c r="A157">
        <f>IF(Entry!$C157="","",Entry!$C157)</f>
        <v/>
      </c>
      <c r="B157">
        <f>IF($A157="","",IF(ISNUMBER($A157),IF(AND($A157&gt;=10000101,$A157&lt;=99991231),INT($A157/10000),""),IFERROR(VALUE(TRIM(LEFT($A157,FIND("/",$A157)-1))),"")))</f>
        <v/>
      </c>
      <c r="C157">
        <f>IF(OR($A157="",$B157=""),"",IF(ISNUMBER($A157),INT(MOD($A157,10000)/100),IFERROR(VALUE(TRIM(LEFT(MID($A157,FIND("/",$A157)+1,20),FIND("/",MID($A157,FIND("/",$A157)+1,20))-1))),"")))</f>
        <v/>
      </c>
      <c r="D157">
        <f>IF(OR($A157="",$B157=""),"",IF(ISNUMBER($A157),MOD($A157,100),IFERROR(VALUE(TRIM(MID(MID($A157,FIND("/",$A157)+1,20),FIND("/",MID($A157,FIND("/",$A157)+1,20))+1,20))),"")))</f>
        <v/>
      </c>
      <c r="E157">
        <f>IF($A157="","",IF(OR($B157="",$C157="",$D157="",$B157&lt;1300,$B157&gt;1500,$C157&lt;1,$C157&gt;12,$D157&lt;1,$D157&gt;31),"نامعتبر",RIGHT("0000"&amp;$B157,4)&amp;"/"&amp;RIGHT("00"&amp;$C157,2)&amp;"/"&amp;RIGHT("00"&amp;$D157,2)))</f>
        <v/>
      </c>
      <c r="F157">
        <f>IF(Entry!$D157&lt;&gt;"",IF(AND(ISNUMBER(Entry!$D157),Entry!$D157&gt;=0,Entry!$D157&lt;1),RIGHT("00"&amp;HOUR(Entry!$D157),2)&amp;":"&amp;RIGHT("00"&amp;MINUTE(Entry!$D157),2),IFERROR(RIGHT("00"&amp;VALUE(TRIM(LEFT(Entry!$D157,FIND(":",Entry!$D157)-1))),2)&amp;":"&amp;RIGHT("00"&amp;VALUE(TRIM(MID(Entry!$D157,FIND(":",Entry!$D157)+1,2))),2),"نامعتبر")),IF(OR($E157="",$E157="نامعتبر"),"","00:00"))</f>
        <v/>
      </c>
      <c r="G157">
        <f>IF(OR($E157="",$E157="نامعتبر"),"",IF(Entry!$E157="","",LEFT(UPPER(TRIM(Entry!$E157)),6)))</f>
        <v/>
      </c>
      <c r="H157">
        <f>IF($G157="","",RIGHT($E157,4)&amp;MID($E157,6,2)&amp;RIGHT($E157,2)&amp;IF($F157="","0000",IF($F157="نامعتبر","9999",LEFT($F157,2)&amp;RIGHT($F157,2)))&amp;"|"&amp;RIGHT("00000"&amp;149,5))</f>
        <v/>
      </c>
      <c r="I157">
        <f>IF($H157="","",COUNTIFS(CalcBank,$G157,CalcKey,"&lt;"&amp;$H157)+1)</f>
        <v/>
      </c>
      <c r="J157">
        <f>IF($I157="","",$G157&amp;"|"&amp;RIGHT("000000"&amp;$I157,6))</f>
        <v/>
      </c>
      <c r="K157">
        <f>IF(OR($E157="",$E157="نامعتبر"),"",LEFT($E157,4)&amp;"/"&amp;MID($E157,6,2))</f>
        <v/>
      </c>
      <c r="L157">
        <f>IF(Entry!$K157="",0,Entry!$K157)</f>
        <v/>
      </c>
      <c r="M157">
        <f>IF(Entry!$L157="",0,Entry!$L157)</f>
        <v/>
      </c>
    </row>
    <row r="158">
      <c r="A158">
        <f>IF(Entry!$C158="","",Entry!$C158)</f>
        <v/>
      </c>
      <c r="B158">
        <f>IF($A158="","",IF(ISNUMBER($A158),IF(AND($A158&gt;=10000101,$A158&lt;=99991231),INT($A158/10000),""),IFERROR(VALUE(TRIM(LEFT($A158,FIND("/",$A158)-1))),"")))</f>
        <v/>
      </c>
      <c r="C158">
        <f>IF(OR($A158="",$B158=""),"",IF(ISNUMBER($A158),INT(MOD($A158,10000)/100),IFERROR(VALUE(TRIM(LEFT(MID($A158,FIND("/",$A158)+1,20),FIND("/",MID($A158,FIND("/",$A158)+1,20))-1))),"")))</f>
        <v/>
      </c>
      <c r="D158">
        <f>IF(OR($A158="",$B158=""),"",IF(ISNUMBER($A158),MOD($A158,100),IFERROR(VALUE(TRIM(MID(MID($A158,FIND("/",$A158)+1,20),FIND("/",MID($A158,FIND("/",$A158)+1,20))+1,20))),"")))</f>
        <v/>
      </c>
      <c r="E158">
        <f>IF($A158="","",IF(OR($B158="",$C158="",$D158="",$B158&lt;1300,$B158&gt;1500,$C158&lt;1,$C158&gt;12,$D158&lt;1,$D158&gt;31),"نامعتبر",RIGHT("0000"&amp;$B158,4)&amp;"/"&amp;RIGHT("00"&amp;$C158,2)&amp;"/"&amp;RIGHT("00"&amp;$D158,2)))</f>
        <v/>
      </c>
      <c r="F158">
        <f>IF(Entry!$D158&lt;&gt;"",IF(AND(ISNUMBER(Entry!$D158),Entry!$D158&gt;=0,Entry!$D158&lt;1),RIGHT("00"&amp;HOUR(Entry!$D158),2)&amp;":"&amp;RIGHT("00"&amp;MINUTE(Entry!$D158),2),IFERROR(RIGHT("00"&amp;VALUE(TRIM(LEFT(Entry!$D158,FIND(":",Entry!$D158)-1))),2)&amp;":"&amp;RIGHT("00"&amp;VALUE(TRIM(MID(Entry!$D158,FIND(":",Entry!$D158)+1,2))),2),"نامعتبر")),IF(OR($E158="",$E158="نامعتبر"),"","00:00"))</f>
        <v/>
      </c>
      <c r="G158">
        <f>IF(OR($E158="",$E158="نامعتبر"),"",IF(Entry!$E158="","",LEFT(UPPER(TRIM(Entry!$E158)),6)))</f>
        <v/>
      </c>
      <c r="H158">
        <f>IF($G158="","",RIGHT($E158,4)&amp;MID($E158,6,2)&amp;RIGHT($E158,2)&amp;IF($F158="","0000",IF($F158="نامعتبر","9999",LEFT($F158,2)&amp;RIGHT($F158,2)))&amp;"|"&amp;RIGHT("00000"&amp;150,5))</f>
        <v/>
      </c>
      <c r="I158">
        <f>IF($H158="","",COUNTIFS(CalcBank,$G158,CalcKey,"&lt;"&amp;$H158)+1)</f>
        <v/>
      </c>
      <c r="J158">
        <f>IF($I158="","",$G158&amp;"|"&amp;RIGHT("000000"&amp;$I158,6))</f>
        <v/>
      </c>
      <c r="K158">
        <f>IF(OR($E158="",$E158="نامعتبر"),"",LEFT($E158,4)&amp;"/"&amp;MID($E158,6,2))</f>
        <v/>
      </c>
      <c r="L158">
        <f>IF(Entry!$K158="",0,Entry!$K158)</f>
        <v/>
      </c>
      <c r="M158">
        <f>IF(Entry!$L158="",0,Entry!$L158)</f>
        <v/>
      </c>
    </row>
    <row r="159">
      <c r="A159">
        <f>IF(Entry!$C159="","",Entry!$C159)</f>
        <v/>
      </c>
      <c r="B159">
        <f>IF($A159="","",IF(ISNUMBER($A159),IF(AND($A159&gt;=10000101,$A159&lt;=99991231),INT($A159/10000),""),IFERROR(VALUE(TRIM(LEFT($A159,FIND("/",$A159)-1))),"")))</f>
        <v/>
      </c>
      <c r="C159">
        <f>IF(OR($A159="",$B159=""),"",IF(ISNUMBER($A159),INT(MOD($A159,10000)/100),IFERROR(VALUE(TRIM(LEFT(MID($A159,FIND("/",$A159)+1,20),FIND("/",MID($A159,FIND("/",$A159)+1,20))-1))),"")))</f>
        <v/>
      </c>
      <c r="D159">
        <f>IF(OR($A159="",$B159=""),"",IF(ISNUMBER($A159),MOD($A159,100),IFERROR(VALUE(TRIM(MID(MID($A159,FIND("/",$A159)+1,20),FIND("/",MID($A159,FIND("/",$A159)+1,20))+1,20))),"")))</f>
        <v/>
      </c>
      <c r="E159">
        <f>IF($A159="","",IF(OR($B159="",$C159="",$D159="",$B159&lt;1300,$B159&gt;1500,$C159&lt;1,$C159&gt;12,$D159&lt;1,$D159&gt;31),"نامعتبر",RIGHT("0000"&amp;$B159,4)&amp;"/"&amp;RIGHT("00"&amp;$C159,2)&amp;"/"&amp;RIGHT("00"&amp;$D159,2)))</f>
        <v/>
      </c>
      <c r="F159">
        <f>IF(Entry!$D159&lt;&gt;"",IF(AND(ISNUMBER(Entry!$D159),Entry!$D159&gt;=0,Entry!$D159&lt;1),RIGHT("00"&amp;HOUR(Entry!$D159),2)&amp;":"&amp;RIGHT("00"&amp;MINUTE(Entry!$D159),2),IFERROR(RIGHT("00"&amp;VALUE(TRIM(LEFT(Entry!$D159,FIND(":",Entry!$D159)-1))),2)&amp;":"&amp;RIGHT("00"&amp;VALUE(TRIM(MID(Entry!$D159,FIND(":",Entry!$D159)+1,2))),2),"نامعتبر")),IF(OR($E159="",$E159="نامعتبر"),"","00:00"))</f>
        <v/>
      </c>
      <c r="G159">
        <f>IF(OR($E159="",$E159="نامعتبر"),"",IF(Entry!$E159="","",LEFT(UPPER(TRIM(Entry!$E159)),6)))</f>
        <v/>
      </c>
      <c r="H159">
        <f>IF($G159="","",RIGHT($E159,4)&amp;MID($E159,6,2)&amp;RIGHT($E159,2)&amp;IF($F159="","0000",IF($F159="نامعتبر","9999",LEFT($F159,2)&amp;RIGHT($F159,2)))&amp;"|"&amp;RIGHT("00000"&amp;151,5))</f>
        <v/>
      </c>
      <c r="I159">
        <f>IF($H159="","",COUNTIFS(CalcBank,$G159,CalcKey,"&lt;"&amp;$H159)+1)</f>
        <v/>
      </c>
      <c r="J159">
        <f>IF($I159="","",$G159&amp;"|"&amp;RIGHT("000000"&amp;$I159,6))</f>
        <v/>
      </c>
      <c r="K159">
        <f>IF(OR($E159="",$E159="نامعتبر"),"",LEFT($E159,4)&amp;"/"&amp;MID($E159,6,2))</f>
        <v/>
      </c>
      <c r="L159">
        <f>IF(Entry!$K159="",0,Entry!$K159)</f>
        <v/>
      </c>
      <c r="M159">
        <f>IF(Entry!$L159="",0,Entry!$L159)</f>
        <v/>
      </c>
    </row>
    <row r="160">
      <c r="A160">
        <f>IF(Entry!$C160="","",Entry!$C160)</f>
        <v/>
      </c>
      <c r="B160">
        <f>IF($A160="","",IF(ISNUMBER($A160),IF(AND($A160&gt;=10000101,$A160&lt;=99991231),INT($A160/10000),""),IFERROR(VALUE(TRIM(LEFT($A160,FIND("/",$A160)-1))),"")))</f>
        <v/>
      </c>
      <c r="C160">
        <f>IF(OR($A160="",$B160=""),"",IF(ISNUMBER($A160),INT(MOD($A160,10000)/100),IFERROR(VALUE(TRIM(LEFT(MID($A160,FIND("/",$A160)+1,20),FIND("/",MID($A160,FIND("/",$A160)+1,20))-1))),"")))</f>
        <v/>
      </c>
      <c r="D160">
        <f>IF(OR($A160="",$B160=""),"",IF(ISNUMBER($A160),MOD($A160,100),IFERROR(VALUE(TRIM(MID(MID($A160,FIND("/",$A160)+1,20),FIND("/",MID($A160,FIND("/",$A160)+1,20))+1,20))),"")))</f>
        <v/>
      </c>
      <c r="E160">
        <f>IF($A160="","",IF(OR($B160="",$C160="",$D160="",$B160&lt;1300,$B160&gt;1500,$C160&lt;1,$C160&gt;12,$D160&lt;1,$D160&gt;31),"نامعتبر",RIGHT("0000"&amp;$B160,4)&amp;"/"&amp;RIGHT("00"&amp;$C160,2)&amp;"/"&amp;RIGHT("00"&amp;$D160,2)))</f>
        <v/>
      </c>
      <c r="F160">
        <f>IF(Entry!$D160&lt;&gt;"",IF(AND(ISNUMBER(Entry!$D160),Entry!$D160&gt;=0,Entry!$D160&lt;1),RIGHT("00"&amp;HOUR(Entry!$D160),2)&amp;":"&amp;RIGHT("00"&amp;MINUTE(Entry!$D160),2),IFERROR(RIGHT("00"&amp;VALUE(TRIM(LEFT(Entry!$D160,FIND(":",Entry!$D160)-1))),2)&amp;":"&amp;RIGHT("00"&amp;VALUE(TRIM(MID(Entry!$D160,FIND(":",Entry!$D160)+1,2))),2),"نامعتبر")),IF(OR($E160="",$E160="نامعتبر"),"","00:00"))</f>
        <v/>
      </c>
      <c r="G160">
        <f>IF(OR($E160="",$E160="نامعتبر"),"",IF(Entry!$E160="","",LEFT(UPPER(TRIM(Entry!$E160)),6)))</f>
        <v/>
      </c>
      <c r="H160">
        <f>IF($G160="","",RIGHT($E160,4)&amp;MID($E160,6,2)&amp;RIGHT($E160,2)&amp;IF($F160="","0000",IF($F160="نامعتبر","9999",LEFT($F160,2)&amp;RIGHT($F160,2)))&amp;"|"&amp;RIGHT("00000"&amp;152,5))</f>
        <v/>
      </c>
      <c r="I160">
        <f>IF($H160="","",COUNTIFS(CalcBank,$G160,CalcKey,"&lt;"&amp;$H160)+1)</f>
        <v/>
      </c>
      <c r="J160">
        <f>IF($I160="","",$G160&amp;"|"&amp;RIGHT("000000"&amp;$I160,6))</f>
        <v/>
      </c>
      <c r="K160">
        <f>IF(OR($E160="",$E160="نامعتبر"),"",LEFT($E160,4)&amp;"/"&amp;MID($E160,6,2))</f>
        <v/>
      </c>
      <c r="L160">
        <f>IF(Entry!$K160="",0,Entry!$K160)</f>
        <v/>
      </c>
      <c r="M160">
        <f>IF(Entry!$L160="",0,Entry!$L160)</f>
        <v/>
      </c>
    </row>
    <row r="161">
      <c r="A161">
        <f>IF(Entry!$C161="","",Entry!$C161)</f>
        <v/>
      </c>
      <c r="B161">
        <f>IF($A161="","",IF(ISNUMBER($A161),IF(AND($A161&gt;=10000101,$A161&lt;=99991231),INT($A161/10000),""),IFERROR(VALUE(TRIM(LEFT($A161,FIND("/",$A161)-1))),"")))</f>
        <v/>
      </c>
      <c r="C161">
        <f>IF(OR($A161="",$B161=""),"",IF(ISNUMBER($A161),INT(MOD($A161,10000)/100),IFERROR(VALUE(TRIM(LEFT(MID($A161,FIND("/",$A161)+1,20),FIND("/",MID($A161,FIND("/",$A161)+1,20))-1))),"")))</f>
        <v/>
      </c>
      <c r="D161">
        <f>IF(OR($A161="",$B161=""),"",IF(ISNUMBER($A161),MOD($A161,100),IFERROR(VALUE(TRIM(MID(MID($A161,FIND("/",$A161)+1,20),FIND("/",MID($A161,FIND("/",$A161)+1,20))+1,20))),"")))</f>
        <v/>
      </c>
      <c r="E161">
        <f>IF($A161="","",IF(OR($B161="",$C161="",$D161="",$B161&lt;1300,$B161&gt;1500,$C161&lt;1,$C161&gt;12,$D161&lt;1,$D161&gt;31),"نامعتبر",RIGHT("0000"&amp;$B161,4)&amp;"/"&amp;RIGHT("00"&amp;$C161,2)&amp;"/"&amp;RIGHT("00"&amp;$D161,2)))</f>
        <v/>
      </c>
      <c r="F161">
        <f>IF(Entry!$D161&lt;&gt;"",IF(AND(ISNUMBER(Entry!$D161),Entry!$D161&gt;=0,Entry!$D161&lt;1),RIGHT("00"&amp;HOUR(Entry!$D161),2)&amp;":"&amp;RIGHT("00"&amp;MINUTE(Entry!$D161),2),IFERROR(RIGHT("00"&amp;VALUE(TRIM(LEFT(Entry!$D161,FIND(":",Entry!$D161)-1))),2)&amp;":"&amp;RIGHT("00"&amp;VALUE(TRIM(MID(Entry!$D161,FIND(":",Entry!$D161)+1,2))),2),"نامعتبر")),IF(OR($E161="",$E161="نامعتبر"),"","00:00"))</f>
        <v/>
      </c>
      <c r="G161">
        <f>IF(OR($E161="",$E161="نامعتبر"),"",IF(Entry!$E161="","",LEFT(UPPER(TRIM(Entry!$E161)),6)))</f>
        <v/>
      </c>
      <c r="H161">
        <f>IF($G161="","",RIGHT($E161,4)&amp;MID($E161,6,2)&amp;RIGHT($E161,2)&amp;IF($F161="","0000",IF($F161="نامعتبر","9999",LEFT($F161,2)&amp;RIGHT($F161,2)))&amp;"|"&amp;RIGHT("00000"&amp;153,5))</f>
        <v/>
      </c>
      <c r="I161">
        <f>IF($H161="","",COUNTIFS(CalcBank,$G161,CalcKey,"&lt;"&amp;$H161)+1)</f>
        <v/>
      </c>
      <c r="J161">
        <f>IF($I161="","",$G161&amp;"|"&amp;RIGHT("000000"&amp;$I161,6))</f>
        <v/>
      </c>
      <c r="K161">
        <f>IF(OR($E161="",$E161="نامعتبر"),"",LEFT($E161,4)&amp;"/"&amp;MID($E161,6,2))</f>
        <v/>
      </c>
      <c r="L161">
        <f>IF(Entry!$K161="",0,Entry!$K161)</f>
        <v/>
      </c>
      <c r="M161">
        <f>IF(Entry!$L161="",0,Entry!$L161)</f>
        <v/>
      </c>
    </row>
    <row r="162">
      <c r="A162">
        <f>IF(Entry!$C162="","",Entry!$C162)</f>
        <v/>
      </c>
      <c r="B162">
        <f>IF($A162="","",IF(ISNUMBER($A162),IF(AND($A162&gt;=10000101,$A162&lt;=99991231),INT($A162/10000),""),IFERROR(VALUE(TRIM(LEFT($A162,FIND("/",$A162)-1))),"")))</f>
        <v/>
      </c>
      <c r="C162">
        <f>IF(OR($A162="",$B162=""),"",IF(ISNUMBER($A162),INT(MOD($A162,10000)/100),IFERROR(VALUE(TRIM(LEFT(MID($A162,FIND("/",$A162)+1,20),FIND("/",MID($A162,FIND("/",$A162)+1,20))-1))),"")))</f>
        <v/>
      </c>
      <c r="D162">
        <f>IF(OR($A162="",$B162=""),"",IF(ISNUMBER($A162),MOD($A162,100),IFERROR(VALUE(TRIM(MID(MID($A162,FIND("/",$A162)+1,20),FIND("/",MID($A162,FIND("/",$A162)+1,20))+1,20))),"")))</f>
        <v/>
      </c>
      <c r="E162">
        <f>IF($A162="","",IF(OR($B162="",$C162="",$D162="",$B162&lt;1300,$B162&gt;1500,$C162&lt;1,$C162&gt;12,$D162&lt;1,$D162&gt;31),"نامعتبر",RIGHT("0000"&amp;$B162,4)&amp;"/"&amp;RIGHT("00"&amp;$C162,2)&amp;"/"&amp;RIGHT("00"&amp;$D162,2)))</f>
        <v/>
      </c>
      <c r="F162">
        <f>IF(Entry!$D162&lt;&gt;"",IF(AND(ISNUMBER(Entry!$D162),Entry!$D162&gt;=0,Entry!$D162&lt;1),RIGHT("00"&amp;HOUR(Entry!$D162),2)&amp;":"&amp;RIGHT("00"&amp;MINUTE(Entry!$D162),2),IFERROR(RIGHT("00"&amp;VALUE(TRIM(LEFT(Entry!$D162,FIND(":",Entry!$D162)-1))),2)&amp;":"&amp;RIGHT("00"&amp;VALUE(TRIM(MID(Entry!$D162,FIND(":",Entry!$D162)+1,2))),2),"نامعتبر")),IF(OR($E162="",$E162="نامعتبر"),"","00:00"))</f>
        <v/>
      </c>
      <c r="G162">
        <f>IF(OR($E162="",$E162="نامعتبر"),"",IF(Entry!$E162="","",LEFT(UPPER(TRIM(Entry!$E162)),6)))</f>
        <v/>
      </c>
      <c r="H162">
        <f>IF($G162="","",RIGHT($E162,4)&amp;MID($E162,6,2)&amp;RIGHT($E162,2)&amp;IF($F162="","0000",IF($F162="نامعتبر","9999",LEFT($F162,2)&amp;RIGHT($F162,2)))&amp;"|"&amp;RIGHT("00000"&amp;154,5))</f>
        <v/>
      </c>
      <c r="I162">
        <f>IF($H162="","",COUNTIFS(CalcBank,$G162,CalcKey,"&lt;"&amp;$H162)+1)</f>
        <v/>
      </c>
      <c r="J162">
        <f>IF($I162="","",$G162&amp;"|"&amp;RIGHT("000000"&amp;$I162,6))</f>
        <v/>
      </c>
      <c r="K162">
        <f>IF(OR($E162="",$E162="نامعتبر"),"",LEFT($E162,4)&amp;"/"&amp;MID($E162,6,2))</f>
        <v/>
      </c>
      <c r="L162">
        <f>IF(Entry!$K162="",0,Entry!$K162)</f>
        <v/>
      </c>
      <c r="M162">
        <f>IF(Entry!$L162="",0,Entry!$L162)</f>
        <v/>
      </c>
    </row>
    <row r="163">
      <c r="A163">
        <f>IF(Entry!$C163="","",Entry!$C163)</f>
        <v/>
      </c>
      <c r="B163">
        <f>IF($A163="","",IF(ISNUMBER($A163),IF(AND($A163&gt;=10000101,$A163&lt;=99991231),INT($A163/10000),""),IFERROR(VALUE(TRIM(LEFT($A163,FIND("/",$A163)-1))),"")))</f>
        <v/>
      </c>
      <c r="C163">
        <f>IF(OR($A163="",$B163=""),"",IF(ISNUMBER($A163),INT(MOD($A163,10000)/100),IFERROR(VALUE(TRIM(LEFT(MID($A163,FIND("/",$A163)+1,20),FIND("/",MID($A163,FIND("/",$A163)+1,20))-1))),"")))</f>
        <v/>
      </c>
      <c r="D163">
        <f>IF(OR($A163="",$B163=""),"",IF(ISNUMBER($A163),MOD($A163,100),IFERROR(VALUE(TRIM(MID(MID($A163,FIND("/",$A163)+1,20),FIND("/",MID($A163,FIND("/",$A163)+1,20))+1,20))),"")))</f>
        <v/>
      </c>
      <c r="E163">
        <f>IF($A163="","",IF(OR($B163="",$C163="",$D163="",$B163&lt;1300,$B163&gt;1500,$C163&lt;1,$C163&gt;12,$D163&lt;1,$D163&gt;31),"نامعتبر",RIGHT("0000"&amp;$B163,4)&amp;"/"&amp;RIGHT("00"&amp;$C163,2)&amp;"/"&amp;RIGHT("00"&amp;$D163,2)))</f>
        <v/>
      </c>
      <c r="F163">
        <f>IF(Entry!$D163&lt;&gt;"",IF(AND(ISNUMBER(Entry!$D163),Entry!$D163&gt;=0,Entry!$D163&lt;1),RIGHT("00"&amp;HOUR(Entry!$D163),2)&amp;":"&amp;RIGHT("00"&amp;MINUTE(Entry!$D163),2),IFERROR(RIGHT("00"&amp;VALUE(TRIM(LEFT(Entry!$D163,FIND(":",Entry!$D163)-1))),2)&amp;":"&amp;RIGHT("00"&amp;VALUE(TRIM(MID(Entry!$D163,FIND(":",Entry!$D163)+1,2))),2),"نامعتبر")),IF(OR($E163="",$E163="نامعتبر"),"","00:00"))</f>
        <v/>
      </c>
      <c r="G163">
        <f>IF(OR($E163="",$E163="نامعتبر"),"",IF(Entry!$E163="","",LEFT(UPPER(TRIM(Entry!$E163)),6)))</f>
        <v/>
      </c>
      <c r="H163">
        <f>IF($G163="","",RIGHT($E163,4)&amp;MID($E163,6,2)&amp;RIGHT($E163,2)&amp;IF($F163="","0000",IF($F163="نامعتبر","9999",LEFT($F163,2)&amp;RIGHT($F163,2)))&amp;"|"&amp;RIGHT("00000"&amp;155,5))</f>
        <v/>
      </c>
      <c r="I163">
        <f>IF($H163="","",COUNTIFS(CalcBank,$G163,CalcKey,"&lt;"&amp;$H163)+1)</f>
        <v/>
      </c>
      <c r="J163">
        <f>IF($I163="","",$G163&amp;"|"&amp;RIGHT("000000"&amp;$I163,6))</f>
        <v/>
      </c>
      <c r="K163">
        <f>IF(OR($E163="",$E163="نامعتبر"),"",LEFT($E163,4)&amp;"/"&amp;MID($E163,6,2))</f>
        <v/>
      </c>
      <c r="L163">
        <f>IF(Entry!$K163="",0,Entry!$K163)</f>
        <v/>
      </c>
      <c r="M163">
        <f>IF(Entry!$L163="",0,Entry!$L163)</f>
        <v/>
      </c>
    </row>
    <row r="164">
      <c r="A164">
        <f>IF(Entry!$C164="","",Entry!$C164)</f>
        <v/>
      </c>
      <c r="B164">
        <f>IF($A164="","",IF(ISNUMBER($A164),IF(AND($A164&gt;=10000101,$A164&lt;=99991231),INT($A164/10000),""),IFERROR(VALUE(TRIM(LEFT($A164,FIND("/",$A164)-1))),"")))</f>
        <v/>
      </c>
      <c r="C164">
        <f>IF(OR($A164="",$B164=""),"",IF(ISNUMBER($A164),INT(MOD($A164,10000)/100),IFERROR(VALUE(TRIM(LEFT(MID($A164,FIND("/",$A164)+1,20),FIND("/",MID($A164,FIND("/",$A164)+1,20))-1))),"")))</f>
        <v/>
      </c>
      <c r="D164">
        <f>IF(OR($A164="",$B164=""),"",IF(ISNUMBER($A164),MOD($A164,100),IFERROR(VALUE(TRIM(MID(MID($A164,FIND("/",$A164)+1,20),FIND("/",MID($A164,FIND("/",$A164)+1,20))+1,20))),"")))</f>
        <v/>
      </c>
      <c r="E164">
        <f>IF($A164="","",IF(OR($B164="",$C164="",$D164="",$B164&lt;1300,$B164&gt;1500,$C164&lt;1,$C164&gt;12,$D164&lt;1,$D164&gt;31),"نامعتبر",RIGHT("0000"&amp;$B164,4)&amp;"/"&amp;RIGHT("00"&amp;$C164,2)&amp;"/"&amp;RIGHT("00"&amp;$D164,2)))</f>
        <v/>
      </c>
      <c r="F164">
        <f>IF(Entry!$D164&lt;&gt;"",IF(AND(ISNUMBER(Entry!$D164),Entry!$D164&gt;=0,Entry!$D164&lt;1),RIGHT("00"&amp;HOUR(Entry!$D164),2)&amp;":"&amp;RIGHT("00"&amp;MINUTE(Entry!$D164),2),IFERROR(RIGHT("00"&amp;VALUE(TRIM(LEFT(Entry!$D164,FIND(":",Entry!$D164)-1))),2)&amp;":"&amp;RIGHT("00"&amp;VALUE(TRIM(MID(Entry!$D164,FIND(":",Entry!$D164)+1,2))),2),"نامعتبر")),IF(OR($E164="",$E164="نامعتبر"),"","00:00"))</f>
        <v/>
      </c>
      <c r="G164">
        <f>IF(OR($E164="",$E164="نامعتبر"),"",IF(Entry!$E164="","",LEFT(UPPER(TRIM(Entry!$E164)),6)))</f>
        <v/>
      </c>
      <c r="H164">
        <f>IF($G164="","",RIGHT($E164,4)&amp;MID($E164,6,2)&amp;RIGHT($E164,2)&amp;IF($F164="","0000",IF($F164="نامعتبر","9999",LEFT($F164,2)&amp;RIGHT($F164,2)))&amp;"|"&amp;RIGHT("00000"&amp;156,5))</f>
        <v/>
      </c>
      <c r="I164">
        <f>IF($H164="","",COUNTIFS(CalcBank,$G164,CalcKey,"&lt;"&amp;$H164)+1)</f>
        <v/>
      </c>
      <c r="J164">
        <f>IF($I164="","",$G164&amp;"|"&amp;RIGHT("000000"&amp;$I164,6))</f>
        <v/>
      </c>
      <c r="K164">
        <f>IF(OR($E164="",$E164="نامعتبر"),"",LEFT($E164,4)&amp;"/"&amp;MID($E164,6,2))</f>
        <v/>
      </c>
      <c r="L164">
        <f>IF(Entry!$K164="",0,Entry!$K164)</f>
        <v/>
      </c>
      <c r="M164">
        <f>IF(Entry!$L164="",0,Entry!$L164)</f>
        <v/>
      </c>
    </row>
    <row r="165">
      <c r="A165">
        <f>IF(Entry!$C165="","",Entry!$C165)</f>
        <v/>
      </c>
      <c r="B165">
        <f>IF($A165="","",IF(ISNUMBER($A165),IF(AND($A165&gt;=10000101,$A165&lt;=99991231),INT($A165/10000),""),IFERROR(VALUE(TRIM(LEFT($A165,FIND("/",$A165)-1))),"")))</f>
        <v/>
      </c>
      <c r="C165">
        <f>IF(OR($A165="",$B165=""),"",IF(ISNUMBER($A165),INT(MOD($A165,10000)/100),IFERROR(VALUE(TRIM(LEFT(MID($A165,FIND("/",$A165)+1,20),FIND("/",MID($A165,FIND("/",$A165)+1,20))-1))),"")))</f>
        <v/>
      </c>
      <c r="D165">
        <f>IF(OR($A165="",$B165=""),"",IF(ISNUMBER($A165),MOD($A165,100),IFERROR(VALUE(TRIM(MID(MID($A165,FIND("/",$A165)+1,20),FIND("/",MID($A165,FIND("/",$A165)+1,20))+1,20))),"")))</f>
        <v/>
      </c>
      <c r="E165">
        <f>IF($A165="","",IF(OR($B165="",$C165="",$D165="",$B165&lt;1300,$B165&gt;1500,$C165&lt;1,$C165&gt;12,$D165&lt;1,$D165&gt;31),"نامعتبر",RIGHT("0000"&amp;$B165,4)&amp;"/"&amp;RIGHT("00"&amp;$C165,2)&amp;"/"&amp;RIGHT("00"&amp;$D165,2)))</f>
        <v/>
      </c>
      <c r="F165">
        <f>IF(Entry!$D165&lt;&gt;"",IF(AND(ISNUMBER(Entry!$D165),Entry!$D165&gt;=0,Entry!$D165&lt;1),RIGHT("00"&amp;HOUR(Entry!$D165),2)&amp;":"&amp;RIGHT("00"&amp;MINUTE(Entry!$D165),2),IFERROR(RIGHT("00"&amp;VALUE(TRIM(LEFT(Entry!$D165,FIND(":",Entry!$D165)-1))),2)&amp;":"&amp;RIGHT("00"&amp;VALUE(TRIM(MID(Entry!$D165,FIND(":",Entry!$D165)+1,2))),2),"نامعتبر")),IF(OR($E165="",$E165="نامعتبر"),"","00:00"))</f>
        <v/>
      </c>
      <c r="G165">
        <f>IF(OR($E165="",$E165="نامعتبر"),"",IF(Entry!$E165="","",LEFT(UPPER(TRIM(Entry!$E165)),6)))</f>
        <v/>
      </c>
      <c r="H165">
        <f>IF($G165="","",RIGHT($E165,4)&amp;MID($E165,6,2)&amp;RIGHT($E165,2)&amp;IF($F165="","0000",IF($F165="نامعتبر","9999",LEFT($F165,2)&amp;RIGHT($F165,2)))&amp;"|"&amp;RIGHT("00000"&amp;157,5))</f>
        <v/>
      </c>
      <c r="I165">
        <f>IF($H165="","",COUNTIFS(CalcBank,$G165,CalcKey,"&lt;"&amp;$H165)+1)</f>
        <v/>
      </c>
      <c r="J165">
        <f>IF($I165="","",$G165&amp;"|"&amp;RIGHT("000000"&amp;$I165,6))</f>
        <v/>
      </c>
      <c r="K165">
        <f>IF(OR($E165="",$E165="نامعتبر"),"",LEFT($E165,4)&amp;"/"&amp;MID($E165,6,2))</f>
        <v/>
      </c>
      <c r="L165">
        <f>IF(Entry!$K165="",0,Entry!$K165)</f>
        <v/>
      </c>
      <c r="M165">
        <f>IF(Entry!$L165="",0,Entry!$L165)</f>
        <v/>
      </c>
    </row>
    <row r="166">
      <c r="A166">
        <f>IF(Entry!$C166="","",Entry!$C166)</f>
        <v/>
      </c>
      <c r="B166">
        <f>IF($A166="","",IF(ISNUMBER($A166),IF(AND($A166&gt;=10000101,$A166&lt;=99991231),INT($A166/10000),""),IFERROR(VALUE(TRIM(LEFT($A166,FIND("/",$A166)-1))),"")))</f>
        <v/>
      </c>
      <c r="C166">
        <f>IF(OR($A166="",$B166=""),"",IF(ISNUMBER($A166),INT(MOD($A166,10000)/100),IFERROR(VALUE(TRIM(LEFT(MID($A166,FIND("/",$A166)+1,20),FIND("/",MID($A166,FIND("/",$A166)+1,20))-1))),"")))</f>
        <v/>
      </c>
      <c r="D166">
        <f>IF(OR($A166="",$B166=""),"",IF(ISNUMBER($A166),MOD($A166,100),IFERROR(VALUE(TRIM(MID(MID($A166,FIND("/",$A166)+1,20),FIND("/",MID($A166,FIND("/",$A166)+1,20))+1,20))),"")))</f>
        <v/>
      </c>
      <c r="E166">
        <f>IF($A166="","",IF(OR($B166="",$C166="",$D166="",$B166&lt;1300,$B166&gt;1500,$C166&lt;1,$C166&gt;12,$D166&lt;1,$D166&gt;31),"نامعتبر",RIGHT("0000"&amp;$B166,4)&amp;"/"&amp;RIGHT("00"&amp;$C166,2)&amp;"/"&amp;RIGHT("00"&amp;$D166,2)))</f>
        <v/>
      </c>
      <c r="F166">
        <f>IF(Entry!$D166&lt;&gt;"",IF(AND(ISNUMBER(Entry!$D166),Entry!$D166&gt;=0,Entry!$D166&lt;1),RIGHT("00"&amp;HOUR(Entry!$D166),2)&amp;":"&amp;RIGHT("00"&amp;MINUTE(Entry!$D166),2),IFERROR(RIGHT("00"&amp;VALUE(TRIM(LEFT(Entry!$D166,FIND(":",Entry!$D166)-1))),2)&amp;":"&amp;RIGHT("00"&amp;VALUE(TRIM(MID(Entry!$D166,FIND(":",Entry!$D166)+1,2))),2),"نامعتبر")),IF(OR($E166="",$E166="نامعتبر"),"","00:00"))</f>
        <v/>
      </c>
      <c r="G166">
        <f>IF(OR($E166="",$E166="نامعتبر"),"",IF(Entry!$E166="","",LEFT(UPPER(TRIM(Entry!$E166)),6)))</f>
        <v/>
      </c>
      <c r="H166">
        <f>IF($G166="","",RIGHT($E166,4)&amp;MID($E166,6,2)&amp;RIGHT($E166,2)&amp;IF($F166="","0000",IF($F166="نامعتبر","9999",LEFT($F166,2)&amp;RIGHT($F166,2)))&amp;"|"&amp;RIGHT("00000"&amp;158,5))</f>
        <v/>
      </c>
      <c r="I166">
        <f>IF($H166="","",COUNTIFS(CalcBank,$G166,CalcKey,"&lt;"&amp;$H166)+1)</f>
        <v/>
      </c>
      <c r="J166">
        <f>IF($I166="","",$G166&amp;"|"&amp;RIGHT("000000"&amp;$I166,6))</f>
        <v/>
      </c>
      <c r="K166">
        <f>IF(OR($E166="",$E166="نامعتبر"),"",LEFT($E166,4)&amp;"/"&amp;MID($E166,6,2))</f>
        <v/>
      </c>
      <c r="L166">
        <f>IF(Entry!$K166="",0,Entry!$K166)</f>
        <v/>
      </c>
      <c r="M166">
        <f>IF(Entry!$L166="",0,Entry!$L166)</f>
        <v/>
      </c>
    </row>
    <row r="167">
      <c r="A167">
        <f>IF(Entry!$C167="","",Entry!$C167)</f>
        <v/>
      </c>
      <c r="B167">
        <f>IF($A167="","",IF(ISNUMBER($A167),IF(AND($A167&gt;=10000101,$A167&lt;=99991231),INT($A167/10000),""),IFERROR(VALUE(TRIM(LEFT($A167,FIND("/",$A167)-1))),"")))</f>
        <v/>
      </c>
      <c r="C167">
        <f>IF(OR($A167="",$B167=""),"",IF(ISNUMBER($A167),INT(MOD($A167,10000)/100),IFERROR(VALUE(TRIM(LEFT(MID($A167,FIND("/",$A167)+1,20),FIND("/",MID($A167,FIND("/",$A167)+1,20))-1))),"")))</f>
        <v/>
      </c>
      <c r="D167">
        <f>IF(OR($A167="",$B167=""),"",IF(ISNUMBER($A167),MOD($A167,100),IFERROR(VALUE(TRIM(MID(MID($A167,FIND("/",$A167)+1,20),FIND("/",MID($A167,FIND("/",$A167)+1,20))+1,20))),"")))</f>
        <v/>
      </c>
      <c r="E167">
        <f>IF($A167="","",IF(OR($B167="",$C167="",$D167="",$B167&lt;1300,$B167&gt;1500,$C167&lt;1,$C167&gt;12,$D167&lt;1,$D167&gt;31),"نامعتبر",RIGHT("0000"&amp;$B167,4)&amp;"/"&amp;RIGHT("00"&amp;$C167,2)&amp;"/"&amp;RIGHT("00"&amp;$D167,2)))</f>
        <v/>
      </c>
      <c r="F167">
        <f>IF(Entry!$D167&lt;&gt;"",IF(AND(ISNUMBER(Entry!$D167),Entry!$D167&gt;=0,Entry!$D167&lt;1),RIGHT("00"&amp;HOUR(Entry!$D167),2)&amp;":"&amp;RIGHT("00"&amp;MINUTE(Entry!$D167),2),IFERROR(RIGHT("00"&amp;VALUE(TRIM(LEFT(Entry!$D167,FIND(":",Entry!$D167)-1))),2)&amp;":"&amp;RIGHT("00"&amp;VALUE(TRIM(MID(Entry!$D167,FIND(":",Entry!$D167)+1,2))),2),"نامعتبر")),IF(OR($E167="",$E167="نامعتبر"),"","00:00"))</f>
        <v/>
      </c>
      <c r="G167">
        <f>IF(OR($E167="",$E167="نامعتبر"),"",IF(Entry!$E167="","",LEFT(UPPER(TRIM(Entry!$E167)),6)))</f>
        <v/>
      </c>
      <c r="H167">
        <f>IF($G167="","",RIGHT($E167,4)&amp;MID($E167,6,2)&amp;RIGHT($E167,2)&amp;IF($F167="","0000",IF($F167="نامعتبر","9999",LEFT($F167,2)&amp;RIGHT($F167,2)))&amp;"|"&amp;RIGHT("00000"&amp;159,5))</f>
        <v/>
      </c>
      <c r="I167">
        <f>IF($H167="","",COUNTIFS(CalcBank,$G167,CalcKey,"&lt;"&amp;$H167)+1)</f>
        <v/>
      </c>
      <c r="J167">
        <f>IF($I167="","",$G167&amp;"|"&amp;RIGHT("000000"&amp;$I167,6))</f>
        <v/>
      </c>
      <c r="K167">
        <f>IF(OR($E167="",$E167="نامعتبر"),"",LEFT($E167,4)&amp;"/"&amp;MID($E167,6,2))</f>
        <v/>
      </c>
      <c r="L167">
        <f>IF(Entry!$K167="",0,Entry!$K167)</f>
        <v/>
      </c>
      <c r="M167">
        <f>IF(Entry!$L167="",0,Entry!$L167)</f>
        <v/>
      </c>
    </row>
    <row r="168">
      <c r="A168">
        <f>IF(Entry!$C168="","",Entry!$C168)</f>
        <v/>
      </c>
      <c r="B168">
        <f>IF($A168="","",IF(ISNUMBER($A168),IF(AND($A168&gt;=10000101,$A168&lt;=99991231),INT($A168/10000),""),IFERROR(VALUE(TRIM(LEFT($A168,FIND("/",$A168)-1))),"")))</f>
        <v/>
      </c>
      <c r="C168">
        <f>IF(OR($A168="",$B168=""),"",IF(ISNUMBER($A168),INT(MOD($A168,10000)/100),IFERROR(VALUE(TRIM(LEFT(MID($A168,FIND("/",$A168)+1,20),FIND("/",MID($A168,FIND("/",$A168)+1,20))-1))),"")))</f>
        <v/>
      </c>
      <c r="D168">
        <f>IF(OR($A168="",$B168=""),"",IF(ISNUMBER($A168),MOD($A168,100),IFERROR(VALUE(TRIM(MID(MID($A168,FIND("/",$A168)+1,20),FIND("/",MID($A168,FIND("/",$A168)+1,20))+1,20))),"")))</f>
        <v/>
      </c>
      <c r="E168">
        <f>IF($A168="","",IF(OR($B168="",$C168="",$D168="",$B168&lt;1300,$B168&gt;1500,$C168&lt;1,$C168&gt;12,$D168&lt;1,$D168&gt;31),"نامعتبر",RIGHT("0000"&amp;$B168,4)&amp;"/"&amp;RIGHT("00"&amp;$C168,2)&amp;"/"&amp;RIGHT("00"&amp;$D168,2)))</f>
        <v/>
      </c>
      <c r="F168">
        <f>IF(Entry!$D168&lt;&gt;"",IF(AND(ISNUMBER(Entry!$D168),Entry!$D168&gt;=0,Entry!$D168&lt;1),RIGHT("00"&amp;HOUR(Entry!$D168),2)&amp;":"&amp;RIGHT("00"&amp;MINUTE(Entry!$D168),2),IFERROR(RIGHT("00"&amp;VALUE(TRIM(LEFT(Entry!$D168,FIND(":",Entry!$D168)-1))),2)&amp;":"&amp;RIGHT("00"&amp;VALUE(TRIM(MID(Entry!$D168,FIND(":",Entry!$D168)+1,2))),2),"نامعتبر")),IF(OR($E168="",$E168="نامعتبر"),"","00:00"))</f>
        <v/>
      </c>
      <c r="G168">
        <f>IF(OR($E168="",$E168="نامعتبر"),"",IF(Entry!$E168="","",LEFT(UPPER(TRIM(Entry!$E168)),6)))</f>
        <v/>
      </c>
      <c r="H168">
        <f>IF($G168="","",RIGHT($E168,4)&amp;MID($E168,6,2)&amp;RIGHT($E168,2)&amp;IF($F168="","0000",IF($F168="نامعتبر","9999",LEFT($F168,2)&amp;RIGHT($F168,2)))&amp;"|"&amp;RIGHT("00000"&amp;160,5))</f>
        <v/>
      </c>
      <c r="I168">
        <f>IF($H168="","",COUNTIFS(CalcBank,$G168,CalcKey,"&lt;"&amp;$H168)+1)</f>
        <v/>
      </c>
      <c r="J168">
        <f>IF($I168="","",$G168&amp;"|"&amp;RIGHT("000000"&amp;$I168,6))</f>
        <v/>
      </c>
      <c r="K168">
        <f>IF(OR($E168="",$E168="نامعتبر"),"",LEFT($E168,4)&amp;"/"&amp;MID($E168,6,2))</f>
        <v/>
      </c>
      <c r="L168">
        <f>IF(Entry!$K168="",0,Entry!$K168)</f>
        <v/>
      </c>
      <c r="M168">
        <f>IF(Entry!$L168="",0,Entry!$L168)</f>
        <v/>
      </c>
    </row>
    <row r="169">
      <c r="A169">
        <f>IF(Entry!$C169="","",Entry!$C169)</f>
        <v/>
      </c>
      <c r="B169">
        <f>IF($A169="","",IF(ISNUMBER($A169),IF(AND($A169&gt;=10000101,$A169&lt;=99991231),INT($A169/10000),""),IFERROR(VALUE(TRIM(LEFT($A169,FIND("/",$A169)-1))),"")))</f>
        <v/>
      </c>
      <c r="C169">
        <f>IF(OR($A169="",$B169=""),"",IF(ISNUMBER($A169),INT(MOD($A169,10000)/100),IFERROR(VALUE(TRIM(LEFT(MID($A169,FIND("/",$A169)+1,20),FIND("/",MID($A169,FIND("/",$A169)+1,20))-1))),"")))</f>
        <v/>
      </c>
      <c r="D169">
        <f>IF(OR($A169="",$B169=""),"",IF(ISNUMBER($A169),MOD($A169,100),IFERROR(VALUE(TRIM(MID(MID($A169,FIND("/",$A169)+1,20),FIND("/",MID($A169,FIND("/",$A169)+1,20))+1,20))),"")))</f>
        <v/>
      </c>
      <c r="E169">
        <f>IF($A169="","",IF(OR($B169="",$C169="",$D169="",$B169&lt;1300,$B169&gt;1500,$C169&lt;1,$C169&gt;12,$D169&lt;1,$D169&gt;31),"نامعتبر",RIGHT("0000"&amp;$B169,4)&amp;"/"&amp;RIGHT("00"&amp;$C169,2)&amp;"/"&amp;RIGHT("00"&amp;$D169,2)))</f>
        <v/>
      </c>
      <c r="F169">
        <f>IF(Entry!$D169&lt;&gt;"",IF(AND(ISNUMBER(Entry!$D169),Entry!$D169&gt;=0,Entry!$D169&lt;1),RIGHT("00"&amp;HOUR(Entry!$D169),2)&amp;":"&amp;RIGHT("00"&amp;MINUTE(Entry!$D169),2),IFERROR(RIGHT("00"&amp;VALUE(TRIM(LEFT(Entry!$D169,FIND(":",Entry!$D169)-1))),2)&amp;":"&amp;RIGHT("00"&amp;VALUE(TRIM(MID(Entry!$D169,FIND(":",Entry!$D169)+1,2))),2),"نامعتبر")),IF(OR($E169="",$E169="نامعتبر"),"","00:00"))</f>
        <v/>
      </c>
      <c r="G169">
        <f>IF(OR($E169="",$E169="نامعتبر"),"",IF(Entry!$E169="","",LEFT(UPPER(TRIM(Entry!$E169)),6)))</f>
        <v/>
      </c>
      <c r="H169">
        <f>IF($G169="","",RIGHT($E169,4)&amp;MID($E169,6,2)&amp;RIGHT($E169,2)&amp;IF($F169="","0000",IF($F169="نامعتبر","9999",LEFT($F169,2)&amp;RIGHT($F169,2)))&amp;"|"&amp;RIGHT("00000"&amp;161,5))</f>
        <v/>
      </c>
      <c r="I169">
        <f>IF($H169="","",COUNTIFS(CalcBank,$G169,CalcKey,"&lt;"&amp;$H169)+1)</f>
        <v/>
      </c>
      <c r="J169">
        <f>IF($I169="","",$G169&amp;"|"&amp;RIGHT("000000"&amp;$I169,6))</f>
        <v/>
      </c>
      <c r="K169">
        <f>IF(OR($E169="",$E169="نامعتبر"),"",LEFT($E169,4)&amp;"/"&amp;MID($E169,6,2))</f>
        <v/>
      </c>
      <c r="L169">
        <f>IF(Entry!$K169="",0,Entry!$K169)</f>
        <v/>
      </c>
      <c r="M169">
        <f>IF(Entry!$L169="",0,Entry!$L169)</f>
        <v/>
      </c>
    </row>
    <row r="170">
      <c r="A170">
        <f>IF(Entry!$C170="","",Entry!$C170)</f>
        <v/>
      </c>
      <c r="B170">
        <f>IF($A170="","",IF(ISNUMBER($A170),IF(AND($A170&gt;=10000101,$A170&lt;=99991231),INT($A170/10000),""),IFERROR(VALUE(TRIM(LEFT($A170,FIND("/",$A170)-1))),"")))</f>
        <v/>
      </c>
      <c r="C170">
        <f>IF(OR($A170="",$B170=""),"",IF(ISNUMBER($A170),INT(MOD($A170,10000)/100),IFERROR(VALUE(TRIM(LEFT(MID($A170,FIND("/",$A170)+1,20),FIND("/",MID($A170,FIND("/",$A170)+1,20))-1))),"")))</f>
        <v/>
      </c>
      <c r="D170">
        <f>IF(OR($A170="",$B170=""),"",IF(ISNUMBER($A170),MOD($A170,100),IFERROR(VALUE(TRIM(MID(MID($A170,FIND("/",$A170)+1,20),FIND("/",MID($A170,FIND("/",$A170)+1,20))+1,20))),"")))</f>
        <v/>
      </c>
      <c r="E170">
        <f>IF($A170="","",IF(OR($B170="",$C170="",$D170="",$B170&lt;1300,$B170&gt;1500,$C170&lt;1,$C170&gt;12,$D170&lt;1,$D170&gt;31),"نامعتبر",RIGHT("0000"&amp;$B170,4)&amp;"/"&amp;RIGHT("00"&amp;$C170,2)&amp;"/"&amp;RIGHT("00"&amp;$D170,2)))</f>
        <v/>
      </c>
      <c r="F170">
        <f>IF(Entry!$D170&lt;&gt;"",IF(AND(ISNUMBER(Entry!$D170),Entry!$D170&gt;=0,Entry!$D170&lt;1),RIGHT("00"&amp;HOUR(Entry!$D170),2)&amp;":"&amp;RIGHT("00"&amp;MINUTE(Entry!$D170),2),IFERROR(RIGHT("00"&amp;VALUE(TRIM(LEFT(Entry!$D170,FIND(":",Entry!$D170)-1))),2)&amp;":"&amp;RIGHT("00"&amp;VALUE(TRIM(MID(Entry!$D170,FIND(":",Entry!$D170)+1,2))),2),"نامعتبر")),IF(OR($E170="",$E170="نامعتبر"),"","00:00"))</f>
        <v/>
      </c>
      <c r="G170">
        <f>IF(OR($E170="",$E170="نامعتبر"),"",IF(Entry!$E170="","",LEFT(UPPER(TRIM(Entry!$E170)),6)))</f>
        <v/>
      </c>
      <c r="H170">
        <f>IF($G170="","",RIGHT($E170,4)&amp;MID($E170,6,2)&amp;RIGHT($E170,2)&amp;IF($F170="","0000",IF($F170="نامعتبر","9999",LEFT($F170,2)&amp;RIGHT($F170,2)))&amp;"|"&amp;RIGHT("00000"&amp;162,5))</f>
        <v/>
      </c>
      <c r="I170">
        <f>IF($H170="","",COUNTIFS(CalcBank,$G170,CalcKey,"&lt;"&amp;$H170)+1)</f>
        <v/>
      </c>
      <c r="J170">
        <f>IF($I170="","",$G170&amp;"|"&amp;RIGHT("000000"&amp;$I170,6))</f>
        <v/>
      </c>
      <c r="K170">
        <f>IF(OR($E170="",$E170="نامعتبر"),"",LEFT($E170,4)&amp;"/"&amp;MID($E170,6,2))</f>
        <v/>
      </c>
      <c r="L170">
        <f>IF(Entry!$K170="",0,Entry!$K170)</f>
        <v/>
      </c>
      <c r="M170">
        <f>IF(Entry!$L170="",0,Entry!$L170)</f>
        <v/>
      </c>
    </row>
    <row r="171">
      <c r="A171">
        <f>IF(Entry!$C171="","",Entry!$C171)</f>
        <v/>
      </c>
      <c r="B171">
        <f>IF($A171="","",IF(ISNUMBER($A171),IF(AND($A171&gt;=10000101,$A171&lt;=99991231),INT($A171/10000),""),IFERROR(VALUE(TRIM(LEFT($A171,FIND("/",$A171)-1))),"")))</f>
        <v/>
      </c>
      <c r="C171">
        <f>IF(OR($A171="",$B171=""),"",IF(ISNUMBER($A171),INT(MOD($A171,10000)/100),IFERROR(VALUE(TRIM(LEFT(MID($A171,FIND("/",$A171)+1,20),FIND("/",MID($A171,FIND("/",$A171)+1,20))-1))),"")))</f>
        <v/>
      </c>
      <c r="D171">
        <f>IF(OR($A171="",$B171=""),"",IF(ISNUMBER($A171),MOD($A171,100),IFERROR(VALUE(TRIM(MID(MID($A171,FIND("/",$A171)+1,20),FIND("/",MID($A171,FIND("/",$A171)+1,20))+1,20))),"")))</f>
        <v/>
      </c>
      <c r="E171">
        <f>IF($A171="","",IF(OR($B171="",$C171="",$D171="",$B171&lt;1300,$B171&gt;1500,$C171&lt;1,$C171&gt;12,$D171&lt;1,$D171&gt;31),"نامعتبر",RIGHT("0000"&amp;$B171,4)&amp;"/"&amp;RIGHT("00"&amp;$C171,2)&amp;"/"&amp;RIGHT("00"&amp;$D171,2)))</f>
        <v/>
      </c>
      <c r="F171">
        <f>IF(Entry!$D171&lt;&gt;"",IF(AND(ISNUMBER(Entry!$D171),Entry!$D171&gt;=0,Entry!$D171&lt;1),RIGHT("00"&amp;HOUR(Entry!$D171),2)&amp;":"&amp;RIGHT("00"&amp;MINUTE(Entry!$D171),2),IFERROR(RIGHT("00"&amp;VALUE(TRIM(LEFT(Entry!$D171,FIND(":",Entry!$D171)-1))),2)&amp;":"&amp;RIGHT("00"&amp;VALUE(TRIM(MID(Entry!$D171,FIND(":",Entry!$D171)+1,2))),2),"نامعتبر")),IF(OR($E171="",$E171="نامعتبر"),"","00:00"))</f>
        <v/>
      </c>
      <c r="G171">
        <f>IF(OR($E171="",$E171="نامعتبر"),"",IF(Entry!$E171="","",LEFT(UPPER(TRIM(Entry!$E171)),6)))</f>
        <v/>
      </c>
      <c r="H171">
        <f>IF($G171="","",RIGHT($E171,4)&amp;MID($E171,6,2)&amp;RIGHT($E171,2)&amp;IF($F171="","0000",IF($F171="نامعتبر","9999",LEFT($F171,2)&amp;RIGHT($F171,2)))&amp;"|"&amp;RIGHT("00000"&amp;163,5))</f>
        <v/>
      </c>
      <c r="I171">
        <f>IF($H171="","",COUNTIFS(CalcBank,$G171,CalcKey,"&lt;"&amp;$H171)+1)</f>
        <v/>
      </c>
      <c r="J171">
        <f>IF($I171="","",$G171&amp;"|"&amp;RIGHT("000000"&amp;$I171,6))</f>
        <v/>
      </c>
      <c r="K171">
        <f>IF(OR($E171="",$E171="نامعتبر"),"",LEFT($E171,4)&amp;"/"&amp;MID($E171,6,2))</f>
        <v/>
      </c>
      <c r="L171">
        <f>IF(Entry!$K171="",0,Entry!$K171)</f>
        <v/>
      </c>
      <c r="M171">
        <f>IF(Entry!$L171="",0,Entry!$L171)</f>
        <v/>
      </c>
    </row>
    <row r="172">
      <c r="A172">
        <f>IF(Entry!$C172="","",Entry!$C172)</f>
        <v/>
      </c>
      <c r="B172">
        <f>IF($A172="","",IF(ISNUMBER($A172),IF(AND($A172&gt;=10000101,$A172&lt;=99991231),INT($A172/10000),""),IFERROR(VALUE(TRIM(LEFT($A172,FIND("/",$A172)-1))),"")))</f>
        <v/>
      </c>
      <c r="C172">
        <f>IF(OR($A172="",$B172=""),"",IF(ISNUMBER($A172),INT(MOD($A172,10000)/100),IFERROR(VALUE(TRIM(LEFT(MID($A172,FIND("/",$A172)+1,20),FIND("/",MID($A172,FIND("/",$A172)+1,20))-1))),"")))</f>
        <v/>
      </c>
      <c r="D172">
        <f>IF(OR($A172="",$B172=""),"",IF(ISNUMBER($A172),MOD($A172,100),IFERROR(VALUE(TRIM(MID(MID($A172,FIND("/",$A172)+1,20),FIND("/",MID($A172,FIND("/",$A172)+1,20))+1,20))),"")))</f>
        <v/>
      </c>
      <c r="E172">
        <f>IF($A172="","",IF(OR($B172="",$C172="",$D172="",$B172&lt;1300,$B172&gt;1500,$C172&lt;1,$C172&gt;12,$D172&lt;1,$D172&gt;31),"نامعتبر",RIGHT("0000"&amp;$B172,4)&amp;"/"&amp;RIGHT("00"&amp;$C172,2)&amp;"/"&amp;RIGHT("00"&amp;$D172,2)))</f>
        <v/>
      </c>
      <c r="F172">
        <f>IF(Entry!$D172&lt;&gt;"",IF(AND(ISNUMBER(Entry!$D172),Entry!$D172&gt;=0,Entry!$D172&lt;1),RIGHT("00"&amp;HOUR(Entry!$D172),2)&amp;":"&amp;RIGHT("00"&amp;MINUTE(Entry!$D172),2),IFERROR(RIGHT("00"&amp;VALUE(TRIM(LEFT(Entry!$D172,FIND(":",Entry!$D172)-1))),2)&amp;":"&amp;RIGHT("00"&amp;VALUE(TRIM(MID(Entry!$D172,FIND(":",Entry!$D172)+1,2))),2),"نامعتبر")),IF(OR($E172="",$E172="نامعتبر"),"","00:00"))</f>
        <v/>
      </c>
      <c r="G172">
        <f>IF(OR($E172="",$E172="نامعتبر"),"",IF(Entry!$E172="","",LEFT(UPPER(TRIM(Entry!$E172)),6)))</f>
        <v/>
      </c>
      <c r="H172">
        <f>IF($G172="","",RIGHT($E172,4)&amp;MID($E172,6,2)&amp;RIGHT($E172,2)&amp;IF($F172="","0000",IF($F172="نامعتبر","9999",LEFT($F172,2)&amp;RIGHT($F172,2)))&amp;"|"&amp;RIGHT("00000"&amp;164,5))</f>
        <v/>
      </c>
      <c r="I172">
        <f>IF($H172="","",COUNTIFS(CalcBank,$G172,CalcKey,"&lt;"&amp;$H172)+1)</f>
        <v/>
      </c>
      <c r="J172">
        <f>IF($I172="","",$G172&amp;"|"&amp;RIGHT("000000"&amp;$I172,6))</f>
        <v/>
      </c>
      <c r="K172">
        <f>IF(OR($E172="",$E172="نامعتبر"),"",LEFT($E172,4)&amp;"/"&amp;MID($E172,6,2))</f>
        <v/>
      </c>
      <c r="L172">
        <f>IF(Entry!$K172="",0,Entry!$K172)</f>
        <v/>
      </c>
      <c r="M172">
        <f>IF(Entry!$L172="",0,Entry!$L172)</f>
        <v/>
      </c>
    </row>
    <row r="173">
      <c r="A173">
        <f>IF(Entry!$C173="","",Entry!$C173)</f>
        <v/>
      </c>
      <c r="B173">
        <f>IF($A173="","",IF(ISNUMBER($A173),IF(AND($A173&gt;=10000101,$A173&lt;=99991231),INT($A173/10000),""),IFERROR(VALUE(TRIM(LEFT($A173,FIND("/",$A173)-1))),"")))</f>
        <v/>
      </c>
      <c r="C173">
        <f>IF(OR($A173="",$B173=""),"",IF(ISNUMBER($A173),INT(MOD($A173,10000)/100),IFERROR(VALUE(TRIM(LEFT(MID($A173,FIND("/",$A173)+1,20),FIND("/",MID($A173,FIND("/",$A173)+1,20))-1))),"")))</f>
        <v/>
      </c>
      <c r="D173">
        <f>IF(OR($A173="",$B173=""),"",IF(ISNUMBER($A173),MOD($A173,100),IFERROR(VALUE(TRIM(MID(MID($A173,FIND("/",$A173)+1,20),FIND("/",MID($A173,FIND("/",$A173)+1,20))+1,20))),"")))</f>
        <v/>
      </c>
      <c r="E173">
        <f>IF($A173="","",IF(OR($B173="",$C173="",$D173="",$B173&lt;1300,$B173&gt;1500,$C173&lt;1,$C173&gt;12,$D173&lt;1,$D173&gt;31),"نامعتبر",RIGHT("0000"&amp;$B173,4)&amp;"/"&amp;RIGHT("00"&amp;$C173,2)&amp;"/"&amp;RIGHT("00"&amp;$D173,2)))</f>
        <v/>
      </c>
      <c r="F173">
        <f>IF(Entry!$D173&lt;&gt;"",IF(AND(ISNUMBER(Entry!$D173),Entry!$D173&gt;=0,Entry!$D173&lt;1),RIGHT("00"&amp;HOUR(Entry!$D173),2)&amp;":"&amp;RIGHT("00"&amp;MINUTE(Entry!$D173),2),IFERROR(RIGHT("00"&amp;VALUE(TRIM(LEFT(Entry!$D173,FIND(":",Entry!$D173)-1))),2)&amp;":"&amp;RIGHT("00"&amp;VALUE(TRIM(MID(Entry!$D173,FIND(":",Entry!$D173)+1,2))),2),"نامعتبر")),IF(OR($E173="",$E173="نامعتبر"),"","00:00"))</f>
        <v/>
      </c>
      <c r="G173">
        <f>IF(OR($E173="",$E173="نامعتبر"),"",IF(Entry!$E173="","",LEFT(UPPER(TRIM(Entry!$E173)),6)))</f>
        <v/>
      </c>
      <c r="H173">
        <f>IF($G173="","",RIGHT($E173,4)&amp;MID($E173,6,2)&amp;RIGHT($E173,2)&amp;IF($F173="","0000",IF($F173="نامعتبر","9999",LEFT($F173,2)&amp;RIGHT($F173,2)))&amp;"|"&amp;RIGHT("00000"&amp;165,5))</f>
        <v/>
      </c>
      <c r="I173">
        <f>IF($H173="","",COUNTIFS(CalcBank,$G173,CalcKey,"&lt;"&amp;$H173)+1)</f>
        <v/>
      </c>
      <c r="J173">
        <f>IF($I173="","",$G173&amp;"|"&amp;RIGHT("000000"&amp;$I173,6))</f>
        <v/>
      </c>
      <c r="K173">
        <f>IF(OR($E173="",$E173="نامعتبر"),"",LEFT($E173,4)&amp;"/"&amp;MID($E173,6,2))</f>
        <v/>
      </c>
      <c r="L173">
        <f>IF(Entry!$K173="",0,Entry!$K173)</f>
        <v/>
      </c>
      <c r="M173">
        <f>IF(Entry!$L173="",0,Entry!$L173)</f>
        <v/>
      </c>
    </row>
    <row r="174">
      <c r="A174">
        <f>IF(Entry!$C174="","",Entry!$C174)</f>
        <v/>
      </c>
      <c r="B174">
        <f>IF($A174="","",IF(ISNUMBER($A174),IF(AND($A174&gt;=10000101,$A174&lt;=99991231),INT($A174/10000),""),IFERROR(VALUE(TRIM(LEFT($A174,FIND("/",$A174)-1))),"")))</f>
        <v/>
      </c>
      <c r="C174">
        <f>IF(OR($A174="",$B174=""),"",IF(ISNUMBER($A174),INT(MOD($A174,10000)/100),IFERROR(VALUE(TRIM(LEFT(MID($A174,FIND("/",$A174)+1,20),FIND("/",MID($A174,FIND("/",$A174)+1,20))-1))),"")))</f>
        <v/>
      </c>
      <c r="D174">
        <f>IF(OR($A174="",$B174=""),"",IF(ISNUMBER($A174),MOD($A174,100),IFERROR(VALUE(TRIM(MID(MID($A174,FIND("/",$A174)+1,20),FIND("/",MID($A174,FIND("/",$A174)+1,20))+1,20))),"")))</f>
        <v/>
      </c>
      <c r="E174">
        <f>IF($A174="","",IF(OR($B174="",$C174="",$D174="",$B174&lt;1300,$B174&gt;1500,$C174&lt;1,$C174&gt;12,$D174&lt;1,$D174&gt;31),"نامعتبر",RIGHT("0000"&amp;$B174,4)&amp;"/"&amp;RIGHT("00"&amp;$C174,2)&amp;"/"&amp;RIGHT("00"&amp;$D174,2)))</f>
        <v/>
      </c>
      <c r="F174">
        <f>IF(Entry!$D174&lt;&gt;"",IF(AND(ISNUMBER(Entry!$D174),Entry!$D174&gt;=0,Entry!$D174&lt;1),RIGHT("00"&amp;HOUR(Entry!$D174),2)&amp;":"&amp;RIGHT("00"&amp;MINUTE(Entry!$D174),2),IFERROR(RIGHT("00"&amp;VALUE(TRIM(LEFT(Entry!$D174,FIND(":",Entry!$D174)-1))),2)&amp;":"&amp;RIGHT("00"&amp;VALUE(TRIM(MID(Entry!$D174,FIND(":",Entry!$D174)+1,2))),2),"نامعتبر")),IF(OR($E174="",$E174="نامعتبر"),"","00:00"))</f>
        <v/>
      </c>
      <c r="G174">
        <f>IF(OR($E174="",$E174="نامعتبر"),"",IF(Entry!$E174="","",LEFT(UPPER(TRIM(Entry!$E174)),6)))</f>
        <v/>
      </c>
      <c r="H174">
        <f>IF($G174="","",RIGHT($E174,4)&amp;MID($E174,6,2)&amp;RIGHT($E174,2)&amp;IF($F174="","0000",IF($F174="نامعتبر","9999",LEFT($F174,2)&amp;RIGHT($F174,2)))&amp;"|"&amp;RIGHT("00000"&amp;166,5))</f>
        <v/>
      </c>
      <c r="I174">
        <f>IF($H174="","",COUNTIFS(CalcBank,$G174,CalcKey,"&lt;"&amp;$H174)+1)</f>
        <v/>
      </c>
      <c r="J174">
        <f>IF($I174="","",$G174&amp;"|"&amp;RIGHT("000000"&amp;$I174,6))</f>
        <v/>
      </c>
      <c r="K174">
        <f>IF(OR($E174="",$E174="نامعتبر"),"",LEFT($E174,4)&amp;"/"&amp;MID($E174,6,2))</f>
        <v/>
      </c>
      <c r="L174">
        <f>IF(Entry!$K174="",0,Entry!$K174)</f>
        <v/>
      </c>
      <c r="M174">
        <f>IF(Entry!$L174="",0,Entry!$L174)</f>
        <v/>
      </c>
    </row>
    <row r="175">
      <c r="A175">
        <f>IF(Entry!$C175="","",Entry!$C175)</f>
        <v/>
      </c>
      <c r="B175">
        <f>IF($A175="","",IF(ISNUMBER($A175),IF(AND($A175&gt;=10000101,$A175&lt;=99991231),INT($A175/10000),""),IFERROR(VALUE(TRIM(LEFT($A175,FIND("/",$A175)-1))),"")))</f>
        <v/>
      </c>
      <c r="C175">
        <f>IF(OR($A175="",$B175=""),"",IF(ISNUMBER($A175),INT(MOD($A175,10000)/100),IFERROR(VALUE(TRIM(LEFT(MID($A175,FIND("/",$A175)+1,20),FIND("/",MID($A175,FIND("/",$A175)+1,20))-1))),"")))</f>
        <v/>
      </c>
      <c r="D175">
        <f>IF(OR($A175="",$B175=""),"",IF(ISNUMBER($A175),MOD($A175,100),IFERROR(VALUE(TRIM(MID(MID($A175,FIND("/",$A175)+1,20),FIND("/",MID($A175,FIND("/",$A175)+1,20))+1,20))),"")))</f>
        <v/>
      </c>
      <c r="E175">
        <f>IF($A175="","",IF(OR($B175="",$C175="",$D175="",$B175&lt;1300,$B175&gt;1500,$C175&lt;1,$C175&gt;12,$D175&lt;1,$D175&gt;31),"نامعتبر",RIGHT("0000"&amp;$B175,4)&amp;"/"&amp;RIGHT("00"&amp;$C175,2)&amp;"/"&amp;RIGHT("00"&amp;$D175,2)))</f>
        <v/>
      </c>
      <c r="F175">
        <f>IF(Entry!$D175&lt;&gt;"",IF(AND(ISNUMBER(Entry!$D175),Entry!$D175&gt;=0,Entry!$D175&lt;1),RIGHT("00"&amp;HOUR(Entry!$D175),2)&amp;":"&amp;RIGHT("00"&amp;MINUTE(Entry!$D175),2),IFERROR(RIGHT("00"&amp;VALUE(TRIM(LEFT(Entry!$D175,FIND(":",Entry!$D175)-1))),2)&amp;":"&amp;RIGHT("00"&amp;VALUE(TRIM(MID(Entry!$D175,FIND(":",Entry!$D175)+1,2))),2),"نامعتبر")),IF(OR($E175="",$E175="نامعتبر"),"","00:00"))</f>
        <v/>
      </c>
      <c r="G175">
        <f>IF(OR($E175="",$E175="نامعتبر"),"",IF(Entry!$E175="","",LEFT(UPPER(TRIM(Entry!$E175)),6)))</f>
        <v/>
      </c>
      <c r="H175">
        <f>IF($G175="","",RIGHT($E175,4)&amp;MID($E175,6,2)&amp;RIGHT($E175,2)&amp;IF($F175="","0000",IF($F175="نامعتبر","9999",LEFT($F175,2)&amp;RIGHT($F175,2)))&amp;"|"&amp;RIGHT("00000"&amp;167,5))</f>
        <v/>
      </c>
      <c r="I175">
        <f>IF($H175="","",COUNTIFS(CalcBank,$G175,CalcKey,"&lt;"&amp;$H175)+1)</f>
        <v/>
      </c>
      <c r="J175">
        <f>IF($I175="","",$G175&amp;"|"&amp;RIGHT("000000"&amp;$I175,6))</f>
        <v/>
      </c>
      <c r="K175">
        <f>IF(OR($E175="",$E175="نامعتبر"),"",LEFT($E175,4)&amp;"/"&amp;MID($E175,6,2))</f>
        <v/>
      </c>
      <c r="L175">
        <f>IF(Entry!$K175="",0,Entry!$K175)</f>
        <v/>
      </c>
      <c r="M175">
        <f>IF(Entry!$L175="",0,Entry!$L175)</f>
        <v/>
      </c>
    </row>
    <row r="176">
      <c r="A176">
        <f>IF(Entry!$C176="","",Entry!$C176)</f>
        <v/>
      </c>
      <c r="B176">
        <f>IF($A176="","",IF(ISNUMBER($A176),IF(AND($A176&gt;=10000101,$A176&lt;=99991231),INT($A176/10000),""),IFERROR(VALUE(TRIM(LEFT($A176,FIND("/",$A176)-1))),"")))</f>
        <v/>
      </c>
      <c r="C176">
        <f>IF(OR($A176="",$B176=""),"",IF(ISNUMBER($A176),INT(MOD($A176,10000)/100),IFERROR(VALUE(TRIM(LEFT(MID($A176,FIND("/",$A176)+1,20),FIND("/",MID($A176,FIND("/",$A176)+1,20))-1))),"")))</f>
        <v/>
      </c>
      <c r="D176">
        <f>IF(OR($A176="",$B176=""),"",IF(ISNUMBER($A176),MOD($A176,100),IFERROR(VALUE(TRIM(MID(MID($A176,FIND("/",$A176)+1,20),FIND("/",MID($A176,FIND("/",$A176)+1,20))+1,20))),"")))</f>
        <v/>
      </c>
      <c r="E176">
        <f>IF($A176="","",IF(OR($B176="",$C176="",$D176="",$B176&lt;1300,$B176&gt;1500,$C176&lt;1,$C176&gt;12,$D176&lt;1,$D176&gt;31),"نامعتبر",RIGHT("0000"&amp;$B176,4)&amp;"/"&amp;RIGHT("00"&amp;$C176,2)&amp;"/"&amp;RIGHT("00"&amp;$D176,2)))</f>
        <v/>
      </c>
      <c r="F176">
        <f>IF(Entry!$D176&lt;&gt;"",IF(AND(ISNUMBER(Entry!$D176),Entry!$D176&gt;=0,Entry!$D176&lt;1),RIGHT("00"&amp;HOUR(Entry!$D176),2)&amp;":"&amp;RIGHT("00"&amp;MINUTE(Entry!$D176),2),IFERROR(RIGHT("00"&amp;VALUE(TRIM(LEFT(Entry!$D176,FIND(":",Entry!$D176)-1))),2)&amp;":"&amp;RIGHT("00"&amp;VALUE(TRIM(MID(Entry!$D176,FIND(":",Entry!$D176)+1,2))),2),"نامعتبر")),IF(OR($E176="",$E176="نامعتبر"),"","00:00"))</f>
        <v/>
      </c>
      <c r="G176">
        <f>IF(OR($E176="",$E176="نامعتبر"),"",IF(Entry!$E176="","",LEFT(UPPER(TRIM(Entry!$E176)),6)))</f>
        <v/>
      </c>
      <c r="H176">
        <f>IF($G176="","",RIGHT($E176,4)&amp;MID($E176,6,2)&amp;RIGHT($E176,2)&amp;IF($F176="","0000",IF($F176="نامعتبر","9999",LEFT($F176,2)&amp;RIGHT($F176,2)))&amp;"|"&amp;RIGHT("00000"&amp;168,5))</f>
        <v/>
      </c>
      <c r="I176">
        <f>IF($H176="","",COUNTIFS(CalcBank,$G176,CalcKey,"&lt;"&amp;$H176)+1)</f>
        <v/>
      </c>
      <c r="J176">
        <f>IF($I176="","",$G176&amp;"|"&amp;RIGHT("000000"&amp;$I176,6))</f>
        <v/>
      </c>
      <c r="K176">
        <f>IF(OR($E176="",$E176="نامعتبر"),"",LEFT($E176,4)&amp;"/"&amp;MID($E176,6,2))</f>
        <v/>
      </c>
      <c r="L176">
        <f>IF(Entry!$K176="",0,Entry!$K176)</f>
        <v/>
      </c>
      <c r="M176">
        <f>IF(Entry!$L176="",0,Entry!$L176)</f>
        <v/>
      </c>
    </row>
    <row r="177">
      <c r="A177">
        <f>IF(Entry!$C177="","",Entry!$C177)</f>
        <v/>
      </c>
      <c r="B177">
        <f>IF($A177="","",IF(ISNUMBER($A177),IF(AND($A177&gt;=10000101,$A177&lt;=99991231),INT($A177/10000),""),IFERROR(VALUE(TRIM(LEFT($A177,FIND("/",$A177)-1))),"")))</f>
        <v/>
      </c>
      <c r="C177">
        <f>IF(OR($A177="",$B177=""),"",IF(ISNUMBER($A177),INT(MOD($A177,10000)/100),IFERROR(VALUE(TRIM(LEFT(MID($A177,FIND("/",$A177)+1,20),FIND("/",MID($A177,FIND("/",$A177)+1,20))-1))),"")))</f>
        <v/>
      </c>
      <c r="D177">
        <f>IF(OR($A177="",$B177=""),"",IF(ISNUMBER($A177),MOD($A177,100),IFERROR(VALUE(TRIM(MID(MID($A177,FIND("/",$A177)+1,20),FIND("/",MID($A177,FIND("/",$A177)+1,20))+1,20))),"")))</f>
        <v/>
      </c>
      <c r="E177">
        <f>IF($A177="","",IF(OR($B177="",$C177="",$D177="",$B177&lt;1300,$B177&gt;1500,$C177&lt;1,$C177&gt;12,$D177&lt;1,$D177&gt;31),"نامعتبر",RIGHT("0000"&amp;$B177,4)&amp;"/"&amp;RIGHT("00"&amp;$C177,2)&amp;"/"&amp;RIGHT("00"&amp;$D177,2)))</f>
        <v/>
      </c>
      <c r="F177">
        <f>IF(Entry!$D177&lt;&gt;"",IF(AND(ISNUMBER(Entry!$D177),Entry!$D177&gt;=0,Entry!$D177&lt;1),RIGHT("00"&amp;HOUR(Entry!$D177),2)&amp;":"&amp;RIGHT("00"&amp;MINUTE(Entry!$D177),2),IFERROR(RIGHT("00"&amp;VALUE(TRIM(LEFT(Entry!$D177,FIND(":",Entry!$D177)-1))),2)&amp;":"&amp;RIGHT("00"&amp;VALUE(TRIM(MID(Entry!$D177,FIND(":",Entry!$D177)+1,2))),2),"نامعتبر")),IF(OR($E177="",$E177="نامعتبر"),"","00:00"))</f>
        <v/>
      </c>
      <c r="G177">
        <f>IF(OR($E177="",$E177="نامعتبر"),"",IF(Entry!$E177="","",LEFT(UPPER(TRIM(Entry!$E177)),6)))</f>
        <v/>
      </c>
      <c r="H177">
        <f>IF($G177="","",RIGHT($E177,4)&amp;MID($E177,6,2)&amp;RIGHT($E177,2)&amp;IF($F177="","0000",IF($F177="نامعتبر","9999",LEFT($F177,2)&amp;RIGHT($F177,2)))&amp;"|"&amp;RIGHT("00000"&amp;169,5))</f>
        <v/>
      </c>
      <c r="I177">
        <f>IF($H177="","",COUNTIFS(CalcBank,$G177,CalcKey,"&lt;"&amp;$H177)+1)</f>
        <v/>
      </c>
      <c r="J177">
        <f>IF($I177="","",$G177&amp;"|"&amp;RIGHT("000000"&amp;$I177,6))</f>
        <v/>
      </c>
      <c r="K177">
        <f>IF(OR($E177="",$E177="نامعتبر"),"",LEFT($E177,4)&amp;"/"&amp;MID($E177,6,2))</f>
        <v/>
      </c>
      <c r="L177">
        <f>IF(Entry!$K177="",0,Entry!$K177)</f>
        <v/>
      </c>
      <c r="M177">
        <f>IF(Entry!$L177="",0,Entry!$L177)</f>
        <v/>
      </c>
    </row>
    <row r="178">
      <c r="A178">
        <f>IF(Entry!$C178="","",Entry!$C178)</f>
        <v/>
      </c>
      <c r="B178">
        <f>IF($A178="","",IF(ISNUMBER($A178),IF(AND($A178&gt;=10000101,$A178&lt;=99991231),INT($A178/10000),""),IFERROR(VALUE(TRIM(LEFT($A178,FIND("/",$A178)-1))),"")))</f>
        <v/>
      </c>
      <c r="C178">
        <f>IF(OR($A178="",$B178=""),"",IF(ISNUMBER($A178),INT(MOD($A178,10000)/100),IFERROR(VALUE(TRIM(LEFT(MID($A178,FIND("/",$A178)+1,20),FIND("/",MID($A178,FIND("/",$A178)+1,20))-1))),"")))</f>
        <v/>
      </c>
      <c r="D178">
        <f>IF(OR($A178="",$B178=""),"",IF(ISNUMBER($A178),MOD($A178,100),IFERROR(VALUE(TRIM(MID(MID($A178,FIND("/",$A178)+1,20),FIND("/",MID($A178,FIND("/",$A178)+1,20))+1,20))),"")))</f>
        <v/>
      </c>
      <c r="E178">
        <f>IF($A178="","",IF(OR($B178="",$C178="",$D178="",$B178&lt;1300,$B178&gt;1500,$C178&lt;1,$C178&gt;12,$D178&lt;1,$D178&gt;31),"نامعتبر",RIGHT("0000"&amp;$B178,4)&amp;"/"&amp;RIGHT("00"&amp;$C178,2)&amp;"/"&amp;RIGHT("00"&amp;$D178,2)))</f>
        <v/>
      </c>
      <c r="F178">
        <f>IF(Entry!$D178&lt;&gt;"",IF(AND(ISNUMBER(Entry!$D178),Entry!$D178&gt;=0,Entry!$D178&lt;1),RIGHT("00"&amp;HOUR(Entry!$D178),2)&amp;":"&amp;RIGHT("00"&amp;MINUTE(Entry!$D178),2),IFERROR(RIGHT("00"&amp;VALUE(TRIM(LEFT(Entry!$D178,FIND(":",Entry!$D178)-1))),2)&amp;":"&amp;RIGHT("00"&amp;VALUE(TRIM(MID(Entry!$D178,FIND(":",Entry!$D178)+1,2))),2),"نامعتبر")),IF(OR($E178="",$E178="نامعتبر"),"","00:00"))</f>
        <v/>
      </c>
      <c r="G178">
        <f>IF(OR($E178="",$E178="نامعتبر"),"",IF(Entry!$E178="","",LEFT(UPPER(TRIM(Entry!$E178)),6)))</f>
        <v/>
      </c>
      <c r="H178">
        <f>IF($G178="","",RIGHT($E178,4)&amp;MID($E178,6,2)&amp;RIGHT($E178,2)&amp;IF($F178="","0000",IF($F178="نامعتبر","9999",LEFT($F178,2)&amp;RIGHT($F178,2)))&amp;"|"&amp;RIGHT("00000"&amp;170,5))</f>
        <v/>
      </c>
      <c r="I178">
        <f>IF($H178="","",COUNTIFS(CalcBank,$G178,CalcKey,"&lt;"&amp;$H178)+1)</f>
        <v/>
      </c>
      <c r="J178">
        <f>IF($I178="","",$G178&amp;"|"&amp;RIGHT("000000"&amp;$I178,6))</f>
        <v/>
      </c>
      <c r="K178">
        <f>IF(OR($E178="",$E178="نامعتبر"),"",LEFT($E178,4)&amp;"/"&amp;MID($E178,6,2))</f>
        <v/>
      </c>
      <c r="L178">
        <f>IF(Entry!$K178="",0,Entry!$K178)</f>
        <v/>
      </c>
      <c r="M178">
        <f>IF(Entry!$L178="",0,Entry!$L178)</f>
        <v/>
      </c>
    </row>
    <row r="179">
      <c r="A179">
        <f>IF(Entry!$C179="","",Entry!$C179)</f>
        <v/>
      </c>
      <c r="B179">
        <f>IF($A179="","",IF(ISNUMBER($A179),IF(AND($A179&gt;=10000101,$A179&lt;=99991231),INT($A179/10000),""),IFERROR(VALUE(TRIM(LEFT($A179,FIND("/",$A179)-1))),"")))</f>
        <v/>
      </c>
      <c r="C179">
        <f>IF(OR($A179="",$B179=""),"",IF(ISNUMBER($A179),INT(MOD($A179,10000)/100),IFERROR(VALUE(TRIM(LEFT(MID($A179,FIND("/",$A179)+1,20),FIND("/",MID($A179,FIND("/",$A179)+1,20))-1))),"")))</f>
        <v/>
      </c>
      <c r="D179">
        <f>IF(OR($A179="",$B179=""),"",IF(ISNUMBER($A179),MOD($A179,100),IFERROR(VALUE(TRIM(MID(MID($A179,FIND("/",$A179)+1,20),FIND("/",MID($A179,FIND("/",$A179)+1,20))+1,20))),"")))</f>
        <v/>
      </c>
      <c r="E179">
        <f>IF($A179="","",IF(OR($B179="",$C179="",$D179="",$B179&lt;1300,$B179&gt;1500,$C179&lt;1,$C179&gt;12,$D179&lt;1,$D179&gt;31),"نامعتبر",RIGHT("0000"&amp;$B179,4)&amp;"/"&amp;RIGHT("00"&amp;$C179,2)&amp;"/"&amp;RIGHT("00"&amp;$D179,2)))</f>
        <v/>
      </c>
      <c r="F179">
        <f>IF(Entry!$D179&lt;&gt;"",IF(AND(ISNUMBER(Entry!$D179),Entry!$D179&gt;=0,Entry!$D179&lt;1),RIGHT("00"&amp;HOUR(Entry!$D179),2)&amp;":"&amp;RIGHT("00"&amp;MINUTE(Entry!$D179),2),IFERROR(RIGHT("00"&amp;VALUE(TRIM(LEFT(Entry!$D179,FIND(":",Entry!$D179)-1))),2)&amp;":"&amp;RIGHT("00"&amp;VALUE(TRIM(MID(Entry!$D179,FIND(":",Entry!$D179)+1,2))),2),"نامعتبر")),IF(OR($E179="",$E179="نامعتبر"),"","00:00"))</f>
        <v/>
      </c>
      <c r="G179">
        <f>IF(OR($E179="",$E179="نامعتبر"),"",IF(Entry!$E179="","",LEFT(UPPER(TRIM(Entry!$E179)),6)))</f>
        <v/>
      </c>
      <c r="H179">
        <f>IF($G179="","",RIGHT($E179,4)&amp;MID($E179,6,2)&amp;RIGHT($E179,2)&amp;IF($F179="","0000",IF($F179="نامعتبر","9999",LEFT($F179,2)&amp;RIGHT($F179,2)))&amp;"|"&amp;RIGHT("00000"&amp;171,5))</f>
        <v/>
      </c>
      <c r="I179">
        <f>IF($H179="","",COUNTIFS(CalcBank,$G179,CalcKey,"&lt;"&amp;$H179)+1)</f>
        <v/>
      </c>
      <c r="J179">
        <f>IF($I179="","",$G179&amp;"|"&amp;RIGHT("000000"&amp;$I179,6))</f>
        <v/>
      </c>
      <c r="K179">
        <f>IF(OR($E179="",$E179="نامعتبر"),"",LEFT($E179,4)&amp;"/"&amp;MID($E179,6,2))</f>
        <v/>
      </c>
      <c r="L179">
        <f>IF(Entry!$K179="",0,Entry!$K179)</f>
        <v/>
      </c>
      <c r="M179">
        <f>IF(Entry!$L179="",0,Entry!$L179)</f>
        <v/>
      </c>
    </row>
    <row r="180">
      <c r="A180">
        <f>IF(Entry!$C180="","",Entry!$C180)</f>
        <v/>
      </c>
      <c r="B180">
        <f>IF($A180="","",IF(ISNUMBER($A180),IF(AND($A180&gt;=10000101,$A180&lt;=99991231),INT($A180/10000),""),IFERROR(VALUE(TRIM(LEFT($A180,FIND("/",$A180)-1))),"")))</f>
        <v/>
      </c>
      <c r="C180">
        <f>IF(OR($A180="",$B180=""),"",IF(ISNUMBER($A180),INT(MOD($A180,10000)/100),IFERROR(VALUE(TRIM(LEFT(MID($A180,FIND("/",$A180)+1,20),FIND("/",MID($A180,FIND("/",$A180)+1,20))-1))),"")))</f>
        <v/>
      </c>
      <c r="D180">
        <f>IF(OR($A180="",$B180=""),"",IF(ISNUMBER($A180),MOD($A180,100),IFERROR(VALUE(TRIM(MID(MID($A180,FIND("/",$A180)+1,20),FIND("/",MID($A180,FIND("/",$A180)+1,20))+1,20))),"")))</f>
        <v/>
      </c>
      <c r="E180">
        <f>IF($A180="","",IF(OR($B180="",$C180="",$D180="",$B180&lt;1300,$B180&gt;1500,$C180&lt;1,$C180&gt;12,$D180&lt;1,$D180&gt;31),"نامعتبر",RIGHT("0000"&amp;$B180,4)&amp;"/"&amp;RIGHT("00"&amp;$C180,2)&amp;"/"&amp;RIGHT("00"&amp;$D180,2)))</f>
        <v/>
      </c>
      <c r="F180">
        <f>IF(Entry!$D180&lt;&gt;"",IF(AND(ISNUMBER(Entry!$D180),Entry!$D180&gt;=0,Entry!$D180&lt;1),RIGHT("00"&amp;HOUR(Entry!$D180),2)&amp;":"&amp;RIGHT("00"&amp;MINUTE(Entry!$D180),2),IFERROR(RIGHT("00"&amp;VALUE(TRIM(LEFT(Entry!$D180,FIND(":",Entry!$D180)-1))),2)&amp;":"&amp;RIGHT("00"&amp;VALUE(TRIM(MID(Entry!$D180,FIND(":",Entry!$D180)+1,2))),2),"نامعتبر")),IF(OR($E180="",$E180="نامعتبر"),"","00:00"))</f>
        <v/>
      </c>
      <c r="G180">
        <f>IF(OR($E180="",$E180="نامعتبر"),"",IF(Entry!$E180="","",LEFT(UPPER(TRIM(Entry!$E180)),6)))</f>
        <v/>
      </c>
      <c r="H180">
        <f>IF($G180="","",RIGHT($E180,4)&amp;MID($E180,6,2)&amp;RIGHT($E180,2)&amp;IF($F180="","0000",IF($F180="نامعتبر","9999",LEFT($F180,2)&amp;RIGHT($F180,2)))&amp;"|"&amp;RIGHT("00000"&amp;172,5))</f>
        <v/>
      </c>
      <c r="I180">
        <f>IF($H180="","",COUNTIFS(CalcBank,$G180,CalcKey,"&lt;"&amp;$H180)+1)</f>
        <v/>
      </c>
      <c r="J180">
        <f>IF($I180="","",$G180&amp;"|"&amp;RIGHT("000000"&amp;$I180,6))</f>
        <v/>
      </c>
      <c r="K180">
        <f>IF(OR($E180="",$E180="نامعتبر"),"",LEFT($E180,4)&amp;"/"&amp;MID($E180,6,2))</f>
        <v/>
      </c>
      <c r="L180">
        <f>IF(Entry!$K180="",0,Entry!$K180)</f>
        <v/>
      </c>
      <c r="M180">
        <f>IF(Entry!$L180="",0,Entry!$L180)</f>
        <v/>
      </c>
    </row>
    <row r="181">
      <c r="A181">
        <f>IF(Entry!$C181="","",Entry!$C181)</f>
        <v/>
      </c>
      <c r="B181">
        <f>IF($A181="","",IF(ISNUMBER($A181),IF(AND($A181&gt;=10000101,$A181&lt;=99991231),INT($A181/10000),""),IFERROR(VALUE(TRIM(LEFT($A181,FIND("/",$A181)-1))),"")))</f>
        <v/>
      </c>
      <c r="C181">
        <f>IF(OR($A181="",$B181=""),"",IF(ISNUMBER($A181),INT(MOD($A181,10000)/100),IFERROR(VALUE(TRIM(LEFT(MID($A181,FIND("/",$A181)+1,20),FIND("/",MID($A181,FIND("/",$A181)+1,20))-1))),"")))</f>
        <v/>
      </c>
      <c r="D181">
        <f>IF(OR($A181="",$B181=""),"",IF(ISNUMBER($A181),MOD($A181,100),IFERROR(VALUE(TRIM(MID(MID($A181,FIND("/",$A181)+1,20),FIND("/",MID($A181,FIND("/",$A181)+1,20))+1,20))),"")))</f>
        <v/>
      </c>
      <c r="E181">
        <f>IF($A181="","",IF(OR($B181="",$C181="",$D181="",$B181&lt;1300,$B181&gt;1500,$C181&lt;1,$C181&gt;12,$D181&lt;1,$D181&gt;31),"نامعتبر",RIGHT("0000"&amp;$B181,4)&amp;"/"&amp;RIGHT("00"&amp;$C181,2)&amp;"/"&amp;RIGHT("00"&amp;$D181,2)))</f>
        <v/>
      </c>
      <c r="F181">
        <f>IF(Entry!$D181&lt;&gt;"",IF(AND(ISNUMBER(Entry!$D181),Entry!$D181&gt;=0,Entry!$D181&lt;1),RIGHT("00"&amp;HOUR(Entry!$D181),2)&amp;":"&amp;RIGHT("00"&amp;MINUTE(Entry!$D181),2),IFERROR(RIGHT("00"&amp;VALUE(TRIM(LEFT(Entry!$D181,FIND(":",Entry!$D181)-1))),2)&amp;":"&amp;RIGHT("00"&amp;VALUE(TRIM(MID(Entry!$D181,FIND(":",Entry!$D181)+1,2))),2),"نامعتبر")),IF(OR($E181="",$E181="نامعتبر"),"","00:00"))</f>
        <v/>
      </c>
      <c r="G181">
        <f>IF(OR($E181="",$E181="نامعتبر"),"",IF(Entry!$E181="","",LEFT(UPPER(TRIM(Entry!$E181)),6)))</f>
        <v/>
      </c>
      <c r="H181">
        <f>IF($G181="","",RIGHT($E181,4)&amp;MID($E181,6,2)&amp;RIGHT($E181,2)&amp;IF($F181="","0000",IF($F181="نامعتبر","9999",LEFT($F181,2)&amp;RIGHT($F181,2)))&amp;"|"&amp;RIGHT("00000"&amp;173,5))</f>
        <v/>
      </c>
      <c r="I181">
        <f>IF($H181="","",COUNTIFS(CalcBank,$G181,CalcKey,"&lt;"&amp;$H181)+1)</f>
        <v/>
      </c>
      <c r="J181">
        <f>IF($I181="","",$G181&amp;"|"&amp;RIGHT("000000"&amp;$I181,6))</f>
        <v/>
      </c>
      <c r="K181">
        <f>IF(OR($E181="",$E181="نامعتبر"),"",LEFT($E181,4)&amp;"/"&amp;MID($E181,6,2))</f>
        <v/>
      </c>
      <c r="L181">
        <f>IF(Entry!$K181="",0,Entry!$K181)</f>
        <v/>
      </c>
      <c r="M181">
        <f>IF(Entry!$L181="",0,Entry!$L181)</f>
        <v/>
      </c>
    </row>
    <row r="182">
      <c r="A182">
        <f>IF(Entry!$C182="","",Entry!$C182)</f>
        <v/>
      </c>
      <c r="B182">
        <f>IF($A182="","",IF(ISNUMBER($A182),IF(AND($A182&gt;=10000101,$A182&lt;=99991231),INT($A182/10000),""),IFERROR(VALUE(TRIM(LEFT($A182,FIND("/",$A182)-1))),"")))</f>
        <v/>
      </c>
      <c r="C182">
        <f>IF(OR($A182="",$B182=""),"",IF(ISNUMBER($A182),INT(MOD($A182,10000)/100),IFERROR(VALUE(TRIM(LEFT(MID($A182,FIND("/",$A182)+1,20),FIND("/",MID($A182,FIND("/",$A182)+1,20))-1))),"")))</f>
        <v/>
      </c>
      <c r="D182">
        <f>IF(OR($A182="",$B182=""),"",IF(ISNUMBER($A182),MOD($A182,100),IFERROR(VALUE(TRIM(MID(MID($A182,FIND("/",$A182)+1,20),FIND("/",MID($A182,FIND("/",$A182)+1,20))+1,20))),"")))</f>
        <v/>
      </c>
      <c r="E182">
        <f>IF($A182="","",IF(OR($B182="",$C182="",$D182="",$B182&lt;1300,$B182&gt;1500,$C182&lt;1,$C182&gt;12,$D182&lt;1,$D182&gt;31),"نامعتبر",RIGHT("0000"&amp;$B182,4)&amp;"/"&amp;RIGHT("00"&amp;$C182,2)&amp;"/"&amp;RIGHT("00"&amp;$D182,2)))</f>
        <v/>
      </c>
      <c r="F182">
        <f>IF(Entry!$D182&lt;&gt;"",IF(AND(ISNUMBER(Entry!$D182),Entry!$D182&gt;=0,Entry!$D182&lt;1),RIGHT("00"&amp;HOUR(Entry!$D182),2)&amp;":"&amp;RIGHT("00"&amp;MINUTE(Entry!$D182),2),IFERROR(RIGHT("00"&amp;VALUE(TRIM(LEFT(Entry!$D182,FIND(":",Entry!$D182)-1))),2)&amp;":"&amp;RIGHT("00"&amp;VALUE(TRIM(MID(Entry!$D182,FIND(":",Entry!$D182)+1,2))),2),"نامعتبر")),IF(OR($E182="",$E182="نامعتبر"),"","00:00"))</f>
        <v/>
      </c>
      <c r="G182">
        <f>IF(OR($E182="",$E182="نامعتبر"),"",IF(Entry!$E182="","",LEFT(UPPER(TRIM(Entry!$E182)),6)))</f>
        <v/>
      </c>
      <c r="H182">
        <f>IF($G182="","",RIGHT($E182,4)&amp;MID($E182,6,2)&amp;RIGHT($E182,2)&amp;IF($F182="","0000",IF($F182="نامعتبر","9999",LEFT($F182,2)&amp;RIGHT($F182,2)))&amp;"|"&amp;RIGHT("00000"&amp;174,5))</f>
        <v/>
      </c>
      <c r="I182">
        <f>IF($H182="","",COUNTIFS(CalcBank,$G182,CalcKey,"&lt;"&amp;$H182)+1)</f>
        <v/>
      </c>
      <c r="J182">
        <f>IF($I182="","",$G182&amp;"|"&amp;RIGHT("000000"&amp;$I182,6))</f>
        <v/>
      </c>
      <c r="K182">
        <f>IF(OR($E182="",$E182="نامعتبر"),"",LEFT($E182,4)&amp;"/"&amp;MID($E182,6,2))</f>
        <v/>
      </c>
      <c r="L182">
        <f>IF(Entry!$K182="",0,Entry!$K182)</f>
        <v/>
      </c>
      <c r="M182">
        <f>IF(Entry!$L182="",0,Entry!$L182)</f>
        <v/>
      </c>
    </row>
    <row r="183">
      <c r="A183">
        <f>IF(Entry!$C183="","",Entry!$C183)</f>
        <v/>
      </c>
      <c r="B183">
        <f>IF($A183="","",IF(ISNUMBER($A183),IF(AND($A183&gt;=10000101,$A183&lt;=99991231),INT($A183/10000),""),IFERROR(VALUE(TRIM(LEFT($A183,FIND("/",$A183)-1))),"")))</f>
        <v/>
      </c>
      <c r="C183">
        <f>IF(OR($A183="",$B183=""),"",IF(ISNUMBER($A183),INT(MOD($A183,10000)/100),IFERROR(VALUE(TRIM(LEFT(MID($A183,FIND("/",$A183)+1,20),FIND("/",MID($A183,FIND("/",$A183)+1,20))-1))),"")))</f>
        <v/>
      </c>
      <c r="D183">
        <f>IF(OR($A183="",$B183=""),"",IF(ISNUMBER($A183),MOD($A183,100),IFERROR(VALUE(TRIM(MID(MID($A183,FIND("/",$A183)+1,20),FIND("/",MID($A183,FIND("/",$A183)+1,20))+1,20))),"")))</f>
        <v/>
      </c>
      <c r="E183">
        <f>IF($A183="","",IF(OR($B183="",$C183="",$D183="",$B183&lt;1300,$B183&gt;1500,$C183&lt;1,$C183&gt;12,$D183&lt;1,$D183&gt;31),"نامعتبر",RIGHT("0000"&amp;$B183,4)&amp;"/"&amp;RIGHT("00"&amp;$C183,2)&amp;"/"&amp;RIGHT("00"&amp;$D183,2)))</f>
        <v/>
      </c>
      <c r="F183">
        <f>IF(Entry!$D183&lt;&gt;"",IF(AND(ISNUMBER(Entry!$D183),Entry!$D183&gt;=0,Entry!$D183&lt;1),RIGHT("00"&amp;HOUR(Entry!$D183),2)&amp;":"&amp;RIGHT("00"&amp;MINUTE(Entry!$D183),2),IFERROR(RIGHT("00"&amp;VALUE(TRIM(LEFT(Entry!$D183,FIND(":",Entry!$D183)-1))),2)&amp;":"&amp;RIGHT("00"&amp;VALUE(TRIM(MID(Entry!$D183,FIND(":",Entry!$D183)+1,2))),2),"نامعتبر")),IF(OR($E183="",$E183="نامعتبر"),"","00:00"))</f>
        <v/>
      </c>
      <c r="G183">
        <f>IF(OR($E183="",$E183="نامعتبر"),"",IF(Entry!$E183="","",LEFT(UPPER(TRIM(Entry!$E183)),6)))</f>
        <v/>
      </c>
      <c r="H183">
        <f>IF($G183="","",RIGHT($E183,4)&amp;MID($E183,6,2)&amp;RIGHT($E183,2)&amp;IF($F183="","0000",IF($F183="نامعتبر","9999",LEFT($F183,2)&amp;RIGHT($F183,2)))&amp;"|"&amp;RIGHT("00000"&amp;175,5))</f>
        <v/>
      </c>
      <c r="I183">
        <f>IF($H183="","",COUNTIFS(CalcBank,$G183,CalcKey,"&lt;"&amp;$H183)+1)</f>
        <v/>
      </c>
      <c r="J183">
        <f>IF($I183="","",$G183&amp;"|"&amp;RIGHT("000000"&amp;$I183,6))</f>
        <v/>
      </c>
      <c r="K183">
        <f>IF(OR($E183="",$E183="نامعتبر"),"",LEFT($E183,4)&amp;"/"&amp;MID($E183,6,2))</f>
        <v/>
      </c>
      <c r="L183">
        <f>IF(Entry!$K183="",0,Entry!$K183)</f>
        <v/>
      </c>
      <c r="M183">
        <f>IF(Entry!$L183="",0,Entry!$L183)</f>
        <v/>
      </c>
    </row>
    <row r="184">
      <c r="A184">
        <f>IF(Entry!$C184="","",Entry!$C184)</f>
        <v/>
      </c>
      <c r="B184">
        <f>IF($A184="","",IF(ISNUMBER($A184),IF(AND($A184&gt;=10000101,$A184&lt;=99991231),INT($A184/10000),""),IFERROR(VALUE(TRIM(LEFT($A184,FIND("/",$A184)-1))),"")))</f>
        <v/>
      </c>
      <c r="C184">
        <f>IF(OR($A184="",$B184=""),"",IF(ISNUMBER($A184),INT(MOD($A184,10000)/100),IFERROR(VALUE(TRIM(LEFT(MID($A184,FIND("/",$A184)+1,20),FIND("/",MID($A184,FIND("/",$A184)+1,20))-1))),"")))</f>
        <v/>
      </c>
      <c r="D184">
        <f>IF(OR($A184="",$B184=""),"",IF(ISNUMBER($A184),MOD($A184,100),IFERROR(VALUE(TRIM(MID(MID($A184,FIND("/",$A184)+1,20),FIND("/",MID($A184,FIND("/",$A184)+1,20))+1,20))),"")))</f>
        <v/>
      </c>
      <c r="E184">
        <f>IF($A184="","",IF(OR($B184="",$C184="",$D184="",$B184&lt;1300,$B184&gt;1500,$C184&lt;1,$C184&gt;12,$D184&lt;1,$D184&gt;31),"نامعتبر",RIGHT("0000"&amp;$B184,4)&amp;"/"&amp;RIGHT("00"&amp;$C184,2)&amp;"/"&amp;RIGHT("00"&amp;$D184,2)))</f>
        <v/>
      </c>
      <c r="F184">
        <f>IF(Entry!$D184&lt;&gt;"",IF(AND(ISNUMBER(Entry!$D184),Entry!$D184&gt;=0,Entry!$D184&lt;1),RIGHT("00"&amp;HOUR(Entry!$D184),2)&amp;":"&amp;RIGHT("00"&amp;MINUTE(Entry!$D184),2),IFERROR(RIGHT("00"&amp;VALUE(TRIM(LEFT(Entry!$D184,FIND(":",Entry!$D184)-1))),2)&amp;":"&amp;RIGHT("00"&amp;VALUE(TRIM(MID(Entry!$D184,FIND(":",Entry!$D184)+1,2))),2),"نامعتبر")),IF(OR($E184="",$E184="نامعتبر"),"","00:00"))</f>
        <v/>
      </c>
      <c r="G184">
        <f>IF(OR($E184="",$E184="نامعتبر"),"",IF(Entry!$E184="","",LEFT(UPPER(TRIM(Entry!$E184)),6)))</f>
        <v/>
      </c>
      <c r="H184">
        <f>IF($G184="","",RIGHT($E184,4)&amp;MID($E184,6,2)&amp;RIGHT($E184,2)&amp;IF($F184="","0000",IF($F184="نامعتبر","9999",LEFT($F184,2)&amp;RIGHT($F184,2)))&amp;"|"&amp;RIGHT("00000"&amp;176,5))</f>
        <v/>
      </c>
      <c r="I184">
        <f>IF($H184="","",COUNTIFS(CalcBank,$G184,CalcKey,"&lt;"&amp;$H184)+1)</f>
        <v/>
      </c>
      <c r="J184">
        <f>IF($I184="","",$G184&amp;"|"&amp;RIGHT("000000"&amp;$I184,6))</f>
        <v/>
      </c>
      <c r="K184">
        <f>IF(OR($E184="",$E184="نامعتبر"),"",LEFT($E184,4)&amp;"/"&amp;MID($E184,6,2))</f>
        <v/>
      </c>
      <c r="L184">
        <f>IF(Entry!$K184="",0,Entry!$K184)</f>
        <v/>
      </c>
      <c r="M184">
        <f>IF(Entry!$L184="",0,Entry!$L184)</f>
        <v/>
      </c>
    </row>
    <row r="185">
      <c r="A185">
        <f>IF(Entry!$C185="","",Entry!$C185)</f>
        <v/>
      </c>
      <c r="B185">
        <f>IF($A185="","",IF(ISNUMBER($A185),IF(AND($A185&gt;=10000101,$A185&lt;=99991231),INT($A185/10000),""),IFERROR(VALUE(TRIM(LEFT($A185,FIND("/",$A185)-1))),"")))</f>
        <v/>
      </c>
      <c r="C185">
        <f>IF(OR($A185="",$B185=""),"",IF(ISNUMBER($A185),INT(MOD($A185,10000)/100),IFERROR(VALUE(TRIM(LEFT(MID($A185,FIND("/",$A185)+1,20),FIND("/",MID($A185,FIND("/",$A185)+1,20))-1))),"")))</f>
        <v/>
      </c>
      <c r="D185">
        <f>IF(OR($A185="",$B185=""),"",IF(ISNUMBER($A185),MOD($A185,100),IFERROR(VALUE(TRIM(MID(MID($A185,FIND("/",$A185)+1,20),FIND("/",MID($A185,FIND("/",$A185)+1,20))+1,20))),"")))</f>
        <v/>
      </c>
      <c r="E185">
        <f>IF($A185="","",IF(OR($B185="",$C185="",$D185="",$B185&lt;1300,$B185&gt;1500,$C185&lt;1,$C185&gt;12,$D185&lt;1,$D185&gt;31),"نامعتبر",RIGHT("0000"&amp;$B185,4)&amp;"/"&amp;RIGHT("00"&amp;$C185,2)&amp;"/"&amp;RIGHT("00"&amp;$D185,2)))</f>
        <v/>
      </c>
      <c r="F185">
        <f>IF(Entry!$D185&lt;&gt;"",IF(AND(ISNUMBER(Entry!$D185),Entry!$D185&gt;=0,Entry!$D185&lt;1),RIGHT("00"&amp;HOUR(Entry!$D185),2)&amp;":"&amp;RIGHT("00"&amp;MINUTE(Entry!$D185),2),IFERROR(RIGHT("00"&amp;VALUE(TRIM(LEFT(Entry!$D185,FIND(":",Entry!$D185)-1))),2)&amp;":"&amp;RIGHT("00"&amp;VALUE(TRIM(MID(Entry!$D185,FIND(":",Entry!$D185)+1,2))),2),"نامعتبر")),IF(OR($E185="",$E185="نامعتبر"),"","00:00"))</f>
        <v/>
      </c>
      <c r="G185">
        <f>IF(OR($E185="",$E185="نامعتبر"),"",IF(Entry!$E185="","",LEFT(UPPER(TRIM(Entry!$E185)),6)))</f>
        <v/>
      </c>
      <c r="H185">
        <f>IF($G185="","",RIGHT($E185,4)&amp;MID($E185,6,2)&amp;RIGHT($E185,2)&amp;IF($F185="","0000",IF($F185="نامعتبر","9999",LEFT($F185,2)&amp;RIGHT($F185,2)))&amp;"|"&amp;RIGHT("00000"&amp;177,5))</f>
        <v/>
      </c>
      <c r="I185">
        <f>IF($H185="","",COUNTIFS(CalcBank,$G185,CalcKey,"&lt;"&amp;$H185)+1)</f>
        <v/>
      </c>
      <c r="J185">
        <f>IF($I185="","",$G185&amp;"|"&amp;RIGHT("000000"&amp;$I185,6))</f>
        <v/>
      </c>
      <c r="K185">
        <f>IF(OR($E185="",$E185="نامعتبر"),"",LEFT($E185,4)&amp;"/"&amp;MID($E185,6,2))</f>
        <v/>
      </c>
      <c r="L185">
        <f>IF(Entry!$K185="",0,Entry!$K185)</f>
        <v/>
      </c>
      <c r="M185">
        <f>IF(Entry!$L185="",0,Entry!$L185)</f>
        <v/>
      </c>
    </row>
    <row r="186">
      <c r="A186">
        <f>IF(Entry!$C186="","",Entry!$C186)</f>
        <v/>
      </c>
      <c r="B186">
        <f>IF($A186="","",IF(ISNUMBER($A186),IF(AND($A186&gt;=10000101,$A186&lt;=99991231),INT($A186/10000),""),IFERROR(VALUE(TRIM(LEFT($A186,FIND("/",$A186)-1))),"")))</f>
        <v/>
      </c>
      <c r="C186">
        <f>IF(OR($A186="",$B186=""),"",IF(ISNUMBER($A186),INT(MOD($A186,10000)/100),IFERROR(VALUE(TRIM(LEFT(MID($A186,FIND("/",$A186)+1,20),FIND("/",MID($A186,FIND("/",$A186)+1,20))-1))),"")))</f>
        <v/>
      </c>
      <c r="D186">
        <f>IF(OR($A186="",$B186=""),"",IF(ISNUMBER($A186),MOD($A186,100),IFERROR(VALUE(TRIM(MID(MID($A186,FIND("/",$A186)+1,20),FIND("/",MID($A186,FIND("/",$A186)+1,20))+1,20))),"")))</f>
        <v/>
      </c>
      <c r="E186">
        <f>IF($A186="","",IF(OR($B186="",$C186="",$D186="",$B186&lt;1300,$B186&gt;1500,$C186&lt;1,$C186&gt;12,$D186&lt;1,$D186&gt;31),"نامعتبر",RIGHT("0000"&amp;$B186,4)&amp;"/"&amp;RIGHT("00"&amp;$C186,2)&amp;"/"&amp;RIGHT("00"&amp;$D186,2)))</f>
        <v/>
      </c>
      <c r="F186">
        <f>IF(Entry!$D186&lt;&gt;"",IF(AND(ISNUMBER(Entry!$D186),Entry!$D186&gt;=0,Entry!$D186&lt;1),RIGHT("00"&amp;HOUR(Entry!$D186),2)&amp;":"&amp;RIGHT("00"&amp;MINUTE(Entry!$D186),2),IFERROR(RIGHT("00"&amp;VALUE(TRIM(LEFT(Entry!$D186,FIND(":",Entry!$D186)-1))),2)&amp;":"&amp;RIGHT("00"&amp;VALUE(TRIM(MID(Entry!$D186,FIND(":",Entry!$D186)+1,2))),2),"نامعتبر")),IF(OR($E186="",$E186="نامعتبر"),"","00:00"))</f>
        <v/>
      </c>
      <c r="G186">
        <f>IF(OR($E186="",$E186="نامعتبر"),"",IF(Entry!$E186="","",LEFT(UPPER(TRIM(Entry!$E186)),6)))</f>
        <v/>
      </c>
      <c r="H186">
        <f>IF($G186="","",RIGHT($E186,4)&amp;MID($E186,6,2)&amp;RIGHT($E186,2)&amp;IF($F186="","0000",IF($F186="نامعتبر","9999",LEFT($F186,2)&amp;RIGHT($F186,2)))&amp;"|"&amp;RIGHT("00000"&amp;178,5))</f>
        <v/>
      </c>
      <c r="I186">
        <f>IF($H186="","",COUNTIFS(CalcBank,$G186,CalcKey,"&lt;"&amp;$H186)+1)</f>
        <v/>
      </c>
      <c r="J186">
        <f>IF($I186="","",$G186&amp;"|"&amp;RIGHT("000000"&amp;$I186,6))</f>
        <v/>
      </c>
      <c r="K186">
        <f>IF(OR($E186="",$E186="نامعتبر"),"",LEFT($E186,4)&amp;"/"&amp;MID($E186,6,2))</f>
        <v/>
      </c>
      <c r="L186">
        <f>IF(Entry!$K186="",0,Entry!$K186)</f>
        <v/>
      </c>
      <c r="M186">
        <f>IF(Entry!$L186="",0,Entry!$L186)</f>
        <v/>
      </c>
    </row>
    <row r="187">
      <c r="A187">
        <f>IF(Entry!$C187="","",Entry!$C187)</f>
        <v/>
      </c>
      <c r="B187">
        <f>IF($A187="","",IF(ISNUMBER($A187),IF(AND($A187&gt;=10000101,$A187&lt;=99991231),INT($A187/10000),""),IFERROR(VALUE(TRIM(LEFT($A187,FIND("/",$A187)-1))),"")))</f>
        <v/>
      </c>
      <c r="C187">
        <f>IF(OR($A187="",$B187=""),"",IF(ISNUMBER($A187),INT(MOD($A187,10000)/100),IFERROR(VALUE(TRIM(LEFT(MID($A187,FIND("/",$A187)+1,20),FIND("/",MID($A187,FIND("/",$A187)+1,20))-1))),"")))</f>
        <v/>
      </c>
      <c r="D187">
        <f>IF(OR($A187="",$B187=""),"",IF(ISNUMBER($A187),MOD($A187,100),IFERROR(VALUE(TRIM(MID(MID($A187,FIND("/",$A187)+1,20),FIND("/",MID($A187,FIND("/",$A187)+1,20))+1,20))),"")))</f>
        <v/>
      </c>
      <c r="E187">
        <f>IF($A187="","",IF(OR($B187="",$C187="",$D187="",$B187&lt;1300,$B187&gt;1500,$C187&lt;1,$C187&gt;12,$D187&lt;1,$D187&gt;31),"نامعتبر",RIGHT("0000"&amp;$B187,4)&amp;"/"&amp;RIGHT("00"&amp;$C187,2)&amp;"/"&amp;RIGHT("00"&amp;$D187,2)))</f>
        <v/>
      </c>
      <c r="F187">
        <f>IF(Entry!$D187&lt;&gt;"",IF(AND(ISNUMBER(Entry!$D187),Entry!$D187&gt;=0,Entry!$D187&lt;1),RIGHT("00"&amp;HOUR(Entry!$D187),2)&amp;":"&amp;RIGHT("00"&amp;MINUTE(Entry!$D187),2),IFERROR(RIGHT("00"&amp;VALUE(TRIM(LEFT(Entry!$D187,FIND(":",Entry!$D187)-1))),2)&amp;":"&amp;RIGHT("00"&amp;VALUE(TRIM(MID(Entry!$D187,FIND(":",Entry!$D187)+1,2))),2),"نامعتبر")),IF(OR($E187="",$E187="نامعتبر"),"","00:00"))</f>
        <v/>
      </c>
      <c r="G187">
        <f>IF(OR($E187="",$E187="نامعتبر"),"",IF(Entry!$E187="","",LEFT(UPPER(TRIM(Entry!$E187)),6)))</f>
        <v/>
      </c>
      <c r="H187">
        <f>IF($G187="","",RIGHT($E187,4)&amp;MID($E187,6,2)&amp;RIGHT($E187,2)&amp;IF($F187="","0000",IF($F187="نامعتبر","9999",LEFT($F187,2)&amp;RIGHT($F187,2)))&amp;"|"&amp;RIGHT("00000"&amp;179,5))</f>
        <v/>
      </c>
      <c r="I187">
        <f>IF($H187="","",COUNTIFS(CalcBank,$G187,CalcKey,"&lt;"&amp;$H187)+1)</f>
        <v/>
      </c>
      <c r="J187">
        <f>IF($I187="","",$G187&amp;"|"&amp;RIGHT("000000"&amp;$I187,6))</f>
        <v/>
      </c>
      <c r="K187">
        <f>IF(OR($E187="",$E187="نامعتبر"),"",LEFT($E187,4)&amp;"/"&amp;MID($E187,6,2))</f>
        <v/>
      </c>
      <c r="L187">
        <f>IF(Entry!$K187="",0,Entry!$K187)</f>
        <v/>
      </c>
      <c r="M187">
        <f>IF(Entry!$L187="",0,Entry!$L187)</f>
        <v/>
      </c>
    </row>
    <row r="188">
      <c r="A188">
        <f>IF(Entry!$C188="","",Entry!$C188)</f>
        <v/>
      </c>
      <c r="B188">
        <f>IF($A188="","",IF(ISNUMBER($A188),IF(AND($A188&gt;=10000101,$A188&lt;=99991231),INT($A188/10000),""),IFERROR(VALUE(TRIM(LEFT($A188,FIND("/",$A188)-1))),"")))</f>
        <v/>
      </c>
      <c r="C188">
        <f>IF(OR($A188="",$B188=""),"",IF(ISNUMBER($A188),INT(MOD($A188,10000)/100),IFERROR(VALUE(TRIM(LEFT(MID($A188,FIND("/",$A188)+1,20),FIND("/",MID($A188,FIND("/",$A188)+1,20))-1))),"")))</f>
        <v/>
      </c>
      <c r="D188">
        <f>IF(OR($A188="",$B188=""),"",IF(ISNUMBER($A188),MOD($A188,100),IFERROR(VALUE(TRIM(MID(MID($A188,FIND("/",$A188)+1,20),FIND("/",MID($A188,FIND("/",$A188)+1,20))+1,20))),"")))</f>
        <v/>
      </c>
      <c r="E188">
        <f>IF($A188="","",IF(OR($B188="",$C188="",$D188="",$B188&lt;1300,$B188&gt;1500,$C188&lt;1,$C188&gt;12,$D188&lt;1,$D188&gt;31),"نامعتبر",RIGHT("0000"&amp;$B188,4)&amp;"/"&amp;RIGHT("00"&amp;$C188,2)&amp;"/"&amp;RIGHT("00"&amp;$D188,2)))</f>
        <v/>
      </c>
      <c r="F188">
        <f>IF(Entry!$D188&lt;&gt;"",IF(AND(ISNUMBER(Entry!$D188),Entry!$D188&gt;=0,Entry!$D188&lt;1),RIGHT("00"&amp;HOUR(Entry!$D188),2)&amp;":"&amp;RIGHT("00"&amp;MINUTE(Entry!$D188),2),IFERROR(RIGHT("00"&amp;VALUE(TRIM(LEFT(Entry!$D188,FIND(":",Entry!$D188)-1))),2)&amp;":"&amp;RIGHT("00"&amp;VALUE(TRIM(MID(Entry!$D188,FIND(":",Entry!$D188)+1,2))),2),"نامعتبر")),IF(OR($E188="",$E188="نامعتبر"),"","00:00"))</f>
        <v/>
      </c>
      <c r="G188">
        <f>IF(OR($E188="",$E188="نامعتبر"),"",IF(Entry!$E188="","",LEFT(UPPER(TRIM(Entry!$E188)),6)))</f>
        <v/>
      </c>
      <c r="H188">
        <f>IF($G188="","",RIGHT($E188,4)&amp;MID($E188,6,2)&amp;RIGHT($E188,2)&amp;IF($F188="","0000",IF($F188="نامعتبر","9999",LEFT($F188,2)&amp;RIGHT($F188,2)))&amp;"|"&amp;RIGHT("00000"&amp;180,5))</f>
        <v/>
      </c>
      <c r="I188">
        <f>IF($H188="","",COUNTIFS(CalcBank,$G188,CalcKey,"&lt;"&amp;$H188)+1)</f>
        <v/>
      </c>
      <c r="J188">
        <f>IF($I188="","",$G188&amp;"|"&amp;RIGHT("000000"&amp;$I188,6))</f>
        <v/>
      </c>
      <c r="K188">
        <f>IF(OR($E188="",$E188="نامعتبر"),"",LEFT($E188,4)&amp;"/"&amp;MID($E188,6,2))</f>
        <v/>
      </c>
      <c r="L188">
        <f>IF(Entry!$K188="",0,Entry!$K188)</f>
        <v/>
      </c>
      <c r="M188">
        <f>IF(Entry!$L188="",0,Entry!$L188)</f>
        <v/>
      </c>
    </row>
    <row r="189">
      <c r="A189">
        <f>IF(Entry!$C189="","",Entry!$C189)</f>
        <v/>
      </c>
      <c r="B189">
        <f>IF($A189="","",IF(ISNUMBER($A189),IF(AND($A189&gt;=10000101,$A189&lt;=99991231),INT($A189/10000),""),IFERROR(VALUE(TRIM(LEFT($A189,FIND("/",$A189)-1))),"")))</f>
        <v/>
      </c>
      <c r="C189">
        <f>IF(OR($A189="",$B189=""),"",IF(ISNUMBER($A189),INT(MOD($A189,10000)/100),IFERROR(VALUE(TRIM(LEFT(MID($A189,FIND("/",$A189)+1,20),FIND("/",MID($A189,FIND("/",$A189)+1,20))-1))),"")))</f>
        <v/>
      </c>
      <c r="D189">
        <f>IF(OR($A189="",$B189=""),"",IF(ISNUMBER($A189),MOD($A189,100),IFERROR(VALUE(TRIM(MID(MID($A189,FIND("/",$A189)+1,20),FIND("/",MID($A189,FIND("/",$A189)+1,20))+1,20))),"")))</f>
        <v/>
      </c>
      <c r="E189">
        <f>IF($A189="","",IF(OR($B189="",$C189="",$D189="",$B189&lt;1300,$B189&gt;1500,$C189&lt;1,$C189&gt;12,$D189&lt;1,$D189&gt;31),"نامعتبر",RIGHT("0000"&amp;$B189,4)&amp;"/"&amp;RIGHT("00"&amp;$C189,2)&amp;"/"&amp;RIGHT("00"&amp;$D189,2)))</f>
        <v/>
      </c>
      <c r="F189">
        <f>IF(Entry!$D189&lt;&gt;"",IF(AND(ISNUMBER(Entry!$D189),Entry!$D189&gt;=0,Entry!$D189&lt;1),RIGHT("00"&amp;HOUR(Entry!$D189),2)&amp;":"&amp;RIGHT("00"&amp;MINUTE(Entry!$D189),2),IFERROR(RIGHT("00"&amp;VALUE(TRIM(LEFT(Entry!$D189,FIND(":",Entry!$D189)-1))),2)&amp;":"&amp;RIGHT("00"&amp;VALUE(TRIM(MID(Entry!$D189,FIND(":",Entry!$D189)+1,2))),2),"نامعتبر")),IF(OR($E189="",$E189="نامعتبر"),"","00:00"))</f>
        <v/>
      </c>
      <c r="G189">
        <f>IF(OR($E189="",$E189="نامعتبر"),"",IF(Entry!$E189="","",LEFT(UPPER(TRIM(Entry!$E189)),6)))</f>
        <v/>
      </c>
      <c r="H189">
        <f>IF($G189="","",RIGHT($E189,4)&amp;MID($E189,6,2)&amp;RIGHT($E189,2)&amp;IF($F189="","0000",IF($F189="نامعتبر","9999",LEFT($F189,2)&amp;RIGHT($F189,2)))&amp;"|"&amp;RIGHT("00000"&amp;181,5))</f>
        <v/>
      </c>
      <c r="I189">
        <f>IF($H189="","",COUNTIFS(CalcBank,$G189,CalcKey,"&lt;"&amp;$H189)+1)</f>
        <v/>
      </c>
      <c r="J189">
        <f>IF($I189="","",$G189&amp;"|"&amp;RIGHT("000000"&amp;$I189,6))</f>
        <v/>
      </c>
      <c r="K189">
        <f>IF(OR($E189="",$E189="نامعتبر"),"",LEFT($E189,4)&amp;"/"&amp;MID($E189,6,2))</f>
        <v/>
      </c>
      <c r="L189">
        <f>IF(Entry!$K189="",0,Entry!$K189)</f>
        <v/>
      </c>
      <c r="M189">
        <f>IF(Entry!$L189="",0,Entry!$L189)</f>
        <v/>
      </c>
    </row>
    <row r="190">
      <c r="A190">
        <f>IF(Entry!$C190="","",Entry!$C190)</f>
        <v/>
      </c>
      <c r="B190">
        <f>IF($A190="","",IF(ISNUMBER($A190),IF(AND($A190&gt;=10000101,$A190&lt;=99991231),INT($A190/10000),""),IFERROR(VALUE(TRIM(LEFT($A190,FIND("/",$A190)-1))),"")))</f>
        <v/>
      </c>
      <c r="C190">
        <f>IF(OR($A190="",$B190=""),"",IF(ISNUMBER($A190),INT(MOD($A190,10000)/100),IFERROR(VALUE(TRIM(LEFT(MID($A190,FIND("/",$A190)+1,20),FIND("/",MID($A190,FIND("/",$A190)+1,20))-1))),"")))</f>
        <v/>
      </c>
      <c r="D190">
        <f>IF(OR($A190="",$B190=""),"",IF(ISNUMBER($A190),MOD($A190,100),IFERROR(VALUE(TRIM(MID(MID($A190,FIND("/",$A190)+1,20),FIND("/",MID($A190,FIND("/",$A190)+1,20))+1,20))),"")))</f>
        <v/>
      </c>
      <c r="E190">
        <f>IF($A190="","",IF(OR($B190="",$C190="",$D190="",$B190&lt;1300,$B190&gt;1500,$C190&lt;1,$C190&gt;12,$D190&lt;1,$D190&gt;31),"نامعتبر",RIGHT("0000"&amp;$B190,4)&amp;"/"&amp;RIGHT("00"&amp;$C190,2)&amp;"/"&amp;RIGHT("00"&amp;$D190,2)))</f>
        <v/>
      </c>
      <c r="F190">
        <f>IF(Entry!$D190&lt;&gt;"",IF(AND(ISNUMBER(Entry!$D190),Entry!$D190&gt;=0,Entry!$D190&lt;1),RIGHT("00"&amp;HOUR(Entry!$D190),2)&amp;":"&amp;RIGHT("00"&amp;MINUTE(Entry!$D190),2),IFERROR(RIGHT("00"&amp;VALUE(TRIM(LEFT(Entry!$D190,FIND(":",Entry!$D190)-1))),2)&amp;":"&amp;RIGHT("00"&amp;VALUE(TRIM(MID(Entry!$D190,FIND(":",Entry!$D190)+1,2))),2),"نامعتبر")),IF(OR($E190="",$E190="نامعتبر"),"","00:00"))</f>
        <v/>
      </c>
      <c r="G190">
        <f>IF(OR($E190="",$E190="نامعتبر"),"",IF(Entry!$E190="","",LEFT(UPPER(TRIM(Entry!$E190)),6)))</f>
        <v/>
      </c>
      <c r="H190">
        <f>IF($G190="","",RIGHT($E190,4)&amp;MID($E190,6,2)&amp;RIGHT($E190,2)&amp;IF($F190="","0000",IF($F190="نامعتبر","9999",LEFT($F190,2)&amp;RIGHT($F190,2)))&amp;"|"&amp;RIGHT("00000"&amp;182,5))</f>
        <v/>
      </c>
      <c r="I190">
        <f>IF($H190="","",COUNTIFS(CalcBank,$G190,CalcKey,"&lt;"&amp;$H190)+1)</f>
        <v/>
      </c>
      <c r="J190">
        <f>IF($I190="","",$G190&amp;"|"&amp;RIGHT("000000"&amp;$I190,6))</f>
        <v/>
      </c>
      <c r="K190">
        <f>IF(OR($E190="",$E190="نامعتبر"),"",LEFT($E190,4)&amp;"/"&amp;MID($E190,6,2))</f>
        <v/>
      </c>
      <c r="L190">
        <f>IF(Entry!$K190="",0,Entry!$K190)</f>
        <v/>
      </c>
      <c r="M190">
        <f>IF(Entry!$L190="",0,Entry!$L190)</f>
        <v/>
      </c>
    </row>
    <row r="191">
      <c r="A191">
        <f>IF(Entry!$C191="","",Entry!$C191)</f>
        <v/>
      </c>
      <c r="B191">
        <f>IF($A191="","",IF(ISNUMBER($A191),IF(AND($A191&gt;=10000101,$A191&lt;=99991231),INT($A191/10000),""),IFERROR(VALUE(TRIM(LEFT($A191,FIND("/",$A191)-1))),"")))</f>
        <v/>
      </c>
      <c r="C191">
        <f>IF(OR($A191="",$B191=""),"",IF(ISNUMBER($A191),INT(MOD($A191,10000)/100),IFERROR(VALUE(TRIM(LEFT(MID($A191,FIND("/",$A191)+1,20),FIND("/",MID($A191,FIND("/",$A191)+1,20))-1))),"")))</f>
        <v/>
      </c>
      <c r="D191">
        <f>IF(OR($A191="",$B191=""),"",IF(ISNUMBER($A191),MOD($A191,100),IFERROR(VALUE(TRIM(MID(MID($A191,FIND("/",$A191)+1,20),FIND("/",MID($A191,FIND("/",$A191)+1,20))+1,20))),"")))</f>
        <v/>
      </c>
      <c r="E191">
        <f>IF($A191="","",IF(OR($B191="",$C191="",$D191="",$B191&lt;1300,$B191&gt;1500,$C191&lt;1,$C191&gt;12,$D191&lt;1,$D191&gt;31),"نامعتبر",RIGHT("0000"&amp;$B191,4)&amp;"/"&amp;RIGHT("00"&amp;$C191,2)&amp;"/"&amp;RIGHT("00"&amp;$D191,2)))</f>
        <v/>
      </c>
      <c r="F191">
        <f>IF(Entry!$D191&lt;&gt;"",IF(AND(ISNUMBER(Entry!$D191),Entry!$D191&gt;=0,Entry!$D191&lt;1),RIGHT("00"&amp;HOUR(Entry!$D191),2)&amp;":"&amp;RIGHT("00"&amp;MINUTE(Entry!$D191),2),IFERROR(RIGHT("00"&amp;VALUE(TRIM(LEFT(Entry!$D191,FIND(":",Entry!$D191)-1))),2)&amp;":"&amp;RIGHT("00"&amp;VALUE(TRIM(MID(Entry!$D191,FIND(":",Entry!$D191)+1,2))),2),"نامعتبر")),IF(OR($E191="",$E191="نامعتبر"),"","00:00"))</f>
        <v/>
      </c>
      <c r="G191">
        <f>IF(OR($E191="",$E191="نامعتبر"),"",IF(Entry!$E191="","",LEFT(UPPER(TRIM(Entry!$E191)),6)))</f>
        <v/>
      </c>
      <c r="H191">
        <f>IF($G191="","",RIGHT($E191,4)&amp;MID($E191,6,2)&amp;RIGHT($E191,2)&amp;IF($F191="","0000",IF($F191="نامعتبر","9999",LEFT($F191,2)&amp;RIGHT($F191,2)))&amp;"|"&amp;RIGHT("00000"&amp;183,5))</f>
        <v/>
      </c>
      <c r="I191">
        <f>IF($H191="","",COUNTIFS(CalcBank,$G191,CalcKey,"&lt;"&amp;$H191)+1)</f>
        <v/>
      </c>
      <c r="J191">
        <f>IF($I191="","",$G191&amp;"|"&amp;RIGHT("000000"&amp;$I191,6))</f>
        <v/>
      </c>
      <c r="K191">
        <f>IF(OR($E191="",$E191="نامعتبر"),"",LEFT($E191,4)&amp;"/"&amp;MID($E191,6,2))</f>
        <v/>
      </c>
      <c r="L191">
        <f>IF(Entry!$K191="",0,Entry!$K191)</f>
        <v/>
      </c>
      <c r="M191">
        <f>IF(Entry!$L191="",0,Entry!$L191)</f>
        <v/>
      </c>
    </row>
    <row r="192">
      <c r="A192">
        <f>IF(Entry!$C192="","",Entry!$C192)</f>
        <v/>
      </c>
      <c r="B192">
        <f>IF($A192="","",IF(ISNUMBER($A192),IF(AND($A192&gt;=10000101,$A192&lt;=99991231),INT($A192/10000),""),IFERROR(VALUE(TRIM(LEFT($A192,FIND("/",$A192)-1))),"")))</f>
        <v/>
      </c>
      <c r="C192">
        <f>IF(OR($A192="",$B192=""),"",IF(ISNUMBER($A192),INT(MOD($A192,10000)/100),IFERROR(VALUE(TRIM(LEFT(MID($A192,FIND("/",$A192)+1,20),FIND("/",MID($A192,FIND("/",$A192)+1,20))-1))),"")))</f>
        <v/>
      </c>
      <c r="D192">
        <f>IF(OR($A192="",$B192=""),"",IF(ISNUMBER($A192),MOD($A192,100),IFERROR(VALUE(TRIM(MID(MID($A192,FIND("/",$A192)+1,20),FIND("/",MID($A192,FIND("/",$A192)+1,20))+1,20))),"")))</f>
        <v/>
      </c>
      <c r="E192">
        <f>IF($A192="","",IF(OR($B192="",$C192="",$D192="",$B192&lt;1300,$B192&gt;1500,$C192&lt;1,$C192&gt;12,$D192&lt;1,$D192&gt;31),"نامعتبر",RIGHT("0000"&amp;$B192,4)&amp;"/"&amp;RIGHT("00"&amp;$C192,2)&amp;"/"&amp;RIGHT("00"&amp;$D192,2)))</f>
        <v/>
      </c>
      <c r="F192">
        <f>IF(Entry!$D192&lt;&gt;"",IF(AND(ISNUMBER(Entry!$D192),Entry!$D192&gt;=0,Entry!$D192&lt;1),RIGHT("00"&amp;HOUR(Entry!$D192),2)&amp;":"&amp;RIGHT("00"&amp;MINUTE(Entry!$D192),2),IFERROR(RIGHT("00"&amp;VALUE(TRIM(LEFT(Entry!$D192,FIND(":",Entry!$D192)-1))),2)&amp;":"&amp;RIGHT("00"&amp;VALUE(TRIM(MID(Entry!$D192,FIND(":",Entry!$D192)+1,2))),2),"نامعتبر")),IF(OR($E192="",$E192="نامعتبر"),"","00:00"))</f>
        <v/>
      </c>
      <c r="G192">
        <f>IF(OR($E192="",$E192="نامعتبر"),"",IF(Entry!$E192="","",LEFT(UPPER(TRIM(Entry!$E192)),6)))</f>
        <v/>
      </c>
      <c r="H192">
        <f>IF($G192="","",RIGHT($E192,4)&amp;MID($E192,6,2)&amp;RIGHT($E192,2)&amp;IF($F192="","0000",IF($F192="نامعتبر","9999",LEFT($F192,2)&amp;RIGHT($F192,2)))&amp;"|"&amp;RIGHT("00000"&amp;184,5))</f>
        <v/>
      </c>
      <c r="I192">
        <f>IF($H192="","",COUNTIFS(CalcBank,$G192,CalcKey,"&lt;"&amp;$H192)+1)</f>
        <v/>
      </c>
      <c r="J192">
        <f>IF($I192="","",$G192&amp;"|"&amp;RIGHT("000000"&amp;$I192,6))</f>
        <v/>
      </c>
      <c r="K192">
        <f>IF(OR($E192="",$E192="نامعتبر"),"",LEFT($E192,4)&amp;"/"&amp;MID($E192,6,2))</f>
        <v/>
      </c>
      <c r="L192">
        <f>IF(Entry!$K192="",0,Entry!$K192)</f>
        <v/>
      </c>
      <c r="M192">
        <f>IF(Entry!$L192="",0,Entry!$L192)</f>
        <v/>
      </c>
    </row>
    <row r="193">
      <c r="A193">
        <f>IF(Entry!$C193="","",Entry!$C193)</f>
        <v/>
      </c>
      <c r="B193">
        <f>IF($A193="","",IF(ISNUMBER($A193),IF(AND($A193&gt;=10000101,$A193&lt;=99991231),INT($A193/10000),""),IFERROR(VALUE(TRIM(LEFT($A193,FIND("/",$A193)-1))),"")))</f>
        <v/>
      </c>
      <c r="C193">
        <f>IF(OR($A193="",$B193=""),"",IF(ISNUMBER($A193),INT(MOD($A193,10000)/100),IFERROR(VALUE(TRIM(LEFT(MID($A193,FIND("/",$A193)+1,20),FIND("/",MID($A193,FIND("/",$A193)+1,20))-1))),"")))</f>
        <v/>
      </c>
      <c r="D193">
        <f>IF(OR($A193="",$B193=""),"",IF(ISNUMBER($A193),MOD($A193,100),IFERROR(VALUE(TRIM(MID(MID($A193,FIND("/",$A193)+1,20),FIND("/",MID($A193,FIND("/",$A193)+1,20))+1,20))),"")))</f>
        <v/>
      </c>
      <c r="E193">
        <f>IF($A193="","",IF(OR($B193="",$C193="",$D193="",$B193&lt;1300,$B193&gt;1500,$C193&lt;1,$C193&gt;12,$D193&lt;1,$D193&gt;31),"نامعتبر",RIGHT("0000"&amp;$B193,4)&amp;"/"&amp;RIGHT("00"&amp;$C193,2)&amp;"/"&amp;RIGHT("00"&amp;$D193,2)))</f>
        <v/>
      </c>
      <c r="F193">
        <f>IF(Entry!$D193&lt;&gt;"",IF(AND(ISNUMBER(Entry!$D193),Entry!$D193&gt;=0,Entry!$D193&lt;1),RIGHT("00"&amp;HOUR(Entry!$D193),2)&amp;":"&amp;RIGHT("00"&amp;MINUTE(Entry!$D193),2),IFERROR(RIGHT("00"&amp;VALUE(TRIM(LEFT(Entry!$D193,FIND(":",Entry!$D193)-1))),2)&amp;":"&amp;RIGHT("00"&amp;VALUE(TRIM(MID(Entry!$D193,FIND(":",Entry!$D193)+1,2))),2),"نامعتبر")),IF(OR($E193="",$E193="نامعتبر"),"","00:00"))</f>
        <v/>
      </c>
      <c r="G193">
        <f>IF(OR($E193="",$E193="نامعتبر"),"",IF(Entry!$E193="","",LEFT(UPPER(TRIM(Entry!$E193)),6)))</f>
        <v/>
      </c>
      <c r="H193">
        <f>IF($G193="","",RIGHT($E193,4)&amp;MID($E193,6,2)&amp;RIGHT($E193,2)&amp;IF($F193="","0000",IF($F193="نامعتبر","9999",LEFT($F193,2)&amp;RIGHT($F193,2)))&amp;"|"&amp;RIGHT("00000"&amp;185,5))</f>
        <v/>
      </c>
      <c r="I193">
        <f>IF($H193="","",COUNTIFS(CalcBank,$G193,CalcKey,"&lt;"&amp;$H193)+1)</f>
        <v/>
      </c>
      <c r="J193">
        <f>IF($I193="","",$G193&amp;"|"&amp;RIGHT("000000"&amp;$I193,6))</f>
        <v/>
      </c>
      <c r="K193">
        <f>IF(OR($E193="",$E193="نامعتبر"),"",LEFT($E193,4)&amp;"/"&amp;MID($E193,6,2))</f>
        <v/>
      </c>
      <c r="L193">
        <f>IF(Entry!$K193="",0,Entry!$K193)</f>
        <v/>
      </c>
      <c r="M193">
        <f>IF(Entry!$L193="",0,Entry!$L193)</f>
        <v/>
      </c>
    </row>
    <row r="194">
      <c r="A194">
        <f>IF(Entry!$C194="","",Entry!$C194)</f>
        <v/>
      </c>
      <c r="B194">
        <f>IF($A194="","",IF(ISNUMBER($A194),IF(AND($A194&gt;=10000101,$A194&lt;=99991231),INT($A194/10000),""),IFERROR(VALUE(TRIM(LEFT($A194,FIND("/",$A194)-1))),"")))</f>
        <v/>
      </c>
      <c r="C194">
        <f>IF(OR($A194="",$B194=""),"",IF(ISNUMBER($A194),INT(MOD($A194,10000)/100),IFERROR(VALUE(TRIM(LEFT(MID($A194,FIND("/",$A194)+1,20),FIND("/",MID($A194,FIND("/",$A194)+1,20))-1))),"")))</f>
        <v/>
      </c>
      <c r="D194">
        <f>IF(OR($A194="",$B194=""),"",IF(ISNUMBER($A194),MOD($A194,100),IFERROR(VALUE(TRIM(MID(MID($A194,FIND("/",$A194)+1,20),FIND("/",MID($A194,FIND("/",$A194)+1,20))+1,20))),"")))</f>
        <v/>
      </c>
      <c r="E194">
        <f>IF($A194="","",IF(OR($B194="",$C194="",$D194="",$B194&lt;1300,$B194&gt;1500,$C194&lt;1,$C194&gt;12,$D194&lt;1,$D194&gt;31),"نامعتبر",RIGHT("0000"&amp;$B194,4)&amp;"/"&amp;RIGHT("00"&amp;$C194,2)&amp;"/"&amp;RIGHT("00"&amp;$D194,2)))</f>
        <v/>
      </c>
      <c r="F194">
        <f>IF(Entry!$D194&lt;&gt;"",IF(AND(ISNUMBER(Entry!$D194),Entry!$D194&gt;=0,Entry!$D194&lt;1),RIGHT("00"&amp;HOUR(Entry!$D194),2)&amp;":"&amp;RIGHT("00"&amp;MINUTE(Entry!$D194),2),IFERROR(RIGHT("00"&amp;VALUE(TRIM(LEFT(Entry!$D194,FIND(":",Entry!$D194)-1))),2)&amp;":"&amp;RIGHT("00"&amp;VALUE(TRIM(MID(Entry!$D194,FIND(":",Entry!$D194)+1,2))),2),"نامعتبر")),IF(OR($E194="",$E194="نامعتبر"),"","00:00"))</f>
        <v/>
      </c>
      <c r="G194">
        <f>IF(OR($E194="",$E194="نامعتبر"),"",IF(Entry!$E194="","",LEFT(UPPER(TRIM(Entry!$E194)),6)))</f>
        <v/>
      </c>
      <c r="H194">
        <f>IF($G194="","",RIGHT($E194,4)&amp;MID($E194,6,2)&amp;RIGHT($E194,2)&amp;IF($F194="","0000",IF($F194="نامعتبر","9999",LEFT($F194,2)&amp;RIGHT($F194,2)))&amp;"|"&amp;RIGHT("00000"&amp;186,5))</f>
        <v/>
      </c>
      <c r="I194">
        <f>IF($H194="","",COUNTIFS(CalcBank,$G194,CalcKey,"&lt;"&amp;$H194)+1)</f>
        <v/>
      </c>
      <c r="J194">
        <f>IF($I194="","",$G194&amp;"|"&amp;RIGHT("000000"&amp;$I194,6))</f>
        <v/>
      </c>
      <c r="K194">
        <f>IF(OR($E194="",$E194="نامعتبر"),"",LEFT($E194,4)&amp;"/"&amp;MID($E194,6,2))</f>
        <v/>
      </c>
      <c r="L194">
        <f>IF(Entry!$K194="",0,Entry!$K194)</f>
        <v/>
      </c>
      <c r="M194">
        <f>IF(Entry!$L194="",0,Entry!$L194)</f>
        <v/>
      </c>
    </row>
    <row r="195">
      <c r="A195">
        <f>IF(Entry!$C195="","",Entry!$C195)</f>
        <v/>
      </c>
      <c r="B195">
        <f>IF($A195="","",IF(ISNUMBER($A195),IF(AND($A195&gt;=10000101,$A195&lt;=99991231),INT($A195/10000),""),IFERROR(VALUE(TRIM(LEFT($A195,FIND("/",$A195)-1))),"")))</f>
        <v/>
      </c>
      <c r="C195">
        <f>IF(OR($A195="",$B195=""),"",IF(ISNUMBER($A195),INT(MOD($A195,10000)/100),IFERROR(VALUE(TRIM(LEFT(MID($A195,FIND("/",$A195)+1,20),FIND("/",MID($A195,FIND("/",$A195)+1,20))-1))),"")))</f>
        <v/>
      </c>
      <c r="D195">
        <f>IF(OR($A195="",$B195=""),"",IF(ISNUMBER($A195),MOD($A195,100),IFERROR(VALUE(TRIM(MID(MID($A195,FIND("/",$A195)+1,20),FIND("/",MID($A195,FIND("/",$A195)+1,20))+1,20))),"")))</f>
        <v/>
      </c>
      <c r="E195">
        <f>IF($A195="","",IF(OR($B195="",$C195="",$D195="",$B195&lt;1300,$B195&gt;1500,$C195&lt;1,$C195&gt;12,$D195&lt;1,$D195&gt;31),"نامعتبر",RIGHT("0000"&amp;$B195,4)&amp;"/"&amp;RIGHT("00"&amp;$C195,2)&amp;"/"&amp;RIGHT("00"&amp;$D195,2)))</f>
        <v/>
      </c>
      <c r="F195">
        <f>IF(Entry!$D195&lt;&gt;"",IF(AND(ISNUMBER(Entry!$D195),Entry!$D195&gt;=0,Entry!$D195&lt;1),RIGHT("00"&amp;HOUR(Entry!$D195),2)&amp;":"&amp;RIGHT("00"&amp;MINUTE(Entry!$D195),2),IFERROR(RIGHT("00"&amp;VALUE(TRIM(LEFT(Entry!$D195,FIND(":",Entry!$D195)-1))),2)&amp;":"&amp;RIGHT("00"&amp;VALUE(TRIM(MID(Entry!$D195,FIND(":",Entry!$D195)+1,2))),2),"نامعتبر")),IF(OR($E195="",$E195="نامعتبر"),"","00:00"))</f>
        <v/>
      </c>
      <c r="G195">
        <f>IF(OR($E195="",$E195="نامعتبر"),"",IF(Entry!$E195="","",LEFT(UPPER(TRIM(Entry!$E195)),6)))</f>
        <v/>
      </c>
      <c r="H195">
        <f>IF($G195="","",RIGHT($E195,4)&amp;MID($E195,6,2)&amp;RIGHT($E195,2)&amp;IF($F195="","0000",IF($F195="نامعتبر","9999",LEFT($F195,2)&amp;RIGHT($F195,2)))&amp;"|"&amp;RIGHT("00000"&amp;187,5))</f>
        <v/>
      </c>
      <c r="I195">
        <f>IF($H195="","",COUNTIFS(CalcBank,$G195,CalcKey,"&lt;"&amp;$H195)+1)</f>
        <v/>
      </c>
      <c r="J195">
        <f>IF($I195="","",$G195&amp;"|"&amp;RIGHT("000000"&amp;$I195,6))</f>
        <v/>
      </c>
      <c r="K195">
        <f>IF(OR($E195="",$E195="نامعتبر"),"",LEFT($E195,4)&amp;"/"&amp;MID($E195,6,2))</f>
        <v/>
      </c>
      <c r="L195">
        <f>IF(Entry!$K195="",0,Entry!$K195)</f>
        <v/>
      </c>
      <c r="M195">
        <f>IF(Entry!$L195="",0,Entry!$L195)</f>
        <v/>
      </c>
    </row>
    <row r="196">
      <c r="A196">
        <f>IF(Entry!$C196="","",Entry!$C196)</f>
        <v/>
      </c>
      <c r="B196">
        <f>IF($A196="","",IF(ISNUMBER($A196),IF(AND($A196&gt;=10000101,$A196&lt;=99991231),INT($A196/10000),""),IFERROR(VALUE(TRIM(LEFT($A196,FIND("/",$A196)-1))),"")))</f>
        <v/>
      </c>
      <c r="C196">
        <f>IF(OR($A196="",$B196=""),"",IF(ISNUMBER($A196),INT(MOD($A196,10000)/100),IFERROR(VALUE(TRIM(LEFT(MID($A196,FIND("/",$A196)+1,20),FIND("/",MID($A196,FIND("/",$A196)+1,20))-1))),"")))</f>
        <v/>
      </c>
      <c r="D196">
        <f>IF(OR($A196="",$B196=""),"",IF(ISNUMBER($A196),MOD($A196,100),IFERROR(VALUE(TRIM(MID(MID($A196,FIND("/",$A196)+1,20),FIND("/",MID($A196,FIND("/",$A196)+1,20))+1,20))),"")))</f>
        <v/>
      </c>
      <c r="E196">
        <f>IF($A196="","",IF(OR($B196="",$C196="",$D196="",$B196&lt;1300,$B196&gt;1500,$C196&lt;1,$C196&gt;12,$D196&lt;1,$D196&gt;31),"نامعتبر",RIGHT("0000"&amp;$B196,4)&amp;"/"&amp;RIGHT("00"&amp;$C196,2)&amp;"/"&amp;RIGHT("00"&amp;$D196,2)))</f>
        <v/>
      </c>
      <c r="F196">
        <f>IF(Entry!$D196&lt;&gt;"",IF(AND(ISNUMBER(Entry!$D196),Entry!$D196&gt;=0,Entry!$D196&lt;1),RIGHT("00"&amp;HOUR(Entry!$D196),2)&amp;":"&amp;RIGHT("00"&amp;MINUTE(Entry!$D196),2),IFERROR(RIGHT("00"&amp;VALUE(TRIM(LEFT(Entry!$D196,FIND(":",Entry!$D196)-1))),2)&amp;":"&amp;RIGHT("00"&amp;VALUE(TRIM(MID(Entry!$D196,FIND(":",Entry!$D196)+1,2))),2),"نامعتبر")),IF(OR($E196="",$E196="نامعتبر"),"","00:00"))</f>
        <v/>
      </c>
      <c r="G196">
        <f>IF(OR($E196="",$E196="نامعتبر"),"",IF(Entry!$E196="","",LEFT(UPPER(TRIM(Entry!$E196)),6)))</f>
        <v/>
      </c>
      <c r="H196">
        <f>IF($G196="","",RIGHT($E196,4)&amp;MID($E196,6,2)&amp;RIGHT($E196,2)&amp;IF($F196="","0000",IF($F196="نامعتبر","9999",LEFT($F196,2)&amp;RIGHT($F196,2)))&amp;"|"&amp;RIGHT("00000"&amp;188,5))</f>
        <v/>
      </c>
      <c r="I196">
        <f>IF($H196="","",COUNTIFS(CalcBank,$G196,CalcKey,"&lt;"&amp;$H196)+1)</f>
        <v/>
      </c>
      <c r="J196">
        <f>IF($I196="","",$G196&amp;"|"&amp;RIGHT("000000"&amp;$I196,6))</f>
        <v/>
      </c>
      <c r="K196">
        <f>IF(OR($E196="",$E196="نامعتبر"),"",LEFT($E196,4)&amp;"/"&amp;MID($E196,6,2))</f>
        <v/>
      </c>
      <c r="L196">
        <f>IF(Entry!$K196="",0,Entry!$K196)</f>
        <v/>
      </c>
      <c r="M196">
        <f>IF(Entry!$L196="",0,Entry!$L196)</f>
        <v/>
      </c>
    </row>
    <row r="197">
      <c r="A197">
        <f>IF(Entry!$C197="","",Entry!$C197)</f>
        <v/>
      </c>
      <c r="B197">
        <f>IF($A197="","",IF(ISNUMBER($A197),IF(AND($A197&gt;=10000101,$A197&lt;=99991231),INT($A197/10000),""),IFERROR(VALUE(TRIM(LEFT($A197,FIND("/",$A197)-1))),"")))</f>
        <v/>
      </c>
      <c r="C197">
        <f>IF(OR($A197="",$B197=""),"",IF(ISNUMBER($A197),INT(MOD($A197,10000)/100),IFERROR(VALUE(TRIM(LEFT(MID($A197,FIND("/",$A197)+1,20),FIND("/",MID($A197,FIND("/",$A197)+1,20))-1))),"")))</f>
        <v/>
      </c>
      <c r="D197">
        <f>IF(OR($A197="",$B197=""),"",IF(ISNUMBER($A197),MOD($A197,100),IFERROR(VALUE(TRIM(MID(MID($A197,FIND("/",$A197)+1,20),FIND("/",MID($A197,FIND("/",$A197)+1,20))+1,20))),"")))</f>
        <v/>
      </c>
      <c r="E197">
        <f>IF($A197="","",IF(OR($B197="",$C197="",$D197="",$B197&lt;1300,$B197&gt;1500,$C197&lt;1,$C197&gt;12,$D197&lt;1,$D197&gt;31),"نامعتبر",RIGHT("0000"&amp;$B197,4)&amp;"/"&amp;RIGHT("00"&amp;$C197,2)&amp;"/"&amp;RIGHT("00"&amp;$D197,2)))</f>
        <v/>
      </c>
      <c r="F197">
        <f>IF(Entry!$D197&lt;&gt;"",IF(AND(ISNUMBER(Entry!$D197),Entry!$D197&gt;=0,Entry!$D197&lt;1),RIGHT("00"&amp;HOUR(Entry!$D197),2)&amp;":"&amp;RIGHT("00"&amp;MINUTE(Entry!$D197),2),IFERROR(RIGHT("00"&amp;VALUE(TRIM(LEFT(Entry!$D197,FIND(":",Entry!$D197)-1))),2)&amp;":"&amp;RIGHT("00"&amp;VALUE(TRIM(MID(Entry!$D197,FIND(":",Entry!$D197)+1,2))),2),"نامعتبر")),IF(OR($E197="",$E197="نامعتبر"),"","00:00"))</f>
        <v/>
      </c>
      <c r="G197">
        <f>IF(OR($E197="",$E197="نامعتبر"),"",IF(Entry!$E197="","",LEFT(UPPER(TRIM(Entry!$E197)),6)))</f>
        <v/>
      </c>
      <c r="H197">
        <f>IF($G197="","",RIGHT($E197,4)&amp;MID($E197,6,2)&amp;RIGHT($E197,2)&amp;IF($F197="","0000",IF($F197="نامعتبر","9999",LEFT($F197,2)&amp;RIGHT($F197,2)))&amp;"|"&amp;RIGHT("00000"&amp;189,5))</f>
        <v/>
      </c>
      <c r="I197">
        <f>IF($H197="","",COUNTIFS(CalcBank,$G197,CalcKey,"&lt;"&amp;$H197)+1)</f>
        <v/>
      </c>
      <c r="J197">
        <f>IF($I197="","",$G197&amp;"|"&amp;RIGHT("000000"&amp;$I197,6))</f>
        <v/>
      </c>
      <c r="K197">
        <f>IF(OR($E197="",$E197="نامعتبر"),"",LEFT($E197,4)&amp;"/"&amp;MID($E197,6,2))</f>
        <v/>
      </c>
      <c r="L197">
        <f>IF(Entry!$K197="",0,Entry!$K197)</f>
        <v/>
      </c>
      <c r="M197">
        <f>IF(Entry!$L197="",0,Entry!$L197)</f>
        <v/>
      </c>
    </row>
    <row r="198">
      <c r="A198">
        <f>IF(Entry!$C198="","",Entry!$C198)</f>
        <v/>
      </c>
      <c r="B198">
        <f>IF($A198="","",IF(ISNUMBER($A198),IF(AND($A198&gt;=10000101,$A198&lt;=99991231),INT($A198/10000),""),IFERROR(VALUE(TRIM(LEFT($A198,FIND("/",$A198)-1))),"")))</f>
        <v/>
      </c>
      <c r="C198">
        <f>IF(OR($A198="",$B198=""),"",IF(ISNUMBER($A198),INT(MOD($A198,10000)/100),IFERROR(VALUE(TRIM(LEFT(MID($A198,FIND("/",$A198)+1,20),FIND("/",MID($A198,FIND("/",$A198)+1,20))-1))),"")))</f>
        <v/>
      </c>
      <c r="D198">
        <f>IF(OR($A198="",$B198=""),"",IF(ISNUMBER($A198),MOD($A198,100),IFERROR(VALUE(TRIM(MID(MID($A198,FIND("/",$A198)+1,20),FIND("/",MID($A198,FIND("/",$A198)+1,20))+1,20))),"")))</f>
        <v/>
      </c>
      <c r="E198">
        <f>IF($A198="","",IF(OR($B198="",$C198="",$D198="",$B198&lt;1300,$B198&gt;1500,$C198&lt;1,$C198&gt;12,$D198&lt;1,$D198&gt;31),"نامعتبر",RIGHT("0000"&amp;$B198,4)&amp;"/"&amp;RIGHT("00"&amp;$C198,2)&amp;"/"&amp;RIGHT("00"&amp;$D198,2)))</f>
        <v/>
      </c>
      <c r="F198">
        <f>IF(Entry!$D198&lt;&gt;"",IF(AND(ISNUMBER(Entry!$D198),Entry!$D198&gt;=0,Entry!$D198&lt;1),RIGHT("00"&amp;HOUR(Entry!$D198),2)&amp;":"&amp;RIGHT("00"&amp;MINUTE(Entry!$D198),2),IFERROR(RIGHT("00"&amp;VALUE(TRIM(LEFT(Entry!$D198,FIND(":",Entry!$D198)-1))),2)&amp;":"&amp;RIGHT("00"&amp;VALUE(TRIM(MID(Entry!$D198,FIND(":",Entry!$D198)+1,2))),2),"نامعتبر")),IF(OR($E198="",$E198="نامعتبر"),"","00:00"))</f>
        <v/>
      </c>
      <c r="G198">
        <f>IF(OR($E198="",$E198="نامعتبر"),"",IF(Entry!$E198="","",LEFT(UPPER(TRIM(Entry!$E198)),6)))</f>
        <v/>
      </c>
      <c r="H198">
        <f>IF($G198="","",RIGHT($E198,4)&amp;MID($E198,6,2)&amp;RIGHT($E198,2)&amp;IF($F198="","0000",IF($F198="نامعتبر","9999",LEFT($F198,2)&amp;RIGHT($F198,2)))&amp;"|"&amp;RIGHT("00000"&amp;190,5))</f>
        <v/>
      </c>
      <c r="I198">
        <f>IF($H198="","",COUNTIFS(CalcBank,$G198,CalcKey,"&lt;"&amp;$H198)+1)</f>
        <v/>
      </c>
      <c r="J198">
        <f>IF($I198="","",$G198&amp;"|"&amp;RIGHT("000000"&amp;$I198,6))</f>
        <v/>
      </c>
      <c r="K198">
        <f>IF(OR($E198="",$E198="نامعتبر"),"",LEFT($E198,4)&amp;"/"&amp;MID($E198,6,2))</f>
        <v/>
      </c>
      <c r="L198">
        <f>IF(Entry!$K198="",0,Entry!$K198)</f>
        <v/>
      </c>
      <c r="M198">
        <f>IF(Entry!$L198="",0,Entry!$L198)</f>
        <v/>
      </c>
    </row>
    <row r="199">
      <c r="A199">
        <f>IF(Entry!$C199="","",Entry!$C199)</f>
        <v/>
      </c>
      <c r="B199">
        <f>IF($A199="","",IF(ISNUMBER($A199),IF(AND($A199&gt;=10000101,$A199&lt;=99991231),INT($A199/10000),""),IFERROR(VALUE(TRIM(LEFT($A199,FIND("/",$A199)-1))),"")))</f>
        <v/>
      </c>
      <c r="C199">
        <f>IF(OR($A199="",$B199=""),"",IF(ISNUMBER($A199),INT(MOD($A199,10000)/100),IFERROR(VALUE(TRIM(LEFT(MID($A199,FIND("/",$A199)+1,20),FIND("/",MID($A199,FIND("/",$A199)+1,20))-1))),"")))</f>
        <v/>
      </c>
      <c r="D199">
        <f>IF(OR($A199="",$B199=""),"",IF(ISNUMBER($A199),MOD($A199,100),IFERROR(VALUE(TRIM(MID(MID($A199,FIND("/",$A199)+1,20),FIND("/",MID($A199,FIND("/",$A199)+1,20))+1,20))),"")))</f>
        <v/>
      </c>
      <c r="E199">
        <f>IF($A199="","",IF(OR($B199="",$C199="",$D199="",$B199&lt;1300,$B199&gt;1500,$C199&lt;1,$C199&gt;12,$D199&lt;1,$D199&gt;31),"نامعتبر",RIGHT("0000"&amp;$B199,4)&amp;"/"&amp;RIGHT("00"&amp;$C199,2)&amp;"/"&amp;RIGHT("00"&amp;$D199,2)))</f>
        <v/>
      </c>
      <c r="F199">
        <f>IF(Entry!$D199&lt;&gt;"",IF(AND(ISNUMBER(Entry!$D199),Entry!$D199&gt;=0,Entry!$D199&lt;1),RIGHT("00"&amp;HOUR(Entry!$D199),2)&amp;":"&amp;RIGHT("00"&amp;MINUTE(Entry!$D199),2),IFERROR(RIGHT("00"&amp;VALUE(TRIM(LEFT(Entry!$D199,FIND(":",Entry!$D199)-1))),2)&amp;":"&amp;RIGHT("00"&amp;VALUE(TRIM(MID(Entry!$D199,FIND(":",Entry!$D199)+1,2))),2),"نامعتبر")),IF(OR($E199="",$E199="نامعتبر"),"","00:00"))</f>
        <v/>
      </c>
      <c r="G199">
        <f>IF(OR($E199="",$E199="نامعتبر"),"",IF(Entry!$E199="","",LEFT(UPPER(TRIM(Entry!$E199)),6)))</f>
        <v/>
      </c>
      <c r="H199">
        <f>IF($G199="","",RIGHT($E199,4)&amp;MID($E199,6,2)&amp;RIGHT($E199,2)&amp;IF($F199="","0000",IF($F199="نامعتبر","9999",LEFT($F199,2)&amp;RIGHT($F199,2)))&amp;"|"&amp;RIGHT("00000"&amp;191,5))</f>
        <v/>
      </c>
      <c r="I199">
        <f>IF($H199="","",COUNTIFS(CalcBank,$G199,CalcKey,"&lt;"&amp;$H199)+1)</f>
        <v/>
      </c>
      <c r="J199">
        <f>IF($I199="","",$G199&amp;"|"&amp;RIGHT("000000"&amp;$I199,6))</f>
        <v/>
      </c>
      <c r="K199">
        <f>IF(OR($E199="",$E199="نامعتبر"),"",LEFT($E199,4)&amp;"/"&amp;MID($E199,6,2))</f>
        <v/>
      </c>
      <c r="L199">
        <f>IF(Entry!$K199="",0,Entry!$K199)</f>
        <v/>
      </c>
      <c r="M199">
        <f>IF(Entry!$L199="",0,Entry!$L199)</f>
        <v/>
      </c>
    </row>
    <row r="200">
      <c r="A200">
        <f>IF(Entry!$C200="","",Entry!$C200)</f>
        <v/>
      </c>
      <c r="B200">
        <f>IF($A200="","",IF(ISNUMBER($A200),IF(AND($A200&gt;=10000101,$A200&lt;=99991231),INT($A200/10000),""),IFERROR(VALUE(TRIM(LEFT($A200,FIND("/",$A200)-1))),"")))</f>
        <v/>
      </c>
      <c r="C200">
        <f>IF(OR($A200="",$B200=""),"",IF(ISNUMBER($A200),INT(MOD($A200,10000)/100),IFERROR(VALUE(TRIM(LEFT(MID($A200,FIND("/",$A200)+1,20),FIND("/",MID($A200,FIND("/",$A200)+1,20))-1))),"")))</f>
        <v/>
      </c>
      <c r="D200">
        <f>IF(OR($A200="",$B200=""),"",IF(ISNUMBER($A200),MOD($A200,100),IFERROR(VALUE(TRIM(MID(MID($A200,FIND("/",$A200)+1,20),FIND("/",MID($A200,FIND("/",$A200)+1,20))+1,20))),"")))</f>
        <v/>
      </c>
      <c r="E200">
        <f>IF($A200="","",IF(OR($B200="",$C200="",$D200="",$B200&lt;1300,$B200&gt;1500,$C200&lt;1,$C200&gt;12,$D200&lt;1,$D200&gt;31),"نامعتبر",RIGHT("0000"&amp;$B200,4)&amp;"/"&amp;RIGHT("00"&amp;$C200,2)&amp;"/"&amp;RIGHT("00"&amp;$D200,2)))</f>
        <v/>
      </c>
      <c r="F200">
        <f>IF(Entry!$D200&lt;&gt;"",IF(AND(ISNUMBER(Entry!$D200),Entry!$D200&gt;=0,Entry!$D200&lt;1),RIGHT("00"&amp;HOUR(Entry!$D200),2)&amp;":"&amp;RIGHT("00"&amp;MINUTE(Entry!$D200),2),IFERROR(RIGHT("00"&amp;VALUE(TRIM(LEFT(Entry!$D200,FIND(":",Entry!$D200)-1))),2)&amp;":"&amp;RIGHT("00"&amp;VALUE(TRIM(MID(Entry!$D200,FIND(":",Entry!$D200)+1,2))),2),"نامعتبر")),IF(OR($E200="",$E200="نامعتبر"),"","00:00"))</f>
        <v/>
      </c>
      <c r="G200">
        <f>IF(OR($E200="",$E200="نامعتبر"),"",IF(Entry!$E200="","",LEFT(UPPER(TRIM(Entry!$E200)),6)))</f>
        <v/>
      </c>
      <c r="H200">
        <f>IF($G200="","",RIGHT($E200,4)&amp;MID($E200,6,2)&amp;RIGHT($E200,2)&amp;IF($F200="","0000",IF($F200="نامعتبر","9999",LEFT($F200,2)&amp;RIGHT($F200,2)))&amp;"|"&amp;RIGHT("00000"&amp;192,5))</f>
        <v/>
      </c>
      <c r="I200">
        <f>IF($H200="","",COUNTIFS(CalcBank,$G200,CalcKey,"&lt;"&amp;$H200)+1)</f>
        <v/>
      </c>
      <c r="J200">
        <f>IF($I200="","",$G200&amp;"|"&amp;RIGHT("000000"&amp;$I200,6))</f>
        <v/>
      </c>
      <c r="K200">
        <f>IF(OR($E200="",$E200="نامعتبر"),"",LEFT($E200,4)&amp;"/"&amp;MID($E200,6,2))</f>
        <v/>
      </c>
      <c r="L200">
        <f>IF(Entry!$K200="",0,Entry!$K200)</f>
        <v/>
      </c>
      <c r="M200">
        <f>IF(Entry!$L200="",0,Entry!$L200)</f>
        <v/>
      </c>
    </row>
    <row r="201">
      <c r="A201">
        <f>IF(Entry!$C201="","",Entry!$C201)</f>
        <v/>
      </c>
      <c r="B201">
        <f>IF($A201="","",IF(ISNUMBER($A201),IF(AND($A201&gt;=10000101,$A201&lt;=99991231),INT($A201/10000),""),IFERROR(VALUE(TRIM(LEFT($A201,FIND("/",$A201)-1))),"")))</f>
        <v/>
      </c>
      <c r="C201">
        <f>IF(OR($A201="",$B201=""),"",IF(ISNUMBER($A201),INT(MOD($A201,10000)/100),IFERROR(VALUE(TRIM(LEFT(MID($A201,FIND("/",$A201)+1,20),FIND("/",MID($A201,FIND("/",$A201)+1,20))-1))),"")))</f>
        <v/>
      </c>
      <c r="D201">
        <f>IF(OR($A201="",$B201=""),"",IF(ISNUMBER($A201),MOD($A201,100),IFERROR(VALUE(TRIM(MID(MID($A201,FIND("/",$A201)+1,20),FIND("/",MID($A201,FIND("/",$A201)+1,20))+1,20))),"")))</f>
        <v/>
      </c>
      <c r="E201">
        <f>IF($A201="","",IF(OR($B201="",$C201="",$D201="",$B201&lt;1300,$B201&gt;1500,$C201&lt;1,$C201&gt;12,$D201&lt;1,$D201&gt;31),"نامعتبر",RIGHT("0000"&amp;$B201,4)&amp;"/"&amp;RIGHT("00"&amp;$C201,2)&amp;"/"&amp;RIGHT("00"&amp;$D201,2)))</f>
        <v/>
      </c>
      <c r="F201">
        <f>IF(Entry!$D201&lt;&gt;"",IF(AND(ISNUMBER(Entry!$D201),Entry!$D201&gt;=0,Entry!$D201&lt;1),RIGHT("00"&amp;HOUR(Entry!$D201),2)&amp;":"&amp;RIGHT("00"&amp;MINUTE(Entry!$D201),2),IFERROR(RIGHT("00"&amp;VALUE(TRIM(LEFT(Entry!$D201,FIND(":",Entry!$D201)-1))),2)&amp;":"&amp;RIGHT("00"&amp;VALUE(TRIM(MID(Entry!$D201,FIND(":",Entry!$D201)+1,2))),2),"نامعتبر")),IF(OR($E201="",$E201="نامعتبر"),"","00:00"))</f>
        <v/>
      </c>
      <c r="G201">
        <f>IF(OR($E201="",$E201="نامعتبر"),"",IF(Entry!$E201="","",LEFT(UPPER(TRIM(Entry!$E201)),6)))</f>
        <v/>
      </c>
      <c r="H201">
        <f>IF($G201="","",RIGHT($E201,4)&amp;MID($E201,6,2)&amp;RIGHT($E201,2)&amp;IF($F201="","0000",IF($F201="نامعتبر","9999",LEFT($F201,2)&amp;RIGHT($F201,2)))&amp;"|"&amp;RIGHT("00000"&amp;193,5))</f>
        <v/>
      </c>
      <c r="I201">
        <f>IF($H201="","",COUNTIFS(CalcBank,$G201,CalcKey,"&lt;"&amp;$H201)+1)</f>
        <v/>
      </c>
      <c r="J201">
        <f>IF($I201="","",$G201&amp;"|"&amp;RIGHT("000000"&amp;$I201,6))</f>
        <v/>
      </c>
      <c r="K201">
        <f>IF(OR($E201="",$E201="نامعتبر"),"",LEFT($E201,4)&amp;"/"&amp;MID($E201,6,2))</f>
        <v/>
      </c>
      <c r="L201">
        <f>IF(Entry!$K201="",0,Entry!$K201)</f>
        <v/>
      </c>
      <c r="M201">
        <f>IF(Entry!$L201="",0,Entry!$L201)</f>
        <v/>
      </c>
    </row>
    <row r="202">
      <c r="A202">
        <f>IF(Entry!$C202="","",Entry!$C202)</f>
        <v/>
      </c>
      <c r="B202">
        <f>IF($A202="","",IF(ISNUMBER($A202),IF(AND($A202&gt;=10000101,$A202&lt;=99991231),INT($A202/10000),""),IFERROR(VALUE(TRIM(LEFT($A202,FIND("/",$A202)-1))),"")))</f>
        <v/>
      </c>
      <c r="C202">
        <f>IF(OR($A202="",$B202=""),"",IF(ISNUMBER($A202),INT(MOD($A202,10000)/100),IFERROR(VALUE(TRIM(LEFT(MID($A202,FIND("/",$A202)+1,20),FIND("/",MID($A202,FIND("/",$A202)+1,20))-1))),"")))</f>
        <v/>
      </c>
      <c r="D202">
        <f>IF(OR($A202="",$B202=""),"",IF(ISNUMBER($A202),MOD($A202,100),IFERROR(VALUE(TRIM(MID(MID($A202,FIND("/",$A202)+1,20),FIND("/",MID($A202,FIND("/",$A202)+1,20))+1,20))),"")))</f>
        <v/>
      </c>
      <c r="E202">
        <f>IF($A202="","",IF(OR($B202="",$C202="",$D202="",$B202&lt;1300,$B202&gt;1500,$C202&lt;1,$C202&gt;12,$D202&lt;1,$D202&gt;31),"نامعتبر",RIGHT("0000"&amp;$B202,4)&amp;"/"&amp;RIGHT("00"&amp;$C202,2)&amp;"/"&amp;RIGHT("00"&amp;$D202,2)))</f>
        <v/>
      </c>
      <c r="F202">
        <f>IF(Entry!$D202&lt;&gt;"",IF(AND(ISNUMBER(Entry!$D202),Entry!$D202&gt;=0,Entry!$D202&lt;1),RIGHT("00"&amp;HOUR(Entry!$D202),2)&amp;":"&amp;RIGHT("00"&amp;MINUTE(Entry!$D202),2),IFERROR(RIGHT("00"&amp;VALUE(TRIM(LEFT(Entry!$D202,FIND(":",Entry!$D202)-1))),2)&amp;":"&amp;RIGHT("00"&amp;VALUE(TRIM(MID(Entry!$D202,FIND(":",Entry!$D202)+1,2))),2),"نامعتبر")),IF(OR($E202="",$E202="نامعتبر"),"","00:00"))</f>
        <v/>
      </c>
      <c r="G202">
        <f>IF(OR($E202="",$E202="نامعتبر"),"",IF(Entry!$E202="","",LEFT(UPPER(TRIM(Entry!$E202)),6)))</f>
        <v/>
      </c>
      <c r="H202">
        <f>IF($G202="","",RIGHT($E202,4)&amp;MID($E202,6,2)&amp;RIGHT($E202,2)&amp;IF($F202="","0000",IF($F202="نامعتبر","9999",LEFT($F202,2)&amp;RIGHT($F202,2)))&amp;"|"&amp;RIGHT("00000"&amp;194,5))</f>
        <v/>
      </c>
      <c r="I202">
        <f>IF($H202="","",COUNTIFS(CalcBank,$G202,CalcKey,"&lt;"&amp;$H202)+1)</f>
        <v/>
      </c>
      <c r="J202">
        <f>IF($I202="","",$G202&amp;"|"&amp;RIGHT("000000"&amp;$I202,6))</f>
        <v/>
      </c>
      <c r="K202">
        <f>IF(OR($E202="",$E202="نامعتبر"),"",LEFT($E202,4)&amp;"/"&amp;MID($E202,6,2))</f>
        <v/>
      </c>
      <c r="L202">
        <f>IF(Entry!$K202="",0,Entry!$K202)</f>
        <v/>
      </c>
      <c r="M202">
        <f>IF(Entry!$L202="",0,Entry!$L202)</f>
        <v/>
      </c>
    </row>
    <row r="203">
      <c r="A203">
        <f>IF(Entry!$C203="","",Entry!$C203)</f>
        <v/>
      </c>
      <c r="B203">
        <f>IF($A203="","",IF(ISNUMBER($A203),IF(AND($A203&gt;=10000101,$A203&lt;=99991231),INT($A203/10000),""),IFERROR(VALUE(TRIM(LEFT($A203,FIND("/",$A203)-1))),"")))</f>
        <v/>
      </c>
      <c r="C203">
        <f>IF(OR($A203="",$B203=""),"",IF(ISNUMBER($A203),INT(MOD($A203,10000)/100),IFERROR(VALUE(TRIM(LEFT(MID($A203,FIND("/",$A203)+1,20),FIND("/",MID($A203,FIND("/",$A203)+1,20))-1))),"")))</f>
        <v/>
      </c>
      <c r="D203">
        <f>IF(OR($A203="",$B203=""),"",IF(ISNUMBER($A203),MOD($A203,100),IFERROR(VALUE(TRIM(MID(MID($A203,FIND("/",$A203)+1,20),FIND("/",MID($A203,FIND("/",$A203)+1,20))+1,20))),"")))</f>
        <v/>
      </c>
      <c r="E203">
        <f>IF($A203="","",IF(OR($B203="",$C203="",$D203="",$B203&lt;1300,$B203&gt;1500,$C203&lt;1,$C203&gt;12,$D203&lt;1,$D203&gt;31),"نامعتبر",RIGHT("0000"&amp;$B203,4)&amp;"/"&amp;RIGHT("00"&amp;$C203,2)&amp;"/"&amp;RIGHT("00"&amp;$D203,2)))</f>
        <v/>
      </c>
      <c r="F203">
        <f>IF(Entry!$D203&lt;&gt;"",IF(AND(ISNUMBER(Entry!$D203),Entry!$D203&gt;=0,Entry!$D203&lt;1),RIGHT("00"&amp;HOUR(Entry!$D203),2)&amp;":"&amp;RIGHT("00"&amp;MINUTE(Entry!$D203),2),IFERROR(RIGHT("00"&amp;VALUE(TRIM(LEFT(Entry!$D203,FIND(":",Entry!$D203)-1))),2)&amp;":"&amp;RIGHT("00"&amp;VALUE(TRIM(MID(Entry!$D203,FIND(":",Entry!$D203)+1,2))),2),"نامعتبر")),IF(OR($E203="",$E203="نامعتبر"),"","00:00"))</f>
        <v/>
      </c>
      <c r="G203">
        <f>IF(OR($E203="",$E203="نامعتبر"),"",IF(Entry!$E203="","",LEFT(UPPER(TRIM(Entry!$E203)),6)))</f>
        <v/>
      </c>
      <c r="H203">
        <f>IF($G203="","",RIGHT($E203,4)&amp;MID($E203,6,2)&amp;RIGHT($E203,2)&amp;IF($F203="","0000",IF($F203="نامعتبر","9999",LEFT($F203,2)&amp;RIGHT($F203,2)))&amp;"|"&amp;RIGHT("00000"&amp;195,5))</f>
        <v/>
      </c>
      <c r="I203">
        <f>IF($H203="","",COUNTIFS(CalcBank,$G203,CalcKey,"&lt;"&amp;$H203)+1)</f>
        <v/>
      </c>
      <c r="J203">
        <f>IF($I203="","",$G203&amp;"|"&amp;RIGHT("000000"&amp;$I203,6))</f>
        <v/>
      </c>
      <c r="K203">
        <f>IF(OR($E203="",$E203="نامعتبر"),"",LEFT($E203,4)&amp;"/"&amp;MID($E203,6,2))</f>
        <v/>
      </c>
      <c r="L203">
        <f>IF(Entry!$K203="",0,Entry!$K203)</f>
        <v/>
      </c>
      <c r="M203">
        <f>IF(Entry!$L203="",0,Entry!$L203)</f>
        <v/>
      </c>
    </row>
    <row r="204">
      <c r="A204">
        <f>IF(Entry!$C204="","",Entry!$C204)</f>
        <v/>
      </c>
      <c r="B204">
        <f>IF($A204="","",IF(ISNUMBER($A204),IF(AND($A204&gt;=10000101,$A204&lt;=99991231),INT($A204/10000),""),IFERROR(VALUE(TRIM(LEFT($A204,FIND("/",$A204)-1))),"")))</f>
        <v/>
      </c>
      <c r="C204">
        <f>IF(OR($A204="",$B204=""),"",IF(ISNUMBER($A204),INT(MOD($A204,10000)/100),IFERROR(VALUE(TRIM(LEFT(MID($A204,FIND("/",$A204)+1,20),FIND("/",MID($A204,FIND("/",$A204)+1,20))-1))),"")))</f>
        <v/>
      </c>
      <c r="D204">
        <f>IF(OR($A204="",$B204=""),"",IF(ISNUMBER($A204),MOD($A204,100),IFERROR(VALUE(TRIM(MID(MID($A204,FIND("/",$A204)+1,20),FIND("/",MID($A204,FIND("/",$A204)+1,20))+1,20))),"")))</f>
        <v/>
      </c>
      <c r="E204">
        <f>IF($A204="","",IF(OR($B204="",$C204="",$D204="",$B204&lt;1300,$B204&gt;1500,$C204&lt;1,$C204&gt;12,$D204&lt;1,$D204&gt;31),"نامعتبر",RIGHT("0000"&amp;$B204,4)&amp;"/"&amp;RIGHT("00"&amp;$C204,2)&amp;"/"&amp;RIGHT("00"&amp;$D204,2)))</f>
        <v/>
      </c>
      <c r="F204">
        <f>IF(Entry!$D204&lt;&gt;"",IF(AND(ISNUMBER(Entry!$D204),Entry!$D204&gt;=0,Entry!$D204&lt;1),RIGHT("00"&amp;HOUR(Entry!$D204),2)&amp;":"&amp;RIGHT("00"&amp;MINUTE(Entry!$D204),2),IFERROR(RIGHT("00"&amp;VALUE(TRIM(LEFT(Entry!$D204,FIND(":",Entry!$D204)-1))),2)&amp;":"&amp;RIGHT("00"&amp;VALUE(TRIM(MID(Entry!$D204,FIND(":",Entry!$D204)+1,2))),2),"نامعتبر")),IF(OR($E204="",$E204="نامعتبر"),"","00:00"))</f>
        <v/>
      </c>
      <c r="G204">
        <f>IF(OR($E204="",$E204="نامعتبر"),"",IF(Entry!$E204="","",LEFT(UPPER(TRIM(Entry!$E204)),6)))</f>
        <v/>
      </c>
      <c r="H204">
        <f>IF($G204="","",RIGHT($E204,4)&amp;MID($E204,6,2)&amp;RIGHT($E204,2)&amp;IF($F204="","0000",IF($F204="نامعتبر","9999",LEFT($F204,2)&amp;RIGHT($F204,2)))&amp;"|"&amp;RIGHT("00000"&amp;196,5))</f>
        <v/>
      </c>
      <c r="I204">
        <f>IF($H204="","",COUNTIFS(CalcBank,$G204,CalcKey,"&lt;"&amp;$H204)+1)</f>
        <v/>
      </c>
      <c r="J204">
        <f>IF($I204="","",$G204&amp;"|"&amp;RIGHT("000000"&amp;$I204,6))</f>
        <v/>
      </c>
      <c r="K204">
        <f>IF(OR($E204="",$E204="نامعتبر"),"",LEFT($E204,4)&amp;"/"&amp;MID($E204,6,2))</f>
        <v/>
      </c>
      <c r="L204">
        <f>IF(Entry!$K204="",0,Entry!$K204)</f>
        <v/>
      </c>
      <c r="M204">
        <f>IF(Entry!$L204="",0,Entry!$L204)</f>
        <v/>
      </c>
    </row>
    <row r="205">
      <c r="A205">
        <f>IF(Entry!$C205="","",Entry!$C205)</f>
        <v/>
      </c>
      <c r="B205">
        <f>IF($A205="","",IF(ISNUMBER($A205),IF(AND($A205&gt;=10000101,$A205&lt;=99991231),INT($A205/10000),""),IFERROR(VALUE(TRIM(LEFT($A205,FIND("/",$A205)-1))),"")))</f>
        <v/>
      </c>
      <c r="C205">
        <f>IF(OR($A205="",$B205=""),"",IF(ISNUMBER($A205),INT(MOD($A205,10000)/100),IFERROR(VALUE(TRIM(LEFT(MID($A205,FIND("/",$A205)+1,20),FIND("/",MID($A205,FIND("/",$A205)+1,20))-1))),"")))</f>
        <v/>
      </c>
      <c r="D205">
        <f>IF(OR($A205="",$B205=""),"",IF(ISNUMBER($A205),MOD($A205,100),IFERROR(VALUE(TRIM(MID(MID($A205,FIND("/",$A205)+1,20),FIND("/",MID($A205,FIND("/",$A205)+1,20))+1,20))),"")))</f>
        <v/>
      </c>
      <c r="E205">
        <f>IF($A205="","",IF(OR($B205="",$C205="",$D205="",$B205&lt;1300,$B205&gt;1500,$C205&lt;1,$C205&gt;12,$D205&lt;1,$D205&gt;31),"نامعتبر",RIGHT("0000"&amp;$B205,4)&amp;"/"&amp;RIGHT("00"&amp;$C205,2)&amp;"/"&amp;RIGHT("00"&amp;$D205,2)))</f>
        <v/>
      </c>
      <c r="F205">
        <f>IF(Entry!$D205&lt;&gt;"",IF(AND(ISNUMBER(Entry!$D205),Entry!$D205&gt;=0,Entry!$D205&lt;1),RIGHT("00"&amp;HOUR(Entry!$D205),2)&amp;":"&amp;RIGHT("00"&amp;MINUTE(Entry!$D205),2),IFERROR(RIGHT("00"&amp;VALUE(TRIM(LEFT(Entry!$D205,FIND(":",Entry!$D205)-1))),2)&amp;":"&amp;RIGHT("00"&amp;VALUE(TRIM(MID(Entry!$D205,FIND(":",Entry!$D205)+1,2))),2),"نامعتبر")),IF(OR($E205="",$E205="نامعتبر"),"","00:00"))</f>
        <v/>
      </c>
      <c r="G205">
        <f>IF(OR($E205="",$E205="نامعتبر"),"",IF(Entry!$E205="","",LEFT(UPPER(TRIM(Entry!$E205)),6)))</f>
        <v/>
      </c>
      <c r="H205">
        <f>IF($G205="","",RIGHT($E205,4)&amp;MID($E205,6,2)&amp;RIGHT($E205,2)&amp;IF($F205="","0000",IF($F205="نامعتبر","9999",LEFT($F205,2)&amp;RIGHT($F205,2)))&amp;"|"&amp;RIGHT("00000"&amp;197,5))</f>
        <v/>
      </c>
      <c r="I205">
        <f>IF($H205="","",COUNTIFS(CalcBank,$G205,CalcKey,"&lt;"&amp;$H205)+1)</f>
        <v/>
      </c>
      <c r="J205">
        <f>IF($I205="","",$G205&amp;"|"&amp;RIGHT("000000"&amp;$I205,6))</f>
        <v/>
      </c>
      <c r="K205">
        <f>IF(OR($E205="",$E205="نامعتبر"),"",LEFT($E205,4)&amp;"/"&amp;MID($E205,6,2))</f>
        <v/>
      </c>
      <c r="L205">
        <f>IF(Entry!$K205="",0,Entry!$K205)</f>
        <v/>
      </c>
      <c r="M205">
        <f>IF(Entry!$L205="",0,Entry!$L205)</f>
        <v/>
      </c>
    </row>
    <row r="206">
      <c r="A206">
        <f>IF(Entry!$C206="","",Entry!$C206)</f>
        <v/>
      </c>
      <c r="B206">
        <f>IF($A206="","",IF(ISNUMBER($A206),IF(AND($A206&gt;=10000101,$A206&lt;=99991231),INT($A206/10000),""),IFERROR(VALUE(TRIM(LEFT($A206,FIND("/",$A206)-1))),"")))</f>
        <v/>
      </c>
      <c r="C206">
        <f>IF(OR($A206="",$B206=""),"",IF(ISNUMBER($A206),INT(MOD($A206,10000)/100),IFERROR(VALUE(TRIM(LEFT(MID($A206,FIND("/",$A206)+1,20),FIND("/",MID($A206,FIND("/",$A206)+1,20))-1))),"")))</f>
        <v/>
      </c>
      <c r="D206">
        <f>IF(OR($A206="",$B206=""),"",IF(ISNUMBER($A206),MOD($A206,100),IFERROR(VALUE(TRIM(MID(MID($A206,FIND("/",$A206)+1,20),FIND("/",MID($A206,FIND("/",$A206)+1,20))+1,20))),"")))</f>
        <v/>
      </c>
      <c r="E206">
        <f>IF($A206="","",IF(OR($B206="",$C206="",$D206="",$B206&lt;1300,$B206&gt;1500,$C206&lt;1,$C206&gt;12,$D206&lt;1,$D206&gt;31),"نامعتبر",RIGHT("0000"&amp;$B206,4)&amp;"/"&amp;RIGHT("00"&amp;$C206,2)&amp;"/"&amp;RIGHT("00"&amp;$D206,2)))</f>
        <v/>
      </c>
      <c r="F206">
        <f>IF(Entry!$D206&lt;&gt;"",IF(AND(ISNUMBER(Entry!$D206),Entry!$D206&gt;=0,Entry!$D206&lt;1),RIGHT("00"&amp;HOUR(Entry!$D206),2)&amp;":"&amp;RIGHT("00"&amp;MINUTE(Entry!$D206),2),IFERROR(RIGHT("00"&amp;VALUE(TRIM(LEFT(Entry!$D206,FIND(":",Entry!$D206)-1))),2)&amp;":"&amp;RIGHT("00"&amp;VALUE(TRIM(MID(Entry!$D206,FIND(":",Entry!$D206)+1,2))),2),"نامعتبر")),IF(OR($E206="",$E206="نامعتبر"),"","00:00"))</f>
        <v/>
      </c>
      <c r="G206">
        <f>IF(OR($E206="",$E206="نامعتبر"),"",IF(Entry!$E206="","",LEFT(UPPER(TRIM(Entry!$E206)),6)))</f>
        <v/>
      </c>
      <c r="H206">
        <f>IF($G206="","",RIGHT($E206,4)&amp;MID($E206,6,2)&amp;RIGHT($E206,2)&amp;IF($F206="","0000",IF($F206="نامعتبر","9999",LEFT($F206,2)&amp;RIGHT($F206,2)))&amp;"|"&amp;RIGHT("00000"&amp;198,5))</f>
        <v/>
      </c>
      <c r="I206">
        <f>IF($H206="","",COUNTIFS(CalcBank,$G206,CalcKey,"&lt;"&amp;$H206)+1)</f>
        <v/>
      </c>
      <c r="J206">
        <f>IF($I206="","",$G206&amp;"|"&amp;RIGHT("000000"&amp;$I206,6))</f>
        <v/>
      </c>
      <c r="K206">
        <f>IF(OR($E206="",$E206="نامعتبر"),"",LEFT($E206,4)&amp;"/"&amp;MID($E206,6,2))</f>
        <v/>
      </c>
      <c r="L206">
        <f>IF(Entry!$K206="",0,Entry!$K206)</f>
        <v/>
      </c>
      <c r="M206">
        <f>IF(Entry!$L206="",0,Entry!$L206)</f>
        <v/>
      </c>
    </row>
    <row r="207">
      <c r="A207">
        <f>IF(Entry!$C207="","",Entry!$C207)</f>
        <v/>
      </c>
      <c r="B207">
        <f>IF($A207="","",IF(ISNUMBER($A207),IF(AND($A207&gt;=10000101,$A207&lt;=99991231),INT($A207/10000),""),IFERROR(VALUE(TRIM(LEFT($A207,FIND("/",$A207)-1))),"")))</f>
        <v/>
      </c>
      <c r="C207">
        <f>IF(OR($A207="",$B207=""),"",IF(ISNUMBER($A207),INT(MOD($A207,10000)/100),IFERROR(VALUE(TRIM(LEFT(MID($A207,FIND("/",$A207)+1,20),FIND("/",MID($A207,FIND("/",$A207)+1,20))-1))),"")))</f>
        <v/>
      </c>
      <c r="D207">
        <f>IF(OR($A207="",$B207=""),"",IF(ISNUMBER($A207),MOD($A207,100),IFERROR(VALUE(TRIM(MID(MID($A207,FIND("/",$A207)+1,20),FIND("/",MID($A207,FIND("/",$A207)+1,20))+1,20))),"")))</f>
        <v/>
      </c>
      <c r="E207">
        <f>IF($A207="","",IF(OR($B207="",$C207="",$D207="",$B207&lt;1300,$B207&gt;1500,$C207&lt;1,$C207&gt;12,$D207&lt;1,$D207&gt;31),"نامعتبر",RIGHT("0000"&amp;$B207,4)&amp;"/"&amp;RIGHT("00"&amp;$C207,2)&amp;"/"&amp;RIGHT("00"&amp;$D207,2)))</f>
        <v/>
      </c>
      <c r="F207">
        <f>IF(Entry!$D207&lt;&gt;"",IF(AND(ISNUMBER(Entry!$D207),Entry!$D207&gt;=0,Entry!$D207&lt;1),RIGHT("00"&amp;HOUR(Entry!$D207),2)&amp;":"&amp;RIGHT("00"&amp;MINUTE(Entry!$D207),2),IFERROR(RIGHT("00"&amp;VALUE(TRIM(LEFT(Entry!$D207,FIND(":",Entry!$D207)-1))),2)&amp;":"&amp;RIGHT("00"&amp;VALUE(TRIM(MID(Entry!$D207,FIND(":",Entry!$D207)+1,2))),2),"نامعتبر")),IF(OR($E207="",$E207="نامعتبر"),"","00:00"))</f>
        <v/>
      </c>
      <c r="G207">
        <f>IF(OR($E207="",$E207="نامعتبر"),"",IF(Entry!$E207="","",LEFT(UPPER(TRIM(Entry!$E207)),6)))</f>
        <v/>
      </c>
      <c r="H207">
        <f>IF($G207="","",RIGHT($E207,4)&amp;MID($E207,6,2)&amp;RIGHT($E207,2)&amp;IF($F207="","0000",IF($F207="نامعتبر","9999",LEFT($F207,2)&amp;RIGHT($F207,2)))&amp;"|"&amp;RIGHT("00000"&amp;199,5))</f>
        <v/>
      </c>
      <c r="I207">
        <f>IF($H207="","",COUNTIFS(CalcBank,$G207,CalcKey,"&lt;"&amp;$H207)+1)</f>
        <v/>
      </c>
      <c r="J207">
        <f>IF($I207="","",$G207&amp;"|"&amp;RIGHT("000000"&amp;$I207,6))</f>
        <v/>
      </c>
      <c r="K207">
        <f>IF(OR($E207="",$E207="نامعتبر"),"",LEFT($E207,4)&amp;"/"&amp;MID($E207,6,2))</f>
        <v/>
      </c>
      <c r="L207">
        <f>IF(Entry!$K207="",0,Entry!$K207)</f>
        <v/>
      </c>
      <c r="M207">
        <f>IF(Entry!$L207="",0,Entry!$L207)</f>
        <v/>
      </c>
    </row>
    <row r="208">
      <c r="A208">
        <f>IF(Entry!$C208="","",Entry!$C208)</f>
        <v/>
      </c>
      <c r="B208">
        <f>IF($A208="","",IF(ISNUMBER($A208),IF(AND($A208&gt;=10000101,$A208&lt;=99991231),INT($A208/10000),""),IFERROR(VALUE(TRIM(LEFT($A208,FIND("/",$A208)-1))),"")))</f>
        <v/>
      </c>
      <c r="C208">
        <f>IF(OR($A208="",$B208=""),"",IF(ISNUMBER($A208),INT(MOD($A208,10000)/100),IFERROR(VALUE(TRIM(LEFT(MID($A208,FIND("/",$A208)+1,20),FIND("/",MID($A208,FIND("/",$A208)+1,20))-1))),"")))</f>
        <v/>
      </c>
      <c r="D208">
        <f>IF(OR($A208="",$B208=""),"",IF(ISNUMBER($A208),MOD($A208,100),IFERROR(VALUE(TRIM(MID(MID($A208,FIND("/",$A208)+1,20),FIND("/",MID($A208,FIND("/",$A208)+1,20))+1,20))),"")))</f>
        <v/>
      </c>
      <c r="E208">
        <f>IF($A208="","",IF(OR($B208="",$C208="",$D208="",$B208&lt;1300,$B208&gt;1500,$C208&lt;1,$C208&gt;12,$D208&lt;1,$D208&gt;31),"نامعتبر",RIGHT("0000"&amp;$B208,4)&amp;"/"&amp;RIGHT("00"&amp;$C208,2)&amp;"/"&amp;RIGHT("00"&amp;$D208,2)))</f>
        <v/>
      </c>
      <c r="F208">
        <f>IF(Entry!$D208&lt;&gt;"",IF(AND(ISNUMBER(Entry!$D208),Entry!$D208&gt;=0,Entry!$D208&lt;1),RIGHT("00"&amp;HOUR(Entry!$D208),2)&amp;":"&amp;RIGHT("00"&amp;MINUTE(Entry!$D208),2),IFERROR(RIGHT("00"&amp;VALUE(TRIM(LEFT(Entry!$D208,FIND(":",Entry!$D208)-1))),2)&amp;":"&amp;RIGHT("00"&amp;VALUE(TRIM(MID(Entry!$D208,FIND(":",Entry!$D208)+1,2))),2),"نامعتبر")),IF(OR($E208="",$E208="نامعتبر"),"","00:00"))</f>
        <v/>
      </c>
      <c r="G208">
        <f>IF(OR($E208="",$E208="نامعتبر"),"",IF(Entry!$E208="","",LEFT(UPPER(TRIM(Entry!$E208)),6)))</f>
        <v/>
      </c>
      <c r="H208">
        <f>IF($G208="","",RIGHT($E208,4)&amp;MID($E208,6,2)&amp;RIGHT($E208,2)&amp;IF($F208="","0000",IF($F208="نامعتبر","9999",LEFT($F208,2)&amp;RIGHT($F208,2)))&amp;"|"&amp;RIGHT("00000"&amp;200,5))</f>
        <v/>
      </c>
      <c r="I208">
        <f>IF($H208="","",COUNTIFS(CalcBank,$G208,CalcKey,"&lt;"&amp;$H208)+1)</f>
        <v/>
      </c>
      <c r="J208">
        <f>IF($I208="","",$G208&amp;"|"&amp;RIGHT("000000"&amp;$I208,6))</f>
        <v/>
      </c>
      <c r="K208">
        <f>IF(OR($E208="",$E208="نامعتبر"),"",LEFT($E208,4)&amp;"/"&amp;MID($E208,6,2))</f>
        <v/>
      </c>
      <c r="L208">
        <f>IF(Entry!$K208="",0,Entry!$K208)</f>
        <v/>
      </c>
      <c r="M208">
        <f>IF(Entry!$L208="",0,Entry!$L208)</f>
        <v/>
      </c>
    </row>
    <row r="209">
      <c r="A209">
        <f>IF(Entry!$C209="","",Entry!$C209)</f>
        <v/>
      </c>
      <c r="B209">
        <f>IF($A209="","",IF(ISNUMBER($A209),IF(AND($A209&gt;=10000101,$A209&lt;=99991231),INT($A209/10000),""),IFERROR(VALUE(TRIM(LEFT($A209,FIND("/",$A209)-1))),"")))</f>
        <v/>
      </c>
      <c r="C209">
        <f>IF(OR($A209="",$B209=""),"",IF(ISNUMBER($A209),INT(MOD($A209,10000)/100),IFERROR(VALUE(TRIM(LEFT(MID($A209,FIND("/",$A209)+1,20),FIND("/",MID($A209,FIND("/",$A209)+1,20))-1))),"")))</f>
        <v/>
      </c>
      <c r="D209">
        <f>IF(OR($A209="",$B209=""),"",IF(ISNUMBER($A209),MOD($A209,100),IFERROR(VALUE(TRIM(MID(MID($A209,FIND("/",$A209)+1,20),FIND("/",MID($A209,FIND("/",$A209)+1,20))+1,20))),"")))</f>
        <v/>
      </c>
      <c r="E209">
        <f>IF($A209="","",IF(OR($B209="",$C209="",$D209="",$B209&lt;1300,$B209&gt;1500,$C209&lt;1,$C209&gt;12,$D209&lt;1,$D209&gt;31),"نامعتبر",RIGHT("0000"&amp;$B209,4)&amp;"/"&amp;RIGHT("00"&amp;$C209,2)&amp;"/"&amp;RIGHT("00"&amp;$D209,2)))</f>
        <v/>
      </c>
      <c r="F209">
        <f>IF(Entry!$D209&lt;&gt;"",IF(AND(ISNUMBER(Entry!$D209),Entry!$D209&gt;=0,Entry!$D209&lt;1),RIGHT("00"&amp;HOUR(Entry!$D209),2)&amp;":"&amp;RIGHT("00"&amp;MINUTE(Entry!$D209),2),IFERROR(RIGHT("00"&amp;VALUE(TRIM(LEFT(Entry!$D209,FIND(":",Entry!$D209)-1))),2)&amp;":"&amp;RIGHT("00"&amp;VALUE(TRIM(MID(Entry!$D209,FIND(":",Entry!$D209)+1,2))),2),"نامعتبر")),IF(OR($E209="",$E209="نامعتبر"),"","00:00"))</f>
        <v/>
      </c>
      <c r="G209">
        <f>IF(OR($E209="",$E209="نامعتبر"),"",IF(Entry!$E209="","",LEFT(UPPER(TRIM(Entry!$E209)),6)))</f>
        <v/>
      </c>
      <c r="H209">
        <f>IF($G209="","",RIGHT($E209,4)&amp;MID($E209,6,2)&amp;RIGHT($E209,2)&amp;IF($F209="","0000",IF($F209="نامعتبر","9999",LEFT($F209,2)&amp;RIGHT($F209,2)))&amp;"|"&amp;RIGHT("00000"&amp;201,5))</f>
        <v/>
      </c>
      <c r="I209">
        <f>IF($H209="","",COUNTIFS(CalcBank,$G209,CalcKey,"&lt;"&amp;$H209)+1)</f>
        <v/>
      </c>
      <c r="J209">
        <f>IF($I209="","",$G209&amp;"|"&amp;RIGHT("000000"&amp;$I209,6))</f>
        <v/>
      </c>
      <c r="K209">
        <f>IF(OR($E209="",$E209="نامعتبر"),"",LEFT($E209,4)&amp;"/"&amp;MID($E209,6,2))</f>
        <v/>
      </c>
      <c r="L209">
        <f>IF(Entry!$K209="",0,Entry!$K209)</f>
        <v/>
      </c>
      <c r="M209">
        <f>IF(Entry!$L209="",0,Entry!$L209)</f>
        <v/>
      </c>
    </row>
    <row r="210">
      <c r="A210">
        <f>IF(Entry!$C210="","",Entry!$C210)</f>
        <v/>
      </c>
      <c r="B210">
        <f>IF($A210="","",IF(ISNUMBER($A210),IF(AND($A210&gt;=10000101,$A210&lt;=99991231),INT($A210/10000),""),IFERROR(VALUE(TRIM(LEFT($A210,FIND("/",$A210)-1))),"")))</f>
        <v/>
      </c>
      <c r="C210">
        <f>IF(OR($A210="",$B210=""),"",IF(ISNUMBER($A210),INT(MOD($A210,10000)/100),IFERROR(VALUE(TRIM(LEFT(MID($A210,FIND("/",$A210)+1,20),FIND("/",MID($A210,FIND("/",$A210)+1,20))-1))),"")))</f>
        <v/>
      </c>
      <c r="D210">
        <f>IF(OR($A210="",$B210=""),"",IF(ISNUMBER($A210),MOD($A210,100),IFERROR(VALUE(TRIM(MID(MID($A210,FIND("/",$A210)+1,20),FIND("/",MID($A210,FIND("/",$A210)+1,20))+1,20))),"")))</f>
        <v/>
      </c>
      <c r="E210">
        <f>IF($A210="","",IF(OR($B210="",$C210="",$D210="",$B210&lt;1300,$B210&gt;1500,$C210&lt;1,$C210&gt;12,$D210&lt;1,$D210&gt;31),"نامعتبر",RIGHT("0000"&amp;$B210,4)&amp;"/"&amp;RIGHT("00"&amp;$C210,2)&amp;"/"&amp;RIGHT("00"&amp;$D210,2)))</f>
        <v/>
      </c>
      <c r="F210">
        <f>IF(Entry!$D210&lt;&gt;"",IF(AND(ISNUMBER(Entry!$D210),Entry!$D210&gt;=0,Entry!$D210&lt;1),RIGHT("00"&amp;HOUR(Entry!$D210),2)&amp;":"&amp;RIGHT("00"&amp;MINUTE(Entry!$D210),2),IFERROR(RIGHT("00"&amp;VALUE(TRIM(LEFT(Entry!$D210,FIND(":",Entry!$D210)-1))),2)&amp;":"&amp;RIGHT("00"&amp;VALUE(TRIM(MID(Entry!$D210,FIND(":",Entry!$D210)+1,2))),2),"نامعتبر")),IF(OR($E210="",$E210="نامعتبر"),"","00:00"))</f>
        <v/>
      </c>
      <c r="G210">
        <f>IF(OR($E210="",$E210="نامعتبر"),"",IF(Entry!$E210="","",LEFT(UPPER(TRIM(Entry!$E210)),6)))</f>
        <v/>
      </c>
      <c r="H210">
        <f>IF($G210="","",RIGHT($E210,4)&amp;MID($E210,6,2)&amp;RIGHT($E210,2)&amp;IF($F210="","0000",IF($F210="نامعتبر","9999",LEFT($F210,2)&amp;RIGHT($F210,2)))&amp;"|"&amp;RIGHT("00000"&amp;202,5))</f>
        <v/>
      </c>
      <c r="I210">
        <f>IF($H210="","",COUNTIFS(CalcBank,$G210,CalcKey,"&lt;"&amp;$H210)+1)</f>
        <v/>
      </c>
      <c r="J210">
        <f>IF($I210="","",$G210&amp;"|"&amp;RIGHT("000000"&amp;$I210,6))</f>
        <v/>
      </c>
      <c r="K210">
        <f>IF(OR($E210="",$E210="نامعتبر"),"",LEFT($E210,4)&amp;"/"&amp;MID($E210,6,2))</f>
        <v/>
      </c>
      <c r="L210">
        <f>IF(Entry!$K210="",0,Entry!$K210)</f>
        <v/>
      </c>
      <c r="M210">
        <f>IF(Entry!$L210="",0,Entry!$L210)</f>
        <v/>
      </c>
    </row>
    <row r="211">
      <c r="A211">
        <f>IF(Entry!$C211="","",Entry!$C211)</f>
        <v/>
      </c>
      <c r="B211">
        <f>IF($A211="","",IF(ISNUMBER($A211),IF(AND($A211&gt;=10000101,$A211&lt;=99991231),INT($A211/10000),""),IFERROR(VALUE(TRIM(LEFT($A211,FIND("/",$A211)-1))),"")))</f>
        <v/>
      </c>
      <c r="C211">
        <f>IF(OR($A211="",$B211=""),"",IF(ISNUMBER($A211),INT(MOD($A211,10000)/100),IFERROR(VALUE(TRIM(LEFT(MID($A211,FIND("/",$A211)+1,20),FIND("/",MID($A211,FIND("/",$A211)+1,20))-1))),"")))</f>
        <v/>
      </c>
      <c r="D211">
        <f>IF(OR($A211="",$B211=""),"",IF(ISNUMBER($A211),MOD($A211,100),IFERROR(VALUE(TRIM(MID(MID($A211,FIND("/",$A211)+1,20),FIND("/",MID($A211,FIND("/",$A211)+1,20))+1,20))),"")))</f>
        <v/>
      </c>
      <c r="E211">
        <f>IF($A211="","",IF(OR($B211="",$C211="",$D211="",$B211&lt;1300,$B211&gt;1500,$C211&lt;1,$C211&gt;12,$D211&lt;1,$D211&gt;31),"نامعتبر",RIGHT("0000"&amp;$B211,4)&amp;"/"&amp;RIGHT("00"&amp;$C211,2)&amp;"/"&amp;RIGHT("00"&amp;$D211,2)))</f>
        <v/>
      </c>
      <c r="F211">
        <f>IF(Entry!$D211&lt;&gt;"",IF(AND(ISNUMBER(Entry!$D211),Entry!$D211&gt;=0,Entry!$D211&lt;1),RIGHT("00"&amp;HOUR(Entry!$D211),2)&amp;":"&amp;RIGHT("00"&amp;MINUTE(Entry!$D211),2),IFERROR(RIGHT("00"&amp;VALUE(TRIM(LEFT(Entry!$D211,FIND(":",Entry!$D211)-1))),2)&amp;":"&amp;RIGHT("00"&amp;VALUE(TRIM(MID(Entry!$D211,FIND(":",Entry!$D211)+1,2))),2),"نامعتبر")),IF(OR($E211="",$E211="نامعتبر"),"","00:00"))</f>
        <v/>
      </c>
      <c r="G211">
        <f>IF(OR($E211="",$E211="نامعتبر"),"",IF(Entry!$E211="","",LEFT(UPPER(TRIM(Entry!$E211)),6)))</f>
        <v/>
      </c>
      <c r="H211">
        <f>IF($G211="","",RIGHT($E211,4)&amp;MID($E211,6,2)&amp;RIGHT($E211,2)&amp;IF($F211="","0000",IF($F211="نامعتبر","9999",LEFT($F211,2)&amp;RIGHT($F211,2)))&amp;"|"&amp;RIGHT("00000"&amp;203,5))</f>
        <v/>
      </c>
      <c r="I211">
        <f>IF($H211="","",COUNTIFS(CalcBank,$G211,CalcKey,"&lt;"&amp;$H211)+1)</f>
        <v/>
      </c>
      <c r="J211">
        <f>IF($I211="","",$G211&amp;"|"&amp;RIGHT("000000"&amp;$I211,6))</f>
        <v/>
      </c>
      <c r="K211">
        <f>IF(OR($E211="",$E211="نامعتبر"),"",LEFT($E211,4)&amp;"/"&amp;MID($E211,6,2))</f>
        <v/>
      </c>
      <c r="L211">
        <f>IF(Entry!$K211="",0,Entry!$K211)</f>
        <v/>
      </c>
      <c r="M211">
        <f>IF(Entry!$L211="",0,Entry!$L211)</f>
        <v/>
      </c>
    </row>
    <row r="212">
      <c r="A212">
        <f>IF(Entry!$C212="","",Entry!$C212)</f>
        <v/>
      </c>
      <c r="B212">
        <f>IF($A212="","",IF(ISNUMBER($A212),IF(AND($A212&gt;=10000101,$A212&lt;=99991231),INT($A212/10000),""),IFERROR(VALUE(TRIM(LEFT($A212,FIND("/",$A212)-1))),"")))</f>
        <v/>
      </c>
      <c r="C212">
        <f>IF(OR($A212="",$B212=""),"",IF(ISNUMBER($A212),INT(MOD($A212,10000)/100),IFERROR(VALUE(TRIM(LEFT(MID($A212,FIND("/",$A212)+1,20),FIND("/",MID($A212,FIND("/",$A212)+1,20))-1))),"")))</f>
        <v/>
      </c>
      <c r="D212">
        <f>IF(OR($A212="",$B212=""),"",IF(ISNUMBER($A212),MOD($A212,100),IFERROR(VALUE(TRIM(MID(MID($A212,FIND("/",$A212)+1,20),FIND("/",MID($A212,FIND("/",$A212)+1,20))+1,20))),"")))</f>
        <v/>
      </c>
      <c r="E212">
        <f>IF($A212="","",IF(OR($B212="",$C212="",$D212="",$B212&lt;1300,$B212&gt;1500,$C212&lt;1,$C212&gt;12,$D212&lt;1,$D212&gt;31),"نامعتبر",RIGHT("0000"&amp;$B212,4)&amp;"/"&amp;RIGHT("00"&amp;$C212,2)&amp;"/"&amp;RIGHT("00"&amp;$D212,2)))</f>
        <v/>
      </c>
      <c r="F212">
        <f>IF(Entry!$D212&lt;&gt;"",IF(AND(ISNUMBER(Entry!$D212),Entry!$D212&gt;=0,Entry!$D212&lt;1),RIGHT("00"&amp;HOUR(Entry!$D212),2)&amp;":"&amp;RIGHT("00"&amp;MINUTE(Entry!$D212),2),IFERROR(RIGHT("00"&amp;VALUE(TRIM(LEFT(Entry!$D212,FIND(":",Entry!$D212)-1))),2)&amp;":"&amp;RIGHT("00"&amp;VALUE(TRIM(MID(Entry!$D212,FIND(":",Entry!$D212)+1,2))),2),"نامعتبر")),IF(OR($E212="",$E212="نامعتبر"),"","00:00"))</f>
        <v/>
      </c>
      <c r="G212">
        <f>IF(OR($E212="",$E212="نامعتبر"),"",IF(Entry!$E212="","",LEFT(UPPER(TRIM(Entry!$E212)),6)))</f>
        <v/>
      </c>
      <c r="H212">
        <f>IF($G212="","",RIGHT($E212,4)&amp;MID($E212,6,2)&amp;RIGHT($E212,2)&amp;IF($F212="","0000",IF($F212="نامعتبر","9999",LEFT($F212,2)&amp;RIGHT($F212,2)))&amp;"|"&amp;RIGHT("00000"&amp;204,5))</f>
        <v/>
      </c>
      <c r="I212">
        <f>IF($H212="","",COUNTIFS(CalcBank,$G212,CalcKey,"&lt;"&amp;$H212)+1)</f>
        <v/>
      </c>
      <c r="J212">
        <f>IF($I212="","",$G212&amp;"|"&amp;RIGHT("000000"&amp;$I212,6))</f>
        <v/>
      </c>
      <c r="K212">
        <f>IF(OR($E212="",$E212="نامعتبر"),"",LEFT($E212,4)&amp;"/"&amp;MID($E212,6,2))</f>
        <v/>
      </c>
      <c r="L212">
        <f>IF(Entry!$K212="",0,Entry!$K212)</f>
        <v/>
      </c>
      <c r="M212">
        <f>IF(Entry!$L212="",0,Entry!$L212)</f>
        <v/>
      </c>
    </row>
    <row r="213">
      <c r="A213">
        <f>IF(Entry!$C213="","",Entry!$C213)</f>
        <v/>
      </c>
      <c r="B213">
        <f>IF($A213="","",IF(ISNUMBER($A213),IF(AND($A213&gt;=10000101,$A213&lt;=99991231),INT($A213/10000),""),IFERROR(VALUE(TRIM(LEFT($A213,FIND("/",$A213)-1))),"")))</f>
        <v/>
      </c>
      <c r="C213">
        <f>IF(OR($A213="",$B213=""),"",IF(ISNUMBER($A213),INT(MOD($A213,10000)/100),IFERROR(VALUE(TRIM(LEFT(MID($A213,FIND("/",$A213)+1,20),FIND("/",MID($A213,FIND("/",$A213)+1,20))-1))),"")))</f>
        <v/>
      </c>
      <c r="D213">
        <f>IF(OR($A213="",$B213=""),"",IF(ISNUMBER($A213),MOD($A213,100),IFERROR(VALUE(TRIM(MID(MID($A213,FIND("/",$A213)+1,20),FIND("/",MID($A213,FIND("/",$A213)+1,20))+1,20))),"")))</f>
        <v/>
      </c>
      <c r="E213">
        <f>IF($A213="","",IF(OR($B213="",$C213="",$D213="",$B213&lt;1300,$B213&gt;1500,$C213&lt;1,$C213&gt;12,$D213&lt;1,$D213&gt;31),"نامعتبر",RIGHT("0000"&amp;$B213,4)&amp;"/"&amp;RIGHT("00"&amp;$C213,2)&amp;"/"&amp;RIGHT("00"&amp;$D213,2)))</f>
        <v/>
      </c>
      <c r="F213">
        <f>IF(Entry!$D213&lt;&gt;"",IF(AND(ISNUMBER(Entry!$D213),Entry!$D213&gt;=0,Entry!$D213&lt;1),RIGHT("00"&amp;HOUR(Entry!$D213),2)&amp;":"&amp;RIGHT("00"&amp;MINUTE(Entry!$D213),2),IFERROR(RIGHT("00"&amp;VALUE(TRIM(LEFT(Entry!$D213,FIND(":",Entry!$D213)-1))),2)&amp;":"&amp;RIGHT("00"&amp;VALUE(TRIM(MID(Entry!$D213,FIND(":",Entry!$D213)+1,2))),2),"نامعتبر")),IF(OR($E213="",$E213="نامعتبر"),"","00:00"))</f>
        <v/>
      </c>
      <c r="G213">
        <f>IF(OR($E213="",$E213="نامعتبر"),"",IF(Entry!$E213="","",LEFT(UPPER(TRIM(Entry!$E213)),6)))</f>
        <v/>
      </c>
      <c r="H213">
        <f>IF($G213="","",RIGHT($E213,4)&amp;MID($E213,6,2)&amp;RIGHT($E213,2)&amp;IF($F213="","0000",IF($F213="نامعتبر","9999",LEFT($F213,2)&amp;RIGHT($F213,2)))&amp;"|"&amp;RIGHT("00000"&amp;205,5))</f>
        <v/>
      </c>
      <c r="I213">
        <f>IF($H213="","",COUNTIFS(CalcBank,$G213,CalcKey,"&lt;"&amp;$H213)+1)</f>
        <v/>
      </c>
      <c r="J213">
        <f>IF($I213="","",$G213&amp;"|"&amp;RIGHT("000000"&amp;$I213,6))</f>
        <v/>
      </c>
      <c r="K213">
        <f>IF(OR($E213="",$E213="نامعتبر"),"",LEFT($E213,4)&amp;"/"&amp;MID($E213,6,2))</f>
        <v/>
      </c>
      <c r="L213">
        <f>IF(Entry!$K213="",0,Entry!$K213)</f>
        <v/>
      </c>
      <c r="M213">
        <f>IF(Entry!$L213="",0,Entry!$L213)</f>
        <v/>
      </c>
    </row>
    <row r="214">
      <c r="A214">
        <f>IF(Entry!$C214="","",Entry!$C214)</f>
        <v/>
      </c>
      <c r="B214">
        <f>IF($A214="","",IF(ISNUMBER($A214),IF(AND($A214&gt;=10000101,$A214&lt;=99991231),INT($A214/10000),""),IFERROR(VALUE(TRIM(LEFT($A214,FIND("/",$A214)-1))),"")))</f>
        <v/>
      </c>
      <c r="C214">
        <f>IF(OR($A214="",$B214=""),"",IF(ISNUMBER($A214),INT(MOD($A214,10000)/100),IFERROR(VALUE(TRIM(LEFT(MID($A214,FIND("/",$A214)+1,20),FIND("/",MID($A214,FIND("/",$A214)+1,20))-1))),"")))</f>
        <v/>
      </c>
      <c r="D214">
        <f>IF(OR($A214="",$B214=""),"",IF(ISNUMBER($A214),MOD($A214,100),IFERROR(VALUE(TRIM(MID(MID($A214,FIND("/",$A214)+1,20),FIND("/",MID($A214,FIND("/",$A214)+1,20))+1,20))),"")))</f>
        <v/>
      </c>
      <c r="E214">
        <f>IF($A214="","",IF(OR($B214="",$C214="",$D214="",$B214&lt;1300,$B214&gt;1500,$C214&lt;1,$C214&gt;12,$D214&lt;1,$D214&gt;31),"نامعتبر",RIGHT("0000"&amp;$B214,4)&amp;"/"&amp;RIGHT("00"&amp;$C214,2)&amp;"/"&amp;RIGHT("00"&amp;$D214,2)))</f>
        <v/>
      </c>
      <c r="F214">
        <f>IF(Entry!$D214&lt;&gt;"",IF(AND(ISNUMBER(Entry!$D214),Entry!$D214&gt;=0,Entry!$D214&lt;1),RIGHT("00"&amp;HOUR(Entry!$D214),2)&amp;":"&amp;RIGHT("00"&amp;MINUTE(Entry!$D214),2),IFERROR(RIGHT("00"&amp;VALUE(TRIM(LEFT(Entry!$D214,FIND(":",Entry!$D214)-1))),2)&amp;":"&amp;RIGHT("00"&amp;VALUE(TRIM(MID(Entry!$D214,FIND(":",Entry!$D214)+1,2))),2),"نامعتبر")),IF(OR($E214="",$E214="نامعتبر"),"","00:00"))</f>
        <v/>
      </c>
      <c r="G214">
        <f>IF(OR($E214="",$E214="نامعتبر"),"",IF(Entry!$E214="","",LEFT(UPPER(TRIM(Entry!$E214)),6)))</f>
        <v/>
      </c>
      <c r="H214">
        <f>IF($G214="","",RIGHT($E214,4)&amp;MID($E214,6,2)&amp;RIGHT($E214,2)&amp;IF($F214="","0000",IF($F214="نامعتبر","9999",LEFT($F214,2)&amp;RIGHT($F214,2)))&amp;"|"&amp;RIGHT("00000"&amp;206,5))</f>
        <v/>
      </c>
      <c r="I214">
        <f>IF($H214="","",COUNTIFS(CalcBank,$G214,CalcKey,"&lt;"&amp;$H214)+1)</f>
        <v/>
      </c>
      <c r="J214">
        <f>IF($I214="","",$G214&amp;"|"&amp;RIGHT("000000"&amp;$I214,6))</f>
        <v/>
      </c>
      <c r="K214">
        <f>IF(OR($E214="",$E214="نامعتبر"),"",LEFT($E214,4)&amp;"/"&amp;MID($E214,6,2))</f>
        <v/>
      </c>
      <c r="L214">
        <f>IF(Entry!$K214="",0,Entry!$K214)</f>
        <v/>
      </c>
      <c r="M214">
        <f>IF(Entry!$L214="",0,Entry!$L214)</f>
        <v/>
      </c>
    </row>
    <row r="215">
      <c r="A215">
        <f>IF(Entry!$C215="","",Entry!$C215)</f>
        <v/>
      </c>
      <c r="B215">
        <f>IF($A215="","",IF(ISNUMBER($A215),IF(AND($A215&gt;=10000101,$A215&lt;=99991231),INT($A215/10000),""),IFERROR(VALUE(TRIM(LEFT($A215,FIND("/",$A215)-1))),"")))</f>
        <v/>
      </c>
      <c r="C215">
        <f>IF(OR($A215="",$B215=""),"",IF(ISNUMBER($A215),INT(MOD($A215,10000)/100),IFERROR(VALUE(TRIM(LEFT(MID($A215,FIND("/",$A215)+1,20),FIND("/",MID($A215,FIND("/",$A215)+1,20))-1))),"")))</f>
        <v/>
      </c>
      <c r="D215">
        <f>IF(OR($A215="",$B215=""),"",IF(ISNUMBER($A215),MOD($A215,100),IFERROR(VALUE(TRIM(MID(MID($A215,FIND("/",$A215)+1,20),FIND("/",MID($A215,FIND("/",$A215)+1,20))+1,20))),"")))</f>
        <v/>
      </c>
      <c r="E215">
        <f>IF($A215="","",IF(OR($B215="",$C215="",$D215="",$B215&lt;1300,$B215&gt;1500,$C215&lt;1,$C215&gt;12,$D215&lt;1,$D215&gt;31),"نامعتبر",RIGHT("0000"&amp;$B215,4)&amp;"/"&amp;RIGHT("00"&amp;$C215,2)&amp;"/"&amp;RIGHT("00"&amp;$D215,2)))</f>
        <v/>
      </c>
      <c r="F215">
        <f>IF(Entry!$D215&lt;&gt;"",IF(AND(ISNUMBER(Entry!$D215),Entry!$D215&gt;=0,Entry!$D215&lt;1),RIGHT("00"&amp;HOUR(Entry!$D215),2)&amp;":"&amp;RIGHT("00"&amp;MINUTE(Entry!$D215),2),IFERROR(RIGHT("00"&amp;VALUE(TRIM(LEFT(Entry!$D215,FIND(":",Entry!$D215)-1))),2)&amp;":"&amp;RIGHT("00"&amp;VALUE(TRIM(MID(Entry!$D215,FIND(":",Entry!$D215)+1,2))),2),"نامعتبر")),IF(OR($E215="",$E215="نامعتبر"),"","00:00"))</f>
        <v/>
      </c>
      <c r="G215">
        <f>IF(OR($E215="",$E215="نامعتبر"),"",IF(Entry!$E215="","",LEFT(UPPER(TRIM(Entry!$E215)),6)))</f>
        <v/>
      </c>
      <c r="H215">
        <f>IF($G215="","",RIGHT($E215,4)&amp;MID($E215,6,2)&amp;RIGHT($E215,2)&amp;IF($F215="","0000",IF($F215="نامعتبر","9999",LEFT($F215,2)&amp;RIGHT($F215,2)))&amp;"|"&amp;RIGHT("00000"&amp;207,5))</f>
        <v/>
      </c>
      <c r="I215">
        <f>IF($H215="","",COUNTIFS(CalcBank,$G215,CalcKey,"&lt;"&amp;$H215)+1)</f>
        <v/>
      </c>
      <c r="J215">
        <f>IF($I215="","",$G215&amp;"|"&amp;RIGHT("000000"&amp;$I215,6))</f>
        <v/>
      </c>
      <c r="K215">
        <f>IF(OR($E215="",$E215="نامعتبر"),"",LEFT($E215,4)&amp;"/"&amp;MID($E215,6,2))</f>
        <v/>
      </c>
      <c r="L215">
        <f>IF(Entry!$K215="",0,Entry!$K215)</f>
        <v/>
      </c>
      <c r="M215">
        <f>IF(Entry!$L215="",0,Entry!$L215)</f>
        <v/>
      </c>
    </row>
    <row r="216">
      <c r="A216">
        <f>IF(Entry!$C216="","",Entry!$C216)</f>
        <v/>
      </c>
      <c r="B216">
        <f>IF($A216="","",IF(ISNUMBER($A216),IF(AND($A216&gt;=10000101,$A216&lt;=99991231),INT($A216/10000),""),IFERROR(VALUE(TRIM(LEFT($A216,FIND("/",$A216)-1))),"")))</f>
        <v/>
      </c>
      <c r="C216">
        <f>IF(OR($A216="",$B216=""),"",IF(ISNUMBER($A216),INT(MOD($A216,10000)/100),IFERROR(VALUE(TRIM(LEFT(MID($A216,FIND("/",$A216)+1,20),FIND("/",MID($A216,FIND("/",$A216)+1,20))-1))),"")))</f>
        <v/>
      </c>
      <c r="D216">
        <f>IF(OR($A216="",$B216=""),"",IF(ISNUMBER($A216),MOD($A216,100),IFERROR(VALUE(TRIM(MID(MID($A216,FIND("/",$A216)+1,20),FIND("/",MID($A216,FIND("/",$A216)+1,20))+1,20))),"")))</f>
        <v/>
      </c>
      <c r="E216">
        <f>IF($A216="","",IF(OR($B216="",$C216="",$D216="",$B216&lt;1300,$B216&gt;1500,$C216&lt;1,$C216&gt;12,$D216&lt;1,$D216&gt;31),"نامعتبر",RIGHT("0000"&amp;$B216,4)&amp;"/"&amp;RIGHT("00"&amp;$C216,2)&amp;"/"&amp;RIGHT("00"&amp;$D216,2)))</f>
        <v/>
      </c>
      <c r="F216">
        <f>IF(Entry!$D216&lt;&gt;"",IF(AND(ISNUMBER(Entry!$D216),Entry!$D216&gt;=0,Entry!$D216&lt;1),RIGHT("00"&amp;HOUR(Entry!$D216),2)&amp;":"&amp;RIGHT("00"&amp;MINUTE(Entry!$D216),2),IFERROR(RIGHT("00"&amp;VALUE(TRIM(LEFT(Entry!$D216,FIND(":",Entry!$D216)-1))),2)&amp;":"&amp;RIGHT("00"&amp;VALUE(TRIM(MID(Entry!$D216,FIND(":",Entry!$D216)+1,2))),2),"نامعتبر")),IF(OR($E216="",$E216="نامعتبر"),"","00:00"))</f>
        <v/>
      </c>
      <c r="G216">
        <f>IF(OR($E216="",$E216="نامعتبر"),"",IF(Entry!$E216="","",LEFT(UPPER(TRIM(Entry!$E216)),6)))</f>
        <v/>
      </c>
      <c r="H216">
        <f>IF($G216="","",RIGHT($E216,4)&amp;MID($E216,6,2)&amp;RIGHT($E216,2)&amp;IF($F216="","0000",IF($F216="نامعتبر","9999",LEFT($F216,2)&amp;RIGHT($F216,2)))&amp;"|"&amp;RIGHT("00000"&amp;208,5))</f>
        <v/>
      </c>
      <c r="I216">
        <f>IF($H216="","",COUNTIFS(CalcBank,$G216,CalcKey,"&lt;"&amp;$H216)+1)</f>
        <v/>
      </c>
      <c r="J216">
        <f>IF($I216="","",$G216&amp;"|"&amp;RIGHT("000000"&amp;$I216,6))</f>
        <v/>
      </c>
      <c r="K216">
        <f>IF(OR($E216="",$E216="نامعتبر"),"",LEFT($E216,4)&amp;"/"&amp;MID($E216,6,2))</f>
        <v/>
      </c>
      <c r="L216">
        <f>IF(Entry!$K216="",0,Entry!$K216)</f>
        <v/>
      </c>
      <c r="M216">
        <f>IF(Entry!$L216="",0,Entry!$L216)</f>
        <v/>
      </c>
    </row>
    <row r="217">
      <c r="A217">
        <f>IF(Entry!$C217="","",Entry!$C217)</f>
        <v/>
      </c>
      <c r="B217">
        <f>IF($A217="","",IF(ISNUMBER($A217),IF(AND($A217&gt;=10000101,$A217&lt;=99991231),INT($A217/10000),""),IFERROR(VALUE(TRIM(LEFT($A217,FIND("/",$A217)-1))),"")))</f>
        <v/>
      </c>
      <c r="C217">
        <f>IF(OR($A217="",$B217=""),"",IF(ISNUMBER($A217),INT(MOD($A217,10000)/100),IFERROR(VALUE(TRIM(LEFT(MID($A217,FIND("/",$A217)+1,20),FIND("/",MID($A217,FIND("/",$A217)+1,20))-1))),"")))</f>
        <v/>
      </c>
      <c r="D217">
        <f>IF(OR($A217="",$B217=""),"",IF(ISNUMBER($A217),MOD($A217,100),IFERROR(VALUE(TRIM(MID(MID($A217,FIND("/",$A217)+1,20),FIND("/",MID($A217,FIND("/",$A217)+1,20))+1,20))),"")))</f>
        <v/>
      </c>
      <c r="E217">
        <f>IF($A217="","",IF(OR($B217="",$C217="",$D217="",$B217&lt;1300,$B217&gt;1500,$C217&lt;1,$C217&gt;12,$D217&lt;1,$D217&gt;31),"نامعتبر",RIGHT("0000"&amp;$B217,4)&amp;"/"&amp;RIGHT("00"&amp;$C217,2)&amp;"/"&amp;RIGHT("00"&amp;$D217,2)))</f>
        <v/>
      </c>
      <c r="F217">
        <f>IF(Entry!$D217&lt;&gt;"",IF(AND(ISNUMBER(Entry!$D217),Entry!$D217&gt;=0,Entry!$D217&lt;1),RIGHT("00"&amp;HOUR(Entry!$D217),2)&amp;":"&amp;RIGHT("00"&amp;MINUTE(Entry!$D217),2),IFERROR(RIGHT("00"&amp;VALUE(TRIM(LEFT(Entry!$D217,FIND(":",Entry!$D217)-1))),2)&amp;":"&amp;RIGHT("00"&amp;VALUE(TRIM(MID(Entry!$D217,FIND(":",Entry!$D217)+1,2))),2),"نامعتبر")),IF(OR($E217="",$E217="نامعتبر"),"","00:00"))</f>
        <v/>
      </c>
      <c r="G217">
        <f>IF(OR($E217="",$E217="نامعتبر"),"",IF(Entry!$E217="","",LEFT(UPPER(TRIM(Entry!$E217)),6)))</f>
        <v/>
      </c>
      <c r="H217">
        <f>IF($G217="","",RIGHT($E217,4)&amp;MID($E217,6,2)&amp;RIGHT($E217,2)&amp;IF($F217="","0000",IF($F217="نامعتبر","9999",LEFT($F217,2)&amp;RIGHT($F217,2)))&amp;"|"&amp;RIGHT("00000"&amp;209,5))</f>
        <v/>
      </c>
      <c r="I217">
        <f>IF($H217="","",COUNTIFS(CalcBank,$G217,CalcKey,"&lt;"&amp;$H217)+1)</f>
        <v/>
      </c>
      <c r="J217">
        <f>IF($I217="","",$G217&amp;"|"&amp;RIGHT("000000"&amp;$I217,6))</f>
        <v/>
      </c>
      <c r="K217">
        <f>IF(OR($E217="",$E217="نامعتبر"),"",LEFT($E217,4)&amp;"/"&amp;MID($E217,6,2))</f>
        <v/>
      </c>
      <c r="L217">
        <f>IF(Entry!$K217="",0,Entry!$K217)</f>
        <v/>
      </c>
      <c r="M217">
        <f>IF(Entry!$L217="",0,Entry!$L217)</f>
        <v/>
      </c>
    </row>
    <row r="218">
      <c r="A218">
        <f>IF(Entry!$C218="","",Entry!$C218)</f>
        <v/>
      </c>
      <c r="B218">
        <f>IF($A218="","",IF(ISNUMBER($A218),IF(AND($A218&gt;=10000101,$A218&lt;=99991231),INT($A218/10000),""),IFERROR(VALUE(TRIM(LEFT($A218,FIND("/",$A218)-1))),"")))</f>
        <v/>
      </c>
      <c r="C218">
        <f>IF(OR($A218="",$B218=""),"",IF(ISNUMBER($A218),INT(MOD($A218,10000)/100),IFERROR(VALUE(TRIM(LEFT(MID($A218,FIND("/",$A218)+1,20),FIND("/",MID($A218,FIND("/",$A218)+1,20))-1))),"")))</f>
        <v/>
      </c>
      <c r="D218">
        <f>IF(OR($A218="",$B218=""),"",IF(ISNUMBER($A218),MOD($A218,100),IFERROR(VALUE(TRIM(MID(MID($A218,FIND("/",$A218)+1,20),FIND("/",MID($A218,FIND("/",$A218)+1,20))+1,20))),"")))</f>
        <v/>
      </c>
      <c r="E218">
        <f>IF($A218="","",IF(OR($B218="",$C218="",$D218="",$B218&lt;1300,$B218&gt;1500,$C218&lt;1,$C218&gt;12,$D218&lt;1,$D218&gt;31),"نامعتبر",RIGHT("0000"&amp;$B218,4)&amp;"/"&amp;RIGHT("00"&amp;$C218,2)&amp;"/"&amp;RIGHT("00"&amp;$D218,2)))</f>
        <v/>
      </c>
      <c r="F218">
        <f>IF(Entry!$D218&lt;&gt;"",IF(AND(ISNUMBER(Entry!$D218),Entry!$D218&gt;=0,Entry!$D218&lt;1),RIGHT("00"&amp;HOUR(Entry!$D218),2)&amp;":"&amp;RIGHT("00"&amp;MINUTE(Entry!$D218),2),IFERROR(RIGHT("00"&amp;VALUE(TRIM(LEFT(Entry!$D218,FIND(":",Entry!$D218)-1))),2)&amp;":"&amp;RIGHT("00"&amp;VALUE(TRIM(MID(Entry!$D218,FIND(":",Entry!$D218)+1,2))),2),"نامعتبر")),IF(OR($E218="",$E218="نامعتبر"),"","00:00"))</f>
        <v/>
      </c>
      <c r="G218">
        <f>IF(OR($E218="",$E218="نامعتبر"),"",IF(Entry!$E218="","",LEFT(UPPER(TRIM(Entry!$E218)),6)))</f>
        <v/>
      </c>
      <c r="H218">
        <f>IF($G218="","",RIGHT($E218,4)&amp;MID($E218,6,2)&amp;RIGHT($E218,2)&amp;IF($F218="","0000",IF($F218="نامعتبر","9999",LEFT($F218,2)&amp;RIGHT($F218,2)))&amp;"|"&amp;RIGHT("00000"&amp;210,5))</f>
        <v/>
      </c>
      <c r="I218">
        <f>IF($H218="","",COUNTIFS(CalcBank,$G218,CalcKey,"&lt;"&amp;$H218)+1)</f>
        <v/>
      </c>
      <c r="J218">
        <f>IF($I218="","",$G218&amp;"|"&amp;RIGHT("000000"&amp;$I218,6))</f>
        <v/>
      </c>
      <c r="K218">
        <f>IF(OR($E218="",$E218="نامعتبر"),"",LEFT($E218,4)&amp;"/"&amp;MID($E218,6,2))</f>
        <v/>
      </c>
      <c r="L218">
        <f>IF(Entry!$K218="",0,Entry!$K218)</f>
        <v/>
      </c>
      <c r="M218">
        <f>IF(Entry!$L218="",0,Entry!$L218)</f>
        <v/>
      </c>
    </row>
    <row r="219">
      <c r="A219">
        <f>IF(Entry!$C219="","",Entry!$C219)</f>
        <v/>
      </c>
      <c r="B219">
        <f>IF($A219="","",IF(ISNUMBER($A219),IF(AND($A219&gt;=10000101,$A219&lt;=99991231),INT($A219/10000),""),IFERROR(VALUE(TRIM(LEFT($A219,FIND("/",$A219)-1))),"")))</f>
        <v/>
      </c>
      <c r="C219">
        <f>IF(OR($A219="",$B219=""),"",IF(ISNUMBER($A219),INT(MOD($A219,10000)/100),IFERROR(VALUE(TRIM(LEFT(MID($A219,FIND("/",$A219)+1,20),FIND("/",MID($A219,FIND("/",$A219)+1,20))-1))),"")))</f>
        <v/>
      </c>
      <c r="D219">
        <f>IF(OR($A219="",$B219=""),"",IF(ISNUMBER($A219),MOD($A219,100),IFERROR(VALUE(TRIM(MID(MID($A219,FIND("/",$A219)+1,20),FIND("/",MID($A219,FIND("/",$A219)+1,20))+1,20))),"")))</f>
        <v/>
      </c>
      <c r="E219">
        <f>IF($A219="","",IF(OR($B219="",$C219="",$D219="",$B219&lt;1300,$B219&gt;1500,$C219&lt;1,$C219&gt;12,$D219&lt;1,$D219&gt;31),"نامعتبر",RIGHT("0000"&amp;$B219,4)&amp;"/"&amp;RIGHT("00"&amp;$C219,2)&amp;"/"&amp;RIGHT("00"&amp;$D219,2)))</f>
        <v/>
      </c>
      <c r="F219">
        <f>IF(Entry!$D219&lt;&gt;"",IF(AND(ISNUMBER(Entry!$D219),Entry!$D219&gt;=0,Entry!$D219&lt;1),RIGHT("00"&amp;HOUR(Entry!$D219),2)&amp;":"&amp;RIGHT("00"&amp;MINUTE(Entry!$D219),2),IFERROR(RIGHT("00"&amp;VALUE(TRIM(LEFT(Entry!$D219,FIND(":",Entry!$D219)-1))),2)&amp;":"&amp;RIGHT("00"&amp;VALUE(TRIM(MID(Entry!$D219,FIND(":",Entry!$D219)+1,2))),2),"نامعتبر")),IF(OR($E219="",$E219="نامعتبر"),"","00:00"))</f>
        <v/>
      </c>
      <c r="G219">
        <f>IF(OR($E219="",$E219="نامعتبر"),"",IF(Entry!$E219="","",LEFT(UPPER(TRIM(Entry!$E219)),6)))</f>
        <v/>
      </c>
      <c r="H219">
        <f>IF($G219="","",RIGHT($E219,4)&amp;MID($E219,6,2)&amp;RIGHT($E219,2)&amp;IF($F219="","0000",IF($F219="نامعتبر","9999",LEFT($F219,2)&amp;RIGHT($F219,2)))&amp;"|"&amp;RIGHT("00000"&amp;211,5))</f>
        <v/>
      </c>
      <c r="I219">
        <f>IF($H219="","",COUNTIFS(CalcBank,$G219,CalcKey,"&lt;"&amp;$H219)+1)</f>
        <v/>
      </c>
      <c r="J219">
        <f>IF($I219="","",$G219&amp;"|"&amp;RIGHT("000000"&amp;$I219,6))</f>
        <v/>
      </c>
      <c r="K219">
        <f>IF(OR($E219="",$E219="نامعتبر"),"",LEFT($E219,4)&amp;"/"&amp;MID($E219,6,2))</f>
        <v/>
      </c>
      <c r="L219">
        <f>IF(Entry!$K219="",0,Entry!$K219)</f>
        <v/>
      </c>
      <c r="M219">
        <f>IF(Entry!$L219="",0,Entry!$L219)</f>
        <v/>
      </c>
    </row>
    <row r="220">
      <c r="A220">
        <f>IF(Entry!$C220="","",Entry!$C220)</f>
        <v/>
      </c>
      <c r="B220">
        <f>IF($A220="","",IF(ISNUMBER($A220),IF(AND($A220&gt;=10000101,$A220&lt;=99991231),INT($A220/10000),""),IFERROR(VALUE(TRIM(LEFT($A220,FIND("/",$A220)-1))),"")))</f>
        <v/>
      </c>
      <c r="C220">
        <f>IF(OR($A220="",$B220=""),"",IF(ISNUMBER($A220),INT(MOD($A220,10000)/100),IFERROR(VALUE(TRIM(LEFT(MID($A220,FIND("/",$A220)+1,20),FIND("/",MID($A220,FIND("/",$A220)+1,20))-1))),"")))</f>
        <v/>
      </c>
      <c r="D220">
        <f>IF(OR($A220="",$B220=""),"",IF(ISNUMBER($A220),MOD($A220,100),IFERROR(VALUE(TRIM(MID(MID($A220,FIND("/",$A220)+1,20),FIND("/",MID($A220,FIND("/",$A220)+1,20))+1,20))),"")))</f>
        <v/>
      </c>
      <c r="E220">
        <f>IF($A220="","",IF(OR($B220="",$C220="",$D220="",$B220&lt;1300,$B220&gt;1500,$C220&lt;1,$C220&gt;12,$D220&lt;1,$D220&gt;31),"نامعتبر",RIGHT("0000"&amp;$B220,4)&amp;"/"&amp;RIGHT("00"&amp;$C220,2)&amp;"/"&amp;RIGHT("00"&amp;$D220,2)))</f>
        <v/>
      </c>
      <c r="F220">
        <f>IF(Entry!$D220&lt;&gt;"",IF(AND(ISNUMBER(Entry!$D220),Entry!$D220&gt;=0,Entry!$D220&lt;1),RIGHT("00"&amp;HOUR(Entry!$D220),2)&amp;":"&amp;RIGHT("00"&amp;MINUTE(Entry!$D220),2),IFERROR(RIGHT("00"&amp;VALUE(TRIM(LEFT(Entry!$D220,FIND(":",Entry!$D220)-1))),2)&amp;":"&amp;RIGHT("00"&amp;VALUE(TRIM(MID(Entry!$D220,FIND(":",Entry!$D220)+1,2))),2),"نامعتبر")),IF(OR($E220="",$E220="نامعتبر"),"","00:00"))</f>
        <v/>
      </c>
      <c r="G220">
        <f>IF(OR($E220="",$E220="نامعتبر"),"",IF(Entry!$E220="","",LEFT(UPPER(TRIM(Entry!$E220)),6)))</f>
        <v/>
      </c>
      <c r="H220">
        <f>IF($G220="","",RIGHT($E220,4)&amp;MID($E220,6,2)&amp;RIGHT($E220,2)&amp;IF($F220="","0000",IF($F220="نامعتبر","9999",LEFT($F220,2)&amp;RIGHT($F220,2)))&amp;"|"&amp;RIGHT("00000"&amp;212,5))</f>
        <v/>
      </c>
      <c r="I220">
        <f>IF($H220="","",COUNTIFS(CalcBank,$G220,CalcKey,"&lt;"&amp;$H220)+1)</f>
        <v/>
      </c>
      <c r="J220">
        <f>IF($I220="","",$G220&amp;"|"&amp;RIGHT("000000"&amp;$I220,6))</f>
        <v/>
      </c>
      <c r="K220">
        <f>IF(OR($E220="",$E220="نامعتبر"),"",LEFT($E220,4)&amp;"/"&amp;MID($E220,6,2))</f>
        <v/>
      </c>
      <c r="L220">
        <f>IF(Entry!$K220="",0,Entry!$K220)</f>
        <v/>
      </c>
      <c r="M220">
        <f>IF(Entry!$L220="",0,Entry!$L220)</f>
        <v/>
      </c>
    </row>
    <row r="221">
      <c r="A221">
        <f>IF(Entry!$C221="","",Entry!$C221)</f>
        <v/>
      </c>
      <c r="B221">
        <f>IF($A221="","",IF(ISNUMBER($A221),IF(AND($A221&gt;=10000101,$A221&lt;=99991231),INT($A221/10000),""),IFERROR(VALUE(TRIM(LEFT($A221,FIND("/",$A221)-1))),"")))</f>
        <v/>
      </c>
      <c r="C221">
        <f>IF(OR($A221="",$B221=""),"",IF(ISNUMBER($A221),INT(MOD($A221,10000)/100),IFERROR(VALUE(TRIM(LEFT(MID($A221,FIND("/",$A221)+1,20),FIND("/",MID($A221,FIND("/",$A221)+1,20))-1))),"")))</f>
        <v/>
      </c>
      <c r="D221">
        <f>IF(OR($A221="",$B221=""),"",IF(ISNUMBER($A221),MOD($A221,100),IFERROR(VALUE(TRIM(MID(MID($A221,FIND("/",$A221)+1,20),FIND("/",MID($A221,FIND("/",$A221)+1,20))+1,20))),"")))</f>
        <v/>
      </c>
      <c r="E221">
        <f>IF($A221="","",IF(OR($B221="",$C221="",$D221="",$B221&lt;1300,$B221&gt;1500,$C221&lt;1,$C221&gt;12,$D221&lt;1,$D221&gt;31),"نامعتبر",RIGHT("0000"&amp;$B221,4)&amp;"/"&amp;RIGHT("00"&amp;$C221,2)&amp;"/"&amp;RIGHT("00"&amp;$D221,2)))</f>
        <v/>
      </c>
      <c r="F221">
        <f>IF(Entry!$D221&lt;&gt;"",IF(AND(ISNUMBER(Entry!$D221),Entry!$D221&gt;=0,Entry!$D221&lt;1),RIGHT("00"&amp;HOUR(Entry!$D221),2)&amp;":"&amp;RIGHT("00"&amp;MINUTE(Entry!$D221),2),IFERROR(RIGHT("00"&amp;VALUE(TRIM(LEFT(Entry!$D221,FIND(":",Entry!$D221)-1))),2)&amp;":"&amp;RIGHT("00"&amp;VALUE(TRIM(MID(Entry!$D221,FIND(":",Entry!$D221)+1,2))),2),"نامعتبر")),IF(OR($E221="",$E221="نامعتبر"),"","00:00"))</f>
        <v/>
      </c>
      <c r="G221">
        <f>IF(OR($E221="",$E221="نامعتبر"),"",IF(Entry!$E221="","",LEFT(UPPER(TRIM(Entry!$E221)),6)))</f>
        <v/>
      </c>
      <c r="H221">
        <f>IF($G221="","",RIGHT($E221,4)&amp;MID($E221,6,2)&amp;RIGHT($E221,2)&amp;IF($F221="","0000",IF($F221="نامعتبر","9999",LEFT($F221,2)&amp;RIGHT($F221,2)))&amp;"|"&amp;RIGHT("00000"&amp;213,5))</f>
        <v/>
      </c>
      <c r="I221">
        <f>IF($H221="","",COUNTIFS(CalcBank,$G221,CalcKey,"&lt;"&amp;$H221)+1)</f>
        <v/>
      </c>
      <c r="J221">
        <f>IF($I221="","",$G221&amp;"|"&amp;RIGHT("000000"&amp;$I221,6))</f>
        <v/>
      </c>
      <c r="K221">
        <f>IF(OR($E221="",$E221="نامعتبر"),"",LEFT($E221,4)&amp;"/"&amp;MID($E221,6,2))</f>
        <v/>
      </c>
      <c r="L221">
        <f>IF(Entry!$K221="",0,Entry!$K221)</f>
        <v/>
      </c>
      <c r="M221">
        <f>IF(Entry!$L221="",0,Entry!$L221)</f>
        <v/>
      </c>
    </row>
    <row r="222">
      <c r="A222">
        <f>IF(Entry!$C222="","",Entry!$C222)</f>
        <v/>
      </c>
      <c r="B222">
        <f>IF($A222="","",IF(ISNUMBER($A222),IF(AND($A222&gt;=10000101,$A222&lt;=99991231),INT($A222/10000),""),IFERROR(VALUE(TRIM(LEFT($A222,FIND("/",$A222)-1))),"")))</f>
        <v/>
      </c>
      <c r="C222">
        <f>IF(OR($A222="",$B222=""),"",IF(ISNUMBER($A222),INT(MOD($A222,10000)/100),IFERROR(VALUE(TRIM(LEFT(MID($A222,FIND("/",$A222)+1,20),FIND("/",MID($A222,FIND("/",$A222)+1,20))-1))),"")))</f>
        <v/>
      </c>
      <c r="D222">
        <f>IF(OR($A222="",$B222=""),"",IF(ISNUMBER($A222),MOD($A222,100),IFERROR(VALUE(TRIM(MID(MID($A222,FIND("/",$A222)+1,20),FIND("/",MID($A222,FIND("/",$A222)+1,20))+1,20))),"")))</f>
        <v/>
      </c>
      <c r="E222">
        <f>IF($A222="","",IF(OR($B222="",$C222="",$D222="",$B222&lt;1300,$B222&gt;1500,$C222&lt;1,$C222&gt;12,$D222&lt;1,$D222&gt;31),"نامعتبر",RIGHT("0000"&amp;$B222,4)&amp;"/"&amp;RIGHT("00"&amp;$C222,2)&amp;"/"&amp;RIGHT("00"&amp;$D222,2)))</f>
        <v/>
      </c>
      <c r="F222">
        <f>IF(Entry!$D222&lt;&gt;"",IF(AND(ISNUMBER(Entry!$D222),Entry!$D222&gt;=0,Entry!$D222&lt;1),RIGHT("00"&amp;HOUR(Entry!$D222),2)&amp;":"&amp;RIGHT("00"&amp;MINUTE(Entry!$D222),2),IFERROR(RIGHT("00"&amp;VALUE(TRIM(LEFT(Entry!$D222,FIND(":",Entry!$D222)-1))),2)&amp;":"&amp;RIGHT("00"&amp;VALUE(TRIM(MID(Entry!$D222,FIND(":",Entry!$D222)+1,2))),2),"نامعتبر")),IF(OR($E222="",$E222="نامعتبر"),"","00:00"))</f>
        <v/>
      </c>
      <c r="G222">
        <f>IF(OR($E222="",$E222="نامعتبر"),"",IF(Entry!$E222="","",LEFT(UPPER(TRIM(Entry!$E222)),6)))</f>
        <v/>
      </c>
      <c r="H222">
        <f>IF($G222="","",RIGHT($E222,4)&amp;MID($E222,6,2)&amp;RIGHT($E222,2)&amp;IF($F222="","0000",IF($F222="نامعتبر","9999",LEFT($F222,2)&amp;RIGHT($F222,2)))&amp;"|"&amp;RIGHT("00000"&amp;214,5))</f>
        <v/>
      </c>
      <c r="I222">
        <f>IF($H222="","",COUNTIFS(CalcBank,$G222,CalcKey,"&lt;"&amp;$H222)+1)</f>
        <v/>
      </c>
      <c r="J222">
        <f>IF($I222="","",$G222&amp;"|"&amp;RIGHT("000000"&amp;$I222,6))</f>
        <v/>
      </c>
      <c r="K222">
        <f>IF(OR($E222="",$E222="نامعتبر"),"",LEFT($E222,4)&amp;"/"&amp;MID($E222,6,2))</f>
        <v/>
      </c>
      <c r="L222">
        <f>IF(Entry!$K222="",0,Entry!$K222)</f>
        <v/>
      </c>
      <c r="M222">
        <f>IF(Entry!$L222="",0,Entry!$L222)</f>
        <v/>
      </c>
    </row>
    <row r="223">
      <c r="A223">
        <f>IF(Entry!$C223="","",Entry!$C223)</f>
        <v/>
      </c>
      <c r="B223">
        <f>IF($A223="","",IF(ISNUMBER($A223),IF(AND($A223&gt;=10000101,$A223&lt;=99991231),INT($A223/10000),""),IFERROR(VALUE(TRIM(LEFT($A223,FIND("/",$A223)-1))),"")))</f>
        <v/>
      </c>
      <c r="C223">
        <f>IF(OR($A223="",$B223=""),"",IF(ISNUMBER($A223),INT(MOD($A223,10000)/100),IFERROR(VALUE(TRIM(LEFT(MID($A223,FIND("/",$A223)+1,20),FIND("/",MID($A223,FIND("/",$A223)+1,20))-1))),"")))</f>
        <v/>
      </c>
      <c r="D223">
        <f>IF(OR($A223="",$B223=""),"",IF(ISNUMBER($A223),MOD($A223,100),IFERROR(VALUE(TRIM(MID(MID($A223,FIND("/",$A223)+1,20),FIND("/",MID($A223,FIND("/",$A223)+1,20))+1,20))),"")))</f>
        <v/>
      </c>
      <c r="E223">
        <f>IF($A223="","",IF(OR($B223="",$C223="",$D223="",$B223&lt;1300,$B223&gt;1500,$C223&lt;1,$C223&gt;12,$D223&lt;1,$D223&gt;31),"نامعتبر",RIGHT("0000"&amp;$B223,4)&amp;"/"&amp;RIGHT("00"&amp;$C223,2)&amp;"/"&amp;RIGHT("00"&amp;$D223,2)))</f>
        <v/>
      </c>
      <c r="F223">
        <f>IF(Entry!$D223&lt;&gt;"",IF(AND(ISNUMBER(Entry!$D223),Entry!$D223&gt;=0,Entry!$D223&lt;1),RIGHT("00"&amp;HOUR(Entry!$D223),2)&amp;":"&amp;RIGHT("00"&amp;MINUTE(Entry!$D223),2),IFERROR(RIGHT("00"&amp;VALUE(TRIM(LEFT(Entry!$D223,FIND(":",Entry!$D223)-1))),2)&amp;":"&amp;RIGHT("00"&amp;VALUE(TRIM(MID(Entry!$D223,FIND(":",Entry!$D223)+1,2))),2),"نامعتبر")),IF(OR($E223="",$E223="نامعتبر"),"","00:00"))</f>
        <v/>
      </c>
      <c r="G223">
        <f>IF(OR($E223="",$E223="نامعتبر"),"",IF(Entry!$E223="","",LEFT(UPPER(TRIM(Entry!$E223)),6)))</f>
        <v/>
      </c>
      <c r="H223">
        <f>IF($G223="","",RIGHT($E223,4)&amp;MID($E223,6,2)&amp;RIGHT($E223,2)&amp;IF($F223="","0000",IF($F223="نامعتبر","9999",LEFT($F223,2)&amp;RIGHT($F223,2)))&amp;"|"&amp;RIGHT("00000"&amp;215,5))</f>
        <v/>
      </c>
      <c r="I223">
        <f>IF($H223="","",COUNTIFS(CalcBank,$G223,CalcKey,"&lt;"&amp;$H223)+1)</f>
        <v/>
      </c>
      <c r="J223">
        <f>IF($I223="","",$G223&amp;"|"&amp;RIGHT("000000"&amp;$I223,6))</f>
        <v/>
      </c>
      <c r="K223">
        <f>IF(OR($E223="",$E223="نامعتبر"),"",LEFT($E223,4)&amp;"/"&amp;MID($E223,6,2))</f>
        <v/>
      </c>
      <c r="L223">
        <f>IF(Entry!$K223="",0,Entry!$K223)</f>
        <v/>
      </c>
      <c r="M223">
        <f>IF(Entry!$L223="",0,Entry!$L223)</f>
        <v/>
      </c>
    </row>
    <row r="224">
      <c r="A224">
        <f>IF(Entry!$C224="","",Entry!$C224)</f>
        <v/>
      </c>
      <c r="B224">
        <f>IF($A224="","",IF(ISNUMBER($A224),IF(AND($A224&gt;=10000101,$A224&lt;=99991231),INT($A224/10000),""),IFERROR(VALUE(TRIM(LEFT($A224,FIND("/",$A224)-1))),"")))</f>
        <v/>
      </c>
      <c r="C224">
        <f>IF(OR($A224="",$B224=""),"",IF(ISNUMBER($A224),INT(MOD($A224,10000)/100),IFERROR(VALUE(TRIM(LEFT(MID($A224,FIND("/",$A224)+1,20),FIND("/",MID($A224,FIND("/",$A224)+1,20))-1))),"")))</f>
        <v/>
      </c>
      <c r="D224">
        <f>IF(OR($A224="",$B224=""),"",IF(ISNUMBER($A224),MOD($A224,100),IFERROR(VALUE(TRIM(MID(MID($A224,FIND("/",$A224)+1,20),FIND("/",MID($A224,FIND("/",$A224)+1,20))+1,20))),"")))</f>
        <v/>
      </c>
      <c r="E224">
        <f>IF($A224="","",IF(OR($B224="",$C224="",$D224="",$B224&lt;1300,$B224&gt;1500,$C224&lt;1,$C224&gt;12,$D224&lt;1,$D224&gt;31),"نامعتبر",RIGHT("0000"&amp;$B224,4)&amp;"/"&amp;RIGHT("00"&amp;$C224,2)&amp;"/"&amp;RIGHT("00"&amp;$D224,2)))</f>
        <v/>
      </c>
      <c r="F224">
        <f>IF(Entry!$D224&lt;&gt;"",IF(AND(ISNUMBER(Entry!$D224),Entry!$D224&gt;=0,Entry!$D224&lt;1),RIGHT("00"&amp;HOUR(Entry!$D224),2)&amp;":"&amp;RIGHT("00"&amp;MINUTE(Entry!$D224),2),IFERROR(RIGHT("00"&amp;VALUE(TRIM(LEFT(Entry!$D224,FIND(":",Entry!$D224)-1))),2)&amp;":"&amp;RIGHT("00"&amp;VALUE(TRIM(MID(Entry!$D224,FIND(":",Entry!$D224)+1,2))),2),"نامعتبر")),IF(OR($E224="",$E224="نامعتبر"),"","00:00"))</f>
        <v/>
      </c>
      <c r="G224">
        <f>IF(OR($E224="",$E224="نامعتبر"),"",IF(Entry!$E224="","",LEFT(UPPER(TRIM(Entry!$E224)),6)))</f>
        <v/>
      </c>
      <c r="H224">
        <f>IF($G224="","",RIGHT($E224,4)&amp;MID($E224,6,2)&amp;RIGHT($E224,2)&amp;IF($F224="","0000",IF($F224="نامعتبر","9999",LEFT($F224,2)&amp;RIGHT($F224,2)))&amp;"|"&amp;RIGHT("00000"&amp;216,5))</f>
        <v/>
      </c>
      <c r="I224">
        <f>IF($H224="","",COUNTIFS(CalcBank,$G224,CalcKey,"&lt;"&amp;$H224)+1)</f>
        <v/>
      </c>
      <c r="J224">
        <f>IF($I224="","",$G224&amp;"|"&amp;RIGHT("000000"&amp;$I224,6))</f>
        <v/>
      </c>
      <c r="K224">
        <f>IF(OR($E224="",$E224="نامعتبر"),"",LEFT($E224,4)&amp;"/"&amp;MID($E224,6,2))</f>
        <v/>
      </c>
      <c r="L224">
        <f>IF(Entry!$K224="",0,Entry!$K224)</f>
        <v/>
      </c>
      <c r="M224">
        <f>IF(Entry!$L224="",0,Entry!$L224)</f>
        <v/>
      </c>
    </row>
    <row r="225">
      <c r="A225">
        <f>IF(Entry!$C225="","",Entry!$C225)</f>
        <v/>
      </c>
      <c r="B225">
        <f>IF($A225="","",IF(ISNUMBER($A225),IF(AND($A225&gt;=10000101,$A225&lt;=99991231),INT($A225/10000),""),IFERROR(VALUE(TRIM(LEFT($A225,FIND("/",$A225)-1))),"")))</f>
        <v/>
      </c>
      <c r="C225">
        <f>IF(OR($A225="",$B225=""),"",IF(ISNUMBER($A225),INT(MOD($A225,10000)/100),IFERROR(VALUE(TRIM(LEFT(MID($A225,FIND("/",$A225)+1,20),FIND("/",MID($A225,FIND("/",$A225)+1,20))-1))),"")))</f>
        <v/>
      </c>
      <c r="D225">
        <f>IF(OR($A225="",$B225=""),"",IF(ISNUMBER($A225),MOD($A225,100),IFERROR(VALUE(TRIM(MID(MID($A225,FIND("/",$A225)+1,20),FIND("/",MID($A225,FIND("/",$A225)+1,20))+1,20))),"")))</f>
        <v/>
      </c>
      <c r="E225">
        <f>IF($A225="","",IF(OR($B225="",$C225="",$D225="",$B225&lt;1300,$B225&gt;1500,$C225&lt;1,$C225&gt;12,$D225&lt;1,$D225&gt;31),"نامعتبر",RIGHT("0000"&amp;$B225,4)&amp;"/"&amp;RIGHT("00"&amp;$C225,2)&amp;"/"&amp;RIGHT("00"&amp;$D225,2)))</f>
        <v/>
      </c>
      <c r="F225">
        <f>IF(Entry!$D225&lt;&gt;"",IF(AND(ISNUMBER(Entry!$D225),Entry!$D225&gt;=0,Entry!$D225&lt;1),RIGHT("00"&amp;HOUR(Entry!$D225),2)&amp;":"&amp;RIGHT("00"&amp;MINUTE(Entry!$D225),2),IFERROR(RIGHT("00"&amp;VALUE(TRIM(LEFT(Entry!$D225,FIND(":",Entry!$D225)-1))),2)&amp;":"&amp;RIGHT("00"&amp;VALUE(TRIM(MID(Entry!$D225,FIND(":",Entry!$D225)+1,2))),2),"نامعتبر")),IF(OR($E225="",$E225="نامعتبر"),"","00:00"))</f>
        <v/>
      </c>
      <c r="G225">
        <f>IF(OR($E225="",$E225="نامعتبر"),"",IF(Entry!$E225="","",LEFT(UPPER(TRIM(Entry!$E225)),6)))</f>
        <v/>
      </c>
      <c r="H225">
        <f>IF($G225="","",RIGHT($E225,4)&amp;MID($E225,6,2)&amp;RIGHT($E225,2)&amp;IF($F225="","0000",IF($F225="نامعتبر","9999",LEFT($F225,2)&amp;RIGHT($F225,2)))&amp;"|"&amp;RIGHT("00000"&amp;217,5))</f>
        <v/>
      </c>
      <c r="I225">
        <f>IF($H225="","",COUNTIFS(CalcBank,$G225,CalcKey,"&lt;"&amp;$H225)+1)</f>
        <v/>
      </c>
      <c r="J225">
        <f>IF($I225="","",$G225&amp;"|"&amp;RIGHT("000000"&amp;$I225,6))</f>
        <v/>
      </c>
      <c r="K225">
        <f>IF(OR($E225="",$E225="نامعتبر"),"",LEFT($E225,4)&amp;"/"&amp;MID($E225,6,2))</f>
        <v/>
      </c>
      <c r="L225">
        <f>IF(Entry!$K225="",0,Entry!$K225)</f>
        <v/>
      </c>
      <c r="M225">
        <f>IF(Entry!$L225="",0,Entry!$L225)</f>
        <v/>
      </c>
    </row>
    <row r="226">
      <c r="A226">
        <f>IF(Entry!$C226="","",Entry!$C226)</f>
        <v/>
      </c>
      <c r="B226">
        <f>IF($A226="","",IF(ISNUMBER($A226),IF(AND($A226&gt;=10000101,$A226&lt;=99991231),INT($A226/10000),""),IFERROR(VALUE(TRIM(LEFT($A226,FIND("/",$A226)-1))),"")))</f>
        <v/>
      </c>
      <c r="C226">
        <f>IF(OR($A226="",$B226=""),"",IF(ISNUMBER($A226),INT(MOD($A226,10000)/100),IFERROR(VALUE(TRIM(LEFT(MID($A226,FIND("/",$A226)+1,20),FIND("/",MID($A226,FIND("/",$A226)+1,20))-1))),"")))</f>
        <v/>
      </c>
      <c r="D226">
        <f>IF(OR($A226="",$B226=""),"",IF(ISNUMBER($A226),MOD($A226,100),IFERROR(VALUE(TRIM(MID(MID($A226,FIND("/",$A226)+1,20),FIND("/",MID($A226,FIND("/",$A226)+1,20))+1,20))),"")))</f>
        <v/>
      </c>
      <c r="E226">
        <f>IF($A226="","",IF(OR($B226="",$C226="",$D226="",$B226&lt;1300,$B226&gt;1500,$C226&lt;1,$C226&gt;12,$D226&lt;1,$D226&gt;31),"نامعتبر",RIGHT("0000"&amp;$B226,4)&amp;"/"&amp;RIGHT("00"&amp;$C226,2)&amp;"/"&amp;RIGHT("00"&amp;$D226,2)))</f>
        <v/>
      </c>
      <c r="F226">
        <f>IF(Entry!$D226&lt;&gt;"",IF(AND(ISNUMBER(Entry!$D226),Entry!$D226&gt;=0,Entry!$D226&lt;1),RIGHT("00"&amp;HOUR(Entry!$D226),2)&amp;":"&amp;RIGHT("00"&amp;MINUTE(Entry!$D226),2),IFERROR(RIGHT("00"&amp;VALUE(TRIM(LEFT(Entry!$D226,FIND(":",Entry!$D226)-1))),2)&amp;":"&amp;RIGHT("00"&amp;VALUE(TRIM(MID(Entry!$D226,FIND(":",Entry!$D226)+1,2))),2),"نامعتبر")),IF(OR($E226="",$E226="نامعتبر"),"","00:00"))</f>
        <v/>
      </c>
      <c r="G226">
        <f>IF(OR($E226="",$E226="نامعتبر"),"",IF(Entry!$E226="","",LEFT(UPPER(TRIM(Entry!$E226)),6)))</f>
        <v/>
      </c>
      <c r="H226">
        <f>IF($G226="","",RIGHT($E226,4)&amp;MID($E226,6,2)&amp;RIGHT($E226,2)&amp;IF($F226="","0000",IF($F226="نامعتبر","9999",LEFT($F226,2)&amp;RIGHT($F226,2)))&amp;"|"&amp;RIGHT("00000"&amp;218,5))</f>
        <v/>
      </c>
      <c r="I226">
        <f>IF($H226="","",COUNTIFS(CalcBank,$G226,CalcKey,"&lt;"&amp;$H226)+1)</f>
        <v/>
      </c>
      <c r="J226">
        <f>IF($I226="","",$G226&amp;"|"&amp;RIGHT("000000"&amp;$I226,6))</f>
        <v/>
      </c>
      <c r="K226">
        <f>IF(OR($E226="",$E226="نامعتبر"),"",LEFT($E226,4)&amp;"/"&amp;MID($E226,6,2))</f>
        <v/>
      </c>
      <c r="L226">
        <f>IF(Entry!$K226="",0,Entry!$K226)</f>
        <v/>
      </c>
      <c r="M226">
        <f>IF(Entry!$L226="",0,Entry!$L226)</f>
        <v/>
      </c>
    </row>
    <row r="227">
      <c r="A227">
        <f>IF(Entry!$C227="","",Entry!$C227)</f>
        <v/>
      </c>
      <c r="B227">
        <f>IF($A227="","",IF(ISNUMBER($A227),IF(AND($A227&gt;=10000101,$A227&lt;=99991231),INT($A227/10000),""),IFERROR(VALUE(TRIM(LEFT($A227,FIND("/",$A227)-1))),"")))</f>
        <v/>
      </c>
      <c r="C227">
        <f>IF(OR($A227="",$B227=""),"",IF(ISNUMBER($A227),INT(MOD($A227,10000)/100),IFERROR(VALUE(TRIM(LEFT(MID($A227,FIND("/",$A227)+1,20),FIND("/",MID($A227,FIND("/",$A227)+1,20))-1))),"")))</f>
        <v/>
      </c>
      <c r="D227">
        <f>IF(OR($A227="",$B227=""),"",IF(ISNUMBER($A227),MOD($A227,100),IFERROR(VALUE(TRIM(MID(MID($A227,FIND("/",$A227)+1,20),FIND("/",MID($A227,FIND("/",$A227)+1,20))+1,20))),"")))</f>
        <v/>
      </c>
      <c r="E227">
        <f>IF($A227="","",IF(OR($B227="",$C227="",$D227="",$B227&lt;1300,$B227&gt;1500,$C227&lt;1,$C227&gt;12,$D227&lt;1,$D227&gt;31),"نامعتبر",RIGHT("0000"&amp;$B227,4)&amp;"/"&amp;RIGHT("00"&amp;$C227,2)&amp;"/"&amp;RIGHT("00"&amp;$D227,2)))</f>
        <v/>
      </c>
      <c r="F227">
        <f>IF(Entry!$D227&lt;&gt;"",IF(AND(ISNUMBER(Entry!$D227),Entry!$D227&gt;=0,Entry!$D227&lt;1),RIGHT("00"&amp;HOUR(Entry!$D227),2)&amp;":"&amp;RIGHT("00"&amp;MINUTE(Entry!$D227),2),IFERROR(RIGHT("00"&amp;VALUE(TRIM(LEFT(Entry!$D227,FIND(":",Entry!$D227)-1))),2)&amp;":"&amp;RIGHT("00"&amp;VALUE(TRIM(MID(Entry!$D227,FIND(":",Entry!$D227)+1,2))),2),"نامعتبر")),IF(OR($E227="",$E227="نامعتبر"),"","00:00"))</f>
        <v/>
      </c>
      <c r="G227">
        <f>IF(OR($E227="",$E227="نامعتبر"),"",IF(Entry!$E227="","",LEFT(UPPER(TRIM(Entry!$E227)),6)))</f>
        <v/>
      </c>
      <c r="H227">
        <f>IF($G227="","",RIGHT($E227,4)&amp;MID($E227,6,2)&amp;RIGHT($E227,2)&amp;IF($F227="","0000",IF($F227="نامعتبر","9999",LEFT($F227,2)&amp;RIGHT($F227,2)))&amp;"|"&amp;RIGHT("00000"&amp;219,5))</f>
        <v/>
      </c>
      <c r="I227">
        <f>IF($H227="","",COUNTIFS(CalcBank,$G227,CalcKey,"&lt;"&amp;$H227)+1)</f>
        <v/>
      </c>
      <c r="J227">
        <f>IF($I227="","",$G227&amp;"|"&amp;RIGHT("000000"&amp;$I227,6))</f>
        <v/>
      </c>
      <c r="K227">
        <f>IF(OR($E227="",$E227="نامعتبر"),"",LEFT($E227,4)&amp;"/"&amp;MID($E227,6,2))</f>
        <v/>
      </c>
      <c r="L227">
        <f>IF(Entry!$K227="",0,Entry!$K227)</f>
        <v/>
      </c>
      <c r="M227">
        <f>IF(Entry!$L227="",0,Entry!$L227)</f>
        <v/>
      </c>
    </row>
    <row r="228">
      <c r="A228">
        <f>IF(Entry!$C228="","",Entry!$C228)</f>
        <v/>
      </c>
      <c r="B228">
        <f>IF($A228="","",IF(ISNUMBER($A228),IF(AND($A228&gt;=10000101,$A228&lt;=99991231),INT($A228/10000),""),IFERROR(VALUE(TRIM(LEFT($A228,FIND("/",$A228)-1))),"")))</f>
        <v/>
      </c>
      <c r="C228">
        <f>IF(OR($A228="",$B228=""),"",IF(ISNUMBER($A228),INT(MOD($A228,10000)/100),IFERROR(VALUE(TRIM(LEFT(MID($A228,FIND("/",$A228)+1,20),FIND("/",MID($A228,FIND("/",$A228)+1,20))-1))),"")))</f>
        <v/>
      </c>
      <c r="D228">
        <f>IF(OR($A228="",$B228=""),"",IF(ISNUMBER($A228),MOD($A228,100),IFERROR(VALUE(TRIM(MID(MID($A228,FIND("/",$A228)+1,20),FIND("/",MID($A228,FIND("/",$A228)+1,20))+1,20))),"")))</f>
        <v/>
      </c>
      <c r="E228">
        <f>IF($A228="","",IF(OR($B228="",$C228="",$D228="",$B228&lt;1300,$B228&gt;1500,$C228&lt;1,$C228&gt;12,$D228&lt;1,$D228&gt;31),"نامعتبر",RIGHT("0000"&amp;$B228,4)&amp;"/"&amp;RIGHT("00"&amp;$C228,2)&amp;"/"&amp;RIGHT("00"&amp;$D228,2)))</f>
        <v/>
      </c>
      <c r="F228">
        <f>IF(Entry!$D228&lt;&gt;"",IF(AND(ISNUMBER(Entry!$D228),Entry!$D228&gt;=0,Entry!$D228&lt;1),RIGHT("00"&amp;HOUR(Entry!$D228),2)&amp;":"&amp;RIGHT("00"&amp;MINUTE(Entry!$D228),2),IFERROR(RIGHT("00"&amp;VALUE(TRIM(LEFT(Entry!$D228,FIND(":",Entry!$D228)-1))),2)&amp;":"&amp;RIGHT("00"&amp;VALUE(TRIM(MID(Entry!$D228,FIND(":",Entry!$D228)+1,2))),2),"نامعتبر")),IF(OR($E228="",$E228="نامعتبر"),"","00:00"))</f>
        <v/>
      </c>
      <c r="G228">
        <f>IF(OR($E228="",$E228="نامعتبر"),"",IF(Entry!$E228="","",LEFT(UPPER(TRIM(Entry!$E228)),6)))</f>
        <v/>
      </c>
      <c r="H228">
        <f>IF($G228="","",RIGHT($E228,4)&amp;MID($E228,6,2)&amp;RIGHT($E228,2)&amp;IF($F228="","0000",IF($F228="نامعتبر","9999",LEFT($F228,2)&amp;RIGHT($F228,2)))&amp;"|"&amp;RIGHT("00000"&amp;220,5))</f>
        <v/>
      </c>
      <c r="I228">
        <f>IF($H228="","",COUNTIFS(CalcBank,$G228,CalcKey,"&lt;"&amp;$H228)+1)</f>
        <v/>
      </c>
      <c r="J228">
        <f>IF($I228="","",$G228&amp;"|"&amp;RIGHT("000000"&amp;$I228,6))</f>
        <v/>
      </c>
      <c r="K228">
        <f>IF(OR($E228="",$E228="نامعتبر"),"",LEFT($E228,4)&amp;"/"&amp;MID($E228,6,2))</f>
        <v/>
      </c>
      <c r="L228">
        <f>IF(Entry!$K228="",0,Entry!$K228)</f>
        <v/>
      </c>
      <c r="M228">
        <f>IF(Entry!$L228="",0,Entry!$L228)</f>
        <v/>
      </c>
    </row>
    <row r="229">
      <c r="A229">
        <f>IF(Entry!$C229="","",Entry!$C229)</f>
        <v/>
      </c>
      <c r="B229">
        <f>IF($A229="","",IF(ISNUMBER($A229),IF(AND($A229&gt;=10000101,$A229&lt;=99991231),INT($A229/10000),""),IFERROR(VALUE(TRIM(LEFT($A229,FIND("/",$A229)-1))),"")))</f>
        <v/>
      </c>
      <c r="C229">
        <f>IF(OR($A229="",$B229=""),"",IF(ISNUMBER($A229),INT(MOD($A229,10000)/100),IFERROR(VALUE(TRIM(LEFT(MID($A229,FIND("/",$A229)+1,20),FIND("/",MID($A229,FIND("/",$A229)+1,20))-1))),"")))</f>
        <v/>
      </c>
      <c r="D229">
        <f>IF(OR($A229="",$B229=""),"",IF(ISNUMBER($A229),MOD($A229,100),IFERROR(VALUE(TRIM(MID(MID($A229,FIND("/",$A229)+1,20),FIND("/",MID($A229,FIND("/",$A229)+1,20))+1,20))),"")))</f>
        <v/>
      </c>
      <c r="E229">
        <f>IF($A229="","",IF(OR($B229="",$C229="",$D229="",$B229&lt;1300,$B229&gt;1500,$C229&lt;1,$C229&gt;12,$D229&lt;1,$D229&gt;31),"نامعتبر",RIGHT("0000"&amp;$B229,4)&amp;"/"&amp;RIGHT("00"&amp;$C229,2)&amp;"/"&amp;RIGHT("00"&amp;$D229,2)))</f>
        <v/>
      </c>
      <c r="F229">
        <f>IF(Entry!$D229&lt;&gt;"",IF(AND(ISNUMBER(Entry!$D229),Entry!$D229&gt;=0,Entry!$D229&lt;1),RIGHT("00"&amp;HOUR(Entry!$D229),2)&amp;":"&amp;RIGHT("00"&amp;MINUTE(Entry!$D229),2),IFERROR(RIGHT("00"&amp;VALUE(TRIM(LEFT(Entry!$D229,FIND(":",Entry!$D229)-1))),2)&amp;":"&amp;RIGHT("00"&amp;VALUE(TRIM(MID(Entry!$D229,FIND(":",Entry!$D229)+1,2))),2),"نامعتبر")),IF(OR($E229="",$E229="نامعتبر"),"","00:00"))</f>
        <v/>
      </c>
      <c r="G229">
        <f>IF(OR($E229="",$E229="نامعتبر"),"",IF(Entry!$E229="","",LEFT(UPPER(TRIM(Entry!$E229)),6)))</f>
        <v/>
      </c>
      <c r="H229">
        <f>IF($G229="","",RIGHT($E229,4)&amp;MID($E229,6,2)&amp;RIGHT($E229,2)&amp;IF($F229="","0000",IF($F229="نامعتبر","9999",LEFT($F229,2)&amp;RIGHT($F229,2)))&amp;"|"&amp;RIGHT("00000"&amp;221,5))</f>
        <v/>
      </c>
      <c r="I229">
        <f>IF($H229="","",COUNTIFS(CalcBank,$G229,CalcKey,"&lt;"&amp;$H229)+1)</f>
        <v/>
      </c>
      <c r="J229">
        <f>IF($I229="","",$G229&amp;"|"&amp;RIGHT("000000"&amp;$I229,6))</f>
        <v/>
      </c>
      <c r="K229">
        <f>IF(OR($E229="",$E229="نامعتبر"),"",LEFT($E229,4)&amp;"/"&amp;MID($E229,6,2))</f>
        <v/>
      </c>
      <c r="L229">
        <f>IF(Entry!$K229="",0,Entry!$K229)</f>
        <v/>
      </c>
      <c r="M229">
        <f>IF(Entry!$L229="",0,Entry!$L229)</f>
        <v/>
      </c>
    </row>
    <row r="230">
      <c r="A230">
        <f>IF(Entry!$C230="","",Entry!$C230)</f>
        <v/>
      </c>
      <c r="B230">
        <f>IF($A230="","",IF(ISNUMBER($A230),IF(AND($A230&gt;=10000101,$A230&lt;=99991231),INT($A230/10000),""),IFERROR(VALUE(TRIM(LEFT($A230,FIND("/",$A230)-1))),"")))</f>
        <v/>
      </c>
      <c r="C230">
        <f>IF(OR($A230="",$B230=""),"",IF(ISNUMBER($A230),INT(MOD($A230,10000)/100),IFERROR(VALUE(TRIM(LEFT(MID($A230,FIND("/",$A230)+1,20),FIND("/",MID($A230,FIND("/",$A230)+1,20))-1))),"")))</f>
        <v/>
      </c>
      <c r="D230">
        <f>IF(OR($A230="",$B230=""),"",IF(ISNUMBER($A230),MOD($A230,100),IFERROR(VALUE(TRIM(MID(MID($A230,FIND("/",$A230)+1,20),FIND("/",MID($A230,FIND("/",$A230)+1,20))+1,20))),"")))</f>
        <v/>
      </c>
      <c r="E230">
        <f>IF($A230="","",IF(OR($B230="",$C230="",$D230="",$B230&lt;1300,$B230&gt;1500,$C230&lt;1,$C230&gt;12,$D230&lt;1,$D230&gt;31),"نامعتبر",RIGHT("0000"&amp;$B230,4)&amp;"/"&amp;RIGHT("00"&amp;$C230,2)&amp;"/"&amp;RIGHT("00"&amp;$D230,2)))</f>
        <v/>
      </c>
      <c r="F230">
        <f>IF(Entry!$D230&lt;&gt;"",IF(AND(ISNUMBER(Entry!$D230),Entry!$D230&gt;=0,Entry!$D230&lt;1),RIGHT("00"&amp;HOUR(Entry!$D230),2)&amp;":"&amp;RIGHT("00"&amp;MINUTE(Entry!$D230),2),IFERROR(RIGHT("00"&amp;VALUE(TRIM(LEFT(Entry!$D230,FIND(":",Entry!$D230)-1))),2)&amp;":"&amp;RIGHT("00"&amp;VALUE(TRIM(MID(Entry!$D230,FIND(":",Entry!$D230)+1,2))),2),"نامعتبر")),IF(OR($E230="",$E230="نامعتبر"),"","00:00"))</f>
        <v/>
      </c>
      <c r="G230">
        <f>IF(OR($E230="",$E230="نامعتبر"),"",IF(Entry!$E230="","",LEFT(UPPER(TRIM(Entry!$E230)),6)))</f>
        <v/>
      </c>
      <c r="H230">
        <f>IF($G230="","",RIGHT($E230,4)&amp;MID($E230,6,2)&amp;RIGHT($E230,2)&amp;IF($F230="","0000",IF($F230="نامعتبر","9999",LEFT($F230,2)&amp;RIGHT($F230,2)))&amp;"|"&amp;RIGHT("00000"&amp;222,5))</f>
        <v/>
      </c>
      <c r="I230">
        <f>IF($H230="","",COUNTIFS(CalcBank,$G230,CalcKey,"&lt;"&amp;$H230)+1)</f>
        <v/>
      </c>
      <c r="J230">
        <f>IF($I230="","",$G230&amp;"|"&amp;RIGHT("000000"&amp;$I230,6))</f>
        <v/>
      </c>
      <c r="K230">
        <f>IF(OR($E230="",$E230="نامعتبر"),"",LEFT($E230,4)&amp;"/"&amp;MID($E230,6,2))</f>
        <v/>
      </c>
      <c r="L230">
        <f>IF(Entry!$K230="",0,Entry!$K230)</f>
        <v/>
      </c>
      <c r="M230">
        <f>IF(Entry!$L230="",0,Entry!$L230)</f>
        <v/>
      </c>
    </row>
    <row r="231">
      <c r="A231">
        <f>IF(Entry!$C231="","",Entry!$C231)</f>
        <v/>
      </c>
      <c r="B231">
        <f>IF($A231="","",IF(ISNUMBER($A231),IF(AND($A231&gt;=10000101,$A231&lt;=99991231),INT($A231/10000),""),IFERROR(VALUE(TRIM(LEFT($A231,FIND("/",$A231)-1))),"")))</f>
        <v/>
      </c>
      <c r="C231">
        <f>IF(OR($A231="",$B231=""),"",IF(ISNUMBER($A231),INT(MOD($A231,10000)/100),IFERROR(VALUE(TRIM(LEFT(MID($A231,FIND("/",$A231)+1,20),FIND("/",MID($A231,FIND("/",$A231)+1,20))-1))),"")))</f>
        <v/>
      </c>
      <c r="D231">
        <f>IF(OR($A231="",$B231=""),"",IF(ISNUMBER($A231),MOD($A231,100),IFERROR(VALUE(TRIM(MID(MID($A231,FIND("/",$A231)+1,20),FIND("/",MID($A231,FIND("/",$A231)+1,20))+1,20))),"")))</f>
        <v/>
      </c>
      <c r="E231">
        <f>IF($A231="","",IF(OR($B231="",$C231="",$D231="",$B231&lt;1300,$B231&gt;1500,$C231&lt;1,$C231&gt;12,$D231&lt;1,$D231&gt;31),"نامعتبر",RIGHT("0000"&amp;$B231,4)&amp;"/"&amp;RIGHT("00"&amp;$C231,2)&amp;"/"&amp;RIGHT("00"&amp;$D231,2)))</f>
        <v/>
      </c>
      <c r="F231">
        <f>IF(Entry!$D231&lt;&gt;"",IF(AND(ISNUMBER(Entry!$D231),Entry!$D231&gt;=0,Entry!$D231&lt;1),RIGHT("00"&amp;HOUR(Entry!$D231),2)&amp;":"&amp;RIGHT("00"&amp;MINUTE(Entry!$D231),2),IFERROR(RIGHT("00"&amp;VALUE(TRIM(LEFT(Entry!$D231,FIND(":",Entry!$D231)-1))),2)&amp;":"&amp;RIGHT("00"&amp;VALUE(TRIM(MID(Entry!$D231,FIND(":",Entry!$D231)+1,2))),2),"نامعتبر")),IF(OR($E231="",$E231="نامعتبر"),"","00:00"))</f>
        <v/>
      </c>
      <c r="G231">
        <f>IF(OR($E231="",$E231="نامعتبر"),"",IF(Entry!$E231="","",LEFT(UPPER(TRIM(Entry!$E231)),6)))</f>
        <v/>
      </c>
      <c r="H231">
        <f>IF($G231="","",RIGHT($E231,4)&amp;MID($E231,6,2)&amp;RIGHT($E231,2)&amp;IF($F231="","0000",IF($F231="نامعتبر","9999",LEFT($F231,2)&amp;RIGHT($F231,2)))&amp;"|"&amp;RIGHT("00000"&amp;223,5))</f>
        <v/>
      </c>
      <c r="I231">
        <f>IF($H231="","",COUNTIFS(CalcBank,$G231,CalcKey,"&lt;"&amp;$H231)+1)</f>
        <v/>
      </c>
      <c r="J231">
        <f>IF($I231="","",$G231&amp;"|"&amp;RIGHT("000000"&amp;$I231,6))</f>
        <v/>
      </c>
      <c r="K231">
        <f>IF(OR($E231="",$E231="نامعتبر"),"",LEFT($E231,4)&amp;"/"&amp;MID($E231,6,2))</f>
        <v/>
      </c>
      <c r="L231">
        <f>IF(Entry!$K231="",0,Entry!$K231)</f>
        <v/>
      </c>
      <c r="M231">
        <f>IF(Entry!$L231="",0,Entry!$L231)</f>
        <v/>
      </c>
    </row>
    <row r="232">
      <c r="A232">
        <f>IF(Entry!$C232="","",Entry!$C232)</f>
        <v/>
      </c>
      <c r="B232">
        <f>IF($A232="","",IF(ISNUMBER($A232),IF(AND($A232&gt;=10000101,$A232&lt;=99991231),INT($A232/10000),""),IFERROR(VALUE(TRIM(LEFT($A232,FIND("/",$A232)-1))),"")))</f>
        <v/>
      </c>
      <c r="C232">
        <f>IF(OR($A232="",$B232=""),"",IF(ISNUMBER($A232),INT(MOD($A232,10000)/100),IFERROR(VALUE(TRIM(LEFT(MID($A232,FIND("/",$A232)+1,20),FIND("/",MID($A232,FIND("/",$A232)+1,20))-1))),"")))</f>
        <v/>
      </c>
      <c r="D232">
        <f>IF(OR($A232="",$B232=""),"",IF(ISNUMBER($A232),MOD($A232,100),IFERROR(VALUE(TRIM(MID(MID($A232,FIND("/",$A232)+1,20),FIND("/",MID($A232,FIND("/",$A232)+1,20))+1,20))),"")))</f>
        <v/>
      </c>
      <c r="E232">
        <f>IF($A232="","",IF(OR($B232="",$C232="",$D232="",$B232&lt;1300,$B232&gt;1500,$C232&lt;1,$C232&gt;12,$D232&lt;1,$D232&gt;31),"نامعتبر",RIGHT("0000"&amp;$B232,4)&amp;"/"&amp;RIGHT("00"&amp;$C232,2)&amp;"/"&amp;RIGHT("00"&amp;$D232,2)))</f>
        <v/>
      </c>
      <c r="F232">
        <f>IF(Entry!$D232&lt;&gt;"",IF(AND(ISNUMBER(Entry!$D232),Entry!$D232&gt;=0,Entry!$D232&lt;1),RIGHT("00"&amp;HOUR(Entry!$D232),2)&amp;":"&amp;RIGHT("00"&amp;MINUTE(Entry!$D232),2),IFERROR(RIGHT("00"&amp;VALUE(TRIM(LEFT(Entry!$D232,FIND(":",Entry!$D232)-1))),2)&amp;":"&amp;RIGHT("00"&amp;VALUE(TRIM(MID(Entry!$D232,FIND(":",Entry!$D232)+1,2))),2),"نامعتبر")),IF(OR($E232="",$E232="نامعتبر"),"","00:00"))</f>
        <v/>
      </c>
      <c r="G232">
        <f>IF(OR($E232="",$E232="نامعتبر"),"",IF(Entry!$E232="","",LEFT(UPPER(TRIM(Entry!$E232)),6)))</f>
        <v/>
      </c>
      <c r="H232">
        <f>IF($G232="","",RIGHT($E232,4)&amp;MID($E232,6,2)&amp;RIGHT($E232,2)&amp;IF($F232="","0000",IF($F232="نامعتبر","9999",LEFT($F232,2)&amp;RIGHT($F232,2)))&amp;"|"&amp;RIGHT("00000"&amp;224,5))</f>
        <v/>
      </c>
      <c r="I232">
        <f>IF($H232="","",COUNTIFS(CalcBank,$G232,CalcKey,"&lt;"&amp;$H232)+1)</f>
        <v/>
      </c>
      <c r="J232">
        <f>IF($I232="","",$G232&amp;"|"&amp;RIGHT("000000"&amp;$I232,6))</f>
        <v/>
      </c>
      <c r="K232">
        <f>IF(OR($E232="",$E232="نامعتبر"),"",LEFT($E232,4)&amp;"/"&amp;MID($E232,6,2))</f>
        <v/>
      </c>
      <c r="L232">
        <f>IF(Entry!$K232="",0,Entry!$K232)</f>
        <v/>
      </c>
      <c r="M232">
        <f>IF(Entry!$L232="",0,Entry!$L232)</f>
        <v/>
      </c>
    </row>
    <row r="233">
      <c r="A233">
        <f>IF(Entry!$C233="","",Entry!$C233)</f>
        <v/>
      </c>
      <c r="B233">
        <f>IF($A233="","",IF(ISNUMBER($A233),IF(AND($A233&gt;=10000101,$A233&lt;=99991231),INT($A233/10000),""),IFERROR(VALUE(TRIM(LEFT($A233,FIND("/",$A233)-1))),"")))</f>
        <v/>
      </c>
      <c r="C233">
        <f>IF(OR($A233="",$B233=""),"",IF(ISNUMBER($A233),INT(MOD($A233,10000)/100),IFERROR(VALUE(TRIM(LEFT(MID($A233,FIND("/",$A233)+1,20),FIND("/",MID($A233,FIND("/",$A233)+1,20))-1))),"")))</f>
        <v/>
      </c>
      <c r="D233">
        <f>IF(OR($A233="",$B233=""),"",IF(ISNUMBER($A233),MOD($A233,100),IFERROR(VALUE(TRIM(MID(MID($A233,FIND("/",$A233)+1,20),FIND("/",MID($A233,FIND("/",$A233)+1,20))+1,20))),"")))</f>
        <v/>
      </c>
      <c r="E233">
        <f>IF($A233="","",IF(OR($B233="",$C233="",$D233="",$B233&lt;1300,$B233&gt;1500,$C233&lt;1,$C233&gt;12,$D233&lt;1,$D233&gt;31),"نامعتبر",RIGHT("0000"&amp;$B233,4)&amp;"/"&amp;RIGHT("00"&amp;$C233,2)&amp;"/"&amp;RIGHT("00"&amp;$D233,2)))</f>
        <v/>
      </c>
      <c r="F233">
        <f>IF(Entry!$D233&lt;&gt;"",IF(AND(ISNUMBER(Entry!$D233),Entry!$D233&gt;=0,Entry!$D233&lt;1),RIGHT("00"&amp;HOUR(Entry!$D233),2)&amp;":"&amp;RIGHT("00"&amp;MINUTE(Entry!$D233),2),IFERROR(RIGHT("00"&amp;VALUE(TRIM(LEFT(Entry!$D233,FIND(":",Entry!$D233)-1))),2)&amp;":"&amp;RIGHT("00"&amp;VALUE(TRIM(MID(Entry!$D233,FIND(":",Entry!$D233)+1,2))),2),"نامعتبر")),IF(OR($E233="",$E233="نامعتبر"),"","00:00"))</f>
        <v/>
      </c>
      <c r="G233">
        <f>IF(OR($E233="",$E233="نامعتبر"),"",IF(Entry!$E233="","",LEFT(UPPER(TRIM(Entry!$E233)),6)))</f>
        <v/>
      </c>
      <c r="H233">
        <f>IF($G233="","",RIGHT($E233,4)&amp;MID($E233,6,2)&amp;RIGHT($E233,2)&amp;IF($F233="","0000",IF($F233="نامعتبر","9999",LEFT($F233,2)&amp;RIGHT($F233,2)))&amp;"|"&amp;RIGHT("00000"&amp;225,5))</f>
        <v/>
      </c>
      <c r="I233">
        <f>IF($H233="","",COUNTIFS(CalcBank,$G233,CalcKey,"&lt;"&amp;$H233)+1)</f>
        <v/>
      </c>
      <c r="J233">
        <f>IF($I233="","",$G233&amp;"|"&amp;RIGHT("000000"&amp;$I233,6))</f>
        <v/>
      </c>
      <c r="K233">
        <f>IF(OR($E233="",$E233="نامعتبر"),"",LEFT($E233,4)&amp;"/"&amp;MID($E233,6,2))</f>
        <v/>
      </c>
      <c r="L233">
        <f>IF(Entry!$K233="",0,Entry!$K233)</f>
        <v/>
      </c>
      <c r="M233">
        <f>IF(Entry!$L233="",0,Entry!$L233)</f>
        <v/>
      </c>
    </row>
    <row r="234">
      <c r="A234">
        <f>IF(Entry!$C234="","",Entry!$C234)</f>
        <v/>
      </c>
      <c r="B234">
        <f>IF($A234="","",IF(ISNUMBER($A234),IF(AND($A234&gt;=10000101,$A234&lt;=99991231),INT($A234/10000),""),IFERROR(VALUE(TRIM(LEFT($A234,FIND("/",$A234)-1))),"")))</f>
        <v/>
      </c>
      <c r="C234">
        <f>IF(OR($A234="",$B234=""),"",IF(ISNUMBER($A234),INT(MOD($A234,10000)/100),IFERROR(VALUE(TRIM(LEFT(MID($A234,FIND("/",$A234)+1,20),FIND("/",MID($A234,FIND("/",$A234)+1,20))-1))),"")))</f>
        <v/>
      </c>
      <c r="D234">
        <f>IF(OR($A234="",$B234=""),"",IF(ISNUMBER($A234),MOD($A234,100),IFERROR(VALUE(TRIM(MID(MID($A234,FIND("/",$A234)+1,20),FIND("/",MID($A234,FIND("/",$A234)+1,20))+1,20))),"")))</f>
        <v/>
      </c>
      <c r="E234">
        <f>IF($A234="","",IF(OR($B234="",$C234="",$D234="",$B234&lt;1300,$B234&gt;1500,$C234&lt;1,$C234&gt;12,$D234&lt;1,$D234&gt;31),"نامعتبر",RIGHT("0000"&amp;$B234,4)&amp;"/"&amp;RIGHT("00"&amp;$C234,2)&amp;"/"&amp;RIGHT("00"&amp;$D234,2)))</f>
        <v/>
      </c>
      <c r="F234">
        <f>IF(Entry!$D234&lt;&gt;"",IF(AND(ISNUMBER(Entry!$D234),Entry!$D234&gt;=0,Entry!$D234&lt;1),RIGHT("00"&amp;HOUR(Entry!$D234),2)&amp;":"&amp;RIGHT("00"&amp;MINUTE(Entry!$D234),2),IFERROR(RIGHT("00"&amp;VALUE(TRIM(LEFT(Entry!$D234,FIND(":",Entry!$D234)-1))),2)&amp;":"&amp;RIGHT("00"&amp;VALUE(TRIM(MID(Entry!$D234,FIND(":",Entry!$D234)+1,2))),2),"نامعتبر")),IF(OR($E234="",$E234="نامعتبر"),"","00:00"))</f>
        <v/>
      </c>
      <c r="G234">
        <f>IF(OR($E234="",$E234="نامعتبر"),"",IF(Entry!$E234="","",LEFT(UPPER(TRIM(Entry!$E234)),6)))</f>
        <v/>
      </c>
      <c r="H234">
        <f>IF($G234="","",RIGHT($E234,4)&amp;MID($E234,6,2)&amp;RIGHT($E234,2)&amp;IF($F234="","0000",IF($F234="نامعتبر","9999",LEFT($F234,2)&amp;RIGHT($F234,2)))&amp;"|"&amp;RIGHT("00000"&amp;226,5))</f>
        <v/>
      </c>
      <c r="I234">
        <f>IF($H234="","",COUNTIFS(CalcBank,$G234,CalcKey,"&lt;"&amp;$H234)+1)</f>
        <v/>
      </c>
      <c r="J234">
        <f>IF($I234="","",$G234&amp;"|"&amp;RIGHT("000000"&amp;$I234,6))</f>
        <v/>
      </c>
      <c r="K234">
        <f>IF(OR($E234="",$E234="نامعتبر"),"",LEFT($E234,4)&amp;"/"&amp;MID($E234,6,2))</f>
        <v/>
      </c>
      <c r="L234">
        <f>IF(Entry!$K234="",0,Entry!$K234)</f>
        <v/>
      </c>
      <c r="M234">
        <f>IF(Entry!$L234="",0,Entry!$L234)</f>
        <v/>
      </c>
    </row>
    <row r="235">
      <c r="A235">
        <f>IF(Entry!$C235="","",Entry!$C235)</f>
        <v/>
      </c>
      <c r="B235">
        <f>IF($A235="","",IF(ISNUMBER($A235),IF(AND($A235&gt;=10000101,$A235&lt;=99991231),INT($A235/10000),""),IFERROR(VALUE(TRIM(LEFT($A235,FIND("/",$A235)-1))),"")))</f>
        <v/>
      </c>
      <c r="C235">
        <f>IF(OR($A235="",$B235=""),"",IF(ISNUMBER($A235),INT(MOD($A235,10000)/100),IFERROR(VALUE(TRIM(LEFT(MID($A235,FIND("/",$A235)+1,20),FIND("/",MID($A235,FIND("/",$A235)+1,20))-1))),"")))</f>
        <v/>
      </c>
      <c r="D235">
        <f>IF(OR($A235="",$B235=""),"",IF(ISNUMBER($A235),MOD($A235,100),IFERROR(VALUE(TRIM(MID(MID($A235,FIND("/",$A235)+1,20),FIND("/",MID($A235,FIND("/",$A235)+1,20))+1,20))),"")))</f>
        <v/>
      </c>
      <c r="E235">
        <f>IF($A235="","",IF(OR($B235="",$C235="",$D235="",$B235&lt;1300,$B235&gt;1500,$C235&lt;1,$C235&gt;12,$D235&lt;1,$D235&gt;31),"نامعتبر",RIGHT("0000"&amp;$B235,4)&amp;"/"&amp;RIGHT("00"&amp;$C235,2)&amp;"/"&amp;RIGHT("00"&amp;$D235,2)))</f>
        <v/>
      </c>
      <c r="F235">
        <f>IF(Entry!$D235&lt;&gt;"",IF(AND(ISNUMBER(Entry!$D235),Entry!$D235&gt;=0,Entry!$D235&lt;1),RIGHT("00"&amp;HOUR(Entry!$D235),2)&amp;":"&amp;RIGHT("00"&amp;MINUTE(Entry!$D235),2),IFERROR(RIGHT("00"&amp;VALUE(TRIM(LEFT(Entry!$D235,FIND(":",Entry!$D235)-1))),2)&amp;":"&amp;RIGHT("00"&amp;VALUE(TRIM(MID(Entry!$D235,FIND(":",Entry!$D235)+1,2))),2),"نامعتبر")),IF(OR($E235="",$E235="نامعتبر"),"","00:00"))</f>
        <v/>
      </c>
      <c r="G235">
        <f>IF(OR($E235="",$E235="نامعتبر"),"",IF(Entry!$E235="","",LEFT(UPPER(TRIM(Entry!$E235)),6)))</f>
        <v/>
      </c>
      <c r="H235">
        <f>IF($G235="","",RIGHT($E235,4)&amp;MID($E235,6,2)&amp;RIGHT($E235,2)&amp;IF($F235="","0000",IF($F235="نامعتبر","9999",LEFT($F235,2)&amp;RIGHT($F235,2)))&amp;"|"&amp;RIGHT("00000"&amp;227,5))</f>
        <v/>
      </c>
      <c r="I235">
        <f>IF($H235="","",COUNTIFS(CalcBank,$G235,CalcKey,"&lt;"&amp;$H235)+1)</f>
        <v/>
      </c>
      <c r="J235">
        <f>IF($I235="","",$G235&amp;"|"&amp;RIGHT("000000"&amp;$I235,6))</f>
        <v/>
      </c>
      <c r="K235">
        <f>IF(OR($E235="",$E235="نامعتبر"),"",LEFT($E235,4)&amp;"/"&amp;MID($E235,6,2))</f>
        <v/>
      </c>
      <c r="L235">
        <f>IF(Entry!$K235="",0,Entry!$K235)</f>
        <v/>
      </c>
      <c r="M235">
        <f>IF(Entry!$L235="",0,Entry!$L235)</f>
        <v/>
      </c>
    </row>
    <row r="236">
      <c r="A236">
        <f>IF(Entry!$C236="","",Entry!$C236)</f>
        <v/>
      </c>
      <c r="B236">
        <f>IF($A236="","",IF(ISNUMBER($A236),IF(AND($A236&gt;=10000101,$A236&lt;=99991231),INT($A236/10000),""),IFERROR(VALUE(TRIM(LEFT($A236,FIND("/",$A236)-1))),"")))</f>
        <v/>
      </c>
      <c r="C236">
        <f>IF(OR($A236="",$B236=""),"",IF(ISNUMBER($A236),INT(MOD($A236,10000)/100),IFERROR(VALUE(TRIM(LEFT(MID($A236,FIND("/",$A236)+1,20),FIND("/",MID($A236,FIND("/",$A236)+1,20))-1))),"")))</f>
        <v/>
      </c>
      <c r="D236">
        <f>IF(OR($A236="",$B236=""),"",IF(ISNUMBER($A236),MOD($A236,100),IFERROR(VALUE(TRIM(MID(MID($A236,FIND("/",$A236)+1,20),FIND("/",MID($A236,FIND("/",$A236)+1,20))+1,20))),"")))</f>
        <v/>
      </c>
      <c r="E236">
        <f>IF($A236="","",IF(OR($B236="",$C236="",$D236="",$B236&lt;1300,$B236&gt;1500,$C236&lt;1,$C236&gt;12,$D236&lt;1,$D236&gt;31),"نامعتبر",RIGHT("0000"&amp;$B236,4)&amp;"/"&amp;RIGHT("00"&amp;$C236,2)&amp;"/"&amp;RIGHT("00"&amp;$D236,2)))</f>
        <v/>
      </c>
      <c r="F236">
        <f>IF(Entry!$D236&lt;&gt;"",IF(AND(ISNUMBER(Entry!$D236),Entry!$D236&gt;=0,Entry!$D236&lt;1),RIGHT("00"&amp;HOUR(Entry!$D236),2)&amp;":"&amp;RIGHT("00"&amp;MINUTE(Entry!$D236),2),IFERROR(RIGHT("00"&amp;VALUE(TRIM(LEFT(Entry!$D236,FIND(":",Entry!$D236)-1))),2)&amp;":"&amp;RIGHT("00"&amp;VALUE(TRIM(MID(Entry!$D236,FIND(":",Entry!$D236)+1,2))),2),"نامعتبر")),IF(OR($E236="",$E236="نامعتبر"),"","00:00"))</f>
        <v/>
      </c>
      <c r="G236">
        <f>IF(OR($E236="",$E236="نامعتبر"),"",IF(Entry!$E236="","",LEFT(UPPER(TRIM(Entry!$E236)),6)))</f>
        <v/>
      </c>
      <c r="H236">
        <f>IF($G236="","",RIGHT($E236,4)&amp;MID($E236,6,2)&amp;RIGHT($E236,2)&amp;IF($F236="","0000",IF($F236="نامعتبر","9999",LEFT($F236,2)&amp;RIGHT($F236,2)))&amp;"|"&amp;RIGHT("00000"&amp;228,5))</f>
        <v/>
      </c>
      <c r="I236">
        <f>IF($H236="","",COUNTIFS(CalcBank,$G236,CalcKey,"&lt;"&amp;$H236)+1)</f>
        <v/>
      </c>
      <c r="J236">
        <f>IF($I236="","",$G236&amp;"|"&amp;RIGHT("000000"&amp;$I236,6))</f>
        <v/>
      </c>
      <c r="K236">
        <f>IF(OR($E236="",$E236="نامعتبر"),"",LEFT($E236,4)&amp;"/"&amp;MID($E236,6,2))</f>
        <v/>
      </c>
      <c r="L236">
        <f>IF(Entry!$K236="",0,Entry!$K236)</f>
        <v/>
      </c>
      <c r="M236">
        <f>IF(Entry!$L236="",0,Entry!$L236)</f>
        <v/>
      </c>
    </row>
    <row r="237">
      <c r="A237">
        <f>IF(Entry!$C237="","",Entry!$C237)</f>
        <v/>
      </c>
      <c r="B237">
        <f>IF($A237="","",IF(ISNUMBER($A237),IF(AND($A237&gt;=10000101,$A237&lt;=99991231),INT($A237/10000),""),IFERROR(VALUE(TRIM(LEFT($A237,FIND("/",$A237)-1))),"")))</f>
        <v/>
      </c>
      <c r="C237">
        <f>IF(OR($A237="",$B237=""),"",IF(ISNUMBER($A237),INT(MOD($A237,10000)/100),IFERROR(VALUE(TRIM(LEFT(MID($A237,FIND("/",$A237)+1,20),FIND("/",MID($A237,FIND("/",$A237)+1,20))-1))),"")))</f>
        <v/>
      </c>
      <c r="D237">
        <f>IF(OR($A237="",$B237=""),"",IF(ISNUMBER($A237),MOD($A237,100),IFERROR(VALUE(TRIM(MID(MID($A237,FIND("/",$A237)+1,20),FIND("/",MID($A237,FIND("/",$A237)+1,20))+1,20))),"")))</f>
        <v/>
      </c>
      <c r="E237">
        <f>IF($A237="","",IF(OR($B237="",$C237="",$D237="",$B237&lt;1300,$B237&gt;1500,$C237&lt;1,$C237&gt;12,$D237&lt;1,$D237&gt;31),"نامعتبر",RIGHT("0000"&amp;$B237,4)&amp;"/"&amp;RIGHT("00"&amp;$C237,2)&amp;"/"&amp;RIGHT("00"&amp;$D237,2)))</f>
        <v/>
      </c>
      <c r="F237">
        <f>IF(Entry!$D237&lt;&gt;"",IF(AND(ISNUMBER(Entry!$D237),Entry!$D237&gt;=0,Entry!$D237&lt;1),RIGHT("00"&amp;HOUR(Entry!$D237),2)&amp;":"&amp;RIGHT("00"&amp;MINUTE(Entry!$D237),2),IFERROR(RIGHT("00"&amp;VALUE(TRIM(LEFT(Entry!$D237,FIND(":",Entry!$D237)-1))),2)&amp;":"&amp;RIGHT("00"&amp;VALUE(TRIM(MID(Entry!$D237,FIND(":",Entry!$D237)+1,2))),2),"نامعتبر")),IF(OR($E237="",$E237="نامعتبر"),"","00:00"))</f>
        <v/>
      </c>
      <c r="G237">
        <f>IF(OR($E237="",$E237="نامعتبر"),"",IF(Entry!$E237="","",LEFT(UPPER(TRIM(Entry!$E237)),6)))</f>
        <v/>
      </c>
      <c r="H237">
        <f>IF($G237="","",RIGHT($E237,4)&amp;MID($E237,6,2)&amp;RIGHT($E237,2)&amp;IF($F237="","0000",IF($F237="نامعتبر","9999",LEFT($F237,2)&amp;RIGHT($F237,2)))&amp;"|"&amp;RIGHT("00000"&amp;229,5))</f>
        <v/>
      </c>
      <c r="I237">
        <f>IF($H237="","",COUNTIFS(CalcBank,$G237,CalcKey,"&lt;"&amp;$H237)+1)</f>
        <v/>
      </c>
      <c r="J237">
        <f>IF($I237="","",$G237&amp;"|"&amp;RIGHT("000000"&amp;$I237,6))</f>
        <v/>
      </c>
      <c r="K237">
        <f>IF(OR($E237="",$E237="نامعتبر"),"",LEFT($E237,4)&amp;"/"&amp;MID($E237,6,2))</f>
        <v/>
      </c>
      <c r="L237">
        <f>IF(Entry!$K237="",0,Entry!$K237)</f>
        <v/>
      </c>
      <c r="M237">
        <f>IF(Entry!$L237="",0,Entry!$L237)</f>
        <v/>
      </c>
    </row>
    <row r="238">
      <c r="A238">
        <f>IF(Entry!$C238="","",Entry!$C238)</f>
        <v/>
      </c>
      <c r="B238">
        <f>IF($A238="","",IF(ISNUMBER($A238),IF(AND($A238&gt;=10000101,$A238&lt;=99991231),INT($A238/10000),""),IFERROR(VALUE(TRIM(LEFT($A238,FIND("/",$A238)-1))),"")))</f>
        <v/>
      </c>
      <c r="C238">
        <f>IF(OR($A238="",$B238=""),"",IF(ISNUMBER($A238),INT(MOD($A238,10000)/100),IFERROR(VALUE(TRIM(LEFT(MID($A238,FIND("/",$A238)+1,20),FIND("/",MID($A238,FIND("/",$A238)+1,20))-1))),"")))</f>
        <v/>
      </c>
      <c r="D238">
        <f>IF(OR($A238="",$B238=""),"",IF(ISNUMBER($A238),MOD($A238,100),IFERROR(VALUE(TRIM(MID(MID($A238,FIND("/",$A238)+1,20),FIND("/",MID($A238,FIND("/",$A238)+1,20))+1,20))),"")))</f>
        <v/>
      </c>
      <c r="E238">
        <f>IF($A238="","",IF(OR($B238="",$C238="",$D238="",$B238&lt;1300,$B238&gt;1500,$C238&lt;1,$C238&gt;12,$D238&lt;1,$D238&gt;31),"نامعتبر",RIGHT("0000"&amp;$B238,4)&amp;"/"&amp;RIGHT("00"&amp;$C238,2)&amp;"/"&amp;RIGHT("00"&amp;$D238,2)))</f>
        <v/>
      </c>
      <c r="F238">
        <f>IF(Entry!$D238&lt;&gt;"",IF(AND(ISNUMBER(Entry!$D238),Entry!$D238&gt;=0,Entry!$D238&lt;1),RIGHT("00"&amp;HOUR(Entry!$D238),2)&amp;":"&amp;RIGHT("00"&amp;MINUTE(Entry!$D238),2),IFERROR(RIGHT("00"&amp;VALUE(TRIM(LEFT(Entry!$D238,FIND(":",Entry!$D238)-1))),2)&amp;":"&amp;RIGHT("00"&amp;VALUE(TRIM(MID(Entry!$D238,FIND(":",Entry!$D238)+1,2))),2),"نامعتبر")),IF(OR($E238="",$E238="نامعتبر"),"","00:00"))</f>
        <v/>
      </c>
      <c r="G238">
        <f>IF(OR($E238="",$E238="نامعتبر"),"",IF(Entry!$E238="","",LEFT(UPPER(TRIM(Entry!$E238)),6)))</f>
        <v/>
      </c>
      <c r="H238">
        <f>IF($G238="","",RIGHT($E238,4)&amp;MID($E238,6,2)&amp;RIGHT($E238,2)&amp;IF($F238="","0000",IF($F238="نامعتبر","9999",LEFT($F238,2)&amp;RIGHT($F238,2)))&amp;"|"&amp;RIGHT("00000"&amp;230,5))</f>
        <v/>
      </c>
      <c r="I238">
        <f>IF($H238="","",COUNTIFS(CalcBank,$G238,CalcKey,"&lt;"&amp;$H238)+1)</f>
        <v/>
      </c>
      <c r="J238">
        <f>IF($I238="","",$G238&amp;"|"&amp;RIGHT("000000"&amp;$I238,6))</f>
        <v/>
      </c>
      <c r="K238">
        <f>IF(OR($E238="",$E238="نامعتبر"),"",LEFT($E238,4)&amp;"/"&amp;MID($E238,6,2))</f>
        <v/>
      </c>
      <c r="L238">
        <f>IF(Entry!$K238="",0,Entry!$K238)</f>
        <v/>
      </c>
      <c r="M238">
        <f>IF(Entry!$L238="",0,Entry!$L238)</f>
        <v/>
      </c>
    </row>
    <row r="239">
      <c r="A239">
        <f>IF(Entry!$C239="","",Entry!$C239)</f>
        <v/>
      </c>
      <c r="B239">
        <f>IF($A239="","",IF(ISNUMBER($A239),IF(AND($A239&gt;=10000101,$A239&lt;=99991231),INT($A239/10000),""),IFERROR(VALUE(TRIM(LEFT($A239,FIND("/",$A239)-1))),"")))</f>
        <v/>
      </c>
      <c r="C239">
        <f>IF(OR($A239="",$B239=""),"",IF(ISNUMBER($A239),INT(MOD($A239,10000)/100),IFERROR(VALUE(TRIM(LEFT(MID($A239,FIND("/",$A239)+1,20),FIND("/",MID($A239,FIND("/",$A239)+1,20))-1))),"")))</f>
        <v/>
      </c>
      <c r="D239">
        <f>IF(OR($A239="",$B239=""),"",IF(ISNUMBER($A239),MOD($A239,100),IFERROR(VALUE(TRIM(MID(MID($A239,FIND("/",$A239)+1,20),FIND("/",MID($A239,FIND("/",$A239)+1,20))+1,20))),"")))</f>
        <v/>
      </c>
      <c r="E239">
        <f>IF($A239="","",IF(OR($B239="",$C239="",$D239="",$B239&lt;1300,$B239&gt;1500,$C239&lt;1,$C239&gt;12,$D239&lt;1,$D239&gt;31),"نامعتبر",RIGHT("0000"&amp;$B239,4)&amp;"/"&amp;RIGHT("00"&amp;$C239,2)&amp;"/"&amp;RIGHT("00"&amp;$D239,2)))</f>
        <v/>
      </c>
      <c r="F239">
        <f>IF(Entry!$D239&lt;&gt;"",IF(AND(ISNUMBER(Entry!$D239),Entry!$D239&gt;=0,Entry!$D239&lt;1),RIGHT("00"&amp;HOUR(Entry!$D239),2)&amp;":"&amp;RIGHT("00"&amp;MINUTE(Entry!$D239),2),IFERROR(RIGHT("00"&amp;VALUE(TRIM(LEFT(Entry!$D239,FIND(":",Entry!$D239)-1))),2)&amp;":"&amp;RIGHT("00"&amp;VALUE(TRIM(MID(Entry!$D239,FIND(":",Entry!$D239)+1,2))),2),"نامعتبر")),IF(OR($E239="",$E239="نامعتبر"),"","00:00"))</f>
        <v/>
      </c>
      <c r="G239">
        <f>IF(OR($E239="",$E239="نامعتبر"),"",IF(Entry!$E239="","",LEFT(UPPER(TRIM(Entry!$E239)),6)))</f>
        <v/>
      </c>
      <c r="H239">
        <f>IF($G239="","",RIGHT($E239,4)&amp;MID($E239,6,2)&amp;RIGHT($E239,2)&amp;IF($F239="","0000",IF($F239="نامعتبر","9999",LEFT($F239,2)&amp;RIGHT($F239,2)))&amp;"|"&amp;RIGHT("00000"&amp;231,5))</f>
        <v/>
      </c>
      <c r="I239">
        <f>IF($H239="","",COUNTIFS(CalcBank,$G239,CalcKey,"&lt;"&amp;$H239)+1)</f>
        <v/>
      </c>
      <c r="J239">
        <f>IF($I239="","",$G239&amp;"|"&amp;RIGHT("000000"&amp;$I239,6))</f>
        <v/>
      </c>
      <c r="K239">
        <f>IF(OR($E239="",$E239="نامعتبر"),"",LEFT($E239,4)&amp;"/"&amp;MID($E239,6,2))</f>
        <v/>
      </c>
      <c r="L239">
        <f>IF(Entry!$K239="",0,Entry!$K239)</f>
        <v/>
      </c>
      <c r="M239">
        <f>IF(Entry!$L239="",0,Entry!$L239)</f>
        <v/>
      </c>
    </row>
    <row r="240">
      <c r="A240">
        <f>IF(Entry!$C240="","",Entry!$C240)</f>
        <v/>
      </c>
      <c r="B240">
        <f>IF($A240="","",IF(ISNUMBER($A240),IF(AND($A240&gt;=10000101,$A240&lt;=99991231),INT($A240/10000),""),IFERROR(VALUE(TRIM(LEFT($A240,FIND("/",$A240)-1))),"")))</f>
        <v/>
      </c>
      <c r="C240">
        <f>IF(OR($A240="",$B240=""),"",IF(ISNUMBER($A240),INT(MOD($A240,10000)/100),IFERROR(VALUE(TRIM(LEFT(MID($A240,FIND("/",$A240)+1,20),FIND("/",MID($A240,FIND("/",$A240)+1,20))-1))),"")))</f>
        <v/>
      </c>
      <c r="D240">
        <f>IF(OR($A240="",$B240=""),"",IF(ISNUMBER($A240),MOD($A240,100),IFERROR(VALUE(TRIM(MID(MID($A240,FIND("/",$A240)+1,20),FIND("/",MID($A240,FIND("/",$A240)+1,20))+1,20))),"")))</f>
        <v/>
      </c>
      <c r="E240">
        <f>IF($A240="","",IF(OR($B240="",$C240="",$D240="",$B240&lt;1300,$B240&gt;1500,$C240&lt;1,$C240&gt;12,$D240&lt;1,$D240&gt;31),"نامعتبر",RIGHT("0000"&amp;$B240,4)&amp;"/"&amp;RIGHT("00"&amp;$C240,2)&amp;"/"&amp;RIGHT("00"&amp;$D240,2)))</f>
        <v/>
      </c>
      <c r="F240">
        <f>IF(Entry!$D240&lt;&gt;"",IF(AND(ISNUMBER(Entry!$D240),Entry!$D240&gt;=0,Entry!$D240&lt;1),RIGHT("00"&amp;HOUR(Entry!$D240),2)&amp;":"&amp;RIGHT("00"&amp;MINUTE(Entry!$D240),2),IFERROR(RIGHT("00"&amp;VALUE(TRIM(LEFT(Entry!$D240,FIND(":",Entry!$D240)-1))),2)&amp;":"&amp;RIGHT("00"&amp;VALUE(TRIM(MID(Entry!$D240,FIND(":",Entry!$D240)+1,2))),2),"نامعتبر")),IF(OR($E240="",$E240="نامعتبر"),"","00:00"))</f>
        <v/>
      </c>
      <c r="G240">
        <f>IF(OR($E240="",$E240="نامعتبر"),"",IF(Entry!$E240="","",LEFT(UPPER(TRIM(Entry!$E240)),6)))</f>
        <v/>
      </c>
      <c r="H240">
        <f>IF($G240="","",RIGHT($E240,4)&amp;MID($E240,6,2)&amp;RIGHT($E240,2)&amp;IF($F240="","0000",IF($F240="نامعتبر","9999",LEFT($F240,2)&amp;RIGHT($F240,2)))&amp;"|"&amp;RIGHT("00000"&amp;232,5))</f>
        <v/>
      </c>
      <c r="I240">
        <f>IF($H240="","",COUNTIFS(CalcBank,$G240,CalcKey,"&lt;"&amp;$H240)+1)</f>
        <v/>
      </c>
      <c r="J240">
        <f>IF($I240="","",$G240&amp;"|"&amp;RIGHT("000000"&amp;$I240,6))</f>
        <v/>
      </c>
      <c r="K240">
        <f>IF(OR($E240="",$E240="نامعتبر"),"",LEFT($E240,4)&amp;"/"&amp;MID($E240,6,2))</f>
        <v/>
      </c>
      <c r="L240">
        <f>IF(Entry!$K240="",0,Entry!$K240)</f>
        <v/>
      </c>
      <c r="M240">
        <f>IF(Entry!$L240="",0,Entry!$L240)</f>
        <v/>
      </c>
    </row>
    <row r="241">
      <c r="A241">
        <f>IF(Entry!$C241="","",Entry!$C241)</f>
        <v/>
      </c>
      <c r="B241">
        <f>IF($A241="","",IF(ISNUMBER($A241),IF(AND($A241&gt;=10000101,$A241&lt;=99991231),INT($A241/10000),""),IFERROR(VALUE(TRIM(LEFT($A241,FIND("/",$A241)-1))),"")))</f>
        <v/>
      </c>
      <c r="C241">
        <f>IF(OR($A241="",$B241=""),"",IF(ISNUMBER($A241),INT(MOD($A241,10000)/100),IFERROR(VALUE(TRIM(LEFT(MID($A241,FIND("/",$A241)+1,20),FIND("/",MID($A241,FIND("/",$A241)+1,20))-1))),"")))</f>
        <v/>
      </c>
      <c r="D241">
        <f>IF(OR($A241="",$B241=""),"",IF(ISNUMBER($A241),MOD($A241,100),IFERROR(VALUE(TRIM(MID(MID($A241,FIND("/",$A241)+1,20),FIND("/",MID($A241,FIND("/",$A241)+1,20))+1,20))),"")))</f>
        <v/>
      </c>
      <c r="E241">
        <f>IF($A241="","",IF(OR($B241="",$C241="",$D241="",$B241&lt;1300,$B241&gt;1500,$C241&lt;1,$C241&gt;12,$D241&lt;1,$D241&gt;31),"نامعتبر",RIGHT("0000"&amp;$B241,4)&amp;"/"&amp;RIGHT("00"&amp;$C241,2)&amp;"/"&amp;RIGHT("00"&amp;$D241,2)))</f>
        <v/>
      </c>
      <c r="F241">
        <f>IF(Entry!$D241&lt;&gt;"",IF(AND(ISNUMBER(Entry!$D241),Entry!$D241&gt;=0,Entry!$D241&lt;1),RIGHT("00"&amp;HOUR(Entry!$D241),2)&amp;":"&amp;RIGHT("00"&amp;MINUTE(Entry!$D241),2),IFERROR(RIGHT("00"&amp;VALUE(TRIM(LEFT(Entry!$D241,FIND(":",Entry!$D241)-1))),2)&amp;":"&amp;RIGHT("00"&amp;VALUE(TRIM(MID(Entry!$D241,FIND(":",Entry!$D241)+1,2))),2),"نامعتبر")),IF(OR($E241="",$E241="نامعتبر"),"","00:00"))</f>
        <v/>
      </c>
      <c r="G241">
        <f>IF(OR($E241="",$E241="نامعتبر"),"",IF(Entry!$E241="","",LEFT(UPPER(TRIM(Entry!$E241)),6)))</f>
        <v/>
      </c>
      <c r="H241">
        <f>IF($G241="","",RIGHT($E241,4)&amp;MID($E241,6,2)&amp;RIGHT($E241,2)&amp;IF($F241="","0000",IF($F241="نامعتبر","9999",LEFT($F241,2)&amp;RIGHT($F241,2)))&amp;"|"&amp;RIGHT("00000"&amp;233,5))</f>
        <v/>
      </c>
      <c r="I241">
        <f>IF($H241="","",COUNTIFS(CalcBank,$G241,CalcKey,"&lt;"&amp;$H241)+1)</f>
        <v/>
      </c>
      <c r="J241">
        <f>IF($I241="","",$G241&amp;"|"&amp;RIGHT("000000"&amp;$I241,6))</f>
        <v/>
      </c>
      <c r="K241">
        <f>IF(OR($E241="",$E241="نامعتبر"),"",LEFT($E241,4)&amp;"/"&amp;MID($E241,6,2))</f>
        <v/>
      </c>
      <c r="L241">
        <f>IF(Entry!$K241="",0,Entry!$K241)</f>
        <v/>
      </c>
      <c r="M241">
        <f>IF(Entry!$L241="",0,Entry!$L241)</f>
        <v/>
      </c>
    </row>
    <row r="242">
      <c r="A242">
        <f>IF(Entry!$C242="","",Entry!$C242)</f>
        <v/>
      </c>
      <c r="B242">
        <f>IF($A242="","",IF(ISNUMBER($A242),IF(AND($A242&gt;=10000101,$A242&lt;=99991231),INT($A242/10000),""),IFERROR(VALUE(TRIM(LEFT($A242,FIND("/",$A242)-1))),"")))</f>
        <v/>
      </c>
      <c r="C242">
        <f>IF(OR($A242="",$B242=""),"",IF(ISNUMBER($A242),INT(MOD($A242,10000)/100),IFERROR(VALUE(TRIM(LEFT(MID($A242,FIND("/",$A242)+1,20),FIND("/",MID($A242,FIND("/",$A242)+1,20))-1))),"")))</f>
        <v/>
      </c>
      <c r="D242">
        <f>IF(OR($A242="",$B242=""),"",IF(ISNUMBER($A242),MOD($A242,100),IFERROR(VALUE(TRIM(MID(MID($A242,FIND("/",$A242)+1,20),FIND("/",MID($A242,FIND("/",$A242)+1,20))+1,20))),"")))</f>
        <v/>
      </c>
      <c r="E242">
        <f>IF($A242="","",IF(OR($B242="",$C242="",$D242="",$B242&lt;1300,$B242&gt;1500,$C242&lt;1,$C242&gt;12,$D242&lt;1,$D242&gt;31),"نامعتبر",RIGHT("0000"&amp;$B242,4)&amp;"/"&amp;RIGHT("00"&amp;$C242,2)&amp;"/"&amp;RIGHT("00"&amp;$D242,2)))</f>
        <v/>
      </c>
      <c r="F242">
        <f>IF(Entry!$D242&lt;&gt;"",IF(AND(ISNUMBER(Entry!$D242),Entry!$D242&gt;=0,Entry!$D242&lt;1),RIGHT("00"&amp;HOUR(Entry!$D242),2)&amp;":"&amp;RIGHT("00"&amp;MINUTE(Entry!$D242),2),IFERROR(RIGHT("00"&amp;VALUE(TRIM(LEFT(Entry!$D242,FIND(":",Entry!$D242)-1))),2)&amp;":"&amp;RIGHT("00"&amp;VALUE(TRIM(MID(Entry!$D242,FIND(":",Entry!$D242)+1,2))),2),"نامعتبر")),IF(OR($E242="",$E242="نامعتبر"),"","00:00"))</f>
        <v/>
      </c>
      <c r="G242">
        <f>IF(OR($E242="",$E242="نامعتبر"),"",IF(Entry!$E242="","",LEFT(UPPER(TRIM(Entry!$E242)),6)))</f>
        <v/>
      </c>
      <c r="H242">
        <f>IF($G242="","",RIGHT($E242,4)&amp;MID($E242,6,2)&amp;RIGHT($E242,2)&amp;IF($F242="","0000",IF($F242="نامعتبر","9999",LEFT($F242,2)&amp;RIGHT($F242,2)))&amp;"|"&amp;RIGHT("00000"&amp;234,5))</f>
        <v/>
      </c>
      <c r="I242">
        <f>IF($H242="","",COUNTIFS(CalcBank,$G242,CalcKey,"&lt;"&amp;$H242)+1)</f>
        <v/>
      </c>
      <c r="J242">
        <f>IF($I242="","",$G242&amp;"|"&amp;RIGHT("000000"&amp;$I242,6))</f>
        <v/>
      </c>
      <c r="K242">
        <f>IF(OR($E242="",$E242="نامعتبر"),"",LEFT($E242,4)&amp;"/"&amp;MID($E242,6,2))</f>
        <v/>
      </c>
      <c r="L242">
        <f>IF(Entry!$K242="",0,Entry!$K242)</f>
        <v/>
      </c>
      <c r="M242">
        <f>IF(Entry!$L242="",0,Entry!$L242)</f>
        <v/>
      </c>
    </row>
    <row r="243">
      <c r="A243">
        <f>IF(Entry!$C243="","",Entry!$C243)</f>
        <v/>
      </c>
      <c r="B243">
        <f>IF($A243="","",IF(ISNUMBER($A243),IF(AND($A243&gt;=10000101,$A243&lt;=99991231),INT($A243/10000),""),IFERROR(VALUE(TRIM(LEFT($A243,FIND("/",$A243)-1))),"")))</f>
        <v/>
      </c>
      <c r="C243">
        <f>IF(OR($A243="",$B243=""),"",IF(ISNUMBER($A243),INT(MOD($A243,10000)/100),IFERROR(VALUE(TRIM(LEFT(MID($A243,FIND("/",$A243)+1,20),FIND("/",MID($A243,FIND("/",$A243)+1,20))-1))),"")))</f>
        <v/>
      </c>
      <c r="D243">
        <f>IF(OR($A243="",$B243=""),"",IF(ISNUMBER($A243),MOD($A243,100),IFERROR(VALUE(TRIM(MID(MID($A243,FIND("/",$A243)+1,20),FIND("/",MID($A243,FIND("/",$A243)+1,20))+1,20))),"")))</f>
        <v/>
      </c>
      <c r="E243">
        <f>IF($A243="","",IF(OR($B243="",$C243="",$D243="",$B243&lt;1300,$B243&gt;1500,$C243&lt;1,$C243&gt;12,$D243&lt;1,$D243&gt;31),"نامعتبر",RIGHT("0000"&amp;$B243,4)&amp;"/"&amp;RIGHT("00"&amp;$C243,2)&amp;"/"&amp;RIGHT("00"&amp;$D243,2)))</f>
        <v/>
      </c>
      <c r="F243">
        <f>IF(Entry!$D243&lt;&gt;"",IF(AND(ISNUMBER(Entry!$D243),Entry!$D243&gt;=0,Entry!$D243&lt;1),RIGHT("00"&amp;HOUR(Entry!$D243),2)&amp;":"&amp;RIGHT("00"&amp;MINUTE(Entry!$D243),2),IFERROR(RIGHT("00"&amp;VALUE(TRIM(LEFT(Entry!$D243,FIND(":",Entry!$D243)-1))),2)&amp;":"&amp;RIGHT("00"&amp;VALUE(TRIM(MID(Entry!$D243,FIND(":",Entry!$D243)+1,2))),2),"نامعتبر")),IF(OR($E243="",$E243="نامعتبر"),"","00:00"))</f>
        <v/>
      </c>
      <c r="G243">
        <f>IF(OR($E243="",$E243="نامعتبر"),"",IF(Entry!$E243="","",LEFT(UPPER(TRIM(Entry!$E243)),6)))</f>
        <v/>
      </c>
      <c r="H243">
        <f>IF($G243="","",RIGHT($E243,4)&amp;MID($E243,6,2)&amp;RIGHT($E243,2)&amp;IF($F243="","0000",IF($F243="نامعتبر","9999",LEFT($F243,2)&amp;RIGHT($F243,2)))&amp;"|"&amp;RIGHT("00000"&amp;235,5))</f>
        <v/>
      </c>
      <c r="I243">
        <f>IF($H243="","",COUNTIFS(CalcBank,$G243,CalcKey,"&lt;"&amp;$H243)+1)</f>
        <v/>
      </c>
      <c r="J243">
        <f>IF($I243="","",$G243&amp;"|"&amp;RIGHT("000000"&amp;$I243,6))</f>
        <v/>
      </c>
      <c r="K243">
        <f>IF(OR($E243="",$E243="نامعتبر"),"",LEFT($E243,4)&amp;"/"&amp;MID($E243,6,2))</f>
        <v/>
      </c>
      <c r="L243">
        <f>IF(Entry!$K243="",0,Entry!$K243)</f>
        <v/>
      </c>
      <c r="M243">
        <f>IF(Entry!$L243="",0,Entry!$L243)</f>
        <v/>
      </c>
    </row>
    <row r="244">
      <c r="A244">
        <f>IF(Entry!$C244="","",Entry!$C244)</f>
        <v/>
      </c>
      <c r="B244">
        <f>IF($A244="","",IF(ISNUMBER($A244),IF(AND($A244&gt;=10000101,$A244&lt;=99991231),INT($A244/10000),""),IFERROR(VALUE(TRIM(LEFT($A244,FIND("/",$A244)-1))),"")))</f>
        <v/>
      </c>
      <c r="C244">
        <f>IF(OR($A244="",$B244=""),"",IF(ISNUMBER($A244),INT(MOD($A244,10000)/100),IFERROR(VALUE(TRIM(LEFT(MID($A244,FIND("/",$A244)+1,20),FIND("/",MID($A244,FIND("/",$A244)+1,20))-1))),"")))</f>
        <v/>
      </c>
      <c r="D244">
        <f>IF(OR($A244="",$B244=""),"",IF(ISNUMBER($A244),MOD($A244,100),IFERROR(VALUE(TRIM(MID(MID($A244,FIND("/",$A244)+1,20),FIND("/",MID($A244,FIND("/",$A244)+1,20))+1,20))),"")))</f>
        <v/>
      </c>
      <c r="E244">
        <f>IF($A244="","",IF(OR($B244="",$C244="",$D244="",$B244&lt;1300,$B244&gt;1500,$C244&lt;1,$C244&gt;12,$D244&lt;1,$D244&gt;31),"نامعتبر",RIGHT("0000"&amp;$B244,4)&amp;"/"&amp;RIGHT("00"&amp;$C244,2)&amp;"/"&amp;RIGHT("00"&amp;$D244,2)))</f>
        <v/>
      </c>
      <c r="F244">
        <f>IF(Entry!$D244&lt;&gt;"",IF(AND(ISNUMBER(Entry!$D244),Entry!$D244&gt;=0,Entry!$D244&lt;1),RIGHT("00"&amp;HOUR(Entry!$D244),2)&amp;":"&amp;RIGHT("00"&amp;MINUTE(Entry!$D244),2),IFERROR(RIGHT("00"&amp;VALUE(TRIM(LEFT(Entry!$D244,FIND(":",Entry!$D244)-1))),2)&amp;":"&amp;RIGHT("00"&amp;VALUE(TRIM(MID(Entry!$D244,FIND(":",Entry!$D244)+1,2))),2),"نامعتبر")),IF(OR($E244="",$E244="نامعتبر"),"","00:00"))</f>
        <v/>
      </c>
      <c r="G244">
        <f>IF(OR($E244="",$E244="نامعتبر"),"",IF(Entry!$E244="","",LEFT(UPPER(TRIM(Entry!$E244)),6)))</f>
        <v/>
      </c>
      <c r="H244">
        <f>IF($G244="","",RIGHT($E244,4)&amp;MID($E244,6,2)&amp;RIGHT($E244,2)&amp;IF($F244="","0000",IF($F244="نامعتبر","9999",LEFT($F244,2)&amp;RIGHT($F244,2)))&amp;"|"&amp;RIGHT("00000"&amp;236,5))</f>
        <v/>
      </c>
      <c r="I244">
        <f>IF($H244="","",COUNTIFS(CalcBank,$G244,CalcKey,"&lt;"&amp;$H244)+1)</f>
        <v/>
      </c>
      <c r="J244">
        <f>IF($I244="","",$G244&amp;"|"&amp;RIGHT("000000"&amp;$I244,6))</f>
        <v/>
      </c>
      <c r="K244">
        <f>IF(OR($E244="",$E244="نامعتبر"),"",LEFT($E244,4)&amp;"/"&amp;MID($E244,6,2))</f>
        <v/>
      </c>
      <c r="L244">
        <f>IF(Entry!$K244="",0,Entry!$K244)</f>
        <v/>
      </c>
      <c r="M244">
        <f>IF(Entry!$L244="",0,Entry!$L244)</f>
        <v/>
      </c>
    </row>
    <row r="245">
      <c r="A245">
        <f>IF(Entry!$C245="","",Entry!$C245)</f>
        <v/>
      </c>
      <c r="B245">
        <f>IF($A245="","",IF(ISNUMBER($A245),IF(AND($A245&gt;=10000101,$A245&lt;=99991231),INT($A245/10000),""),IFERROR(VALUE(TRIM(LEFT($A245,FIND("/",$A245)-1))),"")))</f>
        <v/>
      </c>
      <c r="C245">
        <f>IF(OR($A245="",$B245=""),"",IF(ISNUMBER($A245),INT(MOD($A245,10000)/100),IFERROR(VALUE(TRIM(LEFT(MID($A245,FIND("/",$A245)+1,20),FIND("/",MID($A245,FIND("/",$A245)+1,20))-1))),"")))</f>
        <v/>
      </c>
      <c r="D245">
        <f>IF(OR($A245="",$B245=""),"",IF(ISNUMBER($A245),MOD($A245,100),IFERROR(VALUE(TRIM(MID(MID($A245,FIND("/",$A245)+1,20),FIND("/",MID($A245,FIND("/",$A245)+1,20))+1,20))),"")))</f>
        <v/>
      </c>
      <c r="E245">
        <f>IF($A245="","",IF(OR($B245="",$C245="",$D245="",$B245&lt;1300,$B245&gt;1500,$C245&lt;1,$C245&gt;12,$D245&lt;1,$D245&gt;31),"نامعتبر",RIGHT("0000"&amp;$B245,4)&amp;"/"&amp;RIGHT("00"&amp;$C245,2)&amp;"/"&amp;RIGHT("00"&amp;$D245,2)))</f>
        <v/>
      </c>
      <c r="F245">
        <f>IF(Entry!$D245&lt;&gt;"",IF(AND(ISNUMBER(Entry!$D245),Entry!$D245&gt;=0,Entry!$D245&lt;1),RIGHT("00"&amp;HOUR(Entry!$D245),2)&amp;":"&amp;RIGHT("00"&amp;MINUTE(Entry!$D245),2),IFERROR(RIGHT("00"&amp;VALUE(TRIM(LEFT(Entry!$D245,FIND(":",Entry!$D245)-1))),2)&amp;":"&amp;RIGHT("00"&amp;VALUE(TRIM(MID(Entry!$D245,FIND(":",Entry!$D245)+1,2))),2),"نامعتبر")),IF(OR($E245="",$E245="نامعتبر"),"","00:00"))</f>
        <v/>
      </c>
      <c r="G245">
        <f>IF(OR($E245="",$E245="نامعتبر"),"",IF(Entry!$E245="","",LEFT(UPPER(TRIM(Entry!$E245)),6)))</f>
        <v/>
      </c>
      <c r="H245">
        <f>IF($G245="","",RIGHT($E245,4)&amp;MID($E245,6,2)&amp;RIGHT($E245,2)&amp;IF($F245="","0000",IF($F245="نامعتبر","9999",LEFT($F245,2)&amp;RIGHT($F245,2)))&amp;"|"&amp;RIGHT("00000"&amp;237,5))</f>
        <v/>
      </c>
      <c r="I245">
        <f>IF($H245="","",COUNTIFS(CalcBank,$G245,CalcKey,"&lt;"&amp;$H245)+1)</f>
        <v/>
      </c>
      <c r="J245">
        <f>IF($I245="","",$G245&amp;"|"&amp;RIGHT("000000"&amp;$I245,6))</f>
        <v/>
      </c>
      <c r="K245">
        <f>IF(OR($E245="",$E245="نامعتبر"),"",LEFT($E245,4)&amp;"/"&amp;MID($E245,6,2))</f>
        <v/>
      </c>
      <c r="L245">
        <f>IF(Entry!$K245="",0,Entry!$K245)</f>
        <v/>
      </c>
      <c r="M245">
        <f>IF(Entry!$L245="",0,Entry!$L245)</f>
        <v/>
      </c>
    </row>
    <row r="246">
      <c r="A246">
        <f>IF(Entry!$C246="","",Entry!$C246)</f>
        <v/>
      </c>
      <c r="B246">
        <f>IF($A246="","",IF(ISNUMBER($A246),IF(AND($A246&gt;=10000101,$A246&lt;=99991231),INT($A246/10000),""),IFERROR(VALUE(TRIM(LEFT($A246,FIND("/",$A246)-1))),"")))</f>
        <v/>
      </c>
      <c r="C246">
        <f>IF(OR($A246="",$B246=""),"",IF(ISNUMBER($A246),INT(MOD($A246,10000)/100),IFERROR(VALUE(TRIM(LEFT(MID($A246,FIND("/",$A246)+1,20),FIND("/",MID($A246,FIND("/",$A246)+1,20))-1))),"")))</f>
        <v/>
      </c>
      <c r="D246">
        <f>IF(OR($A246="",$B246=""),"",IF(ISNUMBER($A246),MOD($A246,100),IFERROR(VALUE(TRIM(MID(MID($A246,FIND("/",$A246)+1,20),FIND("/",MID($A246,FIND("/",$A246)+1,20))+1,20))),"")))</f>
        <v/>
      </c>
      <c r="E246">
        <f>IF($A246="","",IF(OR($B246="",$C246="",$D246="",$B246&lt;1300,$B246&gt;1500,$C246&lt;1,$C246&gt;12,$D246&lt;1,$D246&gt;31),"نامعتبر",RIGHT("0000"&amp;$B246,4)&amp;"/"&amp;RIGHT("00"&amp;$C246,2)&amp;"/"&amp;RIGHT("00"&amp;$D246,2)))</f>
        <v/>
      </c>
      <c r="F246">
        <f>IF(Entry!$D246&lt;&gt;"",IF(AND(ISNUMBER(Entry!$D246),Entry!$D246&gt;=0,Entry!$D246&lt;1),RIGHT("00"&amp;HOUR(Entry!$D246),2)&amp;":"&amp;RIGHT("00"&amp;MINUTE(Entry!$D246),2),IFERROR(RIGHT("00"&amp;VALUE(TRIM(LEFT(Entry!$D246,FIND(":",Entry!$D246)-1))),2)&amp;":"&amp;RIGHT("00"&amp;VALUE(TRIM(MID(Entry!$D246,FIND(":",Entry!$D246)+1,2))),2),"نامعتبر")),IF(OR($E246="",$E246="نامعتبر"),"","00:00"))</f>
        <v/>
      </c>
      <c r="G246">
        <f>IF(OR($E246="",$E246="نامعتبر"),"",IF(Entry!$E246="","",LEFT(UPPER(TRIM(Entry!$E246)),6)))</f>
        <v/>
      </c>
      <c r="H246">
        <f>IF($G246="","",RIGHT($E246,4)&amp;MID($E246,6,2)&amp;RIGHT($E246,2)&amp;IF($F246="","0000",IF($F246="نامعتبر","9999",LEFT($F246,2)&amp;RIGHT($F246,2)))&amp;"|"&amp;RIGHT("00000"&amp;238,5))</f>
        <v/>
      </c>
      <c r="I246">
        <f>IF($H246="","",COUNTIFS(CalcBank,$G246,CalcKey,"&lt;"&amp;$H246)+1)</f>
        <v/>
      </c>
      <c r="J246">
        <f>IF($I246="","",$G246&amp;"|"&amp;RIGHT("000000"&amp;$I246,6))</f>
        <v/>
      </c>
      <c r="K246">
        <f>IF(OR($E246="",$E246="نامعتبر"),"",LEFT($E246,4)&amp;"/"&amp;MID($E246,6,2))</f>
        <v/>
      </c>
      <c r="L246">
        <f>IF(Entry!$K246="",0,Entry!$K246)</f>
        <v/>
      </c>
      <c r="M246">
        <f>IF(Entry!$L246="",0,Entry!$L246)</f>
        <v/>
      </c>
    </row>
    <row r="247">
      <c r="A247">
        <f>IF(Entry!$C247="","",Entry!$C247)</f>
        <v/>
      </c>
      <c r="B247">
        <f>IF($A247="","",IF(ISNUMBER($A247),IF(AND($A247&gt;=10000101,$A247&lt;=99991231),INT($A247/10000),""),IFERROR(VALUE(TRIM(LEFT($A247,FIND("/",$A247)-1))),"")))</f>
        <v/>
      </c>
      <c r="C247">
        <f>IF(OR($A247="",$B247=""),"",IF(ISNUMBER($A247),INT(MOD($A247,10000)/100),IFERROR(VALUE(TRIM(LEFT(MID($A247,FIND("/",$A247)+1,20),FIND("/",MID($A247,FIND("/",$A247)+1,20))-1))),"")))</f>
        <v/>
      </c>
      <c r="D247">
        <f>IF(OR($A247="",$B247=""),"",IF(ISNUMBER($A247),MOD($A247,100),IFERROR(VALUE(TRIM(MID(MID($A247,FIND("/",$A247)+1,20),FIND("/",MID($A247,FIND("/",$A247)+1,20))+1,20))),"")))</f>
        <v/>
      </c>
      <c r="E247">
        <f>IF($A247="","",IF(OR($B247="",$C247="",$D247="",$B247&lt;1300,$B247&gt;1500,$C247&lt;1,$C247&gt;12,$D247&lt;1,$D247&gt;31),"نامعتبر",RIGHT("0000"&amp;$B247,4)&amp;"/"&amp;RIGHT("00"&amp;$C247,2)&amp;"/"&amp;RIGHT("00"&amp;$D247,2)))</f>
        <v/>
      </c>
      <c r="F247">
        <f>IF(Entry!$D247&lt;&gt;"",IF(AND(ISNUMBER(Entry!$D247),Entry!$D247&gt;=0,Entry!$D247&lt;1),RIGHT("00"&amp;HOUR(Entry!$D247),2)&amp;":"&amp;RIGHT("00"&amp;MINUTE(Entry!$D247),2),IFERROR(RIGHT("00"&amp;VALUE(TRIM(LEFT(Entry!$D247,FIND(":",Entry!$D247)-1))),2)&amp;":"&amp;RIGHT("00"&amp;VALUE(TRIM(MID(Entry!$D247,FIND(":",Entry!$D247)+1,2))),2),"نامعتبر")),IF(OR($E247="",$E247="نامعتبر"),"","00:00"))</f>
        <v/>
      </c>
      <c r="G247">
        <f>IF(OR($E247="",$E247="نامعتبر"),"",IF(Entry!$E247="","",LEFT(UPPER(TRIM(Entry!$E247)),6)))</f>
        <v/>
      </c>
      <c r="H247">
        <f>IF($G247="","",RIGHT($E247,4)&amp;MID($E247,6,2)&amp;RIGHT($E247,2)&amp;IF($F247="","0000",IF($F247="نامعتبر","9999",LEFT($F247,2)&amp;RIGHT($F247,2)))&amp;"|"&amp;RIGHT("00000"&amp;239,5))</f>
        <v/>
      </c>
      <c r="I247">
        <f>IF($H247="","",COUNTIFS(CalcBank,$G247,CalcKey,"&lt;"&amp;$H247)+1)</f>
        <v/>
      </c>
      <c r="J247">
        <f>IF($I247="","",$G247&amp;"|"&amp;RIGHT("000000"&amp;$I247,6))</f>
        <v/>
      </c>
      <c r="K247">
        <f>IF(OR($E247="",$E247="نامعتبر"),"",LEFT($E247,4)&amp;"/"&amp;MID($E247,6,2))</f>
        <v/>
      </c>
      <c r="L247">
        <f>IF(Entry!$K247="",0,Entry!$K247)</f>
        <v/>
      </c>
      <c r="M247">
        <f>IF(Entry!$L247="",0,Entry!$L247)</f>
        <v/>
      </c>
    </row>
    <row r="248">
      <c r="A248">
        <f>IF(Entry!$C248="","",Entry!$C248)</f>
        <v/>
      </c>
      <c r="B248">
        <f>IF($A248="","",IF(ISNUMBER($A248),IF(AND($A248&gt;=10000101,$A248&lt;=99991231),INT($A248/10000),""),IFERROR(VALUE(TRIM(LEFT($A248,FIND("/",$A248)-1))),"")))</f>
        <v/>
      </c>
      <c r="C248">
        <f>IF(OR($A248="",$B248=""),"",IF(ISNUMBER($A248),INT(MOD($A248,10000)/100),IFERROR(VALUE(TRIM(LEFT(MID($A248,FIND("/",$A248)+1,20),FIND("/",MID($A248,FIND("/",$A248)+1,20))-1))),"")))</f>
        <v/>
      </c>
      <c r="D248">
        <f>IF(OR($A248="",$B248=""),"",IF(ISNUMBER($A248),MOD($A248,100),IFERROR(VALUE(TRIM(MID(MID($A248,FIND("/",$A248)+1,20),FIND("/",MID($A248,FIND("/",$A248)+1,20))+1,20))),"")))</f>
        <v/>
      </c>
      <c r="E248">
        <f>IF($A248="","",IF(OR($B248="",$C248="",$D248="",$B248&lt;1300,$B248&gt;1500,$C248&lt;1,$C248&gt;12,$D248&lt;1,$D248&gt;31),"نامعتبر",RIGHT("0000"&amp;$B248,4)&amp;"/"&amp;RIGHT("00"&amp;$C248,2)&amp;"/"&amp;RIGHT("00"&amp;$D248,2)))</f>
        <v/>
      </c>
      <c r="F248">
        <f>IF(Entry!$D248&lt;&gt;"",IF(AND(ISNUMBER(Entry!$D248),Entry!$D248&gt;=0,Entry!$D248&lt;1),RIGHT("00"&amp;HOUR(Entry!$D248),2)&amp;":"&amp;RIGHT("00"&amp;MINUTE(Entry!$D248),2),IFERROR(RIGHT("00"&amp;VALUE(TRIM(LEFT(Entry!$D248,FIND(":",Entry!$D248)-1))),2)&amp;":"&amp;RIGHT("00"&amp;VALUE(TRIM(MID(Entry!$D248,FIND(":",Entry!$D248)+1,2))),2),"نامعتبر")),IF(OR($E248="",$E248="نامعتبر"),"","00:00"))</f>
        <v/>
      </c>
      <c r="G248">
        <f>IF(OR($E248="",$E248="نامعتبر"),"",IF(Entry!$E248="","",LEFT(UPPER(TRIM(Entry!$E248)),6)))</f>
        <v/>
      </c>
      <c r="H248">
        <f>IF($G248="","",RIGHT($E248,4)&amp;MID($E248,6,2)&amp;RIGHT($E248,2)&amp;IF($F248="","0000",IF($F248="نامعتبر","9999",LEFT($F248,2)&amp;RIGHT($F248,2)))&amp;"|"&amp;RIGHT("00000"&amp;240,5))</f>
        <v/>
      </c>
      <c r="I248">
        <f>IF($H248="","",COUNTIFS(CalcBank,$G248,CalcKey,"&lt;"&amp;$H248)+1)</f>
        <v/>
      </c>
      <c r="J248">
        <f>IF($I248="","",$G248&amp;"|"&amp;RIGHT("000000"&amp;$I248,6))</f>
        <v/>
      </c>
      <c r="K248">
        <f>IF(OR($E248="",$E248="نامعتبر"),"",LEFT($E248,4)&amp;"/"&amp;MID($E248,6,2))</f>
        <v/>
      </c>
      <c r="L248">
        <f>IF(Entry!$K248="",0,Entry!$K248)</f>
        <v/>
      </c>
      <c r="M248">
        <f>IF(Entry!$L248="",0,Entry!$L248)</f>
        <v/>
      </c>
    </row>
    <row r="249">
      <c r="A249">
        <f>IF(Entry!$C249="","",Entry!$C249)</f>
        <v/>
      </c>
      <c r="B249">
        <f>IF($A249="","",IF(ISNUMBER($A249),IF(AND($A249&gt;=10000101,$A249&lt;=99991231),INT($A249/10000),""),IFERROR(VALUE(TRIM(LEFT($A249,FIND("/",$A249)-1))),"")))</f>
        <v/>
      </c>
      <c r="C249">
        <f>IF(OR($A249="",$B249=""),"",IF(ISNUMBER($A249),INT(MOD($A249,10000)/100),IFERROR(VALUE(TRIM(LEFT(MID($A249,FIND("/",$A249)+1,20),FIND("/",MID($A249,FIND("/",$A249)+1,20))-1))),"")))</f>
        <v/>
      </c>
      <c r="D249">
        <f>IF(OR($A249="",$B249=""),"",IF(ISNUMBER($A249),MOD($A249,100),IFERROR(VALUE(TRIM(MID(MID($A249,FIND("/",$A249)+1,20),FIND("/",MID($A249,FIND("/",$A249)+1,20))+1,20))),"")))</f>
        <v/>
      </c>
      <c r="E249">
        <f>IF($A249="","",IF(OR($B249="",$C249="",$D249="",$B249&lt;1300,$B249&gt;1500,$C249&lt;1,$C249&gt;12,$D249&lt;1,$D249&gt;31),"نامعتبر",RIGHT("0000"&amp;$B249,4)&amp;"/"&amp;RIGHT("00"&amp;$C249,2)&amp;"/"&amp;RIGHT("00"&amp;$D249,2)))</f>
        <v/>
      </c>
      <c r="F249">
        <f>IF(Entry!$D249&lt;&gt;"",IF(AND(ISNUMBER(Entry!$D249),Entry!$D249&gt;=0,Entry!$D249&lt;1),RIGHT("00"&amp;HOUR(Entry!$D249),2)&amp;":"&amp;RIGHT("00"&amp;MINUTE(Entry!$D249),2),IFERROR(RIGHT("00"&amp;VALUE(TRIM(LEFT(Entry!$D249,FIND(":",Entry!$D249)-1))),2)&amp;":"&amp;RIGHT("00"&amp;VALUE(TRIM(MID(Entry!$D249,FIND(":",Entry!$D249)+1,2))),2),"نامعتبر")),IF(OR($E249="",$E249="نامعتبر"),"","00:00"))</f>
        <v/>
      </c>
      <c r="G249">
        <f>IF(OR($E249="",$E249="نامعتبر"),"",IF(Entry!$E249="","",LEFT(UPPER(TRIM(Entry!$E249)),6)))</f>
        <v/>
      </c>
      <c r="H249">
        <f>IF($G249="","",RIGHT($E249,4)&amp;MID($E249,6,2)&amp;RIGHT($E249,2)&amp;IF($F249="","0000",IF($F249="نامعتبر","9999",LEFT($F249,2)&amp;RIGHT($F249,2)))&amp;"|"&amp;RIGHT("00000"&amp;241,5))</f>
        <v/>
      </c>
      <c r="I249">
        <f>IF($H249="","",COUNTIFS(CalcBank,$G249,CalcKey,"&lt;"&amp;$H249)+1)</f>
        <v/>
      </c>
      <c r="J249">
        <f>IF($I249="","",$G249&amp;"|"&amp;RIGHT("000000"&amp;$I249,6))</f>
        <v/>
      </c>
      <c r="K249">
        <f>IF(OR($E249="",$E249="نامعتبر"),"",LEFT($E249,4)&amp;"/"&amp;MID($E249,6,2))</f>
        <v/>
      </c>
      <c r="L249">
        <f>IF(Entry!$K249="",0,Entry!$K249)</f>
        <v/>
      </c>
      <c r="M249">
        <f>IF(Entry!$L249="",0,Entry!$L249)</f>
        <v/>
      </c>
    </row>
    <row r="250">
      <c r="A250">
        <f>IF(Entry!$C250="","",Entry!$C250)</f>
        <v/>
      </c>
      <c r="B250">
        <f>IF($A250="","",IF(ISNUMBER($A250),IF(AND($A250&gt;=10000101,$A250&lt;=99991231),INT($A250/10000),""),IFERROR(VALUE(TRIM(LEFT($A250,FIND("/",$A250)-1))),"")))</f>
        <v/>
      </c>
      <c r="C250">
        <f>IF(OR($A250="",$B250=""),"",IF(ISNUMBER($A250),INT(MOD($A250,10000)/100),IFERROR(VALUE(TRIM(LEFT(MID($A250,FIND("/",$A250)+1,20),FIND("/",MID($A250,FIND("/",$A250)+1,20))-1))),"")))</f>
        <v/>
      </c>
      <c r="D250">
        <f>IF(OR($A250="",$B250=""),"",IF(ISNUMBER($A250),MOD($A250,100),IFERROR(VALUE(TRIM(MID(MID($A250,FIND("/",$A250)+1,20),FIND("/",MID($A250,FIND("/",$A250)+1,20))+1,20))),"")))</f>
        <v/>
      </c>
      <c r="E250">
        <f>IF($A250="","",IF(OR($B250="",$C250="",$D250="",$B250&lt;1300,$B250&gt;1500,$C250&lt;1,$C250&gt;12,$D250&lt;1,$D250&gt;31),"نامعتبر",RIGHT("0000"&amp;$B250,4)&amp;"/"&amp;RIGHT("00"&amp;$C250,2)&amp;"/"&amp;RIGHT("00"&amp;$D250,2)))</f>
        <v/>
      </c>
      <c r="F250">
        <f>IF(Entry!$D250&lt;&gt;"",IF(AND(ISNUMBER(Entry!$D250),Entry!$D250&gt;=0,Entry!$D250&lt;1),RIGHT("00"&amp;HOUR(Entry!$D250),2)&amp;":"&amp;RIGHT("00"&amp;MINUTE(Entry!$D250),2),IFERROR(RIGHT("00"&amp;VALUE(TRIM(LEFT(Entry!$D250,FIND(":",Entry!$D250)-1))),2)&amp;":"&amp;RIGHT("00"&amp;VALUE(TRIM(MID(Entry!$D250,FIND(":",Entry!$D250)+1,2))),2),"نامعتبر")),IF(OR($E250="",$E250="نامعتبر"),"","00:00"))</f>
        <v/>
      </c>
      <c r="G250">
        <f>IF(OR($E250="",$E250="نامعتبر"),"",IF(Entry!$E250="","",LEFT(UPPER(TRIM(Entry!$E250)),6)))</f>
        <v/>
      </c>
      <c r="H250">
        <f>IF($G250="","",RIGHT($E250,4)&amp;MID($E250,6,2)&amp;RIGHT($E250,2)&amp;IF($F250="","0000",IF($F250="نامعتبر","9999",LEFT($F250,2)&amp;RIGHT($F250,2)))&amp;"|"&amp;RIGHT("00000"&amp;242,5))</f>
        <v/>
      </c>
      <c r="I250">
        <f>IF($H250="","",COUNTIFS(CalcBank,$G250,CalcKey,"&lt;"&amp;$H250)+1)</f>
        <v/>
      </c>
      <c r="J250">
        <f>IF($I250="","",$G250&amp;"|"&amp;RIGHT("000000"&amp;$I250,6))</f>
        <v/>
      </c>
      <c r="K250">
        <f>IF(OR($E250="",$E250="نامعتبر"),"",LEFT($E250,4)&amp;"/"&amp;MID($E250,6,2))</f>
        <v/>
      </c>
      <c r="L250">
        <f>IF(Entry!$K250="",0,Entry!$K250)</f>
        <v/>
      </c>
      <c r="M250">
        <f>IF(Entry!$L250="",0,Entry!$L250)</f>
        <v/>
      </c>
    </row>
    <row r="251">
      <c r="A251">
        <f>IF(Entry!$C251="","",Entry!$C251)</f>
        <v/>
      </c>
      <c r="B251">
        <f>IF($A251="","",IF(ISNUMBER($A251),IF(AND($A251&gt;=10000101,$A251&lt;=99991231),INT($A251/10000),""),IFERROR(VALUE(TRIM(LEFT($A251,FIND("/",$A251)-1))),"")))</f>
        <v/>
      </c>
      <c r="C251">
        <f>IF(OR($A251="",$B251=""),"",IF(ISNUMBER($A251),INT(MOD($A251,10000)/100),IFERROR(VALUE(TRIM(LEFT(MID($A251,FIND("/",$A251)+1,20),FIND("/",MID($A251,FIND("/",$A251)+1,20))-1))),"")))</f>
        <v/>
      </c>
      <c r="D251">
        <f>IF(OR($A251="",$B251=""),"",IF(ISNUMBER($A251),MOD($A251,100),IFERROR(VALUE(TRIM(MID(MID($A251,FIND("/",$A251)+1,20),FIND("/",MID($A251,FIND("/",$A251)+1,20))+1,20))),"")))</f>
        <v/>
      </c>
      <c r="E251">
        <f>IF($A251="","",IF(OR($B251="",$C251="",$D251="",$B251&lt;1300,$B251&gt;1500,$C251&lt;1,$C251&gt;12,$D251&lt;1,$D251&gt;31),"نامعتبر",RIGHT("0000"&amp;$B251,4)&amp;"/"&amp;RIGHT("00"&amp;$C251,2)&amp;"/"&amp;RIGHT("00"&amp;$D251,2)))</f>
        <v/>
      </c>
      <c r="F251">
        <f>IF(Entry!$D251&lt;&gt;"",IF(AND(ISNUMBER(Entry!$D251),Entry!$D251&gt;=0,Entry!$D251&lt;1),RIGHT("00"&amp;HOUR(Entry!$D251),2)&amp;":"&amp;RIGHT("00"&amp;MINUTE(Entry!$D251),2),IFERROR(RIGHT("00"&amp;VALUE(TRIM(LEFT(Entry!$D251,FIND(":",Entry!$D251)-1))),2)&amp;":"&amp;RIGHT("00"&amp;VALUE(TRIM(MID(Entry!$D251,FIND(":",Entry!$D251)+1,2))),2),"نامعتبر")),IF(OR($E251="",$E251="نامعتبر"),"","00:00"))</f>
        <v/>
      </c>
      <c r="G251">
        <f>IF(OR($E251="",$E251="نامعتبر"),"",IF(Entry!$E251="","",LEFT(UPPER(TRIM(Entry!$E251)),6)))</f>
        <v/>
      </c>
      <c r="H251">
        <f>IF($G251="","",RIGHT($E251,4)&amp;MID($E251,6,2)&amp;RIGHT($E251,2)&amp;IF($F251="","0000",IF($F251="نامعتبر","9999",LEFT($F251,2)&amp;RIGHT($F251,2)))&amp;"|"&amp;RIGHT("00000"&amp;243,5))</f>
        <v/>
      </c>
      <c r="I251">
        <f>IF($H251="","",COUNTIFS(CalcBank,$G251,CalcKey,"&lt;"&amp;$H251)+1)</f>
        <v/>
      </c>
      <c r="J251">
        <f>IF($I251="","",$G251&amp;"|"&amp;RIGHT("000000"&amp;$I251,6))</f>
        <v/>
      </c>
      <c r="K251">
        <f>IF(OR($E251="",$E251="نامعتبر"),"",LEFT($E251,4)&amp;"/"&amp;MID($E251,6,2))</f>
        <v/>
      </c>
      <c r="L251">
        <f>IF(Entry!$K251="",0,Entry!$K251)</f>
        <v/>
      </c>
      <c r="M251">
        <f>IF(Entry!$L251="",0,Entry!$L251)</f>
        <v/>
      </c>
    </row>
    <row r="252">
      <c r="A252">
        <f>IF(Entry!$C252="","",Entry!$C252)</f>
        <v/>
      </c>
      <c r="B252">
        <f>IF($A252="","",IF(ISNUMBER($A252),IF(AND($A252&gt;=10000101,$A252&lt;=99991231),INT($A252/10000),""),IFERROR(VALUE(TRIM(LEFT($A252,FIND("/",$A252)-1))),"")))</f>
        <v/>
      </c>
      <c r="C252">
        <f>IF(OR($A252="",$B252=""),"",IF(ISNUMBER($A252),INT(MOD($A252,10000)/100),IFERROR(VALUE(TRIM(LEFT(MID($A252,FIND("/",$A252)+1,20),FIND("/",MID($A252,FIND("/",$A252)+1,20))-1))),"")))</f>
        <v/>
      </c>
      <c r="D252">
        <f>IF(OR($A252="",$B252=""),"",IF(ISNUMBER($A252),MOD($A252,100),IFERROR(VALUE(TRIM(MID(MID($A252,FIND("/",$A252)+1,20),FIND("/",MID($A252,FIND("/",$A252)+1,20))+1,20))),"")))</f>
        <v/>
      </c>
      <c r="E252">
        <f>IF($A252="","",IF(OR($B252="",$C252="",$D252="",$B252&lt;1300,$B252&gt;1500,$C252&lt;1,$C252&gt;12,$D252&lt;1,$D252&gt;31),"نامعتبر",RIGHT("0000"&amp;$B252,4)&amp;"/"&amp;RIGHT("00"&amp;$C252,2)&amp;"/"&amp;RIGHT("00"&amp;$D252,2)))</f>
        <v/>
      </c>
      <c r="F252">
        <f>IF(Entry!$D252&lt;&gt;"",IF(AND(ISNUMBER(Entry!$D252),Entry!$D252&gt;=0,Entry!$D252&lt;1),RIGHT("00"&amp;HOUR(Entry!$D252),2)&amp;":"&amp;RIGHT("00"&amp;MINUTE(Entry!$D252),2),IFERROR(RIGHT("00"&amp;VALUE(TRIM(LEFT(Entry!$D252,FIND(":",Entry!$D252)-1))),2)&amp;":"&amp;RIGHT("00"&amp;VALUE(TRIM(MID(Entry!$D252,FIND(":",Entry!$D252)+1,2))),2),"نامعتبر")),IF(OR($E252="",$E252="نامعتبر"),"","00:00"))</f>
        <v/>
      </c>
      <c r="G252">
        <f>IF(OR($E252="",$E252="نامعتبر"),"",IF(Entry!$E252="","",LEFT(UPPER(TRIM(Entry!$E252)),6)))</f>
        <v/>
      </c>
      <c r="H252">
        <f>IF($G252="","",RIGHT($E252,4)&amp;MID($E252,6,2)&amp;RIGHT($E252,2)&amp;IF($F252="","0000",IF($F252="نامعتبر","9999",LEFT($F252,2)&amp;RIGHT($F252,2)))&amp;"|"&amp;RIGHT("00000"&amp;244,5))</f>
        <v/>
      </c>
      <c r="I252">
        <f>IF($H252="","",COUNTIFS(CalcBank,$G252,CalcKey,"&lt;"&amp;$H252)+1)</f>
        <v/>
      </c>
      <c r="J252">
        <f>IF($I252="","",$G252&amp;"|"&amp;RIGHT("000000"&amp;$I252,6))</f>
        <v/>
      </c>
      <c r="K252">
        <f>IF(OR($E252="",$E252="نامعتبر"),"",LEFT($E252,4)&amp;"/"&amp;MID($E252,6,2))</f>
        <v/>
      </c>
      <c r="L252">
        <f>IF(Entry!$K252="",0,Entry!$K252)</f>
        <v/>
      </c>
      <c r="M252">
        <f>IF(Entry!$L252="",0,Entry!$L252)</f>
        <v/>
      </c>
    </row>
    <row r="253">
      <c r="A253">
        <f>IF(Entry!$C253="","",Entry!$C253)</f>
        <v/>
      </c>
      <c r="B253">
        <f>IF($A253="","",IF(ISNUMBER($A253),IF(AND($A253&gt;=10000101,$A253&lt;=99991231),INT($A253/10000),""),IFERROR(VALUE(TRIM(LEFT($A253,FIND("/",$A253)-1))),"")))</f>
        <v/>
      </c>
      <c r="C253">
        <f>IF(OR($A253="",$B253=""),"",IF(ISNUMBER($A253),INT(MOD($A253,10000)/100),IFERROR(VALUE(TRIM(LEFT(MID($A253,FIND("/",$A253)+1,20),FIND("/",MID($A253,FIND("/",$A253)+1,20))-1))),"")))</f>
        <v/>
      </c>
      <c r="D253">
        <f>IF(OR($A253="",$B253=""),"",IF(ISNUMBER($A253),MOD($A253,100),IFERROR(VALUE(TRIM(MID(MID($A253,FIND("/",$A253)+1,20),FIND("/",MID($A253,FIND("/",$A253)+1,20))+1,20))),"")))</f>
        <v/>
      </c>
      <c r="E253">
        <f>IF($A253="","",IF(OR($B253="",$C253="",$D253="",$B253&lt;1300,$B253&gt;1500,$C253&lt;1,$C253&gt;12,$D253&lt;1,$D253&gt;31),"نامعتبر",RIGHT("0000"&amp;$B253,4)&amp;"/"&amp;RIGHT("00"&amp;$C253,2)&amp;"/"&amp;RIGHT("00"&amp;$D253,2)))</f>
        <v/>
      </c>
      <c r="F253">
        <f>IF(Entry!$D253&lt;&gt;"",IF(AND(ISNUMBER(Entry!$D253),Entry!$D253&gt;=0,Entry!$D253&lt;1),RIGHT("00"&amp;HOUR(Entry!$D253),2)&amp;":"&amp;RIGHT("00"&amp;MINUTE(Entry!$D253),2),IFERROR(RIGHT("00"&amp;VALUE(TRIM(LEFT(Entry!$D253,FIND(":",Entry!$D253)-1))),2)&amp;":"&amp;RIGHT("00"&amp;VALUE(TRIM(MID(Entry!$D253,FIND(":",Entry!$D253)+1,2))),2),"نامعتبر")),IF(OR($E253="",$E253="نامعتبر"),"","00:00"))</f>
        <v/>
      </c>
      <c r="G253">
        <f>IF(OR($E253="",$E253="نامعتبر"),"",IF(Entry!$E253="","",LEFT(UPPER(TRIM(Entry!$E253)),6)))</f>
        <v/>
      </c>
      <c r="H253">
        <f>IF($G253="","",RIGHT($E253,4)&amp;MID($E253,6,2)&amp;RIGHT($E253,2)&amp;IF($F253="","0000",IF($F253="نامعتبر","9999",LEFT($F253,2)&amp;RIGHT($F253,2)))&amp;"|"&amp;RIGHT("00000"&amp;245,5))</f>
        <v/>
      </c>
      <c r="I253">
        <f>IF($H253="","",COUNTIFS(CalcBank,$G253,CalcKey,"&lt;"&amp;$H253)+1)</f>
        <v/>
      </c>
      <c r="J253">
        <f>IF($I253="","",$G253&amp;"|"&amp;RIGHT("000000"&amp;$I253,6))</f>
        <v/>
      </c>
      <c r="K253">
        <f>IF(OR($E253="",$E253="نامعتبر"),"",LEFT($E253,4)&amp;"/"&amp;MID($E253,6,2))</f>
        <v/>
      </c>
      <c r="L253">
        <f>IF(Entry!$K253="",0,Entry!$K253)</f>
        <v/>
      </c>
      <c r="M253">
        <f>IF(Entry!$L253="",0,Entry!$L253)</f>
        <v/>
      </c>
    </row>
    <row r="254">
      <c r="A254">
        <f>IF(Entry!$C254="","",Entry!$C254)</f>
        <v/>
      </c>
      <c r="B254">
        <f>IF($A254="","",IF(ISNUMBER($A254),IF(AND($A254&gt;=10000101,$A254&lt;=99991231),INT($A254/10000),""),IFERROR(VALUE(TRIM(LEFT($A254,FIND("/",$A254)-1))),"")))</f>
        <v/>
      </c>
      <c r="C254">
        <f>IF(OR($A254="",$B254=""),"",IF(ISNUMBER($A254),INT(MOD($A254,10000)/100),IFERROR(VALUE(TRIM(LEFT(MID($A254,FIND("/",$A254)+1,20),FIND("/",MID($A254,FIND("/",$A254)+1,20))-1))),"")))</f>
        <v/>
      </c>
      <c r="D254">
        <f>IF(OR($A254="",$B254=""),"",IF(ISNUMBER($A254),MOD($A254,100),IFERROR(VALUE(TRIM(MID(MID($A254,FIND("/",$A254)+1,20),FIND("/",MID($A254,FIND("/",$A254)+1,20))+1,20))),"")))</f>
        <v/>
      </c>
      <c r="E254">
        <f>IF($A254="","",IF(OR($B254="",$C254="",$D254="",$B254&lt;1300,$B254&gt;1500,$C254&lt;1,$C254&gt;12,$D254&lt;1,$D254&gt;31),"نامعتبر",RIGHT("0000"&amp;$B254,4)&amp;"/"&amp;RIGHT("00"&amp;$C254,2)&amp;"/"&amp;RIGHT("00"&amp;$D254,2)))</f>
        <v/>
      </c>
      <c r="F254">
        <f>IF(Entry!$D254&lt;&gt;"",IF(AND(ISNUMBER(Entry!$D254),Entry!$D254&gt;=0,Entry!$D254&lt;1),RIGHT("00"&amp;HOUR(Entry!$D254),2)&amp;":"&amp;RIGHT("00"&amp;MINUTE(Entry!$D254),2),IFERROR(RIGHT("00"&amp;VALUE(TRIM(LEFT(Entry!$D254,FIND(":",Entry!$D254)-1))),2)&amp;":"&amp;RIGHT("00"&amp;VALUE(TRIM(MID(Entry!$D254,FIND(":",Entry!$D254)+1,2))),2),"نامعتبر")),IF(OR($E254="",$E254="نامعتبر"),"","00:00"))</f>
        <v/>
      </c>
      <c r="G254">
        <f>IF(OR($E254="",$E254="نامعتبر"),"",IF(Entry!$E254="","",LEFT(UPPER(TRIM(Entry!$E254)),6)))</f>
        <v/>
      </c>
      <c r="H254">
        <f>IF($G254="","",RIGHT($E254,4)&amp;MID($E254,6,2)&amp;RIGHT($E254,2)&amp;IF($F254="","0000",IF($F254="نامعتبر","9999",LEFT($F254,2)&amp;RIGHT($F254,2)))&amp;"|"&amp;RIGHT("00000"&amp;246,5))</f>
        <v/>
      </c>
      <c r="I254">
        <f>IF($H254="","",COUNTIFS(CalcBank,$G254,CalcKey,"&lt;"&amp;$H254)+1)</f>
        <v/>
      </c>
      <c r="J254">
        <f>IF($I254="","",$G254&amp;"|"&amp;RIGHT("000000"&amp;$I254,6))</f>
        <v/>
      </c>
      <c r="K254">
        <f>IF(OR($E254="",$E254="نامعتبر"),"",LEFT($E254,4)&amp;"/"&amp;MID($E254,6,2))</f>
        <v/>
      </c>
      <c r="L254">
        <f>IF(Entry!$K254="",0,Entry!$K254)</f>
        <v/>
      </c>
      <c r="M254">
        <f>IF(Entry!$L254="",0,Entry!$L254)</f>
        <v/>
      </c>
    </row>
    <row r="255">
      <c r="A255">
        <f>IF(Entry!$C255="","",Entry!$C255)</f>
        <v/>
      </c>
      <c r="B255">
        <f>IF($A255="","",IF(ISNUMBER($A255),IF(AND($A255&gt;=10000101,$A255&lt;=99991231),INT($A255/10000),""),IFERROR(VALUE(TRIM(LEFT($A255,FIND("/",$A255)-1))),"")))</f>
        <v/>
      </c>
      <c r="C255">
        <f>IF(OR($A255="",$B255=""),"",IF(ISNUMBER($A255),INT(MOD($A255,10000)/100),IFERROR(VALUE(TRIM(LEFT(MID($A255,FIND("/",$A255)+1,20),FIND("/",MID($A255,FIND("/",$A255)+1,20))-1))),"")))</f>
        <v/>
      </c>
      <c r="D255">
        <f>IF(OR($A255="",$B255=""),"",IF(ISNUMBER($A255),MOD($A255,100),IFERROR(VALUE(TRIM(MID(MID($A255,FIND("/",$A255)+1,20),FIND("/",MID($A255,FIND("/",$A255)+1,20))+1,20))),"")))</f>
        <v/>
      </c>
      <c r="E255">
        <f>IF($A255="","",IF(OR($B255="",$C255="",$D255="",$B255&lt;1300,$B255&gt;1500,$C255&lt;1,$C255&gt;12,$D255&lt;1,$D255&gt;31),"نامعتبر",RIGHT("0000"&amp;$B255,4)&amp;"/"&amp;RIGHT("00"&amp;$C255,2)&amp;"/"&amp;RIGHT("00"&amp;$D255,2)))</f>
        <v/>
      </c>
      <c r="F255">
        <f>IF(Entry!$D255&lt;&gt;"",IF(AND(ISNUMBER(Entry!$D255),Entry!$D255&gt;=0,Entry!$D255&lt;1),RIGHT("00"&amp;HOUR(Entry!$D255),2)&amp;":"&amp;RIGHT("00"&amp;MINUTE(Entry!$D255),2),IFERROR(RIGHT("00"&amp;VALUE(TRIM(LEFT(Entry!$D255,FIND(":",Entry!$D255)-1))),2)&amp;":"&amp;RIGHT("00"&amp;VALUE(TRIM(MID(Entry!$D255,FIND(":",Entry!$D255)+1,2))),2),"نامعتبر")),IF(OR($E255="",$E255="نامعتبر"),"","00:00"))</f>
        <v/>
      </c>
      <c r="G255">
        <f>IF(OR($E255="",$E255="نامعتبر"),"",IF(Entry!$E255="","",LEFT(UPPER(TRIM(Entry!$E255)),6)))</f>
        <v/>
      </c>
      <c r="H255">
        <f>IF($G255="","",RIGHT($E255,4)&amp;MID($E255,6,2)&amp;RIGHT($E255,2)&amp;IF($F255="","0000",IF($F255="نامعتبر","9999",LEFT($F255,2)&amp;RIGHT($F255,2)))&amp;"|"&amp;RIGHT("00000"&amp;247,5))</f>
        <v/>
      </c>
      <c r="I255">
        <f>IF($H255="","",COUNTIFS(CalcBank,$G255,CalcKey,"&lt;"&amp;$H255)+1)</f>
        <v/>
      </c>
      <c r="J255">
        <f>IF($I255="","",$G255&amp;"|"&amp;RIGHT("000000"&amp;$I255,6))</f>
        <v/>
      </c>
      <c r="K255">
        <f>IF(OR($E255="",$E255="نامعتبر"),"",LEFT($E255,4)&amp;"/"&amp;MID($E255,6,2))</f>
        <v/>
      </c>
      <c r="L255">
        <f>IF(Entry!$K255="",0,Entry!$K255)</f>
        <v/>
      </c>
      <c r="M255">
        <f>IF(Entry!$L255="",0,Entry!$L255)</f>
        <v/>
      </c>
    </row>
    <row r="256">
      <c r="A256">
        <f>IF(Entry!$C256="","",Entry!$C256)</f>
        <v/>
      </c>
      <c r="B256">
        <f>IF($A256="","",IF(ISNUMBER($A256),IF(AND($A256&gt;=10000101,$A256&lt;=99991231),INT($A256/10000),""),IFERROR(VALUE(TRIM(LEFT($A256,FIND("/",$A256)-1))),"")))</f>
        <v/>
      </c>
      <c r="C256">
        <f>IF(OR($A256="",$B256=""),"",IF(ISNUMBER($A256),INT(MOD($A256,10000)/100),IFERROR(VALUE(TRIM(LEFT(MID($A256,FIND("/",$A256)+1,20),FIND("/",MID($A256,FIND("/",$A256)+1,20))-1))),"")))</f>
        <v/>
      </c>
      <c r="D256">
        <f>IF(OR($A256="",$B256=""),"",IF(ISNUMBER($A256),MOD($A256,100),IFERROR(VALUE(TRIM(MID(MID($A256,FIND("/",$A256)+1,20),FIND("/",MID($A256,FIND("/",$A256)+1,20))+1,20))),"")))</f>
        <v/>
      </c>
      <c r="E256">
        <f>IF($A256="","",IF(OR($B256="",$C256="",$D256="",$B256&lt;1300,$B256&gt;1500,$C256&lt;1,$C256&gt;12,$D256&lt;1,$D256&gt;31),"نامعتبر",RIGHT("0000"&amp;$B256,4)&amp;"/"&amp;RIGHT("00"&amp;$C256,2)&amp;"/"&amp;RIGHT("00"&amp;$D256,2)))</f>
        <v/>
      </c>
      <c r="F256">
        <f>IF(Entry!$D256&lt;&gt;"",IF(AND(ISNUMBER(Entry!$D256),Entry!$D256&gt;=0,Entry!$D256&lt;1),RIGHT("00"&amp;HOUR(Entry!$D256),2)&amp;":"&amp;RIGHT("00"&amp;MINUTE(Entry!$D256),2),IFERROR(RIGHT("00"&amp;VALUE(TRIM(LEFT(Entry!$D256,FIND(":",Entry!$D256)-1))),2)&amp;":"&amp;RIGHT("00"&amp;VALUE(TRIM(MID(Entry!$D256,FIND(":",Entry!$D256)+1,2))),2),"نامعتبر")),IF(OR($E256="",$E256="نامعتبر"),"","00:00"))</f>
        <v/>
      </c>
      <c r="G256">
        <f>IF(OR($E256="",$E256="نامعتبر"),"",IF(Entry!$E256="","",LEFT(UPPER(TRIM(Entry!$E256)),6)))</f>
        <v/>
      </c>
      <c r="H256">
        <f>IF($G256="","",RIGHT($E256,4)&amp;MID($E256,6,2)&amp;RIGHT($E256,2)&amp;IF($F256="","0000",IF($F256="نامعتبر","9999",LEFT($F256,2)&amp;RIGHT($F256,2)))&amp;"|"&amp;RIGHT("00000"&amp;248,5))</f>
        <v/>
      </c>
      <c r="I256">
        <f>IF($H256="","",COUNTIFS(CalcBank,$G256,CalcKey,"&lt;"&amp;$H256)+1)</f>
        <v/>
      </c>
      <c r="J256">
        <f>IF($I256="","",$G256&amp;"|"&amp;RIGHT("000000"&amp;$I256,6))</f>
        <v/>
      </c>
      <c r="K256">
        <f>IF(OR($E256="",$E256="نامعتبر"),"",LEFT($E256,4)&amp;"/"&amp;MID($E256,6,2))</f>
        <v/>
      </c>
      <c r="L256">
        <f>IF(Entry!$K256="",0,Entry!$K256)</f>
        <v/>
      </c>
      <c r="M256">
        <f>IF(Entry!$L256="",0,Entry!$L256)</f>
        <v/>
      </c>
    </row>
    <row r="257">
      <c r="A257">
        <f>IF(Entry!$C257="","",Entry!$C257)</f>
        <v/>
      </c>
      <c r="B257">
        <f>IF($A257="","",IF(ISNUMBER($A257),IF(AND($A257&gt;=10000101,$A257&lt;=99991231),INT($A257/10000),""),IFERROR(VALUE(TRIM(LEFT($A257,FIND("/",$A257)-1))),"")))</f>
        <v/>
      </c>
      <c r="C257">
        <f>IF(OR($A257="",$B257=""),"",IF(ISNUMBER($A257),INT(MOD($A257,10000)/100),IFERROR(VALUE(TRIM(LEFT(MID($A257,FIND("/",$A257)+1,20),FIND("/",MID($A257,FIND("/",$A257)+1,20))-1))),"")))</f>
        <v/>
      </c>
      <c r="D257">
        <f>IF(OR($A257="",$B257=""),"",IF(ISNUMBER($A257),MOD($A257,100),IFERROR(VALUE(TRIM(MID(MID($A257,FIND("/",$A257)+1,20),FIND("/",MID($A257,FIND("/",$A257)+1,20))+1,20))),"")))</f>
        <v/>
      </c>
      <c r="E257">
        <f>IF($A257="","",IF(OR($B257="",$C257="",$D257="",$B257&lt;1300,$B257&gt;1500,$C257&lt;1,$C257&gt;12,$D257&lt;1,$D257&gt;31),"نامعتبر",RIGHT("0000"&amp;$B257,4)&amp;"/"&amp;RIGHT("00"&amp;$C257,2)&amp;"/"&amp;RIGHT("00"&amp;$D257,2)))</f>
        <v/>
      </c>
      <c r="F257">
        <f>IF(Entry!$D257&lt;&gt;"",IF(AND(ISNUMBER(Entry!$D257),Entry!$D257&gt;=0,Entry!$D257&lt;1),RIGHT("00"&amp;HOUR(Entry!$D257),2)&amp;":"&amp;RIGHT("00"&amp;MINUTE(Entry!$D257),2),IFERROR(RIGHT("00"&amp;VALUE(TRIM(LEFT(Entry!$D257,FIND(":",Entry!$D257)-1))),2)&amp;":"&amp;RIGHT("00"&amp;VALUE(TRIM(MID(Entry!$D257,FIND(":",Entry!$D257)+1,2))),2),"نامعتبر")),IF(OR($E257="",$E257="نامعتبر"),"","00:00"))</f>
        <v/>
      </c>
      <c r="G257">
        <f>IF(OR($E257="",$E257="نامعتبر"),"",IF(Entry!$E257="","",LEFT(UPPER(TRIM(Entry!$E257)),6)))</f>
        <v/>
      </c>
      <c r="H257">
        <f>IF($G257="","",RIGHT($E257,4)&amp;MID($E257,6,2)&amp;RIGHT($E257,2)&amp;IF($F257="","0000",IF($F257="نامعتبر","9999",LEFT($F257,2)&amp;RIGHT($F257,2)))&amp;"|"&amp;RIGHT("00000"&amp;249,5))</f>
        <v/>
      </c>
      <c r="I257">
        <f>IF($H257="","",COUNTIFS(CalcBank,$G257,CalcKey,"&lt;"&amp;$H257)+1)</f>
        <v/>
      </c>
      <c r="J257">
        <f>IF($I257="","",$G257&amp;"|"&amp;RIGHT("000000"&amp;$I257,6))</f>
        <v/>
      </c>
      <c r="K257">
        <f>IF(OR($E257="",$E257="نامعتبر"),"",LEFT($E257,4)&amp;"/"&amp;MID($E257,6,2))</f>
        <v/>
      </c>
      <c r="L257">
        <f>IF(Entry!$K257="",0,Entry!$K257)</f>
        <v/>
      </c>
      <c r="M257">
        <f>IF(Entry!$L257="",0,Entry!$L257)</f>
        <v/>
      </c>
    </row>
    <row r="258">
      <c r="A258">
        <f>IF(Entry!$C258="","",Entry!$C258)</f>
        <v/>
      </c>
      <c r="B258">
        <f>IF($A258="","",IF(ISNUMBER($A258),IF(AND($A258&gt;=10000101,$A258&lt;=99991231),INT($A258/10000),""),IFERROR(VALUE(TRIM(LEFT($A258,FIND("/",$A258)-1))),"")))</f>
        <v/>
      </c>
      <c r="C258">
        <f>IF(OR($A258="",$B258=""),"",IF(ISNUMBER($A258),INT(MOD($A258,10000)/100),IFERROR(VALUE(TRIM(LEFT(MID($A258,FIND("/",$A258)+1,20),FIND("/",MID($A258,FIND("/",$A258)+1,20))-1))),"")))</f>
        <v/>
      </c>
      <c r="D258">
        <f>IF(OR($A258="",$B258=""),"",IF(ISNUMBER($A258),MOD($A258,100),IFERROR(VALUE(TRIM(MID(MID($A258,FIND("/",$A258)+1,20),FIND("/",MID($A258,FIND("/",$A258)+1,20))+1,20))),"")))</f>
        <v/>
      </c>
      <c r="E258">
        <f>IF($A258="","",IF(OR($B258="",$C258="",$D258="",$B258&lt;1300,$B258&gt;1500,$C258&lt;1,$C258&gt;12,$D258&lt;1,$D258&gt;31),"نامعتبر",RIGHT("0000"&amp;$B258,4)&amp;"/"&amp;RIGHT("00"&amp;$C258,2)&amp;"/"&amp;RIGHT("00"&amp;$D258,2)))</f>
        <v/>
      </c>
      <c r="F258">
        <f>IF(Entry!$D258&lt;&gt;"",IF(AND(ISNUMBER(Entry!$D258),Entry!$D258&gt;=0,Entry!$D258&lt;1),RIGHT("00"&amp;HOUR(Entry!$D258),2)&amp;":"&amp;RIGHT("00"&amp;MINUTE(Entry!$D258),2),IFERROR(RIGHT("00"&amp;VALUE(TRIM(LEFT(Entry!$D258,FIND(":",Entry!$D258)-1))),2)&amp;":"&amp;RIGHT("00"&amp;VALUE(TRIM(MID(Entry!$D258,FIND(":",Entry!$D258)+1,2))),2),"نامعتبر")),IF(OR($E258="",$E258="نامعتبر"),"","00:00"))</f>
        <v/>
      </c>
      <c r="G258">
        <f>IF(OR($E258="",$E258="نامعتبر"),"",IF(Entry!$E258="","",LEFT(UPPER(TRIM(Entry!$E258)),6)))</f>
        <v/>
      </c>
      <c r="H258">
        <f>IF($G258="","",RIGHT($E258,4)&amp;MID($E258,6,2)&amp;RIGHT($E258,2)&amp;IF($F258="","0000",IF($F258="نامعتبر","9999",LEFT($F258,2)&amp;RIGHT($F258,2)))&amp;"|"&amp;RIGHT("00000"&amp;250,5))</f>
        <v/>
      </c>
      <c r="I258">
        <f>IF($H258="","",COUNTIFS(CalcBank,$G258,CalcKey,"&lt;"&amp;$H258)+1)</f>
        <v/>
      </c>
      <c r="J258">
        <f>IF($I258="","",$G258&amp;"|"&amp;RIGHT("000000"&amp;$I258,6))</f>
        <v/>
      </c>
      <c r="K258">
        <f>IF(OR($E258="",$E258="نامعتبر"),"",LEFT($E258,4)&amp;"/"&amp;MID($E258,6,2))</f>
        <v/>
      </c>
      <c r="L258">
        <f>IF(Entry!$K258="",0,Entry!$K258)</f>
        <v/>
      </c>
      <c r="M258">
        <f>IF(Entry!$L258="",0,Entry!$L258)</f>
        <v/>
      </c>
    </row>
    <row r="259">
      <c r="A259">
        <f>IF(Entry!$C259="","",Entry!$C259)</f>
        <v/>
      </c>
      <c r="B259">
        <f>IF($A259="","",IF(ISNUMBER($A259),IF(AND($A259&gt;=10000101,$A259&lt;=99991231),INT($A259/10000),""),IFERROR(VALUE(TRIM(LEFT($A259,FIND("/",$A259)-1))),"")))</f>
        <v/>
      </c>
      <c r="C259">
        <f>IF(OR($A259="",$B259=""),"",IF(ISNUMBER($A259),INT(MOD($A259,10000)/100),IFERROR(VALUE(TRIM(LEFT(MID($A259,FIND("/",$A259)+1,20),FIND("/",MID($A259,FIND("/",$A259)+1,20))-1))),"")))</f>
        <v/>
      </c>
      <c r="D259">
        <f>IF(OR($A259="",$B259=""),"",IF(ISNUMBER($A259),MOD($A259,100),IFERROR(VALUE(TRIM(MID(MID($A259,FIND("/",$A259)+1,20),FIND("/",MID($A259,FIND("/",$A259)+1,20))+1,20))),"")))</f>
        <v/>
      </c>
      <c r="E259">
        <f>IF($A259="","",IF(OR($B259="",$C259="",$D259="",$B259&lt;1300,$B259&gt;1500,$C259&lt;1,$C259&gt;12,$D259&lt;1,$D259&gt;31),"نامعتبر",RIGHT("0000"&amp;$B259,4)&amp;"/"&amp;RIGHT("00"&amp;$C259,2)&amp;"/"&amp;RIGHT("00"&amp;$D259,2)))</f>
        <v/>
      </c>
      <c r="F259">
        <f>IF(Entry!$D259&lt;&gt;"",IF(AND(ISNUMBER(Entry!$D259),Entry!$D259&gt;=0,Entry!$D259&lt;1),RIGHT("00"&amp;HOUR(Entry!$D259),2)&amp;":"&amp;RIGHT("00"&amp;MINUTE(Entry!$D259),2),IFERROR(RIGHT("00"&amp;VALUE(TRIM(LEFT(Entry!$D259,FIND(":",Entry!$D259)-1))),2)&amp;":"&amp;RIGHT("00"&amp;VALUE(TRIM(MID(Entry!$D259,FIND(":",Entry!$D259)+1,2))),2),"نامعتبر")),IF(OR($E259="",$E259="نامعتبر"),"","00:00"))</f>
        <v/>
      </c>
      <c r="G259">
        <f>IF(OR($E259="",$E259="نامعتبر"),"",IF(Entry!$E259="","",LEFT(UPPER(TRIM(Entry!$E259)),6)))</f>
        <v/>
      </c>
      <c r="H259">
        <f>IF($G259="","",RIGHT($E259,4)&amp;MID($E259,6,2)&amp;RIGHT($E259,2)&amp;IF($F259="","0000",IF($F259="نامعتبر","9999",LEFT($F259,2)&amp;RIGHT($F259,2)))&amp;"|"&amp;RIGHT("00000"&amp;251,5))</f>
        <v/>
      </c>
      <c r="I259">
        <f>IF($H259="","",COUNTIFS(CalcBank,$G259,CalcKey,"&lt;"&amp;$H259)+1)</f>
        <v/>
      </c>
      <c r="J259">
        <f>IF($I259="","",$G259&amp;"|"&amp;RIGHT("000000"&amp;$I259,6))</f>
        <v/>
      </c>
      <c r="K259">
        <f>IF(OR($E259="",$E259="نامعتبر"),"",LEFT($E259,4)&amp;"/"&amp;MID($E259,6,2))</f>
        <v/>
      </c>
      <c r="L259">
        <f>IF(Entry!$K259="",0,Entry!$K259)</f>
        <v/>
      </c>
      <c r="M259">
        <f>IF(Entry!$L259="",0,Entry!$L259)</f>
        <v/>
      </c>
    </row>
    <row r="260">
      <c r="A260">
        <f>IF(Entry!$C260="","",Entry!$C260)</f>
        <v/>
      </c>
      <c r="B260">
        <f>IF($A260="","",IF(ISNUMBER($A260),IF(AND($A260&gt;=10000101,$A260&lt;=99991231),INT($A260/10000),""),IFERROR(VALUE(TRIM(LEFT($A260,FIND("/",$A260)-1))),"")))</f>
        <v/>
      </c>
      <c r="C260">
        <f>IF(OR($A260="",$B260=""),"",IF(ISNUMBER($A260),INT(MOD($A260,10000)/100),IFERROR(VALUE(TRIM(LEFT(MID($A260,FIND("/",$A260)+1,20),FIND("/",MID($A260,FIND("/",$A260)+1,20))-1))),"")))</f>
        <v/>
      </c>
      <c r="D260">
        <f>IF(OR($A260="",$B260=""),"",IF(ISNUMBER($A260),MOD($A260,100),IFERROR(VALUE(TRIM(MID(MID($A260,FIND("/",$A260)+1,20),FIND("/",MID($A260,FIND("/",$A260)+1,20))+1,20))),"")))</f>
        <v/>
      </c>
      <c r="E260">
        <f>IF($A260="","",IF(OR($B260="",$C260="",$D260="",$B260&lt;1300,$B260&gt;1500,$C260&lt;1,$C260&gt;12,$D260&lt;1,$D260&gt;31),"نامعتبر",RIGHT("0000"&amp;$B260,4)&amp;"/"&amp;RIGHT("00"&amp;$C260,2)&amp;"/"&amp;RIGHT("00"&amp;$D260,2)))</f>
        <v/>
      </c>
      <c r="F260">
        <f>IF(Entry!$D260&lt;&gt;"",IF(AND(ISNUMBER(Entry!$D260),Entry!$D260&gt;=0,Entry!$D260&lt;1),RIGHT("00"&amp;HOUR(Entry!$D260),2)&amp;":"&amp;RIGHT("00"&amp;MINUTE(Entry!$D260),2),IFERROR(RIGHT("00"&amp;VALUE(TRIM(LEFT(Entry!$D260,FIND(":",Entry!$D260)-1))),2)&amp;":"&amp;RIGHT("00"&amp;VALUE(TRIM(MID(Entry!$D260,FIND(":",Entry!$D260)+1,2))),2),"نامعتبر")),IF(OR($E260="",$E260="نامعتبر"),"","00:00"))</f>
        <v/>
      </c>
      <c r="G260">
        <f>IF(OR($E260="",$E260="نامعتبر"),"",IF(Entry!$E260="","",LEFT(UPPER(TRIM(Entry!$E260)),6)))</f>
        <v/>
      </c>
      <c r="H260">
        <f>IF($G260="","",RIGHT($E260,4)&amp;MID($E260,6,2)&amp;RIGHT($E260,2)&amp;IF($F260="","0000",IF($F260="نامعتبر","9999",LEFT($F260,2)&amp;RIGHT($F260,2)))&amp;"|"&amp;RIGHT("00000"&amp;252,5))</f>
        <v/>
      </c>
      <c r="I260">
        <f>IF($H260="","",COUNTIFS(CalcBank,$G260,CalcKey,"&lt;"&amp;$H260)+1)</f>
        <v/>
      </c>
      <c r="J260">
        <f>IF($I260="","",$G260&amp;"|"&amp;RIGHT("000000"&amp;$I260,6))</f>
        <v/>
      </c>
      <c r="K260">
        <f>IF(OR($E260="",$E260="نامعتبر"),"",LEFT($E260,4)&amp;"/"&amp;MID($E260,6,2))</f>
        <v/>
      </c>
      <c r="L260">
        <f>IF(Entry!$K260="",0,Entry!$K260)</f>
        <v/>
      </c>
      <c r="M260">
        <f>IF(Entry!$L260="",0,Entry!$L260)</f>
        <v/>
      </c>
    </row>
    <row r="261">
      <c r="A261">
        <f>IF(Entry!$C261="","",Entry!$C261)</f>
        <v/>
      </c>
      <c r="B261">
        <f>IF($A261="","",IF(ISNUMBER($A261),IF(AND($A261&gt;=10000101,$A261&lt;=99991231),INT($A261/10000),""),IFERROR(VALUE(TRIM(LEFT($A261,FIND("/",$A261)-1))),"")))</f>
        <v/>
      </c>
      <c r="C261">
        <f>IF(OR($A261="",$B261=""),"",IF(ISNUMBER($A261),INT(MOD($A261,10000)/100),IFERROR(VALUE(TRIM(LEFT(MID($A261,FIND("/",$A261)+1,20),FIND("/",MID($A261,FIND("/",$A261)+1,20))-1))),"")))</f>
        <v/>
      </c>
      <c r="D261">
        <f>IF(OR($A261="",$B261=""),"",IF(ISNUMBER($A261),MOD($A261,100),IFERROR(VALUE(TRIM(MID(MID($A261,FIND("/",$A261)+1,20),FIND("/",MID($A261,FIND("/",$A261)+1,20))+1,20))),"")))</f>
        <v/>
      </c>
      <c r="E261">
        <f>IF($A261="","",IF(OR($B261="",$C261="",$D261="",$B261&lt;1300,$B261&gt;1500,$C261&lt;1,$C261&gt;12,$D261&lt;1,$D261&gt;31),"نامعتبر",RIGHT("0000"&amp;$B261,4)&amp;"/"&amp;RIGHT("00"&amp;$C261,2)&amp;"/"&amp;RIGHT("00"&amp;$D261,2)))</f>
        <v/>
      </c>
      <c r="F261">
        <f>IF(Entry!$D261&lt;&gt;"",IF(AND(ISNUMBER(Entry!$D261),Entry!$D261&gt;=0,Entry!$D261&lt;1),RIGHT("00"&amp;HOUR(Entry!$D261),2)&amp;":"&amp;RIGHT("00"&amp;MINUTE(Entry!$D261),2),IFERROR(RIGHT("00"&amp;VALUE(TRIM(LEFT(Entry!$D261,FIND(":",Entry!$D261)-1))),2)&amp;":"&amp;RIGHT("00"&amp;VALUE(TRIM(MID(Entry!$D261,FIND(":",Entry!$D261)+1,2))),2),"نامعتبر")),IF(OR($E261="",$E261="نامعتبر"),"","00:00"))</f>
        <v/>
      </c>
      <c r="G261">
        <f>IF(OR($E261="",$E261="نامعتبر"),"",IF(Entry!$E261="","",LEFT(UPPER(TRIM(Entry!$E261)),6)))</f>
        <v/>
      </c>
      <c r="H261">
        <f>IF($G261="","",RIGHT($E261,4)&amp;MID($E261,6,2)&amp;RIGHT($E261,2)&amp;IF($F261="","0000",IF($F261="نامعتبر","9999",LEFT($F261,2)&amp;RIGHT($F261,2)))&amp;"|"&amp;RIGHT("00000"&amp;253,5))</f>
        <v/>
      </c>
      <c r="I261">
        <f>IF($H261="","",COUNTIFS(CalcBank,$G261,CalcKey,"&lt;"&amp;$H261)+1)</f>
        <v/>
      </c>
      <c r="J261">
        <f>IF($I261="","",$G261&amp;"|"&amp;RIGHT("000000"&amp;$I261,6))</f>
        <v/>
      </c>
      <c r="K261">
        <f>IF(OR($E261="",$E261="نامعتبر"),"",LEFT($E261,4)&amp;"/"&amp;MID($E261,6,2))</f>
        <v/>
      </c>
      <c r="L261">
        <f>IF(Entry!$K261="",0,Entry!$K261)</f>
        <v/>
      </c>
      <c r="M261">
        <f>IF(Entry!$L261="",0,Entry!$L261)</f>
        <v/>
      </c>
    </row>
    <row r="262">
      <c r="A262">
        <f>IF(Entry!$C262="","",Entry!$C262)</f>
        <v/>
      </c>
      <c r="B262">
        <f>IF($A262="","",IF(ISNUMBER($A262),IF(AND($A262&gt;=10000101,$A262&lt;=99991231),INT($A262/10000),""),IFERROR(VALUE(TRIM(LEFT($A262,FIND("/",$A262)-1))),"")))</f>
        <v/>
      </c>
      <c r="C262">
        <f>IF(OR($A262="",$B262=""),"",IF(ISNUMBER($A262),INT(MOD($A262,10000)/100),IFERROR(VALUE(TRIM(LEFT(MID($A262,FIND("/",$A262)+1,20),FIND("/",MID($A262,FIND("/",$A262)+1,20))-1))),"")))</f>
        <v/>
      </c>
      <c r="D262">
        <f>IF(OR($A262="",$B262=""),"",IF(ISNUMBER($A262),MOD($A262,100),IFERROR(VALUE(TRIM(MID(MID($A262,FIND("/",$A262)+1,20),FIND("/",MID($A262,FIND("/",$A262)+1,20))+1,20))),"")))</f>
        <v/>
      </c>
      <c r="E262">
        <f>IF($A262="","",IF(OR($B262="",$C262="",$D262="",$B262&lt;1300,$B262&gt;1500,$C262&lt;1,$C262&gt;12,$D262&lt;1,$D262&gt;31),"نامعتبر",RIGHT("0000"&amp;$B262,4)&amp;"/"&amp;RIGHT("00"&amp;$C262,2)&amp;"/"&amp;RIGHT("00"&amp;$D262,2)))</f>
        <v/>
      </c>
      <c r="F262">
        <f>IF(Entry!$D262&lt;&gt;"",IF(AND(ISNUMBER(Entry!$D262),Entry!$D262&gt;=0,Entry!$D262&lt;1),RIGHT("00"&amp;HOUR(Entry!$D262),2)&amp;":"&amp;RIGHT("00"&amp;MINUTE(Entry!$D262),2),IFERROR(RIGHT("00"&amp;VALUE(TRIM(LEFT(Entry!$D262,FIND(":",Entry!$D262)-1))),2)&amp;":"&amp;RIGHT("00"&amp;VALUE(TRIM(MID(Entry!$D262,FIND(":",Entry!$D262)+1,2))),2),"نامعتبر")),IF(OR($E262="",$E262="نامعتبر"),"","00:00"))</f>
        <v/>
      </c>
      <c r="G262">
        <f>IF(OR($E262="",$E262="نامعتبر"),"",IF(Entry!$E262="","",LEFT(UPPER(TRIM(Entry!$E262)),6)))</f>
        <v/>
      </c>
      <c r="H262">
        <f>IF($G262="","",RIGHT($E262,4)&amp;MID($E262,6,2)&amp;RIGHT($E262,2)&amp;IF($F262="","0000",IF($F262="نامعتبر","9999",LEFT($F262,2)&amp;RIGHT($F262,2)))&amp;"|"&amp;RIGHT("00000"&amp;254,5))</f>
        <v/>
      </c>
      <c r="I262">
        <f>IF($H262="","",COUNTIFS(CalcBank,$G262,CalcKey,"&lt;"&amp;$H262)+1)</f>
        <v/>
      </c>
      <c r="J262">
        <f>IF($I262="","",$G262&amp;"|"&amp;RIGHT("000000"&amp;$I262,6))</f>
        <v/>
      </c>
      <c r="K262">
        <f>IF(OR($E262="",$E262="نامعتبر"),"",LEFT($E262,4)&amp;"/"&amp;MID($E262,6,2))</f>
        <v/>
      </c>
      <c r="L262">
        <f>IF(Entry!$K262="",0,Entry!$K262)</f>
        <v/>
      </c>
      <c r="M262">
        <f>IF(Entry!$L262="",0,Entry!$L262)</f>
        <v/>
      </c>
    </row>
    <row r="263">
      <c r="A263">
        <f>IF(Entry!$C263="","",Entry!$C263)</f>
        <v/>
      </c>
      <c r="B263">
        <f>IF($A263="","",IF(ISNUMBER($A263),IF(AND($A263&gt;=10000101,$A263&lt;=99991231),INT($A263/10000),""),IFERROR(VALUE(TRIM(LEFT($A263,FIND("/",$A263)-1))),"")))</f>
        <v/>
      </c>
      <c r="C263">
        <f>IF(OR($A263="",$B263=""),"",IF(ISNUMBER($A263),INT(MOD($A263,10000)/100),IFERROR(VALUE(TRIM(LEFT(MID($A263,FIND("/",$A263)+1,20),FIND("/",MID($A263,FIND("/",$A263)+1,20))-1))),"")))</f>
        <v/>
      </c>
      <c r="D263">
        <f>IF(OR($A263="",$B263=""),"",IF(ISNUMBER($A263),MOD($A263,100),IFERROR(VALUE(TRIM(MID(MID($A263,FIND("/",$A263)+1,20),FIND("/",MID($A263,FIND("/",$A263)+1,20))+1,20))),"")))</f>
        <v/>
      </c>
      <c r="E263">
        <f>IF($A263="","",IF(OR($B263="",$C263="",$D263="",$B263&lt;1300,$B263&gt;1500,$C263&lt;1,$C263&gt;12,$D263&lt;1,$D263&gt;31),"نامعتبر",RIGHT("0000"&amp;$B263,4)&amp;"/"&amp;RIGHT("00"&amp;$C263,2)&amp;"/"&amp;RIGHT("00"&amp;$D263,2)))</f>
        <v/>
      </c>
      <c r="F263">
        <f>IF(Entry!$D263&lt;&gt;"",IF(AND(ISNUMBER(Entry!$D263),Entry!$D263&gt;=0,Entry!$D263&lt;1),RIGHT("00"&amp;HOUR(Entry!$D263),2)&amp;":"&amp;RIGHT("00"&amp;MINUTE(Entry!$D263),2),IFERROR(RIGHT("00"&amp;VALUE(TRIM(LEFT(Entry!$D263,FIND(":",Entry!$D263)-1))),2)&amp;":"&amp;RIGHT("00"&amp;VALUE(TRIM(MID(Entry!$D263,FIND(":",Entry!$D263)+1,2))),2),"نامعتبر")),IF(OR($E263="",$E263="نامعتبر"),"","00:00"))</f>
        <v/>
      </c>
      <c r="G263">
        <f>IF(OR($E263="",$E263="نامعتبر"),"",IF(Entry!$E263="","",LEFT(UPPER(TRIM(Entry!$E263)),6)))</f>
        <v/>
      </c>
      <c r="H263">
        <f>IF($G263="","",RIGHT($E263,4)&amp;MID($E263,6,2)&amp;RIGHT($E263,2)&amp;IF($F263="","0000",IF($F263="نامعتبر","9999",LEFT($F263,2)&amp;RIGHT($F263,2)))&amp;"|"&amp;RIGHT("00000"&amp;255,5))</f>
        <v/>
      </c>
      <c r="I263">
        <f>IF($H263="","",COUNTIFS(CalcBank,$G263,CalcKey,"&lt;"&amp;$H263)+1)</f>
        <v/>
      </c>
      <c r="J263">
        <f>IF($I263="","",$G263&amp;"|"&amp;RIGHT("000000"&amp;$I263,6))</f>
        <v/>
      </c>
      <c r="K263">
        <f>IF(OR($E263="",$E263="نامعتبر"),"",LEFT($E263,4)&amp;"/"&amp;MID($E263,6,2))</f>
        <v/>
      </c>
      <c r="L263">
        <f>IF(Entry!$K263="",0,Entry!$K263)</f>
        <v/>
      </c>
      <c r="M263">
        <f>IF(Entry!$L263="",0,Entry!$L263)</f>
        <v/>
      </c>
    </row>
    <row r="264">
      <c r="A264">
        <f>IF(Entry!$C264="","",Entry!$C264)</f>
        <v/>
      </c>
      <c r="B264">
        <f>IF($A264="","",IF(ISNUMBER($A264),IF(AND($A264&gt;=10000101,$A264&lt;=99991231),INT($A264/10000),""),IFERROR(VALUE(TRIM(LEFT($A264,FIND("/",$A264)-1))),"")))</f>
        <v/>
      </c>
      <c r="C264">
        <f>IF(OR($A264="",$B264=""),"",IF(ISNUMBER($A264),INT(MOD($A264,10000)/100),IFERROR(VALUE(TRIM(LEFT(MID($A264,FIND("/",$A264)+1,20),FIND("/",MID($A264,FIND("/",$A264)+1,20))-1))),"")))</f>
        <v/>
      </c>
      <c r="D264">
        <f>IF(OR($A264="",$B264=""),"",IF(ISNUMBER($A264),MOD($A264,100),IFERROR(VALUE(TRIM(MID(MID($A264,FIND("/",$A264)+1,20),FIND("/",MID($A264,FIND("/",$A264)+1,20))+1,20))),"")))</f>
        <v/>
      </c>
      <c r="E264">
        <f>IF($A264="","",IF(OR($B264="",$C264="",$D264="",$B264&lt;1300,$B264&gt;1500,$C264&lt;1,$C264&gt;12,$D264&lt;1,$D264&gt;31),"نامعتبر",RIGHT("0000"&amp;$B264,4)&amp;"/"&amp;RIGHT("00"&amp;$C264,2)&amp;"/"&amp;RIGHT("00"&amp;$D264,2)))</f>
        <v/>
      </c>
      <c r="F264">
        <f>IF(Entry!$D264&lt;&gt;"",IF(AND(ISNUMBER(Entry!$D264),Entry!$D264&gt;=0,Entry!$D264&lt;1),RIGHT("00"&amp;HOUR(Entry!$D264),2)&amp;":"&amp;RIGHT("00"&amp;MINUTE(Entry!$D264),2),IFERROR(RIGHT("00"&amp;VALUE(TRIM(LEFT(Entry!$D264,FIND(":",Entry!$D264)-1))),2)&amp;":"&amp;RIGHT("00"&amp;VALUE(TRIM(MID(Entry!$D264,FIND(":",Entry!$D264)+1,2))),2),"نامعتبر")),IF(OR($E264="",$E264="نامعتبر"),"","00:00"))</f>
        <v/>
      </c>
      <c r="G264">
        <f>IF(OR($E264="",$E264="نامعتبر"),"",IF(Entry!$E264="","",LEFT(UPPER(TRIM(Entry!$E264)),6)))</f>
        <v/>
      </c>
      <c r="H264">
        <f>IF($G264="","",RIGHT($E264,4)&amp;MID($E264,6,2)&amp;RIGHT($E264,2)&amp;IF($F264="","0000",IF($F264="نامعتبر","9999",LEFT($F264,2)&amp;RIGHT($F264,2)))&amp;"|"&amp;RIGHT("00000"&amp;256,5))</f>
        <v/>
      </c>
      <c r="I264">
        <f>IF($H264="","",COUNTIFS(CalcBank,$G264,CalcKey,"&lt;"&amp;$H264)+1)</f>
        <v/>
      </c>
      <c r="J264">
        <f>IF($I264="","",$G264&amp;"|"&amp;RIGHT("000000"&amp;$I264,6))</f>
        <v/>
      </c>
      <c r="K264">
        <f>IF(OR($E264="",$E264="نامعتبر"),"",LEFT($E264,4)&amp;"/"&amp;MID($E264,6,2))</f>
        <v/>
      </c>
      <c r="L264">
        <f>IF(Entry!$K264="",0,Entry!$K264)</f>
        <v/>
      </c>
      <c r="M264">
        <f>IF(Entry!$L264="",0,Entry!$L264)</f>
        <v/>
      </c>
    </row>
    <row r="265">
      <c r="A265">
        <f>IF(Entry!$C265="","",Entry!$C265)</f>
        <v/>
      </c>
      <c r="B265">
        <f>IF($A265="","",IF(ISNUMBER($A265),IF(AND($A265&gt;=10000101,$A265&lt;=99991231),INT($A265/10000),""),IFERROR(VALUE(TRIM(LEFT($A265,FIND("/",$A265)-1))),"")))</f>
        <v/>
      </c>
      <c r="C265">
        <f>IF(OR($A265="",$B265=""),"",IF(ISNUMBER($A265),INT(MOD($A265,10000)/100),IFERROR(VALUE(TRIM(LEFT(MID($A265,FIND("/",$A265)+1,20),FIND("/",MID($A265,FIND("/",$A265)+1,20))-1))),"")))</f>
        <v/>
      </c>
      <c r="D265">
        <f>IF(OR($A265="",$B265=""),"",IF(ISNUMBER($A265),MOD($A265,100),IFERROR(VALUE(TRIM(MID(MID($A265,FIND("/",$A265)+1,20),FIND("/",MID($A265,FIND("/",$A265)+1,20))+1,20))),"")))</f>
        <v/>
      </c>
      <c r="E265">
        <f>IF($A265="","",IF(OR($B265="",$C265="",$D265="",$B265&lt;1300,$B265&gt;1500,$C265&lt;1,$C265&gt;12,$D265&lt;1,$D265&gt;31),"نامعتبر",RIGHT("0000"&amp;$B265,4)&amp;"/"&amp;RIGHT("00"&amp;$C265,2)&amp;"/"&amp;RIGHT("00"&amp;$D265,2)))</f>
        <v/>
      </c>
      <c r="F265">
        <f>IF(Entry!$D265&lt;&gt;"",IF(AND(ISNUMBER(Entry!$D265),Entry!$D265&gt;=0,Entry!$D265&lt;1),RIGHT("00"&amp;HOUR(Entry!$D265),2)&amp;":"&amp;RIGHT("00"&amp;MINUTE(Entry!$D265),2),IFERROR(RIGHT("00"&amp;VALUE(TRIM(LEFT(Entry!$D265,FIND(":",Entry!$D265)-1))),2)&amp;":"&amp;RIGHT("00"&amp;VALUE(TRIM(MID(Entry!$D265,FIND(":",Entry!$D265)+1,2))),2),"نامعتبر")),IF(OR($E265="",$E265="نامعتبر"),"","00:00"))</f>
        <v/>
      </c>
      <c r="G265">
        <f>IF(OR($E265="",$E265="نامعتبر"),"",IF(Entry!$E265="","",LEFT(UPPER(TRIM(Entry!$E265)),6)))</f>
        <v/>
      </c>
      <c r="H265">
        <f>IF($G265="","",RIGHT($E265,4)&amp;MID($E265,6,2)&amp;RIGHT($E265,2)&amp;IF($F265="","0000",IF($F265="نامعتبر","9999",LEFT($F265,2)&amp;RIGHT($F265,2)))&amp;"|"&amp;RIGHT("00000"&amp;257,5))</f>
        <v/>
      </c>
      <c r="I265">
        <f>IF($H265="","",COUNTIFS(CalcBank,$G265,CalcKey,"&lt;"&amp;$H265)+1)</f>
        <v/>
      </c>
      <c r="J265">
        <f>IF($I265="","",$G265&amp;"|"&amp;RIGHT("000000"&amp;$I265,6))</f>
        <v/>
      </c>
      <c r="K265">
        <f>IF(OR($E265="",$E265="نامعتبر"),"",LEFT($E265,4)&amp;"/"&amp;MID($E265,6,2))</f>
        <v/>
      </c>
      <c r="L265">
        <f>IF(Entry!$K265="",0,Entry!$K265)</f>
        <v/>
      </c>
      <c r="M265">
        <f>IF(Entry!$L265="",0,Entry!$L265)</f>
        <v/>
      </c>
    </row>
    <row r="266">
      <c r="A266">
        <f>IF(Entry!$C266="","",Entry!$C266)</f>
        <v/>
      </c>
      <c r="B266">
        <f>IF($A266="","",IF(ISNUMBER($A266),IF(AND($A266&gt;=10000101,$A266&lt;=99991231),INT($A266/10000),""),IFERROR(VALUE(TRIM(LEFT($A266,FIND("/",$A266)-1))),"")))</f>
        <v/>
      </c>
      <c r="C266">
        <f>IF(OR($A266="",$B266=""),"",IF(ISNUMBER($A266),INT(MOD($A266,10000)/100),IFERROR(VALUE(TRIM(LEFT(MID($A266,FIND("/",$A266)+1,20),FIND("/",MID($A266,FIND("/",$A266)+1,20))-1))),"")))</f>
        <v/>
      </c>
      <c r="D266">
        <f>IF(OR($A266="",$B266=""),"",IF(ISNUMBER($A266),MOD($A266,100),IFERROR(VALUE(TRIM(MID(MID($A266,FIND("/",$A266)+1,20),FIND("/",MID($A266,FIND("/",$A266)+1,20))+1,20))),"")))</f>
        <v/>
      </c>
      <c r="E266">
        <f>IF($A266="","",IF(OR($B266="",$C266="",$D266="",$B266&lt;1300,$B266&gt;1500,$C266&lt;1,$C266&gt;12,$D266&lt;1,$D266&gt;31),"نامعتبر",RIGHT("0000"&amp;$B266,4)&amp;"/"&amp;RIGHT("00"&amp;$C266,2)&amp;"/"&amp;RIGHT("00"&amp;$D266,2)))</f>
        <v/>
      </c>
      <c r="F266">
        <f>IF(Entry!$D266&lt;&gt;"",IF(AND(ISNUMBER(Entry!$D266),Entry!$D266&gt;=0,Entry!$D266&lt;1),RIGHT("00"&amp;HOUR(Entry!$D266),2)&amp;":"&amp;RIGHT("00"&amp;MINUTE(Entry!$D266),2),IFERROR(RIGHT("00"&amp;VALUE(TRIM(LEFT(Entry!$D266,FIND(":",Entry!$D266)-1))),2)&amp;":"&amp;RIGHT("00"&amp;VALUE(TRIM(MID(Entry!$D266,FIND(":",Entry!$D266)+1,2))),2),"نامعتبر")),IF(OR($E266="",$E266="نامعتبر"),"","00:00"))</f>
        <v/>
      </c>
      <c r="G266">
        <f>IF(OR($E266="",$E266="نامعتبر"),"",IF(Entry!$E266="","",LEFT(UPPER(TRIM(Entry!$E266)),6)))</f>
        <v/>
      </c>
      <c r="H266">
        <f>IF($G266="","",RIGHT($E266,4)&amp;MID($E266,6,2)&amp;RIGHT($E266,2)&amp;IF($F266="","0000",IF($F266="نامعتبر","9999",LEFT($F266,2)&amp;RIGHT($F266,2)))&amp;"|"&amp;RIGHT("00000"&amp;258,5))</f>
        <v/>
      </c>
      <c r="I266">
        <f>IF($H266="","",COUNTIFS(CalcBank,$G266,CalcKey,"&lt;"&amp;$H266)+1)</f>
        <v/>
      </c>
      <c r="J266">
        <f>IF($I266="","",$G266&amp;"|"&amp;RIGHT("000000"&amp;$I266,6))</f>
        <v/>
      </c>
      <c r="K266">
        <f>IF(OR($E266="",$E266="نامعتبر"),"",LEFT($E266,4)&amp;"/"&amp;MID($E266,6,2))</f>
        <v/>
      </c>
      <c r="L266">
        <f>IF(Entry!$K266="",0,Entry!$K266)</f>
        <v/>
      </c>
      <c r="M266">
        <f>IF(Entry!$L266="",0,Entry!$L266)</f>
        <v/>
      </c>
    </row>
    <row r="267">
      <c r="A267">
        <f>IF(Entry!$C267="","",Entry!$C267)</f>
        <v/>
      </c>
      <c r="B267">
        <f>IF($A267="","",IF(ISNUMBER($A267),IF(AND($A267&gt;=10000101,$A267&lt;=99991231),INT($A267/10000),""),IFERROR(VALUE(TRIM(LEFT($A267,FIND("/",$A267)-1))),"")))</f>
        <v/>
      </c>
      <c r="C267">
        <f>IF(OR($A267="",$B267=""),"",IF(ISNUMBER($A267),INT(MOD($A267,10000)/100),IFERROR(VALUE(TRIM(LEFT(MID($A267,FIND("/",$A267)+1,20),FIND("/",MID($A267,FIND("/",$A267)+1,20))-1))),"")))</f>
        <v/>
      </c>
      <c r="D267">
        <f>IF(OR($A267="",$B267=""),"",IF(ISNUMBER($A267),MOD($A267,100),IFERROR(VALUE(TRIM(MID(MID($A267,FIND("/",$A267)+1,20),FIND("/",MID($A267,FIND("/",$A267)+1,20))+1,20))),"")))</f>
        <v/>
      </c>
      <c r="E267">
        <f>IF($A267="","",IF(OR($B267="",$C267="",$D267="",$B267&lt;1300,$B267&gt;1500,$C267&lt;1,$C267&gt;12,$D267&lt;1,$D267&gt;31),"نامعتبر",RIGHT("0000"&amp;$B267,4)&amp;"/"&amp;RIGHT("00"&amp;$C267,2)&amp;"/"&amp;RIGHT("00"&amp;$D267,2)))</f>
        <v/>
      </c>
      <c r="F267">
        <f>IF(Entry!$D267&lt;&gt;"",IF(AND(ISNUMBER(Entry!$D267),Entry!$D267&gt;=0,Entry!$D267&lt;1),RIGHT("00"&amp;HOUR(Entry!$D267),2)&amp;":"&amp;RIGHT("00"&amp;MINUTE(Entry!$D267),2),IFERROR(RIGHT("00"&amp;VALUE(TRIM(LEFT(Entry!$D267,FIND(":",Entry!$D267)-1))),2)&amp;":"&amp;RIGHT("00"&amp;VALUE(TRIM(MID(Entry!$D267,FIND(":",Entry!$D267)+1,2))),2),"نامعتبر")),IF(OR($E267="",$E267="نامعتبر"),"","00:00"))</f>
        <v/>
      </c>
      <c r="G267">
        <f>IF(OR($E267="",$E267="نامعتبر"),"",IF(Entry!$E267="","",LEFT(UPPER(TRIM(Entry!$E267)),6)))</f>
        <v/>
      </c>
      <c r="H267">
        <f>IF($G267="","",RIGHT($E267,4)&amp;MID($E267,6,2)&amp;RIGHT($E267,2)&amp;IF($F267="","0000",IF($F267="نامعتبر","9999",LEFT($F267,2)&amp;RIGHT($F267,2)))&amp;"|"&amp;RIGHT("00000"&amp;259,5))</f>
        <v/>
      </c>
      <c r="I267">
        <f>IF($H267="","",COUNTIFS(CalcBank,$G267,CalcKey,"&lt;"&amp;$H267)+1)</f>
        <v/>
      </c>
      <c r="J267">
        <f>IF($I267="","",$G267&amp;"|"&amp;RIGHT("000000"&amp;$I267,6))</f>
        <v/>
      </c>
      <c r="K267">
        <f>IF(OR($E267="",$E267="نامعتبر"),"",LEFT($E267,4)&amp;"/"&amp;MID($E267,6,2))</f>
        <v/>
      </c>
      <c r="L267">
        <f>IF(Entry!$K267="",0,Entry!$K267)</f>
        <v/>
      </c>
      <c r="M267">
        <f>IF(Entry!$L267="",0,Entry!$L267)</f>
        <v/>
      </c>
    </row>
    <row r="268">
      <c r="A268">
        <f>IF(Entry!$C268="","",Entry!$C268)</f>
        <v/>
      </c>
      <c r="B268">
        <f>IF($A268="","",IF(ISNUMBER($A268),IF(AND($A268&gt;=10000101,$A268&lt;=99991231),INT($A268/10000),""),IFERROR(VALUE(TRIM(LEFT($A268,FIND("/",$A268)-1))),"")))</f>
        <v/>
      </c>
      <c r="C268">
        <f>IF(OR($A268="",$B268=""),"",IF(ISNUMBER($A268),INT(MOD($A268,10000)/100),IFERROR(VALUE(TRIM(LEFT(MID($A268,FIND("/",$A268)+1,20),FIND("/",MID($A268,FIND("/",$A268)+1,20))-1))),"")))</f>
        <v/>
      </c>
      <c r="D268">
        <f>IF(OR($A268="",$B268=""),"",IF(ISNUMBER($A268),MOD($A268,100),IFERROR(VALUE(TRIM(MID(MID($A268,FIND("/",$A268)+1,20),FIND("/",MID($A268,FIND("/",$A268)+1,20))+1,20))),"")))</f>
        <v/>
      </c>
      <c r="E268">
        <f>IF($A268="","",IF(OR($B268="",$C268="",$D268="",$B268&lt;1300,$B268&gt;1500,$C268&lt;1,$C268&gt;12,$D268&lt;1,$D268&gt;31),"نامعتبر",RIGHT("0000"&amp;$B268,4)&amp;"/"&amp;RIGHT("00"&amp;$C268,2)&amp;"/"&amp;RIGHT("00"&amp;$D268,2)))</f>
        <v/>
      </c>
      <c r="F268">
        <f>IF(Entry!$D268&lt;&gt;"",IF(AND(ISNUMBER(Entry!$D268),Entry!$D268&gt;=0,Entry!$D268&lt;1),RIGHT("00"&amp;HOUR(Entry!$D268),2)&amp;":"&amp;RIGHT("00"&amp;MINUTE(Entry!$D268),2),IFERROR(RIGHT("00"&amp;VALUE(TRIM(LEFT(Entry!$D268,FIND(":",Entry!$D268)-1))),2)&amp;":"&amp;RIGHT("00"&amp;VALUE(TRIM(MID(Entry!$D268,FIND(":",Entry!$D268)+1,2))),2),"نامعتبر")),IF(OR($E268="",$E268="نامعتبر"),"","00:00"))</f>
        <v/>
      </c>
      <c r="G268">
        <f>IF(OR($E268="",$E268="نامعتبر"),"",IF(Entry!$E268="","",LEFT(UPPER(TRIM(Entry!$E268)),6)))</f>
        <v/>
      </c>
      <c r="H268">
        <f>IF($G268="","",RIGHT($E268,4)&amp;MID($E268,6,2)&amp;RIGHT($E268,2)&amp;IF($F268="","0000",IF($F268="نامعتبر","9999",LEFT($F268,2)&amp;RIGHT($F268,2)))&amp;"|"&amp;RIGHT("00000"&amp;260,5))</f>
        <v/>
      </c>
      <c r="I268">
        <f>IF($H268="","",COUNTIFS(CalcBank,$G268,CalcKey,"&lt;"&amp;$H268)+1)</f>
        <v/>
      </c>
      <c r="J268">
        <f>IF($I268="","",$G268&amp;"|"&amp;RIGHT("000000"&amp;$I268,6))</f>
        <v/>
      </c>
      <c r="K268">
        <f>IF(OR($E268="",$E268="نامعتبر"),"",LEFT($E268,4)&amp;"/"&amp;MID($E268,6,2))</f>
        <v/>
      </c>
      <c r="L268">
        <f>IF(Entry!$K268="",0,Entry!$K268)</f>
        <v/>
      </c>
      <c r="M268">
        <f>IF(Entry!$L268="",0,Entry!$L268)</f>
        <v/>
      </c>
    </row>
    <row r="269">
      <c r="A269">
        <f>IF(Entry!$C269="","",Entry!$C269)</f>
        <v/>
      </c>
      <c r="B269">
        <f>IF($A269="","",IF(ISNUMBER($A269),IF(AND($A269&gt;=10000101,$A269&lt;=99991231),INT($A269/10000),""),IFERROR(VALUE(TRIM(LEFT($A269,FIND("/",$A269)-1))),"")))</f>
        <v/>
      </c>
      <c r="C269">
        <f>IF(OR($A269="",$B269=""),"",IF(ISNUMBER($A269),INT(MOD($A269,10000)/100),IFERROR(VALUE(TRIM(LEFT(MID($A269,FIND("/",$A269)+1,20),FIND("/",MID($A269,FIND("/",$A269)+1,20))-1))),"")))</f>
        <v/>
      </c>
      <c r="D269">
        <f>IF(OR($A269="",$B269=""),"",IF(ISNUMBER($A269),MOD($A269,100),IFERROR(VALUE(TRIM(MID(MID($A269,FIND("/",$A269)+1,20),FIND("/",MID($A269,FIND("/",$A269)+1,20))+1,20))),"")))</f>
        <v/>
      </c>
      <c r="E269">
        <f>IF($A269="","",IF(OR($B269="",$C269="",$D269="",$B269&lt;1300,$B269&gt;1500,$C269&lt;1,$C269&gt;12,$D269&lt;1,$D269&gt;31),"نامعتبر",RIGHT("0000"&amp;$B269,4)&amp;"/"&amp;RIGHT("00"&amp;$C269,2)&amp;"/"&amp;RIGHT("00"&amp;$D269,2)))</f>
        <v/>
      </c>
      <c r="F269">
        <f>IF(Entry!$D269&lt;&gt;"",IF(AND(ISNUMBER(Entry!$D269),Entry!$D269&gt;=0,Entry!$D269&lt;1),RIGHT("00"&amp;HOUR(Entry!$D269),2)&amp;":"&amp;RIGHT("00"&amp;MINUTE(Entry!$D269),2),IFERROR(RIGHT("00"&amp;VALUE(TRIM(LEFT(Entry!$D269,FIND(":",Entry!$D269)-1))),2)&amp;":"&amp;RIGHT("00"&amp;VALUE(TRIM(MID(Entry!$D269,FIND(":",Entry!$D269)+1,2))),2),"نامعتبر")),IF(OR($E269="",$E269="نامعتبر"),"","00:00"))</f>
        <v/>
      </c>
      <c r="G269">
        <f>IF(OR($E269="",$E269="نامعتبر"),"",IF(Entry!$E269="","",LEFT(UPPER(TRIM(Entry!$E269)),6)))</f>
        <v/>
      </c>
      <c r="H269">
        <f>IF($G269="","",RIGHT($E269,4)&amp;MID($E269,6,2)&amp;RIGHT($E269,2)&amp;IF($F269="","0000",IF($F269="نامعتبر","9999",LEFT($F269,2)&amp;RIGHT($F269,2)))&amp;"|"&amp;RIGHT("00000"&amp;261,5))</f>
        <v/>
      </c>
      <c r="I269">
        <f>IF($H269="","",COUNTIFS(CalcBank,$G269,CalcKey,"&lt;"&amp;$H269)+1)</f>
        <v/>
      </c>
      <c r="J269">
        <f>IF($I269="","",$G269&amp;"|"&amp;RIGHT("000000"&amp;$I269,6))</f>
        <v/>
      </c>
      <c r="K269">
        <f>IF(OR($E269="",$E269="نامعتبر"),"",LEFT($E269,4)&amp;"/"&amp;MID($E269,6,2))</f>
        <v/>
      </c>
      <c r="L269">
        <f>IF(Entry!$K269="",0,Entry!$K269)</f>
        <v/>
      </c>
      <c r="M269">
        <f>IF(Entry!$L269="",0,Entry!$L269)</f>
        <v/>
      </c>
    </row>
    <row r="270">
      <c r="A270">
        <f>IF(Entry!$C270="","",Entry!$C270)</f>
        <v/>
      </c>
      <c r="B270">
        <f>IF($A270="","",IF(ISNUMBER($A270),IF(AND($A270&gt;=10000101,$A270&lt;=99991231),INT($A270/10000),""),IFERROR(VALUE(TRIM(LEFT($A270,FIND("/",$A270)-1))),"")))</f>
        <v/>
      </c>
      <c r="C270">
        <f>IF(OR($A270="",$B270=""),"",IF(ISNUMBER($A270),INT(MOD($A270,10000)/100),IFERROR(VALUE(TRIM(LEFT(MID($A270,FIND("/",$A270)+1,20),FIND("/",MID($A270,FIND("/",$A270)+1,20))-1))),"")))</f>
        <v/>
      </c>
      <c r="D270">
        <f>IF(OR($A270="",$B270=""),"",IF(ISNUMBER($A270),MOD($A270,100),IFERROR(VALUE(TRIM(MID(MID($A270,FIND("/",$A270)+1,20),FIND("/",MID($A270,FIND("/",$A270)+1,20))+1,20))),"")))</f>
        <v/>
      </c>
      <c r="E270">
        <f>IF($A270="","",IF(OR($B270="",$C270="",$D270="",$B270&lt;1300,$B270&gt;1500,$C270&lt;1,$C270&gt;12,$D270&lt;1,$D270&gt;31),"نامعتبر",RIGHT("0000"&amp;$B270,4)&amp;"/"&amp;RIGHT("00"&amp;$C270,2)&amp;"/"&amp;RIGHT("00"&amp;$D270,2)))</f>
        <v/>
      </c>
      <c r="F270">
        <f>IF(Entry!$D270&lt;&gt;"",IF(AND(ISNUMBER(Entry!$D270),Entry!$D270&gt;=0,Entry!$D270&lt;1),RIGHT("00"&amp;HOUR(Entry!$D270),2)&amp;":"&amp;RIGHT("00"&amp;MINUTE(Entry!$D270),2),IFERROR(RIGHT("00"&amp;VALUE(TRIM(LEFT(Entry!$D270,FIND(":",Entry!$D270)-1))),2)&amp;":"&amp;RIGHT("00"&amp;VALUE(TRIM(MID(Entry!$D270,FIND(":",Entry!$D270)+1,2))),2),"نامعتبر")),IF(OR($E270="",$E270="نامعتبر"),"","00:00"))</f>
        <v/>
      </c>
      <c r="G270">
        <f>IF(OR($E270="",$E270="نامعتبر"),"",IF(Entry!$E270="","",LEFT(UPPER(TRIM(Entry!$E270)),6)))</f>
        <v/>
      </c>
      <c r="H270">
        <f>IF($G270="","",RIGHT($E270,4)&amp;MID($E270,6,2)&amp;RIGHT($E270,2)&amp;IF($F270="","0000",IF($F270="نامعتبر","9999",LEFT($F270,2)&amp;RIGHT($F270,2)))&amp;"|"&amp;RIGHT("00000"&amp;262,5))</f>
        <v/>
      </c>
      <c r="I270">
        <f>IF($H270="","",COUNTIFS(CalcBank,$G270,CalcKey,"&lt;"&amp;$H270)+1)</f>
        <v/>
      </c>
      <c r="J270">
        <f>IF($I270="","",$G270&amp;"|"&amp;RIGHT("000000"&amp;$I270,6))</f>
        <v/>
      </c>
      <c r="K270">
        <f>IF(OR($E270="",$E270="نامعتبر"),"",LEFT($E270,4)&amp;"/"&amp;MID($E270,6,2))</f>
        <v/>
      </c>
      <c r="L270">
        <f>IF(Entry!$K270="",0,Entry!$K270)</f>
        <v/>
      </c>
      <c r="M270">
        <f>IF(Entry!$L270="",0,Entry!$L270)</f>
        <v/>
      </c>
    </row>
    <row r="271">
      <c r="A271">
        <f>IF(Entry!$C271="","",Entry!$C271)</f>
        <v/>
      </c>
      <c r="B271">
        <f>IF($A271="","",IF(ISNUMBER($A271),IF(AND($A271&gt;=10000101,$A271&lt;=99991231),INT($A271/10000),""),IFERROR(VALUE(TRIM(LEFT($A271,FIND("/",$A271)-1))),"")))</f>
        <v/>
      </c>
      <c r="C271">
        <f>IF(OR($A271="",$B271=""),"",IF(ISNUMBER($A271),INT(MOD($A271,10000)/100),IFERROR(VALUE(TRIM(LEFT(MID($A271,FIND("/",$A271)+1,20),FIND("/",MID($A271,FIND("/",$A271)+1,20))-1))),"")))</f>
        <v/>
      </c>
      <c r="D271">
        <f>IF(OR($A271="",$B271=""),"",IF(ISNUMBER($A271),MOD($A271,100),IFERROR(VALUE(TRIM(MID(MID($A271,FIND("/",$A271)+1,20),FIND("/",MID($A271,FIND("/",$A271)+1,20))+1,20))),"")))</f>
        <v/>
      </c>
      <c r="E271">
        <f>IF($A271="","",IF(OR($B271="",$C271="",$D271="",$B271&lt;1300,$B271&gt;1500,$C271&lt;1,$C271&gt;12,$D271&lt;1,$D271&gt;31),"نامعتبر",RIGHT("0000"&amp;$B271,4)&amp;"/"&amp;RIGHT("00"&amp;$C271,2)&amp;"/"&amp;RIGHT("00"&amp;$D271,2)))</f>
        <v/>
      </c>
      <c r="F271">
        <f>IF(Entry!$D271&lt;&gt;"",IF(AND(ISNUMBER(Entry!$D271),Entry!$D271&gt;=0,Entry!$D271&lt;1),RIGHT("00"&amp;HOUR(Entry!$D271),2)&amp;":"&amp;RIGHT("00"&amp;MINUTE(Entry!$D271),2),IFERROR(RIGHT("00"&amp;VALUE(TRIM(LEFT(Entry!$D271,FIND(":",Entry!$D271)-1))),2)&amp;":"&amp;RIGHT("00"&amp;VALUE(TRIM(MID(Entry!$D271,FIND(":",Entry!$D271)+1,2))),2),"نامعتبر")),IF(OR($E271="",$E271="نامعتبر"),"","00:00"))</f>
        <v/>
      </c>
      <c r="G271">
        <f>IF(OR($E271="",$E271="نامعتبر"),"",IF(Entry!$E271="","",LEFT(UPPER(TRIM(Entry!$E271)),6)))</f>
        <v/>
      </c>
      <c r="H271">
        <f>IF($G271="","",RIGHT($E271,4)&amp;MID($E271,6,2)&amp;RIGHT($E271,2)&amp;IF($F271="","0000",IF($F271="نامعتبر","9999",LEFT($F271,2)&amp;RIGHT($F271,2)))&amp;"|"&amp;RIGHT("00000"&amp;263,5))</f>
        <v/>
      </c>
      <c r="I271">
        <f>IF($H271="","",COUNTIFS(CalcBank,$G271,CalcKey,"&lt;"&amp;$H271)+1)</f>
        <v/>
      </c>
      <c r="J271">
        <f>IF($I271="","",$G271&amp;"|"&amp;RIGHT("000000"&amp;$I271,6))</f>
        <v/>
      </c>
      <c r="K271">
        <f>IF(OR($E271="",$E271="نامعتبر"),"",LEFT($E271,4)&amp;"/"&amp;MID($E271,6,2))</f>
        <v/>
      </c>
      <c r="L271">
        <f>IF(Entry!$K271="",0,Entry!$K271)</f>
        <v/>
      </c>
      <c r="M271">
        <f>IF(Entry!$L271="",0,Entry!$L271)</f>
        <v/>
      </c>
    </row>
    <row r="272">
      <c r="A272">
        <f>IF(Entry!$C272="","",Entry!$C272)</f>
        <v/>
      </c>
      <c r="B272">
        <f>IF($A272="","",IF(ISNUMBER($A272),IF(AND($A272&gt;=10000101,$A272&lt;=99991231),INT($A272/10000),""),IFERROR(VALUE(TRIM(LEFT($A272,FIND("/",$A272)-1))),"")))</f>
        <v/>
      </c>
      <c r="C272">
        <f>IF(OR($A272="",$B272=""),"",IF(ISNUMBER($A272),INT(MOD($A272,10000)/100),IFERROR(VALUE(TRIM(LEFT(MID($A272,FIND("/",$A272)+1,20),FIND("/",MID($A272,FIND("/",$A272)+1,20))-1))),"")))</f>
        <v/>
      </c>
      <c r="D272">
        <f>IF(OR($A272="",$B272=""),"",IF(ISNUMBER($A272),MOD($A272,100),IFERROR(VALUE(TRIM(MID(MID($A272,FIND("/",$A272)+1,20),FIND("/",MID($A272,FIND("/",$A272)+1,20))+1,20))),"")))</f>
        <v/>
      </c>
      <c r="E272">
        <f>IF($A272="","",IF(OR($B272="",$C272="",$D272="",$B272&lt;1300,$B272&gt;1500,$C272&lt;1,$C272&gt;12,$D272&lt;1,$D272&gt;31),"نامعتبر",RIGHT("0000"&amp;$B272,4)&amp;"/"&amp;RIGHT("00"&amp;$C272,2)&amp;"/"&amp;RIGHT("00"&amp;$D272,2)))</f>
        <v/>
      </c>
      <c r="F272">
        <f>IF(Entry!$D272&lt;&gt;"",IF(AND(ISNUMBER(Entry!$D272),Entry!$D272&gt;=0,Entry!$D272&lt;1),RIGHT("00"&amp;HOUR(Entry!$D272),2)&amp;":"&amp;RIGHT("00"&amp;MINUTE(Entry!$D272),2),IFERROR(RIGHT("00"&amp;VALUE(TRIM(LEFT(Entry!$D272,FIND(":",Entry!$D272)-1))),2)&amp;":"&amp;RIGHT("00"&amp;VALUE(TRIM(MID(Entry!$D272,FIND(":",Entry!$D272)+1,2))),2),"نامعتبر")),IF(OR($E272="",$E272="نامعتبر"),"","00:00"))</f>
        <v/>
      </c>
      <c r="G272">
        <f>IF(OR($E272="",$E272="نامعتبر"),"",IF(Entry!$E272="","",LEFT(UPPER(TRIM(Entry!$E272)),6)))</f>
        <v/>
      </c>
      <c r="H272">
        <f>IF($G272="","",RIGHT($E272,4)&amp;MID($E272,6,2)&amp;RIGHT($E272,2)&amp;IF($F272="","0000",IF($F272="نامعتبر","9999",LEFT($F272,2)&amp;RIGHT($F272,2)))&amp;"|"&amp;RIGHT("00000"&amp;264,5))</f>
        <v/>
      </c>
      <c r="I272">
        <f>IF($H272="","",COUNTIFS(CalcBank,$G272,CalcKey,"&lt;"&amp;$H272)+1)</f>
        <v/>
      </c>
      <c r="J272">
        <f>IF($I272="","",$G272&amp;"|"&amp;RIGHT("000000"&amp;$I272,6))</f>
        <v/>
      </c>
      <c r="K272">
        <f>IF(OR($E272="",$E272="نامعتبر"),"",LEFT($E272,4)&amp;"/"&amp;MID($E272,6,2))</f>
        <v/>
      </c>
      <c r="L272">
        <f>IF(Entry!$K272="",0,Entry!$K272)</f>
        <v/>
      </c>
      <c r="M272">
        <f>IF(Entry!$L272="",0,Entry!$L272)</f>
        <v/>
      </c>
    </row>
    <row r="273">
      <c r="A273">
        <f>IF(Entry!$C273="","",Entry!$C273)</f>
        <v/>
      </c>
      <c r="B273">
        <f>IF($A273="","",IF(ISNUMBER($A273),IF(AND($A273&gt;=10000101,$A273&lt;=99991231),INT($A273/10000),""),IFERROR(VALUE(TRIM(LEFT($A273,FIND("/",$A273)-1))),"")))</f>
        <v/>
      </c>
      <c r="C273">
        <f>IF(OR($A273="",$B273=""),"",IF(ISNUMBER($A273),INT(MOD($A273,10000)/100),IFERROR(VALUE(TRIM(LEFT(MID($A273,FIND("/",$A273)+1,20),FIND("/",MID($A273,FIND("/",$A273)+1,20))-1))),"")))</f>
        <v/>
      </c>
      <c r="D273">
        <f>IF(OR($A273="",$B273=""),"",IF(ISNUMBER($A273),MOD($A273,100),IFERROR(VALUE(TRIM(MID(MID($A273,FIND("/",$A273)+1,20),FIND("/",MID($A273,FIND("/",$A273)+1,20))+1,20))),"")))</f>
        <v/>
      </c>
      <c r="E273">
        <f>IF($A273="","",IF(OR($B273="",$C273="",$D273="",$B273&lt;1300,$B273&gt;1500,$C273&lt;1,$C273&gt;12,$D273&lt;1,$D273&gt;31),"نامعتبر",RIGHT("0000"&amp;$B273,4)&amp;"/"&amp;RIGHT("00"&amp;$C273,2)&amp;"/"&amp;RIGHT("00"&amp;$D273,2)))</f>
        <v/>
      </c>
      <c r="F273">
        <f>IF(Entry!$D273&lt;&gt;"",IF(AND(ISNUMBER(Entry!$D273),Entry!$D273&gt;=0,Entry!$D273&lt;1),RIGHT("00"&amp;HOUR(Entry!$D273),2)&amp;":"&amp;RIGHT("00"&amp;MINUTE(Entry!$D273),2),IFERROR(RIGHT("00"&amp;VALUE(TRIM(LEFT(Entry!$D273,FIND(":",Entry!$D273)-1))),2)&amp;":"&amp;RIGHT("00"&amp;VALUE(TRIM(MID(Entry!$D273,FIND(":",Entry!$D273)+1,2))),2),"نامعتبر")),IF(OR($E273="",$E273="نامعتبر"),"","00:00"))</f>
        <v/>
      </c>
      <c r="G273">
        <f>IF(OR($E273="",$E273="نامعتبر"),"",IF(Entry!$E273="","",LEFT(UPPER(TRIM(Entry!$E273)),6)))</f>
        <v/>
      </c>
      <c r="H273">
        <f>IF($G273="","",RIGHT($E273,4)&amp;MID($E273,6,2)&amp;RIGHT($E273,2)&amp;IF($F273="","0000",IF($F273="نامعتبر","9999",LEFT($F273,2)&amp;RIGHT($F273,2)))&amp;"|"&amp;RIGHT("00000"&amp;265,5))</f>
        <v/>
      </c>
      <c r="I273">
        <f>IF($H273="","",COUNTIFS(CalcBank,$G273,CalcKey,"&lt;"&amp;$H273)+1)</f>
        <v/>
      </c>
      <c r="J273">
        <f>IF($I273="","",$G273&amp;"|"&amp;RIGHT("000000"&amp;$I273,6))</f>
        <v/>
      </c>
      <c r="K273">
        <f>IF(OR($E273="",$E273="نامعتبر"),"",LEFT($E273,4)&amp;"/"&amp;MID($E273,6,2))</f>
        <v/>
      </c>
      <c r="L273">
        <f>IF(Entry!$K273="",0,Entry!$K273)</f>
        <v/>
      </c>
      <c r="M273">
        <f>IF(Entry!$L273="",0,Entry!$L273)</f>
        <v/>
      </c>
    </row>
    <row r="274">
      <c r="A274">
        <f>IF(Entry!$C274="","",Entry!$C274)</f>
        <v/>
      </c>
      <c r="B274">
        <f>IF($A274="","",IF(ISNUMBER($A274),IF(AND($A274&gt;=10000101,$A274&lt;=99991231),INT($A274/10000),""),IFERROR(VALUE(TRIM(LEFT($A274,FIND("/",$A274)-1))),"")))</f>
        <v/>
      </c>
      <c r="C274">
        <f>IF(OR($A274="",$B274=""),"",IF(ISNUMBER($A274),INT(MOD($A274,10000)/100),IFERROR(VALUE(TRIM(LEFT(MID($A274,FIND("/",$A274)+1,20),FIND("/",MID($A274,FIND("/",$A274)+1,20))-1))),"")))</f>
        <v/>
      </c>
      <c r="D274">
        <f>IF(OR($A274="",$B274=""),"",IF(ISNUMBER($A274),MOD($A274,100),IFERROR(VALUE(TRIM(MID(MID($A274,FIND("/",$A274)+1,20),FIND("/",MID($A274,FIND("/",$A274)+1,20))+1,20))),"")))</f>
        <v/>
      </c>
      <c r="E274">
        <f>IF($A274="","",IF(OR($B274="",$C274="",$D274="",$B274&lt;1300,$B274&gt;1500,$C274&lt;1,$C274&gt;12,$D274&lt;1,$D274&gt;31),"نامعتبر",RIGHT("0000"&amp;$B274,4)&amp;"/"&amp;RIGHT("00"&amp;$C274,2)&amp;"/"&amp;RIGHT("00"&amp;$D274,2)))</f>
        <v/>
      </c>
      <c r="F274">
        <f>IF(Entry!$D274&lt;&gt;"",IF(AND(ISNUMBER(Entry!$D274),Entry!$D274&gt;=0,Entry!$D274&lt;1),RIGHT("00"&amp;HOUR(Entry!$D274),2)&amp;":"&amp;RIGHT("00"&amp;MINUTE(Entry!$D274),2),IFERROR(RIGHT("00"&amp;VALUE(TRIM(LEFT(Entry!$D274,FIND(":",Entry!$D274)-1))),2)&amp;":"&amp;RIGHT("00"&amp;VALUE(TRIM(MID(Entry!$D274,FIND(":",Entry!$D274)+1,2))),2),"نامعتبر")),IF(OR($E274="",$E274="نامعتبر"),"","00:00"))</f>
        <v/>
      </c>
      <c r="G274">
        <f>IF(OR($E274="",$E274="نامعتبر"),"",IF(Entry!$E274="","",LEFT(UPPER(TRIM(Entry!$E274)),6)))</f>
        <v/>
      </c>
      <c r="H274">
        <f>IF($G274="","",RIGHT($E274,4)&amp;MID($E274,6,2)&amp;RIGHT($E274,2)&amp;IF($F274="","0000",IF($F274="نامعتبر","9999",LEFT($F274,2)&amp;RIGHT($F274,2)))&amp;"|"&amp;RIGHT("00000"&amp;266,5))</f>
        <v/>
      </c>
      <c r="I274">
        <f>IF($H274="","",COUNTIFS(CalcBank,$G274,CalcKey,"&lt;"&amp;$H274)+1)</f>
        <v/>
      </c>
      <c r="J274">
        <f>IF($I274="","",$G274&amp;"|"&amp;RIGHT("000000"&amp;$I274,6))</f>
        <v/>
      </c>
      <c r="K274">
        <f>IF(OR($E274="",$E274="نامعتبر"),"",LEFT($E274,4)&amp;"/"&amp;MID($E274,6,2))</f>
        <v/>
      </c>
      <c r="L274">
        <f>IF(Entry!$K274="",0,Entry!$K274)</f>
        <v/>
      </c>
      <c r="M274">
        <f>IF(Entry!$L274="",0,Entry!$L274)</f>
        <v/>
      </c>
    </row>
    <row r="275">
      <c r="A275">
        <f>IF(Entry!$C275="","",Entry!$C275)</f>
        <v/>
      </c>
      <c r="B275">
        <f>IF($A275="","",IF(ISNUMBER($A275),IF(AND($A275&gt;=10000101,$A275&lt;=99991231),INT($A275/10000),""),IFERROR(VALUE(TRIM(LEFT($A275,FIND("/",$A275)-1))),"")))</f>
        <v/>
      </c>
      <c r="C275">
        <f>IF(OR($A275="",$B275=""),"",IF(ISNUMBER($A275),INT(MOD($A275,10000)/100),IFERROR(VALUE(TRIM(LEFT(MID($A275,FIND("/",$A275)+1,20),FIND("/",MID($A275,FIND("/",$A275)+1,20))-1))),"")))</f>
        <v/>
      </c>
      <c r="D275">
        <f>IF(OR($A275="",$B275=""),"",IF(ISNUMBER($A275),MOD($A275,100),IFERROR(VALUE(TRIM(MID(MID($A275,FIND("/",$A275)+1,20),FIND("/",MID($A275,FIND("/",$A275)+1,20))+1,20))),"")))</f>
        <v/>
      </c>
      <c r="E275">
        <f>IF($A275="","",IF(OR($B275="",$C275="",$D275="",$B275&lt;1300,$B275&gt;1500,$C275&lt;1,$C275&gt;12,$D275&lt;1,$D275&gt;31),"نامعتبر",RIGHT("0000"&amp;$B275,4)&amp;"/"&amp;RIGHT("00"&amp;$C275,2)&amp;"/"&amp;RIGHT("00"&amp;$D275,2)))</f>
        <v/>
      </c>
      <c r="F275">
        <f>IF(Entry!$D275&lt;&gt;"",IF(AND(ISNUMBER(Entry!$D275),Entry!$D275&gt;=0,Entry!$D275&lt;1),RIGHT("00"&amp;HOUR(Entry!$D275),2)&amp;":"&amp;RIGHT("00"&amp;MINUTE(Entry!$D275),2),IFERROR(RIGHT("00"&amp;VALUE(TRIM(LEFT(Entry!$D275,FIND(":",Entry!$D275)-1))),2)&amp;":"&amp;RIGHT("00"&amp;VALUE(TRIM(MID(Entry!$D275,FIND(":",Entry!$D275)+1,2))),2),"نامعتبر")),IF(OR($E275="",$E275="نامعتبر"),"","00:00"))</f>
        <v/>
      </c>
      <c r="G275">
        <f>IF(OR($E275="",$E275="نامعتبر"),"",IF(Entry!$E275="","",LEFT(UPPER(TRIM(Entry!$E275)),6)))</f>
        <v/>
      </c>
      <c r="H275">
        <f>IF($G275="","",RIGHT($E275,4)&amp;MID($E275,6,2)&amp;RIGHT($E275,2)&amp;IF($F275="","0000",IF($F275="نامعتبر","9999",LEFT($F275,2)&amp;RIGHT($F275,2)))&amp;"|"&amp;RIGHT("00000"&amp;267,5))</f>
        <v/>
      </c>
      <c r="I275">
        <f>IF($H275="","",COUNTIFS(CalcBank,$G275,CalcKey,"&lt;"&amp;$H275)+1)</f>
        <v/>
      </c>
      <c r="J275">
        <f>IF($I275="","",$G275&amp;"|"&amp;RIGHT("000000"&amp;$I275,6))</f>
        <v/>
      </c>
      <c r="K275">
        <f>IF(OR($E275="",$E275="نامعتبر"),"",LEFT($E275,4)&amp;"/"&amp;MID($E275,6,2))</f>
        <v/>
      </c>
      <c r="L275">
        <f>IF(Entry!$K275="",0,Entry!$K275)</f>
        <v/>
      </c>
      <c r="M275">
        <f>IF(Entry!$L275="",0,Entry!$L275)</f>
        <v/>
      </c>
    </row>
    <row r="276">
      <c r="A276">
        <f>IF(Entry!$C276="","",Entry!$C276)</f>
        <v/>
      </c>
      <c r="B276">
        <f>IF($A276="","",IF(ISNUMBER($A276),IF(AND($A276&gt;=10000101,$A276&lt;=99991231),INT($A276/10000),""),IFERROR(VALUE(TRIM(LEFT($A276,FIND("/",$A276)-1))),"")))</f>
        <v/>
      </c>
      <c r="C276">
        <f>IF(OR($A276="",$B276=""),"",IF(ISNUMBER($A276),INT(MOD($A276,10000)/100),IFERROR(VALUE(TRIM(LEFT(MID($A276,FIND("/",$A276)+1,20),FIND("/",MID($A276,FIND("/",$A276)+1,20))-1))),"")))</f>
        <v/>
      </c>
      <c r="D276">
        <f>IF(OR($A276="",$B276=""),"",IF(ISNUMBER($A276),MOD($A276,100),IFERROR(VALUE(TRIM(MID(MID($A276,FIND("/",$A276)+1,20),FIND("/",MID($A276,FIND("/",$A276)+1,20))+1,20))),"")))</f>
        <v/>
      </c>
      <c r="E276">
        <f>IF($A276="","",IF(OR($B276="",$C276="",$D276="",$B276&lt;1300,$B276&gt;1500,$C276&lt;1,$C276&gt;12,$D276&lt;1,$D276&gt;31),"نامعتبر",RIGHT("0000"&amp;$B276,4)&amp;"/"&amp;RIGHT("00"&amp;$C276,2)&amp;"/"&amp;RIGHT("00"&amp;$D276,2)))</f>
        <v/>
      </c>
      <c r="F276">
        <f>IF(Entry!$D276&lt;&gt;"",IF(AND(ISNUMBER(Entry!$D276),Entry!$D276&gt;=0,Entry!$D276&lt;1),RIGHT("00"&amp;HOUR(Entry!$D276),2)&amp;":"&amp;RIGHT("00"&amp;MINUTE(Entry!$D276),2),IFERROR(RIGHT("00"&amp;VALUE(TRIM(LEFT(Entry!$D276,FIND(":",Entry!$D276)-1))),2)&amp;":"&amp;RIGHT("00"&amp;VALUE(TRIM(MID(Entry!$D276,FIND(":",Entry!$D276)+1,2))),2),"نامعتبر")),IF(OR($E276="",$E276="نامعتبر"),"","00:00"))</f>
        <v/>
      </c>
      <c r="G276">
        <f>IF(OR($E276="",$E276="نامعتبر"),"",IF(Entry!$E276="","",LEFT(UPPER(TRIM(Entry!$E276)),6)))</f>
        <v/>
      </c>
      <c r="H276">
        <f>IF($G276="","",RIGHT($E276,4)&amp;MID($E276,6,2)&amp;RIGHT($E276,2)&amp;IF($F276="","0000",IF($F276="نامعتبر","9999",LEFT($F276,2)&amp;RIGHT($F276,2)))&amp;"|"&amp;RIGHT("00000"&amp;268,5))</f>
        <v/>
      </c>
      <c r="I276">
        <f>IF($H276="","",COUNTIFS(CalcBank,$G276,CalcKey,"&lt;"&amp;$H276)+1)</f>
        <v/>
      </c>
      <c r="J276">
        <f>IF($I276="","",$G276&amp;"|"&amp;RIGHT("000000"&amp;$I276,6))</f>
        <v/>
      </c>
      <c r="K276">
        <f>IF(OR($E276="",$E276="نامعتبر"),"",LEFT($E276,4)&amp;"/"&amp;MID($E276,6,2))</f>
        <v/>
      </c>
      <c r="L276">
        <f>IF(Entry!$K276="",0,Entry!$K276)</f>
        <v/>
      </c>
      <c r="M276">
        <f>IF(Entry!$L276="",0,Entry!$L276)</f>
        <v/>
      </c>
    </row>
    <row r="277">
      <c r="A277">
        <f>IF(Entry!$C277="","",Entry!$C277)</f>
        <v/>
      </c>
      <c r="B277">
        <f>IF($A277="","",IF(ISNUMBER($A277),IF(AND($A277&gt;=10000101,$A277&lt;=99991231),INT($A277/10000),""),IFERROR(VALUE(TRIM(LEFT($A277,FIND("/",$A277)-1))),"")))</f>
        <v/>
      </c>
      <c r="C277">
        <f>IF(OR($A277="",$B277=""),"",IF(ISNUMBER($A277),INT(MOD($A277,10000)/100),IFERROR(VALUE(TRIM(LEFT(MID($A277,FIND("/",$A277)+1,20),FIND("/",MID($A277,FIND("/",$A277)+1,20))-1))),"")))</f>
        <v/>
      </c>
      <c r="D277">
        <f>IF(OR($A277="",$B277=""),"",IF(ISNUMBER($A277),MOD($A277,100),IFERROR(VALUE(TRIM(MID(MID($A277,FIND("/",$A277)+1,20),FIND("/",MID($A277,FIND("/",$A277)+1,20))+1,20))),"")))</f>
        <v/>
      </c>
      <c r="E277">
        <f>IF($A277="","",IF(OR($B277="",$C277="",$D277="",$B277&lt;1300,$B277&gt;1500,$C277&lt;1,$C277&gt;12,$D277&lt;1,$D277&gt;31),"نامعتبر",RIGHT("0000"&amp;$B277,4)&amp;"/"&amp;RIGHT("00"&amp;$C277,2)&amp;"/"&amp;RIGHT("00"&amp;$D277,2)))</f>
        <v/>
      </c>
      <c r="F277">
        <f>IF(Entry!$D277&lt;&gt;"",IF(AND(ISNUMBER(Entry!$D277),Entry!$D277&gt;=0,Entry!$D277&lt;1),RIGHT("00"&amp;HOUR(Entry!$D277),2)&amp;":"&amp;RIGHT("00"&amp;MINUTE(Entry!$D277),2),IFERROR(RIGHT("00"&amp;VALUE(TRIM(LEFT(Entry!$D277,FIND(":",Entry!$D277)-1))),2)&amp;":"&amp;RIGHT("00"&amp;VALUE(TRIM(MID(Entry!$D277,FIND(":",Entry!$D277)+1,2))),2),"نامعتبر")),IF(OR($E277="",$E277="نامعتبر"),"","00:00"))</f>
        <v/>
      </c>
      <c r="G277">
        <f>IF(OR($E277="",$E277="نامعتبر"),"",IF(Entry!$E277="","",LEFT(UPPER(TRIM(Entry!$E277)),6)))</f>
        <v/>
      </c>
      <c r="H277">
        <f>IF($G277="","",RIGHT($E277,4)&amp;MID($E277,6,2)&amp;RIGHT($E277,2)&amp;IF($F277="","0000",IF($F277="نامعتبر","9999",LEFT($F277,2)&amp;RIGHT($F277,2)))&amp;"|"&amp;RIGHT("00000"&amp;269,5))</f>
        <v/>
      </c>
      <c r="I277">
        <f>IF($H277="","",COUNTIFS(CalcBank,$G277,CalcKey,"&lt;"&amp;$H277)+1)</f>
        <v/>
      </c>
      <c r="J277">
        <f>IF($I277="","",$G277&amp;"|"&amp;RIGHT("000000"&amp;$I277,6))</f>
        <v/>
      </c>
      <c r="K277">
        <f>IF(OR($E277="",$E277="نامعتبر"),"",LEFT($E277,4)&amp;"/"&amp;MID($E277,6,2))</f>
        <v/>
      </c>
      <c r="L277">
        <f>IF(Entry!$K277="",0,Entry!$K277)</f>
        <v/>
      </c>
      <c r="M277">
        <f>IF(Entry!$L277="",0,Entry!$L277)</f>
        <v/>
      </c>
    </row>
    <row r="278">
      <c r="A278">
        <f>IF(Entry!$C278="","",Entry!$C278)</f>
        <v/>
      </c>
      <c r="B278">
        <f>IF($A278="","",IF(ISNUMBER($A278),IF(AND($A278&gt;=10000101,$A278&lt;=99991231),INT($A278/10000),""),IFERROR(VALUE(TRIM(LEFT($A278,FIND("/",$A278)-1))),"")))</f>
        <v/>
      </c>
      <c r="C278">
        <f>IF(OR($A278="",$B278=""),"",IF(ISNUMBER($A278),INT(MOD($A278,10000)/100),IFERROR(VALUE(TRIM(LEFT(MID($A278,FIND("/",$A278)+1,20),FIND("/",MID($A278,FIND("/",$A278)+1,20))-1))),"")))</f>
        <v/>
      </c>
      <c r="D278">
        <f>IF(OR($A278="",$B278=""),"",IF(ISNUMBER($A278),MOD($A278,100),IFERROR(VALUE(TRIM(MID(MID($A278,FIND("/",$A278)+1,20),FIND("/",MID($A278,FIND("/",$A278)+1,20))+1,20))),"")))</f>
        <v/>
      </c>
      <c r="E278">
        <f>IF($A278="","",IF(OR($B278="",$C278="",$D278="",$B278&lt;1300,$B278&gt;1500,$C278&lt;1,$C278&gt;12,$D278&lt;1,$D278&gt;31),"نامعتبر",RIGHT("0000"&amp;$B278,4)&amp;"/"&amp;RIGHT("00"&amp;$C278,2)&amp;"/"&amp;RIGHT("00"&amp;$D278,2)))</f>
        <v/>
      </c>
      <c r="F278">
        <f>IF(Entry!$D278&lt;&gt;"",IF(AND(ISNUMBER(Entry!$D278),Entry!$D278&gt;=0,Entry!$D278&lt;1),RIGHT("00"&amp;HOUR(Entry!$D278),2)&amp;":"&amp;RIGHT("00"&amp;MINUTE(Entry!$D278),2),IFERROR(RIGHT("00"&amp;VALUE(TRIM(LEFT(Entry!$D278,FIND(":",Entry!$D278)-1))),2)&amp;":"&amp;RIGHT("00"&amp;VALUE(TRIM(MID(Entry!$D278,FIND(":",Entry!$D278)+1,2))),2),"نامعتبر")),IF(OR($E278="",$E278="نامعتبر"),"","00:00"))</f>
        <v/>
      </c>
      <c r="G278">
        <f>IF(OR($E278="",$E278="نامعتبر"),"",IF(Entry!$E278="","",LEFT(UPPER(TRIM(Entry!$E278)),6)))</f>
        <v/>
      </c>
      <c r="H278">
        <f>IF($G278="","",RIGHT($E278,4)&amp;MID($E278,6,2)&amp;RIGHT($E278,2)&amp;IF($F278="","0000",IF($F278="نامعتبر","9999",LEFT($F278,2)&amp;RIGHT($F278,2)))&amp;"|"&amp;RIGHT("00000"&amp;270,5))</f>
        <v/>
      </c>
      <c r="I278">
        <f>IF($H278="","",COUNTIFS(CalcBank,$G278,CalcKey,"&lt;"&amp;$H278)+1)</f>
        <v/>
      </c>
      <c r="J278">
        <f>IF($I278="","",$G278&amp;"|"&amp;RIGHT("000000"&amp;$I278,6))</f>
        <v/>
      </c>
      <c r="K278">
        <f>IF(OR($E278="",$E278="نامعتبر"),"",LEFT($E278,4)&amp;"/"&amp;MID($E278,6,2))</f>
        <v/>
      </c>
      <c r="L278">
        <f>IF(Entry!$K278="",0,Entry!$K278)</f>
        <v/>
      </c>
      <c r="M278">
        <f>IF(Entry!$L278="",0,Entry!$L278)</f>
        <v/>
      </c>
    </row>
    <row r="279">
      <c r="A279">
        <f>IF(Entry!$C279="","",Entry!$C279)</f>
        <v/>
      </c>
      <c r="B279">
        <f>IF($A279="","",IF(ISNUMBER($A279),IF(AND($A279&gt;=10000101,$A279&lt;=99991231),INT($A279/10000),""),IFERROR(VALUE(TRIM(LEFT($A279,FIND("/",$A279)-1))),"")))</f>
        <v/>
      </c>
      <c r="C279">
        <f>IF(OR($A279="",$B279=""),"",IF(ISNUMBER($A279),INT(MOD($A279,10000)/100),IFERROR(VALUE(TRIM(LEFT(MID($A279,FIND("/",$A279)+1,20),FIND("/",MID($A279,FIND("/",$A279)+1,20))-1))),"")))</f>
        <v/>
      </c>
      <c r="D279">
        <f>IF(OR($A279="",$B279=""),"",IF(ISNUMBER($A279),MOD($A279,100),IFERROR(VALUE(TRIM(MID(MID($A279,FIND("/",$A279)+1,20),FIND("/",MID($A279,FIND("/",$A279)+1,20))+1,20))),"")))</f>
        <v/>
      </c>
      <c r="E279">
        <f>IF($A279="","",IF(OR($B279="",$C279="",$D279="",$B279&lt;1300,$B279&gt;1500,$C279&lt;1,$C279&gt;12,$D279&lt;1,$D279&gt;31),"نامعتبر",RIGHT("0000"&amp;$B279,4)&amp;"/"&amp;RIGHT("00"&amp;$C279,2)&amp;"/"&amp;RIGHT("00"&amp;$D279,2)))</f>
        <v/>
      </c>
      <c r="F279">
        <f>IF(Entry!$D279&lt;&gt;"",IF(AND(ISNUMBER(Entry!$D279),Entry!$D279&gt;=0,Entry!$D279&lt;1),RIGHT("00"&amp;HOUR(Entry!$D279),2)&amp;":"&amp;RIGHT("00"&amp;MINUTE(Entry!$D279),2),IFERROR(RIGHT("00"&amp;VALUE(TRIM(LEFT(Entry!$D279,FIND(":",Entry!$D279)-1))),2)&amp;":"&amp;RIGHT("00"&amp;VALUE(TRIM(MID(Entry!$D279,FIND(":",Entry!$D279)+1,2))),2),"نامعتبر")),IF(OR($E279="",$E279="نامعتبر"),"","00:00"))</f>
        <v/>
      </c>
      <c r="G279">
        <f>IF(OR($E279="",$E279="نامعتبر"),"",IF(Entry!$E279="","",LEFT(UPPER(TRIM(Entry!$E279)),6)))</f>
        <v/>
      </c>
      <c r="H279">
        <f>IF($G279="","",RIGHT($E279,4)&amp;MID($E279,6,2)&amp;RIGHT($E279,2)&amp;IF($F279="","0000",IF($F279="نامعتبر","9999",LEFT($F279,2)&amp;RIGHT($F279,2)))&amp;"|"&amp;RIGHT("00000"&amp;271,5))</f>
        <v/>
      </c>
      <c r="I279">
        <f>IF($H279="","",COUNTIFS(CalcBank,$G279,CalcKey,"&lt;"&amp;$H279)+1)</f>
        <v/>
      </c>
      <c r="J279">
        <f>IF($I279="","",$G279&amp;"|"&amp;RIGHT("000000"&amp;$I279,6))</f>
        <v/>
      </c>
      <c r="K279">
        <f>IF(OR($E279="",$E279="نامعتبر"),"",LEFT($E279,4)&amp;"/"&amp;MID($E279,6,2))</f>
        <v/>
      </c>
      <c r="L279">
        <f>IF(Entry!$K279="",0,Entry!$K279)</f>
        <v/>
      </c>
      <c r="M279">
        <f>IF(Entry!$L279="",0,Entry!$L279)</f>
        <v/>
      </c>
    </row>
    <row r="280">
      <c r="A280">
        <f>IF(Entry!$C280="","",Entry!$C280)</f>
        <v/>
      </c>
      <c r="B280">
        <f>IF($A280="","",IF(ISNUMBER($A280),IF(AND($A280&gt;=10000101,$A280&lt;=99991231),INT($A280/10000),""),IFERROR(VALUE(TRIM(LEFT($A280,FIND("/",$A280)-1))),"")))</f>
        <v/>
      </c>
      <c r="C280">
        <f>IF(OR($A280="",$B280=""),"",IF(ISNUMBER($A280),INT(MOD($A280,10000)/100),IFERROR(VALUE(TRIM(LEFT(MID($A280,FIND("/",$A280)+1,20),FIND("/",MID($A280,FIND("/",$A280)+1,20))-1))),"")))</f>
        <v/>
      </c>
      <c r="D280">
        <f>IF(OR($A280="",$B280=""),"",IF(ISNUMBER($A280),MOD($A280,100),IFERROR(VALUE(TRIM(MID(MID($A280,FIND("/",$A280)+1,20),FIND("/",MID($A280,FIND("/",$A280)+1,20))+1,20))),"")))</f>
        <v/>
      </c>
      <c r="E280">
        <f>IF($A280="","",IF(OR($B280="",$C280="",$D280="",$B280&lt;1300,$B280&gt;1500,$C280&lt;1,$C280&gt;12,$D280&lt;1,$D280&gt;31),"نامعتبر",RIGHT("0000"&amp;$B280,4)&amp;"/"&amp;RIGHT("00"&amp;$C280,2)&amp;"/"&amp;RIGHT("00"&amp;$D280,2)))</f>
        <v/>
      </c>
      <c r="F280">
        <f>IF(Entry!$D280&lt;&gt;"",IF(AND(ISNUMBER(Entry!$D280),Entry!$D280&gt;=0,Entry!$D280&lt;1),RIGHT("00"&amp;HOUR(Entry!$D280),2)&amp;":"&amp;RIGHT("00"&amp;MINUTE(Entry!$D280),2),IFERROR(RIGHT("00"&amp;VALUE(TRIM(LEFT(Entry!$D280,FIND(":",Entry!$D280)-1))),2)&amp;":"&amp;RIGHT("00"&amp;VALUE(TRIM(MID(Entry!$D280,FIND(":",Entry!$D280)+1,2))),2),"نامعتبر")),IF(OR($E280="",$E280="نامعتبر"),"","00:00"))</f>
        <v/>
      </c>
      <c r="G280">
        <f>IF(OR($E280="",$E280="نامعتبر"),"",IF(Entry!$E280="","",LEFT(UPPER(TRIM(Entry!$E280)),6)))</f>
        <v/>
      </c>
      <c r="H280">
        <f>IF($G280="","",RIGHT($E280,4)&amp;MID($E280,6,2)&amp;RIGHT($E280,2)&amp;IF($F280="","0000",IF($F280="نامعتبر","9999",LEFT($F280,2)&amp;RIGHT($F280,2)))&amp;"|"&amp;RIGHT("00000"&amp;272,5))</f>
        <v/>
      </c>
      <c r="I280">
        <f>IF($H280="","",COUNTIFS(CalcBank,$G280,CalcKey,"&lt;"&amp;$H280)+1)</f>
        <v/>
      </c>
      <c r="J280">
        <f>IF($I280="","",$G280&amp;"|"&amp;RIGHT("000000"&amp;$I280,6))</f>
        <v/>
      </c>
      <c r="K280">
        <f>IF(OR($E280="",$E280="نامعتبر"),"",LEFT($E280,4)&amp;"/"&amp;MID($E280,6,2))</f>
        <v/>
      </c>
      <c r="L280">
        <f>IF(Entry!$K280="",0,Entry!$K280)</f>
        <v/>
      </c>
      <c r="M280">
        <f>IF(Entry!$L280="",0,Entry!$L280)</f>
        <v/>
      </c>
    </row>
    <row r="281">
      <c r="A281">
        <f>IF(Entry!$C281="","",Entry!$C281)</f>
        <v/>
      </c>
      <c r="B281">
        <f>IF($A281="","",IF(ISNUMBER($A281),IF(AND($A281&gt;=10000101,$A281&lt;=99991231),INT($A281/10000),""),IFERROR(VALUE(TRIM(LEFT($A281,FIND("/",$A281)-1))),"")))</f>
        <v/>
      </c>
      <c r="C281">
        <f>IF(OR($A281="",$B281=""),"",IF(ISNUMBER($A281),INT(MOD($A281,10000)/100),IFERROR(VALUE(TRIM(LEFT(MID($A281,FIND("/",$A281)+1,20),FIND("/",MID($A281,FIND("/",$A281)+1,20))-1))),"")))</f>
        <v/>
      </c>
      <c r="D281">
        <f>IF(OR($A281="",$B281=""),"",IF(ISNUMBER($A281),MOD($A281,100),IFERROR(VALUE(TRIM(MID(MID($A281,FIND("/",$A281)+1,20),FIND("/",MID($A281,FIND("/",$A281)+1,20))+1,20))),"")))</f>
        <v/>
      </c>
      <c r="E281">
        <f>IF($A281="","",IF(OR($B281="",$C281="",$D281="",$B281&lt;1300,$B281&gt;1500,$C281&lt;1,$C281&gt;12,$D281&lt;1,$D281&gt;31),"نامعتبر",RIGHT("0000"&amp;$B281,4)&amp;"/"&amp;RIGHT("00"&amp;$C281,2)&amp;"/"&amp;RIGHT("00"&amp;$D281,2)))</f>
        <v/>
      </c>
      <c r="F281">
        <f>IF(Entry!$D281&lt;&gt;"",IF(AND(ISNUMBER(Entry!$D281),Entry!$D281&gt;=0,Entry!$D281&lt;1),RIGHT("00"&amp;HOUR(Entry!$D281),2)&amp;":"&amp;RIGHT("00"&amp;MINUTE(Entry!$D281),2),IFERROR(RIGHT("00"&amp;VALUE(TRIM(LEFT(Entry!$D281,FIND(":",Entry!$D281)-1))),2)&amp;":"&amp;RIGHT("00"&amp;VALUE(TRIM(MID(Entry!$D281,FIND(":",Entry!$D281)+1,2))),2),"نامعتبر")),IF(OR($E281="",$E281="نامعتبر"),"","00:00"))</f>
        <v/>
      </c>
      <c r="G281">
        <f>IF(OR($E281="",$E281="نامعتبر"),"",IF(Entry!$E281="","",LEFT(UPPER(TRIM(Entry!$E281)),6)))</f>
        <v/>
      </c>
      <c r="H281">
        <f>IF($G281="","",RIGHT($E281,4)&amp;MID($E281,6,2)&amp;RIGHT($E281,2)&amp;IF($F281="","0000",IF($F281="نامعتبر","9999",LEFT($F281,2)&amp;RIGHT($F281,2)))&amp;"|"&amp;RIGHT("00000"&amp;273,5))</f>
        <v/>
      </c>
      <c r="I281">
        <f>IF($H281="","",COUNTIFS(CalcBank,$G281,CalcKey,"&lt;"&amp;$H281)+1)</f>
        <v/>
      </c>
      <c r="J281">
        <f>IF($I281="","",$G281&amp;"|"&amp;RIGHT("000000"&amp;$I281,6))</f>
        <v/>
      </c>
      <c r="K281">
        <f>IF(OR($E281="",$E281="نامعتبر"),"",LEFT($E281,4)&amp;"/"&amp;MID($E281,6,2))</f>
        <v/>
      </c>
      <c r="L281">
        <f>IF(Entry!$K281="",0,Entry!$K281)</f>
        <v/>
      </c>
      <c r="M281">
        <f>IF(Entry!$L281="",0,Entry!$L281)</f>
        <v/>
      </c>
    </row>
    <row r="282">
      <c r="A282">
        <f>IF(Entry!$C282="","",Entry!$C282)</f>
        <v/>
      </c>
      <c r="B282">
        <f>IF($A282="","",IF(ISNUMBER($A282),IF(AND($A282&gt;=10000101,$A282&lt;=99991231),INT($A282/10000),""),IFERROR(VALUE(TRIM(LEFT($A282,FIND("/",$A282)-1))),"")))</f>
        <v/>
      </c>
      <c r="C282">
        <f>IF(OR($A282="",$B282=""),"",IF(ISNUMBER($A282),INT(MOD($A282,10000)/100),IFERROR(VALUE(TRIM(LEFT(MID($A282,FIND("/",$A282)+1,20),FIND("/",MID($A282,FIND("/",$A282)+1,20))-1))),"")))</f>
        <v/>
      </c>
      <c r="D282">
        <f>IF(OR($A282="",$B282=""),"",IF(ISNUMBER($A282),MOD($A282,100),IFERROR(VALUE(TRIM(MID(MID($A282,FIND("/",$A282)+1,20),FIND("/",MID($A282,FIND("/",$A282)+1,20))+1,20))),"")))</f>
        <v/>
      </c>
      <c r="E282">
        <f>IF($A282="","",IF(OR($B282="",$C282="",$D282="",$B282&lt;1300,$B282&gt;1500,$C282&lt;1,$C282&gt;12,$D282&lt;1,$D282&gt;31),"نامعتبر",RIGHT("0000"&amp;$B282,4)&amp;"/"&amp;RIGHT("00"&amp;$C282,2)&amp;"/"&amp;RIGHT("00"&amp;$D282,2)))</f>
        <v/>
      </c>
      <c r="F282">
        <f>IF(Entry!$D282&lt;&gt;"",IF(AND(ISNUMBER(Entry!$D282),Entry!$D282&gt;=0,Entry!$D282&lt;1),RIGHT("00"&amp;HOUR(Entry!$D282),2)&amp;":"&amp;RIGHT("00"&amp;MINUTE(Entry!$D282),2),IFERROR(RIGHT("00"&amp;VALUE(TRIM(LEFT(Entry!$D282,FIND(":",Entry!$D282)-1))),2)&amp;":"&amp;RIGHT("00"&amp;VALUE(TRIM(MID(Entry!$D282,FIND(":",Entry!$D282)+1,2))),2),"نامعتبر")),IF(OR($E282="",$E282="نامعتبر"),"","00:00"))</f>
        <v/>
      </c>
      <c r="G282">
        <f>IF(OR($E282="",$E282="نامعتبر"),"",IF(Entry!$E282="","",LEFT(UPPER(TRIM(Entry!$E282)),6)))</f>
        <v/>
      </c>
      <c r="H282">
        <f>IF($G282="","",RIGHT($E282,4)&amp;MID($E282,6,2)&amp;RIGHT($E282,2)&amp;IF($F282="","0000",IF($F282="نامعتبر","9999",LEFT($F282,2)&amp;RIGHT($F282,2)))&amp;"|"&amp;RIGHT("00000"&amp;274,5))</f>
        <v/>
      </c>
      <c r="I282">
        <f>IF($H282="","",COUNTIFS(CalcBank,$G282,CalcKey,"&lt;"&amp;$H282)+1)</f>
        <v/>
      </c>
      <c r="J282">
        <f>IF($I282="","",$G282&amp;"|"&amp;RIGHT("000000"&amp;$I282,6))</f>
        <v/>
      </c>
      <c r="K282">
        <f>IF(OR($E282="",$E282="نامعتبر"),"",LEFT($E282,4)&amp;"/"&amp;MID($E282,6,2))</f>
        <v/>
      </c>
      <c r="L282">
        <f>IF(Entry!$K282="",0,Entry!$K282)</f>
        <v/>
      </c>
      <c r="M282">
        <f>IF(Entry!$L282="",0,Entry!$L282)</f>
        <v/>
      </c>
    </row>
    <row r="283">
      <c r="A283">
        <f>IF(Entry!$C283="","",Entry!$C283)</f>
        <v/>
      </c>
      <c r="B283">
        <f>IF($A283="","",IF(ISNUMBER($A283),IF(AND($A283&gt;=10000101,$A283&lt;=99991231),INT($A283/10000),""),IFERROR(VALUE(TRIM(LEFT($A283,FIND("/",$A283)-1))),"")))</f>
        <v/>
      </c>
      <c r="C283">
        <f>IF(OR($A283="",$B283=""),"",IF(ISNUMBER($A283),INT(MOD($A283,10000)/100),IFERROR(VALUE(TRIM(LEFT(MID($A283,FIND("/",$A283)+1,20),FIND("/",MID($A283,FIND("/",$A283)+1,20))-1))),"")))</f>
        <v/>
      </c>
      <c r="D283">
        <f>IF(OR($A283="",$B283=""),"",IF(ISNUMBER($A283),MOD($A283,100),IFERROR(VALUE(TRIM(MID(MID($A283,FIND("/",$A283)+1,20),FIND("/",MID($A283,FIND("/",$A283)+1,20))+1,20))),"")))</f>
        <v/>
      </c>
      <c r="E283">
        <f>IF($A283="","",IF(OR($B283="",$C283="",$D283="",$B283&lt;1300,$B283&gt;1500,$C283&lt;1,$C283&gt;12,$D283&lt;1,$D283&gt;31),"نامعتبر",RIGHT("0000"&amp;$B283,4)&amp;"/"&amp;RIGHT("00"&amp;$C283,2)&amp;"/"&amp;RIGHT("00"&amp;$D283,2)))</f>
        <v/>
      </c>
      <c r="F283">
        <f>IF(Entry!$D283&lt;&gt;"",IF(AND(ISNUMBER(Entry!$D283),Entry!$D283&gt;=0,Entry!$D283&lt;1),RIGHT("00"&amp;HOUR(Entry!$D283),2)&amp;":"&amp;RIGHT("00"&amp;MINUTE(Entry!$D283),2),IFERROR(RIGHT("00"&amp;VALUE(TRIM(LEFT(Entry!$D283,FIND(":",Entry!$D283)-1))),2)&amp;":"&amp;RIGHT("00"&amp;VALUE(TRIM(MID(Entry!$D283,FIND(":",Entry!$D283)+1,2))),2),"نامعتبر")),IF(OR($E283="",$E283="نامعتبر"),"","00:00"))</f>
        <v/>
      </c>
      <c r="G283">
        <f>IF(OR($E283="",$E283="نامعتبر"),"",IF(Entry!$E283="","",LEFT(UPPER(TRIM(Entry!$E283)),6)))</f>
        <v/>
      </c>
      <c r="H283">
        <f>IF($G283="","",RIGHT($E283,4)&amp;MID($E283,6,2)&amp;RIGHT($E283,2)&amp;IF($F283="","0000",IF($F283="نامعتبر","9999",LEFT($F283,2)&amp;RIGHT($F283,2)))&amp;"|"&amp;RIGHT("00000"&amp;275,5))</f>
        <v/>
      </c>
      <c r="I283">
        <f>IF($H283="","",COUNTIFS(CalcBank,$G283,CalcKey,"&lt;"&amp;$H283)+1)</f>
        <v/>
      </c>
      <c r="J283">
        <f>IF($I283="","",$G283&amp;"|"&amp;RIGHT("000000"&amp;$I283,6))</f>
        <v/>
      </c>
      <c r="K283">
        <f>IF(OR($E283="",$E283="نامعتبر"),"",LEFT($E283,4)&amp;"/"&amp;MID($E283,6,2))</f>
        <v/>
      </c>
      <c r="L283">
        <f>IF(Entry!$K283="",0,Entry!$K283)</f>
        <v/>
      </c>
      <c r="M283">
        <f>IF(Entry!$L283="",0,Entry!$L283)</f>
        <v/>
      </c>
    </row>
    <row r="284">
      <c r="A284">
        <f>IF(Entry!$C284="","",Entry!$C284)</f>
        <v/>
      </c>
      <c r="B284">
        <f>IF($A284="","",IF(ISNUMBER($A284),IF(AND($A284&gt;=10000101,$A284&lt;=99991231),INT($A284/10000),""),IFERROR(VALUE(TRIM(LEFT($A284,FIND("/",$A284)-1))),"")))</f>
        <v/>
      </c>
      <c r="C284">
        <f>IF(OR($A284="",$B284=""),"",IF(ISNUMBER($A284),INT(MOD($A284,10000)/100),IFERROR(VALUE(TRIM(LEFT(MID($A284,FIND("/",$A284)+1,20),FIND("/",MID($A284,FIND("/",$A284)+1,20))-1))),"")))</f>
        <v/>
      </c>
      <c r="D284">
        <f>IF(OR($A284="",$B284=""),"",IF(ISNUMBER($A284),MOD($A284,100),IFERROR(VALUE(TRIM(MID(MID($A284,FIND("/",$A284)+1,20),FIND("/",MID($A284,FIND("/",$A284)+1,20))+1,20))),"")))</f>
        <v/>
      </c>
      <c r="E284">
        <f>IF($A284="","",IF(OR($B284="",$C284="",$D284="",$B284&lt;1300,$B284&gt;1500,$C284&lt;1,$C284&gt;12,$D284&lt;1,$D284&gt;31),"نامعتبر",RIGHT("0000"&amp;$B284,4)&amp;"/"&amp;RIGHT("00"&amp;$C284,2)&amp;"/"&amp;RIGHT("00"&amp;$D284,2)))</f>
        <v/>
      </c>
      <c r="F284">
        <f>IF(Entry!$D284&lt;&gt;"",IF(AND(ISNUMBER(Entry!$D284),Entry!$D284&gt;=0,Entry!$D284&lt;1),RIGHT("00"&amp;HOUR(Entry!$D284),2)&amp;":"&amp;RIGHT("00"&amp;MINUTE(Entry!$D284),2),IFERROR(RIGHT("00"&amp;VALUE(TRIM(LEFT(Entry!$D284,FIND(":",Entry!$D284)-1))),2)&amp;":"&amp;RIGHT("00"&amp;VALUE(TRIM(MID(Entry!$D284,FIND(":",Entry!$D284)+1,2))),2),"نامعتبر")),IF(OR($E284="",$E284="نامعتبر"),"","00:00"))</f>
        <v/>
      </c>
      <c r="G284">
        <f>IF(OR($E284="",$E284="نامعتبر"),"",IF(Entry!$E284="","",LEFT(UPPER(TRIM(Entry!$E284)),6)))</f>
        <v/>
      </c>
      <c r="H284">
        <f>IF($G284="","",RIGHT($E284,4)&amp;MID($E284,6,2)&amp;RIGHT($E284,2)&amp;IF($F284="","0000",IF($F284="نامعتبر","9999",LEFT($F284,2)&amp;RIGHT($F284,2)))&amp;"|"&amp;RIGHT("00000"&amp;276,5))</f>
        <v/>
      </c>
      <c r="I284">
        <f>IF($H284="","",COUNTIFS(CalcBank,$G284,CalcKey,"&lt;"&amp;$H284)+1)</f>
        <v/>
      </c>
      <c r="J284">
        <f>IF($I284="","",$G284&amp;"|"&amp;RIGHT("000000"&amp;$I284,6))</f>
        <v/>
      </c>
      <c r="K284">
        <f>IF(OR($E284="",$E284="نامعتبر"),"",LEFT($E284,4)&amp;"/"&amp;MID($E284,6,2))</f>
        <v/>
      </c>
      <c r="L284">
        <f>IF(Entry!$K284="",0,Entry!$K284)</f>
        <v/>
      </c>
      <c r="M284">
        <f>IF(Entry!$L284="",0,Entry!$L284)</f>
        <v/>
      </c>
    </row>
    <row r="285">
      <c r="A285">
        <f>IF(Entry!$C285="","",Entry!$C285)</f>
        <v/>
      </c>
      <c r="B285">
        <f>IF($A285="","",IF(ISNUMBER($A285),IF(AND($A285&gt;=10000101,$A285&lt;=99991231),INT($A285/10000),""),IFERROR(VALUE(TRIM(LEFT($A285,FIND("/",$A285)-1))),"")))</f>
        <v/>
      </c>
      <c r="C285">
        <f>IF(OR($A285="",$B285=""),"",IF(ISNUMBER($A285),INT(MOD($A285,10000)/100),IFERROR(VALUE(TRIM(LEFT(MID($A285,FIND("/",$A285)+1,20),FIND("/",MID($A285,FIND("/",$A285)+1,20))-1))),"")))</f>
        <v/>
      </c>
      <c r="D285">
        <f>IF(OR($A285="",$B285=""),"",IF(ISNUMBER($A285),MOD($A285,100),IFERROR(VALUE(TRIM(MID(MID($A285,FIND("/",$A285)+1,20),FIND("/",MID($A285,FIND("/",$A285)+1,20))+1,20))),"")))</f>
        <v/>
      </c>
      <c r="E285">
        <f>IF($A285="","",IF(OR($B285="",$C285="",$D285="",$B285&lt;1300,$B285&gt;1500,$C285&lt;1,$C285&gt;12,$D285&lt;1,$D285&gt;31),"نامعتبر",RIGHT("0000"&amp;$B285,4)&amp;"/"&amp;RIGHT("00"&amp;$C285,2)&amp;"/"&amp;RIGHT("00"&amp;$D285,2)))</f>
        <v/>
      </c>
      <c r="F285">
        <f>IF(Entry!$D285&lt;&gt;"",IF(AND(ISNUMBER(Entry!$D285),Entry!$D285&gt;=0,Entry!$D285&lt;1),RIGHT("00"&amp;HOUR(Entry!$D285),2)&amp;":"&amp;RIGHT("00"&amp;MINUTE(Entry!$D285),2),IFERROR(RIGHT("00"&amp;VALUE(TRIM(LEFT(Entry!$D285,FIND(":",Entry!$D285)-1))),2)&amp;":"&amp;RIGHT("00"&amp;VALUE(TRIM(MID(Entry!$D285,FIND(":",Entry!$D285)+1,2))),2),"نامعتبر")),IF(OR($E285="",$E285="نامعتبر"),"","00:00"))</f>
        <v/>
      </c>
      <c r="G285">
        <f>IF(OR($E285="",$E285="نامعتبر"),"",IF(Entry!$E285="","",LEFT(UPPER(TRIM(Entry!$E285)),6)))</f>
        <v/>
      </c>
      <c r="H285">
        <f>IF($G285="","",RIGHT($E285,4)&amp;MID($E285,6,2)&amp;RIGHT($E285,2)&amp;IF($F285="","0000",IF($F285="نامعتبر","9999",LEFT($F285,2)&amp;RIGHT($F285,2)))&amp;"|"&amp;RIGHT("00000"&amp;277,5))</f>
        <v/>
      </c>
      <c r="I285">
        <f>IF($H285="","",COUNTIFS(CalcBank,$G285,CalcKey,"&lt;"&amp;$H285)+1)</f>
        <v/>
      </c>
      <c r="J285">
        <f>IF($I285="","",$G285&amp;"|"&amp;RIGHT("000000"&amp;$I285,6))</f>
        <v/>
      </c>
      <c r="K285">
        <f>IF(OR($E285="",$E285="نامعتبر"),"",LEFT($E285,4)&amp;"/"&amp;MID($E285,6,2))</f>
        <v/>
      </c>
      <c r="L285">
        <f>IF(Entry!$K285="",0,Entry!$K285)</f>
        <v/>
      </c>
      <c r="M285">
        <f>IF(Entry!$L285="",0,Entry!$L285)</f>
        <v/>
      </c>
    </row>
    <row r="286">
      <c r="A286">
        <f>IF(Entry!$C286="","",Entry!$C286)</f>
        <v/>
      </c>
      <c r="B286">
        <f>IF($A286="","",IF(ISNUMBER($A286),IF(AND($A286&gt;=10000101,$A286&lt;=99991231),INT($A286/10000),""),IFERROR(VALUE(TRIM(LEFT($A286,FIND("/",$A286)-1))),"")))</f>
        <v/>
      </c>
      <c r="C286">
        <f>IF(OR($A286="",$B286=""),"",IF(ISNUMBER($A286),INT(MOD($A286,10000)/100),IFERROR(VALUE(TRIM(LEFT(MID($A286,FIND("/",$A286)+1,20),FIND("/",MID($A286,FIND("/",$A286)+1,20))-1))),"")))</f>
        <v/>
      </c>
      <c r="D286">
        <f>IF(OR($A286="",$B286=""),"",IF(ISNUMBER($A286),MOD($A286,100),IFERROR(VALUE(TRIM(MID(MID($A286,FIND("/",$A286)+1,20),FIND("/",MID($A286,FIND("/",$A286)+1,20))+1,20))),"")))</f>
        <v/>
      </c>
      <c r="E286">
        <f>IF($A286="","",IF(OR($B286="",$C286="",$D286="",$B286&lt;1300,$B286&gt;1500,$C286&lt;1,$C286&gt;12,$D286&lt;1,$D286&gt;31),"نامعتبر",RIGHT("0000"&amp;$B286,4)&amp;"/"&amp;RIGHT("00"&amp;$C286,2)&amp;"/"&amp;RIGHT("00"&amp;$D286,2)))</f>
        <v/>
      </c>
      <c r="F286">
        <f>IF(Entry!$D286&lt;&gt;"",IF(AND(ISNUMBER(Entry!$D286),Entry!$D286&gt;=0,Entry!$D286&lt;1),RIGHT("00"&amp;HOUR(Entry!$D286),2)&amp;":"&amp;RIGHT("00"&amp;MINUTE(Entry!$D286),2),IFERROR(RIGHT("00"&amp;VALUE(TRIM(LEFT(Entry!$D286,FIND(":",Entry!$D286)-1))),2)&amp;":"&amp;RIGHT("00"&amp;VALUE(TRIM(MID(Entry!$D286,FIND(":",Entry!$D286)+1,2))),2),"نامعتبر")),IF(OR($E286="",$E286="نامعتبر"),"","00:00"))</f>
        <v/>
      </c>
      <c r="G286">
        <f>IF(OR($E286="",$E286="نامعتبر"),"",IF(Entry!$E286="","",LEFT(UPPER(TRIM(Entry!$E286)),6)))</f>
        <v/>
      </c>
      <c r="H286">
        <f>IF($G286="","",RIGHT($E286,4)&amp;MID($E286,6,2)&amp;RIGHT($E286,2)&amp;IF($F286="","0000",IF($F286="نامعتبر","9999",LEFT($F286,2)&amp;RIGHT($F286,2)))&amp;"|"&amp;RIGHT("00000"&amp;278,5))</f>
        <v/>
      </c>
      <c r="I286">
        <f>IF($H286="","",COUNTIFS(CalcBank,$G286,CalcKey,"&lt;"&amp;$H286)+1)</f>
        <v/>
      </c>
      <c r="J286">
        <f>IF($I286="","",$G286&amp;"|"&amp;RIGHT("000000"&amp;$I286,6))</f>
        <v/>
      </c>
      <c r="K286">
        <f>IF(OR($E286="",$E286="نامعتبر"),"",LEFT($E286,4)&amp;"/"&amp;MID($E286,6,2))</f>
        <v/>
      </c>
      <c r="L286">
        <f>IF(Entry!$K286="",0,Entry!$K286)</f>
        <v/>
      </c>
      <c r="M286">
        <f>IF(Entry!$L286="",0,Entry!$L286)</f>
        <v/>
      </c>
    </row>
    <row r="287">
      <c r="A287">
        <f>IF(Entry!$C287="","",Entry!$C287)</f>
        <v/>
      </c>
      <c r="B287">
        <f>IF($A287="","",IF(ISNUMBER($A287),IF(AND($A287&gt;=10000101,$A287&lt;=99991231),INT($A287/10000),""),IFERROR(VALUE(TRIM(LEFT($A287,FIND("/",$A287)-1))),"")))</f>
        <v/>
      </c>
      <c r="C287">
        <f>IF(OR($A287="",$B287=""),"",IF(ISNUMBER($A287),INT(MOD($A287,10000)/100),IFERROR(VALUE(TRIM(LEFT(MID($A287,FIND("/",$A287)+1,20),FIND("/",MID($A287,FIND("/",$A287)+1,20))-1))),"")))</f>
        <v/>
      </c>
      <c r="D287">
        <f>IF(OR($A287="",$B287=""),"",IF(ISNUMBER($A287),MOD($A287,100),IFERROR(VALUE(TRIM(MID(MID($A287,FIND("/",$A287)+1,20),FIND("/",MID($A287,FIND("/",$A287)+1,20))+1,20))),"")))</f>
        <v/>
      </c>
      <c r="E287">
        <f>IF($A287="","",IF(OR($B287="",$C287="",$D287="",$B287&lt;1300,$B287&gt;1500,$C287&lt;1,$C287&gt;12,$D287&lt;1,$D287&gt;31),"نامعتبر",RIGHT("0000"&amp;$B287,4)&amp;"/"&amp;RIGHT("00"&amp;$C287,2)&amp;"/"&amp;RIGHT("00"&amp;$D287,2)))</f>
        <v/>
      </c>
      <c r="F287">
        <f>IF(Entry!$D287&lt;&gt;"",IF(AND(ISNUMBER(Entry!$D287),Entry!$D287&gt;=0,Entry!$D287&lt;1),RIGHT("00"&amp;HOUR(Entry!$D287),2)&amp;":"&amp;RIGHT("00"&amp;MINUTE(Entry!$D287),2),IFERROR(RIGHT("00"&amp;VALUE(TRIM(LEFT(Entry!$D287,FIND(":",Entry!$D287)-1))),2)&amp;":"&amp;RIGHT("00"&amp;VALUE(TRIM(MID(Entry!$D287,FIND(":",Entry!$D287)+1,2))),2),"نامعتبر")),IF(OR($E287="",$E287="نامعتبر"),"","00:00"))</f>
        <v/>
      </c>
      <c r="G287">
        <f>IF(OR($E287="",$E287="نامعتبر"),"",IF(Entry!$E287="","",LEFT(UPPER(TRIM(Entry!$E287)),6)))</f>
        <v/>
      </c>
      <c r="H287">
        <f>IF($G287="","",RIGHT($E287,4)&amp;MID($E287,6,2)&amp;RIGHT($E287,2)&amp;IF($F287="","0000",IF($F287="نامعتبر","9999",LEFT($F287,2)&amp;RIGHT($F287,2)))&amp;"|"&amp;RIGHT("00000"&amp;279,5))</f>
        <v/>
      </c>
      <c r="I287">
        <f>IF($H287="","",COUNTIFS(CalcBank,$G287,CalcKey,"&lt;"&amp;$H287)+1)</f>
        <v/>
      </c>
      <c r="J287">
        <f>IF($I287="","",$G287&amp;"|"&amp;RIGHT("000000"&amp;$I287,6))</f>
        <v/>
      </c>
      <c r="K287">
        <f>IF(OR($E287="",$E287="نامعتبر"),"",LEFT($E287,4)&amp;"/"&amp;MID($E287,6,2))</f>
        <v/>
      </c>
      <c r="L287">
        <f>IF(Entry!$K287="",0,Entry!$K287)</f>
        <v/>
      </c>
      <c r="M287">
        <f>IF(Entry!$L287="",0,Entry!$L287)</f>
        <v/>
      </c>
    </row>
    <row r="288">
      <c r="A288">
        <f>IF(Entry!$C288="","",Entry!$C288)</f>
        <v/>
      </c>
      <c r="B288">
        <f>IF($A288="","",IF(ISNUMBER($A288),IF(AND($A288&gt;=10000101,$A288&lt;=99991231),INT($A288/10000),""),IFERROR(VALUE(TRIM(LEFT($A288,FIND("/",$A288)-1))),"")))</f>
        <v/>
      </c>
      <c r="C288">
        <f>IF(OR($A288="",$B288=""),"",IF(ISNUMBER($A288),INT(MOD($A288,10000)/100),IFERROR(VALUE(TRIM(LEFT(MID($A288,FIND("/",$A288)+1,20),FIND("/",MID($A288,FIND("/",$A288)+1,20))-1))),"")))</f>
        <v/>
      </c>
      <c r="D288">
        <f>IF(OR($A288="",$B288=""),"",IF(ISNUMBER($A288),MOD($A288,100),IFERROR(VALUE(TRIM(MID(MID($A288,FIND("/",$A288)+1,20),FIND("/",MID($A288,FIND("/",$A288)+1,20))+1,20))),"")))</f>
        <v/>
      </c>
      <c r="E288">
        <f>IF($A288="","",IF(OR($B288="",$C288="",$D288="",$B288&lt;1300,$B288&gt;1500,$C288&lt;1,$C288&gt;12,$D288&lt;1,$D288&gt;31),"نامعتبر",RIGHT("0000"&amp;$B288,4)&amp;"/"&amp;RIGHT("00"&amp;$C288,2)&amp;"/"&amp;RIGHT("00"&amp;$D288,2)))</f>
        <v/>
      </c>
      <c r="F288">
        <f>IF(Entry!$D288&lt;&gt;"",IF(AND(ISNUMBER(Entry!$D288),Entry!$D288&gt;=0,Entry!$D288&lt;1),RIGHT("00"&amp;HOUR(Entry!$D288),2)&amp;":"&amp;RIGHT("00"&amp;MINUTE(Entry!$D288),2),IFERROR(RIGHT("00"&amp;VALUE(TRIM(LEFT(Entry!$D288,FIND(":",Entry!$D288)-1))),2)&amp;":"&amp;RIGHT("00"&amp;VALUE(TRIM(MID(Entry!$D288,FIND(":",Entry!$D288)+1,2))),2),"نامعتبر")),IF(OR($E288="",$E288="نامعتبر"),"","00:00"))</f>
        <v/>
      </c>
      <c r="G288">
        <f>IF(OR($E288="",$E288="نامعتبر"),"",IF(Entry!$E288="","",LEFT(UPPER(TRIM(Entry!$E288)),6)))</f>
        <v/>
      </c>
      <c r="H288">
        <f>IF($G288="","",RIGHT($E288,4)&amp;MID($E288,6,2)&amp;RIGHT($E288,2)&amp;IF($F288="","0000",IF($F288="نامعتبر","9999",LEFT($F288,2)&amp;RIGHT($F288,2)))&amp;"|"&amp;RIGHT("00000"&amp;280,5))</f>
        <v/>
      </c>
      <c r="I288">
        <f>IF($H288="","",COUNTIFS(CalcBank,$G288,CalcKey,"&lt;"&amp;$H288)+1)</f>
        <v/>
      </c>
      <c r="J288">
        <f>IF($I288="","",$G288&amp;"|"&amp;RIGHT("000000"&amp;$I288,6))</f>
        <v/>
      </c>
      <c r="K288">
        <f>IF(OR($E288="",$E288="نامعتبر"),"",LEFT($E288,4)&amp;"/"&amp;MID($E288,6,2))</f>
        <v/>
      </c>
      <c r="L288">
        <f>IF(Entry!$K288="",0,Entry!$K288)</f>
        <v/>
      </c>
      <c r="M288">
        <f>IF(Entry!$L288="",0,Entry!$L288)</f>
        <v/>
      </c>
    </row>
    <row r="289">
      <c r="A289">
        <f>IF(Entry!$C289="","",Entry!$C289)</f>
        <v/>
      </c>
      <c r="B289">
        <f>IF($A289="","",IF(ISNUMBER($A289),IF(AND($A289&gt;=10000101,$A289&lt;=99991231),INT($A289/10000),""),IFERROR(VALUE(TRIM(LEFT($A289,FIND("/",$A289)-1))),"")))</f>
        <v/>
      </c>
      <c r="C289">
        <f>IF(OR($A289="",$B289=""),"",IF(ISNUMBER($A289),INT(MOD($A289,10000)/100),IFERROR(VALUE(TRIM(LEFT(MID($A289,FIND("/",$A289)+1,20),FIND("/",MID($A289,FIND("/",$A289)+1,20))-1))),"")))</f>
        <v/>
      </c>
      <c r="D289">
        <f>IF(OR($A289="",$B289=""),"",IF(ISNUMBER($A289),MOD($A289,100),IFERROR(VALUE(TRIM(MID(MID($A289,FIND("/",$A289)+1,20),FIND("/",MID($A289,FIND("/",$A289)+1,20))+1,20))),"")))</f>
        <v/>
      </c>
      <c r="E289">
        <f>IF($A289="","",IF(OR($B289="",$C289="",$D289="",$B289&lt;1300,$B289&gt;1500,$C289&lt;1,$C289&gt;12,$D289&lt;1,$D289&gt;31),"نامعتبر",RIGHT("0000"&amp;$B289,4)&amp;"/"&amp;RIGHT("00"&amp;$C289,2)&amp;"/"&amp;RIGHT("00"&amp;$D289,2)))</f>
        <v/>
      </c>
      <c r="F289">
        <f>IF(Entry!$D289&lt;&gt;"",IF(AND(ISNUMBER(Entry!$D289),Entry!$D289&gt;=0,Entry!$D289&lt;1),RIGHT("00"&amp;HOUR(Entry!$D289),2)&amp;":"&amp;RIGHT("00"&amp;MINUTE(Entry!$D289),2),IFERROR(RIGHT("00"&amp;VALUE(TRIM(LEFT(Entry!$D289,FIND(":",Entry!$D289)-1))),2)&amp;":"&amp;RIGHT("00"&amp;VALUE(TRIM(MID(Entry!$D289,FIND(":",Entry!$D289)+1,2))),2),"نامعتبر")),IF(OR($E289="",$E289="نامعتبر"),"","00:00"))</f>
        <v/>
      </c>
      <c r="G289">
        <f>IF(OR($E289="",$E289="نامعتبر"),"",IF(Entry!$E289="","",LEFT(UPPER(TRIM(Entry!$E289)),6)))</f>
        <v/>
      </c>
      <c r="H289">
        <f>IF($G289="","",RIGHT($E289,4)&amp;MID($E289,6,2)&amp;RIGHT($E289,2)&amp;IF($F289="","0000",IF($F289="نامعتبر","9999",LEFT($F289,2)&amp;RIGHT($F289,2)))&amp;"|"&amp;RIGHT("00000"&amp;281,5))</f>
        <v/>
      </c>
      <c r="I289">
        <f>IF($H289="","",COUNTIFS(CalcBank,$G289,CalcKey,"&lt;"&amp;$H289)+1)</f>
        <v/>
      </c>
      <c r="J289">
        <f>IF($I289="","",$G289&amp;"|"&amp;RIGHT("000000"&amp;$I289,6))</f>
        <v/>
      </c>
      <c r="K289">
        <f>IF(OR($E289="",$E289="نامعتبر"),"",LEFT($E289,4)&amp;"/"&amp;MID($E289,6,2))</f>
        <v/>
      </c>
      <c r="L289">
        <f>IF(Entry!$K289="",0,Entry!$K289)</f>
        <v/>
      </c>
      <c r="M289">
        <f>IF(Entry!$L289="",0,Entry!$L289)</f>
        <v/>
      </c>
    </row>
    <row r="290">
      <c r="A290">
        <f>IF(Entry!$C290="","",Entry!$C290)</f>
        <v/>
      </c>
      <c r="B290">
        <f>IF($A290="","",IF(ISNUMBER($A290),IF(AND($A290&gt;=10000101,$A290&lt;=99991231),INT($A290/10000),""),IFERROR(VALUE(TRIM(LEFT($A290,FIND("/",$A290)-1))),"")))</f>
        <v/>
      </c>
      <c r="C290">
        <f>IF(OR($A290="",$B290=""),"",IF(ISNUMBER($A290),INT(MOD($A290,10000)/100),IFERROR(VALUE(TRIM(LEFT(MID($A290,FIND("/",$A290)+1,20),FIND("/",MID($A290,FIND("/",$A290)+1,20))-1))),"")))</f>
        <v/>
      </c>
      <c r="D290">
        <f>IF(OR($A290="",$B290=""),"",IF(ISNUMBER($A290),MOD($A290,100),IFERROR(VALUE(TRIM(MID(MID($A290,FIND("/",$A290)+1,20),FIND("/",MID($A290,FIND("/",$A290)+1,20))+1,20))),"")))</f>
        <v/>
      </c>
      <c r="E290">
        <f>IF($A290="","",IF(OR($B290="",$C290="",$D290="",$B290&lt;1300,$B290&gt;1500,$C290&lt;1,$C290&gt;12,$D290&lt;1,$D290&gt;31),"نامعتبر",RIGHT("0000"&amp;$B290,4)&amp;"/"&amp;RIGHT("00"&amp;$C290,2)&amp;"/"&amp;RIGHT("00"&amp;$D290,2)))</f>
        <v/>
      </c>
      <c r="F290">
        <f>IF(Entry!$D290&lt;&gt;"",IF(AND(ISNUMBER(Entry!$D290),Entry!$D290&gt;=0,Entry!$D290&lt;1),RIGHT("00"&amp;HOUR(Entry!$D290),2)&amp;":"&amp;RIGHT("00"&amp;MINUTE(Entry!$D290),2),IFERROR(RIGHT("00"&amp;VALUE(TRIM(LEFT(Entry!$D290,FIND(":",Entry!$D290)-1))),2)&amp;":"&amp;RIGHT("00"&amp;VALUE(TRIM(MID(Entry!$D290,FIND(":",Entry!$D290)+1,2))),2),"نامعتبر")),IF(OR($E290="",$E290="نامعتبر"),"","00:00"))</f>
        <v/>
      </c>
      <c r="G290">
        <f>IF(OR($E290="",$E290="نامعتبر"),"",IF(Entry!$E290="","",LEFT(UPPER(TRIM(Entry!$E290)),6)))</f>
        <v/>
      </c>
      <c r="H290">
        <f>IF($G290="","",RIGHT($E290,4)&amp;MID($E290,6,2)&amp;RIGHT($E290,2)&amp;IF($F290="","0000",IF($F290="نامعتبر","9999",LEFT($F290,2)&amp;RIGHT($F290,2)))&amp;"|"&amp;RIGHT("00000"&amp;282,5))</f>
        <v/>
      </c>
      <c r="I290">
        <f>IF($H290="","",COUNTIFS(CalcBank,$G290,CalcKey,"&lt;"&amp;$H290)+1)</f>
        <v/>
      </c>
      <c r="J290">
        <f>IF($I290="","",$G290&amp;"|"&amp;RIGHT("000000"&amp;$I290,6))</f>
        <v/>
      </c>
      <c r="K290">
        <f>IF(OR($E290="",$E290="نامعتبر"),"",LEFT($E290,4)&amp;"/"&amp;MID($E290,6,2))</f>
        <v/>
      </c>
      <c r="L290">
        <f>IF(Entry!$K290="",0,Entry!$K290)</f>
        <v/>
      </c>
      <c r="M290">
        <f>IF(Entry!$L290="",0,Entry!$L290)</f>
        <v/>
      </c>
    </row>
    <row r="291">
      <c r="A291">
        <f>IF(Entry!$C291="","",Entry!$C291)</f>
        <v/>
      </c>
      <c r="B291">
        <f>IF($A291="","",IF(ISNUMBER($A291),IF(AND($A291&gt;=10000101,$A291&lt;=99991231),INT($A291/10000),""),IFERROR(VALUE(TRIM(LEFT($A291,FIND("/",$A291)-1))),"")))</f>
        <v/>
      </c>
      <c r="C291">
        <f>IF(OR($A291="",$B291=""),"",IF(ISNUMBER($A291),INT(MOD($A291,10000)/100),IFERROR(VALUE(TRIM(LEFT(MID($A291,FIND("/",$A291)+1,20),FIND("/",MID($A291,FIND("/",$A291)+1,20))-1))),"")))</f>
        <v/>
      </c>
      <c r="D291">
        <f>IF(OR($A291="",$B291=""),"",IF(ISNUMBER($A291),MOD($A291,100),IFERROR(VALUE(TRIM(MID(MID($A291,FIND("/",$A291)+1,20),FIND("/",MID($A291,FIND("/",$A291)+1,20))+1,20))),"")))</f>
        <v/>
      </c>
      <c r="E291">
        <f>IF($A291="","",IF(OR($B291="",$C291="",$D291="",$B291&lt;1300,$B291&gt;1500,$C291&lt;1,$C291&gt;12,$D291&lt;1,$D291&gt;31),"نامعتبر",RIGHT("0000"&amp;$B291,4)&amp;"/"&amp;RIGHT("00"&amp;$C291,2)&amp;"/"&amp;RIGHT("00"&amp;$D291,2)))</f>
        <v/>
      </c>
      <c r="F291">
        <f>IF(Entry!$D291&lt;&gt;"",IF(AND(ISNUMBER(Entry!$D291),Entry!$D291&gt;=0,Entry!$D291&lt;1),RIGHT("00"&amp;HOUR(Entry!$D291),2)&amp;":"&amp;RIGHT("00"&amp;MINUTE(Entry!$D291),2),IFERROR(RIGHT("00"&amp;VALUE(TRIM(LEFT(Entry!$D291,FIND(":",Entry!$D291)-1))),2)&amp;":"&amp;RIGHT("00"&amp;VALUE(TRIM(MID(Entry!$D291,FIND(":",Entry!$D291)+1,2))),2),"نامعتبر")),IF(OR($E291="",$E291="نامعتبر"),"","00:00"))</f>
        <v/>
      </c>
      <c r="G291">
        <f>IF(OR($E291="",$E291="نامعتبر"),"",IF(Entry!$E291="","",LEFT(UPPER(TRIM(Entry!$E291)),6)))</f>
        <v/>
      </c>
      <c r="H291">
        <f>IF($G291="","",RIGHT($E291,4)&amp;MID($E291,6,2)&amp;RIGHT($E291,2)&amp;IF($F291="","0000",IF($F291="نامعتبر","9999",LEFT($F291,2)&amp;RIGHT($F291,2)))&amp;"|"&amp;RIGHT("00000"&amp;283,5))</f>
        <v/>
      </c>
      <c r="I291">
        <f>IF($H291="","",COUNTIFS(CalcBank,$G291,CalcKey,"&lt;"&amp;$H291)+1)</f>
        <v/>
      </c>
      <c r="J291">
        <f>IF($I291="","",$G291&amp;"|"&amp;RIGHT("000000"&amp;$I291,6))</f>
        <v/>
      </c>
      <c r="K291">
        <f>IF(OR($E291="",$E291="نامعتبر"),"",LEFT($E291,4)&amp;"/"&amp;MID($E291,6,2))</f>
        <v/>
      </c>
      <c r="L291">
        <f>IF(Entry!$K291="",0,Entry!$K291)</f>
        <v/>
      </c>
      <c r="M291">
        <f>IF(Entry!$L291="",0,Entry!$L291)</f>
        <v/>
      </c>
    </row>
    <row r="292">
      <c r="A292">
        <f>IF(Entry!$C292="","",Entry!$C292)</f>
        <v/>
      </c>
      <c r="B292">
        <f>IF($A292="","",IF(ISNUMBER($A292),IF(AND($A292&gt;=10000101,$A292&lt;=99991231),INT($A292/10000),""),IFERROR(VALUE(TRIM(LEFT($A292,FIND("/",$A292)-1))),"")))</f>
        <v/>
      </c>
      <c r="C292">
        <f>IF(OR($A292="",$B292=""),"",IF(ISNUMBER($A292),INT(MOD($A292,10000)/100),IFERROR(VALUE(TRIM(LEFT(MID($A292,FIND("/",$A292)+1,20),FIND("/",MID($A292,FIND("/",$A292)+1,20))-1))),"")))</f>
        <v/>
      </c>
      <c r="D292">
        <f>IF(OR($A292="",$B292=""),"",IF(ISNUMBER($A292),MOD($A292,100),IFERROR(VALUE(TRIM(MID(MID($A292,FIND("/",$A292)+1,20),FIND("/",MID($A292,FIND("/",$A292)+1,20))+1,20))),"")))</f>
        <v/>
      </c>
      <c r="E292">
        <f>IF($A292="","",IF(OR($B292="",$C292="",$D292="",$B292&lt;1300,$B292&gt;1500,$C292&lt;1,$C292&gt;12,$D292&lt;1,$D292&gt;31),"نامعتبر",RIGHT("0000"&amp;$B292,4)&amp;"/"&amp;RIGHT("00"&amp;$C292,2)&amp;"/"&amp;RIGHT("00"&amp;$D292,2)))</f>
        <v/>
      </c>
      <c r="F292">
        <f>IF(Entry!$D292&lt;&gt;"",IF(AND(ISNUMBER(Entry!$D292),Entry!$D292&gt;=0,Entry!$D292&lt;1),RIGHT("00"&amp;HOUR(Entry!$D292),2)&amp;":"&amp;RIGHT("00"&amp;MINUTE(Entry!$D292),2),IFERROR(RIGHT("00"&amp;VALUE(TRIM(LEFT(Entry!$D292,FIND(":",Entry!$D292)-1))),2)&amp;":"&amp;RIGHT("00"&amp;VALUE(TRIM(MID(Entry!$D292,FIND(":",Entry!$D292)+1,2))),2),"نامعتبر")),IF(OR($E292="",$E292="نامعتبر"),"","00:00"))</f>
        <v/>
      </c>
      <c r="G292">
        <f>IF(OR($E292="",$E292="نامعتبر"),"",IF(Entry!$E292="","",LEFT(UPPER(TRIM(Entry!$E292)),6)))</f>
        <v/>
      </c>
      <c r="H292">
        <f>IF($G292="","",RIGHT($E292,4)&amp;MID($E292,6,2)&amp;RIGHT($E292,2)&amp;IF($F292="","0000",IF($F292="نامعتبر","9999",LEFT($F292,2)&amp;RIGHT($F292,2)))&amp;"|"&amp;RIGHT("00000"&amp;284,5))</f>
        <v/>
      </c>
      <c r="I292">
        <f>IF($H292="","",COUNTIFS(CalcBank,$G292,CalcKey,"&lt;"&amp;$H292)+1)</f>
        <v/>
      </c>
      <c r="J292">
        <f>IF($I292="","",$G292&amp;"|"&amp;RIGHT("000000"&amp;$I292,6))</f>
        <v/>
      </c>
      <c r="K292">
        <f>IF(OR($E292="",$E292="نامعتبر"),"",LEFT($E292,4)&amp;"/"&amp;MID($E292,6,2))</f>
        <v/>
      </c>
      <c r="L292">
        <f>IF(Entry!$K292="",0,Entry!$K292)</f>
        <v/>
      </c>
      <c r="M292">
        <f>IF(Entry!$L292="",0,Entry!$L292)</f>
        <v/>
      </c>
    </row>
    <row r="293">
      <c r="A293">
        <f>IF(Entry!$C293="","",Entry!$C293)</f>
        <v/>
      </c>
      <c r="B293">
        <f>IF($A293="","",IF(ISNUMBER($A293),IF(AND($A293&gt;=10000101,$A293&lt;=99991231),INT($A293/10000),""),IFERROR(VALUE(TRIM(LEFT($A293,FIND("/",$A293)-1))),"")))</f>
        <v/>
      </c>
      <c r="C293">
        <f>IF(OR($A293="",$B293=""),"",IF(ISNUMBER($A293),INT(MOD($A293,10000)/100),IFERROR(VALUE(TRIM(LEFT(MID($A293,FIND("/",$A293)+1,20),FIND("/",MID($A293,FIND("/",$A293)+1,20))-1))),"")))</f>
        <v/>
      </c>
      <c r="D293">
        <f>IF(OR($A293="",$B293=""),"",IF(ISNUMBER($A293),MOD($A293,100),IFERROR(VALUE(TRIM(MID(MID($A293,FIND("/",$A293)+1,20),FIND("/",MID($A293,FIND("/",$A293)+1,20))+1,20))),"")))</f>
        <v/>
      </c>
      <c r="E293">
        <f>IF($A293="","",IF(OR($B293="",$C293="",$D293="",$B293&lt;1300,$B293&gt;1500,$C293&lt;1,$C293&gt;12,$D293&lt;1,$D293&gt;31),"نامعتبر",RIGHT("0000"&amp;$B293,4)&amp;"/"&amp;RIGHT("00"&amp;$C293,2)&amp;"/"&amp;RIGHT("00"&amp;$D293,2)))</f>
        <v/>
      </c>
      <c r="F293">
        <f>IF(Entry!$D293&lt;&gt;"",IF(AND(ISNUMBER(Entry!$D293),Entry!$D293&gt;=0,Entry!$D293&lt;1),RIGHT("00"&amp;HOUR(Entry!$D293),2)&amp;":"&amp;RIGHT("00"&amp;MINUTE(Entry!$D293),2),IFERROR(RIGHT("00"&amp;VALUE(TRIM(LEFT(Entry!$D293,FIND(":",Entry!$D293)-1))),2)&amp;":"&amp;RIGHT("00"&amp;VALUE(TRIM(MID(Entry!$D293,FIND(":",Entry!$D293)+1,2))),2),"نامعتبر")),IF(OR($E293="",$E293="نامعتبر"),"","00:00"))</f>
        <v/>
      </c>
      <c r="G293">
        <f>IF(OR($E293="",$E293="نامعتبر"),"",IF(Entry!$E293="","",LEFT(UPPER(TRIM(Entry!$E293)),6)))</f>
        <v/>
      </c>
      <c r="H293">
        <f>IF($G293="","",RIGHT($E293,4)&amp;MID($E293,6,2)&amp;RIGHT($E293,2)&amp;IF($F293="","0000",IF($F293="نامعتبر","9999",LEFT($F293,2)&amp;RIGHT($F293,2)))&amp;"|"&amp;RIGHT("00000"&amp;285,5))</f>
        <v/>
      </c>
      <c r="I293">
        <f>IF($H293="","",COUNTIFS(CalcBank,$G293,CalcKey,"&lt;"&amp;$H293)+1)</f>
        <v/>
      </c>
      <c r="J293">
        <f>IF($I293="","",$G293&amp;"|"&amp;RIGHT("000000"&amp;$I293,6))</f>
        <v/>
      </c>
      <c r="K293">
        <f>IF(OR($E293="",$E293="نامعتبر"),"",LEFT($E293,4)&amp;"/"&amp;MID($E293,6,2))</f>
        <v/>
      </c>
      <c r="L293">
        <f>IF(Entry!$K293="",0,Entry!$K293)</f>
        <v/>
      </c>
      <c r="M293">
        <f>IF(Entry!$L293="",0,Entry!$L293)</f>
        <v/>
      </c>
    </row>
    <row r="294">
      <c r="A294">
        <f>IF(Entry!$C294="","",Entry!$C294)</f>
        <v/>
      </c>
      <c r="B294">
        <f>IF($A294="","",IF(ISNUMBER($A294),IF(AND($A294&gt;=10000101,$A294&lt;=99991231),INT($A294/10000),""),IFERROR(VALUE(TRIM(LEFT($A294,FIND("/",$A294)-1))),"")))</f>
        <v/>
      </c>
      <c r="C294">
        <f>IF(OR($A294="",$B294=""),"",IF(ISNUMBER($A294),INT(MOD($A294,10000)/100),IFERROR(VALUE(TRIM(LEFT(MID($A294,FIND("/",$A294)+1,20),FIND("/",MID($A294,FIND("/",$A294)+1,20))-1))),"")))</f>
        <v/>
      </c>
      <c r="D294">
        <f>IF(OR($A294="",$B294=""),"",IF(ISNUMBER($A294),MOD($A294,100),IFERROR(VALUE(TRIM(MID(MID($A294,FIND("/",$A294)+1,20),FIND("/",MID($A294,FIND("/",$A294)+1,20))+1,20))),"")))</f>
        <v/>
      </c>
      <c r="E294">
        <f>IF($A294="","",IF(OR($B294="",$C294="",$D294="",$B294&lt;1300,$B294&gt;1500,$C294&lt;1,$C294&gt;12,$D294&lt;1,$D294&gt;31),"نامعتبر",RIGHT("0000"&amp;$B294,4)&amp;"/"&amp;RIGHT("00"&amp;$C294,2)&amp;"/"&amp;RIGHT("00"&amp;$D294,2)))</f>
        <v/>
      </c>
      <c r="F294">
        <f>IF(Entry!$D294&lt;&gt;"",IF(AND(ISNUMBER(Entry!$D294),Entry!$D294&gt;=0,Entry!$D294&lt;1),RIGHT("00"&amp;HOUR(Entry!$D294),2)&amp;":"&amp;RIGHT("00"&amp;MINUTE(Entry!$D294),2),IFERROR(RIGHT("00"&amp;VALUE(TRIM(LEFT(Entry!$D294,FIND(":",Entry!$D294)-1))),2)&amp;":"&amp;RIGHT("00"&amp;VALUE(TRIM(MID(Entry!$D294,FIND(":",Entry!$D294)+1,2))),2),"نامعتبر")),IF(OR($E294="",$E294="نامعتبر"),"","00:00"))</f>
        <v/>
      </c>
      <c r="G294">
        <f>IF(OR($E294="",$E294="نامعتبر"),"",IF(Entry!$E294="","",LEFT(UPPER(TRIM(Entry!$E294)),6)))</f>
        <v/>
      </c>
      <c r="H294">
        <f>IF($G294="","",RIGHT($E294,4)&amp;MID($E294,6,2)&amp;RIGHT($E294,2)&amp;IF($F294="","0000",IF($F294="نامعتبر","9999",LEFT($F294,2)&amp;RIGHT($F294,2)))&amp;"|"&amp;RIGHT("00000"&amp;286,5))</f>
        <v/>
      </c>
      <c r="I294">
        <f>IF($H294="","",COUNTIFS(CalcBank,$G294,CalcKey,"&lt;"&amp;$H294)+1)</f>
        <v/>
      </c>
      <c r="J294">
        <f>IF($I294="","",$G294&amp;"|"&amp;RIGHT("000000"&amp;$I294,6))</f>
        <v/>
      </c>
      <c r="K294">
        <f>IF(OR($E294="",$E294="نامعتبر"),"",LEFT($E294,4)&amp;"/"&amp;MID($E294,6,2))</f>
        <v/>
      </c>
      <c r="L294">
        <f>IF(Entry!$K294="",0,Entry!$K294)</f>
        <v/>
      </c>
      <c r="M294">
        <f>IF(Entry!$L294="",0,Entry!$L294)</f>
        <v/>
      </c>
    </row>
    <row r="295">
      <c r="A295">
        <f>IF(Entry!$C295="","",Entry!$C295)</f>
        <v/>
      </c>
      <c r="B295">
        <f>IF($A295="","",IF(ISNUMBER($A295),IF(AND($A295&gt;=10000101,$A295&lt;=99991231),INT($A295/10000),""),IFERROR(VALUE(TRIM(LEFT($A295,FIND("/",$A295)-1))),"")))</f>
        <v/>
      </c>
      <c r="C295">
        <f>IF(OR($A295="",$B295=""),"",IF(ISNUMBER($A295),INT(MOD($A295,10000)/100),IFERROR(VALUE(TRIM(LEFT(MID($A295,FIND("/",$A295)+1,20),FIND("/",MID($A295,FIND("/",$A295)+1,20))-1))),"")))</f>
        <v/>
      </c>
      <c r="D295">
        <f>IF(OR($A295="",$B295=""),"",IF(ISNUMBER($A295),MOD($A295,100),IFERROR(VALUE(TRIM(MID(MID($A295,FIND("/",$A295)+1,20),FIND("/",MID($A295,FIND("/",$A295)+1,20))+1,20))),"")))</f>
        <v/>
      </c>
      <c r="E295">
        <f>IF($A295="","",IF(OR($B295="",$C295="",$D295="",$B295&lt;1300,$B295&gt;1500,$C295&lt;1,$C295&gt;12,$D295&lt;1,$D295&gt;31),"نامعتبر",RIGHT("0000"&amp;$B295,4)&amp;"/"&amp;RIGHT("00"&amp;$C295,2)&amp;"/"&amp;RIGHT("00"&amp;$D295,2)))</f>
        <v/>
      </c>
      <c r="F295">
        <f>IF(Entry!$D295&lt;&gt;"",IF(AND(ISNUMBER(Entry!$D295),Entry!$D295&gt;=0,Entry!$D295&lt;1),RIGHT("00"&amp;HOUR(Entry!$D295),2)&amp;":"&amp;RIGHT("00"&amp;MINUTE(Entry!$D295),2),IFERROR(RIGHT("00"&amp;VALUE(TRIM(LEFT(Entry!$D295,FIND(":",Entry!$D295)-1))),2)&amp;":"&amp;RIGHT("00"&amp;VALUE(TRIM(MID(Entry!$D295,FIND(":",Entry!$D295)+1,2))),2),"نامعتبر")),IF(OR($E295="",$E295="نامعتبر"),"","00:00"))</f>
        <v/>
      </c>
      <c r="G295">
        <f>IF(OR($E295="",$E295="نامعتبر"),"",IF(Entry!$E295="","",LEFT(UPPER(TRIM(Entry!$E295)),6)))</f>
        <v/>
      </c>
      <c r="H295">
        <f>IF($G295="","",RIGHT($E295,4)&amp;MID($E295,6,2)&amp;RIGHT($E295,2)&amp;IF($F295="","0000",IF($F295="نامعتبر","9999",LEFT($F295,2)&amp;RIGHT($F295,2)))&amp;"|"&amp;RIGHT("00000"&amp;287,5))</f>
        <v/>
      </c>
      <c r="I295">
        <f>IF($H295="","",COUNTIFS(CalcBank,$G295,CalcKey,"&lt;"&amp;$H295)+1)</f>
        <v/>
      </c>
      <c r="J295">
        <f>IF($I295="","",$G295&amp;"|"&amp;RIGHT("000000"&amp;$I295,6))</f>
        <v/>
      </c>
      <c r="K295">
        <f>IF(OR($E295="",$E295="نامعتبر"),"",LEFT($E295,4)&amp;"/"&amp;MID($E295,6,2))</f>
        <v/>
      </c>
      <c r="L295">
        <f>IF(Entry!$K295="",0,Entry!$K295)</f>
        <v/>
      </c>
      <c r="M295">
        <f>IF(Entry!$L295="",0,Entry!$L295)</f>
        <v/>
      </c>
    </row>
    <row r="296">
      <c r="A296">
        <f>IF(Entry!$C296="","",Entry!$C296)</f>
        <v/>
      </c>
      <c r="B296">
        <f>IF($A296="","",IF(ISNUMBER($A296),IF(AND($A296&gt;=10000101,$A296&lt;=99991231),INT($A296/10000),""),IFERROR(VALUE(TRIM(LEFT($A296,FIND("/",$A296)-1))),"")))</f>
        <v/>
      </c>
      <c r="C296">
        <f>IF(OR($A296="",$B296=""),"",IF(ISNUMBER($A296),INT(MOD($A296,10000)/100),IFERROR(VALUE(TRIM(LEFT(MID($A296,FIND("/",$A296)+1,20),FIND("/",MID($A296,FIND("/",$A296)+1,20))-1))),"")))</f>
        <v/>
      </c>
      <c r="D296">
        <f>IF(OR($A296="",$B296=""),"",IF(ISNUMBER($A296),MOD($A296,100),IFERROR(VALUE(TRIM(MID(MID($A296,FIND("/",$A296)+1,20),FIND("/",MID($A296,FIND("/",$A296)+1,20))+1,20))),"")))</f>
        <v/>
      </c>
      <c r="E296">
        <f>IF($A296="","",IF(OR($B296="",$C296="",$D296="",$B296&lt;1300,$B296&gt;1500,$C296&lt;1,$C296&gt;12,$D296&lt;1,$D296&gt;31),"نامعتبر",RIGHT("0000"&amp;$B296,4)&amp;"/"&amp;RIGHT("00"&amp;$C296,2)&amp;"/"&amp;RIGHT("00"&amp;$D296,2)))</f>
        <v/>
      </c>
      <c r="F296">
        <f>IF(Entry!$D296&lt;&gt;"",IF(AND(ISNUMBER(Entry!$D296),Entry!$D296&gt;=0,Entry!$D296&lt;1),RIGHT("00"&amp;HOUR(Entry!$D296),2)&amp;":"&amp;RIGHT("00"&amp;MINUTE(Entry!$D296),2),IFERROR(RIGHT("00"&amp;VALUE(TRIM(LEFT(Entry!$D296,FIND(":",Entry!$D296)-1))),2)&amp;":"&amp;RIGHT("00"&amp;VALUE(TRIM(MID(Entry!$D296,FIND(":",Entry!$D296)+1,2))),2),"نامعتبر")),IF(OR($E296="",$E296="نامعتبر"),"","00:00"))</f>
        <v/>
      </c>
      <c r="G296">
        <f>IF(OR($E296="",$E296="نامعتبر"),"",IF(Entry!$E296="","",LEFT(UPPER(TRIM(Entry!$E296)),6)))</f>
        <v/>
      </c>
      <c r="H296">
        <f>IF($G296="","",RIGHT($E296,4)&amp;MID($E296,6,2)&amp;RIGHT($E296,2)&amp;IF($F296="","0000",IF($F296="نامعتبر","9999",LEFT($F296,2)&amp;RIGHT($F296,2)))&amp;"|"&amp;RIGHT("00000"&amp;288,5))</f>
        <v/>
      </c>
      <c r="I296">
        <f>IF($H296="","",COUNTIFS(CalcBank,$G296,CalcKey,"&lt;"&amp;$H296)+1)</f>
        <v/>
      </c>
      <c r="J296">
        <f>IF($I296="","",$G296&amp;"|"&amp;RIGHT("000000"&amp;$I296,6))</f>
        <v/>
      </c>
      <c r="K296">
        <f>IF(OR($E296="",$E296="نامعتبر"),"",LEFT($E296,4)&amp;"/"&amp;MID($E296,6,2))</f>
        <v/>
      </c>
      <c r="L296">
        <f>IF(Entry!$K296="",0,Entry!$K296)</f>
        <v/>
      </c>
      <c r="M296">
        <f>IF(Entry!$L296="",0,Entry!$L296)</f>
        <v/>
      </c>
    </row>
    <row r="297">
      <c r="A297">
        <f>IF(Entry!$C297="","",Entry!$C297)</f>
        <v/>
      </c>
      <c r="B297">
        <f>IF($A297="","",IF(ISNUMBER($A297),IF(AND($A297&gt;=10000101,$A297&lt;=99991231),INT($A297/10000),""),IFERROR(VALUE(TRIM(LEFT($A297,FIND("/",$A297)-1))),"")))</f>
        <v/>
      </c>
      <c r="C297">
        <f>IF(OR($A297="",$B297=""),"",IF(ISNUMBER($A297),INT(MOD($A297,10000)/100),IFERROR(VALUE(TRIM(LEFT(MID($A297,FIND("/",$A297)+1,20),FIND("/",MID($A297,FIND("/",$A297)+1,20))-1))),"")))</f>
        <v/>
      </c>
      <c r="D297">
        <f>IF(OR($A297="",$B297=""),"",IF(ISNUMBER($A297),MOD($A297,100),IFERROR(VALUE(TRIM(MID(MID($A297,FIND("/",$A297)+1,20),FIND("/",MID($A297,FIND("/",$A297)+1,20))+1,20))),"")))</f>
        <v/>
      </c>
      <c r="E297">
        <f>IF($A297="","",IF(OR($B297="",$C297="",$D297="",$B297&lt;1300,$B297&gt;1500,$C297&lt;1,$C297&gt;12,$D297&lt;1,$D297&gt;31),"نامعتبر",RIGHT("0000"&amp;$B297,4)&amp;"/"&amp;RIGHT("00"&amp;$C297,2)&amp;"/"&amp;RIGHT("00"&amp;$D297,2)))</f>
        <v/>
      </c>
      <c r="F297">
        <f>IF(Entry!$D297&lt;&gt;"",IF(AND(ISNUMBER(Entry!$D297),Entry!$D297&gt;=0,Entry!$D297&lt;1),RIGHT("00"&amp;HOUR(Entry!$D297),2)&amp;":"&amp;RIGHT("00"&amp;MINUTE(Entry!$D297),2),IFERROR(RIGHT("00"&amp;VALUE(TRIM(LEFT(Entry!$D297,FIND(":",Entry!$D297)-1))),2)&amp;":"&amp;RIGHT("00"&amp;VALUE(TRIM(MID(Entry!$D297,FIND(":",Entry!$D297)+1,2))),2),"نامعتبر")),IF(OR($E297="",$E297="نامعتبر"),"","00:00"))</f>
        <v/>
      </c>
      <c r="G297">
        <f>IF(OR($E297="",$E297="نامعتبر"),"",IF(Entry!$E297="","",LEFT(UPPER(TRIM(Entry!$E297)),6)))</f>
        <v/>
      </c>
      <c r="H297">
        <f>IF($G297="","",RIGHT($E297,4)&amp;MID($E297,6,2)&amp;RIGHT($E297,2)&amp;IF($F297="","0000",IF($F297="نامعتبر","9999",LEFT($F297,2)&amp;RIGHT($F297,2)))&amp;"|"&amp;RIGHT("00000"&amp;289,5))</f>
        <v/>
      </c>
      <c r="I297">
        <f>IF($H297="","",COUNTIFS(CalcBank,$G297,CalcKey,"&lt;"&amp;$H297)+1)</f>
        <v/>
      </c>
      <c r="J297">
        <f>IF($I297="","",$G297&amp;"|"&amp;RIGHT("000000"&amp;$I297,6))</f>
        <v/>
      </c>
      <c r="K297">
        <f>IF(OR($E297="",$E297="نامعتبر"),"",LEFT($E297,4)&amp;"/"&amp;MID($E297,6,2))</f>
        <v/>
      </c>
      <c r="L297">
        <f>IF(Entry!$K297="",0,Entry!$K297)</f>
        <v/>
      </c>
      <c r="M297">
        <f>IF(Entry!$L297="",0,Entry!$L297)</f>
        <v/>
      </c>
    </row>
    <row r="298">
      <c r="A298">
        <f>IF(Entry!$C298="","",Entry!$C298)</f>
        <v/>
      </c>
      <c r="B298">
        <f>IF($A298="","",IF(ISNUMBER($A298),IF(AND($A298&gt;=10000101,$A298&lt;=99991231),INT($A298/10000),""),IFERROR(VALUE(TRIM(LEFT($A298,FIND("/",$A298)-1))),"")))</f>
        <v/>
      </c>
      <c r="C298">
        <f>IF(OR($A298="",$B298=""),"",IF(ISNUMBER($A298),INT(MOD($A298,10000)/100),IFERROR(VALUE(TRIM(LEFT(MID($A298,FIND("/",$A298)+1,20),FIND("/",MID($A298,FIND("/",$A298)+1,20))-1))),"")))</f>
        <v/>
      </c>
      <c r="D298">
        <f>IF(OR($A298="",$B298=""),"",IF(ISNUMBER($A298),MOD($A298,100),IFERROR(VALUE(TRIM(MID(MID($A298,FIND("/",$A298)+1,20),FIND("/",MID($A298,FIND("/",$A298)+1,20))+1,20))),"")))</f>
        <v/>
      </c>
      <c r="E298">
        <f>IF($A298="","",IF(OR($B298="",$C298="",$D298="",$B298&lt;1300,$B298&gt;1500,$C298&lt;1,$C298&gt;12,$D298&lt;1,$D298&gt;31),"نامعتبر",RIGHT("0000"&amp;$B298,4)&amp;"/"&amp;RIGHT("00"&amp;$C298,2)&amp;"/"&amp;RIGHT("00"&amp;$D298,2)))</f>
        <v/>
      </c>
      <c r="F298">
        <f>IF(Entry!$D298&lt;&gt;"",IF(AND(ISNUMBER(Entry!$D298),Entry!$D298&gt;=0,Entry!$D298&lt;1),RIGHT("00"&amp;HOUR(Entry!$D298),2)&amp;":"&amp;RIGHT("00"&amp;MINUTE(Entry!$D298),2),IFERROR(RIGHT("00"&amp;VALUE(TRIM(LEFT(Entry!$D298,FIND(":",Entry!$D298)-1))),2)&amp;":"&amp;RIGHT("00"&amp;VALUE(TRIM(MID(Entry!$D298,FIND(":",Entry!$D298)+1,2))),2),"نامعتبر")),IF(OR($E298="",$E298="نامعتبر"),"","00:00"))</f>
        <v/>
      </c>
      <c r="G298">
        <f>IF(OR($E298="",$E298="نامعتبر"),"",IF(Entry!$E298="","",LEFT(UPPER(TRIM(Entry!$E298)),6)))</f>
        <v/>
      </c>
      <c r="H298">
        <f>IF($G298="","",RIGHT($E298,4)&amp;MID($E298,6,2)&amp;RIGHT($E298,2)&amp;IF($F298="","0000",IF($F298="نامعتبر","9999",LEFT($F298,2)&amp;RIGHT($F298,2)))&amp;"|"&amp;RIGHT("00000"&amp;290,5))</f>
        <v/>
      </c>
      <c r="I298">
        <f>IF($H298="","",COUNTIFS(CalcBank,$G298,CalcKey,"&lt;"&amp;$H298)+1)</f>
        <v/>
      </c>
      <c r="J298">
        <f>IF($I298="","",$G298&amp;"|"&amp;RIGHT("000000"&amp;$I298,6))</f>
        <v/>
      </c>
      <c r="K298">
        <f>IF(OR($E298="",$E298="نامعتبر"),"",LEFT($E298,4)&amp;"/"&amp;MID($E298,6,2))</f>
        <v/>
      </c>
      <c r="L298">
        <f>IF(Entry!$K298="",0,Entry!$K298)</f>
        <v/>
      </c>
      <c r="M298">
        <f>IF(Entry!$L298="",0,Entry!$L298)</f>
        <v/>
      </c>
    </row>
    <row r="299">
      <c r="A299">
        <f>IF(Entry!$C299="","",Entry!$C299)</f>
        <v/>
      </c>
      <c r="B299">
        <f>IF($A299="","",IF(ISNUMBER($A299),IF(AND($A299&gt;=10000101,$A299&lt;=99991231),INT($A299/10000),""),IFERROR(VALUE(TRIM(LEFT($A299,FIND("/",$A299)-1))),"")))</f>
        <v/>
      </c>
      <c r="C299">
        <f>IF(OR($A299="",$B299=""),"",IF(ISNUMBER($A299),INT(MOD($A299,10000)/100),IFERROR(VALUE(TRIM(LEFT(MID($A299,FIND("/",$A299)+1,20),FIND("/",MID($A299,FIND("/",$A299)+1,20))-1))),"")))</f>
        <v/>
      </c>
      <c r="D299">
        <f>IF(OR($A299="",$B299=""),"",IF(ISNUMBER($A299),MOD($A299,100),IFERROR(VALUE(TRIM(MID(MID($A299,FIND("/",$A299)+1,20),FIND("/",MID($A299,FIND("/",$A299)+1,20))+1,20))),"")))</f>
        <v/>
      </c>
      <c r="E299">
        <f>IF($A299="","",IF(OR($B299="",$C299="",$D299="",$B299&lt;1300,$B299&gt;1500,$C299&lt;1,$C299&gt;12,$D299&lt;1,$D299&gt;31),"نامعتبر",RIGHT("0000"&amp;$B299,4)&amp;"/"&amp;RIGHT("00"&amp;$C299,2)&amp;"/"&amp;RIGHT("00"&amp;$D299,2)))</f>
        <v/>
      </c>
      <c r="F299">
        <f>IF(Entry!$D299&lt;&gt;"",IF(AND(ISNUMBER(Entry!$D299),Entry!$D299&gt;=0,Entry!$D299&lt;1),RIGHT("00"&amp;HOUR(Entry!$D299),2)&amp;":"&amp;RIGHT("00"&amp;MINUTE(Entry!$D299),2),IFERROR(RIGHT("00"&amp;VALUE(TRIM(LEFT(Entry!$D299,FIND(":",Entry!$D299)-1))),2)&amp;":"&amp;RIGHT("00"&amp;VALUE(TRIM(MID(Entry!$D299,FIND(":",Entry!$D299)+1,2))),2),"نامعتبر")),IF(OR($E299="",$E299="نامعتبر"),"","00:00"))</f>
        <v/>
      </c>
      <c r="G299">
        <f>IF(OR($E299="",$E299="نامعتبر"),"",IF(Entry!$E299="","",LEFT(UPPER(TRIM(Entry!$E299)),6)))</f>
        <v/>
      </c>
      <c r="H299">
        <f>IF($G299="","",RIGHT($E299,4)&amp;MID($E299,6,2)&amp;RIGHT($E299,2)&amp;IF($F299="","0000",IF($F299="نامعتبر","9999",LEFT($F299,2)&amp;RIGHT($F299,2)))&amp;"|"&amp;RIGHT("00000"&amp;291,5))</f>
        <v/>
      </c>
      <c r="I299">
        <f>IF($H299="","",COUNTIFS(CalcBank,$G299,CalcKey,"&lt;"&amp;$H299)+1)</f>
        <v/>
      </c>
      <c r="J299">
        <f>IF($I299="","",$G299&amp;"|"&amp;RIGHT("000000"&amp;$I299,6))</f>
        <v/>
      </c>
      <c r="K299">
        <f>IF(OR($E299="",$E299="نامعتبر"),"",LEFT($E299,4)&amp;"/"&amp;MID($E299,6,2))</f>
        <v/>
      </c>
      <c r="L299">
        <f>IF(Entry!$K299="",0,Entry!$K299)</f>
        <v/>
      </c>
      <c r="M299">
        <f>IF(Entry!$L299="",0,Entry!$L299)</f>
        <v/>
      </c>
    </row>
    <row r="300">
      <c r="A300">
        <f>IF(Entry!$C300="","",Entry!$C300)</f>
        <v/>
      </c>
      <c r="B300">
        <f>IF($A300="","",IF(ISNUMBER($A300),IF(AND($A300&gt;=10000101,$A300&lt;=99991231),INT($A300/10000),""),IFERROR(VALUE(TRIM(LEFT($A300,FIND("/",$A300)-1))),"")))</f>
        <v/>
      </c>
      <c r="C300">
        <f>IF(OR($A300="",$B300=""),"",IF(ISNUMBER($A300),INT(MOD($A300,10000)/100),IFERROR(VALUE(TRIM(LEFT(MID($A300,FIND("/",$A300)+1,20),FIND("/",MID($A300,FIND("/",$A300)+1,20))-1))),"")))</f>
        <v/>
      </c>
      <c r="D300">
        <f>IF(OR($A300="",$B300=""),"",IF(ISNUMBER($A300),MOD($A300,100),IFERROR(VALUE(TRIM(MID(MID($A300,FIND("/",$A300)+1,20),FIND("/",MID($A300,FIND("/",$A300)+1,20))+1,20))),"")))</f>
        <v/>
      </c>
      <c r="E300">
        <f>IF($A300="","",IF(OR($B300="",$C300="",$D300="",$B300&lt;1300,$B300&gt;1500,$C300&lt;1,$C300&gt;12,$D300&lt;1,$D300&gt;31),"نامعتبر",RIGHT("0000"&amp;$B300,4)&amp;"/"&amp;RIGHT("00"&amp;$C300,2)&amp;"/"&amp;RIGHT("00"&amp;$D300,2)))</f>
        <v/>
      </c>
      <c r="F300">
        <f>IF(Entry!$D300&lt;&gt;"",IF(AND(ISNUMBER(Entry!$D300),Entry!$D300&gt;=0,Entry!$D300&lt;1),RIGHT("00"&amp;HOUR(Entry!$D300),2)&amp;":"&amp;RIGHT("00"&amp;MINUTE(Entry!$D300),2),IFERROR(RIGHT("00"&amp;VALUE(TRIM(LEFT(Entry!$D300,FIND(":",Entry!$D300)-1))),2)&amp;":"&amp;RIGHT("00"&amp;VALUE(TRIM(MID(Entry!$D300,FIND(":",Entry!$D300)+1,2))),2),"نامعتبر")),IF(OR($E300="",$E300="نامعتبر"),"","00:00"))</f>
        <v/>
      </c>
      <c r="G300">
        <f>IF(OR($E300="",$E300="نامعتبر"),"",IF(Entry!$E300="","",LEFT(UPPER(TRIM(Entry!$E300)),6)))</f>
        <v/>
      </c>
      <c r="H300">
        <f>IF($G300="","",RIGHT($E300,4)&amp;MID($E300,6,2)&amp;RIGHT($E300,2)&amp;IF($F300="","0000",IF($F300="نامعتبر","9999",LEFT($F300,2)&amp;RIGHT($F300,2)))&amp;"|"&amp;RIGHT("00000"&amp;292,5))</f>
        <v/>
      </c>
      <c r="I300">
        <f>IF($H300="","",COUNTIFS(CalcBank,$G300,CalcKey,"&lt;"&amp;$H300)+1)</f>
        <v/>
      </c>
      <c r="J300">
        <f>IF($I300="","",$G300&amp;"|"&amp;RIGHT("000000"&amp;$I300,6))</f>
        <v/>
      </c>
      <c r="K300">
        <f>IF(OR($E300="",$E300="نامعتبر"),"",LEFT($E300,4)&amp;"/"&amp;MID($E300,6,2))</f>
        <v/>
      </c>
      <c r="L300">
        <f>IF(Entry!$K300="",0,Entry!$K300)</f>
        <v/>
      </c>
      <c r="M300">
        <f>IF(Entry!$L300="",0,Entry!$L300)</f>
        <v/>
      </c>
    </row>
    <row r="301">
      <c r="A301">
        <f>IF(Entry!$C301="","",Entry!$C301)</f>
        <v/>
      </c>
      <c r="B301">
        <f>IF($A301="","",IF(ISNUMBER($A301),IF(AND($A301&gt;=10000101,$A301&lt;=99991231),INT($A301/10000),""),IFERROR(VALUE(TRIM(LEFT($A301,FIND("/",$A301)-1))),"")))</f>
        <v/>
      </c>
      <c r="C301">
        <f>IF(OR($A301="",$B301=""),"",IF(ISNUMBER($A301),INT(MOD($A301,10000)/100),IFERROR(VALUE(TRIM(LEFT(MID($A301,FIND("/",$A301)+1,20),FIND("/",MID($A301,FIND("/",$A301)+1,20))-1))),"")))</f>
        <v/>
      </c>
      <c r="D301">
        <f>IF(OR($A301="",$B301=""),"",IF(ISNUMBER($A301),MOD($A301,100),IFERROR(VALUE(TRIM(MID(MID($A301,FIND("/",$A301)+1,20),FIND("/",MID($A301,FIND("/",$A301)+1,20))+1,20))),"")))</f>
        <v/>
      </c>
      <c r="E301">
        <f>IF($A301="","",IF(OR($B301="",$C301="",$D301="",$B301&lt;1300,$B301&gt;1500,$C301&lt;1,$C301&gt;12,$D301&lt;1,$D301&gt;31),"نامعتبر",RIGHT("0000"&amp;$B301,4)&amp;"/"&amp;RIGHT("00"&amp;$C301,2)&amp;"/"&amp;RIGHT("00"&amp;$D301,2)))</f>
        <v/>
      </c>
      <c r="F301">
        <f>IF(Entry!$D301&lt;&gt;"",IF(AND(ISNUMBER(Entry!$D301),Entry!$D301&gt;=0,Entry!$D301&lt;1),RIGHT("00"&amp;HOUR(Entry!$D301),2)&amp;":"&amp;RIGHT("00"&amp;MINUTE(Entry!$D301),2),IFERROR(RIGHT("00"&amp;VALUE(TRIM(LEFT(Entry!$D301,FIND(":",Entry!$D301)-1))),2)&amp;":"&amp;RIGHT("00"&amp;VALUE(TRIM(MID(Entry!$D301,FIND(":",Entry!$D301)+1,2))),2),"نامعتبر")),IF(OR($E301="",$E301="نامعتبر"),"","00:00"))</f>
        <v/>
      </c>
      <c r="G301">
        <f>IF(OR($E301="",$E301="نامعتبر"),"",IF(Entry!$E301="","",LEFT(UPPER(TRIM(Entry!$E301)),6)))</f>
        <v/>
      </c>
      <c r="H301">
        <f>IF($G301="","",RIGHT($E301,4)&amp;MID($E301,6,2)&amp;RIGHT($E301,2)&amp;IF($F301="","0000",IF($F301="نامعتبر","9999",LEFT($F301,2)&amp;RIGHT($F301,2)))&amp;"|"&amp;RIGHT("00000"&amp;293,5))</f>
        <v/>
      </c>
      <c r="I301">
        <f>IF($H301="","",COUNTIFS(CalcBank,$G301,CalcKey,"&lt;"&amp;$H301)+1)</f>
        <v/>
      </c>
      <c r="J301">
        <f>IF($I301="","",$G301&amp;"|"&amp;RIGHT("000000"&amp;$I301,6))</f>
        <v/>
      </c>
      <c r="K301">
        <f>IF(OR($E301="",$E301="نامعتبر"),"",LEFT($E301,4)&amp;"/"&amp;MID($E301,6,2))</f>
        <v/>
      </c>
      <c r="L301">
        <f>IF(Entry!$K301="",0,Entry!$K301)</f>
        <v/>
      </c>
      <c r="M301">
        <f>IF(Entry!$L301="",0,Entry!$L301)</f>
        <v/>
      </c>
    </row>
    <row r="302">
      <c r="A302">
        <f>IF(Entry!$C302="","",Entry!$C302)</f>
        <v/>
      </c>
      <c r="B302">
        <f>IF($A302="","",IF(ISNUMBER($A302),IF(AND($A302&gt;=10000101,$A302&lt;=99991231),INT($A302/10000),""),IFERROR(VALUE(TRIM(LEFT($A302,FIND("/",$A302)-1))),"")))</f>
        <v/>
      </c>
      <c r="C302">
        <f>IF(OR($A302="",$B302=""),"",IF(ISNUMBER($A302),INT(MOD($A302,10000)/100),IFERROR(VALUE(TRIM(LEFT(MID($A302,FIND("/",$A302)+1,20),FIND("/",MID($A302,FIND("/",$A302)+1,20))-1))),"")))</f>
        <v/>
      </c>
      <c r="D302">
        <f>IF(OR($A302="",$B302=""),"",IF(ISNUMBER($A302),MOD($A302,100),IFERROR(VALUE(TRIM(MID(MID($A302,FIND("/",$A302)+1,20),FIND("/",MID($A302,FIND("/",$A302)+1,20))+1,20))),"")))</f>
        <v/>
      </c>
      <c r="E302">
        <f>IF($A302="","",IF(OR($B302="",$C302="",$D302="",$B302&lt;1300,$B302&gt;1500,$C302&lt;1,$C302&gt;12,$D302&lt;1,$D302&gt;31),"نامعتبر",RIGHT("0000"&amp;$B302,4)&amp;"/"&amp;RIGHT("00"&amp;$C302,2)&amp;"/"&amp;RIGHT("00"&amp;$D302,2)))</f>
        <v/>
      </c>
      <c r="F302">
        <f>IF(Entry!$D302&lt;&gt;"",IF(AND(ISNUMBER(Entry!$D302),Entry!$D302&gt;=0,Entry!$D302&lt;1),RIGHT("00"&amp;HOUR(Entry!$D302),2)&amp;":"&amp;RIGHT("00"&amp;MINUTE(Entry!$D302),2),IFERROR(RIGHT("00"&amp;VALUE(TRIM(LEFT(Entry!$D302,FIND(":",Entry!$D302)-1))),2)&amp;":"&amp;RIGHT("00"&amp;VALUE(TRIM(MID(Entry!$D302,FIND(":",Entry!$D302)+1,2))),2),"نامعتبر")),IF(OR($E302="",$E302="نامعتبر"),"","00:00"))</f>
        <v/>
      </c>
      <c r="G302">
        <f>IF(OR($E302="",$E302="نامعتبر"),"",IF(Entry!$E302="","",LEFT(UPPER(TRIM(Entry!$E302)),6)))</f>
        <v/>
      </c>
      <c r="H302">
        <f>IF($G302="","",RIGHT($E302,4)&amp;MID($E302,6,2)&amp;RIGHT($E302,2)&amp;IF($F302="","0000",IF($F302="نامعتبر","9999",LEFT($F302,2)&amp;RIGHT($F302,2)))&amp;"|"&amp;RIGHT("00000"&amp;294,5))</f>
        <v/>
      </c>
      <c r="I302">
        <f>IF($H302="","",COUNTIFS(CalcBank,$G302,CalcKey,"&lt;"&amp;$H302)+1)</f>
        <v/>
      </c>
      <c r="J302">
        <f>IF($I302="","",$G302&amp;"|"&amp;RIGHT("000000"&amp;$I302,6))</f>
        <v/>
      </c>
      <c r="K302">
        <f>IF(OR($E302="",$E302="نامعتبر"),"",LEFT($E302,4)&amp;"/"&amp;MID($E302,6,2))</f>
        <v/>
      </c>
      <c r="L302">
        <f>IF(Entry!$K302="",0,Entry!$K302)</f>
        <v/>
      </c>
      <c r="M302">
        <f>IF(Entry!$L302="",0,Entry!$L302)</f>
        <v/>
      </c>
    </row>
    <row r="303">
      <c r="A303">
        <f>IF(Entry!$C303="","",Entry!$C303)</f>
        <v/>
      </c>
      <c r="B303">
        <f>IF($A303="","",IF(ISNUMBER($A303),IF(AND($A303&gt;=10000101,$A303&lt;=99991231),INT($A303/10000),""),IFERROR(VALUE(TRIM(LEFT($A303,FIND("/",$A303)-1))),"")))</f>
        <v/>
      </c>
      <c r="C303">
        <f>IF(OR($A303="",$B303=""),"",IF(ISNUMBER($A303),INT(MOD($A303,10000)/100),IFERROR(VALUE(TRIM(LEFT(MID($A303,FIND("/",$A303)+1,20),FIND("/",MID($A303,FIND("/",$A303)+1,20))-1))),"")))</f>
        <v/>
      </c>
      <c r="D303">
        <f>IF(OR($A303="",$B303=""),"",IF(ISNUMBER($A303),MOD($A303,100),IFERROR(VALUE(TRIM(MID(MID($A303,FIND("/",$A303)+1,20),FIND("/",MID($A303,FIND("/",$A303)+1,20))+1,20))),"")))</f>
        <v/>
      </c>
      <c r="E303">
        <f>IF($A303="","",IF(OR($B303="",$C303="",$D303="",$B303&lt;1300,$B303&gt;1500,$C303&lt;1,$C303&gt;12,$D303&lt;1,$D303&gt;31),"نامعتبر",RIGHT("0000"&amp;$B303,4)&amp;"/"&amp;RIGHT("00"&amp;$C303,2)&amp;"/"&amp;RIGHT("00"&amp;$D303,2)))</f>
        <v/>
      </c>
      <c r="F303">
        <f>IF(Entry!$D303&lt;&gt;"",IF(AND(ISNUMBER(Entry!$D303),Entry!$D303&gt;=0,Entry!$D303&lt;1),RIGHT("00"&amp;HOUR(Entry!$D303),2)&amp;":"&amp;RIGHT("00"&amp;MINUTE(Entry!$D303),2),IFERROR(RIGHT("00"&amp;VALUE(TRIM(LEFT(Entry!$D303,FIND(":",Entry!$D303)-1))),2)&amp;":"&amp;RIGHT("00"&amp;VALUE(TRIM(MID(Entry!$D303,FIND(":",Entry!$D303)+1,2))),2),"نامعتبر")),IF(OR($E303="",$E303="نامعتبر"),"","00:00"))</f>
        <v/>
      </c>
      <c r="G303">
        <f>IF(OR($E303="",$E303="نامعتبر"),"",IF(Entry!$E303="","",LEFT(UPPER(TRIM(Entry!$E303)),6)))</f>
        <v/>
      </c>
      <c r="H303">
        <f>IF($G303="","",RIGHT($E303,4)&amp;MID($E303,6,2)&amp;RIGHT($E303,2)&amp;IF($F303="","0000",IF($F303="نامعتبر","9999",LEFT($F303,2)&amp;RIGHT($F303,2)))&amp;"|"&amp;RIGHT("00000"&amp;295,5))</f>
        <v/>
      </c>
      <c r="I303">
        <f>IF($H303="","",COUNTIFS(CalcBank,$G303,CalcKey,"&lt;"&amp;$H303)+1)</f>
        <v/>
      </c>
      <c r="J303">
        <f>IF($I303="","",$G303&amp;"|"&amp;RIGHT("000000"&amp;$I303,6))</f>
        <v/>
      </c>
      <c r="K303">
        <f>IF(OR($E303="",$E303="نامعتبر"),"",LEFT($E303,4)&amp;"/"&amp;MID($E303,6,2))</f>
        <v/>
      </c>
      <c r="L303">
        <f>IF(Entry!$K303="",0,Entry!$K303)</f>
        <v/>
      </c>
      <c r="M303">
        <f>IF(Entry!$L303="",0,Entry!$L303)</f>
        <v/>
      </c>
    </row>
    <row r="304">
      <c r="A304">
        <f>IF(Entry!$C304="","",Entry!$C304)</f>
        <v/>
      </c>
      <c r="B304">
        <f>IF($A304="","",IF(ISNUMBER($A304),IF(AND($A304&gt;=10000101,$A304&lt;=99991231),INT($A304/10000),""),IFERROR(VALUE(TRIM(LEFT($A304,FIND("/",$A304)-1))),"")))</f>
        <v/>
      </c>
      <c r="C304">
        <f>IF(OR($A304="",$B304=""),"",IF(ISNUMBER($A304),INT(MOD($A304,10000)/100),IFERROR(VALUE(TRIM(LEFT(MID($A304,FIND("/",$A304)+1,20),FIND("/",MID($A304,FIND("/",$A304)+1,20))-1))),"")))</f>
        <v/>
      </c>
      <c r="D304">
        <f>IF(OR($A304="",$B304=""),"",IF(ISNUMBER($A304),MOD($A304,100),IFERROR(VALUE(TRIM(MID(MID($A304,FIND("/",$A304)+1,20),FIND("/",MID($A304,FIND("/",$A304)+1,20))+1,20))),"")))</f>
        <v/>
      </c>
      <c r="E304">
        <f>IF($A304="","",IF(OR($B304="",$C304="",$D304="",$B304&lt;1300,$B304&gt;1500,$C304&lt;1,$C304&gt;12,$D304&lt;1,$D304&gt;31),"نامعتبر",RIGHT("0000"&amp;$B304,4)&amp;"/"&amp;RIGHT("00"&amp;$C304,2)&amp;"/"&amp;RIGHT("00"&amp;$D304,2)))</f>
        <v/>
      </c>
      <c r="F304">
        <f>IF(Entry!$D304&lt;&gt;"",IF(AND(ISNUMBER(Entry!$D304),Entry!$D304&gt;=0,Entry!$D304&lt;1),RIGHT("00"&amp;HOUR(Entry!$D304),2)&amp;":"&amp;RIGHT("00"&amp;MINUTE(Entry!$D304),2),IFERROR(RIGHT("00"&amp;VALUE(TRIM(LEFT(Entry!$D304,FIND(":",Entry!$D304)-1))),2)&amp;":"&amp;RIGHT("00"&amp;VALUE(TRIM(MID(Entry!$D304,FIND(":",Entry!$D304)+1,2))),2),"نامعتبر")),IF(OR($E304="",$E304="نامعتبر"),"","00:00"))</f>
        <v/>
      </c>
      <c r="G304">
        <f>IF(OR($E304="",$E304="نامعتبر"),"",IF(Entry!$E304="","",LEFT(UPPER(TRIM(Entry!$E304)),6)))</f>
        <v/>
      </c>
      <c r="H304">
        <f>IF($G304="","",RIGHT($E304,4)&amp;MID($E304,6,2)&amp;RIGHT($E304,2)&amp;IF($F304="","0000",IF($F304="نامعتبر","9999",LEFT($F304,2)&amp;RIGHT($F304,2)))&amp;"|"&amp;RIGHT("00000"&amp;296,5))</f>
        <v/>
      </c>
      <c r="I304">
        <f>IF($H304="","",COUNTIFS(CalcBank,$G304,CalcKey,"&lt;"&amp;$H304)+1)</f>
        <v/>
      </c>
      <c r="J304">
        <f>IF($I304="","",$G304&amp;"|"&amp;RIGHT("000000"&amp;$I304,6))</f>
        <v/>
      </c>
      <c r="K304">
        <f>IF(OR($E304="",$E304="نامعتبر"),"",LEFT($E304,4)&amp;"/"&amp;MID($E304,6,2))</f>
        <v/>
      </c>
      <c r="L304">
        <f>IF(Entry!$K304="",0,Entry!$K304)</f>
        <v/>
      </c>
      <c r="M304">
        <f>IF(Entry!$L304="",0,Entry!$L304)</f>
        <v/>
      </c>
    </row>
    <row r="305">
      <c r="A305">
        <f>IF(Entry!$C305="","",Entry!$C305)</f>
        <v/>
      </c>
      <c r="B305">
        <f>IF($A305="","",IF(ISNUMBER($A305),IF(AND($A305&gt;=10000101,$A305&lt;=99991231),INT($A305/10000),""),IFERROR(VALUE(TRIM(LEFT($A305,FIND("/",$A305)-1))),"")))</f>
        <v/>
      </c>
      <c r="C305">
        <f>IF(OR($A305="",$B305=""),"",IF(ISNUMBER($A305),INT(MOD($A305,10000)/100),IFERROR(VALUE(TRIM(LEFT(MID($A305,FIND("/",$A305)+1,20),FIND("/",MID($A305,FIND("/",$A305)+1,20))-1))),"")))</f>
        <v/>
      </c>
      <c r="D305">
        <f>IF(OR($A305="",$B305=""),"",IF(ISNUMBER($A305),MOD($A305,100),IFERROR(VALUE(TRIM(MID(MID($A305,FIND("/",$A305)+1,20),FIND("/",MID($A305,FIND("/",$A305)+1,20))+1,20))),"")))</f>
        <v/>
      </c>
      <c r="E305">
        <f>IF($A305="","",IF(OR($B305="",$C305="",$D305="",$B305&lt;1300,$B305&gt;1500,$C305&lt;1,$C305&gt;12,$D305&lt;1,$D305&gt;31),"نامعتبر",RIGHT("0000"&amp;$B305,4)&amp;"/"&amp;RIGHT("00"&amp;$C305,2)&amp;"/"&amp;RIGHT("00"&amp;$D305,2)))</f>
        <v/>
      </c>
      <c r="F305">
        <f>IF(Entry!$D305&lt;&gt;"",IF(AND(ISNUMBER(Entry!$D305),Entry!$D305&gt;=0,Entry!$D305&lt;1),RIGHT("00"&amp;HOUR(Entry!$D305),2)&amp;":"&amp;RIGHT("00"&amp;MINUTE(Entry!$D305),2),IFERROR(RIGHT("00"&amp;VALUE(TRIM(LEFT(Entry!$D305,FIND(":",Entry!$D305)-1))),2)&amp;":"&amp;RIGHT("00"&amp;VALUE(TRIM(MID(Entry!$D305,FIND(":",Entry!$D305)+1,2))),2),"نامعتبر")),IF(OR($E305="",$E305="نامعتبر"),"","00:00"))</f>
        <v/>
      </c>
      <c r="G305">
        <f>IF(OR($E305="",$E305="نامعتبر"),"",IF(Entry!$E305="","",LEFT(UPPER(TRIM(Entry!$E305)),6)))</f>
        <v/>
      </c>
      <c r="H305">
        <f>IF($G305="","",RIGHT($E305,4)&amp;MID($E305,6,2)&amp;RIGHT($E305,2)&amp;IF($F305="","0000",IF($F305="نامعتبر","9999",LEFT($F305,2)&amp;RIGHT($F305,2)))&amp;"|"&amp;RIGHT("00000"&amp;297,5))</f>
        <v/>
      </c>
      <c r="I305">
        <f>IF($H305="","",COUNTIFS(CalcBank,$G305,CalcKey,"&lt;"&amp;$H305)+1)</f>
        <v/>
      </c>
      <c r="J305">
        <f>IF($I305="","",$G305&amp;"|"&amp;RIGHT("000000"&amp;$I305,6))</f>
        <v/>
      </c>
      <c r="K305">
        <f>IF(OR($E305="",$E305="نامعتبر"),"",LEFT($E305,4)&amp;"/"&amp;MID($E305,6,2))</f>
        <v/>
      </c>
      <c r="L305">
        <f>IF(Entry!$K305="",0,Entry!$K305)</f>
        <v/>
      </c>
      <c r="M305">
        <f>IF(Entry!$L305="",0,Entry!$L305)</f>
        <v/>
      </c>
    </row>
    <row r="306">
      <c r="A306">
        <f>IF(Entry!$C306="","",Entry!$C306)</f>
        <v/>
      </c>
      <c r="B306">
        <f>IF($A306="","",IF(ISNUMBER($A306),IF(AND($A306&gt;=10000101,$A306&lt;=99991231),INT($A306/10000),""),IFERROR(VALUE(TRIM(LEFT($A306,FIND("/",$A306)-1))),"")))</f>
        <v/>
      </c>
      <c r="C306">
        <f>IF(OR($A306="",$B306=""),"",IF(ISNUMBER($A306),INT(MOD($A306,10000)/100),IFERROR(VALUE(TRIM(LEFT(MID($A306,FIND("/",$A306)+1,20),FIND("/",MID($A306,FIND("/",$A306)+1,20))-1))),"")))</f>
        <v/>
      </c>
      <c r="D306">
        <f>IF(OR($A306="",$B306=""),"",IF(ISNUMBER($A306),MOD($A306,100),IFERROR(VALUE(TRIM(MID(MID($A306,FIND("/",$A306)+1,20),FIND("/",MID($A306,FIND("/",$A306)+1,20))+1,20))),"")))</f>
        <v/>
      </c>
      <c r="E306">
        <f>IF($A306="","",IF(OR($B306="",$C306="",$D306="",$B306&lt;1300,$B306&gt;1500,$C306&lt;1,$C306&gt;12,$D306&lt;1,$D306&gt;31),"نامعتبر",RIGHT("0000"&amp;$B306,4)&amp;"/"&amp;RIGHT("00"&amp;$C306,2)&amp;"/"&amp;RIGHT("00"&amp;$D306,2)))</f>
        <v/>
      </c>
      <c r="F306">
        <f>IF(Entry!$D306&lt;&gt;"",IF(AND(ISNUMBER(Entry!$D306),Entry!$D306&gt;=0,Entry!$D306&lt;1),RIGHT("00"&amp;HOUR(Entry!$D306),2)&amp;":"&amp;RIGHT("00"&amp;MINUTE(Entry!$D306),2),IFERROR(RIGHT("00"&amp;VALUE(TRIM(LEFT(Entry!$D306,FIND(":",Entry!$D306)-1))),2)&amp;":"&amp;RIGHT("00"&amp;VALUE(TRIM(MID(Entry!$D306,FIND(":",Entry!$D306)+1,2))),2),"نامعتبر")),IF(OR($E306="",$E306="نامعتبر"),"","00:00"))</f>
        <v/>
      </c>
      <c r="G306">
        <f>IF(OR($E306="",$E306="نامعتبر"),"",IF(Entry!$E306="","",LEFT(UPPER(TRIM(Entry!$E306)),6)))</f>
        <v/>
      </c>
      <c r="H306">
        <f>IF($G306="","",RIGHT($E306,4)&amp;MID($E306,6,2)&amp;RIGHT($E306,2)&amp;IF($F306="","0000",IF($F306="نامعتبر","9999",LEFT($F306,2)&amp;RIGHT($F306,2)))&amp;"|"&amp;RIGHT("00000"&amp;298,5))</f>
        <v/>
      </c>
      <c r="I306">
        <f>IF($H306="","",COUNTIFS(CalcBank,$G306,CalcKey,"&lt;"&amp;$H306)+1)</f>
        <v/>
      </c>
      <c r="J306">
        <f>IF($I306="","",$G306&amp;"|"&amp;RIGHT("000000"&amp;$I306,6))</f>
        <v/>
      </c>
      <c r="K306">
        <f>IF(OR($E306="",$E306="نامعتبر"),"",LEFT($E306,4)&amp;"/"&amp;MID($E306,6,2))</f>
        <v/>
      </c>
      <c r="L306">
        <f>IF(Entry!$K306="",0,Entry!$K306)</f>
        <v/>
      </c>
      <c r="M306">
        <f>IF(Entry!$L306="",0,Entry!$L306)</f>
        <v/>
      </c>
    </row>
    <row r="307">
      <c r="A307">
        <f>IF(Entry!$C307="","",Entry!$C307)</f>
        <v/>
      </c>
      <c r="B307">
        <f>IF($A307="","",IF(ISNUMBER($A307),IF(AND($A307&gt;=10000101,$A307&lt;=99991231),INT($A307/10000),""),IFERROR(VALUE(TRIM(LEFT($A307,FIND("/",$A307)-1))),"")))</f>
        <v/>
      </c>
      <c r="C307">
        <f>IF(OR($A307="",$B307=""),"",IF(ISNUMBER($A307),INT(MOD($A307,10000)/100),IFERROR(VALUE(TRIM(LEFT(MID($A307,FIND("/",$A307)+1,20),FIND("/",MID($A307,FIND("/",$A307)+1,20))-1))),"")))</f>
        <v/>
      </c>
      <c r="D307">
        <f>IF(OR($A307="",$B307=""),"",IF(ISNUMBER($A307),MOD($A307,100),IFERROR(VALUE(TRIM(MID(MID($A307,FIND("/",$A307)+1,20),FIND("/",MID($A307,FIND("/",$A307)+1,20))+1,20))),"")))</f>
        <v/>
      </c>
      <c r="E307">
        <f>IF($A307="","",IF(OR($B307="",$C307="",$D307="",$B307&lt;1300,$B307&gt;1500,$C307&lt;1,$C307&gt;12,$D307&lt;1,$D307&gt;31),"نامعتبر",RIGHT("0000"&amp;$B307,4)&amp;"/"&amp;RIGHT("00"&amp;$C307,2)&amp;"/"&amp;RIGHT("00"&amp;$D307,2)))</f>
        <v/>
      </c>
      <c r="F307">
        <f>IF(Entry!$D307&lt;&gt;"",IF(AND(ISNUMBER(Entry!$D307),Entry!$D307&gt;=0,Entry!$D307&lt;1),RIGHT("00"&amp;HOUR(Entry!$D307),2)&amp;":"&amp;RIGHT("00"&amp;MINUTE(Entry!$D307),2),IFERROR(RIGHT("00"&amp;VALUE(TRIM(LEFT(Entry!$D307,FIND(":",Entry!$D307)-1))),2)&amp;":"&amp;RIGHT("00"&amp;VALUE(TRIM(MID(Entry!$D307,FIND(":",Entry!$D307)+1,2))),2),"نامعتبر")),IF(OR($E307="",$E307="نامعتبر"),"","00:00"))</f>
        <v/>
      </c>
      <c r="G307">
        <f>IF(OR($E307="",$E307="نامعتبر"),"",IF(Entry!$E307="","",LEFT(UPPER(TRIM(Entry!$E307)),6)))</f>
        <v/>
      </c>
      <c r="H307">
        <f>IF($G307="","",RIGHT($E307,4)&amp;MID($E307,6,2)&amp;RIGHT($E307,2)&amp;IF($F307="","0000",IF($F307="نامعتبر","9999",LEFT($F307,2)&amp;RIGHT($F307,2)))&amp;"|"&amp;RIGHT("00000"&amp;299,5))</f>
        <v/>
      </c>
      <c r="I307">
        <f>IF($H307="","",COUNTIFS(CalcBank,$G307,CalcKey,"&lt;"&amp;$H307)+1)</f>
        <v/>
      </c>
      <c r="J307">
        <f>IF($I307="","",$G307&amp;"|"&amp;RIGHT("000000"&amp;$I307,6))</f>
        <v/>
      </c>
      <c r="K307">
        <f>IF(OR($E307="",$E307="نامعتبر"),"",LEFT($E307,4)&amp;"/"&amp;MID($E307,6,2))</f>
        <v/>
      </c>
      <c r="L307">
        <f>IF(Entry!$K307="",0,Entry!$K307)</f>
        <v/>
      </c>
      <c r="M307">
        <f>IF(Entry!$L307="",0,Entry!$L307)</f>
        <v/>
      </c>
    </row>
    <row r="308">
      <c r="A308">
        <f>IF(Entry!$C308="","",Entry!$C308)</f>
        <v/>
      </c>
      <c r="B308">
        <f>IF($A308="","",IF(ISNUMBER($A308),IF(AND($A308&gt;=10000101,$A308&lt;=99991231),INT($A308/10000),""),IFERROR(VALUE(TRIM(LEFT($A308,FIND("/",$A308)-1))),"")))</f>
        <v/>
      </c>
      <c r="C308">
        <f>IF(OR($A308="",$B308=""),"",IF(ISNUMBER($A308),INT(MOD($A308,10000)/100),IFERROR(VALUE(TRIM(LEFT(MID($A308,FIND("/",$A308)+1,20),FIND("/",MID($A308,FIND("/",$A308)+1,20))-1))),"")))</f>
        <v/>
      </c>
      <c r="D308">
        <f>IF(OR($A308="",$B308=""),"",IF(ISNUMBER($A308),MOD($A308,100),IFERROR(VALUE(TRIM(MID(MID($A308,FIND("/",$A308)+1,20),FIND("/",MID($A308,FIND("/",$A308)+1,20))+1,20))),"")))</f>
        <v/>
      </c>
      <c r="E308">
        <f>IF($A308="","",IF(OR($B308="",$C308="",$D308="",$B308&lt;1300,$B308&gt;1500,$C308&lt;1,$C308&gt;12,$D308&lt;1,$D308&gt;31),"نامعتبر",RIGHT("0000"&amp;$B308,4)&amp;"/"&amp;RIGHT("00"&amp;$C308,2)&amp;"/"&amp;RIGHT("00"&amp;$D308,2)))</f>
        <v/>
      </c>
      <c r="F308">
        <f>IF(Entry!$D308&lt;&gt;"",IF(AND(ISNUMBER(Entry!$D308),Entry!$D308&gt;=0,Entry!$D308&lt;1),RIGHT("00"&amp;HOUR(Entry!$D308),2)&amp;":"&amp;RIGHT("00"&amp;MINUTE(Entry!$D308),2),IFERROR(RIGHT("00"&amp;VALUE(TRIM(LEFT(Entry!$D308,FIND(":",Entry!$D308)-1))),2)&amp;":"&amp;RIGHT("00"&amp;VALUE(TRIM(MID(Entry!$D308,FIND(":",Entry!$D308)+1,2))),2),"نامعتبر")),IF(OR($E308="",$E308="نامعتبر"),"","00:00"))</f>
        <v/>
      </c>
      <c r="G308">
        <f>IF(OR($E308="",$E308="نامعتبر"),"",IF(Entry!$E308="","",LEFT(UPPER(TRIM(Entry!$E308)),6)))</f>
        <v/>
      </c>
      <c r="H308">
        <f>IF($G308="","",RIGHT($E308,4)&amp;MID($E308,6,2)&amp;RIGHT($E308,2)&amp;IF($F308="","0000",IF($F308="نامعتبر","9999",LEFT($F308,2)&amp;RIGHT($F308,2)))&amp;"|"&amp;RIGHT("00000"&amp;300,5))</f>
        <v/>
      </c>
      <c r="I308">
        <f>IF($H308="","",COUNTIFS(CalcBank,$G308,CalcKey,"&lt;"&amp;$H308)+1)</f>
        <v/>
      </c>
      <c r="J308">
        <f>IF($I308="","",$G308&amp;"|"&amp;RIGHT("000000"&amp;$I308,6))</f>
        <v/>
      </c>
      <c r="K308">
        <f>IF(OR($E308="",$E308="نامعتبر"),"",LEFT($E308,4)&amp;"/"&amp;MID($E308,6,2))</f>
        <v/>
      </c>
      <c r="L308">
        <f>IF(Entry!$K308="",0,Entry!$K308)</f>
        <v/>
      </c>
      <c r="M308">
        <f>IF(Entry!$L308="",0,Entry!$L308)</f>
        <v/>
      </c>
    </row>
    <row r="309">
      <c r="A309">
        <f>IF(Entry!$C309="","",Entry!$C309)</f>
        <v/>
      </c>
      <c r="B309">
        <f>IF($A309="","",IF(ISNUMBER($A309),IF(AND($A309&gt;=10000101,$A309&lt;=99991231),INT($A309/10000),""),IFERROR(VALUE(TRIM(LEFT($A309,FIND("/",$A309)-1))),"")))</f>
        <v/>
      </c>
      <c r="C309">
        <f>IF(OR($A309="",$B309=""),"",IF(ISNUMBER($A309),INT(MOD($A309,10000)/100),IFERROR(VALUE(TRIM(LEFT(MID($A309,FIND("/",$A309)+1,20),FIND("/",MID($A309,FIND("/",$A309)+1,20))-1))),"")))</f>
        <v/>
      </c>
      <c r="D309">
        <f>IF(OR($A309="",$B309=""),"",IF(ISNUMBER($A309),MOD($A309,100),IFERROR(VALUE(TRIM(MID(MID($A309,FIND("/",$A309)+1,20),FIND("/",MID($A309,FIND("/",$A309)+1,20))+1,20))),"")))</f>
        <v/>
      </c>
      <c r="E309">
        <f>IF($A309="","",IF(OR($B309="",$C309="",$D309="",$B309&lt;1300,$B309&gt;1500,$C309&lt;1,$C309&gt;12,$D309&lt;1,$D309&gt;31),"نامعتبر",RIGHT("0000"&amp;$B309,4)&amp;"/"&amp;RIGHT("00"&amp;$C309,2)&amp;"/"&amp;RIGHT("00"&amp;$D309,2)))</f>
        <v/>
      </c>
      <c r="F309">
        <f>IF(Entry!$D309&lt;&gt;"",IF(AND(ISNUMBER(Entry!$D309),Entry!$D309&gt;=0,Entry!$D309&lt;1),RIGHT("00"&amp;HOUR(Entry!$D309),2)&amp;":"&amp;RIGHT("00"&amp;MINUTE(Entry!$D309),2),IFERROR(RIGHT("00"&amp;VALUE(TRIM(LEFT(Entry!$D309,FIND(":",Entry!$D309)-1))),2)&amp;":"&amp;RIGHT("00"&amp;VALUE(TRIM(MID(Entry!$D309,FIND(":",Entry!$D309)+1,2))),2),"نامعتبر")),IF(OR($E309="",$E309="نامعتبر"),"","00:00"))</f>
        <v/>
      </c>
      <c r="G309">
        <f>IF(OR($E309="",$E309="نامعتبر"),"",IF(Entry!$E309="","",LEFT(UPPER(TRIM(Entry!$E309)),6)))</f>
        <v/>
      </c>
      <c r="H309">
        <f>IF($G309="","",RIGHT($E309,4)&amp;MID($E309,6,2)&amp;RIGHT($E309,2)&amp;IF($F309="","0000",IF($F309="نامعتبر","9999",LEFT($F309,2)&amp;RIGHT($F309,2)))&amp;"|"&amp;RIGHT("00000"&amp;301,5))</f>
        <v/>
      </c>
      <c r="I309">
        <f>IF($H309="","",COUNTIFS(CalcBank,$G309,CalcKey,"&lt;"&amp;$H309)+1)</f>
        <v/>
      </c>
      <c r="J309">
        <f>IF($I309="","",$G309&amp;"|"&amp;RIGHT("000000"&amp;$I309,6))</f>
        <v/>
      </c>
      <c r="K309">
        <f>IF(OR($E309="",$E309="نامعتبر"),"",LEFT($E309,4)&amp;"/"&amp;MID($E309,6,2))</f>
        <v/>
      </c>
      <c r="L309">
        <f>IF(Entry!$K309="",0,Entry!$K309)</f>
        <v/>
      </c>
      <c r="M309">
        <f>IF(Entry!$L309="",0,Entry!$L309)</f>
        <v/>
      </c>
    </row>
    <row r="310">
      <c r="A310">
        <f>IF(Entry!$C310="","",Entry!$C310)</f>
        <v/>
      </c>
      <c r="B310">
        <f>IF($A310="","",IF(ISNUMBER($A310),IF(AND($A310&gt;=10000101,$A310&lt;=99991231),INT($A310/10000),""),IFERROR(VALUE(TRIM(LEFT($A310,FIND("/",$A310)-1))),"")))</f>
        <v/>
      </c>
      <c r="C310">
        <f>IF(OR($A310="",$B310=""),"",IF(ISNUMBER($A310),INT(MOD($A310,10000)/100),IFERROR(VALUE(TRIM(LEFT(MID($A310,FIND("/",$A310)+1,20),FIND("/",MID($A310,FIND("/",$A310)+1,20))-1))),"")))</f>
        <v/>
      </c>
      <c r="D310">
        <f>IF(OR($A310="",$B310=""),"",IF(ISNUMBER($A310),MOD($A310,100),IFERROR(VALUE(TRIM(MID(MID($A310,FIND("/",$A310)+1,20),FIND("/",MID($A310,FIND("/",$A310)+1,20))+1,20))),"")))</f>
        <v/>
      </c>
      <c r="E310">
        <f>IF($A310="","",IF(OR($B310="",$C310="",$D310="",$B310&lt;1300,$B310&gt;1500,$C310&lt;1,$C310&gt;12,$D310&lt;1,$D310&gt;31),"نامعتبر",RIGHT("0000"&amp;$B310,4)&amp;"/"&amp;RIGHT("00"&amp;$C310,2)&amp;"/"&amp;RIGHT("00"&amp;$D310,2)))</f>
        <v/>
      </c>
      <c r="F310">
        <f>IF(Entry!$D310&lt;&gt;"",IF(AND(ISNUMBER(Entry!$D310),Entry!$D310&gt;=0,Entry!$D310&lt;1),RIGHT("00"&amp;HOUR(Entry!$D310),2)&amp;":"&amp;RIGHT("00"&amp;MINUTE(Entry!$D310),2),IFERROR(RIGHT("00"&amp;VALUE(TRIM(LEFT(Entry!$D310,FIND(":",Entry!$D310)-1))),2)&amp;":"&amp;RIGHT("00"&amp;VALUE(TRIM(MID(Entry!$D310,FIND(":",Entry!$D310)+1,2))),2),"نامعتبر")),IF(OR($E310="",$E310="نامعتبر"),"","00:00"))</f>
        <v/>
      </c>
      <c r="G310">
        <f>IF(OR($E310="",$E310="نامعتبر"),"",IF(Entry!$E310="","",LEFT(UPPER(TRIM(Entry!$E310)),6)))</f>
        <v/>
      </c>
      <c r="H310">
        <f>IF($G310="","",RIGHT($E310,4)&amp;MID($E310,6,2)&amp;RIGHT($E310,2)&amp;IF($F310="","0000",IF($F310="نامعتبر","9999",LEFT($F310,2)&amp;RIGHT($F310,2)))&amp;"|"&amp;RIGHT("00000"&amp;302,5))</f>
        <v/>
      </c>
      <c r="I310">
        <f>IF($H310="","",COUNTIFS(CalcBank,$G310,CalcKey,"&lt;"&amp;$H310)+1)</f>
        <v/>
      </c>
      <c r="J310">
        <f>IF($I310="","",$G310&amp;"|"&amp;RIGHT("000000"&amp;$I310,6))</f>
        <v/>
      </c>
      <c r="K310">
        <f>IF(OR($E310="",$E310="نامعتبر"),"",LEFT($E310,4)&amp;"/"&amp;MID($E310,6,2))</f>
        <v/>
      </c>
      <c r="L310">
        <f>IF(Entry!$K310="",0,Entry!$K310)</f>
        <v/>
      </c>
      <c r="M310">
        <f>IF(Entry!$L310="",0,Entry!$L310)</f>
        <v/>
      </c>
    </row>
    <row r="311">
      <c r="A311">
        <f>IF(Entry!$C311="","",Entry!$C311)</f>
        <v/>
      </c>
      <c r="B311">
        <f>IF($A311="","",IF(ISNUMBER($A311),IF(AND($A311&gt;=10000101,$A311&lt;=99991231),INT($A311/10000),""),IFERROR(VALUE(TRIM(LEFT($A311,FIND("/",$A311)-1))),"")))</f>
        <v/>
      </c>
      <c r="C311">
        <f>IF(OR($A311="",$B311=""),"",IF(ISNUMBER($A311),INT(MOD($A311,10000)/100),IFERROR(VALUE(TRIM(LEFT(MID($A311,FIND("/",$A311)+1,20),FIND("/",MID($A311,FIND("/",$A311)+1,20))-1))),"")))</f>
        <v/>
      </c>
      <c r="D311">
        <f>IF(OR($A311="",$B311=""),"",IF(ISNUMBER($A311),MOD($A311,100),IFERROR(VALUE(TRIM(MID(MID($A311,FIND("/",$A311)+1,20),FIND("/",MID($A311,FIND("/",$A311)+1,20))+1,20))),"")))</f>
        <v/>
      </c>
      <c r="E311">
        <f>IF($A311="","",IF(OR($B311="",$C311="",$D311="",$B311&lt;1300,$B311&gt;1500,$C311&lt;1,$C311&gt;12,$D311&lt;1,$D311&gt;31),"نامعتبر",RIGHT("0000"&amp;$B311,4)&amp;"/"&amp;RIGHT("00"&amp;$C311,2)&amp;"/"&amp;RIGHT("00"&amp;$D311,2)))</f>
        <v/>
      </c>
      <c r="F311">
        <f>IF(Entry!$D311&lt;&gt;"",IF(AND(ISNUMBER(Entry!$D311),Entry!$D311&gt;=0,Entry!$D311&lt;1),RIGHT("00"&amp;HOUR(Entry!$D311),2)&amp;":"&amp;RIGHT("00"&amp;MINUTE(Entry!$D311),2),IFERROR(RIGHT("00"&amp;VALUE(TRIM(LEFT(Entry!$D311,FIND(":",Entry!$D311)-1))),2)&amp;":"&amp;RIGHT("00"&amp;VALUE(TRIM(MID(Entry!$D311,FIND(":",Entry!$D311)+1,2))),2),"نامعتبر")),IF(OR($E311="",$E311="نامعتبر"),"","00:00"))</f>
        <v/>
      </c>
      <c r="G311">
        <f>IF(OR($E311="",$E311="نامعتبر"),"",IF(Entry!$E311="","",LEFT(UPPER(TRIM(Entry!$E311)),6)))</f>
        <v/>
      </c>
      <c r="H311">
        <f>IF($G311="","",RIGHT($E311,4)&amp;MID($E311,6,2)&amp;RIGHT($E311,2)&amp;IF($F311="","0000",IF($F311="نامعتبر","9999",LEFT($F311,2)&amp;RIGHT($F311,2)))&amp;"|"&amp;RIGHT("00000"&amp;303,5))</f>
        <v/>
      </c>
      <c r="I311">
        <f>IF($H311="","",COUNTIFS(CalcBank,$G311,CalcKey,"&lt;"&amp;$H311)+1)</f>
        <v/>
      </c>
      <c r="J311">
        <f>IF($I311="","",$G311&amp;"|"&amp;RIGHT("000000"&amp;$I311,6))</f>
        <v/>
      </c>
      <c r="K311">
        <f>IF(OR($E311="",$E311="نامعتبر"),"",LEFT($E311,4)&amp;"/"&amp;MID($E311,6,2))</f>
        <v/>
      </c>
      <c r="L311">
        <f>IF(Entry!$K311="",0,Entry!$K311)</f>
        <v/>
      </c>
      <c r="M311">
        <f>IF(Entry!$L311="",0,Entry!$L311)</f>
        <v/>
      </c>
    </row>
    <row r="312">
      <c r="A312">
        <f>IF(Entry!$C312="","",Entry!$C312)</f>
        <v/>
      </c>
      <c r="B312">
        <f>IF($A312="","",IF(ISNUMBER($A312),IF(AND($A312&gt;=10000101,$A312&lt;=99991231),INT($A312/10000),""),IFERROR(VALUE(TRIM(LEFT($A312,FIND("/",$A312)-1))),"")))</f>
        <v/>
      </c>
      <c r="C312">
        <f>IF(OR($A312="",$B312=""),"",IF(ISNUMBER($A312),INT(MOD($A312,10000)/100),IFERROR(VALUE(TRIM(LEFT(MID($A312,FIND("/",$A312)+1,20),FIND("/",MID($A312,FIND("/",$A312)+1,20))-1))),"")))</f>
        <v/>
      </c>
      <c r="D312">
        <f>IF(OR($A312="",$B312=""),"",IF(ISNUMBER($A312),MOD($A312,100),IFERROR(VALUE(TRIM(MID(MID($A312,FIND("/",$A312)+1,20),FIND("/",MID($A312,FIND("/",$A312)+1,20))+1,20))),"")))</f>
        <v/>
      </c>
      <c r="E312">
        <f>IF($A312="","",IF(OR($B312="",$C312="",$D312="",$B312&lt;1300,$B312&gt;1500,$C312&lt;1,$C312&gt;12,$D312&lt;1,$D312&gt;31),"نامعتبر",RIGHT("0000"&amp;$B312,4)&amp;"/"&amp;RIGHT("00"&amp;$C312,2)&amp;"/"&amp;RIGHT("00"&amp;$D312,2)))</f>
        <v/>
      </c>
      <c r="F312">
        <f>IF(Entry!$D312&lt;&gt;"",IF(AND(ISNUMBER(Entry!$D312),Entry!$D312&gt;=0,Entry!$D312&lt;1),RIGHT("00"&amp;HOUR(Entry!$D312),2)&amp;":"&amp;RIGHT("00"&amp;MINUTE(Entry!$D312),2),IFERROR(RIGHT("00"&amp;VALUE(TRIM(LEFT(Entry!$D312,FIND(":",Entry!$D312)-1))),2)&amp;":"&amp;RIGHT("00"&amp;VALUE(TRIM(MID(Entry!$D312,FIND(":",Entry!$D312)+1,2))),2),"نامعتبر")),IF(OR($E312="",$E312="نامعتبر"),"","00:00"))</f>
        <v/>
      </c>
      <c r="G312">
        <f>IF(OR($E312="",$E312="نامعتبر"),"",IF(Entry!$E312="","",LEFT(UPPER(TRIM(Entry!$E312)),6)))</f>
        <v/>
      </c>
      <c r="H312">
        <f>IF($G312="","",RIGHT($E312,4)&amp;MID($E312,6,2)&amp;RIGHT($E312,2)&amp;IF($F312="","0000",IF($F312="نامعتبر","9999",LEFT($F312,2)&amp;RIGHT($F312,2)))&amp;"|"&amp;RIGHT("00000"&amp;304,5))</f>
        <v/>
      </c>
      <c r="I312">
        <f>IF($H312="","",COUNTIFS(CalcBank,$G312,CalcKey,"&lt;"&amp;$H312)+1)</f>
        <v/>
      </c>
      <c r="J312">
        <f>IF($I312="","",$G312&amp;"|"&amp;RIGHT("000000"&amp;$I312,6))</f>
        <v/>
      </c>
      <c r="K312">
        <f>IF(OR($E312="",$E312="نامعتبر"),"",LEFT($E312,4)&amp;"/"&amp;MID($E312,6,2))</f>
        <v/>
      </c>
      <c r="L312">
        <f>IF(Entry!$K312="",0,Entry!$K312)</f>
        <v/>
      </c>
      <c r="M312">
        <f>IF(Entry!$L312="",0,Entry!$L312)</f>
        <v/>
      </c>
    </row>
    <row r="313">
      <c r="A313">
        <f>IF(Entry!$C313="","",Entry!$C313)</f>
        <v/>
      </c>
      <c r="B313">
        <f>IF($A313="","",IF(ISNUMBER($A313),IF(AND($A313&gt;=10000101,$A313&lt;=99991231),INT($A313/10000),""),IFERROR(VALUE(TRIM(LEFT($A313,FIND("/",$A313)-1))),"")))</f>
        <v/>
      </c>
      <c r="C313">
        <f>IF(OR($A313="",$B313=""),"",IF(ISNUMBER($A313),INT(MOD($A313,10000)/100),IFERROR(VALUE(TRIM(LEFT(MID($A313,FIND("/",$A313)+1,20),FIND("/",MID($A313,FIND("/",$A313)+1,20))-1))),"")))</f>
        <v/>
      </c>
      <c r="D313">
        <f>IF(OR($A313="",$B313=""),"",IF(ISNUMBER($A313),MOD($A313,100),IFERROR(VALUE(TRIM(MID(MID($A313,FIND("/",$A313)+1,20),FIND("/",MID($A313,FIND("/",$A313)+1,20))+1,20))),"")))</f>
        <v/>
      </c>
      <c r="E313">
        <f>IF($A313="","",IF(OR($B313="",$C313="",$D313="",$B313&lt;1300,$B313&gt;1500,$C313&lt;1,$C313&gt;12,$D313&lt;1,$D313&gt;31),"نامعتبر",RIGHT("0000"&amp;$B313,4)&amp;"/"&amp;RIGHT("00"&amp;$C313,2)&amp;"/"&amp;RIGHT("00"&amp;$D313,2)))</f>
        <v/>
      </c>
      <c r="F313">
        <f>IF(Entry!$D313&lt;&gt;"",IF(AND(ISNUMBER(Entry!$D313),Entry!$D313&gt;=0,Entry!$D313&lt;1),RIGHT("00"&amp;HOUR(Entry!$D313),2)&amp;":"&amp;RIGHT("00"&amp;MINUTE(Entry!$D313),2),IFERROR(RIGHT("00"&amp;VALUE(TRIM(LEFT(Entry!$D313,FIND(":",Entry!$D313)-1))),2)&amp;":"&amp;RIGHT("00"&amp;VALUE(TRIM(MID(Entry!$D313,FIND(":",Entry!$D313)+1,2))),2),"نامعتبر")),IF(OR($E313="",$E313="نامعتبر"),"","00:00"))</f>
        <v/>
      </c>
      <c r="G313">
        <f>IF(OR($E313="",$E313="نامعتبر"),"",IF(Entry!$E313="","",LEFT(UPPER(TRIM(Entry!$E313)),6)))</f>
        <v/>
      </c>
      <c r="H313">
        <f>IF($G313="","",RIGHT($E313,4)&amp;MID($E313,6,2)&amp;RIGHT($E313,2)&amp;IF($F313="","0000",IF($F313="نامعتبر","9999",LEFT($F313,2)&amp;RIGHT($F313,2)))&amp;"|"&amp;RIGHT("00000"&amp;305,5))</f>
        <v/>
      </c>
      <c r="I313">
        <f>IF($H313="","",COUNTIFS(CalcBank,$G313,CalcKey,"&lt;"&amp;$H313)+1)</f>
        <v/>
      </c>
      <c r="J313">
        <f>IF($I313="","",$G313&amp;"|"&amp;RIGHT("000000"&amp;$I313,6))</f>
        <v/>
      </c>
      <c r="K313">
        <f>IF(OR($E313="",$E313="نامعتبر"),"",LEFT($E313,4)&amp;"/"&amp;MID($E313,6,2))</f>
        <v/>
      </c>
      <c r="L313">
        <f>IF(Entry!$K313="",0,Entry!$K313)</f>
        <v/>
      </c>
      <c r="M313">
        <f>IF(Entry!$L313="",0,Entry!$L313)</f>
        <v/>
      </c>
    </row>
    <row r="314">
      <c r="A314">
        <f>IF(Entry!$C314="","",Entry!$C314)</f>
        <v/>
      </c>
      <c r="B314">
        <f>IF($A314="","",IF(ISNUMBER($A314),IF(AND($A314&gt;=10000101,$A314&lt;=99991231),INT($A314/10000),""),IFERROR(VALUE(TRIM(LEFT($A314,FIND("/",$A314)-1))),"")))</f>
        <v/>
      </c>
      <c r="C314">
        <f>IF(OR($A314="",$B314=""),"",IF(ISNUMBER($A314),INT(MOD($A314,10000)/100),IFERROR(VALUE(TRIM(LEFT(MID($A314,FIND("/",$A314)+1,20),FIND("/",MID($A314,FIND("/",$A314)+1,20))-1))),"")))</f>
        <v/>
      </c>
      <c r="D314">
        <f>IF(OR($A314="",$B314=""),"",IF(ISNUMBER($A314),MOD($A314,100),IFERROR(VALUE(TRIM(MID(MID($A314,FIND("/",$A314)+1,20),FIND("/",MID($A314,FIND("/",$A314)+1,20))+1,20))),"")))</f>
        <v/>
      </c>
      <c r="E314">
        <f>IF($A314="","",IF(OR($B314="",$C314="",$D314="",$B314&lt;1300,$B314&gt;1500,$C314&lt;1,$C314&gt;12,$D314&lt;1,$D314&gt;31),"نامعتبر",RIGHT("0000"&amp;$B314,4)&amp;"/"&amp;RIGHT("00"&amp;$C314,2)&amp;"/"&amp;RIGHT("00"&amp;$D314,2)))</f>
        <v/>
      </c>
      <c r="F314">
        <f>IF(Entry!$D314&lt;&gt;"",IF(AND(ISNUMBER(Entry!$D314),Entry!$D314&gt;=0,Entry!$D314&lt;1),RIGHT("00"&amp;HOUR(Entry!$D314),2)&amp;":"&amp;RIGHT("00"&amp;MINUTE(Entry!$D314),2),IFERROR(RIGHT("00"&amp;VALUE(TRIM(LEFT(Entry!$D314,FIND(":",Entry!$D314)-1))),2)&amp;":"&amp;RIGHT("00"&amp;VALUE(TRIM(MID(Entry!$D314,FIND(":",Entry!$D314)+1,2))),2),"نامعتبر")),IF(OR($E314="",$E314="نامعتبر"),"","00:00"))</f>
        <v/>
      </c>
      <c r="G314">
        <f>IF(OR($E314="",$E314="نامعتبر"),"",IF(Entry!$E314="","",LEFT(UPPER(TRIM(Entry!$E314)),6)))</f>
        <v/>
      </c>
      <c r="H314">
        <f>IF($G314="","",RIGHT($E314,4)&amp;MID($E314,6,2)&amp;RIGHT($E314,2)&amp;IF($F314="","0000",IF($F314="نامعتبر","9999",LEFT($F314,2)&amp;RIGHT($F314,2)))&amp;"|"&amp;RIGHT("00000"&amp;306,5))</f>
        <v/>
      </c>
      <c r="I314">
        <f>IF($H314="","",COUNTIFS(CalcBank,$G314,CalcKey,"&lt;"&amp;$H314)+1)</f>
        <v/>
      </c>
      <c r="J314">
        <f>IF($I314="","",$G314&amp;"|"&amp;RIGHT("000000"&amp;$I314,6))</f>
        <v/>
      </c>
      <c r="K314">
        <f>IF(OR($E314="",$E314="نامعتبر"),"",LEFT($E314,4)&amp;"/"&amp;MID($E314,6,2))</f>
        <v/>
      </c>
      <c r="L314">
        <f>IF(Entry!$K314="",0,Entry!$K314)</f>
        <v/>
      </c>
      <c r="M314">
        <f>IF(Entry!$L314="",0,Entry!$L314)</f>
        <v/>
      </c>
    </row>
    <row r="315">
      <c r="A315">
        <f>IF(Entry!$C315="","",Entry!$C315)</f>
        <v/>
      </c>
      <c r="B315">
        <f>IF($A315="","",IF(ISNUMBER($A315),IF(AND($A315&gt;=10000101,$A315&lt;=99991231),INT($A315/10000),""),IFERROR(VALUE(TRIM(LEFT($A315,FIND("/",$A315)-1))),"")))</f>
        <v/>
      </c>
      <c r="C315">
        <f>IF(OR($A315="",$B315=""),"",IF(ISNUMBER($A315),INT(MOD($A315,10000)/100),IFERROR(VALUE(TRIM(LEFT(MID($A315,FIND("/",$A315)+1,20),FIND("/",MID($A315,FIND("/",$A315)+1,20))-1))),"")))</f>
        <v/>
      </c>
      <c r="D315">
        <f>IF(OR($A315="",$B315=""),"",IF(ISNUMBER($A315),MOD($A315,100),IFERROR(VALUE(TRIM(MID(MID($A315,FIND("/",$A315)+1,20),FIND("/",MID($A315,FIND("/",$A315)+1,20))+1,20))),"")))</f>
        <v/>
      </c>
      <c r="E315">
        <f>IF($A315="","",IF(OR($B315="",$C315="",$D315="",$B315&lt;1300,$B315&gt;1500,$C315&lt;1,$C315&gt;12,$D315&lt;1,$D315&gt;31),"نامعتبر",RIGHT("0000"&amp;$B315,4)&amp;"/"&amp;RIGHT("00"&amp;$C315,2)&amp;"/"&amp;RIGHT("00"&amp;$D315,2)))</f>
        <v/>
      </c>
      <c r="F315">
        <f>IF(Entry!$D315&lt;&gt;"",IF(AND(ISNUMBER(Entry!$D315),Entry!$D315&gt;=0,Entry!$D315&lt;1),RIGHT("00"&amp;HOUR(Entry!$D315),2)&amp;":"&amp;RIGHT("00"&amp;MINUTE(Entry!$D315),2),IFERROR(RIGHT("00"&amp;VALUE(TRIM(LEFT(Entry!$D315,FIND(":",Entry!$D315)-1))),2)&amp;":"&amp;RIGHT("00"&amp;VALUE(TRIM(MID(Entry!$D315,FIND(":",Entry!$D315)+1,2))),2),"نامعتبر")),IF(OR($E315="",$E315="نامعتبر"),"","00:00"))</f>
        <v/>
      </c>
      <c r="G315">
        <f>IF(OR($E315="",$E315="نامعتبر"),"",IF(Entry!$E315="","",LEFT(UPPER(TRIM(Entry!$E315)),6)))</f>
        <v/>
      </c>
      <c r="H315">
        <f>IF($G315="","",RIGHT($E315,4)&amp;MID($E315,6,2)&amp;RIGHT($E315,2)&amp;IF($F315="","0000",IF($F315="نامعتبر","9999",LEFT($F315,2)&amp;RIGHT($F315,2)))&amp;"|"&amp;RIGHT("00000"&amp;307,5))</f>
        <v/>
      </c>
      <c r="I315">
        <f>IF($H315="","",COUNTIFS(CalcBank,$G315,CalcKey,"&lt;"&amp;$H315)+1)</f>
        <v/>
      </c>
      <c r="J315">
        <f>IF($I315="","",$G315&amp;"|"&amp;RIGHT("000000"&amp;$I315,6))</f>
        <v/>
      </c>
      <c r="K315">
        <f>IF(OR($E315="",$E315="نامعتبر"),"",LEFT($E315,4)&amp;"/"&amp;MID($E315,6,2))</f>
        <v/>
      </c>
      <c r="L315">
        <f>IF(Entry!$K315="",0,Entry!$K315)</f>
        <v/>
      </c>
      <c r="M315">
        <f>IF(Entry!$L315="",0,Entry!$L315)</f>
        <v/>
      </c>
    </row>
    <row r="316">
      <c r="A316">
        <f>IF(Entry!$C316="","",Entry!$C316)</f>
        <v/>
      </c>
      <c r="B316">
        <f>IF($A316="","",IF(ISNUMBER($A316),IF(AND($A316&gt;=10000101,$A316&lt;=99991231),INT($A316/10000),""),IFERROR(VALUE(TRIM(LEFT($A316,FIND("/",$A316)-1))),"")))</f>
        <v/>
      </c>
      <c r="C316">
        <f>IF(OR($A316="",$B316=""),"",IF(ISNUMBER($A316),INT(MOD($A316,10000)/100),IFERROR(VALUE(TRIM(LEFT(MID($A316,FIND("/",$A316)+1,20),FIND("/",MID($A316,FIND("/",$A316)+1,20))-1))),"")))</f>
        <v/>
      </c>
      <c r="D316">
        <f>IF(OR($A316="",$B316=""),"",IF(ISNUMBER($A316),MOD($A316,100),IFERROR(VALUE(TRIM(MID(MID($A316,FIND("/",$A316)+1,20),FIND("/",MID($A316,FIND("/",$A316)+1,20))+1,20))),"")))</f>
        <v/>
      </c>
      <c r="E316">
        <f>IF($A316="","",IF(OR($B316="",$C316="",$D316="",$B316&lt;1300,$B316&gt;1500,$C316&lt;1,$C316&gt;12,$D316&lt;1,$D316&gt;31),"نامعتبر",RIGHT("0000"&amp;$B316,4)&amp;"/"&amp;RIGHT("00"&amp;$C316,2)&amp;"/"&amp;RIGHT("00"&amp;$D316,2)))</f>
        <v/>
      </c>
      <c r="F316">
        <f>IF(Entry!$D316&lt;&gt;"",IF(AND(ISNUMBER(Entry!$D316),Entry!$D316&gt;=0,Entry!$D316&lt;1),RIGHT("00"&amp;HOUR(Entry!$D316),2)&amp;":"&amp;RIGHT("00"&amp;MINUTE(Entry!$D316),2),IFERROR(RIGHT("00"&amp;VALUE(TRIM(LEFT(Entry!$D316,FIND(":",Entry!$D316)-1))),2)&amp;":"&amp;RIGHT("00"&amp;VALUE(TRIM(MID(Entry!$D316,FIND(":",Entry!$D316)+1,2))),2),"نامعتبر")),IF(OR($E316="",$E316="نامعتبر"),"","00:00"))</f>
        <v/>
      </c>
      <c r="G316">
        <f>IF(OR($E316="",$E316="نامعتبر"),"",IF(Entry!$E316="","",LEFT(UPPER(TRIM(Entry!$E316)),6)))</f>
        <v/>
      </c>
      <c r="H316">
        <f>IF($G316="","",RIGHT($E316,4)&amp;MID($E316,6,2)&amp;RIGHT($E316,2)&amp;IF($F316="","0000",IF($F316="نامعتبر","9999",LEFT($F316,2)&amp;RIGHT($F316,2)))&amp;"|"&amp;RIGHT("00000"&amp;308,5))</f>
        <v/>
      </c>
      <c r="I316">
        <f>IF($H316="","",COUNTIFS(CalcBank,$G316,CalcKey,"&lt;"&amp;$H316)+1)</f>
        <v/>
      </c>
      <c r="J316">
        <f>IF($I316="","",$G316&amp;"|"&amp;RIGHT("000000"&amp;$I316,6))</f>
        <v/>
      </c>
      <c r="K316">
        <f>IF(OR($E316="",$E316="نامعتبر"),"",LEFT($E316,4)&amp;"/"&amp;MID($E316,6,2))</f>
        <v/>
      </c>
      <c r="L316">
        <f>IF(Entry!$K316="",0,Entry!$K316)</f>
        <v/>
      </c>
      <c r="M316">
        <f>IF(Entry!$L316="",0,Entry!$L316)</f>
        <v/>
      </c>
    </row>
    <row r="317">
      <c r="A317">
        <f>IF(Entry!$C317="","",Entry!$C317)</f>
        <v/>
      </c>
      <c r="B317">
        <f>IF($A317="","",IF(ISNUMBER($A317),IF(AND($A317&gt;=10000101,$A317&lt;=99991231),INT($A317/10000),""),IFERROR(VALUE(TRIM(LEFT($A317,FIND("/",$A317)-1))),"")))</f>
        <v/>
      </c>
      <c r="C317">
        <f>IF(OR($A317="",$B317=""),"",IF(ISNUMBER($A317),INT(MOD($A317,10000)/100),IFERROR(VALUE(TRIM(LEFT(MID($A317,FIND("/",$A317)+1,20),FIND("/",MID($A317,FIND("/",$A317)+1,20))-1))),"")))</f>
        <v/>
      </c>
      <c r="D317">
        <f>IF(OR($A317="",$B317=""),"",IF(ISNUMBER($A317),MOD($A317,100),IFERROR(VALUE(TRIM(MID(MID($A317,FIND("/",$A317)+1,20),FIND("/",MID($A317,FIND("/",$A317)+1,20))+1,20))),"")))</f>
        <v/>
      </c>
      <c r="E317">
        <f>IF($A317="","",IF(OR($B317="",$C317="",$D317="",$B317&lt;1300,$B317&gt;1500,$C317&lt;1,$C317&gt;12,$D317&lt;1,$D317&gt;31),"نامعتبر",RIGHT("0000"&amp;$B317,4)&amp;"/"&amp;RIGHT("00"&amp;$C317,2)&amp;"/"&amp;RIGHT("00"&amp;$D317,2)))</f>
        <v/>
      </c>
      <c r="F317">
        <f>IF(Entry!$D317&lt;&gt;"",IF(AND(ISNUMBER(Entry!$D317),Entry!$D317&gt;=0,Entry!$D317&lt;1),RIGHT("00"&amp;HOUR(Entry!$D317),2)&amp;":"&amp;RIGHT("00"&amp;MINUTE(Entry!$D317),2),IFERROR(RIGHT("00"&amp;VALUE(TRIM(LEFT(Entry!$D317,FIND(":",Entry!$D317)-1))),2)&amp;":"&amp;RIGHT("00"&amp;VALUE(TRIM(MID(Entry!$D317,FIND(":",Entry!$D317)+1,2))),2),"نامعتبر")),IF(OR($E317="",$E317="نامعتبر"),"","00:00"))</f>
        <v/>
      </c>
      <c r="G317">
        <f>IF(OR($E317="",$E317="نامعتبر"),"",IF(Entry!$E317="","",LEFT(UPPER(TRIM(Entry!$E317)),6)))</f>
        <v/>
      </c>
      <c r="H317">
        <f>IF($G317="","",RIGHT($E317,4)&amp;MID($E317,6,2)&amp;RIGHT($E317,2)&amp;IF($F317="","0000",IF($F317="نامعتبر","9999",LEFT($F317,2)&amp;RIGHT($F317,2)))&amp;"|"&amp;RIGHT("00000"&amp;309,5))</f>
        <v/>
      </c>
      <c r="I317">
        <f>IF($H317="","",COUNTIFS(CalcBank,$G317,CalcKey,"&lt;"&amp;$H317)+1)</f>
        <v/>
      </c>
      <c r="J317">
        <f>IF($I317="","",$G317&amp;"|"&amp;RIGHT("000000"&amp;$I317,6))</f>
        <v/>
      </c>
      <c r="K317">
        <f>IF(OR($E317="",$E317="نامعتبر"),"",LEFT($E317,4)&amp;"/"&amp;MID($E317,6,2))</f>
        <v/>
      </c>
      <c r="L317">
        <f>IF(Entry!$K317="",0,Entry!$K317)</f>
        <v/>
      </c>
      <c r="M317">
        <f>IF(Entry!$L317="",0,Entry!$L317)</f>
        <v/>
      </c>
    </row>
    <row r="318">
      <c r="A318">
        <f>IF(Entry!$C318="","",Entry!$C318)</f>
        <v/>
      </c>
      <c r="B318">
        <f>IF($A318="","",IF(ISNUMBER($A318),IF(AND($A318&gt;=10000101,$A318&lt;=99991231),INT($A318/10000),""),IFERROR(VALUE(TRIM(LEFT($A318,FIND("/",$A318)-1))),"")))</f>
        <v/>
      </c>
      <c r="C318">
        <f>IF(OR($A318="",$B318=""),"",IF(ISNUMBER($A318),INT(MOD($A318,10000)/100),IFERROR(VALUE(TRIM(LEFT(MID($A318,FIND("/",$A318)+1,20),FIND("/",MID($A318,FIND("/",$A318)+1,20))-1))),"")))</f>
        <v/>
      </c>
      <c r="D318">
        <f>IF(OR($A318="",$B318=""),"",IF(ISNUMBER($A318),MOD($A318,100),IFERROR(VALUE(TRIM(MID(MID($A318,FIND("/",$A318)+1,20),FIND("/",MID($A318,FIND("/",$A318)+1,20))+1,20))),"")))</f>
        <v/>
      </c>
      <c r="E318">
        <f>IF($A318="","",IF(OR($B318="",$C318="",$D318="",$B318&lt;1300,$B318&gt;1500,$C318&lt;1,$C318&gt;12,$D318&lt;1,$D318&gt;31),"نامعتبر",RIGHT("0000"&amp;$B318,4)&amp;"/"&amp;RIGHT("00"&amp;$C318,2)&amp;"/"&amp;RIGHT("00"&amp;$D318,2)))</f>
        <v/>
      </c>
      <c r="F318">
        <f>IF(Entry!$D318&lt;&gt;"",IF(AND(ISNUMBER(Entry!$D318),Entry!$D318&gt;=0,Entry!$D318&lt;1),RIGHT("00"&amp;HOUR(Entry!$D318),2)&amp;":"&amp;RIGHT("00"&amp;MINUTE(Entry!$D318),2),IFERROR(RIGHT("00"&amp;VALUE(TRIM(LEFT(Entry!$D318,FIND(":",Entry!$D318)-1))),2)&amp;":"&amp;RIGHT("00"&amp;VALUE(TRIM(MID(Entry!$D318,FIND(":",Entry!$D318)+1,2))),2),"نامعتبر")),IF(OR($E318="",$E318="نامعتبر"),"","00:00"))</f>
        <v/>
      </c>
      <c r="G318">
        <f>IF(OR($E318="",$E318="نامعتبر"),"",IF(Entry!$E318="","",LEFT(UPPER(TRIM(Entry!$E318)),6)))</f>
        <v/>
      </c>
      <c r="H318">
        <f>IF($G318="","",RIGHT($E318,4)&amp;MID($E318,6,2)&amp;RIGHT($E318,2)&amp;IF($F318="","0000",IF($F318="نامعتبر","9999",LEFT($F318,2)&amp;RIGHT($F318,2)))&amp;"|"&amp;RIGHT("00000"&amp;310,5))</f>
        <v/>
      </c>
      <c r="I318">
        <f>IF($H318="","",COUNTIFS(CalcBank,$G318,CalcKey,"&lt;"&amp;$H318)+1)</f>
        <v/>
      </c>
      <c r="J318">
        <f>IF($I318="","",$G318&amp;"|"&amp;RIGHT("000000"&amp;$I318,6))</f>
        <v/>
      </c>
      <c r="K318">
        <f>IF(OR($E318="",$E318="نامعتبر"),"",LEFT($E318,4)&amp;"/"&amp;MID($E318,6,2))</f>
        <v/>
      </c>
      <c r="L318">
        <f>IF(Entry!$K318="",0,Entry!$K318)</f>
        <v/>
      </c>
      <c r="M318">
        <f>IF(Entry!$L318="",0,Entry!$L318)</f>
        <v/>
      </c>
    </row>
    <row r="319">
      <c r="A319">
        <f>IF(Entry!$C319="","",Entry!$C319)</f>
        <v/>
      </c>
      <c r="B319">
        <f>IF($A319="","",IF(ISNUMBER($A319),IF(AND($A319&gt;=10000101,$A319&lt;=99991231),INT($A319/10000),""),IFERROR(VALUE(TRIM(LEFT($A319,FIND("/",$A319)-1))),"")))</f>
        <v/>
      </c>
      <c r="C319">
        <f>IF(OR($A319="",$B319=""),"",IF(ISNUMBER($A319),INT(MOD($A319,10000)/100),IFERROR(VALUE(TRIM(LEFT(MID($A319,FIND("/",$A319)+1,20),FIND("/",MID($A319,FIND("/",$A319)+1,20))-1))),"")))</f>
        <v/>
      </c>
      <c r="D319">
        <f>IF(OR($A319="",$B319=""),"",IF(ISNUMBER($A319),MOD($A319,100),IFERROR(VALUE(TRIM(MID(MID($A319,FIND("/",$A319)+1,20),FIND("/",MID($A319,FIND("/",$A319)+1,20))+1,20))),"")))</f>
        <v/>
      </c>
      <c r="E319">
        <f>IF($A319="","",IF(OR($B319="",$C319="",$D319="",$B319&lt;1300,$B319&gt;1500,$C319&lt;1,$C319&gt;12,$D319&lt;1,$D319&gt;31),"نامعتبر",RIGHT("0000"&amp;$B319,4)&amp;"/"&amp;RIGHT("00"&amp;$C319,2)&amp;"/"&amp;RIGHT("00"&amp;$D319,2)))</f>
        <v/>
      </c>
      <c r="F319">
        <f>IF(Entry!$D319&lt;&gt;"",IF(AND(ISNUMBER(Entry!$D319),Entry!$D319&gt;=0,Entry!$D319&lt;1),RIGHT("00"&amp;HOUR(Entry!$D319),2)&amp;":"&amp;RIGHT("00"&amp;MINUTE(Entry!$D319),2),IFERROR(RIGHT("00"&amp;VALUE(TRIM(LEFT(Entry!$D319,FIND(":",Entry!$D319)-1))),2)&amp;":"&amp;RIGHT("00"&amp;VALUE(TRIM(MID(Entry!$D319,FIND(":",Entry!$D319)+1,2))),2),"نامعتبر")),IF(OR($E319="",$E319="نامعتبر"),"","00:00"))</f>
        <v/>
      </c>
      <c r="G319">
        <f>IF(OR($E319="",$E319="نامعتبر"),"",IF(Entry!$E319="","",LEFT(UPPER(TRIM(Entry!$E319)),6)))</f>
        <v/>
      </c>
      <c r="H319">
        <f>IF($G319="","",RIGHT($E319,4)&amp;MID($E319,6,2)&amp;RIGHT($E319,2)&amp;IF($F319="","0000",IF($F319="نامعتبر","9999",LEFT($F319,2)&amp;RIGHT($F319,2)))&amp;"|"&amp;RIGHT("00000"&amp;311,5))</f>
        <v/>
      </c>
      <c r="I319">
        <f>IF($H319="","",COUNTIFS(CalcBank,$G319,CalcKey,"&lt;"&amp;$H319)+1)</f>
        <v/>
      </c>
      <c r="J319">
        <f>IF($I319="","",$G319&amp;"|"&amp;RIGHT("000000"&amp;$I319,6))</f>
        <v/>
      </c>
      <c r="K319">
        <f>IF(OR($E319="",$E319="نامعتبر"),"",LEFT($E319,4)&amp;"/"&amp;MID($E319,6,2))</f>
        <v/>
      </c>
      <c r="L319">
        <f>IF(Entry!$K319="",0,Entry!$K319)</f>
        <v/>
      </c>
      <c r="M319">
        <f>IF(Entry!$L319="",0,Entry!$L319)</f>
        <v/>
      </c>
    </row>
    <row r="320">
      <c r="A320">
        <f>IF(Entry!$C320="","",Entry!$C320)</f>
        <v/>
      </c>
      <c r="B320">
        <f>IF($A320="","",IF(ISNUMBER($A320),IF(AND($A320&gt;=10000101,$A320&lt;=99991231),INT($A320/10000),""),IFERROR(VALUE(TRIM(LEFT($A320,FIND("/",$A320)-1))),"")))</f>
        <v/>
      </c>
      <c r="C320">
        <f>IF(OR($A320="",$B320=""),"",IF(ISNUMBER($A320),INT(MOD($A320,10000)/100),IFERROR(VALUE(TRIM(LEFT(MID($A320,FIND("/",$A320)+1,20),FIND("/",MID($A320,FIND("/",$A320)+1,20))-1))),"")))</f>
        <v/>
      </c>
      <c r="D320">
        <f>IF(OR($A320="",$B320=""),"",IF(ISNUMBER($A320),MOD($A320,100),IFERROR(VALUE(TRIM(MID(MID($A320,FIND("/",$A320)+1,20),FIND("/",MID($A320,FIND("/",$A320)+1,20))+1,20))),"")))</f>
        <v/>
      </c>
      <c r="E320">
        <f>IF($A320="","",IF(OR($B320="",$C320="",$D320="",$B320&lt;1300,$B320&gt;1500,$C320&lt;1,$C320&gt;12,$D320&lt;1,$D320&gt;31),"نامعتبر",RIGHT("0000"&amp;$B320,4)&amp;"/"&amp;RIGHT("00"&amp;$C320,2)&amp;"/"&amp;RIGHT("00"&amp;$D320,2)))</f>
        <v/>
      </c>
      <c r="F320">
        <f>IF(Entry!$D320&lt;&gt;"",IF(AND(ISNUMBER(Entry!$D320),Entry!$D320&gt;=0,Entry!$D320&lt;1),RIGHT("00"&amp;HOUR(Entry!$D320),2)&amp;":"&amp;RIGHT("00"&amp;MINUTE(Entry!$D320),2),IFERROR(RIGHT("00"&amp;VALUE(TRIM(LEFT(Entry!$D320,FIND(":",Entry!$D320)-1))),2)&amp;":"&amp;RIGHT("00"&amp;VALUE(TRIM(MID(Entry!$D320,FIND(":",Entry!$D320)+1,2))),2),"نامعتبر")),IF(OR($E320="",$E320="نامعتبر"),"","00:00"))</f>
        <v/>
      </c>
      <c r="G320">
        <f>IF(OR($E320="",$E320="نامعتبر"),"",IF(Entry!$E320="","",LEFT(UPPER(TRIM(Entry!$E320)),6)))</f>
        <v/>
      </c>
      <c r="H320">
        <f>IF($G320="","",RIGHT($E320,4)&amp;MID($E320,6,2)&amp;RIGHT($E320,2)&amp;IF($F320="","0000",IF($F320="نامعتبر","9999",LEFT($F320,2)&amp;RIGHT($F320,2)))&amp;"|"&amp;RIGHT("00000"&amp;312,5))</f>
        <v/>
      </c>
      <c r="I320">
        <f>IF($H320="","",COUNTIFS(CalcBank,$G320,CalcKey,"&lt;"&amp;$H320)+1)</f>
        <v/>
      </c>
      <c r="J320">
        <f>IF($I320="","",$G320&amp;"|"&amp;RIGHT("000000"&amp;$I320,6))</f>
        <v/>
      </c>
      <c r="K320">
        <f>IF(OR($E320="",$E320="نامعتبر"),"",LEFT($E320,4)&amp;"/"&amp;MID($E320,6,2))</f>
        <v/>
      </c>
      <c r="L320">
        <f>IF(Entry!$K320="",0,Entry!$K320)</f>
        <v/>
      </c>
      <c r="M320">
        <f>IF(Entry!$L320="",0,Entry!$L320)</f>
        <v/>
      </c>
    </row>
    <row r="321">
      <c r="A321">
        <f>IF(Entry!$C321="","",Entry!$C321)</f>
        <v/>
      </c>
      <c r="B321">
        <f>IF($A321="","",IF(ISNUMBER($A321),IF(AND($A321&gt;=10000101,$A321&lt;=99991231),INT($A321/10000),""),IFERROR(VALUE(TRIM(LEFT($A321,FIND("/",$A321)-1))),"")))</f>
        <v/>
      </c>
      <c r="C321">
        <f>IF(OR($A321="",$B321=""),"",IF(ISNUMBER($A321),INT(MOD($A321,10000)/100),IFERROR(VALUE(TRIM(LEFT(MID($A321,FIND("/",$A321)+1,20),FIND("/",MID($A321,FIND("/",$A321)+1,20))-1))),"")))</f>
        <v/>
      </c>
      <c r="D321">
        <f>IF(OR($A321="",$B321=""),"",IF(ISNUMBER($A321),MOD($A321,100),IFERROR(VALUE(TRIM(MID(MID($A321,FIND("/",$A321)+1,20),FIND("/",MID($A321,FIND("/",$A321)+1,20))+1,20))),"")))</f>
        <v/>
      </c>
      <c r="E321">
        <f>IF($A321="","",IF(OR($B321="",$C321="",$D321="",$B321&lt;1300,$B321&gt;1500,$C321&lt;1,$C321&gt;12,$D321&lt;1,$D321&gt;31),"نامعتبر",RIGHT("0000"&amp;$B321,4)&amp;"/"&amp;RIGHT("00"&amp;$C321,2)&amp;"/"&amp;RIGHT("00"&amp;$D321,2)))</f>
        <v/>
      </c>
      <c r="F321">
        <f>IF(Entry!$D321&lt;&gt;"",IF(AND(ISNUMBER(Entry!$D321),Entry!$D321&gt;=0,Entry!$D321&lt;1),RIGHT("00"&amp;HOUR(Entry!$D321),2)&amp;":"&amp;RIGHT("00"&amp;MINUTE(Entry!$D321),2),IFERROR(RIGHT("00"&amp;VALUE(TRIM(LEFT(Entry!$D321,FIND(":",Entry!$D321)-1))),2)&amp;":"&amp;RIGHT("00"&amp;VALUE(TRIM(MID(Entry!$D321,FIND(":",Entry!$D321)+1,2))),2),"نامعتبر")),IF(OR($E321="",$E321="نامعتبر"),"","00:00"))</f>
        <v/>
      </c>
      <c r="G321">
        <f>IF(OR($E321="",$E321="نامعتبر"),"",IF(Entry!$E321="","",LEFT(UPPER(TRIM(Entry!$E321)),6)))</f>
        <v/>
      </c>
      <c r="H321">
        <f>IF($G321="","",RIGHT($E321,4)&amp;MID($E321,6,2)&amp;RIGHT($E321,2)&amp;IF($F321="","0000",IF($F321="نامعتبر","9999",LEFT($F321,2)&amp;RIGHT($F321,2)))&amp;"|"&amp;RIGHT("00000"&amp;313,5))</f>
        <v/>
      </c>
      <c r="I321">
        <f>IF($H321="","",COUNTIFS(CalcBank,$G321,CalcKey,"&lt;"&amp;$H321)+1)</f>
        <v/>
      </c>
      <c r="J321">
        <f>IF($I321="","",$G321&amp;"|"&amp;RIGHT("000000"&amp;$I321,6))</f>
        <v/>
      </c>
      <c r="K321">
        <f>IF(OR($E321="",$E321="نامعتبر"),"",LEFT($E321,4)&amp;"/"&amp;MID($E321,6,2))</f>
        <v/>
      </c>
      <c r="L321">
        <f>IF(Entry!$K321="",0,Entry!$K321)</f>
        <v/>
      </c>
      <c r="M321">
        <f>IF(Entry!$L321="",0,Entry!$L321)</f>
        <v/>
      </c>
    </row>
    <row r="322">
      <c r="A322">
        <f>IF(Entry!$C322="","",Entry!$C322)</f>
        <v/>
      </c>
      <c r="B322">
        <f>IF($A322="","",IF(ISNUMBER($A322),IF(AND($A322&gt;=10000101,$A322&lt;=99991231),INT($A322/10000),""),IFERROR(VALUE(TRIM(LEFT($A322,FIND("/",$A322)-1))),"")))</f>
        <v/>
      </c>
      <c r="C322">
        <f>IF(OR($A322="",$B322=""),"",IF(ISNUMBER($A322),INT(MOD($A322,10000)/100),IFERROR(VALUE(TRIM(LEFT(MID($A322,FIND("/",$A322)+1,20),FIND("/",MID($A322,FIND("/",$A322)+1,20))-1))),"")))</f>
        <v/>
      </c>
      <c r="D322">
        <f>IF(OR($A322="",$B322=""),"",IF(ISNUMBER($A322),MOD($A322,100),IFERROR(VALUE(TRIM(MID(MID($A322,FIND("/",$A322)+1,20),FIND("/",MID($A322,FIND("/",$A322)+1,20))+1,20))),"")))</f>
        <v/>
      </c>
      <c r="E322">
        <f>IF($A322="","",IF(OR($B322="",$C322="",$D322="",$B322&lt;1300,$B322&gt;1500,$C322&lt;1,$C322&gt;12,$D322&lt;1,$D322&gt;31),"نامعتبر",RIGHT("0000"&amp;$B322,4)&amp;"/"&amp;RIGHT("00"&amp;$C322,2)&amp;"/"&amp;RIGHT("00"&amp;$D322,2)))</f>
        <v/>
      </c>
      <c r="F322">
        <f>IF(Entry!$D322&lt;&gt;"",IF(AND(ISNUMBER(Entry!$D322),Entry!$D322&gt;=0,Entry!$D322&lt;1),RIGHT("00"&amp;HOUR(Entry!$D322),2)&amp;":"&amp;RIGHT("00"&amp;MINUTE(Entry!$D322),2),IFERROR(RIGHT("00"&amp;VALUE(TRIM(LEFT(Entry!$D322,FIND(":",Entry!$D322)-1))),2)&amp;":"&amp;RIGHT("00"&amp;VALUE(TRIM(MID(Entry!$D322,FIND(":",Entry!$D322)+1,2))),2),"نامعتبر")),IF(OR($E322="",$E322="نامعتبر"),"","00:00"))</f>
        <v/>
      </c>
      <c r="G322">
        <f>IF(OR($E322="",$E322="نامعتبر"),"",IF(Entry!$E322="","",LEFT(UPPER(TRIM(Entry!$E322)),6)))</f>
        <v/>
      </c>
      <c r="H322">
        <f>IF($G322="","",RIGHT($E322,4)&amp;MID($E322,6,2)&amp;RIGHT($E322,2)&amp;IF($F322="","0000",IF($F322="نامعتبر","9999",LEFT($F322,2)&amp;RIGHT($F322,2)))&amp;"|"&amp;RIGHT("00000"&amp;314,5))</f>
        <v/>
      </c>
      <c r="I322">
        <f>IF($H322="","",COUNTIFS(CalcBank,$G322,CalcKey,"&lt;"&amp;$H322)+1)</f>
        <v/>
      </c>
      <c r="J322">
        <f>IF($I322="","",$G322&amp;"|"&amp;RIGHT("000000"&amp;$I322,6))</f>
        <v/>
      </c>
      <c r="K322">
        <f>IF(OR($E322="",$E322="نامعتبر"),"",LEFT($E322,4)&amp;"/"&amp;MID($E322,6,2))</f>
        <v/>
      </c>
      <c r="L322">
        <f>IF(Entry!$K322="",0,Entry!$K322)</f>
        <v/>
      </c>
      <c r="M322">
        <f>IF(Entry!$L322="",0,Entry!$L322)</f>
        <v/>
      </c>
    </row>
    <row r="323">
      <c r="A323">
        <f>IF(Entry!$C323="","",Entry!$C323)</f>
        <v/>
      </c>
      <c r="B323">
        <f>IF($A323="","",IF(ISNUMBER($A323),IF(AND($A323&gt;=10000101,$A323&lt;=99991231),INT($A323/10000),""),IFERROR(VALUE(TRIM(LEFT($A323,FIND("/",$A323)-1))),"")))</f>
        <v/>
      </c>
      <c r="C323">
        <f>IF(OR($A323="",$B323=""),"",IF(ISNUMBER($A323),INT(MOD($A323,10000)/100),IFERROR(VALUE(TRIM(LEFT(MID($A323,FIND("/",$A323)+1,20),FIND("/",MID($A323,FIND("/",$A323)+1,20))-1))),"")))</f>
        <v/>
      </c>
      <c r="D323">
        <f>IF(OR($A323="",$B323=""),"",IF(ISNUMBER($A323),MOD($A323,100),IFERROR(VALUE(TRIM(MID(MID($A323,FIND("/",$A323)+1,20),FIND("/",MID($A323,FIND("/",$A323)+1,20))+1,20))),"")))</f>
        <v/>
      </c>
      <c r="E323">
        <f>IF($A323="","",IF(OR($B323="",$C323="",$D323="",$B323&lt;1300,$B323&gt;1500,$C323&lt;1,$C323&gt;12,$D323&lt;1,$D323&gt;31),"نامعتبر",RIGHT("0000"&amp;$B323,4)&amp;"/"&amp;RIGHT("00"&amp;$C323,2)&amp;"/"&amp;RIGHT("00"&amp;$D323,2)))</f>
        <v/>
      </c>
      <c r="F323">
        <f>IF(Entry!$D323&lt;&gt;"",IF(AND(ISNUMBER(Entry!$D323),Entry!$D323&gt;=0,Entry!$D323&lt;1),RIGHT("00"&amp;HOUR(Entry!$D323),2)&amp;":"&amp;RIGHT("00"&amp;MINUTE(Entry!$D323),2),IFERROR(RIGHT("00"&amp;VALUE(TRIM(LEFT(Entry!$D323,FIND(":",Entry!$D323)-1))),2)&amp;":"&amp;RIGHT("00"&amp;VALUE(TRIM(MID(Entry!$D323,FIND(":",Entry!$D323)+1,2))),2),"نامعتبر")),IF(OR($E323="",$E323="نامعتبر"),"","00:00"))</f>
        <v/>
      </c>
      <c r="G323">
        <f>IF(OR($E323="",$E323="نامعتبر"),"",IF(Entry!$E323="","",LEFT(UPPER(TRIM(Entry!$E323)),6)))</f>
        <v/>
      </c>
      <c r="H323">
        <f>IF($G323="","",RIGHT($E323,4)&amp;MID($E323,6,2)&amp;RIGHT($E323,2)&amp;IF($F323="","0000",IF($F323="نامعتبر","9999",LEFT($F323,2)&amp;RIGHT($F323,2)))&amp;"|"&amp;RIGHT("00000"&amp;315,5))</f>
        <v/>
      </c>
      <c r="I323">
        <f>IF($H323="","",COUNTIFS(CalcBank,$G323,CalcKey,"&lt;"&amp;$H323)+1)</f>
        <v/>
      </c>
      <c r="J323">
        <f>IF($I323="","",$G323&amp;"|"&amp;RIGHT("000000"&amp;$I323,6))</f>
        <v/>
      </c>
      <c r="K323">
        <f>IF(OR($E323="",$E323="نامعتبر"),"",LEFT($E323,4)&amp;"/"&amp;MID($E323,6,2))</f>
        <v/>
      </c>
      <c r="L323">
        <f>IF(Entry!$K323="",0,Entry!$K323)</f>
        <v/>
      </c>
      <c r="M323">
        <f>IF(Entry!$L323="",0,Entry!$L323)</f>
        <v/>
      </c>
    </row>
    <row r="324">
      <c r="A324">
        <f>IF(Entry!$C324="","",Entry!$C324)</f>
        <v/>
      </c>
      <c r="B324">
        <f>IF($A324="","",IF(ISNUMBER($A324),IF(AND($A324&gt;=10000101,$A324&lt;=99991231),INT($A324/10000),""),IFERROR(VALUE(TRIM(LEFT($A324,FIND("/",$A324)-1))),"")))</f>
        <v/>
      </c>
      <c r="C324">
        <f>IF(OR($A324="",$B324=""),"",IF(ISNUMBER($A324),INT(MOD($A324,10000)/100),IFERROR(VALUE(TRIM(LEFT(MID($A324,FIND("/",$A324)+1,20),FIND("/",MID($A324,FIND("/",$A324)+1,20))-1))),"")))</f>
        <v/>
      </c>
      <c r="D324">
        <f>IF(OR($A324="",$B324=""),"",IF(ISNUMBER($A324),MOD($A324,100),IFERROR(VALUE(TRIM(MID(MID($A324,FIND("/",$A324)+1,20),FIND("/",MID($A324,FIND("/",$A324)+1,20))+1,20))),"")))</f>
        <v/>
      </c>
      <c r="E324">
        <f>IF($A324="","",IF(OR($B324="",$C324="",$D324="",$B324&lt;1300,$B324&gt;1500,$C324&lt;1,$C324&gt;12,$D324&lt;1,$D324&gt;31),"نامعتبر",RIGHT("0000"&amp;$B324,4)&amp;"/"&amp;RIGHT("00"&amp;$C324,2)&amp;"/"&amp;RIGHT("00"&amp;$D324,2)))</f>
        <v/>
      </c>
      <c r="F324">
        <f>IF(Entry!$D324&lt;&gt;"",IF(AND(ISNUMBER(Entry!$D324),Entry!$D324&gt;=0,Entry!$D324&lt;1),RIGHT("00"&amp;HOUR(Entry!$D324),2)&amp;":"&amp;RIGHT("00"&amp;MINUTE(Entry!$D324),2),IFERROR(RIGHT("00"&amp;VALUE(TRIM(LEFT(Entry!$D324,FIND(":",Entry!$D324)-1))),2)&amp;":"&amp;RIGHT("00"&amp;VALUE(TRIM(MID(Entry!$D324,FIND(":",Entry!$D324)+1,2))),2),"نامعتبر")),IF(OR($E324="",$E324="نامعتبر"),"","00:00"))</f>
        <v/>
      </c>
      <c r="G324">
        <f>IF(OR($E324="",$E324="نامعتبر"),"",IF(Entry!$E324="","",LEFT(UPPER(TRIM(Entry!$E324)),6)))</f>
        <v/>
      </c>
      <c r="H324">
        <f>IF($G324="","",RIGHT($E324,4)&amp;MID($E324,6,2)&amp;RIGHT($E324,2)&amp;IF($F324="","0000",IF($F324="نامعتبر","9999",LEFT($F324,2)&amp;RIGHT($F324,2)))&amp;"|"&amp;RIGHT("00000"&amp;316,5))</f>
        <v/>
      </c>
      <c r="I324">
        <f>IF($H324="","",COUNTIFS(CalcBank,$G324,CalcKey,"&lt;"&amp;$H324)+1)</f>
        <v/>
      </c>
      <c r="J324">
        <f>IF($I324="","",$G324&amp;"|"&amp;RIGHT("000000"&amp;$I324,6))</f>
        <v/>
      </c>
      <c r="K324">
        <f>IF(OR($E324="",$E324="نامعتبر"),"",LEFT($E324,4)&amp;"/"&amp;MID($E324,6,2))</f>
        <v/>
      </c>
      <c r="L324">
        <f>IF(Entry!$K324="",0,Entry!$K324)</f>
        <v/>
      </c>
      <c r="M324">
        <f>IF(Entry!$L324="",0,Entry!$L324)</f>
        <v/>
      </c>
    </row>
    <row r="325">
      <c r="A325">
        <f>IF(Entry!$C325="","",Entry!$C325)</f>
        <v/>
      </c>
      <c r="B325">
        <f>IF($A325="","",IF(ISNUMBER($A325),IF(AND($A325&gt;=10000101,$A325&lt;=99991231),INT($A325/10000),""),IFERROR(VALUE(TRIM(LEFT($A325,FIND("/",$A325)-1))),"")))</f>
        <v/>
      </c>
      <c r="C325">
        <f>IF(OR($A325="",$B325=""),"",IF(ISNUMBER($A325),INT(MOD($A325,10000)/100),IFERROR(VALUE(TRIM(LEFT(MID($A325,FIND("/",$A325)+1,20),FIND("/",MID($A325,FIND("/",$A325)+1,20))-1))),"")))</f>
        <v/>
      </c>
      <c r="D325">
        <f>IF(OR($A325="",$B325=""),"",IF(ISNUMBER($A325),MOD($A325,100),IFERROR(VALUE(TRIM(MID(MID($A325,FIND("/",$A325)+1,20),FIND("/",MID($A325,FIND("/",$A325)+1,20))+1,20))),"")))</f>
        <v/>
      </c>
      <c r="E325">
        <f>IF($A325="","",IF(OR($B325="",$C325="",$D325="",$B325&lt;1300,$B325&gt;1500,$C325&lt;1,$C325&gt;12,$D325&lt;1,$D325&gt;31),"نامعتبر",RIGHT("0000"&amp;$B325,4)&amp;"/"&amp;RIGHT("00"&amp;$C325,2)&amp;"/"&amp;RIGHT("00"&amp;$D325,2)))</f>
        <v/>
      </c>
      <c r="F325">
        <f>IF(Entry!$D325&lt;&gt;"",IF(AND(ISNUMBER(Entry!$D325),Entry!$D325&gt;=0,Entry!$D325&lt;1),RIGHT("00"&amp;HOUR(Entry!$D325),2)&amp;":"&amp;RIGHT("00"&amp;MINUTE(Entry!$D325),2),IFERROR(RIGHT("00"&amp;VALUE(TRIM(LEFT(Entry!$D325,FIND(":",Entry!$D325)-1))),2)&amp;":"&amp;RIGHT("00"&amp;VALUE(TRIM(MID(Entry!$D325,FIND(":",Entry!$D325)+1,2))),2),"نامعتبر")),IF(OR($E325="",$E325="نامعتبر"),"","00:00"))</f>
        <v/>
      </c>
      <c r="G325">
        <f>IF(OR($E325="",$E325="نامعتبر"),"",IF(Entry!$E325="","",LEFT(UPPER(TRIM(Entry!$E325)),6)))</f>
        <v/>
      </c>
      <c r="H325">
        <f>IF($G325="","",RIGHT($E325,4)&amp;MID($E325,6,2)&amp;RIGHT($E325,2)&amp;IF($F325="","0000",IF($F325="نامعتبر","9999",LEFT($F325,2)&amp;RIGHT($F325,2)))&amp;"|"&amp;RIGHT("00000"&amp;317,5))</f>
        <v/>
      </c>
      <c r="I325">
        <f>IF($H325="","",COUNTIFS(CalcBank,$G325,CalcKey,"&lt;"&amp;$H325)+1)</f>
        <v/>
      </c>
      <c r="J325">
        <f>IF($I325="","",$G325&amp;"|"&amp;RIGHT("000000"&amp;$I325,6))</f>
        <v/>
      </c>
      <c r="K325">
        <f>IF(OR($E325="",$E325="نامعتبر"),"",LEFT($E325,4)&amp;"/"&amp;MID($E325,6,2))</f>
        <v/>
      </c>
      <c r="L325">
        <f>IF(Entry!$K325="",0,Entry!$K325)</f>
        <v/>
      </c>
      <c r="M325">
        <f>IF(Entry!$L325="",0,Entry!$L325)</f>
        <v/>
      </c>
    </row>
    <row r="326">
      <c r="A326">
        <f>IF(Entry!$C326="","",Entry!$C326)</f>
        <v/>
      </c>
      <c r="B326">
        <f>IF($A326="","",IF(ISNUMBER($A326),IF(AND($A326&gt;=10000101,$A326&lt;=99991231),INT($A326/10000),""),IFERROR(VALUE(TRIM(LEFT($A326,FIND("/",$A326)-1))),"")))</f>
        <v/>
      </c>
      <c r="C326">
        <f>IF(OR($A326="",$B326=""),"",IF(ISNUMBER($A326),INT(MOD($A326,10000)/100),IFERROR(VALUE(TRIM(LEFT(MID($A326,FIND("/",$A326)+1,20),FIND("/",MID($A326,FIND("/",$A326)+1,20))-1))),"")))</f>
        <v/>
      </c>
      <c r="D326">
        <f>IF(OR($A326="",$B326=""),"",IF(ISNUMBER($A326),MOD($A326,100),IFERROR(VALUE(TRIM(MID(MID($A326,FIND("/",$A326)+1,20),FIND("/",MID($A326,FIND("/",$A326)+1,20))+1,20))),"")))</f>
        <v/>
      </c>
      <c r="E326">
        <f>IF($A326="","",IF(OR($B326="",$C326="",$D326="",$B326&lt;1300,$B326&gt;1500,$C326&lt;1,$C326&gt;12,$D326&lt;1,$D326&gt;31),"نامعتبر",RIGHT("0000"&amp;$B326,4)&amp;"/"&amp;RIGHT("00"&amp;$C326,2)&amp;"/"&amp;RIGHT("00"&amp;$D326,2)))</f>
        <v/>
      </c>
      <c r="F326">
        <f>IF(Entry!$D326&lt;&gt;"",IF(AND(ISNUMBER(Entry!$D326),Entry!$D326&gt;=0,Entry!$D326&lt;1),RIGHT("00"&amp;HOUR(Entry!$D326),2)&amp;":"&amp;RIGHT("00"&amp;MINUTE(Entry!$D326),2),IFERROR(RIGHT("00"&amp;VALUE(TRIM(LEFT(Entry!$D326,FIND(":",Entry!$D326)-1))),2)&amp;":"&amp;RIGHT("00"&amp;VALUE(TRIM(MID(Entry!$D326,FIND(":",Entry!$D326)+1,2))),2),"نامعتبر")),IF(OR($E326="",$E326="نامعتبر"),"","00:00"))</f>
        <v/>
      </c>
      <c r="G326">
        <f>IF(OR($E326="",$E326="نامعتبر"),"",IF(Entry!$E326="","",LEFT(UPPER(TRIM(Entry!$E326)),6)))</f>
        <v/>
      </c>
      <c r="H326">
        <f>IF($G326="","",RIGHT($E326,4)&amp;MID($E326,6,2)&amp;RIGHT($E326,2)&amp;IF($F326="","0000",IF($F326="نامعتبر","9999",LEFT($F326,2)&amp;RIGHT($F326,2)))&amp;"|"&amp;RIGHT("00000"&amp;318,5))</f>
        <v/>
      </c>
      <c r="I326">
        <f>IF($H326="","",COUNTIFS(CalcBank,$G326,CalcKey,"&lt;"&amp;$H326)+1)</f>
        <v/>
      </c>
      <c r="J326">
        <f>IF($I326="","",$G326&amp;"|"&amp;RIGHT("000000"&amp;$I326,6))</f>
        <v/>
      </c>
      <c r="K326">
        <f>IF(OR($E326="",$E326="نامعتبر"),"",LEFT($E326,4)&amp;"/"&amp;MID($E326,6,2))</f>
        <v/>
      </c>
      <c r="L326">
        <f>IF(Entry!$K326="",0,Entry!$K326)</f>
        <v/>
      </c>
      <c r="M326">
        <f>IF(Entry!$L326="",0,Entry!$L326)</f>
        <v/>
      </c>
    </row>
    <row r="327">
      <c r="A327">
        <f>IF(Entry!$C327="","",Entry!$C327)</f>
        <v/>
      </c>
      <c r="B327">
        <f>IF($A327="","",IF(ISNUMBER($A327),IF(AND($A327&gt;=10000101,$A327&lt;=99991231),INT($A327/10000),""),IFERROR(VALUE(TRIM(LEFT($A327,FIND("/",$A327)-1))),"")))</f>
        <v/>
      </c>
      <c r="C327">
        <f>IF(OR($A327="",$B327=""),"",IF(ISNUMBER($A327),INT(MOD($A327,10000)/100),IFERROR(VALUE(TRIM(LEFT(MID($A327,FIND("/",$A327)+1,20),FIND("/",MID($A327,FIND("/",$A327)+1,20))-1))),"")))</f>
        <v/>
      </c>
      <c r="D327">
        <f>IF(OR($A327="",$B327=""),"",IF(ISNUMBER($A327),MOD($A327,100),IFERROR(VALUE(TRIM(MID(MID($A327,FIND("/",$A327)+1,20),FIND("/",MID($A327,FIND("/",$A327)+1,20))+1,20))),"")))</f>
        <v/>
      </c>
      <c r="E327">
        <f>IF($A327="","",IF(OR($B327="",$C327="",$D327="",$B327&lt;1300,$B327&gt;1500,$C327&lt;1,$C327&gt;12,$D327&lt;1,$D327&gt;31),"نامعتبر",RIGHT("0000"&amp;$B327,4)&amp;"/"&amp;RIGHT("00"&amp;$C327,2)&amp;"/"&amp;RIGHT("00"&amp;$D327,2)))</f>
        <v/>
      </c>
      <c r="F327">
        <f>IF(Entry!$D327&lt;&gt;"",IF(AND(ISNUMBER(Entry!$D327),Entry!$D327&gt;=0,Entry!$D327&lt;1),RIGHT("00"&amp;HOUR(Entry!$D327),2)&amp;":"&amp;RIGHT("00"&amp;MINUTE(Entry!$D327),2),IFERROR(RIGHT("00"&amp;VALUE(TRIM(LEFT(Entry!$D327,FIND(":",Entry!$D327)-1))),2)&amp;":"&amp;RIGHT("00"&amp;VALUE(TRIM(MID(Entry!$D327,FIND(":",Entry!$D327)+1,2))),2),"نامعتبر")),IF(OR($E327="",$E327="نامعتبر"),"","00:00"))</f>
        <v/>
      </c>
      <c r="G327">
        <f>IF(OR($E327="",$E327="نامعتبر"),"",IF(Entry!$E327="","",LEFT(UPPER(TRIM(Entry!$E327)),6)))</f>
        <v/>
      </c>
      <c r="H327">
        <f>IF($G327="","",RIGHT($E327,4)&amp;MID($E327,6,2)&amp;RIGHT($E327,2)&amp;IF($F327="","0000",IF($F327="نامعتبر","9999",LEFT($F327,2)&amp;RIGHT($F327,2)))&amp;"|"&amp;RIGHT("00000"&amp;319,5))</f>
        <v/>
      </c>
      <c r="I327">
        <f>IF($H327="","",COUNTIFS(CalcBank,$G327,CalcKey,"&lt;"&amp;$H327)+1)</f>
        <v/>
      </c>
      <c r="J327">
        <f>IF($I327="","",$G327&amp;"|"&amp;RIGHT("000000"&amp;$I327,6))</f>
        <v/>
      </c>
      <c r="K327">
        <f>IF(OR($E327="",$E327="نامعتبر"),"",LEFT($E327,4)&amp;"/"&amp;MID($E327,6,2))</f>
        <v/>
      </c>
      <c r="L327">
        <f>IF(Entry!$K327="",0,Entry!$K327)</f>
        <v/>
      </c>
      <c r="M327">
        <f>IF(Entry!$L327="",0,Entry!$L327)</f>
        <v/>
      </c>
    </row>
    <row r="328">
      <c r="A328">
        <f>IF(Entry!$C328="","",Entry!$C328)</f>
        <v/>
      </c>
      <c r="B328">
        <f>IF($A328="","",IF(ISNUMBER($A328),IF(AND($A328&gt;=10000101,$A328&lt;=99991231),INT($A328/10000),""),IFERROR(VALUE(TRIM(LEFT($A328,FIND("/",$A328)-1))),"")))</f>
        <v/>
      </c>
      <c r="C328">
        <f>IF(OR($A328="",$B328=""),"",IF(ISNUMBER($A328),INT(MOD($A328,10000)/100),IFERROR(VALUE(TRIM(LEFT(MID($A328,FIND("/",$A328)+1,20),FIND("/",MID($A328,FIND("/",$A328)+1,20))-1))),"")))</f>
        <v/>
      </c>
      <c r="D328">
        <f>IF(OR($A328="",$B328=""),"",IF(ISNUMBER($A328),MOD($A328,100),IFERROR(VALUE(TRIM(MID(MID($A328,FIND("/",$A328)+1,20),FIND("/",MID($A328,FIND("/",$A328)+1,20))+1,20))),"")))</f>
        <v/>
      </c>
      <c r="E328">
        <f>IF($A328="","",IF(OR($B328="",$C328="",$D328="",$B328&lt;1300,$B328&gt;1500,$C328&lt;1,$C328&gt;12,$D328&lt;1,$D328&gt;31),"نامعتبر",RIGHT("0000"&amp;$B328,4)&amp;"/"&amp;RIGHT("00"&amp;$C328,2)&amp;"/"&amp;RIGHT("00"&amp;$D328,2)))</f>
        <v/>
      </c>
      <c r="F328">
        <f>IF(Entry!$D328&lt;&gt;"",IF(AND(ISNUMBER(Entry!$D328),Entry!$D328&gt;=0,Entry!$D328&lt;1),RIGHT("00"&amp;HOUR(Entry!$D328),2)&amp;":"&amp;RIGHT("00"&amp;MINUTE(Entry!$D328),2),IFERROR(RIGHT("00"&amp;VALUE(TRIM(LEFT(Entry!$D328,FIND(":",Entry!$D328)-1))),2)&amp;":"&amp;RIGHT("00"&amp;VALUE(TRIM(MID(Entry!$D328,FIND(":",Entry!$D328)+1,2))),2),"نامعتبر")),IF(OR($E328="",$E328="نامعتبر"),"","00:00"))</f>
        <v/>
      </c>
      <c r="G328">
        <f>IF(OR($E328="",$E328="نامعتبر"),"",IF(Entry!$E328="","",LEFT(UPPER(TRIM(Entry!$E328)),6)))</f>
        <v/>
      </c>
      <c r="H328">
        <f>IF($G328="","",RIGHT($E328,4)&amp;MID($E328,6,2)&amp;RIGHT($E328,2)&amp;IF($F328="","0000",IF($F328="نامعتبر","9999",LEFT($F328,2)&amp;RIGHT($F328,2)))&amp;"|"&amp;RIGHT("00000"&amp;320,5))</f>
        <v/>
      </c>
      <c r="I328">
        <f>IF($H328="","",COUNTIFS(CalcBank,$G328,CalcKey,"&lt;"&amp;$H328)+1)</f>
        <v/>
      </c>
      <c r="J328">
        <f>IF($I328="","",$G328&amp;"|"&amp;RIGHT("000000"&amp;$I328,6))</f>
        <v/>
      </c>
      <c r="K328">
        <f>IF(OR($E328="",$E328="نامعتبر"),"",LEFT($E328,4)&amp;"/"&amp;MID($E328,6,2))</f>
        <v/>
      </c>
      <c r="L328">
        <f>IF(Entry!$K328="",0,Entry!$K328)</f>
        <v/>
      </c>
      <c r="M328">
        <f>IF(Entry!$L328="",0,Entry!$L328)</f>
        <v/>
      </c>
    </row>
    <row r="329">
      <c r="A329">
        <f>IF(Entry!$C329="","",Entry!$C329)</f>
        <v/>
      </c>
      <c r="B329">
        <f>IF($A329="","",IF(ISNUMBER($A329),IF(AND($A329&gt;=10000101,$A329&lt;=99991231),INT($A329/10000),""),IFERROR(VALUE(TRIM(LEFT($A329,FIND("/",$A329)-1))),"")))</f>
        <v/>
      </c>
      <c r="C329">
        <f>IF(OR($A329="",$B329=""),"",IF(ISNUMBER($A329),INT(MOD($A329,10000)/100),IFERROR(VALUE(TRIM(LEFT(MID($A329,FIND("/",$A329)+1,20),FIND("/",MID($A329,FIND("/",$A329)+1,20))-1))),"")))</f>
        <v/>
      </c>
      <c r="D329">
        <f>IF(OR($A329="",$B329=""),"",IF(ISNUMBER($A329),MOD($A329,100),IFERROR(VALUE(TRIM(MID(MID($A329,FIND("/",$A329)+1,20),FIND("/",MID($A329,FIND("/",$A329)+1,20))+1,20))),"")))</f>
        <v/>
      </c>
      <c r="E329">
        <f>IF($A329="","",IF(OR($B329="",$C329="",$D329="",$B329&lt;1300,$B329&gt;1500,$C329&lt;1,$C329&gt;12,$D329&lt;1,$D329&gt;31),"نامعتبر",RIGHT("0000"&amp;$B329,4)&amp;"/"&amp;RIGHT("00"&amp;$C329,2)&amp;"/"&amp;RIGHT("00"&amp;$D329,2)))</f>
        <v/>
      </c>
      <c r="F329">
        <f>IF(Entry!$D329&lt;&gt;"",IF(AND(ISNUMBER(Entry!$D329),Entry!$D329&gt;=0,Entry!$D329&lt;1),RIGHT("00"&amp;HOUR(Entry!$D329),2)&amp;":"&amp;RIGHT("00"&amp;MINUTE(Entry!$D329),2),IFERROR(RIGHT("00"&amp;VALUE(TRIM(LEFT(Entry!$D329,FIND(":",Entry!$D329)-1))),2)&amp;":"&amp;RIGHT("00"&amp;VALUE(TRIM(MID(Entry!$D329,FIND(":",Entry!$D329)+1,2))),2),"نامعتبر")),IF(OR($E329="",$E329="نامعتبر"),"","00:00"))</f>
        <v/>
      </c>
      <c r="G329">
        <f>IF(OR($E329="",$E329="نامعتبر"),"",IF(Entry!$E329="","",LEFT(UPPER(TRIM(Entry!$E329)),6)))</f>
        <v/>
      </c>
      <c r="H329">
        <f>IF($G329="","",RIGHT($E329,4)&amp;MID($E329,6,2)&amp;RIGHT($E329,2)&amp;IF($F329="","0000",IF($F329="نامعتبر","9999",LEFT($F329,2)&amp;RIGHT($F329,2)))&amp;"|"&amp;RIGHT("00000"&amp;321,5))</f>
        <v/>
      </c>
      <c r="I329">
        <f>IF($H329="","",COUNTIFS(CalcBank,$G329,CalcKey,"&lt;"&amp;$H329)+1)</f>
        <v/>
      </c>
      <c r="J329">
        <f>IF($I329="","",$G329&amp;"|"&amp;RIGHT("000000"&amp;$I329,6))</f>
        <v/>
      </c>
      <c r="K329">
        <f>IF(OR($E329="",$E329="نامعتبر"),"",LEFT($E329,4)&amp;"/"&amp;MID($E329,6,2))</f>
        <v/>
      </c>
      <c r="L329">
        <f>IF(Entry!$K329="",0,Entry!$K329)</f>
        <v/>
      </c>
      <c r="M329">
        <f>IF(Entry!$L329="",0,Entry!$L329)</f>
        <v/>
      </c>
    </row>
    <row r="330">
      <c r="A330">
        <f>IF(Entry!$C330="","",Entry!$C330)</f>
        <v/>
      </c>
      <c r="B330">
        <f>IF($A330="","",IF(ISNUMBER($A330),IF(AND($A330&gt;=10000101,$A330&lt;=99991231),INT($A330/10000),""),IFERROR(VALUE(TRIM(LEFT($A330,FIND("/",$A330)-1))),"")))</f>
        <v/>
      </c>
      <c r="C330">
        <f>IF(OR($A330="",$B330=""),"",IF(ISNUMBER($A330),INT(MOD($A330,10000)/100),IFERROR(VALUE(TRIM(LEFT(MID($A330,FIND("/",$A330)+1,20),FIND("/",MID($A330,FIND("/",$A330)+1,20))-1))),"")))</f>
        <v/>
      </c>
      <c r="D330">
        <f>IF(OR($A330="",$B330=""),"",IF(ISNUMBER($A330),MOD($A330,100),IFERROR(VALUE(TRIM(MID(MID($A330,FIND("/",$A330)+1,20),FIND("/",MID($A330,FIND("/",$A330)+1,20))+1,20))),"")))</f>
        <v/>
      </c>
      <c r="E330">
        <f>IF($A330="","",IF(OR($B330="",$C330="",$D330="",$B330&lt;1300,$B330&gt;1500,$C330&lt;1,$C330&gt;12,$D330&lt;1,$D330&gt;31),"نامعتبر",RIGHT("0000"&amp;$B330,4)&amp;"/"&amp;RIGHT("00"&amp;$C330,2)&amp;"/"&amp;RIGHT("00"&amp;$D330,2)))</f>
        <v/>
      </c>
      <c r="F330">
        <f>IF(Entry!$D330&lt;&gt;"",IF(AND(ISNUMBER(Entry!$D330),Entry!$D330&gt;=0,Entry!$D330&lt;1),RIGHT("00"&amp;HOUR(Entry!$D330),2)&amp;":"&amp;RIGHT("00"&amp;MINUTE(Entry!$D330),2),IFERROR(RIGHT("00"&amp;VALUE(TRIM(LEFT(Entry!$D330,FIND(":",Entry!$D330)-1))),2)&amp;":"&amp;RIGHT("00"&amp;VALUE(TRIM(MID(Entry!$D330,FIND(":",Entry!$D330)+1,2))),2),"نامعتبر")),IF(OR($E330="",$E330="نامعتبر"),"","00:00"))</f>
        <v/>
      </c>
      <c r="G330">
        <f>IF(OR($E330="",$E330="نامعتبر"),"",IF(Entry!$E330="","",LEFT(UPPER(TRIM(Entry!$E330)),6)))</f>
        <v/>
      </c>
      <c r="H330">
        <f>IF($G330="","",RIGHT($E330,4)&amp;MID($E330,6,2)&amp;RIGHT($E330,2)&amp;IF($F330="","0000",IF($F330="نامعتبر","9999",LEFT($F330,2)&amp;RIGHT($F330,2)))&amp;"|"&amp;RIGHT("00000"&amp;322,5))</f>
        <v/>
      </c>
      <c r="I330">
        <f>IF($H330="","",COUNTIFS(CalcBank,$G330,CalcKey,"&lt;"&amp;$H330)+1)</f>
        <v/>
      </c>
      <c r="J330">
        <f>IF($I330="","",$G330&amp;"|"&amp;RIGHT("000000"&amp;$I330,6))</f>
        <v/>
      </c>
      <c r="K330">
        <f>IF(OR($E330="",$E330="نامعتبر"),"",LEFT($E330,4)&amp;"/"&amp;MID($E330,6,2))</f>
        <v/>
      </c>
      <c r="L330">
        <f>IF(Entry!$K330="",0,Entry!$K330)</f>
        <v/>
      </c>
      <c r="M330">
        <f>IF(Entry!$L330="",0,Entry!$L330)</f>
        <v/>
      </c>
    </row>
    <row r="331">
      <c r="A331">
        <f>IF(Entry!$C331="","",Entry!$C331)</f>
        <v/>
      </c>
      <c r="B331">
        <f>IF($A331="","",IF(ISNUMBER($A331),IF(AND($A331&gt;=10000101,$A331&lt;=99991231),INT($A331/10000),""),IFERROR(VALUE(TRIM(LEFT($A331,FIND("/",$A331)-1))),"")))</f>
        <v/>
      </c>
      <c r="C331">
        <f>IF(OR($A331="",$B331=""),"",IF(ISNUMBER($A331),INT(MOD($A331,10000)/100),IFERROR(VALUE(TRIM(LEFT(MID($A331,FIND("/",$A331)+1,20),FIND("/",MID($A331,FIND("/",$A331)+1,20))-1))),"")))</f>
        <v/>
      </c>
      <c r="D331">
        <f>IF(OR($A331="",$B331=""),"",IF(ISNUMBER($A331),MOD($A331,100),IFERROR(VALUE(TRIM(MID(MID($A331,FIND("/",$A331)+1,20),FIND("/",MID($A331,FIND("/",$A331)+1,20))+1,20))),"")))</f>
        <v/>
      </c>
      <c r="E331">
        <f>IF($A331="","",IF(OR($B331="",$C331="",$D331="",$B331&lt;1300,$B331&gt;1500,$C331&lt;1,$C331&gt;12,$D331&lt;1,$D331&gt;31),"نامعتبر",RIGHT("0000"&amp;$B331,4)&amp;"/"&amp;RIGHT("00"&amp;$C331,2)&amp;"/"&amp;RIGHT("00"&amp;$D331,2)))</f>
        <v/>
      </c>
      <c r="F331">
        <f>IF(Entry!$D331&lt;&gt;"",IF(AND(ISNUMBER(Entry!$D331),Entry!$D331&gt;=0,Entry!$D331&lt;1),RIGHT("00"&amp;HOUR(Entry!$D331),2)&amp;":"&amp;RIGHT("00"&amp;MINUTE(Entry!$D331),2),IFERROR(RIGHT("00"&amp;VALUE(TRIM(LEFT(Entry!$D331,FIND(":",Entry!$D331)-1))),2)&amp;":"&amp;RIGHT("00"&amp;VALUE(TRIM(MID(Entry!$D331,FIND(":",Entry!$D331)+1,2))),2),"نامعتبر")),IF(OR($E331="",$E331="نامعتبر"),"","00:00"))</f>
        <v/>
      </c>
      <c r="G331">
        <f>IF(OR($E331="",$E331="نامعتبر"),"",IF(Entry!$E331="","",LEFT(UPPER(TRIM(Entry!$E331)),6)))</f>
        <v/>
      </c>
      <c r="H331">
        <f>IF($G331="","",RIGHT($E331,4)&amp;MID($E331,6,2)&amp;RIGHT($E331,2)&amp;IF($F331="","0000",IF($F331="نامعتبر","9999",LEFT($F331,2)&amp;RIGHT($F331,2)))&amp;"|"&amp;RIGHT("00000"&amp;323,5))</f>
        <v/>
      </c>
      <c r="I331">
        <f>IF($H331="","",COUNTIFS(CalcBank,$G331,CalcKey,"&lt;"&amp;$H331)+1)</f>
        <v/>
      </c>
      <c r="J331">
        <f>IF($I331="","",$G331&amp;"|"&amp;RIGHT("000000"&amp;$I331,6))</f>
        <v/>
      </c>
      <c r="K331">
        <f>IF(OR($E331="",$E331="نامعتبر"),"",LEFT($E331,4)&amp;"/"&amp;MID($E331,6,2))</f>
        <v/>
      </c>
      <c r="L331">
        <f>IF(Entry!$K331="",0,Entry!$K331)</f>
        <v/>
      </c>
      <c r="M331">
        <f>IF(Entry!$L331="",0,Entry!$L331)</f>
        <v/>
      </c>
    </row>
    <row r="332">
      <c r="A332">
        <f>IF(Entry!$C332="","",Entry!$C332)</f>
        <v/>
      </c>
      <c r="B332">
        <f>IF($A332="","",IF(ISNUMBER($A332),IF(AND($A332&gt;=10000101,$A332&lt;=99991231),INT($A332/10000),""),IFERROR(VALUE(TRIM(LEFT($A332,FIND("/",$A332)-1))),"")))</f>
        <v/>
      </c>
      <c r="C332">
        <f>IF(OR($A332="",$B332=""),"",IF(ISNUMBER($A332),INT(MOD($A332,10000)/100),IFERROR(VALUE(TRIM(LEFT(MID($A332,FIND("/",$A332)+1,20),FIND("/",MID($A332,FIND("/",$A332)+1,20))-1))),"")))</f>
        <v/>
      </c>
      <c r="D332">
        <f>IF(OR($A332="",$B332=""),"",IF(ISNUMBER($A332),MOD($A332,100),IFERROR(VALUE(TRIM(MID(MID($A332,FIND("/",$A332)+1,20),FIND("/",MID($A332,FIND("/",$A332)+1,20))+1,20))),"")))</f>
        <v/>
      </c>
      <c r="E332">
        <f>IF($A332="","",IF(OR($B332="",$C332="",$D332="",$B332&lt;1300,$B332&gt;1500,$C332&lt;1,$C332&gt;12,$D332&lt;1,$D332&gt;31),"نامعتبر",RIGHT("0000"&amp;$B332,4)&amp;"/"&amp;RIGHT("00"&amp;$C332,2)&amp;"/"&amp;RIGHT("00"&amp;$D332,2)))</f>
        <v/>
      </c>
      <c r="F332">
        <f>IF(Entry!$D332&lt;&gt;"",IF(AND(ISNUMBER(Entry!$D332),Entry!$D332&gt;=0,Entry!$D332&lt;1),RIGHT("00"&amp;HOUR(Entry!$D332),2)&amp;":"&amp;RIGHT("00"&amp;MINUTE(Entry!$D332),2),IFERROR(RIGHT("00"&amp;VALUE(TRIM(LEFT(Entry!$D332,FIND(":",Entry!$D332)-1))),2)&amp;":"&amp;RIGHT("00"&amp;VALUE(TRIM(MID(Entry!$D332,FIND(":",Entry!$D332)+1,2))),2),"نامعتبر")),IF(OR($E332="",$E332="نامعتبر"),"","00:00"))</f>
        <v/>
      </c>
      <c r="G332">
        <f>IF(OR($E332="",$E332="نامعتبر"),"",IF(Entry!$E332="","",LEFT(UPPER(TRIM(Entry!$E332)),6)))</f>
        <v/>
      </c>
      <c r="H332">
        <f>IF($G332="","",RIGHT($E332,4)&amp;MID($E332,6,2)&amp;RIGHT($E332,2)&amp;IF($F332="","0000",IF($F332="نامعتبر","9999",LEFT($F332,2)&amp;RIGHT($F332,2)))&amp;"|"&amp;RIGHT("00000"&amp;324,5))</f>
        <v/>
      </c>
      <c r="I332">
        <f>IF($H332="","",COUNTIFS(CalcBank,$G332,CalcKey,"&lt;"&amp;$H332)+1)</f>
        <v/>
      </c>
      <c r="J332">
        <f>IF($I332="","",$G332&amp;"|"&amp;RIGHT("000000"&amp;$I332,6))</f>
        <v/>
      </c>
      <c r="K332">
        <f>IF(OR($E332="",$E332="نامعتبر"),"",LEFT($E332,4)&amp;"/"&amp;MID($E332,6,2))</f>
        <v/>
      </c>
      <c r="L332">
        <f>IF(Entry!$K332="",0,Entry!$K332)</f>
        <v/>
      </c>
      <c r="M332">
        <f>IF(Entry!$L332="",0,Entry!$L332)</f>
        <v/>
      </c>
    </row>
    <row r="333">
      <c r="A333">
        <f>IF(Entry!$C333="","",Entry!$C333)</f>
        <v/>
      </c>
      <c r="B333">
        <f>IF($A333="","",IF(ISNUMBER($A333),IF(AND($A333&gt;=10000101,$A333&lt;=99991231),INT($A333/10000),""),IFERROR(VALUE(TRIM(LEFT($A333,FIND("/",$A333)-1))),"")))</f>
        <v/>
      </c>
      <c r="C333">
        <f>IF(OR($A333="",$B333=""),"",IF(ISNUMBER($A333),INT(MOD($A333,10000)/100),IFERROR(VALUE(TRIM(LEFT(MID($A333,FIND("/",$A333)+1,20),FIND("/",MID($A333,FIND("/",$A333)+1,20))-1))),"")))</f>
        <v/>
      </c>
      <c r="D333">
        <f>IF(OR($A333="",$B333=""),"",IF(ISNUMBER($A333),MOD($A333,100),IFERROR(VALUE(TRIM(MID(MID($A333,FIND("/",$A333)+1,20),FIND("/",MID($A333,FIND("/",$A333)+1,20))+1,20))),"")))</f>
        <v/>
      </c>
      <c r="E333">
        <f>IF($A333="","",IF(OR($B333="",$C333="",$D333="",$B333&lt;1300,$B333&gt;1500,$C333&lt;1,$C333&gt;12,$D333&lt;1,$D333&gt;31),"نامعتبر",RIGHT("0000"&amp;$B333,4)&amp;"/"&amp;RIGHT("00"&amp;$C333,2)&amp;"/"&amp;RIGHT("00"&amp;$D333,2)))</f>
        <v/>
      </c>
      <c r="F333">
        <f>IF(Entry!$D333&lt;&gt;"",IF(AND(ISNUMBER(Entry!$D333),Entry!$D333&gt;=0,Entry!$D333&lt;1),RIGHT("00"&amp;HOUR(Entry!$D333),2)&amp;":"&amp;RIGHT("00"&amp;MINUTE(Entry!$D333),2),IFERROR(RIGHT("00"&amp;VALUE(TRIM(LEFT(Entry!$D333,FIND(":",Entry!$D333)-1))),2)&amp;":"&amp;RIGHT("00"&amp;VALUE(TRIM(MID(Entry!$D333,FIND(":",Entry!$D333)+1,2))),2),"نامعتبر")),IF(OR($E333="",$E333="نامعتبر"),"","00:00"))</f>
        <v/>
      </c>
      <c r="G333">
        <f>IF(OR($E333="",$E333="نامعتبر"),"",IF(Entry!$E333="","",LEFT(UPPER(TRIM(Entry!$E333)),6)))</f>
        <v/>
      </c>
      <c r="H333">
        <f>IF($G333="","",RIGHT($E333,4)&amp;MID($E333,6,2)&amp;RIGHT($E333,2)&amp;IF($F333="","0000",IF($F333="نامعتبر","9999",LEFT($F333,2)&amp;RIGHT($F333,2)))&amp;"|"&amp;RIGHT("00000"&amp;325,5))</f>
        <v/>
      </c>
      <c r="I333">
        <f>IF($H333="","",COUNTIFS(CalcBank,$G333,CalcKey,"&lt;"&amp;$H333)+1)</f>
        <v/>
      </c>
      <c r="J333">
        <f>IF($I333="","",$G333&amp;"|"&amp;RIGHT("000000"&amp;$I333,6))</f>
        <v/>
      </c>
      <c r="K333">
        <f>IF(OR($E333="",$E333="نامعتبر"),"",LEFT($E333,4)&amp;"/"&amp;MID($E333,6,2))</f>
        <v/>
      </c>
      <c r="L333">
        <f>IF(Entry!$K333="",0,Entry!$K333)</f>
        <v/>
      </c>
      <c r="M333">
        <f>IF(Entry!$L333="",0,Entry!$L333)</f>
        <v/>
      </c>
    </row>
    <row r="334">
      <c r="A334">
        <f>IF(Entry!$C334="","",Entry!$C334)</f>
        <v/>
      </c>
      <c r="B334">
        <f>IF($A334="","",IF(ISNUMBER($A334),IF(AND($A334&gt;=10000101,$A334&lt;=99991231),INT($A334/10000),""),IFERROR(VALUE(TRIM(LEFT($A334,FIND("/",$A334)-1))),"")))</f>
        <v/>
      </c>
      <c r="C334">
        <f>IF(OR($A334="",$B334=""),"",IF(ISNUMBER($A334),INT(MOD($A334,10000)/100),IFERROR(VALUE(TRIM(LEFT(MID($A334,FIND("/",$A334)+1,20),FIND("/",MID($A334,FIND("/",$A334)+1,20))-1))),"")))</f>
        <v/>
      </c>
      <c r="D334">
        <f>IF(OR($A334="",$B334=""),"",IF(ISNUMBER($A334),MOD($A334,100),IFERROR(VALUE(TRIM(MID(MID($A334,FIND("/",$A334)+1,20),FIND("/",MID($A334,FIND("/",$A334)+1,20))+1,20))),"")))</f>
        <v/>
      </c>
      <c r="E334">
        <f>IF($A334="","",IF(OR($B334="",$C334="",$D334="",$B334&lt;1300,$B334&gt;1500,$C334&lt;1,$C334&gt;12,$D334&lt;1,$D334&gt;31),"نامعتبر",RIGHT("0000"&amp;$B334,4)&amp;"/"&amp;RIGHT("00"&amp;$C334,2)&amp;"/"&amp;RIGHT("00"&amp;$D334,2)))</f>
        <v/>
      </c>
      <c r="F334">
        <f>IF(Entry!$D334&lt;&gt;"",IF(AND(ISNUMBER(Entry!$D334),Entry!$D334&gt;=0,Entry!$D334&lt;1),RIGHT("00"&amp;HOUR(Entry!$D334),2)&amp;":"&amp;RIGHT("00"&amp;MINUTE(Entry!$D334),2),IFERROR(RIGHT("00"&amp;VALUE(TRIM(LEFT(Entry!$D334,FIND(":",Entry!$D334)-1))),2)&amp;":"&amp;RIGHT("00"&amp;VALUE(TRIM(MID(Entry!$D334,FIND(":",Entry!$D334)+1,2))),2),"نامعتبر")),IF(OR($E334="",$E334="نامعتبر"),"","00:00"))</f>
        <v/>
      </c>
      <c r="G334">
        <f>IF(OR($E334="",$E334="نامعتبر"),"",IF(Entry!$E334="","",LEFT(UPPER(TRIM(Entry!$E334)),6)))</f>
        <v/>
      </c>
      <c r="H334">
        <f>IF($G334="","",RIGHT($E334,4)&amp;MID($E334,6,2)&amp;RIGHT($E334,2)&amp;IF($F334="","0000",IF($F334="نامعتبر","9999",LEFT($F334,2)&amp;RIGHT($F334,2)))&amp;"|"&amp;RIGHT("00000"&amp;326,5))</f>
        <v/>
      </c>
      <c r="I334">
        <f>IF($H334="","",COUNTIFS(CalcBank,$G334,CalcKey,"&lt;"&amp;$H334)+1)</f>
        <v/>
      </c>
      <c r="J334">
        <f>IF($I334="","",$G334&amp;"|"&amp;RIGHT("000000"&amp;$I334,6))</f>
        <v/>
      </c>
      <c r="K334">
        <f>IF(OR($E334="",$E334="نامعتبر"),"",LEFT($E334,4)&amp;"/"&amp;MID($E334,6,2))</f>
        <v/>
      </c>
      <c r="L334">
        <f>IF(Entry!$K334="",0,Entry!$K334)</f>
        <v/>
      </c>
      <c r="M334">
        <f>IF(Entry!$L334="",0,Entry!$L334)</f>
        <v/>
      </c>
    </row>
    <row r="335">
      <c r="A335">
        <f>IF(Entry!$C335="","",Entry!$C335)</f>
        <v/>
      </c>
      <c r="B335">
        <f>IF($A335="","",IF(ISNUMBER($A335),IF(AND($A335&gt;=10000101,$A335&lt;=99991231),INT($A335/10000),""),IFERROR(VALUE(TRIM(LEFT($A335,FIND("/",$A335)-1))),"")))</f>
        <v/>
      </c>
      <c r="C335">
        <f>IF(OR($A335="",$B335=""),"",IF(ISNUMBER($A335),INT(MOD($A335,10000)/100),IFERROR(VALUE(TRIM(LEFT(MID($A335,FIND("/",$A335)+1,20),FIND("/",MID($A335,FIND("/",$A335)+1,20))-1))),"")))</f>
        <v/>
      </c>
      <c r="D335">
        <f>IF(OR($A335="",$B335=""),"",IF(ISNUMBER($A335),MOD($A335,100),IFERROR(VALUE(TRIM(MID(MID($A335,FIND("/",$A335)+1,20),FIND("/",MID($A335,FIND("/",$A335)+1,20))+1,20))),"")))</f>
        <v/>
      </c>
      <c r="E335">
        <f>IF($A335="","",IF(OR($B335="",$C335="",$D335="",$B335&lt;1300,$B335&gt;1500,$C335&lt;1,$C335&gt;12,$D335&lt;1,$D335&gt;31),"نامعتبر",RIGHT("0000"&amp;$B335,4)&amp;"/"&amp;RIGHT("00"&amp;$C335,2)&amp;"/"&amp;RIGHT("00"&amp;$D335,2)))</f>
        <v/>
      </c>
      <c r="F335">
        <f>IF(Entry!$D335&lt;&gt;"",IF(AND(ISNUMBER(Entry!$D335),Entry!$D335&gt;=0,Entry!$D335&lt;1),RIGHT("00"&amp;HOUR(Entry!$D335),2)&amp;":"&amp;RIGHT("00"&amp;MINUTE(Entry!$D335),2),IFERROR(RIGHT("00"&amp;VALUE(TRIM(LEFT(Entry!$D335,FIND(":",Entry!$D335)-1))),2)&amp;":"&amp;RIGHT("00"&amp;VALUE(TRIM(MID(Entry!$D335,FIND(":",Entry!$D335)+1,2))),2),"نامعتبر")),IF(OR($E335="",$E335="نامعتبر"),"","00:00"))</f>
        <v/>
      </c>
      <c r="G335">
        <f>IF(OR($E335="",$E335="نامعتبر"),"",IF(Entry!$E335="","",LEFT(UPPER(TRIM(Entry!$E335)),6)))</f>
        <v/>
      </c>
      <c r="H335">
        <f>IF($G335="","",RIGHT($E335,4)&amp;MID($E335,6,2)&amp;RIGHT($E335,2)&amp;IF($F335="","0000",IF($F335="نامعتبر","9999",LEFT($F335,2)&amp;RIGHT($F335,2)))&amp;"|"&amp;RIGHT("00000"&amp;327,5))</f>
        <v/>
      </c>
      <c r="I335">
        <f>IF($H335="","",COUNTIFS(CalcBank,$G335,CalcKey,"&lt;"&amp;$H335)+1)</f>
        <v/>
      </c>
      <c r="J335">
        <f>IF($I335="","",$G335&amp;"|"&amp;RIGHT("000000"&amp;$I335,6))</f>
        <v/>
      </c>
      <c r="K335">
        <f>IF(OR($E335="",$E335="نامعتبر"),"",LEFT($E335,4)&amp;"/"&amp;MID($E335,6,2))</f>
        <v/>
      </c>
      <c r="L335">
        <f>IF(Entry!$K335="",0,Entry!$K335)</f>
        <v/>
      </c>
      <c r="M335">
        <f>IF(Entry!$L335="",0,Entry!$L335)</f>
        <v/>
      </c>
    </row>
    <row r="336">
      <c r="A336">
        <f>IF(Entry!$C336="","",Entry!$C336)</f>
        <v/>
      </c>
      <c r="B336">
        <f>IF($A336="","",IF(ISNUMBER($A336),IF(AND($A336&gt;=10000101,$A336&lt;=99991231),INT($A336/10000),""),IFERROR(VALUE(TRIM(LEFT($A336,FIND("/",$A336)-1))),"")))</f>
        <v/>
      </c>
      <c r="C336">
        <f>IF(OR($A336="",$B336=""),"",IF(ISNUMBER($A336),INT(MOD($A336,10000)/100),IFERROR(VALUE(TRIM(LEFT(MID($A336,FIND("/",$A336)+1,20),FIND("/",MID($A336,FIND("/",$A336)+1,20))-1))),"")))</f>
        <v/>
      </c>
      <c r="D336">
        <f>IF(OR($A336="",$B336=""),"",IF(ISNUMBER($A336),MOD($A336,100),IFERROR(VALUE(TRIM(MID(MID($A336,FIND("/",$A336)+1,20),FIND("/",MID($A336,FIND("/",$A336)+1,20))+1,20))),"")))</f>
        <v/>
      </c>
      <c r="E336">
        <f>IF($A336="","",IF(OR($B336="",$C336="",$D336="",$B336&lt;1300,$B336&gt;1500,$C336&lt;1,$C336&gt;12,$D336&lt;1,$D336&gt;31),"نامعتبر",RIGHT("0000"&amp;$B336,4)&amp;"/"&amp;RIGHT("00"&amp;$C336,2)&amp;"/"&amp;RIGHT("00"&amp;$D336,2)))</f>
        <v/>
      </c>
      <c r="F336">
        <f>IF(Entry!$D336&lt;&gt;"",IF(AND(ISNUMBER(Entry!$D336),Entry!$D336&gt;=0,Entry!$D336&lt;1),RIGHT("00"&amp;HOUR(Entry!$D336),2)&amp;":"&amp;RIGHT("00"&amp;MINUTE(Entry!$D336),2),IFERROR(RIGHT("00"&amp;VALUE(TRIM(LEFT(Entry!$D336,FIND(":",Entry!$D336)-1))),2)&amp;":"&amp;RIGHT("00"&amp;VALUE(TRIM(MID(Entry!$D336,FIND(":",Entry!$D336)+1,2))),2),"نامعتبر")),IF(OR($E336="",$E336="نامعتبر"),"","00:00"))</f>
        <v/>
      </c>
      <c r="G336">
        <f>IF(OR($E336="",$E336="نامعتبر"),"",IF(Entry!$E336="","",LEFT(UPPER(TRIM(Entry!$E336)),6)))</f>
        <v/>
      </c>
      <c r="H336">
        <f>IF($G336="","",RIGHT($E336,4)&amp;MID($E336,6,2)&amp;RIGHT($E336,2)&amp;IF($F336="","0000",IF($F336="نامعتبر","9999",LEFT($F336,2)&amp;RIGHT($F336,2)))&amp;"|"&amp;RIGHT("00000"&amp;328,5))</f>
        <v/>
      </c>
      <c r="I336">
        <f>IF($H336="","",COUNTIFS(CalcBank,$G336,CalcKey,"&lt;"&amp;$H336)+1)</f>
        <v/>
      </c>
      <c r="J336">
        <f>IF($I336="","",$G336&amp;"|"&amp;RIGHT("000000"&amp;$I336,6))</f>
        <v/>
      </c>
      <c r="K336">
        <f>IF(OR($E336="",$E336="نامعتبر"),"",LEFT($E336,4)&amp;"/"&amp;MID($E336,6,2))</f>
        <v/>
      </c>
      <c r="L336">
        <f>IF(Entry!$K336="",0,Entry!$K336)</f>
        <v/>
      </c>
      <c r="M336">
        <f>IF(Entry!$L336="",0,Entry!$L336)</f>
        <v/>
      </c>
    </row>
    <row r="337">
      <c r="A337">
        <f>IF(Entry!$C337="","",Entry!$C337)</f>
        <v/>
      </c>
      <c r="B337">
        <f>IF($A337="","",IF(ISNUMBER($A337),IF(AND($A337&gt;=10000101,$A337&lt;=99991231),INT($A337/10000),""),IFERROR(VALUE(TRIM(LEFT($A337,FIND("/",$A337)-1))),"")))</f>
        <v/>
      </c>
      <c r="C337">
        <f>IF(OR($A337="",$B337=""),"",IF(ISNUMBER($A337),INT(MOD($A337,10000)/100),IFERROR(VALUE(TRIM(LEFT(MID($A337,FIND("/",$A337)+1,20),FIND("/",MID($A337,FIND("/",$A337)+1,20))-1))),"")))</f>
        <v/>
      </c>
      <c r="D337">
        <f>IF(OR($A337="",$B337=""),"",IF(ISNUMBER($A337),MOD($A337,100),IFERROR(VALUE(TRIM(MID(MID($A337,FIND("/",$A337)+1,20),FIND("/",MID($A337,FIND("/",$A337)+1,20))+1,20))),"")))</f>
        <v/>
      </c>
      <c r="E337">
        <f>IF($A337="","",IF(OR($B337="",$C337="",$D337="",$B337&lt;1300,$B337&gt;1500,$C337&lt;1,$C337&gt;12,$D337&lt;1,$D337&gt;31),"نامعتبر",RIGHT("0000"&amp;$B337,4)&amp;"/"&amp;RIGHT("00"&amp;$C337,2)&amp;"/"&amp;RIGHT("00"&amp;$D337,2)))</f>
        <v/>
      </c>
      <c r="F337">
        <f>IF(Entry!$D337&lt;&gt;"",IF(AND(ISNUMBER(Entry!$D337),Entry!$D337&gt;=0,Entry!$D337&lt;1),RIGHT("00"&amp;HOUR(Entry!$D337),2)&amp;":"&amp;RIGHT("00"&amp;MINUTE(Entry!$D337),2),IFERROR(RIGHT("00"&amp;VALUE(TRIM(LEFT(Entry!$D337,FIND(":",Entry!$D337)-1))),2)&amp;":"&amp;RIGHT("00"&amp;VALUE(TRIM(MID(Entry!$D337,FIND(":",Entry!$D337)+1,2))),2),"نامعتبر")),IF(OR($E337="",$E337="نامعتبر"),"","00:00"))</f>
        <v/>
      </c>
      <c r="G337">
        <f>IF(OR($E337="",$E337="نامعتبر"),"",IF(Entry!$E337="","",LEFT(UPPER(TRIM(Entry!$E337)),6)))</f>
        <v/>
      </c>
      <c r="H337">
        <f>IF($G337="","",RIGHT($E337,4)&amp;MID($E337,6,2)&amp;RIGHT($E337,2)&amp;IF($F337="","0000",IF($F337="نامعتبر","9999",LEFT($F337,2)&amp;RIGHT($F337,2)))&amp;"|"&amp;RIGHT("00000"&amp;329,5))</f>
        <v/>
      </c>
      <c r="I337">
        <f>IF($H337="","",COUNTIFS(CalcBank,$G337,CalcKey,"&lt;"&amp;$H337)+1)</f>
        <v/>
      </c>
      <c r="J337">
        <f>IF($I337="","",$G337&amp;"|"&amp;RIGHT("000000"&amp;$I337,6))</f>
        <v/>
      </c>
      <c r="K337">
        <f>IF(OR($E337="",$E337="نامعتبر"),"",LEFT($E337,4)&amp;"/"&amp;MID($E337,6,2))</f>
        <v/>
      </c>
      <c r="L337">
        <f>IF(Entry!$K337="",0,Entry!$K337)</f>
        <v/>
      </c>
      <c r="M337">
        <f>IF(Entry!$L337="",0,Entry!$L337)</f>
        <v/>
      </c>
    </row>
    <row r="338">
      <c r="A338">
        <f>IF(Entry!$C338="","",Entry!$C338)</f>
        <v/>
      </c>
      <c r="B338">
        <f>IF($A338="","",IF(ISNUMBER($A338),IF(AND($A338&gt;=10000101,$A338&lt;=99991231),INT($A338/10000),""),IFERROR(VALUE(TRIM(LEFT($A338,FIND("/",$A338)-1))),"")))</f>
        <v/>
      </c>
      <c r="C338">
        <f>IF(OR($A338="",$B338=""),"",IF(ISNUMBER($A338),INT(MOD($A338,10000)/100),IFERROR(VALUE(TRIM(LEFT(MID($A338,FIND("/",$A338)+1,20),FIND("/",MID($A338,FIND("/",$A338)+1,20))-1))),"")))</f>
        <v/>
      </c>
      <c r="D338">
        <f>IF(OR($A338="",$B338=""),"",IF(ISNUMBER($A338),MOD($A338,100),IFERROR(VALUE(TRIM(MID(MID($A338,FIND("/",$A338)+1,20),FIND("/",MID($A338,FIND("/",$A338)+1,20))+1,20))),"")))</f>
        <v/>
      </c>
      <c r="E338">
        <f>IF($A338="","",IF(OR($B338="",$C338="",$D338="",$B338&lt;1300,$B338&gt;1500,$C338&lt;1,$C338&gt;12,$D338&lt;1,$D338&gt;31),"نامعتبر",RIGHT("0000"&amp;$B338,4)&amp;"/"&amp;RIGHT("00"&amp;$C338,2)&amp;"/"&amp;RIGHT("00"&amp;$D338,2)))</f>
        <v/>
      </c>
      <c r="F338">
        <f>IF(Entry!$D338&lt;&gt;"",IF(AND(ISNUMBER(Entry!$D338),Entry!$D338&gt;=0,Entry!$D338&lt;1),RIGHT("00"&amp;HOUR(Entry!$D338),2)&amp;":"&amp;RIGHT("00"&amp;MINUTE(Entry!$D338),2),IFERROR(RIGHT("00"&amp;VALUE(TRIM(LEFT(Entry!$D338,FIND(":",Entry!$D338)-1))),2)&amp;":"&amp;RIGHT("00"&amp;VALUE(TRIM(MID(Entry!$D338,FIND(":",Entry!$D338)+1,2))),2),"نامعتبر")),IF(OR($E338="",$E338="نامعتبر"),"","00:00"))</f>
        <v/>
      </c>
      <c r="G338">
        <f>IF(OR($E338="",$E338="نامعتبر"),"",IF(Entry!$E338="","",LEFT(UPPER(TRIM(Entry!$E338)),6)))</f>
        <v/>
      </c>
      <c r="H338">
        <f>IF($G338="","",RIGHT($E338,4)&amp;MID($E338,6,2)&amp;RIGHT($E338,2)&amp;IF($F338="","0000",IF($F338="نامعتبر","9999",LEFT($F338,2)&amp;RIGHT($F338,2)))&amp;"|"&amp;RIGHT("00000"&amp;330,5))</f>
        <v/>
      </c>
      <c r="I338">
        <f>IF($H338="","",COUNTIFS(CalcBank,$G338,CalcKey,"&lt;"&amp;$H338)+1)</f>
        <v/>
      </c>
      <c r="J338">
        <f>IF($I338="","",$G338&amp;"|"&amp;RIGHT("000000"&amp;$I338,6))</f>
        <v/>
      </c>
      <c r="K338">
        <f>IF(OR($E338="",$E338="نامعتبر"),"",LEFT($E338,4)&amp;"/"&amp;MID($E338,6,2))</f>
        <v/>
      </c>
      <c r="L338">
        <f>IF(Entry!$K338="",0,Entry!$K338)</f>
        <v/>
      </c>
      <c r="M338">
        <f>IF(Entry!$L338="",0,Entry!$L338)</f>
        <v/>
      </c>
    </row>
    <row r="339">
      <c r="A339">
        <f>IF(Entry!$C339="","",Entry!$C339)</f>
        <v/>
      </c>
      <c r="B339">
        <f>IF($A339="","",IF(ISNUMBER($A339),IF(AND($A339&gt;=10000101,$A339&lt;=99991231),INT($A339/10000),""),IFERROR(VALUE(TRIM(LEFT($A339,FIND("/",$A339)-1))),"")))</f>
        <v/>
      </c>
      <c r="C339">
        <f>IF(OR($A339="",$B339=""),"",IF(ISNUMBER($A339),INT(MOD($A339,10000)/100),IFERROR(VALUE(TRIM(LEFT(MID($A339,FIND("/",$A339)+1,20),FIND("/",MID($A339,FIND("/",$A339)+1,20))-1))),"")))</f>
        <v/>
      </c>
      <c r="D339">
        <f>IF(OR($A339="",$B339=""),"",IF(ISNUMBER($A339),MOD($A339,100),IFERROR(VALUE(TRIM(MID(MID($A339,FIND("/",$A339)+1,20),FIND("/",MID($A339,FIND("/",$A339)+1,20))+1,20))),"")))</f>
        <v/>
      </c>
      <c r="E339">
        <f>IF($A339="","",IF(OR($B339="",$C339="",$D339="",$B339&lt;1300,$B339&gt;1500,$C339&lt;1,$C339&gt;12,$D339&lt;1,$D339&gt;31),"نامعتبر",RIGHT("0000"&amp;$B339,4)&amp;"/"&amp;RIGHT("00"&amp;$C339,2)&amp;"/"&amp;RIGHT("00"&amp;$D339,2)))</f>
        <v/>
      </c>
      <c r="F339">
        <f>IF(Entry!$D339&lt;&gt;"",IF(AND(ISNUMBER(Entry!$D339),Entry!$D339&gt;=0,Entry!$D339&lt;1),RIGHT("00"&amp;HOUR(Entry!$D339),2)&amp;":"&amp;RIGHT("00"&amp;MINUTE(Entry!$D339),2),IFERROR(RIGHT("00"&amp;VALUE(TRIM(LEFT(Entry!$D339,FIND(":",Entry!$D339)-1))),2)&amp;":"&amp;RIGHT("00"&amp;VALUE(TRIM(MID(Entry!$D339,FIND(":",Entry!$D339)+1,2))),2),"نامعتبر")),IF(OR($E339="",$E339="نامعتبر"),"","00:00"))</f>
        <v/>
      </c>
      <c r="G339">
        <f>IF(OR($E339="",$E339="نامعتبر"),"",IF(Entry!$E339="","",LEFT(UPPER(TRIM(Entry!$E339)),6)))</f>
        <v/>
      </c>
      <c r="H339">
        <f>IF($G339="","",RIGHT($E339,4)&amp;MID($E339,6,2)&amp;RIGHT($E339,2)&amp;IF($F339="","0000",IF($F339="نامعتبر","9999",LEFT($F339,2)&amp;RIGHT($F339,2)))&amp;"|"&amp;RIGHT("00000"&amp;331,5))</f>
        <v/>
      </c>
      <c r="I339">
        <f>IF($H339="","",COUNTIFS(CalcBank,$G339,CalcKey,"&lt;"&amp;$H339)+1)</f>
        <v/>
      </c>
      <c r="J339">
        <f>IF($I339="","",$G339&amp;"|"&amp;RIGHT("000000"&amp;$I339,6))</f>
        <v/>
      </c>
      <c r="K339">
        <f>IF(OR($E339="",$E339="نامعتبر"),"",LEFT($E339,4)&amp;"/"&amp;MID($E339,6,2))</f>
        <v/>
      </c>
      <c r="L339">
        <f>IF(Entry!$K339="",0,Entry!$K339)</f>
        <v/>
      </c>
      <c r="M339">
        <f>IF(Entry!$L339="",0,Entry!$L339)</f>
        <v/>
      </c>
    </row>
    <row r="340">
      <c r="A340">
        <f>IF(Entry!$C340="","",Entry!$C340)</f>
        <v/>
      </c>
      <c r="B340">
        <f>IF($A340="","",IF(ISNUMBER($A340),IF(AND($A340&gt;=10000101,$A340&lt;=99991231),INT($A340/10000),""),IFERROR(VALUE(TRIM(LEFT($A340,FIND("/",$A340)-1))),"")))</f>
        <v/>
      </c>
      <c r="C340">
        <f>IF(OR($A340="",$B340=""),"",IF(ISNUMBER($A340),INT(MOD($A340,10000)/100),IFERROR(VALUE(TRIM(LEFT(MID($A340,FIND("/",$A340)+1,20),FIND("/",MID($A340,FIND("/",$A340)+1,20))-1))),"")))</f>
        <v/>
      </c>
      <c r="D340">
        <f>IF(OR($A340="",$B340=""),"",IF(ISNUMBER($A340),MOD($A340,100),IFERROR(VALUE(TRIM(MID(MID($A340,FIND("/",$A340)+1,20),FIND("/",MID($A340,FIND("/",$A340)+1,20))+1,20))),"")))</f>
        <v/>
      </c>
      <c r="E340">
        <f>IF($A340="","",IF(OR($B340="",$C340="",$D340="",$B340&lt;1300,$B340&gt;1500,$C340&lt;1,$C340&gt;12,$D340&lt;1,$D340&gt;31),"نامعتبر",RIGHT("0000"&amp;$B340,4)&amp;"/"&amp;RIGHT("00"&amp;$C340,2)&amp;"/"&amp;RIGHT("00"&amp;$D340,2)))</f>
        <v/>
      </c>
      <c r="F340">
        <f>IF(Entry!$D340&lt;&gt;"",IF(AND(ISNUMBER(Entry!$D340),Entry!$D340&gt;=0,Entry!$D340&lt;1),RIGHT("00"&amp;HOUR(Entry!$D340),2)&amp;":"&amp;RIGHT("00"&amp;MINUTE(Entry!$D340),2),IFERROR(RIGHT("00"&amp;VALUE(TRIM(LEFT(Entry!$D340,FIND(":",Entry!$D340)-1))),2)&amp;":"&amp;RIGHT("00"&amp;VALUE(TRIM(MID(Entry!$D340,FIND(":",Entry!$D340)+1,2))),2),"نامعتبر")),IF(OR($E340="",$E340="نامعتبر"),"","00:00"))</f>
        <v/>
      </c>
      <c r="G340">
        <f>IF(OR($E340="",$E340="نامعتبر"),"",IF(Entry!$E340="","",LEFT(UPPER(TRIM(Entry!$E340)),6)))</f>
        <v/>
      </c>
      <c r="H340">
        <f>IF($G340="","",RIGHT($E340,4)&amp;MID($E340,6,2)&amp;RIGHT($E340,2)&amp;IF($F340="","0000",IF($F340="نامعتبر","9999",LEFT($F340,2)&amp;RIGHT($F340,2)))&amp;"|"&amp;RIGHT("00000"&amp;332,5))</f>
        <v/>
      </c>
      <c r="I340">
        <f>IF($H340="","",COUNTIFS(CalcBank,$G340,CalcKey,"&lt;"&amp;$H340)+1)</f>
        <v/>
      </c>
      <c r="J340">
        <f>IF($I340="","",$G340&amp;"|"&amp;RIGHT("000000"&amp;$I340,6))</f>
        <v/>
      </c>
      <c r="K340">
        <f>IF(OR($E340="",$E340="نامعتبر"),"",LEFT($E340,4)&amp;"/"&amp;MID($E340,6,2))</f>
        <v/>
      </c>
      <c r="L340">
        <f>IF(Entry!$K340="",0,Entry!$K340)</f>
        <v/>
      </c>
      <c r="M340">
        <f>IF(Entry!$L340="",0,Entry!$L340)</f>
        <v/>
      </c>
    </row>
    <row r="341">
      <c r="A341">
        <f>IF(Entry!$C341="","",Entry!$C341)</f>
        <v/>
      </c>
      <c r="B341">
        <f>IF($A341="","",IF(ISNUMBER($A341),IF(AND($A341&gt;=10000101,$A341&lt;=99991231),INT($A341/10000),""),IFERROR(VALUE(TRIM(LEFT($A341,FIND("/",$A341)-1))),"")))</f>
        <v/>
      </c>
      <c r="C341">
        <f>IF(OR($A341="",$B341=""),"",IF(ISNUMBER($A341),INT(MOD($A341,10000)/100),IFERROR(VALUE(TRIM(LEFT(MID($A341,FIND("/",$A341)+1,20),FIND("/",MID($A341,FIND("/",$A341)+1,20))-1))),"")))</f>
        <v/>
      </c>
      <c r="D341">
        <f>IF(OR($A341="",$B341=""),"",IF(ISNUMBER($A341),MOD($A341,100),IFERROR(VALUE(TRIM(MID(MID($A341,FIND("/",$A341)+1,20),FIND("/",MID($A341,FIND("/",$A341)+1,20))+1,20))),"")))</f>
        <v/>
      </c>
      <c r="E341">
        <f>IF($A341="","",IF(OR($B341="",$C341="",$D341="",$B341&lt;1300,$B341&gt;1500,$C341&lt;1,$C341&gt;12,$D341&lt;1,$D341&gt;31),"نامعتبر",RIGHT("0000"&amp;$B341,4)&amp;"/"&amp;RIGHT("00"&amp;$C341,2)&amp;"/"&amp;RIGHT("00"&amp;$D341,2)))</f>
        <v/>
      </c>
      <c r="F341">
        <f>IF(Entry!$D341&lt;&gt;"",IF(AND(ISNUMBER(Entry!$D341),Entry!$D341&gt;=0,Entry!$D341&lt;1),RIGHT("00"&amp;HOUR(Entry!$D341),2)&amp;":"&amp;RIGHT("00"&amp;MINUTE(Entry!$D341),2),IFERROR(RIGHT("00"&amp;VALUE(TRIM(LEFT(Entry!$D341,FIND(":",Entry!$D341)-1))),2)&amp;":"&amp;RIGHT("00"&amp;VALUE(TRIM(MID(Entry!$D341,FIND(":",Entry!$D341)+1,2))),2),"نامعتبر")),IF(OR($E341="",$E341="نامعتبر"),"","00:00"))</f>
        <v/>
      </c>
      <c r="G341">
        <f>IF(OR($E341="",$E341="نامعتبر"),"",IF(Entry!$E341="","",LEFT(UPPER(TRIM(Entry!$E341)),6)))</f>
        <v/>
      </c>
      <c r="H341">
        <f>IF($G341="","",RIGHT($E341,4)&amp;MID($E341,6,2)&amp;RIGHT($E341,2)&amp;IF($F341="","0000",IF($F341="نامعتبر","9999",LEFT($F341,2)&amp;RIGHT($F341,2)))&amp;"|"&amp;RIGHT("00000"&amp;333,5))</f>
        <v/>
      </c>
      <c r="I341">
        <f>IF($H341="","",COUNTIFS(CalcBank,$G341,CalcKey,"&lt;"&amp;$H341)+1)</f>
        <v/>
      </c>
      <c r="J341">
        <f>IF($I341="","",$G341&amp;"|"&amp;RIGHT("000000"&amp;$I341,6))</f>
        <v/>
      </c>
      <c r="K341">
        <f>IF(OR($E341="",$E341="نامعتبر"),"",LEFT($E341,4)&amp;"/"&amp;MID($E341,6,2))</f>
        <v/>
      </c>
      <c r="L341">
        <f>IF(Entry!$K341="",0,Entry!$K341)</f>
        <v/>
      </c>
      <c r="M341">
        <f>IF(Entry!$L341="",0,Entry!$L341)</f>
        <v/>
      </c>
    </row>
    <row r="342">
      <c r="A342">
        <f>IF(Entry!$C342="","",Entry!$C342)</f>
        <v/>
      </c>
      <c r="B342">
        <f>IF($A342="","",IF(ISNUMBER($A342),IF(AND($A342&gt;=10000101,$A342&lt;=99991231),INT($A342/10000),""),IFERROR(VALUE(TRIM(LEFT($A342,FIND("/",$A342)-1))),"")))</f>
        <v/>
      </c>
      <c r="C342">
        <f>IF(OR($A342="",$B342=""),"",IF(ISNUMBER($A342),INT(MOD($A342,10000)/100),IFERROR(VALUE(TRIM(LEFT(MID($A342,FIND("/",$A342)+1,20),FIND("/",MID($A342,FIND("/",$A342)+1,20))-1))),"")))</f>
        <v/>
      </c>
      <c r="D342">
        <f>IF(OR($A342="",$B342=""),"",IF(ISNUMBER($A342),MOD($A342,100),IFERROR(VALUE(TRIM(MID(MID($A342,FIND("/",$A342)+1,20),FIND("/",MID($A342,FIND("/",$A342)+1,20))+1,20))),"")))</f>
        <v/>
      </c>
      <c r="E342">
        <f>IF($A342="","",IF(OR($B342="",$C342="",$D342="",$B342&lt;1300,$B342&gt;1500,$C342&lt;1,$C342&gt;12,$D342&lt;1,$D342&gt;31),"نامعتبر",RIGHT("0000"&amp;$B342,4)&amp;"/"&amp;RIGHT("00"&amp;$C342,2)&amp;"/"&amp;RIGHT("00"&amp;$D342,2)))</f>
        <v/>
      </c>
      <c r="F342">
        <f>IF(Entry!$D342&lt;&gt;"",IF(AND(ISNUMBER(Entry!$D342),Entry!$D342&gt;=0,Entry!$D342&lt;1),RIGHT("00"&amp;HOUR(Entry!$D342),2)&amp;":"&amp;RIGHT("00"&amp;MINUTE(Entry!$D342),2),IFERROR(RIGHT("00"&amp;VALUE(TRIM(LEFT(Entry!$D342,FIND(":",Entry!$D342)-1))),2)&amp;":"&amp;RIGHT("00"&amp;VALUE(TRIM(MID(Entry!$D342,FIND(":",Entry!$D342)+1,2))),2),"نامعتبر")),IF(OR($E342="",$E342="نامعتبر"),"","00:00"))</f>
        <v/>
      </c>
      <c r="G342">
        <f>IF(OR($E342="",$E342="نامعتبر"),"",IF(Entry!$E342="","",LEFT(UPPER(TRIM(Entry!$E342)),6)))</f>
        <v/>
      </c>
      <c r="H342">
        <f>IF($G342="","",RIGHT($E342,4)&amp;MID($E342,6,2)&amp;RIGHT($E342,2)&amp;IF($F342="","0000",IF($F342="نامعتبر","9999",LEFT($F342,2)&amp;RIGHT($F342,2)))&amp;"|"&amp;RIGHT("00000"&amp;334,5))</f>
        <v/>
      </c>
      <c r="I342">
        <f>IF($H342="","",COUNTIFS(CalcBank,$G342,CalcKey,"&lt;"&amp;$H342)+1)</f>
        <v/>
      </c>
      <c r="J342">
        <f>IF($I342="","",$G342&amp;"|"&amp;RIGHT("000000"&amp;$I342,6))</f>
        <v/>
      </c>
      <c r="K342">
        <f>IF(OR($E342="",$E342="نامعتبر"),"",LEFT($E342,4)&amp;"/"&amp;MID($E342,6,2))</f>
        <v/>
      </c>
      <c r="L342">
        <f>IF(Entry!$K342="",0,Entry!$K342)</f>
        <v/>
      </c>
      <c r="M342">
        <f>IF(Entry!$L342="",0,Entry!$L342)</f>
        <v/>
      </c>
    </row>
    <row r="343">
      <c r="A343">
        <f>IF(Entry!$C343="","",Entry!$C343)</f>
        <v/>
      </c>
      <c r="B343">
        <f>IF($A343="","",IF(ISNUMBER($A343),IF(AND($A343&gt;=10000101,$A343&lt;=99991231),INT($A343/10000),""),IFERROR(VALUE(TRIM(LEFT($A343,FIND("/",$A343)-1))),"")))</f>
        <v/>
      </c>
      <c r="C343">
        <f>IF(OR($A343="",$B343=""),"",IF(ISNUMBER($A343),INT(MOD($A343,10000)/100),IFERROR(VALUE(TRIM(LEFT(MID($A343,FIND("/",$A343)+1,20),FIND("/",MID($A343,FIND("/",$A343)+1,20))-1))),"")))</f>
        <v/>
      </c>
      <c r="D343">
        <f>IF(OR($A343="",$B343=""),"",IF(ISNUMBER($A343),MOD($A343,100),IFERROR(VALUE(TRIM(MID(MID($A343,FIND("/",$A343)+1,20),FIND("/",MID($A343,FIND("/",$A343)+1,20))+1,20))),"")))</f>
        <v/>
      </c>
      <c r="E343">
        <f>IF($A343="","",IF(OR($B343="",$C343="",$D343="",$B343&lt;1300,$B343&gt;1500,$C343&lt;1,$C343&gt;12,$D343&lt;1,$D343&gt;31),"نامعتبر",RIGHT("0000"&amp;$B343,4)&amp;"/"&amp;RIGHT("00"&amp;$C343,2)&amp;"/"&amp;RIGHT("00"&amp;$D343,2)))</f>
        <v/>
      </c>
      <c r="F343">
        <f>IF(Entry!$D343&lt;&gt;"",IF(AND(ISNUMBER(Entry!$D343),Entry!$D343&gt;=0,Entry!$D343&lt;1),RIGHT("00"&amp;HOUR(Entry!$D343),2)&amp;":"&amp;RIGHT("00"&amp;MINUTE(Entry!$D343),2),IFERROR(RIGHT("00"&amp;VALUE(TRIM(LEFT(Entry!$D343,FIND(":",Entry!$D343)-1))),2)&amp;":"&amp;RIGHT("00"&amp;VALUE(TRIM(MID(Entry!$D343,FIND(":",Entry!$D343)+1,2))),2),"نامعتبر")),IF(OR($E343="",$E343="نامعتبر"),"","00:00"))</f>
        <v/>
      </c>
      <c r="G343">
        <f>IF(OR($E343="",$E343="نامعتبر"),"",IF(Entry!$E343="","",LEFT(UPPER(TRIM(Entry!$E343)),6)))</f>
        <v/>
      </c>
      <c r="H343">
        <f>IF($G343="","",RIGHT($E343,4)&amp;MID($E343,6,2)&amp;RIGHT($E343,2)&amp;IF($F343="","0000",IF($F343="نامعتبر","9999",LEFT($F343,2)&amp;RIGHT($F343,2)))&amp;"|"&amp;RIGHT("00000"&amp;335,5))</f>
        <v/>
      </c>
      <c r="I343">
        <f>IF($H343="","",COUNTIFS(CalcBank,$G343,CalcKey,"&lt;"&amp;$H343)+1)</f>
        <v/>
      </c>
      <c r="J343">
        <f>IF($I343="","",$G343&amp;"|"&amp;RIGHT("000000"&amp;$I343,6))</f>
        <v/>
      </c>
      <c r="K343">
        <f>IF(OR($E343="",$E343="نامعتبر"),"",LEFT($E343,4)&amp;"/"&amp;MID($E343,6,2))</f>
        <v/>
      </c>
      <c r="L343">
        <f>IF(Entry!$K343="",0,Entry!$K343)</f>
        <v/>
      </c>
      <c r="M343">
        <f>IF(Entry!$L343="",0,Entry!$L343)</f>
        <v/>
      </c>
    </row>
    <row r="344">
      <c r="A344">
        <f>IF(Entry!$C344="","",Entry!$C344)</f>
        <v/>
      </c>
      <c r="B344">
        <f>IF($A344="","",IF(ISNUMBER($A344),IF(AND($A344&gt;=10000101,$A344&lt;=99991231),INT($A344/10000),""),IFERROR(VALUE(TRIM(LEFT($A344,FIND("/",$A344)-1))),"")))</f>
        <v/>
      </c>
      <c r="C344">
        <f>IF(OR($A344="",$B344=""),"",IF(ISNUMBER($A344),INT(MOD($A344,10000)/100),IFERROR(VALUE(TRIM(LEFT(MID($A344,FIND("/",$A344)+1,20),FIND("/",MID($A344,FIND("/",$A344)+1,20))-1))),"")))</f>
        <v/>
      </c>
      <c r="D344">
        <f>IF(OR($A344="",$B344=""),"",IF(ISNUMBER($A344),MOD($A344,100),IFERROR(VALUE(TRIM(MID(MID($A344,FIND("/",$A344)+1,20),FIND("/",MID($A344,FIND("/",$A344)+1,20))+1,20))),"")))</f>
        <v/>
      </c>
      <c r="E344">
        <f>IF($A344="","",IF(OR($B344="",$C344="",$D344="",$B344&lt;1300,$B344&gt;1500,$C344&lt;1,$C344&gt;12,$D344&lt;1,$D344&gt;31),"نامعتبر",RIGHT("0000"&amp;$B344,4)&amp;"/"&amp;RIGHT("00"&amp;$C344,2)&amp;"/"&amp;RIGHT("00"&amp;$D344,2)))</f>
        <v/>
      </c>
      <c r="F344">
        <f>IF(Entry!$D344&lt;&gt;"",IF(AND(ISNUMBER(Entry!$D344),Entry!$D344&gt;=0,Entry!$D344&lt;1),RIGHT("00"&amp;HOUR(Entry!$D344),2)&amp;":"&amp;RIGHT("00"&amp;MINUTE(Entry!$D344),2),IFERROR(RIGHT("00"&amp;VALUE(TRIM(LEFT(Entry!$D344,FIND(":",Entry!$D344)-1))),2)&amp;":"&amp;RIGHT("00"&amp;VALUE(TRIM(MID(Entry!$D344,FIND(":",Entry!$D344)+1,2))),2),"نامعتبر")),IF(OR($E344="",$E344="نامعتبر"),"","00:00"))</f>
        <v/>
      </c>
      <c r="G344">
        <f>IF(OR($E344="",$E344="نامعتبر"),"",IF(Entry!$E344="","",LEFT(UPPER(TRIM(Entry!$E344)),6)))</f>
        <v/>
      </c>
      <c r="H344">
        <f>IF($G344="","",RIGHT($E344,4)&amp;MID($E344,6,2)&amp;RIGHT($E344,2)&amp;IF($F344="","0000",IF($F344="نامعتبر","9999",LEFT($F344,2)&amp;RIGHT($F344,2)))&amp;"|"&amp;RIGHT("00000"&amp;336,5))</f>
        <v/>
      </c>
      <c r="I344">
        <f>IF($H344="","",COUNTIFS(CalcBank,$G344,CalcKey,"&lt;"&amp;$H344)+1)</f>
        <v/>
      </c>
      <c r="J344">
        <f>IF($I344="","",$G344&amp;"|"&amp;RIGHT("000000"&amp;$I344,6))</f>
        <v/>
      </c>
      <c r="K344">
        <f>IF(OR($E344="",$E344="نامعتبر"),"",LEFT($E344,4)&amp;"/"&amp;MID($E344,6,2))</f>
        <v/>
      </c>
      <c r="L344">
        <f>IF(Entry!$K344="",0,Entry!$K344)</f>
        <v/>
      </c>
      <c r="M344">
        <f>IF(Entry!$L344="",0,Entry!$L344)</f>
        <v/>
      </c>
    </row>
    <row r="345">
      <c r="A345">
        <f>IF(Entry!$C345="","",Entry!$C345)</f>
        <v/>
      </c>
      <c r="B345">
        <f>IF($A345="","",IF(ISNUMBER($A345),IF(AND($A345&gt;=10000101,$A345&lt;=99991231),INT($A345/10000),""),IFERROR(VALUE(TRIM(LEFT($A345,FIND("/",$A345)-1))),"")))</f>
        <v/>
      </c>
      <c r="C345">
        <f>IF(OR($A345="",$B345=""),"",IF(ISNUMBER($A345),INT(MOD($A345,10000)/100),IFERROR(VALUE(TRIM(LEFT(MID($A345,FIND("/",$A345)+1,20),FIND("/",MID($A345,FIND("/",$A345)+1,20))-1))),"")))</f>
        <v/>
      </c>
      <c r="D345">
        <f>IF(OR($A345="",$B345=""),"",IF(ISNUMBER($A345),MOD($A345,100),IFERROR(VALUE(TRIM(MID(MID($A345,FIND("/",$A345)+1,20),FIND("/",MID($A345,FIND("/",$A345)+1,20))+1,20))),"")))</f>
        <v/>
      </c>
      <c r="E345">
        <f>IF($A345="","",IF(OR($B345="",$C345="",$D345="",$B345&lt;1300,$B345&gt;1500,$C345&lt;1,$C345&gt;12,$D345&lt;1,$D345&gt;31),"نامعتبر",RIGHT("0000"&amp;$B345,4)&amp;"/"&amp;RIGHT("00"&amp;$C345,2)&amp;"/"&amp;RIGHT("00"&amp;$D345,2)))</f>
        <v/>
      </c>
      <c r="F345">
        <f>IF(Entry!$D345&lt;&gt;"",IF(AND(ISNUMBER(Entry!$D345),Entry!$D345&gt;=0,Entry!$D345&lt;1),RIGHT("00"&amp;HOUR(Entry!$D345),2)&amp;":"&amp;RIGHT("00"&amp;MINUTE(Entry!$D345),2),IFERROR(RIGHT("00"&amp;VALUE(TRIM(LEFT(Entry!$D345,FIND(":",Entry!$D345)-1))),2)&amp;":"&amp;RIGHT("00"&amp;VALUE(TRIM(MID(Entry!$D345,FIND(":",Entry!$D345)+1,2))),2),"نامعتبر")),IF(OR($E345="",$E345="نامعتبر"),"","00:00"))</f>
        <v/>
      </c>
      <c r="G345">
        <f>IF(OR($E345="",$E345="نامعتبر"),"",IF(Entry!$E345="","",LEFT(UPPER(TRIM(Entry!$E345)),6)))</f>
        <v/>
      </c>
      <c r="H345">
        <f>IF($G345="","",RIGHT($E345,4)&amp;MID($E345,6,2)&amp;RIGHT($E345,2)&amp;IF($F345="","0000",IF($F345="نامعتبر","9999",LEFT($F345,2)&amp;RIGHT($F345,2)))&amp;"|"&amp;RIGHT("00000"&amp;337,5))</f>
        <v/>
      </c>
      <c r="I345">
        <f>IF($H345="","",COUNTIFS(CalcBank,$G345,CalcKey,"&lt;"&amp;$H345)+1)</f>
        <v/>
      </c>
      <c r="J345">
        <f>IF($I345="","",$G345&amp;"|"&amp;RIGHT("000000"&amp;$I345,6))</f>
        <v/>
      </c>
      <c r="K345">
        <f>IF(OR($E345="",$E345="نامعتبر"),"",LEFT($E345,4)&amp;"/"&amp;MID($E345,6,2))</f>
        <v/>
      </c>
      <c r="L345">
        <f>IF(Entry!$K345="",0,Entry!$K345)</f>
        <v/>
      </c>
      <c r="M345">
        <f>IF(Entry!$L345="",0,Entry!$L345)</f>
        <v/>
      </c>
    </row>
    <row r="346">
      <c r="A346">
        <f>IF(Entry!$C346="","",Entry!$C346)</f>
        <v/>
      </c>
      <c r="B346">
        <f>IF($A346="","",IF(ISNUMBER($A346),IF(AND($A346&gt;=10000101,$A346&lt;=99991231),INT($A346/10000),""),IFERROR(VALUE(TRIM(LEFT($A346,FIND("/",$A346)-1))),"")))</f>
        <v/>
      </c>
      <c r="C346">
        <f>IF(OR($A346="",$B346=""),"",IF(ISNUMBER($A346),INT(MOD($A346,10000)/100),IFERROR(VALUE(TRIM(LEFT(MID($A346,FIND("/",$A346)+1,20),FIND("/",MID($A346,FIND("/",$A346)+1,20))-1))),"")))</f>
        <v/>
      </c>
      <c r="D346">
        <f>IF(OR($A346="",$B346=""),"",IF(ISNUMBER($A346),MOD($A346,100),IFERROR(VALUE(TRIM(MID(MID($A346,FIND("/",$A346)+1,20),FIND("/",MID($A346,FIND("/",$A346)+1,20))+1,20))),"")))</f>
        <v/>
      </c>
      <c r="E346">
        <f>IF($A346="","",IF(OR($B346="",$C346="",$D346="",$B346&lt;1300,$B346&gt;1500,$C346&lt;1,$C346&gt;12,$D346&lt;1,$D346&gt;31),"نامعتبر",RIGHT("0000"&amp;$B346,4)&amp;"/"&amp;RIGHT("00"&amp;$C346,2)&amp;"/"&amp;RIGHT("00"&amp;$D346,2)))</f>
        <v/>
      </c>
      <c r="F346">
        <f>IF(Entry!$D346&lt;&gt;"",IF(AND(ISNUMBER(Entry!$D346),Entry!$D346&gt;=0,Entry!$D346&lt;1),RIGHT("00"&amp;HOUR(Entry!$D346),2)&amp;":"&amp;RIGHT("00"&amp;MINUTE(Entry!$D346),2),IFERROR(RIGHT("00"&amp;VALUE(TRIM(LEFT(Entry!$D346,FIND(":",Entry!$D346)-1))),2)&amp;":"&amp;RIGHT("00"&amp;VALUE(TRIM(MID(Entry!$D346,FIND(":",Entry!$D346)+1,2))),2),"نامعتبر")),IF(OR($E346="",$E346="نامعتبر"),"","00:00"))</f>
        <v/>
      </c>
      <c r="G346">
        <f>IF(OR($E346="",$E346="نامعتبر"),"",IF(Entry!$E346="","",LEFT(UPPER(TRIM(Entry!$E346)),6)))</f>
        <v/>
      </c>
      <c r="H346">
        <f>IF($G346="","",RIGHT($E346,4)&amp;MID($E346,6,2)&amp;RIGHT($E346,2)&amp;IF($F346="","0000",IF($F346="نامعتبر","9999",LEFT($F346,2)&amp;RIGHT($F346,2)))&amp;"|"&amp;RIGHT("00000"&amp;338,5))</f>
        <v/>
      </c>
      <c r="I346">
        <f>IF($H346="","",COUNTIFS(CalcBank,$G346,CalcKey,"&lt;"&amp;$H346)+1)</f>
        <v/>
      </c>
      <c r="J346">
        <f>IF($I346="","",$G346&amp;"|"&amp;RIGHT("000000"&amp;$I346,6))</f>
        <v/>
      </c>
      <c r="K346">
        <f>IF(OR($E346="",$E346="نامعتبر"),"",LEFT($E346,4)&amp;"/"&amp;MID($E346,6,2))</f>
        <v/>
      </c>
      <c r="L346">
        <f>IF(Entry!$K346="",0,Entry!$K346)</f>
        <v/>
      </c>
      <c r="M346">
        <f>IF(Entry!$L346="",0,Entry!$L346)</f>
        <v/>
      </c>
    </row>
    <row r="347">
      <c r="A347">
        <f>IF(Entry!$C347="","",Entry!$C347)</f>
        <v/>
      </c>
      <c r="B347">
        <f>IF($A347="","",IF(ISNUMBER($A347),IF(AND($A347&gt;=10000101,$A347&lt;=99991231),INT($A347/10000),""),IFERROR(VALUE(TRIM(LEFT($A347,FIND("/",$A347)-1))),"")))</f>
        <v/>
      </c>
      <c r="C347">
        <f>IF(OR($A347="",$B347=""),"",IF(ISNUMBER($A347),INT(MOD($A347,10000)/100),IFERROR(VALUE(TRIM(LEFT(MID($A347,FIND("/",$A347)+1,20),FIND("/",MID($A347,FIND("/",$A347)+1,20))-1))),"")))</f>
        <v/>
      </c>
      <c r="D347">
        <f>IF(OR($A347="",$B347=""),"",IF(ISNUMBER($A347),MOD($A347,100),IFERROR(VALUE(TRIM(MID(MID($A347,FIND("/",$A347)+1,20),FIND("/",MID($A347,FIND("/",$A347)+1,20))+1,20))),"")))</f>
        <v/>
      </c>
      <c r="E347">
        <f>IF($A347="","",IF(OR($B347="",$C347="",$D347="",$B347&lt;1300,$B347&gt;1500,$C347&lt;1,$C347&gt;12,$D347&lt;1,$D347&gt;31),"نامعتبر",RIGHT("0000"&amp;$B347,4)&amp;"/"&amp;RIGHT("00"&amp;$C347,2)&amp;"/"&amp;RIGHT("00"&amp;$D347,2)))</f>
        <v/>
      </c>
      <c r="F347">
        <f>IF(Entry!$D347&lt;&gt;"",IF(AND(ISNUMBER(Entry!$D347),Entry!$D347&gt;=0,Entry!$D347&lt;1),RIGHT("00"&amp;HOUR(Entry!$D347),2)&amp;":"&amp;RIGHT("00"&amp;MINUTE(Entry!$D347),2),IFERROR(RIGHT("00"&amp;VALUE(TRIM(LEFT(Entry!$D347,FIND(":",Entry!$D347)-1))),2)&amp;":"&amp;RIGHT("00"&amp;VALUE(TRIM(MID(Entry!$D347,FIND(":",Entry!$D347)+1,2))),2),"نامعتبر")),IF(OR($E347="",$E347="نامعتبر"),"","00:00"))</f>
        <v/>
      </c>
      <c r="G347">
        <f>IF(OR($E347="",$E347="نامعتبر"),"",IF(Entry!$E347="","",LEFT(UPPER(TRIM(Entry!$E347)),6)))</f>
        <v/>
      </c>
      <c r="H347">
        <f>IF($G347="","",RIGHT($E347,4)&amp;MID($E347,6,2)&amp;RIGHT($E347,2)&amp;IF($F347="","0000",IF($F347="نامعتبر","9999",LEFT($F347,2)&amp;RIGHT($F347,2)))&amp;"|"&amp;RIGHT("00000"&amp;339,5))</f>
        <v/>
      </c>
      <c r="I347">
        <f>IF($H347="","",COUNTIFS(CalcBank,$G347,CalcKey,"&lt;"&amp;$H347)+1)</f>
        <v/>
      </c>
      <c r="J347">
        <f>IF($I347="","",$G347&amp;"|"&amp;RIGHT("000000"&amp;$I347,6))</f>
        <v/>
      </c>
      <c r="K347">
        <f>IF(OR($E347="",$E347="نامعتبر"),"",LEFT($E347,4)&amp;"/"&amp;MID($E347,6,2))</f>
        <v/>
      </c>
      <c r="L347">
        <f>IF(Entry!$K347="",0,Entry!$K347)</f>
        <v/>
      </c>
      <c r="M347">
        <f>IF(Entry!$L347="",0,Entry!$L347)</f>
        <v/>
      </c>
    </row>
    <row r="348">
      <c r="A348">
        <f>IF(Entry!$C348="","",Entry!$C348)</f>
        <v/>
      </c>
      <c r="B348">
        <f>IF($A348="","",IF(ISNUMBER($A348),IF(AND($A348&gt;=10000101,$A348&lt;=99991231),INT($A348/10000),""),IFERROR(VALUE(TRIM(LEFT($A348,FIND("/",$A348)-1))),"")))</f>
        <v/>
      </c>
      <c r="C348">
        <f>IF(OR($A348="",$B348=""),"",IF(ISNUMBER($A348),INT(MOD($A348,10000)/100),IFERROR(VALUE(TRIM(LEFT(MID($A348,FIND("/",$A348)+1,20),FIND("/",MID($A348,FIND("/",$A348)+1,20))-1))),"")))</f>
        <v/>
      </c>
      <c r="D348">
        <f>IF(OR($A348="",$B348=""),"",IF(ISNUMBER($A348),MOD($A348,100),IFERROR(VALUE(TRIM(MID(MID($A348,FIND("/",$A348)+1,20),FIND("/",MID($A348,FIND("/",$A348)+1,20))+1,20))),"")))</f>
        <v/>
      </c>
      <c r="E348">
        <f>IF($A348="","",IF(OR($B348="",$C348="",$D348="",$B348&lt;1300,$B348&gt;1500,$C348&lt;1,$C348&gt;12,$D348&lt;1,$D348&gt;31),"نامعتبر",RIGHT("0000"&amp;$B348,4)&amp;"/"&amp;RIGHT("00"&amp;$C348,2)&amp;"/"&amp;RIGHT("00"&amp;$D348,2)))</f>
        <v/>
      </c>
      <c r="F348">
        <f>IF(Entry!$D348&lt;&gt;"",IF(AND(ISNUMBER(Entry!$D348),Entry!$D348&gt;=0,Entry!$D348&lt;1),RIGHT("00"&amp;HOUR(Entry!$D348),2)&amp;":"&amp;RIGHT("00"&amp;MINUTE(Entry!$D348),2),IFERROR(RIGHT("00"&amp;VALUE(TRIM(LEFT(Entry!$D348,FIND(":",Entry!$D348)-1))),2)&amp;":"&amp;RIGHT("00"&amp;VALUE(TRIM(MID(Entry!$D348,FIND(":",Entry!$D348)+1,2))),2),"نامعتبر")),IF(OR($E348="",$E348="نامعتبر"),"","00:00"))</f>
        <v/>
      </c>
      <c r="G348">
        <f>IF(OR($E348="",$E348="نامعتبر"),"",IF(Entry!$E348="","",LEFT(UPPER(TRIM(Entry!$E348)),6)))</f>
        <v/>
      </c>
      <c r="H348">
        <f>IF($G348="","",RIGHT($E348,4)&amp;MID($E348,6,2)&amp;RIGHT($E348,2)&amp;IF($F348="","0000",IF($F348="نامعتبر","9999",LEFT($F348,2)&amp;RIGHT($F348,2)))&amp;"|"&amp;RIGHT("00000"&amp;340,5))</f>
        <v/>
      </c>
      <c r="I348">
        <f>IF($H348="","",COUNTIFS(CalcBank,$G348,CalcKey,"&lt;"&amp;$H348)+1)</f>
        <v/>
      </c>
      <c r="J348">
        <f>IF($I348="","",$G348&amp;"|"&amp;RIGHT("000000"&amp;$I348,6))</f>
        <v/>
      </c>
      <c r="K348">
        <f>IF(OR($E348="",$E348="نامعتبر"),"",LEFT($E348,4)&amp;"/"&amp;MID($E348,6,2))</f>
        <v/>
      </c>
      <c r="L348">
        <f>IF(Entry!$K348="",0,Entry!$K348)</f>
        <v/>
      </c>
      <c r="M348">
        <f>IF(Entry!$L348="",0,Entry!$L348)</f>
        <v/>
      </c>
    </row>
    <row r="349">
      <c r="A349">
        <f>IF(Entry!$C349="","",Entry!$C349)</f>
        <v/>
      </c>
      <c r="B349">
        <f>IF($A349="","",IF(ISNUMBER($A349),IF(AND($A349&gt;=10000101,$A349&lt;=99991231),INT($A349/10000),""),IFERROR(VALUE(TRIM(LEFT($A349,FIND("/",$A349)-1))),"")))</f>
        <v/>
      </c>
      <c r="C349">
        <f>IF(OR($A349="",$B349=""),"",IF(ISNUMBER($A349),INT(MOD($A349,10000)/100),IFERROR(VALUE(TRIM(LEFT(MID($A349,FIND("/",$A349)+1,20),FIND("/",MID($A349,FIND("/",$A349)+1,20))-1))),"")))</f>
        <v/>
      </c>
      <c r="D349">
        <f>IF(OR($A349="",$B349=""),"",IF(ISNUMBER($A349),MOD($A349,100),IFERROR(VALUE(TRIM(MID(MID($A349,FIND("/",$A349)+1,20),FIND("/",MID($A349,FIND("/",$A349)+1,20))+1,20))),"")))</f>
        <v/>
      </c>
      <c r="E349">
        <f>IF($A349="","",IF(OR($B349="",$C349="",$D349="",$B349&lt;1300,$B349&gt;1500,$C349&lt;1,$C349&gt;12,$D349&lt;1,$D349&gt;31),"نامعتبر",RIGHT("0000"&amp;$B349,4)&amp;"/"&amp;RIGHT("00"&amp;$C349,2)&amp;"/"&amp;RIGHT("00"&amp;$D349,2)))</f>
        <v/>
      </c>
      <c r="F349">
        <f>IF(Entry!$D349&lt;&gt;"",IF(AND(ISNUMBER(Entry!$D349),Entry!$D349&gt;=0,Entry!$D349&lt;1),RIGHT("00"&amp;HOUR(Entry!$D349),2)&amp;":"&amp;RIGHT("00"&amp;MINUTE(Entry!$D349),2),IFERROR(RIGHT("00"&amp;VALUE(TRIM(LEFT(Entry!$D349,FIND(":",Entry!$D349)-1))),2)&amp;":"&amp;RIGHT("00"&amp;VALUE(TRIM(MID(Entry!$D349,FIND(":",Entry!$D349)+1,2))),2),"نامعتبر")),IF(OR($E349="",$E349="نامعتبر"),"","00:00"))</f>
        <v/>
      </c>
      <c r="G349">
        <f>IF(OR($E349="",$E349="نامعتبر"),"",IF(Entry!$E349="","",LEFT(UPPER(TRIM(Entry!$E349)),6)))</f>
        <v/>
      </c>
      <c r="H349">
        <f>IF($G349="","",RIGHT($E349,4)&amp;MID($E349,6,2)&amp;RIGHT($E349,2)&amp;IF($F349="","0000",IF($F349="نامعتبر","9999",LEFT($F349,2)&amp;RIGHT($F349,2)))&amp;"|"&amp;RIGHT("00000"&amp;341,5))</f>
        <v/>
      </c>
      <c r="I349">
        <f>IF($H349="","",COUNTIFS(CalcBank,$G349,CalcKey,"&lt;"&amp;$H349)+1)</f>
        <v/>
      </c>
      <c r="J349">
        <f>IF($I349="","",$G349&amp;"|"&amp;RIGHT("000000"&amp;$I349,6))</f>
        <v/>
      </c>
      <c r="K349">
        <f>IF(OR($E349="",$E349="نامعتبر"),"",LEFT($E349,4)&amp;"/"&amp;MID($E349,6,2))</f>
        <v/>
      </c>
      <c r="L349">
        <f>IF(Entry!$K349="",0,Entry!$K349)</f>
        <v/>
      </c>
      <c r="M349">
        <f>IF(Entry!$L349="",0,Entry!$L349)</f>
        <v/>
      </c>
    </row>
    <row r="350">
      <c r="A350">
        <f>IF(Entry!$C350="","",Entry!$C350)</f>
        <v/>
      </c>
      <c r="B350">
        <f>IF($A350="","",IF(ISNUMBER($A350),IF(AND($A350&gt;=10000101,$A350&lt;=99991231),INT($A350/10000),""),IFERROR(VALUE(TRIM(LEFT($A350,FIND("/",$A350)-1))),"")))</f>
        <v/>
      </c>
      <c r="C350">
        <f>IF(OR($A350="",$B350=""),"",IF(ISNUMBER($A350),INT(MOD($A350,10000)/100),IFERROR(VALUE(TRIM(LEFT(MID($A350,FIND("/",$A350)+1,20),FIND("/",MID($A350,FIND("/",$A350)+1,20))-1))),"")))</f>
        <v/>
      </c>
      <c r="D350">
        <f>IF(OR($A350="",$B350=""),"",IF(ISNUMBER($A350),MOD($A350,100),IFERROR(VALUE(TRIM(MID(MID($A350,FIND("/",$A350)+1,20),FIND("/",MID($A350,FIND("/",$A350)+1,20))+1,20))),"")))</f>
        <v/>
      </c>
      <c r="E350">
        <f>IF($A350="","",IF(OR($B350="",$C350="",$D350="",$B350&lt;1300,$B350&gt;1500,$C350&lt;1,$C350&gt;12,$D350&lt;1,$D350&gt;31),"نامعتبر",RIGHT("0000"&amp;$B350,4)&amp;"/"&amp;RIGHT("00"&amp;$C350,2)&amp;"/"&amp;RIGHT("00"&amp;$D350,2)))</f>
        <v/>
      </c>
      <c r="F350">
        <f>IF(Entry!$D350&lt;&gt;"",IF(AND(ISNUMBER(Entry!$D350),Entry!$D350&gt;=0,Entry!$D350&lt;1),RIGHT("00"&amp;HOUR(Entry!$D350),2)&amp;":"&amp;RIGHT("00"&amp;MINUTE(Entry!$D350),2),IFERROR(RIGHT("00"&amp;VALUE(TRIM(LEFT(Entry!$D350,FIND(":",Entry!$D350)-1))),2)&amp;":"&amp;RIGHT("00"&amp;VALUE(TRIM(MID(Entry!$D350,FIND(":",Entry!$D350)+1,2))),2),"نامعتبر")),IF(OR($E350="",$E350="نامعتبر"),"","00:00"))</f>
        <v/>
      </c>
      <c r="G350">
        <f>IF(OR($E350="",$E350="نامعتبر"),"",IF(Entry!$E350="","",LEFT(UPPER(TRIM(Entry!$E350)),6)))</f>
        <v/>
      </c>
      <c r="H350">
        <f>IF($G350="","",RIGHT($E350,4)&amp;MID($E350,6,2)&amp;RIGHT($E350,2)&amp;IF($F350="","0000",IF($F350="نامعتبر","9999",LEFT($F350,2)&amp;RIGHT($F350,2)))&amp;"|"&amp;RIGHT("00000"&amp;342,5))</f>
        <v/>
      </c>
      <c r="I350">
        <f>IF($H350="","",COUNTIFS(CalcBank,$G350,CalcKey,"&lt;"&amp;$H350)+1)</f>
        <v/>
      </c>
      <c r="J350">
        <f>IF($I350="","",$G350&amp;"|"&amp;RIGHT("000000"&amp;$I350,6))</f>
        <v/>
      </c>
      <c r="K350">
        <f>IF(OR($E350="",$E350="نامعتبر"),"",LEFT($E350,4)&amp;"/"&amp;MID($E350,6,2))</f>
        <v/>
      </c>
      <c r="L350">
        <f>IF(Entry!$K350="",0,Entry!$K350)</f>
        <v/>
      </c>
      <c r="M350">
        <f>IF(Entry!$L350="",0,Entry!$L350)</f>
        <v/>
      </c>
    </row>
    <row r="351">
      <c r="A351">
        <f>IF(Entry!$C351="","",Entry!$C351)</f>
        <v/>
      </c>
      <c r="B351">
        <f>IF($A351="","",IF(ISNUMBER($A351),IF(AND($A351&gt;=10000101,$A351&lt;=99991231),INT($A351/10000),""),IFERROR(VALUE(TRIM(LEFT($A351,FIND("/",$A351)-1))),"")))</f>
        <v/>
      </c>
      <c r="C351">
        <f>IF(OR($A351="",$B351=""),"",IF(ISNUMBER($A351),INT(MOD($A351,10000)/100),IFERROR(VALUE(TRIM(LEFT(MID($A351,FIND("/",$A351)+1,20),FIND("/",MID($A351,FIND("/",$A351)+1,20))-1))),"")))</f>
        <v/>
      </c>
      <c r="D351">
        <f>IF(OR($A351="",$B351=""),"",IF(ISNUMBER($A351),MOD($A351,100),IFERROR(VALUE(TRIM(MID(MID($A351,FIND("/",$A351)+1,20),FIND("/",MID($A351,FIND("/",$A351)+1,20))+1,20))),"")))</f>
        <v/>
      </c>
      <c r="E351">
        <f>IF($A351="","",IF(OR($B351="",$C351="",$D351="",$B351&lt;1300,$B351&gt;1500,$C351&lt;1,$C351&gt;12,$D351&lt;1,$D351&gt;31),"نامعتبر",RIGHT("0000"&amp;$B351,4)&amp;"/"&amp;RIGHT("00"&amp;$C351,2)&amp;"/"&amp;RIGHT("00"&amp;$D351,2)))</f>
        <v/>
      </c>
      <c r="F351">
        <f>IF(Entry!$D351&lt;&gt;"",IF(AND(ISNUMBER(Entry!$D351),Entry!$D351&gt;=0,Entry!$D351&lt;1),RIGHT("00"&amp;HOUR(Entry!$D351),2)&amp;":"&amp;RIGHT("00"&amp;MINUTE(Entry!$D351),2),IFERROR(RIGHT("00"&amp;VALUE(TRIM(LEFT(Entry!$D351,FIND(":",Entry!$D351)-1))),2)&amp;":"&amp;RIGHT("00"&amp;VALUE(TRIM(MID(Entry!$D351,FIND(":",Entry!$D351)+1,2))),2),"نامعتبر")),IF(OR($E351="",$E351="نامعتبر"),"","00:00"))</f>
        <v/>
      </c>
      <c r="G351">
        <f>IF(OR($E351="",$E351="نامعتبر"),"",IF(Entry!$E351="","",LEFT(UPPER(TRIM(Entry!$E351)),6)))</f>
        <v/>
      </c>
      <c r="H351">
        <f>IF($G351="","",RIGHT($E351,4)&amp;MID($E351,6,2)&amp;RIGHT($E351,2)&amp;IF($F351="","0000",IF($F351="نامعتبر","9999",LEFT($F351,2)&amp;RIGHT($F351,2)))&amp;"|"&amp;RIGHT("00000"&amp;343,5))</f>
        <v/>
      </c>
      <c r="I351">
        <f>IF($H351="","",COUNTIFS(CalcBank,$G351,CalcKey,"&lt;"&amp;$H351)+1)</f>
        <v/>
      </c>
      <c r="J351">
        <f>IF($I351="","",$G351&amp;"|"&amp;RIGHT("000000"&amp;$I351,6))</f>
        <v/>
      </c>
      <c r="K351">
        <f>IF(OR($E351="",$E351="نامعتبر"),"",LEFT($E351,4)&amp;"/"&amp;MID($E351,6,2))</f>
        <v/>
      </c>
      <c r="L351">
        <f>IF(Entry!$K351="",0,Entry!$K351)</f>
        <v/>
      </c>
      <c r="M351">
        <f>IF(Entry!$L351="",0,Entry!$L351)</f>
        <v/>
      </c>
    </row>
    <row r="352">
      <c r="A352">
        <f>IF(Entry!$C352="","",Entry!$C352)</f>
        <v/>
      </c>
      <c r="B352">
        <f>IF($A352="","",IF(ISNUMBER($A352),IF(AND($A352&gt;=10000101,$A352&lt;=99991231),INT($A352/10000),""),IFERROR(VALUE(TRIM(LEFT($A352,FIND("/",$A352)-1))),"")))</f>
        <v/>
      </c>
      <c r="C352">
        <f>IF(OR($A352="",$B352=""),"",IF(ISNUMBER($A352),INT(MOD($A352,10000)/100),IFERROR(VALUE(TRIM(LEFT(MID($A352,FIND("/",$A352)+1,20),FIND("/",MID($A352,FIND("/",$A352)+1,20))-1))),"")))</f>
        <v/>
      </c>
      <c r="D352">
        <f>IF(OR($A352="",$B352=""),"",IF(ISNUMBER($A352),MOD($A352,100),IFERROR(VALUE(TRIM(MID(MID($A352,FIND("/",$A352)+1,20),FIND("/",MID($A352,FIND("/",$A352)+1,20))+1,20))),"")))</f>
        <v/>
      </c>
      <c r="E352">
        <f>IF($A352="","",IF(OR($B352="",$C352="",$D352="",$B352&lt;1300,$B352&gt;1500,$C352&lt;1,$C352&gt;12,$D352&lt;1,$D352&gt;31),"نامعتبر",RIGHT("0000"&amp;$B352,4)&amp;"/"&amp;RIGHT("00"&amp;$C352,2)&amp;"/"&amp;RIGHT("00"&amp;$D352,2)))</f>
        <v/>
      </c>
      <c r="F352">
        <f>IF(Entry!$D352&lt;&gt;"",IF(AND(ISNUMBER(Entry!$D352),Entry!$D352&gt;=0,Entry!$D352&lt;1),RIGHT("00"&amp;HOUR(Entry!$D352),2)&amp;":"&amp;RIGHT("00"&amp;MINUTE(Entry!$D352),2),IFERROR(RIGHT("00"&amp;VALUE(TRIM(LEFT(Entry!$D352,FIND(":",Entry!$D352)-1))),2)&amp;":"&amp;RIGHT("00"&amp;VALUE(TRIM(MID(Entry!$D352,FIND(":",Entry!$D352)+1,2))),2),"نامعتبر")),IF(OR($E352="",$E352="نامعتبر"),"","00:00"))</f>
        <v/>
      </c>
      <c r="G352">
        <f>IF(OR($E352="",$E352="نامعتبر"),"",IF(Entry!$E352="","",LEFT(UPPER(TRIM(Entry!$E352)),6)))</f>
        <v/>
      </c>
      <c r="H352">
        <f>IF($G352="","",RIGHT($E352,4)&amp;MID($E352,6,2)&amp;RIGHT($E352,2)&amp;IF($F352="","0000",IF($F352="نامعتبر","9999",LEFT($F352,2)&amp;RIGHT($F352,2)))&amp;"|"&amp;RIGHT("00000"&amp;344,5))</f>
        <v/>
      </c>
      <c r="I352">
        <f>IF($H352="","",COUNTIFS(CalcBank,$G352,CalcKey,"&lt;"&amp;$H352)+1)</f>
        <v/>
      </c>
      <c r="J352">
        <f>IF($I352="","",$G352&amp;"|"&amp;RIGHT("000000"&amp;$I352,6))</f>
        <v/>
      </c>
      <c r="K352">
        <f>IF(OR($E352="",$E352="نامعتبر"),"",LEFT($E352,4)&amp;"/"&amp;MID($E352,6,2))</f>
        <v/>
      </c>
      <c r="L352">
        <f>IF(Entry!$K352="",0,Entry!$K352)</f>
        <v/>
      </c>
      <c r="M352">
        <f>IF(Entry!$L352="",0,Entry!$L352)</f>
        <v/>
      </c>
    </row>
    <row r="353">
      <c r="A353">
        <f>IF(Entry!$C353="","",Entry!$C353)</f>
        <v/>
      </c>
      <c r="B353">
        <f>IF($A353="","",IF(ISNUMBER($A353),IF(AND($A353&gt;=10000101,$A353&lt;=99991231),INT($A353/10000),""),IFERROR(VALUE(TRIM(LEFT($A353,FIND("/",$A353)-1))),"")))</f>
        <v/>
      </c>
      <c r="C353">
        <f>IF(OR($A353="",$B353=""),"",IF(ISNUMBER($A353),INT(MOD($A353,10000)/100),IFERROR(VALUE(TRIM(LEFT(MID($A353,FIND("/",$A353)+1,20),FIND("/",MID($A353,FIND("/",$A353)+1,20))-1))),"")))</f>
        <v/>
      </c>
      <c r="D353">
        <f>IF(OR($A353="",$B353=""),"",IF(ISNUMBER($A353),MOD($A353,100),IFERROR(VALUE(TRIM(MID(MID($A353,FIND("/",$A353)+1,20),FIND("/",MID($A353,FIND("/",$A353)+1,20))+1,20))),"")))</f>
        <v/>
      </c>
      <c r="E353">
        <f>IF($A353="","",IF(OR($B353="",$C353="",$D353="",$B353&lt;1300,$B353&gt;1500,$C353&lt;1,$C353&gt;12,$D353&lt;1,$D353&gt;31),"نامعتبر",RIGHT("0000"&amp;$B353,4)&amp;"/"&amp;RIGHT("00"&amp;$C353,2)&amp;"/"&amp;RIGHT("00"&amp;$D353,2)))</f>
        <v/>
      </c>
      <c r="F353">
        <f>IF(Entry!$D353&lt;&gt;"",IF(AND(ISNUMBER(Entry!$D353),Entry!$D353&gt;=0,Entry!$D353&lt;1),RIGHT("00"&amp;HOUR(Entry!$D353),2)&amp;":"&amp;RIGHT("00"&amp;MINUTE(Entry!$D353),2),IFERROR(RIGHT("00"&amp;VALUE(TRIM(LEFT(Entry!$D353,FIND(":",Entry!$D353)-1))),2)&amp;":"&amp;RIGHT("00"&amp;VALUE(TRIM(MID(Entry!$D353,FIND(":",Entry!$D353)+1,2))),2),"نامعتبر")),IF(OR($E353="",$E353="نامعتبر"),"","00:00"))</f>
        <v/>
      </c>
      <c r="G353">
        <f>IF(OR($E353="",$E353="نامعتبر"),"",IF(Entry!$E353="","",LEFT(UPPER(TRIM(Entry!$E353)),6)))</f>
        <v/>
      </c>
      <c r="H353">
        <f>IF($G353="","",RIGHT($E353,4)&amp;MID($E353,6,2)&amp;RIGHT($E353,2)&amp;IF($F353="","0000",IF($F353="نامعتبر","9999",LEFT($F353,2)&amp;RIGHT($F353,2)))&amp;"|"&amp;RIGHT("00000"&amp;345,5))</f>
        <v/>
      </c>
      <c r="I353">
        <f>IF($H353="","",COUNTIFS(CalcBank,$G353,CalcKey,"&lt;"&amp;$H353)+1)</f>
        <v/>
      </c>
      <c r="J353">
        <f>IF($I353="","",$G353&amp;"|"&amp;RIGHT("000000"&amp;$I353,6))</f>
        <v/>
      </c>
      <c r="K353">
        <f>IF(OR($E353="",$E353="نامعتبر"),"",LEFT($E353,4)&amp;"/"&amp;MID($E353,6,2))</f>
        <v/>
      </c>
      <c r="L353">
        <f>IF(Entry!$K353="",0,Entry!$K353)</f>
        <v/>
      </c>
      <c r="M353">
        <f>IF(Entry!$L353="",0,Entry!$L353)</f>
        <v/>
      </c>
    </row>
    <row r="354">
      <c r="A354">
        <f>IF(Entry!$C354="","",Entry!$C354)</f>
        <v/>
      </c>
      <c r="B354">
        <f>IF($A354="","",IF(ISNUMBER($A354),IF(AND($A354&gt;=10000101,$A354&lt;=99991231),INT($A354/10000),""),IFERROR(VALUE(TRIM(LEFT($A354,FIND("/",$A354)-1))),"")))</f>
        <v/>
      </c>
      <c r="C354">
        <f>IF(OR($A354="",$B354=""),"",IF(ISNUMBER($A354),INT(MOD($A354,10000)/100),IFERROR(VALUE(TRIM(LEFT(MID($A354,FIND("/",$A354)+1,20),FIND("/",MID($A354,FIND("/",$A354)+1,20))-1))),"")))</f>
        <v/>
      </c>
      <c r="D354">
        <f>IF(OR($A354="",$B354=""),"",IF(ISNUMBER($A354),MOD($A354,100),IFERROR(VALUE(TRIM(MID(MID($A354,FIND("/",$A354)+1,20),FIND("/",MID($A354,FIND("/",$A354)+1,20))+1,20))),"")))</f>
        <v/>
      </c>
      <c r="E354">
        <f>IF($A354="","",IF(OR($B354="",$C354="",$D354="",$B354&lt;1300,$B354&gt;1500,$C354&lt;1,$C354&gt;12,$D354&lt;1,$D354&gt;31),"نامعتبر",RIGHT("0000"&amp;$B354,4)&amp;"/"&amp;RIGHT("00"&amp;$C354,2)&amp;"/"&amp;RIGHT("00"&amp;$D354,2)))</f>
        <v/>
      </c>
      <c r="F354">
        <f>IF(Entry!$D354&lt;&gt;"",IF(AND(ISNUMBER(Entry!$D354),Entry!$D354&gt;=0,Entry!$D354&lt;1),RIGHT("00"&amp;HOUR(Entry!$D354),2)&amp;":"&amp;RIGHT("00"&amp;MINUTE(Entry!$D354),2),IFERROR(RIGHT("00"&amp;VALUE(TRIM(LEFT(Entry!$D354,FIND(":",Entry!$D354)-1))),2)&amp;":"&amp;RIGHT("00"&amp;VALUE(TRIM(MID(Entry!$D354,FIND(":",Entry!$D354)+1,2))),2),"نامعتبر")),IF(OR($E354="",$E354="نامعتبر"),"","00:00"))</f>
        <v/>
      </c>
      <c r="G354">
        <f>IF(OR($E354="",$E354="نامعتبر"),"",IF(Entry!$E354="","",LEFT(UPPER(TRIM(Entry!$E354)),6)))</f>
        <v/>
      </c>
      <c r="H354">
        <f>IF($G354="","",RIGHT($E354,4)&amp;MID($E354,6,2)&amp;RIGHT($E354,2)&amp;IF($F354="","0000",IF($F354="نامعتبر","9999",LEFT($F354,2)&amp;RIGHT($F354,2)))&amp;"|"&amp;RIGHT("00000"&amp;346,5))</f>
        <v/>
      </c>
      <c r="I354">
        <f>IF($H354="","",COUNTIFS(CalcBank,$G354,CalcKey,"&lt;"&amp;$H354)+1)</f>
        <v/>
      </c>
      <c r="J354">
        <f>IF($I354="","",$G354&amp;"|"&amp;RIGHT("000000"&amp;$I354,6))</f>
        <v/>
      </c>
      <c r="K354">
        <f>IF(OR($E354="",$E354="نامعتبر"),"",LEFT($E354,4)&amp;"/"&amp;MID($E354,6,2))</f>
        <v/>
      </c>
      <c r="L354">
        <f>IF(Entry!$K354="",0,Entry!$K354)</f>
        <v/>
      </c>
      <c r="M354">
        <f>IF(Entry!$L354="",0,Entry!$L354)</f>
        <v/>
      </c>
    </row>
    <row r="355">
      <c r="A355">
        <f>IF(Entry!$C355="","",Entry!$C355)</f>
        <v/>
      </c>
      <c r="B355">
        <f>IF($A355="","",IF(ISNUMBER($A355),IF(AND($A355&gt;=10000101,$A355&lt;=99991231),INT($A355/10000),""),IFERROR(VALUE(TRIM(LEFT($A355,FIND("/",$A355)-1))),"")))</f>
        <v/>
      </c>
      <c r="C355">
        <f>IF(OR($A355="",$B355=""),"",IF(ISNUMBER($A355),INT(MOD($A355,10000)/100),IFERROR(VALUE(TRIM(LEFT(MID($A355,FIND("/",$A355)+1,20),FIND("/",MID($A355,FIND("/",$A355)+1,20))-1))),"")))</f>
        <v/>
      </c>
      <c r="D355">
        <f>IF(OR($A355="",$B355=""),"",IF(ISNUMBER($A355),MOD($A355,100),IFERROR(VALUE(TRIM(MID(MID($A355,FIND("/",$A355)+1,20),FIND("/",MID($A355,FIND("/",$A355)+1,20))+1,20))),"")))</f>
        <v/>
      </c>
      <c r="E355">
        <f>IF($A355="","",IF(OR($B355="",$C355="",$D355="",$B355&lt;1300,$B355&gt;1500,$C355&lt;1,$C355&gt;12,$D355&lt;1,$D355&gt;31),"نامعتبر",RIGHT("0000"&amp;$B355,4)&amp;"/"&amp;RIGHT("00"&amp;$C355,2)&amp;"/"&amp;RIGHT("00"&amp;$D355,2)))</f>
        <v/>
      </c>
      <c r="F355">
        <f>IF(Entry!$D355&lt;&gt;"",IF(AND(ISNUMBER(Entry!$D355),Entry!$D355&gt;=0,Entry!$D355&lt;1),RIGHT("00"&amp;HOUR(Entry!$D355),2)&amp;":"&amp;RIGHT("00"&amp;MINUTE(Entry!$D355),2),IFERROR(RIGHT("00"&amp;VALUE(TRIM(LEFT(Entry!$D355,FIND(":",Entry!$D355)-1))),2)&amp;":"&amp;RIGHT("00"&amp;VALUE(TRIM(MID(Entry!$D355,FIND(":",Entry!$D355)+1,2))),2),"نامعتبر")),IF(OR($E355="",$E355="نامعتبر"),"","00:00"))</f>
        <v/>
      </c>
      <c r="G355">
        <f>IF(OR($E355="",$E355="نامعتبر"),"",IF(Entry!$E355="","",LEFT(UPPER(TRIM(Entry!$E355)),6)))</f>
        <v/>
      </c>
      <c r="H355">
        <f>IF($G355="","",RIGHT($E355,4)&amp;MID($E355,6,2)&amp;RIGHT($E355,2)&amp;IF($F355="","0000",IF($F355="نامعتبر","9999",LEFT($F355,2)&amp;RIGHT($F355,2)))&amp;"|"&amp;RIGHT("00000"&amp;347,5))</f>
        <v/>
      </c>
      <c r="I355">
        <f>IF($H355="","",COUNTIFS(CalcBank,$G355,CalcKey,"&lt;"&amp;$H355)+1)</f>
        <v/>
      </c>
      <c r="J355">
        <f>IF($I355="","",$G355&amp;"|"&amp;RIGHT("000000"&amp;$I355,6))</f>
        <v/>
      </c>
      <c r="K355">
        <f>IF(OR($E355="",$E355="نامعتبر"),"",LEFT($E355,4)&amp;"/"&amp;MID($E355,6,2))</f>
        <v/>
      </c>
      <c r="L355">
        <f>IF(Entry!$K355="",0,Entry!$K355)</f>
        <v/>
      </c>
      <c r="M355">
        <f>IF(Entry!$L355="",0,Entry!$L355)</f>
        <v/>
      </c>
    </row>
    <row r="356">
      <c r="A356">
        <f>IF(Entry!$C356="","",Entry!$C356)</f>
        <v/>
      </c>
      <c r="B356">
        <f>IF($A356="","",IF(ISNUMBER($A356),IF(AND($A356&gt;=10000101,$A356&lt;=99991231),INT($A356/10000),""),IFERROR(VALUE(TRIM(LEFT($A356,FIND("/",$A356)-1))),"")))</f>
        <v/>
      </c>
      <c r="C356">
        <f>IF(OR($A356="",$B356=""),"",IF(ISNUMBER($A356),INT(MOD($A356,10000)/100),IFERROR(VALUE(TRIM(LEFT(MID($A356,FIND("/",$A356)+1,20),FIND("/",MID($A356,FIND("/",$A356)+1,20))-1))),"")))</f>
        <v/>
      </c>
      <c r="D356">
        <f>IF(OR($A356="",$B356=""),"",IF(ISNUMBER($A356),MOD($A356,100),IFERROR(VALUE(TRIM(MID(MID($A356,FIND("/",$A356)+1,20),FIND("/",MID($A356,FIND("/",$A356)+1,20))+1,20))),"")))</f>
        <v/>
      </c>
      <c r="E356">
        <f>IF($A356="","",IF(OR($B356="",$C356="",$D356="",$B356&lt;1300,$B356&gt;1500,$C356&lt;1,$C356&gt;12,$D356&lt;1,$D356&gt;31),"نامعتبر",RIGHT("0000"&amp;$B356,4)&amp;"/"&amp;RIGHT("00"&amp;$C356,2)&amp;"/"&amp;RIGHT("00"&amp;$D356,2)))</f>
        <v/>
      </c>
      <c r="F356">
        <f>IF(Entry!$D356&lt;&gt;"",IF(AND(ISNUMBER(Entry!$D356),Entry!$D356&gt;=0,Entry!$D356&lt;1),RIGHT("00"&amp;HOUR(Entry!$D356),2)&amp;":"&amp;RIGHT("00"&amp;MINUTE(Entry!$D356),2),IFERROR(RIGHT("00"&amp;VALUE(TRIM(LEFT(Entry!$D356,FIND(":",Entry!$D356)-1))),2)&amp;":"&amp;RIGHT("00"&amp;VALUE(TRIM(MID(Entry!$D356,FIND(":",Entry!$D356)+1,2))),2),"نامعتبر")),IF(OR($E356="",$E356="نامعتبر"),"","00:00"))</f>
        <v/>
      </c>
      <c r="G356">
        <f>IF(OR($E356="",$E356="نامعتبر"),"",IF(Entry!$E356="","",LEFT(UPPER(TRIM(Entry!$E356)),6)))</f>
        <v/>
      </c>
      <c r="H356">
        <f>IF($G356="","",RIGHT($E356,4)&amp;MID($E356,6,2)&amp;RIGHT($E356,2)&amp;IF($F356="","0000",IF($F356="نامعتبر","9999",LEFT($F356,2)&amp;RIGHT($F356,2)))&amp;"|"&amp;RIGHT("00000"&amp;348,5))</f>
        <v/>
      </c>
      <c r="I356">
        <f>IF($H356="","",COUNTIFS(CalcBank,$G356,CalcKey,"&lt;"&amp;$H356)+1)</f>
        <v/>
      </c>
      <c r="J356">
        <f>IF($I356="","",$G356&amp;"|"&amp;RIGHT("000000"&amp;$I356,6))</f>
        <v/>
      </c>
      <c r="K356">
        <f>IF(OR($E356="",$E356="نامعتبر"),"",LEFT($E356,4)&amp;"/"&amp;MID($E356,6,2))</f>
        <v/>
      </c>
      <c r="L356">
        <f>IF(Entry!$K356="",0,Entry!$K356)</f>
        <v/>
      </c>
      <c r="M356">
        <f>IF(Entry!$L356="",0,Entry!$L356)</f>
        <v/>
      </c>
    </row>
    <row r="357">
      <c r="A357">
        <f>IF(Entry!$C357="","",Entry!$C357)</f>
        <v/>
      </c>
      <c r="B357">
        <f>IF($A357="","",IF(ISNUMBER($A357),IF(AND($A357&gt;=10000101,$A357&lt;=99991231),INT($A357/10000),""),IFERROR(VALUE(TRIM(LEFT($A357,FIND("/",$A357)-1))),"")))</f>
        <v/>
      </c>
      <c r="C357">
        <f>IF(OR($A357="",$B357=""),"",IF(ISNUMBER($A357),INT(MOD($A357,10000)/100),IFERROR(VALUE(TRIM(LEFT(MID($A357,FIND("/",$A357)+1,20),FIND("/",MID($A357,FIND("/",$A357)+1,20))-1))),"")))</f>
        <v/>
      </c>
      <c r="D357">
        <f>IF(OR($A357="",$B357=""),"",IF(ISNUMBER($A357),MOD($A357,100),IFERROR(VALUE(TRIM(MID(MID($A357,FIND("/",$A357)+1,20),FIND("/",MID($A357,FIND("/",$A357)+1,20))+1,20))),"")))</f>
        <v/>
      </c>
      <c r="E357">
        <f>IF($A357="","",IF(OR($B357="",$C357="",$D357="",$B357&lt;1300,$B357&gt;1500,$C357&lt;1,$C357&gt;12,$D357&lt;1,$D357&gt;31),"نامعتبر",RIGHT("0000"&amp;$B357,4)&amp;"/"&amp;RIGHT("00"&amp;$C357,2)&amp;"/"&amp;RIGHT("00"&amp;$D357,2)))</f>
        <v/>
      </c>
      <c r="F357">
        <f>IF(Entry!$D357&lt;&gt;"",IF(AND(ISNUMBER(Entry!$D357),Entry!$D357&gt;=0,Entry!$D357&lt;1),RIGHT("00"&amp;HOUR(Entry!$D357),2)&amp;":"&amp;RIGHT("00"&amp;MINUTE(Entry!$D357),2),IFERROR(RIGHT("00"&amp;VALUE(TRIM(LEFT(Entry!$D357,FIND(":",Entry!$D357)-1))),2)&amp;":"&amp;RIGHT("00"&amp;VALUE(TRIM(MID(Entry!$D357,FIND(":",Entry!$D357)+1,2))),2),"نامعتبر")),IF(OR($E357="",$E357="نامعتبر"),"","00:00"))</f>
        <v/>
      </c>
      <c r="G357">
        <f>IF(OR($E357="",$E357="نامعتبر"),"",IF(Entry!$E357="","",LEFT(UPPER(TRIM(Entry!$E357)),6)))</f>
        <v/>
      </c>
      <c r="H357">
        <f>IF($G357="","",RIGHT($E357,4)&amp;MID($E357,6,2)&amp;RIGHT($E357,2)&amp;IF($F357="","0000",IF($F357="نامعتبر","9999",LEFT($F357,2)&amp;RIGHT($F357,2)))&amp;"|"&amp;RIGHT("00000"&amp;349,5))</f>
        <v/>
      </c>
      <c r="I357">
        <f>IF($H357="","",COUNTIFS(CalcBank,$G357,CalcKey,"&lt;"&amp;$H357)+1)</f>
        <v/>
      </c>
      <c r="J357">
        <f>IF($I357="","",$G357&amp;"|"&amp;RIGHT("000000"&amp;$I357,6))</f>
        <v/>
      </c>
      <c r="K357">
        <f>IF(OR($E357="",$E357="نامعتبر"),"",LEFT($E357,4)&amp;"/"&amp;MID($E357,6,2))</f>
        <v/>
      </c>
      <c r="L357">
        <f>IF(Entry!$K357="",0,Entry!$K357)</f>
        <v/>
      </c>
      <c r="M357">
        <f>IF(Entry!$L357="",0,Entry!$L357)</f>
        <v/>
      </c>
    </row>
    <row r="358">
      <c r="A358">
        <f>IF(Entry!$C358="","",Entry!$C358)</f>
        <v/>
      </c>
      <c r="B358">
        <f>IF($A358="","",IF(ISNUMBER($A358),IF(AND($A358&gt;=10000101,$A358&lt;=99991231),INT($A358/10000),""),IFERROR(VALUE(TRIM(LEFT($A358,FIND("/",$A358)-1))),"")))</f>
        <v/>
      </c>
      <c r="C358">
        <f>IF(OR($A358="",$B358=""),"",IF(ISNUMBER($A358),INT(MOD($A358,10000)/100),IFERROR(VALUE(TRIM(LEFT(MID($A358,FIND("/",$A358)+1,20),FIND("/",MID($A358,FIND("/",$A358)+1,20))-1))),"")))</f>
        <v/>
      </c>
      <c r="D358">
        <f>IF(OR($A358="",$B358=""),"",IF(ISNUMBER($A358),MOD($A358,100),IFERROR(VALUE(TRIM(MID(MID($A358,FIND("/",$A358)+1,20),FIND("/",MID($A358,FIND("/",$A358)+1,20))+1,20))),"")))</f>
        <v/>
      </c>
      <c r="E358">
        <f>IF($A358="","",IF(OR($B358="",$C358="",$D358="",$B358&lt;1300,$B358&gt;1500,$C358&lt;1,$C358&gt;12,$D358&lt;1,$D358&gt;31),"نامعتبر",RIGHT("0000"&amp;$B358,4)&amp;"/"&amp;RIGHT("00"&amp;$C358,2)&amp;"/"&amp;RIGHT("00"&amp;$D358,2)))</f>
        <v/>
      </c>
      <c r="F358">
        <f>IF(Entry!$D358&lt;&gt;"",IF(AND(ISNUMBER(Entry!$D358),Entry!$D358&gt;=0,Entry!$D358&lt;1),RIGHT("00"&amp;HOUR(Entry!$D358),2)&amp;":"&amp;RIGHT("00"&amp;MINUTE(Entry!$D358),2),IFERROR(RIGHT("00"&amp;VALUE(TRIM(LEFT(Entry!$D358,FIND(":",Entry!$D358)-1))),2)&amp;":"&amp;RIGHT("00"&amp;VALUE(TRIM(MID(Entry!$D358,FIND(":",Entry!$D358)+1,2))),2),"نامعتبر")),IF(OR($E358="",$E358="نامعتبر"),"","00:00"))</f>
        <v/>
      </c>
      <c r="G358">
        <f>IF(OR($E358="",$E358="نامعتبر"),"",IF(Entry!$E358="","",LEFT(UPPER(TRIM(Entry!$E358)),6)))</f>
        <v/>
      </c>
      <c r="H358">
        <f>IF($G358="","",RIGHT($E358,4)&amp;MID($E358,6,2)&amp;RIGHT($E358,2)&amp;IF($F358="","0000",IF($F358="نامعتبر","9999",LEFT($F358,2)&amp;RIGHT($F358,2)))&amp;"|"&amp;RIGHT("00000"&amp;350,5))</f>
        <v/>
      </c>
      <c r="I358">
        <f>IF($H358="","",COUNTIFS(CalcBank,$G358,CalcKey,"&lt;"&amp;$H358)+1)</f>
        <v/>
      </c>
      <c r="J358">
        <f>IF($I358="","",$G358&amp;"|"&amp;RIGHT("000000"&amp;$I358,6))</f>
        <v/>
      </c>
      <c r="K358">
        <f>IF(OR($E358="",$E358="نامعتبر"),"",LEFT($E358,4)&amp;"/"&amp;MID($E358,6,2))</f>
        <v/>
      </c>
      <c r="L358">
        <f>IF(Entry!$K358="",0,Entry!$K358)</f>
        <v/>
      </c>
      <c r="M358">
        <f>IF(Entry!$L358="",0,Entry!$L358)</f>
        <v/>
      </c>
    </row>
    <row r="359">
      <c r="A359">
        <f>IF(Entry!$C359="","",Entry!$C359)</f>
        <v/>
      </c>
      <c r="B359">
        <f>IF($A359="","",IF(ISNUMBER($A359),IF(AND($A359&gt;=10000101,$A359&lt;=99991231),INT($A359/10000),""),IFERROR(VALUE(TRIM(LEFT($A359,FIND("/",$A359)-1))),"")))</f>
        <v/>
      </c>
      <c r="C359">
        <f>IF(OR($A359="",$B359=""),"",IF(ISNUMBER($A359),INT(MOD($A359,10000)/100),IFERROR(VALUE(TRIM(LEFT(MID($A359,FIND("/",$A359)+1,20),FIND("/",MID($A359,FIND("/",$A359)+1,20))-1))),"")))</f>
        <v/>
      </c>
      <c r="D359">
        <f>IF(OR($A359="",$B359=""),"",IF(ISNUMBER($A359),MOD($A359,100),IFERROR(VALUE(TRIM(MID(MID($A359,FIND("/",$A359)+1,20),FIND("/",MID($A359,FIND("/",$A359)+1,20))+1,20))),"")))</f>
        <v/>
      </c>
      <c r="E359">
        <f>IF($A359="","",IF(OR($B359="",$C359="",$D359="",$B359&lt;1300,$B359&gt;1500,$C359&lt;1,$C359&gt;12,$D359&lt;1,$D359&gt;31),"نامعتبر",RIGHT("0000"&amp;$B359,4)&amp;"/"&amp;RIGHT("00"&amp;$C359,2)&amp;"/"&amp;RIGHT("00"&amp;$D359,2)))</f>
        <v/>
      </c>
      <c r="F359">
        <f>IF(Entry!$D359&lt;&gt;"",IF(AND(ISNUMBER(Entry!$D359),Entry!$D359&gt;=0,Entry!$D359&lt;1),RIGHT("00"&amp;HOUR(Entry!$D359),2)&amp;":"&amp;RIGHT("00"&amp;MINUTE(Entry!$D359),2),IFERROR(RIGHT("00"&amp;VALUE(TRIM(LEFT(Entry!$D359,FIND(":",Entry!$D359)-1))),2)&amp;":"&amp;RIGHT("00"&amp;VALUE(TRIM(MID(Entry!$D359,FIND(":",Entry!$D359)+1,2))),2),"نامعتبر")),IF(OR($E359="",$E359="نامعتبر"),"","00:00"))</f>
        <v/>
      </c>
      <c r="G359">
        <f>IF(OR($E359="",$E359="نامعتبر"),"",IF(Entry!$E359="","",LEFT(UPPER(TRIM(Entry!$E359)),6)))</f>
        <v/>
      </c>
      <c r="H359">
        <f>IF($G359="","",RIGHT($E359,4)&amp;MID($E359,6,2)&amp;RIGHT($E359,2)&amp;IF($F359="","0000",IF($F359="نامعتبر","9999",LEFT($F359,2)&amp;RIGHT($F359,2)))&amp;"|"&amp;RIGHT("00000"&amp;351,5))</f>
        <v/>
      </c>
      <c r="I359">
        <f>IF($H359="","",COUNTIFS(CalcBank,$G359,CalcKey,"&lt;"&amp;$H359)+1)</f>
        <v/>
      </c>
      <c r="J359">
        <f>IF($I359="","",$G359&amp;"|"&amp;RIGHT("000000"&amp;$I359,6))</f>
        <v/>
      </c>
      <c r="K359">
        <f>IF(OR($E359="",$E359="نامعتبر"),"",LEFT($E359,4)&amp;"/"&amp;MID($E359,6,2))</f>
        <v/>
      </c>
      <c r="L359">
        <f>IF(Entry!$K359="",0,Entry!$K359)</f>
        <v/>
      </c>
      <c r="M359">
        <f>IF(Entry!$L359="",0,Entry!$L359)</f>
        <v/>
      </c>
    </row>
    <row r="360">
      <c r="A360">
        <f>IF(Entry!$C360="","",Entry!$C360)</f>
        <v/>
      </c>
      <c r="B360">
        <f>IF($A360="","",IF(ISNUMBER($A360),IF(AND($A360&gt;=10000101,$A360&lt;=99991231),INT($A360/10000),""),IFERROR(VALUE(TRIM(LEFT($A360,FIND("/",$A360)-1))),"")))</f>
        <v/>
      </c>
      <c r="C360">
        <f>IF(OR($A360="",$B360=""),"",IF(ISNUMBER($A360),INT(MOD($A360,10000)/100),IFERROR(VALUE(TRIM(LEFT(MID($A360,FIND("/",$A360)+1,20),FIND("/",MID($A360,FIND("/",$A360)+1,20))-1))),"")))</f>
        <v/>
      </c>
      <c r="D360">
        <f>IF(OR($A360="",$B360=""),"",IF(ISNUMBER($A360),MOD($A360,100),IFERROR(VALUE(TRIM(MID(MID($A360,FIND("/",$A360)+1,20),FIND("/",MID($A360,FIND("/",$A360)+1,20))+1,20))),"")))</f>
        <v/>
      </c>
      <c r="E360">
        <f>IF($A360="","",IF(OR($B360="",$C360="",$D360="",$B360&lt;1300,$B360&gt;1500,$C360&lt;1,$C360&gt;12,$D360&lt;1,$D360&gt;31),"نامعتبر",RIGHT("0000"&amp;$B360,4)&amp;"/"&amp;RIGHT("00"&amp;$C360,2)&amp;"/"&amp;RIGHT("00"&amp;$D360,2)))</f>
        <v/>
      </c>
      <c r="F360">
        <f>IF(Entry!$D360&lt;&gt;"",IF(AND(ISNUMBER(Entry!$D360),Entry!$D360&gt;=0,Entry!$D360&lt;1),RIGHT("00"&amp;HOUR(Entry!$D360),2)&amp;":"&amp;RIGHT("00"&amp;MINUTE(Entry!$D360),2),IFERROR(RIGHT("00"&amp;VALUE(TRIM(LEFT(Entry!$D360,FIND(":",Entry!$D360)-1))),2)&amp;":"&amp;RIGHT("00"&amp;VALUE(TRIM(MID(Entry!$D360,FIND(":",Entry!$D360)+1,2))),2),"نامعتبر")),IF(OR($E360="",$E360="نامعتبر"),"","00:00"))</f>
        <v/>
      </c>
      <c r="G360">
        <f>IF(OR($E360="",$E360="نامعتبر"),"",IF(Entry!$E360="","",LEFT(UPPER(TRIM(Entry!$E360)),6)))</f>
        <v/>
      </c>
      <c r="H360">
        <f>IF($G360="","",RIGHT($E360,4)&amp;MID($E360,6,2)&amp;RIGHT($E360,2)&amp;IF($F360="","0000",IF($F360="نامعتبر","9999",LEFT($F360,2)&amp;RIGHT($F360,2)))&amp;"|"&amp;RIGHT("00000"&amp;352,5))</f>
        <v/>
      </c>
      <c r="I360">
        <f>IF($H360="","",COUNTIFS(CalcBank,$G360,CalcKey,"&lt;"&amp;$H360)+1)</f>
        <v/>
      </c>
      <c r="J360">
        <f>IF($I360="","",$G360&amp;"|"&amp;RIGHT("000000"&amp;$I360,6))</f>
        <v/>
      </c>
      <c r="K360">
        <f>IF(OR($E360="",$E360="نامعتبر"),"",LEFT($E360,4)&amp;"/"&amp;MID($E360,6,2))</f>
        <v/>
      </c>
      <c r="L360">
        <f>IF(Entry!$K360="",0,Entry!$K360)</f>
        <v/>
      </c>
      <c r="M360">
        <f>IF(Entry!$L360="",0,Entry!$L360)</f>
        <v/>
      </c>
    </row>
    <row r="361">
      <c r="A361">
        <f>IF(Entry!$C361="","",Entry!$C361)</f>
        <v/>
      </c>
      <c r="B361">
        <f>IF($A361="","",IF(ISNUMBER($A361),IF(AND($A361&gt;=10000101,$A361&lt;=99991231),INT($A361/10000),""),IFERROR(VALUE(TRIM(LEFT($A361,FIND("/",$A361)-1))),"")))</f>
        <v/>
      </c>
      <c r="C361">
        <f>IF(OR($A361="",$B361=""),"",IF(ISNUMBER($A361),INT(MOD($A361,10000)/100),IFERROR(VALUE(TRIM(LEFT(MID($A361,FIND("/",$A361)+1,20),FIND("/",MID($A361,FIND("/",$A361)+1,20))-1))),"")))</f>
        <v/>
      </c>
      <c r="D361">
        <f>IF(OR($A361="",$B361=""),"",IF(ISNUMBER($A361),MOD($A361,100),IFERROR(VALUE(TRIM(MID(MID($A361,FIND("/",$A361)+1,20),FIND("/",MID($A361,FIND("/",$A361)+1,20))+1,20))),"")))</f>
        <v/>
      </c>
      <c r="E361">
        <f>IF($A361="","",IF(OR($B361="",$C361="",$D361="",$B361&lt;1300,$B361&gt;1500,$C361&lt;1,$C361&gt;12,$D361&lt;1,$D361&gt;31),"نامعتبر",RIGHT("0000"&amp;$B361,4)&amp;"/"&amp;RIGHT("00"&amp;$C361,2)&amp;"/"&amp;RIGHT("00"&amp;$D361,2)))</f>
        <v/>
      </c>
      <c r="F361">
        <f>IF(Entry!$D361&lt;&gt;"",IF(AND(ISNUMBER(Entry!$D361),Entry!$D361&gt;=0,Entry!$D361&lt;1),RIGHT("00"&amp;HOUR(Entry!$D361),2)&amp;":"&amp;RIGHT("00"&amp;MINUTE(Entry!$D361),2),IFERROR(RIGHT("00"&amp;VALUE(TRIM(LEFT(Entry!$D361,FIND(":",Entry!$D361)-1))),2)&amp;":"&amp;RIGHT("00"&amp;VALUE(TRIM(MID(Entry!$D361,FIND(":",Entry!$D361)+1,2))),2),"نامعتبر")),IF(OR($E361="",$E361="نامعتبر"),"","00:00"))</f>
        <v/>
      </c>
      <c r="G361">
        <f>IF(OR($E361="",$E361="نامعتبر"),"",IF(Entry!$E361="","",LEFT(UPPER(TRIM(Entry!$E361)),6)))</f>
        <v/>
      </c>
      <c r="H361">
        <f>IF($G361="","",RIGHT($E361,4)&amp;MID($E361,6,2)&amp;RIGHT($E361,2)&amp;IF($F361="","0000",IF($F361="نامعتبر","9999",LEFT($F361,2)&amp;RIGHT($F361,2)))&amp;"|"&amp;RIGHT("00000"&amp;353,5))</f>
        <v/>
      </c>
      <c r="I361">
        <f>IF($H361="","",COUNTIFS(CalcBank,$G361,CalcKey,"&lt;"&amp;$H361)+1)</f>
        <v/>
      </c>
      <c r="J361">
        <f>IF($I361="","",$G361&amp;"|"&amp;RIGHT("000000"&amp;$I361,6))</f>
        <v/>
      </c>
      <c r="K361">
        <f>IF(OR($E361="",$E361="نامعتبر"),"",LEFT($E361,4)&amp;"/"&amp;MID($E361,6,2))</f>
        <v/>
      </c>
      <c r="L361">
        <f>IF(Entry!$K361="",0,Entry!$K361)</f>
        <v/>
      </c>
      <c r="M361">
        <f>IF(Entry!$L361="",0,Entry!$L361)</f>
        <v/>
      </c>
    </row>
    <row r="362">
      <c r="A362">
        <f>IF(Entry!$C362="","",Entry!$C362)</f>
        <v/>
      </c>
      <c r="B362">
        <f>IF($A362="","",IF(ISNUMBER($A362),IF(AND($A362&gt;=10000101,$A362&lt;=99991231),INT($A362/10000),""),IFERROR(VALUE(TRIM(LEFT($A362,FIND("/",$A362)-1))),"")))</f>
        <v/>
      </c>
      <c r="C362">
        <f>IF(OR($A362="",$B362=""),"",IF(ISNUMBER($A362),INT(MOD($A362,10000)/100),IFERROR(VALUE(TRIM(LEFT(MID($A362,FIND("/",$A362)+1,20),FIND("/",MID($A362,FIND("/",$A362)+1,20))-1))),"")))</f>
        <v/>
      </c>
      <c r="D362">
        <f>IF(OR($A362="",$B362=""),"",IF(ISNUMBER($A362),MOD($A362,100),IFERROR(VALUE(TRIM(MID(MID($A362,FIND("/",$A362)+1,20),FIND("/",MID($A362,FIND("/",$A362)+1,20))+1,20))),"")))</f>
        <v/>
      </c>
      <c r="E362">
        <f>IF($A362="","",IF(OR($B362="",$C362="",$D362="",$B362&lt;1300,$B362&gt;1500,$C362&lt;1,$C362&gt;12,$D362&lt;1,$D362&gt;31),"نامعتبر",RIGHT("0000"&amp;$B362,4)&amp;"/"&amp;RIGHT("00"&amp;$C362,2)&amp;"/"&amp;RIGHT("00"&amp;$D362,2)))</f>
        <v/>
      </c>
      <c r="F362">
        <f>IF(Entry!$D362&lt;&gt;"",IF(AND(ISNUMBER(Entry!$D362),Entry!$D362&gt;=0,Entry!$D362&lt;1),RIGHT("00"&amp;HOUR(Entry!$D362),2)&amp;":"&amp;RIGHT("00"&amp;MINUTE(Entry!$D362),2),IFERROR(RIGHT("00"&amp;VALUE(TRIM(LEFT(Entry!$D362,FIND(":",Entry!$D362)-1))),2)&amp;":"&amp;RIGHT("00"&amp;VALUE(TRIM(MID(Entry!$D362,FIND(":",Entry!$D362)+1,2))),2),"نامعتبر")),IF(OR($E362="",$E362="نامعتبر"),"","00:00"))</f>
        <v/>
      </c>
      <c r="G362">
        <f>IF(OR($E362="",$E362="نامعتبر"),"",IF(Entry!$E362="","",LEFT(UPPER(TRIM(Entry!$E362)),6)))</f>
        <v/>
      </c>
      <c r="H362">
        <f>IF($G362="","",RIGHT($E362,4)&amp;MID($E362,6,2)&amp;RIGHT($E362,2)&amp;IF($F362="","0000",IF($F362="نامعتبر","9999",LEFT($F362,2)&amp;RIGHT($F362,2)))&amp;"|"&amp;RIGHT("00000"&amp;354,5))</f>
        <v/>
      </c>
      <c r="I362">
        <f>IF($H362="","",COUNTIFS(CalcBank,$G362,CalcKey,"&lt;"&amp;$H362)+1)</f>
        <v/>
      </c>
      <c r="J362">
        <f>IF($I362="","",$G362&amp;"|"&amp;RIGHT("000000"&amp;$I362,6))</f>
        <v/>
      </c>
      <c r="K362">
        <f>IF(OR($E362="",$E362="نامعتبر"),"",LEFT($E362,4)&amp;"/"&amp;MID($E362,6,2))</f>
        <v/>
      </c>
      <c r="L362">
        <f>IF(Entry!$K362="",0,Entry!$K362)</f>
        <v/>
      </c>
      <c r="M362">
        <f>IF(Entry!$L362="",0,Entry!$L362)</f>
        <v/>
      </c>
    </row>
    <row r="363">
      <c r="A363">
        <f>IF(Entry!$C363="","",Entry!$C363)</f>
        <v/>
      </c>
      <c r="B363">
        <f>IF($A363="","",IF(ISNUMBER($A363),IF(AND($A363&gt;=10000101,$A363&lt;=99991231),INT($A363/10000),""),IFERROR(VALUE(TRIM(LEFT($A363,FIND("/",$A363)-1))),"")))</f>
        <v/>
      </c>
      <c r="C363">
        <f>IF(OR($A363="",$B363=""),"",IF(ISNUMBER($A363),INT(MOD($A363,10000)/100),IFERROR(VALUE(TRIM(LEFT(MID($A363,FIND("/",$A363)+1,20),FIND("/",MID($A363,FIND("/",$A363)+1,20))-1))),"")))</f>
        <v/>
      </c>
      <c r="D363">
        <f>IF(OR($A363="",$B363=""),"",IF(ISNUMBER($A363),MOD($A363,100),IFERROR(VALUE(TRIM(MID(MID($A363,FIND("/",$A363)+1,20),FIND("/",MID($A363,FIND("/",$A363)+1,20))+1,20))),"")))</f>
        <v/>
      </c>
      <c r="E363">
        <f>IF($A363="","",IF(OR($B363="",$C363="",$D363="",$B363&lt;1300,$B363&gt;1500,$C363&lt;1,$C363&gt;12,$D363&lt;1,$D363&gt;31),"نامعتبر",RIGHT("0000"&amp;$B363,4)&amp;"/"&amp;RIGHT("00"&amp;$C363,2)&amp;"/"&amp;RIGHT("00"&amp;$D363,2)))</f>
        <v/>
      </c>
      <c r="F363">
        <f>IF(Entry!$D363&lt;&gt;"",IF(AND(ISNUMBER(Entry!$D363),Entry!$D363&gt;=0,Entry!$D363&lt;1),RIGHT("00"&amp;HOUR(Entry!$D363),2)&amp;":"&amp;RIGHT("00"&amp;MINUTE(Entry!$D363),2),IFERROR(RIGHT("00"&amp;VALUE(TRIM(LEFT(Entry!$D363,FIND(":",Entry!$D363)-1))),2)&amp;":"&amp;RIGHT("00"&amp;VALUE(TRIM(MID(Entry!$D363,FIND(":",Entry!$D363)+1,2))),2),"نامعتبر")),IF(OR($E363="",$E363="نامعتبر"),"","00:00"))</f>
        <v/>
      </c>
      <c r="G363">
        <f>IF(OR($E363="",$E363="نامعتبر"),"",IF(Entry!$E363="","",LEFT(UPPER(TRIM(Entry!$E363)),6)))</f>
        <v/>
      </c>
      <c r="H363">
        <f>IF($G363="","",RIGHT($E363,4)&amp;MID($E363,6,2)&amp;RIGHT($E363,2)&amp;IF($F363="","0000",IF($F363="نامعتبر","9999",LEFT($F363,2)&amp;RIGHT($F363,2)))&amp;"|"&amp;RIGHT("00000"&amp;355,5))</f>
        <v/>
      </c>
      <c r="I363">
        <f>IF($H363="","",COUNTIFS(CalcBank,$G363,CalcKey,"&lt;"&amp;$H363)+1)</f>
        <v/>
      </c>
      <c r="J363">
        <f>IF($I363="","",$G363&amp;"|"&amp;RIGHT("000000"&amp;$I363,6))</f>
        <v/>
      </c>
      <c r="K363">
        <f>IF(OR($E363="",$E363="نامعتبر"),"",LEFT($E363,4)&amp;"/"&amp;MID($E363,6,2))</f>
        <v/>
      </c>
      <c r="L363">
        <f>IF(Entry!$K363="",0,Entry!$K363)</f>
        <v/>
      </c>
      <c r="M363">
        <f>IF(Entry!$L363="",0,Entry!$L363)</f>
        <v/>
      </c>
    </row>
    <row r="364">
      <c r="A364">
        <f>IF(Entry!$C364="","",Entry!$C364)</f>
        <v/>
      </c>
      <c r="B364">
        <f>IF($A364="","",IF(ISNUMBER($A364),IF(AND($A364&gt;=10000101,$A364&lt;=99991231),INT($A364/10000),""),IFERROR(VALUE(TRIM(LEFT($A364,FIND("/",$A364)-1))),"")))</f>
        <v/>
      </c>
      <c r="C364">
        <f>IF(OR($A364="",$B364=""),"",IF(ISNUMBER($A364),INT(MOD($A364,10000)/100),IFERROR(VALUE(TRIM(LEFT(MID($A364,FIND("/",$A364)+1,20),FIND("/",MID($A364,FIND("/",$A364)+1,20))-1))),"")))</f>
        <v/>
      </c>
      <c r="D364">
        <f>IF(OR($A364="",$B364=""),"",IF(ISNUMBER($A364),MOD($A364,100),IFERROR(VALUE(TRIM(MID(MID($A364,FIND("/",$A364)+1,20),FIND("/",MID($A364,FIND("/",$A364)+1,20))+1,20))),"")))</f>
        <v/>
      </c>
      <c r="E364">
        <f>IF($A364="","",IF(OR($B364="",$C364="",$D364="",$B364&lt;1300,$B364&gt;1500,$C364&lt;1,$C364&gt;12,$D364&lt;1,$D364&gt;31),"نامعتبر",RIGHT("0000"&amp;$B364,4)&amp;"/"&amp;RIGHT("00"&amp;$C364,2)&amp;"/"&amp;RIGHT("00"&amp;$D364,2)))</f>
        <v/>
      </c>
      <c r="F364">
        <f>IF(Entry!$D364&lt;&gt;"",IF(AND(ISNUMBER(Entry!$D364),Entry!$D364&gt;=0,Entry!$D364&lt;1),RIGHT("00"&amp;HOUR(Entry!$D364),2)&amp;":"&amp;RIGHT("00"&amp;MINUTE(Entry!$D364),2),IFERROR(RIGHT("00"&amp;VALUE(TRIM(LEFT(Entry!$D364,FIND(":",Entry!$D364)-1))),2)&amp;":"&amp;RIGHT("00"&amp;VALUE(TRIM(MID(Entry!$D364,FIND(":",Entry!$D364)+1,2))),2),"نامعتبر")),IF(OR($E364="",$E364="نامعتبر"),"","00:00"))</f>
        <v/>
      </c>
      <c r="G364">
        <f>IF(OR($E364="",$E364="نامعتبر"),"",IF(Entry!$E364="","",LEFT(UPPER(TRIM(Entry!$E364)),6)))</f>
        <v/>
      </c>
      <c r="H364">
        <f>IF($G364="","",RIGHT($E364,4)&amp;MID($E364,6,2)&amp;RIGHT($E364,2)&amp;IF($F364="","0000",IF($F364="نامعتبر","9999",LEFT($F364,2)&amp;RIGHT($F364,2)))&amp;"|"&amp;RIGHT("00000"&amp;356,5))</f>
        <v/>
      </c>
      <c r="I364">
        <f>IF($H364="","",COUNTIFS(CalcBank,$G364,CalcKey,"&lt;"&amp;$H364)+1)</f>
        <v/>
      </c>
      <c r="J364">
        <f>IF($I364="","",$G364&amp;"|"&amp;RIGHT("000000"&amp;$I364,6))</f>
        <v/>
      </c>
      <c r="K364">
        <f>IF(OR($E364="",$E364="نامعتبر"),"",LEFT($E364,4)&amp;"/"&amp;MID($E364,6,2))</f>
        <v/>
      </c>
      <c r="L364">
        <f>IF(Entry!$K364="",0,Entry!$K364)</f>
        <v/>
      </c>
      <c r="M364">
        <f>IF(Entry!$L364="",0,Entry!$L364)</f>
        <v/>
      </c>
    </row>
    <row r="365">
      <c r="A365">
        <f>IF(Entry!$C365="","",Entry!$C365)</f>
        <v/>
      </c>
      <c r="B365">
        <f>IF($A365="","",IF(ISNUMBER($A365),IF(AND($A365&gt;=10000101,$A365&lt;=99991231),INT($A365/10000),""),IFERROR(VALUE(TRIM(LEFT($A365,FIND("/",$A365)-1))),"")))</f>
        <v/>
      </c>
      <c r="C365">
        <f>IF(OR($A365="",$B365=""),"",IF(ISNUMBER($A365),INT(MOD($A365,10000)/100),IFERROR(VALUE(TRIM(LEFT(MID($A365,FIND("/",$A365)+1,20),FIND("/",MID($A365,FIND("/",$A365)+1,20))-1))),"")))</f>
        <v/>
      </c>
      <c r="D365">
        <f>IF(OR($A365="",$B365=""),"",IF(ISNUMBER($A365),MOD($A365,100),IFERROR(VALUE(TRIM(MID(MID($A365,FIND("/",$A365)+1,20),FIND("/",MID($A365,FIND("/",$A365)+1,20))+1,20))),"")))</f>
        <v/>
      </c>
      <c r="E365">
        <f>IF($A365="","",IF(OR($B365="",$C365="",$D365="",$B365&lt;1300,$B365&gt;1500,$C365&lt;1,$C365&gt;12,$D365&lt;1,$D365&gt;31),"نامعتبر",RIGHT("0000"&amp;$B365,4)&amp;"/"&amp;RIGHT("00"&amp;$C365,2)&amp;"/"&amp;RIGHT("00"&amp;$D365,2)))</f>
        <v/>
      </c>
      <c r="F365">
        <f>IF(Entry!$D365&lt;&gt;"",IF(AND(ISNUMBER(Entry!$D365),Entry!$D365&gt;=0,Entry!$D365&lt;1),RIGHT("00"&amp;HOUR(Entry!$D365),2)&amp;":"&amp;RIGHT("00"&amp;MINUTE(Entry!$D365),2),IFERROR(RIGHT("00"&amp;VALUE(TRIM(LEFT(Entry!$D365,FIND(":",Entry!$D365)-1))),2)&amp;":"&amp;RIGHT("00"&amp;VALUE(TRIM(MID(Entry!$D365,FIND(":",Entry!$D365)+1,2))),2),"نامعتبر")),IF(OR($E365="",$E365="نامعتبر"),"","00:00"))</f>
        <v/>
      </c>
      <c r="G365">
        <f>IF(OR($E365="",$E365="نامعتبر"),"",IF(Entry!$E365="","",LEFT(UPPER(TRIM(Entry!$E365)),6)))</f>
        <v/>
      </c>
      <c r="H365">
        <f>IF($G365="","",RIGHT($E365,4)&amp;MID($E365,6,2)&amp;RIGHT($E365,2)&amp;IF($F365="","0000",IF($F365="نامعتبر","9999",LEFT($F365,2)&amp;RIGHT($F365,2)))&amp;"|"&amp;RIGHT("00000"&amp;357,5))</f>
        <v/>
      </c>
      <c r="I365">
        <f>IF($H365="","",COUNTIFS(CalcBank,$G365,CalcKey,"&lt;"&amp;$H365)+1)</f>
        <v/>
      </c>
      <c r="J365">
        <f>IF($I365="","",$G365&amp;"|"&amp;RIGHT("000000"&amp;$I365,6))</f>
        <v/>
      </c>
      <c r="K365">
        <f>IF(OR($E365="",$E365="نامعتبر"),"",LEFT($E365,4)&amp;"/"&amp;MID($E365,6,2))</f>
        <v/>
      </c>
      <c r="L365">
        <f>IF(Entry!$K365="",0,Entry!$K365)</f>
        <v/>
      </c>
      <c r="M365">
        <f>IF(Entry!$L365="",0,Entry!$L365)</f>
        <v/>
      </c>
    </row>
    <row r="366">
      <c r="A366">
        <f>IF(Entry!$C366="","",Entry!$C366)</f>
        <v/>
      </c>
      <c r="B366">
        <f>IF($A366="","",IF(ISNUMBER($A366),IF(AND($A366&gt;=10000101,$A366&lt;=99991231),INT($A366/10000),""),IFERROR(VALUE(TRIM(LEFT($A366,FIND("/",$A366)-1))),"")))</f>
        <v/>
      </c>
      <c r="C366">
        <f>IF(OR($A366="",$B366=""),"",IF(ISNUMBER($A366),INT(MOD($A366,10000)/100),IFERROR(VALUE(TRIM(LEFT(MID($A366,FIND("/",$A366)+1,20),FIND("/",MID($A366,FIND("/",$A366)+1,20))-1))),"")))</f>
        <v/>
      </c>
      <c r="D366">
        <f>IF(OR($A366="",$B366=""),"",IF(ISNUMBER($A366),MOD($A366,100),IFERROR(VALUE(TRIM(MID(MID($A366,FIND("/",$A366)+1,20),FIND("/",MID($A366,FIND("/",$A366)+1,20))+1,20))),"")))</f>
        <v/>
      </c>
      <c r="E366">
        <f>IF($A366="","",IF(OR($B366="",$C366="",$D366="",$B366&lt;1300,$B366&gt;1500,$C366&lt;1,$C366&gt;12,$D366&lt;1,$D366&gt;31),"نامعتبر",RIGHT("0000"&amp;$B366,4)&amp;"/"&amp;RIGHT("00"&amp;$C366,2)&amp;"/"&amp;RIGHT("00"&amp;$D366,2)))</f>
        <v/>
      </c>
      <c r="F366">
        <f>IF(Entry!$D366&lt;&gt;"",IF(AND(ISNUMBER(Entry!$D366),Entry!$D366&gt;=0,Entry!$D366&lt;1),RIGHT("00"&amp;HOUR(Entry!$D366),2)&amp;":"&amp;RIGHT("00"&amp;MINUTE(Entry!$D366),2),IFERROR(RIGHT("00"&amp;VALUE(TRIM(LEFT(Entry!$D366,FIND(":",Entry!$D366)-1))),2)&amp;":"&amp;RIGHT("00"&amp;VALUE(TRIM(MID(Entry!$D366,FIND(":",Entry!$D366)+1,2))),2),"نامعتبر")),IF(OR($E366="",$E366="نامعتبر"),"","00:00"))</f>
        <v/>
      </c>
      <c r="G366">
        <f>IF(OR($E366="",$E366="نامعتبر"),"",IF(Entry!$E366="","",LEFT(UPPER(TRIM(Entry!$E366)),6)))</f>
        <v/>
      </c>
      <c r="H366">
        <f>IF($G366="","",RIGHT($E366,4)&amp;MID($E366,6,2)&amp;RIGHT($E366,2)&amp;IF($F366="","0000",IF($F366="نامعتبر","9999",LEFT($F366,2)&amp;RIGHT($F366,2)))&amp;"|"&amp;RIGHT("00000"&amp;358,5))</f>
        <v/>
      </c>
      <c r="I366">
        <f>IF($H366="","",COUNTIFS(CalcBank,$G366,CalcKey,"&lt;"&amp;$H366)+1)</f>
        <v/>
      </c>
      <c r="J366">
        <f>IF($I366="","",$G366&amp;"|"&amp;RIGHT("000000"&amp;$I366,6))</f>
        <v/>
      </c>
      <c r="K366">
        <f>IF(OR($E366="",$E366="نامعتبر"),"",LEFT($E366,4)&amp;"/"&amp;MID($E366,6,2))</f>
        <v/>
      </c>
      <c r="L366">
        <f>IF(Entry!$K366="",0,Entry!$K366)</f>
        <v/>
      </c>
      <c r="M366">
        <f>IF(Entry!$L366="",0,Entry!$L366)</f>
        <v/>
      </c>
    </row>
    <row r="367">
      <c r="A367">
        <f>IF(Entry!$C367="","",Entry!$C367)</f>
        <v/>
      </c>
      <c r="B367">
        <f>IF($A367="","",IF(ISNUMBER($A367),IF(AND($A367&gt;=10000101,$A367&lt;=99991231),INT($A367/10000),""),IFERROR(VALUE(TRIM(LEFT($A367,FIND("/",$A367)-1))),"")))</f>
        <v/>
      </c>
      <c r="C367">
        <f>IF(OR($A367="",$B367=""),"",IF(ISNUMBER($A367),INT(MOD($A367,10000)/100),IFERROR(VALUE(TRIM(LEFT(MID($A367,FIND("/",$A367)+1,20),FIND("/",MID($A367,FIND("/",$A367)+1,20))-1))),"")))</f>
        <v/>
      </c>
      <c r="D367">
        <f>IF(OR($A367="",$B367=""),"",IF(ISNUMBER($A367),MOD($A367,100),IFERROR(VALUE(TRIM(MID(MID($A367,FIND("/",$A367)+1,20),FIND("/",MID($A367,FIND("/",$A367)+1,20))+1,20))),"")))</f>
        <v/>
      </c>
      <c r="E367">
        <f>IF($A367="","",IF(OR($B367="",$C367="",$D367="",$B367&lt;1300,$B367&gt;1500,$C367&lt;1,$C367&gt;12,$D367&lt;1,$D367&gt;31),"نامعتبر",RIGHT("0000"&amp;$B367,4)&amp;"/"&amp;RIGHT("00"&amp;$C367,2)&amp;"/"&amp;RIGHT("00"&amp;$D367,2)))</f>
        <v/>
      </c>
      <c r="F367">
        <f>IF(Entry!$D367&lt;&gt;"",IF(AND(ISNUMBER(Entry!$D367),Entry!$D367&gt;=0,Entry!$D367&lt;1),RIGHT("00"&amp;HOUR(Entry!$D367),2)&amp;":"&amp;RIGHT("00"&amp;MINUTE(Entry!$D367),2),IFERROR(RIGHT("00"&amp;VALUE(TRIM(LEFT(Entry!$D367,FIND(":",Entry!$D367)-1))),2)&amp;":"&amp;RIGHT("00"&amp;VALUE(TRIM(MID(Entry!$D367,FIND(":",Entry!$D367)+1,2))),2),"نامعتبر")),IF(OR($E367="",$E367="نامعتبر"),"","00:00"))</f>
        <v/>
      </c>
      <c r="G367">
        <f>IF(OR($E367="",$E367="نامعتبر"),"",IF(Entry!$E367="","",LEFT(UPPER(TRIM(Entry!$E367)),6)))</f>
        <v/>
      </c>
      <c r="H367">
        <f>IF($G367="","",RIGHT($E367,4)&amp;MID($E367,6,2)&amp;RIGHT($E367,2)&amp;IF($F367="","0000",IF($F367="نامعتبر","9999",LEFT($F367,2)&amp;RIGHT($F367,2)))&amp;"|"&amp;RIGHT("00000"&amp;359,5))</f>
        <v/>
      </c>
      <c r="I367">
        <f>IF($H367="","",COUNTIFS(CalcBank,$G367,CalcKey,"&lt;"&amp;$H367)+1)</f>
        <v/>
      </c>
      <c r="J367">
        <f>IF($I367="","",$G367&amp;"|"&amp;RIGHT("000000"&amp;$I367,6))</f>
        <v/>
      </c>
      <c r="K367">
        <f>IF(OR($E367="",$E367="نامعتبر"),"",LEFT($E367,4)&amp;"/"&amp;MID($E367,6,2))</f>
        <v/>
      </c>
      <c r="L367">
        <f>IF(Entry!$K367="",0,Entry!$K367)</f>
        <v/>
      </c>
      <c r="M367">
        <f>IF(Entry!$L367="",0,Entry!$L367)</f>
        <v/>
      </c>
    </row>
    <row r="368">
      <c r="A368">
        <f>IF(Entry!$C368="","",Entry!$C368)</f>
        <v/>
      </c>
      <c r="B368">
        <f>IF($A368="","",IF(ISNUMBER($A368),IF(AND($A368&gt;=10000101,$A368&lt;=99991231),INT($A368/10000),""),IFERROR(VALUE(TRIM(LEFT($A368,FIND("/",$A368)-1))),"")))</f>
        <v/>
      </c>
      <c r="C368">
        <f>IF(OR($A368="",$B368=""),"",IF(ISNUMBER($A368),INT(MOD($A368,10000)/100),IFERROR(VALUE(TRIM(LEFT(MID($A368,FIND("/",$A368)+1,20),FIND("/",MID($A368,FIND("/",$A368)+1,20))-1))),"")))</f>
        <v/>
      </c>
      <c r="D368">
        <f>IF(OR($A368="",$B368=""),"",IF(ISNUMBER($A368),MOD($A368,100),IFERROR(VALUE(TRIM(MID(MID($A368,FIND("/",$A368)+1,20),FIND("/",MID($A368,FIND("/",$A368)+1,20))+1,20))),"")))</f>
        <v/>
      </c>
      <c r="E368">
        <f>IF($A368="","",IF(OR($B368="",$C368="",$D368="",$B368&lt;1300,$B368&gt;1500,$C368&lt;1,$C368&gt;12,$D368&lt;1,$D368&gt;31),"نامعتبر",RIGHT("0000"&amp;$B368,4)&amp;"/"&amp;RIGHT("00"&amp;$C368,2)&amp;"/"&amp;RIGHT("00"&amp;$D368,2)))</f>
        <v/>
      </c>
      <c r="F368">
        <f>IF(Entry!$D368&lt;&gt;"",IF(AND(ISNUMBER(Entry!$D368),Entry!$D368&gt;=0,Entry!$D368&lt;1),RIGHT("00"&amp;HOUR(Entry!$D368),2)&amp;":"&amp;RIGHT("00"&amp;MINUTE(Entry!$D368),2),IFERROR(RIGHT("00"&amp;VALUE(TRIM(LEFT(Entry!$D368,FIND(":",Entry!$D368)-1))),2)&amp;":"&amp;RIGHT("00"&amp;VALUE(TRIM(MID(Entry!$D368,FIND(":",Entry!$D368)+1,2))),2),"نامعتبر")),IF(OR($E368="",$E368="نامعتبر"),"","00:00"))</f>
        <v/>
      </c>
      <c r="G368">
        <f>IF(OR($E368="",$E368="نامعتبر"),"",IF(Entry!$E368="","",LEFT(UPPER(TRIM(Entry!$E368)),6)))</f>
        <v/>
      </c>
      <c r="H368">
        <f>IF($G368="","",RIGHT($E368,4)&amp;MID($E368,6,2)&amp;RIGHT($E368,2)&amp;IF($F368="","0000",IF($F368="نامعتبر","9999",LEFT($F368,2)&amp;RIGHT($F368,2)))&amp;"|"&amp;RIGHT("00000"&amp;360,5))</f>
        <v/>
      </c>
      <c r="I368">
        <f>IF($H368="","",COUNTIFS(CalcBank,$G368,CalcKey,"&lt;"&amp;$H368)+1)</f>
        <v/>
      </c>
      <c r="J368">
        <f>IF($I368="","",$G368&amp;"|"&amp;RIGHT("000000"&amp;$I368,6))</f>
        <v/>
      </c>
      <c r="K368">
        <f>IF(OR($E368="",$E368="نامعتبر"),"",LEFT($E368,4)&amp;"/"&amp;MID($E368,6,2))</f>
        <v/>
      </c>
      <c r="L368">
        <f>IF(Entry!$K368="",0,Entry!$K368)</f>
        <v/>
      </c>
      <c r="M368">
        <f>IF(Entry!$L368="",0,Entry!$L368)</f>
        <v/>
      </c>
    </row>
    <row r="369">
      <c r="A369">
        <f>IF(Entry!$C369="","",Entry!$C369)</f>
        <v/>
      </c>
      <c r="B369">
        <f>IF($A369="","",IF(ISNUMBER($A369),IF(AND($A369&gt;=10000101,$A369&lt;=99991231),INT($A369/10000),""),IFERROR(VALUE(TRIM(LEFT($A369,FIND("/",$A369)-1))),"")))</f>
        <v/>
      </c>
      <c r="C369">
        <f>IF(OR($A369="",$B369=""),"",IF(ISNUMBER($A369),INT(MOD($A369,10000)/100),IFERROR(VALUE(TRIM(LEFT(MID($A369,FIND("/",$A369)+1,20),FIND("/",MID($A369,FIND("/",$A369)+1,20))-1))),"")))</f>
        <v/>
      </c>
      <c r="D369">
        <f>IF(OR($A369="",$B369=""),"",IF(ISNUMBER($A369),MOD($A369,100),IFERROR(VALUE(TRIM(MID(MID($A369,FIND("/",$A369)+1,20),FIND("/",MID($A369,FIND("/",$A369)+1,20))+1,20))),"")))</f>
        <v/>
      </c>
      <c r="E369">
        <f>IF($A369="","",IF(OR($B369="",$C369="",$D369="",$B369&lt;1300,$B369&gt;1500,$C369&lt;1,$C369&gt;12,$D369&lt;1,$D369&gt;31),"نامعتبر",RIGHT("0000"&amp;$B369,4)&amp;"/"&amp;RIGHT("00"&amp;$C369,2)&amp;"/"&amp;RIGHT("00"&amp;$D369,2)))</f>
        <v/>
      </c>
      <c r="F369">
        <f>IF(Entry!$D369&lt;&gt;"",IF(AND(ISNUMBER(Entry!$D369),Entry!$D369&gt;=0,Entry!$D369&lt;1),RIGHT("00"&amp;HOUR(Entry!$D369),2)&amp;":"&amp;RIGHT("00"&amp;MINUTE(Entry!$D369),2),IFERROR(RIGHT("00"&amp;VALUE(TRIM(LEFT(Entry!$D369,FIND(":",Entry!$D369)-1))),2)&amp;":"&amp;RIGHT("00"&amp;VALUE(TRIM(MID(Entry!$D369,FIND(":",Entry!$D369)+1,2))),2),"نامعتبر")),IF(OR($E369="",$E369="نامعتبر"),"","00:00"))</f>
        <v/>
      </c>
      <c r="G369">
        <f>IF(OR($E369="",$E369="نامعتبر"),"",IF(Entry!$E369="","",LEFT(UPPER(TRIM(Entry!$E369)),6)))</f>
        <v/>
      </c>
      <c r="H369">
        <f>IF($G369="","",RIGHT($E369,4)&amp;MID($E369,6,2)&amp;RIGHT($E369,2)&amp;IF($F369="","0000",IF($F369="نامعتبر","9999",LEFT($F369,2)&amp;RIGHT($F369,2)))&amp;"|"&amp;RIGHT("00000"&amp;361,5))</f>
        <v/>
      </c>
      <c r="I369">
        <f>IF($H369="","",COUNTIFS(CalcBank,$G369,CalcKey,"&lt;"&amp;$H369)+1)</f>
        <v/>
      </c>
      <c r="J369">
        <f>IF($I369="","",$G369&amp;"|"&amp;RIGHT("000000"&amp;$I369,6))</f>
        <v/>
      </c>
      <c r="K369">
        <f>IF(OR($E369="",$E369="نامعتبر"),"",LEFT($E369,4)&amp;"/"&amp;MID($E369,6,2))</f>
        <v/>
      </c>
      <c r="L369">
        <f>IF(Entry!$K369="",0,Entry!$K369)</f>
        <v/>
      </c>
      <c r="M369">
        <f>IF(Entry!$L369="",0,Entry!$L369)</f>
        <v/>
      </c>
    </row>
    <row r="370">
      <c r="A370">
        <f>IF(Entry!$C370="","",Entry!$C370)</f>
        <v/>
      </c>
      <c r="B370">
        <f>IF($A370="","",IF(ISNUMBER($A370),IF(AND($A370&gt;=10000101,$A370&lt;=99991231),INT($A370/10000),""),IFERROR(VALUE(TRIM(LEFT($A370,FIND("/",$A370)-1))),"")))</f>
        <v/>
      </c>
      <c r="C370">
        <f>IF(OR($A370="",$B370=""),"",IF(ISNUMBER($A370),INT(MOD($A370,10000)/100),IFERROR(VALUE(TRIM(LEFT(MID($A370,FIND("/",$A370)+1,20),FIND("/",MID($A370,FIND("/",$A370)+1,20))-1))),"")))</f>
        <v/>
      </c>
      <c r="D370">
        <f>IF(OR($A370="",$B370=""),"",IF(ISNUMBER($A370),MOD($A370,100),IFERROR(VALUE(TRIM(MID(MID($A370,FIND("/",$A370)+1,20),FIND("/",MID($A370,FIND("/",$A370)+1,20))+1,20))),"")))</f>
        <v/>
      </c>
      <c r="E370">
        <f>IF($A370="","",IF(OR($B370="",$C370="",$D370="",$B370&lt;1300,$B370&gt;1500,$C370&lt;1,$C370&gt;12,$D370&lt;1,$D370&gt;31),"نامعتبر",RIGHT("0000"&amp;$B370,4)&amp;"/"&amp;RIGHT("00"&amp;$C370,2)&amp;"/"&amp;RIGHT("00"&amp;$D370,2)))</f>
        <v/>
      </c>
      <c r="F370">
        <f>IF(Entry!$D370&lt;&gt;"",IF(AND(ISNUMBER(Entry!$D370),Entry!$D370&gt;=0,Entry!$D370&lt;1),RIGHT("00"&amp;HOUR(Entry!$D370),2)&amp;":"&amp;RIGHT("00"&amp;MINUTE(Entry!$D370),2),IFERROR(RIGHT("00"&amp;VALUE(TRIM(LEFT(Entry!$D370,FIND(":",Entry!$D370)-1))),2)&amp;":"&amp;RIGHT("00"&amp;VALUE(TRIM(MID(Entry!$D370,FIND(":",Entry!$D370)+1,2))),2),"نامعتبر")),IF(OR($E370="",$E370="نامعتبر"),"","00:00"))</f>
        <v/>
      </c>
      <c r="G370">
        <f>IF(OR($E370="",$E370="نامعتبر"),"",IF(Entry!$E370="","",LEFT(UPPER(TRIM(Entry!$E370)),6)))</f>
        <v/>
      </c>
      <c r="H370">
        <f>IF($G370="","",RIGHT($E370,4)&amp;MID($E370,6,2)&amp;RIGHT($E370,2)&amp;IF($F370="","0000",IF($F370="نامعتبر","9999",LEFT($F370,2)&amp;RIGHT($F370,2)))&amp;"|"&amp;RIGHT("00000"&amp;362,5))</f>
        <v/>
      </c>
      <c r="I370">
        <f>IF($H370="","",COUNTIFS(CalcBank,$G370,CalcKey,"&lt;"&amp;$H370)+1)</f>
        <v/>
      </c>
      <c r="J370">
        <f>IF($I370="","",$G370&amp;"|"&amp;RIGHT("000000"&amp;$I370,6))</f>
        <v/>
      </c>
      <c r="K370">
        <f>IF(OR($E370="",$E370="نامعتبر"),"",LEFT($E370,4)&amp;"/"&amp;MID($E370,6,2))</f>
        <v/>
      </c>
      <c r="L370">
        <f>IF(Entry!$K370="",0,Entry!$K370)</f>
        <v/>
      </c>
      <c r="M370">
        <f>IF(Entry!$L370="",0,Entry!$L370)</f>
        <v/>
      </c>
    </row>
    <row r="371">
      <c r="A371">
        <f>IF(Entry!$C371="","",Entry!$C371)</f>
        <v/>
      </c>
      <c r="B371">
        <f>IF($A371="","",IF(ISNUMBER($A371),IF(AND($A371&gt;=10000101,$A371&lt;=99991231),INT($A371/10000),""),IFERROR(VALUE(TRIM(LEFT($A371,FIND("/",$A371)-1))),"")))</f>
        <v/>
      </c>
      <c r="C371">
        <f>IF(OR($A371="",$B371=""),"",IF(ISNUMBER($A371),INT(MOD($A371,10000)/100),IFERROR(VALUE(TRIM(LEFT(MID($A371,FIND("/",$A371)+1,20),FIND("/",MID($A371,FIND("/",$A371)+1,20))-1))),"")))</f>
        <v/>
      </c>
      <c r="D371">
        <f>IF(OR($A371="",$B371=""),"",IF(ISNUMBER($A371),MOD($A371,100),IFERROR(VALUE(TRIM(MID(MID($A371,FIND("/",$A371)+1,20),FIND("/",MID($A371,FIND("/",$A371)+1,20))+1,20))),"")))</f>
        <v/>
      </c>
      <c r="E371">
        <f>IF($A371="","",IF(OR($B371="",$C371="",$D371="",$B371&lt;1300,$B371&gt;1500,$C371&lt;1,$C371&gt;12,$D371&lt;1,$D371&gt;31),"نامعتبر",RIGHT("0000"&amp;$B371,4)&amp;"/"&amp;RIGHT("00"&amp;$C371,2)&amp;"/"&amp;RIGHT("00"&amp;$D371,2)))</f>
        <v/>
      </c>
      <c r="F371">
        <f>IF(Entry!$D371&lt;&gt;"",IF(AND(ISNUMBER(Entry!$D371),Entry!$D371&gt;=0,Entry!$D371&lt;1),RIGHT("00"&amp;HOUR(Entry!$D371),2)&amp;":"&amp;RIGHT("00"&amp;MINUTE(Entry!$D371),2),IFERROR(RIGHT("00"&amp;VALUE(TRIM(LEFT(Entry!$D371,FIND(":",Entry!$D371)-1))),2)&amp;":"&amp;RIGHT("00"&amp;VALUE(TRIM(MID(Entry!$D371,FIND(":",Entry!$D371)+1,2))),2),"نامعتبر")),IF(OR($E371="",$E371="نامعتبر"),"","00:00"))</f>
        <v/>
      </c>
      <c r="G371">
        <f>IF(OR($E371="",$E371="نامعتبر"),"",IF(Entry!$E371="","",LEFT(UPPER(TRIM(Entry!$E371)),6)))</f>
        <v/>
      </c>
      <c r="H371">
        <f>IF($G371="","",RIGHT($E371,4)&amp;MID($E371,6,2)&amp;RIGHT($E371,2)&amp;IF($F371="","0000",IF($F371="نامعتبر","9999",LEFT($F371,2)&amp;RIGHT($F371,2)))&amp;"|"&amp;RIGHT("00000"&amp;363,5))</f>
        <v/>
      </c>
      <c r="I371">
        <f>IF($H371="","",COUNTIFS(CalcBank,$G371,CalcKey,"&lt;"&amp;$H371)+1)</f>
        <v/>
      </c>
      <c r="J371">
        <f>IF($I371="","",$G371&amp;"|"&amp;RIGHT("000000"&amp;$I371,6))</f>
        <v/>
      </c>
      <c r="K371">
        <f>IF(OR($E371="",$E371="نامعتبر"),"",LEFT($E371,4)&amp;"/"&amp;MID($E371,6,2))</f>
        <v/>
      </c>
      <c r="L371">
        <f>IF(Entry!$K371="",0,Entry!$K371)</f>
        <v/>
      </c>
      <c r="M371">
        <f>IF(Entry!$L371="",0,Entry!$L371)</f>
        <v/>
      </c>
    </row>
    <row r="372">
      <c r="A372">
        <f>IF(Entry!$C372="","",Entry!$C372)</f>
        <v/>
      </c>
      <c r="B372">
        <f>IF($A372="","",IF(ISNUMBER($A372),IF(AND($A372&gt;=10000101,$A372&lt;=99991231),INT($A372/10000),""),IFERROR(VALUE(TRIM(LEFT($A372,FIND("/",$A372)-1))),"")))</f>
        <v/>
      </c>
      <c r="C372">
        <f>IF(OR($A372="",$B372=""),"",IF(ISNUMBER($A372),INT(MOD($A372,10000)/100),IFERROR(VALUE(TRIM(LEFT(MID($A372,FIND("/",$A372)+1,20),FIND("/",MID($A372,FIND("/",$A372)+1,20))-1))),"")))</f>
        <v/>
      </c>
      <c r="D372">
        <f>IF(OR($A372="",$B372=""),"",IF(ISNUMBER($A372),MOD($A372,100),IFERROR(VALUE(TRIM(MID(MID($A372,FIND("/",$A372)+1,20),FIND("/",MID($A372,FIND("/",$A372)+1,20))+1,20))),"")))</f>
        <v/>
      </c>
      <c r="E372">
        <f>IF($A372="","",IF(OR($B372="",$C372="",$D372="",$B372&lt;1300,$B372&gt;1500,$C372&lt;1,$C372&gt;12,$D372&lt;1,$D372&gt;31),"نامعتبر",RIGHT("0000"&amp;$B372,4)&amp;"/"&amp;RIGHT("00"&amp;$C372,2)&amp;"/"&amp;RIGHT("00"&amp;$D372,2)))</f>
        <v/>
      </c>
      <c r="F372">
        <f>IF(Entry!$D372&lt;&gt;"",IF(AND(ISNUMBER(Entry!$D372),Entry!$D372&gt;=0,Entry!$D372&lt;1),RIGHT("00"&amp;HOUR(Entry!$D372),2)&amp;":"&amp;RIGHT("00"&amp;MINUTE(Entry!$D372),2),IFERROR(RIGHT("00"&amp;VALUE(TRIM(LEFT(Entry!$D372,FIND(":",Entry!$D372)-1))),2)&amp;":"&amp;RIGHT("00"&amp;VALUE(TRIM(MID(Entry!$D372,FIND(":",Entry!$D372)+1,2))),2),"نامعتبر")),IF(OR($E372="",$E372="نامعتبر"),"","00:00"))</f>
        <v/>
      </c>
      <c r="G372">
        <f>IF(OR($E372="",$E372="نامعتبر"),"",IF(Entry!$E372="","",LEFT(UPPER(TRIM(Entry!$E372)),6)))</f>
        <v/>
      </c>
      <c r="H372">
        <f>IF($G372="","",RIGHT($E372,4)&amp;MID($E372,6,2)&amp;RIGHT($E372,2)&amp;IF($F372="","0000",IF($F372="نامعتبر","9999",LEFT($F372,2)&amp;RIGHT($F372,2)))&amp;"|"&amp;RIGHT("00000"&amp;364,5))</f>
        <v/>
      </c>
      <c r="I372">
        <f>IF($H372="","",COUNTIFS(CalcBank,$G372,CalcKey,"&lt;"&amp;$H372)+1)</f>
        <v/>
      </c>
      <c r="J372">
        <f>IF($I372="","",$G372&amp;"|"&amp;RIGHT("000000"&amp;$I372,6))</f>
        <v/>
      </c>
      <c r="K372">
        <f>IF(OR($E372="",$E372="نامعتبر"),"",LEFT($E372,4)&amp;"/"&amp;MID($E372,6,2))</f>
        <v/>
      </c>
      <c r="L372">
        <f>IF(Entry!$K372="",0,Entry!$K372)</f>
        <v/>
      </c>
      <c r="M372">
        <f>IF(Entry!$L372="",0,Entry!$L372)</f>
        <v/>
      </c>
    </row>
    <row r="373">
      <c r="A373">
        <f>IF(Entry!$C373="","",Entry!$C373)</f>
        <v/>
      </c>
      <c r="B373">
        <f>IF($A373="","",IF(ISNUMBER($A373),IF(AND($A373&gt;=10000101,$A373&lt;=99991231),INT($A373/10000),""),IFERROR(VALUE(TRIM(LEFT($A373,FIND("/",$A373)-1))),"")))</f>
        <v/>
      </c>
      <c r="C373">
        <f>IF(OR($A373="",$B373=""),"",IF(ISNUMBER($A373),INT(MOD($A373,10000)/100),IFERROR(VALUE(TRIM(LEFT(MID($A373,FIND("/",$A373)+1,20),FIND("/",MID($A373,FIND("/",$A373)+1,20))-1))),"")))</f>
        <v/>
      </c>
      <c r="D373">
        <f>IF(OR($A373="",$B373=""),"",IF(ISNUMBER($A373),MOD($A373,100),IFERROR(VALUE(TRIM(MID(MID($A373,FIND("/",$A373)+1,20),FIND("/",MID($A373,FIND("/",$A373)+1,20))+1,20))),"")))</f>
        <v/>
      </c>
      <c r="E373">
        <f>IF($A373="","",IF(OR($B373="",$C373="",$D373="",$B373&lt;1300,$B373&gt;1500,$C373&lt;1,$C373&gt;12,$D373&lt;1,$D373&gt;31),"نامعتبر",RIGHT("0000"&amp;$B373,4)&amp;"/"&amp;RIGHT("00"&amp;$C373,2)&amp;"/"&amp;RIGHT("00"&amp;$D373,2)))</f>
        <v/>
      </c>
      <c r="F373">
        <f>IF(Entry!$D373&lt;&gt;"",IF(AND(ISNUMBER(Entry!$D373),Entry!$D373&gt;=0,Entry!$D373&lt;1),RIGHT("00"&amp;HOUR(Entry!$D373),2)&amp;":"&amp;RIGHT("00"&amp;MINUTE(Entry!$D373),2),IFERROR(RIGHT("00"&amp;VALUE(TRIM(LEFT(Entry!$D373,FIND(":",Entry!$D373)-1))),2)&amp;":"&amp;RIGHT("00"&amp;VALUE(TRIM(MID(Entry!$D373,FIND(":",Entry!$D373)+1,2))),2),"نامعتبر")),IF(OR($E373="",$E373="نامعتبر"),"","00:00"))</f>
        <v/>
      </c>
      <c r="G373">
        <f>IF(OR($E373="",$E373="نامعتبر"),"",IF(Entry!$E373="","",LEFT(UPPER(TRIM(Entry!$E373)),6)))</f>
        <v/>
      </c>
      <c r="H373">
        <f>IF($G373="","",RIGHT($E373,4)&amp;MID($E373,6,2)&amp;RIGHT($E373,2)&amp;IF($F373="","0000",IF($F373="نامعتبر","9999",LEFT($F373,2)&amp;RIGHT($F373,2)))&amp;"|"&amp;RIGHT("00000"&amp;365,5))</f>
        <v/>
      </c>
      <c r="I373">
        <f>IF($H373="","",COUNTIFS(CalcBank,$G373,CalcKey,"&lt;"&amp;$H373)+1)</f>
        <v/>
      </c>
      <c r="J373">
        <f>IF($I373="","",$G373&amp;"|"&amp;RIGHT("000000"&amp;$I373,6))</f>
        <v/>
      </c>
      <c r="K373">
        <f>IF(OR($E373="",$E373="نامعتبر"),"",LEFT($E373,4)&amp;"/"&amp;MID($E373,6,2))</f>
        <v/>
      </c>
      <c r="L373">
        <f>IF(Entry!$K373="",0,Entry!$K373)</f>
        <v/>
      </c>
      <c r="M373">
        <f>IF(Entry!$L373="",0,Entry!$L373)</f>
        <v/>
      </c>
    </row>
    <row r="374">
      <c r="A374">
        <f>IF(Entry!$C374="","",Entry!$C374)</f>
        <v/>
      </c>
      <c r="B374">
        <f>IF($A374="","",IF(ISNUMBER($A374),IF(AND($A374&gt;=10000101,$A374&lt;=99991231),INT($A374/10000),""),IFERROR(VALUE(TRIM(LEFT($A374,FIND("/",$A374)-1))),"")))</f>
        <v/>
      </c>
      <c r="C374">
        <f>IF(OR($A374="",$B374=""),"",IF(ISNUMBER($A374),INT(MOD($A374,10000)/100),IFERROR(VALUE(TRIM(LEFT(MID($A374,FIND("/",$A374)+1,20),FIND("/",MID($A374,FIND("/",$A374)+1,20))-1))),"")))</f>
        <v/>
      </c>
      <c r="D374">
        <f>IF(OR($A374="",$B374=""),"",IF(ISNUMBER($A374),MOD($A374,100),IFERROR(VALUE(TRIM(MID(MID($A374,FIND("/",$A374)+1,20),FIND("/",MID($A374,FIND("/",$A374)+1,20))+1,20))),"")))</f>
        <v/>
      </c>
      <c r="E374">
        <f>IF($A374="","",IF(OR($B374="",$C374="",$D374="",$B374&lt;1300,$B374&gt;1500,$C374&lt;1,$C374&gt;12,$D374&lt;1,$D374&gt;31),"نامعتبر",RIGHT("0000"&amp;$B374,4)&amp;"/"&amp;RIGHT("00"&amp;$C374,2)&amp;"/"&amp;RIGHT("00"&amp;$D374,2)))</f>
        <v/>
      </c>
      <c r="F374">
        <f>IF(Entry!$D374&lt;&gt;"",IF(AND(ISNUMBER(Entry!$D374),Entry!$D374&gt;=0,Entry!$D374&lt;1),RIGHT("00"&amp;HOUR(Entry!$D374),2)&amp;":"&amp;RIGHT("00"&amp;MINUTE(Entry!$D374),2),IFERROR(RIGHT("00"&amp;VALUE(TRIM(LEFT(Entry!$D374,FIND(":",Entry!$D374)-1))),2)&amp;":"&amp;RIGHT("00"&amp;VALUE(TRIM(MID(Entry!$D374,FIND(":",Entry!$D374)+1,2))),2),"نامعتبر")),IF(OR($E374="",$E374="نامعتبر"),"","00:00"))</f>
        <v/>
      </c>
      <c r="G374">
        <f>IF(OR($E374="",$E374="نامعتبر"),"",IF(Entry!$E374="","",LEFT(UPPER(TRIM(Entry!$E374)),6)))</f>
        <v/>
      </c>
      <c r="H374">
        <f>IF($G374="","",RIGHT($E374,4)&amp;MID($E374,6,2)&amp;RIGHT($E374,2)&amp;IF($F374="","0000",IF($F374="نامعتبر","9999",LEFT($F374,2)&amp;RIGHT($F374,2)))&amp;"|"&amp;RIGHT("00000"&amp;366,5))</f>
        <v/>
      </c>
      <c r="I374">
        <f>IF($H374="","",COUNTIFS(CalcBank,$G374,CalcKey,"&lt;"&amp;$H374)+1)</f>
        <v/>
      </c>
      <c r="J374">
        <f>IF($I374="","",$G374&amp;"|"&amp;RIGHT("000000"&amp;$I374,6))</f>
        <v/>
      </c>
      <c r="K374">
        <f>IF(OR($E374="",$E374="نامعتبر"),"",LEFT($E374,4)&amp;"/"&amp;MID($E374,6,2))</f>
        <v/>
      </c>
      <c r="L374">
        <f>IF(Entry!$K374="",0,Entry!$K374)</f>
        <v/>
      </c>
      <c r="M374">
        <f>IF(Entry!$L374="",0,Entry!$L374)</f>
        <v/>
      </c>
    </row>
    <row r="375">
      <c r="A375">
        <f>IF(Entry!$C375="","",Entry!$C375)</f>
        <v/>
      </c>
      <c r="B375">
        <f>IF($A375="","",IF(ISNUMBER($A375),IF(AND($A375&gt;=10000101,$A375&lt;=99991231),INT($A375/10000),""),IFERROR(VALUE(TRIM(LEFT($A375,FIND("/",$A375)-1))),"")))</f>
        <v/>
      </c>
      <c r="C375">
        <f>IF(OR($A375="",$B375=""),"",IF(ISNUMBER($A375),INT(MOD($A375,10000)/100),IFERROR(VALUE(TRIM(LEFT(MID($A375,FIND("/",$A375)+1,20),FIND("/",MID($A375,FIND("/",$A375)+1,20))-1))),"")))</f>
        <v/>
      </c>
      <c r="D375">
        <f>IF(OR($A375="",$B375=""),"",IF(ISNUMBER($A375),MOD($A375,100),IFERROR(VALUE(TRIM(MID(MID($A375,FIND("/",$A375)+1,20),FIND("/",MID($A375,FIND("/",$A375)+1,20))+1,20))),"")))</f>
        <v/>
      </c>
      <c r="E375">
        <f>IF($A375="","",IF(OR($B375="",$C375="",$D375="",$B375&lt;1300,$B375&gt;1500,$C375&lt;1,$C375&gt;12,$D375&lt;1,$D375&gt;31),"نامعتبر",RIGHT("0000"&amp;$B375,4)&amp;"/"&amp;RIGHT("00"&amp;$C375,2)&amp;"/"&amp;RIGHT("00"&amp;$D375,2)))</f>
        <v/>
      </c>
      <c r="F375">
        <f>IF(Entry!$D375&lt;&gt;"",IF(AND(ISNUMBER(Entry!$D375),Entry!$D375&gt;=0,Entry!$D375&lt;1),RIGHT("00"&amp;HOUR(Entry!$D375),2)&amp;":"&amp;RIGHT("00"&amp;MINUTE(Entry!$D375),2),IFERROR(RIGHT("00"&amp;VALUE(TRIM(LEFT(Entry!$D375,FIND(":",Entry!$D375)-1))),2)&amp;":"&amp;RIGHT("00"&amp;VALUE(TRIM(MID(Entry!$D375,FIND(":",Entry!$D375)+1,2))),2),"نامعتبر")),IF(OR($E375="",$E375="نامعتبر"),"","00:00"))</f>
        <v/>
      </c>
      <c r="G375">
        <f>IF(OR($E375="",$E375="نامعتبر"),"",IF(Entry!$E375="","",LEFT(UPPER(TRIM(Entry!$E375)),6)))</f>
        <v/>
      </c>
      <c r="H375">
        <f>IF($G375="","",RIGHT($E375,4)&amp;MID($E375,6,2)&amp;RIGHT($E375,2)&amp;IF($F375="","0000",IF($F375="نامعتبر","9999",LEFT($F375,2)&amp;RIGHT($F375,2)))&amp;"|"&amp;RIGHT("00000"&amp;367,5))</f>
        <v/>
      </c>
      <c r="I375">
        <f>IF($H375="","",COUNTIFS(CalcBank,$G375,CalcKey,"&lt;"&amp;$H375)+1)</f>
        <v/>
      </c>
      <c r="J375">
        <f>IF($I375="","",$G375&amp;"|"&amp;RIGHT("000000"&amp;$I375,6))</f>
        <v/>
      </c>
      <c r="K375">
        <f>IF(OR($E375="",$E375="نامعتبر"),"",LEFT($E375,4)&amp;"/"&amp;MID($E375,6,2))</f>
        <v/>
      </c>
      <c r="L375">
        <f>IF(Entry!$K375="",0,Entry!$K375)</f>
        <v/>
      </c>
      <c r="M375">
        <f>IF(Entry!$L375="",0,Entry!$L375)</f>
        <v/>
      </c>
    </row>
    <row r="376">
      <c r="A376">
        <f>IF(Entry!$C376="","",Entry!$C376)</f>
        <v/>
      </c>
      <c r="B376">
        <f>IF($A376="","",IF(ISNUMBER($A376),IF(AND($A376&gt;=10000101,$A376&lt;=99991231),INT($A376/10000),""),IFERROR(VALUE(TRIM(LEFT($A376,FIND("/",$A376)-1))),"")))</f>
        <v/>
      </c>
      <c r="C376">
        <f>IF(OR($A376="",$B376=""),"",IF(ISNUMBER($A376),INT(MOD($A376,10000)/100),IFERROR(VALUE(TRIM(LEFT(MID($A376,FIND("/",$A376)+1,20),FIND("/",MID($A376,FIND("/",$A376)+1,20))-1))),"")))</f>
        <v/>
      </c>
      <c r="D376">
        <f>IF(OR($A376="",$B376=""),"",IF(ISNUMBER($A376),MOD($A376,100),IFERROR(VALUE(TRIM(MID(MID($A376,FIND("/",$A376)+1,20),FIND("/",MID($A376,FIND("/",$A376)+1,20))+1,20))),"")))</f>
        <v/>
      </c>
      <c r="E376">
        <f>IF($A376="","",IF(OR($B376="",$C376="",$D376="",$B376&lt;1300,$B376&gt;1500,$C376&lt;1,$C376&gt;12,$D376&lt;1,$D376&gt;31),"نامعتبر",RIGHT("0000"&amp;$B376,4)&amp;"/"&amp;RIGHT("00"&amp;$C376,2)&amp;"/"&amp;RIGHT("00"&amp;$D376,2)))</f>
        <v/>
      </c>
      <c r="F376">
        <f>IF(Entry!$D376&lt;&gt;"",IF(AND(ISNUMBER(Entry!$D376),Entry!$D376&gt;=0,Entry!$D376&lt;1),RIGHT("00"&amp;HOUR(Entry!$D376),2)&amp;":"&amp;RIGHT("00"&amp;MINUTE(Entry!$D376),2),IFERROR(RIGHT("00"&amp;VALUE(TRIM(LEFT(Entry!$D376,FIND(":",Entry!$D376)-1))),2)&amp;":"&amp;RIGHT("00"&amp;VALUE(TRIM(MID(Entry!$D376,FIND(":",Entry!$D376)+1,2))),2),"نامعتبر")),IF(OR($E376="",$E376="نامعتبر"),"","00:00"))</f>
        <v/>
      </c>
      <c r="G376">
        <f>IF(OR($E376="",$E376="نامعتبر"),"",IF(Entry!$E376="","",LEFT(UPPER(TRIM(Entry!$E376)),6)))</f>
        <v/>
      </c>
      <c r="H376">
        <f>IF($G376="","",RIGHT($E376,4)&amp;MID($E376,6,2)&amp;RIGHT($E376,2)&amp;IF($F376="","0000",IF($F376="نامعتبر","9999",LEFT($F376,2)&amp;RIGHT($F376,2)))&amp;"|"&amp;RIGHT("00000"&amp;368,5))</f>
        <v/>
      </c>
      <c r="I376">
        <f>IF($H376="","",COUNTIFS(CalcBank,$G376,CalcKey,"&lt;"&amp;$H376)+1)</f>
        <v/>
      </c>
      <c r="J376">
        <f>IF($I376="","",$G376&amp;"|"&amp;RIGHT("000000"&amp;$I376,6))</f>
        <v/>
      </c>
      <c r="K376">
        <f>IF(OR($E376="",$E376="نامعتبر"),"",LEFT($E376,4)&amp;"/"&amp;MID($E376,6,2))</f>
        <v/>
      </c>
      <c r="L376">
        <f>IF(Entry!$K376="",0,Entry!$K376)</f>
        <v/>
      </c>
      <c r="M376">
        <f>IF(Entry!$L376="",0,Entry!$L376)</f>
        <v/>
      </c>
    </row>
    <row r="377">
      <c r="A377">
        <f>IF(Entry!$C377="","",Entry!$C377)</f>
        <v/>
      </c>
      <c r="B377">
        <f>IF($A377="","",IF(ISNUMBER($A377),IF(AND($A377&gt;=10000101,$A377&lt;=99991231),INT($A377/10000),""),IFERROR(VALUE(TRIM(LEFT($A377,FIND("/",$A377)-1))),"")))</f>
        <v/>
      </c>
      <c r="C377">
        <f>IF(OR($A377="",$B377=""),"",IF(ISNUMBER($A377),INT(MOD($A377,10000)/100),IFERROR(VALUE(TRIM(LEFT(MID($A377,FIND("/",$A377)+1,20),FIND("/",MID($A377,FIND("/",$A377)+1,20))-1))),"")))</f>
        <v/>
      </c>
      <c r="D377">
        <f>IF(OR($A377="",$B377=""),"",IF(ISNUMBER($A377),MOD($A377,100),IFERROR(VALUE(TRIM(MID(MID($A377,FIND("/",$A377)+1,20),FIND("/",MID($A377,FIND("/",$A377)+1,20))+1,20))),"")))</f>
        <v/>
      </c>
      <c r="E377">
        <f>IF($A377="","",IF(OR($B377="",$C377="",$D377="",$B377&lt;1300,$B377&gt;1500,$C377&lt;1,$C377&gt;12,$D377&lt;1,$D377&gt;31),"نامعتبر",RIGHT("0000"&amp;$B377,4)&amp;"/"&amp;RIGHT("00"&amp;$C377,2)&amp;"/"&amp;RIGHT("00"&amp;$D377,2)))</f>
        <v/>
      </c>
      <c r="F377">
        <f>IF(Entry!$D377&lt;&gt;"",IF(AND(ISNUMBER(Entry!$D377),Entry!$D377&gt;=0,Entry!$D377&lt;1),RIGHT("00"&amp;HOUR(Entry!$D377),2)&amp;":"&amp;RIGHT("00"&amp;MINUTE(Entry!$D377),2),IFERROR(RIGHT("00"&amp;VALUE(TRIM(LEFT(Entry!$D377,FIND(":",Entry!$D377)-1))),2)&amp;":"&amp;RIGHT("00"&amp;VALUE(TRIM(MID(Entry!$D377,FIND(":",Entry!$D377)+1,2))),2),"نامعتبر")),IF(OR($E377="",$E377="نامعتبر"),"","00:00"))</f>
        <v/>
      </c>
      <c r="G377">
        <f>IF(OR($E377="",$E377="نامعتبر"),"",IF(Entry!$E377="","",LEFT(UPPER(TRIM(Entry!$E377)),6)))</f>
        <v/>
      </c>
      <c r="H377">
        <f>IF($G377="","",RIGHT($E377,4)&amp;MID($E377,6,2)&amp;RIGHT($E377,2)&amp;IF($F377="","0000",IF($F377="نامعتبر","9999",LEFT($F377,2)&amp;RIGHT($F377,2)))&amp;"|"&amp;RIGHT("00000"&amp;369,5))</f>
        <v/>
      </c>
      <c r="I377">
        <f>IF($H377="","",COUNTIFS(CalcBank,$G377,CalcKey,"&lt;"&amp;$H377)+1)</f>
        <v/>
      </c>
      <c r="J377">
        <f>IF($I377="","",$G377&amp;"|"&amp;RIGHT("000000"&amp;$I377,6))</f>
        <v/>
      </c>
      <c r="K377">
        <f>IF(OR($E377="",$E377="نامعتبر"),"",LEFT($E377,4)&amp;"/"&amp;MID($E377,6,2))</f>
        <v/>
      </c>
      <c r="L377">
        <f>IF(Entry!$K377="",0,Entry!$K377)</f>
        <v/>
      </c>
      <c r="M377">
        <f>IF(Entry!$L377="",0,Entry!$L377)</f>
        <v/>
      </c>
    </row>
    <row r="378">
      <c r="A378">
        <f>IF(Entry!$C378="","",Entry!$C378)</f>
        <v/>
      </c>
      <c r="B378">
        <f>IF($A378="","",IF(ISNUMBER($A378),IF(AND($A378&gt;=10000101,$A378&lt;=99991231),INT($A378/10000),""),IFERROR(VALUE(TRIM(LEFT($A378,FIND("/",$A378)-1))),"")))</f>
        <v/>
      </c>
      <c r="C378">
        <f>IF(OR($A378="",$B378=""),"",IF(ISNUMBER($A378),INT(MOD($A378,10000)/100),IFERROR(VALUE(TRIM(LEFT(MID($A378,FIND("/",$A378)+1,20),FIND("/",MID($A378,FIND("/",$A378)+1,20))-1))),"")))</f>
        <v/>
      </c>
      <c r="D378">
        <f>IF(OR($A378="",$B378=""),"",IF(ISNUMBER($A378),MOD($A378,100),IFERROR(VALUE(TRIM(MID(MID($A378,FIND("/",$A378)+1,20),FIND("/",MID($A378,FIND("/",$A378)+1,20))+1,20))),"")))</f>
        <v/>
      </c>
      <c r="E378">
        <f>IF($A378="","",IF(OR($B378="",$C378="",$D378="",$B378&lt;1300,$B378&gt;1500,$C378&lt;1,$C378&gt;12,$D378&lt;1,$D378&gt;31),"نامعتبر",RIGHT("0000"&amp;$B378,4)&amp;"/"&amp;RIGHT("00"&amp;$C378,2)&amp;"/"&amp;RIGHT("00"&amp;$D378,2)))</f>
        <v/>
      </c>
      <c r="F378">
        <f>IF(Entry!$D378&lt;&gt;"",IF(AND(ISNUMBER(Entry!$D378),Entry!$D378&gt;=0,Entry!$D378&lt;1),RIGHT("00"&amp;HOUR(Entry!$D378),2)&amp;":"&amp;RIGHT("00"&amp;MINUTE(Entry!$D378),2),IFERROR(RIGHT("00"&amp;VALUE(TRIM(LEFT(Entry!$D378,FIND(":",Entry!$D378)-1))),2)&amp;":"&amp;RIGHT("00"&amp;VALUE(TRIM(MID(Entry!$D378,FIND(":",Entry!$D378)+1,2))),2),"نامعتبر")),IF(OR($E378="",$E378="نامعتبر"),"","00:00"))</f>
        <v/>
      </c>
      <c r="G378">
        <f>IF(OR($E378="",$E378="نامعتبر"),"",IF(Entry!$E378="","",LEFT(UPPER(TRIM(Entry!$E378)),6)))</f>
        <v/>
      </c>
      <c r="H378">
        <f>IF($G378="","",RIGHT($E378,4)&amp;MID($E378,6,2)&amp;RIGHT($E378,2)&amp;IF($F378="","0000",IF($F378="نامعتبر","9999",LEFT($F378,2)&amp;RIGHT($F378,2)))&amp;"|"&amp;RIGHT("00000"&amp;370,5))</f>
        <v/>
      </c>
      <c r="I378">
        <f>IF($H378="","",COUNTIFS(CalcBank,$G378,CalcKey,"&lt;"&amp;$H378)+1)</f>
        <v/>
      </c>
      <c r="J378">
        <f>IF($I378="","",$G378&amp;"|"&amp;RIGHT("000000"&amp;$I378,6))</f>
        <v/>
      </c>
      <c r="K378">
        <f>IF(OR($E378="",$E378="نامعتبر"),"",LEFT($E378,4)&amp;"/"&amp;MID($E378,6,2))</f>
        <v/>
      </c>
      <c r="L378">
        <f>IF(Entry!$K378="",0,Entry!$K378)</f>
        <v/>
      </c>
      <c r="M378">
        <f>IF(Entry!$L378="",0,Entry!$L378)</f>
        <v/>
      </c>
    </row>
    <row r="379">
      <c r="A379">
        <f>IF(Entry!$C379="","",Entry!$C379)</f>
        <v/>
      </c>
      <c r="B379">
        <f>IF($A379="","",IF(ISNUMBER($A379),IF(AND($A379&gt;=10000101,$A379&lt;=99991231),INT($A379/10000),""),IFERROR(VALUE(TRIM(LEFT($A379,FIND("/",$A379)-1))),"")))</f>
        <v/>
      </c>
      <c r="C379">
        <f>IF(OR($A379="",$B379=""),"",IF(ISNUMBER($A379),INT(MOD($A379,10000)/100),IFERROR(VALUE(TRIM(LEFT(MID($A379,FIND("/",$A379)+1,20),FIND("/",MID($A379,FIND("/",$A379)+1,20))-1))),"")))</f>
        <v/>
      </c>
      <c r="D379">
        <f>IF(OR($A379="",$B379=""),"",IF(ISNUMBER($A379),MOD($A379,100),IFERROR(VALUE(TRIM(MID(MID($A379,FIND("/",$A379)+1,20),FIND("/",MID($A379,FIND("/",$A379)+1,20))+1,20))),"")))</f>
        <v/>
      </c>
      <c r="E379">
        <f>IF($A379="","",IF(OR($B379="",$C379="",$D379="",$B379&lt;1300,$B379&gt;1500,$C379&lt;1,$C379&gt;12,$D379&lt;1,$D379&gt;31),"نامعتبر",RIGHT("0000"&amp;$B379,4)&amp;"/"&amp;RIGHT("00"&amp;$C379,2)&amp;"/"&amp;RIGHT("00"&amp;$D379,2)))</f>
        <v/>
      </c>
      <c r="F379">
        <f>IF(Entry!$D379&lt;&gt;"",IF(AND(ISNUMBER(Entry!$D379),Entry!$D379&gt;=0,Entry!$D379&lt;1),RIGHT("00"&amp;HOUR(Entry!$D379),2)&amp;":"&amp;RIGHT("00"&amp;MINUTE(Entry!$D379),2),IFERROR(RIGHT("00"&amp;VALUE(TRIM(LEFT(Entry!$D379,FIND(":",Entry!$D379)-1))),2)&amp;":"&amp;RIGHT("00"&amp;VALUE(TRIM(MID(Entry!$D379,FIND(":",Entry!$D379)+1,2))),2),"نامعتبر")),IF(OR($E379="",$E379="نامعتبر"),"","00:00"))</f>
        <v/>
      </c>
      <c r="G379">
        <f>IF(OR($E379="",$E379="نامعتبر"),"",IF(Entry!$E379="","",LEFT(UPPER(TRIM(Entry!$E379)),6)))</f>
        <v/>
      </c>
      <c r="H379">
        <f>IF($G379="","",RIGHT($E379,4)&amp;MID($E379,6,2)&amp;RIGHT($E379,2)&amp;IF($F379="","0000",IF($F379="نامعتبر","9999",LEFT($F379,2)&amp;RIGHT($F379,2)))&amp;"|"&amp;RIGHT("00000"&amp;371,5))</f>
        <v/>
      </c>
      <c r="I379">
        <f>IF($H379="","",COUNTIFS(CalcBank,$G379,CalcKey,"&lt;"&amp;$H379)+1)</f>
        <v/>
      </c>
      <c r="J379">
        <f>IF($I379="","",$G379&amp;"|"&amp;RIGHT("000000"&amp;$I379,6))</f>
        <v/>
      </c>
      <c r="K379">
        <f>IF(OR($E379="",$E379="نامعتبر"),"",LEFT($E379,4)&amp;"/"&amp;MID($E379,6,2))</f>
        <v/>
      </c>
      <c r="L379">
        <f>IF(Entry!$K379="",0,Entry!$K379)</f>
        <v/>
      </c>
      <c r="M379">
        <f>IF(Entry!$L379="",0,Entry!$L379)</f>
        <v/>
      </c>
    </row>
    <row r="380">
      <c r="A380">
        <f>IF(Entry!$C380="","",Entry!$C380)</f>
        <v/>
      </c>
      <c r="B380">
        <f>IF($A380="","",IF(ISNUMBER($A380),IF(AND($A380&gt;=10000101,$A380&lt;=99991231),INT($A380/10000),""),IFERROR(VALUE(TRIM(LEFT($A380,FIND("/",$A380)-1))),"")))</f>
        <v/>
      </c>
      <c r="C380">
        <f>IF(OR($A380="",$B380=""),"",IF(ISNUMBER($A380),INT(MOD($A380,10000)/100),IFERROR(VALUE(TRIM(LEFT(MID($A380,FIND("/",$A380)+1,20),FIND("/",MID($A380,FIND("/",$A380)+1,20))-1))),"")))</f>
        <v/>
      </c>
      <c r="D380">
        <f>IF(OR($A380="",$B380=""),"",IF(ISNUMBER($A380),MOD($A380,100),IFERROR(VALUE(TRIM(MID(MID($A380,FIND("/",$A380)+1,20),FIND("/",MID($A380,FIND("/",$A380)+1,20))+1,20))),"")))</f>
        <v/>
      </c>
      <c r="E380">
        <f>IF($A380="","",IF(OR($B380="",$C380="",$D380="",$B380&lt;1300,$B380&gt;1500,$C380&lt;1,$C380&gt;12,$D380&lt;1,$D380&gt;31),"نامعتبر",RIGHT("0000"&amp;$B380,4)&amp;"/"&amp;RIGHT("00"&amp;$C380,2)&amp;"/"&amp;RIGHT("00"&amp;$D380,2)))</f>
        <v/>
      </c>
      <c r="F380">
        <f>IF(Entry!$D380&lt;&gt;"",IF(AND(ISNUMBER(Entry!$D380),Entry!$D380&gt;=0,Entry!$D380&lt;1),RIGHT("00"&amp;HOUR(Entry!$D380),2)&amp;":"&amp;RIGHT("00"&amp;MINUTE(Entry!$D380),2),IFERROR(RIGHT("00"&amp;VALUE(TRIM(LEFT(Entry!$D380,FIND(":",Entry!$D380)-1))),2)&amp;":"&amp;RIGHT("00"&amp;VALUE(TRIM(MID(Entry!$D380,FIND(":",Entry!$D380)+1,2))),2),"نامعتبر")),IF(OR($E380="",$E380="نامعتبر"),"","00:00"))</f>
        <v/>
      </c>
      <c r="G380">
        <f>IF(OR($E380="",$E380="نامعتبر"),"",IF(Entry!$E380="","",LEFT(UPPER(TRIM(Entry!$E380)),6)))</f>
        <v/>
      </c>
      <c r="H380">
        <f>IF($G380="","",RIGHT($E380,4)&amp;MID($E380,6,2)&amp;RIGHT($E380,2)&amp;IF($F380="","0000",IF($F380="نامعتبر","9999",LEFT($F380,2)&amp;RIGHT($F380,2)))&amp;"|"&amp;RIGHT("00000"&amp;372,5))</f>
        <v/>
      </c>
      <c r="I380">
        <f>IF($H380="","",COUNTIFS(CalcBank,$G380,CalcKey,"&lt;"&amp;$H380)+1)</f>
        <v/>
      </c>
      <c r="J380">
        <f>IF($I380="","",$G380&amp;"|"&amp;RIGHT("000000"&amp;$I380,6))</f>
        <v/>
      </c>
      <c r="K380">
        <f>IF(OR($E380="",$E380="نامعتبر"),"",LEFT($E380,4)&amp;"/"&amp;MID($E380,6,2))</f>
        <v/>
      </c>
      <c r="L380">
        <f>IF(Entry!$K380="",0,Entry!$K380)</f>
        <v/>
      </c>
      <c r="M380">
        <f>IF(Entry!$L380="",0,Entry!$L380)</f>
        <v/>
      </c>
    </row>
    <row r="381">
      <c r="A381">
        <f>IF(Entry!$C381="","",Entry!$C381)</f>
        <v/>
      </c>
      <c r="B381">
        <f>IF($A381="","",IF(ISNUMBER($A381),IF(AND($A381&gt;=10000101,$A381&lt;=99991231),INT($A381/10000),""),IFERROR(VALUE(TRIM(LEFT($A381,FIND("/",$A381)-1))),"")))</f>
        <v/>
      </c>
      <c r="C381">
        <f>IF(OR($A381="",$B381=""),"",IF(ISNUMBER($A381),INT(MOD($A381,10000)/100),IFERROR(VALUE(TRIM(LEFT(MID($A381,FIND("/",$A381)+1,20),FIND("/",MID($A381,FIND("/",$A381)+1,20))-1))),"")))</f>
        <v/>
      </c>
      <c r="D381">
        <f>IF(OR($A381="",$B381=""),"",IF(ISNUMBER($A381),MOD($A381,100),IFERROR(VALUE(TRIM(MID(MID($A381,FIND("/",$A381)+1,20),FIND("/",MID($A381,FIND("/",$A381)+1,20))+1,20))),"")))</f>
        <v/>
      </c>
      <c r="E381">
        <f>IF($A381="","",IF(OR($B381="",$C381="",$D381="",$B381&lt;1300,$B381&gt;1500,$C381&lt;1,$C381&gt;12,$D381&lt;1,$D381&gt;31),"نامعتبر",RIGHT("0000"&amp;$B381,4)&amp;"/"&amp;RIGHT("00"&amp;$C381,2)&amp;"/"&amp;RIGHT("00"&amp;$D381,2)))</f>
        <v/>
      </c>
      <c r="F381">
        <f>IF(Entry!$D381&lt;&gt;"",IF(AND(ISNUMBER(Entry!$D381),Entry!$D381&gt;=0,Entry!$D381&lt;1),RIGHT("00"&amp;HOUR(Entry!$D381),2)&amp;":"&amp;RIGHT("00"&amp;MINUTE(Entry!$D381),2),IFERROR(RIGHT("00"&amp;VALUE(TRIM(LEFT(Entry!$D381,FIND(":",Entry!$D381)-1))),2)&amp;":"&amp;RIGHT("00"&amp;VALUE(TRIM(MID(Entry!$D381,FIND(":",Entry!$D381)+1,2))),2),"نامعتبر")),IF(OR($E381="",$E381="نامعتبر"),"","00:00"))</f>
        <v/>
      </c>
      <c r="G381">
        <f>IF(OR($E381="",$E381="نامعتبر"),"",IF(Entry!$E381="","",LEFT(UPPER(TRIM(Entry!$E381)),6)))</f>
        <v/>
      </c>
      <c r="H381">
        <f>IF($G381="","",RIGHT($E381,4)&amp;MID($E381,6,2)&amp;RIGHT($E381,2)&amp;IF($F381="","0000",IF($F381="نامعتبر","9999",LEFT($F381,2)&amp;RIGHT($F381,2)))&amp;"|"&amp;RIGHT("00000"&amp;373,5))</f>
        <v/>
      </c>
      <c r="I381">
        <f>IF($H381="","",COUNTIFS(CalcBank,$G381,CalcKey,"&lt;"&amp;$H381)+1)</f>
        <v/>
      </c>
      <c r="J381">
        <f>IF($I381="","",$G381&amp;"|"&amp;RIGHT("000000"&amp;$I381,6))</f>
        <v/>
      </c>
      <c r="K381">
        <f>IF(OR($E381="",$E381="نامعتبر"),"",LEFT($E381,4)&amp;"/"&amp;MID($E381,6,2))</f>
        <v/>
      </c>
      <c r="L381">
        <f>IF(Entry!$K381="",0,Entry!$K381)</f>
        <v/>
      </c>
      <c r="M381">
        <f>IF(Entry!$L381="",0,Entry!$L381)</f>
        <v/>
      </c>
    </row>
    <row r="382">
      <c r="A382">
        <f>IF(Entry!$C382="","",Entry!$C382)</f>
        <v/>
      </c>
      <c r="B382">
        <f>IF($A382="","",IF(ISNUMBER($A382),IF(AND($A382&gt;=10000101,$A382&lt;=99991231),INT($A382/10000),""),IFERROR(VALUE(TRIM(LEFT($A382,FIND("/",$A382)-1))),"")))</f>
        <v/>
      </c>
      <c r="C382">
        <f>IF(OR($A382="",$B382=""),"",IF(ISNUMBER($A382),INT(MOD($A382,10000)/100),IFERROR(VALUE(TRIM(LEFT(MID($A382,FIND("/",$A382)+1,20),FIND("/",MID($A382,FIND("/",$A382)+1,20))-1))),"")))</f>
        <v/>
      </c>
      <c r="D382">
        <f>IF(OR($A382="",$B382=""),"",IF(ISNUMBER($A382),MOD($A382,100),IFERROR(VALUE(TRIM(MID(MID($A382,FIND("/",$A382)+1,20),FIND("/",MID($A382,FIND("/",$A382)+1,20))+1,20))),"")))</f>
        <v/>
      </c>
      <c r="E382">
        <f>IF($A382="","",IF(OR($B382="",$C382="",$D382="",$B382&lt;1300,$B382&gt;1500,$C382&lt;1,$C382&gt;12,$D382&lt;1,$D382&gt;31),"نامعتبر",RIGHT("0000"&amp;$B382,4)&amp;"/"&amp;RIGHT("00"&amp;$C382,2)&amp;"/"&amp;RIGHT("00"&amp;$D382,2)))</f>
        <v/>
      </c>
      <c r="F382">
        <f>IF(Entry!$D382&lt;&gt;"",IF(AND(ISNUMBER(Entry!$D382),Entry!$D382&gt;=0,Entry!$D382&lt;1),RIGHT("00"&amp;HOUR(Entry!$D382),2)&amp;":"&amp;RIGHT("00"&amp;MINUTE(Entry!$D382),2),IFERROR(RIGHT("00"&amp;VALUE(TRIM(LEFT(Entry!$D382,FIND(":",Entry!$D382)-1))),2)&amp;":"&amp;RIGHT("00"&amp;VALUE(TRIM(MID(Entry!$D382,FIND(":",Entry!$D382)+1,2))),2),"نامعتبر")),IF(OR($E382="",$E382="نامعتبر"),"","00:00"))</f>
        <v/>
      </c>
      <c r="G382">
        <f>IF(OR($E382="",$E382="نامعتبر"),"",IF(Entry!$E382="","",LEFT(UPPER(TRIM(Entry!$E382)),6)))</f>
        <v/>
      </c>
      <c r="H382">
        <f>IF($G382="","",RIGHT($E382,4)&amp;MID($E382,6,2)&amp;RIGHT($E382,2)&amp;IF($F382="","0000",IF($F382="نامعتبر","9999",LEFT($F382,2)&amp;RIGHT($F382,2)))&amp;"|"&amp;RIGHT("00000"&amp;374,5))</f>
        <v/>
      </c>
      <c r="I382">
        <f>IF($H382="","",COUNTIFS(CalcBank,$G382,CalcKey,"&lt;"&amp;$H382)+1)</f>
        <v/>
      </c>
      <c r="J382">
        <f>IF($I382="","",$G382&amp;"|"&amp;RIGHT("000000"&amp;$I382,6))</f>
        <v/>
      </c>
      <c r="K382">
        <f>IF(OR($E382="",$E382="نامعتبر"),"",LEFT($E382,4)&amp;"/"&amp;MID($E382,6,2))</f>
        <v/>
      </c>
      <c r="L382">
        <f>IF(Entry!$K382="",0,Entry!$K382)</f>
        <v/>
      </c>
      <c r="M382">
        <f>IF(Entry!$L382="",0,Entry!$L382)</f>
        <v/>
      </c>
    </row>
    <row r="383">
      <c r="A383">
        <f>IF(Entry!$C383="","",Entry!$C383)</f>
        <v/>
      </c>
      <c r="B383">
        <f>IF($A383="","",IF(ISNUMBER($A383),IF(AND($A383&gt;=10000101,$A383&lt;=99991231),INT($A383/10000),""),IFERROR(VALUE(TRIM(LEFT($A383,FIND("/",$A383)-1))),"")))</f>
        <v/>
      </c>
      <c r="C383">
        <f>IF(OR($A383="",$B383=""),"",IF(ISNUMBER($A383),INT(MOD($A383,10000)/100),IFERROR(VALUE(TRIM(LEFT(MID($A383,FIND("/",$A383)+1,20),FIND("/",MID($A383,FIND("/",$A383)+1,20))-1))),"")))</f>
        <v/>
      </c>
      <c r="D383">
        <f>IF(OR($A383="",$B383=""),"",IF(ISNUMBER($A383),MOD($A383,100),IFERROR(VALUE(TRIM(MID(MID($A383,FIND("/",$A383)+1,20),FIND("/",MID($A383,FIND("/",$A383)+1,20))+1,20))),"")))</f>
        <v/>
      </c>
      <c r="E383">
        <f>IF($A383="","",IF(OR($B383="",$C383="",$D383="",$B383&lt;1300,$B383&gt;1500,$C383&lt;1,$C383&gt;12,$D383&lt;1,$D383&gt;31),"نامعتبر",RIGHT("0000"&amp;$B383,4)&amp;"/"&amp;RIGHT("00"&amp;$C383,2)&amp;"/"&amp;RIGHT("00"&amp;$D383,2)))</f>
        <v/>
      </c>
      <c r="F383">
        <f>IF(Entry!$D383&lt;&gt;"",IF(AND(ISNUMBER(Entry!$D383),Entry!$D383&gt;=0,Entry!$D383&lt;1),RIGHT("00"&amp;HOUR(Entry!$D383),2)&amp;":"&amp;RIGHT("00"&amp;MINUTE(Entry!$D383),2),IFERROR(RIGHT("00"&amp;VALUE(TRIM(LEFT(Entry!$D383,FIND(":",Entry!$D383)-1))),2)&amp;":"&amp;RIGHT("00"&amp;VALUE(TRIM(MID(Entry!$D383,FIND(":",Entry!$D383)+1,2))),2),"نامعتبر")),IF(OR($E383="",$E383="نامعتبر"),"","00:00"))</f>
        <v/>
      </c>
      <c r="G383">
        <f>IF(OR($E383="",$E383="نامعتبر"),"",IF(Entry!$E383="","",LEFT(UPPER(TRIM(Entry!$E383)),6)))</f>
        <v/>
      </c>
      <c r="H383">
        <f>IF($G383="","",RIGHT($E383,4)&amp;MID($E383,6,2)&amp;RIGHT($E383,2)&amp;IF($F383="","0000",IF($F383="نامعتبر","9999",LEFT($F383,2)&amp;RIGHT($F383,2)))&amp;"|"&amp;RIGHT("00000"&amp;375,5))</f>
        <v/>
      </c>
      <c r="I383">
        <f>IF($H383="","",COUNTIFS(CalcBank,$G383,CalcKey,"&lt;"&amp;$H383)+1)</f>
        <v/>
      </c>
      <c r="J383">
        <f>IF($I383="","",$G383&amp;"|"&amp;RIGHT("000000"&amp;$I383,6))</f>
        <v/>
      </c>
      <c r="K383">
        <f>IF(OR($E383="",$E383="نامعتبر"),"",LEFT($E383,4)&amp;"/"&amp;MID($E383,6,2))</f>
        <v/>
      </c>
      <c r="L383">
        <f>IF(Entry!$K383="",0,Entry!$K383)</f>
        <v/>
      </c>
      <c r="M383">
        <f>IF(Entry!$L383="",0,Entry!$L383)</f>
        <v/>
      </c>
    </row>
    <row r="384">
      <c r="A384">
        <f>IF(Entry!$C384="","",Entry!$C384)</f>
        <v/>
      </c>
      <c r="B384">
        <f>IF($A384="","",IF(ISNUMBER($A384),IF(AND($A384&gt;=10000101,$A384&lt;=99991231),INT($A384/10000),""),IFERROR(VALUE(TRIM(LEFT($A384,FIND("/",$A384)-1))),"")))</f>
        <v/>
      </c>
      <c r="C384">
        <f>IF(OR($A384="",$B384=""),"",IF(ISNUMBER($A384),INT(MOD($A384,10000)/100),IFERROR(VALUE(TRIM(LEFT(MID($A384,FIND("/",$A384)+1,20),FIND("/",MID($A384,FIND("/",$A384)+1,20))-1))),"")))</f>
        <v/>
      </c>
      <c r="D384">
        <f>IF(OR($A384="",$B384=""),"",IF(ISNUMBER($A384),MOD($A384,100),IFERROR(VALUE(TRIM(MID(MID($A384,FIND("/",$A384)+1,20),FIND("/",MID($A384,FIND("/",$A384)+1,20))+1,20))),"")))</f>
        <v/>
      </c>
      <c r="E384">
        <f>IF($A384="","",IF(OR($B384="",$C384="",$D384="",$B384&lt;1300,$B384&gt;1500,$C384&lt;1,$C384&gt;12,$D384&lt;1,$D384&gt;31),"نامعتبر",RIGHT("0000"&amp;$B384,4)&amp;"/"&amp;RIGHT("00"&amp;$C384,2)&amp;"/"&amp;RIGHT("00"&amp;$D384,2)))</f>
        <v/>
      </c>
      <c r="F384">
        <f>IF(Entry!$D384&lt;&gt;"",IF(AND(ISNUMBER(Entry!$D384),Entry!$D384&gt;=0,Entry!$D384&lt;1),RIGHT("00"&amp;HOUR(Entry!$D384),2)&amp;":"&amp;RIGHT("00"&amp;MINUTE(Entry!$D384),2),IFERROR(RIGHT("00"&amp;VALUE(TRIM(LEFT(Entry!$D384,FIND(":",Entry!$D384)-1))),2)&amp;":"&amp;RIGHT("00"&amp;VALUE(TRIM(MID(Entry!$D384,FIND(":",Entry!$D384)+1,2))),2),"نامعتبر")),IF(OR($E384="",$E384="نامعتبر"),"","00:00"))</f>
        <v/>
      </c>
      <c r="G384">
        <f>IF(OR($E384="",$E384="نامعتبر"),"",IF(Entry!$E384="","",LEFT(UPPER(TRIM(Entry!$E384)),6)))</f>
        <v/>
      </c>
      <c r="H384">
        <f>IF($G384="","",RIGHT($E384,4)&amp;MID($E384,6,2)&amp;RIGHT($E384,2)&amp;IF($F384="","0000",IF($F384="نامعتبر","9999",LEFT($F384,2)&amp;RIGHT($F384,2)))&amp;"|"&amp;RIGHT("00000"&amp;376,5))</f>
        <v/>
      </c>
      <c r="I384">
        <f>IF($H384="","",COUNTIFS(CalcBank,$G384,CalcKey,"&lt;"&amp;$H384)+1)</f>
        <v/>
      </c>
      <c r="J384">
        <f>IF($I384="","",$G384&amp;"|"&amp;RIGHT("000000"&amp;$I384,6))</f>
        <v/>
      </c>
      <c r="K384">
        <f>IF(OR($E384="",$E384="نامعتبر"),"",LEFT($E384,4)&amp;"/"&amp;MID($E384,6,2))</f>
        <v/>
      </c>
      <c r="L384">
        <f>IF(Entry!$K384="",0,Entry!$K384)</f>
        <v/>
      </c>
      <c r="M384">
        <f>IF(Entry!$L384="",0,Entry!$L384)</f>
        <v/>
      </c>
    </row>
    <row r="385">
      <c r="A385">
        <f>IF(Entry!$C385="","",Entry!$C385)</f>
        <v/>
      </c>
      <c r="B385">
        <f>IF($A385="","",IF(ISNUMBER($A385),IF(AND($A385&gt;=10000101,$A385&lt;=99991231),INT($A385/10000),""),IFERROR(VALUE(TRIM(LEFT($A385,FIND("/",$A385)-1))),"")))</f>
        <v/>
      </c>
      <c r="C385">
        <f>IF(OR($A385="",$B385=""),"",IF(ISNUMBER($A385),INT(MOD($A385,10000)/100),IFERROR(VALUE(TRIM(LEFT(MID($A385,FIND("/",$A385)+1,20),FIND("/",MID($A385,FIND("/",$A385)+1,20))-1))),"")))</f>
        <v/>
      </c>
      <c r="D385">
        <f>IF(OR($A385="",$B385=""),"",IF(ISNUMBER($A385),MOD($A385,100),IFERROR(VALUE(TRIM(MID(MID($A385,FIND("/",$A385)+1,20),FIND("/",MID($A385,FIND("/",$A385)+1,20))+1,20))),"")))</f>
        <v/>
      </c>
      <c r="E385">
        <f>IF($A385="","",IF(OR($B385="",$C385="",$D385="",$B385&lt;1300,$B385&gt;1500,$C385&lt;1,$C385&gt;12,$D385&lt;1,$D385&gt;31),"نامعتبر",RIGHT("0000"&amp;$B385,4)&amp;"/"&amp;RIGHT("00"&amp;$C385,2)&amp;"/"&amp;RIGHT("00"&amp;$D385,2)))</f>
        <v/>
      </c>
      <c r="F385">
        <f>IF(Entry!$D385&lt;&gt;"",IF(AND(ISNUMBER(Entry!$D385),Entry!$D385&gt;=0,Entry!$D385&lt;1),RIGHT("00"&amp;HOUR(Entry!$D385),2)&amp;":"&amp;RIGHT("00"&amp;MINUTE(Entry!$D385),2),IFERROR(RIGHT("00"&amp;VALUE(TRIM(LEFT(Entry!$D385,FIND(":",Entry!$D385)-1))),2)&amp;":"&amp;RIGHT("00"&amp;VALUE(TRIM(MID(Entry!$D385,FIND(":",Entry!$D385)+1,2))),2),"نامعتبر")),IF(OR($E385="",$E385="نامعتبر"),"","00:00"))</f>
        <v/>
      </c>
      <c r="G385">
        <f>IF(OR($E385="",$E385="نامعتبر"),"",IF(Entry!$E385="","",LEFT(UPPER(TRIM(Entry!$E385)),6)))</f>
        <v/>
      </c>
      <c r="H385">
        <f>IF($G385="","",RIGHT($E385,4)&amp;MID($E385,6,2)&amp;RIGHT($E385,2)&amp;IF($F385="","0000",IF($F385="نامعتبر","9999",LEFT($F385,2)&amp;RIGHT($F385,2)))&amp;"|"&amp;RIGHT("00000"&amp;377,5))</f>
        <v/>
      </c>
      <c r="I385">
        <f>IF($H385="","",COUNTIFS(CalcBank,$G385,CalcKey,"&lt;"&amp;$H385)+1)</f>
        <v/>
      </c>
      <c r="J385">
        <f>IF($I385="","",$G385&amp;"|"&amp;RIGHT("000000"&amp;$I385,6))</f>
        <v/>
      </c>
      <c r="K385">
        <f>IF(OR($E385="",$E385="نامعتبر"),"",LEFT($E385,4)&amp;"/"&amp;MID($E385,6,2))</f>
        <v/>
      </c>
      <c r="L385">
        <f>IF(Entry!$K385="",0,Entry!$K385)</f>
        <v/>
      </c>
      <c r="M385">
        <f>IF(Entry!$L385="",0,Entry!$L385)</f>
        <v/>
      </c>
    </row>
    <row r="386">
      <c r="A386">
        <f>IF(Entry!$C386="","",Entry!$C386)</f>
        <v/>
      </c>
      <c r="B386">
        <f>IF($A386="","",IF(ISNUMBER($A386),IF(AND($A386&gt;=10000101,$A386&lt;=99991231),INT($A386/10000),""),IFERROR(VALUE(TRIM(LEFT($A386,FIND("/",$A386)-1))),"")))</f>
        <v/>
      </c>
      <c r="C386">
        <f>IF(OR($A386="",$B386=""),"",IF(ISNUMBER($A386),INT(MOD($A386,10000)/100),IFERROR(VALUE(TRIM(LEFT(MID($A386,FIND("/",$A386)+1,20),FIND("/",MID($A386,FIND("/",$A386)+1,20))-1))),"")))</f>
        <v/>
      </c>
      <c r="D386">
        <f>IF(OR($A386="",$B386=""),"",IF(ISNUMBER($A386),MOD($A386,100),IFERROR(VALUE(TRIM(MID(MID($A386,FIND("/",$A386)+1,20),FIND("/",MID($A386,FIND("/",$A386)+1,20))+1,20))),"")))</f>
        <v/>
      </c>
      <c r="E386">
        <f>IF($A386="","",IF(OR($B386="",$C386="",$D386="",$B386&lt;1300,$B386&gt;1500,$C386&lt;1,$C386&gt;12,$D386&lt;1,$D386&gt;31),"نامعتبر",RIGHT("0000"&amp;$B386,4)&amp;"/"&amp;RIGHT("00"&amp;$C386,2)&amp;"/"&amp;RIGHT("00"&amp;$D386,2)))</f>
        <v/>
      </c>
      <c r="F386">
        <f>IF(Entry!$D386&lt;&gt;"",IF(AND(ISNUMBER(Entry!$D386),Entry!$D386&gt;=0,Entry!$D386&lt;1),RIGHT("00"&amp;HOUR(Entry!$D386),2)&amp;":"&amp;RIGHT("00"&amp;MINUTE(Entry!$D386),2),IFERROR(RIGHT("00"&amp;VALUE(TRIM(LEFT(Entry!$D386,FIND(":",Entry!$D386)-1))),2)&amp;":"&amp;RIGHT("00"&amp;VALUE(TRIM(MID(Entry!$D386,FIND(":",Entry!$D386)+1,2))),2),"نامعتبر")),IF(OR($E386="",$E386="نامعتبر"),"","00:00"))</f>
        <v/>
      </c>
      <c r="G386">
        <f>IF(OR($E386="",$E386="نامعتبر"),"",IF(Entry!$E386="","",LEFT(UPPER(TRIM(Entry!$E386)),6)))</f>
        <v/>
      </c>
      <c r="H386">
        <f>IF($G386="","",RIGHT($E386,4)&amp;MID($E386,6,2)&amp;RIGHT($E386,2)&amp;IF($F386="","0000",IF($F386="نامعتبر","9999",LEFT($F386,2)&amp;RIGHT($F386,2)))&amp;"|"&amp;RIGHT("00000"&amp;378,5))</f>
        <v/>
      </c>
      <c r="I386">
        <f>IF($H386="","",COUNTIFS(CalcBank,$G386,CalcKey,"&lt;"&amp;$H386)+1)</f>
        <v/>
      </c>
      <c r="J386">
        <f>IF($I386="","",$G386&amp;"|"&amp;RIGHT("000000"&amp;$I386,6))</f>
        <v/>
      </c>
      <c r="K386">
        <f>IF(OR($E386="",$E386="نامعتبر"),"",LEFT($E386,4)&amp;"/"&amp;MID($E386,6,2))</f>
        <v/>
      </c>
      <c r="L386">
        <f>IF(Entry!$K386="",0,Entry!$K386)</f>
        <v/>
      </c>
      <c r="M386">
        <f>IF(Entry!$L386="",0,Entry!$L386)</f>
        <v/>
      </c>
    </row>
    <row r="387">
      <c r="A387">
        <f>IF(Entry!$C387="","",Entry!$C387)</f>
        <v/>
      </c>
      <c r="B387">
        <f>IF($A387="","",IF(ISNUMBER($A387),IF(AND($A387&gt;=10000101,$A387&lt;=99991231),INT($A387/10000),""),IFERROR(VALUE(TRIM(LEFT($A387,FIND("/",$A387)-1))),"")))</f>
        <v/>
      </c>
      <c r="C387">
        <f>IF(OR($A387="",$B387=""),"",IF(ISNUMBER($A387),INT(MOD($A387,10000)/100),IFERROR(VALUE(TRIM(LEFT(MID($A387,FIND("/",$A387)+1,20),FIND("/",MID($A387,FIND("/",$A387)+1,20))-1))),"")))</f>
        <v/>
      </c>
      <c r="D387">
        <f>IF(OR($A387="",$B387=""),"",IF(ISNUMBER($A387),MOD($A387,100),IFERROR(VALUE(TRIM(MID(MID($A387,FIND("/",$A387)+1,20),FIND("/",MID($A387,FIND("/",$A387)+1,20))+1,20))),"")))</f>
        <v/>
      </c>
      <c r="E387">
        <f>IF($A387="","",IF(OR($B387="",$C387="",$D387="",$B387&lt;1300,$B387&gt;1500,$C387&lt;1,$C387&gt;12,$D387&lt;1,$D387&gt;31),"نامعتبر",RIGHT("0000"&amp;$B387,4)&amp;"/"&amp;RIGHT("00"&amp;$C387,2)&amp;"/"&amp;RIGHT("00"&amp;$D387,2)))</f>
        <v/>
      </c>
      <c r="F387">
        <f>IF(Entry!$D387&lt;&gt;"",IF(AND(ISNUMBER(Entry!$D387),Entry!$D387&gt;=0,Entry!$D387&lt;1),RIGHT("00"&amp;HOUR(Entry!$D387),2)&amp;":"&amp;RIGHT("00"&amp;MINUTE(Entry!$D387),2),IFERROR(RIGHT("00"&amp;VALUE(TRIM(LEFT(Entry!$D387,FIND(":",Entry!$D387)-1))),2)&amp;":"&amp;RIGHT("00"&amp;VALUE(TRIM(MID(Entry!$D387,FIND(":",Entry!$D387)+1,2))),2),"نامعتبر")),IF(OR($E387="",$E387="نامعتبر"),"","00:00"))</f>
        <v/>
      </c>
      <c r="G387">
        <f>IF(OR($E387="",$E387="نامعتبر"),"",IF(Entry!$E387="","",LEFT(UPPER(TRIM(Entry!$E387)),6)))</f>
        <v/>
      </c>
      <c r="H387">
        <f>IF($G387="","",RIGHT($E387,4)&amp;MID($E387,6,2)&amp;RIGHT($E387,2)&amp;IF($F387="","0000",IF($F387="نامعتبر","9999",LEFT($F387,2)&amp;RIGHT($F387,2)))&amp;"|"&amp;RIGHT("00000"&amp;379,5))</f>
        <v/>
      </c>
      <c r="I387">
        <f>IF($H387="","",COUNTIFS(CalcBank,$G387,CalcKey,"&lt;"&amp;$H387)+1)</f>
        <v/>
      </c>
      <c r="J387">
        <f>IF($I387="","",$G387&amp;"|"&amp;RIGHT("000000"&amp;$I387,6))</f>
        <v/>
      </c>
      <c r="K387">
        <f>IF(OR($E387="",$E387="نامعتبر"),"",LEFT($E387,4)&amp;"/"&amp;MID($E387,6,2))</f>
        <v/>
      </c>
      <c r="L387">
        <f>IF(Entry!$K387="",0,Entry!$K387)</f>
        <v/>
      </c>
      <c r="M387">
        <f>IF(Entry!$L387="",0,Entry!$L387)</f>
        <v/>
      </c>
    </row>
    <row r="388">
      <c r="A388">
        <f>IF(Entry!$C388="","",Entry!$C388)</f>
        <v/>
      </c>
      <c r="B388">
        <f>IF($A388="","",IF(ISNUMBER($A388),IF(AND($A388&gt;=10000101,$A388&lt;=99991231),INT($A388/10000),""),IFERROR(VALUE(TRIM(LEFT($A388,FIND("/",$A388)-1))),"")))</f>
        <v/>
      </c>
      <c r="C388">
        <f>IF(OR($A388="",$B388=""),"",IF(ISNUMBER($A388),INT(MOD($A388,10000)/100),IFERROR(VALUE(TRIM(LEFT(MID($A388,FIND("/",$A388)+1,20),FIND("/",MID($A388,FIND("/",$A388)+1,20))-1))),"")))</f>
        <v/>
      </c>
      <c r="D388">
        <f>IF(OR($A388="",$B388=""),"",IF(ISNUMBER($A388),MOD($A388,100),IFERROR(VALUE(TRIM(MID(MID($A388,FIND("/",$A388)+1,20),FIND("/",MID($A388,FIND("/",$A388)+1,20))+1,20))),"")))</f>
        <v/>
      </c>
      <c r="E388">
        <f>IF($A388="","",IF(OR($B388="",$C388="",$D388="",$B388&lt;1300,$B388&gt;1500,$C388&lt;1,$C388&gt;12,$D388&lt;1,$D388&gt;31),"نامعتبر",RIGHT("0000"&amp;$B388,4)&amp;"/"&amp;RIGHT("00"&amp;$C388,2)&amp;"/"&amp;RIGHT("00"&amp;$D388,2)))</f>
        <v/>
      </c>
      <c r="F388">
        <f>IF(Entry!$D388&lt;&gt;"",IF(AND(ISNUMBER(Entry!$D388),Entry!$D388&gt;=0,Entry!$D388&lt;1),RIGHT("00"&amp;HOUR(Entry!$D388),2)&amp;":"&amp;RIGHT("00"&amp;MINUTE(Entry!$D388),2),IFERROR(RIGHT("00"&amp;VALUE(TRIM(LEFT(Entry!$D388,FIND(":",Entry!$D388)-1))),2)&amp;":"&amp;RIGHT("00"&amp;VALUE(TRIM(MID(Entry!$D388,FIND(":",Entry!$D388)+1,2))),2),"نامعتبر")),IF(OR($E388="",$E388="نامعتبر"),"","00:00"))</f>
        <v/>
      </c>
      <c r="G388">
        <f>IF(OR($E388="",$E388="نامعتبر"),"",IF(Entry!$E388="","",LEFT(UPPER(TRIM(Entry!$E388)),6)))</f>
        <v/>
      </c>
      <c r="H388">
        <f>IF($G388="","",RIGHT($E388,4)&amp;MID($E388,6,2)&amp;RIGHT($E388,2)&amp;IF($F388="","0000",IF($F388="نامعتبر","9999",LEFT($F388,2)&amp;RIGHT($F388,2)))&amp;"|"&amp;RIGHT("00000"&amp;380,5))</f>
        <v/>
      </c>
      <c r="I388">
        <f>IF($H388="","",COUNTIFS(CalcBank,$G388,CalcKey,"&lt;"&amp;$H388)+1)</f>
        <v/>
      </c>
      <c r="J388">
        <f>IF($I388="","",$G388&amp;"|"&amp;RIGHT("000000"&amp;$I388,6))</f>
        <v/>
      </c>
      <c r="K388">
        <f>IF(OR($E388="",$E388="نامعتبر"),"",LEFT($E388,4)&amp;"/"&amp;MID($E388,6,2))</f>
        <v/>
      </c>
      <c r="L388">
        <f>IF(Entry!$K388="",0,Entry!$K388)</f>
        <v/>
      </c>
      <c r="M388">
        <f>IF(Entry!$L388="",0,Entry!$L388)</f>
        <v/>
      </c>
    </row>
    <row r="389">
      <c r="A389">
        <f>IF(Entry!$C389="","",Entry!$C389)</f>
        <v/>
      </c>
      <c r="B389">
        <f>IF($A389="","",IF(ISNUMBER($A389),IF(AND($A389&gt;=10000101,$A389&lt;=99991231),INT($A389/10000),""),IFERROR(VALUE(TRIM(LEFT($A389,FIND("/",$A389)-1))),"")))</f>
        <v/>
      </c>
      <c r="C389">
        <f>IF(OR($A389="",$B389=""),"",IF(ISNUMBER($A389),INT(MOD($A389,10000)/100),IFERROR(VALUE(TRIM(LEFT(MID($A389,FIND("/",$A389)+1,20),FIND("/",MID($A389,FIND("/",$A389)+1,20))-1))),"")))</f>
        <v/>
      </c>
      <c r="D389">
        <f>IF(OR($A389="",$B389=""),"",IF(ISNUMBER($A389),MOD($A389,100),IFERROR(VALUE(TRIM(MID(MID($A389,FIND("/",$A389)+1,20),FIND("/",MID($A389,FIND("/",$A389)+1,20))+1,20))),"")))</f>
        <v/>
      </c>
      <c r="E389">
        <f>IF($A389="","",IF(OR($B389="",$C389="",$D389="",$B389&lt;1300,$B389&gt;1500,$C389&lt;1,$C389&gt;12,$D389&lt;1,$D389&gt;31),"نامعتبر",RIGHT("0000"&amp;$B389,4)&amp;"/"&amp;RIGHT("00"&amp;$C389,2)&amp;"/"&amp;RIGHT("00"&amp;$D389,2)))</f>
        <v/>
      </c>
      <c r="F389">
        <f>IF(Entry!$D389&lt;&gt;"",IF(AND(ISNUMBER(Entry!$D389),Entry!$D389&gt;=0,Entry!$D389&lt;1),RIGHT("00"&amp;HOUR(Entry!$D389),2)&amp;":"&amp;RIGHT("00"&amp;MINUTE(Entry!$D389),2),IFERROR(RIGHT("00"&amp;VALUE(TRIM(LEFT(Entry!$D389,FIND(":",Entry!$D389)-1))),2)&amp;":"&amp;RIGHT("00"&amp;VALUE(TRIM(MID(Entry!$D389,FIND(":",Entry!$D389)+1,2))),2),"نامعتبر")),IF(OR($E389="",$E389="نامعتبر"),"","00:00"))</f>
        <v/>
      </c>
      <c r="G389">
        <f>IF(OR($E389="",$E389="نامعتبر"),"",IF(Entry!$E389="","",LEFT(UPPER(TRIM(Entry!$E389)),6)))</f>
        <v/>
      </c>
      <c r="H389">
        <f>IF($G389="","",RIGHT($E389,4)&amp;MID($E389,6,2)&amp;RIGHT($E389,2)&amp;IF($F389="","0000",IF($F389="نامعتبر","9999",LEFT($F389,2)&amp;RIGHT($F389,2)))&amp;"|"&amp;RIGHT("00000"&amp;381,5))</f>
        <v/>
      </c>
      <c r="I389">
        <f>IF($H389="","",COUNTIFS(CalcBank,$G389,CalcKey,"&lt;"&amp;$H389)+1)</f>
        <v/>
      </c>
      <c r="J389">
        <f>IF($I389="","",$G389&amp;"|"&amp;RIGHT("000000"&amp;$I389,6))</f>
        <v/>
      </c>
      <c r="K389">
        <f>IF(OR($E389="",$E389="نامعتبر"),"",LEFT($E389,4)&amp;"/"&amp;MID($E389,6,2))</f>
        <v/>
      </c>
      <c r="L389">
        <f>IF(Entry!$K389="",0,Entry!$K389)</f>
        <v/>
      </c>
      <c r="M389">
        <f>IF(Entry!$L389="",0,Entry!$L389)</f>
        <v/>
      </c>
    </row>
    <row r="390">
      <c r="A390">
        <f>IF(Entry!$C390="","",Entry!$C390)</f>
        <v/>
      </c>
      <c r="B390">
        <f>IF($A390="","",IF(ISNUMBER($A390),IF(AND($A390&gt;=10000101,$A390&lt;=99991231),INT($A390/10000),""),IFERROR(VALUE(TRIM(LEFT($A390,FIND("/",$A390)-1))),"")))</f>
        <v/>
      </c>
      <c r="C390">
        <f>IF(OR($A390="",$B390=""),"",IF(ISNUMBER($A390),INT(MOD($A390,10000)/100),IFERROR(VALUE(TRIM(LEFT(MID($A390,FIND("/",$A390)+1,20),FIND("/",MID($A390,FIND("/",$A390)+1,20))-1))),"")))</f>
        <v/>
      </c>
      <c r="D390">
        <f>IF(OR($A390="",$B390=""),"",IF(ISNUMBER($A390),MOD($A390,100),IFERROR(VALUE(TRIM(MID(MID($A390,FIND("/",$A390)+1,20),FIND("/",MID($A390,FIND("/",$A390)+1,20))+1,20))),"")))</f>
        <v/>
      </c>
      <c r="E390">
        <f>IF($A390="","",IF(OR($B390="",$C390="",$D390="",$B390&lt;1300,$B390&gt;1500,$C390&lt;1,$C390&gt;12,$D390&lt;1,$D390&gt;31),"نامعتبر",RIGHT("0000"&amp;$B390,4)&amp;"/"&amp;RIGHT("00"&amp;$C390,2)&amp;"/"&amp;RIGHT("00"&amp;$D390,2)))</f>
        <v/>
      </c>
      <c r="F390">
        <f>IF(Entry!$D390&lt;&gt;"",IF(AND(ISNUMBER(Entry!$D390),Entry!$D390&gt;=0,Entry!$D390&lt;1),RIGHT("00"&amp;HOUR(Entry!$D390),2)&amp;":"&amp;RIGHT("00"&amp;MINUTE(Entry!$D390),2),IFERROR(RIGHT("00"&amp;VALUE(TRIM(LEFT(Entry!$D390,FIND(":",Entry!$D390)-1))),2)&amp;":"&amp;RIGHT("00"&amp;VALUE(TRIM(MID(Entry!$D390,FIND(":",Entry!$D390)+1,2))),2),"نامعتبر")),IF(OR($E390="",$E390="نامعتبر"),"","00:00"))</f>
        <v/>
      </c>
      <c r="G390">
        <f>IF(OR($E390="",$E390="نامعتبر"),"",IF(Entry!$E390="","",LEFT(UPPER(TRIM(Entry!$E390)),6)))</f>
        <v/>
      </c>
      <c r="H390">
        <f>IF($G390="","",RIGHT($E390,4)&amp;MID($E390,6,2)&amp;RIGHT($E390,2)&amp;IF($F390="","0000",IF($F390="نامعتبر","9999",LEFT($F390,2)&amp;RIGHT($F390,2)))&amp;"|"&amp;RIGHT("00000"&amp;382,5))</f>
        <v/>
      </c>
      <c r="I390">
        <f>IF($H390="","",COUNTIFS(CalcBank,$G390,CalcKey,"&lt;"&amp;$H390)+1)</f>
        <v/>
      </c>
      <c r="J390">
        <f>IF($I390="","",$G390&amp;"|"&amp;RIGHT("000000"&amp;$I390,6))</f>
        <v/>
      </c>
      <c r="K390">
        <f>IF(OR($E390="",$E390="نامعتبر"),"",LEFT($E390,4)&amp;"/"&amp;MID($E390,6,2))</f>
        <v/>
      </c>
      <c r="L390">
        <f>IF(Entry!$K390="",0,Entry!$K390)</f>
        <v/>
      </c>
      <c r="M390">
        <f>IF(Entry!$L390="",0,Entry!$L390)</f>
        <v/>
      </c>
    </row>
    <row r="391">
      <c r="A391">
        <f>IF(Entry!$C391="","",Entry!$C391)</f>
        <v/>
      </c>
      <c r="B391">
        <f>IF($A391="","",IF(ISNUMBER($A391),IF(AND($A391&gt;=10000101,$A391&lt;=99991231),INT($A391/10000),""),IFERROR(VALUE(TRIM(LEFT($A391,FIND("/",$A391)-1))),"")))</f>
        <v/>
      </c>
      <c r="C391">
        <f>IF(OR($A391="",$B391=""),"",IF(ISNUMBER($A391),INT(MOD($A391,10000)/100),IFERROR(VALUE(TRIM(LEFT(MID($A391,FIND("/",$A391)+1,20),FIND("/",MID($A391,FIND("/",$A391)+1,20))-1))),"")))</f>
        <v/>
      </c>
      <c r="D391">
        <f>IF(OR($A391="",$B391=""),"",IF(ISNUMBER($A391),MOD($A391,100),IFERROR(VALUE(TRIM(MID(MID($A391,FIND("/",$A391)+1,20),FIND("/",MID($A391,FIND("/",$A391)+1,20))+1,20))),"")))</f>
        <v/>
      </c>
      <c r="E391">
        <f>IF($A391="","",IF(OR($B391="",$C391="",$D391="",$B391&lt;1300,$B391&gt;1500,$C391&lt;1,$C391&gt;12,$D391&lt;1,$D391&gt;31),"نامعتبر",RIGHT("0000"&amp;$B391,4)&amp;"/"&amp;RIGHT("00"&amp;$C391,2)&amp;"/"&amp;RIGHT("00"&amp;$D391,2)))</f>
        <v/>
      </c>
      <c r="F391">
        <f>IF(Entry!$D391&lt;&gt;"",IF(AND(ISNUMBER(Entry!$D391),Entry!$D391&gt;=0,Entry!$D391&lt;1),RIGHT("00"&amp;HOUR(Entry!$D391),2)&amp;":"&amp;RIGHT("00"&amp;MINUTE(Entry!$D391),2),IFERROR(RIGHT("00"&amp;VALUE(TRIM(LEFT(Entry!$D391,FIND(":",Entry!$D391)-1))),2)&amp;":"&amp;RIGHT("00"&amp;VALUE(TRIM(MID(Entry!$D391,FIND(":",Entry!$D391)+1,2))),2),"نامعتبر")),IF(OR($E391="",$E391="نامعتبر"),"","00:00"))</f>
        <v/>
      </c>
      <c r="G391">
        <f>IF(OR($E391="",$E391="نامعتبر"),"",IF(Entry!$E391="","",LEFT(UPPER(TRIM(Entry!$E391)),6)))</f>
        <v/>
      </c>
      <c r="H391">
        <f>IF($G391="","",RIGHT($E391,4)&amp;MID($E391,6,2)&amp;RIGHT($E391,2)&amp;IF($F391="","0000",IF($F391="نامعتبر","9999",LEFT($F391,2)&amp;RIGHT($F391,2)))&amp;"|"&amp;RIGHT("00000"&amp;383,5))</f>
        <v/>
      </c>
      <c r="I391">
        <f>IF($H391="","",COUNTIFS(CalcBank,$G391,CalcKey,"&lt;"&amp;$H391)+1)</f>
        <v/>
      </c>
      <c r="J391">
        <f>IF($I391="","",$G391&amp;"|"&amp;RIGHT("000000"&amp;$I391,6))</f>
        <v/>
      </c>
      <c r="K391">
        <f>IF(OR($E391="",$E391="نامعتبر"),"",LEFT($E391,4)&amp;"/"&amp;MID($E391,6,2))</f>
        <v/>
      </c>
      <c r="L391">
        <f>IF(Entry!$K391="",0,Entry!$K391)</f>
        <v/>
      </c>
      <c r="M391">
        <f>IF(Entry!$L391="",0,Entry!$L391)</f>
        <v/>
      </c>
    </row>
    <row r="392">
      <c r="A392">
        <f>IF(Entry!$C392="","",Entry!$C392)</f>
        <v/>
      </c>
      <c r="B392">
        <f>IF($A392="","",IF(ISNUMBER($A392),IF(AND($A392&gt;=10000101,$A392&lt;=99991231),INT($A392/10000),""),IFERROR(VALUE(TRIM(LEFT($A392,FIND("/",$A392)-1))),"")))</f>
        <v/>
      </c>
      <c r="C392">
        <f>IF(OR($A392="",$B392=""),"",IF(ISNUMBER($A392),INT(MOD($A392,10000)/100),IFERROR(VALUE(TRIM(LEFT(MID($A392,FIND("/",$A392)+1,20),FIND("/",MID($A392,FIND("/",$A392)+1,20))-1))),"")))</f>
        <v/>
      </c>
      <c r="D392">
        <f>IF(OR($A392="",$B392=""),"",IF(ISNUMBER($A392),MOD($A392,100),IFERROR(VALUE(TRIM(MID(MID($A392,FIND("/",$A392)+1,20),FIND("/",MID($A392,FIND("/",$A392)+1,20))+1,20))),"")))</f>
        <v/>
      </c>
      <c r="E392">
        <f>IF($A392="","",IF(OR($B392="",$C392="",$D392="",$B392&lt;1300,$B392&gt;1500,$C392&lt;1,$C392&gt;12,$D392&lt;1,$D392&gt;31),"نامعتبر",RIGHT("0000"&amp;$B392,4)&amp;"/"&amp;RIGHT("00"&amp;$C392,2)&amp;"/"&amp;RIGHT("00"&amp;$D392,2)))</f>
        <v/>
      </c>
      <c r="F392">
        <f>IF(Entry!$D392&lt;&gt;"",IF(AND(ISNUMBER(Entry!$D392),Entry!$D392&gt;=0,Entry!$D392&lt;1),RIGHT("00"&amp;HOUR(Entry!$D392),2)&amp;":"&amp;RIGHT("00"&amp;MINUTE(Entry!$D392),2),IFERROR(RIGHT("00"&amp;VALUE(TRIM(LEFT(Entry!$D392,FIND(":",Entry!$D392)-1))),2)&amp;":"&amp;RIGHT("00"&amp;VALUE(TRIM(MID(Entry!$D392,FIND(":",Entry!$D392)+1,2))),2),"نامعتبر")),IF(OR($E392="",$E392="نامعتبر"),"","00:00"))</f>
        <v/>
      </c>
      <c r="G392">
        <f>IF(OR($E392="",$E392="نامعتبر"),"",IF(Entry!$E392="","",LEFT(UPPER(TRIM(Entry!$E392)),6)))</f>
        <v/>
      </c>
      <c r="H392">
        <f>IF($G392="","",RIGHT($E392,4)&amp;MID($E392,6,2)&amp;RIGHT($E392,2)&amp;IF($F392="","0000",IF($F392="نامعتبر","9999",LEFT($F392,2)&amp;RIGHT($F392,2)))&amp;"|"&amp;RIGHT("00000"&amp;384,5))</f>
        <v/>
      </c>
      <c r="I392">
        <f>IF($H392="","",COUNTIFS(CalcBank,$G392,CalcKey,"&lt;"&amp;$H392)+1)</f>
        <v/>
      </c>
      <c r="J392">
        <f>IF($I392="","",$G392&amp;"|"&amp;RIGHT("000000"&amp;$I392,6))</f>
        <v/>
      </c>
      <c r="K392">
        <f>IF(OR($E392="",$E392="نامعتبر"),"",LEFT($E392,4)&amp;"/"&amp;MID($E392,6,2))</f>
        <v/>
      </c>
      <c r="L392">
        <f>IF(Entry!$K392="",0,Entry!$K392)</f>
        <v/>
      </c>
      <c r="M392">
        <f>IF(Entry!$L392="",0,Entry!$L392)</f>
        <v/>
      </c>
    </row>
    <row r="393">
      <c r="A393">
        <f>IF(Entry!$C393="","",Entry!$C393)</f>
        <v/>
      </c>
      <c r="B393">
        <f>IF($A393="","",IF(ISNUMBER($A393),IF(AND($A393&gt;=10000101,$A393&lt;=99991231),INT($A393/10000),""),IFERROR(VALUE(TRIM(LEFT($A393,FIND("/",$A393)-1))),"")))</f>
        <v/>
      </c>
      <c r="C393">
        <f>IF(OR($A393="",$B393=""),"",IF(ISNUMBER($A393),INT(MOD($A393,10000)/100),IFERROR(VALUE(TRIM(LEFT(MID($A393,FIND("/",$A393)+1,20),FIND("/",MID($A393,FIND("/",$A393)+1,20))-1))),"")))</f>
        <v/>
      </c>
      <c r="D393">
        <f>IF(OR($A393="",$B393=""),"",IF(ISNUMBER($A393),MOD($A393,100),IFERROR(VALUE(TRIM(MID(MID($A393,FIND("/",$A393)+1,20),FIND("/",MID($A393,FIND("/",$A393)+1,20))+1,20))),"")))</f>
        <v/>
      </c>
      <c r="E393">
        <f>IF($A393="","",IF(OR($B393="",$C393="",$D393="",$B393&lt;1300,$B393&gt;1500,$C393&lt;1,$C393&gt;12,$D393&lt;1,$D393&gt;31),"نامعتبر",RIGHT("0000"&amp;$B393,4)&amp;"/"&amp;RIGHT("00"&amp;$C393,2)&amp;"/"&amp;RIGHT("00"&amp;$D393,2)))</f>
        <v/>
      </c>
      <c r="F393">
        <f>IF(Entry!$D393&lt;&gt;"",IF(AND(ISNUMBER(Entry!$D393),Entry!$D393&gt;=0,Entry!$D393&lt;1),RIGHT("00"&amp;HOUR(Entry!$D393),2)&amp;":"&amp;RIGHT("00"&amp;MINUTE(Entry!$D393),2),IFERROR(RIGHT("00"&amp;VALUE(TRIM(LEFT(Entry!$D393,FIND(":",Entry!$D393)-1))),2)&amp;":"&amp;RIGHT("00"&amp;VALUE(TRIM(MID(Entry!$D393,FIND(":",Entry!$D393)+1,2))),2),"نامعتبر")),IF(OR($E393="",$E393="نامعتبر"),"","00:00"))</f>
        <v/>
      </c>
      <c r="G393">
        <f>IF(OR($E393="",$E393="نامعتبر"),"",IF(Entry!$E393="","",LEFT(UPPER(TRIM(Entry!$E393)),6)))</f>
        <v/>
      </c>
      <c r="H393">
        <f>IF($G393="","",RIGHT($E393,4)&amp;MID($E393,6,2)&amp;RIGHT($E393,2)&amp;IF($F393="","0000",IF($F393="نامعتبر","9999",LEFT($F393,2)&amp;RIGHT($F393,2)))&amp;"|"&amp;RIGHT("00000"&amp;385,5))</f>
        <v/>
      </c>
      <c r="I393">
        <f>IF($H393="","",COUNTIFS(CalcBank,$G393,CalcKey,"&lt;"&amp;$H393)+1)</f>
        <v/>
      </c>
      <c r="J393">
        <f>IF($I393="","",$G393&amp;"|"&amp;RIGHT("000000"&amp;$I393,6))</f>
        <v/>
      </c>
      <c r="K393">
        <f>IF(OR($E393="",$E393="نامعتبر"),"",LEFT($E393,4)&amp;"/"&amp;MID($E393,6,2))</f>
        <v/>
      </c>
      <c r="L393">
        <f>IF(Entry!$K393="",0,Entry!$K393)</f>
        <v/>
      </c>
      <c r="M393">
        <f>IF(Entry!$L393="",0,Entry!$L393)</f>
        <v/>
      </c>
    </row>
    <row r="394">
      <c r="A394">
        <f>IF(Entry!$C394="","",Entry!$C394)</f>
        <v/>
      </c>
      <c r="B394">
        <f>IF($A394="","",IF(ISNUMBER($A394),IF(AND($A394&gt;=10000101,$A394&lt;=99991231),INT($A394/10000),""),IFERROR(VALUE(TRIM(LEFT($A394,FIND("/",$A394)-1))),"")))</f>
        <v/>
      </c>
      <c r="C394">
        <f>IF(OR($A394="",$B394=""),"",IF(ISNUMBER($A394),INT(MOD($A394,10000)/100),IFERROR(VALUE(TRIM(LEFT(MID($A394,FIND("/",$A394)+1,20),FIND("/",MID($A394,FIND("/",$A394)+1,20))-1))),"")))</f>
        <v/>
      </c>
      <c r="D394">
        <f>IF(OR($A394="",$B394=""),"",IF(ISNUMBER($A394),MOD($A394,100),IFERROR(VALUE(TRIM(MID(MID($A394,FIND("/",$A394)+1,20),FIND("/",MID($A394,FIND("/",$A394)+1,20))+1,20))),"")))</f>
        <v/>
      </c>
      <c r="E394">
        <f>IF($A394="","",IF(OR($B394="",$C394="",$D394="",$B394&lt;1300,$B394&gt;1500,$C394&lt;1,$C394&gt;12,$D394&lt;1,$D394&gt;31),"نامعتبر",RIGHT("0000"&amp;$B394,4)&amp;"/"&amp;RIGHT("00"&amp;$C394,2)&amp;"/"&amp;RIGHT("00"&amp;$D394,2)))</f>
        <v/>
      </c>
      <c r="F394">
        <f>IF(Entry!$D394&lt;&gt;"",IF(AND(ISNUMBER(Entry!$D394),Entry!$D394&gt;=0,Entry!$D394&lt;1),RIGHT("00"&amp;HOUR(Entry!$D394),2)&amp;":"&amp;RIGHT("00"&amp;MINUTE(Entry!$D394),2),IFERROR(RIGHT("00"&amp;VALUE(TRIM(LEFT(Entry!$D394,FIND(":",Entry!$D394)-1))),2)&amp;":"&amp;RIGHT("00"&amp;VALUE(TRIM(MID(Entry!$D394,FIND(":",Entry!$D394)+1,2))),2),"نامعتبر")),IF(OR($E394="",$E394="نامعتبر"),"","00:00"))</f>
        <v/>
      </c>
      <c r="G394">
        <f>IF(OR($E394="",$E394="نامعتبر"),"",IF(Entry!$E394="","",LEFT(UPPER(TRIM(Entry!$E394)),6)))</f>
        <v/>
      </c>
      <c r="H394">
        <f>IF($G394="","",RIGHT($E394,4)&amp;MID($E394,6,2)&amp;RIGHT($E394,2)&amp;IF($F394="","0000",IF($F394="نامعتبر","9999",LEFT($F394,2)&amp;RIGHT($F394,2)))&amp;"|"&amp;RIGHT("00000"&amp;386,5))</f>
        <v/>
      </c>
      <c r="I394">
        <f>IF($H394="","",COUNTIFS(CalcBank,$G394,CalcKey,"&lt;"&amp;$H394)+1)</f>
        <v/>
      </c>
      <c r="J394">
        <f>IF($I394="","",$G394&amp;"|"&amp;RIGHT("000000"&amp;$I394,6))</f>
        <v/>
      </c>
      <c r="K394">
        <f>IF(OR($E394="",$E394="نامعتبر"),"",LEFT($E394,4)&amp;"/"&amp;MID($E394,6,2))</f>
        <v/>
      </c>
      <c r="L394">
        <f>IF(Entry!$K394="",0,Entry!$K394)</f>
        <v/>
      </c>
      <c r="M394">
        <f>IF(Entry!$L394="",0,Entry!$L394)</f>
        <v/>
      </c>
    </row>
    <row r="395">
      <c r="A395">
        <f>IF(Entry!$C395="","",Entry!$C395)</f>
        <v/>
      </c>
      <c r="B395">
        <f>IF($A395="","",IF(ISNUMBER($A395),IF(AND($A395&gt;=10000101,$A395&lt;=99991231),INT($A395/10000),""),IFERROR(VALUE(TRIM(LEFT($A395,FIND("/",$A395)-1))),"")))</f>
        <v/>
      </c>
      <c r="C395">
        <f>IF(OR($A395="",$B395=""),"",IF(ISNUMBER($A395),INT(MOD($A395,10000)/100),IFERROR(VALUE(TRIM(LEFT(MID($A395,FIND("/",$A395)+1,20),FIND("/",MID($A395,FIND("/",$A395)+1,20))-1))),"")))</f>
        <v/>
      </c>
      <c r="D395">
        <f>IF(OR($A395="",$B395=""),"",IF(ISNUMBER($A395),MOD($A395,100),IFERROR(VALUE(TRIM(MID(MID($A395,FIND("/",$A395)+1,20),FIND("/",MID($A395,FIND("/",$A395)+1,20))+1,20))),"")))</f>
        <v/>
      </c>
      <c r="E395">
        <f>IF($A395="","",IF(OR($B395="",$C395="",$D395="",$B395&lt;1300,$B395&gt;1500,$C395&lt;1,$C395&gt;12,$D395&lt;1,$D395&gt;31),"نامعتبر",RIGHT("0000"&amp;$B395,4)&amp;"/"&amp;RIGHT("00"&amp;$C395,2)&amp;"/"&amp;RIGHT("00"&amp;$D395,2)))</f>
        <v/>
      </c>
      <c r="F395">
        <f>IF(Entry!$D395&lt;&gt;"",IF(AND(ISNUMBER(Entry!$D395),Entry!$D395&gt;=0,Entry!$D395&lt;1),RIGHT("00"&amp;HOUR(Entry!$D395),2)&amp;":"&amp;RIGHT("00"&amp;MINUTE(Entry!$D395),2),IFERROR(RIGHT("00"&amp;VALUE(TRIM(LEFT(Entry!$D395,FIND(":",Entry!$D395)-1))),2)&amp;":"&amp;RIGHT("00"&amp;VALUE(TRIM(MID(Entry!$D395,FIND(":",Entry!$D395)+1,2))),2),"نامعتبر")),IF(OR($E395="",$E395="نامعتبر"),"","00:00"))</f>
        <v/>
      </c>
      <c r="G395">
        <f>IF(OR($E395="",$E395="نامعتبر"),"",IF(Entry!$E395="","",LEFT(UPPER(TRIM(Entry!$E395)),6)))</f>
        <v/>
      </c>
      <c r="H395">
        <f>IF($G395="","",RIGHT($E395,4)&amp;MID($E395,6,2)&amp;RIGHT($E395,2)&amp;IF($F395="","0000",IF($F395="نامعتبر","9999",LEFT($F395,2)&amp;RIGHT($F395,2)))&amp;"|"&amp;RIGHT("00000"&amp;387,5))</f>
        <v/>
      </c>
      <c r="I395">
        <f>IF($H395="","",COUNTIFS(CalcBank,$G395,CalcKey,"&lt;"&amp;$H395)+1)</f>
        <v/>
      </c>
      <c r="J395">
        <f>IF($I395="","",$G395&amp;"|"&amp;RIGHT("000000"&amp;$I395,6))</f>
        <v/>
      </c>
      <c r="K395">
        <f>IF(OR($E395="",$E395="نامعتبر"),"",LEFT($E395,4)&amp;"/"&amp;MID($E395,6,2))</f>
        <v/>
      </c>
      <c r="L395">
        <f>IF(Entry!$K395="",0,Entry!$K395)</f>
        <v/>
      </c>
      <c r="M395">
        <f>IF(Entry!$L395="",0,Entry!$L395)</f>
        <v/>
      </c>
    </row>
    <row r="396">
      <c r="A396">
        <f>IF(Entry!$C396="","",Entry!$C396)</f>
        <v/>
      </c>
      <c r="B396">
        <f>IF($A396="","",IF(ISNUMBER($A396),IF(AND($A396&gt;=10000101,$A396&lt;=99991231),INT($A396/10000),""),IFERROR(VALUE(TRIM(LEFT($A396,FIND("/",$A396)-1))),"")))</f>
        <v/>
      </c>
      <c r="C396">
        <f>IF(OR($A396="",$B396=""),"",IF(ISNUMBER($A396),INT(MOD($A396,10000)/100),IFERROR(VALUE(TRIM(LEFT(MID($A396,FIND("/",$A396)+1,20),FIND("/",MID($A396,FIND("/",$A396)+1,20))-1))),"")))</f>
        <v/>
      </c>
      <c r="D396">
        <f>IF(OR($A396="",$B396=""),"",IF(ISNUMBER($A396),MOD($A396,100),IFERROR(VALUE(TRIM(MID(MID($A396,FIND("/",$A396)+1,20),FIND("/",MID($A396,FIND("/",$A396)+1,20))+1,20))),"")))</f>
        <v/>
      </c>
      <c r="E396">
        <f>IF($A396="","",IF(OR($B396="",$C396="",$D396="",$B396&lt;1300,$B396&gt;1500,$C396&lt;1,$C396&gt;12,$D396&lt;1,$D396&gt;31),"نامعتبر",RIGHT("0000"&amp;$B396,4)&amp;"/"&amp;RIGHT("00"&amp;$C396,2)&amp;"/"&amp;RIGHT("00"&amp;$D396,2)))</f>
        <v/>
      </c>
      <c r="F396">
        <f>IF(Entry!$D396&lt;&gt;"",IF(AND(ISNUMBER(Entry!$D396),Entry!$D396&gt;=0,Entry!$D396&lt;1),RIGHT("00"&amp;HOUR(Entry!$D396),2)&amp;":"&amp;RIGHT("00"&amp;MINUTE(Entry!$D396),2),IFERROR(RIGHT("00"&amp;VALUE(TRIM(LEFT(Entry!$D396,FIND(":",Entry!$D396)-1))),2)&amp;":"&amp;RIGHT("00"&amp;VALUE(TRIM(MID(Entry!$D396,FIND(":",Entry!$D396)+1,2))),2),"نامعتبر")),IF(OR($E396="",$E396="نامعتبر"),"","00:00"))</f>
        <v/>
      </c>
      <c r="G396">
        <f>IF(OR($E396="",$E396="نامعتبر"),"",IF(Entry!$E396="","",LEFT(UPPER(TRIM(Entry!$E396)),6)))</f>
        <v/>
      </c>
      <c r="H396">
        <f>IF($G396="","",RIGHT($E396,4)&amp;MID($E396,6,2)&amp;RIGHT($E396,2)&amp;IF($F396="","0000",IF($F396="نامعتبر","9999",LEFT($F396,2)&amp;RIGHT($F396,2)))&amp;"|"&amp;RIGHT("00000"&amp;388,5))</f>
        <v/>
      </c>
      <c r="I396">
        <f>IF($H396="","",COUNTIFS(CalcBank,$G396,CalcKey,"&lt;"&amp;$H396)+1)</f>
        <v/>
      </c>
      <c r="J396">
        <f>IF($I396="","",$G396&amp;"|"&amp;RIGHT("000000"&amp;$I396,6))</f>
        <v/>
      </c>
      <c r="K396">
        <f>IF(OR($E396="",$E396="نامعتبر"),"",LEFT($E396,4)&amp;"/"&amp;MID($E396,6,2))</f>
        <v/>
      </c>
      <c r="L396">
        <f>IF(Entry!$K396="",0,Entry!$K396)</f>
        <v/>
      </c>
      <c r="M396">
        <f>IF(Entry!$L396="",0,Entry!$L396)</f>
        <v/>
      </c>
    </row>
    <row r="397">
      <c r="A397">
        <f>IF(Entry!$C397="","",Entry!$C397)</f>
        <v/>
      </c>
      <c r="B397">
        <f>IF($A397="","",IF(ISNUMBER($A397),IF(AND($A397&gt;=10000101,$A397&lt;=99991231),INT($A397/10000),""),IFERROR(VALUE(TRIM(LEFT($A397,FIND("/",$A397)-1))),"")))</f>
        <v/>
      </c>
      <c r="C397">
        <f>IF(OR($A397="",$B397=""),"",IF(ISNUMBER($A397),INT(MOD($A397,10000)/100),IFERROR(VALUE(TRIM(LEFT(MID($A397,FIND("/",$A397)+1,20),FIND("/",MID($A397,FIND("/",$A397)+1,20))-1))),"")))</f>
        <v/>
      </c>
      <c r="D397">
        <f>IF(OR($A397="",$B397=""),"",IF(ISNUMBER($A397),MOD($A397,100),IFERROR(VALUE(TRIM(MID(MID($A397,FIND("/",$A397)+1,20),FIND("/",MID($A397,FIND("/",$A397)+1,20))+1,20))),"")))</f>
        <v/>
      </c>
      <c r="E397">
        <f>IF($A397="","",IF(OR($B397="",$C397="",$D397="",$B397&lt;1300,$B397&gt;1500,$C397&lt;1,$C397&gt;12,$D397&lt;1,$D397&gt;31),"نامعتبر",RIGHT("0000"&amp;$B397,4)&amp;"/"&amp;RIGHT("00"&amp;$C397,2)&amp;"/"&amp;RIGHT("00"&amp;$D397,2)))</f>
        <v/>
      </c>
      <c r="F397">
        <f>IF(Entry!$D397&lt;&gt;"",IF(AND(ISNUMBER(Entry!$D397),Entry!$D397&gt;=0,Entry!$D397&lt;1),RIGHT("00"&amp;HOUR(Entry!$D397),2)&amp;":"&amp;RIGHT("00"&amp;MINUTE(Entry!$D397),2),IFERROR(RIGHT("00"&amp;VALUE(TRIM(LEFT(Entry!$D397,FIND(":",Entry!$D397)-1))),2)&amp;":"&amp;RIGHT("00"&amp;VALUE(TRIM(MID(Entry!$D397,FIND(":",Entry!$D397)+1,2))),2),"نامعتبر")),IF(OR($E397="",$E397="نامعتبر"),"","00:00"))</f>
        <v/>
      </c>
      <c r="G397">
        <f>IF(OR($E397="",$E397="نامعتبر"),"",IF(Entry!$E397="","",LEFT(UPPER(TRIM(Entry!$E397)),6)))</f>
        <v/>
      </c>
      <c r="H397">
        <f>IF($G397="","",RIGHT($E397,4)&amp;MID($E397,6,2)&amp;RIGHT($E397,2)&amp;IF($F397="","0000",IF($F397="نامعتبر","9999",LEFT($F397,2)&amp;RIGHT($F397,2)))&amp;"|"&amp;RIGHT("00000"&amp;389,5))</f>
        <v/>
      </c>
      <c r="I397">
        <f>IF($H397="","",COUNTIFS(CalcBank,$G397,CalcKey,"&lt;"&amp;$H397)+1)</f>
        <v/>
      </c>
      <c r="J397">
        <f>IF($I397="","",$G397&amp;"|"&amp;RIGHT("000000"&amp;$I397,6))</f>
        <v/>
      </c>
      <c r="K397">
        <f>IF(OR($E397="",$E397="نامعتبر"),"",LEFT($E397,4)&amp;"/"&amp;MID($E397,6,2))</f>
        <v/>
      </c>
      <c r="L397">
        <f>IF(Entry!$K397="",0,Entry!$K397)</f>
        <v/>
      </c>
      <c r="M397">
        <f>IF(Entry!$L397="",0,Entry!$L397)</f>
        <v/>
      </c>
    </row>
    <row r="398">
      <c r="A398">
        <f>IF(Entry!$C398="","",Entry!$C398)</f>
        <v/>
      </c>
      <c r="B398">
        <f>IF($A398="","",IF(ISNUMBER($A398),IF(AND($A398&gt;=10000101,$A398&lt;=99991231),INT($A398/10000),""),IFERROR(VALUE(TRIM(LEFT($A398,FIND("/",$A398)-1))),"")))</f>
        <v/>
      </c>
      <c r="C398">
        <f>IF(OR($A398="",$B398=""),"",IF(ISNUMBER($A398),INT(MOD($A398,10000)/100),IFERROR(VALUE(TRIM(LEFT(MID($A398,FIND("/",$A398)+1,20),FIND("/",MID($A398,FIND("/",$A398)+1,20))-1))),"")))</f>
        <v/>
      </c>
      <c r="D398">
        <f>IF(OR($A398="",$B398=""),"",IF(ISNUMBER($A398),MOD($A398,100),IFERROR(VALUE(TRIM(MID(MID($A398,FIND("/",$A398)+1,20),FIND("/",MID($A398,FIND("/",$A398)+1,20))+1,20))),"")))</f>
        <v/>
      </c>
      <c r="E398">
        <f>IF($A398="","",IF(OR($B398="",$C398="",$D398="",$B398&lt;1300,$B398&gt;1500,$C398&lt;1,$C398&gt;12,$D398&lt;1,$D398&gt;31),"نامعتبر",RIGHT("0000"&amp;$B398,4)&amp;"/"&amp;RIGHT("00"&amp;$C398,2)&amp;"/"&amp;RIGHT("00"&amp;$D398,2)))</f>
        <v/>
      </c>
      <c r="F398">
        <f>IF(Entry!$D398&lt;&gt;"",IF(AND(ISNUMBER(Entry!$D398),Entry!$D398&gt;=0,Entry!$D398&lt;1),RIGHT("00"&amp;HOUR(Entry!$D398),2)&amp;":"&amp;RIGHT("00"&amp;MINUTE(Entry!$D398),2),IFERROR(RIGHT("00"&amp;VALUE(TRIM(LEFT(Entry!$D398,FIND(":",Entry!$D398)-1))),2)&amp;":"&amp;RIGHT("00"&amp;VALUE(TRIM(MID(Entry!$D398,FIND(":",Entry!$D398)+1,2))),2),"نامعتبر")),IF(OR($E398="",$E398="نامعتبر"),"","00:00"))</f>
        <v/>
      </c>
      <c r="G398">
        <f>IF(OR($E398="",$E398="نامعتبر"),"",IF(Entry!$E398="","",LEFT(UPPER(TRIM(Entry!$E398)),6)))</f>
        <v/>
      </c>
      <c r="H398">
        <f>IF($G398="","",RIGHT($E398,4)&amp;MID($E398,6,2)&amp;RIGHT($E398,2)&amp;IF($F398="","0000",IF($F398="نامعتبر","9999",LEFT($F398,2)&amp;RIGHT($F398,2)))&amp;"|"&amp;RIGHT("00000"&amp;390,5))</f>
        <v/>
      </c>
      <c r="I398">
        <f>IF($H398="","",COUNTIFS(CalcBank,$G398,CalcKey,"&lt;"&amp;$H398)+1)</f>
        <v/>
      </c>
      <c r="J398">
        <f>IF($I398="","",$G398&amp;"|"&amp;RIGHT("000000"&amp;$I398,6))</f>
        <v/>
      </c>
      <c r="K398">
        <f>IF(OR($E398="",$E398="نامعتبر"),"",LEFT($E398,4)&amp;"/"&amp;MID($E398,6,2))</f>
        <v/>
      </c>
      <c r="L398">
        <f>IF(Entry!$K398="",0,Entry!$K398)</f>
        <v/>
      </c>
      <c r="M398">
        <f>IF(Entry!$L398="",0,Entry!$L398)</f>
        <v/>
      </c>
    </row>
    <row r="399">
      <c r="A399">
        <f>IF(Entry!$C399="","",Entry!$C399)</f>
        <v/>
      </c>
      <c r="B399">
        <f>IF($A399="","",IF(ISNUMBER($A399),IF(AND($A399&gt;=10000101,$A399&lt;=99991231),INT($A399/10000),""),IFERROR(VALUE(TRIM(LEFT($A399,FIND("/",$A399)-1))),"")))</f>
        <v/>
      </c>
      <c r="C399">
        <f>IF(OR($A399="",$B399=""),"",IF(ISNUMBER($A399),INT(MOD($A399,10000)/100),IFERROR(VALUE(TRIM(LEFT(MID($A399,FIND("/",$A399)+1,20),FIND("/",MID($A399,FIND("/",$A399)+1,20))-1))),"")))</f>
        <v/>
      </c>
      <c r="D399">
        <f>IF(OR($A399="",$B399=""),"",IF(ISNUMBER($A399),MOD($A399,100),IFERROR(VALUE(TRIM(MID(MID($A399,FIND("/",$A399)+1,20),FIND("/",MID($A399,FIND("/",$A399)+1,20))+1,20))),"")))</f>
        <v/>
      </c>
      <c r="E399">
        <f>IF($A399="","",IF(OR($B399="",$C399="",$D399="",$B399&lt;1300,$B399&gt;1500,$C399&lt;1,$C399&gt;12,$D399&lt;1,$D399&gt;31),"نامعتبر",RIGHT("0000"&amp;$B399,4)&amp;"/"&amp;RIGHT("00"&amp;$C399,2)&amp;"/"&amp;RIGHT("00"&amp;$D399,2)))</f>
        <v/>
      </c>
      <c r="F399">
        <f>IF(Entry!$D399&lt;&gt;"",IF(AND(ISNUMBER(Entry!$D399),Entry!$D399&gt;=0,Entry!$D399&lt;1),RIGHT("00"&amp;HOUR(Entry!$D399),2)&amp;":"&amp;RIGHT("00"&amp;MINUTE(Entry!$D399),2),IFERROR(RIGHT("00"&amp;VALUE(TRIM(LEFT(Entry!$D399,FIND(":",Entry!$D399)-1))),2)&amp;":"&amp;RIGHT("00"&amp;VALUE(TRIM(MID(Entry!$D399,FIND(":",Entry!$D399)+1,2))),2),"نامعتبر")),IF(OR($E399="",$E399="نامعتبر"),"","00:00"))</f>
        <v/>
      </c>
      <c r="G399">
        <f>IF(OR($E399="",$E399="نامعتبر"),"",IF(Entry!$E399="","",LEFT(UPPER(TRIM(Entry!$E399)),6)))</f>
        <v/>
      </c>
      <c r="H399">
        <f>IF($G399="","",RIGHT($E399,4)&amp;MID($E399,6,2)&amp;RIGHT($E399,2)&amp;IF($F399="","0000",IF($F399="نامعتبر","9999",LEFT($F399,2)&amp;RIGHT($F399,2)))&amp;"|"&amp;RIGHT("00000"&amp;391,5))</f>
        <v/>
      </c>
      <c r="I399">
        <f>IF($H399="","",COUNTIFS(CalcBank,$G399,CalcKey,"&lt;"&amp;$H399)+1)</f>
        <v/>
      </c>
      <c r="J399">
        <f>IF($I399="","",$G399&amp;"|"&amp;RIGHT("000000"&amp;$I399,6))</f>
        <v/>
      </c>
      <c r="K399">
        <f>IF(OR($E399="",$E399="نامعتبر"),"",LEFT($E399,4)&amp;"/"&amp;MID($E399,6,2))</f>
        <v/>
      </c>
      <c r="L399">
        <f>IF(Entry!$K399="",0,Entry!$K399)</f>
        <v/>
      </c>
      <c r="M399">
        <f>IF(Entry!$L399="",0,Entry!$L399)</f>
        <v/>
      </c>
    </row>
    <row r="400">
      <c r="A400">
        <f>IF(Entry!$C400="","",Entry!$C400)</f>
        <v/>
      </c>
      <c r="B400">
        <f>IF($A400="","",IF(ISNUMBER($A400),IF(AND($A400&gt;=10000101,$A400&lt;=99991231),INT($A400/10000),""),IFERROR(VALUE(TRIM(LEFT($A400,FIND("/",$A400)-1))),"")))</f>
        <v/>
      </c>
      <c r="C400">
        <f>IF(OR($A400="",$B400=""),"",IF(ISNUMBER($A400),INT(MOD($A400,10000)/100),IFERROR(VALUE(TRIM(LEFT(MID($A400,FIND("/",$A400)+1,20),FIND("/",MID($A400,FIND("/",$A400)+1,20))-1))),"")))</f>
        <v/>
      </c>
      <c r="D400">
        <f>IF(OR($A400="",$B400=""),"",IF(ISNUMBER($A400),MOD($A400,100),IFERROR(VALUE(TRIM(MID(MID($A400,FIND("/",$A400)+1,20),FIND("/",MID($A400,FIND("/",$A400)+1,20))+1,20))),"")))</f>
        <v/>
      </c>
      <c r="E400">
        <f>IF($A400="","",IF(OR($B400="",$C400="",$D400="",$B400&lt;1300,$B400&gt;1500,$C400&lt;1,$C400&gt;12,$D400&lt;1,$D400&gt;31),"نامعتبر",RIGHT("0000"&amp;$B400,4)&amp;"/"&amp;RIGHT("00"&amp;$C400,2)&amp;"/"&amp;RIGHT("00"&amp;$D400,2)))</f>
        <v/>
      </c>
      <c r="F400">
        <f>IF(Entry!$D400&lt;&gt;"",IF(AND(ISNUMBER(Entry!$D400),Entry!$D400&gt;=0,Entry!$D400&lt;1),RIGHT("00"&amp;HOUR(Entry!$D400),2)&amp;":"&amp;RIGHT("00"&amp;MINUTE(Entry!$D400),2),IFERROR(RIGHT("00"&amp;VALUE(TRIM(LEFT(Entry!$D400,FIND(":",Entry!$D400)-1))),2)&amp;":"&amp;RIGHT("00"&amp;VALUE(TRIM(MID(Entry!$D400,FIND(":",Entry!$D400)+1,2))),2),"نامعتبر")),IF(OR($E400="",$E400="نامعتبر"),"","00:00"))</f>
        <v/>
      </c>
      <c r="G400">
        <f>IF(OR($E400="",$E400="نامعتبر"),"",IF(Entry!$E400="","",LEFT(UPPER(TRIM(Entry!$E400)),6)))</f>
        <v/>
      </c>
      <c r="H400">
        <f>IF($G400="","",RIGHT($E400,4)&amp;MID($E400,6,2)&amp;RIGHT($E400,2)&amp;IF($F400="","0000",IF($F400="نامعتبر","9999",LEFT($F400,2)&amp;RIGHT($F400,2)))&amp;"|"&amp;RIGHT("00000"&amp;392,5))</f>
        <v/>
      </c>
      <c r="I400">
        <f>IF($H400="","",COUNTIFS(CalcBank,$G400,CalcKey,"&lt;"&amp;$H400)+1)</f>
        <v/>
      </c>
      <c r="J400">
        <f>IF($I400="","",$G400&amp;"|"&amp;RIGHT("000000"&amp;$I400,6))</f>
        <v/>
      </c>
      <c r="K400">
        <f>IF(OR($E400="",$E400="نامعتبر"),"",LEFT($E400,4)&amp;"/"&amp;MID($E400,6,2))</f>
        <v/>
      </c>
      <c r="L400">
        <f>IF(Entry!$K400="",0,Entry!$K400)</f>
        <v/>
      </c>
      <c r="M400">
        <f>IF(Entry!$L400="",0,Entry!$L400)</f>
        <v/>
      </c>
    </row>
    <row r="401">
      <c r="A401">
        <f>IF(Entry!$C401="","",Entry!$C401)</f>
        <v/>
      </c>
      <c r="B401">
        <f>IF($A401="","",IF(ISNUMBER($A401),IF(AND($A401&gt;=10000101,$A401&lt;=99991231),INT($A401/10000),""),IFERROR(VALUE(TRIM(LEFT($A401,FIND("/",$A401)-1))),"")))</f>
        <v/>
      </c>
      <c r="C401">
        <f>IF(OR($A401="",$B401=""),"",IF(ISNUMBER($A401),INT(MOD($A401,10000)/100),IFERROR(VALUE(TRIM(LEFT(MID($A401,FIND("/",$A401)+1,20),FIND("/",MID($A401,FIND("/",$A401)+1,20))-1))),"")))</f>
        <v/>
      </c>
      <c r="D401">
        <f>IF(OR($A401="",$B401=""),"",IF(ISNUMBER($A401),MOD($A401,100),IFERROR(VALUE(TRIM(MID(MID($A401,FIND("/",$A401)+1,20),FIND("/",MID($A401,FIND("/",$A401)+1,20))+1,20))),"")))</f>
        <v/>
      </c>
      <c r="E401">
        <f>IF($A401="","",IF(OR($B401="",$C401="",$D401="",$B401&lt;1300,$B401&gt;1500,$C401&lt;1,$C401&gt;12,$D401&lt;1,$D401&gt;31),"نامعتبر",RIGHT("0000"&amp;$B401,4)&amp;"/"&amp;RIGHT("00"&amp;$C401,2)&amp;"/"&amp;RIGHT("00"&amp;$D401,2)))</f>
        <v/>
      </c>
      <c r="F401">
        <f>IF(Entry!$D401&lt;&gt;"",IF(AND(ISNUMBER(Entry!$D401),Entry!$D401&gt;=0,Entry!$D401&lt;1),RIGHT("00"&amp;HOUR(Entry!$D401),2)&amp;":"&amp;RIGHT("00"&amp;MINUTE(Entry!$D401),2),IFERROR(RIGHT("00"&amp;VALUE(TRIM(LEFT(Entry!$D401,FIND(":",Entry!$D401)-1))),2)&amp;":"&amp;RIGHT("00"&amp;VALUE(TRIM(MID(Entry!$D401,FIND(":",Entry!$D401)+1,2))),2),"نامعتبر")),IF(OR($E401="",$E401="نامعتبر"),"","00:00"))</f>
        <v/>
      </c>
      <c r="G401">
        <f>IF(OR($E401="",$E401="نامعتبر"),"",IF(Entry!$E401="","",LEFT(UPPER(TRIM(Entry!$E401)),6)))</f>
        <v/>
      </c>
      <c r="H401">
        <f>IF($G401="","",RIGHT($E401,4)&amp;MID($E401,6,2)&amp;RIGHT($E401,2)&amp;IF($F401="","0000",IF($F401="نامعتبر","9999",LEFT($F401,2)&amp;RIGHT($F401,2)))&amp;"|"&amp;RIGHT("00000"&amp;393,5))</f>
        <v/>
      </c>
      <c r="I401">
        <f>IF($H401="","",COUNTIFS(CalcBank,$G401,CalcKey,"&lt;"&amp;$H401)+1)</f>
        <v/>
      </c>
      <c r="J401">
        <f>IF($I401="","",$G401&amp;"|"&amp;RIGHT("000000"&amp;$I401,6))</f>
        <v/>
      </c>
      <c r="K401">
        <f>IF(OR($E401="",$E401="نامعتبر"),"",LEFT($E401,4)&amp;"/"&amp;MID($E401,6,2))</f>
        <v/>
      </c>
      <c r="L401">
        <f>IF(Entry!$K401="",0,Entry!$K401)</f>
        <v/>
      </c>
      <c r="M401">
        <f>IF(Entry!$L401="",0,Entry!$L401)</f>
        <v/>
      </c>
    </row>
    <row r="402">
      <c r="A402">
        <f>IF(Entry!$C402="","",Entry!$C402)</f>
        <v/>
      </c>
      <c r="B402">
        <f>IF($A402="","",IF(ISNUMBER($A402),IF(AND($A402&gt;=10000101,$A402&lt;=99991231),INT($A402/10000),""),IFERROR(VALUE(TRIM(LEFT($A402,FIND("/",$A402)-1))),"")))</f>
        <v/>
      </c>
      <c r="C402">
        <f>IF(OR($A402="",$B402=""),"",IF(ISNUMBER($A402),INT(MOD($A402,10000)/100),IFERROR(VALUE(TRIM(LEFT(MID($A402,FIND("/",$A402)+1,20),FIND("/",MID($A402,FIND("/",$A402)+1,20))-1))),"")))</f>
        <v/>
      </c>
      <c r="D402">
        <f>IF(OR($A402="",$B402=""),"",IF(ISNUMBER($A402),MOD($A402,100),IFERROR(VALUE(TRIM(MID(MID($A402,FIND("/",$A402)+1,20),FIND("/",MID($A402,FIND("/",$A402)+1,20))+1,20))),"")))</f>
        <v/>
      </c>
      <c r="E402">
        <f>IF($A402="","",IF(OR($B402="",$C402="",$D402="",$B402&lt;1300,$B402&gt;1500,$C402&lt;1,$C402&gt;12,$D402&lt;1,$D402&gt;31),"نامعتبر",RIGHT("0000"&amp;$B402,4)&amp;"/"&amp;RIGHT("00"&amp;$C402,2)&amp;"/"&amp;RIGHT("00"&amp;$D402,2)))</f>
        <v/>
      </c>
      <c r="F402">
        <f>IF(Entry!$D402&lt;&gt;"",IF(AND(ISNUMBER(Entry!$D402),Entry!$D402&gt;=0,Entry!$D402&lt;1),RIGHT("00"&amp;HOUR(Entry!$D402),2)&amp;":"&amp;RIGHT("00"&amp;MINUTE(Entry!$D402),2),IFERROR(RIGHT("00"&amp;VALUE(TRIM(LEFT(Entry!$D402,FIND(":",Entry!$D402)-1))),2)&amp;":"&amp;RIGHT("00"&amp;VALUE(TRIM(MID(Entry!$D402,FIND(":",Entry!$D402)+1,2))),2),"نامعتبر")),IF(OR($E402="",$E402="نامعتبر"),"","00:00"))</f>
        <v/>
      </c>
      <c r="G402">
        <f>IF(OR($E402="",$E402="نامعتبر"),"",IF(Entry!$E402="","",LEFT(UPPER(TRIM(Entry!$E402)),6)))</f>
        <v/>
      </c>
      <c r="H402">
        <f>IF($G402="","",RIGHT($E402,4)&amp;MID($E402,6,2)&amp;RIGHT($E402,2)&amp;IF($F402="","0000",IF($F402="نامعتبر","9999",LEFT($F402,2)&amp;RIGHT($F402,2)))&amp;"|"&amp;RIGHT("00000"&amp;394,5))</f>
        <v/>
      </c>
      <c r="I402">
        <f>IF($H402="","",COUNTIFS(CalcBank,$G402,CalcKey,"&lt;"&amp;$H402)+1)</f>
        <v/>
      </c>
      <c r="J402">
        <f>IF($I402="","",$G402&amp;"|"&amp;RIGHT("000000"&amp;$I402,6))</f>
        <v/>
      </c>
      <c r="K402">
        <f>IF(OR($E402="",$E402="نامعتبر"),"",LEFT($E402,4)&amp;"/"&amp;MID($E402,6,2))</f>
        <v/>
      </c>
      <c r="L402">
        <f>IF(Entry!$K402="",0,Entry!$K402)</f>
        <v/>
      </c>
      <c r="M402">
        <f>IF(Entry!$L402="",0,Entry!$L402)</f>
        <v/>
      </c>
    </row>
    <row r="403">
      <c r="A403">
        <f>IF(Entry!$C403="","",Entry!$C403)</f>
        <v/>
      </c>
      <c r="B403">
        <f>IF($A403="","",IF(ISNUMBER($A403),IF(AND($A403&gt;=10000101,$A403&lt;=99991231),INT($A403/10000),""),IFERROR(VALUE(TRIM(LEFT($A403,FIND("/",$A403)-1))),"")))</f>
        <v/>
      </c>
      <c r="C403">
        <f>IF(OR($A403="",$B403=""),"",IF(ISNUMBER($A403),INT(MOD($A403,10000)/100),IFERROR(VALUE(TRIM(LEFT(MID($A403,FIND("/",$A403)+1,20),FIND("/",MID($A403,FIND("/",$A403)+1,20))-1))),"")))</f>
        <v/>
      </c>
      <c r="D403">
        <f>IF(OR($A403="",$B403=""),"",IF(ISNUMBER($A403),MOD($A403,100),IFERROR(VALUE(TRIM(MID(MID($A403,FIND("/",$A403)+1,20),FIND("/",MID($A403,FIND("/",$A403)+1,20))+1,20))),"")))</f>
        <v/>
      </c>
      <c r="E403">
        <f>IF($A403="","",IF(OR($B403="",$C403="",$D403="",$B403&lt;1300,$B403&gt;1500,$C403&lt;1,$C403&gt;12,$D403&lt;1,$D403&gt;31),"نامعتبر",RIGHT("0000"&amp;$B403,4)&amp;"/"&amp;RIGHT("00"&amp;$C403,2)&amp;"/"&amp;RIGHT("00"&amp;$D403,2)))</f>
        <v/>
      </c>
      <c r="F403">
        <f>IF(Entry!$D403&lt;&gt;"",IF(AND(ISNUMBER(Entry!$D403),Entry!$D403&gt;=0,Entry!$D403&lt;1),RIGHT("00"&amp;HOUR(Entry!$D403),2)&amp;":"&amp;RIGHT("00"&amp;MINUTE(Entry!$D403),2),IFERROR(RIGHT("00"&amp;VALUE(TRIM(LEFT(Entry!$D403,FIND(":",Entry!$D403)-1))),2)&amp;":"&amp;RIGHT("00"&amp;VALUE(TRIM(MID(Entry!$D403,FIND(":",Entry!$D403)+1,2))),2),"نامعتبر")),IF(OR($E403="",$E403="نامعتبر"),"","00:00"))</f>
        <v/>
      </c>
      <c r="G403">
        <f>IF(OR($E403="",$E403="نامعتبر"),"",IF(Entry!$E403="","",LEFT(UPPER(TRIM(Entry!$E403)),6)))</f>
        <v/>
      </c>
      <c r="H403">
        <f>IF($G403="","",RIGHT($E403,4)&amp;MID($E403,6,2)&amp;RIGHT($E403,2)&amp;IF($F403="","0000",IF($F403="نامعتبر","9999",LEFT($F403,2)&amp;RIGHT($F403,2)))&amp;"|"&amp;RIGHT("00000"&amp;395,5))</f>
        <v/>
      </c>
      <c r="I403">
        <f>IF($H403="","",COUNTIFS(CalcBank,$G403,CalcKey,"&lt;"&amp;$H403)+1)</f>
        <v/>
      </c>
      <c r="J403">
        <f>IF($I403="","",$G403&amp;"|"&amp;RIGHT("000000"&amp;$I403,6))</f>
        <v/>
      </c>
      <c r="K403">
        <f>IF(OR($E403="",$E403="نامعتبر"),"",LEFT($E403,4)&amp;"/"&amp;MID($E403,6,2))</f>
        <v/>
      </c>
      <c r="L403">
        <f>IF(Entry!$K403="",0,Entry!$K403)</f>
        <v/>
      </c>
      <c r="M403">
        <f>IF(Entry!$L403="",0,Entry!$L403)</f>
        <v/>
      </c>
    </row>
    <row r="404">
      <c r="A404">
        <f>IF(Entry!$C404="","",Entry!$C404)</f>
        <v/>
      </c>
      <c r="B404">
        <f>IF($A404="","",IF(ISNUMBER($A404),IF(AND($A404&gt;=10000101,$A404&lt;=99991231),INT($A404/10000),""),IFERROR(VALUE(TRIM(LEFT($A404,FIND("/",$A404)-1))),"")))</f>
        <v/>
      </c>
      <c r="C404">
        <f>IF(OR($A404="",$B404=""),"",IF(ISNUMBER($A404),INT(MOD($A404,10000)/100),IFERROR(VALUE(TRIM(LEFT(MID($A404,FIND("/",$A404)+1,20),FIND("/",MID($A404,FIND("/",$A404)+1,20))-1))),"")))</f>
        <v/>
      </c>
      <c r="D404">
        <f>IF(OR($A404="",$B404=""),"",IF(ISNUMBER($A404),MOD($A404,100),IFERROR(VALUE(TRIM(MID(MID($A404,FIND("/",$A404)+1,20),FIND("/",MID($A404,FIND("/",$A404)+1,20))+1,20))),"")))</f>
        <v/>
      </c>
      <c r="E404">
        <f>IF($A404="","",IF(OR($B404="",$C404="",$D404="",$B404&lt;1300,$B404&gt;1500,$C404&lt;1,$C404&gt;12,$D404&lt;1,$D404&gt;31),"نامعتبر",RIGHT("0000"&amp;$B404,4)&amp;"/"&amp;RIGHT("00"&amp;$C404,2)&amp;"/"&amp;RIGHT("00"&amp;$D404,2)))</f>
        <v/>
      </c>
      <c r="F404">
        <f>IF(Entry!$D404&lt;&gt;"",IF(AND(ISNUMBER(Entry!$D404),Entry!$D404&gt;=0,Entry!$D404&lt;1),RIGHT("00"&amp;HOUR(Entry!$D404),2)&amp;":"&amp;RIGHT("00"&amp;MINUTE(Entry!$D404),2),IFERROR(RIGHT("00"&amp;VALUE(TRIM(LEFT(Entry!$D404,FIND(":",Entry!$D404)-1))),2)&amp;":"&amp;RIGHT("00"&amp;VALUE(TRIM(MID(Entry!$D404,FIND(":",Entry!$D404)+1,2))),2),"نامعتبر")),IF(OR($E404="",$E404="نامعتبر"),"","00:00"))</f>
        <v/>
      </c>
      <c r="G404">
        <f>IF(OR($E404="",$E404="نامعتبر"),"",IF(Entry!$E404="","",LEFT(UPPER(TRIM(Entry!$E404)),6)))</f>
        <v/>
      </c>
      <c r="H404">
        <f>IF($G404="","",RIGHT($E404,4)&amp;MID($E404,6,2)&amp;RIGHT($E404,2)&amp;IF($F404="","0000",IF($F404="نامعتبر","9999",LEFT($F404,2)&amp;RIGHT($F404,2)))&amp;"|"&amp;RIGHT("00000"&amp;396,5))</f>
        <v/>
      </c>
      <c r="I404">
        <f>IF($H404="","",COUNTIFS(CalcBank,$G404,CalcKey,"&lt;"&amp;$H404)+1)</f>
        <v/>
      </c>
      <c r="J404">
        <f>IF($I404="","",$G404&amp;"|"&amp;RIGHT("000000"&amp;$I404,6))</f>
        <v/>
      </c>
      <c r="K404">
        <f>IF(OR($E404="",$E404="نامعتبر"),"",LEFT($E404,4)&amp;"/"&amp;MID($E404,6,2))</f>
        <v/>
      </c>
      <c r="L404">
        <f>IF(Entry!$K404="",0,Entry!$K404)</f>
        <v/>
      </c>
      <c r="M404">
        <f>IF(Entry!$L404="",0,Entry!$L404)</f>
        <v/>
      </c>
    </row>
    <row r="405">
      <c r="A405">
        <f>IF(Entry!$C405="","",Entry!$C405)</f>
        <v/>
      </c>
      <c r="B405">
        <f>IF($A405="","",IF(ISNUMBER($A405),IF(AND($A405&gt;=10000101,$A405&lt;=99991231),INT($A405/10000),""),IFERROR(VALUE(TRIM(LEFT($A405,FIND("/",$A405)-1))),"")))</f>
        <v/>
      </c>
      <c r="C405">
        <f>IF(OR($A405="",$B405=""),"",IF(ISNUMBER($A405),INT(MOD($A405,10000)/100),IFERROR(VALUE(TRIM(LEFT(MID($A405,FIND("/",$A405)+1,20),FIND("/",MID($A405,FIND("/",$A405)+1,20))-1))),"")))</f>
        <v/>
      </c>
      <c r="D405">
        <f>IF(OR($A405="",$B405=""),"",IF(ISNUMBER($A405),MOD($A405,100),IFERROR(VALUE(TRIM(MID(MID($A405,FIND("/",$A405)+1,20),FIND("/",MID($A405,FIND("/",$A405)+1,20))+1,20))),"")))</f>
        <v/>
      </c>
      <c r="E405">
        <f>IF($A405="","",IF(OR($B405="",$C405="",$D405="",$B405&lt;1300,$B405&gt;1500,$C405&lt;1,$C405&gt;12,$D405&lt;1,$D405&gt;31),"نامعتبر",RIGHT("0000"&amp;$B405,4)&amp;"/"&amp;RIGHT("00"&amp;$C405,2)&amp;"/"&amp;RIGHT("00"&amp;$D405,2)))</f>
        <v/>
      </c>
      <c r="F405">
        <f>IF(Entry!$D405&lt;&gt;"",IF(AND(ISNUMBER(Entry!$D405),Entry!$D405&gt;=0,Entry!$D405&lt;1),RIGHT("00"&amp;HOUR(Entry!$D405),2)&amp;":"&amp;RIGHT("00"&amp;MINUTE(Entry!$D405),2),IFERROR(RIGHT("00"&amp;VALUE(TRIM(LEFT(Entry!$D405,FIND(":",Entry!$D405)-1))),2)&amp;":"&amp;RIGHT("00"&amp;VALUE(TRIM(MID(Entry!$D405,FIND(":",Entry!$D405)+1,2))),2),"نامعتبر")),IF(OR($E405="",$E405="نامعتبر"),"","00:00"))</f>
        <v/>
      </c>
      <c r="G405">
        <f>IF(OR($E405="",$E405="نامعتبر"),"",IF(Entry!$E405="","",LEFT(UPPER(TRIM(Entry!$E405)),6)))</f>
        <v/>
      </c>
      <c r="H405">
        <f>IF($G405="","",RIGHT($E405,4)&amp;MID($E405,6,2)&amp;RIGHT($E405,2)&amp;IF($F405="","0000",IF($F405="نامعتبر","9999",LEFT($F405,2)&amp;RIGHT($F405,2)))&amp;"|"&amp;RIGHT("00000"&amp;397,5))</f>
        <v/>
      </c>
      <c r="I405">
        <f>IF($H405="","",COUNTIFS(CalcBank,$G405,CalcKey,"&lt;"&amp;$H405)+1)</f>
        <v/>
      </c>
      <c r="J405">
        <f>IF($I405="","",$G405&amp;"|"&amp;RIGHT("000000"&amp;$I405,6))</f>
        <v/>
      </c>
      <c r="K405">
        <f>IF(OR($E405="",$E405="نامعتبر"),"",LEFT($E405,4)&amp;"/"&amp;MID($E405,6,2))</f>
        <v/>
      </c>
      <c r="L405">
        <f>IF(Entry!$K405="",0,Entry!$K405)</f>
        <v/>
      </c>
      <c r="M405">
        <f>IF(Entry!$L405="",0,Entry!$L405)</f>
        <v/>
      </c>
    </row>
    <row r="406">
      <c r="A406">
        <f>IF(Entry!$C406="","",Entry!$C406)</f>
        <v/>
      </c>
      <c r="B406">
        <f>IF($A406="","",IF(ISNUMBER($A406),IF(AND($A406&gt;=10000101,$A406&lt;=99991231),INT($A406/10000),""),IFERROR(VALUE(TRIM(LEFT($A406,FIND("/",$A406)-1))),"")))</f>
        <v/>
      </c>
      <c r="C406">
        <f>IF(OR($A406="",$B406=""),"",IF(ISNUMBER($A406),INT(MOD($A406,10000)/100),IFERROR(VALUE(TRIM(LEFT(MID($A406,FIND("/",$A406)+1,20),FIND("/",MID($A406,FIND("/",$A406)+1,20))-1))),"")))</f>
        <v/>
      </c>
      <c r="D406">
        <f>IF(OR($A406="",$B406=""),"",IF(ISNUMBER($A406),MOD($A406,100),IFERROR(VALUE(TRIM(MID(MID($A406,FIND("/",$A406)+1,20),FIND("/",MID($A406,FIND("/",$A406)+1,20))+1,20))),"")))</f>
        <v/>
      </c>
      <c r="E406">
        <f>IF($A406="","",IF(OR($B406="",$C406="",$D406="",$B406&lt;1300,$B406&gt;1500,$C406&lt;1,$C406&gt;12,$D406&lt;1,$D406&gt;31),"نامعتبر",RIGHT("0000"&amp;$B406,4)&amp;"/"&amp;RIGHT("00"&amp;$C406,2)&amp;"/"&amp;RIGHT("00"&amp;$D406,2)))</f>
        <v/>
      </c>
      <c r="F406">
        <f>IF(Entry!$D406&lt;&gt;"",IF(AND(ISNUMBER(Entry!$D406),Entry!$D406&gt;=0,Entry!$D406&lt;1),RIGHT("00"&amp;HOUR(Entry!$D406),2)&amp;":"&amp;RIGHT("00"&amp;MINUTE(Entry!$D406),2),IFERROR(RIGHT("00"&amp;VALUE(TRIM(LEFT(Entry!$D406,FIND(":",Entry!$D406)-1))),2)&amp;":"&amp;RIGHT("00"&amp;VALUE(TRIM(MID(Entry!$D406,FIND(":",Entry!$D406)+1,2))),2),"نامعتبر")),IF(OR($E406="",$E406="نامعتبر"),"","00:00"))</f>
        <v/>
      </c>
      <c r="G406">
        <f>IF(OR($E406="",$E406="نامعتبر"),"",IF(Entry!$E406="","",LEFT(UPPER(TRIM(Entry!$E406)),6)))</f>
        <v/>
      </c>
      <c r="H406">
        <f>IF($G406="","",RIGHT($E406,4)&amp;MID($E406,6,2)&amp;RIGHT($E406,2)&amp;IF($F406="","0000",IF($F406="نامعتبر","9999",LEFT($F406,2)&amp;RIGHT($F406,2)))&amp;"|"&amp;RIGHT("00000"&amp;398,5))</f>
        <v/>
      </c>
      <c r="I406">
        <f>IF($H406="","",COUNTIFS(CalcBank,$G406,CalcKey,"&lt;"&amp;$H406)+1)</f>
        <v/>
      </c>
      <c r="J406">
        <f>IF($I406="","",$G406&amp;"|"&amp;RIGHT("000000"&amp;$I406,6))</f>
        <v/>
      </c>
      <c r="K406">
        <f>IF(OR($E406="",$E406="نامعتبر"),"",LEFT($E406,4)&amp;"/"&amp;MID($E406,6,2))</f>
        <v/>
      </c>
      <c r="L406">
        <f>IF(Entry!$K406="",0,Entry!$K406)</f>
        <v/>
      </c>
      <c r="M406">
        <f>IF(Entry!$L406="",0,Entry!$L406)</f>
        <v/>
      </c>
    </row>
    <row r="407">
      <c r="A407">
        <f>IF(Entry!$C407="","",Entry!$C407)</f>
        <v/>
      </c>
      <c r="B407">
        <f>IF($A407="","",IF(ISNUMBER($A407),IF(AND($A407&gt;=10000101,$A407&lt;=99991231),INT($A407/10000),""),IFERROR(VALUE(TRIM(LEFT($A407,FIND("/",$A407)-1))),"")))</f>
        <v/>
      </c>
      <c r="C407">
        <f>IF(OR($A407="",$B407=""),"",IF(ISNUMBER($A407),INT(MOD($A407,10000)/100),IFERROR(VALUE(TRIM(LEFT(MID($A407,FIND("/",$A407)+1,20),FIND("/",MID($A407,FIND("/",$A407)+1,20))-1))),"")))</f>
        <v/>
      </c>
      <c r="D407">
        <f>IF(OR($A407="",$B407=""),"",IF(ISNUMBER($A407),MOD($A407,100),IFERROR(VALUE(TRIM(MID(MID($A407,FIND("/",$A407)+1,20),FIND("/",MID($A407,FIND("/",$A407)+1,20))+1,20))),"")))</f>
        <v/>
      </c>
      <c r="E407">
        <f>IF($A407="","",IF(OR($B407="",$C407="",$D407="",$B407&lt;1300,$B407&gt;1500,$C407&lt;1,$C407&gt;12,$D407&lt;1,$D407&gt;31),"نامعتبر",RIGHT("0000"&amp;$B407,4)&amp;"/"&amp;RIGHT("00"&amp;$C407,2)&amp;"/"&amp;RIGHT("00"&amp;$D407,2)))</f>
        <v/>
      </c>
      <c r="F407">
        <f>IF(Entry!$D407&lt;&gt;"",IF(AND(ISNUMBER(Entry!$D407),Entry!$D407&gt;=0,Entry!$D407&lt;1),RIGHT("00"&amp;HOUR(Entry!$D407),2)&amp;":"&amp;RIGHT("00"&amp;MINUTE(Entry!$D407),2),IFERROR(RIGHT("00"&amp;VALUE(TRIM(LEFT(Entry!$D407,FIND(":",Entry!$D407)-1))),2)&amp;":"&amp;RIGHT("00"&amp;VALUE(TRIM(MID(Entry!$D407,FIND(":",Entry!$D407)+1,2))),2),"نامعتبر")),IF(OR($E407="",$E407="نامعتبر"),"","00:00"))</f>
        <v/>
      </c>
      <c r="G407">
        <f>IF(OR($E407="",$E407="نامعتبر"),"",IF(Entry!$E407="","",LEFT(UPPER(TRIM(Entry!$E407)),6)))</f>
        <v/>
      </c>
      <c r="H407">
        <f>IF($G407="","",RIGHT($E407,4)&amp;MID($E407,6,2)&amp;RIGHT($E407,2)&amp;IF($F407="","0000",IF($F407="نامعتبر","9999",LEFT($F407,2)&amp;RIGHT($F407,2)))&amp;"|"&amp;RIGHT("00000"&amp;399,5))</f>
        <v/>
      </c>
      <c r="I407">
        <f>IF($H407="","",COUNTIFS(CalcBank,$G407,CalcKey,"&lt;"&amp;$H407)+1)</f>
        <v/>
      </c>
      <c r="J407">
        <f>IF($I407="","",$G407&amp;"|"&amp;RIGHT("000000"&amp;$I407,6))</f>
        <v/>
      </c>
      <c r="K407">
        <f>IF(OR($E407="",$E407="نامعتبر"),"",LEFT($E407,4)&amp;"/"&amp;MID($E407,6,2))</f>
        <v/>
      </c>
      <c r="L407">
        <f>IF(Entry!$K407="",0,Entry!$K407)</f>
        <v/>
      </c>
      <c r="M407">
        <f>IF(Entry!$L407="",0,Entry!$L407)</f>
        <v/>
      </c>
    </row>
    <row r="408">
      <c r="A408">
        <f>IF(Entry!$C408="","",Entry!$C408)</f>
        <v/>
      </c>
      <c r="B408">
        <f>IF($A408="","",IF(ISNUMBER($A408),IF(AND($A408&gt;=10000101,$A408&lt;=99991231),INT($A408/10000),""),IFERROR(VALUE(TRIM(LEFT($A408,FIND("/",$A408)-1))),"")))</f>
        <v/>
      </c>
      <c r="C408">
        <f>IF(OR($A408="",$B408=""),"",IF(ISNUMBER($A408),INT(MOD($A408,10000)/100),IFERROR(VALUE(TRIM(LEFT(MID($A408,FIND("/",$A408)+1,20),FIND("/",MID($A408,FIND("/",$A408)+1,20))-1))),"")))</f>
        <v/>
      </c>
      <c r="D408">
        <f>IF(OR($A408="",$B408=""),"",IF(ISNUMBER($A408),MOD($A408,100),IFERROR(VALUE(TRIM(MID(MID($A408,FIND("/",$A408)+1,20),FIND("/",MID($A408,FIND("/",$A408)+1,20))+1,20))),"")))</f>
        <v/>
      </c>
      <c r="E408">
        <f>IF($A408="","",IF(OR($B408="",$C408="",$D408="",$B408&lt;1300,$B408&gt;1500,$C408&lt;1,$C408&gt;12,$D408&lt;1,$D408&gt;31),"نامعتبر",RIGHT("0000"&amp;$B408,4)&amp;"/"&amp;RIGHT("00"&amp;$C408,2)&amp;"/"&amp;RIGHT("00"&amp;$D408,2)))</f>
        <v/>
      </c>
      <c r="F408">
        <f>IF(Entry!$D408&lt;&gt;"",IF(AND(ISNUMBER(Entry!$D408),Entry!$D408&gt;=0,Entry!$D408&lt;1),RIGHT("00"&amp;HOUR(Entry!$D408),2)&amp;":"&amp;RIGHT("00"&amp;MINUTE(Entry!$D408),2),IFERROR(RIGHT("00"&amp;VALUE(TRIM(LEFT(Entry!$D408,FIND(":",Entry!$D408)-1))),2)&amp;":"&amp;RIGHT("00"&amp;VALUE(TRIM(MID(Entry!$D408,FIND(":",Entry!$D408)+1,2))),2),"نامعتبر")),IF(OR($E408="",$E408="نامعتبر"),"","00:00"))</f>
        <v/>
      </c>
      <c r="G408">
        <f>IF(OR($E408="",$E408="نامعتبر"),"",IF(Entry!$E408="","",LEFT(UPPER(TRIM(Entry!$E408)),6)))</f>
        <v/>
      </c>
      <c r="H408">
        <f>IF($G408="","",RIGHT($E408,4)&amp;MID($E408,6,2)&amp;RIGHT($E408,2)&amp;IF($F408="","0000",IF($F408="نامعتبر","9999",LEFT($F408,2)&amp;RIGHT($F408,2)))&amp;"|"&amp;RIGHT("00000"&amp;400,5))</f>
        <v/>
      </c>
      <c r="I408">
        <f>IF($H408="","",COUNTIFS(CalcBank,$G408,CalcKey,"&lt;"&amp;$H408)+1)</f>
        <v/>
      </c>
      <c r="J408">
        <f>IF($I408="","",$G408&amp;"|"&amp;RIGHT("000000"&amp;$I408,6))</f>
        <v/>
      </c>
      <c r="K408">
        <f>IF(OR($E408="",$E408="نامعتبر"),"",LEFT($E408,4)&amp;"/"&amp;MID($E408,6,2))</f>
        <v/>
      </c>
      <c r="L408">
        <f>IF(Entry!$K408="",0,Entry!$K408)</f>
        <v/>
      </c>
      <c r="M408">
        <f>IF(Entry!$L408="",0,Entry!$L408)</f>
        <v/>
      </c>
    </row>
    <row r="409">
      <c r="A409">
        <f>IF(Entry!$C409="","",Entry!$C409)</f>
        <v/>
      </c>
      <c r="B409">
        <f>IF($A409="","",IF(ISNUMBER($A409),IF(AND($A409&gt;=10000101,$A409&lt;=99991231),INT($A409/10000),""),IFERROR(VALUE(TRIM(LEFT($A409,FIND("/",$A409)-1))),"")))</f>
        <v/>
      </c>
      <c r="C409">
        <f>IF(OR($A409="",$B409=""),"",IF(ISNUMBER($A409),INT(MOD($A409,10000)/100),IFERROR(VALUE(TRIM(LEFT(MID($A409,FIND("/",$A409)+1,20),FIND("/",MID($A409,FIND("/",$A409)+1,20))-1))),"")))</f>
        <v/>
      </c>
      <c r="D409">
        <f>IF(OR($A409="",$B409=""),"",IF(ISNUMBER($A409),MOD($A409,100),IFERROR(VALUE(TRIM(MID(MID($A409,FIND("/",$A409)+1,20),FIND("/",MID($A409,FIND("/",$A409)+1,20))+1,20))),"")))</f>
        <v/>
      </c>
      <c r="E409">
        <f>IF($A409="","",IF(OR($B409="",$C409="",$D409="",$B409&lt;1300,$B409&gt;1500,$C409&lt;1,$C409&gt;12,$D409&lt;1,$D409&gt;31),"نامعتبر",RIGHT("0000"&amp;$B409,4)&amp;"/"&amp;RIGHT("00"&amp;$C409,2)&amp;"/"&amp;RIGHT("00"&amp;$D409,2)))</f>
        <v/>
      </c>
      <c r="F409">
        <f>IF(Entry!$D409&lt;&gt;"",IF(AND(ISNUMBER(Entry!$D409),Entry!$D409&gt;=0,Entry!$D409&lt;1),RIGHT("00"&amp;HOUR(Entry!$D409),2)&amp;":"&amp;RIGHT("00"&amp;MINUTE(Entry!$D409),2),IFERROR(RIGHT("00"&amp;VALUE(TRIM(LEFT(Entry!$D409,FIND(":",Entry!$D409)-1))),2)&amp;":"&amp;RIGHT("00"&amp;VALUE(TRIM(MID(Entry!$D409,FIND(":",Entry!$D409)+1,2))),2),"نامعتبر")),IF(OR($E409="",$E409="نامعتبر"),"","00:00"))</f>
        <v/>
      </c>
      <c r="G409">
        <f>IF(OR($E409="",$E409="نامعتبر"),"",IF(Entry!$E409="","",LEFT(UPPER(TRIM(Entry!$E409)),6)))</f>
        <v/>
      </c>
      <c r="H409">
        <f>IF($G409="","",RIGHT($E409,4)&amp;MID($E409,6,2)&amp;RIGHT($E409,2)&amp;IF($F409="","0000",IF($F409="نامعتبر","9999",LEFT($F409,2)&amp;RIGHT($F409,2)))&amp;"|"&amp;RIGHT("00000"&amp;401,5))</f>
        <v/>
      </c>
      <c r="I409">
        <f>IF($H409="","",COUNTIFS(CalcBank,$G409,CalcKey,"&lt;"&amp;$H409)+1)</f>
        <v/>
      </c>
      <c r="J409">
        <f>IF($I409="","",$G409&amp;"|"&amp;RIGHT("000000"&amp;$I409,6))</f>
        <v/>
      </c>
      <c r="K409">
        <f>IF(OR($E409="",$E409="نامعتبر"),"",LEFT($E409,4)&amp;"/"&amp;MID($E409,6,2))</f>
        <v/>
      </c>
      <c r="L409">
        <f>IF(Entry!$K409="",0,Entry!$K409)</f>
        <v/>
      </c>
      <c r="M409">
        <f>IF(Entry!$L409="",0,Entry!$L409)</f>
        <v/>
      </c>
    </row>
    <row r="410">
      <c r="A410">
        <f>IF(Entry!$C410="","",Entry!$C410)</f>
        <v/>
      </c>
      <c r="B410">
        <f>IF($A410="","",IF(ISNUMBER($A410),IF(AND($A410&gt;=10000101,$A410&lt;=99991231),INT($A410/10000),""),IFERROR(VALUE(TRIM(LEFT($A410,FIND("/",$A410)-1))),"")))</f>
        <v/>
      </c>
      <c r="C410">
        <f>IF(OR($A410="",$B410=""),"",IF(ISNUMBER($A410),INT(MOD($A410,10000)/100),IFERROR(VALUE(TRIM(LEFT(MID($A410,FIND("/",$A410)+1,20),FIND("/",MID($A410,FIND("/",$A410)+1,20))-1))),"")))</f>
        <v/>
      </c>
      <c r="D410">
        <f>IF(OR($A410="",$B410=""),"",IF(ISNUMBER($A410),MOD($A410,100),IFERROR(VALUE(TRIM(MID(MID($A410,FIND("/",$A410)+1,20),FIND("/",MID($A410,FIND("/",$A410)+1,20))+1,20))),"")))</f>
        <v/>
      </c>
      <c r="E410">
        <f>IF($A410="","",IF(OR($B410="",$C410="",$D410="",$B410&lt;1300,$B410&gt;1500,$C410&lt;1,$C410&gt;12,$D410&lt;1,$D410&gt;31),"نامعتبر",RIGHT("0000"&amp;$B410,4)&amp;"/"&amp;RIGHT("00"&amp;$C410,2)&amp;"/"&amp;RIGHT("00"&amp;$D410,2)))</f>
        <v/>
      </c>
      <c r="F410">
        <f>IF(Entry!$D410&lt;&gt;"",IF(AND(ISNUMBER(Entry!$D410),Entry!$D410&gt;=0,Entry!$D410&lt;1),RIGHT("00"&amp;HOUR(Entry!$D410),2)&amp;":"&amp;RIGHT("00"&amp;MINUTE(Entry!$D410),2),IFERROR(RIGHT("00"&amp;VALUE(TRIM(LEFT(Entry!$D410,FIND(":",Entry!$D410)-1))),2)&amp;":"&amp;RIGHT("00"&amp;VALUE(TRIM(MID(Entry!$D410,FIND(":",Entry!$D410)+1,2))),2),"نامعتبر")),IF(OR($E410="",$E410="نامعتبر"),"","00:00"))</f>
        <v/>
      </c>
      <c r="G410">
        <f>IF(OR($E410="",$E410="نامعتبر"),"",IF(Entry!$E410="","",LEFT(UPPER(TRIM(Entry!$E410)),6)))</f>
        <v/>
      </c>
      <c r="H410">
        <f>IF($G410="","",RIGHT($E410,4)&amp;MID($E410,6,2)&amp;RIGHT($E410,2)&amp;IF($F410="","0000",IF($F410="نامعتبر","9999",LEFT($F410,2)&amp;RIGHT($F410,2)))&amp;"|"&amp;RIGHT("00000"&amp;402,5))</f>
        <v/>
      </c>
      <c r="I410">
        <f>IF($H410="","",COUNTIFS(CalcBank,$G410,CalcKey,"&lt;"&amp;$H410)+1)</f>
        <v/>
      </c>
      <c r="J410">
        <f>IF($I410="","",$G410&amp;"|"&amp;RIGHT("000000"&amp;$I410,6))</f>
        <v/>
      </c>
      <c r="K410">
        <f>IF(OR($E410="",$E410="نامعتبر"),"",LEFT($E410,4)&amp;"/"&amp;MID($E410,6,2))</f>
        <v/>
      </c>
      <c r="L410">
        <f>IF(Entry!$K410="",0,Entry!$K410)</f>
        <v/>
      </c>
      <c r="M410">
        <f>IF(Entry!$L410="",0,Entry!$L410)</f>
        <v/>
      </c>
    </row>
    <row r="411">
      <c r="A411">
        <f>IF(Entry!$C411="","",Entry!$C411)</f>
        <v/>
      </c>
      <c r="B411">
        <f>IF($A411="","",IF(ISNUMBER($A411),IF(AND($A411&gt;=10000101,$A411&lt;=99991231),INT($A411/10000),""),IFERROR(VALUE(TRIM(LEFT($A411,FIND("/",$A411)-1))),"")))</f>
        <v/>
      </c>
      <c r="C411">
        <f>IF(OR($A411="",$B411=""),"",IF(ISNUMBER($A411),INT(MOD($A411,10000)/100),IFERROR(VALUE(TRIM(LEFT(MID($A411,FIND("/",$A411)+1,20),FIND("/",MID($A411,FIND("/",$A411)+1,20))-1))),"")))</f>
        <v/>
      </c>
      <c r="D411">
        <f>IF(OR($A411="",$B411=""),"",IF(ISNUMBER($A411),MOD($A411,100),IFERROR(VALUE(TRIM(MID(MID($A411,FIND("/",$A411)+1,20),FIND("/",MID($A411,FIND("/",$A411)+1,20))+1,20))),"")))</f>
        <v/>
      </c>
      <c r="E411">
        <f>IF($A411="","",IF(OR($B411="",$C411="",$D411="",$B411&lt;1300,$B411&gt;1500,$C411&lt;1,$C411&gt;12,$D411&lt;1,$D411&gt;31),"نامعتبر",RIGHT("0000"&amp;$B411,4)&amp;"/"&amp;RIGHT("00"&amp;$C411,2)&amp;"/"&amp;RIGHT("00"&amp;$D411,2)))</f>
        <v/>
      </c>
      <c r="F411">
        <f>IF(Entry!$D411&lt;&gt;"",IF(AND(ISNUMBER(Entry!$D411),Entry!$D411&gt;=0,Entry!$D411&lt;1),RIGHT("00"&amp;HOUR(Entry!$D411),2)&amp;":"&amp;RIGHT("00"&amp;MINUTE(Entry!$D411),2),IFERROR(RIGHT("00"&amp;VALUE(TRIM(LEFT(Entry!$D411,FIND(":",Entry!$D411)-1))),2)&amp;":"&amp;RIGHT("00"&amp;VALUE(TRIM(MID(Entry!$D411,FIND(":",Entry!$D411)+1,2))),2),"نامعتبر")),IF(OR($E411="",$E411="نامعتبر"),"","00:00"))</f>
        <v/>
      </c>
      <c r="G411">
        <f>IF(OR($E411="",$E411="نامعتبر"),"",IF(Entry!$E411="","",LEFT(UPPER(TRIM(Entry!$E411)),6)))</f>
        <v/>
      </c>
      <c r="H411">
        <f>IF($G411="","",RIGHT($E411,4)&amp;MID($E411,6,2)&amp;RIGHT($E411,2)&amp;IF($F411="","0000",IF($F411="نامعتبر","9999",LEFT($F411,2)&amp;RIGHT($F411,2)))&amp;"|"&amp;RIGHT("00000"&amp;403,5))</f>
        <v/>
      </c>
      <c r="I411">
        <f>IF($H411="","",COUNTIFS(CalcBank,$G411,CalcKey,"&lt;"&amp;$H411)+1)</f>
        <v/>
      </c>
      <c r="J411">
        <f>IF($I411="","",$G411&amp;"|"&amp;RIGHT("000000"&amp;$I411,6))</f>
        <v/>
      </c>
      <c r="K411">
        <f>IF(OR($E411="",$E411="نامعتبر"),"",LEFT($E411,4)&amp;"/"&amp;MID($E411,6,2))</f>
        <v/>
      </c>
      <c r="L411">
        <f>IF(Entry!$K411="",0,Entry!$K411)</f>
        <v/>
      </c>
      <c r="M411">
        <f>IF(Entry!$L411="",0,Entry!$L411)</f>
        <v/>
      </c>
    </row>
    <row r="412">
      <c r="A412">
        <f>IF(Entry!$C412="","",Entry!$C412)</f>
        <v/>
      </c>
      <c r="B412">
        <f>IF($A412="","",IF(ISNUMBER($A412),IF(AND($A412&gt;=10000101,$A412&lt;=99991231),INT($A412/10000),""),IFERROR(VALUE(TRIM(LEFT($A412,FIND("/",$A412)-1))),"")))</f>
        <v/>
      </c>
      <c r="C412">
        <f>IF(OR($A412="",$B412=""),"",IF(ISNUMBER($A412),INT(MOD($A412,10000)/100),IFERROR(VALUE(TRIM(LEFT(MID($A412,FIND("/",$A412)+1,20),FIND("/",MID($A412,FIND("/",$A412)+1,20))-1))),"")))</f>
        <v/>
      </c>
      <c r="D412">
        <f>IF(OR($A412="",$B412=""),"",IF(ISNUMBER($A412),MOD($A412,100),IFERROR(VALUE(TRIM(MID(MID($A412,FIND("/",$A412)+1,20),FIND("/",MID($A412,FIND("/",$A412)+1,20))+1,20))),"")))</f>
        <v/>
      </c>
      <c r="E412">
        <f>IF($A412="","",IF(OR($B412="",$C412="",$D412="",$B412&lt;1300,$B412&gt;1500,$C412&lt;1,$C412&gt;12,$D412&lt;1,$D412&gt;31),"نامعتبر",RIGHT("0000"&amp;$B412,4)&amp;"/"&amp;RIGHT("00"&amp;$C412,2)&amp;"/"&amp;RIGHT("00"&amp;$D412,2)))</f>
        <v/>
      </c>
      <c r="F412">
        <f>IF(Entry!$D412&lt;&gt;"",IF(AND(ISNUMBER(Entry!$D412),Entry!$D412&gt;=0,Entry!$D412&lt;1),RIGHT("00"&amp;HOUR(Entry!$D412),2)&amp;":"&amp;RIGHT("00"&amp;MINUTE(Entry!$D412),2),IFERROR(RIGHT("00"&amp;VALUE(TRIM(LEFT(Entry!$D412,FIND(":",Entry!$D412)-1))),2)&amp;":"&amp;RIGHT("00"&amp;VALUE(TRIM(MID(Entry!$D412,FIND(":",Entry!$D412)+1,2))),2),"نامعتبر")),IF(OR($E412="",$E412="نامعتبر"),"","00:00"))</f>
        <v/>
      </c>
      <c r="G412">
        <f>IF(OR($E412="",$E412="نامعتبر"),"",IF(Entry!$E412="","",LEFT(UPPER(TRIM(Entry!$E412)),6)))</f>
        <v/>
      </c>
      <c r="H412">
        <f>IF($G412="","",RIGHT($E412,4)&amp;MID($E412,6,2)&amp;RIGHT($E412,2)&amp;IF($F412="","0000",IF($F412="نامعتبر","9999",LEFT($F412,2)&amp;RIGHT($F412,2)))&amp;"|"&amp;RIGHT("00000"&amp;404,5))</f>
        <v/>
      </c>
      <c r="I412">
        <f>IF($H412="","",COUNTIFS(CalcBank,$G412,CalcKey,"&lt;"&amp;$H412)+1)</f>
        <v/>
      </c>
      <c r="J412">
        <f>IF($I412="","",$G412&amp;"|"&amp;RIGHT("000000"&amp;$I412,6))</f>
        <v/>
      </c>
      <c r="K412">
        <f>IF(OR($E412="",$E412="نامعتبر"),"",LEFT($E412,4)&amp;"/"&amp;MID($E412,6,2))</f>
        <v/>
      </c>
      <c r="L412">
        <f>IF(Entry!$K412="",0,Entry!$K412)</f>
        <v/>
      </c>
      <c r="M412">
        <f>IF(Entry!$L412="",0,Entry!$L412)</f>
        <v/>
      </c>
    </row>
    <row r="413">
      <c r="A413">
        <f>IF(Entry!$C413="","",Entry!$C413)</f>
        <v/>
      </c>
      <c r="B413">
        <f>IF($A413="","",IF(ISNUMBER($A413),IF(AND($A413&gt;=10000101,$A413&lt;=99991231),INT($A413/10000),""),IFERROR(VALUE(TRIM(LEFT($A413,FIND("/",$A413)-1))),"")))</f>
        <v/>
      </c>
      <c r="C413">
        <f>IF(OR($A413="",$B413=""),"",IF(ISNUMBER($A413),INT(MOD($A413,10000)/100),IFERROR(VALUE(TRIM(LEFT(MID($A413,FIND("/",$A413)+1,20),FIND("/",MID($A413,FIND("/",$A413)+1,20))-1))),"")))</f>
        <v/>
      </c>
      <c r="D413">
        <f>IF(OR($A413="",$B413=""),"",IF(ISNUMBER($A413),MOD($A413,100),IFERROR(VALUE(TRIM(MID(MID($A413,FIND("/",$A413)+1,20),FIND("/",MID($A413,FIND("/",$A413)+1,20))+1,20))),"")))</f>
        <v/>
      </c>
      <c r="E413">
        <f>IF($A413="","",IF(OR($B413="",$C413="",$D413="",$B413&lt;1300,$B413&gt;1500,$C413&lt;1,$C413&gt;12,$D413&lt;1,$D413&gt;31),"نامعتبر",RIGHT("0000"&amp;$B413,4)&amp;"/"&amp;RIGHT("00"&amp;$C413,2)&amp;"/"&amp;RIGHT("00"&amp;$D413,2)))</f>
        <v/>
      </c>
      <c r="F413">
        <f>IF(Entry!$D413&lt;&gt;"",IF(AND(ISNUMBER(Entry!$D413),Entry!$D413&gt;=0,Entry!$D413&lt;1),RIGHT("00"&amp;HOUR(Entry!$D413),2)&amp;":"&amp;RIGHT("00"&amp;MINUTE(Entry!$D413),2),IFERROR(RIGHT("00"&amp;VALUE(TRIM(LEFT(Entry!$D413,FIND(":",Entry!$D413)-1))),2)&amp;":"&amp;RIGHT("00"&amp;VALUE(TRIM(MID(Entry!$D413,FIND(":",Entry!$D413)+1,2))),2),"نامعتبر")),IF(OR($E413="",$E413="نامعتبر"),"","00:00"))</f>
        <v/>
      </c>
      <c r="G413">
        <f>IF(OR($E413="",$E413="نامعتبر"),"",IF(Entry!$E413="","",LEFT(UPPER(TRIM(Entry!$E413)),6)))</f>
        <v/>
      </c>
      <c r="H413">
        <f>IF($G413="","",RIGHT($E413,4)&amp;MID($E413,6,2)&amp;RIGHT($E413,2)&amp;IF($F413="","0000",IF($F413="نامعتبر","9999",LEFT($F413,2)&amp;RIGHT($F413,2)))&amp;"|"&amp;RIGHT("00000"&amp;405,5))</f>
        <v/>
      </c>
      <c r="I413">
        <f>IF($H413="","",COUNTIFS(CalcBank,$G413,CalcKey,"&lt;"&amp;$H413)+1)</f>
        <v/>
      </c>
      <c r="J413">
        <f>IF($I413="","",$G413&amp;"|"&amp;RIGHT("000000"&amp;$I413,6))</f>
        <v/>
      </c>
      <c r="K413">
        <f>IF(OR($E413="",$E413="نامعتبر"),"",LEFT($E413,4)&amp;"/"&amp;MID($E413,6,2))</f>
        <v/>
      </c>
      <c r="L413">
        <f>IF(Entry!$K413="",0,Entry!$K413)</f>
        <v/>
      </c>
      <c r="M413">
        <f>IF(Entry!$L413="",0,Entry!$L413)</f>
        <v/>
      </c>
    </row>
    <row r="414">
      <c r="A414">
        <f>IF(Entry!$C414="","",Entry!$C414)</f>
        <v/>
      </c>
      <c r="B414">
        <f>IF($A414="","",IF(ISNUMBER($A414),IF(AND($A414&gt;=10000101,$A414&lt;=99991231),INT($A414/10000),""),IFERROR(VALUE(TRIM(LEFT($A414,FIND("/",$A414)-1))),"")))</f>
        <v/>
      </c>
      <c r="C414">
        <f>IF(OR($A414="",$B414=""),"",IF(ISNUMBER($A414),INT(MOD($A414,10000)/100),IFERROR(VALUE(TRIM(LEFT(MID($A414,FIND("/",$A414)+1,20),FIND("/",MID($A414,FIND("/",$A414)+1,20))-1))),"")))</f>
        <v/>
      </c>
      <c r="D414">
        <f>IF(OR($A414="",$B414=""),"",IF(ISNUMBER($A414),MOD($A414,100),IFERROR(VALUE(TRIM(MID(MID($A414,FIND("/",$A414)+1,20),FIND("/",MID($A414,FIND("/",$A414)+1,20))+1,20))),"")))</f>
        <v/>
      </c>
      <c r="E414">
        <f>IF($A414="","",IF(OR($B414="",$C414="",$D414="",$B414&lt;1300,$B414&gt;1500,$C414&lt;1,$C414&gt;12,$D414&lt;1,$D414&gt;31),"نامعتبر",RIGHT("0000"&amp;$B414,4)&amp;"/"&amp;RIGHT("00"&amp;$C414,2)&amp;"/"&amp;RIGHT("00"&amp;$D414,2)))</f>
        <v/>
      </c>
      <c r="F414">
        <f>IF(Entry!$D414&lt;&gt;"",IF(AND(ISNUMBER(Entry!$D414),Entry!$D414&gt;=0,Entry!$D414&lt;1),RIGHT("00"&amp;HOUR(Entry!$D414),2)&amp;":"&amp;RIGHT("00"&amp;MINUTE(Entry!$D414),2),IFERROR(RIGHT("00"&amp;VALUE(TRIM(LEFT(Entry!$D414,FIND(":",Entry!$D414)-1))),2)&amp;":"&amp;RIGHT("00"&amp;VALUE(TRIM(MID(Entry!$D414,FIND(":",Entry!$D414)+1,2))),2),"نامعتبر")),IF(OR($E414="",$E414="نامعتبر"),"","00:00"))</f>
        <v/>
      </c>
      <c r="G414">
        <f>IF(OR($E414="",$E414="نامعتبر"),"",IF(Entry!$E414="","",LEFT(UPPER(TRIM(Entry!$E414)),6)))</f>
        <v/>
      </c>
      <c r="H414">
        <f>IF($G414="","",RIGHT($E414,4)&amp;MID($E414,6,2)&amp;RIGHT($E414,2)&amp;IF($F414="","0000",IF($F414="نامعتبر","9999",LEFT($F414,2)&amp;RIGHT($F414,2)))&amp;"|"&amp;RIGHT("00000"&amp;406,5))</f>
        <v/>
      </c>
      <c r="I414">
        <f>IF($H414="","",COUNTIFS(CalcBank,$G414,CalcKey,"&lt;"&amp;$H414)+1)</f>
        <v/>
      </c>
      <c r="J414">
        <f>IF($I414="","",$G414&amp;"|"&amp;RIGHT("000000"&amp;$I414,6))</f>
        <v/>
      </c>
      <c r="K414">
        <f>IF(OR($E414="",$E414="نامعتبر"),"",LEFT($E414,4)&amp;"/"&amp;MID($E414,6,2))</f>
        <v/>
      </c>
      <c r="L414">
        <f>IF(Entry!$K414="",0,Entry!$K414)</f>
        <v/>
      </c>
      <c r="M414">
        <f>IF(Entry!$L414="",0,Entry!$L414)</f>
        <v/>
      </c>
    </row>
    <row r="415">
      <c r="A415">
        <f>IF(Entry!$C415="","",Entry!$C415)</f>
        <v/>
      </c>
      <c r="B415">
        <f>IF($A415="","",IF(ISNUMBER($A415),IF(AND($A415&gt;=10000101,$A415&lt;=99991231),INT($A415/10000),""),IFERROR(VALUE(TRIM(LEFT($A415,FIND("/",$A415)-1))),"")))</f>
        <v/>
      </c>
      <c r="C415">
        <f>IF(OR($A415="",$B415=""),"",IF(ISNUMBER($A415),INT(MOD($A415,10000)/100),IFERROR(VALUE(TRIM(LEFT(MID($A415,FIND("/",$A415)+1,20),FIND("/",MID($A415,FIND("/",$A415)+1,20))-1))),"")))</f>
        <v/>
      </c>
      <c r="D415">
        <f>IF(OR($A415="",$B415=""),"",IF(ISNUMBER($A415),MOD($A415,100),IFERROR(VALUE(TRIM(MID(MID($A415,FIND("/",$A415)+1,20),FIND("/",MID($A415,FIND("/",$A415)+1,20))+1,20))),"")))</f>
        <v/>
      </c>
      <c r="E415">
        <f>IF($A415="","",IF(OR($B415="",$C415="",$D415="",$B415&lt;1300,$B415&gt;1500,$C415&lt;1,$C415&gt;12,$D415&lt;1,$D415&gt;31),"نامعتبر",RIGHT("0000"&amp;$B415,4)&amp;"/"&amp;RIGHT("00"&amp;$C415,2)&amp;"/"&amp;RIGHT("00"&amp;$D415,2)))</f>
        <v/>
      </c>
      <c r="F415">
        <f>IF(Entry!$D415&lt;&gt;"",IF(AND(ISNUMBER(Entry!$D415),Entry!$D415&gt;=0,Entry!$D415&lt;1),RIGHT("00"&amp;HOUR(Entry!$D415),2)&amp;":"&amp;RIGHT("00"&amp;MINUTE(Entry!$D415),2),IFERROR(RIGHT("00"&amp;VALUE(TRIM(LEFT(Entry!$D415,FIND(":",Entry!$D415)-1))),2)&amp;":"&amp;RIGHT("00"&amp;VALUE(TRIM(MID(Entry!$D415,FIND(":",Entry!$D415)+1,2))),2),"نامعتبر")),IF(OR($E415="",$E415="نامعتبر"),"","00:00"))</f>
        <v/>
      </c>
      <c r="G415">
        <f>IF(OR($E415="",$E415="نامعتبر"),"",IF(Entry!$E415="","",LEFT(UPPER(TRIM(Entry!$E415)),6)))</f>
        <v/>
      </c>
      <c r="H415">
        <f>IF($G415="","",RIGHT($E415,4)&amp;MID($E415,6,2)&amp;RIGHT($E415,2)&amp;IF($F415="","0000",IF($F415="نامعتبر","9999",LEFT($F415,2)&amp;RIGHT($F415,2)))&amp;"|"&amp;RIGHT("00000"&amp;407,5))</f>
        <v/>
      </c>
      <c r="I415">
        <f>IF($H415="","",COUNTIFS(CalcBank,$G415,CalcKey,"&lt;"&amp;$H415)+1)</f>
        <v/>
      </c>
      <c r="J415">
        <f>IF($I415="","",$G415&amp;"|"&amp;RIGHT("000000"&amp;$I415,6))</f>
        <v/>
      </c>
      <c r="K415">
        <f>IF(OR($E415="",$E415="نامعتبر"),"",LEFT($E415,4)&amp;"/"&amp;MID($E415,6,2))</f>
        <v/>
      </c>
      <c r="L415">
        <f>IF(Entry!$K415="",0,Entry!$K415)</f>
        <v/>
      </c>
      <c r="M415">
        <f>IF(Entry!$L415="",0,Entry!$L415)</f>
        <v/>
      </c>
    </row>
    <row r="416">
      <c r="A416">
        <f>IF(Entry!$C416="","",Entry!$C416)</f>
        <v/>
      </c>
      <c r="B416">
        <f>IF($A416="","",IF(ISNUMBER($A416),IF(AND($A416&gt;=10000101,$A416&lt;=99991231),INT($A416/10000),""),IFERROR(VALUE(TRIM(LEFT($A416,FIND("/",$A416)-1))),"")))</f>
        <v/>
      </c>
      <c r="C416">
        <f>IF(OR($A416="",$B416=""),"",IF(ISNUMBER($A416),INT(MOD($A416,10000)/100),IFERROR(VALUE(TRIM(LEFT(MID($A416,FIND("/",$A416)+1,20),FIND("/",MID($A416,FIND("/",$A416)+1,20))-1))),"")))</f>
        <v/>
      </c>
      <c r="D416">
        <f>IF(OR($A416="",$B416=""),"",IF(ISNUMBER($A416),MOD($A416,100),IFERROR(VALUE(TRIM(MID(MID($A416,FIND("/",$A416)+1,20),FIND("/",MID($A416,FIND("/",$A416)+1,20))+1,20))),"")))</f>
        <v/>
      </c>
      <c r="E416">
        <f>IF($A416="","",IF(OR($B416="",$C416="",$D416="",$B416&lt;1300,$B416&gt;1500,$C416&lt;1,$C416&gt;12,$D416&lt;1,$D416&gt;31),"نامعتبر",RIGHT("0000"&amp;$B416,4)&amp;"/"&amp;RIGHT("00"&amp;$C416,2)&amp;"/"&amp;RIGHT("00"&amp;$D416,2)))</f>
        <v/>
      </c>
      <c r="F416">
        <f>IF(Entry!$D416&lt;&gt;"",IF(AND(ISNUMBER(Entry!$D416),Entry!$D416&gt;=0,Entry!$D416&lt;1),RIGHT("00"&amp;HOUR(Entry!$D416),2)&amp;":"&amp;RIGHT("00"&amp;MINUTE(Entry!$D416),2),IFERROR(RIGHT("00"&amp;VALUE(TRIM(LEFT(Entry!$D416,FIND(":",Entry!$D416)-1))),2)&amp;":"&amp;RIGHT("00"&amp;VALUE(TRIM(MID(Entry!$D416,FIND(":",Entry!$D416)+1,2))),2),"نامعتبر")),IF(OR($E416="",$E416="نامعتبر"),"","00:00"))</f>
        <v/>
      </c>
      <c r="G416">
        <f>IF(OR($E416="",$E416="نامعتبر"),"",IF(Entry!$E416="","",LEFT(UPPER(TRIM(Entry!$E416)),6)))</f>
        <v/>
      </c>
      <c r="H416">
        <f>IF($G416="","",RIGHT($E416,4)&amp;MID($E416,6,2)&amp;RIGHT($E416,2)&amp;IF($F416="","0000",IF($F416="نامعتبر","9999",LEFT($F416,2)&amp;RIGHT($F416,2)))&amp;"|"&amp;RIGHT("00000"&amp;408,5))</f>
        <v/>
      </c>
      <c r="I416">
        <f>IF($H416="","",COUNTIFS(CalcBank,$G416,CalcKey,"&lt;"&amp;$H416)+1)</f>
        <v/>
      </c>
      <c r="J416">
        <f>IF($I416="","",$G416&amp;"|"&amp;RIGHT("000000"&amp;$I416,6))</f>
        <v/>
      </c>
      <c r="K416">
        <f>IF(OR($E416="",$E416="نامعتبر"),"",LEFT($E416,4)&amp;"/"&amp;MID($E416,6,2))</f>
        <v/>
      </c>
      <c r="L416">
        <f>IF(Entry!$K416="",0,Entry!$K416)</f>
        <v/>
      </c>
      <c r="M416">
        <f>IF(Entry!$L416="",0,Entry!$L416)</f>
        <v/>
      </c>
    </row>
    <row r="417">
      <c r="A417">
        <f>IF(Entry!$C417="","",Entry!$C417)</f>
        <v/>
      </c>
      <c r="B417">
        <f>IF($A417="","",IF(ISNUMBER($A417),IF(AND($A417&gt;=10000101,$A417&lt;=99991231),INT($A417/10000),""),IFERROR(VALUE(TRIM(LEFT($A417,FIND("/",$A417)-1))),"")))</f>
        <v/>
      </c>
      <c r="C417">
        <f>IF(OR($A417="",$B417=""),"",IF(ISNUMBER($A417),INT(MOD($A417,10000)/100),IFERROR(VALUE(TRIM(LEFT(MID($A417,FIND("/",$A417)+1,20),FIND("/",MID($A417,FIND("/",$A417)+1,20))-1))),"")))</f>
        <v/>
      </c>
      <c r="D417">
        <f>IF(OR($A417="",$B417=""),"",IF(ISNUMBER($A417),MOD($A417,100),IFERROR(VALUE(TRIM(MID(MID($A417,FIND("/",$A417)+1,20),FIND("/",MID($A417,FIND("/",$A417)+1,20))+1,20))),"")))</f>
        <v/>
      </c>
      <c r="E417">
        <f>IF($A417="","",IF(OR($B417="",$C417="",$D417="",$B417&lt;1300,$B417&gt;1500,$C417&lt;1,$C417&gt;12,$D417&lt;1,$D417&gt;31),"نامعتبر",RIGHT("0000"&amp;$B417,4)&amp;"/"&amp;RIGHT("00"&amp;$C417,2)&amp;"/"&amp;RIGHT("00"&amp;$D417,2)))</f>
        <v/>
      </c>
      <c r="F417">
        <f>IF(Entry!$D417&lt;&gt;"",IF(AND(ISNUMBER(Entry!$D417),Entry!$D417&gt;=0,Entry!$D417&lt;1),RIGHT("00"&amp;HOUR(Entry!$D417),2)&amp;":"&amp;RIGHT("00"&amp;MINUTE(Entry!$D417),2),IFERROR(RIGHT("00"&amp;VALUE(TRIM(LEFT(Entry!$D417,FIND(":",Entry!$D417)-1))),2)&amp;":"&amp;RIGHT("00"&amp;VALUE(TRIM(MID(Entry!$D417,FIND(":",Entry!$D417)+1,2))),2),"نامعتبر")),IF(OR($E417="",$E417="نامعتبر"),"","00:00"))</f>
        <v/>
      </c>
      <c r="G417">
        <f>IF(OR($E417="",$E417="نامعتبر"),"",IF(Entry!$E417="","",LEFT(UPPER(TRIM(Entry!$E417)),6)))</f>
        <v/>
      </c>
      <c r="H417">
        <f>IF($G417="","",RIGHT($E417,4)&amp;MID($E417,6,2)&amp;RIGHT($E417,2)&amp;IF($F417="","0000",IF($F417="نامعتبر","9999",LEFT($F417,2)&amp;RIGHT($F417,2)))&amp;"|"&amp;RIGHT("00000"&amp;409,5))</f>
        <v/>
      </c>
      <c r="I417">
        <f>IF($H417="","",COUNTIFS(CalcBank,$G417,CalcKey,"&lt;"&amp;$H417)+1)</f>
        <v/>
      </c>
      <c r="J417">
        <f>IF($I417="","",$G417&amp;"|"&amp;RIGHT("000000"&amp;$I417,6))</f>
        <v/>
      </c>
      <c r="K417">
        <f>IF(OR($E417="",$E417="نامعتبر"),"",LEFT($E417,4)&amp;"/"&amp;MID($E417,6,2))</f>
        <v/>
      </c>
      <c r="L417">
        <f>IF(Entry!$K417="",0,Entry!$K417)</f>
        <v/>
      </c>
      <c r="M417">
        <f>IF(Entry!$L417="",0,Entry!$L417)</f>
        <v/>
      </c>
    </row>
    <row r="418">
      <c r="A418">
        <f>IF(Entry!$C418="","",Entry!$C418)</f>
        <v/>
      </c>
      <c r="B418">
        <f>IF($A418="","",IF(ISNUMBER($A418),IF(AND($A418&gt;=10000101,$A418&lt;=99991231),INT($A418/10000),""),IFERROR(VALUE(TRIM(LEFT($A418,FIND("/",$A418)-1))),"")))</f>
        <v/>
      </c>
      <c r="C418">
        <f>IF(OR($A418="",$B418=""),"",IF(ISNUMBER($A418),INT(MOD($A418,10000)/100),IFERROR(VALUE(TRIM(LEFT(MID($A418,FIND("/",$A418)+1,20),FIND("/",MID($A418,FIND("/",$A418)+1,20))-1))),"")))</f>
        <v/>
      </c>
      <c r="D418">
        <f>IF(OR($A418="",$B418=""),"",IF(ISNUMBER($A418),MOD($A418,100),IFERROR(VALUE(TRIM(MID(MID($A418,FIND("/",$A418)+1,20),FIND("/",MID($A418,FIND("/",$A418)+1,20))+1,20))),"")))</f>
        <v/>
      </c>
      <c r="E418">
        <f>IF($A418="","",IF(OR($B418="",$C418="",$D418="",$B418&lt;1300,$B418&gt;1500,$C418&lt;1,$C418&gt;12,$D418&lt;1,$D418&gt;31),"نامعتبر",RIGHT("0000"&amp;$B418,4)&amp;"/"&amp;RIGHT("00"&amp;$C418,2)&amp;"/"&amp;RIGHT("00"&amp;$D418,2)))</f>
        <v/>
      </c>
      <c r="F418">
        <f>IF(Entry!$D418&lt;&gt;"",IF(AND(ISNUMBER(Entry!$D418),Entry!$D418&gt;=0,Entry!$D418&lt;1),RIGHT("00"&amp;HOUR(Entry!$D418),2)&amp;":"&amp;RIGHT("00"&amp;MINUTE(Entry!$D418),2),IFERROR(RIGHT("00"&amp;VALUE(TRIM(LEFT(Entry!$D418,FIND(":",Entry!$D418)-1))),2)&amp;":"&amp;RIGHT("00"&amp;VALUE(TRIM(MID(Entry!$D418,FIND(":",Entry!$D418)+1,2))),2),"نامعتبر")),IF(OR($E418="",$E418="نامعتبر"),"","00:00"))</f>
        <v/>
      </c>
      <c r="G418">
        <f>IF(OR($E418="",$E418="نامعتبر"),"",IF(Entry!$E418="","",LEFT(UPPER(TRIM(Entry!$E418)),6)))</f>
        <v/>
      </c>
      <c r="H418">
        <f>IF($G418="","",RIGHT($E418,4)&amp;MID($E418,6,2)&amp;RIGHT($E418,2)&amp;IF($F418="","0000",IF($F418="نامعتبر","9999",LEFT($F418,2)&amp;RIGHT($F418,2)))&amp;"|"&amp;RIGHT("00000"&amp;410,5))</f>
        <v/>
      </c>
      <c r="I418">
        <f>IF($H418="","",COUNTIFS(CalcBank,$G418,CalcKey,"&lt;"&amp;$H418)+1)</f>
        <v/>
      </c>
      <c r="J418">
        <f>IF($I418="","",$G418&amp;"|"&amp;RIGHT("000000"&amp;$I418,6))</f>
        <v/>
      </c>
      <c r="K418">
        <f>IF(OR($E418="",$E418="نامعتبر"),"",LEFT($E418,4)&amp;"/"&amp;MID($E418,6,2))</f>
        <v/>
      </c>
      <c r="L418">
        <f>IF(Entry!$K418="",0,Entry!$K418)</f>
        <v/>
      </c>
      <c r="M418">
        <f>IF(Entry!$L418="",0,Entry!$L418)</f>
        <v/>
      </c>
    </row>
    <row r="419">
      <c r="A419">
        <f>IF(Entry!$C419="","",Entry!$C419)</f>
        <v/>
      </c>
      <c r="B419">
        <f>IF($A419="","",IF(ISNUMBER($A419),IF(AND($A419&gt;=10000101,$A419&lt;=99991231),INT($A419/10000),""),IFERROR(VALUE(TRIM(LEFT($A419,FIND("/",$A419)-1))),"")))</f>
        <v/>
      </c>
      <c r="C419">
        <f>IF(OR($A419="",$B419=""),"",IF(ISNUMBER($A419),INT(MOD($A419,10000)/100),IFERROR(VALUE(TRIM(LEFT(MID($A419,FIND("/",$A419)+1,20),FIND("/",MID($A419,FIND("/",$A419)+1,20))-1))),"")))</f>
        <v/>
      </c>
      <c r="D419">
        <f>IF(OR($A419="",$B419=""),"",IF(ISNUMBER($A419),MOD($A419,100),IFERROR(VALUE(TRIM(MID(MID($A419,FIND("/",$A419)+1,20),FIND("/",MID($A419,FIND("/",$A419)+1,20))+1,20))),"")))</f>
        <v/>
      </c>
      <c r="E419">
        <f>IF($A419="","",IF(OR($B419="",$C419="",$D419="",$B419&lt;1300,$B419&gt;1500,$C419&lt;1,$C419&gt;12,$D419&lt;1,$D419&gt;31),"نامعتبر",RIGHT("0000"&amp;$B419,4)&amp;"/"&amp;RIGHT("00"&amp;$C419,2)&amp;"/"&amp;RIGHT("00"&amp;$D419,2)))</f>
        <v/>
      </c>
      <c r="F419">
        <f>IF(Entry!$D419&lt;&gt;"",IF(AND(ISNUMBER(Entry!$D419),Entry!$D419&gt;=0,Entry!$D419&lt;1),RIGHT("00"&amp;HOUR(Entry!$D419),2)&amp;":"&amp;RIGHT("00"&amp;MINUTE(Entry!$D419),2),IFERROR(RIGHT("00"&amp;VALUE(TRIM(LEFT(Entry!$D419,FIND(":",Entry!$D419)-1))),2)&amp;":"&amp;RIGHT("00"&amp;VALUE(TRIM(MID(Entry!$D419,FIND(":",Entry!$D419)+1,2))),2),"نامعتبر")),IF(OR($E419="",$E419="نامعتبر"),"","00:00"))</f>
        <v/>
      </c>
      <c r="G419">
        <f>IF(OR($E419="",$E419="نامعتبر"),"",IF(Entry!$E419="","",LEFT(UPPER(TRIM(Entry!$E419)),6)))</f>
        <v/>
      </c>
      <c r="H419">
        <f>IF($G419="","",RIGHT($E419,4)&amp;MID($E419,6,2)&amp;RIGHT($E419,2)&amp;IF($F419="","0000",IF($F419="نامعتبر","9999",LEFT($F419,2)&amp;RIGHT($F419,2)))&amp;"|"&amp;RIGHT("00000"&amp;411,5))</f>
        <v/>
      </c>
      <c r="I419">
        <f>IF($H419="","",COUNTIFS(CalcBank,$G419,CalcKey,"&lt;"&amp;$H419)+1)</f>
        <v/>
      </c>
      <c r="J419">
        <f>IF($I419="","",$G419&amp;"|"&amp;RIGHT("000000"&amp;$I419,6))</f>
        <v/>
      </c>
      <c r="K419">
        <f>IF(OR($E419="",$E419="نامعتبر"),"",LEFT($E419,4)&amp;"/"&amp;MID($E419,6,2))</f>
        <v/>
      </c>
      <c r="L419">
        <f>IF(Entry!$K419="",0,Entry!$K419)</f>
        <v/>
      </c>
      <c r="M419">
        <f>IF(Entry!$L419="",0,Entry!$L419)</f>
        <v/>
      </c>
    </row>
    <row r="420">
      <c r="A420">
        <f>IF(Entry!$C420="","",Entry!$C420)</f>
        <v/>
      </c>
      <c r="B420">
        <f>IF($A420="","",IF(ISNUMBER($A420),IF(AND($A420&gt;=10000101,$A420&lt;=99991231),INT($A420/10000),""),IFERROR(VALUE(TRIM(LEFT($A420,FIND("/",$A420)-1))),"")))</f>
        <v/>
      </c>
      <c r="C420">
        <f>IF(OR($A420="",$B420=""),"",IF(ISNUMBER($A420),INT(MOD($A420,10000)/100),IFERROR(VALUE(TRIM(LEFT(MID($A420,FIND("/",$A420)+1,20),FIND("/",MID($A420,FIND("/",$A420)+1,20))-1))),"")))</f>
        <v/>
      </c>
      <c r="D420">
        <f>IF(OR($A420="",$B420=""),"",IF(ISNUMBER($A420),MOD($A420,100),IFERROR(VALUE(TRIM(MID(MID($A420,FIND("/",$A420)+1,20),FIND("/",MID($A420,FIND("/",$A420)+1,20))+1,20))),"")))</f>
        <v/>
      </c>
      <c r="E420">
        <f>IF($A420="","",IF(OR($B420="",$C420="",$D420="",$B420&lt;1300,$B420&gt;1500,$C420&lt;1,$C420&gt;12,$D420&lt;1,$D420&gt;31),"نامعتبر",RIGHT("0000"&amp;$B420,4)&amp;"/"&amp;RIGHT("00"&amp;$C420,2)&amp;"/"&amp;RIGHT("00"&amp;$D420,2)))</f>
        <v/>
      </c>
      <c r="F420">
        <f>IF(Entry!$D420&lt;&gt;"",IF(AND(ISNUMBER(Entry!$D420),Entry!$D420&gt;=0,Entry!$D420&lt;1),RIGHT("00"&amp;HOUR(Entry!$D420),2)&amp;":"&amp;RIGHT("00"&amp;MINUTE(Entry!$D420),2),IFERROR(RIGHT("00"&amp;VALUE(TRIM(LEFT(Entry!$D420,FIND(":",Entry!$D420)-1))),2)&amp;":"&amp;RIGHT("00"&amp;VALUE(TRIM(MID(Entry!$D420,FIND(":",Entry!$D420)+1,2))),2),"نامعتبر")),IF(OR($E420="",$E420="نامعتبر"),"","00:00"))</f>
        <v/>
      </c>
      <c r="G420">
        <f>IF(OR($E420="",$E420="نامعتبر"),"",IF(Entry!$E420="","",LEFT(UPPER(TRIM(Entry!$E420)),6)))</f>
        <v/>
      </c>
      <c r="H420">
        <f>IF($G420="","",RIGHT($E420,4)&amp;MID($E420,6,2)&amp;RIGHT($E420,2)&amp;IF($F420="","0000",IF($F420="نامعتبر","9999",LEFT($F420,2)&amp;RIGHT($F420,2)))&amp;"|"&amp;RIGHT("00000"&amp;412,5))</f>
        <v/>
      </c>
      <c r="I420">
        <f>IF($H420="","",COUNTIFS(CalcBank,$G420,CalcKey,"&lt;"&amp;$H420)+1)</f>
        <v/>
      </c>
      <c r="J420">
        <f>IF($I420="","",$G420&amp;"|"&amp;RIGHT("000000"&amp;$I420,6))</f>
        <v/>
      </c>
      <c r="K420">
        <f>IF(OR($E420="",$E420="نامعتبر"),"",LEFT($E420,4)&amp;"/"&amp;MID($E420,6,2))</f>
        <v/>
      </c>
      <c r="L420">
        <f>IF(Entry!$K420="",0,Entry!$K420)</f>
        <v/>
      </c>
      <c r="M420">
        <f>IF(Entry!$L420="",0,Entry!$L420)</f>
        <v/>
      </c>
    </row>
    <row r="421">
      <c r="A421">
        <f>IF(Entry!$C421="","",Entry!$C421)</f>
        <v/>
      </c>
      <c r="B421">
        <f>IF($A421="","",IF(ISNUMBER($A421),IF(AND($A421&gt;=10000101,$A421&lt;=99991231),INT($A421/10000),""),IFERROR(VALUE(TRIM(LEFT($A421,FIND("/",$A421)-1))),"")))</f>
        <v/>
      </c>
      <c r="C421">
        <f>IF(OR($A421="",$B421=""),"",IF(ISNUMBER($A421),INT(MOD($A421,10000)/100),IFERROR(VALUE(TRIM(LEFT(MID($A421,FIND("/",$A421)+1,20),FIND("/",MID($A421,FIND("/",$A421)+1,20))-1))),"")))</f>
        <v/>
      </c>
      <c r="D421">
        <f>IF(OR($A421="",$B421=""),"",IF(ISNUMBER($A421),MOD($A421,100),IFERROR(VALUE(TRIM(MID(MID($A421,FIND("/",$A421)+1,20),FIND("/",MID($A421,FIND("/",$A421)+1,20))+1,20))),"")))</f>
        <v/>
      </c>
      <c r="E421">
        <f>IF($A421="","",IF(OR($B421="",$C421="",$D421="",$B421&lt;1300,$B421&gt;1500,$C421&lt;1,$C421&gt;12,$D421&lt;1,$D421&gt;31),"نامعتبر",RIGHT("0000"&amp;$B421,4)&amp;"/"&amp;RIGHT("00"&amp;$C421,2)&amp;"/"&amp;RIGHT("00"&amp;$D421,2)))</f>
        <v/>
      </c>
      <c r="F421">
        <f>IF(Entry!$D421&lt;&gt;"",IF(AND(ISNUMBER(Entry!$D421),Entry!$D421&gt;=0,Entry!$D421&lt;1),RIGHT("00"&amp;HOUR(Entry!$D421),2)&amp;":"&amp;RIGHT("00"&amp;MINUTE(Entry!$D421),2),IFERROR(RIGHT("00"&amp;VALUE(TRIM(LEFT(Entry!$D421,FIND(":",Entry!$D421)-1))),2)&amp;":"&amp;RIGHT("00"&amp;VALUE(TRIM(MID(Entry!$D421,FIND(":",Entry!$D421)+1,2))),2),"نامعتبر")),IF(OR($E421="",$E421="نامعتبر"),"","00:00"))</f>
        <v/>
      </c>
      <c r="G421">
        <f>IF(OR($E421="",$E421="نامعتبر"),"",IF(Entry!$E421="","",LEFT(UPPER(TRIM(Entry!$E421)),6)))</f>
        <v/>
      </c>
      <c r="H421">
        <f>IF($G421="","",RIGHT($E421,4)&amp;MID($E421,6,2)&amp;RIGHT($E421,2)&amp;IF($F421="","0000",IF($F421="نامعتبر","9999",LEFT($F421,2)&amp;RIGHT($F421,2)))&amp;"|"&amp;RIGHT("00000"&amp;413,5))</f>
        <v/>
      </c>
      <c r="I421">
        <f>IF($H421="","",COUNTIFS(CalcBank,$G421,CalcKey,"&lt;"&amp;$H421)+1)</f>
        <v/>
      </c>
      <c r="J421">
        <f>IF($I421="","",$G421&amp;"|"&amp;RIGHT("000000"&amp;$I421,6))</f>
        <v/>
      </c>
      <c r="K421">
        <f>IF(OR($E421="",$E421="نامعتبر"),"",LEFT($E421,4)&amp;"/"&amp;MID($E421,6,2))</f>
        <v/>
      </c>
      <c r="L421">
        <f>IF(Entry!$K421="",0,Entry!$K421)</f>
        <v/>
      </c>
      <c r="M421">
        <f>IF(Entry!$L421="",0,Entry!$L421)</f>
        <v/>
      </c>
    </row>
    <row r="422">
      <c r="A422">
        <f>IF(Entry!$C422="","",Entry!$C422)</f>
        <v/>
      </c>
      <c r="B422">
        <f>IF($A422="","",IF(ISNUMBER($A422),IF(AND($A422&gt;=10000101,$A422&lt;=99991231),INT($A422/10000),""),IFERROR(VALUE(TRIM(LEFT($A422,FIND("/",$A422)-1))),"")))</f>
        <v/>
      </c>
      <c r="C422">
        <f>IF(OR($A422="",$B422=""),"",IF(ISNUMBER($A422),INT(MOD($A422,10000)/100),IFERROR(VALUE(TRIM(LEFT(MID($A422,FIND("/",$A422)+1,20),FIND("/",MID($A422,FIND("/",$A422)+1,20))-1))),"")))</f>
        <v/>
      </c>
      <c r="D422">
        <f>IF(OR($A422="",$B422=""),"",IF(ISNUMBER($A422),MOD($A422,100),IFERROR(VALUE(TRIM(MID(MID($A422,FIND("/",$A422)+1,20),FIND("/",MID($A422,FIND("/",$A422)+1,20))+1,20))),"")))</f>
        <v/>
      </c>
      <c r="E422">
        <f>IF($A422="","",IF(OR($B422="",$C422="",$D422="",$B422&lt;1300,$B422&gt;1500,$C422&lt;1,$C422&gt;12,$D422&lt;1,$D422&gt;31),"نامعتبر",RIGHT("0000"&amp;$B422,4)&amp;"/"&amp;RIGHT("00"&amp;$C422,2)&amp;"/"&amp;RIGHT("00"&amp;$D422,2)))</f>
        <v/>
      </c>
      <c r="F422">
        <f>IF(Entry!$D422&lt;&gt;"",IF(AND(ISNUMBER(Entry!$D422),Entry!$D422&gt;=0,Entry!$D422&lt;1),RIGHT("00"&amp;HOUR(Entry!$D422),2)&amp;":"&amp;RIGHT("00"&amp;MINUTE(Entry!$D422),2),IFERROR(RIGHT("00"&amp;VALUE(TRIM(LEFT(Entry!$D422,FIND(":",Entry!$D422)-1))),2)&amp;":"&amp;RIGHT("00"&amp;VALUE(TRIM(MID(Entry!$D422,FIND(":",Entry!$D422)+1,2))),2),"نامعتبر")),IF(OR($E422="",$E422="نامعتبر"),"","00:00"))</f>
        <v/>
      </c>
      <c r="G422">
        <f>IF(OR($E422="",$E422="نامعتبر"),"",IF(Entry!$E422="","",LEFT(UPPER(TRIM(Entry!$E422)),6)))</f>
        <v/>
      </c>
      <c r="H422">
        <f>IF($G422="","",RIGHT($E422,4)&amp;MID($E422,6,2)&amp;RIGHT($E422,2)&amp;IF($F422="","0000",IF($F422="نامعتبر","9999",LEFT($F422,2)&amp;RIGHT($F422,2)))&amp;"|"&amp;RIGHT("00000"&amp;414,5))</f>
        <v/>
      </c>
      <c r="I422">
        <f>IF($H422="","",COUNTIFS(CalcBank,$G422,CalcKey,"&lt;"&amp;$H422)+1)</f>
        <v/>
      </c>
      <c r="J422">
        <f>IF($I422="","",$G422&amp;"|"&amp;RIGHT("000000"&amp;$I422,6))</f>
        <v/>
      </c>
      <c r="K422">
        <f>IF(OR($E422="",$E422="نامعتبر"),"",LEFT($E422,4)&amp;"/"&amp;MID($E422,6,2))</f>
        <v/>
      </c>
      <c r="L422">
        <f>IF(Entry!$K422="",0,Entry!$K422)</f>
        <v/>
      </c>
      <c r="M422">
        <f>IF(Entry!$L422="",0,Entry!$L422)</f>
        <v/>
      </c>
    </row>
    <row r="423">
      <c r="A423">
        <f>IF(Entry!$C423="","",Entry!$C423)</f>
        <v/>
      </c>
      <c r="B423">
        <f>IF($A423="","",IF(ISNUMBER($A423),IF(AND($A423&gt;=10000101,$A423&lt;=99991231),INT($A423/10000),""),IFERROR(VALUE(TRIM(LEFT($A423,FIND("/",$A423)-1))),"")))</f>
        <v/>
      </c>
      <c r="C423">
        <f>IF(OR($A423="",$B423=""),"",IF(ISNUMBER($A423),INT(MOD($A423,10000)/100),IFERROR(VALUE(TRIM(LEFT(MID($A423,FIND("/",$A423)+1,20),FIND("/",MID($A423,FIND("/",$A423)+1,20))-1))),"")))</f>
        <v/>
      </c>
      <c r="D423">
        <f>IF(OR($A423="",$B423=""),"",IF(ISNUMBER($A423),MOD($A423,100),IFERROR(VALUE(TRIM(MID(MID($A423,FIND("/",$A423)+1,20),FIND("/",MID($A423,FIND("/",$A423)+1,20))+1,20))),"")))</f>
        <v/>
      </c>
      <c r="E423">
        <f>IF($A423="","",IF(OR($B423="",$C423="",$D423="",$B423&lt;1300,$B423&gt;1500,$C423&lt;1,$C423&gt;12,$D423&lt;1,$D423&gt;31),"نامعتبر",RIGHT("0000"&amp;$B423,4)&amp;"/"&amp;RIGHT("00"&amp;$C423,2)&amp;"/"&amp;RIGHT("00"&amp;$D423,2)))</f>
        <v/>
      </c>
      <c r="F423">
        <f>IF(Entry!$D423&lt;&gt;"",IF(AND(ISNUMBER(Entry!$D423),Entry!$D423&gt;=0,Entry!$D423&lt;1),RIGHT("00"&amp;HOUR(Entry!$D423),2)&amp;":"&amp;RIGHT("00"&amp;MINUTE(Entry!$D423),2),IFERROR(RIGHT("00"&amp;VALUE(TRIM(LEFT(Entry!$D423,FIND(":",Entry!$D423)-1))),2)&amp;":"&amp;RIGHT("00"&amp;VALUE(TRIM(MID(Entry!$D423,FIND(":",Entry!$D423)+1,2))),2),"نامعتبر")),IF(OR($E423="",$E423="نامعتبر"),"","00:00"))</f>
        <v/>
      </c>
      <c r="G423">
        <f>IF(OR($E423="",$E423="نامعتبر"),"",IF(Entry!$E423="","",LEFT(UPPER(TRIM(Entry!$E423)),6)))</f>
        <v/>
      </c>
      <c r="H423">
        <f>IF($G423="","",RIGHT($E423,4)&amp;MID($E423,6,2)&amp;RIGHT($E423,2)&amp;IF($F423="","0000",IF($F423="نامعتبر","9999",LEFT($F423,2)&amp;RIGHT($F423,2)))&amp;"|"&amp;RIGHT("00000"&amp;415,5))</f>
        <v/>
      </c>
      <c r="I423">
        <f>IF($H423="","",COUNTIFS(CalcBank,$G423,CalcKey,"&lt;"&amp;$H423)+1)</f>
        <v/>
      </c>
      <c r="J423">
        <f>IF($I423="","",$G423&amp;"|"&amp;RIGHT("000000"&amp;$I423,6))</f>
        <v/>
      </c>
      <c r="K423">
        <f>IF(OR($E423="",$E423="نامعتبر"),"",LEFT($E423,4)&amp;"/"&amp;MID($E423,6,2))</f>
        <v/>
      </c>
      <c r="L423">
        <f>IF(Entry!$K423="",0,Entry!$K423)</f>
        <v/>
      </c>
      <c r="M423">
        <f>IF(Entry!$L423="",0,Entry!$L423)</f>
        <v/>
      </c>
    </row>
    <row r="424">
      <c r="A424">
        <f>IF(Entry!$C424="","",Entry!$C424)</f>
        <v/>
      </c>
      <c r="B424">
        <f>IF($A424="","",IF(ISNUMBER($A424),IF(AND($A424&gt;=10000101,$A424&lt;=99991231),INT($A424/10000),""),IFERROR(VALUE(TRIM(LEFT($A424,FIND("/",$A424)-1))),"")))</f>
        <v/>
      </c>
      <c r="C424">
        <f>IF(OR($A424="",$B424=""),"",IF(ISNUMBER($A424),INT(MOD($A424,10000)/100),IFERROR(VALUE(TRIM(LEFT(MID($A424,FIND("/",$A424)+1,20),FIND("/",MID($A424,FIND("/",$A424)+1,20))-1))),"")))</f>
        <v/>
      </c>
      <c r="D424">
        <f>IF(OR($A424="",$B424=""),"",IF(ISNUMBER($A424),MOD($A424,100),IFERROR(VALUE(TRIM(MID(MID($A424,FIND("/",$A424)+1,20),FIND("/",MID($A424,FIND("/",$A424)+1,20))+1,20))),"")))</f>
        <v/>
      </c>
      <c r="E424">
        <f>IF($A424="","",IF(OR($B424="",$C424="",$D424="",$B424&lt;1300,$B424&gt;1500,$C424&lt;1,$C424&gt;12,$D424&lt;1,$D424&gt;31),"نامعتبر",RIGHT("0000"&amp;$B424,4)&amp;"/"&amp;RIGHT("00"&amp;$C424,2)&amp;"/"&amp;RIGHT("00"&amp;$D424,2)))</f>
        <v/>
      </c>
      <c r="F424">
        <f>IF(Entry!$D424&lt;&gt;"",IF(AND(ISNUMBER(Entry!$D424),Entry!$D424&gt;=0,Entry!$D424&lt;1),RIGHT("00"&amp;HOUR(Entry!$D424),2)&amp;":"&amp;RIGHT("00"&amp;MINUTE(Entry!$D424),2),IFERROR(RIGHT("00"&amp;VALUE(TRIM(LEFT(Entry!$D424,FIND(":",Entry!$D424)-1))),2)&amp;":"&amp;RIGHT("00"&amp;VALUE(TRIM(MID(Entry!$D424,FIND(":",Entry!$D424)+1,2))),2),"نامعتبر")),IF(OR($E424="",$E424="نامعتبر"),"","00:00"))</f>
        <v/>
      </c>
      <c r="G424">
        <f>IF(OR($E424="",$E424="نامعتبر"),"",IF(Entry!$E424="","",LEFT(UPPER(TRIM(Entry!$E424)),6)))</f>
        <v/>
      </c>
      <c r="H424">
        <f>IF($G424="","",RIGHT($E424,4)&amp;MID($E424,6,2)&amp;RIGHT($E424,2)&amp;IF($F424="","0000",IF($F424="نامعتبر","9999",LEFT($F424,2)&amp;RIGHT($F424,2)))&amp;"|"&amp;RIGHT("00000"&amp;416,5))</f>
        <v/>
      </c>
      <c r="I424">
        <f>IF($H424="","",COUNTIFS(CalcBank,$G424,CalcKey,"&lt;"&amp;$H424)+1)</f>
        <v/>
      </c>
      <c r="J424">
        <f>IF($I424="","",$G424&amp;"|"&amp;RIGHT("000000"&amp;$I424,6))</f>
        <v/>
      </c>
      <c r="K424">
        <f>IF(OR($E424="",$E424="نامعتبر"),"",LEFT($E424,4)&amp;"/"&amp;MID($E424,6,2))</f>
        <v/>
      </c>
      <c r="L424">
        <f>IF(Entry!$K424="",0,Entry!$K424)</f>
        <v/>
      </c>
      <c r="M424">
        <f>IF(Entry!$L424="",0,Entry!$L424)</f>
        <v/>
      </c>
    </row>
    <row r="425">
      <c r="A425">
        <f>IF(Entry!$C425="","",Entry!$C425)</f>
        <v/>
      </c>
      <c r="B425">
        <f>IF($A425="","",IF(ISNUMBER($A425),IF(AND($A425&gt;=10000101,$A425&lt;=99991231),INT($A425/10000),""),IFERROR(VALUE(TRIM(LEFT($A425,FIND("/",$A425)-1))),"")))</f>
        <v/>
      </c>
      <c r="C425">
        <f>IF(OR($A425="",$B425=""),"",IF(ISNUMBER($A425),INT(MOD($A425,10000)/100),IFERROR(VALUE(TRIM(LEFT(MID($A425,FIND("/",$A425)+1,20),FIND("/",MID($A425,FIND("/",$A425)+1,20))-1))),"")))</f>
        <v/>
      </c>
      <c r="D425">
        <f>IF(OR($A425="",$B425=""),"",IF(ISNUMBER($A425),MOD($A425,100),IFERROR(VALUE(TRIM(MID(MID($A425,FIND("/",$A425)+1,20),FIND("/",MID($A425,FIND("/",$A425)+1,20))+1,20))),"")))</f>
        <v/>
      </c>
      <c r="E425">
        <f>IF($A425="","",IF(OR($B425="",$C425="",$D425="",$B425&lt;1300,$B425&gt;1500,$C425&lt;1,$C425&gt;12,$D425&lt;1,$D425&gt;31),"نامعتبر",RIGHT("0000"&amp;$B425,4)&amp;"/"&amp;RIGHT("00"&amp;$C425,2)&amp;"/"&amp;RIGHT("00"&amp;$D425,2)))</f>
        <v/>
      </c>
      <c r="F425">
        <f>IF(Entry!$D425&lt;&gt;"",IF(AND(ISNUMBER(Entry!$D425),Entry!$D425&gt;=0,Entry!$D425&lt;1),RIGHT("00"&amp;HOUR(Entry!$D425),2)&amp;":"&amp;RIGHT("00"&amp;MINUTE(Entry!$D425),2),IFERROR(RIGHT("00"&amp;VALUE(TRIM(LEFT(Entry!$D425,FIND(":",Entry!$D425)-1))),2)&amp;":"&amp;RIGHT("00"&amp;VALUE(TRIM(MID(Entry!$D425,FIND(":",Entry!$D425)+1,2))),2),"نامعتبر")),IF(OR($E425="",$E425="نامعتبر"),"","00:00"))</f>
        <v/>
      </c>
      <c r="G425">
        <f>IF(OR($E425="",$E425="نامعتبر"),"",IF(Entry!$E425="","",LEFT(UPPER(TRIM(Entry!$E425)),6)))</f>
        <v/>
      </c>
      <c r="H425">
        <f>IF($G425="","",RIGHT($E425,4)&amp;MID($E425,6,2)&amp;RIGHT($E425,2)&amp;IF($F425="","0000",IF($F425="نامعتبر","9999",LEFT($F425,2)&amp;RIGHT($F425,2)))&amp;"|"&amp;RIGHT("00000"&amp;417,5))</f>
        <v/>
      </c>
      <c r="I425">
        <f>IF($H425="","",COUNTIFS(CalcBank,$G425,CalcKey,"&lt;"&amp;$H425)+1)</f>
        <v/>
      </c>
      <c r="J425">
        <f>IF($I425="","",$G425&amp;"|"&amp;RIGHT("000000"&amp;$I425,6))</f>
        <v/>
      </c>
      <c r="K425">
        <f>IF(OR($E425="",$E425="نامعتبر"),"",LEFT($E425,4)&amp;"/"&amp;MID($E425,6,2))</f>
        <v/>
      </c>
      <c r="L425">
        <f>IF(Entry!$K425="",0,Entry!$K425)</f>
        <v/>
      </c>
      <c r="M425">
        <f>IF(Entry!$L425="",0,Entry!$L425)</f>
        <v/>
      </c>
    </row>
    <row r="426">
      <c r="A426">
        <f>IF(Entry!$C426="","",Entry!$C426)</f>
        <v/>
      </c>
      <c r="B426">
        <f>IF($A426="","",IF(ISNUMBER($A426),IF(AND($A426&gt;=10000101,$A426&lt;=99991231),INT($A426/10000),""),IFERROR(VALUE(TRIM(LEFT($A426,FIND("/",$A426)-1))),"")))</f>
        <v/>
      </c>
      <c r="C426">
        <f>IF(OR($A426="",$B426=""),"",IF(ISNUMBER($A426),INT(MOD($A426,10000)/100),IFERROR(VALUE(TRIM(LEFT(MID($A426,FIND("/",$A426)+1,20),FIND("/",MID($A426,FIND("/",$A426)+1,20))-1))),"")))</f>
        <v/>
      </c>
      <c r="D426">
        <f>IF(OR($A426="",$B426=""),"",IF(ISNUMBER($A426),MOD($A426,100),IFERROR(VALUE(TRIM(MID(MID($A426,FIND("/",$A426)+1,20),FIND("/",MID($A426,FIND("/",$A426)+1,20))+1,20))),"")))</f>
        <v/>
      </c>
      <c r="E426">
        <f>IF($A426="","",IF(OR($B426="",$C426="",$D426="",$B426&lt;1300,$B426&gt;1500,$C426&lt;1,$C426&gt;12,$D426&lt;1,$D426&gt;31),"نامعتبر",RIGHT("0000"&amp;$B426,4)&amp;"/"&amp;RIGHT("00"&amp;$C426,2)&amp;"/"&amp;RIGHT("00"&amp;$D426,2)))</f>
        <v/>
      </c>
      <c r="F426">
        <f>IF(Entry!$D426&lt;&gt;"",IF(AND(ISNUMBER(Entry!$D426),Entry!$D426&gt;=0,Entry!$D426&lt;1),RIGHT("00"&amp;HOUR(Entry!$D426),2)&amp;":"&amp;RIGHT("00"&amp;MINUTE(Entry!$D426),2),IFERROR(RIGHT("00"&amp;VALUE(TRIM(LEFT(Entry!$D426,FIND(":",Entry!$D426)-1))),2)&amp;":"&amp;RIGHT("00"&amp;VALUE(TRIM(MID(Entry!$D426,FIND(":",Entry!$D426)+1,2))),2),"نامعتبر")),IF(OR($E426="",$E426="نامعتبر"),"","00:00"))</f>
        <v/>
      </c>
      <c r="G426">
        <f>IF(OR($E426="",$E426="نامعتبر"),"",IF(Entry!$E426="","",LEFT(UPPER(TRIM(Entry!$E426)),6)))</f>
        <v/>
      </c>
      <c r="H426">
        <f>IF($G426="","",RIGHT($E426,4)&amp;MID($E426,6,2)&amp;RIGHT($E426,2)&amp;IF($F426="","0000",IF($F426="نامعتبر","9999",LEFT($F426,2)&amp;RIGHT($F426,2)))&amp;"|"&amp;RIGHT("00000"&amp;418,5))</f>
        <v/>
      </c>
      <c r="I426">
        <f>IF($H426="","",COUNTIFS(CalcBank,$G426,CalcKey,"&lt;"&amp;$H426)+1)</f>
        <v/>
      </c>
      <c r="J426">
        <f>IF($I426="","",$G426&amp;"|"&amp;RIGHT("000000"&amp;$I426,6))</f>
        <v/>
      </c>
      <c r="K426">
        <f>IF(OR($E426="",$E426="نامعتبر"),"",LEFT($E426,4)&amp;"/"&amp;MID($E426,6,2))</f>
        <v/>
      </c>
      <c r="L426">
        <f>IF(Entry!$K426="",0,Entry!$K426)</f>
        <v/>
      </c>
      <c r="M426">
        <f>IF(Entry!$L426="",0,Entry!$L426)</f>
        <v/>
      </c>
    </row>
    <row r="427">
      <c r="A427">
        <f>IF(Entry!$C427="","",Entry!$C427)</f>
        <v/>
      </c>
      <c r="B427">
        <f>IF($A427="","",IF(ISNUMBER($A427),IF(AND($A427&gt;=10000101,$A427&lt;=99991231),INT($A427/10000),""),IFERROR(VALUE(TRIM(LEFT($A427,FIND("/",$A427)-1))),"")))</f>
        <v/>
      </c>
      <c r="C427">
        <f>IF(OR($A427="",$B427=""),"",IF(ISNUMBER($A427),INT(MOD($A427,10000)/100),IFERROR(VALUE(TRIM(LEFT(MID($A427,FIND("/",$A427)+1,20),FIND("/",MID($A427,FIND("/",$A427)+1,20))-1))),"")))</f>
        <v/>
      </c>
      <c r="D427">
        <f>IF(OR($A427="",$B427=""),"",IF(ISNUMBER($A427),MOD($A427,100),IFERROR(VALUE(TRIM(MID(MID($A427,FIND("/",$A427)+1,20),FIND("/",MID($A427,FIND("/",$A427)+1,20))+1,20))),"")))</f>
        <v/>
      </c>
      <c r="E427">
        <f>IF($A427="","",IF(OR($B427="",$C427="",$D427="",$B427&lt;1300,$B427&gt;1500,$C427&lt;1,$C427&gt;12,$D427&lt;1,$D427&gt;31),"نامعتبر",RIGHT("0000"&amp;$B427,4)&amp;"/"&amp;RIGHT("00"&amp;$C427,2)&amp;"/"&amp;RIGHT("00"&amp;$D427,2)))</f>
        <v/>
      </c>
      <c r="F427">
        <f>IF(Entry!$D427&lt;&gt;"",IF(AND(ISNUMBER(Entry!$D427),Entry!$D427&gt;=0,Entry!$D427&lt;1),RIGHT("00"&amp;HOUR(Entry!$D427),2)&amp;":"&amp;RIGHT("00"&amp;MINUTE(Entry!$D427),2),IFERROR(RIGHT("00"&amp;VALUE(TRIM(LEFT(Entry!$D427,FIND(":",Entry!$D427)-1))),2)&amp;":"&amp;RIGHT("00"&amp;VALUE(TRIM(MID(Entry!$D427,FIND(":",Entry!$D427)+1,2))),2),"نامعتبر")),IF(OR($E427="",$E427="نامعتبر"),"","00:00"))</f>
        <v/>
      </c>
      <c r="G427">
        <f>IF(OR($E427="",$E427="نامعتبر"),"",IF(Entry!$E427="","",LEFT(UPPER(TRIM(Entry!$E427)),6)))</f>
        <v/>
      </c>
      <c r="H427">
        <f>IF($G427="","",RIGHT($E427,4)&amp;MID($E427,6,2)&amp;RIGHT($E427,2)&amp;IF($F427="","0000",IF($F427="نامعتبر","9999",LEFT($F427,2)&amp;RIGHT($F427,2)))&amp;"|"&amp;RIGHT("00000"&amp;419,5))</f>
        <v/>
      </c>
      <c r="I427">
        <f>IF($H427="","",COUNTIFS(CalcBank,$G427,CalcKey,"&lt;"&amp;$H427)+1)</f>
        <v/>
      </c>
      <c r="J427">
        <f>IF($I427="","",$G427&amp;"|"&amp;RIGHT("000000"&amp;$I427,6))</f>
        <v/>
      </c>
      <c r="K427">
        <f>IF(OR($E427="",$E427="نامعتبر"),"",LEFT($E427,4)&amp;"/"&amp;MID($E427,6,2))</f>
        <v/>
      </c>
      <c r="L427">
        <f>IF(Entry!$K427="",0,Entry!$K427)</f>
        <v/>
      </c>
      <c r="M427">
        <f>IF(Entry!$L427="",0,Entry!$L427)</f>
        <v/>
      </c>
    </row>
    <row r="428">
      <c r="A428">
        <f>IF(Entry!$C428="","",Entry!$C428)</f>
        <v/>
      </c>
      <c r="B428">
        <f>IF($A428="","",IF(ISNUMBER($A428),IF(AND($A428&gt;=10000101,$A428&lt;=99991231),INT($A428/10000),""),IFERROR(VALUE(TRIM(LEFT($A428,FIND("/",$A428)-1))),"")))</f>
        <v/>
      </c>
      <c r="C428">
        <f>IF(OR($A428="",$B428=""),"",IF(ISNUMBER($A428),INT(MOD($A428,10000)/100),IFERROR(VALUE(TRIM(LEFT(MID($A428,FIND("/",$A428)+1,20),FIND("/",MID($A428,FIND("/",$A428)+1,20))-1))),"")))</f>
        <v/>
      </c>
      <c r="D428">
        <f>IF(OR($A428="",$B428=""),"",IF(ISNUMBER($A428),MOD($A428,100),IFERROR(VALUE(TRIM(MID(MID($A428,FIND("/",$A428)+1,20),FIND("/",MID($A428,FIND("/",$A428)+1,20))+1,20))),"")))</f>
        <v/>
      </c>
      <c r="E428">
        <f>IF($A428="","",IF(OR($B428="",$C428="",$D428="",$B428&lt;1300,$B428&gt;1500,$C428&lt;1,$C428&gt;12,$D428&lt;1,$D428&gt;31),"نامعتبر",RIGHT("0000"&amp;$B428,4)&amp;"/"&amp;RIGHT("00"&amp;$C428,2)&amp;"/"&amp;RIGHT("00"&amp;$D428,2)))</f>
        <v/>
      </c>
      <c r="F428">
        <f>IF(Entry!$D428&lt;&gt;"",IF(AND(ISNUMBER(Entry!$D428),Entry!$D428&gt;=0,Entry!$D428&lt;1),RIGHT("00"&amp;HOUR(Entry!$D428),2)&amp;":"&amp;RIGHT("00"&amp;MINUTE(Entry!$D428),2),IFERROR(RIGHT("00"&amp;VALUE(TRIM(LEFT(Entry!$D428,FIND(":",Entry!$D428)-1))),2)&amp;":"&amp;RIGHT("00"&amp;VALUE(TRIM(MID(Entry!$D428,FIND(":",Entry!$D428)+1,2))),2),"نامعتبر")),IF(OR($E428="",$E428="نامعتبر"),"","00:00"))</f>
        <v/>
      </c>
      <c r="G428">
        <f>IF(OR($E428="",$E428="نامعتبر"),"",IF(Entry!$E428="","",LEFT(UPPER(TRIM(Entry!$E428)),6)))</f>
        <v/>
      </c>
      <c r="H428">
        <f>IF($G428="","",RIGHT($E428,4)&amp;MID($E428,6,2)&amp;RIGHT($E428,2)&amp;IF($F428="","0000",IF($F428="نامعتبر","9999",LEFT($F428,2)&amp;RIGHT($F428,2)))&amp;"|"&amp;RIGHT("00000"&amp;420,5))</f>
        <v/>
      </c>
      <c r="I428">
        <f>IF($H428="","",COUNTIFS(CalcBank,$G428,CalcKey,"&lt;"&amp;$H428)+1)</f>
        <v/>
      </c>
      <c r="J428">
        <f>IF($I428="","",$G428&amp;"|"&amp;RIGHT("000000"&amp;$I428,6))</f>
        <v/>
      </c>
      <c r="K428">
        <f>IF(OR($E428="",$E428="نامعتبر"),"",LEFT($E428,4)&amp;"/"&amp;MID($E428,6,2))</f>
        <v/>
      </c>
      <c r="L428">
        <f>IF(Entry!$K428="",0,Entry!$K428)</f>
        <v/>
      </c>
      <c r="M428">
        <f>IF(Entry!$L428="",0,Entry!$L428)</f>
        <v/>
      </c>
    </row>
    <row r="429">
      <c r="A429">
        <f>IF(Entry!$C429="","",Entry!$C429)</f>
        <v/>
      </c>
      <c r="B429">
        <f>IF($A429="","",IF(ISNUMBER($A429),IF(AND($A429&gt;=10000101,$A429&lt;=99991231),INT($A429/10000),""),IFERROR(VALUE(TRIM(LEFT($A429,FIND("/",$A429)-1))),"")))</f>
        <v/>
      </c>
      <c r="C429">
        <f>IF(OR($A429="",$B429=""),"",IF(ISNUMBER($A429),INT(MOD($A429,10000)/100),IFERROR(VALUE(TRIM(LEFT(MID($A429,FIND("/",$A429)+1,20),FIND("/",MID($A429,FIND("/",$A429)+1,20))-1))),"")))</f>
        <v/>
      </c>
      <c r="D429">
        <f>IF(OR($A429="",$B429=""),"",IF(ISNUMBER($A429),MOD($A429,100),IFERROR(VALUE(TRIM(MID(MID($A429,FIND("/",$A429)+1,20),FIND("/",MID($A429,FIND("/",$A429)+1,20))+1,20))),"")))</f>
        <v/>
      </c>
      <c r="E429">
        <f>IF($A429="","",IF(OR($B429="",$C429="",$D429="",$B429&lt;1300,$B429&gt;1500,$C429&lt;1,$C429&gt;12,$D429&lt;1,$D429&gt;31),"نامعتبر",RIGHT("0000"&amp;$B429,4)&amp;"/"&amp;RIGHT("00"&amp;$C429,2)&amp;"/"&amp;RIGHT("00"&amp;$D429,2)))</f>
        <v/>
      </c>
      <c r="F429">
        <f>IF(Entry!$D429&lt;&gt;"",IF(AND(ISNUMBER(Entry!$D429),Entry!$D429&gt;=0,Entry!$D429&lt;1),RIGHT("00"&amp;HOUR(Entry!$D429),2)&amp;":"&amp;RIGHT("00"&amp;MINUTE(Entry!$D429),2),IFERROR(RIGHT("00"&amp;VALUE(TRIM(LEFT(Entry!$D429,FIND(":",Entry!$D429)-1))),2)&amp;":"&amp;RIGHT("00"&amp;VALUE(TRIM(MID(Entry!$D429,FIND(":",Entry!$D429)+1,2))),2),"نامعتبر")),IF(OR($E429="",$E429="نامعتبر"),"","00:00"))</f>
        <v/>
      </c>
      <c r="G429">
        <f>IF(OR($E429="",$E429="نامعتبر"),"",IF(Entry!$E429="","",LEFT(UPPER(TRIM(Entry!$E429)),6)))</f>
        <v/>
      </c>
      <c r="H429">
        <f>IF($G429="","",RIGHT($E429,4)&amp;MID($E429,6,2)&amp;RIGHT($E429,2)&amp;IF($F429="","0000",IF($F429="نامعتبر","9999",LEFT($F429,2)&amp;RIGHT($F429,2)))&amp;"|"&amp;RIGHT("00000"&amp;421,5))</f>
        <v/>
      </c>
      <c r="I429">
        <f>IF($H429="","",COUNTIFS(CalcBank,$G429,CalcKey,"&lt;"&amp;$H429)+1)</f>
        <v/>
      </c>
      <c r="J429">
        <f>IF($I429="","",$G429&amp;"|"&amp;RIGHT("000000"&amp;$I429,6))</f>
        <v/>
      </c>
      <c r="K429">
        <f>IF(OR($E429="",$E429="نامعتبر"),"",LEFT($E429,4)&amp;"/"&amp;MID($E429,6,2))</f>
        <v/>
      </c>
      <c r="L429">
        <f>IF(Entry!$K429="",0,Entry!$K429)</f>
        <v/>
      </c>
      <c r="M429">
        <f>IF(Entry!$L429="",0,Entry!$L429)</f>
        <v/>
      </c>
    </row>
    <row r="430">
      <c r="A430">
        <f>IF(Entry!$C430="","",Entry!$C430)</f>
        <v/>
      </c>
      <c r="B430">
        <f>IF($A430="","",IF(ISNUMBER($A430),IF(AND($A430&gt;=10000101,$A430&lt;=99991231),INT($A430/10000),""),IFERROR(VALUE(TRIM(LEFT($A430,FIND("/",$A430)-1))),"")))</f>
        <v/>
      </c>
      <c r="C430">
        <f>IF(OR($A430="",$B430=""),"",IF(ISNUMBER($A430),INT(MOD($A430,10000)/100),IFERROR(VALUE(TRIM(LEFT(MID($A430,FIND("/",$A430)+1,20),FIND("/",MID($A430,FIND("/",$A430)+1,20))-1))),"")))</f>
        <v/>
      </c>
      <c r="D430">
        <f>IF(OR($A430="",$B430=""),"",IF(ISNUMBER($A430),MOD($A430,100),IFERROR(VALUE(TRIM(MID(MID($A430,FIND("/",$A430)+1,20),FIND("/",MID($A430,FIND("/",$A430)+1,20))+1,20))),"")))</f>
        <v/>
      </c>
      <c r="E430">
        <f>IF($A430="","",IF(OR($B430="",$C430="",$D430="",$B430&lt;1300,$B430&gt;1500,$C430&lt;1,$C430&gt;12,$D430&lt;1,$D430&gt;31),"نامعتبر",RIGHT("0000"&amp;$B430,4)&amp;"/"&amp;RIGHT("00"&amp;$C430,2)&amp;"/"&amp;RIGHT("00"&amp;$D430,2)))</f>
        <v/>
      </c>
      <c r="F430">
        <f>IF(Entry!$D430&lt;&gt;"",IF(AND(ISNUMBER(Entry!$D430),Entry!$D430&gt;=0,Entry!$D430&lt;1),RIGHT("00"&amp;HOUR(Entry!$D430),2)&amp;":"&amp;RIGHT("00"&amp;MINUTE(Entry!$D430),2),IFERROR(RIGHT("00"&amp;VALUE(TRIM(LEFT(Entry!$D430,FIND(":",Entry!$D430)-1))),2)&amp;":"&amp;RIGHT("00"&amp;VALUE(TRIM(MID(Entry!$D430,FIND(":",Entry!$D430)+1,2))),2),"نامعتبر")),IF(OR($E430="",$E430="نامعتبر"),"","00:00"))</f>
        <v/>
      </c>
      <c r="G430">
        <f>IF(OR($E430="",$E430="نامعتبر"),"",IF(Entry!$E430="","",LEFT(UPPER(TRIM(Entry!$E430)),6)))</f>
        <v/>
      </c>
      <c r="H430">
        <f>IF($G430="","",RIGHT($E430,4)&amp;MID($E430,6,2)&amp;RIGHT($E430,2)&amp;IF($F430="","0000",IF($F430="نامعتبر","9999",LEFT($F430,2)&amp;RIGHT($F430,2)))&amp;"|"&amp;RIGHT("00000"&amp;422,5))</f>
        <v/>
      </c>
      <c r="I430">
        <f>IF($H430="","",COUNTIFS(CalcBank,$G430,CalcKey,"&lt;"&amp;$H430)+1)</f>
        <v/>
      </c>
      <c r="J430">
        <f>IF($I430="","",$G430&amp;"|"&amp;RIGHT("000000"&amp;$I430,6))</f>
        <v/>
      </c>
      <c r="K430">
        <f>IF(OR($E430="",$E430="نامعتبر"),"",LEFT($E430,4)&amp;"/"&amp;MID($E430,6,2))</f>
        <v/>
      </c>
      <c r="L430">
        <f>IF(Entry!$K430="",0,Entry!$K430)</f>
        <v/>
      </c>
      <c r="M430">
        <f>IF(Entry!$L430="",0,Entry!$L430)</f>
        <v/>
      </c>
    </row>
    <row r="431">
      <c r="A431">
        <f>IF(Entry!$C431="","",Entry!$C431)</f>
        <v/>
      </c>
      <c r="B431">
        <f>IF($A431="","",IF(ISNUMBER($A431),IF(AND($A431&gt;=10000101,$A431&lt;=99991231),INT($A431/10000),""),IFERROR(VALUE(TRIM(LEFT($A431,FIND("/",$A431)-1))),"")))</f>
        <v/>
      </c>
      <c r="C431">
        <f>IF(OR($A431="",$B431=""),"",IF(ISNUMBER($A431),INT(MOD($A431,10000)/100),IFERROR(VALUE(TRIM(LEFT(MID($A431,FIND("/",$A431)+1,20),FIND("/",MID($A431,FIND("/",$A431)+1,20))-1))),"")))</f>
        <v/>
      </c>
      <c r="D431">
        <f>IF(OR($A431="",$B431=""),"",IF(ISNUMBER($A431),MOD($A431,100),IFERROR(VALUE(TRIM(MID(MID($A431,FIND("/",$A431)+1,20),FIND("/",MID($A431,FIND("/",$A431)+1,20))+1,20))),"")))</f>
        <v/>
      </c>
      <c r="E431">
        <f>IF($A431="","",IF(OR($B431="",$C431="",$D431="",$B431&lt;1300,$B431&gt;1500,$C431&lt;1,$C431&gt;12,$D431&lt;1,$D431&gt;31),"نامعتبر",RIGHT("0000"&amp;$B431,4)&amp;"/"&amp;RIGHT("00"&amp;$C431,2)&amp;"/"&amp;RIGHT("00"&amp;$D431,2)))</f>
        <v/>
      </c>
      <c r="F431">
        <f>IF(Entry!$D431&lt;&gt;"",IF(AND(ISNUMBER(Entry!$D431),Entry!$D431&gt;=0,Entry!$D431&lt;1),RIGHT("00"&amp;HOUR(Entry!$D431),2)&amp;":"&amp;RIGHT("00"&amp;MINUTE(Entry!$D431),2),IFERROR(RIGHT("00"&amp;VALUE(TRIM(LEFT(Entry!$D431,FIND(":",Entry!$D431)-1))),2)&amp;":"&amp;RIGHT("00"&amp;VALUE(TRIM(MID(Entry!$D431,FIND(":",Entry!$D431)+1,2))),2),"نامعتبر")),IF(OR($E431="",$E431="نامعتبر"),"","00:00"))</f>
        <v/>
      </c>
      <c r="G431">
        <f>IF(OR($E431="",$E431="نامعتبر"),"",IF(Entry!$E431="","",LEFT(UPPER(TRIM(Entry!$E431)),6)))</f>
        <v/>
      </c>
      <c r="H431">
        <f>IF($G431="","",RIGHT($E431,4)&amp;MID($E431,6,2)&amp;RIGHT($E431,2)&amp;IF($F431="","0000",IF($F431="نامعتبر","9999",LEFT($F431,2)&amp;RIGHT($F431,2)))&amp;"|"&amp;RIGHT("00000"&amp;423,5))</f>
        <v/>
      </c>
      <c r="I431">
        <f>IF($H431="","",COUNTIFS(CalcBank,$G431,CalcKey,"&lt;"&amp;$H431)+1)</f>
        <v/>
      </c>
      <c r="J431">
        <f>IF($I431="","",$G431&amp;"|"&amp;RIGHT("000000"&amp;$I431,6))</f>
        <v/>
      </c>
      <c r="K431">
        <f>IF(OR($E431="",$E431="نامعتبر"),"",LEFT($E431,4)&amp;"/"&amp;MID($E431,6,2))</f>
        <v/>
      </c>
      <c r="L431">
        <f>IF(Entry!$K431="",0,Entry!$K431)</f>
        <v/>
      </c>
      <c r="M431">
        <f>IF(Entry!$L431="",0,Entry!$L431)</f>
        <v/>
      </c>
    </row>
    <row r="432">
      <c r="A432">
        <f>IF(Entry!$C432="","",Entry!$C432)</f>
        <v/>
      </c>
      <c r="B432">
        <f>IF($A432="","",IF(ISNUMBER($A432),IF(AND($A432&gt;=10000101,$A432&lt;=99991231),INT($A432/10000),""),IFERROR(VALUE(TRIM(LEFT($A432,FIND("/",$A432)-1))),"")))</f>
        <v/>
      </c>
      <c r="C432">
        <f>IF(OR($A432="",$B432=""),"",IF(ISNUMBER($A432),INT(MOD($A432,10000)/100),IFERROR(VALUE(TRIM(LEFT(MID($A432,FIND("/",$A432)+1,20),FIND("/",MID($A432,FIND("/",$A432)+1,20))-1))),"")))</f>
        <v/>
      </c>
      <c r="D432">
        <f>IF(OR($A432="",$B432=""),"",IF(ISNUMBER($A432),MOD($A432,100),IFERROR(VALUE(TRIM(MID(MID($A432,FIND("/",$A432)+1,20),FIND("/",MID($A432,FIND("/",$A432)+1,20))+1,20))),"")))</f>
        <v/>
      </c>
      <c r="E432">
        <f>IF($A432="","",IF(OR($B432="",$C432="",$D432="",$B432&lt;1300,$B432&gt;1500,$C432&lt;1,$C432&gt;12,$D432&lt;1,$D432&gt;31),"نامعتبر",RIGHT("0000"&amp;$B432,4)&amp;"/"&amp;RIGHT("00"&amp;$C432,2)&amp;"/"&amp;RIGHT("00"&amp;$D432,2)))</f>
        <v/>
      </c>
      <c r="F432">
        <f>IF(Entry!$D432&lt;&gt;"",IF(AND(ISNUMBER(Entry!$D432),Entry!$D432&gt;=0,Entry!$D432&lt;1),RIGHT("00"&amp;HOUR(Entry!$D432),2)&amp;":"&amp;RIGHT("00"&amp;MINUTE(Entry!$D432),2),IFERROR(RIGHT("00"&amp;VALUE(TRIM(LEFT(Entry!$D432,FIND(":",Entry!$D432)-1))),2)&amp;":"&amp;RIGHT("00"&amp;VALUE(TRIM(MID(Entry!$D432,FIND(":",Entry!$D432)+1,2))),2),"نامعتبر")),IF(OR($E432="",$E432="نامعتبر"),"","00:00"))</f>
        <v/>
      </c>
      <c r="G432">
        <f>IF(OR($E432="",$E432="نامعتبر"),"",IF(Entry!$E432="","",LEFT(UPPER(TRIM(Entry!$E432)),6)))</f>
        <v/>
      </c>
      <c r="H432">
        <f>IF($G432="","",RIGHT($E432,4)&amp;MID($E432,6,2)&amp;RIGHT($E432,2)&amp;IF($F432="","0000",IF($F432="نامعتبر","9999",LEFT($F432,2)&amp;RIGHT($F432,2)))&amp;"|"&amp;RIGHT("00000"&amp;424,5))</f>
        <v/>
      </c>
      <c r="I432">
        <f>IF($H432="","",COUNTIFS(CalcBank,$G432,CalcKey,"&lt;"&amp;$H432)+1)</f>
        <v/>
      </c>
      <c r="J432">
        <f>IF($I432="","",$G432&amp;"|"&amp;RIGHT("000000"&amp;$I432,6))</f>
        <v/>
      </c>
      <c r="K432">
        <f>IF(OR($E432="",$E432="نامعتبر"),"",LEFT($E432,4)&amp;"/"&amp;MID($E432,6,2))</f>
        <v/>
      </c>
      <c r="L432">
        <f>IF(Entry!$K432="",0,Entry!$K432)</f>
        <v/>
      </c>
      <c r="M432">
        <f>IF(Entry!$L432="",0,Entry!$L432)</f>
        <v/>
      </c>
    </row>
    <row r="433">
      <c r="A433">
        <f>IF(Entry!$C433="","",Entry!$C433)</f>
        <v/>
      </c>
      <c r="B433">
        <f>IF($A433="","",IF(ISNUMBER($A433),IF(AND($A433&gt;=10000101,$A433&lt;=99991231),INT($A433/10000),""),IFERROR(VALUE(TRIM(LEFT($A433,FIND("/",$A433)-1))),"")))</f>
        <v/>
      </c>
      <c r="C433">
        <f>IF(OR($A433="",$B433=""),"",IF(ISNUMBER($A433),INT(MOD($A433,10000)/100),IFERROR(VALUE(TRIM(LEFT(MID($A433,FIND("/",$A433)+1,20),FIND("/",MID($A433,FIND("/",$A433)+1,20))-1))),"")))</f>
        <v/>
      </c>
      <c r="D433">
        <f>IF(OR($A433="",$B433=""),"",IF(ISNUMBER($A433),MOD($A433,100),IFERROR(VALUE(TRIM(MID(MID($A433,FIND("/",$A433)+1,20),FIND("/",MID($A433,FIND("/",$A433)+1,20))+1,20))),"")))</f>
        <v/>
      </c>
      <c r="E433">
        <f>IF($A433="","",IF(OR($B433="",$C433="",$D433="",$B433&lt;1300,$B433&gt;1500,$C433&lt;1,$C433&gt;12,$D433&lt;1,$D433&gt;31),"نامعتبر",RIGHT("0000"&amp;$B433,4)&amp;"/"&amp;RIGHT("00"&amp;$C433,2)&amp;"/"&amp;RIGHT("00"&amp;$D433,2)))</f>
        <v/>
      </c>
      <c r="F433">
        <f>IF(Entry!$D433&lt;&gt;"",IF(AND(ISNUMBER(Entry!$D433),Entry!$D433&gt;=0,Entry!$D433&lt;1),RIGHT("00"&amp;HOUR(Entry!$D433),2)&amp;":"&amp;RIGHT("00"&amp;MINUTE(Entry!$D433),2),IFERROR(RIGHT("00"&amp;VALUE(TRIM(LEFT(Entry!$D433,FIND(":",Entry!$D433)-1))),2)&amp;":"&amp;RIGHT("00"&amp;VALUE(TRIM(MID(Entry!$D433,FIND(":",Entry!$D433)+1,2))),2),"نامعتبر")),IF(OR($E433="",$E433="نامعتبر"),"","00:00"))</f>
        <v/>
      </c>
      <c r="G433">
        <f>IF(OR($E433="",$E433="نامعتبر"),"",IF(Entry!$E433="","",LEFT(UPPER(TRIM(Entry!$E433)),6)))</f>
        <v/>
      </c>
      <c r="H433">
        <f>IF($G433="","",RIGHT($E433,4)&amp;MID($E433,6,2)&amp;RIGHT($E433,2)&amp;IF($F433="","0000",IF($F433="نامعتبر","9999",LEFT($F433,2)&amp;RIGHT($F433,2)))&amp;"|"&amp;RIGHT("00000"&amp;425,5))</f>
        <v/>
      </c>
      <c r="I433">
        <f>IF($H433="","",COUNTIFS(CalcBank,$G433,CalcKey,"&lt;"&amp;$H433)+1)</f>
        <v/>
      </c>
      <c r="J433">
        <f>IF($I433="","",$G433&amp;"|"&amp;RIGHT("000000"&amp;$I433,6))</f>
        <v/>
      </c>
      <c r="K433">
        <f>IF(OR($E433="",$E433="نامعتبر"),"",LEFT($E433,4)&amp;"/"&amp;MID($E433,6,2))</f>
        <v/>
      </c>
      <c r="L433">
        <f>IF(Entry!$K433="",0,Entry!$K433)</f>
        <v/>
      </c>
      <c r="M433">
        <f>IF(Entry!$L433="",0,Entry!$L433)</f>
        <v/>
      </c>
    </row>
    <row r="434">
      <c r="A434">
        <f>IF(Entry!$C434="","",Entry!$C434)</f>
        <v/>
      </c>
      <c r="B434">
        <f>IF($A434="","",IF(ISNUMBER($A434),IF(AND($A434&gt;=10000101,$A434&lt;=99991231),INT($A434/10000),""),IFERROR(VALUE(TRIM(LEFT($A434,FIND("/",$A434)-1))),"")))</f>
        <v/>
      </c>
      <c r="C434">
        <f>IF(OR($A434="",$B434=""),"",IF(ISNUMBER($A434),INT(MOD($A434,10000)/100),IFERROR(VALUE(TRIM(LEFT(MID($A434,FIND("/",$A434)+1,20),FIND("/",MID($A434,FIND("/",$A434)+1,20))-1))),"")))</f>
        <v/>
      </c>
      <c r="D434">
        <f>IF(OR($A434="",$B434=""),"",IF(ISNUMBER($A434),MOD($A434,100),IFERROR(VALUE(TRIM(MID(MID($A434,FIND("/",$A434)+1,20),FIND("/",MID($A434,FIND("/",$A434)+1,20))+1,20))),"")))</f>
        <v/>
      </c>
      <c r="E434">
        <f>IF($A434="","",IF(OR($B434="",$C434="",$D434="",$B434&lt;1300,$B434&gt;1500,$C434&lt;1,$C434&gt;12,$D434&lt;1,$D434&gt;31),"نامعتبر",RIGHT("0000"&amp;$B434,4)&amp;"/"&amp;RIGHT("00"&amp;$C434,2)&amp;"/"&amp;RIGHT("00"&amp;$D434,2)))</f>
        <v/>
      </c>
      <c r="F434">
        <f>IF(Entry!$D434&lt;&gt;"",IF(AND(ISNUMBER(Entry!$D434),Entry!$D434&gt;=0,Entry!$D434&lt;1),RIGHT("00"&amp;HOUR(Entry!$D434),2)&amp;":"&amp;RIGHT("00"&amp;MINUTE(Entry!$D434),2),IFERROR(RIGHT("00"&amp;VALUE(TRIM(LEFT(Entry!$D434,FIND(":",Entry!$D434)-1))),2)&amp;":"&amp;RIGHT("00"&amp;VALUE(TRIM(MID(Entry!$D434,FIND(":",Entry!$D434)+1,2))),2),"نامعتبر")),IF(OR($E434="",$E434="نامعتبر"),"","00:00"))</f>
        <v/>
      </c>
      <c r="G434">
        <f>IF(OR($E434="",$E434="نامعتبر"),"",IF(Entry!$E434="","",LEFT(UPPER(TRIM(Entry!$E434)),6)))</f>
        <v/>
      </c>
      <c r="H434">
        <f>IF($G434="","",RIGHT($E434,4)&amp;MID($E434,6,2)&amp;RIGHT($E434,2)&amp;IF($F434="","0000",IF($F434="نامعتبر","9999",LEFT($F434,2)&amp;RIGHT($F434,2)))&amp;"|"&amp;RIGHT("00000"&amp;426,5))</f>
        <v/>
      </c>
      <c r="I434">
        <f>IF($H434="","",COUNTIFS(CalcBank,$G434,CalcKey,"&lt;"&amp;$H434)+1)</f>
        <v/>
      </c>
      <c r="J434">
        <f>IF($I434="","",$G434&amp;"|"&amp;RIGHT("000000"&amp;$I434,6))</f>
        <v/>
      </c>
      <c r="K434">
        <f>IF(OR($E434="",$E434="نامعتبر"),"",LEFT($E434,4)&amp;"/"&amp;MID($E434,6,2))</f>
        <v/>
      </c>
      <c r="L434">
        <f>IF(Entry!$K434="",0,Entry!$K434)</f>
        <v/>
      </c>
      <c r="M434">
        <f>IF(Entry!$L434="",0,Entry!$L434)</f>
        <v/>
      </c>
    </row>
    <row r="435">
      <c r="A435">
        <f>IF(Entry!$C435="","",Entry!$C435)</f>
        <v/>
      </c>
      <c r="B435">
        <f>IF($A435="","",IF(ISNUMBER($A435),IF(AND($A435&gt;=10000101,$A435&lt;=99991231),INT($A435/10000),""),IFERROR(VALUE(TRIM(LEFT($A435,FIND("/",$A435)-1))),"")))</f>
        <v/>
      </c>
      <c r="C435">
        <f>IF(OR($A435="",$B435=""),"",IF(ISNUMBER($A435),INT(MOD($A435,10000)/100),IFERROR(VALUE(TRIM(LEFT(MID($A435,FIND("/",$A435)+1,20),FIND("/",MID($A435,FIND("/",$A435)+1,20))-1))),"")))</f>
        <v/>
      </c>
      <c r="D435">
        <f>IF(OR($A435="",$B435=""),"",IF(ISNUMBER($A435),MOD($A435,100),IFERROR(VALUE(TRIM(MID(MID($A435,FIND("/",$A435)+1,20),FIND("/",MID($A435,FIND("/",$A435)+1,20))+1,20))),"")))</f>
        <v/>
      </c>
      <c r="E435">
        <f>IF($A435="","",IF(OR($B435="",$C435="",$D435="",$B435&lt;1300,$B435&gt;1500,$C435&lt;1,$C435&gt;12,$D435&lt;1,$D435&gt;31),"نامعتبر",RIGHT("0000"&amp;$B435,4)&amp;"/"&amp;RIGHT("00"&amp;$C435,2)&amp;"/"&amp;RIGHT("00"&amp;$D435,2)))</f>
        <v/>
      </c>
      <c r="F435">
        <f>IF(Entry!$D435&lt;&gt;"",IF(AND(ISNUMBER(Entry!$D435),Entry!$D435&gt;=0,Entry!$D435&lt;1),RIGHT("00"&amp;HOUR(Entry!$D435),2)&amp;":"&amp;RIGHT("00"&amp;MINUTE(Entry!$D435),2),IFERROR(RIGHT("00"&amp;VALUE(TRIM(LEFT(Entry!$D435,FIND(":",Entry!$D435)-1))),2)&amp;":"&amp;RIGHT("00"&amp;VALUE(TRIM(MID(Entry!$D435,FIND(":",Entry!$D435)+1,2))),2),"نامعتبر")),IF(OR($E435="",$E435="نامعتبر"),"","00:00"))</f>
        <v/>
      </c>
      <c r="G435">
        <f>IF(OR($E435="",$E435="نامعتبر"),"",IF(Entry!$E435="","",LEFT(UPPER(TRIM(Entry!$E435)),6)))</f>
        <v/>
      </c>
      <c r="H435">
        <f>IF($G435="","",RIGHT($E435,4)&amp;MID($E435,6,2)&amp;RIGHT($E435,2)&amp;IF($F435="","0000",IF($F435="نامعتبر","9999",LEFT($F435,2)&amp;RIGHT($F435,2)))&amp;"|"&amp;RIGHT("00000"&amp;427,5))</f>
        <v/>
      </c>
      <c r="I435">
        <f>IF($H435="","",COUNTIFS(CalcBank,$G435,CalcKey,"&lt;"&amp;$H435)+1)</f>
        <v/>
      </c>
      <c r="J435">
        <f>IF($I435="","",$G435&amp;"|"&amp;RIGHT("000000"&amp;$I435,6))</f>
        <v/>
      </c>
      <c r="K435">
        <f>IF(OR($E435="",$E435="نامعتبر"),"",LEFT($E435,4)&amp;"/"&amp;MID($E435,6,2))</f>
        <v/>
      </c>
      <c r="L435">
        <f>IF(Entry!$K435="",0,Entry!$K435)</f>
        <v/>
      </c>
      <c r="M435">
        <f>IF(Entry!$L435="",0,Entry!$L435)</f>
        <v/>
      </c>
    </row>
    <row r="436">
      <c r="A436">
        <f>IF(Entry!$C436="","",Entry!$C436)</f>
        <v/>
      </c>
      <c r="B436">
        <f>IF($A436="","",IF(ISNUMBER($A436),IF(AND($A436&gt;=10000101,$A436&lt;=99991231),INT($A436/10000),""),IFERROR(VALUE(TRIM(LEFT($A436,FIND("/",$A436)-1))),"")))</f>
        <v/>
      </c>
      <c r="C436">
        <f>IF(OR($A436="",$B436=""),"",IF(ISNUMBER($A436),INT(MOD($A436,10000)/100),IFERROR(VALUE(TRIM(LEFT(MID($A436,FIND("/",$A436)+1,20),FIND("/",MID($A436,FIND("/",$A436)+1,20))-1))),"")))</f>
        <v/>
      </c>
      <c r="D436">
        <f>IF(OR($A436="",$B436=""),"",IF(ISNUMBER($A436),MOD($A436,100),IFERROR(VALUE(TRIM(MID(MID($A436,FIND("/",$A436)+1,20),FIND("/",MID($A436,FIND("/",$A436)+1,20))+1,20))),"")))</f>
        <v/>
      </c>
      <c r="E436">
        <f>IF($A436="","",IF(OR($B436="",$C436="",$D436="",$B436&lt;1300,$B436&gt;1500,$C436&lt;1,$C436&gt;12,$D436&lt;1,$D436&gt;31),"نامعتبر",RIGHT("0000"&amp;$B436,4)&amp;"/"&amp;RIGHT("00"&amp;$C436,2)&amp;"/"&amp;RIGHT("00"&amp;$D436,2)))</f>
        <v/>
      </c>
      <c r="F436">
        <f>IF(Entry!$D436&lt;&gt;"",IF(AND(ISNUMBER(Entry!$D436),Entry!$D436&gt;=0,Entry!$D436&lt;1),RIGHT("00"&amp;HOUR(Entry!$D436),2)&amp;":"&amp;RIGHT("00"&amp;MINUTE(Entry!$D436),2),IFERROR(RIGHT("00"&amp;VALUE(TRIM(LEFT(Entry!$D436,FIND(":",Entry!$D436)-1))),2)&amp;":"&amp;RIGHT("00"&amp;VALUE(TRIM(MID(Entry!$D436,FIND(":",Entry!$D436)+1,2))),2),"نامعتبر")),IF(OR($E436="",$E436="نامعتبر"),"","00:00"))</f>
        <v/>
      </c>
      <c r="G436">
        <f>IF(OR($E436="",$E436="نامعتبر"),"",IF(Entry!$E436="","",LEFT(UPPER(TRIM(Entry!$E436)),6)))</f>
        <v/>
      </c>
      <c r="H436">
        <f>IF($G436="","",RIGHT($E436,4)&amp;MID($E436,6,2)&amp;RIGHT($E436,2)&amp;IF($F436="","0000",IF($F436="نامعتبر","9999",LEFT($F436,2)&amp;RIGHT($F436,2)))&amp;"|"&amp;RIGHT("00000"&amp;428,5))</f>
        <v/>
      </c>
      <c r="I436">
        <f>IF($H436="","",COUNTIFS(CalcBank,$G436,CalcKey,"&lt;"&amp;$H436)+1)</f>
        <v/>
      </c>
      <c r="J436">
        <f>IF($I436="","",$G436&amp;"|"&amp;RIGHT("000000"&amp;$I436,6))</f>
        <v/>
      </c>
      <c r="K436">
        <f>IF(OR($E436="",$E436="نامعتبر"),"",LEFT($E436,4)&amp;"/"&amp;MID($E436,6,2))</f>
        <v/>
      </c>
      <c r="L436">
        <f>IF(Entry!$K436="",0,Entry!$K436)</f>
        <v/>
      </c>
      <c r="M436">
        <f>IF(Entry!$L436="",0,Entry!$L436)</f>
        <v/>
      </c>
    </row>
    <row r="437">
      <c r="A437">
        <f>IF(Entry!$C437="","",Entry!$C437)</f>
        <v/>
      </c>
      <c r="B437">
        <f>IF($A437="","",IF(ISNUMBER($A437),IF(AND($A437&gt;=10000101,$A437&lt;=99991231),INT($A437/10000),""),IFERROR(VALUE(TRIM(LEFT($A437,FIND("/",$A437)-1))),"")))</f>
        <v/>
      </c>
      <c r="C437">
        <f>IF(OR($A437="",$B437=""),"",IF(ISNUMBER($A437),INT(MOD($A437,10000)/100),IFERROR(VALUE(TRIM(LEFT(MID($A437,FIND("/",$A437)+1,20),FIND("/",MID($A437,FIND("/",$A437)+1,20))-1))),"")))</f>
        <v/>
      </c>
      <c r="D437">
        <f>IF(OR($A437="",$B437=""),"",IF(ISNUMBER($A437),MOD($A437,100),IFERROR(VALUE(TRIM(MID(MID($A437,FIND("/",$A437)+1,20),FIND("/",MID($A437,FIND("/",$A437)+1,20))+1,20))),"")))</f>
        <v/>
      </c>
      <c r="E437">
        <f>IF($A437="","",IF(OR($B437="",$C437="",$D437="",$B437&lt;1300,$B437&gt;1500,$C437&lt;1,$C437&gt;12,$D437&lt;1,$D437&gt;31),"نامعتبر",RIGHT("0000"&amp;$B437,4)&amp;"/"&amp;RIGHT("00"&amp;$C437,2)&amp;"/"&amp;RIGHT("00"&amp;$D437,2)))</f>
        <v/>
      </c>
      <c r="F437">
        <f>IF(Entry!$D437&lt;&gt;"",IF(AND(ISNUMBER(Entry!$D437),Entry!$D437&gt;=0,Entry!$D437&lt;1),RIGHT("00"&amp;HOUR(Entry!$D437),2)&amp;":"&amp;RIGHT("00"&amp;MINUTE(Entry!$D437),2),IFERROR(RIGHT("00"&amp;VALUE(TRIM(LEFT(Entry!$D437,FIND(":",Entry!$D437)-1))),2)&amp;":"&amp;RIGHT("00"&amp;VALUE(TRIM(MID(Entry!$D437,FIND(":",Entry!$D437)+1,2))),2),"نامعتبر")),IF(OR($E437="",$E437="نامعتبر"),"","00:00"))</f>
        <v/>
      </c>
      <c r="G437">
        <f>IF(OR($E437="",$E437="نامعتبر"),"",IF(Entry!$E437="","",LEFT(UPPER(TRIM(Entry!$E437)),6)))</f>
        <v/>
      </c>
      <c r="H437">
        <f>IF($G437="","",RIGHT($E437,4)&amp;MID($E437,6,2)&amp;RIGHT($E437,2)&amp;IF($F437="","0000",IF($F437="نامعتبر","9999",LEFT($F437,2)&amp;RIGHT($F437,2)))&amp;"|"&amp;RIGHT("00000"&amp;429,5))</f>
        <v/>
      </c>
      <c r="I437">
        <f>IF($H437="","",COUNTIFS(CalcBank,$G437,CalcKey,"&lt;"&amp;$H437)+1)</f>
        <v/>
      </c>
      <c r="J437">
        <f>IF($I437="","",$G437&amp;"|"&amp;RIGHT("000000"&amp;$I437,6))</f>
        <v/>
      </c>
      <c r="K437">
        <f>IF(OR($E437="",$E437="نامعتبر"),"",LEFT($E437,4)&amp;"/"&amp;MID($E437,6,2))</f>
        <v/>
      </c>
      <c r="L437">
        <f>IF(Entry!$K437="",0,Entry!$K437)</f>
        <v/>
      </c>
      <c r="M437">
        <f>IF(Entry!$L437="",0,Entry!$L437)</f>
        <v/>
      </c>
    </row>
    <row r="438">
      <c r="A438">
        <f>IF(Entry!$C438="","",Entry!$C438)</f>
        <v/>
      </c>
      <c r="B438">
        <f>IF($A438="","",IF(ISNUMBER($A438),IF(AND($A438&gt;=10000101,$A438&lt;=99991231),INT($A438/10000),""),IFERROR(VALUE(TRIM(LEFT($A438,FIND("/",$A438)-1))),"")))</f>
        <v/>
      </c>
      <c r="C438">
        <f>IF(OR($A438="",$B438=""),"",IF(ISNUMBER($A438),INT(MOD($A438,10000)/100),IFERROR(VALUE(TRIM(LEFT(MID($A438,FIND("/",$A438)+1,20),FIND("/",MID($A438,FIND("/",$A438)+1,20))-1))),"")))</f>
        <v/>
      </c>
      <c r="D438">
        <f>IF(OR($A438="",$B438=""),"",IF(ISNUMBER($A438),MOD($A438,100),IFERROR(VALUE(TRIM(MID(MID($A438,FIND("/",$A438)+1,20),FIND("/",MID($A438,FIND("/",$A438)+1,20))+1,20))),"")))</f>
        <v/>
      </c>
      <c r="E438">
        <f>IF($A438="","",IF(OR($B438="",$C438="",$D438="",$B438&lt;1300,$B438&gt;1500,$C438&lt;1,$C438&gt;12,$D438&lt;1,$D438&gt;31),"نامعتبر",RIGHT("0000"&amp;$B438,4)&amp;"/"&amp;RIGHT("00"&amp;$C438,2)&amp;"/"&amp;RIGHT("00"&amp;$D438,2)))</f>
        <v/>
      </c>
      <c r="F438">
        <f>IF(Entry!$D438&lt;&gt;"",IF(AND(ISNUMBER(Entry!$D438),Entry!$D438&gt;=0,Entry!$D438&lt;1),RIGHT("00"&amp;HOUR(Entry!$D438),2)&amp;":"&amp;RIGHT("00"&amp;MINUTE(Entry!$D438),2),IFERROR(RIGHT("00"&amp;VALUE(TRIM(LEFT(Entry!$D438,FIND(":",Entry!$D438)-1))),2)&amp;":"&amp;RIGHT("00"&amp;VALUE(TRIM(MID(Entry!$D438,FIND(":",Entry!$D438)+1,2))),2),"نامعتبر")),IF(OR($E438="",$E438="نامعتبر"),"","00:00"))</f>
        <v/>
      </c>
      <c r="G438">
        <f>IF(OR($E438="",$E438="نامعتبر"),"",IF(Entry!$E438="","",LEFT(UPPER(TRIM(Entry!$E438)),6)))</f>
        <v/>
      </c>
      <c r="H438">
        <f>IF($G438="","",RIGHT($E438,4)&amp;MID($E438,6,2)&amp;RIGHT($E438,2)&amp;IF($F438="","0000",IF($F438="نامعتبر","9999",LEFT($F438,2)&amp;RIGHT($F438,2)))&amp;"|"&amp;RIGHT("00000"&amp;430,5))</f>
        <v/>
      </c>
      <c r="I438">
        <f>IF($H438="","",COUNTIFS(CalcBank,$G438,CalcKey,"&lt;"&amp;$H438)+1)</f>
        <v/>
      </c>
      <c r="J438">
        <f>IF($I438="","",$G438&amp;"|"&amp;RIGHT("000000"&amp;$I438,6))</f>
        <v/>
      </c>
      <c r="K438">
        <f>IF(OR($E438="",$E438="نامعتبر"),"",LEFT($E438,4)&amp;"/"&amp;MID($E438,6,2))</f>
        <v/>
      </c>
      <c r="L438">
        <f>IF(Entry!$K438="",0,Entry!$K438)</f>
        <v/>
      </c>
      <c r="M438">
        <f>IF(Entry!$L438="",0,Entry!$L438)</f>
        <v/>
      </c>
    </row>
    <row r="439">
      <c r="A439">
        <f>IF(Entry!$C439="","",Entry!$C439)</f>
        <v/>
      </c>
      <c r="B439">
        <f>IF($A439="","",IF(ISNUMBER($A439),IF(AND($A439&gt;=10000101,$A439&lt;=99991231),INT($A439/10000),""),IFERROR(VALUE(TRIM(LEFT($A439,FIND("/",$A439)-1))),"")))</f>
        <v/>
      </c>
      <c r="C439">
        <f>IF(OR($A439="",$B439=""),"",IF(ISNUMBER($A439),INT(MOD($A439,10000)/100),IFERROR(VALUE(TRIM(LEFT(MID($A439,FIND("/",$A439)+1,20),FIND("/",MID($A439,FIND("/",$A439)+1,20))-1))),"")))</f>
        <v/>
      </c>
      <c r="D439">
        <f>IF(OR($A439="",$B439=""),"",IF(ISNUMBER($A439),MOD($A439,100),IFERROR(VALUE(TRIM(MID(MID($A439,FIND("/",$A439)+1,20),FIND("/",MID($A439,FIND("/",$A439)+1,20))+1,20))),"")))</f>
        <v/>
      </c>
      <c r="E439">
        <f>IF($A439="","",IF(OR($B439="",$C439="",$D439="",$B439&lt;1300,$B439&gt;1500,$C439&lt;1,$C439&gt;12,$D439&lt;1,$D439&gt;31),"نامعتبر",RIGHT("0000"&amp;$B439,4)&amp;"/"&amp;RIGHT("00"&amp;$C439,2)&amp;"/"&amp;RIGHT("00"&amp;$D439,2)))</f>
        <v/>
      </c>
      <c r="F439">
        <f>IF(Entry!$D439&lt;&gt;"",IF(AND(ISNUMBER(Entry!$D439),Entry!$D439&gt;=0,Entry!$D439&lt;1),RIGHT("00"&amp;HOUR(Entry!$D439),2)&amp;":"&amp;RIGHT("00"&amp;MINUTE(Entry!$D439),2),IFERROR(RIGHT("00"&amp;VALUE(TRIM(LEFT(Entry!$D439,FIND(":",Entry!$D439)-1))),2)&amp;":"&amp;RIGHT("00"&amp;VALUE(TRIM(MID(Entry!$D439,FIND(":",Entry!$D439)+1,2))),2),"نامعتبر")),IF(OR($E439="",$E439="نامعتبر"),"","00:00"))</f>
        <v/>
      </c>
      <c r="G439">
        <f>IF(OR($E439="",$E439="نامعتبر"),"",IF(Entry!$E439="","",LEFT(UPPER(TRIM(Entry!$E439)),6)))</f>
        <v/>
      </c>
      <c r="H439">
        <f>IF($G439="","",RIGHT($E439,4)&amp;MID($E439,6,2)&amp;RIGHT($E439,2)&amp;IF($F439="","0000",IF($F439="نامعتبر","9999",LEFT($F439,2)&amp;RIGHT($F439,2)))&amp;"|"&amp;RIGHT("00000"&amp;431,5))</f>
        <v/>
      </c>
      <c r="I439">
        <f>IF($H439="","",COUNTIFS(CalcBank,$G439,CalcKey,"&lt;"&amp;$H439)+1)</f>
        <v/>
      </c>
      <c r="J439">
        <f>IF($I439="","",$G439&amp;"|"&amp;RIGHT("000000"&amp;$I439,6))</f>
        <v/>
      </c>
      <c r="K439">
        <f>IF(OR($E439="",$E439="نامعتبر"),"",LEFT($E439,4)&amp;"/"&amp;MID($E439,6,2))</f>
        <v/>
      </c>
      <c r="L439">
        <f>IF(Entry!$K439="",0,Entry!$K439)</f>
        <v/>
      </c>
      <c r="M439">
        <f>IF(Entry!$L439="",0,Entry!$L439)</f>
        <v/>
      </c>
    </row>
    <row r="440">
      <c r="A440">
        <f>IF(Entry!$C440="","",Entry!$C440)</f>
        <v/>
      </c>
      <c r="B440">
        <f>IF($A440="","",IF(ISNUMBER($A440),IF(AND($A440&gt;=10000101,$A440&lt;=99991231),INT($A440/10000),""),IFERROR(VALUE(TRIM(LEFT($A440,FIND("/",$A440)-1))),"")))</f>
        <v/>
      </c>
      <c r="C440">
        <f>IF(OR($A440="",$B440=""),"",IF(ISNUMBER($A440),INT(MOD($A440,10000)/100),IFERROR(VALUE(TRIM(LEFT(MID($A440,FIND("/",$A440)+1,20),FIND("/",MID($A440,FIND("/",$A440)+1,20))-1))),"")))</f>
        <v/>
      </c>
      <c r="D440">
        <f>IF(OR($A440="",$B440=""),"",IF(ISNUMBER($A440),MOD($A440,100),IFERROR(VALUE(TRIM(MID(MID($A440,FIND("/",$A440)+1,20),FIND("/",MID($A440,FIND("/",$A440)+1,20))+1,20))),"")))</f>
        <v/>
      </c>
      <c r="E440">
        <f>IF($A440="","",IF(OR($B440="",$C440="",$D440="",$B440&lt;1300,$B440&gt;1500,$C440&lt;1,$C440&gt;12,$D440&lt;1,$D440&gt;31),"نامعتبر",RIGHT("0000"&amp;$B440,4)&amp;"/"&amp;RIGHT("00"&amp;$C440,2)&amp;"/"&amp;RIGHT("00"&amp;$D440,2)))</f>
        <v/>
      </c>
      <c r="F440">
        <f>IF(Entry!$D440&lt;&gt;"",IF(AND(ISNUMBER(Entry!$D440),Entry!$D440&gt;=0,Entry!$D440&lt;1),RIGHT("00"&amp;HOUR(Entry!$D440),2)&amp;":"&amp;RIGHT("00"&amp;MINUTE(Entry!$D440),2),IFERROR(RIGHT("00"&amp;VALUE(TRIM(LEFT(Entry!$D440,FIND(":",Entry!$D440)-1))),2)&amp;":"&amp;RIGHT("00"&amp;VALUE(TRIM(MID(Entry!$D440,FIND(":",Entry!$D440)+1,2))),2),"نامعتبر")),IF(OR($E440="",$E440="نامعتبر"),"","00:00"))</f>
        <v/>
      </c>
      <c r="G440">
        <f>IF(OR($E440="",$E440="نامعتبر"),"",IF(Entry!$E440="","",LEFT(UPPER(TRIM(Entry!$E440)),6)))</f>
        <v/>
      </c>
      <c r="H440">
        <f>IF($G440="","",RIGHT($E440,4)&amp;MID($E440,6,2)&amp;RIGHT($E440,2)&amp;IF($F440="","0000",IF($F440="نامعتبر","9999",LEFT($F440,2)&amp;RIGHT($F440,2)))&amp;"|"&amp;RIGHT("00000"&amp;432,5))</f>
        <v/>
      </c>
      <c r="I440">
        <f>IF($H440="","",COUNTIFS(CalcBank,$G440,CalcKey,"&lt;"&amp;$H440)+1)</f>
        <v/>
      </c>
      <c r="J440">
        <f>IF($I440="","",$G440&amp;"|"&amp;RIGHT("000000"&amp;$I440,6))</f>
        <v/>
      </c>
      <c r="K440">
        <f>IF(OR($E440="",$E440="نامعتبر"),"",LEFT($E440,4)&amp;"/"&amp;MID($E440,6,2))</f>
        <v/>
      </c>
      <c r="L440">
        <f>IF(Entry!$K440="",0,Entry!$K440)</f>
        <v/>
      </c>
      <c r="M440">
        <f>IF(Entry!$L440="",0,Entry!$L440)</f>
        <v/>
      </c>
    </row>
    <row r="441">
      <c r="A441">
        <f>IF(Entry!$C441="","",Entry!$C441)</f>
        <v/>
      </c>
      <c r="B441">
        <f>IF($A441="","",IF(ISNUMBER($A441),IF(AND($A441&gt;=10000101,$A441&lt;=99991231),INT($A441/10000),""),IFERROR(VALUE(TRIM(LEFT($A441,FIND("/",$A441)-1))),"")))</f>
        <v/>
      </c>
      <c r="C441">
        <f>IF(OR($A441="",$B441=""),"",IF(ISNUMBER($A441),INT(MOD($A441,10000)/100),IFERROR(VALUE(TRIM(LEFT(MID($A441,FIND("/",$A441)+1,20),FIND("/",MID($A441,FIND("/",$A441)+1,20))-1))),"")))</f>
        <v/>
      </c>
      <c r="D441">
        <f>IF(OR($A441="",$B441=""),"",IF(ISNUMBER($A441),MOD($A441,100),IFERROR(VALUE(TRIM(MID(MID($A441,FIND("/",$A441)+1,20),FIND("/",MID($A441,FIND("/",$A441)+1,20))+1,20))),"")))</f>
        <v/>
      </c>
      <c r="E441">
        <f>IF($A441="","",IF(OR($B441="",$C441="",$D441="",$B441&lt;1300,$B441&gt;1500,$C441&lt;1,$C441&gt;12,$D441&lt;1,$D441&gt;31),"نامعتبر",RIGHT("0000"&amp;$B441,4)&amp;"/"&amp;RIGHT("00"&amp;$C441,2)&amp;"/"&amp;RIGHT("00"&amp;$D441,2)))</f>
        <v/>
      </c>
      <c r="F441">
        <f>IF(Entry!$D441&lt;&gt;"",IF(AND(ISNUMBER(Entry!$D441),Entry!$D441&gt;=0,Entry!$D441&lt;1),RIGHT("00"&amp;HOUR(Entry!$D441),2)&amp;":"&amp;RIGHT("00"&amp;MINUTE(Entry!$D441),2),IFERROR(RIGHT("00"&amp;VALUE(TRIM(LEFT(Entry!$D441,FIND(":",Entry!$D441)-1))),2)&amp;":"&amp;RIGHT("00"&amp;VALUE(TRIM(MID(Entry!$D441,FIND(":",Entry!$D441)+1,2))),2),"نامعتبر")),IF(OR($E441="",$E441="نامعتبر"),"","00:00"))</f>
        <v/>
      </c>
      <c r="G441">
        <f>IF(OR($E441="",$E441="نامعتبر"),"",IF(Entry!$E441="","",LEFT(UPPER(TRIM(Entry!$E441)),6)))</f>
        <v/>
      </c>
      <c r="H441">
        <f>IF($G441="","",RIGHT($E441,4)&amp;MID($E441,6,2)&amp;RIGHT($E441,2)&amp;IF($F441="","0000",IF($F441="نامعتبر","9999",LEFT($F441,2)&amp;RIGHT($F441,2)))&amp;"|"&amp;RIGHT("00000"&amp;433,5))</f>
        <v/>
      </c>
      <c r="I441">
        <f>IF($H441="","",COUNTIFS(CalcBank,$G441,CalcKey,"&lt;"&amp;$H441)+1)</f>
        <v/>
      </c>
      <c r="J441">
        <f>IF($I441="","",$G441&amp;"|"&amp;RIGHT("000000"&amp;$I441,6))</f>
        <v/>
      </c>
      <c r="K441">
        <f>IF(OR($E441="",$E441="نامعتبر"),"",LEFT($E441,4)&amp;"/"&amp;MID($E441,6,2))</f>
        <v/>
      </c>
      <c r="L441">
        <f>IF(Entry!$K441="",0,Entry!$K441)</f>
        <v/>
      </c>
      <c r="M441">
        <f>IF(Entry!$L441="",0,Entry!$L441)</f>
        <v/>
      </c>
    </row>
    <row r="442">
      <c r="A442">
        <f>IF(Entry!$C442="","",Entry!$C442)</f>
        <v/>
      </c>
      <c r="B442">
        <f>IF($A442="","",IF(ISNUMBER($A442),IF(AND($A442&gt;=10000101,$A442&lt;=99991231),INT($A442/10000),""),IFERROR(VALUE(TRIM(LEFT($A442,FIND("/",$A442)-1))),"")))</f>
        <v/>
      </c>
      <c r="C442">
        <f>IF(OR($A442="",$B442=""),"",IF(ISNUMBER($A442),INT(MOD($A442,10000)/100),IFERROR(VALUE(TRIM(LEFT(MID($A442,FIND("/",$A442)+1,20),FIND("/",MID($A442,FIND("/",$A442)+1,20))-1))),"")))</f>
        <v/>
      </c>
      <c r="D442">
        <f>IF(OR($A442="",$B442=""),"",IF(ISNUMBER($A442),MOD($A442,100),IFERROR(VALUE(TRIM(MID(MID($A442,FIND("/",$A442)+1,20),FIND("/",MID($A442,FIND("/",$A442)+1,20))+1,20))),"")))</f>
        <v/>
      </c>
      <c r="E442">
        <f>IF($A442="","",IF(OR($B442="",$C442="",$D442="",$B442&lt;1300,$B442&gt;1500,$C442&lt;1,$C442&gt;12,$D442&lt;1,$D442&gt;31),"نامعتبر",RIGHT("0000"&amp;$B442,4)&amp;"/"&amp;RIGHT("00"&amp;$C442,2)&amp;"/"&amp;RIGHT("00"&amp;$D442,2)))</f>
        <v/>
      </c>
      <c r="F442">
        <f>IF(Entry!$D442&lt;&gt;"",IF(AND(ISNUMBER(Entry!$D442),Entry!$D442&gt;=0,Entry!$D442&lt;1),RIGHT("00"&amp;HOUR(Entry!$D442),2)&amp;":"&amp;RIGHT("00"&amp;MINUTE(Entry!$D442),2),IFERROR(RIGHT("00"&amp;VALUE(TRIM(LEFT(Entry!$D442,FIND(":",Entry!$D442)-1))),2)&amp;":"&amp;RIGHT("00"&amp;VALUE(TRIM(MID(Entry!$D442,FIND(":",Entry!$D442)+1,2))),2),"نامعتبر")),IF(OR($E442="",$E442="نامعتبر"),"","00:00"))</f>
        <v/>
      </c>
      <c r="G442">
        <f>IF(OR($E442="",$E442="نامعتبر"),"",IF(Entry!$E442="","",LEFT(UPPER(TRIM(Entry!$E442)),6)))</f>
        <v/>
      </c>
      <c r="H442">
        <f>IF($G442="","",RIGHT($E442,4)&amp;MID($E442,6,2)&amp;RIGHT($E442,2)&amp;IF($F442="","0000",IF($F442="نامعتبر","9999",LEFT($F442,2)&amp;RIGHT($F442,2)))&amp;"|"&amp;RIGHT("00000"&amp;434,5))</f>
        <v/>
      </c>
      <c r="I442">
        <f>IF($H442="","",COUNTIFS(CalcBank,$G442,CalcKey,"&lt;"&amp;$H442)+1)</f>
        <v/>
      </c>
      <c r="J442">
        <f>IF($I442="","",$G442&amp;"|"&amp;RIGHT("000000"&amp;$I442,6))</f>
        <v/>
      </c>
      <c r="K442">
        <f>IF(OR($E442="",$E442="نامعتبر"),"",LEFT($E442,4)&amp;"/"&amp;MID($E442,6,2))</f>
        <v/>
      </c>
      <c r="L442">
        <f>IF(Entry!$K442="",0,Entry!$K442)</f>
        <v/>
      </c>
      <c r="M442">
        <f>IF(Entry!$L442="",0,Entry!$L442)</f>
        <v/>
      </c>
    </row>
    <row r="443">
      <c r="A443">
        <f>IF(Entry!$C443="","",Entry!$C443)</f>
        <v/>
      </c>
      <c r="B443">
        <f>IF($A443="","",IF(ISNUMBER($A443),IF(AND($A443&gt;=10000101,$A443&lt;=99991231),INT($A443/10000),""),IFERROR(VALUE(TRIM(LEFT($A443,FIND("/",$A443)-1))),"")))</f>
        <v/>
      </c>
      <c r="C443">
        <f>IF(OR($A443="",$B443=""),"",IF(ISNUMBER($A443),INT(MOD($A443,10000)/100),IFERROR(VALUE(TRIM(LEFT(MID($A443,FIND("/",$A443)+1,20),FIND("/",MID($A443,FIND("/",$A443)+1,20))-1))),"")))</f>
        <v/>
      </c>
      <c r="D443">
        <f>IF(OR($A443="",$B443=""),"",IF(ISNUMBER($A443),MOD($A443,100),IFERROR(VALUE(TRIM(MID(MID($A443,FIND("/",$A443)+1,20),FIND("/",MID($A443,FIND("/",$A443)+1,20))+1,20))),"")))</f>
        <v/>
      </c>
      <c r="E443">
        <f>IF($A443="","",IF(OR($B443="",$C443="",$D443="",$B443&lt;1300,$B443&gt;1500,$C443&lt;1,$C443&gt;12,$D443&lt;1,$D443&gt;31),"نامعتبر",RIGHT("0000"&amp;$B443,4)&amp;"/"&amp;RIGHT("00"&amp;$C443,2)&amp;"/"&amp;RIGHT("00"&amp;$D443,2)))</f>
        <v/>
      </c>
      <c r="F443">
        <f>IF(Entry!$D443&lt;&gt;"",IF(AND(ISNUMBER(Entry!$D443),Entry!$D443&gt;=0,Entry!$D443&lt;1),RIGHT("00"&amp;HOUR(Entry!$D443),2)&amp;":"&amp;RIGHT("00"&amp;MINUTE(Entry!$D443),2),IFERROR(RIGHT("00"&amp;VALUE(TRIM(LEFT(Entry!$D443,FIND(":",Entry!$D443)-1))),2)&amp;":"&amp;RIGHT("00"&amp;VALUE(TRIM(MID(Entry!$D443,FIND(":",Entry!$D443)+1,2))),2),"نامعتبر")),IF(OR($E443="",$E443="نامعتبر"),"","00:00"))</f>
        <v/>
      </c>
      <c r="G443">
        <f>IF(OR($E443="",$E443="نامعتبر"),"",IF(Entry!$E443="","",LEFT(UPPER(TRIM(Entry!$E443)),6)))</f>
        <v/>
      </c>
      <c r="H443">
        <f>IF($G443="","",RIGHT($E443,4)&amp;MID($E443,6,2)&amp;RIGHT($E443,2)&amp;IF($F443="","0000",IF($F443="نامعتبر","9999",LEFT($F443,2)&amp;RIGHT($F443,2)))&amp;"|"&amp;RIGHT("00000"&amp;435,5))</f>
        <v/>
      </c>
      <c r="I443">
        <f>IF($H443="","",COUNTIFS(CalcBank,$G443,CalcKey,"&lt;"&amp;$H443)+1)</f>
        <v/>
      </c>
      <c r="J443">
        <f>IF($I443="","",$G443&amp;"|"&amp;RIGHT("000000"&amp;$I443,6))</f>
        <v/>
      </c>
      <c r="K443">
        <f>IF(OR($E443="",$E443="نامعتبر"),"",LEFT($E443,4)&amp;"/"&amp;MID($E443,6,2))</f>
        <v/>
      </c>
      <c r="L443">
        <f>IF(Entry!$K443="",0,Entry!$K443)</f>
        <v/>
      </c>
      <c r="M443">
        <f>IF(Entry!$L443="",0,Entry!$L443)</f>
        <v/>
      </c>
    </row>
    <row r="444">
      <c r="A444">
        <f>IF(Entry!$C444="","",Entry!$C444)</f>
        <v/>
      </c>
      <c r="B444">
        <f>IF($A444="","",IF(ISNUMBER($A444),IF(AND($A444&gt;=10000101,$A444&lt;=99991231),INT($A444/10000),""),IFERROR(VALUE(TRIM(LEFT($A444,FIND("/",$A444)-1))),"")))</f>
        <v/>
      </c>
      <c r="C444">
        <f>IF(OR($A444="",$B444=""),"",IF(ISNUMBER($A444),INT(MOD($A444,10000)/100),IFERROR(VALUE(TRIM(LEFT(MID($A444,FIND("/",$A444)+1,20),FIND("/",MID($A444,FIND("/",$A444)+1,20))-1))),"")))</f>
        <v/>
      </c>
      <c r="D444">
        <f>IF(OR($A444="",$B444=""),"",IF(ISNUMBER($A444),MOD($A444,100),IFERROR(VALUE(TRIM(MID(MID($A444,FIND("/",$A444)+1,20),FIND("/",MID($A444,FIND("/",$A444)+1,20))+1,20))),"")))</f>
        <v/>
      </c>
      <c r="E444">
        <f>IF($A444="","",IF(OR($B444="",$C444="",$D444="",$B444&lt;1300,$B444&gt;1500,$C444&lt;1,$C444&gt;12,$D444&lt;1,$D444&gt;31),"نامعتبر",RIGHT("0000"&amp;$B444,4)&amp;"/"&amp;RIGHT("00"&amp;$C444,2)&amp;"/"&amp;RIGHT("00"&amp;$D444,2)))</f>
        <v/>
      </c>
      <c r="F444">
        <f>IF(Entry!$D444&lt;&gt;"",IF(AND(ISNUMBER(Entry!$D444),Entry!$D444&gt;=0,Entry!$D444&lt;1),RIGHT("00"&amp;HOUR(Entry!$D444),2)&amp;":"&amp;RIGHT("00"&amp;MINUTE(Entry!$D444),2),IFERROR(RIGHT("00"&amp;VALUE(TRIM(LEFT(Entry!$D444,FIND(":",Entry!$D444)-1))),2)&amp;":"&amp;RIGHT("00"&amp;VALUE(TRIM(MID(Entry!$D444,FIND(":",Entry!$D444)+1,2))),2),"نامعتبر")),IF(OR($E444="",$E444="نامعتبر"),"","00:00"))</f>
        <v/>
      </c>
      <c r="G444">
        <f>IF(OR($E444="",$E444="نامعتبر"),"",IF(Entry!$E444="","",LEFT(UPPER(TRIM(Entry!$E444)),6)))</f>
        <v/>
      </c>
      <c r="H444">
        <f>IF($G444="","",RIGHT($E444,4)&amp;MID($E444,6,2)&amp;RIGHT($E444,2)&amp;IF($F444="","0000",IF($F444="نامعتبر","9999",LEFT($F444,2)&amp;RIGHT($F444,2)))&amp;"|"&amp;RIGHT("00000"&amp;436,5))</f>
        <v/>
      </c>
      <c r="I444">
        <f>IF($H444="","",COUNTIFS(CalcBank,$G444,CalcKey,"&lt;"&amp;$H444)+1)</f>
        <v/>
      </c>
      <c r="J444">
        <f>IF($I444="","",$G444&amp;"|"&amp;RIGHT("000000"&amp;$I444,6))</f>
        <v/>
      </c>
      <c r="K444">
        <f>IF(OR($E444="",$E444="نامعتبر"),"",LEFT($E444,4)&amp;"/"&amp;MID($E444,6,2))</f>
        <v/>
      </c>
      <c r="L444">
        <f>IF(Entry!$K444="",0,Entry!$K444)</f>
        <v/>
      </c>
      <c r="M444">
        <f>IF(Entry!$L444="",0,Entry!$L444)</f>
        <v/>
      </c>
    </row>
    <row r="445">
      <c r="A445">
        <f>IF(Entry!$C445="","",Entry!$C445)</f>
        <v/>
      </c>
      <c r="B445">
        <f>IF($A445="","",IF(ISNUMBER($A445),IF(AND($A445&gt;=10000101,$A445&lt;=99991231),INT($A445/10000),""),IFERROR(VALUE(TRIM(LEFT($A445,FIND("/",$A445)-1))),"")))</f>
        <v/>
      </c>
      <c r="C445">
        <f>IF(OR($A445="",$B445=""),"",IF(ISNUMBER($A445),INT(MOD($A445,10000)/100),IFERROR(VALUE(TRIM(LEFT(MID($A445,FIND("/",$A445)+1,20),FIND("/",MID($A445,FIND("/",$A445)+1,20))-1))),"")))</f>
        <v/>
      </c>
      <c r="D445">
        <f>IF(OR($A445="",$B445=""),"",IF(ISNUMBER($A445),MOD($A445,100),IFERROR(VALUE(TRIM(MID(MID($A445,FIND("/",$A445)+1,20),FIND("/",MID($A445,FIND("/",$A445)+1,20))+1,20))),"")))</f>
        <v/>
      </c>
      <c r="E445">
        <f>IF($A445="","",IF(OR($B445="",$C445="",$D445="",$B445&lt;1300,$B445&gt;1500,$C445&lt;1,$C445&gt;12,$D445&lt;1,$D445&gt;31),"نامعتبر",RIGHT("0000"&amp;$B445,4)&amp;"/"&amp;RIGHT("00"&amp;$C445,2)&amp;"/"&amp;RIGHT("00"&amp;$D445,2)))</f>
        <v/>
      </c>
      <c r="F445">
        <f>IF(Entry!$D445&lt;&gt;"",IF(AND(ISNUMBER(Entry!$D445),Entry!$D445&gt;=0,Entry!$D445&lt;1),RIGHT("00"&amp;HOUR(Entry!$D445),2)&amp;":"&amp;RIGHT("00"&amp;MINUTE(Entry!$D445),2),IFERROR(RIGHT("00"&amp;VALUE(TRIM(LEFT(Entry!$D445,FIND(":",Entry!$D445)-1))),2)&amp;":"&amp;RIGHT("00"&amp;VALUE(TRIM(MID(Entry!$D445,FIND(":",Entry!$D445)+1,2))),2),"نامعتبر")),IF(OR($E445="",$E445="نامعتبر"),"","00:00"))</f>
        <v/>
      </c>
      <c r="G445">
        <f>IF(OR($E445="",$E445="نامعتبر"),"",IF(Entry!$E445="","",LEFT(UPPER(TRIM(Entry!$E445)),6)))</f>
        <v/>
      </c>
      <c r="H445">
        <f>IF($G445="","",RIGHT($E445,4)&amp;MID($E445,6,2)&amp;RIGHT($E445,2)&amp;IF($F445="","0000",IF($F445="نامعتبر","9999",LEFT($F445,2)&amp;RIGHT($F445,2)))&amp;"|"&amp;RIGHT("00000"&amp;437,5))</f>
        <v/>
      </c>
      <c r="I445">
        <f>IF($H445="","",COUNTIFS(CalcBank,$G445,CalcKey,"&lt;"&amp;$H445)+1)</f>
        <v/>
      </c>
      <c r="J445">
        <f>IF($I445="","",$G445&amp;"|"&amp;RIGHT("000000"&amp;$I445,6))</f>
        <v/>
      </c>
      <c r="K445">
        <f>IF(OR($E445="",$E445="نامعتبر"),"",LEFT($E445,4)&amp;"/"&amp;MID($E445,6,2))</f>
        <v/>
      </c>
      <c r="L445">
        <f>IF(Entry!$K445="",0,Entry!$K445)</f>
        <v/>
      </c>
      <c r="M445">
        <f>IF(Entry!$L445="",0,Entry!$L445)</f>
        <v/>
      </c>
    </row>
    <row r="446">
      <c r="A446">
        <f>IF(Entry!$C446="","",Entry!$C446)</f>
        <v/>
      </c>
      <c r="B446">
        <f>IF($A446="","",IF(ISNUMBER($A446),IF(AND($A446&gt;=10000101,$A446&lt;=99991231),INT($A446/10000),""),IFERROR(VALUE(TRIM(LEFT($A446,FIND("/",$A446)-1))),"")))</f>
        <v/>
      </c>
      <c r="C446">
        <f>IF(OR($A446="",$B446=""),"",IF(ISNUMBER($A446),INT(MOD($A446,10000)/100),IFERROR(VALUE(TRIM(LEFT(MID($A446,FIND("/",$A446)+1,20),FIND("/",MID($A446,FIND("/",$A446)+1,20))-1))),"")))</f>
        <v/>
      </c>
      <c r="D446">
        <f>IF(OR($A446="",$B446=""),"",IF(ISNUMBER($A446),MOD($A446,100),IFERROR(VALUE(TRIM(MID(MID($A446,FIND("/",$A446)+1,20),FIND("/",MID($A446,FIND("/",$A446)+1,20))+1,20))),"")))</f>
        <v/>
      </c>
      <c r="E446">
        <f>IF($A446="","",IF(OR($B446="",$C446="",$D446="",$B446&lt;1300,$B446&gt;1500,$C446&lt;1,$C446&gt;12,$D446&lt;1,$D446&gt;31),"نامعتبر",RIGHT("0000"&amp;$B446,4)&amp;"/"&amp;RIGHT("00"&amp;$C446,2)&amp;"/"&amp;RIGHT("00"&amp;$D446,2)))</f>
        <v/>
      </c>
      <c r="F446">
        <f>IF(Entry!$D446&lt;&gt;"",IF(AND(ISNUMBER(Entry!$D446),Entry!$D446&gt;=0,Entry!$D446&lt;1),RIGHT("00"&amp;HOUR(Entry!$D446),2)&amp;":"&amp;RIGHT("00"&amp;MINUTE(Entry!$D446),2),IFERROR(RIGHT("00"&amp;VALUE(TRIM(LEFT(Entry!$D446,FIND(":",Entry!$D446)-1))),2)&amp;":"&amp;RIGHT("00"&amp;VALUE(TRIM(MID(Entry!$D446,FIND(":",Entry!$D446)+1,2))),2),"نامعتبر")),IF(OR($E446="",$E446="نامعتبر"),"","00:00"))</f>
        <v/>
      </c>
      <c r="G446">
        <f>IF(OR($E446="",$E446="نامعتبر"),"",IF(Entry!$E446="","",LEFT(UPPER(TRIM(Entry!$E446)),6)))</f>
        <v/>
      </c>
      <c r="H446">
        <f>IF($G446="","",RIGHT($E446,4)&amp;MID($E446,6,2)&amp;RIGHT($E446,2)&amp;IF($F446="","0000",IF($F446="نامعتبر","9999",LEFT($F446,2)&amp;RIGHT($F446,2)))&amp;"|"&amp;RIGHT("00000"&amp;438,5))</f>
        <v/>
      </c>
      <c r="I446">
        <f>IF($H446="","",COUNTIFS(CalcBank,$G446,CalcKey,"&lt;"&amp;$H446)+1)</f>
        <v/>
      </c>
      <c r="J446">
        <f>IF($I446="","",$G446&amp;"|"&amp;RIGHT("000000"&amp;$I446,6))</f>
        <v/>
      </c>
      <c r="K446">
        <f>IF(OR($E446="",$E446="نامعتبر"),"",LEFT($E446,4)&amp;"/"&amp;MID($E446,6,2))</f>
        <v/>
      </c>
      <c r="L446">
        <f>IF(Entry!$K446="",0,Entry!$K446)</f>
        <v/>
      </c>
      <c r="M446">
        <f>IF(Entry!$L446="",0,Entry!$L446)</f>
        <v/>
      </c>
    </row>
    <row r="447">
      <c r="A447">
        <f>IF(Entry!$C447="","",Entry!$C447)</f>
        <v/>
      </c>
      <c r="B447">
        <f>IF($A447="","",IF(ISNUMBER($A447),IF(AND($A447&gt;=10000101,$A447&lt;=99991231),INT($A447/10000),""),IFERROR(VALUE(TRIM(LEFT($A447,FIND("/",$A447)-1))),"")))</f>
        <v/>
      </c>
      <c r="C447">
        <f>IF(OR($A447="",$B447=""),"",IF(ISNUMBER($A447),INT(MOD($A447,10000)/100),IFERROR(VALUE(TRIM(LEFT(MID($A447,FIND("/",$A447)+1,20),FIND("/",MID($A447,FIND("/",$A447)+1,20))-1))),"")))</f>
        <v/>
      </c>
      <c r="D447">
        <f>IF(OR($A447="",$B447=""),"",IF(ISNUMBER($A447),MOD($A447,100),IFERROR(VALUE(TRIM(MID(MID($A447,FIND("/",$A447)+1,20),FIND("/",MID($A447,FIND("/",$A447)+1,20))+1,20))),"")))</f>
        <v/>
      </c>
      <c r="E447">
        <f>IF($A447="","",IF(OR($B447="",$C447="",$D447="",$B447&lt;1300,$B447&gt;1500,$C447&lt;1,$C447&gt;12,$D447&lt;1,$D447&gt;31),"نامعتبر",RIGHT("0000"&amp;$B447,4)&amp;"/"&amp;RIGHT("00"&amp;$C447,2)&amp;"/"&amp;RIGHT("00"&amp;$D447,2)))</f>
        <v/>
      </c>
      <c r="F447">
        <f>IF(Entry!$D447&lt;&gt;"",IF(AND(ISNUMBER(Entry!$D447),Entry!$D447&gt;=0,Entry!$D447&lt;1),RIGHT("00"&amp;HOUR(Entry!$D447),2)&amp;":"&amp;RIGHT("00"&amp;MINUTE(Entry!$D447),2),IFERROR(RIGHT("00"&amp;VALUE(TRIM(LEFT(Entry!$D447,FIND(":",Entry!$D447)-1))),2)&amp;":"&amp;RIGHT("00"&amp;VALUE(TRIM(MID(Entry!$D447,FIND(":",Entry!$D447)+1,2))),2),"نامعتبر")),IF(OR($E447="",$E447="نامعتبر"),"","00:00"))</f>
        <v/>
      </c>
      <c r="G447">
        <f>IF(OR($E447="",$E447="نامعتبر"),"",IF(Entry!$E447="","",LEFT(UPPER(TRIM(Entry!$E447)),6)))</f>
        <v/>
      </c>
      <c r="H447">
        <f>IF($G447="","",RIGHT($E447,4)&amp;MID($E447,6,2)&amp;RIGHT($E447,2)&amp;IF($F447="","0000",IF($F447="نامعتبر","9999",LEFT($F447,2)&amp;RIGHT($F447,2)))&amp;"|"&amp;RIGHT("00000"&amp;439,5))</f>
        <v/>
      </c>
      <c r="I447">
        <f>IF($H447="","",COUNTIFS(CalcBank,$G447,CalcKey,"&lt;"&amp;$H447)+1)</f>
        <v/>
      </c>
      <c r="J447">
        <f>IF($I447="","",$G447&amp;"|"&amp;RIGHT("000000"&amp;$I447,6))</f>
        <v/>
      </c>
      <c r="K447">
        <f>IF(OR($E447="",$E447="نامعتبر"),"",LEFT($E447,4)&amp;"/"&amp;MID($E447,6,2))</f>
        <v/>
      </c>
      <c r="L447">
        <f>IF(Entry!$K447="",0,Entry!$K447)</f>
        <v/>
      </c>
      <c r="M447">
        <f>IF(Entry!$L447="",0,Entry!$L447)</f>
        <v/>
      </c>
    </row>
    <row r="448">
      <c r="A448">
        <f>IF(Entry!$C448="","",Entry!$C448)</f>
        <v/>
      </c>
      <c r="B448">
        <f>IF($A448="","",IF(ISNUMBER($A448),IF(AND($A448&gt;=10000101,$A448&lt;=99991231),INT($A448/10000),""),IFERROR(VALUE(TRIM(LEFT($A448,FIND("/",$A448)-1))),"")))</f>
        <v/>
      </c>
      <c r="C448">
        <f>IF(OR($A448="",$B448=""),"",IF(ISNUMBER($A448),INT(MOD($A448,10000)/100),IFERROR(VALUE(TRIM(LEFT(MID($A448,FIND("/",$A448)+1,20),FIND("/",MID($A448,FIND("/",$A448)+1,20))-1))),"")))</f>
        <v/>
      </c>
      <c r="D448">
        <f>IF(OR($A448="",$B448=""),"",IF(ISNUMBER($A448),MOD($A448,100),IFERROR(VALUE(TRIM(MID(MID($A448,FIND("/",$A448)+1,20),FIND("/",MID($A448,FIND("/",$A448)+1,20))+1,20))),"")))</f>
        <v/>
      </c>
      <c r="E448">
        <f>IF($A448="","",IF(OR($B448="",$C448="",$D448="",$B448&lt;1300,$B448&gt;1500,$C448&lt;1,$C448&gt;12,$D448&lt;1,$D448&gt;31),"نامعتبر",RIGHT("0000"&amp;$B448,4)&amp;"/"&amp;RIGHT("00"&amp;$C448,2)&amp;"/"&amp;RIGHT("00"&amp;$D448,2)))</f>
        <v/>
      </c>
      <c r="F448">
        <f>IF(Entry!$D448&lt;&gt;"",IF(AND(ISNUMBER(Entry!$D448),Entry!$D448&gt;=0,Entry!$D448&lt;1),RIGHT("00"&amp;HOUR(Entry!$D448),2)&amp;":"&amp;RIGHT("00"&amp;MINUTE(Entry!$D448),2),IFERROR(RIGHT("00"&amp;VALUE(TRIM(LEFT(Entry!$D448,FIND(":",Entry!$D448)-1))),2)&amp;":"&amp;RIGHT("00"&amp;VALUE(TRIM(MID(Entry!$D448,FIND(":",Entry!$D448)+1,2))),2),"نامعتبر")),IF(OR($E448="",$E448="نامعتبر"),"","00:00"))</f>
        <v/>
      </c>
      <c r="G448">
        <f>IF(OR($E448="",$E448="نامعتبر"),"",IF(Entry!$E448="","",LEFT(UPPER(TRIM(Entry!$E448)),6)))</f>
        <v/>
      </c>
      <c r="H448">
        <f>IF($G448="","",RIGHT($E448,4)&amp;MID($E448,6,2)&amp;RIGHT($E448,2)&amp;IF($F448="","0000",IF($F448="نامعتبر","9999",LEFT($F448,2)&amp;RIGHT($F448,2)))&amp;"|"&amp;RIGHT("00000"&amp;440,5))</f>
        <v/>
      </c>
      <c r="I448">
        <f>IF($H448="","",COUNTIFS(CalcBank,$G448,CalcKey,"&lt;"&amp;$H448)+1)</f>
        <v/>
      </c>
      <c r="J448">
        <f>IF($I448="","",$G448&amp;"|"&amp;RIGHT("000000"&amp;$I448,6))</f>
        <v/>
      </c>
      <c r="K448">
        <f>IF(OR($E448="",$E448="نامعتبر"),"",LEFT($E448,4)&amp;"/"&amp;MID($E448,6,2))</f>
        <v/>
      </c>
      <c r="L448">
        <f>IF(Entry!$K448="",0,Entry!$K448)</f>
        <v/>
      </c>
      <c r="M448">
        <f>IF(Entry!$L448="",0,Entry!$L448)</f>
        <v/>
      </c>
    </row>
    <row r="449">
      <c r="A449">
        <f>IF(Entry!$C449="","",Entry!$C449)</f>
        <v/>
      </c>
      <c r="B449">
        <f>IF($A449="","",IF(ISNUMBER($A449),IF(AND($A449&gt;=10000101,$A449&lt;=99991231),INT($A449/10000),""),IFERROR(VALUE(TRIM(LEFT($A449,FIND("/",$A449)-1))),"")))</f>
        <v/>
      </c>
      <c r="C449">
        <f>IF(OR($A449="",$B449=""),"",IF(ISNUMBER($A449),INT(MOD($A449,10000)/100),IFERROR(VALUE(TRIM(LEFT(MID($A449,FIND("/",$A449)+1,20),FIND("/",MID($A449,FIND("/",$A449)+1,20))-1))),"")))</f>
        <v/>
      </c>
      <c r="D449">
        <f>IF(OR($A449="",$B449=""),"",IF(ISNUMBER($A449),MOD($A449,100),IFERROR(VALUE(TRIM(MID(MID($A449,FIND("/",$A449)+1,20),FIND("/",MID($A449,FIND("/",$A449)+1,20))+1,20))),"")))</f>
        <v/>
      </c>
      <c r="E449">
        <f>IF($A449="","",IF(OR($B449="",$C449="",$D449="",$B449&lt;1300,$B449&gt;1500,$C449&lt;1,$C449&gt;12,$D449&lt;1,$D449&gt;31),"نامعتبر",RIGHT("0000"&amp;$B449,4)&amp;"/"&amp;RIGHT("00"&amp;$C449,2)&amp;"/"&amp;RIGHT("00"&amp;$D449,2)))</f>
        <v/>
      </c>
      <c r="F449">
        <f>IF(Entry!$D449&lt;&gt;"",IF(AND(ISNUMBER(Entry!$D449),Entry!$D449&gt;=0,Entry!$D449&lt;1),RIGHT("00"&amp;HOUR(Entry!$D449),2)&amp;":"&amp;RIGHT("00"&amp;MINUTE(Entry!$D449),2),IFERROR(RIGHT("00"&amp;VALUE(TRIM(LEFT(Entry!$D449,FIND(":",Entry!$D449)-1))),2)&amp;":"&amp;RIGHT("00"&amp;VALUE(TRIM(MID(Entry!$D449,FIND(":",Entry!$D449)+1,2))),2),"نامعتبر")),IF(OR($E449="",$E449="نامعتبر"),"","00:00"))</f>
        <v/>
      </c>
      <c r="G449">
        <f>IF(OR($E449="",$E449="نامعتبر"),"",IF(Entry!$E449="","",LEFT(UPPER(TRIM(Entry!$E449)),6)))</f>
        <v/>
      </c>
      <c r="H449">
        <f>IF($G449="","",RIGHT($E449,4)&amp;MID($E449,6,2)&amp;RIGHT($E449,2)&amp;IF($F449="","0000",IF($F449="نامعتبر","9999",LEFT($F449,2)&amp;RIGHT($F449,2)))&amp;"|"&amp;RIGHT("00000"&amp;441,5))</f>
        <v/>
      </c>
      <c r="I449">
        <f>IF($H449="","",COUNTIFS(CalcBank,$G449,CalcKey,"&lt;"&amp;$H449)+1)</f>
        <v/>
      </c>
      <c r="J449">
        <f>IF($I449="","",$G449&amp;"|"&amp;RIGHT("000000"&amp;$I449,6))</f>
        <v/>
      </c>
      <c r="K449">
        <f>IF(OR($E449="",$E449="نامعتبر"),"",LEFT($E449,4)&amp;"/"&amp;MID($E449,6,2))</f>
        <v/>
      </c>
      <c r="L449">
        <f>IF(Entry!$K449="",0,Entry!$K449)</f>
        <v/>
      </c>
      <c r="M449">
        <f>IF(Entry!$L449="",0,Entry!$L449)</f>
        <v/>
      </c>
    </row>
    <row r="450">
      <c r="A450">
        <f>IF(Entry!$C450="","",Entry!$C450)</f>
        <v/>
      </c>
      <c r="B450">
        <f>IF($A450="","",IF(ISNUMBER($A450),IF(AND($A450&gt;=10000101,$A450&lt;=99991231),INT($A450/10000),""),IFERROR(VALUE(TRIM(LEFT($A450,FIND("/",$A450)-1))),"")))</f>
        <v/>
      </c>
      <c r="C450">
        <f>IF(OR($A450="",$B450=""),"",IF(ISNUMBER($A450),INT(MOD($A450,10000)/100),IFERROR(VALUE(TRIM(LEFT(MID($A450,FIND("/",$A450)+1,20),FIND("/",MID($A450,FIND("/",$A450)+1,20))-1))),"")))</f>
        <v/>
      </c>
      <c r="D450">
        <f>IF(OR($A450="",$B450=""),"",IF(ISNUMBER($A450),MOD($A450,100),IFERROR(VALUE(TRIM(MID(MID($A450,FIND("/",$A450)+1,20),FIND("/",MID($A450,FIND("/",$A450)+1,20))+1,20))),"")))</f>
        <v/>
      </c>
      <c r="E450">
        <f>IF($A450="","",IF(OR($B450="",$C450="",$D450="",$B450&lt;1300,$B450&gt;1500,$C450&lt;1,$C450&gt;12,$D450&lt;1,$D450&gt;31),"نامعتبر",RIGHT("0000"&amp;$B450,4)&amp;"/"&amp;RIGHT("00"&amp;$C450,2)&amp;"/"&amp;RIGHT("00"&amp;$D450,2)))</f>
        <v/>
      </c>
      <c r="F450">
        <f>IF(Entry!$D450&lt;&gt;"",IF(AND(ISNUMBER(Entry!$D450),Entry!$D450&gt;=0,Entry!$D450&lt;1),RIGHT("00"&amp;HOUR(Entry!$D450),2)&amp;":"&amp;RIGHT("00"&amp;MINUTE(Entry!$D450),2),IFERROR(RIGHT("00"&amp;VALUE(TRIM(LEFT(Entry!$D450,FIND(":",Entry!$D450)-1))),2)&amp;":"&amp;RIGHT("00"&amp;VALUE(TRIM(MID(Entry!$D450,FIND(":",Entry!$D450)+1,2))),2),"نامعتبر")),IF(OR($E450="",$E450="نامعتبر"),"","00:00"))</f>
        <v/>
      </c>
      <c r="G450">
        <f>IF(OR($E450="",$E450="نامعتبر"),"",IF(Entry!$E450="","",LEFT(UPPER(TRIM(Entry!$E450)),6)))</f>
        <v/>
      </c>
      <c r="H450">
        <f>IF($G450="","",RIGHT($E450,4)&amp;MID($E450,6,2)&amp;RIGHT($E450,2)&amp;IF($F450="","0000",IF($F450="نامعتبر","9999",LEFT($F450,2)&amp;RIGHT($F450,2)))&amp;"|"&amp;RIGHT("00000"&amp;442,5))</f>
        <v/>
      </c>
      <c r="I450">
        <f>IF($H450="","",COUNTIFS(CalcBank,$G450,CalcKey,"&lt;"&amp;$H450)+1)</f>
        <v/>
      </c>
      <c r="J450">
        <f>IF($I450="","",$G450&amp;"|"&amp;RIGHT("000000"&amp;$I450,6))</f>
        <v/>
      </c>
      <c r="K450">
        <f>IF(OR($E450="",$E450="نامعتبر"),"",LEFT($E450,4)&amp;"/"&amp;MID($E450,6,2))</f>
        <v/>
      </c>
      <c r="L450">
        <f>IF(Entry!$K450="",0,Entry!$K450)</f>
        <v/>
      </c>
      <c r="M450">
        <f>IF(Entry!$L450="",0,Entry!$L450)</f>
        <v/>
      </c>
    </row>
    <row r="451">
      <c r="A451">
        <f>IF(Entry!$C451="","",Entry!$C451)</f>
        <v/>
      </c>
      <c r="B451">
        <f>IF($A451="","",IF(ISNUMBER($A451),IF(AND($A451&gt;=10000101,$A451&lt;=99991231),INT($A451/10000),""),IFERROR(VALUE(TRIM(LEFT($A451,FIND("/",$A451)-1))),"")))</f>
        <v/>
      </c>
      <c r="C451">
        <f>IF(OR($A451="",$B451=""),"",IF(ISNUMBER($A451),INT(MOD($A451,10000)/100),IFERROR(VALUE(TRIM(LEFT(MID($A451,FIND("/",$A451)+1,20),FIND("/",MID($A451,FIND("/",$A451)+1,20))-1))),"")))</f>
        <v/>
      </c>
      <c r="D451">
        <f>IF(OR($A451="",$B451=""),"",IF(ISNUMBER($A451),MOD($A451,100),IFERROR(VALUE(TRIM(MID(MID($A451,FIND("/",$A451)+1,20),FIND("/",MID($A451,FIND("/",$A451)+1,20))+1,20))),"")))</f>
        <v/>
      </c>
      <c r="E451">
        <f>IF($A451="","",IF(OR($B451="",$C451="",$D451="",$B451&lt;1300,$B451&gt;1500,$C451&lt;1,$C451&gt;12,$D451&lt;1,$D451&gt;31),"نامعتبر",RIGHT("0000"&amp;$B451,4)&amp;"/"&amp;RIGHT("00"&amp;$C451,2)&amp;"/"&amp;RIGHT("00"&amp;$D451,2)))</f>
        <v/>
      </c>
      <c r="F451">
        <f>IF(Entry!$D451&lt;&gt;"",IF(AND(ISNUMBER(Entry!$D451),Entry!$D451&gt;=0,Entry!$D451&lt;1),RIGHT("00"&amp;HOUR(Entry!$D451),2)&amp;":"&amp;RIGHT("00"&amp;MINUTE(Entry!$D451),2),IFERROR(RIGHT("00"&amp;VALUE(TRIM(LEFT(Entry!$D451,FIND(":",Entry!$D451)-1))),2)&amp;":"&amp;RIGHT("00"&amp;VALUE(TRIM(MID(Entry!$D451,FIND(":",Entry!$D451)+1,2))),2),"نامعتبر")),IF(OR($E451="",$E451="نامعتبر"),"","00:00"))</f>
        <v/>
      </c>
      <c r="G451">
        <f>IF(OR($E451="",$E451="نامعتبر"),"",IF(Entry!$E451="","",LEFT(UPPER(TRIM(Entry!$E451)),6)))</f>
        <v/>
      </c>
      <c r="H451">
        <f>IF($G451="","",RIGHT($E451,4)&amp;MID($E451,6,2)&amp;RIGHT($E451,2)&amp;IF($F451="","0000",IF($F451="نامعتبر","9999",LEFT($F451,2)&amp;RIGHT($F451,2)))&amp;"|"&amp;RIGHT("00000"&amp;443,5))</f>
        <v/>
      </c>
      <c r="I451">
        <f>IF($H451="","",COUNTIFS(CalcBank,$G451,CalcKey,"&lt;"&amp;$H451)+1)</f>
        <v/>
      </c>
      <c r="J451">
        <f>IF($I451="","",$G451&amp;"|"&amp;RIGHT("000000"&amp;$I451,6))</f>
        <v/>
      </c>
      <c r="K451">
        <f>IF(OR($E451="",$E451="نامعتبر"),"",LEFT($E451,4)&amp;"/"&amp;MID($E451,6,2))</f>
        <v/>
      </c>
      <c r="L451">
        <f>IF(Entry!$K451="",0,Entry!$K451)</f>
        <v/>
      </c>
      <c r="M451">
        <f>IF(Entry!$L451="",0,Entry!$L451)</f>
        <v/>
      </c>
    </row>
    <row r="452">
      <c r="A452">
        <f>IF(Entry!$C452="","",Entry!$C452)</f>
        <v/>
      </c>
      <c r="B452">
        <f>IF($A452="","",IF(ISNUMBER($A452),IF(AND($A452&gt;=10000101,$A452&lt;=99991231),INT($A452/10000),""),IFERROR(VALUE(TRIM(LEFT($A452,FIND("/",$A452)-1))),"")))</f>
        <v/>
      </c>
      <c r="C452">
        <f>IF(OR($A452="",$B452=""),"",IF(ISNUMBER($A452),INT(MOD($A452,10000)/100),IFERROR(VALUE(TRIM(LEFT(MID($A452,FIND("/",$A452)+1,20),FIND("/",MID($A452,FIND("/",$A452)+1,20))-1))),"")))</f>
        <v/>
      </c>
      <c r="D452">
        <f>IF(OR($A452="",$B452=""),"",IF(ISNUMBER($A452),MOD($A452,100),IFERROR(VALUE(TRIM(MID(MID($A452,FIND("/",$A452)+1,20),FIND("/",MID($A452,FIND("/",$A452)+1,20))+1,20))),"")))</f>
        <v/>
      </c>
      <c r="E452">
        <f>IF($A452="","",IF(OR($B452="",$C452="",$D452="",$B452&lt;1300,$B452&gt;1500,$C452&lt;1,$C452&gt;12,$D452&lt;1,$D452&gt;31),"نامعتبر",RIGHT("0000"&amp;$B452,4)&amp;"/"&amp;RIGHT("00"&amp;$C452,2)&amp;"/"&amp;RIGHT("00"&amp;$D452,2)))</f>
        <v/>
      </c>
      <c r="F452">
        <f>IF(Entry!$D452&lt;&gt;"",IF(AND(ISNUMBER(Entry!$D452),Entry!$D452&gt;=0,Entry!$D452&lt;1),RIGHT("00"&amp;HOUR(Entry!$D452),2)&amp;":"&amp;RIGHT("00"&amp;MINUTE(Entry!$D452),2),IFERROR(RIGHT("00"&amp;VALUE(TRIM(LEFT(Entry!$D452,FIND(":",Entry!$D452)-1))),2)&amp;":"&amp;RIGHT("00"&amp;VALUE(TRIM(MID(Entry!$D452,FIND(":",Entry!$D452)+1,2))),2),"نامعتبر")),IF(OR($E452="",$E452="نامعتبر"),"","00:00"))</f>
        <v/>
      </c>
      <c r="G452">
        <f>IF(OR($E452="",$E452="نامعتبر"),"",IF(Entry!$E452="","",LEFT(UPPER(TRIM(Entry!$E452)),6)))</f>
        <v/>
      </c>
      <c r="H452">
        <f>IF($G452="","",RIGHT($E452,4)&amp;MID($E452,6,2)&amp;RIGHT($E452,2)&amp;IF($F452="","0000",IF($F452="نامعتبر","9999",LEFT($F452,2)&amp;RIGHT($F452,2)))&amp;"|"&amp;RIGHT("00000"&amp;444,5))</f>
        <v/>
      </c>
      <c r="I452">
        <f>IF($H452="","",COUNTIFS(CalcBank,$G452,CalcKey,"&lt;"&amp;$H452)+1)</f>
        <v/>
      </c>
      <c r="J452">
        <f>IF($I452="","",$G452&amp;"|"&amp;RIGHT("000000"&amp;$I452,6))</f>
        <v/>
      </c>
      <c r="K452">
        <f>IF(OR($E452="",$E452="نامعتبر"),"",LEFT($E452,4)&amp;"/"&amp;MID($E452,6,2))</f>
        <v/>
      </c>
      <c r="L452">
        <f>IF(Entry!$K452="",0,Entry!$K452)</f>
        <v/>
      </c>
      <c r="M452">
        <f>IF(Entry!$L452="",0,Entry!$L452)</f>
        <v/>
      </c>
    </row>
    <row r="453">
      <c r="A453">
        <f>IF(Entry!$C453="","",Entry!$C453)</f>
        <v/>
      </c>
      <c r="B453">
        <f>IF($A453="","",IF(ISNUMBER($A453),IF(AND($A453&gt;=10000101,$A453&lt;=99991231),INT($A453/10000),""),IFERROR(VALUE(TRIM(LEFT($A453,FIND("/",$A453)-1))),"")))</f>
        <v/>
      </c>
      <c r="C453">
        <f>IF(OR($A453="",$B453=""),"",IF(ISNUMBER($A453),INT(MOD($A453,10000)/100),IFERROR(VALUE(TRIM(LEFT(MID($A453,FIND("/",$A453)+1,20),FIND("/",MID($A453,FIND("/",$A453)+1,20))-1))),"")))</f>
        <v/>
      </c>
      <c r="D453">
        <f>IF(OR($A453="",$B453=""),"",IF(ISNUMBER($A453),MOD($A453,100),IFERROR(VALUE(TRIM(MID(MID($A453,FIND("/",$A453)+1,20),FIND("/",MID($A453,FIND("/",$A453)+1,20))+1,20))),"")))</f>
        <v/>
      </c>
      <c r="E453">
        <f>IF($A453="","",IF(OR($B453="",$C453="",$D453="",$B453&lt;1300,$B453&gt;1500,$C453&lt;1,$C453&gt;12,$D453&lt;1,$D453&gt;31),"نامعتبر",RIGHT("0000"&amp;$B453,4)&amp;"/"&amp;RIGHT("00"&amp;$C453,2)&amp;"/"&amp;RIGHT("00"&amp;$D453,2)))</f>
        <v/>
      </c>
      <c r="F453">
        <f>IF(Entry!$D453&lt;&gt;"",IF(AND(ISNUMBER(Entry!$D453),Entry!$D453&gt;=0,Entry!$D453&lt;1),RIGHT("00"&amp;HOUR(Entry!$D453),2)&amp;":"&amp;RIGHT("00"&amp;MINUTE(Entry!$D453),2),IFERROR(RIGHT("00"&amp;VALUE(TRIM(LEFT(Entry!$D453,FIND(":",Entry!$D453)-1))),2)&amp;":"&amp;RIGHT("00"&amp;VALUE(TRIM(MID(Entry!$D453,FIND(":",Entry!$D453)+1,2))),2),"نامعتبر")),IF(OR($E453="",$E453="نامعتبر"),"","00:00"))</f>
        <v/>
      </c>
      <c r="G453">
        <f>IF(OR($E453="",$E453="نامعتبر"),"",IF(Entry!$E453="","",LEFT(UPPER(TRIM(Entry!$E453)),6)))</f>
        <v/>
      </c>
      <c r="H453">
        <f>IF($G453="","",RIGHT($E453,4)&amp;MID($E453,6,2)&amp;RIGHT($E453,2)&amp;IF($F453="","0000",IF($F453="نامعتبر","9999",LEFT($F453,2)&amp;RIGHT($F453,2)))&amp;"|"&amp;RIGHT("00000"&amp;445,5))</f>
        <v/>
      </c>
      <c r="I453">
        <f>IF($H453="","",COUNTIFS(CalcBank,$G453,CalcKey,"&lt;"&amp;$H453)+1)</f>
        <v/>
      </c>
      <c r="J453">
        <f>IF($I453="","",$G453&amp;"|"&amp;RIGHT("000000"&amp;$I453,6))</f>
        <v/>
      </c>
      <c r="K453">
        <f>IF(OR($E453="",$E453="نامعتبر"),"",LEFT($E453,4)&amp;"/"&amp;MID($E453,6,2))</f>
        <v/>
      </c>
      <c r="L453">
        <f>IF(Entry!$K453="",0,Entry!$K453)</f>
        <v/>
      </c>
      <c r="M453">
        <f>IF(Entry!$L453="",0,Entry!$L453)</f>
        <v/>
      </c>
    </row>
    <row r="454">
      <c r="A454">
        <f>IF(Entry!$C454="","",Entry!$C454)</f>
        <v/>
      </c>
      <c r="B454">
        <f>IF($A454="","",IF(ISNUMBER($A454),IF(AND($A454&gt;=10000101,$A454&lt;=99991231),INT($A454/10000),""),IFERROR(VALUE(TRIM(LEFT($A454,FIND("/",$A454)-1))),"")))</f>
        <v/>
      </c>
      <c r="C454">
        <f>IF(OR($A454="",$B454=""),"",IF(ISNUMBER($A454),INT(MOD($A454,10000)/100),IFERROR(VALUE(TRIM(LEFT(MID($A454,FIND("/",$A454)+1,20),FIND("/",MID($A454,FIND("/",$A454)+1,20))-1))),"")))</f>
        <v/>
      </c>
      <c r="D454">
        <f>IF(OR($A454="",$B454=""),"",IF(ISNUMBER($A454),MOD($A454,100),IFERROR(VALUE(TRIM(MID(MID($A454,FIND("/",$A454)+1,20),FIND("/",MID($A454,FIND("/",$A454)+1,20))+1,20))),"")))</f>
        <v/>
      </c>
      <c r="E454">
        <f>IF($A454="","",IF(OR($B454="",$C454="",$D454="",$B454&lt;1300,$B454&gt;1500,$C454&lt;1,$C454&gt;12,$D454&lt;1,$D454&gt;31),"نامعتبر",RIGHT("0000"&amp;$B454,4)&amp;"/"&amp;RIGHT("00"&amp;$C454,2)&amp;"/"&amp;RIGHT("00"&amp;$D454,2)))</f>
        <v/>
      </c>
      <c r="F454">
        <f>IF(Entry!$D454&lt;&gt;"",IF(AND(ISNUMBER(Entry!$D454),Entry!$D454&gt;=0,Entry!$D454&lt;1),RIGHT("00"&amp;HOUR(Entry!$D454),2)&amp;":"&amp;RIGHT("00"&amp;MINUTE(Entry!$D454),2),IFERROR(RIGHT("00"&amp;VALUE(TRIM(LEFT(Entry!$D454,FIND(":",Entry!$D454)-1))),2)&amp;":"&amp;RIGHT("00"&amp;VALUE(TRIM(MID(Entry!$D454,FIND(":",Entry!$D454)+1,2))),2),"نامعتبر")),IF(OR($E454="",$E454="نامعتبر"),"","00:00"))</f>
        <v/>
      </c>
      <c r="G454">
        <f>IF(OR($E454="",$E454="نامعتبر"),"",IF(Entry!$E454="","",LEFT(UPPER(TRIM(Entry!$E454)),6)))</f>
        <v/>
      </c>
      <c r="H454">
        <f>IF($G454="","",RIGHT($E454,4)&amp;MID($E454,6,2)&amp;RIGHT($E454,2)&amp;IF($F454="","0000",IF($F454="نامعتبر","9999",LEFT($F454,2)&amp;RIGHT($F454,2)))&amp;"|"&amp;RIGHT("00000"&amp;446,5))</f>
        <v/>
      </c>
      <c r="I454">
        <f>IF($H454="","",COUNTIFS(CalcBank,$G454,CalcKey,"&lt;"&amp;$H454)+1)</f>
        <v/>
      </c>
      <c r="J454">
        <f>IF($I454="","",$G454&amp;"|"&amp;RIGHT("000000"&amp;$I454,6))</f>
        <v/>
      </c>
      <c r="K454">
        <f>IF(OR($E454="",$E454="نامعتبر"),"",LEFT($E454,4)&amp;"/"&amp;MID($E454,6,2))</f>
        <v/>
      </c>
      <c r="L454">
        <f>IF(Entry!$K454="",0,Entry!$K454)</f>
        <v/>
      </c>
      <c r="M454">
        <f>IF(Entry!$L454="",0,Entry!$L454)</f>
        <v/>
      </c>
    </row>
    <row r="455">
      <c r="A455">
        <f>IF(Entry!$C455="","",Entry!$C455)</f>
        <v/>
      </c>
      <c r="B455">
        <f>IF($A455="","",IF(ISNUMBER($A455),IF(AND($A455&gt;=10000101,$A455&lt;=99991231),INT($A455/10000),""),IFERROR(VALUE(TRIM(LEFT($A455,FIND("/",$A455)-1))),"")))</f>
        <v/>
      </c>
      <c r="C455">
        <f>IF(OR($A455="",$B455=""),"",IF(ISNUMBER($A455),INT(MOD($A455,10000)/100),IFERROR(VALUE(TRIM(LEFT(MID($A455,FIND("/",$A455)+1,20),FIND("/",MID($A455,FIND("/",$A455)+1,20))-1))),"")))</f>
        <v/>
      </c>
      <c r="D455">
        <f>IF(OR($A455="",$B455=""),"",IF(ISNUMBER($A455),MOD($A455,100),IFERROR(VALUE(TRIM(MID(MID($A455,FIND("/",$A455)+1,20),FIND("/",MID($A455,FIND("/",$A455)+1,20))+1,20))),"")))</f>
        <v/>
      </c>
      <c r="E455">
        <f>IF($A455="","",IF(OR($B455="",$C455="",$D455="",$B455&lt;1300,$B455&gt;1500,$C455&lt;1,$C455&gt;12,$D455&lt;1,$D455&gt;31),"نامعتبر",RIGHT("0000"&amp;$B455,4)&amp;"/"&amp;RIGHT("00"&amp;$C455,2)&amp;"/"&amp;RIGHT("00"&amp;$D455,2)))</f>
        <v/>
      </c>
      <c r="F455">
        <f>IF(Entry!$D455&lt;&gt;"",IF(AND(ISNUMBER(Entry!$D455),Entry!$D455&gt;=0,Entry!$D455&lt;1),RIGHT("00"&amp;HOUR(Entry!$D455),2)&amp;":"&amp;RIGHT("00"&amp;MINUTE(Entry!$D455),2),IFERROR(RIGHT("00"&amp;VALUE(TRIM(LEFT(Entry!$D455,FIND(":",Entry!$D455)-1))),2)&amp;":"&amp;RIGHT("00"&amp;VALUE(TRIM(MID(Entry!$D455,FIND(":",Entry!$D455)+1,2))),2),"نامعتبر")),IF(OR($E455="",$E455="نامعتبر"),"","00:00"))</f>
        <v/>
      </c>
      <c r="G455">
        <f>IF(OR($E455="",$E455="نامعتبر"),"",IF(Entry!$E455="","",LEFT(UPPER(TRIM(Entry!$E455)),6)))</f>
        <v/>
      </c>
      <c r="H455">
        <f>IF($G455="","",RIGHT($E455,4)&amp;MID($E455,6,2)&amp;RIGHT($E455,2)&amp;IF($F455="","0000",IF($F455="نامعتبر","9999",LEFT($F455,2)&amp;RIGHT($F455,2)))&amp;"|"&amp;RIGHT("00000"&amp;447,5))</f>
        <v/>
      </c>
      <c r="I455">
        <f>IF($H455="","",COUNTIFS(CalcBank,$G455,CalcKey,"&lt;"&amp;$H455)+1)</f>
        <v/>
      </c>
      <c r="J455">
        <f>IF($I455="","",$G455&amp;"|"&amp;RIGHT("000000"&amp;$I455,6))</f>
        <v/>
      </c>
      <c r="K455">
        <f>IF(OR($E455="",$E455="نامعتبر"),"",LEFT($E455,4)&amp;"/"&amp;MID($E455,6,2))</f>
        <v/>
      </c>
      <c r="L455">
        <f>IF(Entry!$K455="",0,Entry!$K455)</f>
        <v/>
      </c>
      <c r="M455">
        <f>IF(Entry!$L455="",0,Entry!$L455)</f>
        <v/>
      </c>
    </row>
    <row r="456">
      <c r="A456">
        <f>IF(Entry!$C456="","",Entry!$C456)</f>
        <v/>
      </c>
      <c r="B456">
        <f>IF($A456="","",IF(ISNUMBER($A456),IF(AND($A456&gt;=10000101,$A456&lt;=99991231),INT($A456/10000),""),IFERROR(VALUE(TRIM(LEFT($A456,FIND("/",$A456)-1))),"")))</f>
        <v/>
      </c>
      <c r="C456">
        <f>IF(OR($A456="",$B456=""),"",IF(ISNUMBER($A456),INT(MOD($A456,10000)/100),IFERROR(VALUE(TRIM(LEFT(MID($A456,FIND("/",$A456)+1,20),FIND("/",MID($A456,FIND("/",$A456)+1,20))-1))),"")))</f>
        <v/>
      </c>
      <c r="D456">
        <f>IF(OR($A456="",$B456=""),"",IF(ISNUMBER($A456),MOD($A456,100),IFERROR(VALUE(TRIM(MID(MID($A456,FIND("/",$A456)+1,20),FIND("/",MID($A456,FIND("/",$A456)+1,20))+1,20))),"")))</f>
        <v/>
      </c>
      <c r="E456">
        <f>IF($A456="","",IF(OR($B456="",$C456="",$D456="",$B456&lt;1300,$B456&gt;1500,$C456&lt;1,$C456&gt;12,$D456&lt;1,$D456&gt;31),"نامعتبر",RIGHT("0000"&amp;$B456,4)&amp;"/"&amp;RIGHT("00"&amp;$C456,2)&amp;"/"&amp;RIGHT("00"&amp;$D456,2)))</f>
        <v/>
      </c>
      <c r="F456">
        <f>IF(Entry!$D456&lt;&gt;"",IF(AND(ISNUMBER(Entry!$D456),Entry!$D456&gt;=0,Entry!$D456&lt;1),RIGHT("00"&amp;HOUR(Entry!$D456),2)&amp;":"&amp;RIGHT("00"&amp;MINUTE(Entry!$D456),2),IFERROR(RIGHT("00"&amp;VALUE(TRIM(LEFT(Entry!$D456,FIND(":",Entry!$D456)-1))),2)&amp;":"&amp;RIGHT("00"&amp;VALUE(TRIM(MID(Entry!$D456,FIND(":",Entry!$D456)+1,2))),2),"نامعتبر")),IF(OR($E456="",$E456="نامعتبر"),"","00:00"))</f>
        <v/>
      </c>
      <c r="G456">
        <f>IF(OR($E456="",$E456="نامعتبر"),"",IF(Entry!$E456="","",LEFT(UPPER(TRIM(Entry!$E456)),6)))</f>
        <v/>
      </c>
      <c r="H456">
        <f>IF($G456="","",RIGHT($E456,4)&amp;MID($E456,6,2)&amp;RIGHT($E456,2)&amp;IF($F456="","0000",IF($F456="نامعتبر","9999",LEFT($F456,2)&amp;RIGHT($F456,2)))&amp;"|"&amp;RIGHT("00000"&amp;448,5))</f>
        <v/>
      </c>
      <c r="I456">
        <f>IF($H456="","",COUNTIFS(CalcBank,$G456,CalcKey,"&lt;"&amp;$H456)+1)</f>
        <v/>
      </c>
      <c r="J456">
        <f>IF($I456="","",$G456&amp;"|"&amp;RIGHT("000000"&amp;$I456,6))</f>
        <v/>
      </c>
      <c r="K456">
        <f>IF(OR($E456="",$E456="نامعتبر"),"",LEFT($E456,4)&amp;"/"&amp;MID($E456,6,2))</f>
        <v/>
      </c>
      <c r="L456">
        <f>IF(Entry!$K456="",0,Entry!$K456)</f>
        <v/>
      </c>
      <c r="M456">
        <f>IF(Entry!$L456="",0,Entry!$L456)</f>
        <v/>
      </c>
    </row>
    <row r="457">
      <c r="A457">
        <f>IF(Entry!$C457="","",Entry!$C457)</f>
        <v/>
      </c>
      <c r="B457">
        <f>IF($A457="","",IF(ISNUMBER($A457),IF(AND($A457&gt;=10000101,$A457&lt;=99991231),INT($A457/10000),""),IFERROR(VALUE(TRIM(LEFT($A457,FIND("/",$A457)-1))),"")))</f>
        <v/>
      </c>
      <c r="C457">
        <f>IF(OR($A457="",$B457=""),"",IF(ISNUMBER($A457),INT(MOD($A457,10000)/100),IFERROR(VALUE(TRIM(LEFT(MID($A457,FIND("/",$A457)+1,20),FIND("/",MID($A457,FIND("/",$A457)+1,20))-1))),"")))</f>
        <v/>
      </c>
      <c r="D457">
        <f>IF(OR($A457="",$B457=""),"",IF(ISNUMBER($A457),MOD($A457,100),IFERROR(VALUE(TRIM(MID(MID($A457,FIND("/",$A457)+1,20),FIND("/",MID($A457,FIND("/",$A457)+1,20))+1,20))),"")))</f>
        <v/>
      </c>
      <c r="E457">
        <f>IF($A457="","",IF(OR($B457="",$C457="",$D457="",$B457&lt;1300,$B457&gt;1500,$C457&lt;1,$C457&gt;12,$D457&lt;1,$D457&gt;31),"نامعتبر",RIGHT("0000"&amp;$B457,4)&amp;"/"&amp;RIGHT("00"&amp;$C457,2)&amp;"/"&amp;RIGHT("00"&amp;$D457,2)))</f>
        <v/>
      </c>
      <c r="F457">
        <f>IF(Entry!$D457&lt;&gt;"",IF(AND(ISNUMBER(Entry!$D457),Entry!$D457&gt;=0,Entry!$D457&lt;1),RIGHT("00"&amp;HOUR(Entry!$D457),2)&amp;":"&amp;RIGHT("00"&amp;MINUTE(Entry!$D457),2),IFERROR(RIGHT("00"&amp;VALUE(TRIM(LEFT(Entry!$D457,FIND(":",Entry!$D457)-1))),2)&amp;":"&amp;RIGHT("00"&amp;VALUE(TRIM(MID(Entry!$D457,FIND(":",Entry!$D457)+1,2))),2),"نامعتبر")),IF(OR($E457="",$E457="نامعتبر"),"","00:00"))</f>
        <v/>
      </c>
      <c r="G457">
        <f>IF(OR($E457="",$E457="نامعتبر"),"",IF(Entry!$E457="","",LEFT(UPPER(TRIM(Entry!$E457)),6)))</f>
        <v/>
      </c>
      <c r="H457">
        <f>IF($G457="","",RIGHT($E457,4)&amp;MID($E457,6,2)&amp;RIGHT($E457,2)&amp;IF($F457="","0000",IF($F457="نامعتبر","9999",LEFT($F457,2)&amp;RIGHT($F457,2)))&amp;"|"&amp;RIGHT("00000"&amp;449,5))</f>
        <v/>
      </c>
      <c r="I457">
        <f>IF($H457="","",COUNTIFS(CalcBank,$G457,CalcKey,"&lt;"&amp;$H457)+1)</f>
        <v/>
      </c>
      <c r="J457">
        <f>IF($I457="","",$G457&amp;"|"&amp;RIGHT("000000"&amp;$I457,6))</f>
        <v/>
      </c>
      <c r="K457">
        <f>IF(OR($E457="",$E457="نامعتبر"),"",LEFT($E457,4)&amp;"/"&amp;MID($E457,6,2))</f>
        <v/>
      </c>
      <c r="L457">
        <f>IF(Entry!$K457="",0,Entry!$K457)</f>
        <v/>
      </c>
      <c r="M457">
        <f>IF(Entry!$L457="",0,Entry!$L457)</f>
        <v/>
      </c>
    </row>
    <row r="458">
      <c r="A458">
        <f>IF(Entry!$C458="","",Entry!$C458)</f>
        <v/>
      </c>
      <c r="B458">
        <f>IF($A458="","",IF(ISNUMBER($A458),IF(AND($A458&gt;=10000101,$A458&lt;=99991231),INT($A458/10000),""),IFERROR(VALUE(TRIM(LEFT($A458,FIND("/",$A458)-1))),"")))</f>
        <v/>
      </c>
      <c r="C458">
        <f>IF(OR($A458="",$B458=""),"",IF(ISNUMBER($A458),INT(MOD($A458,10000)/100),IFERROR(VALUE(TRIM(LEFT(MID($A458,FIND("/",$A458)+1,20),FIND("/",MID($A458,FIND("/",$A458)+1,20))-1))),"")))</f>
        <v/>
      </c>
      <c r="D458">
        <f>IF(OR($A458="",$B458=""),"",IF(ISNUMBER($A458),MOD($A458,100),IFERROR(VALUE(TRIM(MID(MID($A458,FIND("/",$A458)+1,20),FIND("/",MID($A458,FIND("/",$A458)+1,20))+1,20))),"")))</f>
        <v/>
      </c>
      <c r="E458">
        <f>IF($A458="","",IF(OR($B458="",$C458="",$D458="",$B458&lt;1300,$B458&gt;1500,$C458&lt;1,$C458&gt;12,$D458&lt;1,$D458&gt;31),"نامعتبر",RIGHT("0000"&amp;$B458,4)&amp;"/"&amp;RIGHT("00"&amp;$C458,2)&amp;"/"&amp;RIGHT("00"&amp;$D458,2)))</f>
        <v/>
      </c>
      <c r="F458">
        <f>IF(Entry!$D458&lt;&gt;"",IF(AND(ISNUMBER(Entry!$D458),Entry!$D458&gt;=0,Entry!$D458&lt;1),RIGHT("00"&amp;HOUR(Entry!$D458),2)&amp;":"&amp;RIGHT("00"&amp;MINUTE(Entry!$D458),2),IFERROR(RIGHT("00"&amp;VALUE(TRIM(LEFT(Entry!$D458,FIND(":",Entry!$D458)-1))),2)&amp;":"&amp;RIGHT("00"&amp;VALUE(TRIM(MID(Entry!$D458,FIND(":",Entry!$D458)+1,2))),2),"نامعتبر")),IF(OR($E458="",$E458="نامعتبر"),"","00:00"))</f>
        <v/>
      </c>
      <c r="G458">
        <f>IF(OR($E458="",$E458="نامعتبر"),"",IF(Entry!$E458="","",LEFT(UPPER(TRIM(Entry!$E458)),6)))</f>
        <v/>
      </c>
      <c r="H458">
        <f>IF($G458="","",RIGHT($E458,4)&amp;MID($E458,6,2)&amp;RIGHT($E458,2)&amp;IF($F458="","0000",IF($F458="نامعتبر","9999",LEFT($F458,2)&amp;RIGHT($F458,2)))&amp;"|"&amp;RIGHT("00000"&amp;450,5))</f>
        <v/>
      </c>
      <c r="I458">
        <f>IF($H458="","",COUNTIFS(CalcBank,$G458,CalcKey,"&lt;"&amp;$H458)+1)</f>
        <v/>
      </c>
      <c r="J458">
        <f>IF($I458="","",$G458&amp;"|"&amp;RIGHT("000000"&amp;$I458,6))</f>
        <v/>
      </c>
      <c r="K458">
        <f>IF(OR($E458="",$E458="نامعتبر"),"",LEFT($E458,4)&amp;"/"&amp;MID($E458,6,2))</f>
        <v/>
      </c>
      <c r="L458">
        <f>IF(Entry!$K458="",0,Entry!$K458)</f>
        <v/>
      </c>
      <c r="M458">
        <f>IF(Entry!$L458="",0,Entry!$L458)</f>
        <v/>
      </c>
    </row>
    <row r="459">
      <c r="A459">
        <f>IF(Entry!$C459="","",Entry!$C459)</f>
        <v/>
      </c>
      <c r="B459">
        <f>IF($A459="","",IF(ISNUMBER($A459),IF(AND($A459&gt;=10000101,$A459&lt;=99991231),INT($A459/10000),""),IFERROR(VALUE(TRIM(LEFT($A459,FIND("/",$A459)-1))),"")))</f>
        <v/>
      </c>
      <c r="C459">
        <f>IF(OR($A459="",$B459=""),"",IF(ISNUMBER($A459),INT(MOD($A459,10000)/100),IFERROR(VALUE(TRIM(LEFT(MID($A459,FIND("/",$A459)+1,20),FIND("/",MID($A459,FIND("/",$A459)+1,20))-1))),"")))</f>
        <v/>
      </c>
      <c r="D459">
        <f>IF(OR($A459="",$B459=""),"",IF(ISNUMBER($A459),MOD($A459,100),IFERROR(VALUE(TRIM(MID(MID($A459,FIND("/",$A459)+1,20),FIND("/",MID($A459,FIND("/",$A459)+1,20))+1,20))),"")))</f>
        <v/>
      </c>
      <c r="E459">
        <f>IF($A459="","",IF(OR($B459="",$C459="",$D459="",$B459&lt;1300,$B459&gt;1500,$C459&lt;1,$C459&gt;12,$D459&lt;1,$D459&gt;31),"نامعتبر",RIGHT("0000"&amp;$B459,4)&amp;"/"&amp;RIGHT("00"&amp;$C459,2)&amp;"/"&amp;RIGHT("00"&amp;$D459,2)))</f>
        <v/>
      </c>
      <c r="F459">
        <f>IF(Entry!$D459&lt;&gt;"",IF(AND(ISNUMBER(Entry!$D459),Entry!$D459&gt;=0,Entry!$D459&lt;1),RIGHT("00"&amp;HOUR(Entry!$D459),2)&amp;":"&amp;RIGHT("00"&amp;MINUTE(Entry!$D459),2),IFERROR(RIGHT("00"&amp;VALUE(TRIM(LEFT(Entry!$D459,FIND(":",Entry!$D459)-1))),2)&amp;":"&amp;RIGHT("00"&amp;VALUE(TRIM(MID(Entry!$D459,FIND(":",Entry!$D459)+1,2))),2),"نامعتبر")),IF(OR($E459="",$E459="نامعتبر"),"","00:00"))</f>
        <v/>
      </c>
      <c r="G459">
        <f>IF(OR($E459="",$E459="نامعتبر"),"",IF(Entry!$E459="","",LEFT(UPPER(TRIM(Entry!$E459)),6)))</f>
        <v/>
      </c>
      <c r="H459">
        <f>IF($G459="","",RIGHT($E459,4)&amp;MID($E459,6,2)&amp;RIGHT($E459,2)&amp;IF($F459="","0000",IF($F459="نامعتبر","9999",LEFT($F459,2)&amp;RIGHT($F459,2)))&amp;"|"&amp;RIGHT("00000"&amp;451,5))</f>
        <v/>
      </c>
      <c r="I459">
        <f>IF($H459="","",COUNTIFS(CalcBank,$G459,CalcKey,"&lt;"&amp;$H459)+1)</f>
        <v/>
      </c>
      <c r="J459">
        <f>IF($I459="","",$G459&amp;"|"&amp;RIGHT("000000"&amp;$I459,6))</f>
        <v/>
      </c>
      <c r="K459">
        <f>IF(OR($E459="",$E459="نامعتبر"),"",LEFT($E459,4)&amp;"/"&amp;MID($E459,6,2))</f>
        <v/>
      </c>
      <c r="L459">
        <f>IF(Entry!$K459="",0,Entry!$K459)</f>
        <v/>
      </c>
      <c r="M459">
        <f>IF(Entry!$L459="",0,Entry!$L459)</f>
        <v/>
      </c>
    </row>
    <row r="460">
      <c r="A460">
        <f>IF(Entry!$C460="","",Entry!$C460)</f>
        <v/>
      </c>
      <c r="B460">
        <f>IF($A460="","",IF(ISNUMBER($A460),IF(AND($A460&gt;=10000101,$A460&lt;=99991231),INT($A460/10000),""),IFERROR(VALUE(TRIM(LEFT($A460,FIND("/",$A460)-1))),"")))</f>
        <v/>
      </c>
      <c r="C460">
        <f>IF(OR($A460="",$B460=""),"",IF(ISNUMBER($A460),INT(MOD($A460,10000)/100),IFERROR(VALUE(TRIM(LEFT(MID($A460,FIND("/",$A460)+1,20),FIND("/",MID($A460,FIND("/",$A460)+1,20))-1))),"")))</f>
        <v/>
      </c>
      <c r="D460">
        <f>IF(OR($A460="",$B460=""),"",IF(ISNUMBER($A460),MOD($A460,100),IFERROR(VALUE(TRIM(MID(MID($A460,FIND("/",$A460)+1,20),FIND("/",MID($A460,FIND("/",$A460)+1,20))+1,20))),"")))</f>
        <v/>
      </c>
      <c r="E460">
        <f>IF($A460="","",IF(OR($B460="",$C460="",$D460="",$B460&lt;1300,$B460&gt;1500,$C460&lt;1,$C460&gt;12,$D460&lt;1,$D460&gt;31),"نامعتبر",RIGHT("0000"&amp;$B460,4)&amp;"/"&amp;RIGHT("00"&amp;$C460,2)&amp;"/"&amp;RIGHT("00"&amp;$D460,2)))</f>
        <v/>
      </c>
      <c r="F460">
        <f>IF(Entry!$D460&lt;&gt;"",IF(AND(ISNUMBER(Entry!$D460),Entry!$D460&gt;=0,Entry!$D460&lt;1),RIGHT("00"&amp;HOUR(Entry!$D460),2)&amp;":"&amp;RIGHT("00"&amp;MINUTE(Entry!$D460),2),IFERROR(RIGHT("00"&amp;VALUE(TRIM(LEFT(Entry!$D460,FIND(":",Entry!$D460)-1))),2)&amp;":"&amp;RIGHT("00"&amp;VALUE(TRIM(MID(Entry!$D460,FIND(":",Entry!$D460)+1,2))),2),"نامعتبر")),IF(OR($E460="",$E460="نامعتبر"),"","00:00"))</f>
        <v/>
      </c>
      <c r="G460">
        <f>IF(OR($E460="",$E460="نامعتبر"),"",IF(Entry!$E460="","",LEFT(UPPER(TRIM(Entry!$E460)),6)))</f>
        <v/>
      </c>
      <c r="H460">
        <f>IF($G460="","",RIGHT($E460,4)&amp;MID($E460,6,2)&amp;RIGHT($E460,2)&amp;IF($F460="","0000",IF($F460="نامعتبر","9999",LEFT($F460,2)&amp;RIGHT($F460,2)))&amp;"|"&amp;RIGHT("00000"&amp;452,5))</f>
        <v/>
      </c>
      <c r="I460">
        <f>IF($H460="","",COUNTIFS(CalcBank,$G460,CalcKey,"&lt;"&amp;$H460)+1)</f>
        <v/>
      </c>
      <c r="J460">
        <f>IF($I460="","",$G460&amp;"|"&amp;RIGHT("000000"&amp;$I460,6))</f>
        <v/>
      </c>
      <c r="K460">
        <f>IF(OR($E460="",$E460="نامعتبر"),"",LEFT($E460,4)&amp;"/"&amp;MID($E460,6,2))</f>
        <v/>
      </c>
      <c r="L460">
        <f>IF(Entry!$K460="",0,Entry!$K460)</f>
        <v/>
      </c>
      <c r="M460">
        <f>IF(Entry!$L460="",0,Entry!$L460)</f>
        <v/>
      </c>
    </row>
    <row r="461">
      <c r="A461">
        <f>IF(Entry!$C461="","",Entry!$C461)</f>
        <v/>
      </c>
      <c r="B461">
        <f>IF($A461="","",IF(ISNUMBER($A461),IF(AND($A461&gt;=10000101,$A461&lt;=99991231),INT($A461/10000),""),IFERROR(VALUE(TRIM(LEFT($A461,FIND("/",$A461)-1))),"")))</f>
        <v/>
      </c>
      <c r="C461">
        <f>IF(OR($A461="",$B461=""),"",IF(ISNUMBER($A461),INT(MOD($A461,10000)/100),IFERROR(VALUE(TRIM(LEFT(MID($A461,FIND("/",$A461)+1,20),FIND("/",MID($A461,FIND("/",$A461)+1,20))-1))),"")))</f>
        <v/>
      </c>
      <c r="D461">
        <f>IF(OR($A461="",$B461=""),"",IF(ISNUMBER($A461),MOD($A461,100),IFERROR(VALUE(TRIM(MID(MID($A461,FIND("/",$A461)+1,20),FIND("/",MID($A461,FIND("/",$A461)+1,20))+1,20))),"")))</f>
        <v/>
      </c>
      <c r="E461">
        <f>IF($A461="","",IF(OR($B461="",$C461="",$D461="",$B461&lt;1300,$B461&gt;1500,$C461&lt;1,$C461&gt;12,$D461&lt;1,$D461&gt;31),"نامعتبر",RIGHT("0000"&amp;$B461,4)&amp;"/"&amp;RIGHT("00"&amp;$C461,2)&amp;"/"&amp;RIGHT("00"&amp;$D461,2)))</f>
        <v/>
      </c>
      <c r="F461">
        <f>IF(Entry!$D461&lt;&gt;"",IF(AND(ISNUMBER(Entry!$D461),Entry!$D461&gt;=0,Entry!$D461&lt;1),RIGHT("00"&amp;HOUR(Entry!$D461),2)&amp;":"&amp;RIGHT("00"&amp;MINUTE(Entry!$D461),2),IFERROR(RIGHT("00"&amp;VALUE(TRIM(LEFT(Entry!$D461,FIND(":",Entry!$D461)-1))),2)&amp;":"&amp;RIGHT("00"&amp;VALUE(TRIM(MID(Entry!$D461,FIND(":",Entry!$D461)+1,2))),2),"نامعتبر")),IF(OR($E461="",$E461="نامعتبر"),"","00:00"))</f>
        <v/>
      </c>
      <c r="G461">
        <f>IF(OR($E461="",$E461="نامعتبر"),"",IF(Entry!$E461="","",LEFT(UPPER(TRIM(Entry!$E461)),6)))</f>
        <v/>
      </c>
      <c r="H461">
        <f>IF($G461="","",RIGHT($E461,4)&amp;MID($E461,6,2)&amp;RIGHT($E461,2)&amp;IF($F461="","0000",IF($F461="نامعتبر","9999",LEFT($F461,2)&amp;RIGHT($F461,2)))&amp;"|"&amp;RIGHT("00000"&amp;453,5))</f>
        <v/>
      </c>
      <c r="I461">
        <f>IF($H461="","",COUNTIFS(CalcBank,$G461,CalcKey,"&lt;"&amp;$H461)+1)</f>
        <v/>
      </c>
      <c r="J461">
        <f>IF($I461="","",$G461&amp;"|"&amp;RIGHT("000000"&amp;$I461,6))</f>
        <v/>
      </c>
      <c r="K461">
        <f>IF(OR($E461="",$E461="نامعتبر"),"",LEFT($E461,4)&amp;"/"&amp;MID($E461,6,2))</f>
        <v/>
      </c>
      <c r="L461">
        <f>IF(Entry!$K461="",0,Entry!$K461)</f>
        <v/>
      </c>
      <c r="M461">
        <f>IF(Entry!$L461="",0,Entry!$L461)</f>
        <v/>
      </c>
    </row>
    <row r="462">
      <c r="A462">
        <f>IF(Entry!$C462="","",Entry!$C462)</f>
        <v/>
      </c>
      <c r="B462">
        <f>IF($A462="","",IF(ISNUMBER($A462),IF(AND($A462&gt;=10000101,$A462&lt;=99991231),INT($A462/10000),""),IFERROR(VALUE(TRIM(LEFT($A462,FIND("/",$A462)-1))),"")))</f>
        <v/>
      </c>
      <c r="C462">
        <f>IF(OR($A462="",$B462=""),"",IF(ISNUMBER($A462),INT(MOD($A462,10000)/100),IFERROR(VALUE(TRIM(LEFT(MID($A462,FIND("/",$A462)+1,20),FIND("/",MID($A462,FIND("/",$A462)+1,20))-1))),"")))</f>
        <v/>
      </c>
      <c r="D462">
        <f>IF(OR($A462="",$B462=""),"",IF(ISNUMBER($A462),MOD($A462,100),IFERROR(VALUE(TRIM(MID(MID($A462,FIND("/",$A462)+1,20),FIND("/",MID($A462,FIND("/",$A462)+1,20))+1,20))),"")))</f>
        <v/>
      </c>
      <c r="E462">
        <f>IF($A462="","",IF(OR($B462="",$C462="",$D462="",$B462&lt;1300,$B462&gt;1500,$C462&lt;1,$C462&gt;12,$D462&lt;1,$D462&gt;31),"نامعتبر",RIGHT("0000"&amp;$B462,4)&amp;"/"&amp;RIGHT("00"&amp;$C462,2)&amp;"/"&amp;RIGHT("00"&amp;$D462,2)))</f>
        <v/>
      </c>
      <c r="F462">
        <f>IF(Entry!$D462&lt;&gt;"",IF(AND(ISNUMBER(Entry!$D462),Entry!$D462&gt;=0,Entry!$D462&lt;1),RIGHT("00"&amp;HOUR(Entry!$D462),2)&amp;":"&amp;RIGHT("00"&amp;MINUTE(Entry!$D462),2),IFERROR(RIGHT("00"&amp;VALUE(TRIM(LEFT(Entry!$D462,FIND(":",Entry!$D462)-1))),2)&amp;":"&amp;RIGHT("00"&amp;VALUE(TRIM(MID(Entry!$D462,FIND(":",Entry!$D462)+1,2))),2),"نامعتبر")),IF(OR($E462="",$E462="نامعتبر"),"","00:00"))</f>
        <v/>
      </c>
      <c r="G462">
        <f>IF(OR($E462="",$E462="نامعتبر"),"",IF(Entry!$E462="","",LEFT(UPPER(TRIM(Entry!$E462)),6)))</f>
        <v/>
      </c>
      <c r="H462">
        <f>IF($G462="","",RIGHT($E462,4)&amp;MID($E462,6,2)&amp;RIGHT($E462,2)&amp;IF($F462="","0000",IF($F462="نامعتبر","9999",LEFT($F462,2)&amp;RIGHT($F462,2)))&amp;"|"&amp;RIGHT("00000"&amp;454,5))</f>
        <v/>
      </c>
      <c r="I462">
        <f>IF($H462="","",COUNTIFS(CalcBank,$G462,CalcKey,"&lt;"&amp;$H462)+1)</f>
        <v/>
      </c>
      <c r="J462">
        <f>IF($I462="","",$G462&amp;"|"&amp;RIGHT("000000"&amp;$I462,6))</f>
        <v/>
      </c>
      <c r="K462">
        <f>IF(OR($E462="",$E462="نامعتبر"),"",LEFT($E462,4)&amp;"/"&amp;MID($E462,6,2))</f>
        <v/>
      </c>
      <c r="L462">
        <f>IF(Entry!$K462="",0,Entry!$K462)</f>
        <v/>
      </c>
      <c r="M462">
        <f>IF(Entry!$L462="",0,Entry!$L462)</f>
        <v/>
      </c>
    </row>
    <row r="463">
      <c r="A463">
        <f>IF(Entry!$C463="","",Entry!$C463)</f>
        <v/>
      </c>
      <c r="B463">
        <f>IF($A463="","",IF(ISNUMBER($A463),IF(AND($A463&gt;=10000101,$A463&lt;=99991231),INT($A463/10000),""),IFERROR(VALUE(TRIM(LEFT($A463,FIND("/",$A463)-1))),"")))</f>
        <v/>
      </c>
      <c r="C463">
        <f>IF(OR($A463="",$B463=""),"",IF(ISNUMBER($A463),INT(MOD($A463,10000)/100),IFERROR(VALUE(TRIM(LEFT(MID($A463,FIND("/",$A463)+1,20),FIND("/",MID($A463,FIND("/",$A463)+1,20))-1))),"")))</f>
        <v/>
      </c>
      <c r="D463">
        <f>IF(OR($A463="",$B463=""),"",IF(ISNUMBER($A463),MOD($A463,100),IFERROR(VALUE(TRIM(MID(MID($A463,FIND("/",$A463)+1,20),FIND("/",MID($A463,FIND("/",$A463)+1,20))+1,20))),"")))</f>
        <v/>
      </c>
      <c r="E463">
        <f>IF($A463="","",IF(OR($B463="",$C463="",$D463="",$B463&lt;1300,$B463&gt;1500,$C463&lt;1,$C463&gt;12,$D463&lt;1,$D463&gt;31),"نامعتبر",RIGHT("0000"&amp;$B463,4)&amp;"/"&amp;RIGHT("00"&amp;$C463,2)&amp;"/"&amp;RIGHT("00"&amp;$D463,2)))</f>
        <v/>
      </c>
      <c r="F463">
        <f>IF(Entry!$D463&lt;&gt;"",IF(AND(ISNUMBER(Entry!$D463),Entry!$D463&gt;=0,Entry!$D463&lt;1),RIGHT("00"&amp;HOUR(Entry!$D463),2)&amp;":"&amp;RIGHT("00"&amp;MINUTE(Entry!$D463),2),IFERROR(RIGHT("00"&amp;VALUE(TRIM(LEFT(Entry!$D463,FIND(":",Entry!$D463)-1))),2)&amp;":"&amp;RIGHT("00"&amp;VALUE(TRIM(MID(Entry!$D463,FIND(":",Entry!$D463)+1,2))),2),"نامعتبر")),IF(OR($E463="",$E463="نامعتبر"),"","00:00"))</f>
        <v/>
      </c>
      <c r="G463">
        <f>IF(OR($E463="",$E463="نامعتبر"),"",IF(Entry!$E463="","",LEFT(UPPER(TRIM(Entry!$E463)),6)))</f>
        <v/>
      </c>
      <c r="H463">
        <f>IF($G463="","",RIGHT($E463,4)&amp;MID($E463,6,2)&amp;RIGHT($E463,2)&amp;IF($F463="","0000",IF($F463="نامعتبر","9999",LEFT($F463,2)&amp;RIGHT($F463,2)))&amp;"|"&amp;RIGHT("00000"&amp;455,5))</f>
        <v/>
      </c>
      <c r="I463">
        <f>IF($H463="","",COUNTIFS(CalcBank,$G463,CalcKey,"&lt;"&amp;$H463)+1)</f>
        <v/>
      </c>
      <c r="J463">
        <f>IF($I463="","",$G463&amp;"|"&amp;RIGHT("000000"&amp;$I463,6))</f>
        <v/>
      </c>
      <c r="K463">
        <f>IF(OR($E463="",$E463="نامعتبر"),"",LEFT($E463,4)&amp;"/"&amp;MID($E463,6,2))</f>
        <v/>
      </c>
      <c r="L463">
        <f>IF(Entry!$K463="",0,Entry!$K463)</f>
        <v/>
      </c>
      <c r="M463">
        <f>IF(Entry!$L463="",0,Entry!$L463)</f>
        <v/>
      </c>
    </row>
    <row r="464">
      <c r="A464">
        <f>IF(Entry!$C464="","",Entry!$C464)</f>
        <v/>
      </c>
      <c r="B464">
        <f>IF($A464="","",IF(ISNUMBER($A464),IF(AND($A464&gt;=10000101,$A464&lt;=99991231),INT($A464/10000),""),IFERROR(VALUE(TRIM(LEFT($A464,FIND("/",$A464)-1))),"")))</f>
        <v/>
      </c>
      <c r="C464">
        <f>IF(OR($A464="",$B464=""),"",IF(ISNUMBER($A464),INT(MOD($A464,10000)/100),IFERROR(VALUE(TRIM(LEFT(MID($A464,FIND("/",$A464)+1,20),FIND("/",MID($A464,FIND("/",$A464)+1,20))-1))),"")))</f>
        <v/>
      </c>
      <c r="D464">
        <f>IF(OR($A464="",$B464=""),"",IF(ISNUMBER($A464),MOD($A464,100),IFERROR(VALUE(TRIM(MID(MID($A464,FIND("/",$A464)+1,20),FIND("/",MID($A464,FIND("/",$A464)+1,20))+1,20))),"")))</f>
        <v/>
      </c>
      <c r="E464">
        <f>IF($A464="","",IF(OR($B464="",$C464="",$D464="",$B464&lt;1300,$B464&gt;1500,$C464&lt;1,$C464&gt;12,$D464&lt;1,$D464&gt;31),"نامعتبر",RIGHT("0000"&amp;$B464,4)&amp;"/"&amp;RIGHT("00"&amp;$C464,2)&amp;"/"&amp;RIGHT("00"&amp;$D464,2)))</f>
        <v/>
      </c>
      <c r="F464">
        <f>IF(Entry!$D464&lt;&gt;"",IF(AND(ISNUMBER(Entry!$D464),Entry!$D464&gt;=0,Entry!$D464&lt;1),RIGHT("00"&amp;HOUR(Entry!$D464),2)&amp;":"&amp;RIGHT("00"&amp;MINUTE(Entry!$D464),2),IFERROR(RIGHT("00"&amp;VALUE(TRIM(LEFT(Entry!$D464,FIND(":",Entry!$D464)-1))),2)&amp;":"&amp;RIGHT("00"&amp;VALUE(TRIM(MID(Entry!$D464,FIND(":",Entry!$D464)+1,2))),2),"نامعتبر")),IF(OR($E464="",$E464="نامعتبر"),"","00:00"))</f>
        <v/>
      </c>
      <c r="G464">
        <f>IF(OR($E464="",$E464="نامعتبر"),"",IF(Entry!$E464="","",LEFT(UPPER(TRIM(Entry!$E464)),6)))</f>
        <v/>
      </c>
      <c r="H464">
        <f>IF($G464="","",RIGHT($E464,4)&amp;MID($E464,6,2)&amp;RIGHT($E464,2)&amp;IF($F464="","0000",IF($F464="نامعتبر","9999",LEFT($F464,2)&amp;RIGHT($F464,2)))&amp;"|"&amp;RIGHT("00000"&amp;456,5))</f>
        <v/>
      </c>
      <c r="I464">
        <f>IF($H464="","",COUNTIFS(CalcBank,$G464,CalcKey,"&lt;"&amp;$H464)+1)</f>
        <v/>
      </c>
      <c r="J464">
        <f>IF($I464="","",$G464&amp;"|"&amp;RIGHT("000000"&amp;$I464,6))</f>
        <v/>
      </c>
      <c r="K464">
        <f>IF(OR($E464="",$E464="نامعتبر"),"",LEFT($E464,4)&amp;"/"&amp;MID($E464,6,2))</f>
        <v/>
      </c>
      <c r="L464">
        <f>IF(Entry!$K464="",0,Entry!$K464)</f>
        <v/>
      </c>
      <c r="M464">
        <f>IF(Entry!$L464="",0,Entry!$L464)</f>
        <v/>
      </c>
    </row>
    <row r="465">
      <c r="A465">
        <f>IF(Entry!$C465="","",Entry!$C465)</f>
        <v/>
      </c>
      <c r="B465">
        <f>IF($A465="","",IF(ISNUMBER($A465),IF(AND($A465&gt;=10000101,$A465&lt;=99991231),INT($A465/10000),""),IFERROR(VALUE(TRIM(LEFT($A465,FIND("/",$A465)-1))),"")))</f>
        <v/>
      </c>
      <c r="C465">
        <f>IF(OR($A465="",$B465=""),"",IF(ISNUMBER($A465),INT(MOD($A465,10000)/100),IFERROR(VALUE(TRIM(LEFT(MID($A465,FIND("/",$A465)+1,20),FIND("/",MID($A465,FIND("/",$A465)+1,20))-1))),"")))</f>
        <v/>
      </c>
      <c r="D465">
        <f>IF(OR($A465="",$B465=""),"",IF(ISNUMBER($A465),MOD($A465,100),IFERROR(VALUE(TRIM(MID(MID($A465,FIND("/",$A465)+1,20),FIND("/",MID($A465,FIND("/",$A465)+1,20))+1,20))),"")))</f>
        <v/>
      </c>
      <c r="E465">
        <f>IF($A465="","",IF(OR($B465="",$C465="",$D465="",$B465&lt;1300,$B465&gt;1500,$C465&lt;1,$C465&gt;12,$D465&lt;1,$D465&gt;31),"نامعتبر",RIGHT("0000"&amp;$B465,4)&amp;"/"&amp;RIGHT("00"&amp;$C465,2)&amp;"/"&amp;RIGHT("00"&amp;$D465,2)))</f>
        <v/>
      </c>
      <c r="F465">
        <f>IF(Entry!$D465&lt;&gt;"",IF(AND(ISNUMBER(Entry!$D465),Entry!$D465&gt;=0,Entry!$D465&lt;1),RIGHT("00"&amp;HOUR(Entry!$D465),2)&amp;":"&amp;RIGHT("00"&amp;MINUTE(Entry!$D465),2),IFERROR(RIGHT("00"&amp;VALUE(TRIM(LEFT(Entry!$D465,FIND(":",Entry!$D465)-1))),2)&amp;":"&amp;RIGHT("00"&amp;VALUE(TRIM(MID(Entry!$D465,FIND(":",Entry!$D465)+1,2))),2),"نامعتبر")),IF(OR($E465="",$E465="نامعتبر"),"","00:00"))</f>
        <v/>
      </c>
      <c r="G465">
        <f>IF(OR($E465="",$E465="نامعتبر"),"",IF(Entry!$E465="","",LEFT(UPPER(TRIM(Entry!$E465)),6)))</f>
        <v/>
      </c>
      <c r="H465">
        <f>IF($G465="","",RIGHT($E465,4)&amp;MID($E465,6,2)&amp;RIGHT($E465,2)&amp;IF($F465="","0000",IF($F465="نامعتبر","9999",LEFT($F465,2)&amp;RIGHT($F465,2)))&amp;"|"&amp;RIGHT("00000"&amp;457,5))</f>
        <v/>
      </c>
      <c r="I465">
        <f>IF($H465="","",COUNTIFS(CalcBank,$G465,CalcKey,"&lt;"&amp;$H465)+1)</f>
        <v/>
      </c>
      <c r="J465">
        <f>IF($I465="","",$G465&amp;"|"&amp;RIGHT("000000"&amp;$I465,6))</f>
        <v/>
      </c>
      <c r="K465">
        <f>IF(OR($E465="",$E465="نامعتبر"),"",LEFT($E465,4)&amp;"/"&amp;MID($E465,6,2))</f>
        <v/>
      </c>
      <c r="L465">
        <f>IF(Entry!$K465="",0,Entry!$K465)</f>
        <v/>
      </c>
      <c r="M465">
        <f>IF(Entry!$L465="",0,Entry!$L465)</f>
        <v/>
      </c>
    </row>
    <row r="466">
      <c r="A466">
        <f>IF(Entry!$C466="","",Entry!$C466)</f>
        <v/>
      </c>
      <c r="B466">
        <f>IF($A466="","",IF(ISNUMBER($A466),IF(AND($A466&gt;=10000101,$A466&lt;=99991231),INT($A466/10000),""),IFERROR(VALUE(TRIM(LEFT($A466,FIND("/",$A466)-1))),"")))</f>
        <v/>
      </c>
      <c r="C466">
        <f>IF(OR($A466="",$B466=""),"",IF(ISNUMBER($A466),INT(MOD($A466,10000)/100),IFERROR(VALUE(TRIM(LEFT(MID($A466,FIND("/",$A466)+1,20),FIND("/",MID($A466,FIND("/",$A466)+1,20))-1))),"")))</f>
        <v/>
      </c>
      <c r="D466">
        <f>IF(OR($A466="",$B466=""),"",IF(ISNUMBER($A466),MOD($A466,100),IFERROR(VALUE(TRIM(MID(MID($A466,FIND("/",$A466)+1,20),FIND("/",MID($A466,FIND("/",$A466)+1,20))+1,20))),"")))</f>
        <v/>
      </c>
      <c r="E466">
        <f>IF($A466="","",IF(OR($B466="",$C466="",$D466="",$B466&lt;1300,$B466&gt;1500,$C466&lt;1,$C466&gt;12,$D466&lt;1,$D466&gt;31),"نامعتبر",RIGHT("0000"&amp;$B466,4)&amp;"/"&amp;RIGHT("00"&amp;$C466,2)&amp;"/"&amp;RIGHT("00"&amp;$D466,2)))</f>
        <v/>
      </c>
      <c r="F466">
        <f>IF(Entry!$D466&lt;&gt;"",IF(AND(ISNUMBER(Entry!$D466),Entry!$D466&gt;=0,Entry!$D466&lt;1),RIGHT("00"&amp;HOUR(Entry!$D466),2)&amp;":"&amp;RIGHT("00"&amp;MINUTE(Entry!$D466),2),IFERROR(RIGHT("00"&amp;VALUE(TRIM(LEFT(Entry!$D466,FIND(":",Entry!$D466)-1))),2)&amp;":"&amp;RIGHT("00"&amp;VALUE(TRIM(MID(Entry!$D466,FIND(":",Entry!$D466)+1,2))),2),"نامعتبر")),IF(OR($E466="",$E466="نامعتبر"),"","00:00"))</f>
        <v/>
      </c>
      <c r="G466">
        <f>IF(OR($E466="",$E466="نامعتبر"),"",IF(Entry!$E466="","",LEFT(UPPER(TRIM(Entry!$E466)),6)))</f>
        <v/>
      </c>
      <c r="H466">
        <f>IF($G466="","",RIGHT($E466,4)&amp;MID($E466,6,2)&amp;RIGHT($E466,2)&amp;IF($F466="","0000",IF($F466="نامعتبر","9999",LEFT($F466,2)&amp;RIGHT($F466,2)))&amp;"|"&amp;RIGHT("00000"&amp;458,5))</f>
        <v/>
      </c>
      <c r="I466">
        <f>IF($H466="","",COUNTIFS(CalcBank,$G466,CalcKey,"&lt;"&amp;$H466)+1)</f>
        <v/>
      </c>
      <c r="J466">
        <f>IF($I466="","",$G466&amp;"|"&amp;RIGHT("000000"&amp;$I466,6))</f>
        <v/>
      </c>
      <c r="K466">
        <f>IF(OR($E466="",$E466="نامعتبر"),"",LEFT($E466,4)&amp;"/"&amp;MID($E466,6,2))</f>
        <v/>
      </c>
      <c r="L466">
        <f>IF(Entry!$K466="",0,Entry!$K466)</f>
        <v/>
      </c>
      <c r="M466">
        <f>IF(Entry!$L466="",0,Entry!$L466)</f>
        <v/>
      </c>
    </row>
    <row r="467">
      <c r="A467">
        <f>IF(Entry!$C467="","",Entry!$C467)</f>
        <v/>
      </c>
      <c r="B467">
        <f>IF($A467="","",IF(ISNUMBER($A467),IF(AND($A467&gt;=10000101,$A467&lt;=99991231),INT($A467/10000),""),IFERROR(VALUE(TRIM(LEFT($A467,FIND("/",$A467)-1))),"")))</f>
        <v/>
      </c>
      <c r="C467">
        <f>IF(OR($A467="",$B467=""),"",IF(ISNUMBER($A467),INT(MOD($A467,10000)/100),IFERROR(VALUE(TRIM(LEFT(MID($A467,FIND("/",$A467)+1,20),FIND("/",MID($A467,FIND("/",$A467)+1,20))-1))),"")))</f>
        <v/>
      </c>
      <c r="D467">
        <f>IF(OR($A467="",$B467=""),"",IF(ISNUMBER($A467),MOD($A467,100),IFERROR(VALUE(TRIM(MID(MID($A467,FIND("/",$A467)+1,20),FIND("/",MID($A467,FIND("/",$A467)+1,20))+1,20))),"")))</f>
        <v/>
      </c>
      <c r="E467">
        <f>IF($A467="","",IF(OR($B467="",$C467="",$D467="",$B467&lt;1300,$B467&gt;1500,$C467&lt;1,$C467&gt;12,$D467&lt;1,$D467&gt;31),"نامعتبر",RIGHT("0000"&amp;$B467,4)&amp;"/"&amp;RIGHT("00"&amp;$C467,2)&amp;"/"&amp;RIGHT("00"&amp;$D467,2)))</f>
        <v/>
      </c>
      <c r="F467">
        <f>IF(Entry!$D467&lt;&gt;"",IF(AND(ISNUMBER(Entry!$D467),Entry!$D467&gt;=0,Entry!$D467&lt;1),RIGHT("00"&amp;HOUR(Entry!$D467),2)&amp;":"&amp;RIGHT("00"&amp;MINUTE(Entry!$D467),2),IFERROR(RIGHT("00"&amp;VALUE(TRIM(LEFT(Entry!$D467,FIND(":",Entry!$D467)-1))),2)&amp;":"&amp;RIGHT("00"&amp;VALUE(TRIM(MID(Entry!$D467,FIND(":",Entry!$D467)+1,2))),2),"نامعتبر")),IF(OR($E467="",$E467="نامعتبر"),"","00:00"))</f>
        <v/>
      </c>
      <c r="G467">
        <f>IF(OR($E467="",$E467="نامعتبر"),"",IF(Entry!$E467="","",LEFT(UPPER(TRIM(Entry!$E467)),6)))</f>
        <v/>
      </c>
      <c r="H467">
        <f>IF($G467="","",RIGHT($E467,4)&amp;MID($E467,6,2)&amp;RIGHT($E467,2)&amp;IF($F467="","0000",IF($F467="نامعتبر","9999",LEFT($F467,2)&amp;RIGHT($F467,2)))&amp;"|"&amp;RIGHT("00000"&amp;459,5))</f>
        <v/>
      </c>
      <c r="I467">
        <f>IF($H467="","",COUNTIFS(CalcBank,$G467,CalcKey,"&lt;"&amp;$H467)+1)</f>
        <v/>
      </c>
      <c r="J467">
        <f>IF($I467="","",$G467&amp;"|"&amp;RIGHT("000000"&amp;$I467,6))</f>
        <v/>
      </c>
      <c r="K467">
        <f>IF(OR($E467="",$E467="نامعتبر"),"",LEFT($E467,4)&amp;"/"&amp;MID($E467,6,2))</f>
        <v/>
      </c>
      <c r="L467">
        <f>IF(Entry!$K467="",0,Entry!$K467)</f>
        <v/>
      </c>
      <c r="M467">
        <f>IF(Entry!$L467="",0,Entry!$L467)</f>
        <v/>
      </c>
    </row>
    <row r="468">
      <c r="A468">
        <f>IF(Entry!$C468="","",Entry!$C468)</f>
        <v/>
      </c>
      <c r="B468">
        <f>IF($A468="","",IF(ISNUMBER($A468),IF(AND($A468&gt;=10000101,$A468&lt;=99991231),INT($A468/10000),""),IFERROR(VALUE(TRIM(LEFT($A468,FIND("/",$A468)-1))),"")))</f>
        <v/>
      </c>
      <c r="C468">
        <f>IF(OR($A468="",$B468=""),"",IF(ISNUMBER($A468),INT(MOD($A468,10000)/100),IFERROR(VALUE(TRIM(LEFT(MID($A468,FIND("/",$A468)+1,20),FIND("/",MID($A468,FIND("/",$A468)+1,20))-1))),"")))</f>
        <v/>
      </c>
      <c r="D468">
        <f>IF(OR($A468="",$B468=""),"",IF(ISNUMBER($A468),MOD($A468,100),IFERROR(VALUE(TRIM(MID(MID($A468,FIND("/",$A468)+1,20),FIND("/",MID($A468,FIND("/",$A468)+1,20))+1,20))),"")))</f>
        <v/>
      </c>
      <c r="E468">
        <f>IF($A468="","",IF(OR($B468="",$C468="",$D468="",$B468&lt;1300,$B468&gt;1500,$C468&lt;1,$C468&gt;12,$D468&lt;1,$D468&gt;31),"نامعتبر",RIGHT("0000"&amp;$B468,4)&amp;"/"&amp;RIGHT("00"&amp;$C468,2)&amp;"/"&amp;RIGHT("00"&amp;$D468,2)))</f>
        <v/>
      </c>
      <c r="F468">
        <f>IF(Entry!$D468&lt;&gt;"",IF(AND(ISNUMBER(Entry!$D468),Entry!$D468&gt;=0,Entry!$D468&lt;1),RIGHT("00"&amp;HOUR(Entry!$D468),2)&amp;":"&amp;RIGHT("00"&amp;MINUTE(Entry!$D468),2),IFERROR(RIGHT("00"&amp;VALUE(TRIM(LEFT(Entry!$D468,FIND(":",Entry!$D468)-1))),2)&amp;":"&amp;RIGHT("00"&amp;VALUE(TRIM(MID(Entry!$D468,FIND(":",Entry!$D468)+1,2))),2),"نامعتبر")),IF(OR($E468="",$E468="نامعتبر"),"","00:00"))</f>
        <v/>
      </c>
      <c r="G468">
        <f>IF(OR($E468="",$E468="نامعتبر"),"",IF(Entry!$E468="","",LEFT(UPPER(TRIM(Entry!$E468)),6)))</f>
        <v/>
      </c>
      <c r="H468">
        <f>IF($G468="","",RIGHT($E468,4)&amp;MID($E468,6,2)&amp;RIGHT($E468,2)&amp;IF($F468="","0000",IF($F468="نامعتبر","9999",LEFT($F468,2)&amp;RIGHT($F468,2)))&amp;"|"&amp;RIGHT("00000"&amp;460,5))</f>
        <v/>
      </c>
      <c r="I468">
        <f>IF($H468="","",COUNTIFS(CalcBank,$G468,CalcKey,"&lt;"&amp;$H468)+1)</f>
        <v/>
      </c>
      <c r="J468">
        <f>IF($I468="","",$G468&amp;"|"&amp;RIGHT("000000"&amp;$I468,6))</f>
        <v/>
      </c>
      <c r="K468">
        <f>IF(OR($E468="",$E468="نامعتبر"),"",LEFT($E468,4)&amp;"/"&amp;MID($E468,6,2))</f>
        <v/>
      </c>
      <c r="L468">
        <f>IF(Entry!$K468="",0,Entry!$K468)</f>
        <v/>
      </c>
      <c r="M468">
        <f>IF(Entry!$L468="",0,Entry!$L468)</f>
        <v/>
      </c>
    </row>
    <row r="469">
      <c r="A469">
        <f>IF(Entry!$C469="","",Entry!$C469)</f>
        <v/>
      </c>
      <c r="B469">
        <f>IF($A469="","",IF(ISNUMBER($A469),IF(AND($A469&gt;=10000101,$A469&lt;=99991231),INT($A469/10000),""),IFERROR(VALUE(TRIM(LEFT($A469,FIND("/",$A469)-1))),"")))</f>
        <v/>
      </c>
      <c r="C469">
        <f>IF(OR($A469="",$B469=""),"",IF(ISNUMBER($A469),INT(MOD($A469,10000)/100),IFERROR(VALUE(TRIM(LEFT(MID($A469,FIND("/",$A469)+1,20),FIND("/",MID($A469,FIND("/",$A469)+1,20))-1))),"")))</f>
        <v/>
      </c>
      <c r="D469">
        <f>IF(OR($A469="",$B469=""),"",IF(ISNUMBER($A469),MOD($A469,100),IFERROR(VALUE(TRIM(MID(MID($A469,FIND("/",$A469)+1,20),FIND("/",MID($A469,FIND("/",$A469)+1,20))+1,20))),"")))</f>
        <v/>
      </c>
      <c r="E469">
        <f>IF($A469="","",IF(OR($B469="",$C469="",$D469="",$B469&lt;1300,$B469&gt;1500,$C469&lt;1,$C469&gt;12,$D469&lt;1,$D469&gt;31),"نامعتبر",RIGHT("0000"&amp;$B469,4)&amp;"/"&amp;RIGHT("00"&amp;$C469,2)&amp;"/"&amp;RIGHT("00"&amp;$D469,2)))</f>
        <v/>
      </c>
      <c r="F469">
        <f>IF(Entry!$D469&lt;&gt;"",IF(AND(ISNUMBER(Entry!$D469),Entry!$D469&gt;=0,Entry!$D469&lt;1),RIGHT("00"&amp;HOUR(Entry!$D469),2)&amp;":"&amp;RIGHT("00"&amp;MINUTE(Entry!$D469),2),IFERROR(RIGHT("00"&amp;VALUE(TRIM(LEFT(Entry!$D469,FIND(":",Entry!$D469)-1))),2)&amp;":"&amp;RIGHT("00"&amp;VALUE(TRIM(MID(Entry!$D469,FIND(":",Entry!$D469)+1,2))),2),"نامعتبر")),IF(OR($E469="",$E469="نامعتبر"),"","00:00"))</f>
        <v/>
      </c>
      <c r="G469">
        <f>IF(OR($E469="",$E469="نامعتبر"),"",IF(Entry!$E469="","",LEFT(UPPER(TRIM(Entry!$E469)),6)))</f>
        <v/>
      </c>
      <c r="H469">
        <f>IF($G469="","",RIGHT($E469,4)&amp;MID($E469,6,2)&amp;RIGHT($E469,2)&amp;IF($F469="","0000",IF($F469="نامعتبر","9999",LEFT($F469,2)&amp;RIGHT($F469,2)))&amp;"|"&amp;RIGHT("00000"&amp;461,5))</f>
        <v/>
      </c>
      <c r="I469">
        <f>IF($H469="","",COUNTIFS(CalcBank,$G469,CalcKey,"&lt;"&amp;$H469)+1)</f>
        <v/>
      </c>
      <c r="J469">
        <f>IF($I469="","",$G469&amp;"|"&amp;RIGHT("000000"&amp;$I469,6))</f>
        <v/>
      </c>
      <c r="K469">
        <f>IF(OR($E469="",$E469="نامعتبر"),"",LEFT($E469,4)&amp;"/"&amp;MID($E469,6,2))</f>
        <v/>
      </c>
      <c r="L469">
        <f>IF(Entry!$K469="",0,Entry!$K469)</f>
        <v/>
      </c>
      <c r="M469">
        <f>IF(Entry!$L469="",0,Entry!$L469)</f>
        <v/>
      </c>
    </row>
    <row r="470">
      <c r="A470">
        <f>IF(Entry!$C470="","",Entry!$C470)</f>
        <v/>
      </c>
      <c r="B470">
        <f>IF($A470="","",IF(ISNUMBER($A470),IF(AND($A470&gt;=10000101,$A470&lt;=99991231),INT($A470/10000),""),IFERROR(VALUE(TRIM(LEFT($A470,FIND("/",$A470)-1))),"")))</f>
        <v/>
      </c>
      <c r="C470">
        <f>IF(OR($A470="",$B470=""),"",IF(ISNUMBER($A470),INT(MOD($A470,10000)/100),IFERROR(VALUE(TRIM(LEFT(MID($A470,FIND("/",$A470)+1,20),FIND("/",MID($A470,FIND("/",$A470)+1,20))-1))),"")))</f>
        <v/>
      </c>
      <c r="D470">
        <f>IF(OR($A470="",$B470=""),"",IF(ISNUMBER($A470),MOD($A470,100),IFERROR(VALUE(TRIM(MID(MID($A470,FIND("/",$A470)+1,20),FIND("/",MID($A470,FIND("/",$A470)+1,20))+1,20))),"")))</f>
        <v/>
      </c>
      <c r="E470">
        <f>IF($A470="","",IF(OR($B470="",$C470="",$D470="",$B470&lt;1300,$B470&gt;1500,$C470&lt;1,$C470&gt;12,$D470&lt;1,$D470&gt;31),"نامعتبر",RIGHT("0000"&amp;$B470,4)&amp;"/"&amp;RIGHT("00"&amp;$C470,2)&amp;"/"&amp;RIGHT("00"&amp;$D470,2)))</f>
        <v/>
      </c>
      <c r="F470">
        <f>IF(Entry!$D470&lt;&gt;"",IF(AND(ISNUMBER(Entry!$D470),Entry!$D470&gt;=0,Entry!$D470&lt;1),RIGHT("00"&amp;HOUR(Entry!$D470),2)&amp;":"&amp;RIGHT("00"&amp;MINUTE(Entry!$D470),2),IFERROR(RIGHT("00"&amp;VALUE(TRIM(LEFT(Entry!$D470,FIND(":",Entry!$D470)-1))),2)&amp;":"&amp;RIGHT("00"&amp;VALUE(TRIM(MID(Entry!$D470,FIND(":",Entry!$D470)+1,2))),2),"نامعتبر")),IF(OR($E470="",$E470="نامعتبر"),"","00:00"))</f>
        <v/>
      </c>
      <c r="G470">
        <f>IF(OR($E470="",$E470="نامعتبر"),"",IF(Entry!$E470="","",LEFT(UPPER(TRIM(Entry!$E470)),6)))</f>
        <v/>
      </c>
      <c r="H470">
        <f>IF($G470="","",RIGHT($E470,4)&amp;MID($E470,6,2)&amp;RIGHT($E470,2)&amp;IF($F470="","0000",IF($F470="نامعتبر","9999",LEFT($F470,2)&amp;RIGHT($F470,2)))&amp;"|"&amp;RIGHT("00000"&amp;462,5))</f>
        <v/>
      </c>
      <c r="I470">
        <f>IF($H470="","",COUNTIFS(CalcBank,$G470,CalcKey,"&lt;"&amp;$H470)+1)</f>
        <v/>
      </c>
      <c r="J470">
        <f>IF($I470="","",$G470&amp;"|"&amp;RIGHT("000000"&amp;$I470,6))</f>
        <v/>
      </c>
      <c r="K470">
        <f>IF(OR($E470="",$E470="نامعتبر"),"",LEFT($E470,4)&amp;"/"&amp;MID($E470,6,2))</f>
        <v/>
      </c>
      <c r="L470">
        <f>IF(Entry!$K470="",0,Entry!$K470)</f>
        <v/>
      </c>
      <c r="M470">
        <f>IF(Entry!$L470="",0,Entry!$L470)</f>
        <v/>
      </c>
    </row>
    <row r="471">
      <c r="A471">
        <f>IF(Entry!$C471="","",Entry!$C471)</f>
        <v/>
      </c>
      <c r="B471">
        <f>IF($A471="","",IF(ISNUMBER($A471),IF(AND($A471&gt;=10000101,$A471&lt;=99991231),INT($A471/10000),""),IFERROR(VALUE(TRIM(LEFT($A471,FIND("/",$A471)-1))),"")))</f>
        <v/>
      </c>
      <c r="C471">
        <f>IF(OR($A471="",$B471=""),"",IF(ISNUMBER($A471),INT(MOD($A471,10000)/100),IFERROR(VALUE(TRIM(LEFT(MID($A471,FIND("/",$A471)+1,20),FIND("/",MID($A471,FIND("/",$A471)+1,20))-1))),"")))</f>
        <v/>
      </c>
      <c r="D471">
        <f>IF(OR($A471="",$B471=""),"",IF(ISNUMBER($A471),MOD($A471,100),IFERROR(VALUE(TRIM(MID(MID($A471,FIND("/",$A471)+1,20),FIND("/",MID($A471,FIND("/",$A471)+1,20))+1,20))),"")))</f>
        <v/>
      </c>
      <c r="E471">
        <f>IF($A471="","",IF(OR($B471="",$C471="",$D471="",$B471&lt;1300,$B471&gt;1500,$C471&lt;1,$C471&gt;12,$D471&lt;1,$D471&gt;31),"نامعتبر",RIGHT("0000"&amp;$B471,4)&amp;"/"&amp;RIGHT("00"&amp;$C471,2)&amp;"/"&amp;RIGHT("00"&amp;$D471,2)))</f>
        <v/>
      </c>
      <c r="F471">
        <f>IF(Entry!$D471&lt;&gt;"",IF(AND(ISNUMBER(Entry!$D471),Entry!$D471&gt;=0,Entry!$D471&lt;1),RIGHT("00"&amp;HOUR(Entry!$D471),2)&amp;":"&amp;RIGHT("00"&amp;MINUTE(Entry!$D471),2),IFERROR(RIGHT("00"&amp;VALUE(TRIM(LEFT(Entry!$D471,FIND(":",Entry!$D471)-1))),2)&amp;":"&amp;RIGHT("00"&amp;VALUE(TRIM(MID(Entry!$D471,FIND(":",Entry!$D471)+1,2))),2),"نامعتبر")),IF(OR($E471="",$E471="نامعتبر"),"","00:00"))</f>
        <v/>
      </c>
      <c r="G471">
        <f>IF(OR($E471="",$E471="نامعتبر"),"",IF(Entry!$E471="","",LEFT(UPPER(TRIM(Entry!$E471)),6)))</f>
        <v/>
      </c>
      <c r="H471">
        <f>IF($G471="","",RIGHT($E471,4)&amp;MID($E471,6,2)&amp;RIGHT($E471,2)&amp;IF($F471="","0000",IF($F471="نامعتبر","9999",LEFT($F471,2)&amp;RIGHT($F471,2)))&amp;"|"&amp;RIGHT("00000"&amp;463,5))</f>
        <v/>
      </c>
      <c r="I471">
        <f>IF($H471="","",COUNTIFS(CalcBank,$G471,CalcKey,"&lt;"&amp;$H471)+1)</f>
        <v/>
      </c>
      <c r="J471">
        <f>IF($I471="","",$G471&amp;"|"&amp;RIGHT("000000"&amp;$I471,6))</f>
        <v/>
      </c>
      <c r="K471">
        <f>IF(OR($E471="",$E471="نامعتبر"),"",LEFT($E471,4)&amp;"/"&amp;MID($E471,6,2))</f>
        <v/>
      </c>
      <c r="L471">
        <f>IF(Entry!$K471="",0,Entry!$K471)</f>
        <v/>
      </c>
      <c r="M471">
        <f>IF(Entry!$L471="",0,Entry!$L471)</f>
        <v/>
      </c>
    </row>
    <row r="472">
      <c r="A472">
        <f>IF(Entry!$C472="","",Entry!$C472)</f>
        <v/>
      </c>
      <c r="B472">
        <f>IF($A472="","",IF(ISNUMBER($A472),IF(AND($A472&gt;=10000101,$A472&lt;=99991231),INT($A472/10000),""),IFERROR(VALUE(TRIM(LEFT($A472,FIND("/",$A472)-1))),"")))</f>
        <v/>
      </c>
      <c r="C472">
        <f>IF(OR($A472="",$B472=""),"",IF(ISNUMBER($A472),INT(MOD($A472,10000)/100),IFERROR(VALUE(TRIM(LEFT(MID($A472,FIND("/",$A472)+1,20),FIND("/",MID($A472,FIND("/",$A472)+1,20))-1))),"")))</f>
        <v/>
      </c>
      <c r="D472">
        <f>IF(OR($A472="",$B472=""),"",IF(ISNUMBER($A472),MOD($A472,100),IFERROR(VALUE(TRIM(MID(MID($A472,FIND("/",$A472)+1,20),FIND("/",MID($A472,FIND("/",$A472)+1,20))+1,20))),"")))</f>
        <v/>
      </c>
      <c r="E472">
        <f>IF($A472="","",IF(OR($B472="",$C472="",$D472="",$B472&lt;1300,$B472&gt;1500,$C472&lt;1,$C472&gt;12,$D472&lt;1,$D472&gt;31),"نامعتبر",RIGHT("0000"&amp;$B472,4)&amp;"/"&amp;RIGHT("00"&amp;$C472,2)&amp;"/"&amp;RIGHT("00"&amp;$D472,2)))</f>
        <v/>
      </c>
      <c r="F472">
        <f>IF(Entry!$D472&lt;&gt;"",IF(AND(ISNUMBER(Entry!$D472),Entry!$D472&gt;=0,Entry!$D472&lt;1),RIGHT("00"&amp;HOUR(Entry!$D472),2)&amp;":"&amp;RIGHT("00"&amp;MINUTE(Entry!$D472),2),IFERROR(RIGHT("00"&amp;VALUE(TRIM(LEFT(Entry!$D472,FIND(":",Entry!$D472)-1))),2)&amp;":"&amp;RIGHT("00"&amp;VALUE(TRIM(MID(Entry!$D472,FIND(":",Entry!$D472)+1,2))),2),"نامعتبر")),IF(OR($E472="",$E472="نامعتبر"),"","00:00"))</f>
        <v/>
      </c>
      <c r="G472">
        <f>IF(OR($E472="",$E472="نامعتبر"),"",IF(Entry!$E472="","",LEFT(UPPER(TRIM(Entry!$E472)),6)))</f>
        <v/>
      </c>
      <c r="H472">
        <f>IF($G472="","",RIGHT($E472,4)&amp;MID($E472,6,2)&amp;RIGHT($E472,2)&amp;IF($F472="","0000",IF($F472="نامعتبر","9999",LEFT($F472,2)&amp;RIGHT($F472,2)))&amp;"|"&amp;RIGHT("00000"&amp;464,5))</f>
        <v/>
      </c>
      <c r="I472">
        <f>IF($H472="","",COUNTIFS(CalcBank,$G472,CalcKey,"&lt;"&amp;$H472)+1)</f>
        <v/>
      </c>
      <c r="J472">
        <f>IF($I472="","",$G472&amp;"|"&amp;RIGHT("000000"&amp;$I472,6))</f>
        <v/>
      </c>
      <c r="K472">
        <f>IF(OR($E472="",$E472="نامعتبر"),"",LEFT($E472,4)&amp;"/"&amp;MID($E472,6,2))</f>
        <v/>
      </c>
      <c r="L472">
        <f>IF(Entry!$K472="",0,Entry!$K472)</f>
        <v/>
      </c>
      <c r="M472">
        <f>IF(Entry!$L472="",0,Entry!$L472)</f>
        <v/>
      </c>
    </row>
    <row r="473">
      <c r="A473">
        <f>IF(Entry!$C473="","",Entry!$C473)</f>
        <v/>
      </c>
      <c r="B473">
        <f>IF($A473="","",IF(ISNUMBER($A473),IF(AND($A473&gt;=10000101,$A473&lt;=99991231),INT($A473/10000),""),IFERROR(VALUE(TRIM(LEFT($A473,FIND("/",$A473)-1))),"")))</f>
        <v/>
      </c>
      <c r="C473">
        <f>IF(OR($A473="",$B473=""),"",IF(ISNUMBER($A473),INT(MOD($A473,10000)/100),IFERROR(VALUE(TRIM(LEFT(MID($A473,FIND("/",$A473)+1,20),FIND("/",MID($A473,FIND("/",$A473)+1,20))-1))),"")))</f>
        <v/>
      </c>
      <c r="D473">
        <f>IF(OR($A473="",$B473=""),"",IF(ISNUMBER($A473),MOD($A473,100),IFERROR(VALUE(TRIM(MID(MID($A473,FIND("/",$A473)+1,20),FIND("/",MID($A473,FIND("/",$A473)+1,20))+1,20))),"")))</f>
        <v/>
      </c>
      <c r="E473">
        <f>IF($A473="","",IF(OR($B473="",$C473="",$D473="",$B473&lt;1300,$B473&gt;1500,$C473&lt;1,$C473&gt;12,$D473&lt;1,$D473&gt;31),"نامعتبر",RIGHT("0000"&amp;$B473,4)&amp;"/"&amp;RIGHT("00"&amp;$C473,2)&amp;"/"&amp;RIGHT("00"&amp;$D473,2)))</f>
        <v/>
      </c>
      <c r="F473">
        <f>IF(Entry!$D473&lt;&gt;"",IF(AND(ISNUMBER(Entry!$D473),Entry!$D473&gt;=0,Entry!$D473&lt;1),RIGHT("00"&amp;HOUR(Entry!$D473),2)&amp;":"&amp;RIGHT("00"&amp;MINUTE(Entry!$D473),2),IFERROR(RIGHT("00"&amp;VALUE(TRIM(LEFT(Entry!$D473,FIND(":",Entry!$D473)-1))),2)&amp;":"&amp;RIGHT("00"&amp;VALUE(TRIM(MID(Entry!$D473,FIND(":",Entry!$D473)+1,2))),2),"نامعتبر")),IF(OR($E473="",$E473="نامعتبر"),"","00:00"))</f>
        <v/>
      </c>
      <c r="G473">
        <f>IF(OR($E473="",$E473="نامعتبر"),"",IF(Entry!$E473="","",LEFT(UPPER(TRIM(Entry!$E473)),6)))</f>
        <v/>
      </c>
      <c r="H473">
        <f>IF($G473="","",RIGHT($E473,4)&amp;MID($E473,6,2)&amp;RIGHT($E473,2)&amp;IF($F473="","0000",IF($F473="نامعتبر","9999",LEFT($F473,2)&amp;RIGHT($F473,2)))&amp;"|"&amp;RIGHT("00000"&amp;465,5))</f>
        <v/>
      </c>
      <c r="I473">
        <f>IF($H473="","",COUNTIFS(CalcBank,$G473,CalcKey,"&lt;"&amp;$H473)+1)</f>
        <v/>
      </c>
      <c r="J473">
        <f>IF($I473="","",$G473&amp;"|"&amp;RIGHT("000000"&amp;$I473,6))</f>
        <v/>
      </c>
      <c r="K473">
        <f>IF(OR($E473="",$E473="نامعتبر"),"",LEFT($E473,4)&amp;"/"&amp;MID($E473,6,2))</f>
        <v/>
      </c>
      <c r="L473">
        <f>IF(Entry!$K473="",0,Entry!$K473)</f>
        <v/>
      </c>
      <c r="M473">
        <f>IF(Entry!$L473="",0,Entry!$L473)</f>
        <v/>
      </c>
    </row>
    <row r="474">
      <c r="A474">
        <f>IF(Entry!$C474="","",Entry!$C474)</f>
        <v/>
      </c>
      <c r="B474">
        <f>IF($A474="","",IF(ISNUMBER($A474),IF(AND($A474&gt;=10000101,$A474&lt;=99991231),INT($A474/10000),""),IFERROR(VALUE(TRIM(LEFT($A474,FIND("/",$A474)-1))),"")))</f>
        <v/>
      </c>
      <c r="C474">
        <f>IF(OR($A474="",$B474=""),"",IF(ISNUMBER($A474),INT(MOD($A474,10000)/100),IFERROR(VALUE(TRIM(LEFT(MID($A474,FIND("/",$A474)+1,20),FIND("/",MID($A474,FIND("/",$A474)+1,20))-1))),"")))</f>
        <v/>
      </c>
      <c r="D474">
        <f>IF(OR($A474="",$B474=""),"",IF(ISNUMBER($A474),MOD($A474,100),IFERROR(VALUE(TRIM(MID(MID($A474,FIND("/",$A474)+1,20),FIND("/",MID($A474,FIND("/",$A474)+1,20))+1,20))),"")))</f>
        <v/>
      </c>
      <c r="E474">
        <f>IF($A474="","",IF(OR($B474="",$C474="",$D474="",$B474&lt;1300,$B474&gt;1500,$C474&lt;1,$C474&gt;12,$D474&lt;1,$D474&gt;31),"نامعتبر",RIGHT("0000"&amp;$B474,4)&amp;"/"&amp;RIGHT("00"&amp;$C474,2)&amp;"/"&amp;RIGHT("00"&amp;$D474,2)))</f>
        <v/>
      </c>
      <c r="F474">
        <f>IF(Entry!$D474&lt;&gt;"",IF(AND(ISNUMBER(Entry!$D474),Entry!$D474&gt;=0,Entry!$D474&lt;1),RIGHT("00"&amp;HOUR(Entry!$D474),2)&amp;":"&amp;RIGHT("00"&amp;MINUTE(Entry!$D474),2),IFERROR(RIGHT("00"&amp;VALUE(TRIM(LEFT(Entry!$D474,FIND(":",Entry!$D474)-1))),2)&amp;":"&amp;RIGHT("00"&amp;VALUE(TRIM(MID(Entry!$D474,FIND(":",Entry!$D474)+1,2))),2),"نامعتبر")),IF(OR($E474="",$E474="نامعتبر"),"","00:00"))</f>
        <v/>
      </c>
      <c r="G474">
        <f>IF(OR($E474="",$E474="نامعتبر"),"",IF(Entry!$E474="","",LEFT(UPPER(TRIM(Entry!$E474)),6)))</f>
        <v/>
      </c>
      <c r="H474">
        <f>IF($G474="","",RIGHT($E474,4)&amp;MID($E474,6,2)&amp;RIGHT($E474,2)&amp;IF($F474="","0000",IF($F474="نامعتبر","9999",LEFT($F474,2)&amp;RIGHT($F474,2)))&amp;"|"&amp;RIGHT("00000"&amp;466,5))</f>
        <v/>
      </c>
      <c r="I474">
        <f>IF($H474="","",COUNTIFS(CalcBank,$G474,CalcKey,"&lt;"&amp;$H474)+1)</f>
        <v/>
      </c>
      <c r="J474">
        <f>IF($I474="","",$G474&amp;"|"&amp;RIGHT("000000"&amp;$I474,6))</f>
        <v/>
      </c>
      <c r="K474">
        <f>IF(OR($E474="",$E474="نامعتبر"),"",LEFT($E474,4)&amp;"/"&amp;MID($E474,6,2))</f>
        <v/>
      </c>
      <c r="L474">
        <f>IF(Entry!$K474="",0,Entry!$K474)</f>
        <v/>
      </c>
      <c r="M474">
        <f>IF(Entry!$L474="",0,Entry!$L474)</f>
        <v/>
      </c>
    </row>
    <row r="475">
      <c r="A475">
        <f>IF(Entry!$C475="","",Entry!$C475)</f>
        <v/>
      </c>
      <c r="B475">
        <f>IF($A475="","",IF(ISNUMBER($A475),IF(AND($A475&gt;=10000101,$A475&lt;=99991231),INT($A475/10000),""),IFERROR(VALUE(TRIM(LEFT($A475,FIND("/",$A475)-1))),"")))</f>
        <v/>
      </c>
      <c r="C475">
        <f>IF(OR($A475="",$B475=""),"",IF(ISNUMBER($A475),INT(MOD($A475,10000)/100),IFERROR(VALUE(TRIM(LEFT(MID($A475,FIND("/",$A475)+1,20),FIND("/",MID($A475,FIND("/",$A475)+1,20))-1))),"")))</f>
        <v/>
      </c>
      <c r="D475">
        <f>IF(OR($A475="",$B475=""),"",IF(ISNUMBER($A475),MOD($A475,100),IFERROR(VALUE(TRIM(MID(MID($A475,FIND("/",$A475)+1,20),FIND("/",MID($A475,FIND("/",$A475)+1,20))+1,20))),"")))</f>
        <v/>
      </c>
      <c r="E475">
        <f>IF($A475="","",IF(OR($B475="",$C475="",$D475="",$B475&lt;1300,$B475&gt;1500,$C475&lt;1,$C475&gt;12,$D475&lt;1,$D475&gt;31),"نامعتبر",RIGHT("0000"&amp;$B475,4)&amp;"/"&amp;RIGHT("00"&amp;$C475,2)&amp;"/"&amp;RIGHT("00"&amp;$D475,2)))</f>
        <v/>
      </c>
      <c r="F475">
        <f>IF(Entry!$D475&lt;&gt;"",IF(AND(ISNUMBER(Entry!$D475),Entry!$D475&gt;=0,Entry!$D475&lt;1),RIGHT("00"&amp;HOUR(Entry!$D475),2)&amp;":"&amp;RIGHT("00"&amp;MINUTE(Entry!$D475),2),IFERROR(RIGHT("00"&amp;VALUE(TRIM(LEFT(Entry!$D475,FIND(":",Entry!$D475)-1))),2)&amp;":"&amp;RIGHT("00"&amp;VALUE(TRIM(MID(Entry!$D475,FIND(":",Entry!$D475)+1,2))),2),"نامعتبر")),IF(OR($E475="",$E475="نامعتبر"),"","00:00"))</f>
        <v/>
      </c>
      <c r="G475">
        <f>IF(OR($E475="",$E475="نامعتبر"),"",IF(Entry!$E475="","",LEFT(UPPER(TRIM(Entry!$E475)),6)))</f>
        <v/>
      </c>
      <c r="H475">
        <f>IF($G475="","",RIGHT($E475,4)&amp;MID($E475,6,2)&amp;RIGHT($E475,2)&amp;IF($F475="","0000",IF($F475="نامعتبر","9999",LEFT($F475,2)&amp;RIGHT($F475,2)))&amp;"|"&amp;RIGHT("00000"&amp;467,5))</f>
        <v/>
      </c>
      <c r="I475">
        <f>IF($H475="","",COUNTIFS(CalcBank,$G475,CalcKey,"&lt;"&amp;$H475)+1)</f>
        <v/>
      </c>
      <c r="J475">
        <f>IF($I475="","",$G475&amp;"|"&amp;RIGHT("000000"&amp;$I475,6))</f>
        <v/>
      </c>
      <c r="K475">
        <f>IF(OR($E475="",$E475="نامعتبر"),"",LEFT($E475,4)&amp;"/"&amp;MID($E475,6,2))</f>
        <v/>
      </c>
      <c r="L475">
        <f>IF(Entry!$K475="",0,Entry!$K475)</f>
        <v/>
      </c>
      <c r="M475">
        <f>IF(Entry!$L475="",0,Entry!$L475)</f>
        <v/>
      </c>
    </row>
    <row r="476">
      <c r="A476">
        <f>IF(Entry!$C476="","",Entry!$C476)</f>
        <v/>
      </c>
      <c r="B476">
        <f>IF($A476="","",IF(ISNUMBER($A476),IF(AND($A476&gt;=10000101,$A476&lt;=99991231),INT($A476/10000),""),IFERROR(VALUE(TRIM(LEFT($A476,FIND("/",$A476)-1))),"")))</f>
        <v/>
      </c>
      <c r="C476">
        <f>IF(OR($A476="",$B476=""),"",IF(ISNUMBER($A476),INT(MOD($A476,10000)/100),IFERROR(VALUE(TRIM(LEFT(MID($A476,FIND("/",$A476)+1,20),FIND("/",MID($A476,FIND("/",$A476)+1,20))-1))),"")))</f>
        <v/>
      </c>
      <c r="D476">
        <f>IF(OR($A476="",$B476=""),"",IF(ISNUMBER($A476),MOD($A476,100),IFERROR(VALUE(TRIM(MID(MID($A476,FIND("/",$A476)+1,20),FIND("/",MID($A476,FIND("/",$A476)+1,20))+1,20))),"")))</f>
        <v/>
      </c>
      <c r="E476">
        <f>IF($A476="","",IF(OR($B476="",$C476="",$D476="",$B476&lt;1300,$B476&gt;1500,$C476&lt;1,$C476&gt;12,$D476&lt;1,$D476&gt;31),"نامعتبر",RIGHT("0000"&amp;$B476,4)&amp;"/"&amp;RIGHT("00"&amp;$C476,2)&amp;"/"&amp;RIGHT("00"&amp;$D476,2)))</f>
        <v/>
      </c>
      <c r="F476">
        <f>IF(Entry!$D476&lt;&gt;"",IF(AND(ISNUMBER(Entry!$D476),Entry!$D476&gt;=0,Entry!$D476&lt;1),RIGHT("00"&amp;HOUR(Entry!$D476),2)&amp;":"&amp;RIGHT("00"&amp;MINUTE(Entry!$D476),2),IFERROR(RIGHT("00"&amp;VALUE(TRIM(LEFT(Entry!$D476,FIND(":",Entry!$D476)-1))),2)&amp;":"&amp;RIGHT("00"&amp;VALUE(TRIM(MID(Entry!$D476,FIND(":",Entry!$D476)+1,2))),2),"نامعتبر")),IF(OR($E476="",$E476="نامعتبر"),"","00:00"))</f>
        <v/>
      </c>
      <c r="G476">
        <f>IF(OR($E476="",$E476="نامعتبر"),"",IF(Entry!$E476="","",LEFT(UPPER(TRIM(Entry!$E476)),6)))</f>
        <v/>
      </c>
      <c r="H476">
        <f>IF($G476="","",RIGHT($E476,4)&amp;MID($E476,6,2)&amp;RIGHT($E476,2)&amp;IF($F476="","0000",IF($F476="نامعتبر","9999",LEFT($F476,2)&amp;RIGHT($F476,2)))&amp;"|"&amp;RIGHT("00000"&amp;468,5))</f>
        <v/>
      </c>
      <c r="I476">
        <f>IF($H476="","",COUNTIFS(CalcBank,$G476,CalcKey,"&lt;"&amp;$H476)+1)</f>
        <v/>
      </c>
      <c r="J476">
        <f>IF($I476="","",$G476&amp;"|"&amp;RIGHT("000000"&amp;$I476,6))</f>
        <v/>
      </c>
      <c r="K476">
        <f>IF(OR($E476="",$E476="نامعتبر"),"",LEFT($E476,4)&amp;"/"&amp;MID($E476,6,2))</f>
        <v/>
      </c>
      <c r="L476">
        <f>IF(Entry!$K476="",0,Entry!$K476)</f>
        <v/>
      </c>
      <c r="M476">
        <f>IF(Entry!$L476="",0,Entry!$L476)</f>
        <v/>
      </c>
    </row>
    <row r="477">
      <c r="A477">
        <f>IF(Entry!$C477="","",Entry!$C477)</f>
        <v/>
      </c>
      <c r="B477">
        <f>IF($A477="","",IF(ISNUMBER($A477),IF(AND($A477&gt;=10000101,$A477&lt;=99991231),INT($A477/10000),""),IFERROR(VALUE(TRIM(LEFT($A477,FIND("/",$A477)-1))),"")))</f>
        <v/>
      </c>
      <c r="C477">
        <f>IF(OR($A477="",$B477=""),"",IF(ISNUMBER($A477),INT(MOD($A477,10000)/100),IFERROR(VALUE(TRIM(LEFT(MID($A477,FIND("/",$A477)+1,20),FIND("/",MID($A477,FIND("/",$A477)+1,20))-1))),"")))</f>
        <v/>
      </c>
      <c r="D477">
        <f>IF(OR($A477="",$B477=""),"",IF(ISNUMBER($A477),MOD($A477,100),IFERROR(VALUE(TRIM(MID(MID($A477,FIND("/",$A477)+1,20),FIND("/",MID($A477,FIND("/",$A477)+1,20))+1,20))),"")))</f>
        <v/>
      </c>
      <c r="E477">
        <f>IF($A477="","",IF(OR($B477="",$C477="",$D477="",$B477&lt;1300,$B477&gt;1500,$C477&lt;1,$C477&gt;12,$D477&lt;1,$D477&gt;31),"نامعتبر",RIGHT("0000"&amp;$B477,4)&amp;"/"&amp;RIGHT("00"&amp;$C477,2)&amp;"/"&amp;RIGHT("00"&amp;$D477,2)))</f>
        <v/>
      </c>
      <c r="F477">
        <f>IF(Entry!$D477&lt;&gt;"",IF(AND(ISNUMBER(Entry!$D477),Entry!$D477&gt;=0,Entry!$D477&lt;1),RIGHT("00"&amp;HOUR(Entry!$D477),2)&amp;":"&amp;RIGHT("00"&amp;MINUTE(Entry!$D477),2),IFERROR(RIGHT("00"&amp;VALUE(TRIM(LEFT(Entry!$D477,FIND(":",Entry!$D477)-1))),2)&amp;":"&amp;RIGHT("00"&amp;VALUE(TRIM(MID(Entry!$D477,FIND(":",Entry!$D477)+1,2))),2),"نامعتبر")),IF(OR($E477="",$E477="نامعتبر"),"","00:00"))</f>
        <v/>
      </c>
      <c r="G477">
        <f>IF(OR($E477="",$E477="نامعتبر"),"",IF(Entry!$E477="","",LEFT(UPPER(TRIM(Entry!$E477)),6)))</f>
        <v/>
      </c>
      <c r="H477">
        <f>IF($G477="","",RIGHT($E477,4)&amp;MID($E477,6,2)&amp;RIGHT($E477,2)&amp;IF($F477="","0000",IF($F477="نامعتبر","9999",LEFT($F477,2)&amp;RIGHT($F477,2)))&amp;"|"&amp;RIGHT("00000"&amp;469,5))</f>
        <v/>
      </c>
      <c r="I477">
        <f>IF($H477="","",COUNTIFS(CalcBank,$G477,CalcKey,"&lt;"&amp;$H477)+1)</f>
        <v/>
      </c>
      <c r="J477">
        <f>IF($I477="","",$G477&amp;"|"&amp;RIGHT("000000"&amp;$I477,6))</f>
        <v/>
      </c>
      <c r="K477">
        <f>IF(OR($E477="",$E477="نامعتبر"),"",LEFT($E477,4)&amp;"/"&amp;MID($E477,6,2))</f>
        <v/>
      </c>
      <c r="L477">
        <f>IF(Entry!$K477="",0,Entry!$K477)</f>
        <v/>
      </c>
      <c r="M477">
        <f>IF(Entry!$L477="",0,Entry!$L477)</f>
        <v/>
      </c>
    </row>
    <row r="478">
      <c r="A478">
        <f>IF(Entry!$C478="","",Entry!$C478)</f>
        <v/>
      </c>
      <c r="B478">
        <f>IF($A478="","",IF(ISNUMBER($A478),IF(AND($A478&gt;=10000101,$A478&lt;=99991231),INT($A478/10000),""),IFERROR(VALUE(TRIM(LEFT($A478,FIND("/",$A478)-1))),"")))</f>
        <v/>
      </c>
      <c r="C478">
        <f>IF(OR($A478="",$B478=""),"",IF(ISNUMBER($A478),INT(MOD($A478,10000)/100),IFERROR(VALUE(TRIM(LEFT(MID($A478,FIND("/",$A478)+1,20),FIND("/",MID($A478,FIND("/",$A478)+1,20))-1))),"")))</f>
        <v/>
      </c>
      <c r="D478">
        <f>IF(OR($A478="",$B478=""),"",IF(ISNUMBER($A478),MOD($A478,100),IFERROR(VALUE(TRIM(MID(MID($A478,FIND("/",$A478)+1,20),FIND("/",MID($A478,FIND("/",$A478)+1,20))+1,20))),"")))</f>
        <v/>
      </c>
      <c r="E478">
        <f>IF($A478="","",IF(OR($B478="",$C478="",$D478="",$B478&lt;1300,$B478&gt;1500,$C478&lt;1,$C478&gt;12,$D478&lt;1,$D478&gt;31),"نامعتبر",RIGHT("0000"&amp;$B478,4)&amp;"/"&amp;RIGHT("00"&amp;$C478,2)&amp;"/"&amp;RIGHT("00"&amp;$D478,2)))</f>
        <v/>
      </c>
      <c r="F478">
        <f>IF(Entry!$D478&lt;&gt;"",IF(AND(ISNUMBER(Entry!$D478),Entry!$D478&gt;=0,Entry!$D478&lt;1),RIGHT("00"&amp;HOUR(Entry!$D478),2)&amp;":"&amp;RIGHT("00"&amp;MINUTE(Entry!$D478),2),IFERROR(RIGHT("00"&amp;VALUE(TRIM(LEFT(Entry!$D478,FIND(":",Entry!$D478)-1))),2)&amp;":"&amp;RIGHT("00"&amp;VALUE(TRIM(MID(Entry!$D478,FIND(":",Entry!$D478)+1,2))),2),"نامعتبر")),IF(OR($E478="",$E478="نامعتبر"),"","00:00"))</f>
        <v/>
      </c>
      <c r="G478">
        <f>IF(OR($E478="",$E478="نامعتبر"),"",IF(Entry!$E478="","",LEFT(UPPER(TRIM(Entry!$E478)),6)))</f>
        <v/>
      </c>
      <c r="H478">
        <f>IF($G478="","",RIGHT($E478,4)&amp;MID($E478,6,2)&amp;RIGHT($E478,2)&amp;IF($F478="","0000",IF($F478="نامعتبر","9999",LEFT($F478,2)&amp;RIGHT($F478,2)))&amp;"|"&amp;RIGHT("00000"&amp;470,5))</f>
        <v/>
      </c>
      <c r="I478">
        <f>IF($H478="","",COUNTIFS(CalcBank,$G478,CalcKey,"&lt;"&amp;$H478)+1)</f>
        <v/>
      </c>
      <c r="J478">
        <f>IF($I478="","",$G478&amp;"|"&amp;RIGHT("000000"&amp;$I478,6))</f>
        <v/>
      </c>
      <c r="K478">
        <f>IF(OR($E478="",$E478="نامعتبر"),"",LEFT($E478,4)&amp;"/"&amp;MID($E478,6,2))</f>
        <v/>
      </c>
      <c r="L478">
        <f>IF(Entry!$K478="",0,Entry!$K478)</f>
        <v/>
      </c>
      <c r="M478">
        <f>IF(Entry!$L478="",0,Entry!$L478)</f>
        <v/>
      </c>
    </row>
    <row r="479">
      <c r="A479">
        <f>IF(Entry!$C479="","",Entry!$C479)</f>
        <v/>
      </c>
      <c r="B479">
        <f>IF($A479="","",IF(ISNUMBER($A479),IF(AND($A479&gt;=10000101,$A479&lt;=99991231),INT($A479/10000),""),IFERROR(VALUE(TRIM(LEFT($A479,FIND("/",$A479)-1))),"")))</f>
        <v/>
      </c>
      <c r="C479">
        <f>IF(OR($A479="",$B479=""),"",IF(ISNUMBER($A479),INT(MOD($A479,10000)/100),IFERROR(VALUE(TRIM(LEFT(MID($A479,FIND("/",$A479)+1,20),FIND("/",MID($A479,FIND("/",$A479)+1,20))-1))),"")))</f>
        <v/>
      </c>
      <c r="D479">
        <f>IF(OR($A479="",$B479=""),"",IF(ISNUMBER($A479),MOD($A479,100),IFERROR(VALUE(TRIM(MID(MID($A479,FIND("/",$A479)+1,20),FIND("/",MID($A479,FIND("/",$A479)+1,20))+1,20))),"")))</f>
        <v/>
      </c>
      <c r="E479">
        <f>IF($A479="","",IF(OR($B479="",$C479="",$D479="",$B479&lt;1300,$B479&gt;1500,$C479&lt;1,$C479&gt;12,$D479&lt;1,$D479&gt;31),"نامعتبر",RIGHT("0000"&amp;$B479,4)&amp;"/"&amp;RIGHT("00"&amp;$C479,2)&amp;"/"&amp;RIGHT("00"&amp;$D479,2)))</f>
        <v/>
      </c>
      <c r="F479">
        <f>IF(Entry!$D479&lt;&gt;"",IF(AND(ISNUMBER(Entry!$D479),Entry!$D479&gt;=0,Entry!$D479&lt;1),RIGHT("00"&amp;HOUR(Entry!$D479),2)&amp;":"&amp;RIGHT("00"&amp;MINUTE(Entry!$D479),2),IFERROR(RIGHT("00"&amp;VALUE(TRIM(LEFT(Entry!$D479,FIND(":",Entry!$D479)-1))),2)&amp;":"&amp;RIGHT("00"&amp;VALUE(TRIM(MID(Entry!$D479,FIND(":",Entry!$D479)+1,2))),2),"نامعتبر")),IF(OR($E479="",$E479="نامعتبر"),"","00:00"))</f>
        <v/>
      </c>
      <c r="G479">
        <f>IF(OR($E479="",$E479="نامعتبر"),"",IF(Entry!$E479="","",LEFT(UPPER(TRIM(Entry!$E479)),6)))</f>
        <v/>
      </c>
      <c r="H479">
        <f>IF($G479="","",RIGHT($E479,4)&amp;MID($E479,6,2)&amp;RIGHT($E479,2)&amp;IF($F479="","0000",IF($F479="نامعتبر","9999",LEFT($F479,2)&amp;RIGHT($F479,2)))&amp;"|"&amp;RIGHT("00000"&amp;471,5))</f>
        <v/>
      </c>
      <c r="I479">
        <f>IF($H479="","",COUNTIFS(CalcBank,$G479,CalcKey,"&lt;"&amp;$H479)+1)</f>
        <v/>
      </c>
      <c r="J479">
        <f>IF($I479="","",$G479&amp;"|"&amp;RIGHT("000000"&amp;$I479,6))</f>
        <v/>
      </c>
      <c r="K479">
        <f>IF(OR($E479="",$E479="نامعتبر"),"",LEFT($E479,4)&amp;"/"&amp;MID($E479,6,2))</f>
        <v/>
      </c>
      <c r="L479">
        <f>IF(Entry!$K479="",0,Entry!$K479)</f>
        <v/>
      </c>
      <c r="M479">
        <f>IF(Entry!$L479="",0,Entry!$L479)</f>
        <v/>
      </c>
    </row>
    <row r="480">
      <c r="A480">
        <f>IF(Entry!$C480="","",Entry!$C480)</f>
        <v/>
      </c>
      <c r="B480">
        <f>IF($A480="","",IF(ISNUMBER($A480),IF(AND($A480&gt;=10000101,$A480&lt;=99991231),INT($A480/10000),""),IFERROR(VALUE(TRIM(LEFT($A480,FIND("/",$A480)-1))),"")))</f>
        <v/>
      </c>
      <c r="C480">
        <f>IF(OR($A480="",$B480=""),"",IF(ISNUMBER($A480),INT(MOD($A480,10000)/100),IFERROR(VALUE(TRIM(LEFT(MID($A480,FIND("/",$A480)+1,20),FIND("/",MID($A480,FIND("/",$A480)+1,20))-1))),"")))</f>
        <v/>
      </c>
      <c r="D480">
        <f>IF(OR($A480="",$B480=""),"",IF(ISNUMBER($A480),MOD($A480,100),IFERROR(VALUE(TRIM(MID(MID($A480,FIND("/",$A480)+1,20),FIND("/",MID($A480,FIND("/",$A480)+1,20))+1,20))),"")))</f>
        <v/>
      </c>
      <c r="E480">
        <f>IF($A480="","",IF(OR($B480="",$C480="",$D480="",$B480&lt;1300,$B480&gt;1500,$C480&lt;1,$C480&gt;12,$D480&lt;1,$D480&gt;31),"نامعتبر",RIGHT("0000"&amp;$B480,4)&amp;"/"&amp;RIGHT("00"&amp;$C480,2)&amp;"/"&amp;RIGHT("00"&amp;$D480,2)))</f>
        <v/>
      </c>
      <c r="F480">
        <f>IF(Entry!$D480&lt;&gt;"",IF(AND(ISNUMBER(Entry!$D480),Entry!$D480&gt;=0,Entry!$D480&lt;1),RIGHT("00"&amp;HOUR(Entry!$D480),2)&amp;":"&amp;RIGHT("00"&amp;MINUTE(Entry!$D480),2),IFERROR(RIGHT("00"&amp;VALUE(TRIM(LEFT(Entry!$D480,FIND(":",Entry!$D480)-1))),2)&amp;":"&amp;RIGHT("00"&amp;VALUE(TRIM(MID(Entry!$D480,FIND(":",Entry!$D480)+1,2))),2),"نامعتبر")),IF(OR($E480="",$E480="نامعتبر"),"","00:00"))</f>
        <v/>
      </c>
      <c r="G480">
        <f>IF(OR($E480="",$E480="نامعتبر"),"",IF(Entry!$E480="","",LEFT(UPPER(TRIM(Entry!$E480)),6)))</f>
        <v/>
      </c>
      <c r="H480">
        <f>IF($G480="","",RIGHT($E480,4)&amp;MID($E480,6,2)&amp;RIGHT($E480,2)&amp;IF($F480="","0000",IF($F480="نامعتبر","9999",LEFT($F480,2)&amp;RIGHT($F480,2)))&amp;"|"&amp;RIGHT("00000"&amp;472,5))</f>
        <v/>
      </c>
      <c r="I480">
        <f>IF($H480="","",COUNTIFS(CalcBank,$G480,CalcKey,"&lt;"&amp;$H480)+1)</f>
        <v/>
      </c>
      <c r="J480">
        <f>IF($I480="","",$G480&amp;"|"&amp;RIGHT("000000"&amp;$I480,6))</f>
        <v/>
      </c>
      <c r="K480">
        <f>IF(OR($E480="",$E480="نامعتبر"),"",LEFT($E480,4)&amp;"/"&amp;MID($E480,6,2))</f>
        <v/>
      </c>
      <c r="L480">
        <f>IF(Entry!$K480="",0,Entry!$K480)</f>
        <v/>
      </c>
      <c r="M480">
        <f>IF(Entry!$L480="",0,Entry!$L480)</f>
        <v/>
      </c>
    </row>
    <row r="481">
      <c r="A481">
        <f>IF(Entry!$C481="","",Entry!$C481)</f>
        <v/>
      </c>
      <c r="B481">
        <f>IF($A481="","",IF(ISNUMBER($A481),IF(AND($A481&gt;=10000101,$A481&lt;=99991231),INT($A481/10000),""),IFERROR(VALUE(TRIM(LEFT($A481,FIND("/",$A481)-1))),"")))</f>
        <v/>
      </c>
      <c r="C481">
        <f>IF(OR($A481="",$B481=""),"",IF(ISNUMBER($A481),INT(MOD($A481,10000)/100),IFERROR(VALUE(TRIM(LEFT(MID($A481,FIND("/",$A481)+1,20),FIND("/",MID($A481,FIND("/",$A481)+1,20))-1))),"")))</f>
        <v/>
      </c>
      <c r="D481">
        <f>IF(OR($A481="",$B481=""),"",IF(ISNUMBER($A481),MOD($A481,100),IFERROR(VALUE(TRIM(MID(MID($A481,FIND("/",$A481)+1,20),FIND("/",MID($A481,FIND("/",$A481)+1,20))+1,20))),"")))</f>
        <v/>
      </c>
      <c r="E481">
        <f>IF($A481="","",IF(OR($B481="",$C481="",$D481="",$B481&lt;1300,$B481&gt;1500,$C481&lt;1,$C481&gt;12,$D481&lt;1,$D481&gt;31),"نامعتبر",RIGHT("0000"&amp;$B481,4)&amp;"/"&amp;RIGHT("00"&amp;$C481,2)&amp;"/"&amp;RIGHT("00"&amp;$D481,2)))</f>
        <v/>
      </c>
      <c r="F481">
        <f>IF(Entry!$D481&lt;&gt;"",IF(AND(ISNUMBER(Entry!$D481),Entry!$D481&gt;=0,Entry!$D481&lt;1),RIGHT("00"&amp;HOUR(Entry!$D481),2)&amp;":"&amp;RIGHT("00"&amp;MINUTE(Entry!$D481),2),IFERROR(RIGHT("00"&amp;VALUE(TRIM(LEFT(Entry!$D481,FIND(":",Entry!$D481)-1))),2)&amp;":"&amp;RIGHT("00"&amp;VALUE(TRIM(MID(Entry!$D481,FIND(":",Entry!$D481)+1,2))),2),"نامعتبر")),IF(OR($E481="",$E481="نامعتبر"),"","00:00"))</f>
        <v/>
      </c>
      <c r="G481">
        <f>IF(OR($E481="",$E481="نامعتبر"),"",IF(Entry!$E481="","",LEFT(UPPER(TRIM(Entry!$E481)),6)))</f>
        <v/>
      </c>
      <c r="H481">
        <f>IF($G481="","",RIGHT($E481,4)&amp;MID($E481,6,2)&amp;RIGHT($E481,2)&amp;IF($F481="","0000",IF($F481="نامعتبر","9999",LEFT($F481,2)&amp;RIGHT($F481,2)))&amp;"|"&amp;RIGHT("00000"&amp;473,5))</f>
        <v/>
      </c>
      <c r="I481">
        <f>IF($H481="","",COUNTIFS(CalcBank,$G481,CalcKey,"&lt;"&amp;$H481)+1)</f>
        <v/>
      </c>
      <c r="J481">
        <f>IF($I481="","",$G481&amp;"|"&amp;RIGHT("000000"&amp;$I481,6))</f>
        <v/>
      </c>
      <c r="K481">
        <f>IF(OR($E481="",$E481="نامعتبر"),"",LEFT($E481,4)&amp;"/"&amp;MID($E481,6,2))</f>
        <v/>
      </c>
      <c r="L481">
        <f>IF(Entry!$K481="",0,Entry!$K481)</f>
        <v/>
      </c>
      <c r="M481">
        <f>IF(Entry!$L481="",0,Entry!$L481)</f>
        <v/>
      </c>
    </row>
    <row r="482">
      <c r="A482">
        <f>IF(Entry!$C482="","",Entry!$C482)</f>
        <v/>
      </c>
      <c r="B482">
        <f>IF($A482="","",IF(ISNUMBER($A482),IF(AND($A482&gt;=10000101,$A482&lt;=99991231),INT($A482/10000),""),IFERROR(VALUE(TRIM(LEFT($A482,FIND("/",$A482)-1))),"")))</f>
        <v/>
      </c>
      <c r="C482">
        <f>IF(OR($A482="",$B482=""),"",IF(ISNUMBER($A482),INT(MOD($A482,10000)/100),IFERROR(VALUE(TRIM(LEFT(MID($A482,FIND("/",$A482)+1,20),FIND("/",MID($A482,FIND("/",$A482)+1,20))-1))),"")))</f>
        <v/>
      </c>
      <c r="D482">
        <f>IF(OR($A482="",$B482=""),"",IF(ISNUMBER($A482),MOD($A482,100),IFERROR(VALUE(TRIM(MID(MID($A482,FIND("/",$A482)+1,20),FIND("/",MID($A482,FIND("/",$A482)+1,20))+1,20))),"")))</f>
        <v/>
      </c>
      <c r="E482">
        <f>IF($A482="","",IF(OR($B482="",$C482="",$D482="",$B482&lt;1300,$B482&gt;1500,$C482&lt;1,$C482&gt;12,$D482&lt;1,$D482&gt;31),"نامعتبر",RIGHT("0000"&amp;$B482,4)&amp;"/"&amp;RIGHT("00"&amp;$C482,2)&amp;"/"&amp;RIGHT("00"&amp;$D482,2)))</f>
        <v/>
      </c>
      <c r="F482">
        <f>IF(Entry!$D482&lt;&gt;"",IF(AND(ISNUMBER(Entry!$D482),Entry!$D482&gt;=0,Entry!$D482&lt;1),RIGHT("00"&amp;HOUR(Entry!$D482),2)&amp;":"&amp;RIGHT("00"&amp;MINUTE(Entry!$D482),2),IFERROR(RIGHT("00"&amp;VALUE(TRIM(LEFT(Entry!$D482,FIND(":",Entry!$D482)-1))),2)&amp;":"&amp;RIGHT("00"&amp;VALUE(TRIM(MID(Entry!$D482,FIND(":",Entry!$D482)+1,2))),2),"نامعتبر")),IF(OR($E482="",$E482="نامعتبر"),"","00:00"))</f>
        <v/>
      </c>
      <c r="G482">
        <f>IF(OR($E482="",$E482="نامعتبر"),"",IF(Entry!$E482="","",LEFT(UPPER(TRIM(Entry!$E482)),6)))</f>
        <v/>
      </c>
      <c r="H482">
        <f>IF($G482="","",RIGHT($E482,4)&amp;MID($E482,6,2)&amp;RIGHT($E482,2)&amp;IF($F482="","0000",IF($F482="نامعتبر","9999",LEFT($F482,2)&amp;RIGHT($F482,2)))&amp;"|"&amp;RIGHT("00000"&amp;474,5))</f>
        <v/>
      </c>
      <c r="I482">
        <f>IF($H482="","",COUNTIFS(CalcBank,$G482,CalcKey,"&lt;"&amp;$H482)+1)</f>
        <v/>
      </c>
      <c r="J482">
        <f>IF($I482="","",$G482&amp;"|"&amp;RIGHT("000000"&amp;$I482,6))</f>
        <v/>
      </c>
      <c r="K482">
        <f>IF(OR($E482="",$E482="نامعتبر"),"",LEFT($E482,4)&amp;"/"&amp;MID($E482,6,2))</f>
        <v/>
      </c>
      <c r="L482">
        <f>IF(Entry!$K482="",0,Entry!$K482)</f>
        <v/>
      </c>
      <c r="M482">
        <f>IF(Entry!$L482="",0,Entry!$L482)</f>
        <v/>
      </c>
    </row>
    <row r="483">
      <c r="A483">
        <f>IF(Entry!$C483="","",Entry!$C483)</f>
        <v/>
      </c>
      <c r="B483">
        <f>IF($A483="","",IF(ISNUMBER($A483),IF(AND($A483&gt;=10000101,$A483&lt;=99991231),INT($A483/10000),""),IFERROR(VALUE(TRIM(LEFT($A483,FIND("/",$A483)-1))),"")))</f>
        <v/>
      </c>
      <c r="C483">
        <f>IF(OR($A483="",$B483=""),"",IF(ISNUMBER($A483),INT(MOD($A483,10000)/100),IFERROR(VALUE(TRIM(LEFT(MID($A483,FIND("/",$A483)+1,20),FIND("/",MID($A483,FIND("/",$A483)+1,20))-1))),"")))</f>
        <v/>
      </c>
      <c r="D483">
        <f>IF(OR($A483="",$B483=""),"",IF(ISNUMBER($A483),MOD($A483,100),IFERROR(VALUE(TRIM(MID(MID($A483,FIND("/",$A483)+1,20),FIND("/",MID($A483,FIND("/",$A483)+1,20))+1,20))),"")))</f>
        <v/>
      </c>
      <c r="E483">
        <f>IF($A483="","",IF(OR($B483="",$C483="",$D483="",$B483&lt;1300,$B483&gt;1500,$C483&lt;1,$C483&gt;12,$D483&lt;1,$D483&gt;31),"نامعتبر",RIGHT("0000"&amp;$B483,4)&amp;"/"&amp;RIGHT("00"&amp;$C483,2)&amp;"/"&amp;RIGHT("00"&amp;$D483,2)))</f>
        <v/>
      </c>
      <c r="F483">
        <f>IF(Entry!$D483&lt;&gt;"",IF(AND(ISNUMBER(Entry!$D483),Entry!$D483&gt;=0,Entry!$D483&lt;1),RIGHT("00"&amp;HOUR(Entry!$D483),2)&amp;":"&amp;RIGHT("00"&amp;MINUTE(Entry!$D483),2),IFERROR(RIGHT("00"&amp;VALUE(TRIM(LEFT(Entry!$D483,FIND(":",Entry!$D483)-1))),2)&amp;":"&amp;RIGHT("00"&amp;VALUE(TRIM(MID(Entry!$D483,FIND(":",Entry!$D483)+1,2))),2),"نامعتبر")),IF(OR($E483="",$E483="نامعتبر"),"","00:00"))</f>
        <v/>
      </c>
      <c r="G483">
        <f>IF(OR($E483="",$E483="نامعتبر"),"",IF(Entry!$E483="","",LEFT(UPPER(TRIM(Entry!$E483)),6)))</f>
        <v/>
      </c>
      <c r="H483">
        <f>IF($G483="","",RIGHT($E483,4)&amp;MID($E483,6,2)&amp;RIGHT($E483,2)&amp;IF($F483="","0000",IF($F483="نامعتبر","9999",LEFT($F483,2)&amp;RIGHT($F483,2)))&amp;"|"&amp;RIGHT("00000"&amp;475,5))</f>
        <v/>
      </c>
      <c r="I483">
        <f>IF($H483="","",COUNTIFS(CalcBank,$G483,CalcKey,"&lt;"&amp;$H483)+1)</f>
        <v/>
      </c>
      <c r="J483">
        <f>IF($I483="","",$G483&amp;"|"&amp;RIGHT("000000"&amp;$I483,6))</f>
        <v/>
      </c>
      <c r="K483">
        <f>IF(OR($E483="",$E483="نامعتبر"),"",LEFT($E483,4)&amp;"/"&amp;MID($E483,6,2))</f>
        <v/>
      </c>
      <c r="L483">
        <f>IF(Entry!$K483="",0,Entry!$K483)</f>
        <v/>
      </c>
      <c r="M483">
        <f>IF(Entry!$L483="",0,Entry!$L483)</f>
        <v/>
      </c>
    </row>
    <row r="484">
      <c r="A484">
        <f>IF(Entry!$C484="","",Entry!$C484)</f>
        <v/>
      </c>
      <c r="B484">
        <f>IF($A484="","",IF(ISNUMBER($A484),IF(AND($A484&gt;=10000101,$A484&lt;=99991231),INT($A484/10000),""),IFERROR(VALUE(TRIM(LEFT($A484,FIND("/",$A484)-1))),"")))</f>
        <v/>
      </c>
      <c r="C484">
        <f>IF(OR($A484="",$B484=""),"",IF(ISNUMBER($A484),INT(MOD($A484,10000)/100),IFERROR(VALUE(TRIM(LEFT(MID($A484,FIND("/",$A484)+1,20),FIND("/",MID($A484,FIND("/",$A484)+1,20))-1))),"")))</f>
        <v/>
      </c>
      <c r="D484">
        <f>IF(OR($A484="",$B484=""),"",IF(ISNUMBER($A484),MOD($A484,100),IFERROR(VALUE(TRIM(MID(MID($A484,FIND("/",$A484)+1,20),FIND("/",MID($A484,FIND("/",$A484)+1,20))+1,20))),"")))</f>
        <v/>
      </c>
      <c r="E484">
        <f>IF($A484="","",IF(OR($B484="",$C484="",$D484="",$B484&lt;1300,$B484&gt;1500,$C484&lt;1,$C484&gt;12,$D484&lt;1,$D484&gt;31),"نامعتبر",RIGHT("0000"&amp;$B484,4)&amp;"/"&amp;RIGHT("00"&amp;$C484,2)&amp;"/"&amp;RIGHT("00"&amp;$D484,2)))</f>
        <v/>
      </c>
      <c r="F484">
        <f>IF(Entry!$D484&lt;&gt;"",IF(AND(ISNUMBER(Entry!$D484),Entry!$D484&gt;=0,Entry!$D484&lt;1),RIGHT("00"&amp;HOUR(Entry!$D484),2)&amp;":"&amp;RIGHT("00"&amp;MINUTE(Entry!$D484),2),IFERROR(RIGHT("00"&amp;VALUE(TRIM(LEFT(Entry!$D484,FIND(":",Entry!$D484)-1))),2)&amp;":"&amp;RIGHT("00"&amp;VALUE(TRIM(MID(Entry!$D484,FIND(":",Entry!$D484)+1,2))),2),"نامعتبر")),IF(OR($E484="",$E484="نامعتبر"),"","00:00"))</f>
        <v/>
      </c>
      <c r="G484">
        <f>IF(OR($E484="",$E484="نامعتبر"),"",IF(Entry!$E484="","",LEFT(UPPER(TRIM(Entry!$E484)),6)))</f>
        <v/>
      </c>
      <c r="H484">
        <f>IF($G484="","",RIGHT($E484,4)&amp;MID($E484,6,2)&amp;RIGHT($E484,2)&amp;IF($F484="","0000",IF($F484="نامعتبر","9999",LEFT($F484,2)&amp;RIGHT($F484,2)))&amp;"|"&amp;RIGHT("00000"&amp;476,5))</f>
        <v/>
      </c>
      <c r="I484">
        <f>IF($H484="","",COUNTIFS(CalcBank,$G484,CalcKey,"&lt;"&amp;$H484)+1)</f>
        <v/>
      </c>
      <c r="J484">
        <f>IF($I484="","",$G484&amp;"|"&amp;RIGHT("000000"&amp;$I484,6))</f>
        <v/>
      </c>
      <c r="K484">
        <f>IF(OR($E484="",$E484="نامعتبر"),"",LEFT($E484,4)&amp;"/"&amp;MID($E484,6,2))</f>
        <v/>
      </c>
      <c r="L484">
        <f>IF(Entry!$K484="",0,Entry!$K484)</f>
        <v/>
      </c>
      <c r="M484">
        <f>IF(Entry!$L484="",0,Entry!$L484)</f>
        <v/>
      </c>
    </row>
    <row r="485">
      <c r="A485">
        <f>IF(Entry!$C485="","",Entry!$C485)</f>
        <v/>
      </c>
      <c r="B485">
        <f>IF($A485="","",IF(ISNUMBER($A485),IF(AND($A485&gt;=10000101,$A485&lt;=99991231),INT($A485/10000),""),IFERROR(VALUE(TRIM(LEFT($A485,FIND("/",$A485)-1))),"")))</f>
        <v/>
      </c>
      <c r="C485">
        <f>IF(OR($A485="",$B485=""),"",IF(ISNUMBER($A485),INT(MOD($A485,10000)/100),IFERROR(VALUE(TRIM(LEFT(MID($A485,FIND("/",$A485)+1,20),FIND("/",MID($A485,FIND("/",$A485)+1,20))-1))),"")))</f>
        <v/>
      </c>
      <c r="D485">
        <f>IF(OR($A485="",$B485=""),"",IF(ISNUMBER($A485),MOD($A485,100),IFERROR(VALUE(TRIM(MID(MID($A485,FIND("/",$A485)+1,20),FIND("/",MID($A485,FIND("/",$A485)+1,20))+1,20))),"")))</f>
        <v/>
      </c>
      <c r="E485">
        <f>IF($A485="","",IF(OR($B485="",$C485="",$D485="",$B485&lt;1300,$B485&gt;1500,$C485&lt;1,$C485&gt;12,$D485&lt;1,$D485&gt;31),"نامعتبر",RIGHT("0000"&amp;$B485,4)&amp;"/"&amp;RIGHT("00"&amp;$C485,2)&amp;"/"&amp;RIGHT("00"&amp;$D485,2)))</f>
        <v/>
      </c>
      <c r="F485">
        <f>IF(Entry!$D485&lt;&gt;"",IF(AND(ISNUMBER(Entry!$D485),Entry!$D485&gt;=0,Entry!$D485&lt;1),RIGHT("00"&amp;HOUR(Entry!$D485),2)&amp;":"&amp;RIGHT("00"&amp;MINUTE(Entry!$D485),2),IFERROR(RIGHT("00"&amp;VALUE(TRIM(LEFT(Entry!$D485,FIND(":",Entry!$D485)-1))),2)&amp;":"&amp;RIGHT("00"&amp;VALUE(TRIM(MID(Entry!$D485,FIND(":",Entry!$D485)+1,2))),2),"نامعتبر")),IF(OR($E485="",$E485="نامعتبر"),"","00:00"))</f>
        <v/>
      </c>
      <c r="G485">
        <f>IF(OR($E485="",$E485="نامعتبر"),"",IF(Entry!$E485="","",LEFT(UPPER(TRIM(Entry!$E485)),6)))</f>
        <v/>
      </c>
      <c r="H485">
        <f>IF($G485="","",RIGHT($E485,4)&amp;MID($E485,6,2)&amp;RIGHT($E485,2)&amp;IF($F485="","0000",IF($F485="نامعتبر","9999",LEFT($F485,2)&amp;RIGHT($F485,2)))&amp;"|"&amp;RIGHT("00000"&amp;477,5))</f>
        <v/>
      </c>
      <c r="I485">
        <f>IF($H485="","",COUNTIFS(CalcBank,$G485,CalcKey,"&lt;"&amp;$H485)+1)</f>
        <v/>
      </c>
      <c r="J485">
        <f>IF($I485="","",$G485&amp;"|"&amp;RIGHT("000000"&amp;$I485,6))</f>
        <v/>
      </c>
      <c r="K485">
        <f>IF(OR($E485="",$E485="نامعتبر"),"",LEFT($E485,4)&amp;"/"&amp;MID($E485,6,2))</f>
        <v/>
      </c>
      <c r="L485">
        <f>IF(Entry!$K485="",0,Entry!$K485)</f>
        <v/>
      </c>
      <c r="M485">
        <f>IF(Entry!$L485="",0,Entry!$L485)</f>
        <v/>
      </c>
    </row>
    <row r="486">
      <c r="A486">
        <f>IF(Entry!$C486="","",Entry!$C486)</f>
        <v/>
      </c>
      <c r="B486">
        <f>IF($A486="","",IF(ISNUMBER($A486),IF(AND($A486&gt;=10000101,$A486&lt;=99991231),INT($A486/10000),""),IFERROR(VALUE(TRIM(LEFT($A486,FIND("/",$A486)-1))),"")))</f>
        <v/>
      </c>
      <c r="C486">
        <f>IF(OR($A486="",$B486=""),"",IF(ISNUMBER($A486),INT(MOD($A486,10000)/100),IFERROR(VALUE(TRIM(LEFT(MID($A486,FIND("/",$A486)+1,20),FIND("/",MID($A486,FIND("/",$A486)+1,20))-1))),"")))</f>
        <v/>
      </c>
      <c r="D486">
        <f>IF(OR($A486="",$B486=""),"",IF(ISNUMBER($A486),MOD($A486,100),IFERROR(VALUE(TRIM(MID(MID($A486,FIND("/",$A486)+1,20),FIND("/",MID($A486,FIND("/",$A486)+1,20))+1,20))),"")))</f>
        <v/>
      </c>
      <c r="E486">
        <f>IF($A486="","",IF(OR($B486="",$C486="",$D486="",$B486&lt;1300,$B486&gt;1500,$C486&lt;1,$C486&gt;12,$D486&lt;1,$D486&gt;31),"نامعتبر",RIGHT("0000"&amp;$B486,4)&amp;"/"&amp;RIGHT("00"&amp;$C486,2)&amp;"/"&amp;RIGHT("00"&amp;$D486,2)))</f>
        <v/>
      </c>
      <c r="F486">
        <f>IF(Entry!$D486&lt;&gt;"",IF(AND(ISNUMBER(Entry!$D486),Entry!$D486&gt;=0,Entry!$D486&lt;1),RIGHT("00"&amp;HOUR(Entry!$D486),2)&amp;":"&amp;RIGHT("00"&amp;MINUTE(Entry!$D486),2),IFERROR(RIGHT("00"&amp;VALUE(TRIM(LEFT(Entry!$D486,FIND(":",Entry!$D486)-1))),2)&amp;":"&amp;RIGHT("00"&amp;VALUE(TRIM(MID(Entry!$D486,FIND(":",Entry!$D486)+1,2))),2),"نامعتبر")),IF(OR($E486="",$E486="نامعتبر"),"","00:00"))</f>
        <v/>
      </c>
      <c r="G486">
        <f>IF(OR($E486="",$E486="نامعتبر"),"",IF(Entry!$E486="","",LEFT(UPPER(TRIM(Entry!$E486)),6)))</f>
        <v/>
      </c>
      <c r="H486">
        <f>IF($G486="","",RIGHT($E486,4)&amp;MID($E486,6,2)&amp;RIGHT($E486,2)&amp;IF($F486="","0000",IF($F486="نامعتبر","9999",LEFT($F486,2)&amp;RIGHT($F486,2)))&amp;"|"&amp;RIGHT("00000"&amp;478,5))</f>
        <v/>
      </c>
      <c r="I486">
        <f>IF($H486="","",COUNTIFS(CalcBank,$G486,CalcKey,"&lt;"&amp;$H486)+1)</f>
        <v/>
      </c>
      <c r="J486">
        <f>IF($I486="","",$G486&amp;"|"&amp;RIGHT("000000"&amp;$I486,6))</f>
        <v/>
      </c>
      <c r="K486">
        <f>IF(OR($E486="",$E486="نامعتبر"),"",LEFT($E486,4)&amp;"/"&amp;MID($E486,6,2))</f>
        <v/>
      </c>
      <c r="L486">
        <f>IF(Entry!$K486="",0,Entry!$K486)</f>
        <v/>
      </c>
      <c r="M486">
        <f>IF(Entry!$L486="",0,Entry!$L486)</f>
        <v/>
      </c>
    </row>
    <row r="487">
      <c r="A487">
        <f>IF(Entry!$C487="","",Entry!$C487)</f>
        <v/>
      </c>
      <c r="B487">
        <f>IF($A487="","",IF(ISNUMBER($A487),IF(AND($A487&gt;=10000101,$A487&lt;=99991231),INT($A487/10000),""),IFERROR(VALUE(TRIM(LEFT($A487,FIND("/",$A487)-1))),"")))</f>
        <v/>
      </c>
      <c r="C487">
        <f>IF(OR($A487="",$B487=""),"",IF(ISNUMBER($A487),INT(MOD($A487,10000)/100),IFERROR(VALUE(TRIM(LEFT(MID($A487,FIND("/",$A487)+1,20),FIND("/",MID($A487,FIND("/",$A487)+1,20))-1))),"")))</f>
        <v/>
      </c>
      <c r="D487">
        <f>IF(OR($A487="",$B487=""),"",IF(ISNUMBER($A487),MOD($A487,100),IFERROR(VALUE(TRIM(MID(MID($A487,FIND("/",$A487)+1,20),FIND("/",MID($A487,FIND("/",$A487)+1,20))+1,20))),"")))</f>
        <v/>
      </c>
      <c r="E487">
        <f>IF($A487="","",IF(OR($B487="",$C487="",$D487="",$B487&lt;1300,$B487&gt;1500,$C487&lt;1,$C487&gt;12,$D487&lt;1,$D487&gt;31),"نامعتبر",RIGHT("0000"&amp;$B487,4)&amp;"/"&amp;RIGHT("00"&amp;$C487,2)&amp;"/"&amp;RIGHT("00"&amp;$D487,2)))</f>
        <v/>
      </c>
      <c r="F487">
        <f>IF(Entry!$D487&lt;&gt;"",IF(AND(ISNUMBER(Entry!$D487),Entry!$D487&gt;=0,Entry!$D487&lt;1),RIGHT("00"&amp;HOUR(Entry!$D487),2)&amp;":"&amp;RIGHT("00"&amp;MINUTE(Entry!$D487),2),IFERROR(RIGHT("00"&amp;VALUE(TRIM(LEFT(Entry!$D487,FIND(":",Entry!$D487)-1))),2)&amp;":"&amp;RIGHT("00"&amp;VALUE(TRIM(MID(Entry!$D487,FIND(":",Entry!$D487)+1,2))),2),"نامعتبر")),IF(OR($E487="",$E487="نامعتبر"),"","00:00"))</f>
        <v/>
      </c>
      <c r="G487">
        <f>IF(OR($E487="",$E487="نامعتبر"),"",IF(Entry!$E487="","",LEFT(UPPER(TRIM(Entry!$E487)),6)))</f>
        <v/>
      </c>
      <c r="H487">
        <f>IF($G487="","",RIGHT($E487,4)&amp;MID($E487,6,2)&amp;RIGHT($E487,2)&amp;IF($F487="","0000",IF($F487="نامعتبر","9999",LEFT($F487,2)&amp;RIGHT($F487,2)))&amp;"|"&amp;RIGHT("00000"&amp;479,5))</f>
        <v/>
      </c>
      <c r="I487">
        <f>IF($H487="","",COUNTIFS(CalcBank,$G487,CalcKey,"&lt;"&amp;$H487)+1)</f>
        <v/>
      </c>
      <c r="J487">
        <f>IF($I487="","",$G487&amp;"|"&amp;RIGHT("000000"&amp;$I487,6))</f>
        <v/>
      </c>
      <c r="K487">
        <f>IF(OR($E487="",$E487="نامعتبر"),"",LEFT($E487,4)&amp;"/"&amp;MID($E487,6,2))</f>
        <v/>
      </c>
      <c r="L487">
        <f>IF(Entry!$K487="",0,Entry!$K487)</f>
        <v/>
      </c>
      <c r="M487">
        <f>IF(Entry!$L487="",0,Entry!$L487)</f>
        <v/>
      </c>
    </row>
    <row r="488">
      <c r="A488">
        <f>IF(Entry!$C488="","",Entry!$C488)</f>
        <v/>
      </c>
      <c r="B488">
        <f>IF($A488="","",IF(ISNUMBER($A488),IF(AND($A488&gt;=10000101,$A488&lt;=99991231),INT($A488/10000),""),IFERROR(VALUE(TRIM(LEFT($A488,FIND("/",$A488)-1))),"")))</f>
        <v/>
      </c>
      <c r="C488">
        <f>IF(OR($A488="",$B488=""),"",IF(ISNUMBER($A488),INT(MOD($A488,10000)/100),IFERROR(VALUE(TRIM(LEFT(MID($A488,FIND("/",$A488)+1,20),FIND("/",MID($A488,FIND("/",$A488)+1,20))-1))),"")))</f>
        <v/>
      </c>
      <c r="D488">
        <f>IF(OR($A488="",$B488=""),"",IF(ISNUMBER($A488),MOD($A488,100),IFERROR(VALUE(TRIM(MID(MID($A488,FIND("/",$A488)+1,20),FIND("/",MID($A488,FIND("/",$A488)+1,20))+1,20))),"")))</f>
        <v/>
      </c>
      <c r="E488">
        <f>IF($A488="","",IF(OR($B488="",$C488="",$D488="",$B488&lt;1300,$B488&gt;1500,$C488&lt;1,$C488&gt;12,$D488&lt;1,$D488&gt;31),"نامعتبر",RIGHT("0000"&amp;$B488,4)&amp;"/"&amp;RIGHT("00"&amp;$C488,2)&amp;"/"&amp;RIGHT("00"&amp;$D488,2)))</f>
        <v/>
      </c>
      <c r="F488">
        <f>IF(Entry!$D488&lt;&gt;"",IF(AND(ISNUMBER(Entry!$D488),Entry!$D488&gt;=0,Entry!$D488&lt;1),RIGHT("00"&amp;HOUR(Entry!$D488),2)&amp;":"&amp;RIGHT("00"&amp;MINUTE(Entry!$D488),2),IFERROR(RIGHT("00"&amp;VALUE(TRIM(LEFT(Entry!$D488,FIND(":",Entry!$D488)-1))),2)&amp;":"&amp;RIGHT("00"&amp;VALUE(TRIM(MID(Entry!$D488,FIND(":",Entry!$D488)+1,2))),2),"نامعتبر")),IF(OR($E488="",$E488="نامعتبر"),"","00:00"))</f>
        <v/>
      </c>
      <c r="G488">
        <f>IF(OR($E488="",$E488="نامعتبر"),"",IF(Entry!$E488="","",LEFT(UPPER(TRIM(Entry!$E488)),6)))</f>
        <v/>
      </c>
      <c r="H488">
        <f>IF($G488="","",RIGHT($E488,4)&amp;MID($E488,6,2)&amp;RIGHT($E488,2)&amp;IF($F488="","0000",IF($F488="نامعتبر","9999",LEFT($F488,2)&amp;RIGHT($F488,2)))&amp;"|"&amp;RIGHT("00000"&amp;480,5))</f>
        <v/>
      </c>
      <c r="I488">
        <f>IF($H488="","",COUNTIFS(CalcBank,$G488,CalcKey,"&lt;"&amp;$H488)+1)</f>
        <v/>
      </c>
      <c r="J488">
        <f>IF($I488="","",$G488&amp;"|"&amp;RIGHT("000000"&amp;$I488,6))</f>
        <v/>
      </c>
      <c r="K488">
        <f>IF(OR($E488="",$E488="نامعتبر"),"",LEFT($E488,4)&amp;"/"&amp;MID($E488,6,2))</f>
        <v/>
      </c>
      <c r="L488">
        <f>IF(Entry!$K488="",0,Entry!$K488)</f>
        <v/>
      </c>
      <c r="M488">
        <f>IF(Entry!$L488="",0,Entry!$L488)</f>
        <v/>
      </c>
    </row>
    <row r="489">
      <c r="A489">
        <f>IF(Entry!$C489="","",Entry!$C489)</f>
        <v/>
      </c>
      <c r="B489">
        <f>IF($A489="","",IF(ISNUMBER($A489),IF(AND($A489&gt;=10000101,$A489&lt;=99991231),INT($A489/10000),""),IFERROR(VALUE(TRIM(LEFT($A489,FIND("/",$A489)-1))),"")))</f>
        <v/>
      </c>
      <c r="C489">
        <f>IF(OR($A489="",$B489=""),"",IF(ISNUMBER($A489),INT(MOD($A489,10000)/100),IFERROR(VALUE(TRIM(LEFT(MID($A489,FIND("/",$A489)+1,20),FIND("/",MID($A489,FIND("/",$A489)+1,20))-1))),"")))</f>
        <v/>
      </c>
      <c r="D489">
        <f>IF(OR($A489="",$B489=""),"",IF(ISNUMBER($A489),MOD($A489,100),IFERROR(VALUE(TRIM(MID(MID($A489,FIND("/",$A489)+1,20),FIND("/",MID($A489,FIND("/",$A489)+1,20))+1,20))),"")))</f>
        <v/>
      </c>
      <c r="E489">
        <f>IF($A489="","",IF(OR($B489="",$C489="",$D489="",$B489&lt;1300,$B489&gt;1500,$C489&lt;1,$C489&gt;12,$D489&lt;1,$D489&gt;31),"نامعتبر",RIGHT("0000"&amp;$B489,4)&amp;"/"&amp;RIGHT("00"&amp;$C489,2)&amp;"/"&amp;RIGHT("00"&amp;$D489,2)))</f>
        <v/>
      </c>
      <c r="F489">
        <f>IF(Entry!$D489&lt;&gt;"",IF(AND(ISNUMBER(Entry!$D489),Entry!$D489&gt;=0,Entry!$D489&lt;1),RIGHT("00"&amp;HOUR(Entry!$D489),2)&amp;":"&amp;RIGHT("00"&amp;MINUTE(Entry!$D489),2),IFERROR(RIGHT("00"&amp;VALUE(TRIM(LEFT(Entry!$D489,FIND(":",Entry!$D489)-1))),2)&amp;":"&amp;RIGHT("00"&amp;VALUE(TRIM(MID(Entry!$D489,FIND(":",Entry!$D489)+1,2))),2),"نامعتبر")),IF(OR($E489="",$E489="نامعتبر"),"","00:00"))</f>
        <v/>
      </c>
      <c r="G489">
        <f>IF(OR($E489="",$E489="نامعتبر"),"",IF(Entry!$E489="","",LEFT(UPPER(TRIM(Entry!$E489)),6)))</f>
        <v/>
      </c>
      <c r="H489">
        <f>IF($G489="","",RIGHT($E489,4)&amp;MID($E489,6,2)&amp;RIGHT($E489,2)&amp;IF($F489="","0000",IF($F489="نامعتبر","9999",LEFT($F489,2)&amp;RIGHT($F489,2)))&amp;"|"&amp;RIGHT("00000"&amp;481,5))</f>
        <v/>
      </c>
      <c r="I489">
        <f>IF($H489="","",COUNTIFS(CalcBank,$G489,CalcKey,"&lt;"&amp;$H489)+1)</f>
        <v/>
      </c>
      <c r="J489">
        <f>IF($I489="","",$G489&amp;"|"&amp;RIGHT("000000"&amp;$I489,6))</f>
        <v/>
      </c>
      <c r="K489">
        <f>IF(OR($E489="",$E489="نامعتبر"),"",LEFT($E489,4)&amp;"/"&amp;MID($E489,6,2))</f>
        <v/>
      </c>
      <c r="L489">
        <f>IF(Entry!$K489="",0,Entry!$K489)</f>
        <v/>
      </c>
      <c r="M489">
        <f>IF(Entry!$L489="",0,Entry!$L489)</f>
        <v/>
      </c>
    </row>
    <row r="490">
      <c r="A490">
        <f>IF(Entry!$C490="","",Entry!$C490)</f>
        <v/>
      </c>
      <c r="B490">
        <f>IF($A490="","",IF(ISNUMBER($A490),IF(AND($A490&gt;=10000101,$A490&lt;=99991231),INT($A490/10000),""),IFERROR(VALUE(TRIM(LEFT($A490,FIND("/",$A490)-1))),"")))</f>
        <v/>
      </c>
      <c r="C490">
        <f>IF(OR($A490="",$B490=""),"",IF(ISNUMBER($A490),INT(MOD($A490,10000)/100),IFERROR(VALUE(TRIM(LEFT(MID($A490,FIND("/",$A490)+1,20),FIND("/",MID($A490,FIND("/",$A490)+1,20))-1))),"")))</f>
        <v/>
      </c>
      <c r="D490">
        <f>IF(OR($A490="",$B490=""),"",IF(ISNUMBER($A490),MOD($A490,100),IFERROR(VALUE(TRIM(MID(MID($A490,FIND("/",$A490)+1,20),FIND("/",MID($A490,FIND("/",$A490)+1,20))+1,20))),"")))</f>
        <v/>
      </c>
      <c r="E490">
        <f>IF($A490="","",IF(OR($B490="",$C490="",$D490="",$B490&lt;1300,$B490&gt;1500,$C490&lt;1,$C490&gt;12,$D490&lt;1,$D490&gt;31),"نامعتبر",RIGHT("0000"&amp;$B490,4)&amp;"/"&amp;RIGHT("00"&amp;$C490,2)&amp;"/"&amp;RIGHT("00"&amp;$D490,2)))</f>
        <v/>
      </c>
      <c r="F490">
        <f>IF(Entry!$D490&lt;&gt;"",IF(AND(ISNUMBER(Entry!$D490),Entry!$D490&gt;=0,Entry!$D490&lt;1),RIGHT("00"&amp;HOUR(Entry!$D490),2)&amp;":"&amp;RIGHT("00"&amp;MINUTE(Entry!$D490),2),IFERROR(RIGHT("00"&amp;VALUE(TRIM(LEFT(Entry!$D490,FIND(":",Entry!$D490)-1))),2)&amp;":"&amp;RIGHT("00"&amp;VALUE(TRIM(MID(Entry!$D490,FIND(":",Entry!$D490)+1,2))),2),"نامعتبر")),IF(OR($E490="",$E490="نامعتبر"),"","00:00"))</f>
        <v/>
      </c>
      <c r="G490">
        <f>IF(OR($E490="",$E490="نامعتبر"),"",IF(Entry!$E490="","",LEFT(UPPER(TRIM(Entry!$E490)),6)))</f>
        <v/>
      </c>
      <c r="H490">
        <f>IF($G490="","",RIGHT($E490,4)&amp;MID($E490,6,2)&amp;RIGHT($E490,2)&amp;IF($F490="","0000",IF($F490="نامعتبر","9999",LEFT($F490,2)&amp;RIGHT($F490,2)))&amp;"|"&amp;RIGHT("00000"&amp;482,5))</f>
        <v/>
      </c>
      <c r="I490">
        <f>IF($H490="","",COUNTIFS(CalcBank,$G490,CalcKey,"&lt;"&amp;$H490)+1)</f>
        <v/>
      </c>
      <c r="J490">
        <f>IF($I490="","",$G490&amp;"|"&amp;RIGHT("000000"&amp;$I490,6))</f>
        <v/>
      </c>
      <c r="K490">
        <f>IF(OR($E490="",$E490="نامعتبر"),"",LEFT($E490,4)&amp;"/"&amp;MID($E490,6,2))</f>
        <v/>
      </c>
      <c r="L490">
        <f>IF(Entry!$K490="",0,Entry!$K490)</f>
        <v/>
      </c>
      <c r="M490">
        <f>IF(Entry!$L490="",0,Entry!$L490)</f>
        <v/>
      </c>
    </row>
    <row r="491">
      <c r="A491">
        <f>IF(Entry!$C491="","",Entry!$C491)</f>
        <v/>
      </c>
      <c r="B491">
        <f>IF($A491="","",IF(ISNUMBER($A491),IF(AND($A491&gt;=10000101,$A491&lt;=99991231),INT($A491/10000),""),IFERROR(VALUE(TRIM(LEFT($A491,FIND("/",$A491)-1))),"")))</f>
        <v/>
      </c>
      <c r="C491">
        <f>IF(OR($A491="",$B491=""),"",IF(ISNUMBER($A491),INT(MOD($A491,10000)/100),IFERROR(VALUE(TRIM(LEFT(MID($A491,FIND("/",$A491)+1,20),FIND("/",MID($A491,FIND("/",$A491)+1,20))-1))),"")))</f>
        <v/>
      </c>
      <c r="D491">
        <f>IF(OR($A491="",$B491=""),"",IF(ISNUMBER($A491),MOD($A491,100),IFERROR(VALUE(TRIM(MID(MID($A491,FIND("/",$A491)+1,20),FIND("/",MID($A491,FIND("/",$A491)+1,20))+1,20))),"")))</f>
        <v/>
      </c>
      <c r="E491">
        <f>IF($A491="","",IF(OR($B491="",$C491="",$D491="",$B491&lt;1300,$B491&gt;1500,$C491&lt;1,$C491&gt;12,$D491&lt;1,$D491&gt;31),"نامعتبر",RIGHT("0000"&amp;$B491,4)&amp;"/"&amp;RIGHT("00"&amp;$C491,2)&amp;"/"&amp;RIGHT("00"&amp;$D491,2)))</f>
        <v/>
      </c>
      <c r="F491">
        <f>IF(Entry!$D491&lt;&gt;"",IF(AND(ISNUMBER(Entry!$D491),Entry!$D491&gt;=0,Entry!$D491&lt;1),RIGHT("00"&amp;HOUR(Entry!$D491),2)&amp;":"&amp;RIGHT("00"&amp;MINUTE(Entry!$D491),2),IFERROR(RIGHT("00"&amp;VALUE(TRIM(LEFT(Entry!$D491,FIND(":",Entry!$D491)-1))),2)&amp;":"&amp;RIGHT("00"&amp;VALUE(TRIM(MID(Entry!$D491,FIND(":",Entry!$D491)+1,2))),2),"نامعتبر")),IF(OR($E491="",$E491="نامعتبر"),"","00:00"))</f>
        <v/>
      </c>
      <c r="G491">
        <f>IF(OR($E491="",$E491="نامعتبر"),"",IF(Entry!$E491="","",LEFT(UPPER(TRIM(Entry!$E491)),6)))</f>
        <v/>
      </c>
      <c r="H491">
        <f>IF($G491="","",RIGHT($E491,4)&amp;MID($E491,6,2)&amp;RIGHT($E491,2)&amp;IF($F491="","0000",IF($F491="نامعتبر","9999",LEFT($F491,2)&amp;RIGHT($F491,2)))&amp;"|"&amp;RIGHT("00000"&amp;483,5))</f>
        <v/>
      </c>
      <c r="I491">
        <f>IF($H491="","",COUNTIFS(CalcBank,$G491,CalcKey,"&lt;"&amp;$H491)+1)</f>
        <v/>
      </c>
      <c r="J491">
        <f>IF($I491="","",$G491&amp;"|"&amp;RIGHT("000000"&amp;$I491,6))</f>
        <v/>
      </c>
      <c r="K491">
        <f>IF(OR($E491="",$E491="نامعتبر"),"",LEFT($E491,4)&amp;"/"&amp;MID($E491,6,2))</f>
        <v/>
      </c>
      <c r="L491">
        <f>IF(Entry!$K491="",0,Entry!$K491)</f>
        <v/>
      </c>
      <c r="M491">
        <f>IF(Entry!$L491="",0,Entry!$L491)</f>
        <v/>
      </c>
    </row>
    <row r="492">
      <c r="A492">
        <f>IF(Entry!$C492="","",Entry!$C492)</f>
        <v/>
      </c>
      <c r="B492">
        <f>IF($A492="","",IF(ISNUMBER($A492),IF(AND($A492&gt;=10000101,$A492&lt;=99991231),INT($A492/10000),""),IFERROR(VALUE(TRIM(LEFT($A492,FIND("/",$A492)-1))),"")))</f>
        <v/>
      </c>
      <c r="C492">
        <f>IF(OR($A492="",$B492=""),"",IF(ISNUMBER($A492),INT(MOD($A492,10000)/100),IFERROR(VALUE(TRIM(LEFT(MID($A492,FIND("/",$A492)+1,20),FIND("/",MID($A492,FIND("/",$A492)+1,20))-1))),"")))</f>
        <v/>
      </c>
      <c r="D492">
        <f>IF(OR($A492="",$B492=""),"",IF(ISNUMBER($A492),MOD($A492,100),IFERROR(VALUE(TRIM(MID(MID($A492,FIND("/",$A492)+1,20),FIND("/",MID($A492,FIND("/",$A492)+1,20))+1,20))),"")))</f>
        <v/>
      </c>
      <c r="E492">
        <f>IF($A492="","",IF(OR($B492="",$C492="",$D492="",$B492&lt;1300,$B492&gt;1500,$C492&lt;1,$C492&gt;12,$D492&lt;1,$D492&gt;31),"نامعتبر",RIGHT("0000"&amp;$B492,4)&amp;"/"&amp;RIGHT("00"&amp;$C492,2)&amp;"/"&amp;RIGHT("00"&amp;$D492,2)))</f>
        <v/>
      </c>
      <c r="F492">
        <f>IF(Entry!$D492&lt;&gt;"",IF(AND(ISNUMBER(Entry!$D492),Entry!$D492&gt;=0,Entry!$D492&lt;1),RIGHT("00"&amp;HOUR(Entry!$D492),2)&amp;":"&amp;RIGHT("00"&amp;MINUTE(Entry!$D492),2),IFERROR(RIGHT("00"&amp;VALUE(TRIM(LEFT(Entry!$D492,FIND(":",Entry!$D492)-1))),2)&amp;":"&amp;RIGHT("00"&amp;VALUE(TRIM(MID(Entry!$D492,FIND(":",Entry!$D492)+1,2))),2),"نامعتبر")),IF(OR($E492="",$E492="نامعتبر"),"","00:00"))</f>
        <v/>
      </c>
      <c r="G492">
        <f>IF(OR($E492="",$E492="نامعتبر"),"",IF(Entry!$E492="","",LEFT(UPPER(TRIM(Entry!$E492)),6)))</f>
        <v/>
      </c>
      <c r="H492">
        <f>IF($G492="","",RIGHT($E492,4)&amp;MID($E492,6,2)&amp;RIGHT($E492,2)&amp;IF($F492="","0000",IF($F492="نامعتبر","9999",LEFT($F492,2)&amp;RIGHT($F492,2)))&amp;"|"&amp;RIGHT("00000"&amp;484,5))</f>
        <v/>
      </c>
      <c r="I492">
        <f>IF($H492="","",COUNTIFS(CalcBank,$G492,CalcKey,"&lt;"&amp;$H492)+1)</f>
        <v/>
      </c>
      <c r="J492">
        <f>IF($I492="","",$G492&amp;"|"&amp;RIGHT("000000"&amp;$I492,6))</f>
        <v/>
      </c>
      <c r="K492">
        <f>IF(OR($E492="",$E492="نامعتبر"),"",LEFT($E492,4)&amp;"/"&amp;MID($E492,6,2))</f>
        <v/>
      </c>
      <c r="L492">
        <f>IF(Entry!$K492="",0,Entry!$K492)</f>
        <v/>
      </c>
      <c r="M492">
        <f>IF(Entry!$L492="",0,Entry!$L492)</f>
        <v/>
      </c>
    </row>
    <row r="493">
      <c r="A493">
        <f>IF(Entry!$C493="","",Entry!$C493)</f>
        <v/>
      </c>
      <c r="B493">
        <f>IF($A493="","",IF(ISNUMBER($A493),IF(AND($A493&gt;=10000101,$A493&lt;=99991231),INT($A493/10000),""),IFERROR(VALUE(TRIM(LEFT($A493,FIND("/",$A493)-1))),"")))</f>
        <v/>
      </c>
      <c r="C493">
        <f>IF(OR($A493="",$B493=""),"",IF(ISNUMBER($A493),INT(MOD($A493,10000)/100),IFERROR(VALUE(TRIM(LEFT(MID($A493,FIND("/",$A493)+1,20),FIND("/",MID($A493,FIND("/",$A493)+1,20))-1))),"")))</f>
        <v/>
      </c>
      <c r="D493">
        <f>IF(OR($A493="",$B493=""),"",IF(ISNUMBER($A493),MOD($A493,100),IFERROR(VALUE(TRIM(MID(MID($A493,FIND("/",$A493)+1,20),FIND("/",MID($A493,FIND("/",$A493)+1,20))+1,20))),"")))</f>
        <v/>
      </c>
      <c r="E493">
        <f>IF($A493="","",IF(OR($B493="",$C493="",$D493="",$B493&lt;1300,$B493&gt;1500,$C493&lt;1,$C493&gt;12,$D493&lt;1,$D493&gt;31),"نامعتبر",RIGHT("0000"&amp;$B493,4)&amp;"/"&amp;RIGHT("00"&amp;$C493,2)&amp;"/"&amp;RIGHT("00"&amp;$D493,2)))</f>
        <v/>
      </c>
      <c r="F493">
        <f>IF(Entry!$D493&lt;&gt;"",IF(AND(ISNUMBER(Entry!$D493),Entry!$D493&gt;=0,Entry!$D493&lt;1),RIGHT("00"&amp;HOUR(Entry!$D493),2)&amp;":"&amp;RIGHT("00"&amp;MINUTE(Entry!$D493),2),IFERROR(RIGHT("00"&amp;VALUE(TRIM(LEFT(Entry!$D493,FIND(":",Entry!$D493)-1))),2)&amp;":"&amp;RIGHT("00"&amp;VALUE(TRIM(MID(Entry!$D493,FIND(":",Entry!$D493)+1,2))),2),"نامعتبر")),IF(OR($E493="",$E493="نامعتبر"),"","00:00"))</f>
        <v/>
      </c>
      <c r="G493">
        <f>IF(OR($E493="",$E493="نامعتبر"),"",IF(Entry!$E493="","",LEFT(UPPER(TRIM(Entry!$E493)),6)))</f>
        <v/>
      </c>
      <c r="H493">
        <f>IF($G493="","",RIGHT($E493,4)&amp;MID($E493,6,2)&amp;RIGHT($E493,2)&amp;IF($F493="","0000",IF($F493="نامعتبر","9999",LEFT($F493,2)&amp;RIGHT($F493,2)))&amp;"|"&amp;RIGHT("00000"&amp;485,5))</f>
        <v/>
      </c>
      <c r="I493">
        <f>IF($H493="","",COUNTIFS(CalcBank,$G493,CalcKey,"&lt;"&amp;$H493)+1)</f>
        <v/>
      </c>
      <c r="J493">
        <f>IF($I493="","",$G493&amp;"|"&amp;RIGHT("000000"&amp;$I493,6))</f>
        <v/>
      </c>
      <c r="K493">
        <f>IF(OR($E493="",$E493="نامعتبر"),"",LEFT($E493,4)&amp;"/"&amp;MID($E493,6,2))</f>
        <v/>
      </c>
      <c r="L493">
        <f>IF(Entry!$K493="",0,Entry!$K493)</f>
        <v/>
      </c>
      <c r="M493">
        <f>IF(Entry!$L493="",0,Entry!$L493)</f>
        <v/>
      </c>
    </row>
    <row r="494">
      <c r="A494">
        <f>IF(Entry!$C494="","",Entry!$C494)</f>
        <v/>
      </c>
      <c r="B494">
        <f>IF($A494="","",IF(ISNUMBER($A494),IF(AND($A494&gt;=10000101,$A494&lt;=99991231),INT($A494/10000),""),IFERROR(VALUE(TRIM(LEFT($A494,FIND("/",$A494)-1))),"")))</f>
        <v/>
      </c>
      <c r="C494">
        <f>IF(OR($A494="",$B494=""),"",IF(ISNUMBER($A494),INT(MOD($A494,10000)/100),IFERROR(VALUE(TRIM(LEFT(MID($A494,FIND("/",$A494)+1,20),FIND("/",MID($A494,FIND("/",$A494)+1,20))-1))),"")))</f>
        <v/>
      </c>
      <c r="D494">
        <f>IF(OR($A494="",$B494=""),"",IF(ISNUMBER($A494),MOD($A494,100),IFERROR(VALUE(TRIM(MID(MID($A494,FIND("/",$A494)+1,20),FIND("/",MID($A494,FIND("/",$A494)+1,20))+1,20))),"")))</f>
        <v/>
      </c>
      <c r="E494">
        <f>IF($A494="","",IF(OR($B494="",$C494="",$D494="",$B494&lt;1300,$B494&gt;1500,$C494&lt;1,$C494&gt;12,$D494&lt;1,$D494&gt;31),"نامعتبر",RIGHT("0000"&amp;$B494,4)&amp;"/"&amp;RIGHT("00"&amp;$C494,2)&amp;"/"&amp;RIGHT("00"&amp;$D494,2)))</f>
        <v/>
      </c>
      <c r="F494">
        <f>IF(Entry!$D494&lt;&gt;"",IF(AND(ISNUMBER(Entry!$D494),Entry!$D494&gt;=0,Entry!$D494&lt;1),RIGHT("00"&amp;HOUR(Entry!$D494),2)&amp;":"&amp;RIGHT("00"&amp;MINUTE(Entry!$D494),2),IFERROR(RIGHT("00"&amp;VALUE(TRIM(LEFT(Entry!$D494,FIND(":",Entry!$D494)-1))),2)&amp;":"&amp;RIGHT("00"&amp;VALUE(TRIM(MID(Entry!$D494,FIND(":",Entry!$D494)+1,2))),2),"نامعتبر")),IF(OR($E494="",$E494="نامعتبر"),"","00:00"))</f>
        <v/>
      </c>
      <c r="G494">
        <f>IF(OR($E494="",$E494="نامعتبر"),"",IF(Entry!$E494="","",LEFT(UPPER(TRIM(Entry!$E494)),6)))</f>
        <v/>
      </c>
      <c r="H494">
        <f>IF($G494="","",RIGHT($E494,4)&amp;MID($E494,6,2)&amp;RIGHT($E494,2)&amp;IF($F494="","0000",IF($F494="نامعتبر","9999",LEFT($F494,2)&amp;RIGHT($F494,2)))&amp;"|"&amp;RIGHT("00000"&amp;486,5))</f>
        <v/>
      </c>
      <c r="I494">
        <f>IF($H494="","",COUNTIFS(CalcBank,$G494,CalcKey,"&lt;"&amp;$H494)+1)</f>
        <v/>
      </c>
      <c r="J494">
        <f>IF($I494="","",$G494&amp;"|"&amp;RIGHT("000000"&amp;$I494,6))</f>
        <v/>
      </c>
      <c r="K494">
        <f>IF(OR($E494="",$E494="نامعتبر"),"",LEFT($E494,4)&amp;"/"&amp;MID($E494,6,2))</f>
        <v/>
      </c>
      <c r="L494">
        <f>IF(Entry!$K494="",0,Entry!$K494)</f>
        <v/>
      </c>
      <c r="M494">
        <f>IF(Entry!$L494="",0,Entry!$L494)</f>
        <v/>
      </c>
    </row>
    <row r="495">
      <c r="A495">
        <f>IF(Entry!$C495="","",Entry!$C495)</f>
        <v/>
      </c>
      <c r="B495">
        <f>IF($A495="","",IF(ISNUMBER($A495),IF(AND($A495&gt;=10000101,$A495&lt;=99991231),INT($A495/10000),""),IFERROR(VALUE(TRIM(LEFT($A495,FIND("/",$A495)-1))),"")))</f>
        <v/>
      </c>
      <c r="C495">
        <f>IF(OR($A495="",$B495=""),"",IF(ISNUMBER($A495),INT(MOD($A495,10000)/100),IFERROR(VALUE(TRIM(LEFT(MID($A495,FIND("/",$A495)+1,20),FIND("/",MID($A495,FIND("/",$A495)+1,20))-1))),"")))</f>
        <v/>
      </c>
      <c r="D495">
        <f>IF(OR($A495="",$B495=""),"",IF(ISNUMBER($A495),MOD($A495,100),IFERROR(VALUE(TRIM(MID(MID($A495,FIND("/",$A495)+1,20),FIND("/",MID($A495,FIND("/",$A495)+1,20))+1,20))),"")))</f>
        <v/>
      </c>
      <c r="E495">
        <f>IF($A495="","",IF(OR($B495="",$C495="",$D495="",$B495&lt;1300,$B495&gt;1500,$C495&lt;1,$C495&gt;12,$D495&lt;1,$D495&gt;31),"نامعتبر",RIGHT("0000"&amp;$B495,4)&amp;"/"&amp;RIGHT("00"&amp;$C495,2)&amp;"/"&amp;RIGHT("00"&amp;$D495,2)))</f>
        <v/>
      </c>
      <c r="F495">
        <f>IF(Entry!$D495&lt;&gt;"",IF(AND(ISNUMBER(Entry!$D495),Entry!$D495&gt;=0,Entry!$D495&lt;1),RIGHT("00"&amp;HOUR(Entry!$D495),2)&amp;":"&amp;RIGHT("00"&amp;MINUTE(Entry!$D495),2),IFERROR(RIGHT("00"&amp;VALUE(TRIM(LEFT(Entry!$D495,FIND(":",Entry!$D495)-1))),2)&amp;":"&amp;RIGHT("00"&amp;VALUE(TRIM(MID(Entry!$D495,FIND(":",Entry!$D495)+1,2))),2),"نامعتبر")),IF(OR($E495="",$E495="نامعتبر"),"","00:00"))</f>
        <v/>
      </c>
      <c r="G495">
        <f>IF(OR($E495="",$E495="نامعتبر"),"",IF(Entry!$E495="","",LEFT(UPPER(TRIM(Entry!$E495)),6)))</f>
        <v/>
      </c>
      <c r="H495">
        <f>IF($G495="","",RIGHT($E495,4)&amp;MID($E495,6,2)&amp;RIGHT($E495,2)&amp;IF($F495="","0000",IF($F495="نامعتبر","9999",LEFT($F495,2)&amp;RIGHT($F495,2)))&amp;"|"&amp;RIGHT("00000"&amp;487,5))</f>
        <v/>
      </c>
      <c r="I495">
        <f>IF($H495="","",COUNTIFS(CalcBank,$G495,CalcKey,"&lt;"&amp;$H495)+1)</f>
        <v/>
      </c>
      <c r="J495">
        <f>IF($I495="","",$G495&amp;"|"&amp;RIGHT("000000"&amp;$I495,6))</f>
        <v/>
      </c>
      <c r="K495">
        <f>IF(OR($E495="",$E495="نامعتبر"),"",LEFT($E495,4)&amp;"/"&amp;MID($E495,6,2))</f>
        <v/>
      </c>
      <c r="L495">
        <f>IF(Entry!$K495="",0,Entry!$K495)</f>
        <v/>
      </c>
      <c r="M495">
        <f>IF(Entry!$L495="",0,Entry!$L495)</f>
        <v/>
      </c>
    </row>
    <row r="496">
      <c r="A496">
        <f>IF(Entry!$C496="","",Entry!$C496)</f>
        <v/>
      </c>
      <c r="B496">
        <f>IF($A496="","",IF(ISNUMBER($A496),IF(AND($A496&gt;=10000101,$A496&lt;=99991231),INT($A496/10000),""),IFERROR(VALUE(TRIM(LEFT($A496,FIND("/",$A496)-1))),"")))</f>
        <v/>
      </c>
      <c r="C496">
        <f>IF(OR($A496="",$B496=""),"",IF(ISNUMBER($A496),INT(MOD($A496,10000)/100),IFERROR(VALUE(TRIM(LEFT(MID($A496,FIND("/",$A496)+1,20),FIND("/",MID($A496,FIND("/",$A496)+1,20))-1))),"")))</f>
        <v/>
      </c>
      <c r="D496">
        <f>IF(OR($A496="",$B496=""),"",IF(ISNUMBER($A496),MOD($A496,100),IFERROR(VALUE(TRIM(MID(MID($A496,FIND("/",$A496)+1,20),FIND("/",MID($A496,FIND("/",$A496)+1,20))+1,20))),"")))</f>
        <v/>
      </c>
      <c r="E496">
        <f>IF($A496="","",IF(OR($B496="",$C496="",$D496="",$B496&lt;1300,$B496&gt;1500,$C496&lt;1,$C496&gt;12,$D496&lt;1,$D496&gt;31),"نامعتبر",RIGHT("0000"&amp;$B496,4)&amp;"/"&amp;RIGHT("00"&amp;$C496,2)&amp;"/"&amp;RIGHT("00"&amp;$D496,2)))</f>
        <v/>
      </c>
      <c r="F496">
        <f>IF(Entry!$D496&lt;&gt;"",IF(AND(ISNUMBER(Entry!$D496),Entry!$D496&gt;=0,Entry!$D496&lt;1),RIGHT("00"&amp;HOUR(Entry!$D496),2)&amp;":"&amp;RIGHT("00"&amp;MINUTE(Entry!$D496),2),IFERROR(RIGHT("00"&amp;VALUE(TRIM(LEFT(Entry!$D496,FIND(":",Entry!$D496)-1))),2)&amp;":"&amp;RIGHT("00"&amp;VALUE(TRIM(MID(Entry!$D496,FIND(":",Entry!$D496)+1,2))),2),"نامعتبر")),IF(OR($E496="",$E496="نامعتبر"),"","00:00"))</f>
        <v/>
      </c>
      <c r="G496">
        <f>IF(OR($E496="",$E496="نامعتبر"),"",IF(Entry!$E496="","",LEFT(UPPER(TRIM(Entry!$E496)),6)))</f>
        <v/>
      </c>
      <c r="H496">
        <f>IF($G496="","",RIGHT($E496,4)&amp;MID($E496,6,2)&amp;RIGHT($E496,2)&amp;IF($F496="","0000",IF($F496="نامعتبر","9999",LEFT($F496,2)&amp;RIGHT($F496,2)))&amp;"|"&amp;RIGHT("00000"&amp;488,5))</f>
        <v/>
      </c>
      <c r="I496">
        <f>IF($H496="","",COUNTIFS(CalcBank,$G496,CalcKey,"&lt;"&amp;$H496)+1)</f>
        <v/>
      </c>
      <c r="J496">
        <f>IF($I496="","",$G496&amp;"|"&amp;RIGHT("000000"&amp;$I496,6))</f>
        <v/>
      </c>
      <c r="K496">
        <f>IF(OR($E496="",$E496="نامعتبر"),"",LEFT($E496,4)&amp;"/"&amp;MID($E496,6,2))</f>
        <v/>
      </c>
      <c r="L496">
        <f>IF(Entry!$K496="",0,Entry!$K496)</f>
        <v/>
      </c>
      <c r="M496">
        <f>IF(Entry!$L496="",0,Entry!$L496)</f>
        <v/>
      </c>
    </row>
    <row r="497">
      <c r="A497">
        <f>IF(Entry!$C497="","",Entry!$C497)</f>
        <v/>
      </c>
      <c r="B497">
        <f>IF($A497="","",IF(ISNUMBER($A497),IF(AND($A497&gt;=10000101,$A497&lt;=99991231),INT($A497/10000),""),IFERROR(VALUE(TRIM(LEFT($A497,FIND("/",$A497)-1))),"")))</f>
        <v/>
      </c>
      <c r="C497">
        <f>IF(OR($A497="",$B497=""),"",IF(ISNUMBER($A497),INT(MOD($A497,10000)/100),IFERROR(VALUE(TRIM(LEFT(MID($A497,FIND("/",$A497)+1,20),FIND("/",MID($A497,FIND("/",$A497)+1,20))-1))),"")))</f>
        <v/>
      </c>
      <c r="D497">
        <f>IF(OR($A497="",$B497=""),"",IF(ISNUMBER($A497),MOD($A497,100),IFERROR(VALUE(TRIM(MID(MID($A497,FIND("/",$A497)+1,20),FIND("/",MID($A497,FIND("/",$A497)+1,20))+1,20))),"")))</f>
        <v/>
      </c>
      <c r="E497">
        <f>IF($A497="","",IF(OR($B497="",$C497="",$D497="",$B497&lt;1300,$B497&gt;1500,$C497&lt;1,$C497&gt;12,$D497&lt;1,$D497&gt;31),"نامعتبر",RIGHT("0000"&amp;$B497,4)&amp;"/"&amp;RIGHT("00"&amp;$C497,2)&amp;"/"&amp;RIGHT("00"&amp;$D497,2)))</f>
        <v/>
      </c>
      <c r="F497">
        <f>IF(Entry!$D497&lt;&gt;"",IF(AND(ISNUMBER(Entry!$D497),Entry!$D497&gt;=0,Entry!$D497&lt;1),RIGHT("00"&amp;HOUR(Entry!$D497),2)&amp;":"&amp;RIGHT("00"&amp;MINUTE(Entry!$D497),2),IFERROR(RIGHT("00"&amp;VALUE(TRIM(LEFT(Entry!$D497,FIND(":",Entry!$D497)-1))),2)&amp;":"&amp;RIGHT("00"&amp;VALUE(TRIM(MID(Entry!$D497,FIND(":",Entry!$D497)+1,2))),2),"نامعتبر")),IF(OR($E497="",$E497="نامعتبر"),"","00:00"))</f>
        <v/>
      </c>
      <c r="G497">
        <f>IF(OR($E497="",$E497="نامعتبر"),"",IF(Entry!$E497="","",LEFT(UPPER(TRIM(Entry!$E497)),6)))</f>
        <v/>
      </c>
      <c r="H497">
        <f>IF($G497="","",RIGHT($E497,4)&amp;MID($E497,6,2)&amp;RIGHT($E497,2)&amp;IF($F497="","0000",IF($F497="نامعتبر","9999",LEFT($F497,2)&amp;RIGHT($F497,2)))&amp;"|"&amp;RIGHT("00000"&amp;489,5))</f>
        <v/>
      </c>
      <c r="I497">
        <f>IF($H497="","",COUNTIFS(CalcBank,$G497,CalcKey,"&lt;"&amp;$H497)+1)</f>
        <v/>
      </c>
      <c r="J497">
        <f>IF($I497="","",$G497&amp;"|"&amp;RIGHT("000000"&amp;$I497,6))</f>
        <v/>
      </c>
      <c r="K497">
        <f>IF(OR($E497="",$E497="نامعتبر"),"",LEFT($E497,4)&amp;"/"&amp;MID($E497,6,2))</f>
        <v/>
      </c>
      <c r="L497">
        <f>IF(Entry!$K497="",0,Entry!$K497)</f>
        <v/>
      </c>
      <c r="M497">
        <f>IF(Entry!$L497="",0,Entry!$L497)</f>
        <v/>
      </c>
    </row>
    <row r="498">
      <c r="A498">
        <f>IF(Entry!$C498="","",Entry!$C498)</f>
        <v/>
      </c>
      <c r="B498">
        <f>IF($A498="","",IF(ISNUMBER($A498),IF(AND($A498&gt;=10000101,$A498&lt;=99991231),INT($A498/10000),""),IFERROR(VALUE(TRIM(LEFT($A498,FIND("/",$A498)-1))),"")))</f>
        <v/>
      </c>
      <c r="C498">
        <f>IF(OR($A498="",$B498=""),"",IF(ISNUMBER($A498),INT(MOD($A498,10000)/100),IFERROR(VALUE(TRIM(LEFT(MID($A498,FIND("/",$A498)+1,20),FIND("/",MID($A498,FIND("/",$A498)+1,20))-1))),"")))</f>
        <v/>
      </c>
      <c r="D498">
        <f>IF(OR($A498="",$B498=""),"",IF(ISNUMBER($A498),MOD($A498,100),IFERROR(VALUE(TRIM(MID(MID($A498,FIND("/",$A498)+1,20),FIND("/",MID($A498,FIND("/",$A498)+1,20))+1,20))),"")))</f>
        <v/>
      </c>
      <c r="E498">
        <f>IF($A498="","",IF(OR($B498="",$C498="",$D498="",$B498&lt;1300,$B498&gt;1500,$C498&lt;1,$C498&gt;12,$D498&lt;1,$D498&gt;31),"نامعتبر",RIGHT("0000"&amp;$B498,4)&amp;"/"&amp;RIGHT("00"&amp;$C498,2)&amp;"/"&amp;RIGHT("00"&amp;$D498,2)))</f>
        <v/>
      </c>
      <c r="F498">
        <f>IF(Entry!$D498&lt;&gt;"",IF(AND(ISNUMBER(Entry!$D498),Entry!$D498&gt;=0,Entry!$D498&lt;1),RIGHT("00"&amp;HOUR(Entry!$D498),2)&amp;":"&amp;RIGHT("00"&amp;MINUTE(Entry!$D498),2),IFERROR(RIGHT("00"&amp;VALUE(TRIM(LEFT(Entry!$D498,FIND(":",Entry!$D498)-1))),2)&amp;":"&amp;RIGHT("00"&amp;VALUE(TRIM(MID(Entry!$D498,FIND(":",Entry!$D498)+1,2))),2),"نامعتبر")),IF(OR($E498="",$E498="نامعتبر"),"","00:00"))</f>
        <v/>
      </c>
      <c r="G498">
        <f>IF(OR($E498="",$E498="نامعتبر"),"",IF(Entry!$E498="","",LEFT(UPPER(TRIM(Entry!$E498)),6)))</f>
        <v/>
      </c>
      <c r="H498">
        <f>IF($G498="","",RIGHT($E498,4)&amp;MID($E498,6,2)&amp;RIGHT($E498,2)&amp;IF($F498="","0000",IF($F498="نامعتبر","9999",LEFT($F498,2)&amp;RIGHT($F498,2)))&amp;"|"&amp;RIGHT("00000"&amp;490,5))</f>
        <v/>
      </c>
      <c r="I498">
        <f>IF($H498="","",COUNTIFS(CalcBank,$G498,CalcKey,"&lt;"&amp;$H498)+1)</f>
        <v/>
      </c>
      <c r="J498">
        <f>IF($I498="","",$G498&amp;"|"&amp;RIGHT("000000"&amp;$I498,6))</f>
        <v/>
      </c>
      <c r="K498">
        <f>IF(OR($E498="",$E498="نامعتبر"),"",LEFT($E498,4)&amp;"/"&amp;MID($E498,6,2))</f>
        <v/>
      </c>
      <c r="L498">
        <f>IF(Entry!$K498="",0,Entry!$K498)</f>
        <v/>
      </c>
      <c r="M498">
        <f>IF(Entry!$L498="",0,Entry!$L498)</f>
        <v/>
      </c>
    </row>
    <row r="499">
      <c r="A499">
        <f>IF(Entry!$C499="","",Entry!$C499)</f>
        <v/>
      </c>
      <c r="B499">
        <f>IF($A499="","",IF(ISNUMBER($A499),IF(AND($A499&gt;=10000101,$A499&lt;=99991231),INT($A499/10000),""),IFERROR(VALUE(TRIM(LEFT($A499,FIND("/",$A499)-1))),"")))</f>
        <v/>
      </c>
      <c r="C499">
        <f>IF(OR($A499="",$B499=""),"",IF(ISNUMBER($A499),INT(MOD($A499,10000)/100),IFERROR(VALUE(TRIM(LEFT(MID($A499,FIND("/",$A499)+1,20),FIND("/",MID($A499,FIND("/",$A499)+1,20))-1))),"")))</f>
        <v/>
      </c>
      <c r="D499">
        <f>IF(OR($A499="",$B499=""),"",IF(ISNUMBER($A499),MOD($A499,100),IFERROR(VALUE(TRIM(MID(MID($A499,FIND("/",$A499)+1,20),FIND("/",MID($A499,FIND("/",$A499)+1,20))+1,20))),"")))</f>
        <v/>
      </c>
      <c r="E499">
        <f>IF($A499="","",IF(OR($B499="",$C499="",$D499="",$B499&lt;1300,$B499&gt;1500,$C499&lt;1,$C499&gt;12,$D499&lt;1,$D499&gt;31),"نامعتبر",RIGHT("0000"&amp;$B499,4)&amp;"/"&amp;RIGHT("00"&amp;$C499,2)&amp;"/"&amp;RIGHT("00"&amp;$D499,2)))</f>
        <v/>
      </c>
      <c r="F499">
        <f>IF(Entry!$D499&lt;&gt;"",IF(AND(ISNUMBER(Entry!$D499),Entry!$D499&gt;=0,Entry!$D499&lt;1),RIGHT("00"&amp;HOUR(Entry!$D499),2)&amp;":"&amp;RIGHT("00"&amp;MINUTE(Entry!$D499),2),IFERROR(RIGHT("00"&amp;VALUE(TRIM(LEFT(Entry!$D499,FIND(":",Entry!$D499)-1))),2)&amp;":"&amp;RIGHT("00"&amp;VALUE(TRIM(MID(Entry!$D499,FIND(":",Entry!$D499)+1,2))),2),"نامعتبر")),IF(OR($E499="",$E499="نامعتبر"),"","00:00"))</f>
        <v/>
      </c>
      <c r="G499">
        <f>IF(OR($E499="",$E499="نامعتبر"),"",IF(Entry!$E499="","",LEFT(UPPER(TRIM(Entry!$E499)),6)))</f>
        <v/>
      </c>
      <c r="H499">
        <f>IF($G499="","",RIGHT($E499,4)&amp;MID($E499,6,2)&amp;RIGHT($E499,2)&amp;IF($F499="","0000",IF($F499="نامعتبر","9999",LEFT($F499,2)&amp;RIGHT($F499,2)))&amp;"|"&amp;RIGHT("00000"&amp;491,5))</f>
        <v/>
      </c>
      <c r="I499">
        <f>IF($H499="","",COUNTIFS(CalcBank,$G499,CalcKey,"&lt;"&amp;$H499)+1)</f>
        <v/>
      </c>
      <c r="J499">
        <f>IF($I499="","",$G499&amp;"|"&amp;RIGHT("000000"&amp;$I499,6))</f>
        <v/>
      </c>
      <c r="K499">
        <f>IF(OR($E499="",$E499="نامعتبر"),"",LEFT($E499,4)&amp;"/"&amp;MID($E499,6,2))</f>
        <v/>
      </c>
      <c r="L499">
        <f>IF(Entry!$K499="",0,Entry!$K499)</f>
        <v/>
      </c>
      <c r="M499">
        <f>IF(Entry!$L499="",0,Entry!$L499)</f>
        <v/>
      </c>
    </row>
    <row r="500">
      <c r="A500">
        <f>IF(Entry!$C500="","",Entry!$C500)</f>
        <v/>
      </c>
      <c r="B500">
        <f>IF($A500="","",IF(ISNUMBER($A500),IF(AND($A500&gt;=10000101,$A500&lt;=99991231),INT($A500/10000),""),IFERROR(VALUE(TRIM(LEFT($A500,FIND("/",$A500)-1))),"")))</f>
        <v/>
      </c>
      <c r="C500">
        <f>IF(OR($A500="",$B500=""),"",IF(ISNUMBER($A500),INT(MOD($A500,10000)/100),IFERROR(VALUE(TRIM(LEFT(MID($A500,FIND("/",$A500)+1,20),FIND("/",MID($A500,FIND("/",$A500)+1,20))-1))),"")))</f>
        <v/>
      </c>
      <c r="D500">
        <f>IF(OR($A500="",$B500=""),"",IF(ISNUMBER($A500),MOD($A500,100),IFERROR(VALUE(TRIM(MID(MID($A500,FIND("/",$A500)+1,20),FIND("/",MID($A500,FIND("/",$A500)+1,20))+1,20))),"")))</f>
        <v/>
      </c>
      <c r="E500">
        <f>IF($A500="","",IF(OR($B500="",$C500="",$D500="",$B500&lt;1300,$B500&gt;1500,$C500&lt;1,$C500&gt;12,$D500&lt;1,$D500&gt;31),"نامعتبر",RIGHT("0000"&amp;$B500,4)&amp;"/"&amp;RIGHT("00"&amp;$C500,2)&amp;"/"&amp;RIGHT("00"&amp;$D500,2)))</f>
        <v/>
      </c>
      <c r="F500">
        <f>IF(Entry!$D500&lt;&gt;"",IF(AND(ISNUMBER(Entry!$D500),Entry!$D500&gt;=0,Entry!$D500&lt;1),RIGHT("00"&amp;HOUR(Entry!$D500),2)&amp;":"&amp;RIGHT("00"&amp;MINUTE(Entry!$D500),2),IFERROR(RIGHT("00"&amp;VALUE(TRIM(LEFT(Entry!$D500,FIND(":",Entry!$D500)-1))),2)&amp;":"&amp;RIGHT("00"&amp;VALUE(TRIM(MID(Entry!$D500,FIND(":",Entry!$D500)+1,2))),2),"نامعتبر")),IF(OR($E500="",$E500="نامعتبر"),"","00:00"))</f>
        <v/>
      </c>
      <c r="G500">
        <f>IF(OR($E500="",$E500="نامعتبر"),"",IF(Entry!$E500="","",LEFT(UPPER(TRIM(Entry!$E500)),6)))</f>
        <v/>
      </c>
      <c r="H500">
        <f>IF($G500="","",RIGHT($E500,4)&amp;MID($E500,6,2)&amp;RIGHT($E500,2)&amp;IF($F500="","0000",IF($F500="نامعتبر","9999",LEFT($F500,2)&amp;RIGHT($F500,2)))&amp;"|"&amp;RIGHT("00000"&amp;492,5))</f>
        <v/>
      </c>
      <c r="I500">
        <f>IF($H500="","",COUNTIFS(CalcBank,$G500,CalcKey,"&lt;"&amp;$H500)+1)</f>
        <v/>
      </c>
      <c r="J500">
        <f>IF($I500="","",$G500&amp;"|"&amp;RIGHT("000000"&amp;$I500,6))</f>
        <v/>
      </c>
      <c r="K500">
        <f>IF(OR($E500="",$E500="نامعتبر"),"",LEFT($E500,4)&amp;"/"&amp;MID($E500,6,2))</f>
        <v/>
      </c>
      <c r="L500">
        <f>IF(Entry!$K500="",0,Entry!$K500)</f>
        <v/>
      </c>
      <c r="M500">
        <f>IF(Entry!$L500="",0,Entry!$L500)</f>
        <v/>
      </c>
    </row>
    <row r="501">
      <c r="A501">
        <f>IF(Entry!$C501="","",Entry!$C501)</f>
        <v/>
      </c>
      <c r="B501">
        <f>IF($A501="","",IF(ISNUMBER($A501),IF(AND($A501&gt;=10000101,$A501&lt;=99991231),INT($A501/10000),""),IFERROR(VALUE(TRIM(LEFT($A501,FIND("/",$A501)-1))),"")))</f>
        <v/>
      </c>
      <c r="C501">
        <f>IF(OR($A501="",$B501=""),"",IF(ISNUMBER($A501),INT(MOD($A501,10000)/100),IFERROR(VALUE(TRIM(LEFT(MID($A501,FIND("/",$A501)+1,20),FIND("/",MID($A501,FIND("/",$A501)+1,20))-1))),"")))</f>
        <v/>
      </c>
      <c r="D501">
        <f>IF(OR($A501="",$B501=""),"",IF(ISNUMBER($A501),MOD($A501,100),IFERROR(VALUE(TRIM(MID(MID($A501,FIND("/",$A501)+1,20),FIND("/",MID($A501,FIND("/",$A501)+1,20))+1,20))),"")))</f>
        <v/>
      </c>
      <c r="E501">
        <f>IF($A501="","",IF(OR($B501="",$C501="",$D501="",$B501&lt;1300,$B501&gt;1500,$C501&lt;1,$C501&gt;12,$D501&lt;1,$D501&gt;31),"نامعتبر",RIGHT("0000"&amp;$B501,4)&amp;"/"&amp;RIGHT("00"&amp;$C501,2)&amp;"/"&amp;RIGHT("00"&amp;$D501,2)))</f>
        <v/>
      </c>
      <c r="F501">
        <f>IF(Entry!$D501&lt;&gt;"",IF(AND(ISNUMBER(Entry!$D501),Entry!$D501&gt;=0,Entry!$D501&lt;1),RIGHT("00"&amp;HOUR(Entry!$D501),2)&amp;":"&amp;RIGHT("00"&amp;MINUTE(Entry!$D501),2),IFERROR(RIGHT("00"&amp;VALUE(TRIM(LEFT(Entry!$D501,FIND(":",Entry!$D501)-1))),2)&amp;":"&amp;RIGHT("00"&amp;VALUE(TRIM(MID(Entry!$D501,FIND(":",Entry!$D501)+1,2))),2),"نامعتبر")),IF(OR($E501="",$E501="نامعتبر"),"","00:00"))</f>
        <v/>
      </c>
      <c r="G501">
        <f>IF(OR($E501="",$E501="نامعتبر"),"",IF(Entry!$E501="","",LEFT(UPPER(TRIM(Entry!$E501)),6)))</f>
        <v/>
      </c>
      <c r="H501">
        <f>IF($G501="","",RIGHT($E501,4)&amp;MID($E501,6,2)&amp;RIGHT($E501,2)&amp;IF($F501="","0000",IF($F501="نامعتبر","9999",LEFT($F501,2)&amp;RIGHT($F501,2)))&amp;"|"&amp;RIGHT("00000"&amp;493,5))</f>
        <v/>
      </c>
      <c r="I501">
        <f>IF($H501="","",COUNTIFS(CalcBank,$G501,CalcKey,"&lt;"&amp;$H501)+1)</f>
        <v/>
      </c>
      <c r="J501">
        <f>IF($I501="","",$G501&amp;"|"&amp;RIGHT("000000"&amp;$I501,6))</f>
        <v/>
      </c>
      <c r="K501">
        <f>IF(OR($E501="",$E501="نامعتبر"),"",LEFT($E501,4)&amp;"/"&amp;MID($E501,6,2))</f>
        <v/>
      </c>
      <c r="L501">
        <f>IF(Entry!$K501="",0,Entry!$K501)</f>
        <v/>
      </c>
      <c r="M501">
        <f>IF(Entry!$L501="",0,Entry!$L501)</f>
        <v/>
      </c>
    </row>
    <row r="502">
      <c r="A502">
        <f>IF(Entry!$C502="","",Entry!$C502)</f>
        <v/>
      </c>
      <c r="B502">
        <f>IF($A502="","",IF(ISNUMBER($A502),IF(AND($A502&gt;=10000101,$A502&lt;=99991231),INT($A502/10000),""),IFERROR(VALUE(TRIM(LEFT($A502,FIND("/",$A502)-1))),"")))</f>
        <v/>
      </c>
      <c r="C502">
        <f>IF(OR($A502="",$B502=""),"",IF(ISNUMBER($A502),INT(MOD($A502,10000)/100),IFERROR(VALUE(TRIM(LEFT(MID($A502,FIND("/",$A502)+1,20),FIND("/",MID($A502,FIND("/",$A502)+1,20))-1))),"")))</f>
        <v/>
      </c>
      <c r="D502">
        <f>IF(OR($A502="",$B502=""),"",IF(ISNUMBER($A502),MOD($A502,100),IFERROR(VALUE(TRIM(MID(MID($A502,FIND("/",$A502)+1,20),FIND("/",MID($A502,FIND("/",$A502)+1,20))+1,20))),"")))</f>
        <v/>
      </c>
      <c r="E502">
        <f>IF($A502="","",IF(OR($B502="",$C502="",$D502="",$B502&lt;1300,$B502&gt;1500,$C502&lt;1,$C502&gt;12,$D502&lt;1,$D502&gt;31),"نامعتبر",RIGHT("0000"&amp;$B502,4)&amp;"/"&amp;RIGHT("00"&amp;$C502,2)&amp;"/"&amp;RIGHT("00"&amp;$D502,2)))</f>
        <v/>
      </c>
      <c r="F502">
        <f>IF(Entry!$D502&lt;&gt;"",IF(AND(ISNUMBER(Entry!$D502),Entry!$D502&gt;=0,Entry!$D502&lt;1),RIGHT("00"&amp;HOUR(Entry!$D502),2)&amp;":"&amp;RIGHT("00"&amp;MINUTE(Entry!$D502),2),IFERROR(RIGHT("00"&amp;VALUE(TRIM(LEFT(Entry!$D502,FIND(":",Entry!$D502)-1))),2)&amp;":"&amp;RIGHT("00"&amp;VALUE(TRIM(MID(Entry!$D502,FIND(":",Entry!$D502)+1,2))),2),"نامعتبر")),IF(OR($E502="",$E502="نامعتبر"),"","00:00"))</f>
        <v/>
      </c>
      <c r="G502">
        <f>IF(OR($E502="",$E502="نامعتبر"),"",IF(Entry!$E502="","",LEFT(UPPER(TRIM(Entry!$E502)),6)))</f>
        <v/>
      </c>
      <c r="H502">
        <f>IF($G502="","",RIGHT($E502,4)&amp;MID($E502,6,2)&amp;RIGHT($E502,2)&amp;IF($F502="","0000",IF($F502="نامعتبر","9999",LEFT($F502,2)&amp;RIGHT($F502,2)))&amp;"|"&amp;RIGHT("00000"&amp;494,5))</f>
        <v/>
      </c>
      <c r="I502">
        <f>IF($H502="","",COUNTIFS(CalcBank,$G502,CalcKey,"&lt;"&amp;$H502)+1)</f>
        <v/>
      </c>
      <c r="J502">
        <f>IF($I502="","",$G502&amp;"|"&amp;RIGHT("000000"&amp;$I502,6))</f>
        <v/>
      </c>
      <c r="K502">
        <f>IF(OR($E502="",$E502="نامعتبر"),"",LEFT($E502,4)&amp;"/"&amp;MID($E502,6,2))</f>
        <v/>
      </c>
      <c r="L502">
        <f>IF(Entry!$K502="",0,Entry!$K502)</f>
        <v/>
      </c>
      <c r="M502">
        <f>IF(Entry!$L502="",0,Entry!$L502)</f>
        <v/>
      </c>
    </row>
    <row r="503">
      <c r="A503">
        <f>IF(Entry!$C503="","",Entry!$C503)</f>
        <v/>
      </c>
      <c r="B503">
        <f>IF($A503="","",IF(ISNUMBER($A503),IF(AND($A503&gt;=10000101,$A503&lt;=99991231),INT($A503/10000),""),IFERROR(VALUE(TRIM(LEFT($A503,FIND("/",$A503)-1))),"")))</f>
        <v/>
      </c>
      <c r="C503">
        <f>IF(OR($A503="",$B503=""),"",IF(ISNUMBER($A503),INT(MOD($A503,10000)/100),IFERROR(VALUE(TRIM(LEFT(MID($A503,FIND("/",$A503)+1,20),FIND("/",MID($A503,FIND("/",$A503)+1,20))-1))),"")))</f>
        <v/>
      </c>
      <c r="D503">
        <f>IF(OR($A503="",$B503=""),"",IF(ISNUMBER($A503),MOD($A503,100),IFERROR(VALUE(TRIM(MID(MID($A503,FIND("/",$A503)+1,20),FIND("/",MID($A503,FIND("/",$A503)+1,20))+1,20))),"")))</f>
        <v/>
      </c>
      <c r="E503">
        <f>IF($A503="","",IF(OR($B503="",$C503="",$D503="",$B503&lt;1300,$B503&gt;1500,$C503&lt;1,$C503&gt;12,$D503&lt;1,$D503&gt;31),"نامعتبر",RIGHT("0000"&amp;$B503,4)&amp;"/"&amp;RIGHT("00"&amp;$C503,2)&amp;"/"&amp;RIGHT("00"&amp;$D503,2)))</f>
        <v/>
      </c>
      <c r="F503">
        <f>IF(Entry!$D503&lt;&gt;"",IF(AND(ISNUMBER(Entry!$D503),Entry!$D503&gt;=0,Entry!$D503&lt;1),RIGHT("00"&amp;HOUR(Entry!$D503),2)&amp;":"&amp;RIGHT("00"&amp;MINUTE(Entry!$D503),2),IFERROR(RIGHT("00"&amp;VALUE(TRIM(LEFT(Entry!$D503,FIND(":",Entry!$D503)-1))),2)&amp;":"&amp;RIGHT("00"&amp;VALUE(TRIM(MID(Entry!$D503,FIND(":",Entry!$D503)+1,2))),2),"نامعتبر")),IF(OR($E503="",$E503="نامعتبر"),"","00:00"))</f>
        <v/>
      </c>
      <c r="G503">
        <f>IF(OR($E503="",$E503="نامعتبر"),"",IF(Entry!$E503="","",LEFT(UPPER(TRIM(Entry!$E503)),6)))</f>
        <v/>
      </c>
      <c r="H503">
        <f>IF($G503="","",RIGHT($E503,4)&amp;MID($E503,6,2)&amp;RIGHT($E503,2)&amp;IF($F503="","0000",IF($F503="نامعتبر","9999",LEFT($F503,2)&amp;RIGHT($F503,2)))&amp;"|"&amp;RIGHT("00000"&amp;495,5))</f>
        <v/>
      </c>
      <c r="I503">
        <f>IF($H503="","",COUNTIFS(CalcBank,$G503,CalcKey,"&lt;"&amp;$H503)+1)</f>
        <v/>
      </c>
      <c r="J503">
        <f>IF($I503="","",$G503&amp;"|"&amp;RIGHT("000000"&amp;$I503,6))</f>
        <v/>
      </c>
      <c r="K503">
        <f>IF(OR($E503="",$E503="نامعتبر"),"",LEFT($E503,4)&amp;"/"&amp;MID($E503,6,2))</f>
        <v/>
      </c>
      <c r="L503">
        <f>IF(Entry!$K503="",0,Entry!$K503)</f>
        <v/>
      </c>
      <c r="M503">
        <f>IF(Entry!$L503="",0,Entry!$L503)</f>
        <v/>
      </c>
    </row>
    <row r="504">
      <c r="A504">
        <f>IF(Entry!$C504="","",Entry!$C504)</f>
        <v/>
      </c>
      <c r="B504">
        <f>IF($A504="","",IF(ISNUMBER($A504),IF(AND($A504&gt;=10000101,$A504&lt;=99991231),INT($A504/10000),""),IFERROR(VALUE(TRIM(LEFT($A504,FIND("/",$A504)-1))),"")))</f>
        <v/>
      </c>
      <c r="C504">
        <f>IF(OR($A504="",$B504=""),"",IF(ISNUMBER($A504),INT(MOD($A504,10000)/100),IFERROR(VALUE(TRIM(LEFT(MID($A504,FIND("/",$A504)+1,20),FIND("/",MID($A504,FIND("/",$A504)+1,20))-1))),"")))</f>
        <v/>
      </c>
      <c r="D504">
        <f>IF(OR($A504="",$B504=""),"",IF(ISNUMBER($A504),MOD($A504,100),IFERROR(VALUE(TRIM(MID(MID($A504,FIND("/",$A504)+1,20),FIND("/",MID($A504,FIND("/",$A504)+1,20))+1,20))),"")))</f>
        <v/>
      </c>
      <c r="E504">
        <f>IF($A504="","",IF(OR($B504="",$C504="",$D504="",$B504&lt;1300,$B504&gt;1500,$C504&lt;1,$C504&gt;12,$D504&lt;1,$D504&gt;31),"نامعتبر",RIGHT("0000"&amp;$B504,4)&amp;"/"&amp;RIGHT("00"&amp;$C504,2)&amp;"/"&amp;RIGHT("00"&amp;$D504,2)))</f>
        <v/>
      </c>
      <c r="F504">
        <f>IF(Entry!$D504&lt;&gt;"",IF(AND(ISNUMBER(Entry!$D504),Entry!$D504&gt;=0,Entry!$D504&lt;1),RIGHT("00"&amp;HOUR(Entry!$D504),2)&amp;":"&amp;RIGHT("00"&amp;MINUTE(Entry!$D504),2),IFERROR(RIGHT("00"&amp;VALUE(TRIM(LEFT(Entry!$D504,FIND(":",Entry!$D504)-1))),2)&amp;":"&amp;RIGHT("00"&amp;VALUE(TRIM(MID(Entry!$D504,FIND(":",Entry!$D504)+1,2))),2),"نامعتبر")),IF(OR($E504="",$E504="نامعتبر"),"","00:00"))</f>
        <v/>
      </c>
      <c r="G504">
        <f>IF(OR($E504="",$E504="نامعتبر"),"",IF(Entry!$E504="","",LEFT(UPPER(TRIM(Entry!$E504)),6)))</f>
        <v/>
      </c>
      <c r="H504">
        <f>IF($G504="","",RIGHT($E504,4)&amp;MID($E504,6,2)&amp;RIGHT($E504,2)&amp;IF($F504="","0000",IF($F504="نامعتبر","9999",LEFT($F504,2)&amp;RIGHT($F504,2)))&amp;"|"&amp;RIGHT("00000"&amp;496,5))</f>
        <v/>
      </c>
      <c r="I504">
        <f>IF($H504="","",COUNTIFS(CalcBank,$G504,CalcKey,"&lt;"&amp;$H504)+1)</f>
        <v/>
      </c>
      <c r="J504">
        <f>IF($I504="","",$G504&amp;"|"&amp;RIGHT("000000"&amp;$I504,6))</f>
        <v/>
      </c>
      <c r="K504">
        <f>IF(OR($E504="",$E504="نامعتبر"),"",LEFT($E504,4)&amp;"/"&amp;MID($E504,6,2))</f>
        <v/>
      </c>
      <c r="L504">
        <f>IF(Entry!$K504="",0,Entry!$K504)</f>
        <v/>
      </c>
      <c r="M504">
        <f>IF(Entry!$L504="",0,Entry!$L504)</f>
        <v/>
      </c>
    </row>
    <row r="505">
      <c r="A505">
        <f>IF(Entry!$C505="","",Entry!$C505)</f>
        <v/>
      </c>
      <c r="B505">
        <f>IF($A505="","",IF(ISNUMBER($A505),IF(AND($A505&gt;=10000101,$A505&lt;=99991231),INT($A505/10000),""),IFERROR(VALUE(TRIM(LEFT($A505,FIND("/",$A505)-1))),"")))</f>
        <v/>
      </c>
      <c r="C505">
        <f>IF(OR($A505="",$B505=""),"",IF(ISNUMBER($A505),INT(MOD($A505,10000)/100),IFERROR(VALUE(TRIM(LEFT(MID($A505,FIND("/",$A505)+1,20),FIND("/",MID($A505,FIND("/",$A505)+1,20))-1))),"")))</f>
        <v/>
      </c>
      <c r="D505">
        <f>IF(OR($A505="",$B505=""),"",IF(ISNUMBER($A505),MOD($A505,100),IFERROR(VALUE(TRIM(MID(MID($A505,FIND("/",$A505)+1,20),FIND("/",MID($A505,FIND("/",$A505)+1,20))+1,20))),"")))</f>
        <v/>
      </c>
      <c r="E505">
        <f>IF($A505="","",IF(OR($B505="",$C505="",$D505="",$B505&lt;1300,$B505&gt;1500,$C505&lt;1,$C505&gt;12,$D505&lt;1,$D505&gt;31),"نامعتبر",RIGHT("0000"&amp;$B505,4)&amp;"/"&amp;RIGHT("00"&amp;$C505,2)&amp;"/"&amp;RIGHT("00"&amp;$D505,2)))</f>
        <v/>
      </c>
      <c r="F505">
        <f>IF(Entry!$D505&lt;&gt;"",IF(AND(ISNUMBER(Entry!$D505),Entry!$D505&gt;=0,Entry!$D505&lt;1),RIGHT("00"&amp;HOUR(Entry!$D505),2)&amp;":"&amp;RIGHT("00"&amp;MINUTE(Entry!$D505),2),IFERROR(RIGHT("00"&amp;VALUE(TRIM(LEFT(Entry!$D505,FIND(":",Entry!$D505)-1))),2)&amp;":"&amp;RIGHT("00"&amp;VALUE(TRIM(MID(Entry!$D505,FIND(":",Entry!$D505)+1,2))),2),"نامعتبر")),IF(OR($E505="",$E505="نامعتبر"),"","00:00"))</f>
        <v/>
      </c>
      <c r="G505">
        <f>IF(OR($E505="",$E505="نامعتبر"),"",IF(Entry!$E505="","",LEFT(UPPER(TRIM(Entry!$E505)),6)))</f>
        <v/>
      </c>
      <c r="H505">
        <f>IF($G505="","",RIGHT($E505,4)&amp;MID($E505,6,2)&amp;RIGHT($E505,2)&amp;IF($F505="","0000",IF($F505="نامعتبر","9999",LEFT($F505,2)&amp;RIGHT($F505,2)))&amp;"|"&amp;RIGHT("00000"&amp;497,5))</f>
        <v/>
      </c>
      <c r="I505">
        <f>IF($H505="","",COUNTIFS(CalcBank,$G505,CalcKey,"&lt;"&amp;$H505)+1)</f>
        <v/>
      </c>
      <c r="J505">
        <f>IF($I505="","",$G505&amp;"|"&amp;RIGHT("000000"&amp;$I505,6))</f>
        <v/>
      </c>
      <c r="K505">
        <f>IF(OR($E505="",$E505="نامعتبر"),"",LEFT($E505,4)&amp;"/"&amp;MID($E505,6,2))</f>
        <v/>
      </c>
      <c r="L505">
        <f>IF(Entry!$K505="",0,Entry!$K505)</f>
        <v/>
      </c>
      <c r="M505">
        <f>IF(Entry!$L505="",0,Entry!$L505)</f>
        <v/>
      </c>
    </row>
    <row r="506">
      <c r="A506">
        <f>IF(Entry!$C506="","",Entry!$C506)</f>
        <v/>
      </c>
      <c r="B506">
        <f>IF($A506="","",IF(ISNUMBER($A506),IF(AND($A506&gt;=10000101,$A506&lt;=99991231),INT($A506/10000),""),IFERROR(VALUE(TRIM(LEFT($A506,FIND("/",$A506)-1))),"")))</f>
        <v/>
      </c>
      <c r="C506">
        <f>IF(OR($A506="",$B506=""),"",IF(ISNUMBER($A506),INT(MOD($A506,10000)/100),IFERROR(VALUE(TRIM(LEFT(MID($A506,FIND("/",$A506)+1,20),FIND("/",MID($A506,FIND("/",$A506)+1,20))-1))),"")))</f>
        <v/>
      </c>
      <c r="D506">
        <f>IF(OR($A506="",$B506=""),"",IF(ISNUMBER($A506),MOD($A506,100),IFERROR(VALUE(TRIM(MID(MID($A506,FIND("/",$A506)+1,20),FIND("/",MID($A506,FIND("/",$A506)+1,20))+1,20))),"")))</f>
        <v/>
      </c>
      <c r="E506">
        <f>IF($A506="","",IF(OR($B506="",$C506="",$D506="",$B506&lt;1300,$B506&gt;1500,$C506&lt;1,$C506&gt;12,$D506&lt;1,$D506&gt;31),"نامعتبر",RIGHT("0000"&amp;$B506,4)&amp;"/"&amp;RIGHT("00"&amp;$C506,2)&amp;"/"&amp;RIGHT("00"&amp;$D506,2)))</f>
        <v/>
      </c>
      <c r="F506">
        <f>IF(Entry!$D506&lt;&gt;"",IF(AND(ISNUMBER(Entry!$D506),Entry!$D506&gt;=0,Entry!$D506&lt;1),RIGHT("00"&amp;HOUR(Entry!$D506),2)&amp;":"&amp;RIGHT("00"&amp;MINUTE(Entry!$D506),2),IFERROR(RIGHT("00"&amp;VALUE(TRIM(LEFT(Entry!$D506,FIND(":",Entry!$D506)-1))),2)&amp;":"&amp;RIGHT("00"&amp;VALUE(TRIM(MID(Entry!$D506,FIND(":",Entry!$D506)+1,2))),2),"نامعتبر")),IF(OR($E506="",$E506="نامعتبر"),"","00:00"))</f>
        <v/>
      </c>
      <c r="G506">
        <f>IF(OR($E506="",$E506="نامعتبر"),"",IF(Entry!$E506="","",LEFT(UPPER(TRIM(Entry!$E506)),6)))</f>
        <v/>
      </c>
      <c r="H506">
        <f>IF($G506="","",RIGHT($E506,4)&amp;MID($E506,6,2)&amp;RIGHT($E506,2)&amp;IF($F506="","0000",IF($F506="نامعتبر","9999",LEFT($F506,2)&amp;RIGHT($F506,2)))&amp;"|"&amp;RIGHT("00000"&amp;498,5))</f>
        <v/>
      </c>
      <c r="I506">
        <f>IF($H506="","",COUNTIFS(CalcBank,$G506,CalcKey,"&lt;"&amp;$H506)+1)</f>
        <v/>
      </c>
      <c r="J506">
        <f>IF($I506="","",$G506&amp;"|"&amp;RIGHT("000000"&amp;$I506,6))</f>
        <v/>
      </c>
      <c r="K506">
        <f>IF(OR($E506="",$E506="نامعتبر"),"",LEFT($E506,4)&amp;"/"&amp;MID($E506,6,2))</f>
        <v/>
      </c>
      <c r="L506">
        <f>IF(Entry!$K506="",0,Entry!$K506)</f>
        <v/>
      </c>
      <c r="M506">
        <f>IF(Entry!$L506="",0,Entry!$L506)</f>
        <v/>
      </c>
    </row>
    <row r="507">
      <c r="A507">
        <f>IF(Entry!$C507="","",Entry!$C507)</f>
        <v/>
      </c>
      <c r="B507">
        <f>IF($A507="","",IF(ISNUMBER($A507),IF(AND($A507&gt;=10000101,$A507&lt;=99991231),INT($A507/10000),""),IFERROR(VALUE(TRIM(LEFT($A507,FIND("/",$A507)-1))),"")))</f>
        <v/>
      </c>
      <c r="C507">
        <f>IF(OR($A507="",$B507=""),"",IF(ISNUMBER($A507),INT(MOD($A507,10000)/100),IFERROR(VALUE(TRIM(LEFT(MID($A507,FIND("/",$A507)+1,20),FIND("/",MID($A507,FIND("/",$A507)+1,20))-1))),"")))</f>
        <v/>
      </c>
      <c r="D507">
        <f>IF(OR($A507="",$B507=""),"",IF(ISNUMBER($A507),MOD($A507,100),IFERROR(VALUE(TRIM(MID(MID($A507,FIND("/",$A507)+1,20),FIND("/",MID($A507,FIND("/",$A507)+1,20))+1,20))),"")))</f>
        <v/>
      </c>
      <c r="E507">
        <f>IF($A507="","",IF(OR($B507="",$C507="",$D507="",$B507&lt;1300,$B507&gt;1500,$C507&lt;1,$C507&gt;12,$D507&lt;1,$D507&gt;31),"نامعتبر",RIGHT("0000"&amp;$B507,4)&amp;"/"&amp;RIGHT("00"&amp;$C507,2)&amp;"/"&amp;RIGHT("00"&amp;$D507,2)))</f>
        <v/>
      </c>
      <c r="F507">
        <f>IF(Entry!$D507&lt;&gt;"",IF(AND(ISNUMBER(Entry!$D507),Entry!$D507&gt;=0,Entry!$D507&lt;1),RIGHT("00"&amp;HOUR(Entry!$D507),2)&amp;":"&amp;RIGHT("00"&amp;MINUTE(Entry!$D507),2),IFERROR(RIGHT("00"&amp;VALUE(TRIM(LEFT(Entry!$D507,FIND(":",Entry!$D507)-1))),2)&amp;":"&amp;RIGHT("00"&amp;VALUE(TRIM(MID(Entry!$D507,FIND(":",Entry!$D507)+1,2))),2),"نامعتبر")),IF(OR($E507="",$E507="نامعتبر"),"","00:00"))</f>
        <v/>
      </c>
      <c r="G507">
        <f>IF(OR($E507="",$E507="نامعتبر"),"",IF(Entry!$E507="","",LEFT(UPPER(TRIM(Entry!$E507)),6)))</f>
        <v/>
      </c>
      <c r="H507">
        <f>IF($G507="","",RIGHT($E507,4)&amp;MID($E507,6,2)&amp;RIGHT($E507,2)&amp;IF($F507="","0000",IF($F507="نامعتبر","9999",LEFT($F507,2)&amp;RIGHT($F507,2)))&amp;"|"&amp;RIGHT("00000"&amp;499,5))</f>
        <v/>
      </c>
      <c r="I507">
        <f>IF($H507="","",COUNTIFS(CalcBank,$G507,CalcKey,"&lt;"&amp;$H507)+1)</f>
        <v/>
      </c>
      <c r="J507">
        <f>IF($I507="","",$G507&amp;"|"&amp;RIGHT("000000"&amp;$I507,6))</f>
        <v/>
      </c>
      <c r="K507">
        <f>IF(OR($E507="",$E507="نامعتبر"),"",LEFT($E507,4)&amp;"/"&amp;MID($E507,6,2))</f>
        <v/>
      </c>
      <c r="L507">
        <f>IF(Entry!$K507="",0,Entry!$K507)</f>
        <v/>
      </c>
      <c r="M507">
        <f>IF(Entry!$L507="",0,Entry!$L507)</f>
        <v/>
      </c>
    </row>
    <row r="508">
      <c r="A508">
        <f>IF(Entry!$C508="","",Entry!$C508)</f>
        <v/>
      </c>
      <c r="B508">
        <f>IF($A508="","",IF(ISNUMBER($A508),IF(AND($A508&gt;=10000101,$A508&lt;=99991231),INT($A508/10000),""),IFERROR(VALUE(TRIM(LEFT($A508,FIND("/",$A508)-1))),"")))</f>
        <v/>
      </c>
      <c r="C508">
        <f>IF(OR($A508="",$B508=""),"",IF(ISNUMBER($A508),INT(MOD($A508,10000)/100),IFERROR(VALUE(TRIM(LEFT(MID($A508,FIND("/",$A508)+1,20),FIND("/",MID($A508,FIND("/",$A508)+1,20))-1))),"")))</f>
        <v/>
      </c>
      <c r="D508">
        <f>IF(OR($A508="",$B508=""),"",IF(ISNUMBER($A508),MOD($A508,100),IFERROR(VALUE(TRIM(MID(MID($A508,FIND("/",$A508)+1,20),FIND("/",MID($A508,FIND("/",$A508)+1,20))+1,20))),"")))</f>
        <v/>
      </c>
      <c r="E508">
        <f>IF($A508="","",IF(OR($B508="",$C508="",$D508="",$B508&lt;1300,$B508&gt;1500,$C508&lt;1,$C508&gt;12,$D508&lt;1,$D508&gt;31),"نامعتبر",RIGHT("0000"&amp;$B508,4)&amp;"/"&amp;RIGHT("00"&amp;$C508,2)&amp;"/"&amp;RIGHT("00"&amp;$D508,2)))</f>
        <v/>
      </c>
      <c r="F508">
        <f>IF(Entry!$D508&lt;&gt;"",IF(AND(ISNUMBER(Entry!$D508),Entry!$D508&gt;=0,Entry!$D508&lt;1),RIGHT("00"&amp;HOUR(Entry!$D508),2)&amp;":"&amp;RIGHT("00"&amp;MINUTE(Entry!$D508),2),IFERROR(RIGHT("00"&amp;VALUE(TRIM(LEFT(Entry!$D508,FIND(":",Entry!$D508)-1))),2)&amp;":"&amp;RIGHT("00"&amp;VALUE(TRIM(MID(Entry!$D508,FIND(":",Entry!$D508)+1,2))),2),"نامعتبر")),IF(OR($E508="",$E508="نامعتبر"),"","00:00"))</f>
        <v/>
      </c>
      <c r="G508">
        <f>IF(OR($E508="",$E508="نامعتبر"),"",IF(Entry!$E508="","",LEFT(UPPER(TRIM(Entry!$E508)),6)))</f>
        <v/>
      </c>
      <c r="H508">
        <f>IF($G508="","",RIGHT($E508,4)&amp;MID($E508,6,2)&amp;RIGHT($E508,2)&amp;IF($F508="","0000",IF($F508="نامعتبر","9999",LEFT($F508,2)&amp;RIGHT($F508,2)))&amp;"|"&amp;RIGHT("00000"&amp;500,5))</f>
        <v/>
      </c>
      <c r="I508">
        <f>IF($H508="","",COUNTIFS(CalcBank,$G508,CalcKey,"&lt;"&amp;$H508)+1)</f>
        <v/>
      </c>
      <c r="J508">
        <f>IF($I508="","",$G508&amp;"|"&amp;RIGHT("000000"&amp;$I508,6))</f>
        <v/>
      </c>
      <c r="K508">
        <f>IF(OR($E508="",$E508="نامعتبر"),"",LEFT($E508,4)&amp;"/"&amp;MID($E508,6,2))</f>
        <v/>
      </c>
      <c r="L508">
        <f>IF(Entry!$K508="",0,Entry!$K508)</f>
        <v/>
      </c>
      <c r="M508">
        <f>IF(Entry!$L508="",0,Entry!$L508)</f>
        <v/>
      </c>
    </row>
    <row r="509">
      <c r="A509">
        <f>IF(Entry!$C509="","",Entry!$C509)</f>
        <v/>
      </c>
      <c r="B509">
        <f>IF($A509="","",IF(ISNUMBER($A509),IF(AND($A509&gt;=10000101,$A509&lt;=99991231),INT($A509/10000),""),IFERROR(VALUE(TRIM(LEFT($A509,FIND("/",$A509)-1))),"")))</f>
        <v/>
      </c>
      <c r="C509">
        <f>IF(OR($A509="",$B509=""),"",IF(ISNUMBER($A509),INT(MOD($A509,10000)/100),IFERROR(VALUE(TRIM(LEFT(MID($A509,FIND("/",$A509)+1,20),FIND("/",MID($A509,FIND("/",$A509)+1,20))-1))),"")))</f>
        <v/>
      </c>
      <c r="D509">
        <f>IF(OR($A509="",$B509=""),"",IF(ISNUMBER($A509),MOD($A509,100),IFERROR(VALUE(TRIM(MID(MID($A509,FIND("/",$A509)+1,20),FIND("/",MID($A509,FIND("/",$A509)+1,20))+1,20))),"")))</f>
        <v/>
      </c>
      <c r="E509">
        <f>IF($A509="","",IF(OR($B509="",$C509="",$D509="",$B509&lt;1300,$B509&gt;1500,$C509&lt;1,$C509&gt;12,$D509&lt;1,$D509&gt;31),"نامعتبر",RIGHT("0000"&amp;$B509,4)&amp;"/"&amp;RIGHT("00"&amp;$C509,2)&amp;"/"&amp;RIGHT("00"&amp;$D509,2)))</f>
        <v/>
      </c>
      <c r="F509">
        <f>IF(Entry!$D509&lt;&gt;"",IF(AND(ISNUMBER(Entry!$D509),Entry!$D509&gt;=0,Entry!$D509&lt;1),RIGHT("00"&amp;HOUR(Entry!$D509),2)&amp;":"&amp;RIGHT("00"&amp;MINUTE(Entry!$D509),2),IFERROR(RIGHT("00"&amp;VALUE(TRIM(LEFT(Entry!$D509,FIND(":",Entry!$D509)-1))),2)&amp;":"&amp;RIGHT("00"&amp;VALUE(TRIM(MID(Entry!$D509,FIND(":",Entry!$D509)+1,2))),2),"نامعتبر")),IF(OR($E509="",$E509="نامعتبر"),"","00:00"))</f>
        <v/>
      </c>
      <c r="G509">
        <f>IF(OR($E509="",$E509="نامعتبر"),"",IF(Entry!$E509="","",LEFT(UPPER(TRIM(Entry!$E509)),6)))</f>
        <v/>
      </c>
      <c r="H509">
        <f>IF($G509="","",RIGHT($E509,4)&amp;MID($E509,6,2)&amp;RIGHT($E509,2)&amp;IF($F509="","0000",IF($F509="نامعتبر","9999",LEFT($F509,2)&amp;RIGHT($F509,2)))&amp;"|"&amp;RIGHT("00000"&amp;501,5))</f>
        <v/>
      </c>
      <c r="I509">
        <f>IF($H509="","",COUNTIFS(CalcBank,$G509,CalcKey,"&lt;"&amp;$H509)+1)</f>
        <v/>
      </c>
      <c r="J509">
        <f>IF($I509="","",$G509&amp;"|"&amp;RIGHT("000000"&amp;$I509,6))</f>
        <v/>
      </c>
      <c r="K509">
        <f>IF(OR($E509="",$E509="نامعتبر"),"",LEFT($E509,4)&amp;"/"&amp;MID($E509,6,2))</f>
        <v/>
      </c>
      <c r="L509">
        <f>IF(Entry!$K509="",0,Entry!$K509)</f>
        <v/>
      </c>
      <c r="M509">
        <f>IF(Entry!$L509="",0,Entry!$L509)</f>
        <v/>
      </c>
    </row>
    <row r="510">
      <c r="A510">
        <f>IF(Entry!$C510="","",Entry!$C510)</f>
        <v/>
      </c>
      <c r="B510">
        <f>IF($A510="","",IF(ISNUMBER($A510),IF(AND($A510&gt;=10000101,$A510&lt;=99991231),INT($A510/10000),""),IFERROR(VALUE(TRIM(LEFT($A510,FIND("/",$A510)-1))),"")))</f>
        <v/>
      </c>
      <c r="C510">
        <f>IF(OR($A510="",$B510=""),"",IF(ISNUMBER($A510),INT(MOD($A510,10000)/100),IFERROR(VALUE(TRIM(LEFT(MID($A510,FIND("/",$A510)+1,20),FIND("/",MID($A510,FIND("/",$A510)+1,20))-1))),"")))</f>
        <v/>
      </c>
      <c r="D510">
        <f>IF(OR($A510="",$B510=""),"",IF(ISNUMBER($A510),MOD($A510,100),IFERROR(VALUE(TRIM(MID(MID($A510,FIND("/",$A510)+1,20),FIND("/",MID($A510,FIND("/",$A510)+1,20))+1,20))),"")))</f>
        <v/>
      </c>
      <c r="E510">
        <f>IF($A510="","",IF(OR($B510="",$C510="",$D510="",$B510&lt;1300,$B510&gt;1500,$C510&lt;1,$C510&gt;12,$D510&lt;1,$D510&gt;31),"نامعتبر",RIGHT("0000"&amp;$B510,4)&amp;"/"&amp;RIGHT("00"&amp;$C510,2)&amp;"/"&amp;RIGHT("00"&amp;$D510,2)))</f>
        <v/>
      </c>
      <c r="F510">
        <f>IF(Entry!$D510&lt;&gt;"",IF(AND(ISNUMBER(Entry!$D510),Entry!$D510&gt;=0,Entry!$D510&lt;1),RIGHT("00"&amp;HOUR(Entry!$D510),2)&amp;":"&amp;RIGHT("00"&amp;MINUTE(Entry!$D510),2),IFERROR(RIGHT("00"&amp;VALUE(TRIM(LEFT(Entry!$D510,FIND(":",Entry!$D510)-1))),2)&amp;":"&amp;RIGHT("00"&amp;VALUE(TRIM(MID(Entry!$D510,FIND(":",Entry!$D510)+1,2))),2),"نامعتبر")),IF(OR($E510="",$E510="نامعتبر"),"","00:00"))</f>
        <v/>
      </c>
      <c r="G510">
        <f>IF(OR($E510="",$E510="نامعتبر"),"",IF(Entry!$E510="","",LEFT(UPPER(TRIM(Entry!$E510)),6)))</f>
        <v/>
      </c>
      <c r="H510">
        <f>IF($G510="","",RIGHT($E510,4)&amp;MID($E510,6,2)&amp;RIGHT($E510,2)&amp;IF($F510="","0000",IF($F510="نامعتبر","9999",LEFT($F510,2)&amp;RIGHT($F510,2)))&amp;"|"&amp;RIGHT("00000"&amp;502,5))</f>
        <v/>
      </c>
      <c r="I510">
        <f>IF($H510="","",COUNTIFS(CalcBank,$G510,CalcKey,"&lt;"&amp;$H510)+1)</f>
        <v/>
      </c>
      <c r="J510">
        <f>IF($I510="","",$G510&amp;"|"&amp;RIGHT("000000"&amp;$I510,6))</f>
        <v/>
      </c>
      <c r="K510">
        <f>IF(OR($E510="",$E510="نامعتبر"),"",LEFT($E510,4)&amp;"/"&amp;MID($E510,6,2))</f>
        <v/>
      </c>
      <c r="L510">
        <f>IF(Entry!$K510="",0,Entry!$K510)</f>
        <v/>
      </c>
      <c r="M510">
        <f>IF(Entry!$L510="",0,Entry!$L510)</f>
        <v/>
      </c>
    </row>
    <row r="511">
      <c r="A511">
        <f>IF(Entry!$C511="","",Entry!$C511)</f>
        <v/>
      </c>
      <c r="B511">
        <f>IF($A511="","",IF(ISNUMBER($A511),IF(AND($A511&gt;=10000101,$A511&lt;=99991231),INT($A511/10000),""),IFERROR(VALUE(TRIM(LEFT($A511,FIND("/",$A511)-1))),"")))</f>
        <v/>
      </c>
      <c r="C511">
        <f>IF(OR($A511="",$B511=""),"",IF(ISNUMBER($A511),INT(MOD($A511,10000)/100),IFERROR(VALUE(TRIM(LEFT(MID($A511,FIND("/",$A511)+1,20),FIND("/",MID($A511,FIND("/",$A511)+1,20))-1))),"")))</f>
        <v/>
      </c>
      <c r="D511">
        <f>IF(OR($A511="",$B511=""),"",IF(ISNUMBER($A511),MOD($A511,100),IFERROR(VALUE(TRIM(MID(MID($A511,FIND("/",$A511)+1,20),FIND("/",MID($A511,FIND("/",$A511)+1,20))+1,20))),"")))</f>
        <v/>
      </c>
      <c r="E511">
        <f>IF($A511="","",IF(OR($B511="",$C511="",$D511="",$B511&lt;1300,$B511&gt;1500,$C511&lt;1,$C511&gt;12,$D511&lt;1,$D511&gt;31),"نامعتبر",RIGHT("0000"&amp;$B511,4)&amp;"/"&amp;RIGHT("00"&amp;$C511,2)&amp;"/"&amp;RIGHT("00"&amp;$D511,2)))</f>
        <v/>
      </c>
      <c r="F511">
        <f>IF(Entry!$D511&lt;&gt;"",IF(AND(ISNUMBER(Entry!$D511),Entry!$D511&gt;=0,Entry!$D511&lt;1),RIGHT("00"&amp;HOUR(Entry!$D511),2)&amp;":"&amp;RIGHT("00"&amp;MINUTE(Entry!$D511),2),IFERROR(RIGHT("00"&amp;VALUE(TRIM(LEFT(Entry!$D511,FIND(":",Entry!$D511)-1))),2)&amp;":"&amp;RIGHT("00"&amp;VALUE(TRIM(MID(Entry!$D511,FIND(":",Entry!$D511)+1,2))),2),"نامعتبر")),IF(OR($E511="",$E511="نامعتبر"),"","00:00"))</f>
        <v/>
      </c>
      <c r="G511">
        <f>IF(OR($E511="",$E511="نامعتبر"),"",IF(Entry!$E511="","",LEFT(UPPER(TRIM(Entry!$E511)),6)))</f>
        <v/>
      </c>
      <c r="H511">
        <f>IF($G511="","",RIGHT($E511,4)&amp;MID($E511,6,2)&amp;RIGHT($E511,2)&amp;IF($F511="","0000",IF($F511="نامعتبر","9999",LEFT($F511,2)&amp;RIGHT($F511,2)))&amp;"|"&amp;RIGHT("00000"&amp;503,5))</f>
        <v/>
      </c>
      <c r="I511">
        <f>IF($H511="","",COUNTIFS(CalcBank,$G511,CalcKey,"&lt;"&amp;$H511)+1)</f>
        <v/>
      </c>
      <c r="J511">
        <f>IF($I511="","",$G511&amp;"|"&amp;RIGHT("000000"&amp;$I511,6))</f>
        <v/>
      </c>
      <c r="K511">
        <f>IF(OR($E511="",$E511="نامعتبر"),"",LEFT($E511,4)&amp;"/"&amp;MID($E511,6,2))</f>
        <v/>
      </c>
      <c r="L511">
        <f>IF(Entry!$K511="",0,Entry!$K511)</f>
        <v/>
      </c>
      <c r="M511">
        <f>IF(Entry!$L511="",0,Entry!$L511)</f>
        <v/>
      </c>
    </row>
    <row r="512">
      <c r="A512">
        <f>IF(Entry!$C512="","",Entry!$C512)</f>
        <v/>
      </c>
      <c r="B512">
        <f>IF($A512="","",IF(ISNUMBER($A512),IF(AND($A512&gt;=10000101,$A512&lt;=99991231),INT($A512/10000),""),IFERROR(VALUE(TRIM(LEFT($A512,FIND("/",$A512)-1))),"")))</f>
        <v/>
      </c>
      <c r="C512">
        <f>IF(OR($A512="",$B512=""),"",IF(ISNUMBER($A512),INT(MOD($A512,10000)/100),IFERROR(VALUE(TRIM(LEFT(MID($A512,FIND("/",$A512)+1,20),FIND("/",MID($A512,FIND("/",$A512)+1,20))-1))),"")))</f>
        <v/>
      </c>
      <c r="D512">
        <f>IF(OR($A512="",$B512=""),"",IF(ISNUMBER($A512),MOD($A512,100),IFERROR(VALUE(TRIM(MID(MID($A512,FIND("/",$A512)+1,20),FIND("/",MID($A512,FIND("/",$A512)+1,20))+1,20))),"")))</f>
        <v/>
      </c>
      <c r="E512">
        <f>IF($A512="","",IF(OR($B512="",$C512="",$D512="",$B512&lt;1300,$B512&gt;1500,$C512&lt;1,$C512&gt;12,$D512&lt;1,$D512&gt;31),"نامعتبر",RIGHT("0000"&amp;$B512,4)&amp;"/"&amp;RIGHT("00"&amp;$C512,2)&amp;"/"&amp;RIGHT("00"&amp;$D512,2)))</f>
        <v/>
      </c>
      <c r="F512">
        <f>IF(Entry!$D512&lt;&gt;"",IF(AND(ISNUMBER(Entry!$D512),Entry!$D512&gt;=0,Entry!$D512&lt;1),RIGHT("00"&amp;HOUR(Entry!$D512),2)&amp;":"&amp;RIGHT("00"&amp;MINUTE(Entry!$D512),2),IFERROR(RIGHT("00"&amp;VALUE(TRIM(LEFT(Entry!$D512,FIND(":",Entry!$D512)-1))),2)&amp;":"&amp;RIGHT("00"&amp;VALUE(TRIM(MID(Entry!$D512,FIND(":",Entry!$D512)+1,2))),2),"نامعتبر")),IF(OR($E512="",$E512="نامعتبر"),"","00:00"))</f>
        <v/>
      </c>
      <c r="G512">
        <f>IF(OR($E512="",$E512="نامعتبر"),"",IF(Entry!$E512="","",LEFT(UPPER(TRIM(Entry!$E512)),6)))</f>
        <v/>
      </c>
      <c r="H512">
        <f>IF($G512="","",RIGHT($E512,4)&amp;MID($E512,6,2)&amp;RIGHT($E512,2)&amp;IF($F512="","0000",IF($F512="نامعتبر","9999",LEFT($F512,2)&amp;RIGHT($F512,2)))&amp;"|"&amp;RIGHT("00000"&amp;504,5))</f>
        <v/>
      </c>
      <c r="I512">
        <f>IF($H512="","",COUNTIFS(CalcBank,$G512,CalcKey,"&lt;"&amp;$H512)+1)</f>
        <v/>
      </c>
      <c r="J512">
        <f>IF($I512="","",$G512&amp;"|"&amp;RIGHT("000000"&amp;$I512,6))</f>
        <v/>
      </c>
      <c r="K512">
        <f>IF(OR($E512="",$E512="نامعتبر"),"",LEFT($E512,4)&amp;"/"&amp;MID($E512,6,2))</f>
        <v/>
      </c>
      <c r="L512">
        <f>IF(Entry!$K512="",0,Entry!$K512)</f>
        <v/>
      </c>
      <c r="M512">
        <f>IF(Entry!$L512="",0,Entry!$L512)</f>
        <v/>
      </c>
    </row>
    <row r="513">
      <c r="A513">
        <f>IF(Entry!$C513="","",Entry!$C513)</f>
        <v/>
      </c>
      <c r="B513">
        <f>IF($A513="","",IF(ISNUMBER($A513),IF(AND($A513&gt;=10000101,$A513&lt;=99991231),INT($A513/10000),""),IFERROR(VALUE(TRIM(LEFT($A513,FIND("/",$A513)-1))),"")))</f>
        <v/>
      </c>
      <c r="C513">
        <f>IF(OR($A513="",$B513=""),"",IF(ISNUMBER($A513),INT(MOD($A513,10000)/100),IFERROR(VALUE(TRIM(LEFT(MID($A513,FIND("/",$A513)+1,20),FIND("/",MID($A513,FIND("/",$A513)+1,20))-1))),"")))</f>
        <v/>
      </c>
      <c r="D513">
        <f>IF(OR($A513="",$B513=""),"",IF(ISNUMBER($A513),MOD($A513,100),IFERROR(VALUE(TRIM(MID(MID($A513,FIND("/",$A513)+1,20),FIND("/",MID($A513,FIND("/",$A513)+1,20))+1,20))),"")))</f>
        <v/>
      </c>
      <c r="E513">
        <f>IF($A513="","",IF(OR($B513="",$C513="",$D513="",$B513&lt;1300,$B513&gt;1500,$C513&lt;1,$C513&gt;12,$D513&lt;1,$D513&gt;31),"نامعتبر",RIGHT("0000"&amp;$B513,4)&amp;"/"&amp;RIGHT("00"&amp;$C513,2)&amp;"/"&amp;RIGHT("00"&amp;$D513,2)))</f>
        <v/>
      </c>
      <c r="F513">
        <f>IF(Entry!$D513&lt;&gt;"",IF(AND(ISNUMBER(Entry!$D513),Entry!$D513&gt;=0,Entry!$D513&lt;1),RIGHT("00"&amp;HOUR(Entry!$D513),2)&amp;":"&amp;RIGHT("00"&amp;MINUTE(Entry!$D513),2),IFERROR(RIGHT("00"&amp;VALUE(TRIM(LEFT(Entry!$D513,FIND(":",Entry!$D513)-1))),2)&amp;":"&amp;RIGHT("00"&amp;VALUE(TRIM(MID(Entry!$D513,FIND(":",Entry!$D513)+1,2))),2),"نامعتبر")),IF(OR($E513="",$E513="نامعتبر"),"","00:00"))</f>
        <v/>
      </c>
      <c r="G513">
        <f>IF(OR($E513="",$E513="نامعتبر"),"",IF(Entry!$E513="","",LEFT(UPPER(TRIM(Entry!$E513)),6)))</f>
        <v/>
      </c>
      <c r="H513">
        <f>IF($G513="","",RIGHT($E513,4)&amp;MID($E513,6,2)&amp;RIGHT($E513,2)&amp;IF($F513="","0000",IF($F513="نامعتبر","9999",LEFT($F513,2)&amp;RIGHT($F513,2)))&amp;"|"&amp;RIGHT("00000"&amp;505,5))</f>
        <v/>
      </c>
      <c r="I513">
        <f>IF($H513="","",COUNTIFS(CalcBank,$G513,CalcKey,"&lt;"&amp;$H513)+1)</f>
        <v/>
      </c>
      <c r="J513">
        <f>IF($I513="","",$G513&amp;"|"&amp;RIGHT("000000"&amp;$I513,6))</f>
        <v/>
      </c>
      <c r="K513">
        <f>IF(OR($E513="",$E513="نامعتبر"),"",LEFT($E513,4)&amp;"/"&amp;MID($E513,6,2))</f>
        <v/>
      </c>
      <c r="L513">
        <f>IF(Entry!$K513="",0,Entry!$K513)</f>
        <v/>
      </c>
      <c r="M513">
        <f>IF(Entry!$L513="",0,Entry!$L513)</f>
        <v/>
      </c>
    </row>
    <row r="514">
      <c r="A514">
        <f>IF(Entry!$C514="","",Entry!$C514)</f>
        <v/>
      </c>
      <c r="B514">
        <f>IF($A514="","",IF(ISNUMBER($A514),IF(AND($A514&gt;=10000101,$A514&lt;=99991231),INT($A514/10000),""),IFERROR(VALUE(TRIM(LEFT($A514,FIND("/",$A514)-1))),"")))</f>
        <v/>
      </c>
      <c r="C514">
        <f>IF(OR($A514="",$B514=""),"",IF(ISNUMBER($A514),INT(MOD($A514,10000)/100),IFERROR(VALUE(TRIM(LEFT(MID($A514,FIND("/",$A514)+1,20),FIND("/",MID($A514,FIND("/",$A514)+1,20))-1))),"")))</f>
        <v/>
      </c>
      <c r="D514">
        <f>IF(OR($A514="",$B514=""),"",IF(ISNUMBER($A514),MOD($A514,100),IFERROR(VALUE(TRIM(MID(MID($A514,FIND("/",$A514)+1,20),FIND("/",MID($A514,FIND("/",$A514)+1,20))+1,20))),"")))</f>
        <v/>
      </c>
      <c r="E514">
        <f>IF($A514="","",IF(OR($B514="",$C514="",$D514="",$B514&lt;1300,$B514&gt;1500,$C514&lt;1,$C514&gt;12,$D514&lt;1,$D514&gt;31),"نامعتبر",RIGHT("0000"&amp;$B514,4)&amp;"/"&amp;RIGHT("00"&amp;$C514,2)&amp;"/"&amp;RIGHT("00"&amp;$D514,2)))</f>
        <v/>
      </c>
      <c r="F514">
        <f>IF(Entry!$D514&lt;&gt;"",IF(AND(ISNUMBER(Entry!$D514),Entry!$D514&gt;=0,Entry!$D514&lt;1),RIGHT("00"&amp;HOUR(Entry!$D514),2)&amp;":"&amp;RIGHT("00"&amp;MINUTE(Entry!$D514),2),IFERROR(RIGHT("00"&amp;VALUE(TRIM(LEFT(Entry!$D514,FIND(":",Entry!$D514)-1))),2)&amp;":"&amp;RIGHT("00"&amp;VALUE(TRIM(MID(Entry!$D514,FIND(":",Entry!$D514)+1,2))),2),"نامعتبر")),IF(OR($E514="",$E514="نامعتبر"),"","00:00"))</f>
        <v/>
      </c>
      <c r="G514">
        <f>IF(OR($E514="",$E514="نامعتبر"),"",IF(Entry!$E514="","",LEFT(UPPER(TRIM(Entry!$E514)),6)))</f>
        <v/>
      </c>
      <c r="H514">
        <f>IF($G514="","",RIGHT($E514,4)&amp;MID($E514,6,2)&amp;RIGHT($E514,2)&amp;IF($F514="","0000",IF($F514="نامعتبر","9999",LEFT($F514,2)&amp;RIGHT($F514,2)))&amp;"|"&amp;RIGHT("00000"&amp;506,5))</f>
        <v/>
      </c>
      <c r="I514">
        <f>IF($H514="","",COUNTIFS(CalcBank,$G514,CalcKey,"&lt;"&amp;$H514)+1)</f>
        <v/>
      </c>
      <c r="J514">
        <f>IF($I514="","",$G514&amp;"|"&amp;RIGHT("000000"&amp;$I514,6))</f>
        <v/>
      </c>
      <c r="K514">
        <f>IF(OR($E514="",$E514="نامعتبر"),"",LEFT($E514,4)&amp;"/"&amp;MID($E514,6,2))</f>
        <v/>
      </c>
      <c r="L514">
        <f>IF(Entry!$K514="",0,Entry!$K514)</f>
        <v/>
      </c>
      <c r="M514">
        <f>IF(Entry!$L514="",0,Entry!$L514)</f>
        <v/>
      </c>
    </row>
    <row r="515">
      <c r="A515">
        <f>IF(Entry!$C515="","",Entry!$C515)</f>
        <v/>
      </c>
      <c r="B515">
        <f>IF($A515="","",IF(ISNUMBER($A515),IF(AND($A515&gt;=10000101,$A515&lt;=99991231),INT($A515/10000),""),IFERROR(VALUE(TRIM(LEFT($A515,FIND("/",$A515)-1))),"")))</f>
        <v/>
      </c>
      <c r="C515">
        <f>IF(OR($A515="",$B515=""),"",IF(ISNUMBER($A515),INT(MOD($A515,10000)/100),IFERROR(VALUE(TRIM(LEFT(MID($A515,FIND("/",$A515)+1,20),FIND("/",MID($A515,FIND("/",$A515)+1,20))-1))),"")))</f>
        <v/>
      </c>
      <c r="D515">
        <f>IF(OR($A515="",$B515=""),"",IF(ISNUMBER($A515),MOD($A515,100),IFERROR(VALUE(TRIM(MID(MID($A515,FIND("/",$A515)+1,20),FIND("/",MID($A515,FIND("/",$A515)+1,20))+1,20))),"")))</f>
        <v/>
      </c>
      <c r="E515">
        <f>IF($A515="","",IF(OR($B515="",$C515="",$D515="",$B515&lt;1300,$B515&gt;1500,$C515&lt;1,$C515&gt;12,$D515&lt;1,$D515&gt;31),"نامعتبر",RIGHT("0000"&amp;$B515,4)&amp;"/"&amp;RIGHT("00"&amp;$C515,2)&amp;"/"&amp;RIGHT("00"&amp;$D515,2)))</f>
        <v/>
      </c>
      <c r="F515">
        <f>IF(Entry!$D515&lt;&gt;"",IF(AND(ISNUMBER(Entry!$D515),Entry!$D515&gt;=0,Entry!$D515&lt;1),RIGHT("00"&amp;HOUR(Entry!$D515),2)&amp;":"&amp;RIGHT("00"&amp;MINUTE(Entry!$D515),2),IFERROR(RIGHT("00"&amp;VALUE(TRIM(LEFT(Entry!$D515,FIND(":",Entry!$D515)-1))),2)&amp;":"&amp;RIGHT("00"&amp;VALUE(TRIM(MID(Entry!$D515,FIND(":",Entry!$D515)+1,2))),2),"نامعتبر")),IF(OR($E515="",$E515="نامعتبر"),"","00:00"))</f>
        <v/>
      </c>
      <c r="G515">
        <f>IF(OR($E515="",$E515="نامعتبر"),"",IF(Entry!$E515="","",LEFT(UPPER(TRIM(Entry!$E515)),6)))</f>
        <v/>
      </c>
      <c r="H515">
        <f>IF($G515="","",RIGHT($E515,4)&amp;MID($E515,6,2)&amp;RIGHT($E515,2)&amp;IF($F515="","0000",IF($F515="نامعتبر","9999",LEFT($F515,2)&amp;RIGHT($F515,2)))&amp;"|"&amp;RIGHT("00000"&amp;507,5))</f>
        <v/>
      </c>
      <c r="I515">
        <f>IF($H515="","",COUNTIFS(CalcBank,$G515,CalcKey,"&lt;"&amp;$H515)+1)</f>
        <v/>
      </c>
      <c r="J515">
        <f>IF($I515="","",$G515&amp;"|"&amp;RIGHT("000000"&amp;$I515,6))</f>
        <v/>
      </c>
      <c r="K515">
        <f>IF(OR($E515="",$E515="نامعتبر"),"",LEFT($E515,4)&amp;"/"&amp;MID($E515,6,2))</f>
        <v/>
      </c>
      <c r="L515">
        <f>IF(Entry!$K515="",0,Entry!$K515)</f>
        <v/>
      </c>
      <c r="M515">
        <f>IF(Entry!$L515="",0,Entry!$L515)</f>
        <v/>
      </c>
    </row>
    <row r="516">
      <c r="A516">
        <f>IF(Entry!$C516="","",Entry!$C516)</f>
        <v/>
      </c>
      <c r="B516">
        <f>IF($A516="","",IF(ISNUMBER($A516),IF(AND($A516&gt;=10000101,$A516&lt;=99991231),INT($A516/10000),""),IFERROR(VALUE(TRIM(LEFT($A516,FIND("/",$A516)-1))),"")))</f>
        <v/>
      </c>
      <c r="C516">
        <f>IF(OR($A516="",$B516=""),"",IF(ISNUMBER($A516),INT(MOD($A516,10000)/100),IFERROR(VALUE(TRIM(LEFT(MID($A516,FIND("/",$A516)+1,20),FIND("/",MID($A516,FIND("/",$A516)+1,20))-1))),"")))</f>
        <v/>
      </c>
      <c r="D516">
        <f>IF(OR($A516="",$B516=""),"",IF(ISNUMBER($A516),MOD($A516,100),IFERROR(VALUE(TRIM(MID(MID($A516,FIND("/",$A516)+1,20),FIND("/",MID($A516,FIND("/",$A516)+1,20))+1,20))),"")))</f>
        <v/>
      </c>
      <c r="E516">
        <f>IF($A516="","",IF(OR($B516="",$C516="",$D516="",$B516&lt;1300,$B516&gt;1500,$C516&lt;1,$C516&gt;12,$D516&lt;1,$D516&gt;31),"نامعتبر",RIGHT("0000"&amp;$B516,4)&amp;"/"&amp;RIGHT("00"&amp;$C516,2)&amp;"/"&amp;RIGHT("00"&amp;$D516,2)))</f>
        <v/>
      </c>
      <c r="F516">
        <f>IF(Entry!$D516&lt;&gt;"",IF(AND(ISNUMBER(Entry!$D516),Entry!$D516&gt;=0,Entry!$D516&lt;1),RIGHT("00"&amp;HOUR(Entry!$D516),2)&amp;":"&amp;RIGHT("00"&amp;MINUTE(Entry!$D516),2),IFERROR(RIGHT("00"&amp;VALUE(TRIM(LEFT(Entry!$D516,FIND(":",Entry!$D516)-1))),2)&amp;":"&amp;RIGHT("00"&amp;VALUE(TRIM(MID(Entry!$D516,FIND(":",Entry!$D516)+1,2))),2),"نامعتبر")),IF(OR($E516="",$E516="نامعتبر"),"","00:00"))</f>
        <v/>
      </c>
      <c r="G516">
        <f>IF(OR($E516="",$E516="نامعتبر"),"",IF(Entry!$E516="","",LEFT(UPPER(TRIM(Entry!$E516)),6)))</f>
        <v/>
      </c>
      <c r="H516">
        <f>IF($G516="","",RIGHT($E516,4)&amp;MID($E516,6,2)&amp;RIGHT($E516,2)&amp;IF($F516="","0000",IF($F516="نامعتبر","9999",LEFT($F516,2)&amp;RIGHT($F516,2)))&amp;"|"&amp;RIGHT("00000"&amp;508,5))</f>
        <v/>
      </c>
      <c r="I516">
        <f>IF($H516="","",COUNTIFS(CalcBank,$G516,CalcKey,"&lt;"&amp;$H516)+1)</f>
        <v/>
      </c>
      <c r="J516">
        <f>IF($I516="","",$G516&amp;"|"&amp;RIGHT("000000"&amp;$I516,6))</f>
        <v/>
      </c>
      <c r="K516">
        <f>IF(OR($E516="",$E516="نامعتبر"),"",LEFT($E516,4)&amp;"/"&amp;MID($E516,6,2))</f>
        <v/>
      </c>
      <c r="L516">
        <f>IF(Entry!$K516="",0,Entry!$K516)</f>
        <v/>
      </c>
      <c r="M516">
        <f>IF(Entry!$L516="",0,Entry!$L516)</f>
        <v/>
      </c>
    </row>
    <row r="517">
      <c r="A517">
        <f>IF(Entry!$C517="","",Entry!$C517)</f>
        <v/>
      </c>
      <c r="B517">
        <f>IF($A517="","",IF(ISNUMBER($A517),IF(AND($A517&gt;=10000101,$A517&lt;=99991231),INT($A517/10000),""),IFERROR(VALUE(TRIM(LEFT($A517,FIND("/",$A517)-1))),"")))</f>
        <v/>
      </c>
      <c r="C517">
        <f>IF(OR($A517="",$B517=""),"",IF(ISNUMBER($A517),INT(MOD($A517,10000)/100),IFERROR(VALUE(TRIM(LEFT(MID($A517,FIND("/",$A517)+1,20),FIND("/",MID($A517,FIND("/",$A517)+1,20))-1))),"")))</f>
        <v/>
      </c>
      <c r="D517">
        <f>IF(OR($A517="",$B517=""),"",IF(ISNUMBER($A517),MOD($A517,100),IFERROR(VALUE(TRIM(MID(MID($A517,FIND("/",$A517)+1,20),FIND("/",MID($A517,FIND("/",$A517)+1,20))+1,20))),"")))</f>
        <v/>
      </c>
      <c r="E517">
        <f>IF($A517="","",IF(OR($B517="",$C517="",$D517="",$B517&lt;1300,$B517&gt;1500,$C517&lt;1,$C517&gt;12,$D517&lt;1,$D517&gt;31),"نامعتبر",RIGHT("0000"&amp;$B517,4)&amp;"/"&amp;RIGHT("00"&amp;$C517,2)&amp;"/"&amp;RIGHT("00"&amp;$D517,2)))</f>
        <v/>
      </c>
      <c r="F517">
        <f>IF(Entry!$D517&lt;&gt;"",IF(AND(ISNUMBER(Entry!$D517),Entry!$D517&gt;=0,Entry!$D517&lt;1),RIGHT("00"&amp;HOUR(Entry!$D517),2)&amp;":"&amp;RIGHT("00"&amp;MINUTE(Entry!$D517),2),IFERROR(RIGHT("00"&amp;VALUE(TRIM(LEFT(Entry!$D517,FIND(":",Entry!$D517)-1))),2)&amp;":"&amp;RIGHT("00"&amp;VALUE(TRIM(MID(Entry!$D517,FIND(":",Entry!$D517)+1,2))),2),"نامعتبر")),IF(OR($E517="",$E517="نامعتبر"),"","00:00"))</f>
        <v/>
      </c>
      <c r="G517">
        <f>IF(OR($E517="",$E517="نامعتبر"),"",IF(Entry!$E517="","",LEFT(UPPER(TRIM(Entry!$E517)),6)))</f>
        <v/>
      </c>
      <c r="H517">
        <f>IF($G517="","",RIGHT($E517,4)&amp;MID($E517,6,2)&amp;RIGHT($E517,2)&amp;IF($F517="","0000",IF($F517="نامعتبر","9999",LEFT($F517,2)&amp;RIGHT($F517,2)))&amp;"|"&amp;RIGHT("00000"&amp;509,5))</f>
        <v/>
      </c>
      <c r="I517">
        <f>IF($H517="","",COUNTIFS(CalcBank,$G517,CalcKey,"&lt;"&amp;$H517)+1)</f>
        <v/>
      </c>
      <c r="J517">
        <f>IF($I517="","",$G517&amp;"|"&amp;RIGHT("000000"&amp;$I517,6))</f>
        <v/>
      </c>
      <c r="K517">
        <f>IF(OR($E517="",$E517="نامعتبر"),"",LEFT($E517,4)&amp;"/"&amp;MID($E517,6,2))</f>
        <v/>
      </c>
      <c r="L517">
        <f>IF(Entry!$K517="",0,Entry!$K517)</f>
        <v/>
      </c>
      <c r="M517">
        <f>IF(Entry!$L517="",0,Entry!$L517)</f>
        <v/>
      </c>
    </row>
    <row r="518">
      <c r="A518">
        <f>IF(Entry!$C518="","",Entry!$C518)</f>
        <v/>
      </c>
      <c r="B518">
        <f>IF($A518="","",IF(ISNUMBER($A518),IF(AND($A518&gt;=10000101,$A518&lt;=99991231),INT($A518/10000),""),IFERROR(VALUE(TRIM(LEFT($A518,FIND("/",$A518)-1))),"")))</f>
        <v/>
      </c>
      <c r="C518">
        <f>IF(OR($A518="",$B518=""),"",IF(ISNUMBER($A518),INT(MOD($A518,10000)/100),IFERROR(VALUE(TRIM(LEFT(MID($A518,FIND("/",$A518)+1,20),FIND("/",MID($A518,FIND("/",$A518)+1,20))-1))),"")))</f>
        <v/>
      </c>
      <c r="D518">
        <f>IF(OR($A518="",$B518=""),"",IF(ISNUMBER($A518),MOD($A518,100),IFERROR(VALUE(TRIM(MID(MID($A518,FIND("/",$A518)+1,20),FIND("/",MID($A518,FIND("/",$A518)+1,20))+1,20))),"")))</f>
        <v/>
      </c>
      <c r="E518">
        <f>IF($A518="","",IF(OR($B518="",$C518="",$D518="",$B518&lt;1300,$B518&gt;1500,$C518&lt;1,$C518&gt;12,$D518&lt;1,$D518&gt;31),"نامعتبر",RIGHT("0000"&amp;$B518,4)&amp;"/"&amp;RIGHT("00"&amp;$C518,2)&amp;"/"&amp;RIGHT("00"&amp;$D518,2)))</f>
        <v/>
      </c>
      <c r="F518">
        <f>IF(Entry!$D518&lt;&gt;"",IF(AND(ISNUMBER(Entry!$D518),Entry!$D518&gt;=0,Entry!$D518&lt;1),RIGHT("00"&amp;HOUR(Entry!$D518),2)&amp;":"&amp;RIGHT("00"&amp;MINUTE(Entry!$D518),2),IFERROR(RIGHT("00"&amp;VALUE(TRIM(LEFT(Entry!$D518,FIND(":",Entry!$D518)-1))),2)&amp;":"&amp;RIGHT("00"&amp;VALUE(TRIM(MID(Entry!$D518,FIND(":",Entry!$D518)+1,2))),2),"نامعتبر")),IF(OR($E518="",$E518="نامعتبر"),"","00:00"))</f>
        <v/>
      </c>
      <c r="G518">
        <f>IF(OR($E518="",$E518="نامعتبر"),"",IF(Entry!$E518="","",LEFT(UPPER(TRIM(Entry!$E518)),6)))</f>
        <v/>
      </c>
      <c r="H518">
        <f>IF($G518="","",RIGHT($E518,4)&amp;MID($E518,6,2)&amp;RIGHT($E518,2)&amp;IF($F518="","0000",IF($F518="نامعتبر","9999",LEFT($F518,2)&amp;RIGHT($F518,2)))&amp;"|"&amp;RIGHT("00000"&amp;510,5))</f>
        <v/>
      </c>
      <c r="I518">
        <f>IF($H518="","",COUNTIFS(CalcBank,$G518,CalcKey,"&lt;"&amp;$H518)+1)</f>
        <v/>
      </c>
      <c r="J518">
        <f>IF($I518="","",$G518&amp;"|"&amp;RIGHT("000000"&amp;$I518,6))</f>
        <v/>
      </c>
      <c r="K518">
        <f>IF(OR($E518="",$E518="نامعتبر"),"",LEFT($E518,4)&amp;"/"&amp;MID($E518,6,2))</f>
        <v/>
      </c>
      <c r="L518">
        <f>IF(Entry!$K518="",0,Entry!$K518)</f>
        <v/>
      </c>
      <c r="M518">
        <f>IF(Entry!$L518="",0,Entry!$L518)</f>
        <v/>
      </c>
    </row>
    <row r="519">
      <c r="A519">
        <f>IF(Entry!$C519="","",Entry!$C519)</f>
        <v/>
      </c>
      <c r="B519">
        <f>IF($A519="","",IF(ISNUMBER($A519),IF(AND($A519&gt;=10000101,$A519&lt;=99991231),INT($A519/10000),""),IFERROR(VALUE(TRIM(LEFT($A519,FIND("/",$A519)-1))),"")))</f>
        <v/>
      </c>
      <c r="C519">
        <f>IF(OR($A519="",$B519=""),"",IF(ISNUMBER($A519),INT(MOD($A519,10000)/100),IFERROR(VALUE(TRIM(LEFT(MID($A519,FIND("/",$A519)+1,20),FIND("/",MID($A519,FIND("/",$A519)+1,20))-1))),"")))</f>
        <v/>
      </c>
      <c r="D519">
        <f>IF(OR($A519="",$B519=""),"",IF(ISNUMBER($A519),MOD($A519,100),IFERROR(VALUE(TRIM(MID(MID($A519,FIND("/",$A519)+1,20),FIND("/",MID($A519,FIND("/",$A519)+1,20))+1,20))),"")))</f>
        <v/>
      </c>
      <c r="E519">
        <f>IF($A519="","",IF(OR($B519="",$C519="",$D519="",$B519&lt;1300,$B519&gt;1500,$C519&lt;1,$C519&gt;12,$D519&lt;1,$D519&gt;31),"نامعتبر",RIGHT("0000"&amp;$B519,4)&amp;"/"&amp;RIGHT("00"&amp;$C519,2)&amp;"/"&amp;RIGHT("00"&amp;$D519,2)))</f>
        <v/>
      </c>
      <c r="F519">
        <f>IF(Entry!$D519&lt;&gt;"",IF(AND(ISNUMBER(Entry!$D519),Entry!$D519&gt;=0,Entry!$D519&lt;1),RIGHT("00"&amp;HOUR(Entry!$D519),2)&amp;":"&amp;RIGHT("00"&amp;MINUTE(Entry!$D519),2),IFERROR(RIGHT("00"&amp;VALUE(TRIM(LEFT(Entry!$D519,FIND(":",Entry!$D519)-1))),2)&amp;":"&amp;RIGHT("00"&amp;VALUE(TRIM(MID(Entry!$D519,FIND(":",Entry!$D519)+1,2))),2),"نامعتبر")),IF(OR($E519="",$E519="نامعتبر"),"","00:00"))</f>
        <v/>
      </c>
      <c r="G519">
        <f>IF(OR($E519="",$E519="نامعتبر"),"",IF(Entry!$E519="","",LEFT(UPPER(TRIM(Entry!$E519)),6)))</f>
        <v/>
      </c>
      <c r="H519">
        <f>IF($G519="","",RIGHT($E519,4)&amp;MID($E519,6,2)&amp;RIGHT($E519,2)&amp;IF($F519="","0000",IF($F519="نامعتبر","9999",LEFT($F519,2)&amp;RIGHT($F519,2)))&amp;"|"&amp;RIGHT("00000"&amp;511,5))</f>
        <v/>
      </c>
      <c r="I519">
        <f>IF($H519="","",COUNTIFS(CalcBank,$G519,CalcKey,"&lt;"&amp;$H519)+1)</f>
        <v/>
      </c>
      <c r="J519">
        <f>IF($I519="","",$G519&amp;"|"&amp;RIGHT("000000"&amp;$I519,6))</f>
        <v/>
      </c>
      <c r="K519">
        <f>IF(OR($E519="",$E519="نامعتبر"),"",LEFT($E519,4)&amp;"/"&amp;MID($E519,6,2))</f>
        <v/>
      </c>
      <c r="L519">
        <f>IF(Entry!$K519="",0,Entry!$K519)</f>
        <v/>
      </c>
      <c r="M519">
        <f>IF(Entry!$L519="",0,Entry!$L519)</f>
        <v/>
      </c>
    </row>
    <row r="520">
      <c r="A520">
        <f>IF(Entry!$C520="","",Entry!$C520)</f>
        <v/>
      </c>
      <c r="B520">
        <f>IF($A520="","",IF(ISNUMBER($A520),IF(AND($A520&gt;=10000101,$A520&lt;=99991231),INT($A520/10000),""),IFERROR(VALUE(TRIM(LEFT($A520,FIND("/",$A520)-1))),"")))</f>
        <v/>
      </c>
      <c r="C520">
        <f>IF(OR($A520="",$B520=""),"",IF(ISNUMBER($A520),INT(MOD($A520,10000)/100),IFERROR(VALUE(TRIM(LEFT(MID($A520,FIND("/",$A520)+1,20),FIND("/",MID($A520,FIND("/",$A520)+1,20))-1))),"")))</f>
        <v/>
      </c>
      <c r="D520">
        <f>IF(OR($A520="",$B520=""),"",IF(ISNUMBER($A520),MOD($A520,100),IFERROR(VALUE(TRIM(MID(MID($A520,FIND("/",$A520)+1,20),FIND("/",MID($A520,FIND("/",$A520)+1,20))+1,20))),"")))</f>
        <v/>
      </c>
      <c r="E520">
        <f>IF($A520="","",IF(OR($B520="",$C520="",$D520="",$B520&lt;1300,$B520&gt;1500,$C520&lt;1,$C520&gt;12,$D520&lt;1,$D520&gt;31),"نامعتبر",RIGHT("0000"&amp;$B520,4)&amp;"/"&amp;RIGHT("00"&amp;$C520,2)&amp;"/"&amp;RIGHT("00"&amp;$D520,2)))</f>
        <v/>
      </c>
      <c r="F520">
        <f>IF(Entry!$D520&lt;&gt;"",IF(AND(ISNUMBER(Entry!$D520),Entry!$D520&gt;=0,Entry!$D520&lt;1),RIGHT("00"&amp;HOUR(Entry!$D520),2)&amp;":"&amp;RIGHT("00"&amp;MINUTE(Entry!$D520),2),IFERROR(RIGHT("00"&amp;VALUE(TRIM(LEFT(Entry!$D520,FIND(":",Entry!$D520)-1))),2)&amp;":"&amp;RIGHT("00"&amp;VALUE(TRIM(MID(Entry!$D520,FIND(":",Entry!$D520)+1,2))),2),"نامعتبر")),IF(OR($E520="",$E520="نامعتبر"),"","00:00"))</f>
        <v/>
      </c>
      <c r="G520">
        <f>IF(OR($E520="",$E520="نامعتبر"),"",IF(Entry!$E520="","",LEFT(UPPER(TRIM(Entry!$E520)),6)))</f>
        <v/>
      </c>
      <c r="H520">
        <f>IF($G520="","",RIGHT($E520,4)&amp;MID($E520,6,2)&amp;RIGHT($E520,2)&amp;IF($F520="","0000",IF($F520="نامعتبر","9999",LEFT($F520,2)&amp;RIGHT($F520,2)))&amp;"|"&amp;RIGHT("00000"&amp;512,5))</f>
        <v/>
      </c>
      <c r="I520">
        <f>IF($H520="","",COUNTIFS(CalcBank,$G520,CalcKey,"&lt;"&amp;$H520)+1)</f>
        <v/>
      </c>
      <c r="J520">
        <f>IF($I520="","",$G520&amp;"|"&amp;RIGHT("000000"&amp;$I520,6))</f>
        <v/>
      </c>
      <c r="K520">
        <f>IF(OR($E520="",$E520="نامعتبر"),"",LEFT($E520,4)&amp;"/"&amp;MID($E520,6,2))</f>
        <v/>
      </c>
      <c r="L520">
        <f>IF(Entry!$K520="",0,Entry!$K520)</f>
        <v/>
      </c>
      <c r="M520">
        <f>IF(Entry!$L520="",0,Entry!$L520)</f>
        <v/>
      </c>
    </row>
    <row r="521">
      <c r="A521">
        <f>IF(Entry!$C521="","",Entry!$C521)</f>
        <v/>
      </c>
      <c r="B521">
        <f>IF($A521="","",IF(ISNUMBER($A521),IF(AND($A521&gt;=10000101,$A521&lt;=99991231),INT($A521/10000),""),IFERROR(VALUE(TRIM(LEFT($A521,FIND("/",$A521)-1))),"")))</f>
        <v/>
      </c>
      <c r="C521">
        <f>IF(OR($A521="",$B521=""),"",IF(ISNUMBER($A521),INT(MOD($A521,10000)/100),IFERROR(VALUE(TRIM(LEFT(MID($A521,FIND("/",$A521)+1,20),FIND("/",MID($A521,FIND("/",$A521)+1,20))-1))),"")))</f>
        <v/>
      </c>
      <c r="D521">
        <f>IF(OR($A521="",$B521=""),"",IF(ISNUMBER($A521),MOD($A521,100),IFERROR(VALUE(TRIM(MID(MID($A521,FIND("/",$A521)+1,20),FIND("/",MID($A521,FIND("/",$A521)+1,20))+1,20))),"")))</f>
        <v/>
      </c>
      <c r="E521">
        <f>IF($A521="","",IF(OR($B521="",$C521="",$D521="",$B521&lt;1300,$B521&gt;1500,$C521&lt;1,$C521&gt;12,$D521&lt;1,$D521&gt;31),"نامعتبر",RIGHT("0000"&amp;$B521,4)&amp;"/"&amp;RIGHT("00"&amp;$C521,2)&amp;"/"&amp;RIGHT("00"&amp;$D521,2)))</f>
        <v/>
      </c>
      <c r="F521">
        <f>IF(Entry!$D521&lt;&gt;"",IF(AND(ISNUMBER(Entry!$D521),Entry!$D521&gt;=0,Entry!$D521&lt;1),RIGHT("00"&amp;HOUR(Entry!$D521),2)&amp;":"&amp;RIGHT("00"&amp;MINUTE(Entry!$D521),2),IFERROR(RIGHT("00"&amp;VALUE(TRIM(LEFT(Entry!$D521,FIND(":",Entry!$D521)-1))),2)&amp;":"&amp;RIGHT("00"&amp;VALUE(TRIM(MID(Entry!$D521,FIND(":",Entry!$D521)+1,2))),2),"نامعتبر")),IF(OR($E521="",$E521="نامعتبر"),"","00:00"))</f>
        <v/>
      </c>
      <c r="G521">
        <f>IF(OR($E521="",$E521="نامعتبر"),"",IF(Entry!$E521="","",LEFT(UPPER(TRIM(Entry!$E521)),6)))</f>
        <v/>
      </c>
      <c r="H521">
        <f>IF($G521="","",RIGHT($E521,4)&amp;MID($E521,6,2)&amp;RIGHT($E521,2)&amp;IF($F521="","0000",IF($F521="نامعتبر","9999",LEFT($F521,2)&amp;RIGHT($F521,2)))&amp;"|"&amp;RIGHT("00000"&amp;513,5))</f>
        <v/>
      </c>
      <c r="I521">
        <f>IF($H521="","",COUNTIFS(CalcBank,$G521,CalcKey,"&lt;"&amp;$H521)+1)</f>
        <v/>
      </c>
      <c r="J521">
        <f>IF($I521="","",$G521&amp;"|"&amp;RIGHT("000000"&amp;$I521,6))</f>
        <v/>
      </c>
      <c r="K521">
        <f>IF(OR($E521="",$E521="نامعتبر"),"",LEFT($E521,4)&amp;"/"&amp;MID($E521,6,2))</f>
        <v/>
      </c>
      <c r="L521">
        <f>IF(Entry!$K521="",0,Entry!$K521)</f>
        <v/>
      </c>
      <c r="M521">
        <f>IF(Entry!$L521="",0,Entry!$L521)</f>
        <v/>
      </c>
    </row>
    <row r="522">
      <c r="A522">
        <f>IF(Entry!$C522="","",Entry!$C522)</f>
        <v/>
      </c>
      <c r="B522">
        <f>IF($A522="","",IF(ISNUMBER($A522),IF(AND($A522&gt;=10000101,$A522&lt;=99991231),INT($A522/10000),""),IFERROR(VALUE(TRIM(LEFT($A522,FIND("/",$A522)-1))),"")))</f>
        <v/>
      </c>
      <c r="C522">
        <f>IF(OR($A522="",$B522=""),"",IF(ISNUMBER($A522),INT(MOD($A522,10000)/100),IFERROR(VALUE(TRIM(LEFT(MID($A522,FIND("/",$A522)+1,20),FIND("/",MID($A522,FIND("/",$A522)+1,20))-1))),"")))</f>
        <v/>
      </c>
      <c r="D522">
        <f>IF(OR($A522="",$B522=""),"",IF(ISNUMBER($A522),MOD($A522,100),IFERROR(VALUE(TRIM(MID(MID($A522,FIND("/",$A522)+1,20),FIND("/",MID($A522,FIND("/",$A522)+1,20))+1,20))),"")))</f>
        <v/>
      </c>
      <c r="E522">
        <f>IF($A522="","",IF(OR($B522="",$C522="",$D522="",$B522&lt;1300,$B522&gt;1500,$C522&lt;1,$C522&gt;12,$D522&lt;1,$D522&gt;31),"نامعتبر",RIGHT("0000"&amp;$B522,4)&amp;"/"&amp;RIGHT("00"&amp;$C522,2)&amp;"/"&amp;RIGHT("00"&amp;$D522,2)))</f>
        <v/>
      </c>
      <c r="F522">
        <f>IF(Entry!$D522&lt;&gt;"",IF(AND(ISNUMBER(Entry!$D522),Entry!$D522&gt;=0,Entry!$D522&lt;1),RIGHT("00"&amp;HOUR(Entry!$D522),2)&amp;":"&amp;RIGHT("00"&amp;MINUTE(Entry!$D522),2),IFERROR(RIGHT("00"&amp;VALUE(TRIM(LEFT(Entry!$D522,FIND(":",Entry!$D522)-1))),2)&amp;":"&amp;RIGHT("00"&amp;VALUE(TRIM(MID(Entry!$D522,FIND(":",Entry!$D522)+1,2))),2),"نامعتبر")),IF(OR($E522="",$E522="نامعتبر"),"","00:00"))</f>
        <v/>
      </c>
      <c r="G522">
        <f>IF(OR($E522="",$E522="نامعتبر"),"",IF(Entry!$E522="","",LEFT(UPPER(TRIM(Entry!$E522)),6)))</f>
        <v/>
      </c>
      <c r="H522">
        <f>IF($G522="","",RIGHT($E522,4)&amp;MID($E522,6,2)&amp;RIGHT($E522,2)&amp;IF($F522="","0000",IF($F522="نامعتبر","9999",LEFT($F522,2)&amp;RIGHT($F522,2)))&amp;"|"&amp;RIGHT("00000"&amp;514,5))</f>
        <v/>
      </c>
      <c r="I522">
        <f>IF($H522="","",COUNTIFS(CalcBank,$G522,CalcKey,"&lt;"&amp;$H522)+1)</f>
        <v/>
      </c>
      <c r="J522">
        <f>IF($I522="","",$G522&amp;"|"&amp;RIGHT("000000"&amp;$I522,6))</f>
        <v/>
      </c>
      <c r="K522">
        <f>IF(OR($E522="",$E522="نامعتبر"),"",LEFT($E522,4)&amp;"/"&amp;MID($E522,6,2))</f>
        <v/>
      </c>
      <c r="L522">
        <f>IF(Entry!$K522="",0,Entry!$K522)</f>
        <v/>
      </c>
      <c r="M522">
        <f>IF(Entry!$L522="",0,Entry!$L522)</f>
        <v/>
      </c>
    </row>
    <row r="523">
      <c r="A523">
        <f>IF(Entry!$C523="","",Entry!$C523)</f>
        <v/>
      </c>
      <c r="B523">
        <f>IF($A523="","",IF(ISNUMBER($A523),IF(AND($A523&gt;=10000101,$A523&lt;=99991231),INT($A523/10000),""),IFERROR(VALUE(TRIM(LEFT($A523,FIND("/",$A523)-1))),"")))</f>
        <v/>
      </c>
      <c r="C523">
        <f>IF(OR($A523="",$B523=""),"",IF(ISNUMBER($A523),INT(MOD($A523,10000)/100),IFERROR(VALUE(TRIM(LEFT(MID($A523,FIND("/",$A523)+1,20),FIND("/",MID($A523,FIND("/",$A523)+1,20))-1))),"")))</f>
        <v/>
      </c>
      <c r="D523">
        <f>IF(OR($A523="",$B523=""),"",IF(ISNUMBER($A523),MOD($A523,100),IFERROR(VALUE(TRIM(MID(MID($A523,FIND("/",$A523)+1,20),FIND("/",MID($A523,FIND("/",$A523)+1,20))+1,20))),"")))</f>
        <v/>
      </c>
      <c r="E523">
        <f>IF($A523="","",IF(OR($B523="",$C523="",$D523="",$B523&lt;1300,$B523&gt;1500,$C523&lt;1,$C523&gt;12,$D523&lt;1,$D523&gt;31),"نامعتبر",RIGHT("0000"&amp;$B523,4)&amp;"/"&amp;RIGHT("00"&amp;$C523,2)&amp;"/"&amp;RIGHT("00"&amp;$D523,2)))</f>
        <v/>
      </c>
      <c r="F523">
        <f>IF(Entry!$D523&lt;&gt;"",IF(AND(ISNUMBER(Entry!$D523),Entry!$D523&gt;=0,Entry!$D523&lt;1),RIGHT("00"&amp;HOUR(Entry!$D523),2)&amp;":"&amp;RIGHT("00"&amp;MINUTE(Entry!$D523),2),IFERROR(RIGHT("00"&amp;VALUE(TRIM(LEFT(Entry!$D523,FIND(":",Entry!$D523)-1))),2)&amp;":"&amp;RIGHT("00"&amp;VALUE(TRIM(MID(Entry!$D523,FIND(":",Entry!$D523)+1,2))),2),"نامعتبر")),IF(OR($E523="",$E523="نامعتبر"),"","00:00"))</f>
        <v/>
      </c>
      <c r="G523">
        <f>IF(OR($E523="",$E523="نامعتبر"),"",IF(Entry!$E523="","",LEFT(UPPER(TRIM(Entry!$E523)),6)))</f>
        <v/>
      </c>
      <c r="H523">
        <f>IF($G523="","",RIGHT($E523,4)&amp;MID($E523,6,2)&amp;RIGHT($E523,2)&amp;IF($F523="","0000",IF($F523="نامعتبر","9999",LEFT($F523,2)&amp;RIGHT($F523,2)))&amp;"|"&amp;RIGHT("00000"&amp;515,5))</f>
        <v/>
      </c>
      <c r="I523">
        <f>IF($H523="","",COUNTIFS(CalcBank,$G523,CalcKey,"&lt;"&amp;$H523)+1)</f>
        <v/>
      </c>
      <c r="J523">
        <f>IF($I523="","",$G523&amp;"|"&amp;RIGHT("000000"&amp;$I523,6))</f>
        <v/>
      </c>
      <c r="K523">
        <f>IF(OR($E523="",$E523="نامعتبر"),"",LEFT($E523,4)&amp;"/"&amp;MID($E523,6,2))</f>
        <v/>
      </c>
      <c r="L523">
        <f>IF(Entry!$K523="",0,Entry!$K523)</f>
        <v/>
      </c>
      <c r="M523">
        <f>IF(Entry!$L523="",0,Entry!$L523)</f>
        <v/>
      </c>
    </row>
    <row r="524">
      <c r="A524">
        <f>IF(Entry!$C524="","",Entry!$C524)</f>
        <v/>
      </c>
      <c r="B524">
        <f>IF($A524="","",IF(ISNUMBER($A524),IF(AND($A524&gt;=10000101,$A524&lt;=99991231),INT($A524/10000),""),IFERROR(VALUE(TRIM(LEFT($A524,FIND("/",$A524)-1))),"")))</f>
        <v/>
      </c>
      <c r="C524">
        <f>IF(OR($A524="",$B524=""),"",IF(ISNUMBER($A524),INT(MOD($A524,10000)/100),IFERROR(VALUE(TRIM(LEFT(MID($A524,FIND("/",$A524)+1,20),FIND("/",MID($A524,FIND("/",$A524)+1,20))-1))),"")))</f>
        <v/>
      </c>
      <c r="D524">
        <f>IF(OR($A524="",$B524=""),"",IF(ISNUMBER($A524),MOD($A524,100),IFERROR(VALUE(TRIM(MID(MID($A524,FIND("/",$A524)+1,20),FIND("/",MID($A524,FIND("/",$A524)+1,20))+1,20))),"")))</f>
        <v/>
      </c>
      <c r="E524">
        <f>IF($A524="","",IF(OR($B524="",$C524="",$D524="",$B524&lt;1300,$B524&gt;1500,$C524&lt;1,$C524&gt;12,$D524&lt;1,$D524&gt;31),"نامعتبر",RIGHT("0000"&amp;$B524,4)&amp;"/"&amp;RIGHT("00"&amp;$C524,2)&amp;"/"&amp;RIGHT("00"&amp;$D524,2)))</f>
        <v/>
      </c>
      <c r="F524">
        <f>IF(Entry!$D524&lt;&gt;"",IF(AND(ISNUMBER(Entry!$D524),Entry!$D524&gt;=0,Entry!$D524&lt;1),RIGHT("00"&amp;HOUR(Entry!$D524),2)&amp;":"&amp;RIGHT("00"&amp;MINUTE(Entry!$D524),2),IFERROR(RIGHT("00"&amp;VALUE(TRIM(LEFT(Entry!$D524,FIND(":",Entry!$D524)-1))),2)&amp;":"&amp;RIGHT("00"&amp;VALUE(TRIM(MID(Entry!$D524,FIND(":",Entry!$D524)+1,2))),2),"نامعتبر")),IF(OR($E524="",$E524="نامعتبر"),"","00:00"))</f>
        <v/>
      </c>
      <c r="G524">
        <f>IF(OR($E524="",$E524="نامعتبر"),"",IF(Entry!$E524="","",LEFT(UPPER(TRIM(Entry!$E524)),6)))</f>
        <v/>
      </c>
      <c r="H524">
        <f>IF($G524="","",RIGHT($E524,4)&amp;MID($E524,6,2)&amp;RIGHT($E524,2)&amp;IF($F524="","0000",IF($F524="نامعتبر","9999",LEFT($F524,2)&amp;RIGHT($F524,2)))&amp;"|"&amp;RIGHT("00000"&amp;516,5))</f>
        <v/>
      </c>
      <c r="I524">
        <f>IF($H524="","",COUNTIFS(CalcBank,$G524,CalcKey,"&lt;"&amp;$H524)+1)</f>
        <v/>
      </c>
      <c r="J524">
        <f>IF($I524="","",$G524&amp;"|"&amp;RIGHT("000000"&amp;$I524,6))</f>
        <v/>
      </c>
      <c r="K524">
        <f>IF(OR($E524="",$E524="نامعتبر"),"",LEFT($E524,4)&amp;"/"&amp;MID($E524,6,2))</f>
        <v/>
      </c>
      <c r="L524">
        <f>IF(Entry!$K524="",0,Entry!$K524)</f>
        <v/>
      </c>
      <c r="M524">
        <f>IF(Entry!$L524="",0,Entry!$L524)</f>
        <v/>
      </c>
    </row>
    <row r="525">
      <c r="A525">
        <f>IF(Entry!$C525="","",Entry!$C525)</f>
        <v/>
      </c>
      <c r="B525">
        <f>IF($A525="","",IF(ISNUMBER($A525),IF(AND($A525&gt;=10000101,$A525&lt;=99991231),INT($A525/10000),""),IFERROR(VALUE(TRIM(LEFT($A525,FIND("/",$A525)-1))),"")))</f>
        <v/>
      </c>
      <c r="C525">
        <f>IF(OR($A525="",$B525=""),"",IF(ISNUMBER($A525),INT(MOD($A525,10000)/100),IFERROR(VALUE(TRIM(LEFT(MID($A525,FIND("/",$A525)+1,20),FIND("/",MID($A525,FIND("/",$A525)+1,20))-1))),"")))</f>
        <v/>
      </c>
      <c r="D525">
        <f>IF(OR($A525="",$B525=""),"",IF(ISNUMBER($A525),MOD($A525,100),IFERROR(VALUE(TRIM(MID(MID($A525,FIND("/",$A525)+1,20),FIND("/",MID($A525,FIND("/",$A525)+1,20))+1,20))),"")))</f>
        <v/>
      </c>
      <c r="E525">
        <f>IF($A525="","",IF(OR($B525="",$C525="",$D525="",$B525&lt;1300,$B525&gt;1500,$C525&lt;1,$C525&gt;12,$D525&lt;1,$D525&gt;31),"نامعتبر",RIGHT("0000"&amp;$B525,4)&amp;"/"&amp;RIGHT("00"&amp;$C525,2)&amp;"/"&amp;RIGHT("00"&amp;$D525,2)))</f>
        <v/>
      </c>
      <c r="F525">
        <f>IF(Entry!$D525&lt;&gt;"",IF(AND(ISNUMBER(Entry!$D525),Entry!$D525&gt;=0,Entry!$D525&lt;1),RIGHT("00"&amp;HOUR(Entry!$D525),2)&amp;":"&amp;RIGHT("00"&amp;MINUTE(Entry!$D525),2),IFERROR(RIGHT("00"&amp;VALUE(TRIM(LEFT(Entry!$D525,FIND(":",Entry!$D525)-1))),2)&amp;":"&amp;RIGHT("00"&amp;VALUE(TRIM(MID(Entry!$D525,FIND(":",Entry!$D525)+1,2))),2),"نامعتبر")),IF(OR($E525="",$E525="نامعتبر"),"","00:00"))</f>
        <v/>
      </c>
      <c r="G525">
        <f>IF(OR($E525="",$E525="نامعتبر"),"",IF(Entry!$E525="","",LEFT(UPPER(TRIM(Entry!$E525)),6)))</f>
        <v/>
      </c>
      <c r="H525">
        <f>IF($G525="","",RIGHT($E525,4)&amp;MID($E525,6,2)&amp;RIGHT($E525,2)&amp;IF($F525="","0000",IF($F525="نامعتبر","9999",LEFT($F525,2)&amp;RIGHT($F525,2)))&amp;"|"&amp;RIGHT("00000"&amp;517,5))</f>
        <v/>
      </c>
      <c r="I525">
        <f>IF($H525="","",COUNTIFS(CalcBank,$G525,CalcKey,"&lt;"&amp;$H525)+1)</f>
        <v/>
      </c>
      <c r="J525">
        <f>IF($I525="","",$G525&amp;"|"&amp;RIGHT("000000"&amp;$I525,6))</f>
        <v/>
      </c>
      <c r="K525">
        <f>IF(OR($E525="",$E525="نامعتبر"),"",LEFT($E525,4)&amp;"/"&amp;MID($E525,6,2))</f>
        <v/>
      </c>
      <c r="L525">
        <f>IF(Entry!$K525="",0,Entry!$K525)</f>
        <v/>
      </c>
      <c r="M525">
        <f>IF(Entry!$L525="",0,Entry!$L525)</f>
        <v/>
      </c>
    </row>
    <row r="526">
      <c r="A526">
        <f>IF(Entry!$C526="","",Entry!$C526)</f>
        <v/>
      </c>
      <c r="B526">
        <f>IF($A526="","",IF(ISNUMBER($A526),IF(AND($A526&gt;=10000101,$A526&lt;=99991231),INT($A526/10000),""),IFERROR(VALUE(TRIM(LEFT($A526,FIND("/",$A526)-1))),"")))</f>
        <v/>
      </c>
      <c r="C526">
        <f>IF(OR($A526="",$B526=""),"",IF(ISNUMBER($A526),INT(MOD($A526,10000)/100),IFERROR(VALUE(TRIM(LEFT(MID($A526,FIND("/",$A526)+1,20),FIND("/",MID($A526,FIND("/",$A526)+1,20))-1))),"")))</f>
        <v/>
      </c>
      <c r="D526">
        <f>IF(OR($A526="",$B526=""),"",IF(ISNUMBER($A526),MOD($A526,100),IFERROR(VALUE(TRIM(MID(MID($A526,FIND("/",$A526)+1,20),FIND("/",MID($A526,FIND("/",$A526)+1,20))+1,20))),"")))</f>
        <v/>
      </c>
      <c r="E526">
        <f>IF($A526="","",IF(OR($B526="",$C526="",$D526="",$B526&lt;1300,$B526&gt;1500,$C526&lt;1,$C526&gt;12,$D526&lt;1,$D526&gt;31),"نامعتبر",RIGHT("0000"&amp;$B526,4)&amp;"/"&amp;RIGHT("00"&amp;$C526,2)&amp;"/"&amp;RIGHT("00"&amp;$D526,2)))</f>
        <v/>
      </c>
      <c r="F526">
        <f>IF(Entry!$D526&lt;&gt;"",IF(AND(ISNUMBER(Entry!$D526),Entry!$D526&gt;=0,Entry!$D526&lt;1),RIGHT("00"&amp;HOUR(Entry!$D526),2)&amp;":"&amp;RIGHT("00"&amp;MINUTE(Entry!$D526),2),IFERROR(RIGHT("00"&amp;VALUE(TRIM(LEFT(Entry!$D526,FIND(":",Entry!$D526)-1))),2)&amp;":"&amp;RIGHT("00"&amp;VALUE(TRIM(MID(Entry!$D526,FIND(":",Entry!$D526)+1,2))),2),"نامعتبر")),IF(OR($E526="",$E526="نامعتبر"),"","00:00"))</f>
        <v/>
      </c>
      <c r="G526">
        <f>IF(OR($E526="",$E526="نامعتبر"),"",IF(Entry!$E526="","",LEFT(UPPER(TRIM(Entry!$E526)),6)))</f>
        <v/>
      </c>
      <c r="H526">
        <f>IF($G526="","",RIGHT($E526,4)&amp;MID($E526,6,2)&amp;RIGHT($E526,2)&amp;IF($F526="","0000",IF($F526="نامعتبر","9999",LEFT($F526,2)&amp;RIGHT($F526,2)))&amp;"|"&amp;RIGHT("00000"&amp;518,5))</f>
        <v/>
      </c>
      <c r="I526">
        <f>IF($H526="","",COUNTIFS(CalcBank,$G526,CalcKey,"&lt;"&amp;$H526)+1)</f>
        <v/>
      </c>
      <c r="J526">
        <f>IF($I526="","",$G526&amp;"|"&amp;RIGHT("000000"&amp;$I526,6))</f>
        <v/>
      </c>
      <c r="K526">
        <f>IF(OR($E526="",$E526="نامعتبر"),"",LEFT($E526,4)&amp;"/"&amp;MID($E526,6,2))</f>
        <v/>
      </c>
      <c r="L526">
        <f>IF(Entry!$K526="",0,Entry!$K526)</f>
        <v/>
      </c>
      <c r="M526">
        <f>IF(Entry!$L526="",0,Entry!$L526)</f>
        <v/>
      </c>
    </row>
    <row r="527">
      <c r="A527">
        <f>IF(Entry!$C527="","",Entry!$C527)</f>
        <v/>
      </c>
      <c r="B527">
        <f>IF($A527="","",IF(ISNUMBER($A527),IF(AND($A527&gt;=10000101,$A527&lt;=99991231),INT($A527/10000),""),IFERROR(VALUE(TRIM(LEFT($A527,FIND("/",$A527)-1))),"")))</f>
        <v/>
      </c>
      <c r="C527">
        <f>IF(OR($A527="",$B527=""),"",IF(ISNUMBER($A527),INT(MOD($A527,10000)/100),IFERROR(VALUE(TRIM(LEFT(MID($A527,FIND("/",$A527)+1,20),FIND("/",MID($A527,FIND("/",$A527)+1,20))-1))),"")))</f>
        <v/>
      </c>
      <c r="D527">
        <f>IF(OR($A527="",$B527=""),"",IF(ISNUMBER($A527),MOD($A527,100),IFERROR(VALUE(TRIM(MID(MID($A527,FIND("/",$A527)+1,20),FIND("/",MID($A527,FIND("/",$A527)+1,20))+1,20))),"")))</f>
        <v/>
      </c>
      <c r="E527">
        <f>IF($A527="","",IF(OR($B527="",$C527="",$D527="",$B527&lt;1300,$B527&gt;1500,$C527&lt;1,$C527&gt;12,$D527&lt;1,$D527&gt;31),"نامعتبر",RIGHT("0000"&amp;$B527,4)&amp;"/"&amp;RIGHT("00"&amp;$C527,2)&amp;"/"&amp;RIGHT("00"&amp;$D527,2)))</f>
        <v/>
      </c>
      <c r="F527">
        <f>IF(Entry!$D527&lt;&gt;"",IF(AND(ISNUMBER(Entry!$D527),Entry!$D527&gt;=0,Entry!$D527&lt;1),RIGHT("00"&amp;HOUR(Entry!$D527),2)&amp;":"&amp;RIGHT("00"&amp;MINUTE(Entry!$D527),2),IFERROR(RIGHT("00"&amp;VALUE(TRIM(LEFT(Entry!$D527,FIND(":",Entry!$D527)-1))),2)&amp;":"&amp;RIGHT("00"&amp;VALUE(TRIM(MID(Entry!$D527,FIND(":",Entry!$D527)+1,2))),2),"نامعتبر")),IF(OR($E527="",$E527="نامعتبر"),"","00:00"))</f>
        <v/>
      </c>
      <c r="G527">
        <f>IF(OR($E527="",$E527="نامعتبر"),"",IF(Entry!$E527="","",LEFT(UPPER(TRIM(Entry!$E527)),6)))</f>
        <v/>
      </c>
      <c r="H527">
        <f>IF($G527="","",RIGHT($E527,4)&amp;MID($E527,6,2)&amp;RIGHT($E527,2)&amp;IF($F527="","0000",IF($F527="نامعتبر","9999",LEFT($F527,2)&amp;RIGHT($F527,2)))&amp;"|"&amp;RIGHT("00000"&amp;519,5))</f>
        <v/>
      </c>
      <c r="I527">
        <f>IF($H527="","",COUNTIFS(CalcBank,$G527,CalcKey,"&lt;"&amp;$H527)+1)</f>
        <v/>
      </c>
      <c r="J527">
        <f>IF($I527="","",$G527&amp;"|"&amp;RIGHT("000000"&amp;$I527,6))</f>
        <v/>
      </c>
      <c r="K527">
        <f>IF(OR($E527="",$E527="نامعتبر"),"",LEFT($E527,4)&amp;"/"&amp;MID($E527,6,2))</f>
        <v/>
      </c>
      <c r="L527">
        <f>IF(Entry!$K527="",0,Entry!$K527)</f>
        <v/>
      </c>
      <c r="M527">
        <f>IF(Entry!$L527="",0,Entry!$L527)</f>
        <v/>
      </c>
    </row>
    <row r="528">
      <c r="A528">
        <f>IF(Entry!$C528="","",Entry!$C528)</f>
        <v/>
      </c>
      <c r="B528">
        <f>IF($A528="","",IF(ISNUMBER($A528),IF(AND($A528&gt;=10000101,$A528&lt;=99991231),INT($A528/10000),""),IFERROR(VALUE(TRIM(LEFT($A528,FIND("/",$A528)-1))),"")))</f>
        <v/>
      </c>
      <c r="C528">
        <f>IF(OR($A528="",$B528=""),"",IF(ISNUMBER($A528),INT(MOD($A528,10000)/100),IFERROR(VALUE(TRIM(LEFT(MID($A528,FIND("/",$A528)+1,20),FIND("/",MID($A528,FIND("/",$A528)+1,20))-1))),"")))</f>
        <v/>
      </c>
      <c r="D528">
        <f>IF(OR($A528="",$B528=""),"",IF(ISNUMBER($A528),MOD($A528,100),IFERROR(VALUE(TRIM(MID(MID($A528,FIND("/",$A528)+1,20),FIND("/",MID($A528,FIND("/",$A528)+1,20))+1,20))),"")))</f>
        <v/>
      </c>
      <c r="E528">
        <f>IF($A528="","",IF(OR($B528="",$C528="",$D528="",$B528&lt;1300,$B528&gt;1500,$C528&lt;1,$C528&gt;12,$D528&lt;1,$D528&gt;31),"نامعتبر",RIGHT("0000"&amp;$B528,4)&amp;"/"&amp;RIGHT("00"&amp;$C528,2)&amp;"/"&amp;RIGHT("00"&amp;$D528,2)))</f>
        <v/>
      </c>
      <c r="F528">
        <f>IF(Entry!$D528&lt;&gt;"",IF(AND(ISNUMBER(Entry!$D528),Entry!$D528&gt;=0,Entry!$D528&lt;1),RIGHT("00"&amp;HOUR(Entry!$D528),2)&amp;":"&amp;RIGHT("00"&amp;MINUTE(Entry!$D528),2),IFERROR(RIGHT("00"&amp;VALUE(TRIM(LEFT(Entry!$D528,FIND(":",Entry!$D528)-1))),2)&amp;":"&amp;RIGHT("00"&amp;VALUE(TRIM(MID(Entry!$D528,FIND(":",Entry!$D528)+1,2))),2),"نامعتبر")),IF(OR($E528="",$E528="نامعتبر"),"","00:00"))</f>
        <v/>
      </c>
      <c r="G528">
        <f>IF(OR($E528="",$E528="نامعتبر"),"",IF(Entry!$E528="","",LEFT(UPPER(TRIM(Entry!$E528)),6)))</f>
        <v/>
      </c>
      <c r="H528">
        <f>IF($G528="","",RIGHT($E528,4)&amp;MID($E528,6,2)&amp;RIGHT($E528,2)&amp;IF($F528="","0000",IF($F528="نامعتبر","9999",LEFT($F528,2)&amp;RIGHT($F528,2)))&amp;"|"&amp;RIGHT("00000"&amp;520,5))</f>
        <v/>
      </c>
      <c r="I528">
        <f>IF($H528="","",COUNTIFS(CalcBank,$G528,CalcKey,"&lt;"&amp;$H528)+1)</f>
        <v/>
      </c>
      <c r="J528">
        <f>IF($I528="","",$G528&amp;"|"&amp;RIGHT("000000"&amp;$I528,6))</f>
        <v/>
      </c>
      <c r="K528">
        <f>IF(OR($E528="",$E528="نامعتبر"),"",LEFT($E528,4)&amp;"/"&amp;MID($E528,6,2))</f>
        <v/>
      </c>
      <c r="L528">
        <f>IF(Entry!$K528="",0,Entry!$K528)</f>
        <v/>
      </c>
      <c r="M528">
        <f>IF(Entry!$L528="",0,Entry!$L528)</f>
        <v/>
      </c>
    </row>
    <row r="529">
      <c r="A529">
        <f>IF(Entry!$C529="","",Entry!$C529)</f>
        <v/>
      </c>
      <c r="B529">
        <f>IF($A529="","",IF(ISNUMBER($A529),IF(AND($A529&gt;=10000101,$A529&lt;=99991231),INT($A529/10000),""),IFERROR(VALUE(TRIM(LEFT($A529,FIND("/",$A529)-1))),"")))</f>
        <v/>
      </c>
      <c r="C529">
        <f>IF(OR($A529="",$B529=""),"",IF(ISNUMBER($A529),INT(MOD($A529,10000)/100),IFERROR(VALUE(TRIM(LEFT(MID($A529,FIND("/",$A529)+1,20),FIND("/",MID($A529,FIND("/",$A529)+1,20))-1))),"")))</f>
        <v/>
      </c>
      <c r="D529">
        <f>IF(OR($A529="",$B529=""),"",IF(ISNUMBER($A529),MOD($A529,100),IFERROR(VALUE(TRIM(MID(MID($A529,FIND("/",$A529)+1,20),FIND("/",MID($A529,FIND("/",$A529)+1,20))+1,20))),"")))</f>
        <v/>
      </c>
      <c r="E529">
        <f>IF($A529="","",IF(OR($B529="",$C529="",$D529="",$B529&lt;1300,$B529&gt;1500,$C529&lt;1,$C529&gt;12,$D529&lt;1,$D529&gt;31),"نامعتبر",RIGHT("0000"&amp;$B529,4)&amp;"/"&amp;RIGHT("00"&amp;$C529,2)&amp;"/"&amp;RIGHT("00"&amp;$D529,2)))</f>
        <v/>
      </c>
      <c r="F529">
        <f>IF(Entry!$D529&lt;&gt;"",IF(AND(ISNUMBER(Entry!$D529),Entry!$D529&gt;=0,Entry!$D529&lt;1),RIGHT("00"&amp;HOUR(Entry!$D529),2)&amp;":"&amp;RIGHT("00"&amp;MINUTE(Entry!$D529),2),IFERROR(RIGHT("00"&amp;VALUE(TRIM(LEFT(Entry!$D529,FIND(":",Entry!$D529)-1))),2)&amp;":"&amp;RIGHT("00"&amp;VALUE(TRIM(MID(Entry!$D529,FIND(":",Entry!$D529)+1,2))),2),"نامعتبر")),IF(OR($E529="",$E529="نامعتبر"),"","00:00"))</f>
        <v/>
      </c>
      <c r="G529">
        <f>IF(OR($E529="",$E529="نامعتبر"),"",IF(Entry!$E529="","",LEFT(UPPER(TRIM(Entry!$E529)),6)))</f>
        <v/>
      </c>
      <c r="H529">
        <f>IF($G529="","",RIGHT($E529,4)&amp;MID($E529,6,2)&amp;RIGHT($E529,2)&amp;IF($F529="","0000",IF($F529="نامعتبر","9999",LEFT($F529,2)&amp;RIGHT($F529,2)))&amp;"|"&amp;RIGHT("00000"&amp;521,5))</f>
        <v/>
      </c>
      <c r="I529">
        <f>IF($H529="","",COUNTIFS(CalcBank,$G529,CalcKey,"&lt;"&amp;$H529)+1)</f>
        <v/>
      </c>
      <c r="J529">
        <f>IF($I529="","",$G529&amp;"|"&amp;RIGHT("000000"&amp;$I529,6))</f>
        <v/>
      </c>
      <c r="K529">
        <f>IF(OR($E529="",$E529="نامعتبر"),"",LEFT($E529,4)&amp;"/"&amp;MID($E529,6,2))</f>
        <v/>
      </c>
      <c r="L529">
        <f>IF(Entry!$K529="",0,Entry!$K529)</f>
        <v/>
      </c>
      <c r="M529">
        <f>IF(Entry!$L529="",0,Entry!$L529)</f>
        <v/>
      </c>
    </row>
    <row r="530">
      <c r="A530">
        <f>IF(Entry!$C530="","",Entry!$C530)</f>
        <v/>
      </c>
      <c r="B530">
        <f>IF($A530="","",IF(ISNUMBER($A530),IF(AND($A530&gt;=10000101,$A530&lt;=99991231),INT($A530/10000),""),IFERROR(VALUE(TRIM(LEFT($A530,FIND("/",$A530)-1))),"")))</f>
        <v/>
      </c>
      <c r="C530">
        <f>IF(OR($A530="",$B530=""),"",IF(ISNUMBER($A530),INT(MOD($A530,10000)/100),IFERROR(VALUE(TRIM(LEFT(MID($A530,FIND("/",$A530)+1,20),FIND("/",MID($A530,FIND("/",$A530)+1,20))-1))),"")))</f>
        <v/>
      </c>
      <c r="D530">
        <f>IF(OR($A530="",$B530=""),"",IF(ISNUMBER($A530),MOD($A530,100),IFERROR(VALUE(TRIM(MID(MID($A530,FIND("/",$A530)+1,20),FIND("/",MID($A530,FIND("/",$A530)+1,20))+1,20))),"")))</f>
        <v/>
      </c>
      <c r="E530">
        <f>IF($A530="","",IF(OR($B530="",$C530="",$D530="",$B530&lt;1300,$B530&gt;1500,$C530&lt;1,$C530&gt;12,$D530&lt;1,$D530&gt;31),"نامعتبر",RIGHT("0000"&amp;$B530,4)&amp;"/"&amp;RIGHT("00"&amp;$C530,2)&amp;"/"&amp;RIGHT("00"&amp;$D530,2)))</f>
        <v/>
      </c>
      <c r="F530">
        <f>IF(Entry!$D530&lt;&gt;"",IF(AND(ISNUMBER(Entry!$D530),Entry!$D530&gt;=0,Entry!$D530&lt;1),RIGHT("00"&amp;HOUR(Entry!$D530),2)&amp;":"&amp;RIGHT("00"&amp;MINUTE(Entry!$D530),2),IFERROR(RIGHT("00"&amp;VALUE(TRIM(LEFT(Entry!$D530,FIND(":",Entry!$D530)-1))),2)&amp;":"&amp;RIGHT("00"&amp;VALUE(TRIM(MID(Entry!$D530,FIND(":",Entry!$D530)+1,2))),2),"نامعتبر")),IF(OR($E530="",$E530="نامعتبر"),"","00:00"))</f>
        <v/>
      </c>
      <c r="G530">
        <f>IF(OR($E530="",$E530="نامعتبر"),"",IF(Entry!$E530="","",LEFT(UPPER(TRIM(Entry!$E530)),6)))</f>
        <v/>
      </c>
      <c r="H530">
        <f>IF($G530="","",RIGHT($E530,4)&amp;MID($E530,6,2)&amp;RIGHT($E530,2)&amp;IF($F530="","0000",IF($F530="نامعتبر","9999",LEFT($F530,2)&amp;RIGHT($F530,2)))&amp;"|"&amp;RIGHT("00000"&amp;522,5))</f>
        <v/>
      </c>
      <c r="I530">
        <f>IF($H530="","",COUNTIFS(CalcBank,$G530,CalcKey,"&lt;"&amp;$H530)+1)</f>
        <v/>
      </c>
      <c r="J530">
        <f>IF($I530="","",$G530&amp;"|"&amp;RIGHT("000000"&amp;$I530,6))</f>
        <v/>
      </c>
      <c r="K530">
        <f>IF(OR($E530="",$E530="نامعتبر"),"",LEFT($E530,4)&amp;"/"&amp;MID($E530,6,2))</f>
        <v/>
      </c>
      <c r="L530">
        <f>IF(Entry!$K530="",0,Entry!$K530)</f>
        <v/>
      </c>
      <c r="M530">
        <f>IF(Entry!$L530="",0,Entry!$L530)</f>
        <v/>
      </c>
    </row>
    <row r="531">
      <c r="A531">
        <f>IF(Entry!$C531="","",Entry!$C531)</f>
        <v/>
      </c>
      <c r="B531">
        <f>IF($A531="","",IF(ISNUMBER($A531),IF(AND($A531&gt;=10000101,$A531&lt;=99991231),INT($A531/10000),""),IFERROR(VALUE(TRIM(LEFT($A531,FIND("/",$A531)-1))),"")))</f>
        <v/>
      </c>
      <c r="C531">
        <f>IF(OR($A531="",$B531=""),"",IF(ISNUMBER($A531),INT(MOD($A531,10000)/100),IFERROR(VALUE(TRIM(LEFT(MID($A531,FIND("/",$A531)+1,20),FIND("/",MID($A531,FIND("/",$A531)+1,20))-1))),"")))</f>
        <v/>
      </c>
      <c r="D531">
        <f>IF(OR($A531="",$B531=""),"",IF(ISNUMBER($A531),MOD($A531,100),IFERROR(VALUE(TRIM(MID(MID($A531,FIND("/",$A531)+1,20),FIND("/",MID($A531,FIND("/",$A531)+1,20))+1,20))),"")))</f>
        <v/>
      </c>
      <c r="E531">
        <f>IF($A531="","",IF(OR($B531="",$C531="",$D531="",$B531&lt;1300,$B531&gt;1500,$C531&lt;1,$C531&gt;12,$D531&lt;1,$D531&gt;31),"نامعتبر",RIGHT("0000"&amp;$B531,4)&amp;"/"&amp;RIGHT("00"&amp;$C531,2)&amp;"/"&amp;RIGHT("00"&amp;$D531,2)))</f>
        <v/>
      </c>
      <c r="F531">
        <f>IF(Entry!$D531&lt;&gt;"",IF(AND(ISNUMBER(Entry!$D531),Entry!$D531&gt;=0,Entry!$D531&lt;1),RIGHT("00"&amp;HOUR(Entry!$D531),2)&amp;":"&amp;RIGHT("00"&amp;MINUTE(Entry!$D531),2),IFERROR(RIGHT("00"&amp;VALUE(TRIM(LEFT(Entry!$D531,FIND(":",Entry!$D531)-1))),2)&amp;":"&amp;RIGHT("00"&amp;VALUE(TRIM(MID(Entry!$D531,FIND(":",Entry!$D531)+1,2))),2),"نامعتبر")),IF(OR($E531="",$E531="نامعتبر"),"","00:00"))</f>
        <v/>
      </c>
      <c r="G531">
        <f>IF(OR($E531="",$E531="نامعتبر"),"",IF(Entry!$E531="","",LEFT(UPPER(TRIM(Entry!$E531)),6)))</f>
        <v/>
      </c>
      <c r="H531">
        <f>IF($G531="","",RIGHT($E531,4)&amp;MID($E531,6,2)&amp;RIGHT($E531,2)&amp;IF($F531="","0000",IF($F531="نامعتبر","9999",LEFT($F531,2)&amp;RIGHT($F531,2)))&amp;"|"&amp;RIGHT("00000"&amp;523,5))</f>
        <v/>
      </c>
      <c r="I531">
        <f>IF($H531="","",COUNTIFS(CalcBank,$G531,CalcKey,"&lt;"&amp;$H531)+1)</f>
        <v/>
      </c>
      <c r="J531">
        <f>IF($I531="","",$G531&amp;"|"&amp;RIGHT("000000"&amp;$I531,6))</f>
        <v/>
      </c>
      <c r="K531">
        <f>IF(OR($E531="",$E531="نامعتبر"),"",LEFT($E531,4)&amp;"/"&amp;MID($E531,6,2))</f>
        <v/>
      </c>
      <c r="L531">
        <f>IF(Entry!$K531="",0,Entry!$K531)</f>
        <v/>
      </c>
      <c r="M531">
        <f>IF(Entry!$L531="",0,Entry!$L531)</f>
        <v/>
      </c>
    </row>
    <row r="532">
      <c r="A532">
        <f>IF(Entry!$C532="","",Entry!$C532)</f>
        <v/>
      </c>
      <c r="B532">
        <f>IF($A532="","",IF(ISNUMBER($A532),IF(AND($A532&gt;=10000101,$A532&lt;=99991231),INT($A532/10000),""),IFERROR(VALUE(TRIM(LEFT($A532,FIND("/",$A532)-1))),"")))</f>
        <v/>
      </c>
      <c r="C532">
        <f>IF(OR($A532="",$B532=""),"",IF(ISNUMBER($A532),INT(MOD($A532,10000)/100),IFERROR(VALUE(TRIM(LEFT(MID($A532,FIND("/",$A532)+1,20),FIND("/",MID($A532,FIND("/",$A532)+1,20))-1))),"")))</f>
        <v/>
      </c>
      <c r="D532">
        <f>IF(OR($A532="",$B532=""),"",IF(ISNUMBER($A532),MOD($A532,100),IFERROR(VALUE(TRIM(MID(MID($A532,FIND("/",$A532)+1,20),FIND("/",MID($A532,FIND("/",$A532)+1,20))+1,20))),"")))</f>
        <v/>
      </c>
      <c r="E532">
        <f>IF($A532="","",IF(OR($B532="",$C532="",$D532="",$B532&lt;1300,$B532&gt;1500,$C532&lt;1,$C532&gt;12,$D532&lt;1,$D532&gt;31),"نامعتبر",RIGHT("0000"&amp;$B532,4)&amp;"/"&amp;RIGHT("00"&amp;$C532,2)&amp;"/"&amp;RIGHT("00"&amp;$D532,2)))</f>
        <v/>
      </c>
      <c r="F532">
        <f>IF(Entry!$D532&lt;&gt;"",IF(AND(ISNUMBER(Entry!$D532),Entry!$D532&gt;=0,Entry!$D532&lt;1),RIGHT("00"&amp;HOUR(Entry!$D532),2)&amp;":"&amp;RIGHT("00"&amp;MINUTE(Entry!$D532),2),IFERROR(RIGHT("00"&amp;VALUE(TRIM(LEFT(Entry!$D532,FIND(":",Entry!$D532)-1))),2)&amp;":"&amp;RIGHT("00"&amp;VALUE(TRIM(MID(Entry!$D532,FIND(":",Entry!$D532)+1,2))),2),"نامعتبر")),IF(OR($E532="",$E532="نامعتبر"),"","00:00"))</f>
        <v/>
      </c>
      <c r="G532">
        <f>IF(OR($E532="",$E532="نامعتبر"),"",IF(Entry!$E532="","",LEFT(UPPER(TRIM(Entry!$E532)),6)))</f>
        <v/>
      </c>
      <c r="H532">
        <f>IF($G532="","",RIGHT($E532,4)&amp;MID($E532,6,2)&amp;RIGHT($E532,2)&amp;IF($F532="","0000",IF($F532="نامعتبر","9999",LEFT($F532,2)&amp;RIGHT($F532,2)))&amp;"|"&amp;RIGHT("00000"&amp;524,5))</f>
        <v/>
      </c>
      <c r="I532">
        <f>IF($H532="","",COUNTIFS(CalcBank,$G532,CalcKey,"&lt;"&amp;$H532)+1)</f>
        <v/>
      </c>
      <c r="J532">
        <f>IF($I532="","",$G532&amp;"|"&amp;RIGHT("000000"&amp;$I532,6))</f>
        <v/>
      </c>
      <c r="K532">
        <f>IF(OR($E532="",$E532="نامعتبر"),"",LEFT($E532,4)&amp;"/"&amp;MID($E532,6,2))</f>
        <v/>
      </c>
      <c r="L532">
        <f>IF(Entry!$K532="",0,Entry!$K532)</f>
        <v/>
      </c>
      <c r="M532">
        <f>IF(Entry!$L532="",0,Entry!$L532)</f>
        <v/>
      </c>
    </row>
    <row r="533">
      <c r="A533">
        <f>IF(Entry!$C533="","",Entry!$C533)</f>
        <v/>
      </c>
      <c r="B533">
        <f>IF($A533="","",IF(ISNUMBER($A533),IF(AND($A533&gt;=10000101,$A533&lt;=99991231),INT($A533/10000),""),IFERROR(VALUE(TRIM(LEFT($A533,FIND("/",$A533)-1))),"")))</f>
        <v/>
      </c>
      <c r="C533">
        <f>IF(OR($A533="",$B533=""),"",IF(ISNUMBER($A533),INT(MOD($A533,10000)/100),IFERROR(VALUE(TRIM(LEFT(MID($A533,FIND("/",$A533)+1,20),FIND("/",MID($A533,FIND("/",$A533)+1,20))-1))),"")))</f>
        <v/>
      </c>
      <c r="D533">
        <f>IF(OR($A533="",$B533=""),"",IF(ISNUMBER($A533),MOD($A533,100),IFERROR(VALUE(TRIM(MID(MID($A533,FIND("/",$A533)+1,20),FIND("/",MID($A533,FIND("/",$A533)+1,20))+1,20))),"")))</f>
        <v/>
      </c>
      <c r="E533">
        <f>IF($A533="","",IF(OR($B533="",$C533="",$D533="",$B533&lt;1300,$B533&gt;1500,$C533&lt;1,$C533&gt;12,$D533&lt;1,$D533&gt;31),"نامعتبر",RIGHT("0000"&amp;$B533,4)&amp;"/"&amp;RIGHT("00"&amp;$C533,2)&amp;"/"&amp;RIGHT("00"&amp;$D533,2)))</f>
        <v/>
      </c>
      <c r="F533">
        <f>IF(Entry!$D533&lt;&gt;"",IF(AND(ISNUMBER(Entry!$D533),Entry!$D533&gt;=0,Entry!$D533&lt;1),RIGHT("00"&amp;HOUR(Entry!$D533),2)&amp;":"&amp;RIGHT("00"&amp;MINUTE(Entry!$D533),2),IFERROR(RIGHT("00"&amp;VALUE(TRIM(LEFT(Entry!$D533,FIND(":",Entry!$D533)-1))),2)&amp;":"&amp;RIGHT("00"&amp;VALUE(TRIM(MID(Entry!$D533,FIND(":",Entry!$D533)+1,2))),2),"نامعتبر")),IF(OR($E533="",$E533="نامعتبر"),"","00:00"))</f>
        <v/>
      </c>
      <c r="G533">
        <f>IF(OR($E533="",$E533="نامعتبر"),"",IF(Entry!$E533="","",LEFT(UPPER(TRIM(Entry!$E533)),6)))</f>
        <v/>
      </c>
      <c r="H533">
        <f>IF($G533="","",RIGHT($E533,4)&amp;MID($E533,6,2)&amp;RIGHT($E533,2)&amp;IF($F533="","0000",IF($F533="نامعتبر","9999",LEFT($F533,2)&amp;RIGHT($F533,2)))&amp;"|"&amp;RIGHT("00000"&amp;525,5))</f>
        <v/>
      </c>
      <c r="I533">
        <f>IF($H533="","",COUNTIFS(CalcBank,$G533,CalcKey,"&lt;"&amp;$H533)+1)</f>
        <v/>
      </c>
      <c r="J533">
        <f>IF($I533="","",$G533&amp;"|"&amp;RIGHT("000000"&amp;$I533,6))</f>
        <v/>
      </c>
      <c r="K533">
        <f>IF(OR($E533="",$E533="نامعتبر"),"",LEFT($E533,4)&amp;"/"&amp;MID($E533,6,2))</f>
        <v/>
      </c>
      <c r="L533">
        <f>IF(Entry!$K533="",0,Entry!$K533)</f>
        <v/>
      </c>
      <c r="M533">
        <f>IF(Entry!$L533="",0,Entry!$L533)</f>
        <v/>
      </c>
    </row>
    <row r="534">
      <c r="A534">
        <f>IF(Entry!$C534="","",Entry!$C534)</f>
        <v/>
      </c>
      <c r="B534">
        <f>IF($A534="","",IF(ISNUMBER($A534),IF(AND($A534&gt;=10000101,$A534&lt;=99991231),INT($A534/10000),""),IFERROR(VALUE(TRIM(LEFT($A534,FIND("/",$A534)-1))),"")))</f>
        <v/>
      </c>
      <c r="C534">
        <f>IF(OR($A534="",$B534=""),"",IF(ISNUMBER($A534),INT(MOD($A534,10000)/100),IFERROR(VALUE(TRIM(LEFT(MID($A534,FIND("/",$A534)+1,20),FIND("/",MID($A534,FIND("/",$A534)+1,20))-1))),"")))</f>
        <v/>
      </c>
      <c r="D534">
        <f>IF(OR($A534="",$B534=""),"",IF(ISNUMBER($A534),MOD($A534,100),IFERROR(VALUE(TRIM(MID(MID($A534,FIND("/",$A534)+1,20),FIND("/",MID($A534,FIND("/",$A534)+1,20))+1,20))),"")))</f>
        <v/>
      </c>
      <c r="E534">
        <f>IF($A534="","",IF(OR($B534="",$C534="",$D534="",$B534&lt;1300,$B534&gt;1500,$C534&lt;1,$C534&gt;12,$D534&lt;1,$D534&gt;31),"نامعتبر",RIGHT("0000"&amp;$B534,4)&amp;"/"&amp;RIGHT("00"&amp;$C534,2)&amp;"/"&amp;RIGHT("00"&amp;$D534,2)))</f>
        <v/>
      </c>
      <c r="F534">
        <f>IF(Entry!$D534&lt;&gt;"",IF(AND(ISNUMBER(Entry!$D534),Entry!$D534&gt;=0,Entry!$D534&lt;1),RIGHT("00"&amp;HOUR(Entry!$D534),2)&amp;":"&amp;RIGHT("00"&amp;MINUTE(Entry!$D534),2),IFERROR(RIGHT("00"&amp;VALUE(TRIM(LEFT(Entry!$D534,FIND(":",Entry!$D534)-1))),2)&amp;":"&amp;RIGHT("00"&amp;VALUE(TRIM(MID(Entry!$D534,FIND(":",Entry!$D534)+1,2))),2),"نامعتبر")),IF(OR($E534="",$E534="نامعتبر"),"","00:00"))</f>
        <v/>
      </c>
      <c r="G534">
        <f>IF(OR($E534="",$E534="نامعتبر"),"",IF(Entry!$E534="","",LEFT(UPPER(TRIM(Entry!$E534)),6)))</f>
        <v/>
      </c>
      <c r="H534">
        <f>IF($G534="","",RIGHT($E534,4)&amp;MID($E534,6,2)&amp;RIGHT($E534,2)&amp;IF($F534="","0000",IF($F534="نامعتبر","9999",LEFT($F534,2)&amp;RIGHT($F534,2)))&amp;"|"&amp;RIGHT("00000"&amp;526,5))</f>
        <v/>
      </c>
      <c r="I534">
        <f>IF($H534="","",COUNTIFS(CalcBank,$G534,CalcKey,"&lt;"&amp;$H534)+1)</f>
        <v/>
      </c>
      <c r="J534">
        <f>IF($I534="","",$G534&amp;"|"&amp;RIGHT("000000"&amp;$I534,6))</f>
        <v/>
      </c>
      <c r="K534">
        <f>IF(OR($E534="",$E534="نامعتبر"),"",LEFT($E534,4)&amp;"/"&amp;MID($E534,6,2))</f>
        <v/>
      </c>
      <c r="L534">
        <f>IF(Entry!$K534="",0,Entry!$K534)</f>
        <v/>
      </c>
      <c r="M534">
        <f>IF(Entry!$L534="",0,Entry!$L534)</f>
        <v/>
      </c>
    </row>
    <row r="535">
      <c r="A535">
        <f>IF(Entry!$C535="","",Entry!$C535)</f>
        <v/>
      </c>
      <c r="B535">
        <f>IF($A535="","",IF(ISNUMBER($A535),IF(AND($A535&gt;=10000101,$A535&lt;=99991231),INT($A535/10000),""),IFERROR(VALUE(TRIM(LEFT($A535,FIND("/",$A535)-1))),"")))</f>
        <v/>
      </c>
      <c r="C535">
        <f>IF(OR($A535="",$B535=""),"",IF(ISNUMBER($A535),INT(MOD($A535,10000)/100),IFERROR(VALUE(TRIM(LEFT(MID($A535,FIND("/",$A535)+1,20),FIND("/",MID($A535,FIND("/",$A535)+1,20))-1))),"")))</f>
        <v/>
      </c>
      <c r="D535">
        <f>IF(OR($A535="",$B535=""),"",IF(ISNUMBER($A535),MOD($A535,100),IFERROR(VALUE(TRIM(MID(MID($A535,FIND("/",$A535)+1,20),FIND("/",MID($A535,FIND("/",$A535)+1,20))+1,20))),"")))</f>
        <v/>
      </c>
      <c r="E535">
        <f>IF($A535="","",IF(OR($B535="",$C535="",$D535="",$B535&lt;1300,$B535&gt;1500,$C535&lt;1,$C535&gt;12,$D535&lt;1,$D535&gt;31),"نامعتبر",RIGHT("0000"&amp;$B535,4)&amp;"/"&amp;RIGHT("00"&amp;$C535,2)&amp;"/"&amp;RIGHT("00"&amp;$D535,2)))</f>
        <v/>
      </c>
      <c r="F535">
        <f>IF(Entry!$D535&lt;&gt;"",IF(AND(ISNUMBER(Entry!$D535),Entry!$D535&gt;=0,Entry!$D535&lt;1),RIGHT("00"&amp;HOUR(Entry!$D535),2)&amp;":"&amp;RIGHT("00"&amp;MINUTE(Entry!$D535),2),IFERROR(RIGHT("00"&amp;VALUE(TRIM(LEFT(Entry!$D535,FIND(":",Entry!$D535)-1))),2)&amp;":"&amp;RIGHT("00"&amp;VALUE(TRIM(MID(Entry!$D535,FIND(":",Entry!$D535)+1,2))),2),"نامعتبر")),IF(OR($E535="",$E535="نامعتبر"),"","00:00"))</f>
        <v/>
      </c>
      <c r="G535">
        <f>IF(OR($E535="",$E535="نامعتبر"),"",IF(Entry!$E535="","",LEFT(UPPER(TRIM(Entry!$E535)),6)))</f>
        <v/>
      </c>
      <c r="H535">
        <f>IF($G535="","",RIGHT($E535,4)&amp;MID($E535,6,2)&amp;RIGHT($E535,2)&amp;IF($F535="","0000",IF($F535="نامعتبر","9999",LEFT($F535,2)&amp;RIGHT($F535,2)))&amp;"|"&amp;RIGHT("00000"&amp;527,5))</f>
        <v/>
      </c>
      <c r="I535">
        <f>IF($H535="","",COUNTIFS(CalcBank,$G535,CalcKey,"&lt;"&amp;$H535)+1)</f>
        <v/>
      </c>
      <c r="J535">
        <f>IF($I535="","",$G535&amp;"|"&amp;RIGHT("000000"&amp;$I535,6))</f>
        <v/>
      </c>
      <c r="K535">
        <f>IF(OR($E535="",$E535="نامعتبر"),"",LEFT($E535,4)&amp;"/"&amp;MID($E535,6,2))</f>
        <v/>
      </c>
      <c r="L535">
        <f>IF(Entry!$K535="",0,Entry!$K535)</f>
        <v/>
      </c>
      <c r="M535">
        <f>IF(Entry!$L535="",0,Entry!$L535)</f>
        <v/>
      </c>
    </row>
    <row r="536">
      <c r="A536">
        <f>IF(Entry!$C536="","",Entry!$C536)</f>
        <v/>
      </c>
      <c r="B536">
        <f>IF($A536="","",IF(ISNUMBER($A536),IF(AND($A536&gt;=10000101,$A536&lt;=99991231),INT($A536/10000),""),IFERROR(VALUE(TRIM(LEFT($A536,FIND("/",$A536)-1))),"")))</f>
        <v/>
      </c>
      <c r="C536">
        <f>IF(OR($A536="",$B536=""),"",IF(ISNUMBER($A536),INT(MOD($A536,10000)/100),IFERROR(VALUE(TRIM(LEFT(MID($A536,FIND("/",$A536)+1,20),FIND("/",MID($A536,FIND("/",$A536)+1,20))-1))),"")))</f>
        <v/>
      </c>
      <c r="D536">
        <f>IF(OR($A536="",$B536=""),"",IF(ISNUMBER($A536),MOD($A536,100),IFERROR(VALUE(TRIM(MID(MID($A536,FIND("/",$A536)+1,20),FIND("/",MID($A536,FIND("/",$A536)+1,20))+1,20))),"")))</f>
        <v/>
      </c>
      <c r="E536">
        <f>IF($A536="","",IF(OR($B536="",$C536="",$D536="",$B536&lt;1300,$B536&gt;1500,$C536&lt;1,$C536&gt;12,$D536&lt;1,$D536&gt;31),"نامعتبر",RIGHT("0000"&amp;$B536,4)&amp;"/"&amp;RIGHT("00"&amp;$C536,2)&amp;"/"&amp;RIGHT("00"&amp;$D536,2)))</f>
        <v/>
      </c>
      <c r="F536">
        <f>IF(Entry!$D536&lt;&gt;"",IF(AND(ISNUMBER(Entry!$D536),Entry!$D536&gt;=0,Entry!$D536&lt;1),RIGHT("00"&amp;HOUR(Entry!$D536),2)&amp;":"&amp;RIGHT("00"&amp;MINUTE(Entry!$D536),2),IFERROR(RIGHT("00"&amp;VALUE(TRIM(LEFT(Entry!$D536,FIND(":",Entry!$D536)-1))),2)&amp;":"&amp;RIGHT("00"&amp;VALUE(TRIM(MID(Entry!$D536,FIND(":",Entry!$D536)+1,2))),2),"نامعتبر")),IF(OR($E536="",$E536="نامعتبر"),"","00:00"))</f>
        <v/>
      </c>
      <c r="G536">
        <f>IF(OR($E536="",$E536="نامعتبر"),"",IF(Entry!$E536="","",LEFT(UPPER(TRIM(Entry!$E536)),6)))</f>
        <v/>
      </c>
      <c r="H536">
        <f>IF($G536="","",RIGHT($E536,4)&amp;MID($E536,6,2)&amp;RIGHT($E536,2)&amp;IF($F536="","0000",IF($F536="نامعتبر","9999",LEFT($F536,2)&amp;RIGHT($F536,2)))&amp;"|"&amp;RIGHT("00000"&amp;528,5))</f>
        <v/>
      </c>
      <c r="I536">
        <f>IF($H536="","",COUNTIFS(CalcBank,$G536,CalcKey,"&lt;"&amp;$H536)+1)</f>
        <v/>
      </c>
      <c r="J536">
        <f>IF($I536="","",$G536&amp;"|"&amp;RIGHT("000000"&amp;$I536,6))</f>
        <v/>
      </c>
      <c r="K536">
        <f>IF(OR($E536="",$E536="نامعتبر"),"",LEFT($E536,4)&amp;"/"&amp;MID($E536,6,2))</f>
        <v/>
      </c>
      <c r="L536">
        <f>IF(Entry!$K536="",0,Entry!$K536)</f>
        <v/>
      </c>
      <c r="M536">
        <f>IF(Entry!$L536="",0,Entry!$L536)</f>
        <v/>
      </c>
    </row>
    <row r="537">
      <c r="A537">
        <f>IF(Entry!$C537="","",Entry!$C537)</f>
        <v/>
      </c>
      <c r="B537">
        <f>IF($A537="","",IF(ISNUMBER($A537),IF(AND($A537&gt;=10000101,$A537&lt;=99991231),INT($A537/10000),""),IFERROR(VALUE(TRIM(LEFT($A537,FIND("/",$A537)-1))),"")))</f>
        <v/>
      </c>
      <c r="C537">
        <f>IF(OR($A537="",$B537=""),"",IF(ISNUMBER($A537),INT(MOD($A537,10000)/100),IFERROR(VALUE(TRIM(LEFT(MID($A537,FIND("/",$A537)+1,20),FIND("/",MID($A537,FIND("/",$A537)+1,20))-1))),"")))</f>
        <v/>
      </c>
      <c r="D537">
        <f>IF(OR($A537="",$B537=""),"",IF(ISNUMBER($A537),MOD($A537,100),IFERROR(VALUE(TRIM(MID(MID($A537,FIND("/",$A537)+1,20),FIND("/",MID($A537,FIND("/",$A537)+1,20))+1,20))),"")))</f>
        <v/>
      </c>
      <c r="E537">
        <f>IF($A537="","",IF(OR($B537="",$C537="",$D537="",$B537&lt;1300,$B537&gt;1500,$C537&lt;1,$C537&gt;12,$D537&lt;1,$D537&gt;31),"نامعتبر",RIGHT("0000"&amp;$B537,4)&amp;"/"&amp;RIGHT("00"&amp;$C537,2)&amp;"/"&amp;RIGHT("00"&amp;$D537,2)))</f>
        <v/>
      </c>
      <c r="F537">
        <f>IF(Entry!$D537&lt;&gt;"",IF(AND(ISNUMBER(Entry!$D537),Entry!$D537&gt;=0,Entry!$D537&lt;1),RIGHT("00"&amp;HOUR(Entry!$D537),2)&amp;":"&amp;RIGHT("00"&amp;MINUTE(Entry!$D537),2),IFERROR(RIGHT("00"&amp;VALUE(TRIM(LEFT(Entry!$D537,FIND(":",Entry!$D537)-1))),2)&amp;":"&amp;RIGHT("00"&amp;VALUE(TRIM(MID(Entry!$D537,FIND(":",Entry!$D537)+1,2))),2),"نامعتبر")),IF(OR($E537="",$E537="نامعتبر"),"","00:00"))</f>
        <v/>
      </c>
      <c r="G537">
        <f>IF(OR($E537="",$E537="نامعتبر"),"",IF(Entry!$E537="","",LEFT(UPPER(TRIM(Entry!$E537)),6)))</f>
        <v/>
      </c>
      <c r="H537">
        <f>IF($G537="","",RIGHT($E537,4)&amp;MID($E537,6,2)&amp;RIGHT($E537,2)&amp;IF($F537="","0000",IF($F537="نامعتبر","9999",LEFT($F537,2)&amp;RIGHT($F537,2)))&amp;"|"&amp;RIGHT("00000"&amp;529,5))</f>
        <v/>
      </c>
      <c r="I537">
        <f>IF($H537="","",COUNTIFS(CalcBank,$G537,CalcKey,"&lt;"&amp;$H537)+1)</f>
        <v/>
      </c>
      <c r="J537">
        <f>IF($I537="","",$G537&amp;"|"&amp;RIGHT("000000"&amp;$I537,6))</f>
        <v/>
      </c>
      <c r="K537">
        <f>IF(OR($E537="",$E537="نامعتبر"),"",LEFT($E537,4)&amp;"/"&amp;MID($E537,6,2))</f>
        <v/>
      </c>
      <c r="L537">
        <f>IF(Entry!$K537="",0,Entry!$K537)</f>
        <v/>
      </c>
      <c r="M537">
        <f>IF(Entry!$L537="",0,Entry!$L537)</f>
        <v/>
      </c>
    </row>
    <row r="538">
      <c r="A538">
        <f>IF(Entry!$C538="","",Entry!$C538)</f>
        <v/>
      </c>
      <c r="B538">
        <f>IF($A538="","",IF(ISNUMBER($A538),IF(AND($A538&gt;=10000101,$A538&lt;=99991231),INT($A538/10000),""),IFERROR(VALUE(TRIM(LEFT($A538,FIND("/",$A538)-1))),"")))</f>
        <v/>
      </c>
      <c r="C538">
        <f>IF(OR($A538="",$B538=""),"",IF(ISNUMBER($A538),INT(MOD($A538,10000)/100),IFERROR(VALUE(TRIM(LEFT(MID($A538,FIND("/",$A538)+1,20),FIND("/",MID($A538,FIND("/",$A538)+1,20))-1))),"")))</f>
        <v/>
      </c>
      <c r="D538">
        <f>IF(OR($A538="",$B538=""),"",IF(ISNUMBER($A538),MOD($A538,100),IFERROR(VALUE(TRIM(MID(MID($A538,FIND("/",$A538)+1,20),FIND("/",MID($A538,FIND("/",$A538)+1,20))+1,20))),"")))</f>
        <v/>
      </c>
      <c r="E538">
        <f>IF($A538="","",IF(OR($B538="",$C538="",$D538="",$B538&lt;1300,$B538&gt;1500,$C538&lt;1,$C538&gt;12,$D538&lt;1,$D538&gt;31),"نامعتبر",RIGHT("0000"&amp;$B538,4)&amp;"/"&amp;RIGHT("00"&amp;$C538,2)&amp;"/"&amp;RIGHT("00"&amp;$D538,2)))</f>
        <v/>
      </c>
      <c r="F538">
        <f>IF(Entry!$D538&lt;&gt;"",IF(AND(ISNUMBER(Entry!$D538),Entry!$D538&gt;=0,Entry!$D538&lt;1),RIGHT("00"&amp;HOUR(Entry!$D538),2)&amp;":"&amp;RIGHT("00"&amp;MINUTE(Entry!$D538),2),IFERROR(RIGHT("00"&amp;VALUE(TRIM(LEFT(Entry!$D538,FIND(":",Entry!$D538)-1))),2)&amp;":"&amp;RIGHT("00"&amp;VALUE(TRIM(MID(Entry!$D538,FIND(":",Entry!$D538)+1,2))),2),"نامعتبر")),IF(OR($E538="",$E538="نامعتبر"),"","00:00"))</f>
        <v/>
      </c>
      <c r="G538">
        <f>IF(OR($E538="",$E538="نامعتبر"),"",IF(Entry!$E538="","",LEFT(UPPER(TRIM(Entry!$E538)),6)))</f>
        <v/>
      </c>
      <c r="H538">
        <f>IF($G538="","",RIGHT($E538,4)&amp;MID($E538,6,2)&amp;RIGHT($E538,2)&amp;IF($F538="","0000",IF($F538="نامعتبر","9999",LEFT($F538,2)&amp;RIGHT($F538,2)))&amp;"|"&amp;RIGHT("00000"&amp;530,5))</f>
        <v/>
      </c>
      <c r="I538">
        <f>IF($H538="","",COUNTIFS(CalcBank,$G538,CalcKey,"&lt;"&amp;$H538)+1)</f>
        <v/>
      </c>
      <c r="J538">
        <f>IF($I538="","",$G538&amp;"|"&amp;RIGHT("000000"&amp;$I538,6))</f>
        <v/>
      </c>
      <c r="K538">
        <f>IF(OR($E538="",$E538="نامعتبر"),"",LEFT($E538,4)&amp;"/"&amp;MID($E538,6,2))</f>
        <v/>
      </c>
      <c r="L538">
        <f>IF(Entry!$K538="",0,Entry!$K538)</f>
        <v/>
      </c>
      <c r="M538">
        <f>IF(Entry!$L538="",0,Entry!$L538)</f>
        <v/>
      </c>
    </row>
    <row r="539">
      <c r="A539">
        <f>IF(Entry!$C539="","",Entry!$C539)</f>
        <v/>
      </c>
      <c r="B539">
        <f>IF($A539="","",IF(ISNUMBER($A539),IF(AND($A539&gt;=10000101,$A539&lt;=99991231),INT($A539/10000),""),IFERROR(VALUE(TRIM(LEFT($A539,FIND("/",$A539)-1))),"")))</f>
        <v/>
      </c>
      <c r="C539">
        <f>IF(OR($A539="",$B539=""),"",IF(ISNUMBER($A539),INT(MOD($A539,10000)/100),IFERROR(VALUE(TRIM(LEFT(MID($A539,FIND("/",$A539)+1,20),FIND("/",MID($A539,FIND("/",$A539)+1,20))-1))),"")))</f>
        <v/>
      </c>
      <c r="D539">
        <f>IF(OR($A539="",$B539=""),"",IF(ISNUMBER($A539),MOD($A539,100),IFERROR(VALUE(TRIM(MID(MID($A539,FIND("/",$A539)+1,20),FIND("/",MID($A539,FIND("/",$A539)+1,20))+1,20))),"")))</f>
        <v/>
      </c>
      <c r="E539">
        <f>IF($A539="","",IF(OR($B539="",$C539="",$D539="",$B539&lt;1300,$B539&gt;1500,$C539&lt;1,$C539&gt;12,$D539&lt;1,$D539&gt;31),"نامعتبر",RIGHT("0000"&amp;$B539,4)&amp;"/"&amp;RIGHT("00"&amp;$C539,2)&amp;"/"&amp;RIGHT("00"&amp;$D539,2)))</f>
        <v/>
      </c>
      <c r="F539">
        <f>IF(Entry!$D539&lt;&gt;"",IF(AND(ISNUMBER(Entry!$D539),Entry!$D539&gt;=0,Entry!$D539&lt;1),RIGHT("00"&amp;HOUR(Entry!$D539),2)&amp;":"&amp;RIGHT("00"&amp;MINUTE(Entry!$D539),2),IFERROR(RIGHT("00"&amp;VALUE(TRIM(LEFT(Entry!$D539,FIND(":",Entry!$D539)-1))),2)&amp;":"&amp;RIGHT("00"&amp;VALUE(TRIM(MID(Entry!$D539,FIND(":",Entry!$D539)+1,2))),2),"نامعتبر")),IF(OR($E539="",$E539="نامعتبر"),"","00:00"))</f>
        <v/>
      </c>
      <c r="G539">
        <f>IF(OR($E539="",$E539="نامعتبر"),"",IF(Entry!$E539="","",LEFT(UPPER(TRIM(Entry!$E539)),6)))</f>
        <v/>
      </c>
      <c r="H539">
        <f>IF($G539="","",RIGHT($E539,4)&amp;MID($E539,6,2)&amp;RIGHT($E539,2)&amp;IF($F539="","0000",IF($F539="نامعتبر","9999",LEFT($F539,2)&amp;RIGHT($F539,2)))&amp;"|"&amp;RIGHT("00000"&amp;531,5))</f>
        <v/>
      </c>
      <c r="I539">
        <f>IF($H539="","",COUNTIFS(CalcBank,$G539,CalcKey,"&lt;"&amp;$H539)+1)</f>
        <v/>
      </c>
      <c r="J539">
        <f>IF($I539="","",$G539&amp;"|"&amp;RIGHT("000000"&amp;$I539,6))</f>
        <v/>
      </c>
      <c r="K539">
        <f>IF(OR($E539="",$E539="نامعتبر"),"",LEFT($E539,4)&amp;"/"&amp;MID($E539,6,2))</f>
        <v/>
      </c>
      <c r="L539">
        <f>IF(Entry!$K539="",0,Entry!$K539)</f>
        <v/>
      </c>
      <c r="M539">
        <f>IF(Entry!$L539="",0,Entry!$L539)</f>
        <v/>
      </c>
    </row>
    <row r="540">
      <c r="A540">
        <f>IF(Entry!$C540="","",Entry!$C540)</f>
        <v/>
      </c>
      <c r="B540">
        <f>IF($A540="","",IF(ISNUMBER($A540),IF(AND($A540&gt;=10000101,$A540&lt;=99991231),INT($A540/10000),""),IFERROR(VALUE(TRIM(LEFT($A540,FIND("/",$A540)-1))),"")))</f>
        <v/>
      </c>
      <c r="C540">
        <f>IF(OR($A540="",$B540=""),"",IF(ISNUMBER($A540),INT(MOD($A540,10000)/100),IFERROR(VALUE(TRIM(LEFT(MID($A540,FIND("/",$A540)+1,20),FIND("/",MID($A540,FIND("/",$A540)+1,20))-1))),"")))</f>
        <v/>
      </c>
      <c r="D540">
        <f>IF(OR($A540="",$B540=""),"",IF(ISNUMBER($A540),MOD($A540,100),IFERROR(VALUE(TRIM(MID(MID($A540,FIND("/",$A540)+1,20),FIND("/",MID($A540,FIND("/",$A540)+1,20))+1,20))),"")))</f>
        <v/>
      </c>
      <c r="E540">
        <f>IF($A540="","",IF(OR($B540="",$C540="",$D540="",$B540&lt;1300,$B540&gt;1500,$C540&lt;1,$C540&gt;12,$D540&lt;1,$D540&gt;31),"نامعتبر",RIGHT("0000"&amp;$B540,4)&amp;"/"&amp;RIGHT("00"&amp;$C540,2)&amp;"/"&amp;RIGHT("00"&amp;$D540,2)))</f>
        <v/>
      </c>
      <c r="F540">
        <f>IF(Entry!$D540&lt;&gt;"",IF(AND(ISNUMBER(Entry!$D540),Entry!$D540&gt;=0,Entry!$D540&lt;1),RIGHT("00"&amp;HOUR(Entry!$D540),2)&amp;":"&amp;RIGHT("00"&amp;MINUTE(Entry!$D540),2),IFERROR(RIGHT("00"&amp;VALUE(TRIM(LEFT(Entry!$D540,FIND(":",Entry!$D540)-1))),2)&amp;":"&amp;RIGHT("00"&amp;VALUE(TRIM(MID(Entry!$D540,FIND(":",Entry!$D540)+1,2))),2),"نامعتبر")),IF(OR($E540="",$E540="نامعتبر"),"","00:00"))</f>
        <v/>
      </c>
      <c r="G540">
        <f>IF(OR($E540="",$E540="نامعتبر"),"",IF(Entry!$E540="","",LEFT(UPPER(TRIM(Entry!$E540)),6)))</f>
        <v/>
      </c>
      <c r="H540">
        <f>IF($G540="","",RIGHT($E540,4)&amp;MID($E540,6,2)&amp;RIGHT($E540,2)&amp;IF($F540="","0000",IF($F540="نامعتبر","9999",LEFT($F540,2)&amp;RIGHT($F540,2)))&amp;"|"&amp;RIGHT("00000"&amp;532,5))</f>
        <v/>
      </c>
      <c r="I540">
        <f>IF($H540="","",COUNTIFS(CalcBank,$G540,CalcKey,"&lt;"&amp;$H540)+1)</f>
        <v/>
      </c>
      <c r="J540">
        <f>IF($I540="","",$G540&amp;"|"&amp;RIGHT("000000"&amp;$I540,6))</f>
        <v/>
      </c>
      <c r="K540">
        <f>IF(OR($E540="",$E540="نامعتبر"),"",LEFT($E540,4)&amp;"/"&amp;MID($E540,6,2))</f>
        <v/>
      </c>
      <c r="L540">
        <f>IF(Entry!$K540="",0,Entry!$K540)</f>
        <v/>
      </c>
      <c r="M540">
        <f>IF(Entry!$L540="",0,Entry!$L540)</f>
        <v/>
      </c>
    </row>
    <row r="541">
      <c r="A541">
        <f>IF(Entry!$C541="","",Entry!$C541)</f>
        <v/>
      </c>
      <c r="B541">
        <f>IF($A541="","",IF(ISNUMBER($A541),IF(AND($A541&gt;=10000101,$A541&lt;=99991231),INT($A541/10000),""),IFERROR(VALUE(TRIM(LEFT($A541,FIND("/",$A541)-1))),"")))</f>
        <v/>
      </c>
      <c r="C541">
        <f>IF(OR($A541="",$B541=""),"",IF(ISNUMBER($A541),INT(MOD($A541,10000)/100),IFERROR(VALUE(TRIM(LEFT(MID($A541,FIND("/",$A541)+1,20),FIND("/",MID($A541,FIND("/",$A541)+1,20))-1))),"")))</f>
        <v/>
      </c>
      <c r="D541">
        <f>IF(OR($A541="",$B541=""),"",IF(ISNUMBER($A541),MOD($A541,100),IFERROR(VALUE(TRIM(MID(MID($A541,FIND("/",$A541)+1,20),FIND("/",MID($A541,FIND("/",$A541)+1,20))+1,20))),"")))</f>
        <v/>
      </c>
      <c r="E541">
        <f>IF($A541="","",IF(OR($B541="",$C541="",$D541="",$B541&lt;1300,$B541&gt;1500,$C541&lt;1,$C541&gt;12,$D541&lt;1,$D541&gt;31),"نامعتبر",RIGHT("0000"&amp;$B541,4)&amp;"/"&amp;RIGHT("00"&amp;$C541,2)&amp;"/"&amp;RIGHT("00"&amp;$D541,2)))</f>
        <v/>
      </c>
      <c r="F541">
        <f>IF(Entry!$D541&lt;&gt;"",IF(AND(ISNUMBER(Entry!$D541),Entry!$D541&gt;=0,Entry!$D541&lt;1),RIGHT("00"&amp;HOUR(Entry!$D541),2)&amp;":"&amp;RIGHT("00"&amp;MINUTE(Entry!$D541),2),IFERROR(RIGHT("00"&amp;VALUE(TRIM(LEFT(Entry!$D541,FIND(":",Entry!$D541)-1))),2)&amp;":"&amp;RIGHT("00"&amp;VALUE(TRIM(MID(Entry!$D541,FIND(":",Entry!$D541)+1,2))),2),"نامعتبر")),IF(OR($E541="",$E541="نامعتبر"),"","00:00"))</f>
        <v/>
      </c>
      <c r="G541">
        <f>IF(OR($E541="",$E541="نامعتبر"),"",IF(Entry!$E541="","",LEFT(UPPER(TRIM(Entry!$E541)),6)))</f>
        <v/>
      </c>
      <c r="H541">
        <f>IF($G541="","",RIGHT($E541,4)&amp;MID($E541,6,2)&amp;RIGHT($E541,2)&amp;IF($F541="","0000",IF($F541="نامعتبر","9999",LEFT($F541,2)&amp;RIGHT($F541,2)))&amp;"|"&amp;RIGHT("00000"&amp;533,5))</f>
        <v/>
      </c>
      <c r="I541">
        <f>IF($H541="","",COUNTIFS(CalcBank,$G541,CalcKey,"&lt;"&amp;$H541)+1)</f>
        <v/>
      </c>
      <c r="J541">
        <f>IF($I541="","",$G541&amp;"|"&amp;RIGHT("000000"&amp;$I541,6))</f>
        <v/>
      </c>
      <c r="K541">
        <f>IF(OR($E541="",$E541="نامعتبر"),"",LEFT($E541,4)&amp;"/"&amp;MID($E541,6,2))</f>
        <v/>
      </c>
      <c r="L541">
        <f>IF(Entry!$K541="",0,Entry!$K541)</f>
        <v/>
      </c>
      <c r="M541">
        <f>IF(Entry!$L541="",0,Entry!$L541)</f>
        <v/>
      </c>
    </row>
    <row r="542">
      <c r="A542">
        <f>IF(Entry!$C542="","",Entry!$C542)</f>
        <v/>
      </c>
      <c r="B542">
        <f>IF($A542="","",IF(ISNUMBER($A542),IF(AND($A542&gt;=10000101,$A542&lt;=99991231),INT($A542/10000),""),IFERROR(VALUE(TRIM(LEFT($A542,FIND("/",$A542)-1))),"")))</f>
        <v/>
      </c>
      <c r="C542">
        <f>IF(OR($A542="",$B542=""),"",IF(ISNUMBER($A542),INT(MOD($A542,10000)/100),IFERROR(VALUE(TRIM(LEFT(MID($A542,FIND("/",$A542)+1,20),FIND("/",MID($A542,FIND("/",$A542)+1,20))-1))),"")))</f>
        <v/>
      </c>
      <c r="D542">
        <f>IF(OR($A542="",$B542=""),"",IF(ISNUMBER($A542),MOD($A542,100),IFERROR(VALUE(TRIM(MID(MID($A542,FIND("/",$A542)+1,20),FIND("/",MID($A542,FIND("/",$A542)+1,20))+1,20))),"")))</f>
        <v/>
      </c>
      <c r="E542">
        <f>IF($A542="","",IF(OR($B542="",$C542="",$D542="",$B542&lt;1300,$B542&gt;1500,$C542&lt;1,$C542&gt;12,$D542&lt;1,$D542&gt;31),"نامعتبر",RIGHT("0000"&amp;$B542,4)&amp;"/"&amp;RIGHT("00"&amp;$C542,2)&amp;"/"&amp;RIGHT("00"&amp;$D542,2)))</f>
        <v/>
      </c>
      <c r="F542">
        <f>IF(Entry!$D542&lt;&gt;"",IF(AND(ISNUMBER(Entry!$D542),Entry!$D542&gt;=0,Entry!$D542&lt;1),RIGHT("00"&amp;HOUR(Entry!$D542),2)&amp;":"&amp;RIGHT("00"&amp;MINUTE(Entry!$D542),2),IFERROR(RIGHT("00"&amp;VALUE(TRIM(LEFT(Entry!$D542,FIND(":",Entry!$D542)-1))),2)&amp;":"&amp;RIGHT("00"&amp;VALUE(TRIM(MID(Entry!$D542,FIND(":",Entry!$D542)+1,2))),2),"نامعتبر")),IF(OR($E542="",$E542="نامعتبر"),"","00:00"))</f>
        <v/>
      </c>
      <c r="G542">
        <f>IF(OR($E542="",$E542="نامعتبر"),"",IF(Entry!$E542="","",LEFT(UPPER(TRIM(Entry!$E542)),6)))</f>
        <v/>
      </c>
      <c r="H542">
        <f>IF($G542="","",RIGHT($E542,4)&amp;MID($E542,6,2)&amp;RIGHT($E542,2)&amp;IF($F542="","0000",IF($F542="نامعتبر","9999",LEFT($F542,2)&amp;RIGHT($F542,2)))&amp;"|"&amp;RIGHT("00000"&amp;534,5))</f>
        <v/>
      </c>
      <c r="I542">
        <f>IF($H542="","",COUNTIFS(CalcBank,$G542,CalcKey,"&lt;"&amp;$H542)+1)</f>
        <v/>
      </c>
      <c r="J542">
        <f>IF($I542="","",$G542&amp;"|"&amp;RIGHT("000000"&amp;$I542,6))</f>
        <v/>
      </c>
      <c r="K542">
        <f>IF(OR($E542="",$E542="نامعتبر"),"",LEFT($E542,4)&amp;"/"&amp;MID($E542,6,2))</f>
        <v/>
      </c>
      <c r="L542">
        <f>IF(Entry!$K542="",0,Entry!$K542)</f>
        <v/>
      </c>
      <c r="M542">
        <f>IF(Entry!$L542="",0,Entry!$L542)</f>
        <v/>
      </c>
    </row>
    <row r="543">
      <c r="A543">
        <f>IF(Entry!$C543="","",Entry!$C543)</f>
        <v/>
      </c>
      <c r="B543">
        <f>IF($A543="","",IF(ISNUMBER($A543),IF(AND($A543&gt;=10000101,$A543&lt;=99991231),INT($A543/10000),""),IFERROR(VALUE(TRIM(LEFT($A543,FIND("/",$A543)-1))),"")))</f>
        <v/>
      </c>
      <c r="C543">
        <f>IF(OR($A543="",$B543=""),"",IF(ISNUMBER($A543),INT(MOD($A543,10000)/100),IFERROR(VALUE(TRIM(LEFT(MID($A543,FIND("/",$A543)+1,20),FIND("/",MID($A543,FIND("/",$A543)+1,20))-1))),"")))</f>
        <v/>
      </c>
      <c r="D543">
        <f>IF(OR($A543="",$B543=""),"",IF(ISNUMBER($A543),MOD($A543,100),IFERROR(VALUE(TRIM(MID(MID($A543,FIND("/",$A543)+1,20),FIND("/",MID($A543,FIND("/",$A543)+1,20))+1,20))),"")))</f>
        <v/>
      </c>
      <c r="E543">
        <f>IF($A543="","",IF(OR($B543="",$C543="",$D543="",$B543&lt;1300,$B543&gt;1500,$C543&lt;1,$C543&gt;12,$D543&lt;1,$D543&gt;31),"نامعتبر",RIGHT("0000"&amp;$B543,4)&amp;"/"&amp;RIGHT("00"&amp;$C543,2)&amp;"/"&amp;RIGHT("00"&amp;$D543,2)))</f>
        <v/>
      </c>
      <c r="F543">
        <f>IF(Entry!$D543&lt;&gt;"",IF(AND(ISNUMBER(Entry!$D543),Entry!$D543&gt;=0,Entry!$D543&lt;1),RIGHT("00"&amp;HOUR(Entry!$D543),2)&amp;":"&amp;RIGHT("00"&amp;MINUTE(Entry!$D543),2),IFERROR(RIGHT("00"&amp;VALUE(TRIM(LEFT(Entry!$D543,FIND(":",Entry!$D543)-1))),2)&amp;":"&amp;RIGHT("00"&amp;VALUE(TRIM(MID(Entry!$D543,FIND(":",Entry!$D543)+1,2))),2),"نامعتبر")),IF(OR($E543="",$E543="نامعتبر"),"","00:00"))</f>
        <v/>
      </c>
      <c r="G543">
        <f>IF(OR($E543="",$E543="نامعتبر"),"",IF(Entry!$E543="","",LEFT(UPPER(TRIM(Entry!$E543)),6)))</f>
        <v/>
      </c>
      <c r="H543">
        <f>IF($G543="","",RIGHT($E543,4)&amp;MID($E543,6,2)&amp;RIGHT($E543,2)&amp;IF($F543="","0000",IF($F543="نامعتبر","9999",LEFT($F543,2)&amp;RIGHT($F543,2)))&amp;"|"&amp;RIGHT("00000"&amp;535,5))</f>
        <v/>
      </c>
      <c r="I543">
        <f>IF($H543="","",COUNTIFS(CalcBank,$G543,CalcKey,"&lt;"&amp;$H543)+1)</f>
        <v/>
      </c>
      <c r="J543">
        <f>IF($I543="","",$G543&amp;"|"&amp;RIGHT("000000"&amp;$I543,6))</f>
        <v/>
      </c>
      <c r="K543">
        <f>IF(OR($E543="",$E543="نامعتبر"),"",LEFT($E543,4)&amp;"/"&amp;MID($E543,6,2))</f>
        <v/>
      </c>
      <c r="L543">
        <f>IF(Entry!$K543="",0,Entry!$K543)</f>
        <v/>
      </c>
      <c r="M543">
        <f>IF(Entry!$L543="",0,Entry!$L543)</f>
        <v/>
      </c>
    </row>
    <row r="544">
      <c r="A544">
        <f>IF(Entry!$C544="","",Entry!$C544)</f>
        <v/>
      </c>
      <c r="B544">
        <f>IF($A544="","",IF(ISNUMBER($A544),IF(AND($A544&gt;=10000101,$A544&lt;=99991231),INT($A544/10000),""),IFERROR(VALUE(TRIM(LEFT($A544,FIND("/",$A544)-1))),"")))</f>
        <v/>
      </c>
      <c r="C544">
        <f>IF(OR($A544="",$B544=""),"",IF(ISNUMBER($A544),INT(MOD($A544,10000)/100),IFERROR(VALUE(TRIM(LEFT(MID($A544,FIND("/",$A544)+1,20),FIND("/",MID($A544,FIND("/",$A544)+1,20))-1))),"")))</f>
        <v/>
      </c>
      <c r="D544">
        <f>IF(OR($A544="",$B544=""),"",IF(ISNUMBER($A544),MOD($A544,100),IFERROR(VALUE(TRIM(MID(MID($A544,FIND("/",$A544)+1,20),FIND("/",MID($A544,FIND("/",$A544)+1,20))+1,20))),"")))</f>
        <v/>
      </c>
      <c r="E544">
        <f>IF($A544="","",IF(OR($B544="",$C544="",$D544="",$B544&lt;1300,$B544&gt;1500,$C544&lt;1,$C544&gt;12,$D544&lt;1,$D544&gt;31),"نامعتبر",RIGHT("0000"&amp;$B544,4)&amp;"/"&amp;RIGHT("00"&amp;$C544,2)&amp;"/"&amp;RIGHT("00"&amp;$D544,2)))</f>
        <v/>
      </c>
      <c r="F544">
        <f>IF(Entry!$D544&lt;&gt;"",IF(AND(ISNUMBER(Entry!$D544),Entry!$D544&gt;=0,Entry!$D544&lt;1),RIGHT("00"&amp;HOUR(Entry!$D544),2)&amp;":"&amp;RIGHT("00"&amp;MINUTE(Entry!$D544),2),IFERROR(RIGHT("00"&amp;VALUE(TRIM(LEFT(Entry!$D544,FIND(":",Entry!$D544)-1))),2)&amp;":"&amp;RIGHT("00"&amp;VALUE(TRIM(MID(Entry!$D544,FIND(":",Entry!$D544)+1,2))),2),"نامعتبر")),IF(OR($E544="",$E544="نامعتبر"),"","00:00"))</f>
        <v/>
      </c>
      <c r="G544">
        <f>IF(OR($E544="",$E544="نامعتبر"),"",IF(Entry!$E544="","",LEFT(UPPER(TRIM(Entry!$E544)),6)))</f>
        <v/>
      </c>
      <c r="H544">
        <f>IF($G544="","",RIGHT($E544,4)&amp;MID($E544,6,2)&amp;RIGHT($E544,2)&amp;IF($F544="","0000",IF($F544="نامعتبر","9999",LEFT($F544,2)&amp;RIGHT($F544,2)))&amp;"|"&amp;RIGHT("00000"&amp;536,5))</f>
        <v/>
      </c>
      <c r="I544">
        <f>IF($H544="","",COUNTIFS(CalcBank,$G544,CalcKey,"&lt;"&amp;$H544)+1)</f>
        <v/>
      </c>
      <c r="J544">
        <f>IF($I544="","",$G544&amp;"|"&amp;RIGHT("000000"&amp;$I544,6))</f>
        <v/>
      </c>
      <c r="K544">
        <f>IF(OR($E544="",$E544="نامعتبر"),"",LEFT($E544,4)&amp;"/"&amp;MID($E544,6,2))</f>
        <v/>
      </c>
      <c r="L544">
        <f>IF(Entry!$K544="",0,Entry!$K544)</f>
        <v/>
      </c>
      <c r="M544">
        <f>IF(Entry!$L544="",0,Entry!$L544)</f>
        <v/>
      </c>
    </row>
    <row r="545">
      <c r="A545">
        <f>IF(Entry!$C545="","",Entry!$C545)</f>
        <v/>
      </c>
      <c r="B545">
        <f>IF($A545="","",IF(ISNUMBER($A545),IF(AND($A545&gt;=10000101,$A545&lt;=99991231),INT($A545/10000),""),IFERROR(VALUE(TRIM(LEFT($A545,FIND("/",$A545)-1))),"")))</f>
        <v/>
      </c>
      <c r="C545">
        <f>IF(OR($A545="",$B545=""),"",IF(ISNUMBER($A545),INT(MOD($A545,10000)/100),IFERROR(VALUE(TRIM(LEFT(MID($A545,FIND("/",$A545)+1,20),FIND("/",MID($A545,FIND("/",$A545)+1,20))-1))),"")))</f>
        <v/>
      </c>
      <c r="D545">
        <f>IF(OR($A545="",$B545=""),"",IF(ISNUMBER($A545),MOD($A545,100),IFERROR(VALUE(TRIM(MID(MID($A545,FIND("/",$A545)+1,20),FIND("/",MID($A545,FIND("/",$A545)+1,20))+1,20))),"")))</f>
        <v/>
      </c>
      <c r="E545">
        <f>IF($A545="","",IF(OR($B545="",$C545="",$D545="",$B545&lt;1300,$B545&gt;1500,$C545&lt;1,$C545&gt;12,$D545&lt;1,$D545&gt;31),"نامعتبر",RIGHT("0000"&amp;$B545,4)&amp;"/"&amp;RIGHT("00"&amp;$C545,2)&amp;"/"&amp;RIGHT("00"&amp;$D545,2)))</f>
        <v/>
      </c>
      <c r="F545">
        <f>IF(Entry!$D545&lt;&gt;"",IF(AND(ISNUMBER(Entry!$D545),Entry!$D545&gt;=0,Entry!$D545&lt;1),RIGHT("00"&amp;HOUR(Entry!$D545),2)&amp;":"&amp;RIGHT("00"&amp;MINUTE(Entry!$D545),2),IFERROR(RIGHT("00"&amp;VALUE(TRIM(LEFT(Entry!$D545,FIND(":",Entry!$D545)-1))),2)&amp;":"&amp;RIGHT("00"&amp;VALUE(TRIM(MID(Entry!$D545,FIND(":",Entry!$D545)+1,2))),2),"نامعتبر")),IF(OR($E545="",$E545="نامعتبر"),"","00:00"))</f>
        <v/>
      </c>
      <c r="G545">
        <f>IF(OR($E545="",$E545="نامعتبر"),"",IF(Entry!$E545="","",LEFT(UPPER(TRIM(Entry!$E545)),6)))</f>
        <v/>
      </c>
      <c r="H545">
        <f>IF($G545="","",RIGHT($E545,4)&amp;MID($E545,6,2)&amp;RIGHT($E545,2)&amp;IF($F545="","0000",IF($F545="نامعتبر","9999",LEFT($F545,2)&amp;RIGHT($F545,2)))&amp;"|"&amp;RIGHT("00000"&amp;537,5))</f>
        <v/>
      </c>
      <c r="I545">
        <f>IF($H545="","",COUNTIFS(CalcBank,$G545,CalcKey,"&lt;"&amp;$H545)+1)</f>
        <v/>
      </c>
      <c r="J545">
        <f>IF($I545="","",$G545&amp;"|"&amp;RIGHT("000000"&amp;$I545,6))</f>
        <v/>
      </c>
      <c r="K545">
        <f>IF(OR($E545="",$E545="نامعتبر"),"",LEFT($E545,4)&amp;"/"&amp;MID($E545,6,2))</f>
        <v/>
      </c>
      <c r="L545">
        <f>IF(Entry!$K545="",0,Entry!$K545)</f>
        <v/>
      </c>
      <c r="M545">
        <f>IF(Entry!$L545="",0,Entry!$L545)</f>
        <v/>
      </c>
    </row>
    <row r="546">
      <c r="A546">
        <f>IF(Entry!$C546="","",Entry!$C546)</f>
        <v/>
      </c>
      <c r="B546">
        <f>IF($A546="","",IF(ISNUMBER($A546),IF(AND($A546&gt;=10000101,$A546&lt;=99991231),INT($A546/10000),""),IFERROR(VALUE(TRIM(LEFT($A546,FIND("/",$A546)-1))),"")))</f>
        <v/>
      </c>
      <c r="C546">
        <f>IF(OR($A546="",$B546=""),"",IF(ISNUMBER($A546),INT(MOD($A546,10000)/100),IFERROR(VALUE(TRIM(LEFT(MID($A546,FIND("/",$A546)+1,20),FIND("/",MID($A546,FIND("/",$A546)+1,20))-1))),"")))</f>
        <v/>
      </c>
      <c r="D546">
        <f>IF(OR($A546="",$B546=""),"",IF(ISNUMBER($A546),MOD($A546,100),IFERROR(VALUE(TRIM(MID(MID($A546,FIND("/",$A546)+1,20),FIND("/",MID($A546,FIND("/",$A546)+1,20))+1,20))),"")))</f>
        <v/>
      </c>
      <c r="E546">
        <f>IF($A546="","",IF(OR($B546="",$C546="",$D546="",$B546&lt;1300,$B546&gt;1500,$C546&lt;1,$C546&gt;12,$D546&lt;1,$D546&gt;31),"نامعتبر",RIGHT("0000"&amp;$B546,4)&amp;"/"&amp;RIGHT("00"&amp;$C546,2)&amp;"/"&amp;RIGHT("00"&amp;$D546,2)))</f>
        <v/>
      </c>
      <c r="F546">
        <f>IF(Entry!$D546&lt;&gt;"",IF(AND(ISNUMBER(Entry!$D546),Entry!$D546&gt;=0,Entry!$D546&lt;1),RIGHT("00"&amp;HOUR(Entry!$D546),2)&amp;":"&amp;RIGHT("00"&amp;MINUTE(Entry!$D546),2),IFERROR(RIGHT("00"&amp;VALUE(TRIM(LEFT(Entry!$D546,FIND(":",Entry!$D546)-1))),2)&amp;":"&amp;RIGHT("00"&amp;VALUE(TRIM(MID(Entry!$D546,FIND(":",Entry!$D546)+1,2))),2),"نامعتبر")),IF(OR($E546="",$E546="نامعتبر"),"","00:00"))</f>
        <v/>
      </c>
      <c r="G546">
        <f>IF(OR($E546="",$E546="نامعتبر"),"",IF(Entry!$E546="","",LEFT(UPPER(TRIM(Entry!$E546)),6)))</f>
        <v/>
      </c>
      <c r="H546">
        <f>IF($G546="","",RIGHT($E546,4)&amp;MID($E546,6,2)&amp;RIGHT($E546,2)&amp;IF($F546="","0000",IF($F546="نامعتبر","9999",LEFT($F546,2)&amp;RIGHT($F546,2)))&amp;"|"&amp;RIGHT("00000"&amp;538,5))</f>
        <v/>
      </c>
      <c r="I546">
        <f>IF($H546="","",COUNTIFS(CalcBank,$G546,CalcKey,"&lt;"&amp;$H546)+1)</f>
        <v/>
      </c>
      <c r="J546">
        <f>IF($I546="","",$G546&amp;"|"&amp;RIGHT("000000"&amp;$I546,6))</f>
        <v/>
      </c>
      <c r="K546">
        <f>IF(OR($E546="",$E546="نامعتبر"),"",LEFT($E546,4)&amp;"/"&amp;MID($E546,6,2))</f>
        <v/>
      </c>
      <c r="L546">
        <f>IF(Entry!$K546="",0,Entry!$K546)</f>
        <v/>
      </c>
      <c r="M546">
        <f>IF(Entry!$L546="",0,Entry!$L546)</f>
        <v/>
      </c>
    </row>
    <row r="547">
      <c r="A547">
        <f>IF(Entry!$C547="","",Entry!$C547)</f>
        <v/>
      </c>
      <c r="B547">
        <f>IF($A547="","",IF(ISNUMBER($A547),IF(AND($A547&gt;=10000101,$A547&lt;=99991231),INT($A547/10000),""),IFERROR(VALUE(TRIM(LEFT($A547,FIND("/",$A547)-1))),"")))</f>
        <v/>
      </c>
      <c r="C547">
        <f>IF(OR($A547="",$B547=""),"",IF(ISNUMBER($A547),INT(MOD($A547,10000)/100),IFERROR(VALUE(TRIM(LEFT(MID($A547,FIND("/",$A547)+1,20),FIND("/",MID($A547,FIND("/",$A547)+1,20))-1))),"")))</f>
        <v/>
      </c>
      <c r="D547">
        <f>IF(OR($A547="",$B547=""),"",IF(ISNUMBER($A547),MOD($A547,100),IFERROR(VALUE(TRIM(MID(MID($A547,FIND("/",$A547)+1,20),FIND("/",MID($A547,FIND("/",$A547)+1,20))+1,20))),"")))</f>
        <v/>
      </c>
      <c r="E547">
        <f>IF($A547="","",IF(OR($B547="",$C547="",$D547="",$B547&lt;1300,$B547&gt;1500,$C547&lt;1,$C547&gt;12,$D547&lt;1,$D547&gt;31),"نامعتبر",RIGHT("0000"&amp;$B547,4)&amp;"/"&amp;RIGHT("00"&amp;$C547,2)&amp;"/"&amp;RIGHT("00"&amp;$D547,2)))</f>
        <v/>
      </c>
      <c r="F547">
        <f>IF(Entry!$D547&lt;&gt;"",IF(AND(ISNUMBER(Entry!$D547),Entry!$D547&gt;=0,Entry!$D547&lt;1),RIGHT("00"&amp;HOUR(Entry!$D547),2)&amp;":"&amp;RIGHT("00"&amp;MINUTE(Entry!$D547),2),IFERROR(RIGHT("00"&amp;VALUE(TRIM(LEFT(Entry!$D547,FIND(":",Entry!$D547)-1))),2)&amp;":"&amp;RIGHT("00"&amp;VALUE(TRIM(MID(Entry!$D547,FIND(":",Entry!$D547)+1,2))),2),"نامعتبر")),IF(OR($E547="",$E547="نامعتبر"),"","00:00"))</f>
        <v/>
      </c>
      <c r="G547">
        <f>IF(OR($E547="",$E547="نامعتبر"),"",IF(Entry!$E547="","",LEFT(UPPER(TRIM(Entry!$E547)),6)))</f>
        <v/>
      </c>
      <c r="H547">
        <f>IF($G547="","",RIGHT($E547,4)&amp;MID($E547,6,2)&amp;RIGHT($E547,2)&amp;IF($F547="","0000",IF($F547="نامعتبر","9999",LEFT($F547,2)&amp;RIGHT($F547,2)))&amp;"|"&amp;RIGHT("00000"&amp;539,5))</f>
        <v/>
      </c>
      <c r="I547">
        <f>IF($H547="","",COUNTIFS(CalcBank,$G547,CalcKey,"&lt;"&amp;$H547)+1)</f>
        <v/>
      </c>
      <c r="J547">
        <f>IF($I547="","",$G547&amp;"|"&amp;RIGHT("000000"&amp;$I547,6))</f>
        <v/>
      </c>
      <c r="K547">
        <f>IF(OR($E547="",$E547="نامعتبر"),"",LEFT($E547,4)&amp;"/"&amp;MID($E547,6,2))</f>
        <v/>
      </c>
      <c r="L547">
        <f>IF(Entry!$K547="",0,Entry!$K547)</f>
        <v/>
      </c>
      <c r="M547">
        <f>IF(Entry!$L547="",0,Entry!$L547)</f>
        <v/>
      </c>
    </row>
    <row r="548">
      <c r="A548">
        <f>IF(Entry!$C548="","",Entry!$C548)</f>
        <v/>
      </c>
      <c r="B548">
        <f>IF($A548="","",IF(ISNUMBER($A548),IF(AND($A548&gt;=10000101,$A548&lt;=99991231),INT($A548/10000),""),IFERROR(VALUE(TRIM(LEFT($A548,FIND("/",$A548)-1))),"")))</f>
        <v/>
      </c>
      <c r="C548">
        <f>IF(OR($A548="",$B548=""),"",IF(ISNUMBER($A548),INT(MOD($A548,10000)/100),IFERROR(VALUE(TRIM(LEFT(MID($A548,FIND("/",$A548)+1,20),FIND("/",MID($A548,FIND("/",$A548)+1,20))-1))),"")))</f>
        <v/>
      </c>
      <c r="D548">
        <f>IF(OR($A548="",$B548=""),"",IF(ISNUMBER($A548),MOD($A548,100),IFERROR(VALUE(TRIM(MID(MID($A548,FIND("/",$A548)+1,20),FIND("/",MID($A548,FIND("/",$A548)+1,20))+1,20))),"")))</f>
        <v/>
      </c>
      <c r="E548">
        <f>IF($A548="","",IF(OR($B548="",$C548="",$D548="",$B548&lt;1300,$B548&gt;1500,$C548&lt;1,$C548&gt;12,$D548&lt;1,$D548&gt;31),"نامعتبر",RIGHT("0000"&amp;$B548,4)&amp;"/"&amp;RIGHT("00"&amp;$C548,2)&amp;"/"&amp;RIGHT("00"&amp;$D548,2)))</f>
        <v/>
      </c>
      <c r="F548">
        <f>IF(Entry!$D548&lt;&gt;"",IF(AND(ISNUMBER(Entry!$D548),Entry!$D548&gt;=0,Entry!$D548&lt;1),RIGHT("00"&amp;HOUR(Entry!$D548),2)&amp;":"&amp;RIGHT("00"&amp;MINUTE(Entry!$D548),2),IFERROR(RIGHT("00"&amp;VALUE(TRIM(LEFT(Entry!$D548,FIND(":",Entry!$D548)-1))),2)&amp;":"&amp;RIGHT("00"&amp;VALUE(TRIM(MID(Entry!$D548,FIND(":",Entry!$D548)+1,2))),2),"نامعتبر")),IF(OR($E548="",$E548="نامعتبر"),"","00:00"))</f>
        <v/>
      </c>
      <c r="G548">
        <f>IF(OR($E548="",$E548="نامعتبر"),"",IF(Entry!$E548="","",LEFT(UPPER(TRIM(Entry!$E548)),6)))</f>
        <v/>
      </c>
      <c r="H548">
        <f>IF($G548="","",RIGHT($E548,4)&amp;MID($E548,6,2)&amp;RIGHT($E548,2)&amp;IF($F548="","0000",IF($F548="نامعتبر","9999",LEFT($F548,2)&amp;RIGHT($F548,2)))&amp;"|"&amp;RIGHT("00000"&amp;540,5))</f>
        <v/>
      </c>
      <c r="I548">
        <f>IF($H548="","",COUNTIFS(CalcBank,$G548,CalcKey,"&lt;"&amp;$H548)+1)</f>
        <v/>
      </c>
      <c r="J548">
        <f>IF($I548="","",$G548&amp;"|"&amp;RIGHT("000000"&amp;$I548,6))</f>
        <v/>
      </c>
      <c r="K548">
        <f>IF(OR($E548="",$E548="نامعتبر"),"",LEFT($E548,4)&amp;"/"&amp;MID($E548,6,2))</f>
        <v/>
      </c>
      <c r="L548">
        <f>IF(Entry!$K548="",0,Entry!$K548)</f>
        <v/>
      </c>
      <c r="M548">
        <f>IF(Entry!$L548="",0,Entry!$L548)</f>
        <v/>
      </c>
    </row>
    <row r="549">
      <c r="A549">
        <f>IF(Entry!$C549="","",Entry!$C549)</f>
        <v/>
      </c>
      <c r="B549">
        <f>IF($A549="","",IF(ISNUMBER($A549),IF(AND($A549&gt;=10000101,$A549&lt;=99991231),INT($A549/10000),""),IFERROR(VALUE(TRIM(LEFT($A549,FIND("/",$A549)-1))),"")))</f>
        <v/>
      </c>
      <c r="C549">
        <f>IF(OR($A549="",$B549=""),"",IF(ISNUMBER($A549),INT(MOD($A549,10000)/100),IFERROR(VALUE(TRIM(LEFT(MID($A549,FIND("/",$A549)+1,20),FIND("/",MID($A549,FIND("/",$A549)+1,20))-1))),"")))</f>
        <v/>
      </c>
      <c r="D549">
        <f>IF(OR($A549="",$B549=""),"",IF(ISNUMBER($A549),MOD($A549,100),IFERROR(VALUE(TRIM(MID(MID($A549,FIND("/",$A549)+1,20),FIND("/",MID($A549,FIND("/",$A549)+1,20))+1,20))),"")))</f>
        <v/>
      </c>
      <c r="E549">
        <f>IF($A549="","",IF(OR($B549="",$C549="",$D549="",$B549&lt;1300,$B549&gt;1500,$C549&lt;1,$C549&gt;12,$D549&lt;1,$D549&gt;31),"نامعتبر",RIGHT("0000"&amp;$B549,4)&amp;"/"&amp;RIGHT("00"&amp;$C549,2)&amp;"/"&amp;RIGHT("00"&amp;$D549,2)))</f>
        <v/>
      </c>
      <c r="F549">
        <f>IF(Entry!$D549&lt;&gt;"",IF(AND(ISNUMBER(Entry!$D549),Entry!$D549&gt;=0,Entry!$D549&lt;1),RIGHT("00"&amp;HOUR(Entry!$D549),2)&amp;":"&amp;RIGHT("00"&amp;MINUTE(Entry!$D549),2),IFERROR(RIGHT("00"&amp;VALUE(TRIM(LEFT(Entry!$D549,FIND(":",Entry!$D549)-1))),2)&amp;":"&amp;RIGHT("00"&amp;VALUE(TRIM(MID(Entry!$D549,FIND(":",Entry!$D549)+1,2))),2),"نامعتبر")),IF(OR($E549="",$E549="نامعتبر"),"","00:00"))</f>
        <v/>
      </c>
      <c r="G549">
        <f>IF(OR($E549="",$E549="نامعتبر"),"",IF(Entry!$E549="","",LEFT(UPPER(TRIM(Entry!$E549)),6)))</f>
        <v/>
      </c>
      <c r="H549">
        <f>IF($G549="","",RIGHT($E549,4)&amp;MID($E549,6,2)&amp;RIGHT($E549,2)&amp;IF($F549="","0000",IF($F549="نامعتبر","9999",LEFT($F549,2)&amp;RIGHT($F549,2)))&amp;"|"&amp;RIGHT("00000"&amp;541,5))</f>
        <v/>
      </c>
      <c r="I549">
        <f>IF($H549="","",COUNTIFS(CalcBank,$G549,CalcKey,"&lt;"&amp;$H549)+1)</f>
        <v/>
      </c>
      <c r="J549">
        <f>IF($I549="","",$G549&amp;"|"&amp;RIGHT("000000"&amp;$I549,6))</f>
        <v/>
      </c>
      <c r="K549">
        <f>IF(OR($E549="",$E549="نامعتبر"),"",LEFT($E549,4)&amp;"/"&amp;MID($E549,6,2))</f>
        <v/>
      </c>
      <c r="L549">
        <f>IF(Entry!$K549="",0,Entry!$K549)</f>
        <v/>
      </c>
      <c r="M549">
        <f>IF(Entry!$L549="",0,Entry!$L549)</f>
        <v/>
      </c>
    </row>
    <row r="550">
      <c r="A550">
        <f>IF(Entry!$C550="","",Entry!$C550)</f>
        <v/>
      </c>
      <c r="B550">
        <f>IF($A550="","",IF(ISNUMBER($A550),IF(AND($A550&gt;=10000101,$A550&lt;=99991231),INT($A550/10000),""),IFERROR(VALUE(TRIM(LEFT($A550,FIND("/",$A550)-1))),"")))</f>
        <v/>
      </c>
      <c r="C550">
        <f>IF(OR($A550="",$B550=""),"",IF(ISNUMBER($A550),INT(MOD($A550,10000)/100),IFERROR(VALUE(TRIM(LEFT(MID($A550,FIND("/",$A550)+1,20),FIND("/",MID($A550,FIND("/",$A550)+1,20))-1))),"")))</f>
        <v/>
      </c>
      <c r="D550">
        <f>IF(OR($A550="",$B550=""),"",IF(ISNUMBER($A550),MOD($A550,100),IFERROR(VALUE(TRIM(MID(MID($A550,FIND("/",$A550)+1,20),FIND("/",MID($A550,FIND("/",$A550)+1,20))+1,20))),"")))</f>
        <v/>
      </c>
      <c r="E550">
        <f>IF($A550="","",IF(OR($B550="",$C550="",$D550="",$B550&lt;1300,$B550&gt;1500,$C550&lt;1,$C550&gt;12,$D550&lt;1,$D550&gt;31),"نامعتبر",RIGHT("0000"&amp;$B550,4)&amp;"/"&amp;RIGHT("00"&amp;$C550,2)&amp;"/"&amp;RIGHT("00"&amp;$D550,2)))</f>
        <v/>
      </c>
      <c r="F550">
        <f>IF(Entry!$D550&lt;&gt;"",IF(AND(ISNUMBER(Entry!$D550),Entry!$D550&gt;=0,Entry!$D550&lt;1),RIGHT("00"&amp;HOUR(Entry!$D550),2)&amp;":"&amp;RIGHT("00"&amp;MINUTE(Entry!$D550),2),IFERROR(RIGHT("00"&amp;VALUE(TRIM(LEFT(Entry!$D550,FIND(":",Entry!$D550)-1))),2)&amp;":"&amp;RIGHT("00"&amp;VALUE(TRIM(MID(Entry!$D550,FIND(":",Entry!$D550)+1,2))),2),"نامعتبر")),IF(OR($E550="",$E550="نامعتبر"),"","00:00"))</f>
        <v/>
      </c>
      <c r="G550">
        <f>IF(OR($E550="",$E550="نامعتبر"),"",IF(Entry!$E550="","",LEFT(UPPER(TRIM(Entry!$E550)),6)))</f>
        <v/>
      </c>
      <c r="H550">
        <f>IF($G550="","",RIGHT($E550,4)&amp;MID($E550,6,2)&amp;RIGHT($E550,2)&amp;IF($F550="","0000",IF($F550="نامعتبر","9999",LEFT($F550,2)&amp;RIGHT($F550,2)))&amp;"|"&amp;RIGHT("00000"&amp;542,5))</f>
        <v/>
      </c>
      <c r="I550">
        <f>IF($H550="","",COUNTIFS(CalcBank,$G550,CalcKey,"&lt;"&amp;$H550)+1)</f>
        <v/>
      </c>
      <c r="J550">
        <f>IF($I550="","",$G550&amp;"|"&amp;RIGHT("000000"&amp;$I550,6))</f>
        <v/>
      </c>
      <c r="K550">
        <f>IF(OR($E550="",$E550="نامعتبر"),"",LEFT($E550,4)&amp;"/"&amp;MID($E550,6,2))</f>
        <v/>
      </c>
      <c r="L550">
        <f>IF(Entry!$K550="",0,Entry!$K550)</f>
        <v/>
      </c>
      <c r="M550">
        <f>IF(Entry!$L550="",0,Entry!$L550)</f>
        <v/>
      </c>
    </row>
    <row r="551">
      <c r="A551">
        <f>IF(Entry!$C551="","",Entry!$C551)</f>
        <v/>
      </c>
      <c r="B551">
        <f>IF($A551="","",IF(ISNUMBER($A551),IF(AND($A551&gt;=10000101,$A551&lt;=99991231),INT($A551/10000),""),IFERROR(VALUE(TRIM(LEFT($A551,FIND("/",$A551)-1))),"")))</f>
        <v/>
      </c>
      <c r="C551">
        <f>IF(OR($A551="",$B551=""),"",IF(ISNUMBER($A551),INT(MOD($A551,10000)/100),IFERROR(VALUE(TRIM(LEFT(MID($A551,FIND("/",$A551)+1,20),FIND("/",MID($A551,FIND("/",$A551)+1,20))-1))),"")))</f>
        <v/>
      </c>
      <c r="D551">
        <f>IF(OR($A551="",$B551=""),"",IF(ISNUMBER($A551),MOD($A551,100),IFERROR(VALUE(TRIM(MID(MID($A551,FIND("/",$A551)+1,20),FIND("/",MID($A551,FIND("/",$A551)+1,20))+1,20))),"")))</f>
        <v/>
      </c>
      <c r="E551">
        <f>IF($A551="","",IF(OR($B551="",$C551="",$D551="",$B551&lt;1300,$B551&gt;1500,$C551&lt;1,$C551&gt;12,$D551&lt;1,$D551&gt;31),"نامعتبر",RIGHT("0000"&amp;$B551,4)&amp;"/"&amp;RIGHT("00"&amp;$C551,2)&amp;"/"&amp;RIGHT("00"&amp;$D551,2)))</f>
        <v/>
      </c>
      <c r="F551">
        <f>IF(Entry!$D551&lt;&gt;"",IF(AND(ISNUMBER(Entry!$D551),Entry!$D551&gt;=0,Entry!$D551&lt;1),RIGHT("00"&amp;HOUR(Entry!$D551),2)&amp;":"&amp;RIGHT("00"&amp;MINUTE(Entry!$D551),2),IFERROR(RIGHT("00"&amp;VALUE(TRIM(LEFT(Entry!$D551,FIND(":",Entry!$D551)-1))),2)&amp;":"&amp;RIGHT("00"&amp;VALUE(TRIM(MID(Entry!$D551,FIND(":",Entry!$D551)+1,2))),2),"نامعتبر")),IF(OR($E551="",$E551="نامعتبر"),"","00:00"))</f>
        <v/>
      </c>
      <c r="G551">
        <f>IF(OR($E551="",$E551="نامعتبر"),"",IF(Entry!$E551="","",LEFT(UPPER(TRIM(Entry!$E551)),6)))</f>
        <v/>
      </c>
      <c r="H551">
        <f>IF($G551="","",RIGHT($E551,4)&amp;MID($E551,6,2)&amp;RIGHT($E551,2)&amp;IF($F551="","0000",IF($F551="نامعتبر","9999",LEFT($F551,2)&amp;RIGHT($F551,2)))&amp;"|"&amp;RIGHT("00000"&amp;543,5))</f>
        <v/>
      </c>
      <c r="I551">
        <f>IF($H551="","",COUNTIFS(CalcBank,$G551,CalcKey,"&lt;"&amp;$H551)+1)</f>
        <v/>
      </c>
      <c r="J551">
        <f>IF($I551="","",$G551&amp;"|"&amp;RIGHT("000000"&amp;$I551,6))</f>
        <v/>
      </c>
      <c r="K551">
        <f>IF(OR($E551="",$E551="نامعتبر"),"",LEFT($E551,4)&amp;"/"&amp;MID($E551,6,2))</f>
        <v/>
      </c>
      <c r="L551">
        <f>IF(Entry!$K551="",0,Entry!$K551)</f>
        <v/>
      </c>
      <c r="M551">
        <f>IF(Entry!$L551="",0,Entry!$L551)</f>
        <v/>
      </c>
    </row>
    <row r="552">
      <c r="A552">
        <f>IF(Entry!$C552="","",Entry!$C552)</f>
        <v/>
      </c>
      <c r="B552">
        <f>IF($A552="","",IF(ISNUMBER($A552),IF(AND($A552&gt;=10000101,$A552&lt;=99991231),INT($A552/10000),""),IFERROR(VALUE(TRIM(LEFT($A552,FIND("/",$A552)-1))),"")))</f>
        <v/>
      </c>
      <c r="C552">
        <f>IF(OR($A552="",$B552=""),"",IF(ISNUMBER($A552),INT(MOD($A552,10000)/100),IFERROR(VALUE(TRIM(LEFT(MID($A552,FIND("/",$A552)+1,20),FIND("/",MID($A552,FIND("/",$A552)+1,20))-1))),"")))</f>
        <v/>
      </c>
      <c r="D552">
        <f>IF(OR($A552="",$B552=""),"",IF(ISNUMBER($A552),MOD($A552,100),IFERROR(VALUE(TRIM(MID(MID($A552,FIND("/",$A552)+1,20),FIND("/",MID($A552,FIND("/",$A552)+1,20))+1,20))),"")))</f>
        <v/>
      </c>
      <c r="E552">
        <f>IF($A552="","",IF(OR($B552="",$C552="",$D552="",$B552&lt;1300,$B552&gt;1500,$C552&lt;1,$C552&gt;12,$D552&lt;1,$D552&gt;31),"نامعتبر",RIGHT("0000"&amp;$B552,4)&amp;"/"&amp;RIGHT("00"&amp;$C552,2)&amp;"/"&amp;RIGHT("00"&amp;$D552,2)))</f>
        <v/>
      </c>
      <c r="F552">
        <f>IF(Entry!$D552&lt;&gt;"",IF(AND(ISNUMBER(Entry!$D552),Entry!$D552&gt;=0,Entry!$D552&lt;1),RIGHT("00"&amp;HOUR(Entry!$D552),2)&amp;":"&amp;RIGHT("00"&amp;MINUTE(Entry!$D552),2),IFERROR(RIGHT("00"&amp;VALUE(TRIM(LEFT(Entry!$D552,FIND(":",Entry!$D552)-1))),2)&amp;":"&amp;RIGHT("00"&amp;VALUE(TRIM(MID(Entry!$D552,FIND(":",Entry!$D552)+1,2))),2),"نامعتبر")),IF(OR($E552="",$E552="نامعتبر"),"","00:00"))</f>
        <v/>
      </c>
      <c r="G552">
        <f>IF(OR($E552="",$E552="نامعتبر"),"",IF(Entry!$E552="","",LEFT(UPPER(TRIM(Entry!$E552)),6)))</f>
        <v/>
      </c>
      <c r="H552">
        <f>IF($G552="","",RIGHT($E552,4)&amp;MID($E552,6,2)&amp;RIGHT($E552,2)&amp;IF($F552="","0000",IF($F552="نامعتبر","9999",LEFT($F552,2)&amp;RIGHT($F552,2)))&amp;"|"&amp;RIGHT("00000"&amp;544,5))</f>
        <v/>
      </c>
      <c r="I552">
        <f>IF($H552="","",COUNTIFS(CalcBank,$G552,CalcKey,"&lt;"&amp;$H552)+1)</f>
        <v/>
      </c>
      <c r="J552">
        <f>IF($I552="","",$G552&amp;"|"&amp;RIGHT("000000"&amp;$I552,6))</f>
        <v/>
      </c>
      <c r="K552">
        <f>IF(OR($E552="",$E552="نامعتبر"),"",LEFT($E552,4)&amp;"/"&amp;MID($E552,6,2))</f>
        <v/>
      </c>
      <c r="L552">
        <f>IF(Entry!$K552="",0,Entry!$K552)</f>
        <v/>
      </c>
      <c r="M552">
        <f>IF(Entry!$L552="",0,Entry!$L552)</f>
        <v/>
      </c>
    </row>
    <row r="553">
      <c r="A553">
        <f>IF(Entry!$C553="","",Entry!$C553)</f>
        <v/>
      </c>
      <c r="B553">
        <f>IF($A553="","",IF(ISNUMBER($A553),IF(AND($A553&gt;=10000101,$A553&lt;=99991231),INT($A553/10000),""),IFERROR(VALUE(TRIM(LEFT($A553,FIND("/",$A553)-1))),"")))</f>
        <v/>
      </c>
      <c r="C553">
        <f>IF(OR($A553="",$B553=""),"",IF(ISNUMBER($A553),INT(MOD($A553,10000)/100),IFERROR(VALUE(TRIM(LEFT(MID($A553,FIND("/",$A553)+1,20),FIND("/",MID($A553,FIND("/",$A553)+1,20))-1))),"")))</f>
        <v/>
      </c>
      <c r="D553">
        <f>IF(OR($A553="",$B553=""),"",IF(ISNUMBER($A553),MOD($A553,100),IFERROR(VALUE(TRIM(MID(MID($A553,FIND("/",$A553)+1,20),FIND("/",MID($A553,FIND("/",$A553)+1,20))+1,20))),"")))</f>
        <v/>
      </c>
      <c r="E553">
        <f>IF($A553="","",IF(OR($B553="",$C553="",$D553="",$B553&lt;1300,$B553&gt;1500,$C553&lt;1,$C553&gt;12,$D553&lt;1,$D553&gt;31),"نامعتبر",RIGHT("0000"&amp;$B553,4)&amp;"/"&amp;RIGHT("00"&amp;$C553,2)&amp;"/"&amp;RIGHT("00"&amp;$D553,2)))</f>
        <v/>
      </c>
      <c r="F553">
        <f>IF(Entry!$D553&lt;&gt;"",IF(AND(ISNUMBER(Entry!$D553),Entry!$D553&gt;=0,Entry!$D553&lt;1),RIGHT("00"&amp;HOUR(Entry!$D553),2)&amp;":"&amp;RIGHT("00"&amp;MINUTE(Entry!$D553),2),IFERROR(RIGHT("00"&amp;VALUE(TRIM(LEFT(Entry!$D553,FIND(":",Entry!$D553)-1))),2)&amp;":"&amp;RIGHT("00"&amp;VALUE(TRIM(MID(Entry!$D553,FIND(":",Entry!$D553)+1,2))),2),"نامعتبر")),IF(OR($E553="",$E553="نامعتبر"),"","00:00"))</f>
        <v/>
      </c>
      <c r="G553">
        <f>IF(OR($E553="",$E553="نامعتبر"),"",IF(Entry!$E553="","",LEFT(UPPER(TRIM(Entry!$E553)),6)))</f>
        <v/>
      </c>
      <c r="H553">
        <f>IF($G553="","",RIGHT($E553,4)&amp;MID($E553,6,2)&amp;RIGHT($E553,2)&amp;IF($F553="","0000",IF($F553="نامعتبر","9999",LEFT($F553,2)&amp;RIGHT($F553,2)))&amp;"|"&amp;RIGHT("00000"&amp;545,5))</f>
        <v/>
      </c>
      <c r="I553">
        <f>IF($H553="","",COUNTIFS(CalcBank,$G553,CalcKey,"&lt;"&amp;$H553)+1)</f>
        <v/>
      </c>
      <c r="J553">
        <f>IF($I553="","",$G553&amp;"|"&amp;RIGHT("000000"&amp;$I553,6))</f>
        <v/>
      </c>
      <c r="K553">
        <f>IF(OR($E553="",$E553="نامعتبر"),"",LEFT($E553,4)&amp;"/"&amp;MID($E553,6,2))</f>
        <v/>
      </c>
      <c r="L553">
        <f>IF(Entry!$K553="",0,Entry!$K553)</f>
        <v/>
      </c>
      <c r="M553">
        <f>IF(Entry!$L553="",0,Entry!$L553)</f>
        <v/>
      </c>
    </row>
    <row r="554">
      <c r="A554">
        <f>IF(Entry!$C554="","",Entry!$C554)</f>
        <v/>
      </c>
      <c r="B554">
        <f>IF($A554="","",IF(ISNUMBER($A554),IF(AND($A554&gt;=10000101,$A554&lt;=99991231),INT($A554/10000),""),IFERROR(VALUE(TRIM(LEFT($A554,FIND("/",$A554)-1))),"")))</f>
        <v/>
      </c>
      <c r="C554">
        <f>IF(OR($A554="",$B554=""),"",IF(ISNUMBER($A554),INT(MOD($A554,10000)/100),IFERROR(VALUE(TRIM(LEFT(MID($A554,FIND("/",$A554)+1,20),FIND("/",MID($A554,FIND("/",$A554)+1,20))-1))),"")))</f>
        <v/>
      </c>
      <c r="D554">
        <f>IF(OR($A554="",$B554=""),"",IF(ISNUMBER($A554),MOD($A554,100),IFERROR(VALUE(TRIM(MID(MID($A554,FIND("/",$A554)+1,20),FIND("/",MID($A554,FIND("/",$A554)+1,20))+1,20))),"")))</f>
        <v/>
      </c>
      <c r="E554">
        <f>IF($A554="","",IF(OR($B554="",$C554="",$D554="",$B554&lt;1300,$B554&gt;1500,$C554&lt;1,$C554&gt;12,$D554&lt;1,$D554&gt;31),"نامعتبر",RIGHT("0000"&amp;$B554,4)&amp;"/"&amp;RIGHT("00"&amp;$C554,2)&amp;"/"&amp;RIGHT("00"&amp;$D554,2)))</f>
        <v/>
      </c>
      <c r="F554">
        <f>IF(Entry!$D554&lt;&gt;"",IF(AND(ISNUMBER(Entry!$D554),Entry!$D554&gt;=0,Entry!$D554&lt;1),RIGHT("00"&amp;HOUR(Entry!$D554),2)&amp;":"&amp;RIGHT("00"&amp;MINUTE(Entry!$D554),2),IFERROR(RIGHT("00"&amp;VALUE(TRIM(LEFT(Entry!$D554,FIND(":",Entry!$D554)-1))),2)&amp;":"&amp;RIGHT("00"&amp;VALUE(TRIM(MID(Entry!$D554,FIND(":",Entry!$D554)+1,2))),2),"نامعتبر")),IF(OR($E554="",$E554="نامعتبر"),"","00:00"))</f>
        <v/>
      </c>
      <c r="G554">
        <f>IF(OR($E554="",$E554="نامعتبر"),"",IF(Entry!$E554="","",LEFT(UPPER(TRIM(Entry!$E554)),6)))</f>
        <v/>
      </c>
      <c r="H554">
        <f>IF($G554="","",RIGHT($E554,4)&amp;MID($E554,6,2)&amp;RIGHT($E554,2)&amp;IF($F554="","0000",IF($F554="نامعتبر","9999",LEFT($F554,2)&amp;RIGHT($F554,2)))&amp;"|"&amp;RIGHT("00000"&amp;546,5))</f>
        <v/>
      </c>
      <c r="I554">
        <f>IF($H554="","",COUNTIFS(CalcBank,$G554,CalcKey,"&lt;"&amp;$H554)+1)</f>
        <v/>
      </c>
      <c r="J554">
        <f>IF($I554="","",$G554&amp;"|"&amp;RIGHT("000000"&amp;$I554,6))</f>
        <v/>
      </c>
      <c r="K554">
        <f>IF(OR($E554="",$E554="نامعتبر"),"",LEFT($E554,4)&amp;"/"&amp;MID($E554,6,2))</f>
        <v/>
      </c>
      <c r="L554">
        <f>IF(Entry!$K554="",0,Entry!$K554)</f>
        <v/>
      </c>
      <c r="M554">
        <f>IF(Entry!$L554="",0,Entry!$L554)</f>
        <v/>
      </c>
    </row>
    <row r="555">
      <c r="A555">
        <f>IF(Entry!$C555="","",Entry!$C555)</f>
        <v/>
      </c>
      <c r="B555">
        <f>IF($A555="","",IF(ISNUMBER($A555),IF(AND($A555&gt;=10000101,$A555&lt;=99991231),INT($A555/10000),""),IFERROR(VALUE(TRIM(LEFT($A555,FIND("/",$A555)-1))),"")))</f>
        <v/>
      </c>
      <c r="C555">
        <f>IF(OR($A555="",$B555=""),"",IF(ISNUMBER($A555),INT(MOD($A555,10000)/100),IFERROR(VALUE(TRIM(LEFT(MID($A555,FIND("/",$A555)+1,20),FIND("/",MID($A555,FIND("/",$A555)+1,20))-1))),"")))</f>
        <v/>
      </c>
      <c r="D555">
        <f>IF(OR($A555="",$B555=""),"",IF(ISNUMBER($A555),MOD($A555,100),IFERROR(VALUE(TRIM(MID(MID($A555,FIND("/",$A555)+1,20),FIND("/",MID($A555,FIND("/",$A555)+1,20))+1,20))),"")))</f>
        <v/>
      </c>
      <c r="E555">
        <f>IF($A555="","",IF(OR($B555="",$C555="",$D555="",$B555&lt;1300,$B555&gt;1500,$C555&lt;1,$C555&gt;12,$D555&lt;1,$D555&gt;31),"نامعتبر",RIGHT("0000"&amp;$B555,4)&amp;"/"&amp;RIGHT("00"&amp;$C555,2)&amp;"/"&amp;RIGHT("00"&amp;$D555,2)))</f>
        <v/>
      </c>
      <c r="F555">
        <f>IF(Entry!$D555&lt;&gt;"",IF(AND(ISNUMBER(Entry!$D555),Entry!$D555&gt;=0,Entry!$D555&lt;1),RIGHT("00"&amp;HOUR(Entry!$D555),2)&amp;":"&amp;RIGHT("00"&amp;MINUTE(Entry!$D555),2),IFERROR(RIGHT("00"&amp;VALUE(TRIM(LEFT(Entry!$D555,FIND(":",Entry!$D555)-1))),2)&amp;":"&amp;RIGHT("00"&amp;VALUE(TRIM(MID(Entry!$D555,FIND(":",Entry!$D555)+1,2))),2),"نامعتبر")),IF(OR($E555="",$E555="نامعتبر"),"","00:00"))</f>
        <v/>
      </c>
      <c r="G555">
        <f>IF(OR($E555="",$E555="نامعتبر"),"",IF(Entry!$E555="","",LEFT(UPPER(TRIM(Entry!$E555)),6)))</f>
        <v/>
      </c>
      <c r="H555">
        <f>IF($G555="","",RIGHT($E555,4)&amp;MID($E555,6,2)&amp;RIGHT($E555,2)&amp;IF($F555="","0000",IF($F555="نامعتبر","9999",LEFT($F555,2)&amp;RIGHT($F555,2)))&amp;"|"&amp;RIGHT("00000"&amp;547,5))</f>
        <v/>
      </c>
      <c r="I555">
        <f>IF($H555="","",COUNTIFS(CalcBank,$G555,CalcKey,"&lt;"&amp;$H555)+1)</f>
        <v/>
      </c>
      <c r="J555">
        <f>IF($I555="","",$G555&amp;"|"&amp;RIGHT("000000"&amp;$I555,6))</f>
        <v/>
      </c>
      <c r="K555">
        <f>IF(OR($E555="",$E555="نامعتبر"),"",LEFT($E555,4)&amp;"/"&amp;MID($E555,6,2))</f>
        <v/>
      </c>
      <c r="L555">
        <f>IF(Entry!$K555="",0,Entry!$K555)</f>
        <v/>
      </c>
      <c r="M555">
        <f>IF(Entry!$L555="",0,Entry!$L555)</f>
        <v/>
      </c>
    </row>
    <row r="556">
      <c r="A556">
        <f>IF(Entry!$C556="","",Entry!$C556)</f>
        <v/>
      </c>
      <c r="B556">
        <f>IF($A556="","",IF(ISNUMBER($A556),IF(AND($A556&gt;=10000101,$A556&lt;=99991231),INT($A556/10000),""),IFERROR(VALUE(TRIM(LEFT($A556,FIND("/",$A556)-1))),"")))</f>
        <v/>
      </c>
      <c r="C556">
        <f>IF(OR($A556="",$B556=""),"",IF(ISNUMBER($A556),INT(MOD($A556,10000)/100),IFERROR(VALUE(TRIM(LEFT(MID($A556,FIND("/",$A556)+1,20),FIND("/",MID($A556,FIND("/",$A556)+1,20))-1))),"")))</f>
        <v/>
      </c>
      <c r="D556">
        <f>IF(OR($A556="",$B556=""),"",IF(ISNUMBER($A556),MOD($A556,100),IFERROR(VALUE(TRIM(MID(MID($A556,FIND("/",$A556)+1,20),FIND("/",MID($A556,FIND("/",$A556)+1,20))+1,20))),"")))</f>
        <v/>
      </c>
      <c r="E556">
        <f>IF($A556="","",IF(OR($B556="",$C556="",$D556="",$B556&lt;1300,$B556&gt;1500,$C556&lt;1,$C556&gt;12,$D556&lt;1,$D556&gt;31),"نامعتبر",RIGHT("0000"&amp;$B556,4)&amp;"/"&amp;RIGHT("00"&amp;$C556,2)&amp;"/"&amp;RIGHT("00"&amp;$D556,2)))</f>
        <v/>
      </c>
      <c r="F556">
        <f>IF(Entry!$D556&lt;&gt;"",IF(AND(ISNUMBER(Entry!$D556),Entry!$D556&gt;=0,Entry!$D556&lt;1),RIGHT("00"&amp;HOUR(Entry!$D556),2)&amp;":"&amp;RIGHT("00"&amp;MINUTE(Entry!$D556),2),IFERROR(RIGHT("00"&amp;VALUE(TRIM(LEFT(Entry!$D556,FIND(":",Entry!$D556)-1))),2)&amp;":"&amp;RIGHT("00"&amp;VALUE(TRIM(MID(Entry!$D556,FIND(":",Entry!$D556)+1,2))),2),"نامعتبر")),IF(OR($E556="",$E556="نامعتبر"),"","00:00"))</f>
        <v/>
      </c>
      <c r="G556">
        <f>IF(OR($E556="",$E556="نامعتبر"),"",IF(Entry!$E556="","",LEFT(UPPER(TRIM(Entry!$E556)),6)))</f>
        <v/>
      </c>
      <c r="H556">
        <f>IF($G556="","",RIGHT($E556,4)&amp;MID($E556,6,2)&amp;RIGHT($E556,2)&amp;IF($F556="","0000",IF($F556="نامعتبر","9999",LEFT($F556,2)&amp;RIGHT($F556,2)))&amp;"|"&amp;RIGHT("00000"&amp;548,5))</f>
        <v/>
      </c>
      <c r="I556">
        <f>IF($H556="","",COUNTIFS(CalcBank,$G556,CalcKey,"&lt;"&amp;$H556)+1)</f>
        <v/>
      </c>
      <c r="J556">
        <f>IF($I556="","",$G556&amp;"|"&amp;RIGHT("000000"&amp;$I556,6))</f>
        <v/>
      </c>
      <c r="K556">
        <f>IF(OR($E556="",$E556="نامعتبر"),"",LEFT($E556,4)&amp;"/"&amp;MID($E556,6,2))</f>
        <v/>
      </c>
      <c r="L556">
        <f>IF(Entry!$K556="",0,Entry!$K556)</f>
        <v/>
      </c>
      <c r="M556">
        <f>IF(Entry!$L556="",0,Entry!$L556)</f>
        <v/>
      </c>
    </row>
    <row r="557">
      <c r="A557">
        <f>IF(Entry!$C557="","",Entry!$C557)</f>
        <v/>
      </c>
      <c r="B557">
        <f>IF($A557="","",IF(ISNUMBER($A557),IF(AND($A557&gt;=10000101,$A557&lt;=99991231),INT($A557/10000),""),IFERROR(VALUE(TRIM(LEFT($A557,FIND("/",$A557)-1))),"")))</f>
        <v/>
      </c>
      <c r="C557">
        <f>IF(OR($A557="",$B557=""),"",IF(ISNUMBER($A557),INT(MOD($A557,10000)/100),IFERROR(VALUE(TRIM(LEFT(MID($A557,FIND("/",$A557)+1,20),FIND("/",MID($A557,FIND("/",$A557)+1,20))-1))),"")))</f>
        <v/>
      </c>
      <c r="D557">
        <f>IF(OR($A557="",$B557=""),"",IF(ISNUMBER($A557),MOD($A557,100),IFERROR(VALUE(TRIM(MID(MID($A557,FIND("/",$A557)+1,20),FIND("/",MID($A557,FIND("/",$A557)+1,20))+1,20))),"")))</f>
        <v/>
      </c>
      <c r="E557">
        <f>IF($A557="","",IF(OR($B557="",$C557="",$D557="",$B557&lt;1300,$B557&gt;1500,$C557&lt;1,$C557&gt;12,$D557&lt;1,$D557&gt;31),"نامعتبر",RIGHT("0000"&amp;$B557,4)&amp;"/"&amp;RIGHT("00"&amp;$C557,2)&amp;"/"&amp;RIGHT("00"&amp;$D557,2)))</f>
        <v/>
      </c>
      <c r="F557">
        <f>IF(Entry!$D557&lt;&gt;"",IF(AND(ISNUMBER(Entry!$D557),Entry!$D557&gt;=0,Entry!$D557&lt;1),RIGHT("00"&amp;HOUR(Entry!$D557),2)&amp;":"&amp;RIGHT("00"&amp;MINUTE(Entry!$D557),2),IFERROR(RIGHT("00"&amp;VALUE(TRIM(LEFT(Entry!$D557,FIND(":",Entry!$D557)-1))),2)&amp;":"&amp;RIGHT("00"&amp;VALUE(TRIM(MID(Entry!$D557,FIND(":",Entry!$D557)+1,2))),2),"نامعتبر")),IF(OR($E557="",$E557="نامعتبر"),"","00:00"))</f>
        <v/>
      </c>
      <c r="G557">
        <f>IF(OR($E557="",$E557="نامعتبر"),"",IF(Entry!$E557="","",LEFT(UPPER(TRIM(Entry!$E557)),6)))</f>
        <v/>
      </c>
      <c r="H557">
        <f>IF($G557="","",RIGHT($E557,4)&amp;MID($E557,6,2)&amp;RIGHT($E557,2)&amp;IF($F557="","0000",IF($F557="نامعتبر","9999",LEFT($F557,2)&amp;RIGHT($F557,2)))&amp;"|"&amp;RIGHT("00000"&amp;549,5))</f>
        <v/>
      </c>
      <c r="I557">
        <f>IF($H557="","",COUNTIFS(CalcBank,$G557,CalcKey,"&lt;"&amp;$H557)+1)</f>
        <v/>
      </c>
      <c r="J557">
        <f>IF($I557="","",$G557&amp;"|"&amp;RIGHT("000000"&amp;$I557,6))</f>
        <v/>
      </c>
      <c r="K557">
        <f>IF(OR($E557="",$E557="نامعتبر"),"",LEFT($E557,4)&amp;"/"&amp;MID($E557,6,2))</f>
        <v/>
      </c>
      <c r="L557">
        <f>IF(Entry!$K557="",0,Entry!$K557)</f>
        <v/>
      </c>
      <c r="M557">
        <f>IF(Entry!$L557="",0,Entry!$L557)</f>
        <v/>
      </c>
    </row>
    <row r="558">
      <c r="A558">
        <f>IF(Entry!$C558="","",Entry!$C558)</f>
        <v/>
      </c>
      <c r="B558">
        <f>IF($A558="","",IF(ISNUMBER($A558),IF(AND($A558&gt;=10000101,$A558&lt;=99991231),INT($A558/10000),""),IFERROR(VALUE(TRIM(LEFT($A558,FIND("/",$A558)-1))),"")))</f>
        <v/>
      </c>
      <c r="C558">
        <f>IF(OR($A558="",$B558=""),"",IF(ISNUMBER($A558),INT(MOD($A558,10000)/100),IFERROR(VALUE(TRIM(LEFT(MID($A558,FIND("/",$A558)+1,20),FIND("/",MID($A558,FIND("/",$A558)+1,20))-1))),"")))</f>
        <v/>
      </c>
      <c r="D558">
        <f>IF(OR($A558="",$B558=""),"",IF(ISNUMBER($A558),MOD($A558,100),IFERROR(VALUE(TRIM(MID(MID($A558,FIND("/",$A558)+1,20),FIND("/",MID($A558,FIND("/",$A558)+1,20))+1,20))),"")))</f>
        <v/>
      </c>
      <c r="E558">
        <f>IF($A558="","",IF(OR($B558="",$C558="",$D558="",$B558&lt;1300,$B558&gt;1500,$C558&lt;1,$C558&gt;12,$D558&lt;1,$D558&gt;31),"نامعتبر",RIGHT("0000"&amp;$B558,4)&amp;"/"&amp;RIGHT("00"&amp;$C558,2)&amp;"/"&amp;RIGHT("00"&amp;$D558,2)))</f>
        <v/>
      </c>
      <c r="F558">
        <f>IF(Entry!$D558&lt;&gt;"",IF(AND(ISNUMBER(Entry!$D558),Entry!$D558&gt;=0,Entry!$D558&lt;1),RIGHT("00"&amp;HOUR(Entry!$D558),2)&amp;":"&amp;RIGHT("00"&amp;MINUTE(Entry!$D558),2),IFERROR(RIGHT("00"&amp;VALUE(TRIM(LEFT(Entry!$D558,FIND(":",Entry!$D558)-1))),2)&amp;":"&amp;RIGHT("00"&amp;VALUE(TRIM(MID(Entry!$D558,FIND(":",Entry!$D558)+1,2))),2),"نامعتبر")),IF(OR($E558="",$E558="نامعتبر"),"","00:00"))</f>
        <v/>
      </c>
      <c r="G558">
        <f>IF(OR($E558="",$E558="نامعتبر"),"",IF(Entry!$E558="","",LEFT(UPPER(TRIM(Entry!$E558)),6)))</f>
        <v/>
      </c>
      <c r="H558">
        <f>IF($G558="","",RIGHT($E558,4)&amp;MID($E558,6,2)&amp;RIGHT($E558,2)&amp;IF($F558="","0000",IF($F558="نامعتبر","9999",LEFT($F558,2)&amp;RIGHT($F558,2)))&amp;"|"&amp;RIGHT("00000"&amp;550,5))</f>
        <v/>
      </c>
      <c r="I558">
        <f>IF($H558="","",COUNTIFS(CalcBank,$G558,CalcKey,"&lt;"&amp;$H558)+1)</f>
        <v/>
      </c>
      <c r="J558">
        <f>IF($I558="","",$G558&amp;"|"&amp;RIGHT("000000"&amp;$I558,6))</f>
        <v/>
      </c>
      <c r="K558">
        <f>IF(OR($E558="",$E558="نامعتبر"),"",LEFT($E558,4)&amp;"/"&amp;MID($E558,6,2))</f>
        <v/>
      </c>
      <c r="L558">
        <f>IF(Entry!$K558="",0,Entry!$K558)</f>
        <v/>
      </c>
      <c r="M558">
        <f>IF(Entry!$L558="",0,Entry!$L558)</f>
        <v/>
      </c>
    </row>
    <row r="559">
      <c r="A559">
        <f>IF(Entry!$C559="","",Entry!$C559)</f>
        <v/>
      </c>
      <c r="B559">
        <f>IF($A559="","",IF(ISNUMBER($A559),IF(AND($A559&gt;=10000101,$A559&lt;=99991231),INT($A559/10000),""),IFERROR(VALUE(TRIM(LEFT($A559,FIND("/",$A559)-1))),"")))</f>
        <v/>
      </c>
      <c r="C559">
        <f>IF(OR($A559="",$B559=""),"",IF(ISNUMBER($A559),INT(MOD($A559,10000)/100),IFERROR(VALUE(TRIM(LEFT(MID($A559,FIND("/",$A559)+1,20),FIND("/",MID($A559,FIND("/",$A559)+1,20))-1))),"")))</f>
        <v/>
      </c>
      <c r="D559">
        <f>IF(OR($A559="",$B559=""),"",IF(ISNUMBER($A559),MOD($A559,100),IFERROR(VALUE(TRIM(MID(MID($A559,FIND("/",$A559)+1,20),FIND("/",MID($A559,FIND("/",$A559)+1,20))+1,20))),"")))</f>
        <v/>
      </c>
      <c r="E559">
        <f>IF($A559="","",IF(OR($B559="",$C559="",$D559="",$B559&lt;1300,$B559&gt;1500,$C559&lt;1,$C559&gt;12,$D559&lt;1,$D559&gt;31),"نامعتبر",RIGHT("0000"&amp;$B559,4)&amp;"/"&amp;RIGHT("00"&amp;$C559,2)&amp;"/"&amp;RIGHT("00"&amp;$D559,2)))</f>
        <v/>
      </c>
      <c r="F559">
        <f>IF(Entry!$D559&lt;&gt;"",IF(AND(ISNUMBER(Entry!$D559),Entry!$D559&gt;=0,Entry!$D559&lt;1),RIGHT("00"&amp;HOUR(Entry!$D559),2)&amp;":"&amp;RIGHT("00"&amp;MINUTE(Entry!$D559),2),IFERROR(RIGHT("00"&amp;VALUE(TRIM(LEFT(Entry!$D559,FIND(":",Entry!$D559)-1))),2)&amp;":"&amp;RIGHT("00"&amp;VALUE(TRIM(MID(Entry!$D559,FIND(":",Entry!$D559)+1,2))),2),"نامعتبر")),IF(OR($E559="",$E559="نامعتبر"),"","00:00"))</f>
        <v/>
      </c>
      <c r="G559">
        <f>IF(OR($E559="",$E559="نامعتبر"),"",IF(Entry!$E559="","",LEFT(UPPER(TRIM(Entry!$E559)),6)))</f>
        <v/>
      </c>
      <c r="H559">
        <f>IF($G559="","",RIGHT($E559,4)&amp;MID($E559,6,2)&amp;RIGHT($E559,2)&amp;IF($F559="","0000",IF($F559="نامعتبر","9999",LEFT($F559,2)&amp;RIGHT($F559,2)))&amp;"|"&amp;RIGHT("00000"&amp;551,5))</f>
        <v/>
      </c>
      <c r="I559">
        <f>IF($H559="","",COUNTIFS(CalcBank,$G559,CalcKey,"&lt;"&amp;$H559)+1)</f>
        <v/>
      </c>
      <c r="J559">
        <f>IF($I559="","",$G559&amp;"|"&amp;RIGHT("000000"&amp;$I559,6))</f>
        <v/>
      </c>
      <c r="K559">
        <f>IF(OR($E559="",$E559="نامعتبر"),"",LEFT($E559,4)&amp;"/"&amp;MID($E559,6,2))</f>
        <v/>
      </c>
      <c r="L559">
        <f>IF(Entry!$K559="",0,Entry!$K559)</f>
        <v/>
      </c>
      <c r="M559">
        <f>IF(Entry!$L559="",0,Entry!$L559)</f>
        <v/>
      </c>
    </row>
    <row r="560">
      <c r="A560">
        <f>IF(Entry!$C560="","",Entry!$C560)</f>
        <v/>
      </c>
      <c r="B560">
        <f>IF($A560="","",IF(ISNUMBER($A560),IF(AND($A560&gt;=10000101,$A560&lt;=99991231),INT($A560/10000),""),IFERROR(VALUE(TRIM(LEFT($A560,FIND("/",$A560)-1))),"")))</f>
        <v/>
      </c>
      <c r="C560">
        <f>IF(OR($A560="",$B560=""),"",IF(ISNUMBER($A560),INT(MOD($A560,10000)/100),IFERROR(VALUE(TRIM(LEFT(MID($A560,FIND("/",$A560)+1,20),FIND("/",MID($A560,FIND("/",$A560)+1,20))-1))),"")))</f>
        <v/>
      </c>
      <c r="D560">
        <f>IF(OR($A560="",$B560=""),"",IF(ISNUMBER($A560),MOD($A560,100),IFERROR(VALUE(TRIM(MID(MID($A560,FIND("/",$A560)+1,20),FIND("/",MID($A560,FIND("/",$A560)+1,20))+1,20))),"")))</f>
        <v/>
      </c>
      <c r="E560">
        <f>IF($A560="","",IF(OR($B560="",$C560="",$D560="",$B560&lt;1300,$B560&gt;1500,$C560&lt;1,$C560&gt;12,$D560&lt;1,$D560&gt;31),"نامعتبر",RIGHT("0000"&amp;$B560,4)&amp;"/"&amp;RIGHT("00"&amp;$C560,2)&amp;"/"&amp;RIGHT("00"&amp;$D560,2)))</f>
        <v/>
      </c>
      <c r="F560">
        <f>IF(Entry!$D560&lt;&gt;"",IF(AND(ISNUMBER(Entry!$D560),Entry!$D560&gt;=0,Entry!$D560&lt;1),RIGHT("00"&amp;HOUR(Entry!$D560),2)&amp;":"&amp;RIGHT("00"&amp;MINUTE(Entry!$D560),2),IFERROR(RIGHT("00"&amp;VALUE(TRIM(LEFT(Entry!$D560,FIND(":",Entry!$D560)-1))),2)&amp;":"&amp;RIGHT("00"&amp;VALUE(TRIM(MID(Entry!$D560,FIND(":",Entry!$D560)+1,2))),2),"نامعتبر")),IF(OR($E560="",$E560="نامعتبر"),"","00:00"))</f>
        <v/>
      </c>
      <c r="G560">
        <f>IF(OR($E560="",$E560="نامعتبر"),"",IF(Entry!$E560="","",LEFT(UPPER(TRIM(Entry!$E560)),6)))</f>
        <v/>
      </c>
      <c r="H560">
        <f>IF($G560="","",RIGHT($E560,4)&amp;MID($E560,6,2)&amp;RIGHT($E560,2)&amp;IF($F560="","0000",IF($F560="نامعتبر","9999",LEFT($F560,2)&amp;RIGHT($F560,2)))&amp;"|"&amp;RIGHT("00000"&amp;552,5))</f>
        <v/>
      </c>
      <c r="I560">
        <f>IF($H560="","",COUNTIFS(CalcBank,$G560,CalcKey,"&lt;"&amp;$H560)+1)</f>
        <v/>
      </c>
      <c r="J560">
        <f>IF($I560="","",$G560&amp;"|"&amp;RIGHT("000000"&amp;$I560,6))</f>
        <v/>
      </c>
      <c r="K560">
        <f>IF(OR($E560="",$E560="نامعتبر"),"",LEFT($E560,4)&amp;"/"&amp;MID($E560,6,2))</f>
        <v/>
      </c>
      <c r="L560">
        <f>IF(Entry!$K560="",0,Entry!$K560)</f>
        <v/>
      </c>
      <c r="M560">
        <f>IF(Entry!$L560="",0,Entry!$L560)</f>
        <v/>
      </c>
    </row>
    <row r="561">
      <c r="A561">
        <f>IF(Entry!$C561="","",Entry!$C561)</f>
        <v/>
      </c>
      <c r="B561">
        <f>IF($A561="","",IF(ISNUMBER($A561),IF(AND($A561&gt;=10000101,$A561&lt;=99991231),INT($A561/10000),""),IFERROR(VALUE(TRIM(LEFT($A561,FIND("/",$A561)-1))),"")))</f>
        <v/>
      </c>
      <c r="C561">
        <f>IF(OR($A561="",$B561=""),"",IF(ISNUMBER($A561),INT(MOD($A561,10000)/100),IFERROR(VALUE(TRIM(LEFT(MID($A561,FIND("/",$A561)+1,20),FIND("/",MID($A561,FIND("/",$A561)+1,20))-1))),"")))</f>
        <v/>
      </c>
      <c r="D561">
        <f>IF(OR($A561="",$B561=""),"",IF(ISNUMBER($A561),MOD($A561,100),IFERROR(VALUE(TRIM(MID(MID($A561,FIND("/",$A561)+1,20),FIND("/",MID($A561,FIND("/",$A561)+1,20))+1,20))),"")))</f>
        <v/>
      </c>
      <c r="E561">
        <f>IF($A561="","",IF(OR($B561="",$C561="",$D561="",$B561&lt;1300,$B561&gt;1500,$C561&lt;1,$C561&gt;12,$D561&lt;1,$D561&gt;31),"نامعتبر",RIGHT("0000"&amp;$B561,4)&amp;"/"&amp;RIGHT("00"&amp;$C561,2)&amp;"/"&amp;RIGHT("00"&amp;$D561,2)))</f>
        <v/>
      </c>
      <c r="F561">
        <f>IF(Entry!$D561&lt;&gt;"",IF(AND(ISNUMBER(Entry!$D561),Entry!$D561&gt;=0,Entry!$D561&lt;1),RIGHT("00"&amp;HOUR(Entry!$D561),2)&amp;":"&amp;RIGHT("00"&amp;MINUTE(Entry!$D561),2),IFERROR(RIGHT("00"&amp;VALUE(TRIM(LEFT(Entry!$D561,FIND(":",Entry!$D561)-1))),2)&amp;":"&amp;RIGHT("00"&amp;VALUE(TRIM(MID(Entry!$D561,FIND(":",Entry!$D561)+1,2))),2),"نامعتبر")),IF(OR($E561="",$E561="نامعتبر"),"","00:00"))</f>
        <v/>
      </c>
      <c r="G561">
        <f>IF(OR($E561="",$E561="نامعتبر"),"",IF(Entry!$E561="","",LEFT(UPPER(TRIM(Entry!$E561)),6)))</f>
        <v/>
      </c>
      <c r="H561">
        <f>IF($G561="","",RIGHT($E561,4)&amp;MID($E561,6,2)&amp;RIGHT($E561,2)&amp;IF($F561="","0000",IF($F561="نامعتبر","9999",LEFT($F561,2)&amp;RIGHT($F561,2)))&amp;"|"&amp;RIGHT("00000"&amp;553,5))</f>
        <v/>
      </c>
      <c r="I561">
        <f>IF($H561="","",COUNTIFS(CalcBank,$G561,CalcKey,"&lt;"&amp;$H561)+1)</f>
        <v/>
      </c>
      <c r="J561">
        <f>IF($I561="","",$G561&amp;"|"&amp;RIGHT("000000"&amp;$I561,6))</f>
        <v/>
      </c>
      <c r="K561">
        <f>IF(OR($E561="",$E561="نامعتبر"),"",LEFT($E561,4)&amp;"/"&amp;MID($E561,6,2))</f>
        <v/>
      </c>
      <c r="L561">
        <f>IF(Entry!$K561="",0,Entry!$K561)</f>
        <v/>
      </c>
      <c r="M561">
        <f>IF(Entry!$L561="",0,Entry!$L561)</f>
        <v/>
      </c>
    </row>
    <row r="562">
      <c r="A562">
        <f>IF(Entry!$C562="","",Entry!$C562)</f>
        <v/>
      </c>
      <c r="B562">
        <f>IF($A562="","",IF(ISNUMBER($A562),IF(AND($A562&gt;=10000101,$A562&lt;=99991231),INT($A562/10000),""),IFERROR(VALUE(TRIM(LEFT($A562,FIND("/",$A562)-1))),"")))</f>
        <v/>
      </c>
      <c r="C562">
        <f>IF(OR($A562="",$B562=""),"",IF(ISNUMBER($A562),INT(MOD($A562,10000)/100),IFERROR(VALUE(TRIM(LEFT(MID($A562,FIND("/",$A562)+1,20),FIND("/",MID($A562,FIND("/",$A562)+1,20))-1))),"")))</f>
        <v/>
      </c>
      <c r="D562">
        <f>IF(OR($A562="",$B562=""),"",IF(ISNUMBER($A562),MOD($A562,100),IFERROR(VALUE(TRIM(MID(MID($A562,FIND("/",$A562)+1,20),FIND("/",MID($A562,FIND("/",$A562)+1,20))+1,20))),"")))</f>
        <v/>
      </c>
      <c r="E562">
        <f>IF($A562="","",IF(OR($B562="",$C562="",$D562="",$B562&lt;1300,$B562&gt;1500,$C562&lt;1,$C562&gt;12,$D562&lt;1,$D562&gt;31),"نامعتبر",RIGHT("0000"&amp;$B562,4)&amp;"/"&amp;RIGHT("00"&amp;$C562,2)&amp;"/"&amp;RIGHT("00"&amp;$D562,2)))</f>
        <v/>
      </c>
      <c r="F562">
        <f>IF(Entry!$D562&lt;&gt;"",IF(AND(ISNUMBER(Entry!$D562),Entry!$D562&gt;=0,Entry!$D562&lt;1),RIGHT("00"&amp;HOUR(Entry!$D562),2)&amp;":"&amp;RIGHT("00"&amp;MINUTE(Entry!$D562),2),IFERROR(RIGHT("00"&amp;VALUE(TRIM(LEFT(Entry!$D562,FIND(":",Entry!$D562)-1))),2)&amp;":"&amp;RIGHT("00"&amp;VALUE(TRIM(MID(Entry!$D562,FIND(":",Entry!$D562)+1,2))),2),"نامعتبر")),IF(OR($E562="",$E562="نامعتبر"),"","00:00"))</f>
        <v/>
      </c>
      <c r="G562">
        <f>IF(OR($E562="",$E562="نامعتبر"),"",IF(Entry!$E562="","",LEFT(UPPER(TRIM(Entry!$E562)),6)))</f>
        <v/>
      </c>
      <c r="H562">
        <f>IF($G562="","",RIGHT($E562,4)&amp;MID($E562,6,2)&amp;RIGHT($E562,2)&amp;IF($F562="","0000",IF($F562="نامعتبر","9999",LEFT($F562,2)&amp;RIGHT($F562,2)))&amp;"|"&amp;RIGHT("00000"&amp;554,5))</f>
        <v/>
      </c>
      <c r="I562">
        <f>IF($H562="","",COUNTIFS(CalcBank,$G562,CalcKey,"&lt;"&amp;$H562)+1)</f>
        <v/>
      </c>
      <c r="J562">
        <f>IF($I562="","",$G562&amp;"|"&amp;RIGHT("000000"&amp;$I562,6))</f>
        <v/>
      </c>
      <c r="K562">
        <f>IF(OR($E562="",$E562="نامعتبر"),"",LEFT($E562,4)&amp;"/"&amp;MID($E562,6,2))</f>
        <v/>
      </c>
      <c r="L562">
        <f>IF(Entry!$K562="",0,Entry!$K562)</f>
        <v/>
      </c>
      <c r="M562">
        <f>IF(Entry!$L562="",0,Entry!$L562)</f>
        <v/>
      </c>
    </row>
    <row r="563">
      <c r="A563">
        <f>IF(Entry!$C563="","",Entry!$C563)</f>
        <v/>
      </c>
      <c r="B563">
        <f>IF($A563="","",IF(ISNUMBER($A563),IF(AND($A563&gt;=10000101,$A563&lt;=99991231),INT($A563/10000),""),IFERROR(VALUE(TRIM(LEFT($A563,FIND("/",$A563)-1))),"")))</f>
        <v/>
      </c>
      <c r="C563">
        <f>IF(OR($A563="",$B563=""),"",IF(ISNUMBER($A563),INT(MOD($A563,10000)/100),IFERROR(VALUE(TRIM(LEFT(MID($A563,FIND("/",$A563)+1,20),FIND("/",MID($A563,FIND("/",$A563)+1,20))-1))),"")))</f>
        <v/>
      </c>
      <c r="D563">
        <f>IF(OR($A563="",$B563=""),"",IF(ISNUMBER($A563),MOD($A563,100),IFERROR(VALUE(TRIM(MID(MID($A563,FIND("/",$A563)+1,20),FIND("/",MID($A563,FIND("/",$A563)+1,20))+1,20))),"")))</f>
        <v/>
      </c>
      <c r="E563">
        <f>IF($A563="","",IF(OR($B563="",$C563="",$D563="",$B563&lt;1300,$B563&gt;1500,$C563&lt;1,$C563&gt;12,$D563&lt;1,$D563&gt;31),"نامعتبر",RIGHT("0000"&amp;$B563,4)&amp;"/"&amp;RIGHT("00"&amp;$C563,2)&amp;"/"&amp;RIGHT("00"&amp;$D563,2)))</f>
        <v/>
      </c>
      <c r="F563">
        <f>IF(Entry!$D563&lt;&gt;"",IF(AND(ISNUMBER(Entry!$D563),Entry!$D563&gt;=0,Entry!$D563&lt;1),RIGHT("00"&amp;HOUR(Entry!$D563),2)&amp;":"&amp;RIGHT("00"&amp;MINUTE(Entry!$D563),2),IFERROR(RIGHT("00"&amp;VALUE(TRIM(LEFT(Entry!$D563,FIND(":",Entry!$D563)-1))),2)&amp;":"&amp;RIGHT("00"&amp;VALUE(TRIM(MID(Entry!$D563,FIND(":",Entry!$D563)+1,2))),2),"نامعتبر")),IF(OR($E563="",$E563="نامعتبر"),"","00:00"))</f>
        <v/>
      </c>
      <c r="G563">
        <f>IF(OR($E563="",$E563="نامعتبر"),"",IF(Entry!$E563="","",LEFT(UPPER(TRIM(Entry!$E563)),6)))</f>
        <v/>
      </c>
      <c r="H563">
        <f>IF($G563="","",RIGHT($E563,4)&amp;MID($E563,6,2)&amp;RIGHT($E563,2)&amp;IF($F563="","0000",IF($F563="نامعتبر","9999",LEFT($F563,2)&amp;RIGHT($F563,2)))&amp;"|"&amp;RIGHT("00000"&amp;555,5))</f>
        <v/>
      </c>
      <c r="I563">
        <f>IF($H563="","",COUNTIFS(CalcBank,$G563,CalcKey,"&lt;"&amp;$H563)+1)</f>
        <v/>
      </c>
      <c r="J563">
        <f>IF($I563="","",$G563&amp;"|"&amp;RIGHT("000000"&amp;$I563,6))</f>
        <v/>
      </c>
      <c r="K563">
        <f>IF(OR($E563="",$E563="نامعتبر"),"",LEFT($E563,4)&amp;"/"&amp;MID($E563,6,2))</f>
        <v/>
      </c>
      <c r="L563">
        <f>IF(Entry!$K563="",0,Entry!$K563)</f>
        <v/>
      </c>
      <c r="M563">
        <f>IF(Entry!$L563="",0,Entry!$L563)</f>
        <v/>
      </c>
    </row>
    <row r="564">
      <c r="A564">
        <f>IF(Entry!$C564="","",Entry!$C564)</f>
        <v/>
      </c>
      <c r="B564">
        <f>IF($A564="","",IF(ISNUMBER($A564),IF(AND($A564&gt;=10000101,$A564&lt;=99991231),INT($A564/10000),""),IFERROR(VALUE(TRIM(LEFT($A564,FIND("/",$A564)-1))),"")))</f>
        <v/>
      </c>
      <c r="C564">
        <f>IF(OR($A564="",$B564=""),"",IF(ISNUMBER($A564),INT(MOD($A564,10000)/100),IFERROR(VALUE(TRIM(LEFT(MID($A564,FIND("/",$A564)+1,20),FIND("/",MID($A564,FIND("/",$A564)+1,20))-1))),"")))</f>
        <v/>
      </c>
      <c r="D564">
        <f>IF(OR($A564="",$B564=""),"",IF(ISNUMBER($A564),MOD($A564,100),IFERROR(VALUE(TRIM(MID(MID($A564,FIND("/",$A564)+1,20),FIND("/",MID($A564,FIND("/",$A564)+1,20))+1,20))),"")))</f>
        <v/>
      </c>
      <c r="E564">
        <f>IF($A564="","",IF(OR($B564="",$C564="",$D564="",$B564&lt;1300,$B564&gt;1500,$C564&lt;1,$C564&gt;12,$D564&lt;1,$D564&gt;31),"نامعتبر",RIGHT("0000"&amp;$B564,4)&amp;"/"&amp;RIGHT("00"&amp;$C564,2)&amp;"/"&amp;RIGHT("00"&amp;$D564,2)))</f>
        <v/>
      </c>
      <c r="F564">
        <f>IF(Entry!$D564&lt;&gt;"",IF(AND(ISNUMBER(Entry!$D564),Entry!$D564&gt;=0,Entry!$D564&lt;1),RIGHT("00"&amp;HOUR(Entry!$D564),2)&amp;":"&amp;RIGHT("00"&amp;MINUTE(Entry!$D564),2),IFERROR(RIGHT("00"&amp;VALUE(TRIM(LEFT(Entry!$D564,FIND(":",Entry!$D564)-1))),2)&amp;":"&amp;RIGHT("00"&amp;VALUE(TRIM(MID(Entry!$D564,FIND(":",Entry!$D564)+1,2))),2),"نامعتبر")),IF(OR($E564="",$E564="نامعتبر"),"","00:00"))</f>
        <v/>
      </c>
      <c r="G564">
        <f>IF(OR($E564="",$E564="نامعتبر"),"",IF(Entry!$E564="","",LEFT(UPPER(TRIM(Entry!$E564)),6)))</f>
        <v/>
      </c>
      <c r="H564">
        <f>IF($G564="","",RIGHT($E564,4)&amp;MID($E564,6,2)&amp;RIGHT($E564,2)&amp;IF($F564="","0000",IF($F564="نامعتبر","9999",LEFT($F564,2)&amp;RIGHT($F564,2)))&amp;"|"&amp;RIGHT("00000"&amp;556,5))</f>
        <v/>
      </c>
      <c r="I564">
        <f>IF($H564="","",COUNTIFS(CalcBank,$G564,CalcKey,"&lt;"&amp;$H564)+1)</f>
        <v/>
      </c>
      <c r="J564">
        <f>IF($I564="","",$G564&amp;"|"&amp;RIGHT("000000"&amp;$I564,6))</f>
        <v/>
      </c>
      <c r="K564">
        <f>IF(OR($E564="",$E564="نامعتبر"),"",LEFT($E564,4)&amp;"/"&amp;MID($E564,6,2))</f>
        <v/>
      </c>
      <c r="L564">
        <f>IF(Entry!$K564="",0,Entry!$K564)</f>
        <v/>
      </c>
      <c r="M564">
        <f>IF(Entry!$L564="",0,Entry!$L564)</f>
        <v/>
      </c>
    </row>
    <row r="565">
      <c r="A565">
        <f>IF(Entry!$C565="","",Entry!$C565)</f>
        <v/>
      </c>
      <c r="B565">
        <f>IF($A565="","",IF(ISNUMBER($A565),IF(AND($A565&gt;=10000101,$A565&lt;=99991231),INT($A565/10000),""),IFERROR(VALUE(TRIM(LEFT($A565,FIND("/",$A565)-1))),"")))</f>
        <v/>
      </c>
      <c r="C565">
        <f>IF(OR($A565="",$B565=""),"",IF(ISNUMBER($A565),INT(MOD($A565,10000)/100),IFERROR(VALUE(TRIM(LEFT(MID($A565,FIND("/",$A565)+1,20),FIND("/",MID($A565,FIND("/",$A565)+1,20))-1))),"")))</f>
        <v/>
      </c>
      <c r="D565">
        <f>IF(OR($A565="",$B565=""),"",IF(ISNUMBER($A565),MOD($A565,100),IFERROR(VALUE(TRIM(MID(MID($A565,FIND("/",$A565)+1,20),FIND("/",MID($A565,FIND("/",$A565)+1,20))+1,20))),"")))</f>
        <v/>
      </c>
      <c r="E565">
        <f>IF($A565="","",IF(OR($B565="",$C565="",$D565="",$B565&lt;1300,$B565&gt;1500,$C565&lt;1,$C565&gt;12,$D565&lt;1,$D565&gt;31),"نامعتبر",RIGHT("0000"&amp;$B565,4)&amp;"/"&amp;RIGHT("00"&amp;$C565,2)&amp;"/"&amp;RIGHT("00"&amp;$D565,2)))</f>
        <v/>
      </c>
      <c r="F565">
        <f>IF(Entry!$D565&lt;&gt;"",IF(AND(ISNUMBER(Entry!$D565),Entry!$D565&gt;=0,Entry!$D565&lt;1),RIGHT("00"&amp;HOUR(Entry!$D565),2)&amp;":"&amp;RIGHT("00"&amp;MINUTE(Entry!$D565),2),IFERROR(RIGHT("00"&amp;VALUE(TRIM(LEFT(Entry!$D565,FIND(":",Entry!$D565)-1))),2)&amp;":"&amp;RIGHT("00"&amp;VALUE(TRIM(MID(Entry!$D565,FIND(":",Entry!$D565)+1,2))),2),"نامعتبر")),IF(OR($E565="",$E565="نامعتبر"),"","00:00"))</f>
        <v/>
      </c>
      <c r="G565">
        <f>IF(OR($E565="",$E565="نامعتبر"),"",IF(Entry!$E565="","",LEFT(UPPER(TRIM(Entry!$E565)),6)))</f>
        <v/>
      </c>
      <c r="H565">
        <f>IF($G565="","",RIGHT($E565,4)&amp;MID($E565,6,2)&amp;RIGHT($E565,2)&amp;IF($F565="","0000",IF($F565="نامعتبر","9999",LEFT($F565,2)&amp;RIGHT($F565,2)))&amp;"|"&amp;RIGHT("00000"&amp;557,5))</f>
        <v/>
      </c>
      <c r="I565">
        <f>IF($H565="","",COUNTIFS(CalcBank,$G565,CalcKey,"&lt;"&amp;$H565)+1)</f>
        <v/>
      </c>
      <c r="J565">
        <f>IF($I565="","",$G565&amp;"|"&amp;RIGHT("000000"&amp;$I565,6))</f>
        <v/>
      </c>
      <c r="K565">
        <f>IF(OR($E565="",$E565="نامعتبر"),"",LEFT($E565,4)&amp;"/"&amp;MID($E565,6,2))</f>
        <v/>
      </c>
      <c r="L565">
        <f>IF(Entry!$K565="",0,Entry!$K565)</f>
        <v/>
      </c>
      <c r="M565">
        <f>IF(Entry!$L565="",0,Entry!$L565)</f>
        <v/>
      </c>
    </row>
    <row r="566">
      <c r="A566">
        <f>IF(Entry!$C566="","",Entry!$C566)</f>
        <v/>
      </c>
      <c r="B566">
        <f>IF($A566="","",IF(ISNUMBER($A566),IF(AND($A566&gt;=10000101,$A566&lt;=99991231),INT($A566/10000),""),IFERROR(VALUE(TRIM(LEFT($A566,FIND("/",$A566)-1))),"")))</f>
        <v/>
      </c>
      <c r="C566">
        <f>IF(OR($A566="",$B566=""),"",IF(ISNUMBER($A566),INT(MOD($A566,10000)/100),IFERROR(VALUE(TRIM(LEFT(MID($A566,FIND("/",$A566)+1,20),FIND("/",MID($A566,FIND("/",$A566)+1,20))-1))),"")))</f>
        <v/>
      </c>
      <c r="D566">
        <f>IF(OR($A566="",$B566=""),"",IF(ISNUMBER($A566),MOD($A566,100),IFERROR(VALUE(TRIM(MID(MID($A566,FIND("/",$A566)+1,20),FIND("/",MID($A566,FIND("/",$A566)+1,20))+1,20))),"")))</f>
        <v/>
      </c>
      <c r="E566">
        <f>IF($A566="","",IF(OR($B566="",$C566="",$D566="",$B566&lt;1300,$B566&gt;1500,$C566&lt;1,$C566&gt;12,$D566&lt;1,$D566&gt;31),"نامعتبر",RIGHT("0000"&amp;$B566,4)&amp;"/"&amp;RIGHT("00"&amp;$C566,2)&amp;"/"&amp;RIGHT("00"&amp;$D566,2)))</f>
        <v/>
      </c>
      <c r="F566">
        <f>IF(Entry!$D566&lt;&gt;"",IF(AND(ISNUMBER(Entry!$D566),Entry!$D566&gt;=0,Entry!$D566&lt;1),RIGHT("00"&amp;HOUR(Entry!$D566),2)&amp;":"&amp;RIGHT("00"&amp;MINUTE(Entry!$D566),2),IFERROR(RIGHT("00"&amp;VALUE(TRIM(LEFT(Entry!$D566,FIND(":",Entry!$D566)-1))),2)&amp;":"&amp;RIGHT("00"&amp;VALUE(TRIM(MID(Entry!$D566,FIND(":",Entry!$D566)+1,2))),2),"نامعتبر")),IF(OR($E566="",$E566="نامعتبر"),"","00:00"))</f>
        <v/>
      </c>
      <c r="G566">
        <f>IF(OR($E566="",$E566="نامعتبر"),"",IF(Entry!$E566="","",LEFT(UPPER(TRIM(Entry!$E566)),6)))</f>
        <v/>
      </c>
      <c r="H566">
        <f>IF($G566="","",RIGHT($E566,4)&amp;MID($E566,6,2)&amp;RIGHT($E566,2)&amp;IF($F566="","0000",IF($F566="نامعتبر","9999",LEFT($F566,2)&amp;RIGHT($F566,2)))&amp;"|"&amp;RIGHT("00000"&amp;558,5))</f>
        <v/>
      </c>
      <c r="I566">
        <f>IF($H566="","",COUNTIFS(CalcBank,$G566,CalcKey,"&lt;"&amp;$H566)+1)</f>
        <v/>
      </c>
      <c r="J566">
        <f>IF($I566="","",$G566&amp;"|"&amp;RIGHT("000000"&amp;$I566,6))</f>
        <v/>
      </c>
      <c r="K566">
        <f>IF(OR($E566="",$E566="نامعتبر"),"",LEFT($E566,4)&amp;"/"&amp;MID($E566,6,2))</f>
        <v/>
      </c>
      <c r="L566">
        <f>IF(Entry!$K566="",0,Entry!$K566)</f>
        <v/>
      </c>
      <c r="M566">
        <f>IF(Entry!$L566="",0,Entry!$L566)</f>
        <v/>
      </c>
    </row>
    <row r="567">
      <c r="A567">
        <f>IF(Entry!$C567="","",Entry!$C567)</f>
        <v/>
      </c>
      <c r="B567">
        <f>IF($A567="","",IF(ISNUMBER($A567),IF(AND($A567&gt;=10000101,$A567&lt;=99991231),INT($A567/10000),""),IFERROR(VALUE(TRIM(LEFT($A567,FIND("/",$A567)-1))),"")))</f>
        <v/>
      </c>
      <c r="C567">
        <f>IF(OR($A567="",$B567=""),"",IF(ISNUMBER($A567),INT(MOD($A567,10000)/100),IFERROR(VALUE(TRIM(LEFT(MID($A567,FIND("/",$A567)+1,20),FIND("/",MID($A567,FIND("/",$A567)+1,20))-1))),"")))</f>
        <v/>
      </c>
      <c r="D567">
        <f>IF(OR($A567="",$B567=""),"",IF(ISNUMBER($A567),MOD($A567,100),IFERROR(VALUE(TRIM(MID(MID($A567,FIND("/",$A567)+1,20),FIND("/",MID($A567,FIND("/",$A567)+1,20))+1,20))),"")))</f>
        <v/>
      </c>
      <c r="E567">
        <f>IF($A567="","",IF(OR($B567="",$C567="",$D567="",$B567&lt;1300,$B567&gt;1500,$C567&lt;1,$C567&gt;12,$D567&lt;1,$D567&gt;31),"نامعتبر",RIGHT("0000"&amp;$B567,4)&amp;"/"&amp;RIGHT("00"&amp;$C567,2)&amp;"/"&amp;RIGHT("00"&amp;$D567,2)))</f>
        <v/>
      </c>
      <c r="F567">
        <f>IF(Entry!$D567&lt;&gt;"",IF(AND(ISNUMBER(Entry!$D567),Entry!$D567&gt;=0,Entry!$D567&lt;1),RIGHT("00"&amp;HOUR(Entry!$D567),2)&amp;":"&amp;RIGHT("00"&amp;MINUTE(Entry!$D567),2),IFERROR(RIGHT("00"&amp;VALUE(TRIM(LEFT(Entry!$D567,FIND(":",Entry!$D567)-1))),2)&amp;":"&amp;RIGHT("00"&amp;VALUE(TRIM(MID(Entry!$D567,FIND(":",Entry!$D567)+1,2))),2),"نامعتبر")),IF(OR($E567="",$E567="نامعتبر"),"","00:00"))</f>
        <v/>
      </c>
      <c r="G567">
        <f>IF(OR($E567="",$E567="نامعتبر"),"",IF(Entry!$E567="","",LEFT(UPPER(TRIM(Entry!$E567)),6)))</f>
        <v/>
      </c>
      <c r="H567">
        <f>IF($G567="","",RIGHT($E567,4)&amp;MID($E567,6,2)&amp;RIGHT($E567,2)&amp;IF($F567="","0000",IF($F567="نامعتبر","9999",LEFT($F567,2)&amp;RIGHT($F567,2)))&amp;"|"&amp;RIGHT("00000"&amp;559,5))</f>
        <v/>
      </c>
      <c r="I567">
        <f>IF($H567="","",COUNTIFS(CalcBank,$G567,CalcKey,"&lt;"&amp;$H567)+1)</f>
        <v/>
      </c>
      <c r="J567">
        <f>IF($I567="","",$G567&amp;"|"&amp;RIGHT("000000"&amp;$I567,6))</f>
        <v/>
      </c>
      <c r="K567">
        <f>IF(OR($E567="",$E567="نامعتبر"),"",LEFT($E567,4)&amp;"/"&amp;MID($E567,6,2))</f>
        <v/>
      </c>
      <c r="L567">
        <f>IF(Entry!$K567="",0,Entry!$K567)</f>
        <v/>
      </c>
      <c r="M567">
        <f>IF(Entry!$L567="",0,Entry!$L567)</f>
        <v/>
      </c>
    </row>
    <row r="568">
      <c r="A568">
        <f>IF(Entry!$C568="","",Entry!$C568)</f>
        <v/>
      </c>
      <c r="B568">
        <f>IF($A568="","",IF(ISNUMBER($A568),IF(AND($A568&gt;=10000101,$A568&lt;=99991231),INT($A568/10000),""),IFERROR(VALUE(TRIM(LEFT($A568,FIND("/",$A568)-1))),"")))</f>
        <v/>
      </c>
      <c r="C568">
        <f>IF(OR($A568="",$B568=""),"",IF(ISNUMBER($A568),INT(MOD($A568,10000)/100),IFERROR(VALUE(TRIM(LEFT(MID($A568,FIND("/",$A568)+1,20),FIND("/",MID($A568,FIND("/",$A568)+1,20))-1))),"")))</f>
        <v/>
      </c>
      <c r="D568">
        <f>IF(OR($A568="",$B568=""),"",IF(ISNUMBER($A568),MOD($A568,100),IFERROR(VALUE(TRIM(MID(MID($A568,FIND("/",$A568)+1,20),FIND("/",MID($A568,FIND("/",$A568)+1,20))+1,20))),"")))</f>
        <v/>
      </c>
      <c r="E568">
        <f>IF($A568="","",IF(OR($B568="",$C568="",$D568="",$B568&lt;1300,$B568&gt;1500,$C568&lt;1,$C568&gt;12,$D568&lt;1,$D568&gt;31),"نامعتبر",RIGHT("0000"&amp;$B568,4)&amp;"/"&amp;RIGHT("00"&amp;$C568,2)&amp;"/"&amp;RIGHT("00"&amp;$D568,2)))</f>
        <v/>
      </c>
      <c r="F568">
        <f>IF(Entry!$D568&lt;&gt;"",IF(AND(ISNUMBER(Entry!$D568),Entry!$D568&gt;=0,Entry!$D568&lt;1),RIGHT("00"&amp;HOUR(Entry!$D568),2)&amp;":"&amp;RIGHT("00"&amp;MINUTE(Entry!$D568),2),IFERROR(RIGHT("00"&amp;VALUE(TRIM(LEFT(Entry!$D568,FIND(":",Entry!$D568)-1))),2)&amp;":"&amp;RIGHT("00"&amp;VALUE(TRIM(MID(Entry!$D568,FIND(":",Entry!$D568)+1,2))),2),"نامعتبر")),IF(OR($E568="",$E568="نامعتبر"),"","00:00"))</f>
        <v/>
      </c>
      <c r="G568">
        <f>IF(OR($E568="",$E568="نامعتبر"),"",IF(Entry!$E568="","",LEFT(UPPER(TRIM(Entry!$E568)),6)))</f>
        <v/>
      </c>
      <c r="H568">
        <f>IF($G568="","",RIGHT($E568,4)&amp;MID($E568,6,2)&amp;RIGHT($E568,2)&amp;IF($F568="","0000",IF($F568="نامعتبر","9999",LEFT($F568,2)&amp;RIGHT($F568,2)))&amp;"|"&amp;RIGHT("00000"&amp;560,5))</f>
        <v/>
      </c>
      <c r="I568">
        <f>IF($H568="","",COUNTIFS(CalcBank,$G568,CalcKey,"&lt;"&amp;$H568)+1)</f>
        <v/>
      </c>
      <c r="J568">
        <f>IF($I568="","",$G568&amp;"|"&amp;RIGHT("000000"&amp;$I568,6))</f>
        <v/>
      </c>
      <c r="K568">
        <f>IF(OR($E568="",$E568="نامعتبر"),"",LEFT($E568,4)&amp;"/"&amp;MID($E568,6,2))</f>
        <v/>
      </c>
      <c r="L568">
        <f>IF(Entry!$K568="",0,Entry!$K568)</f>
        <v/>
      </c>
      <c r="M568">
        <f>IF(Entry!$L568="",0,Entry!$L568)</f>
        <v/>
      </c>
    </row>
    <row r="569">
      <c r="A569">
        <f>IF(Entry!$C569="","",Entry!$C569)</f>
        <v/>
      </c>
      <c r="B569">
        <f>IF($A569="","",IF(ISNUMBER($A569),IF(AND($A569&gt;=10000101,$A569&lt;=99991231),INT($A569/10000),""),IFERROR(VALUE(TRIM(LEFT($A569,FIND("/",$A569)-1))),"")))</f>
        <v/>
      </c>
      <c r="C569">
        <f>IF(OR($A569="",$B569=""),"",IF(ISNUMBER($A569),INT(MOD($A569,10000)/100),IFERROR(VALUE(TRIM(LEFT(MID($A569,FIND("/",$A569)+1,20),FIND("/",MID($A569,FIND("/",$A569)+1,20))-1))),"")))</f>
        <v/>
      </c>
      <c r="D569">
        <f>IF(OR($A569="",$B569=""),"",IF(ISNUMBER($A569),MOD($A569,100),IFERROR(VALUE(TRIM(MID(MID($A569,FIND("/",$A569)+1,20),FIND("/",MID($A569,FIND("/",$A569)+1,20))+1,20))),"")))</f>
        <v/>
      </c>
      <c r="E569">
        <f>IF($A569="","",IF(OR($B569="",$C569="",$D569="",$B569&lt;1300,$B569&gt;1500,$C569&lt;1,$C569&gt;12,$D569&lt;1,$D569&gt;31),"نامعتبر",RIGHT("0000"&amp;$B569,4)&amp;"/"&amp;RIGHT("00"&amp;$C569,2)&amp;"/"&amp;RIGHT("00"&amp;$D569,2)))</f>
        <v/>
      </c>
      <c r="F569">
        <f>IF(Entry!$D569&lt;&gt;"",IF(AND(ISNUMBER(Entry!$D569),Entry!$D569&gt;=0,Entry!$D569&lt;1),RIGHT("00"&amp;HOUR(Entry!$D569),2)&amp;":"&amp;RIGHT("00"&amp;MINUTE(Entry!$D569),2),IFERROR(RIGHT("00"&amp;VALUE(TRIM(LEFT(Entry!$D569,FIND(":",Entry!$D569)-1))),2)&amp;":"&amp;RIGHT("00"&amp;VALUE(TRIM(MID(Entry!$D569,FIND(":",Entry!$D569)+1,2))),2),"نامعتبر")),IF(OR($E569="",$E569="نامعتبر"),"","00:00"))</f>
        <v/>
      </c>
      <c r="G569">
        <f>IF(OR($E569="",$E569="نامعتبر"),"",IF(Entry!$E569="","",LEFT(UPPER(TRIM(Entry!$E569)),6)))</f>
        <v/>
      </c>
      <c r="H569">
        <f>IF($G569="","",RIGHT($E569,4)&amp;MID($E569,6,2)&amp;RIGHT($E569,2)&amp;IF($F569="","0000",IF($F569="نامعتبر","9999",LEFT($F569,2)&amp;RIGHT($F569,2)))&amp;"|"&amp;RIGHT("00000"&amp;561,5))</f>
        <v/>
      </c>
      <c r="I569">
        <f>IF($H569="","",COUNTIFS(CalcBank,$G569,CalcKey,"&lt;"&amp;$H569)+1)</f>
        <v/>
      </c>
      <c r="J569">
        <f>IF($I569="","",$G569&amp;"|"&amp;RIGHT("000000"&amp;$I569,6))</f>
        <v/>
      </c>
      <c r="K569">
        <f>IF(OR($E569="",$E569="نامعتبر"),"",LEFT($E569,4)&amp;"/"&amp;MID($E569,6,2))</f>
        <v/>
      </c>
      <c r="L569">
        <f>IF(Entry!$K569="",0,Entry!$K569)</f>
        <v/>
      </c>
      <c r="M569">
        <f>IF(Entry!$L569="",0,Entry!$L569)</f>
        <v/>
      </c>
    </row>
    <row r="570">
      <c r="A570">
        <f>IF(Entry!$C570="","",Entry!$C570)</f>
        <v/>
      </c>
      <c r="B570">
        <f>IF($A570="","",IF(ISNUMBER($A570),IF(AND($A570&gt;=10000101,$A570&lt;=99991231),INT($A570/10000),""),IFERROR(VALUE(TRIM(LEFT($A570,FIND("/",$A570)-1))),"")))</f>
        <v/>
      </c>
      <c r="C570">
        <f>IF(OR($A570="",$B570=""),"",IF(ISNUMBER($A570),INT(MOD($A570,10000)/100),IFERROR(VALUE(TRIM(LEFT(MID($A570,FIND("/",$A570)+1,20),FIND("/",MID($A570,FIND("/",$A570)+1,20))-1))),"")))</f>
        <v/>
      </c>
      <c r="D570">
        <f>IF(OR($A570="",$B570=""),"",IF(ISNUMBER($A570),MOD($A570,100),IFERROR(VALUE(TRIM(MID(MID($A570,FIND("/",$A570)+1,20),FIND("/",MID($A570,FIND("/",$A570)+1,20))+1,20))),"")))</f>
        <v/>
      </c>
      <c r="E570">
        <f>IF($A570="","",IF(OR($B570="",$C570="",$D570="",$B570&lt;1300,$B570&gt;1500,$C570&lt;1,$C570&gt;12,$D570&lt;1,$D570&gt;31),"نامعتبر",RIGHT("0000"&amp;$B570,4)&amp;"/"&amp;RIGHT("00"&amp;$C570,2)&amp;"/"&amp;RIGHT("00"&amp;$D570,2)))</f>
        <v/>
      </c>
      <c r="F570">
        <f>IF(Entry!$D570&lt;&gt;"",IF(AND(ISNUMBER(Entry!$D570),Entry!$D570&gt;=0,Entry!$D570&lt;1),RIGHT("00"&amp;HOUR(Entry!$D570),2)&amp;":"&amp;RIGHT("00"&amp;MINUTE(Entry!$D570),2),IFERROR(RIGHT("00"&amp;VALUE(TRIM(LEFT(Entry!$D570,FIND(":",Entry!$D570)-1))),2)&amp;":"&amp;RIGHT("00"&amp;VALUE(TRIM(MID(Entry!$D570,FIND(":",Entry!$D570)+1,2))),2),"نامعتبر")),IF(OR($E570="",$E570="نامعتبر"),"","00:00"))</f>
        <v/>
      </c>
      <c r="G570">
        <f>IF(OR($E570="",$E570="نامعتبر"),"",IF(Entry!$E570="","",LEFT(UPPER(TRIM(Entry!$E570)),6)))</f>
        <v/>
      </c>
      <c r="H570">
        <f>IF($G570="","",RIGHT($E570,4)&amp;MID($E570,6,2)&amp;RIGHT($E570,2)&amp;IF($F570="","0000",IF($F570="نامعتبر","9999",LEFT($F570,2)&amp;RIGHT($F570,2)))&amp;"|"&amp;RIGHT("00000"&amp;562,5))</f>
        <v/>
      </c>
      <c r="I570">
        <f>IF($H570="","",COUNTIFS(CalcBank,$G570,CalcKey,"&lt;"&amp;$H570)+1)</f>
        <v/>
      </c>
      <c r="J570">
        <f>IF($I570="","",$G570&amp;"|"&amp;RIGHT("000000"&amp;$I570,6))</f>
        <v/>
      </c>
      <c r="K570">
        <f>IF(OR($E570="",$E570="نامعتبر"),"",LEFT($E570,4)&amp;"/"&amp;MID($E570,6,2))</f>
        <v/>
      </c>
      <c r="L570">
        <f>IF(Entry!$K570="",0,Entry!$K570)</f>
        <v/>
      </c>
      <c r="M570">
        <f>IF(Entry!$L570="",0,Entry!$L570)</f>
        <v/>
      </c>
    </row>
    <row r="571">
      <c r="A571">
        <f>IF(Entry!$C571="","",Entry!$C571)</f>
        <v/>
      </c>
      <c r="B571">
        <f>IF($A571="","",IF(ISNUMBER($A571),IF(AND($A571&gt;=10000101,$A571&lt;=99991231),INT($A571/10000),""),IFERROR(VALUE(TRIM(LEFT($A571,FIND("/",$A571)-1))),"")))</f>
        <v/>
      </c>
      <c r="C571">
        <f>IF(OR($A571="",$B571=""),"",IF(ISNUMBER($A571),INT(MOD($A571,10000)/100),IFERROR(VALUE(TRIM(LEFT(MID($A571,FIND("/",$A571)+1,20),FIND("/",MID($A571,FIND("/",$A571)+1,20))-1))),"")))</f>
        <v/>
      </c>
      <c r="D571">
        <f>IF(OR($A571="",$B571=""),"",IF(ISNUMBER($A571),MOD($A571,100),IFERROR(VALUE(TRIM(MID(MID($A571,FIND("/",$A571)+1,20),FIND("/",MID($A571,FIND("/",$A571)+1,20))+1,20))),"")))</f>
        <v/>
      </c>
      <c r="E571">
        <f>IF($A571="","",IF(OR($B571="",$C571="",$D571="",$B571&lt;1300,$B571&gt;1500,$C571&lt;1,$C571&gt;12,$D571&lt;1,$D571&gt;31),"نامعتبر",RIGHT("0000"&amp;$B571,4)&amp;"/"&amp;RIGHT("00"&amp;$C571,2)&amp;"/"&amp;RIGHT("00"&amp;$D571,2)))</f>
        <v/>
      </c>
      <c r="F571">
        <f>IF(Entry!$D571&lt;&gt;"",IF(AND(ISNUMBER(Entry!$D571),Entry!$D571&gt;=0,Entry!$D571&lt;1),RIGHT("00"&amp;HOUR(Entry!$D571),2)&amp;":"&amp;RIGHT("00"&amp;MINUTE(Entry!$D571),2),IFERROR(RIGHT("00"&amp;VALUE(TRIM(LEFT(Entry!$D571,FIND(":",Entry!$D571)-1))),2)&amp;":"&amp;RIGHT("00"&amp;VALUE(TRIM(MID(Entry!$D571,FIND(":",Entry!$D571)+1,2))),2),"نامعتبر")),IF(OR($E571="",$E571="نامعتبر"),"","00:00"))</f>
        <v/>
      </c>
      <c r="G571">
        <f>IF(OR($E571="",$E571="نامعتبر"),"",IF(Entry!$E571="","",LEFT(UPPER(TRIM(Entry!$E571)),6)))</f>
        <v/>
      </c>
      <c r="H571">
        <f>IF($G571="","",RIGHT($E571,4)&amp;MID($E571,6,2)&amp;RIGHT($E571,2)&amp;IF($F571="","0000",IF($F571="نامعتبر","9999",LEFT($F571,2)&amp;RIGHT($F571,2)))&amp;"|"&amp;RIGHT("00000"&amp;563,5))</f>
        <v/>
      </c>
      <c r="I571">
        <f>IF($H571="","",COUNTIFS(CalcBank,$G571,CalcKey,"&lt;"&amp;$H571)+1)</f>
        <v/>
      </c>
      <c r="J571">
        <f>IF($I571="","",$G571&amp;"|"&amp;RIGHT("000000"&amp;$I571,6))</f>
        <v/>
      </c>
      <c r="K571">
        <f>IF(OR($E571="",$E571="نامعتبر"),"",LEFT($E571,4)&amp;"/"&amp;MID($E571,6,2))</f>
        <v/>
      </c>
      <c r="L571">
        <f>IF(Entry!$K571="",0,Entry!$K571)</f>
        <v/>
      </c>
      <c r="M571">
        <f>IF(Entry!$L571="",0,Entry!$L571)</f>
        <v/>
      </c>
    </row>
    <row r="572">
      <c r="A572">
        <f>IF(Entry!$C572="","",Entry!$C572)</f>
        <v/>
      </c>
      <c r="B572">
        <f>IF($A572="","",IF(ISNUMBER($A572),IF(AND($A572&gt;=10000101,$A572&lt;=99991231),INT($A572/10000),""),IFERROR(VALUE(TRIM(LEFT($A572,FIND("/",$A572)-1))),"")))</f>
        <v/>
      </c>
      <c r="C572">
        <f>IF(OR($A572="",$B572=""),"",IF(ISNUMBER($A572),INT(MOD($A572,10000)/100),IFERROR(VALUE(TRIM(LEFT(MID($A572,FIND("/",$A572)+1,20),FIND("/",MID($A572,FIND("/",$A572)+1,20))-1))),"")))</f>
        <v/>
      </c>
      <c r="D572">
        <f>IF(OR($A572="",$B572=""),"",IF(ISNUMBER($A572),MOD($A572,100),IFERROR(VALUE(TRIM(MID(MID($A572,FIND("/",$A572)+1,20),FIND("/",MID($A572,FIND("/",$A572)+1,20))+1,20))),"")))</f>
        <v/>
      </c>
      <c r="E572">
        <f>IF($A572="","",IF(OR($B572="",$C572="",$D572="",$B572&lt;1300,$B572&gt;1500,$C572&lt;1,$C572&gt;12,$D572&lt;1,$D572&gt;31),"نامعتبر",RIGHT("0000"&amp;$B572,4)&amp;"/"&amp;RIGHT("00"&amp;$C572,2)&amp;"/"&amp;RIGHT("00"&amp;$D572,2)))</f>
        <v/>
      </c>
      <c r="F572">
        <f>IF(Entry!$D572&lt;&gt;"",IF(AND(ISNUMBER(Entry!$D572),Entry!$D572&gt;=0,Entry!$D572&lt;1),RIGHT("00"&amp;HOUR(Entry!$D572),2)&amp;":"&amp;RIGHT("00"&amp;MINUTE(Entry!$D572),2),IFERROR(RIGHT("00"&amp;VALUE(TRIM(LEFT(Entry!$D572,FIND(":",Entry!$D572)-1))),2)&amp;":"&amp;RIGHT("00"&amp;VALUE(TRIM(MID(Entry!$D572,FIND(":",Entry!$D572)+1,2))),2),"نامعتبر")),IF(OR($E572="",$E572="نامعتبر"),"","00:00"))</f>
        <v/>
      </c>
      <c r="G572">
        <f>IF(OR($E572="",$E572="نامعتبر"),"",IF(Entry!$E572="","",LEFT(UPPER(TRIM(Entry!$E572)),6)))</f>
        <v/>
      </c>
      <c r="H572">
        <f>IF($G572="","",RIGHT($E572,4)&amp;MID($E572,6,2)&amp;RIGHT($E572,2)&amp;IF($F572="","0000",IF($F572="نامعتبر","9999",LEFT($F572,2)&amp;RIGHT($F572,2)))&amp;"|"&amp;RIGHT("00000"&amp;564,5))</f>
        <v/>
      </c>
      <c r="I572">
        <f>IF($H572="","",COUNTIFS(CalcBank,$G572,CalcKey,"&lt;"&amp;$H572)+1)</f>
        <v/>
      </c>
      <c r="J572">
        <f>IF($I572="","",$G572&amp;"|"&amp;RIGHT("000000"&amp;$I572,6))</f>
        <v/>
      </c>
      <c r="K572">
        <f>IF(OR($E572="",$E572="نامعتبر"),"",LEFT($E572,4)&amp;"/"&amp;MID($E572,6,2))</f>
        <v/>
      </c>
      <c r="L572">
        <f>IF(Entry!$K572="",0,Entry!$K572)</f>
        <v/>
      </c>
      <c r="M572">
        <f>IF(Entry!$L572="",0,Entry!$L572)</f>
        <v/>
      </c>
    </row>
    <row r="573">
      <c r="A573">
        <f>IF(Entry!$C573="","",Entry!$C573)</f>
        <v/>
      </c>
      <c r="B573">
        <f>IF($A573="","",IF(ISNUMBER($A573),IF(AND($A573&gt;=10000101,$A573&lt;=99991231),INT($A573/10000),""),IFERROR(VALUE(TRIM(LEFT($A573,FIND("/",$A573)-1))),"")))</f>
        <v/>
      </c>
      <c r="C573">
        <f>IF(OR($A573="",$B573=""),"",IF(ISNUMBER($A573),INT(MOD($A573,10000)/100),IFERROR(VALUE(TRIM(LEFT(MID($A573,FIND("/",$A573)+1,20),FIND("/",MID($A573,FIND("/",$A573)+1,20))-1))),"")))</f>
        <v/>
      </c>
      <c r="D573">
        <f>IF(OR($A573="",$B573=""),"",IF(ISNUMBER($A573),MOD($A573,100),IFERROR(VALUE(TRIM(MID(MID($A573,FIND("/",$A573)+1,20),FIND("/",MID($A573,FIND("/",$A573)+1,20))+1,20))),"")))</f>
        <v/>
      </c>
      <c r="E573">
        <f>IF($A573="","",IF(OR($B573="",$C573="",$D573="",$B573&lt;1300,$B573&gt;1500,$C573&lt;1,$C573&gt;12,$D573&lt;1,$D573&gt;31),"نامعتبر",RIGHT("0000"&amp;$B573,4)&amp;"/"&amp;RIGHT("00"&amp;$C573,2)&amp;"/"&amp;RIGHT("00"&amp;$D573,2)))</f>
        <v/>
      </c>
      <c r="F573">
        <f>IF(Entry!$D573&lt;&gt;"",IF(AND(ISNUMBER(Entry!$D573),Entry!$D573&gt;=0,Entry!$D573&lt;1),RIGHT("00"&amp;HOUR(Entry!$D573),2)&amp;":"&amp;RIGHT("00"&amp;MINUTE(Entry!$D573),2),IFERROR(RIGHT("00"&amp;VALUE(TRIM(LEFT(Entry!$D573,FIND(":",Entry!$D573)-1))),2)&amp;":"&amp;RIGHT("00"&amp;VALUE(TRIM(MID(Entry!$D573,FIND(":",Entry!$D573)+1,2))),2),"نامعتبر")),IF(OR($E573="",$E573="نامعتبر"),"","00:00"))</f>
        <v/>
      </c>
      <c r="G573">
        <f>IF(OR($E573="",$E573="نامعتبر"),"",IF(Entry!$E573="","",LEFT(UPPER(TRIM(Entry!$E573)),6)))</f>
        <v/>
      </c>
      <c r="H573">
        <f>IF($G573="","",RIGHT($E573,4)&amp;MID($E573,6,2)&amp;RIGHT($E573,2)&amp;IF($F573="","0000",IF($F573="نامعتبر","9999",LEFT($F573,2)&amp;RIGHT($F573,2)))&amp;"|"&amp;RIGHT("00000"&amp;565,5))</f>
        <v/>
      </c>
      <c r="I573">
        <f>IF($H573="","",COUNTIFS(CalcBank,$G573,CalcKey,"&lt;"&amp;$H573)+1)</f>
        <v/>
      </c>
      <c r="J573">
        <f>IF($I573="","",$G573&amp;"|"&amp;RIGHT("000000"&amp;$I573,6))</f>
        <v/>
      </c>
      <c r="K573">
        <f>IF(OR($E573="",$E573="نامعتبر"),"",LEFT($E573,4)&amp;"/"&amp;MID($E573,6,2))</f>
        <v/>
      </c>
      <c r="L573">
        <f>IF(Entry!$K573="",0,Entry!$K573)</f>
        <v/>
      </c>
      <c r="M573">
        <f>IF(Entry!$L573="",0,Entry!$L573)</f>
        <v/>
      </c>
    </row>
    <row r="574">
      <c r="A574">
        <f>IF(Entry!$C574="","",Entry!$C574)</f>
        <v/>
      </c>
      <c r="B574">
        <f>IF($A574="","",IF(ISNUMBER($A574),IF(AND($A574&gt;=10000101,$A574&lt;=99991231),INT($A574/10000),""),IFERROR(VALUE(TRIM(LEFT($A574,FIND("/",$A574)-1))),"")))</f>
        <v/>
      </c>
      <c r="C574">
        <f>IF(OR($A574="",$B574=""),"",IF(ISNUMBER($A574),INT(MOD($A574,10000)/100),IFERROR(VALUE(TRIM(LEFT(MID($A574,FIND("/",$A574)+1,20),FIND("/",MID($A574,FIND("/",$A574)+1,20))-1))),"")))</f>
        <v/>
      </c>
      <c r="D574">
        <f>IF(OR($A574="",$B574=""),"",IF(ISNUMBER($A574),MOD($A574,100),IFERROR(VALUE(TRIM(MID(MID($A574,FIND("/",$A574)+1,20),FIND("/",MID($A574,FIND("/",$A574)+1,20))+1,20))),"")))</f>
        <v/>
      </c>
      <c r="E574">
        <f>IF($A574="","",IF(OR($B574="",$C574="",$D574="",$B574&lt;1300,$B574&gt;1500,$C574&lt;1,$C574&gt;12,$D574&lt;1,$D574&gt;31),"نامعتبر",RIGHT("0000"&amp;$B574,4)&amp;"/"&amp;RIGHT("00"&amp;$C574,2)&amp;"/"&amp;RIGHT("00"&amp;$D574,2)))</f>
        <v/>
      </c>
      <c r="F574">
        <f>IF(Entry!$D574&lt;&gt;"",IF(AND(ISNUMBER(Entry!$D574),Entry!$D574&gt;=0,Entry!$D574&lt;1),RIGHT("00"&amp;HOUR(Entry!$D574),2)&amp;":"&amp;RIGHT("00"&amp;MINUTE(Entry!$D574),2),IFERROR(RIGHT("00"&amp;VALUE(TRIM(LEFT(Entry!$D574,FIND(":",Entry!$D574)-1))),2)&amp;":"&amp;RIGHT("00"&amp;VALUE(TRIM(MID(Entry!$D574,FIND(":",Entry!$D574)+1,2))),2),"نامعتبر")),IF(OR($E574="",$E574="نامعتبر"),"","00:00"))</f>
        <v/>
      </c>
      <c r="G574">
        <f>IF(OR($E574="",$E574="نامعتبر"),"",IF(Entry!$E574="","",LEFT(UPPER(TRIM(Entry!$E574)),6)))</f>
        <v/>
      </c>
      <c r="H574">
        <f>IF($G574="","",RIGHT($E574,4)&amp;MID($E574,6,2)&amp;RIGHT($E574,2)&amp;IF($F574="","0000",IF($F574="نامعتبر","9999",LEFT($F574,2)&amp;RIGHT($F574,2)))&amp;"|"&amp;RIGHT("00000"&amp;566,5))</f>
        <v/>
      </c>
      <c r="I574">
        <f>IF($H574="","",COUNTIFS(CalcBank,$G574,CalcKey,"&lt;"&amp;$H574)+1)</f>
        <v/>
      </c>
      <c r="J574">
        <f>IF($I574="","",$G574&amp;"|"&amp;RIGHT("000000"&amp;$I574,6))</f>
        <v/>
      </c>
      <c r="K574">
        <f>IF(OR($E574="",$E574="نامعتبر"),"",LEFT($E574,4)&amp;"/"&amp;MID($E574,6,2))</f>
        <v/>
      </c>
      <c r="L574">
        <f>IF(Entry!$K574="",0,Entry!$K574)</f>
        <v/>
      </c>
      <c r="M574">
        <f>IF(Entry!$L574="",0,Entry!$L574)</f>
        <v/>
      </c>
    </row>
    <row r="575">
      <c r="A575">
        <f>IF(Entry!$C575="","",Entry!$C575)</f>
        <v/>
      </c>
      <c r="B575">
        <f>IF($A575="","",IF(ISNUMBER($A575),IF(AND($A575&gt;=10000101,$A575&lt;=99991231),INT($A575/10000),""),IFERROR(VALUE(TRIM(LEFT($A575,FIND("/",$A575)-1))),"")))</f>
        <v/>
      </c>
      <c r="C575">
        <f>IF(OR($A575="",$B575=""),"",IF(ISNUMBER($A575),INT(MOD($A575,10000)/100),IFERROR(VALUE(TRIM(LEFT(MID($A575,FIND("/",$A575)+1,20),FIND("/",MID($A575,FIND("/",$A575)+1,20))-1))),"")))</f>
        <v/>
      </c>
      <c r="D575">
        <f>IF(OR($A575="",$B575=""),"",IF(ISNUMBER($A575),MOD($A575,100),IFERROR(VALUE(TRIM(MID(MID($A575,FIND("/",$A575)+1,20),FIND("/",MID($A575,FIND("/",$A575)+1,20))+1,20))),"")))</f>
        <v/>
      </c>
      <c r="E575">
        <f>IF($A575="","",IF(OR($B575="",$C575="",$D575="",$B575&lt;1300,$B575&gt;1500,$C575&lt;1,$C575&gt;12,$D575&lt;1,$D575&gt;31),"نامعتبر",RIGHT("0000"&amp;$B575,4)&amp;"/"&amp;RIGHT("00"&amp;$C575,2)&amp;"/"&amp;RIGHT("00"&amp;$D575,2)))</f>
        <v/>
      </c>
      <c r="F575">
        <f>IF(Entry!$D575&lt;&gt;"",IF(AND(ISNUMBER(Entry!$D575),Entry!$D575&gt;=0,Entry!$D575&lt;1),RIGHT("00"&amp;HOUR(Entry!$D575),2)&amp;":"&amp;RIGHT("00"&amp;MINUTE(Entry!$D575),2),IFERROR(RIGHT("00"&amp;VALUE(TRIM(LEFT(Entry!$D575,FIND(":",Entry!$D575)-1))),2)&amp;":"&amp;RIGHT("00"&amp;VALUE(TRIM(MID(Entry!$D575,FIND(":",Entry!$D575)+1,2))),2),"نامعتبر")),IF(OR($E575="",$E575="نامعتبر"),"","00:00"))</f>
        <v/>
      </c>
      <c r="G575">
        <f>IF(OR($E575="",$E575="نامعتبر"),"",IF(Entry!$E575="","",LEFT(UPPER(TRIM(Entry!$E575)),6)))</f>
        <v/>
      </c>
      <c r="H575">
        <f>IF($G575="","",RIGHT($E575,4)&amp;MID($E575,6,2)&amp;RIGHT($E575,2)&amp;IF($F575="","0000",IF($F575="نامعتبر","9999",LEFT($F575,2)&amp;RIGHT($F575,2)))&amp;"|"&amp;RIGHT("00000"&amp;567,5))</f>
        <v/>
      </c>
      <c r="I575">
        <f>IF($H575="","",COUNTIFS(CalcBank,$G575,CalcKey,"&lt;"&amp;$H575)+1)</f>
        <v/>
      </c>
      <c r="J575">
        <f>IF($I575="","",$G575&amp;"|"&amp;RIGHT("000000"&amp;$I575,6))</f>
        <v/>
      </c>
      <c r="K575">
        <f>IF(OR($E575="",$E575="نامعتبر"),"",LEFT($E575,4)&amp;"/"&amp;MID($E575,6,2))</f>
        <v/>
      </c>
      <c r="L575">
        <f>IF(Entry!$K575="",0,Entry!$K575)</f>
        <v/>
      </c>
      <c r="M575">
        <f>IF(Entry!$L575="",0,Entry!$L575)</f>
        <v/>
      </c>
    </row>
    <row r="576">
      <c r="A576">
        <f>IF(Entry!$C576="","",Entry!$C576)</f>
        <v/>
      </c>
      <c r="B576">
        <f>IF($A576="","",IF(ISNUMBER($A576),IF(AND($A576&gt;=10000101,$A576&lt;=99991231),INT($A576/10000),""),IFERROR(VALUE(TRIM(LEFT($A576,FIND("/",$A576)-1))),"")))</f>
        <v/>
      </c>
      <c r="C576">
        <f>IF(OR($A576="",$B576=""),"",IF(ISNUMBER($A576),INT(MOD($A576,10000)/100),IFERROR(VALUE(TRIM(LEFT(MID($A576,FIND("/",$A576)+1,20),FIND("/",MID($A576,FIND("/",$A576)+1,20))-1))),"")))</f>
        <v/>
      </c>
      <c r="D576">
        <f>IF(OR($A576="",$B576=""),"",IF(ISNUMBER($A576),MOD($A576,100),IFERROR(VALUE(TRIM(MID(MID($A576,FIND("/",$A576)+1,20),FIND("/",MID($A576,FIND("/",$A576)+1,20))+1,20))),"")))</f>
        <v/>
      </c>
      <c r="E576">
        <f>IF($A576="","",IF(OR($B576="",$C576="",$D576="",$B576&lt;1300,$B576&gt;1500,$C576&lt;1,$C576&gt;12,$D576&lt;1,$D576&gt;31),"نامعتبر",RIGHT("0000"&amp;$B576,4)&amp;"/"&amp;RIGHT("00"&amp;$C576,2)&amp;"/"&amp;RIGHT("00"&amp;$D576,2)))</f>
        <v/>
      </c>
      <c r="F576">
        <f>IF(Entry!$D576&lt;&gt;"",IF(AND(ISNUMBER(Entry!$D576),Entry!$D576&gt;=0,Entry!$D576&lt;1),RIGHT("00"&amp;HOUR(Entry!$D576),2)&amp;":"&amp;RIGHT("00"&amp;MINUTE(Entry!$D576),2),IFERROR(RIGHT("00"&amp;VALUE(TRIM(LEFT(Entry!$D576,FIND(":",Entry!$D576)-1))),2)&amp;":"&amp;RIGHT("00"&amp;VALUE(TRIM(MID(Entry!$D576,FIND(":",Entry!$D576)+1,2))),2),"نامعتبر")),IF(OR($E576="",$E576="نامعتبر"),"","00:00"))</f>
        <v/>
      </c>
      <c r="G576">
        <f>IF(OR($E576="",$E576="نامعتبر"),"",IF(Entry!$E576="","",LEFT(UPPER(TRIM(Entry!$E576)),6)))</f>
        <v/>
      </c>
      <c r="H576">
        <f>IF($G576="","",RIGHT($E576,4)&amp;MID($E576,6,2)&amp;RIGHT($E576,2)&amp;IF($F576="","0000",IF($F576="نامعتبر","9999",LEFT($F576,2)&amp;RIGHT($F576,2)))&amp;"|"&amp;RIGHT("00000"&amp;568,5))</f>
        <v/>
      </c>
      <c r="I576">
        <f>IF($H576="","",COUNTIFS(CalcBank,$G576,CalcKey,"&lt;"&amp;$H576)+1)</f>
        <v/>
      </c>
      <c r="J576">
        <f>IF($I576="","",$G576&amp;"|"&amp;RIGHT("000000"&amp;$I576,6))</f>
        <v/>
      </c>
      <c r="K576">
        <f>IF(OR($E576="",$E576="نامعتبر"),"",LEFT($E576,4)&amp;"/"&amp;MID($E576,6,2))</f>
        <v/>
      </c>
      <c r="L576">
        <f>IF(Entry!$K576="",0,Entry!$K576)</f>
        <v/>
      </c>
      <c r="M576">
        <f>IF(Entry!$L576="",0,Entry!$L576)</f>
        <v/>
      </c>
    </row>
    <row r="577">
      <c r="A577">
        <f>IF(Entry!$C577="","",Entry!$C577)</f>
        <v/>
      </c>
      <c r="B577">
        <f>IF($A577="","",IF(ISNUMBER($A577),IF(AND($A577&gt;=10000101,$A577&lt;=99991231),INT($A577/10000),""),IFERROR(VALUE(TRIM(LEFT($A577,FIND("/",$A577)-1))),"")))</f>
        <v/>
      </c>
      <c r="C577">
        <f>IF(OR($A577="",$B577=""),"",IF(ISNUMBER($A577),INT(MOD($A577,10000)/100),IFERROR(VALUE(TRIM(LEFT(MID($A577,FIND("/",$A577)+1,20),FIND("/",MID($A577,FIND("/",$A577)+1,20))-1))),"")))</f>
        <v/>
      </c>
      <c r="D577">
        <f>IF(OR($A577="",$B577=""),"",IF(ISNUMBER($A577),MOD($A577,100),IFERROR(VALUE(TRIM(MID(MID($A577,FIND("/",$A577)+1,20),FIND("/",MID($A577,FIND("/",$A577)+1,20))+1,20))),"")))</f>
        <v/>
      </c>
      <c r="E577">
        <f>IF($A577="","",IF(OR($B577="",$C577="",$D577="",$B577&lt;1300,$B577&gt;1500,$C577&lt;1,$C577&gt;12,$D577&lt;1,$D577&gt;31),"نامعتبر",RIGHT("0000"&amp;$B577,4)&amp;"/"&amp;RIGHT("00"&amp;$C577,2)&amp;"/"&amp;RIGHT("00"&amp;$D577,2)))</f>
        <v/>
      </c>
      <c r="F577">
        <f>IF(Entry!$D577&lt;&gt;"",IF(AND(ISNUMBER(Entry!$D577),Entry!$D577&gt;=0,Entry!$D577&lt;1),RIGHT("00"&amp;HOUR(Entry!$D577),2)&amp;":"&amp;RIGHT("00"&amp;MINUTE(Entry!$D577),2),IFERROR(RIGHT("00"&amp;VALUE(TRIM(LEFT(Entry!$D577,FIND(":",Entry!$D577)-1))),2)&amp;":"&amp;RIGHT("00"&amp;VALUE(TRIM(MID(Entry!$D577,FIND(":",Entry!$D577)+1,2))),2),"نامعتبر")),IF(OR($E577="",$E577="نامعتبر"),"","00:00"))</f>
        <v/>
      </c>
      <c r="G577">
        <f>IF(OR($E577="",$E577="نامعتبر"),"",IF(Entry!$E577="","",LEFT(UPPER(TRIM(Entry!$E577)),6)))</f>
        <v/>
      </c>
      <c r="H577">
        <f>IF($G577="","",RIGHT($E577,4)&amp;MID($E577,6,2)&amp;RIGHT($E577,2)&amp;IF($F577="","0000",IF($F577="نامعتبر","9999",LEFT($F577,2)&amp;RIGHT($F577,2)))&amp;"|"&amp;RIGHT("00000"&amp;569,5))</f>
        <v/>
      </c>
      <c r="I577">
        <f>IF($H577="","",COUNTIFS(CalcBank,$G577,CalcKey,"&lt;"&amp;$H577)+1)</f>
        <v/>
      </c>
      <c r="J577">
        <f>IF($I577="","",$G577&amp;"|"&amp;RIGHT("000000"&amp;$I577,6))</f>
        <v/>
      </c>
      <c r="K577">
        <f>IF(OR($E577="",$E577="نامعتبر"),"",LEFT($E577,4)&amp;"/"&amp;MID($E577,6,2))</f>
        <v/>
      </c>
      <c r="L577">
        <f>IF(Entry!$K577="",0,Entry!$K577)</f>
        <v/>
      </c>
      <c r="M577">
        <f>IF(Entry!$L577="",0,Entry!$L577)</f>
        <v/>
      </c>
    </row>
    <row r="578">
      <c r="A578">
        <f>IF(Entry!$C578="","",Entry!$C578)</f>
        <v/>
      </c>
      <c r="B578">
        <f>IF($A578="","",IF(ISNUMBER($A578),IF(AND($A578&gt;=10000101,$A578&lt;=99991231),INT($A578/10000),""),IFERROR(VALUE(TRIM(LEFT($A578,FIND("/",$A578)-1))),"")))</f>
        <v/>
      </c>
      <c r="C578">
        <f>IF(OR($A578="",$B578=""),"",IF(ISNUMBER($A578),INT(MOD($A578,10000)/100),IFERROR(VALUE(TRIM(LEFT(MID($A578,FIND("/",$A578)+1,20),FIND("/",MID($A578,FIND("/",$A578)+1,20))-1))),"")))</f>
        <v/>
      </c>
      <c r="D578">
        <f>IF(OR($A578="",$B578=""),"",IF(ISNUMBER($A578),MOD($A578,100),IFERROR(VALUE(TRIM(MID(MID($A578,FIND("/",$A578)+1,20),FIND("/",MID($A578,FIND("/",$A578)+1,20))+1,20))),"")))</f>
        <v/>
      </c>
      <c r="E578">
        <f>IF($A578="","",IF(OR($B578="",$C578="",$D578="",$B578&lt;1300,$B578&gt;1500,$C578&lt;1,$C578&gt;12,$D578&lt;1,$D578&gt;31),"نامعتبر",RIGHT("0000"&amp;$B578,4)&amp;"/"&amp;RIGHT("00"&amp;$C578,2)&amp;"/"&amp;RIGHT("00"&amp;$D578,2)))</f>
        <v/>
      </c>
      <c r="F578">
        <f>IF(Entry!$D578&lt;&gt;"",IF(AND(ISNUMBER(Entry!$D578),Entry!$D578&gt;=0,Entry!$D578&lt;1),RIGHT("00"&amp;HOUR(Entry!$D578),2)&amp;":"&amp;RIGHT("00"&amp;MINUTE(Entry!$D578),2),IFERROR(RIGHT("00"&amp;VALUE(TRIM(LEFT(Entry!$D578,FIND(":",Entry!$D578)-1))),2)&amp;":"&amp;RIGHT("00"&amp;VALUE(TRIM(MID(Entry!$D578,FIND(":",Entry!$D578)+1,2))),2),"نامعتبر")),IF(OR($E578="",$E578="نامعتبر"),"","00:00"))</f>
        <v/>
      </c>
      <c r="G578">
        <f>IF(OR($E578="",$E578="نامعتبر"),"",IF(Entry!$E578="","",LEFT(UPPER(TRIM(Entry!$E578)),6)))</f>
        <v/>
      </c>
      <c r="H578">
        <f>IF($G578="","",RIGHT($E578,4)&amp;MID($E578,6,2)&amp;RIGHT($E578,2)&amp;IF($F578="","0000",IF($F578="نامعتبر","9999",LEFT($F578,2)&amp;RIGHT($F578,2)))&amp;"|"&amp;RIGHT("00000"&amp;570,5))</f>
        <v/>
      </c>
      <c r="I578">
        <f>IF($H578="","",COUNTIFS(CalcBank,$G578,CalcKey,"&lt;"&amp;$H578)+1)</f>
        <v/>
      </c>
      <c r="J578">
        <f>IF($I578="","",$G578&amp;"|"&amp;RIGHT("000000"&amp;$I578,6))</f>
        <v/>
      </c>
      <c r="K578">
        <f>IF(OR($E578="",$E578="نامعتبر"),"",LEFT($E578,4)&amp;"/"&amp;MID($E578,6,2))</f>
        <v/>
      </c>
      <c r="L578">
        <f>IF(Entry!$K578="",0,Entry!$K578)</f>
        <v/>
      </c>
      <c r="M578">
        <f>IF(Entry!$L578="",0,Entry!$L578)</f>
        <v/>
      </c>
    </row>
    <row r="579">
      <c r="A579">
        <f>IF(Entry!$C579="","",Entry!$C579)</f>
        <v/>
      </c>
      <c r="B579">
        <f>IF($A579="","",IF(ISNUMBER($A579),IF(AND($A579&gt;=10000101,$A579&lt;=99991231),INT($A579/10000),""),IFERROR(VALUE(TRIM(LEFT($A579,FIND("/",$A579)-1))),"")))</f>
        <v/>
      </c>
      <c r="C579">
        <f>IF(OR($A579="",$B579=""),"",IF(ISNUMBER($A579),INT(MOD($A579,10000)/100),IFERROR(VALUE(TRIM(LEFT(MID($A579,FIND("/",$A579)+1,20),FIND("/",MID($A579,FIND("/",$A579)+1,20))-1))),"")))</f>
        <v/>
      </c>
      <c r="D579">
        <f>IF(OR($A579="",$B579=""),"",IF(ISNUMBER($A579),MOD($A579,100),IFERROR(VALUE(TRIM(MID(MID($A579,FIND("/",$A579)+1,20),FIND("/",MID($A579,FIND("/",$A579)+1,20))+1,20))),"")))</f>
        <v/>
      </c>
      <c r="E579">
        <f>IF($A579="","",IF(OR($B579="",$C579="",$D579="",$B579&lt;1300,$B579&gt;1500,$C579&lt;1,$C579&gt;12,$D579&lt;1,$D579&gt;31),"نامعتبر",RIGHT("0000"&amp;$B579,4)&amp;"/"&amp;RIGHT("00"&amp;$C579,2)&amp;"/"&amp;RIGHT("00"&amp;$D579,2)))</f>
        <v/>
      </c>
      <c r="F579">
        <f>IF(Entry!$D579&lt;&gt;"",IF(AND(ISNUMBER(Entry!$D579),Entry!$D579&gt;=0,Entry!$D579&lt;1),RIGHT("00"&amp;HOUR(Entry!$D579),2)&amp;":"&amp;RIGHT("00"&amp;MINUTE(Entry!$D579),2),IFERROR(RIGHT("00"&amp;VALUE(TRIM(LEFT(Entry!$D579,FIND(":",Entry!$D579)-1))),2)&amp;":"&amp;RIGHT("00"&amp;VALUE(TRIM(MID(Entry!$D579,FIND(":",Entry!$D579)+1,2))),2),"نامعتبر")),IF(OR($E579="",$E579="نامعتبر"),"","00:00"))</f>
        <v/>
      </c>
      <c r="G579">
        <f>IF(OR($E579="",$E579="نامعتبر"),"",IF(Entry!$E579="","",LEFT(UPPER(TRIM(Entry!$E579)),6)))</f>
        <v/>
      </c>
      <c r="H579">
        <f>IF($G579="","",RIGHT($E579,4)&amp;MID($E579,6,2)&amp;RIGHT($E579,2)&amp;IF($F579="","0000",IF($F579="نامعتبر","9999",LEFT($F579,2)&amp;RIGHT($F579,2)))&amp;"|"&amp;RIGHT("00000"&amp;571,5))</f>
        <v/>
      </c>
      <c r="I579">
        <f>IF($H579="","",COUNTIFS(CalcBank,$G579,CalcKey,"&lt;"&amp;$H579)+1)</f>
        <v/>
      </c>
      <c r="J579">
        <f>IF($I579="","",$G579&amp;"|"&amp;RIGHT("000000"&amp;$I579,6))</f>
        <v/>
      </c>
      <c r="K579">
        <f>IF(OR($E579="",$E579="نامعتبر"),"",LEFT($E579,4)&amp;"/"&amp;MID($E579,6,2))</f>
        <v/>
      </c>
      <c r="L579">
        <f>IF(Entry!$K579="",0,Entry!$K579)</f>
        <v/>
      </c>
      <c r="M579">
        <f>IF(Entry!$L579="",0,Entry!$L579)</f>
        <v/>
      </c>
    </row>
    <row r="580">
      <c r="A580">
        <f>IF(Entry!$C580="","",Entry!$C580)</f>
        <v/>
      </c>
      <c r="B580">
        <f>IF($A580="","",IF(ISNUMBER($A580),IF(AND($A580&gt;=10000101,$A580&lt;=99991231),INT($A580/10000),""),IFERROR(VALUE(TRIM(LEFT($A580,FIND("/",$A580)-1))),"")))</f>
        <v/>
      </c>
      <c r="C580">
        <f>IF(OR($A580="",$B580=""),"",IF(ISNUMBER($A580),INT(MOD($A580,10000)/100),IFERROR(VALUE(TRIM(LEFT(MID($A580,FIND("/",$A580)+1,20),FIND("/",MID($A580,FIND("/",$A580)+1,20))-1))),"")))</f>
        <v/>
      </c>
      <c r="D580">
        <f>IF(OR($A580="",$B580=""),"",IF(ISNUMBER($A580),MOD($A580,100),IFERROR(VALUE(TRIM(MID(MID($A580,FIND("/",$A580)+1,20),FIND("/",MID($A580,FIND("/",$A580)+1,20))+1,20))),"")))</f>
        <v/>
      </c>
      <c r="E580">
        <f>IF($A580="","",IF(OR($B580="",$C580="",$D580="",$B580&lt;1300,$B580&gt;1500,$C580&lt;1,$C580&gt;12,$D580&lt;1,$D580&gt;31),"نامعتبر",RIGHT("0000"&amp;$B580,4)&amp;"/"&amp;RIGHT("00"&amp;$C580,2)&amp;"/"&amp;RIGHT("00"&amp;$D580,2)))</f>
        <v/>
      </c>
      <c r="F580">
        <f>IF(Entry!$D580&lt;&gt;"",IF(AND(ISNUMBER(Entry!$D580),Entry!$D580&gt;=0,Entry!$D580&lt;1),RIGHT("00"&amp;HOUR(Entry!$D580),2)&amp;":"&amp;RIGHT("00"&amp;MINUTE(Entry!$D580),2),IFERROR(RIGHT("00"&amp;VALUE(TRIM(LEFT(Entry!$D580,FIND(":",Entry!$D580)-1))),2)&amp;":"&amp;RIGHT("00"&amp;VALUE(TRIM(MID(Entry!$D580,FIND(":",Entry!$D580)+1,2))),2),"نامعتبر")),IF(OR($E580="",$E580="نامعتبر"),"","00:00"))</f>
        <v/>
      </c>
      <c r="G580">
        <f>IF(OR($E580="",$E580="نامعتبر"),"",IF(Entry!$E580="","",LEFT(UPPER(TRIM(Entry!$E580)),6)))</f>
        <v/>
      </c>
      <c r="H580">
        <f>IF($G580="","",RIGHT($E580,4)&amp;MID($E580,6,2)&amp;RIGHT($E580,2)&amp;IF($F580="","0000",IF($F580="نامعتبر","9999",LEFT($F580,2)&amp;RIGHT($F580,2)))&amp;"|"&amp;RIGHT("00000"&amp;572,5))</f>
        <v/>
      </c>
      <c r="I580">
        <f>IF($H580="","",COUNTIFS(CalcBank,$G580,CalcKey,"&lt;"&amp;$H580)+1)</f>
        <v/>
      </c>
      <c r="J580">
        <f>IF($I580="","",$G580&amp;"|"&amp;RIGHT("000000"&amp;$I580,6))</f>
        <v/>
      </c>
      <c r="K580">
        <f>IF(OR($E580="",$E580="نامعتبر"),"",LEFT($E580,4)&amp;"/"&amp;MID($E580,6,2))</f>
        <v/>
      </c>
      <c r="L580">
        <f>IF(Entry!$K580="",0,Entry!$K580)</f>
        <v/>
      </c>
      <c r="M580">
        <f>IF(Entry!$L580="",0,Entry!$L580)</f>
        <v/>
      </c>
    </row>
    <row r="581">
      <c r="A581">
        <f>IF(Entry!$C581="","",Entry!$C581)</f>
        <v/>
      </c>
      <c r="B581">
        <f>IF($A581="","",IF(ISNUMBER($A581),IF(AND($A581&gt;=10000101,$A581&lt;=99991231),INT($A581/10000),""),IFERROR(VALUE(TRIM(LEFT($A581,FIND("/",$A581)-1))),"")))</f>
        <v/>
      </c>
      <c r="C581">
        <f>IF(OR($A581="",$B581=""),"",IF(ISNUMBER($A581),INT(MOD($A581,10000)/100),IFERROR(VALUE(TRIM(LEFT(MID($A581,FIND("/",$A581)+1,20),FIND("/",MID($A581,FIND("/",$A581)+1,20))-1))),"")))</f>
        <v/>
      </c>
      <c r="D581">
        <f>IF(OR($A581="",$B581=""),"",IF(ISNUMBER($A581),MOD($A581,100),IFERROR(VALUE(TRIM(MID(MID($A581,FIND("/",$A581)+1,20),FIND("/",MID($A581,FIND("/",$A581)+1,20))+1,20))),"")))</f>
        <v/>
      </c>
      <c r="E581">
        <f>IF($A581="","",IF(OR($B581="",$C581="",$D581="",$B581&lt;1300,$B581&gt;1500,$C581&lt;1,$C581&gt;12,$D581&lt;1,$D581&gt;31),"نامعتبر",RIGHT("0000"&amp;$B581,4)&amp;"/"&amp;RIGHT("00"&amp;$C581,2)&amp;"/"&amp;RIGHT("00"&amp;$D581,2)))</f>
        <v/>
      </c>
      <c r="F581">
        <f>IF(Entry!$D581&lt;&gt;"",IF(AND(ISNUMBER(Entry!$D581),Entry!$D581&gt;=0,Entry!$D581&lt;1),RIGHT("00"&amp;HOUR(Entry!$D581),2)&amp;":"&amp;RIGHT("00"&amp;MINUTE(Entry!$D581),2),IFERROR(RIGHT("00"&amp;VALUE(TRIM(LEFT(Entry!$D581,FIND(":",Entry!$D581)-1))),2)&amp;":"&amp;RIGHT("00"&amp;VALUE(TRIM(MID(Entry!$D581,FIND(":",Entry!$D581)+1,2))),2),"نامعتبر")),IF(OR($E581="",$E581="نامعتبر"),"","00:00"))</f>
        <v/>
      </c>
      <c r="G581">
        <f>IF(OR($E581="",$E581="نامعتبر"),"",IF(Entry!$E581="","",LEFT(UPPER(TRIM(Entry!$E581)),6)))</f>
        <v/>
      </c>
      <c r="H581">
        <f>IF($G581="","",RIGHT($E581,4)&amp;MID($E581,6,2)&amp;RIGHT($E581,2)&amp;IF($F581="","0000",IF($F581="نامعتبر","9999",LEFT($F581,2)&amp;RIGHT($F581,2)))&amp;"|"&amp;RIGHT("00000"&amp;573,5))</f>
        <v/>
      </c>
      <c r="I581">
        <f>IF($H581="","",COUNTIFS(CalcBank,$G581,CalcKey,"&lt;"&amp;$H581)+1)</f>
        <v/>
      </c>
      <c r="J581">
        <f>IF($I581="","",$G581&amp;"|"&amp;RIGHT("000000"&amp;$I581,6))</f>
        <v/>
      </c>
      <c r="K581">
        <f>IF(OR($E581="",$E581="نامعتبر"),"",LEFT($E581,4)&amp;"/"&amp;MID($E581,6,2))</f>
        <v/>
      </c>
      <c r="L581">
        <f>IF(Entry!$K581="",0,Entry!$K581)</f>
        <v/>
      </c>
      <c r="M581">
        <f>IF(Entry!$L581="",0,Entry!$L581)</f>
        <v/>
      </c>
    </row>
    <row r="582">
      <c r="A582">
        <f>IF(Entry!$C582="","",Entry!$C582)</f>
        <v/>
      </c>
      <c r="B582">
        <f>IF($A582="","",IF(ISNUMBER($A582),IF(AND($A582&gt;=10000101,$A582&lt;=99991231),INT($A582/10000),""),IFERROR(VALUE(TRIM(LEFT($A582,FIND("/",$A582)-1))),"")))</f>
        <v/>
      </c>
      <c r="C582">
        <f>IF(OR($A582="",$B582=""),"",IF(ISNUMBER($A582),INT(MOD($A582,10000)/100),IFERROR(VALUE(TRIM(LEFT(MID($A582,FIND("/",$A582)+1,20),FIND("/",MID($A582,FIND("/",$A582)+1,20))-1))),"")))</f>
        <v/>
      </c>
      <c r="D582">
        <f>IF(OR($A582="",$B582=""),"",IF(ISNUMBER($A582),MOD($A582,100),IFERROR(VALUE(TRIM(MID(MID($A582,FIND("/",$A582)+1,20),FIND("/",MID($A582,FIND("/",$A582)+1,20))+1,20))),"")))</f>
        <v/>
      </c>
      <c r="E582">
        <f>IF($A582="","",IF(OR($B582="",$C582="",$D582="",$B582&lt;1300,$B582&gt;1500,$C582&lt;1,$C582&gt;12,$D582&lt;1,$D582&gt;31),"نامعتبر",RIGHT("0000"&amp;$B582,4)&amp;"/"&amp;RIGHT("00"&amp;$C582,2)&amp;"/"&amp;RIGHT("00"&amp;$D582,2)))</f>
        <v/>
      </c>
      <c r="F582">
        <f>IF(Entry!$D582&lt;&gt;"",IF(AND(ISNUMBER(Entry!$D582),Entry!$D582&gt;=0,Entry!$D582&lt;1),RIGHT("00"&amp;HOUR(Entry!$D582),2)&amp;":"&amp;RIGHT("00"&amp;MINUTE(Entry!$D582),2),IFERROR(RIGHT("00"&amp;VALUE(TRIM(LEFT(Entry!$D582,FIND(":",Entry!$D582)-1))),2)&amp;":"&amp;RIGHT("00"&amp;VALUE(TRIM(MID(Entry!$D582,FIND(":",Entry!$D582)+1,2))),2),"نامعتبر")),IF(OR($E582="",$E582="نامعتبر"),"","00:00"))</f>
        <v/>
      </c>
      <c r="G582">
        <f>IF(OR($E582="",$E582="نامعتبر"),"",IF(Entry!$E582="","",LEFT(UPPER(TRIM(Entry!$E582)),6)))</f>
        <v/>
      </c>
      <c r="H582">
        <f>IF($G582="","",RIGHT($E582,4)&amp;MID($E582,6,2)&amp;RIGHT($E582,2)&amp;IF($F582="","0000",IF($F582="نامعتبر","9999",LEFT($F582,2)&amp;RIGHT($F582,2)))&amp;"|"&amp;RIGHT("00000"&amp;574,5))</f>
        <v/>
      </c>
      <c r="I582">
        <f>IF($H582="","",COUNTIFS(CalcBank,$G582,CalcKey,"&lt;"&amp;$H582)+1)</f>
        <v/>
      </c>
      <c r="J582">
        <f>IF($I582="","",$G582&amp;"|"&amp;RIGHT("000000"&amp;$I582,6))</f>
        <v/>
      </c>
      <c r="K582">
        <f>IF(OR($E582="",$E582="نامعتبر"),"",LEFT($E582,4)&amp;"/"&amp;MID($E582,6,2))</f>
        <v/>
      </c>
      <c r="L582">
        <f>IF(Entry!$K582="",0,Entry!$K582)</f>
        <v/>
      </c>
      <c r="M582">
        <f>IF(Entry!$L582="",0,Entry!$L582)</f>
        <v/>
      </c>
    </row>
    <row r="583">
      <c r="A583">
        <f>IF(Entry!$C583="","",Entry!$C583)</f>
        <v/>
      </c>
      <c r="B583">
        <f>IF($A583="","",IF(ISNUMBER($A583),IF(AND($A583&gt;=10000101,$A583&lt;=99991231),INT($A583/10000),""),IFERROR(VALUE(TRIM(LEFT($A583,FIND("/",$A583)-1))),"")))</f>
        <v/>
      </c>
      <c r="C583">
        <f>IF(OR($A583="",$B583=""),"",IF(ISNUMBER($A583),INT(MOD($A583,10000)/100),IFERROR(VALUE(TRIM(LEFT(MID($A583,FIND("/",$A583)+1,20),FIND("/",MID($A583,FIND("/",$A583)+1,20))-1))),"")))</f>
        <v/>
      </c>
      <c r="D583">
        <f>IF(OR($A583="",$B583=""),"",IF(ISNUMBER($A583),MOD($A583,100),IFERROR(VALUE(TRIM(MID(MID($A583,FIND("/",$A583)+1,20),FIND("/",MID($A583,FIND("/",$A583)+1,20))+1,20))),"")))</f>
        <v/>
      </c>
      <c r="E583">
        <f>IF($A583="","",IF(OR($B583="",$C583="",$D583="",$B583&lt;1300,$B583&gt;1500,$C583&lt;1,$C583&gt;12,$D583&lt;1,$D583&gt;31),"نامعتبر",RIGHT("0000"&amp;$B583,4)&amp;"/"&amp;RIGHT("00"&amp;$C583,2)&amp;"/"&amp;RIGHT("00"&amp;$D583,2)))</f>
        <v/>
      </c>
      <c r="F583">
        <f>IF(Entry!$D583&lt;&gt;"",IF(AND(ISNUMBER(Entry!$D583),Entry!$D583&gt;=0,Entry!$D583&lt;1),RIGHT("00"&amp;HOUR(Entry!$D583),2)&amp;":"&amp;RIGHT("00"&amp;MINUTE(Entry!$D583),2),IFERROR(RIGHT("00"&amp;VALUE(TRIM(LEFT(Entry!$D583,FIND(":",Entry!$D583)-1))),2)&amp;":"&amp;RIGHT("00"&amp;VALUE(TRIM(MID(Entry!$D583,FIND(":",Entry!$D583)+1,2))),2),"نامعتبر")),IF(OR($E583="",$E583="نامعتبر"),"","00:00"))</f>
        <v/>
      </c>
      <c r="G583">
        <f>IF(OR($E583="",$E583="نامعتبر"),"",IF(Entry!$E583="","",LEFT(UPPER(TRIM(Entry!$E583)),6)))</f>
        <v/>
      </c>
      <c r="H583">
        <f>IF($G583="","",RIGHT($E583,4)&amp;MID($E583,6,2)&amp;RIGHT($E583,2)&amp;IF($F583="","0000",IF($F583="نامعتبر","9999",LEFT($F583,2)&amp;RIGHT($F583,2)))&amp;"|"&amp;RIGHT("00000"&amp;575,5))</f>
        <v/>
      </c>
      <c r="I583">
        <f>IF($H583="","",COUNTIFS(CalcBank,$G583,CalcKey,"&lt;"&amp;$H583)+1)</f>
        <v/>
      </c>
      <c r="J583">
        <f>IF($I583="","",$G583&amp;"|"&amp;RIGHT("000000"&amp;$I583,6))</f>
        <v/>
      </c>
      <c r="K583">
        <f>IF(OR($E583="",$E583="نامعتبر"),"",LEFT($E583,4)&amp;"/"&amp;MID($E583,6,2))</f>
        <v/>
      </c>
      <c r="L583">
        <f>IF(Entry!$K583="",0,Entry!$K583)</f>
        <v/>
      </c>
      <c r="M583">
        <f>IF(Entry!$L583="",0,Entry!$L583)</f>
        <v/>
      </c>
    </row>
    <row r="584">
      <c r="A584">
        <f>IF(Entry!$C584="","",Entry!$C584)</f>
        <v/>
      </c>
      <c r="B584">
        <f>IF($A584="","",IF(ISNUMBER($A584),IF(AND($A584&gt;=10000101,$A584&lt;=99991231),INT($A584/10000),""),IFERROR(VALUE(TRIM(LEFT($A584,FIND("/",$A584)-1))),"")))</f>
        <v/>
      </c>
      <c r="C584">
        <f>IF(OR($A584="",$B584=""),"",IF(ISNUMBER($A584),INT(MOD($A584,10000)/100),IFERROR(VALUE(TRIM(LEFT(MID($A584,FIND("/",$A584)+1,20),FIND("/",MID($A584,FIND("/",$A584)+1,20))-1))),"")))</f>
        <v/>
      </c>
      <c r="D584">
        <f>IF(OR($A584="",$B584=""),"",IF(ISNUMBER($A584),MOD($A584,100),IFERROR(VALUE(TRIM(MID(MID($A584,FIND("/",$A584)+1,20),FIND("/",MID($A584,FIND("/",$A584)+1,20))+1,20))),"")))</f>
        <v/>
      </c>
      <c r="E584">
        <f>IF($A584="","",IF(OR($B584="",$C584="",$D584="",$B584&lt;1300,$B584&gt;1500,$C584&lt;1,$C584&gt;12,$D584&lt;1,$D584&gt;31),"نامعتبر",RIGHT("0000"&amp;$B584,4)&amp;"/"&amp;RIGHT("00"&amp;$C584,2)&amp;"/"&amp;RIGHT("00"&amp;$D584,2)))</f>
        <v/>
      </c>
      <c r="F584">
        <f>IF(Entry!$D584&lt;&gt;"",IF(AND(ISNUMBER(Entry!$D584),Entry!$D584&gt;=0,Entry!$D584&lt;1),RIGHT("00"&amp;HOUR(Entry!$D584),2)&amp;":"&amp;RIGHT("00"&amp;MINUTE(Entry!$D584),2),IFERROR(RIGHT("00"&amp;VALUE(TRIM(LEFT(Entry!$D584,FIND(":",Entry!$D584)-1))),2)&amp;":"&amp;RIGHT("00"&amp;VALUE(TRIM(MID(Entry!$D584,FIND(":",Entry!$D584)+1,2))),2),"نامعتبر")),IF(OR($E584="",$E584="نامعتبر"),"","00:00"))</f>
        <v/>
      </c>
      <c r="G584">
        <f>IF(OR($E584="",$E584="نامعتبر"),"",IF(Entry!$E584="","",LEFT(UPPER(TRIM(Entry!$E584)),6)))</f>
        <v/>
      </c>
      <c r="H584">
        <f>IF($G584="","",RIGHT($E584,4)&amp;MID($E584,6,2)&amp;RIGHT($E584,2)&amp;IF($F584="","0000",IF($F584="نامعتبر","9999",LEFT($F584,2)&amp;RIGHT($F584,2)))&amp;"|"&amp;RIGHT("00000"&amp;576,5))</f>
        <v/>
      </c>
      <c r="I584">
        <f>IF($H584="","",COUNTIFS(CalcBank,$G584,CalcKey,"&lt;"&amp;$H584)+1)</f>
        <v/>
      </c>
      <c r="J584">
        <f>IF($I584="","",$G584&amp;"|"&amp;RIGHT("000000"&amp;$I584,6))</f>
        <v/>
      </c>
      <c r="K584">
        <f>IF(OR($E584="",$E584="نامعتبر"),"",LEFT($E584,4)&amp;"/"&amp;MID($E584,6,2))</f>
        <v/>
      </c>
      <c r="L584">
        <f>IF(Entry!$K584="",0,Entry!$K584)</f>
        <v/>
      </c>
      <c r="M584">
        <f>IF(Entry!$L584="",0,Entry!$L584)</f>
        <v/>
      </c>
    </row>
    <row r="585">
      <c r="A585">
        <f>IF(Entry!$C585="","",Entry!$C585)</f>
        <v/>
      </c>
      <c r="B585">
        <f>IF($A585="","",IF(ISNUMBER($A585),IF(AND($A585&gt;=10000101,$A585&lt;=99991231),INT($A585/10000),""),IFERROR(VALUE(TRIM(LEFT($A585,FIND("/",$A585)-1))),"")))</f>
        <v/>
      </c>
      <c r="C585">
        <f>IF(OR($A585="",$B585=""),"",IF(ISNUMBER($A585),INT(MOD($A585,10000)/100),IFERROR(VALUE(TRIM(LEFT(MID($A585,FIND("/",$A585)+1,20),FIND("/",MID($A585,FIND("/",$A585)+1,20))-1))),"")))</f>
        <v/>
      </c>
      <c r="D585">
        <f>IF(OR($A585="",$B585=""),"",IF(ISNUMBER($A585),MOD($A585,100),IFERROR(VALUE(TRIM(MID(MID($A585,FIND("/",$A585)+1,20),FIND("/",MID($A585,FIND("/",$A585)+1,20))+1,20))),"")))</f>
        <v/>
      </c>
      <c r="E585">
        <f>IF($A585="","",IF(OR($B585="",$C585="",$D585="",$B585&lt;1300,$B585&gt;1500,$C585&lt;1,$C585&gt;12,$D585&lt;1,$D585&gt;31),"نامعتبر",RIGHT("0000"&amp;$B585,4)&amp;"/"&amp;RIGHT("00"&amp;$C585,2)&amp;"/"&amp;RIGHT("00"&amp;$D585,2)))</f>
        <v/>
      </c>
      <c r="F585">
        <f>IF(Entry!$D585&lt;&gt;"",IF(AND(ISNUMBER(Entry!$D585),Entry!$D585&gt;=0,Entry!$D585&lt;1),RIGHT("00"&amp;HOUR(Entry!$D585),2)&amp;":"&amp;RIGHT("00"&amp;MINUTE(Entry!$D585),2),IFERROR(RIGHT("00"&amp;VALUE(TRIM(LEFT(Entry!$D585,FIND(":",Entry!$D585)-1))),2)&amp;":"&amp;RIGHT("00"&amp;VALUE(TRIM(MID(Entry!$D585,FIND(":",Entry!$D585)+1,2))),2),"نامعتبر")),IF(OR($E585="",$E585="نامعتبر"),"","00:00"))</f>
        <v/>
      </c>
      <c r="G585">
        <f>IF(OR($E585="",$E585="نامعتبر"),"",IF(Entry!$E585="","",LEFT(UPPER(TRIM(Entry!$E585)),6)))</f>
        <v/>
      </c>
      <c r="H585">
        <f>IF($G585="","",RIGHT($E585,4)&amp;MID($E585,6,2)&amp;RIGHT($E585,2)&amp;IF($F585="","0000",IF($F585="نامعتبر","9999",LEFT($F585,2)&amp;RIGHT($F585,2)))&amp;"|"&amp;RIGHT("00000"&amp;577,5))</f>
        <v/>
      </c>
      <c r="I585">
        <f>IF($H585="","",COUNTIFS(CalcBank,$G585,CalcKey,"&lt;"&amp;$H585)+1)</f>
        <v/>
      </c>
      <c r="J585">
        <f>IF($I585="","",$G585&amp;"|"&amp;RIGHT("000000"&amp;$I585,6))</f>
        <v/>
      </c>
      <c r="K585">
        <f>IF(OR($E585="",$E585="نامعتبر"),"",LEFT($E585,4)&amp;"/"&amp;MID($E585,6,2))</f>
        <v/>
      </c>
      <c r="L585">
        <f>IF(Entry!$K585="",0,Entry!$K585)</f>
        <v/>
      </c>
      <c r="M585">
        <f>IF(Entry!$L585="",0,Entry!$L585)</f>
        <v/>
      </c>
    </row>
    <row r="586">
      <c r="A586">
        <f>IF(Entry!$C586="","",Entry!$C586)</f>
        <v/>
      </c>
      <c r="B586">
        <f>IF($A586="","",IF(ISNUMBER($A586),IF(AND($A586&gt;=10000101,$A586&lt;=99991231),INT($A586/10000),""),IFERROR(VALUE(TRIM(LEFT($A586,FIND("/",$A586)-1))),"")))</f>
        <v/>
      </c>
      <c r="C586">
        <f>IF(OR($A586="",$B586=""),"",IF(ISNUMBER($A586),INT(MOD($A586,10000)/100),IFERROR(VALUE(TRIM(LEFT(MID($A586,FIND("/",$A586)+1,20),FIND("/",MID($A586,FIND("/",$A586)+1,20))-1))),"")))</f>
        <v/>
      </c>
      <c r="D586">
        <f>IF(OR($A586="",$B586=""),"",IF(ISNUMBER($A586),MOD($A586,100),IFERROR(VALUE(TRIM(MID(MID($A586,FIND("/",$A586)+1,20),FIND("/",MID($A586,FIND("/",$A586)+1,20))+1,20))),"")))</f>
        <v/>
      </c>
      <c r="E586">
        <f>IF($A586="","",IF(OR($B586="",$C586="",$D586="",$B586&lt;1300,$B586&gt;1500,$C586&lt;1,$C586&gt;12,$D586&lt;1,$D586&gt;31),"نامعتبر",RIGHT("0000"&amp;$B586,4)&amp;"/"&amp;RIGHT("00"&amp;$C586,2)&amp;"/"&amp;RIGHT("00"&amp;$D586,2)))</f>
        <v/>
      </c>
      <c r="F586">
        <f>IF(Entry!$D586&lt;&gt;"",IF(AND(ISNUMBER(Entry!$D586),Entry!$D586&gt;=0,Entry!$D586&lt;1),RIGHT("00"&amp;HOUR(Entry!$D586),2)&amp;":"&amp;RIGHT("00"&amp;MINUTE(Entry!$D586),2),IFERROR(RIGHT("00"&amp;VALUE(TRIM(LEFT(Entry!$D586,FIND(":",Entry!$D586)-1))),2)&amp;":"&amp;RIGHT("00"&amp;VALUE(TRIM(MID(Entry!$D586,FIND(":",Entry!$D586)+1,2))),2),"نامعتبر")),IF(OR($E586="",$E586="نامعتبر"),"","00:00"))</f>
        <v/>
      </c>
      <c r="G586">
        <f>IF(OR($E586="",$E586="نامعتبر"),"",IF(Entry!$E586="","",LEFT(UPPER(TRIM(Entry!$E586)),6)))</f>
        <v/>
      </c>
      <c r="H586">
        <f>IF($G586="","",RIGHT($E586,4)&amp;MID($E586,6,2)&amp;RIGHT($E586,2)&amp;IF($F586="","0000",IF($F586="نامعتبر","9999",LEFT($F586,2)&amp;RIGHT($F586,2)))&amp;"|"&amp;RIGHT("00000"&amp;578,5))</f>
        <v/>
      </c>
      <c r="I586">
        <f>IF($H586="","",COUNTIFS(CalcBank,$G586,CalcKey,"&lt;"&amp;$H586)+1)</f>
        <v/>
      </c>
      <c r="J586">
        <f>IF($I586="","",$G586&amp;"|"&amp;RIGHT("000000"&amp;$I586,6))</f>
        <v/>
      </c>
      <c r="K586">
        <f>IF(OR($E586="",$E586="نامعتبر"),"",LEFT($E586,4)&amp;"/"&amp;MID($E586,6,2))</f>
        <v/>
      </c>
      <c r="L586">
        <f>IF(Entry!$K586="",0,Entry!$K586)</f>
        <v/>
      </c>
      <c r="M586">
        <f>IF(Entry!$L586="",0,Entry!$L586)</f>
        <v/>
      </c>
    </row>
    <row r="587">
      <c r="A587">
        <f>IF(Entry!$C587="","",Entry!$C587)</f>
        <v/>
      </c>
      <c r="B587">
        <f>IF($A587="","",IF(ISNUMBER($A587),IF(AND($A587&gt;=10000101,$A587&lt;=99991231),INT($A587/10000),""),IFERROR(VALUE(TRIM(LEFT($A587,FIND("/",$A587)-1))),"")))</f>
        <v/>
      </c>
      <c r="C587">
        <f>IF(OR($A587="",$B587=""),"",IF(ISNUMBER($A587),INT(MOD($A587,10000)/100),IFERROR(VALUE(TRIM(LEFT(MID($A587,FIND("/",$A587)+1,20),FIND("/",MID($A587,FIND("/",$A587)+1,20))-1))),"")))</f>
        <v/>
      </c>
      <c r="D587">
        <f>IF(OR($A587="",$B587=""),"",IF(ISNUMBER($A587),MOD($A587,100),IFERROR(VALUE(TRIM(MID(MID($A587,FIND("/",$A587)+1,20),FIND("/",MID($A587,FIND("/",$A587)+1,20))+1,20))),"")))</f>
        <v/>
      </c>
      <c r="E587">
        <f>IF($A587="","",IF(OR($B587="",$C587="",$D587="",$B587&lt;1300,$B587&gt;1500,$C587&lt;1,$C587&gt;12,$D587&lt;1,$D587&gt;31),"نامعتبر",RIGHT("0000"&amp;$B587,4)&amp;"/"&amp;RIGHT("00"&amp;$C587,2)&amp;"/"&amp;RIGHT("00"&amp;$D587,2)))</f>
        <v/>
      </c>
      <c r="F587">
        <f>IF(Entry!$D587&lt;&gt;"",IF(AND(ISNUMBER(Entry!$D587),Entry!$D587&gt;=0,Entry!$D587&lt;1),RIGHT("00"&amp;HOUR(Entry!$D587),2)&amp;":"&amp;RIGHT("00"&amp;MINUTE(Entry!$D587),2),IFERROR(RIGHT("00"&amp;VALUE(TRIM(LEFT(Entry!$D587,FIND(":",Entry!$D587)-1))),2)&amp;":"&amp;RIGHT("00"&amp;VALUE(TRIM(MID(Entry!$D587,FIND(":",Entry!$D587)+1,2))),2),"نامعتبر")),IF(OR($E587="",$E587="نامعتبر"),"","00:00"))</f>
        <v/>
      </c>
      <c r="G587">
        <f>IF(OR($E587="",$E587="نامعتبر"),"",IF(Entry!$E587="","",LEFT(UPPER(TRIM(Entry!$E587)),6)))</f>
        <v/>
      </c>
      <c r="H587">
        <f>IF($G587="","",RIGHT($E587,4)&amp;MID($E587,6,2)&amp;RIGHT($E587,2)&amp;IF($F587="","0000",IF($F587="نامعتبر","9999",LEFT($F587,2)&amp;RIGHT($F587,2)))&amp;"|"&amp;RIGHT("00000"&amp;579,5))</f>
        <v/>
      </c>
      <c r="I587">
        <f>IF($H587="","",COUNTIFS(CalcBank,$G587,CalcKey,"&lt;"&amp;$H587)+1)</f>
        <v/>
      </c>
      <c r="J587">
        <f>IF($I587="","",$G587&amp;"|"&amp;RIGHT("000000"&amp;$I587,6))</f>
        <v/>
      </c>
      <c r="K587">
        <f>IF(OR($E587="",$E587="نامعتبر"),"",LEFT($E587,4)&amp;"/"&amp;MID($E587,6,2))</f>
        <v/>
      </c>
      <c r="L587">
        <f>IF(Entry!$K587="",0,Entry!$K587)</f>
        <v/>
      </c>
      <c r="M587">
        <f>IF(Entry!$L587="",0,Entry!$L587)</f>
        <v/>
      </c>
    </row>
    <row r="588">
      <c r="A588">
        <f>IF(Entry!$C588="","",Entry!$C588)</f>
        <v/>
      </c>
      <c r="B588">
        <f>IF($A588="","",IF(ISNUMBER($A588),IF(AND($A588&gt;=10000101,$A588&lt;=99991231),INT($A588/10000),""),IFERROR(VALUE(TRIM(LEFT($A588,FIND("/",$A588)-1))),"")))</f>
        <v/>
      </c>
      <c r="C588">
        <f>IF(OR($A588="",$B588=""),"",IF(ISNUMBER($A588),INT(MOD($A588,10000)/100),IFERROR(VALUE(TRIM(LEFT(MID($A588,FIND("/",$A588)+1,20),FIND("/",MID($A588,FIND("/",$A588)+1,20))-1))),"")))</f>
        <v/>
      </c>
      <c r="D588">
        <f>IF(OR($A588="",$B588=""),"",IF(ISNUMBER($A588),MOD($A588,100),IFERROR(VALUE(TRIM(MID(MID($A588,FIND("/",$A588)+1,20),FIND("/",MID($A588,FIND("/",$A588)+1,20))+1,20))),"")))</f>
        <v/>
      </c>
      <c r="E588">
        <f>IF($A588="","",IF(OR($B588="",$C588="",$D588="",$B588&lt;1300,$B588&gt;1500,$C588&lt;1,$C588&gt;12,$D588&lt;1,$D588&gt;31),"نامعتبر",RIGHT("0000"&amp;$B588,4)&amp;"/"&amp;RIGHT("00"&amp;$C588,2)&amp;"/"&amp;RIGHT("00"&amp;$D588,2)))</f>
        <v/>
      </c>
      <c r="F588">
        <f>IF(Entry!$D588&lt;&gt;"",IF(AND(ISNUMBER(Entry!$D588),Entry!$D588&gt;=0,Entry!$D588&lt;1),RIGHT("00"&amp;HOUR(Entry!$D588),2)&amp;":"&amp;RIGHT("00"&amp;MINUTE(Entry!$D588),2),IFERROR(RIGHT("00"&amp;VALUE(TRIM(LEFT(Entry!$D588,FIND(":",Entry!$D588)-1))),2)&amp;":"&amp;RIGHT("00"&amp;VALUE(TRIM(MID(Entry!$D588,FIND(":",Entry!$D588)+1,2))),2),"نامعتبر")),IF(OR($E588="",$E588="نامعتبر"),"","00:00"))</f>
        <v/>
      </c>
      <c r="G588">
        <f>IF(OR($E588="",$E588="نامعتبر"),"",IF(Entry!$E588="","",LEFT(UPPER(TRIM(Entry!$E588)),6)))</f>
        <v/>
      </c>
      <c r="H588">
        <f>IF($G588="","",RIGHT($E588,4)&amp;MID($E588,6,2)&amp;RIGHT($E588,2)&amp;IF($F588="","0000",IF($F588="نامعتبر","9999",LEFT($F588,2)&amp;RIGHT($F588,2)))&amp;"|"&amp;RIGHT("00000"&amp;580,5))</f>
        <v/>
      </c>
      <c r="I588">
        <f>IF($H588="","",COUNTIFS(CalcBank,$G588,CalcKey,"&lt;"&amp;$H588)+1)</f>
        <v/>
      </c>
      <c r="J588">
        <f>IF($I588="","",$G588&amp;"|"&amp;RIGHT("000000"&amp;$I588,6))</f>
        <v/>
      </c>
      <c r="K588">
        <f>IF(OR($E588="",$E588="نامعتبر"),"",LEFT($E588,4)&amp;"/"&amp;MID($E588,6,2))</f>
        <v/>
      </c>
      <c r="L588">
        <f>IF(Entry!$K588="",0,Entry!$K588)</f>
        <v/>
      </c>
      <c r="M588">
        <f>IF(Entry!$L588="",0,Entry!$L588)</f>
        <v/>
      </c>
    </row>
    <row r="589">
      <c r="A589">
        <f>IF(Entry!$C589="","",Entry!$C589)</f>
        <v/>
      </c>
      <c r="B589">
        <f>IF($A589="","",IF(ISNUMBER($A589),IF(AND($A589&gt;=10000101,$A589&lt;=99991231),INT($A589/10000),""),IFERROR(VALUE(TRIM(LEFT($A589,FIND("/",$A589)-1))),"")))</f>
        <v/>
      </c>
      <c r="C589">
        <f>IF(OR($A589="",$B589=""),"",IF(ISNUMBER($A589),INT(MOD($A589,10000)/100),IFERROR(VALUE(TRIM(LEFT(MID($A589,FIND("/",$A589)+1,20),FIND("/",MID($A589,FIND("/",$A589)+1,20))-1))),"")))</f>
        <v/>
      </c>
      <c r="D589">
        <f>IF(OR($A589="",$B589=""),"",IF(ISNUMBER($A589),MOD($A589,100),IFERROR(VALUE(TRIM(MID(MID($A589,FIND("/",$A589)+1,20),FIND("/",MID($A589,FIND("/",$A589)+1,20))+1,20))),"")))</f>
        <v/>
      </c>
      <c r="E589">
        <f>IF($A589="","",IF(OR($B589="",$C589="",$D589="",$B589&lt;1300,$B589&gt;1500,$C589&lt;1,$C589&gt;12,$D589&lt;1,$D589&gt;31),"نامعتبر",RIGHT("0000"&amp;$B589,4)&amp;"/"&amp;RIGHT("00"&amp;$C589,2)&amp;"/"&amp;RIGHT("00"&amp;$D589,2)))</f>
        <v/>
      </c>
      <c r="F589">
        <f>IF(Entry!$D589&lt;&gt;"",IF(AND(ISNUMBER(Entry!$D589),Entry!$D589&gt;=0,Entry!$D589&lt;1),RIGHT("00"&amp;HOUR(Entry!$D589),2)&amp;":"&amp;RIGHT("00"&amp;MINUTE(Entry!$D589),2),IFERROR(RIGHT("00"&amp;VALUE(TRIM(LEFT(Entry!$D589,FIND(":",Entry!$D589)-1))),2)&amp;":"&amp;RIGHT("00"&amp;VALUE(TRIM(MID(Entry!$D589,FIND(":",Entry!$D589)+1,2))),2),"نامعتبر")),IF(OR($E589="",$E589="نامعتبر"),"","00:00"))</f>
        <v/>
      </c>
      <c r="G589">
        <f>IF(OR($E589="",$E589="نامعتبر"),"",IF(Entry!$E589="","",LEFT(UPPER(TRIM(Entry!$E589)),6)))</f>
        <v/>
      </c>
      <c r="H589">
        <f>IF($G589="","",RIGHT($E589,4)&amp;MID($E589,6,2)&amp;RIGHT($E589,2)&amp;IF($F589="","0000",IF($F589="نامعتبر","9999",LEFT($F589,2)&amp;RIGHT($F589,2)))&amp;"|"&amp;RIGHT("00000"&amp;581,5))</f>
        <v/>
      </c>
      <c r="I589">
        <f>IF($H589="","",COUNTIFS(CalcBank,$G589,CalcKey,"&lt;"&amp;$H589)+1)</f>
        <v/>
      </c>
      <c r="J589">
        <f>IF($I589="","",$G589&amp;"|"&amp;RIGHT("000000"&amp;$I589,6))</f>
        <v/>
      </c>
      <c r="K589">
        <f>IF(OR($E589="",$E589="نامعتبر"),"",LEFT($E589,4)&amp;"/"&amp;MID($E589,6,2))</f>
        <v/>
      </c>
      <c r="L589">
        <f>IF(Entry!$K589="",0,Entry!$K589)</f>
        <v/>
      </c>
      <c r="M589">
        <f>IF(Entry!$L589="",0,Entry!$L589)</f>
        <v/>
      </c>
    </row>
    <row r="590">
      <c r="A590">
        <f>IF(Entry!$C590="","",Entry!$C590)</f>
        <v/>
      </c>
      <c r="B590">
        <f>IF($A590="","",IF(ISNUMBER($A590),IF(AND($A590&gt;=10000101,$A590&lt;=99991231),INT($A590/10000),""),IFERROR(VALUE(TRIM(LEFT($A590,FIND("/",$A590)-1))),"")))</f>
        <v/>
      </c>
      <c r="C590">
        <f>IF(OR($A590="",$B590=""),"",IF(ISNUMBER($A590),INT(MOD($A590,10000)/100),IFERROR(VALUE(TRIM(LEFT(MID($A590,FIND("/",$A590)+1,20),FIND("/",MID($A590,FIND("/",$A590)+1,20))-1))),"")))</f>
        <v/>
      </c>
      <c r="D590">
        <f>IF(OR($A590="",$B590=""),"",IF(ISNUMBER($A590),MOD($A590,100),IFERROR(VALUE(TRIM(MID(MID($A590,FIND("/",$A590)+1,20),FIND("/",MID($A590,FIND("/",$A590)+1,20))+1,20))),"")))</f>
        <v/>
      </c>
      <c r="E590">
        <f>IF($A590="","",IF(OR($B590="",$C590="",$D590="",$B590&lt;1300,$B590&gt;1500,$C590&lt;1,$C590&gt;12,$D590&lt;1,$D590&gt;31),"نامعتبر",RIGHT("0000"&amp;$B590,4)&amp;"/"&amp;RIGHT("00"&amp;$C590,2)&amp;"/"&amp;RIGHT("00"&amp;$D590,2)))</f>
        <v/>
      </c>
      <c r="F590">
        <f>IF(Entry!$D590&lt;&gt;"",IF(AND(ISNUMBER(Entry!$D590),Entry!$D590&gt;=0,Entry!$D590&lt;1),RIGHT("00"&amp;HOUR(Entry!$D590),2)&amp;":"&amp;RIGHT("00"&amp;MINUTE(Entry!$D590),2),IFERROR(RIGHT("00"&amp;VALUE(TRIM(LEFT(Entry!$D590,FIND(":",Entry!$D590)-1))),2)&amp;":"&amp;RIGHT("00"&amp;VALUE(TRIM(MID(Entry!$D590,FIND(":",Entry!$D590)+1,2))),2),"نامعتبر")),IF(OR($E590="",$E590="نامعتبر"),"","00:00"))</f>
        <v/>
      </c>
      <c r="G590">
        <f>IF(OR($E590="",$E590="نامعتبر"),"",IF(Entry!$E590="","",LEFT(UPPER(TRIM(Entry!$E590)),6)))</f>
        <v/>
      </c>
      <c r="H590">
        <f>IF($G590="","",RIGHT($E590,4)&amp;MID($E590,6,2)&amp;RIGHT($E590,2)&amp;IF($F590="","0000",IF($F590="نامعتبر","9999",LEFT($F590,2)&amp;RIGHT($F590,2)))&amp;"|"&amp;RIGHT("00000"&amp;582,5))</f>
        <v/>
      </c>
      <c r="I590">
        <f>IF($H590="","",COUNTIFS(CalcBank,$G590,CalcKey,"&lt;"&amp;$H590)+1)</f>
        <v/>
      </c>
      <c r="J590">
        <f>IF($I590="","",$G590&amp;"|"&amp;RIGHT("000000"&amp;$I590,6))</f>
        <v/>
      </c>
      <c r="K590">
        <f>IF(OR($E590="",$E590="نامعتبر"),"",LEFT($E590,4)&amp;"/"&amp;MID($E590,6,2))</f>
        <v/>
      </c>
      <c r="L590">
        <f>IF(Entry!$K590="",0,Entry!$K590)</f>
        <v/>
      </c>
      <c r="M590">
        <f>IF(Entry!$L590="",0,Entry!$L590)</f>
        <v/>
      </c>
    </row>
    <row r="591">
      <c r="A591">
        <f>IF(Entry!$C591="","",Entry!$C591)</f>
        <v/>
      </c>
      <c r="B591">
        <f>IF($A591="","",IF(ISNUMBER($A591),IF(AND($A591&gt;=10000101,$A591&lt;=99991231),INT($A591/10000),""),IFERROR(VALUE(TRIM(LEFT($A591,FIND("/",$A591)-1))),"")))</f>
        <v/>
      </c>
      <c r="C591">
        <f>IF(OR($A591="",$B591=""),"",IF(ISNUMBER($A591),INT(MOD($A591,10000)/100),IFERROR(VALUE(TRIM(LEFT(MID($A591,FIND("/",$A591)+1,20),FIND("/",MID($A591,FIND("/",$A591)+1,20))-1))),"")))</f>
        <v/>
      </c>
      <c r="D591">
        <f>IF(OR($A591="",$B591=""),"",IF(ISNUMBER($A591),MOD($A591,100),IFERROR(VALUE(TRIM(MID(MID($A591,FIND("/",$A591)+1,20),FIND("/",MID($A591,FIND("/",$A591)+1,20))+1,20))),"")))</f>
        <v/>
      </c>
      <c r="E591">
        <f>IF($A591="","",IF(OR($B591="",$C591="",$D591="",$B591&lt;1300,$B591&gt;1500,$C591&lt;1,$C591&gt;12,$D591&lt;1,$D591&gt;31),"نامعتبر",RIGHT("0000"&amp;$B591,4)&amp;"/"&amp;RIGHT("00"&amp;$C591,2)&amp;"/"&amp;RIGHT("00"&amp;$D591,2)))</f>
        <v/>
      </c>
      <c r="F591">
        <f>IF(Entry!$D591&lt;&gt;"",IF(AND(ISNUMBER(Entry!$D591),Entry!$D591&gt;=0,Entry!$D591&lt;1),RIGHT("00"&amp;HOUR(Entry!$D591),2)&amp;":"&amp;RIGHT("00"&amp;MINUTE(Entry!$D591),2),IFERROR(RIGHT("00"&amp;VALUE(TRIM(LEFT(Entry!$D591,FIND(":",Entry!$D591)-1))),2)&amp;":"&amp;RIGHT("00"&amp;VALUE(TRIM(MID(Entry!$D591,FIND(":",Entry!$D591)+1,2))),2),"نامعتبر")),IF(OR($E591="",$E591="نامعتبر"),"","00:00"))</f>
        <v/>
      </c>
      <c r="G591">
        <f>IF(OR($E591="",$E591="نامعتبر"),"",IF(Entry!$E591="","",LEFT(UPPER(TRIM(Entry!$E591)),6)))</f>
        <v/>
      </c>
      <c r="H591">
        <f>IF($G591="","",RIGHT($E591,4)&amp;MID($E591,6,2)&amp;RIGHT($E591,2)&amp;IF($F591="","0000",IF($F591="نامعتبر","9999",LEFT($F591,2)&amp;RIGHT($F591,2)))&amp;"|"&amp;RIGHT("00000"&amp;583,5))</f>
        <v/>
      </c>
      <c r="I591">
        <f>IF($H591="","",COUNTIFS(CalcBank,$G591,CalcKey,"&lt;"&amp;$H591)+1)</f>
        <v/>
      </c>
      <c r="J591">
        <f>IF($I591="","",$G591&amp;"|"&amp;RIGHT("000000"&amp;$I591,6))</f>
        <v/>
      </c>
      <c r="K591">
        <f>IF(OR($E591="",$E591="نامعتبر"),"",LEFT($E591,4)&amp;"/"&amp;MID($E591,6,2))</f>
        <v/>
      </c>
      <c r="L591">
        <f>IF(Entry!$K591="",0,Entry!$K591)</f>
        <v/>
      </c>
      <c r="M591">
        <f>IF(Entry!$L591="",0,Entry!$L591)</f>
        <v/>
      </c>
    </row>
    <row r="592">
      <c r="A592">
        <f>IF(Entry!$C592="","",Entry!$C592)</f>
        <v/>
      </c>
      <c r="B592">
        <f>IF($A592="","",IF(ISNUMBER($A592),IF(AND($A592&gt;=10000101,$A592&lt;=99991231),INT($A592/10000),""),IFERROR(VALUE(TRIM(LEFT($A592,FIND("/",$A592)-1))),"")))</f>
        <v/>
      </c>
      <c r="C592">
        <f>IF(OR($A592="",$B592=""),"",IF(ISNUMBER($A592),INT(MOD($A592,10000)/100),IFERROR(VALUE(TRIM(LEFT(MID($A592,FIND("/",$A592)+1,20),FIND("/",MID($A592,FIND("/",$A592)+1,20))-1))),"")))</f>
        <v/>
      </c>
      <c r="D592">
        <f>IF(OR($A592="",$B592=""),"",IF(ISNUMBER($A592),MOD($A592,100),IFERROR(VALUE(TRIM(MID(MID($A592,FIND("/",$A592)+1,20),FIND("/",MID($A592,FIND("/",$A592)+1,20))+1,20))),"")))</f>
        <v/>
      </c>
      <c r="E592">
        <f>IF($A592="","",IF(OR($B592="",$C592="",$D592="",$B592&lt;1300,$B592&gt;1500,$C592&lt;1,$C592&gt;12,$D592&lt;1,$D592&gt;31),"نامعتبر",RIGHT("0000"&amp;$B592,4)&amp;"/"&amp;RIGHT("00"&amp;$C592,2)&amp;"/"&amp;RIGHT("00"&amp;$D592,2)))</f>
        <v/>
      </c>
      <c r="F592">
        <f>IF(Entry!$D592&lt;&gt;"",IF(AND(ISNUMBER(Entry!$D592),Entry!$D592&gt;=0,Entry!$D592&lt;1),RIGHT("00"&amp;HOUR(Entry!$D592),2)&amp;":"&amp;RIGHT("00"&amp;MINUTE(Entry!$D592),2),IFERROR(RIGHT("00"&amp;VALUE(TRIM(LEFT(Entry!$D592,FIND(":",Entry!$D592)-1))),2)&amp;":"&amp;RIGHT("00"&amp;VALUE(TRIM(MID(Entry!$D592,FIND(":",Entry!$D592)+1,2))),2),"نامعتبر")),IF(OR($E592="",$E592="نامعتبر"),"","00:00"))</f>
        <v/>
      </c>
      <c r="G592">
        <f>IF(OR($E592="",$E592="نامعتبر"),"",IF(Entry!$E592="","",LEFT(UPPER(TRIM(Entry!$E592)),6)))</f>
        <v/>
      </c>
      <c r="H592">
        <f>IF($G592="","",RIGHT($E592,4)&amp;MID($E592,6,2)&amp;RIGHT($E592,2)&amp;IF($F592="","0000",IF($F592="نامعتبر","9999",LEFT($F592,2)&amp;RIGHT($F592,2)))&amp;"|"&amp;RIGHT("00000"&amp;584,5))</f>
        <v/>
      </c>
      <c r="I592">
        <f>IF($H592="","",COUNTIFS(CalcBank,$G592,CalcKey,"&lt;"&amp;$H592)+1)</f>
        <v/>
      </c>
      <c r="J592">
        <f>IF($I592="","",$G592&amp;"|"&amp;RIGHT("000000"&amp;$I592,6))</f>
        <v/>
      </c>
      <c r="K592">
        <f>IF(OR($E592="",$E592="نامعتبر"),"",LEFT($E592,4)&amp;"/"&amp;MID($E592,6,2))</f>
        <v/>
      </c>
      <c r="L592">
        <f>IF(Entry!$K592="",0,Entry!$K592)</f>
        <v/>
      </c>
      <c r="M592">
        <f>IF(Entry!$L592="",0,Entry!$L592)</f>
        <v/>
      </c>
    </row>
    <row r="593">
      <c r="A593">
        <f>IF(Entry!$C593="","",Entry!$C593)</f>
        <v/>
      </c>
      <c r="B593">
        <f>IF($A593="","",IF(ISNUMBER($A593),IF(AND($A593&gt;=10000101,$A593&lt;=99991231),INT($A593/10000),""),IFERROR(VALUE(TRIM(LEFT($A593,FIND("/",$A593)-1))),"")))</f>
        <v/>
      </c>
      <c r="C593">
        <f>IF(OR($A593="",$B593=""),"",IF(ISNUMBER($A593),INT(MOD($A593,10000)/100),IFERROR(VALUE(TRIM(LEFT(MID($A593,FIND("/",$A593)+1,20),FIND("/",MID($A593,FIND("/",$A593)+1,20))-1))),"")))</f>
        <v/>
      </c>
      <c r="D593">
        <f>IF(OR($A593="",$B593=""),"",IF(ISNUMBER($A593),MOD($A593,100),IFERROR(VALUE(TRIM(MID(MID($A593,FIND("/",$A593)+1,20),FIND("/",MID($A593,FIND("/",$A593)+1,20))+1,20))),"")))</f>
        <v/>
      </c>
      <c r="E593">
        <f>IF($A593="","",IF(OR($B593="",$C593="",$D593="",$B593&lt;1300,$B593&gt;1500,$C593&lt;1,$C593&gt;12,$D593&lt;1,$D593&gt;31),"نامعتبر",RIGHT("0000"&amp;$B593,4)&amp;"/"&amp;RIGHT("00"&amp;$C593,2)&amp;"/"&amp;RIGHT("00"&amp;$D593,2)))</f>
        <v/>
      </c>
      <c r="F593">
        <f>IF(Entry!$D593&lt;&gt;"",IF(AND(ISNUMBER(Entry!$D593),Entry!$D593&gt;=0,Entry!$D593&lt;1),RIGHT("00"&amp;HOUR(Entry!$D593),2)&amp;":"&amp;RIGHT("00"&amp;MINUTE(Entry!$D593),2),IFERROR(RIGHT("00"&amp;VALUE(TRIM(LEFT(Entry!$D593,FIND(":",Entry!$D593)-1))),2)&amp;":"&amp;RIGHT("00"&amp;VALUE(TRIM(MID(Entry!$D593,FIND(":",Entry!$D593)+1,2))),2),"نامعتبر")),IF(OR($E593="",$E593="نامعتبر"),"","00:00"))</f>
        <v/>
      </c>
      <c r="G593">
        <f>IF(OR($E593="",$E593="نامعتبر"),"",IF(Entry!$E593="","",LEFT(UPPER(TRIM(Entry!$E593)),6)))</f>
        <v/>
      </c>
      <c r="H593">
        <f>IF($G593="","",RIGHT($E593,4)&amp;MID($E593,6,2)&amp;RIGHT($E593,2)&amp;IF($F593="","0000",IF($F593="نامعتبر","9999",LEFT($F593,2)&amp;RIGHT($F593,2)))&amp;"|"&amp;RIGHT("00000"&amp;585,5))</f>
        <v/>
      </c>
      <c r="I593">
        <f>IF($H593="","",COUNTIFS(CalcBank,$G593,CalcKey,"&lt;"&amp;$H593)+1)</f>
        <v/>
      </c>
      <c r="J593">
        <f>IF($I593="","",$G593&amp;"|"&amp;RIGHT("000000"&amp;$I593,6))</f>
        <v/>
      </c>
      <c r="K593">
        <f>IF(OR($E593="",$E593="نامعتبر"),"",LEFT($E593,4)&amp;"/"&amp;MID($E593,6,2))</f>
        <v/>
      </c>
      <c r="L593">
        <f>IF(Entry!$K593="",0,Entry!$K593)</f>
        <v/>
      </c>
      <c r="M593">
        <f>IF(Entry!$L593="",0,Entry!$L593)</f>
        <v/>
      </c>
    </row>
    <row r="594">
      <c r="A594">
        <f>IF(Entry!$C594="","",Entry!$C594)</f>
        <v/>
      </c>
      <c r="B594">
        <f>IF($A594="","",IF(ISNUMBER($A594),IF(AND($A594&gt;=10000101,$A594&lt;=99991231),INT($A594/10000),""),IFERROR(VALUE(TRIM(LEFT($A594,FIND("/",$A594)-1))),"")))</f>
        <v/>
      </c>
      <c r="C594">
        <f>IF(OR($A594="",$B594=""),"",IF(ISNUMBER($A594),INT(MOD($A594,10000)/100),IFERROR(VALUE(TRIM(LEFT(MID($A594,FIND("/",$A594)+1,20),FIND("/",MID($A594,FIND("/",$A594)+1,20))-1))),"")))</f>
        <v/>
      </c>
      <c r="D594">
        <f>IF(OR($A594="",$B594=""),"",IF(ISNUMBER($A594),MOD($A594,100),IFERROR(VALUE(TRIM(MID(MID($A594,FIND("/",$A594)+1,20),FIND("/",MID($A594,FIND("/",$A594)+1,20))+1,20))),"")))</f>
        <v/>
      </c>
      <c r="E594">
        <f>IF($A594="","",IF(OR($B594="",$C594="",$D594="",$B594&lt;1300,$B594&gt;1500,$C594&lt;1,$C594&gt;12,$D594&lt;1,$D594&gt;31),"نامعتبر",RIGHT("0000"&amp;$B594,4)&amp;"/"&amp;RIGHT("00"&amp;$C594,2)&amp;"/"&amp;RIGHT("00"&amp;$D594,2)))</f>
        <v/>
      </c>
      <c r="F594">
        <f>IF(Entry!$D594&lt;&gt;"",IF(AND(ISNUMBER(Entry!$D594),Entry!$D594&gt;=0,Entry!$D594&lt;1),RIGHT("00"&amp;HOUR(Entry!$D594),2)&amp;":"&amp;RIGHT("00"&amp;MINUTE(Entry!$D594),2),IFERROR(RIGHT("00"&amp;VALUE(TRIM(LEFT(Entry!$D594,FIND(":",Entry!$D594)-1))),2)&amp;":"&amp;RIGHT("00"&amp;VALUE(TRIM(MID(Entry!$D594,FIND(":",Entry!$D594)+1,2))),2),"نامعتبر")),IF(OR($E594="",$E594="نامعتبر"),"","00:00"))</f>
        <v/>
      </c>
      <c r="G594">
        <f>IF(OR($E594="",$E594="نامعتبر"),"",IF(Entry!$E594="","",LEFT(UPPER(TRIM(Entry!$E594)),6)))</f>
        <v/>
      </c>
      <c r="H594">
        <f>IF($G594="","",RIGHT($E594,4)&amp;MID($E594,6,2)&amp;RIGHT($E594,2)&amp;IF($F594="","0000",IF($F594="نامعتبر","9999",LEFT($F594,2)&amp;RIGHT($F594,2)))&amp;"|"&amp;RIGHT("00000"&amp;586,5))</f>
        <v/>
      </c>
      <c r="I594">
        <f>IF($H594="","",COUNTIFS(CalcBank,$G594,CalcKey,"&lt;"&amp;$H594)+1)</f>
        <v/>
      </c>
      <c r="J594">
        <f>IF($I594="","",$G594&amp;"|"&amp;RIGHT("000000"&amp;$I594,6))</f>
        <v/>
      </c>
      <c r="K594">
        <f>IF(OR($E594="",$E594="نامعتبر"),"",LEFT($E594,4)&amp;"/"&amp;MID($E594,6,2))</f>
        <v/>
      </c>
      <c r="L594">
        <f>IF(Entry!$K594="",0,Entry!$K594)</f>
        <v/>
      </c>
      <c r="M594">
        <f>IF(Entry!$L594="",0,Entry!$L594)</f>
        <v/>
      </c>
    </row>
    <row r="595">
      <c r="A595">
        <f>IF(Entry!$C595="","",Entry!$C595)</f>
        <v/>
      </c>
      <c r="B595">
        <f>IF($A595="","",IF(ISNUMBER($A595),IF(AND($A595&gt;=10000101,$A595&lt;=99991231),INT($A595/10000),""),IFERROR(VALUE(TRIM(LEFT($A595,FIND("/",$A595)-1))),"")))</f>
        <v/>
      </c>
      <c r="C595">
        <f>IF(OR($A595="",$B595=""),"",IF(ISNUMBER($A595),INT(MOD($A595,10000)/100),IFERROR(VALUE(TRIM(LEFT(MID($A595,FIND("/",$A595)+1,20),FIND("/",MID($A595,FIND("/",$A595)+1,20))-1))),"")))</f>
        <v/>
      </c>
      <c r="D595">
        <f>IF(OR($A595="",$B595=""),"",IF(ISNUMBER($A595),MOD($A595,100),IFERROR(VALUE(TRIM(MID(MID($A595,FIND("/",$A595)+1,20),FIND("/",MID($A595,FIND("/",$A595)+1,20))+1,20))),"")))</f>
        <v/>
      </c>
      <c r="E595">
        <f>IF($A595="","",IF(OR($B595="",$C595="",$D595="",$B595&lt;1300,$B595&gt;1500,$C595&lt;1,$C595&gt;12,$D595&lt;1,$D595&gt;31),"نامعتبر",RIGHT("0000"&amp;$B595,4)&amp;"/"&amp;RIGHT("00"&amp;$C595,2)&amp;"/"&amp;RIGHT("00"&amp;$D595,2)))</f>
        <v/>
      </c>
      <c r="F595">
        <f>IF(Entry!$D595&lt;&gt;"",IF(AND(ISNUMBER(Entry!$D595),Entry!$D595&gt;=0,Entry!$D595&lt;1),RIGHT("00"&amp;HOUR(Entry!$D595),2)&amp;":"&amp;RIGHT("00"&amp;MINUTE(Entry!$D595),2),IFERROR(RIGHT("00"&amp;VALUE(TRIM(LEFT(Entry!$D595,FIND(":",Entry!$D595)-1))),2)&amp;":"&amp;RIGHT("00"&amp;VALUE(TRIM(MID(Entry!$D595,FIND(":",Entry!$D595)+1,2))),2),"نامعتبر")),IF(OR($E595="",$E595="نامعتبر"),"","00:00"))</f>
        <v/>
      </c>
      <c r="G595">
        <f>IF(OR($E595="",$E595="نامعتبر"),"",IF(Entry!$E595="","",LEFT(UPPER(TRIM(Entry!$E595)),6)))</f>
        <v/>
      </c>
      <c r="H595">
        <f>IF($G595="","",RIGHT($E595,4)&amp;MID($E595,6,2)&amp;RIGHT($E595,2)&amp;IF($F595="","0000",IF($F595="نامعتبر","9999",LEFT($F595,2)&amp;RIGHT($F595,2)))&amp;"|"&amp;RIGHT("00000"&amp;587,5))</f>
        <v/>
      </c>
      <c r="I595">
        <f>IF($H595="","",COUNTIFS(CalcBank,$G595,CalcKey,"&lt;"&amp;$H595)+1)</f>
        <v/>
      </c>
      <c r="J595">
        <f>IF($I595="","",$G595&amp;"|"&amp;RIGHT("000000"&amp;$I595,6))</f>
        <v/>
      </c>
      <c r="K595">
        <f>IF(OR($E595="",$E595="نامعتبر"),"",LEFT($E595,4)&amp;"/"&amp;MID($E595,6,2))</f>
        <v/>
      </c>
      <c r="L595">
        <f>IF(Entry!$K595="",0,Entry!$K595)</f>
        <v/>
      </c>
      <c r="M595">
        <f>IF(Entry!$L595="",0,Entry!$L595)</f>
        <v/>
      </c>
    </row>
    <row r="596">
      <c r="A596">
        <f>IF(Entry!$C596="","",Entry!$C596)</f>
        <v/>
      </c>
      <c r="B596">
        <f>IF($A596="","",IF(ISNUMBER($A596),IF(AND($A596&gt;=10000101,$A596&lt;=99991231),INT($A596/10000),""),IFERROR(VALUE(TRIM(LEFT($A596,FIND("/",$A596)-1))),"")))</f>
        <v/>
      </c>
      <c r="C596">
        <f>IF(OR($A596="",$B596=""),"",IF(ISNUMBER($A596),INT(MOD($A596,10000)/100),IFERROR(VALUE(TRIM(LEFT(MID($A596,FIND("/",$A596)+1,20),FIND("/",MID($A596,FIND("/",$A596)+1,20))-1))),"")))</f>
        <v/>
      </c>
      <c r="D596">
        <f>IF(OR($A596="",$B596=""),"",IF(ISNUMBER($A596),MOD($A596,100),IFERROR(VALUE(TRIM(MID(MID($A596,FIND("/",$A596)+1,20),FIND("/",MID($A596,FIND("/",$A596)+1,20))+1,20))),"")))</f>
        <v/>
      </c>
      <c r="E596">
        <f>IF($A596="","",IF(OR($B596="",$C596="",$D596="",$B596&lt;1300,$B596&gt;1500,$C596&lt;1,$C596&gt;12,$D596&lt;1,$D596&gt;31),"نامعتبر",RIGHT("0000"&amp;$B596,4)&amp;"/"&amp;RIGHT("00"&amp;$C596,2)&amp;"/"&amp;RIGHT("00"&amp;$D596,2)))</f>
        <v/>
      </c>
      <c r="F596">
        <f>IF(Entry!$D596&lt;&gt;"",IF(AND(ISNUMBER(Entry!$D596),Entry!$D596&gt;=0,Entry!$D596&lt;1),RIGHT("00"&amp;HOUR(Entry!$D596),2)&amp;":"&amp;RIGHT("00"&amp;MINUTE(Entry!$D596),2),IFERROR(RIGHT("00"&amp;VALUE(TRIM(LEFT(Entry!$D596,FIND(":",Entry!$D596)-1))),2)&amp;":"&amp;RIGHT("00"&amp;VALUE(TRIM(MID(Entry!$D596,FIND(":",Entry!$D596)+1,2))),2),"نامعتبر")),IF(OR($E596="",$E596="نامعتبر"),"","00:00"))</f>
        <v/>
      </c>
      <c r="G596">
        <f>IF(OR($E596="",$E596="نامعتبر"),"",IF(Entry!$E596="","",LEFT(UPPER(TRIM(Entry!$E596)),6)))</f>
        <v/>
      </c>
      <c r="H596">
        <f>IF($G596="","",RIGHT($E596,4)&amp;MID($E596,6,2)&amp;RIGHT($E596,2)&amp;IF($F596="","0000",IF($F596="نامعتبر","9999",LEFT($F596,2)&amp;RIGHT($F596,2)))&amp;"|"&amp;RIGHT("00000"&amp;588,5))</f>
        <v/>
      </c>
      <c r="I596">
        <f>IF($H596="","",COUNTIFS(CalcBank,$G596,CalcKey,"&lt;"&amp;$H596)+1)</f>
        <v/>
      </c>
      <c r="J596">
        <f>IF($I596="","",$G596&amp;"|"&amp;RIGHT("000000"&amp;$I596,6))</f>
        <v/>
      </c>
      <c r="K596">
        <f>IF(OR($E596="",$E596="نامعتبر"),"",LEFT($E596,4)&amp;"/"&amp;MID($E596,6,2))</f>
        <v/>
      </c>
      <c r="L596">
        <f>IF(Entry!$K596="",0,Entry!$K596)</f>
        <v/>
      </c>
      <c r="M596">
        <f>IF(Entry!$L596="",0,Entry!$L596)</f>
        <v/>
      </c>
    </row>
    <row r="597">
      <c r="A597">
        <f>IF(Entry!$C597="","",Entry!$C597)</f>
        <v/>
      </c>
      <c r="B597">
        <f>IF($A597="","",IF(ISNUMBER($A597),IF(AND($A597&gt;=10000101,$A597&lt;=99991231),INT($A597/10000),""),IFERROR(VALUE(TRIM(LEFT($A597,FIND("/",$A597)-1))),"")))</f>
        <v/>
      </c>
      <c r="C597">
        <f>IF(OR($A597="",$B597=""),"",IF(ISNUMBER($A597),INT(MOD($A597,10000)/100),IFERROR(VALUE(TRIM(LEFT(MID($A597,FIND("/",$A597)+1,20),FIND("/",MID($A597,FIND("/",$A597)+1,20))-1))),"")))</f>
        <v/>
      </c>
      <c r="D597">
        <f>IF(OR($A597="",$B597=""),"",IF(ISNUMBER($A597),MOD($A597,100),IFERROR(VALUE(TRIM(MID(MID($A597,FIND("/",$A597)+1,20),FIND("/",MID($A597,FIND("/",$A597)+1,20))+1,20))),"")))</f>
        <v/>
      </c>
      <c r="E597">
        <f>IF($A597="","",IF(OR($B597="",$C597="",$D597="",$B597&lt;1300,$B597&gt;1500,$C597&lt;1,$C597&gt;12,$D597&lt;1,$D597&gt;31),"نامعتبر",RIGHT("0000"&amp;$B597,4)&amp;"/"&amp;RIGHT("00"&amp;$C597,2)&amp;"/"&amp;RIGHT("00"&amp;$D597,2)))</f>
        <v/>
      </c>
      <c r="F597">
        <f>IF(Entry!$D597&lt;&gt;"",IF(AND(ISNUMBER(Entry!$D597),Entry!$D597&gt;=0,Entry!$D597&lt;1),RIGHT("00"&amp;HOUR(Entry!$D597),2)&amp;":"&amp;RIGHT("00"&amp;MINUTE(Entry!$D597),2),IFERROR(RIGHT("00"&amp;VALUE(TRIM(LEFT(Entry!$D597,FIND(":",Entry!$D597)-1))),2)&amp;":"&amp;RIGHT("00"&amp;VALUE(TRIM(MID(Entry!$D597,FIND(":",Entry!$D597)+1,2))),2),"نامعتبر")),IF(OR($E597="",$E597="نامعتبر"),"","00:00"))</f>
        <v/>
      </c>
      <c r="G597">
        <f>IF(OR($E597="",$E597="نامعتبر"),"",IF(Entry!$E597="","",LEFT(UPPER(TRIM(Entry!$E597)),6)))</f>
        <v/>
      </c>
      <c r="H597">
        <f>IF($G597="","",RIGHT($E597,4)&amp;MID($E597,6,2)&amp;RIGHT($E597,2)&amp;IF($F597="","0000",IF($F597="نامعتبر","9999",LEFT($F597,2)&amp;RIGHT($F597,2)))&amp;"|"&amp;RIGHT("00000"&amp;589,5))</f>
        <v/>
      </c>
      <c r="I597">
        <f>IF($H597="","",COUNTIFS(CalcBank,$G597,CalcKey,"&lt;"&amp;$H597)+1)</f>
        <v/>
      </c>
      <c r="J597">
        <f>IF($I597="","",$G597&amp;"|"&amp;RIGHT("000000"&amp;$I597,6))</f>
        <v/>
      </c>
      <c r="K597">
        <f>IF(OR($E597="",$E597="نامعتبر"),"",LEFT($E597,4)&amp;"/"&amp;MID($E597,6,2))</f>
        <v/>
      </c>
      <c r="L597">
        <f>IF(Entry!$K597="",0,Entry!$K597)</f>
        <v/>
      </c>
      <c r="M597">
        <f>IF(Entry!$L597="",0,Entry!$L597)</f>
        <v/>
      </c>
    </row>
    <row r="598">
      <c r="A598">
        <f>IF(Entry!$C598="","",Entry!$C598)</f>
        <v/>
      </c>
      <c r="B598">
        <f>IF($A598="","",IF(ISNUMBER($A598),IF(AND($A598&gt;=10000101,$A598&lt;=99991231),INT($A598/10000),""),IFERROR(VALUE(TRIM(LEFT($A598,FIND("/",$A598)-1))),"")))</f>
        <v/>
      </c>
      <c r="C598">
        <f>IF(OR($A598="",$B598=""),"",IF(ISNUMBER($A598),INT(MOD($A598,10000)/100),IFERROR(VALUE(TRIM(LEFT(MID($A598,FIND("/",$A598)+1,20),FIND("/",MID($A598,FIND("/",$A598)+1,20))-1))),"")))</f>
        <v/>
      </c>
      <c r="D598">
        <f>IF(OR($A598="",$B598=""),"",IF(ISNUMBER($A598),MOD($A598,100),IFERROR(VALUE(TRIM(MID(MID($A598,FIND("/",$A598)+1,20),FIND("/",MID($A598,FIND("/",$A598)+1,20))+1,20))),"")))</f>
        <v/>
      </c>
      <c r="E598">
        <f>IF($A598="","",IF(OR($B598="",$C598="",$D598="",$B598&lt;1300,$B598&gt;1500,$C598&lt;1,$C598&gt;12,$D598&lt;1,$D598&gt;31),"نامعتبر",RIGHT("0000"&amp;$B598,4)&amp;"/"&amp;RIGHT("00"&amp;$C598,2)&amp;"/"&amp;RIGHT("00"&amp;$D598,2)))</f>
        <v/>
      </c>
      <c r="F598">
        <f>IF(Entry!$D598&lt;&gt;"",IF(AND(ISNUMBER(Entry!$D598),Entry!$D598&gt;=0,Entry!$D598&lt;1),RIGHT("00"&amp;HOUR(Entry!$D598),2)&amp;":"&amp;RIGHT("00"&amp;MINUTE(Entry!$D598),2),IFERROR(RIGHT("00"&amp;VALUE(TRIM(LEFT(Entry!$D598,FIND(":",Entry!$D598)-1))),2)&amp;":"&amp;RIGHT("00"&amp;VALUE(TRIM(MID(Entry!$D598,FIND(":",Entry!$D598)+1,2))),2),"نامعتبر")),IF(OR($E598="",$E598="نامعتبر"),"","00:00"))</f>
        <v/>
      </c>
      <c r="G598">
        <f>IF(OR($E598="",$E598="نامعتبر"),"",IF(Entry!$E598="","",LEFT(UPPER(TRIM(Entry!$E598)),6)))</f>
        <v/>
      </c>
      <c r="H598">
        <f>IF($G598="","",RIGHT($E598,4)&amp;MID($E598,6,2)&amp;RIGHT($E598,2)&amp;IF($F598="","0000",IF($F598="نامعتبر","9999",LEFT($F598,2)&amp;RIGHT($F598,2)))&amp;"|"&amp;RIGHT("00000"&amp;590,5))</f>
        <v/>
      </c>
      <c r="I598">
        <f>IF($H598="","",COUNTIFS(CalcBank,$G598,CalcKey,"&lt;"&amp;$H598)+1)</f>
        <v/>
      </c>
      <c r="J598">
        <f>IF($I598="","",$G598&amp;"|"&amp;RIGHT("000000"&amp;$I598,6))</f>
        <v/>
      </c>
      <c r="K598">
        <f>IF(OR($E598="",$E598="نامعتبر"),"",LEFT($E598,4)&amp;"/"&amp;MID($E598,6,2))</f>
        <v/>
      </c>
      <c r="L598">
        <f>IF(Entry!$K598="",0,Entry!$K598)</f>
        <v/>
      </c>
      <c r="M598">
        <f>IF(Entry!$L598="",0,Entry!$L598)</f>
        <v/>
      </c>
    </row>
    <row r="599">
      <c r="A599">
        <f>IF(Entry!$C599="","",Entry!$C599)</f>
        <v/>
      </c>
      <c r="B599">
        <f>IF($A599="","",IF(ISNUMBER($A599),IF(AND($A599&gt;=10000101,$A599&lt;=99991231),INT($A599/10000),""),IFERROR(VALUE(TRIM(LEFT($A599,FIND("/",$A599)-1))),"")))</f>
        <v/>
      </c>
      <c r="C599">
        <f>IF(OR($A599="",$B599=""),"",IF(ISNUMBER($A599),INT(MOD($A599,10000)/100),IFERROR(VALUE(TRIM(LEFT(MID($A599,FIND("/",$A599)+1,20),FIND("/",MID($A599,FIND("/",$A599)+1,20))-1))),"")))</f>
        <v/>
      </c>
      <c r="D599">
        <f>IF(OR($A599="",$B599=""),"",IF(ISNUMBER($A599),MOD($A599,100),IFERROR(VALUE(TRIM(MID(MID($A599,FIND("/",$A599)+1,20),FIND("/",MID($A599,FIND("/",$A599)+1,20))+1,20))),"")))</f>
        <v/>
      </c>
      <c r="E599">
        <f>IF($A599="","",IF(OR($B599="",$C599="",$D599="",$B599&lt;1300,$B599&gt;1500,$C599&lt;1,$C599&gt;12,$D599&lt;1,$D599&gt;31),"نامعتبر",RIGHT("0000"&amp;$B599,4)&amp;"/"&amp;RIGHT("00"&amp;$C599,2)&amp;"/"&amp;RIGHT("00"&amp;$D599,2)))</f>
        <v/>
      </c>
      <c r="F599">
        <f>IF(Entry!$D599&lt;&gt;"",IF(AND(ISNUMBER(Entry!$D599),Entry!$D599&gt;=0,Entry!$D599&lt;1),RIGHT("00"&amp;HOUR(Entry!$D599),2)&amp;":"&amp;RIGHT("00"&amp;MINUTE(Entry!$D599),2),IFERROR(RIGHT("00"&amp;VALUE(TRIM(LEFT(Entry!$D599,FIND(":",Entry!$D599)-1))),2)&amp;":"&amp;RIGHT("00"&amp;VALUE(TRIM(MID(Entry!$D599,FIND(":",Entry!$D599)+1,2))),2),"نامعتبر")),IF(OR($E599="",$E599="نامعتبر"),"","00:00"))</f>
        <v/>
      </c>
      <c r="G599">
        <f>IF(OR($E599="",$E599="نامعتبر"),"",IF(Entry!$E599="","",LEFT(UPPER(TRIM(Entry!$E599)),6)))</f>
        <v/>
      </c>
      <c r="H599">
        <f>IF($G599="","",RIGHT($E599,4)&amp;MID($E599,6,2)&amp;RIGHT($E599,2)&amp;IF($F599="","0000",IF($F599="نامعتبر","9999",LEFT($F599,2)&amp;RIGHT($F599,2)))&amp;"|"&amp;RIGHT("00000"&amp;591,5))</f>
        <v/>
      </c>
      <c r="I599">
        <f>IF($H599="","",COUNTIFS(CalcBank,$G599,CalcKey,"&lt;"&amp;$H599)+1)</f>
        <v/>
      </c>
      <c r="J599">
        <f>IF($I599="","",$G599&amp;"|"&amp;RIGHT("000000"&amp;$I599,6))</f>
        <v/>
      </c>
      <c r="K599">
        <f>IF(OR($E599="",$E599="نامعتبر"),"",LEFT($E599,4)&amp;"/"&amp;MID($E599,6,2))</f>
        <v/>
      </c>
      <c r="L599">
        <f>IF(Entry!$K599="",0,Entry!$K599)</f>
        <v/>
      </c>
      <c r="M599">
        <f>IF(Entry!$L599="",0,Entry!$L599)</f>
        <v/>
      </c>
    </row>
    <row r="600">
      <c r="A600">
        <f>IF(Entry!$C600="","",Entry!$C600)</f>
        <v/>
      </c>
      <c r="B600">
        <f>IF($A600="","",IF(ISNUMBER($A600),IF(AND($A600&gt;=10000101,$A600&lt;=99991231),INT($A600/10000),""),IFERROR(VALUE(TRIM(LEFT($A600,FIND("/",$A600)-1))),"")))</f>
        <v/>
      </c>
      <c r="C600">
        <f>IF(OR($A600="",$B600=""),"",IF(ISNUMBER($A600),INT(MOD($A600,10000)/100),IFERROR(VALUE(TRIM(LEFT(MID($A600,FIND("/",$A600)+1,20),FIND("/",MID($A600,FIND("/",$A600)+1,20))-1))),"")))</f>
        <v/>
      </c>
      <c r="D600">
        <f>IF(OR($A600="",$B600=""),"",IF(ISNUMBER($A600),MOD($A600,100),IFERROR(VALUE(TRIM(MID(MID($A600,FIND("/",$A600)+1,20),FIND("/",MID($A600,FIND("/",$A600)+1,20))+1,20))),"")))</f>
        <v/>
      </c>
      <c r="E600">
        <f>IF($A600="","",IF(OR($B600="",$C600="",$D600="",$B600&lt;1300,$B600&gt;1500,$C600&lt;1,$C600&gt;12,$D600&lt;1,$D600&gt;31),"نامعتبر",RIGHT("0000"&amp;$B600,4)&amp;"/"&amp;RIGHT("00"&amp;$C600,2)&amp;"/"&amp;RIGHT("00"&amp;$D600,2)))</f>
        <v/>
      </c>
      <c r="F600">
        <f>IF(Entry!$D600&lt;&gt;"",IF(AND(ISNUMBER(Entry!$D600),Entry!$D600&gt;=0,Entry!$D600&lt;1),RIGHT("00"&amp;HOUR(Entry!$D600),2)&amp;":"&amp;RIGHT("00"&amp;MINUTE(Entry!$D600),2),IFERROR(RIGHT("00"&amp;VALUE(TRIM(LEFT(Entry!$D600,FIND(":",Entry!$D600)-1))),2)&amp;":"&amp;RIGHT("00"&amp;VALUE(TRIM(MID(Entry!$D600,FIND(":",Entry!$D600)+1,2))),2),"نامعتبر")),IF(OR($E600="",$E600="نامعتبر"),"","00:00"))</f>
        <v/>
      </c>
      <c r="G600">
        <f>IF(OR($E600="",$E600="نامعتبر"),"",IF(Entry!$E600="","",LEFT(UPPER(TRIM(Entry!$E600)),6)))</f>
        <v/>
      </c>
      <c r="H600">
        <f>IF($G600="","",RIGHT($E600,4)&amp;MID($E600,6,2)&amp;RIGHT($E600,2)&amp;IF($F600="","0000",IF($F600="نامعتبر","9999",LEFT($F600,2)&amp;RIGHT($F600,2)))&amp;"|"&amp;RIGHT("00000"&amp;592,5))</f>
        <v/>
      </c>
      <c r="I600">
        <f>IF($H600="","",COUNTIFS(CalcBank,$G600,CalcKey,"&lt;"&amp;$H600)+1)</f>
        <v/>
      </c>
      <c r="J600">
        <f>IF($I600="","",$G600&amp;"|"&amp;RIGHT("000000"&amp;$I600,6))</f>
        <v/>
      </c>
      <c r="K600">
        <f>IF(OR($E600="",$E600="نامعتبر"),"",LEFT($E600,4)&amp;"/"&amp;MID($E600,6,2))</f>
        <v/>
      </c>
      <c r="L600">
        <f>IF(Entry!$K600="",0,Entry!$K600)</f>
        <v/>
      </c>
      <c r="M600">
        <f>IF(Entry!$L600="",0,Entry!$L600)</f>
        <v/>
      </c>
    </row>
    <row r="601">
      <c r="A601">
        <f>IF(Entry!$C601="","",Entry!$C601)</f>
        <v/>
      </c>
      <c r="B601">
        <f>IF($A601="","",IF(ISNUMBER($A601),IF(AND($A601&gt;=10000101,$A601&lt;=99991231),INT($A601/10000),""),IFERROR(VALUE(TRIM(LEFT($A601,FIND("/",$A601)-1))),"")))</f>
        <v/>
      </c>
      <c r="C601">
        <f>IF(OR($A601="",$B601=""),"",IF(ISNUMBER($A601),INT(MOD($A601,10000)/100),IFERROR(VALUE(TRIM(LEFT(MID($A601,FIND("/",$A601)+1,20),FIND("/",MID($A601,FIND("/",$A601)+1,20))-1))),"")))</f>
        <v/>
      </c>
      <c r="D601">
        <f>IF(OR($A601="",$B601=""),"",IF(ISNUMBER($A601),MOD($A601,100),IFERROR(VALUE(TRIM(MID(MID($A601,FIND("/",$A601)+1,20),FIND("/",MID($A601,FIND("/",$A601)+1,20))+1,20))),"")))</f>
        <v/>
      </c>
      <c r="E601">
        <f>IF($A601="","",IF(OR($B601="",$C601="",$D601="",$B601&lt;1300,$B601&gt;1500,$C601&lt;1,$C601&gt;12,$D601&lt;1,$D601&gt;31),"نامعتبر",RIGHT("0000"&amp;$B601,4)&amp;"/"&amp;RIGHT("00"&amp;$C601,2)&amp;"/"&amp;RIGHT("00"&amp;$D601,2)))</f>
        <v/>
      </c>
      <c r="F601">
        <f>IF(Entry!$D601&lt;&gt;"",IF(AND(ISNUMBER(Entry!$D601),Entry!$D601&gt;=0,Entry!$D601&lt;1),RIGHT("00"&amp;HOUR(Entry!$D601),2)&amp;":"&amp;RIGHT("00"&amp;MINUTE(Entry!$D601),2),IFERROR(RIGHT("00"&amp;VALUE(TRIM(LEFT(Entry!$D601,FIND(":",Entry!$D601)-1))),2)&amp;":"&amp;RIGHT("00"&amp;VALUE(TRIM(MID(Entry!$D601,FIND(":",Entry!$D601)+1,2))),2),"نامعتبر")),IF(OR($E601="",$E601="نامعتبر"),"","00:00"))</f>
        <v/>
      </c>
      <c r="G601">
        <f>IF(OR($E601="",$E601="نامعتبر"),"",IF(Entry!$E601="","",LEFT(UPPER(TRIM(Entry!$E601)),6)))</f>
        <v/>
      </c>
      <c r="H601">
        <f>IF($G601="","",RIGHT($E601,4)&amp;MID($E601,6,2)&amp;RIGHT($E601,2)&amp;IF($F601="","0000",IF($F601="نامعتبر","9999",LEFT($F601,2)&amp;RIGHT($F601,2)))&amp;"|"&amp;RIGHT("00000"&amp;593,5))</f>
        <v/>
      </c>
      <c r="I601">
        <f>IF($H601="","",COUNTIFS(CalcBank,$G601,CalcKey,"&lt;"&amp;$H601)+1)</f>
        <v/>
      </c>
      <c r="J601">
        <f>IF($I601="","",$G601&amp;"|"&amp;RIGHT("000000"&amp;$I601,6))</f>
        <v/>
      </c>
      <c r="K601">
        <f>IF(OR($E601="",$E601="نامعتبر"),"",LEFT($E601,4)&amp;"/"&amp;MID($E601,6,2))</f>
        <v/>
      </c>
      <c r="L601">
        <f>IF(Entry!$K601="",0,Entry!$K601)</f>
        <v/>
      </c>
      <c r="M601">
        <f>IF(Entry!$L601="",0,Entry!$L601)</f>
        <v/>
      </c>
    </row>
    <row r="602">
      <c r="A602">
        <f>IF(Entry!$C602="","",Entry!$C602)</f>
        <v/>
      </c>
      <c r="B602">
        <f>IF($A602="","",IF(ISNUMBER($A602),IF(AND($A602&gt;=10000101,$A602&lt;=99991231),INT($A602/10000),""),IFERROR(VALUE(TRIM(LEFT($A602,FIND("/",$A602)-1))),"")))</f>
        <v/>
      </c>
      <c r="C602">
        <f>IF(OR($A602="",$B602=""),"",IF(ISNUMBER($A602),INT(MOD($A602,10000)/100),IFERROR(VALUE(TRIM(LEFT(MID($A602,FIND("/",$A602)+1,20),FIND("/",MID($A602,FIND("/",$A602)+1,20))-1))),"")))</f>
        <v/>
      </c>
      <c r="D602">
        <f>IF(OR($A602="",$B602=""),"",IF(ISNUMBER($A602),MOD($A602,100),IFERROR(VALUE(TRIM(MID(MID($A602,FIND("/",$A602)+1,20),FIND("/",MID($A602,FIND("/",$A602)+1,20))+1,20))),"")))</f>
        <v/>
      </c>
      <c r="E602">
        <f>IF($A602="","",IF(OR($B602="",$C602="",$D602="",$B602&lt;1300,$B602&gt;1500,$C602&lt;1,$C602&gt;12,$D602&lt;1,$D602&gt;31),"نامعتبر",RIGHT("0000"&amp;$B602,4)&amp;"/"&amp;RIGHT("00"&amp;$C602,2)&amp;"/"&amp;RIGHT("00"&amp;$D602,2)))</f>
        <v/>
      </c>
      <c r="F602">
        <f>IF(Entry!$D602&lt;&gt;"",IF(AND(ISNUMBER(Entry!$D602),Entry!$D602&gt;=0,Entry!$D602&lt;1),RIGHT("00"&amp;HOUR(Entry!$D602),2)&amp;":"&amp;RIGHT("00"&amp;MINUTE(Entry!$D602),2),IFERROR(RIGHT("00"&amp;VALUE(TRIM(LEFT(Entry!$D602,FIND(":",Entry!$D602)-1))),2)&amp;":"&amp;RIGHT("00"&amp;VALUE(TRIM(MID(Entry!$D602,FIND(":",Entry!$D602)+1,2))),2),"نامعتبر")),IF(OR($E602="",$E602="نامعتبر"),"","00:00"))</f>
        <v/>
      </c>
      <c r="G602">
        <f>IF(OR($E602="",$E602="نامعتبر"),"",IF(Entry!$E602="","",LEFT(UPPER(TRIM(Entry!$E602)),6)))</f>
        <v/>
      </c>
      <c r="H602">
        <f>IF($G602="","",RIGHT($E602,4)&amp;MID($E602,6,2)&amp;RIGHT($E602,2)&amp;IF($F602="","0000",IF($F602="نامعتبر","9999",LEFT($F602,2)&amp;RIGHT($F602,2)))&amp;"|"&amp;RIGHT("00000"&amp;594,5))</f>
        <v/>
      </c>
      <c r="I602">
        <f>IF($H602="","",COUNTIFS(CalcBank,$G602,CalcKey,"&lt;"&amp;$H602)+1)</f>
        <v/>
      </c>
      <c r="J602">
        <f>IF($I602="","",$G602&amp;"|"&amp;RIGHT("000000"&amp;$I602,6))</f>
        <v/>
      </c>
      <c r="K602">
        <f>IF(OR($E602="",$E602="نامعتبر"),"",LEFT($E602,4)&amp;"/"&amp;MID($E602,6,2))</f>
        <v/>
      </c>
      <c r="L602">
        <f>IF(Entry!$K602="",0,Entry!$K602)</f>
        <v/>
      </c>
      <c r="M602">
        <f>IF(Entry!$L602="",0,Entry!$L602)</f>
        <v/>
      </c>
    </row>
    <row r="603">
      <c r="A603">
        <f>IF(Entry!$C603="","",Entry!$C603)</f>
        <v/>
      </c>
      <c r="B603">
        <f>IF($A603="","",IF(ISNUMBER($A603),IF(AND($A603&gt;=10000101,$A603&lt;=99991231),INT($A603/10000),""),IFERROR(VALUE(TRIM(LEFT($A603,FIND("/",$A603)-1))),"")))</f>
        <v/>
      </c>
      <c r="C603">
        <f>IF(OR($A603="",$B603=""),"",IF(ISNUMBER($A603),INT(MOD($A603,10000)/100),IFERROR(VALUE(TRIM(LEFT(MID($A603,FIND("/",$A603)+1,20),FIND("/",MID($A603,FIND("/",$A603)+1,20))-1))),"")))</f>
        <v/>
      </c>
      <c r="D603">
        <f>IF(OR($A603="",$B603=""),"",IF(ISNUMBER($A603),MOD($A603,100),IFERROR(VALUE(TRIM(MID(MID($A603,FIND("/",$A603)+1,20),FIND("/",MID($A603,FIND("/",$A603)+1,20))+1,20))),"")))</f>
        <v/>
      </c>
      <c r="E603">
        <f>IF($A603="","",IF(OR($B603="",$C603="",$D603="",$B603&lt;1300,$B603&gt;1500,$C603&lt;1,$C603&gt;12,$D603&lt;1,$D603&gt;31),"نامعتبر",RIGHT("0000"&amp;$B603,4)&amp;"/"&amp;RIGHT("00"&amp;$C603,2)&amp;"/"&amp;RIGHT("00"&amp;$D603,2)))</f>
        <v/>
      </c>
      <c r="F603">
        <f>IF(Entry!$D603&lt;&gt;"",IF(AND(ISNUMBER(Entry!$D603),Entry!$D603&gt;=0,Entry!$D603&lt;1),RIGHT("00"&amp;HOUR(Entry!$D603),2)&amp;":"&amp;RIGHT("00"&amp;MINUTE(Entry!$D603),2),IFERROR(RIGHT("00"&amp;VALUE(TRIM(LEFT(Entry!$D603,FIND(":",Entry!$D603)-1))),2)&amp;":"&amp;RIGHT("00"&amp;VALUE(TRIM(MID(Entry!$D603,FIND(":",Entry!$D603)+1,2))),2),"نامعتبر")),IF(OR($E603="",$E603="نامعتبر"),"","00:00"))</f>
        <v/>
      </c>
      <c r="G603">
        <f>IF(OR($E603="",$E603="نامعتبر"),"",IF(Entry!$E603="","",LEFT(UPPER(TRIM(Entry!$E603)),6)))</f>
        <v/>
      </c>
      <c r="H603">
        <f>IF($G603="","",RIGHT($E603,4)&amp;MID($E603,6,2)&amp;RIGHT($E603,2)&amp;IF($F603="","0000",IF($F603="نامعتبر","9999",LEFT($F603,2)&amp;RIGHT($F603,2)))&amp;"|"&amp;RIGHT("00000"&amp;595,5))</f>
        <v/>
      </c>
      <c r="I603">
        <f>IF($H603="","",COUNTIFS(CalcBank,$G603,CalcKey,"&lt;"&amp;$H603)+1)</f>
        <v/>
      </c>
      <c r="J603">
        <f>IF($I603="","",$G603&amp;"|"&amp;RIGHT("000000"&amp;$I603,6))</f>
        <v/>
      </c>
      <c r="K603">
        <f>IF(OR($E603="",$E603="نامعتبر"),"",LEFT($E603,4)&amp;"/"&amp;MID($E603,6,2))</f>
        <v/>
      </c>
      <c r="L603">
        <f>IF(Entry!$K603="",0,Entry!$K603)</f>
        <v/>
      </c>
      <c r="M603">
        <f>IF(Entry!$L603="",0,Entry!$L603)</f>
        <v/>
      </c>
    </row>
    <row r="604">
      <c r="A604">
        <f>IF(Entry!$C604="","",Entry!$C604)</f>
        <v/>
      </c>
      <c r="B604">
        <f>IF($A604="","",IF(ISNUMBER($A604),IF(AND($A604&gt;=10000101,$A604&lt;=99991231),INT($A604/10000),""),IFERROR(VALUE(TRIM(LEFT($A604,FIND("/",$A604)-1))),"")))</f>
        <v/>
      </c>
      <c r="C604">
        <f>IF(OR($A604="",$B604=""),"",IF(ISNUMBER($A604),INT(MOD($A604,10000)/100),IFERROR(VALUE(TRIM(LEFT(MID($A604,FIND("/",$A604)+1,20),FIND("/",MID($A604,FIND("/",$A604)+1,20))-1))),"")))</f>
        <v/>
      </c>
      <c r="D604">
        <f>IF(OR($A604="",$B604=""),"",IF(ISNUMBER($A604),MOD($A604,100),IFERROR(VALUE(TRIM(MID(MID($A604,FIND("/",$A604)+1,20),FIND("/",MID($A604,FIND("/",$A604)+1,20))+1,20))),"")))</f>
        <v/>
      </c>
      <c r="E604">
        <f>IF($A604="","",IF(OR($B604="",$C604="",$D604="",$B604&lt;1300,$B604&gt;1500,$C604&lt;1,$C604&gt;12,$D604&lt;1,$D604&gt;31),"نامعتبر",RIGHT("0000"&amp;$B604,4)&amp;"/"&amp;RIGHT("00"&amp;$C604,2)&amp;"/"&amp;RIGHT("00"&amp;$D604,2)))</f>
        <v/>
      </c>
      <c r="F604">
        <f>IF(Entry!$D604&lt;&gt;"",IF(AND(ISNUMBER(Entry!$D604),Entry!$D604&gt;=0,Entry!$D604&lt;1),RIGHT("00"&amp;HOUR(Entry!$D604),2)&amp;":"&amp;RIGHT("00"&amp;MINUTE(Entry!$D604),2),IFERROR(RIGHT("00"&amp;VALUE(TRIM(LEFT(Entry!$D604,FIND(":",Entry!$D604)-1))),2)&amp;":"&amp;RIGHT("00"&amp;VALUE(TRIM(MID(Entry!$D604,FIND(":",Entry!$D604)+1,2))),2),"نامعتبر")),IF(OR($E604="",$E604="نامعتبر"),"","00:00"))</f>
        <v/>
      </c>
      <c r="G604">
        <f>IF(OR($E604="",$E604="نامعتبر"),"",IF(Entry!$E604="","",LEFT(UPPER(TRIM(Entry!$E604)),6)))</f>
        <v/>
      </c>
      <c r="H604">
        <f>IF($G604="","",RIGHT($E604,4)&amp;MID($E604,6,2)&amp;RIGHT($E604,2)&amp;IF($F604="","0000",IF($F604="نامعتبر","9999",LEFT($F604,2)&amp;RIGHT($F604,2)))&amp;"|"&amp;RIGHT("00000"&amp;596,5))</f>
        <v/>
      </c>
      <c r="I604">
        <f>IF($H604="","",COUNTIFS(CalcBank,$G604,CalcKey,"&lt;"&amp;$H604)+1)</f>
        <v/>
      </c>
      <c r="J604">
        <f>IF($I604="","",$G604&amp;"|"&amp;RIGHT("000000"&amp;$I604,6))</f>
        <v/>
      </c>
      <c r="K604">
        <f>IF(OR($E604="",$E604="نامعتبر"),"",LEFT($E604,4)&amp;"/"&amp;MID($E604,6,2))</f>
        <v/>
      </c>
      <c r="L604">
        <f>IF(Entry!$K604="",0,Entry!$K604)</f>
        <v/>
      </c>
      <c r="M604">
        <f>IF(Entry!$L604="",0,Entry!$L604)</f>
        <v/>
      </c>
    </row>
    <row r="605">
      <c r="A605">
        <f>IF(Entry!$C605="","",Entry!$C605)</f>
        <v/>
      </c>
      <c r="B605">
        <f>IF($A605="","",IF(ISNUMBER($A605),IF(AND($A605&gt;=10000101,$A605&lt;=99991231),INT($A605/10000),""),IFERROR(VALUE(TRIM(LEFT($A605,FIND("/",$A605)-1))),"")))</f>
        <v/>
      </c>
      <c r="C605">
        <f>IF(OR($A605="",$B605=""),"",IF(ISNUMBER($A605),INT(MOD($A605,10000)/100),IFERROR(VALUE(TRIM(LEFT(MID($A605,FIND("/",$A605)+1,20),FIND("/",MID($A605,FIND("/",$A605)+1,20))-1))),"")))</f>
        <v/>
      </c>
      <c r="D605">
        <f>IF(OR($A605="",$B605=""),"",IF(ISNUMBER($A605),MOD($A605,100),IFERROR(VALUE(TRIM(MID(MID($A605,FIND("/",$A605)+1,20),FIND("/",MID($A605,FIND("/",$A605)+1,20))+1,20))),"")))</f>
        <v/>
      </c>
      <c r="E605">
        <f>IF($A605="","",IF(OR($B605="",$C605="",$D605="",$B605&lt;1300,$B605&gt;1500,$C605&lt;1,$C605&gt;12,$D605&lt;1,$D605&gt;31),"نامعتبر",RIGHT("0000"&amp;$B605,4)&amp;"/"&amp;RIGHT("00"&amp;$C605,2)&amp;"/"&amp;RIGHT("00"&amp;$D605,2)))</f>
        <v/>
      </c>
      <c r="F605">
        <f>IF(Entry!$D605&lt;&gt;"",IF(AND(ISNUMBER(Entry!$D605),Entry!$D605&gt;=0,Entry!$D605&lt;1),RIGHT("00"&amp;HOUR(Entry!$D605),2)&amp;":"&amp;RIGHT("00"&amp;MINUTE(Entry!$D605),2),IFERROR(RIGHT("00"&amp;VALUE(TRIM(LEFT(Entry!$D605,FIND(":",Entry!$D605)-1))),2)&amp;":"&amp;RIGHT("00"&amp;VALUE(TRIM(MID(Entry!$D605,FIND(":",Entry!$D605)+1,2))),2),"نامعتبر")),IF(OR($E605="",$E605="نامعتبر"),"","00:00"))</f>
        <v/>
      </c>
      <c r="G605">
        <f>IF(OR($E605="",$E605="نامعتبر"),"",IF(Entry!$E605="","",LEFT(UPPER(TRIM(Entry!$E605)),6)))</f>
        <v/>
      </c>
      <c r="H605">
        <f>IF($G605="","",RIGHT($E605,4)&amp;MID($E605,6,2)&amp;RIGHT($E605,2)&amp;IF($F605="","0000",IF($F605="نامعتبر","9999",LEFT($F605,2)&amp;RIGHT($F605,2)))&amp;"|"&amp;RIGHT("00000"&amp;597,5))</f>
        <v/>
      </c>
      <c r="I605">
        <f>IF($H605="","",COUNTIFS(CalcBank,$G605,CalcKey,"&lt;"&amp;$H605)+1)</f>
        <v/>
      </c>
      <c r="J605">
        <f>IF($I605="","",$G605&amp;"|"&amp;RIGHT("000000"&amp;$I605,6))</f>
        <v/>
      </c>
      <c r="K605">
        <f>IF(OR($E605="",$E605="نامعتبر"),"",LEFT($E605,4)&amp;"/"&amp;MID($E605,6,2))</f>
        <v/>
      </c>
      <c r="L605">
        <f>IF(Entry!$K605="",0,Entry!$K605)</f>
        <v/>
      </c>
      <c r="M605">
        <f>IF(Entry!$L605="",0,Entry!$L605)</f>
        <v/>
      </c>
    </row>
    <row r="606">
      <c r="A606">
        <f>IF(Entry!$C606="","",Entry!$C606)</f>
        <v/>
      </c>
      <c r="B606">
        <f>IF($A606="","",IF(ISNUMBER($A606),IF(AND($A606&gt;=10000101,$A606&lt;=99991231),INT($A606/10000),""),IFERROR(VALUE(TRIM(LEFT($A606,FIND("/",$A606)-1))),"")))</f>
        <v/>
      </c>
      <c r="C606">
        <f>IF(OR($A606="",$B606=""),"",IF(ISNUMBER($A606),INT(MOD($A606,10000)/100),IFERROR(VALUE(TRIM(LEFT(MID($A606,FIND("/",$A606)+1,20),FIND("/",MID($A606,FIND("/",$A606)+1,20))-1))),"")))</f>
        <v/>
      </c>
      <c r="D606">
        <f>IF(OR($A606="",$B606=""),"",IF(ISNUMBER($A606),MOD($A606,100),IFERROR(VALUE(TRIM(MID(MID($A606,FIND("/",$A606)+1,20),FIND("/",MID($A606,FIND("/",$A606)+1,20))+1,20))),"")))</f>
        <v/>
      </c>
      <c r="E606">
        <f>IF($A606="","",IF(OR($B606="",$C606="",$D606="",$B606&lt;1300,$B606&gt;1500,$C606&lt;1,$C606&gt;12,$D606&lt;1,$D606&gt;31),"نامعتبر",RIGHT("0000"&amp;$B606,4)&amp;"/"&amp;RIGHT("00"&amp;$C606,2)&amp;"/"&amp;RIGHT("00"&amp;$D606,2)))</f>
        <v/>
      </c>
      <c r="F606">
        <f>IF(Entry!$D606&lt;&gt;"",IF(AND(ISNUMBER(Entry!$D606),Entry!$D606&gt;=0,Entry!$D606&lt;1),RIGHT("00"&amp;HOUR(Entry!$D606),2)&amp;":"&amp;RIGHT("00"&amp;MINUTE(Entry!$D606),2),IFERROR(RIGHT("00"&amp;VALUE(TRIM(LEFT(Entry!$D606,FIND(":",Entry!$D606)-1))),2)&amp;":"&amp;RIGHT("00"&amp;VALUE(TRIM(MID(Entry!$D606,FIND(":",Entry!$D606)+1,2))),2),"نامعتبر")),IF(OR($E606="",$E606="نامعتبر"),"","00:00"))</f>
        <v/>
      </c>
      <c r="G606">
        <f>IF(OR($E606="",$E606="نامعتبر"),"",IF(Entry!$E606="","",LEFT(UPPER(TRIM(Entry!$E606)),6)))</f>
        <v/>
      </c>
      <c r="H606">
        <f>IF($G606="","",RIGHT($E606,4)&amp;MID($E606,6,2)&amp;RIGHT($E606,2)&amp;IF($F606="","0000",IF($F606="نامعتبر","9999",LEFT($F606,2)&amp;RIGHT($F606,2)))&amp;"|"&amp;RIGHT("00000"&amp;598,5))</f>
        <v/>
      </c>
      <c r="I606">
        <f>IF($H606="","",COUNTIFS(CalcBank,$G606,CalcKey,"&lt;"&amp;$H606)+1)</f>
        <v/>
      </c>
      <c r="J606">
        <f>IF($I606="","",$G606&amp;"|"&amp;RIGHT("000000"&amp;$I606,6))</f>
        <v/>
      </c>
      <c r="K606">
        <f>IF(OR($E606="",$E606="نامعتبر"),"",LEFT($E606,4)&amp;"/"&amp;MID($E606,6,2))</f>
        <v/>
      </c>
      <c r="L606">
        <f>IF(Entry!$K606="",0,Entry!$K606)</f>
        <v/>
      </c>
      <c r="M606">
        <f>IF(Entry!$L606="",0,Entry!$L606)</f>
        <v/>
      </c>
    </row>
    <row r="607">
      <c r="A607">
        <f>IF(Entry!$C607="","",Entry!$C607)</f>
        <v/>
      </c>
      <c r="B607">
        <f>IF($A607="","",IF(ISNUMBER($A607),IF(AND($A607&gt;=10000101,$A607&lt;=99991231),INT($A607/10000),""),IFERROR(VALUE(TRIM(LEFT($A607,FIND("/",$A607)-1))),"")))</f>
        <v/>
      </c>
      <c r="C607">
        <f>IF(OR($A607="",$B607=""),"",IF(ISNUMBER($A607),INT(MOD($A607,10000)/100),IFERROR(VALUE(TRIM(LEFT(MID($A607,FIND("/",$A607)+1,20),FIND("/",MID($A607,FIND("/",$A607)+1,20))-1))),"")))</f>
        <v/>
      </c>
      <c r="D607">
        <f>IF(OR($A607="",$B607=""),"",IF(ISNUMBER($A607),MOD($A607,100),IFERROR(VALUE(TRIM(MID(MID($A607,FIND("/",$A607)+1,20),FIND("/",MID($A607,FIND("/",$A607)+1,20))+1,20))),"")))</f>
        <v/>
      </c>
      <c r="E607">
        <f>IF($A607="","",IF(OR($B607="",$C607="",$D607="",$B607&lt;1300,$B607&gt;1500,$C607&lt;1,$C607&gt;12,$D607&lt;1,$D607&gt;31),"نامعتبر",RIGHT("0000"&amp;$B607,4)&amp;"/"&amp;RIGHT("00"&amp;$C607,2)&amp;"/"&amp;RIGHT("00"&amp;$D607,2)))</f>
        <v/>
      </c>
      <c r="F607">
        <f>IF(Entry!$D607&lt;&gt;"",IF(AND(ISNUMBER(Entry!$D607),Entry!$D607&gt;=0,Entry!$D607&lt;1),RIGHT("00"&amp;HOUR(Entry!$D607),2)&amp;":"&amp;RIGHT("00"&amp;MINUTE(Entry!$D607),2),IFERROR(RIGHT("00"&amp;VALUE(TRIM(LEFT(Entry!$D607,FIND(":",Entry!$D607)-1))),2)&amp;":"&amp;RIGHT("00"&amp;VALUE(TRIM(MID(Entry!$D607,FIND(":",Entry!$D607)+1,2))),2),"نامعتبر")),IF(OR($E607="",$E607="نامعتبر"),"","00:00"))</f>
        <v/>
      </c>
      <c r="G607">
        <f>IF(OR($E607="",$E607="نامعتبر"),"",IF(Entry!$E607="","",LEFT(UPPER(TRIM(Entry!$E607)),6)))</f>
        <v/>
      </c>
      <c r="H607">
        <f>IF($G607="","",RIGHT($E607,4)&amp;MID($E607,6,2)&amp;RIGHT($E607,2)&amp;IF($F607="","0000",IF($F607="نامعتبر","9999",LEFT($F607,2)&amp;RIGHT($F607,2)))&amp;"|"&amp;RIGHT("00000"&amp;599,5))</f>
        <v/>
      </c>
      <c r="I607">
        <f>IF($H607="","",COUNTIFS(CalcBank,$G607,CalcKey,"&lt;"&amp;$H607)+1)</f>
        <v/>
      </c>
      <c r="J607">
        <f>IF($I607="","",$G607&amp;"|"&amp;RIGHT("000000"&amp;$I607,6))</f>
        <v/>
      </c>
      <c r="K607">
        <f>IF(OR($E607="",$E607="نامعتبر"),"",LEFT($E607,4)&amp;"/"&amp;MID($E607,6,2))</f>
        <v/>
      </c>
      <c r="L607">
        <f>IF(Entry!$K607="",0,Entry!$K607)</f>
        <v/>
      </c>
      <c r="M607">
        <f>IF(Entry!$L607="",0,Entry!$L607)</f>
        <v/>
      </c>
    </row>
    <row r="608">
      <c r="A608">
        <f>IF(Entry!$C608="","",Entry!$C608)</f>
        <v/>
      </c>
      <c r="B608">
        <f>IF($A608="","",IF(ISNUMBER($A608),IF(AND($A608&gt;=10000101,$A608&lt;=99991231),INT($A608/10000),""),IFERROR(VALUE(TRIM(LEFT($A608,FIND("/",$A608)-1))),"")))</f>
        <v/>
      </c>
      <c r="C608">
        <f>IF(OR($A608="",$B608=""),"",IF(ISNUMBER($A608),INT(MOD($A608,10000)/100),IFERROR(VALUE(TRIM(LEFT(MID($A608,FIND("/",$A608)+1,20),FIND("/",MID($A608,FIND("/",$A608)+1,20))-1))),"")))</f>
        <v/>
      </c>
      <c r="D608">
        <f>IF(OR($A608="",$B608=""),"",IF(ISNUMBER($A608),MOD($A608,100),IFERROR(VALUE(TRIM(MID(MID($A608,FIND("/",$A608)+1,20),FIND("/",MID($A608,FIND("/",$A608)+1,20))+1,20))),"")))</f>
        <v/>
      </c>
      <c r="E608">
        <f>IF($A608="","",IF(OR($B608="",$C608="",$D608="",$B608&lt;1300,$B608&gt;1500,$C608&lt;1,$C608&gt;12,$D608&lt;1,$D608&gt;31),"نامعتبر",RIGHT("0000"&amp;$B608,4)&amp;"/"&amp;RIGHT("00"&amp;$C608,2)&amp;"/"&amp;RIGHT("00"&amp;$D608,2)))</f>
        <v/>
      </c>
      <c r="F608">
        <f>IF(Entry!$D608&lt;&gt;"",IF(AND(ISNUMBER(Entry!$D608),Entry!$D608&gt;=0,Entry!$D608&lt;1),RIGHT("00"&amp;HOUR(Entry!$D608),2)&amp;":"&amp;RIGHT("00"&amp;MINUTE(Entry!$D608),2),IFERROR(RIGHT("00"&amp;VALUE(TRIM(LEFT(Entry!$D608,FIND(":",Entry!$D608)-1))),2)&amp;":"&amp;RIGHT("00"&amp;VALUE(TRIM(MID(Entry!$D608,FIND(":",Entry!$D608)+1,2))),2),"نامعتبر")),IF(OR($E608="",$E608="نامعتبر"),"","00:00"))</f>
        <v/>
      </c>
      <c r="G608">
        <f>IF(OR($E608="",$E608="نامعتبر"),"",IF(Entry!$E608="","",LEFT(UPPER(TRIM(Entry!$E608)),6)))</f>
        <v/>
      </c>
      <c r="H608">
        <f>IF($G608="","",RIGHT($E608,4)&amp;MID($E608,6,2)&amp;RIGHT($E608,2)&amp;IF($F608="","0000",IF($F608="نامعتبر","9999",LEFT($F608,2)&amp;RIGHT($F608,2)))&amp;"|"&amp;RIGHT("00000"&amp;600,5))</f>
        <v/>
      </c>
      <c r="I608">
        <f>IF($H608="","",COUNTIFS(CalcBank,$G608,CalcKey,"&lt;"&amp;$H608)+1)</f>
        <v/>
      </c>
      <c r="J608">
        <f>IF($I608="","",$G608&amp;"|"&amp;RIGHT("000000"&amp;$I608,6))</f>
        <v/>
      </c>
      <c r="K608">
        <f>IF(OR($E608="",$E608="نامعتبر"),"",LEFT($E608,4)&amp;"/"&amp;MID($E608,6,2))</f>
        <v/>
      </c>
      <c r="L608">
        <f>IF(Entry!$K608="",0,Entry!$K608)</f>
        <v/>
      </c>
      <c r="M608">
        <f>IF(Entry!$L608="",0,Entry!$L608)</f>
        <v/>
      </c>
    </row>
    <row r="609">
      <c r="A609">
        <f>IF(Entry!$C609="","",Entry!$C609)</f>
        <v/>
      </c>
      <c r="B609">
        <f>IF($A609="","",IF(ISNUMBER($A609),IF(AND($A609&gt;=10000101,$A609&lt;=99991231),INT($A609/10000),""),IFERROR(VALUE(TRIM(LEFT($A609,FIND("/",$A609)-1))),"")))</f>
        <v/>
      </c>
      <c r="C609">
        <f>IF(OR($A609="",$B609=""),"",IF(ISNUMBER($A609),INT(MOD($A609,10000)/100),IFERROR(VALUE(TRIM(LEFT(MID($A609,FIND("/",$A609)+1,20),FIND("/",MID($A609,FIND("/",$A609)+1,20))-1))),"")))</f>
        <v/>
      </c>
      <c r="D609">
        <f>IF(OR($A609="",$B609=""),"",IF(ISNUMBER($A609),MOD($A609,100),IFERROR(VALUE(TRIM(MID(MID($A609,FIND("/",$A609)+1,20),FIND("/",MID($A609,FIND("/",$A609)+1,20))+1,20))),"")))</f>
        <v/>
      </c>
      <c r="E609">
        <f>IF($A609="","",IF(OR($B609="",$C609="",$D609="",$B609&lt;1300,$B609&gt;1500,$C609&lt;1,$C609&gt;12,$D609&lt;1,$D609&gt;31),"نامعتبر",RIGHT("0000"&amp;$B609,4)&amp;"/"&amp;RIGHT("00"&amp;$C609,2)&amp;"/"&amp;RIGHT("00"&amp;$D609,2)))</f>
        <v/>
      </c>
      <c r="F609">
        <f>IF(Entry!$D609&lt;&gt;"",IF(AND(ISNUMBER(Entry!$D609),Entry!$D609&gt;=0,Entry!$D609&lt;1),RIGHT("00"&amp;HOUR(Entry!$D609),2)&amp;":"&amp;RIGHT("00"&amp;MINUTE(Entry!$D609),2),IFERROR(RIGHT("00"&amp;VALUE(TRIM(LEFT(Entry!$D609,FIND(":",Entry!$D609)-1))),2)&amp;":"&amp;RIGHT("00"&amp;VALUE(TRIM(MID(Entry!$D609,FIND(":",Entry!$D609)+1,2))),2),"نامعتبر")),IF(OR($E609="",$E609="نامعتبر"),"","00:00"))</f>
        <v/>
      </c>
      <c r="G609">
        <f>IF(OR($E609="",$E609="نامعتبر"),"",IF(Entry!$E609="","",LEFT(UPPER(TRIM(Entry!$E609)),6)))</f>
        <v/>
      </c>
      <c r="H609">
        <f>IF($G609="","",RIGHT($E609,4)&amp;MID($E609,6,2)&amp;RIGHT($E609,2)&amp;IF($F609="","0000",IF($F609="نامعتبر","9999",LEFT($F609,2)&amp;RIGHT($F609,2)))&amp;"|"&amp;RIGHT("00000"&amp;601,5))</f>
        <v/>
      </c>
      <c r="I609">
        <f>IF($H609="","",COUNTIFS(CalcBank,$G609,CalcKey,"&lt;"&amp;$H609)+1)</f>
        <v/>
      </c>
      <c r="J609">
        <f>IF($I609="","",$G609&amp;"|"&amp;RIGHT("000000"&amp;$I609,6))</f>
        <v/>
      </c>
      <c r="K609">
        <f>IF(OR($E609="",$E609="نامعتبر"),"",LEFT($E609,4)&amp;"/"&amp;MID($E609,6,2))</f>
        <v/>
      </c>
      <c r="L609">
        <f>IF(Entry!$K609="",0,Entry!$K609)</f>
        <v/>
      </c>
      <c r="M609">
        <f>IF(Entry!$L609="",0,Entry!$L609)</f>
        <v/>
      </c>
    </row>
    <row r="610">
      <c r="A610">
        <f>IF(Entry!$C610="","",Entry!$C610)</f>
        <v/>
      </c>
      <c r="B610">
        <f>IF($A610="","",IF(ISNUMBER($A610),IF(AND($A610&gt;=10000101,$A610&lt;=99991231),INT($A610/10000),""),IFERROR(VALUE(TRIM(LEFT($A610,FIND("/",$A610)-1))),"")))</f>
        <v/>
      </c>
      <c r="C610">
        <f>IF(OR($A610="",$B610=""),"",IF(ISNUMBER($A610),INT(MOD($A610,10000)/100),IFERROR(VALUE(TRIM(LEFT(MID($A610,FIND("/",$A610)+1,20),FIND("/",MID($A610,FIND("/",$A610)+1,20))-1))),"")))</f>
        <v/>
      </c>
      <c r="D610">
        <f>IF(OR($A610="",$B610=""),"",IF(ISNUMBER($A610),MOD($A610,100),IFERROR(VALUE(TRIM(MID(MID($A610,FIND("/",$A610)+1,20),FIND("/",MID($A610,FIND("/",$A610)+1,20))+1,20))),"")))</f>
        <v/>
      </c>
      <c r="E610">
        <f>IF($A610="","",IF(OR($B610="",$C610="",$D610="",$B610&lt;1300,$B610&gt;1500,$C610&lt;1,$C610&gt;12,$D610&lt;1,$D610&gt;31),"نامعتبر",RIGHT("0000"&amp;$B610,4)&amp;"/"&amp;RIGHT("00"&amp;$C610,2)&amp;"/"&amp;RIGHT("00"&amp;$D610,2)))</f>
        <v/>
      </c>
      <c r="F610">
        <f>IF(Entry!$D610&lt;&gt;"",IF(AND(ISNUMBER(Entry!$D610),Entry!$D610&gt;=0,Entry!$D610&lt;1),RIGHT("00"&amp;HOUR(Entry!$D610),2)&amp;":"&amp;RIGHT("00"&amp;MINUTE(Entry!$D610),2),IFERROR(RIGHT("00"&amp;VALUE(TRIM(LEFT(Entry!$D610,FIND(":",Entry!$D610)-1))),2)&amp;":"&amp;RIGHT("00"&amp;VALUE(TRIM(MID(Entry!$D610,FIND(":",Entry!$D610)+1,2))),2),"نامعتبر")),IF(OR($E610="",$E610="نامعتبر"),"","00:00"))</f>
        <v/>
      </c>
      <c r="G610">
        <f>IF(OR($E610="",$E610="نامعتبر"),"",IF(Entry!$E610="","",LEFT(UPPER(TRIM(Entry!$E610)),6)))</f>
        <v/>
      </c>
      <c r="H610">
        <f>IF($G610="","",RIGHT($E610,4)&amp;MID($E610,6,2)&amp;RIGHT($E610,2)&amp;IF($F610="","0000",IF($F610="نامعتبر","9999",LEFT($F610,2)&amp;RIGHT($F610,2)))&amp;"|"&amp;RIGHT("00000"&amp;602,5))</f>
        <v/>
      </c>
      <c r="I610">
        <f>IF($H610="","",COUNTIFS(CalcBank,$G610,CalcKey,"&lt;"&amp;$H610)+1)</f>
        <v/>
      </c>
      <c r="J610">
        <f>IF($I610="","",$G610&amp;"|"&amp;RIGHT("000000"&amp;$I610,6))</f>
        <v/>
      </c>
      <c r="K610">
        <f>IF(OR($E610="",$E610="نامعتبر"),"",LEFT($E610,4)&amp;"/"&amp;MID($E610,6,2))</f>
        <v/>
      </c>
      <c r="L610">
        <f>IF(Entry!$K610="",0,Entry!$K610)</f>
        <v/>
      </c>
      <c r="M610">
        <f>IF(Entry!$L610="",0,Entry!$L610)</f>
        <v/>
      </c>
    </row>
    <row r="611">
      <c r="A611">
        <f>IF(Entry!$C611="","",Entry!$C611)</f>
        <v/>
      </c>
      <c r="B611">
        <f>IF($A611="","",IF(ISNUMBER($A611),IF(AND($A611&gt;=10000101,$A611&lt;=99991231),INT($A611/10000),""),IFERROR(VALUE(TRIM(LEFT($A611,FIND("/",$A611)-1))),"")))</f>
        <v/>
      </c>
      <c r="C611">
        <f>IF(OR($A611="",$B611=""),"",IF(ISNUMBER($A611),INT(MOD($A611,10000)/100),IFERROR(VALUE(TRIM(LEFT(MID($A611,FIND("/",$A611)+1,20),FIND("/",MID($A611,FIND("/",$A611)+1,20))-1))),"")))</f>
        <v/>
      </c>
      <c r="D611">
        <f>IF(OR($A611="",$B611=""),"",IF(ISNUMBER($A611),MOD($A611,100),IFERROR(VALUE(TRIM(MID(MID($A611,FIND("/",$A611)+1,20),FIND("/",MID($A611,FIND("/",$A611)+1,20))+1,20))),"")))</f>
        <v/>
      </c>
      <c r="E611">
        <f>IF($A611="","",IF(OR($B611="",$C611="",$D611="",$B611&lt;1300,$B611&gt;1500,$C611&lt;1,$C611&gt;12,$D611&lt;1,$D611&gt;31),"نامعتبر",RIGHT("0000"&amp;$B611,4)&amp;"/"&amp;RIGHT("00"&amp;$C611,2)&amp;"/"&amp;RIGHT("00"&amp;$D611,2)))</f>
        <v/>
      </c>
      <c r="F611">
        <f>IF(Entry!$D611&lt;&gt;"",IF(AND(ISNUMBER(Entry!$D611),Entry!$D611&gt;=0,Entry!$D611&lt;1),RIGHT("00"&amp;HOUR(Entry!$D611),2)&amp;":"&amp;RIGHT("00"&amp;MINUTE(Entry!$D611),2),IFERROR(RIGHT("00"&amp;VALUE(TRIM(LEFT(Entry!$D611,FIND(":",Entry!$D611)-1))),2)&amp;":"&amp;RIGHT("00"&amp;VALUE(TRIM(MID(Entry!$D611,FIND(":",Entry!$D611)+1,2))),2),"نامعتبر")),IF(OR($E611="",$E611="نامعتبر"),"","00:00"))</f>
        <v/>
      </c>
      <c r="G611">
        <f>IF(OR($E611="",$E611="نامعتبر"),"",IF(Entry!$E611="","",LEFT(UPPER(TRIM(Entry!$E611)),6)))</f>
        <v/>
      </c>
      <c r="H611">
        <f>IF($G611="","",RIGHT($E611,4)&amp;MID($E611,6,2)&amp;RIGHT($E611,2)&amp;IF($F611="","0000",IF($F611="نامعتبر","9999",LEFT($F611,2)&amp;RIGHT($F611,2)))&amp;"|"&amp;RIGHT("00000"&amp;603,5))</f>
        <v/>
      </c>
      <c r="I611">
        <f>IF($H611="","",COUNTIFS(CalcBank,$G611,CalcKey,"&lt;"&amp;$H611)+1)</f>
        <v/>
      </c>
      <c r="J611">
        <f>IF($I611="","",$G611&amp;"|"&amp;RIGHT("000000"&amp;$I611,6))</f>
        <v/>
      </c>
      <c r="K611">
        <f>IF(OR($E611="",$E611="نامعتبر"),"",LEFT($E611,4)&amp;"/"&amp;MID($E611,6,2))</f>
        <v/>
      </c>
      <c r="L611">
        <f>IF(Entry!$K611="",0,Entry!$K611)</f>
        <v/>
      </c>
      <c r="M611">
        <f>IF(Entry!$L611="",0,Entry!$L611)</f>
        <v/>
      </c>
    </row>
    <row r="612">
      <c r="A612">
        <f>IF(Entry!$C612="","",Entry!$C612)</f>
        <v/>
      </c>
      <c r="B612">
        <f>IF($A612="","",IF(ISNUMBER($A612),IF(AND($A612&gt;=10000101,$A612&lt;=99991231),INT($A612/10000),""),IFERROR(VALUE(TRIM(LEFT($A612,FIND("/",$A612)-1))),"")))</f>
        <v/>
      </c>
      <c r="C612">
        <f>IF(OR($A612="",$B612=""),"",IF(ISNUMBER($A612),INT(MOD($A612,10000)/100),IFERROR(VALUE(TRIM(LEFT(MID($A612,FIND("/",$A612)+1,20),FIND("/",MID($A612,FIND("/",$A612)+1,20))-1))),"")))</f>
        <v/>
      </c>
      <c r="D612">
        <f>IF(OR($A612="",$B612=""),"",IF(ISNUMBER($A612),MOD($A612,100),IFERROR(VALUE(TRIM(MID(MID($A612,FIND("/",$A612)+1,20),FIND("/",MID($A612,FIND("/",$A612)+1,20))+1,20))),"")))</f>
        <v/>
      </c>
      <c r="E612">
        <f>IF($A612="","",IF(OR($B612="",$C612="",$D612="",$B612&lt;1300,$B612&gt;1500,$C612&lt;1,$C612&gt;12,$D612&lt;1,$D612&gt;31),"نامعتبر",RIGHT("0000"&amp;$B612,4)&amp;"/"&amp;RIGHT("00"&amp;$C612,2)&amp;"/"&amp;RIGHT("00"&amp;$D612,2)))</f>
        <v/>
      </c>
      <c r="F612">
        <f>IF(Entry!$D612&lt;&gt;"",IF(AND(ISNUMBER(Entry!$D612),Entry!$D612&gt;=0,Entry!$D612&lt;1),RIGHT("00"&amp;HOUR(Entry!$D612),2)&amp;":"&amp;RIGHT("00"&amp;MINUTE(Entry!$D612),2),IFERROR(RIGHT("00"&amp;VALUE(TRIM(LEFT(Entry!$D612,FIND(":",Entry!$D612)-1))),2)&amp;":"&amp;RIGHT("00"&amp;VALUE(TRIM(MID(Entry!$D612,FIND(":",Entry!$D612)+1,2))),2),"نامعتبر")),IF(OR($E612="",$E612="نامعتبر"),"","00:00"))</f>
        <v/>
      </c>
      <c r="G612">
        <f>IF(OR($E612="",$E612="نامعتبر"),"",IF(Entry!$E612="","",LEFT(UPPER(TRIM(Entry!$E612)),6)))</f>
        <v/>
      </c>
      <c r="H612">
        <f>IF($G612="","",RIGHT($E612,4)&amp;MID($E612,6,2)&amp;RIGHT($E612,2)&amp;IF($F612="","0000",IF($F612="نامعتبر","9999",LEFT($F612,2)&amp;RIGHT($F612,2)))&amp;"|"&amp;RIGHT("00000"&amp;604,5))</f>
        <v/>
      </c>
      <c r="I612">
        <f>IF($H612="","",COUNTIFS(CalcBank,$G612,CalcKey,"&lt;"&amp;$H612)+1)</f>
        <v/>
      </c>
      <c r="J612">
        <f>IF($I612="","",$G612&amp;"|"&amp;RIGHT("000000"&amp;$I612,6))</f>
        <v/>
      </c>
      <c r="K612">
        <f>IF(OR($E612="",$E612="نامعتبر"),"",LEFT($E612,4)&amp;"/"&amp;MID($E612,6,2))</f>
        <v/>
      </c>
      <c r="L612">
        <f>IF(Entry!$K612="",0,Entry!$K612)</f>
        <v/>
      </c>
      <c r="M612">
        <f>IF(Entry!$L612="",0,Entry!$L612)</f>
        <v/>
      </c>
    </row>
    <row r="613">
      <c r="A613">
        <f>IF(Entry!$C613="","",Entry!$C613)</f>
        <v/>
      </c>
      <c r="B613">
        <f>IF($A613="","",IF(ISNUMBER($A613),IF(AND($A613&gt;=10000101,$A613&lt;=99991231),INT($A613/10000),""),IFERROR(VALUE(TRIM(LEFT($A613,FIND("/",$A613)-1))),"")))</f>
        <v/>
      </c>
      <c r="C613">
        <f>IF(OR($A613="",$B613=""),"",IF(ISNUMBER($A613),INT(MOD($A613,10000)/100),IFERROR(VALUE(TRIM(LEFT(MID($A613,FIND("/",$A613)+1,20),FIND("/",MID($A613,FIND("/",$A613)+1,20))-1))),"")))</f>
        <v/>
      </c>
      <c r="D613">
        <f>IF(OR($A613="",$B613=""),"",IF(ISNUMBER($A613),MOD($A613,100),IFERROR(VALUE(TRIM(MID(MID($A613,FIND("/",$A613)+1,20),FIND("/",MID($A613,FIND("/",$A613)+1,20))+1,20))),"")))</f>
        <v/>
      </c>
      <c r="E613">
        <f>IF($A613="","",IF(OR($B613="",$C613="",$D613="",$B613&lt;1300,$B613&gt;1500,$C613&lt;1,$C613&gt;12,$D613&lt;1,$D613&gt;31),"نامعتبر",RIGHT("0000"&amp;$B613,4)&amp;"/"&amp;RIGHT("00"&amp;$C613,2)&amp;"/"&amp;RIGHT("00"&amp;$D613,2)))</f>
        <v/>
      </c>
      <c r="F613">
        <f>IF(Entry!$D613&lt;&gt;"",IF(AND(ISNUMBER(Entry!$D613),Entry!$D613&gt;=0,Entry!$D613&lt;1),RIGHT("00"&amp;HOUR(Entry!$D613),2)&amp;":"&amp;RIGHT("00"&amp;MINUTE(Entry!$D613),2),IFERROR(RIGHT("00"&amp;VALUE(TRIM(LEFT(Entry!$D613,FIND(":",Entry!$D613)-1))),2)&amp;":"&amp;RIGHT("00"&amp;VALUE(TRIM(MID(Entry!$D613,FIND(":",Entry!$D613)+1,2))),2),"نامعتبر")),IF(OR($E613="",$E613="نامعتبر"),"","00:00"))</f>
        <v/>
      </c>
      <c r="G613">
        <f>IF(OR($E613="",$E613="نامعتبر"),"",IF(Entry!$E613="","",LEFT(UPPER(TRIM(Entry!$E613)),6)))</f>
        <v/>
      </c>
      <c r="H613">
        <f>IF($G613="","",RIGHT($E613,4)&amp;MID($E613,6,2)&amp;RIGHT($E613,2)&amp;IF($F613="","0000",IF($F613="نامعتبر","9999",LEFT($F613,2)&amp;RIGHT($F613,2)))&amp;"|"&amp;RIGHT("00000"&amp;605,5))</f>
        <v/>
      </c>
      <c r="I613">
        <f>IF($H613="","",COUNTIFS(CalcBank,$G613,CalcKey,"&lt;"&amp;$H613)+1)</f>
        <v/>
      </c>
      <c r="J613">
        <f>IF($I613="","",$G613&amp;"|"&amp;RIGHT("000000"&amp;$I613,6))</f>
        <v/>
      </c>
      <c r="K613">
        <f>IF(OR($E613="",$E613="نامعتبر"),"",LEFT($E613,4)&amp;"/"&amp;MID($E613,6,2))</f>
        <v/>
      </c>
      <c r="L613">
        <f>IF(Entry!$K613="",0,Entry!$K613)</f>
        <v/>
      </c>
      <c r="M613">
        <f>IF(Entry!$L613="",0,Entry!$L613)</f>
        <v/>
      </c>
    </row>
    <row r="614">
      <c r="A614">
        <f>IF(Entry!$C614="","",Entry!$C614)</f>
        <v/>
      </c>
      <c r="B614">
        <f>IF($A614="","",IF(ISNUMBER($A614),IF(AND($A614&gt;=10000101,$A614&lt;=99991231),INT($A614/10000),""),IFERROR(VALUE(TRIM(LEFT($A614,FIND("/",$A614)-1))),"")))</f>
        <v/>
      </c>
      <c r="C614">
        <f>IF(OR($A614="",$B614=""),"",IF(ISNUMBER($A614),INT(MOD($A614,10000)/100),IFERROR(VALUE(TRIM(LEFT(MID($A614,FIND("/",$A614)+1,20),FIND("/",MID($A614,FIND("/",$A614)+1,20))-1))),"")))</f>
        <v/>
      </c>
      <c r="D614">
        <f>IF(OR($A614="",$B614=""),"",IF(ISNUMBER($A614),MOD($A614,100),IFERROR(VALUE(TRIM(MID(MID($A614,FIND("/",$A614)+1,20),FIND("/",MID($A614,FIND("/",$A614)+1,20))+1,20))),"")))</f>
        <v/>
      </c>
      <c r="E614">
        <f>IF($A614="","",IF(OR($B614="",$C614="",$D614="",$B614&lt;1300,$B614&gt;1500,$C614&lt;1,$C614&gt;12,$D614&lt;1,$D614&gt;31),"نامعتبر",RIGHT("0000"&amp;$B614,4)&amp;"/"&amp;RIGHT("00"&amp;$C614,2)&amp;"/"&amp;RIGHT("00"&amp;$D614,2)))</f>
        <v/>
      </c>
      <c r="F614">
        <f>IF(Entry!$D614&lt;&gt;"",IF(AND(ISNUMBER(Entry!$D614),Entry!$D614&gt;=0,Entry!$D614&lt;1),RIGHT("00"&amp;HOUR(Entry!$D614),2)&amp;":"&amp;RIGHT("00"&amp;MINUTE(Entry!$D614),2),IFERROR(RIGHT("00"&amp;VALUE(TRIM(LEFT(Entry!$D614,FIND(":",Entry!$D614)-1))),2)&amp;":"&amp;RIGHT("00"&amp;VALUE(TRIM(MID(Entry!$D614,FIND(":",Entry!$D614)+1,2))),2),"نامعتبر")),IF(OR($E614="",$E614="نامعتبر"),"","00:00"))</f>
        <v/>
      </c>
      <c r="G614">
        <f>IF(OR($E614="",$E614="نامعتبر"),"",IF(Entry!$E614="","",LEFT(UPPER(TRIM(Entry!$E614)),6)))</f>
        <v/>
      </c>
      <c r="H614">
        <f>IF($G614="","",RIGHT($E614,4)&amp;MID($E614,6,2)&amp;RIGHT($E614,2)&amp;IF($F614="","0000",IF($F614="نامعتبر","9999",LEFT($F614,2)&amp;RIGHT($F614,2)))&amp;"|"&amp;RIGHT("00000"&amp;606,5))</f>
        <v/>
      </c>
      <c r="I614">
        <f>IF($H614="","",COUNTIFS(CalcBank,$G614,CalcKey,"&lt;"&amp;$H614)+1)</f>
        <v/>
      </c>
      <c r="J614">
        <f>IF($I614="","",$G614&amp;"|"&amp;RIGHT("000000"&amp;$I614,6))</f>
        <v/>
      </c>
      <c r="K614">
        <f>IF(OR($E614="",$E614="نامعتبر"),"",LEFT($E614,4)&amp;"/"&amp;MID($E614,6,2))</f>
        <v/>
      </c>
      <c r="L614">
        <f>IF(Entry!$K614="",0,Entry!$K614)</f>
        <v/>
      </c>
      <c r="M614">
        <f>IF(Entry!$L614="",0,Entry!$L614)</f>
        <v/>
      </c>
    </row>
    <row r="615">
      <c r="A615">
        <f>IF(Entry!$C615="","",Entry!$C615)</f>
        <v/>
      </c>
      <c r="B615">
        <f>IF($A615="","",IF(ISNUMBER($A615),IF(AND($A615&gt;=10000101,$A615&lt;=99991231),INT($A615/10000),""),IFERROR(VALUE(TRIM(LEFT($A615,FIND("/",$A615)-1))),"")))</f>
        <v/>
      </c>
      <c r="C615">
        <f>IF(OR($A615="",$B615=""),"",IF(ISNUMBER($A615),INT(MOD($A615,10000)/100),IFERROR(VALUE(TRIM(LEFT(MID($A615,FIND("/",$A615)+1,20),FIND("/",MID($A615,FIND("/",$A615)+1,20))-1))),"")))</f>
        <v/>
      </c>
      <c r="D615">
        <f>IF(OR($A615="",$B615=""),"",IF(ISNUMBER($A615),MOD($A615,100),IFERROR(VALUE(TRIM(MID(MID($A615,FIND("/",$A615)+1,20),FIND("/",MID($A615,FIND("/",$A615)+1,20))+1,20))),"")))</f>
        <v/>
      </c>
      <c r="E615">
        <f>IF($A615="","",IF(OR($B615="",$C615="",$D615="",$B615&lt;1300,$B615&gt;1500,$C615&lt;1,$C615&gt;12,$D615&lt;1,$D615&gt;31),"نامعتبر",RIGHT("0000"&amp;$B615,4)&amp;"/"&amp;RIGHT("00"&amp;$C615,2)&amp;"/"&amp;RIGHT("00"&amp;$D615,2)))</f>
        <v/>
      </c>
      <c r="F615">
        <f>IF(Entry!$D615&lt;&gt;"",IF(AND(ISNUMBER(Entry!$D615),Entry!$D615&gt;=0,Entry!$D615&lt;1),RIGHT("00"&amp;HOUR(Entry!$D615),2)&amp;":"&amp;RIGHT("00"&amp;MINUTE(Entry!$D615),2),IFERROR(RIGHT("00"&amp;VALUE(TRIM(LEFT(Entry!$D615,FIND(":",Entry!$D615)-1))),2)&amp;":"&amp;RIGHT("00"&amp;VALUE(TRIM(MID(Entry!$D615,FIND(":",Entry!$D615)+1,2))),2),"نامعتبر")),IF(OR($E615="",$E615="نامعتبر"),"","00:00"))</f>
        <v/>
      </c>
      <c r="G615">
        <f>IF(OR($E615="",$E615="نامعتبر"),"",IF(Entry!$E615="","",LEFT(UPPER(TRIM(Entry!$E615)),6)))</f>
        <v/>
      </c>
      <c r="H615">
        <f>IF($G615="","",RIGHT($E615,4)&amp;MID($E615,6,2)&amp;RIGHT($E615,2)&amp;IF($F615="","0000",IF($F615="نامعتبر","9999",LEFT($F615,2)&amp;RIGHT($F615,2)))&amp;"|"&amp;RIGHT("00000"&amp;607,5))</f>
        <v/>
      </c>
      <c r="I615">
        <f>IF($H615="","",COUNTIFS(CalcBank,$G615,CalcKey,"&lt;"&amp;$H615)+1)</f>
        <v/>
      </c>
      <c r="J615">
        <f>IF($I615="","",$G615&amp;"|"&amp;RIGHT("000000"&amp;$I615,6))</f>
        <v/>
      </c>
      <c r="K615">
        <f>IF(OR($E615="",$E615="نامعتبر"),"",LEFT($E615,4)&amp;"/"&amp;MID($E615,6,2))</f>
        <v/>
      </c>
      <c r="L615">
        <f>IF(Entry!$K615="",0,Entry!$K615)</f>
        <v/>
      </c>
      <c r="M615">
        <f>IF(Entry!$L615="",0,Entry!$L615)</f>
        <v/>
      </c>
    </row>
    <row r="616">
      <c r="A616">
        <f>IF(Entry!$C616="","",Entry!$C616)</f>
        <v/>
      </c>
      <c r="B616">
        <f>IF($A616="","",IF(ISNUMBER($A616),IF(AND($A616&gt;=10000101,$A616&lt;=99991231),INT($A616/10000),""),IFERROR(VALUE(TRIM(LEFT($A616,FIND("/",$A616)-1))),"")))</f>
        <v/>
      </c>
      <c r="C616">
        <f>IF(OR($A616="",$B616=""),"",IF(ISNUMBER($A616),INT(MOD($A616,10000)/100),IFERROR(VALUE(TRIM(LEFT(MID($A616,FIND("/",$A616)+1,20),FIND("/",MID($A616,FIND("/",$A616)+1,20))-1))),"")))</f>
        <v/>
      </c>
      <c r="D616">
        <f>IF(OR($A616="",$B616=""),"",IF(ISNUMBER($A616),MOD($A616,100),IFERROR(VALUE(TRIM(MID(MID($A616,FIND("/",$A616)+1,20),FIND("/",MID($A616,FIND("/",$A616)+1,20))+1,20))),"")))</f>
        <v/>
      </c>
      <c r="E616">
        <f>IF($A616="","",IF(OR($B616="",$C616="",$D616="",$B616&lt;1300,$B616&gt;1500,$C616&lt;1,$C616&gt;12,$D616&lt;1,$D616&gt;31),"نامعتبر",RIGHT("0000"&amp;$B616,4)&amp;"/"&amp;RIGHT("00"&amp;$C616,2)&amp;"/"&amp;RIGHT("00"&amp;$D616,2)))</f>
        <v/>
      </c>
      <c r="F616">
        <f>IF(Entry!$D616&lt;&gt;"",IF(AND(ISNUMBER(Entry!$D616),Entry!$D616&gt;=0,Entry!$D616&lt;1),RIGHT("00"&amp;HOUR(Entry!$D616),2)&amp;":"&amp;RIGHT("00"&amp;MINUTE(Entry!$D616),2),IFERROR(RIGHT("00"&amp;VALUE(TRIM(LEFT(Entry!$D616,FIND(":",Entry!$D616)-1))),2)&amp;":"&amp;RIGHT("00"&amp;VALUE(TRIM(MID(Entry!$D616,FIND(":",Entry!$D616)+1,2))),2),"نامعتبر")),IF(OR($E616="",$E616="نامعتبر"),"","00:00"))</f>
        <v/>
      </c>
      <c r="G616">
        <f>IF(OR($E616="",$E616="نامعتبر"),"",IF(Entry!$E616="","",LEFT(UPPER(TRIM(Entry!$E616)),6)))</f>
        <v/>
      </c>
      <c r="H616">
        <f>IF($G616="","",RIGHT($E616,4)&amp;MID($E616,6,2)&amp;RIGHT($E616,2)&amp;IF($F616="","0000",IF($F616="نامعتبر","9999",LEFT($F616,2)&amp;RIGHT($F616,2)))&amp;"|"&amp;RIGHT("00000"&amp;608,5))</f>
        <v/>
      </c>
      <c r="I616">
        <f>IF($H616="","",COUNTIFS(CalcBank,$G616,CalcKey,"&lt;"&amp;$H616)+1)</f>
        <v/>
      </c>
      <c r="J616">
        <f>IF($I616="","",$G616&amp;"|"&amp;RIGHT("000000"&amp;$I616,6))</f>
        <v/>
      </c>
      <c r="K616">
        <f>IF(OR($E616="",$E616="نامعتبر"),"",LEFT($E616,4)&amp;"/"&amp;MID($E616,6,2))</f>
        <v/>
      </c>
      <c r="L616">
        <f>IF(Entry!$K616="",0,Entry!$K616)</f>
        <v/>
      </c>
      <c r="M616">
        <f>IF(Entry!$L616="",0,Entry!$L616)</f>
        <v/>
      </c>
    </row>
    <row r="617">
      <c r="A617">
        <f>IF(Entry!$C617="","",Entry!$C617)</f>
        <v/>
      </c>
      <c r="B617">
        <f>IF($A617="","",IF(ISNUMBER($A617),IF(AND($A617&gt;=10000101,$A617&lt;=99991231),INT($A617/10000),""),IFERROR(VALUE(TRIM(LEFT($A617,FIND("/",$A617)-1))),"")))</f>
        <v/>
      </c>
      <c r="C617">
        <f>IF(OR($A617="",$B617=""),"",IF(ISNUMBER($A617),INT(MOD($A617,10000)/100),IFERROR(VALUE(TRIM(LEFT(MID($A617,FIND("/",$A617)+1,20),FIND("/",MID($A617,FIND("/",$A617)+1,20))-1))),"")))</f>
        <v/>
      </c>
      <c r="D617">
        <f>IF(OR($A617="",$B617=""),"",IF(ISNUMBER($A617),MOD($A617,100),IFERROR(VALUE(TRIM(MID(MID($A617,FIND("/",$A617)+1,20),FIND("/",MID($A617,FIND("/",$A617)+1,20))+1,20))),"")))</f>
        <v/>
      </c>
      <c r="E617">
        <f>IF($A617="","",IF(OR($B617="",$C617="",$D617="",$B617&lt;1300,$B617&gt;1500,$C617&lt;1,$C617&gt;12,$D617&lt;1,$D617&gt;31),"نامعتبر",RIGHT("0000"&amp;$B617,4)&amp;"/"&amp;RIGHT("00"&amp;$C617,2)&amp;"/"&amp;RIGHT("00"&amp;$D617,2)))</f>
        <v/>
      </c>
      <c r="F617">
        <f>IF(Entry!$D617&lt;&gt;"",IF(AND(ISNUMBER(Entry!$D617),Entry!$D617&gt;=0,Entry!$D617&lt;1),RIGHT("00"&amp;HOUR(Entry!$D617),2)&amp;":"&amp;RIGHT("00"&amp;MINUTE(Entry!$D617),2),IFERROR(RIGHT("00"&amp;VALUE(TRIM(LEFT(Entry!$D617,FIND(":",Entry!$D617)-1))),2)&amp;":"&amp;RIGHT("00"&amp;VALUE(TRIM(MID(Entry!$D617,FIND(":",Entry!$D617)+1,2))),2),"نامعتبر")),IF(OR($E617="",$E617="نامعتبر"),"","00:00"))</f>
        <v/>
      </c>
      <c r="G617">
        <f>IF(OR($E617="",$E617="نامعتبر"),"",IF(Entry!$E617="","",LEFT(UPPER(TRIM(Entry!$E617)),6)))</f>
        <v/>
      </c>
      <c r="H617">
        <f>IF($G617="","",RIGHT($E617,4)&amp;MID($E617,6,2)&amp;RIGHT($E617,2)&amp;IF($F617="","0000",IF($F617="نامعتبر","9999",LEFT($F617,2)&amp;RIGHT($F617,2)))&amp;"|"&amp;RIGHT("00000"&amp;609,5))</f>
        <v/>
      </c>
      <c r="I617">
        <f>IF($H617="","",COUNTIFS(CalcBank,$G617,CalcKey,"&lt;"&amp;$H617)+1)</f>
        <v/>
      </c>
      <c r="J617">
        <f>IF($I617="","",$G617&amp;"|"&amp;RIGHT("000000"&amp;$I617,6))</f>
        <v/>
      </c>
      <c r="K617">
        <f>IF(OR($E617="",$E617="نامعتبر"),"",LEFT($E617,4)&amp;"/"&amp;MID($E617,6,2))</f>
        <v/>
      </c>
      <c r="L617">
        <f>IF(Entry!$K617="",0,Entry!$K617)</f>
        <v/>
      </c>
      <c r="M617">
        <f>IF(Entry!$L617="",0,Entry!$L617)</f>
        <v/>
      </c>
    </row>
    <row r="618">
      <c r="A618">
        <f>IF(Entry!$C618="","",Entry!$C618)</f>
        <v/>
      </c>
      <c r="B618">
        <f>IF($A618="","",IF(ISNUMBER($A618),IF(AND($A618&gt;=10000101,$A618&lt;=99991231),INT($A618/10000),""),IFERROR(VALUE(TRIM(LEFT($A618,FIND("/",$A618)-1))),"")))</f>
        <v/>
      </c>
      <c r="C618">
        <f>IF(OR($A618="",$B618=""),"",IF(ISNUMBER($A618),INT(MOD($A618,10000)/100),IFERROR(VALUE(TRIM(LEFT(MID($A618,FIND("/",$A618)+1,20),FIND("/",MID($A618,FIND("/",$A618)+1,20))-1))),"")))</f>
        <v/>
      </c>
      <c r="D618">
        <f>IF(OR($A618="",$B618=""),"",IF(ISNUMBER($A618),MOD($A618,100),IFERROR(VALUE(TRIM(MID(MID($A618,FIND("/",$A618)+1,20),FIND("/",MID($A618,FIND("/",$A618)+1,20))+1,20))),"")))</f>
        <v/>
      </c>
      <c r="E618">
        <f>IF($A618="","",IF(OR($B618="",$C618="",$D618="",$B618&lt;1300,$B618&gt;1500,$C618&lt;1,$C618&gt;12,$D618&lt;1,$D618&gt;31),"نامعتبر",RIGHT("0000"&amp;$B618,4)&amp;"/"&amp;RIGHT("00"&amp;$C618,2)&amp;"/"&amp;RIGHT("00"&amp;$D618,2)))</f>
        <v/>
      </c>
      <c r="F618">
        <f>IF(Entry!$D618&lt;&gt;"",IF(AND(ISNUMBER(Entry!$D618),Entry!$D618&gt;=0,Entry!$D618&lt;1),RIGHT("00"&amp;HOUR(Entry!$D618),2)&amp;":"&amp;RIGHT("00"&amp;MINUTE(Entry!$D618),2),IFERROR(RIGHT("00"&amp;VALUE(TRIM(LEFT(Entry!$D618,FIND(":",Entry!$D618)-1))),2)&amp;":"&amp;RIGHT("00"&amp;VALUE(TRIM(MID(Entry!$D618,FIND(":",Entry!$D618)+1,2))),2),"نامعتبر")),IF(OR($E618="",$E618="نامعتبر"),"","00:00"))</f>
        <v/>
      </c>
      <c r="G618">
        <f>IF(OR($E618="",$E618="نامعتبر"),"",IF(Entry!$E618="","",LEFT(UPPER(TRIM(Entry!$E618)),6)))</f>
        <v/>
      </c>
      <c r="H618">
        <f>IF($G618="","",RIGHT($E618,4)&amp;MID($E618,6,2)&amp;RIGHT($E618,2)&amp;IF($F618="","0000",IF($F618="نامعتبر","9999",LEFT($F618,2)&amp;RIGHT($F618,2)))&amp;"|"&amp;RIGHT("00000"&amp;610,5))</f>
        <v/>
      </c>
      <c r="I618">
        <f>IF($H618="","",COUNTIFS(CalcBank,$G618,CalcKey,"&lt;"&amp;$H618)+1)</f>
        <v/>
      </c>
      <c r="J618">
        <f>IF($I618="","",$G618&amp;"|"&amp;RIGHT("000000"&amp;$I618,6))</f>
        <v/>
      </c>
      <c r="K618">
        <f>IF(OR($E618="",$E618="نامعتبر"),"",LEFT($E618,4)&amp;"/"&amp;MID($E618,6,2))</f>
        <v/>
      </c>
      <c r="L618">
        <f>IF(Entry!$K618="",0,Entry!$K618)</f>
        <v/>
      </c>
      <c r="M618">
        <f>IF(Entry!$L618="",0,Entry!$L618)</f>
        <v/>
      </c>
    </row>
    <row r="619">
      <c r="A619">
        <f>IF(Entry!$C619="","",Entry!$C619)</f>
        <v/>
      </c>
      <c r="B619">
        <f>IF($A619="","",IF(ISNUMBER($A619),IF(AND($A619&gt;=10000101,$A619&lt;=99991231),INT($A619/10000),""),IFERROR(VALUE(TRIM(LEFT($A619,FIND("/",$A619)-1))),"")))</f>
        <v/>
      </c>
      <c r="C619">
        <f>IF(OR($A619="",$B619=""),"",IF(ISNUMBER($A619),INT(MOD($A619,10000)/100),IFERROR(VALUE(TRIM(LEFT(MID($A619,FIND("/",$A619)+1,20),FIND("/",MID($A619,FIND("/",$A619)+1,20))-1))),"")))</f>
        <v/>
      </c>
      <c r="D619">
        <f>IF(OR($A619="",$B619=""),"",IF(ISNUMBER($A619),MOD($A619,100),IFERROR(VALUE(TRIM(MID(MID($A619,FIND("/",$A619)+1,20),FIND("/",MID($A619,FIND("/",$A619)+1,20))+1,20))),"")))</f>
        <v/>
      </c>
      <c r="E619">
        <f>IF($A619="","",IF(OR($B619="",$C619="",$D619="",$B619&lt;1300,$B619&gt;1500,$C619&lt;1,$C619&gt;12,$D619&lt;1,$D619&gt;31),"نامعتبر",RIGHT("0000"&amp;$B619,4)&amp;"/"&amp;RIGHT("00"&amp;$C619,2)&amp;"/"&amp;RIGHT("00"&amp;$D619,2)))</f>
        <v/>
      </c>
      <c r="F619">
        <f>IF(Entry!$D619&lt;&gt;"",IF(AND(ISNUMBER(Entry!$D619),Entry!$D619&gt;=0,Entry!$D619&lt;1),RIGHT("00"&amp;HOUR(Entry!$D619),2)&amp;":"&amp;RIGHT("00"&amp;MINUTE(Entry!$D619),2),IFERROR(RIGHT("00"&amp;VALUE(TRIM(LEFT(Entry!$D619,FIND(":",Entry!$D619)-1))),2)&amp;":"&amp;RIGHT("00"&amp;VALUE(TRIM(MID(Entry!$D619,FIND(":",Entry!$D619)+1,2))),2),"نامعتبر")),IF(OR($E619="",$E619="نامعتبر"),"","00:00"))</f>
        <v/>
      </c>
      <c r="G619">
        <f>IF(OR($E619="",$E619="نامعتبر"),"",IF(Entry!$E619="","",LEFT(UPPER(TRIM(Entry!$E619)),6)))</f>
        <v/>
      </c>
      <c r="H619">
        <f>IF($G619="","",RIGHT($E619,4)&amp;MID($E619,6,2)&amp;RIGHT($E619,2)&amp;IF($F619="","0000",IF($F619="نامعتبر","9999",LEFT($F619,2)&amp;RIGHT($F619,2)))&amp;"|"&amp;RIGHT("00000"&amp;611,5))</f>
        <v/>
      </c>
      <c r="I619">
        <f>IF($H619="","",COUNTIFS(CalcBank,$G619,CalcKey,"&lt;"&amp;$H619)+1)</f>
        <v/>
      </c>
      <c r="J619">
        <f>IF($I619="","",$G619&amp;"|"&amp;RIGHT("000000"&amp;$I619,6))</f>
        <v/>
      </c>
      <c r="K619">
        <f>IF(OR($E619="",$E619="نامعتبر"),"",LEFT($E619,4)&amp;"/"&amp;MID($E619,6,2))</f>
        <v/>
      </c>
      <c r="L619">
        <f>IF(Entry!$K619="",0,Entry!$K619)</f>
        <v/>
      </c>
      <c r="M619">
        <f>IF(Entry!$L619="",0,Entry!$L619)</f>
        <v/>
      </c>
    </row>
    <row r="620">
      <c r="A620">
        <f>IF(Entry!$C620="","",Entry!$C620)</f>
        <v/>
      </c>
      <c r="B620">
        <f>IF($A620="","",IF(ISNUMBER($A620),IF(AND($A620&gt;=10000101,$A620&lt;=99991231),INT($A620/10000),""),IFERROR(VALUE(TRIM(LEFT($A620,FIND("/",$A620)-1))),"")))</f>
        <v/>
      </c>
      <c r="C620">
        <f>IF(OR($A620="",$B620=""),"",IF(ISNUMBER($A620),INT(MOD($A620,10000)/100),IFERROR(VALUE(TRIM(LEFT(MID($A620,FIND("/",$A620)+1,20),FIND("/",MID($A620,FIND("/",$A620)+1,20))-1))),"")))</f>
        <v/>
      </c>
      <c r="D620">
        <f>IF(OR($A620="",$B620=""),"",IF(ISNUMBER($A620),MOD($A620,100),IFERROR(VALUE(TRIM(MID(MID($A620,FIND("/",$A620)+1,20),FIND("/",MID($A620,FIND("/",$A620)+1,20))+1,20))),"")))</f>
        <v/>
      </c>
      <c r="E620">
        <f>IF($A620="","",IF(OR($B620="",$C620="",$D620="",$B620&lt;1300,$B620&gt;1500,$C620&lt;1,$C620&gt;12,$D620&lt;1,$D620&gt;31),"نامعتبر",RIGHT("0000"&amp;$B620,4)&amp;"/"&amp;RIGHT("00"&amp;$C620,2)&amp;"/"&amp;RIGHT("00"&amp;$D620,2)))</f>
        <v/>
      </c>
      <c r="F620">
        <f>IF(Entry!$D620&lt;&gt;"",IF(AND(ISNUMBER(Entry!$D620),Entry!$D620&gt;=0,Entry!$D620&lt;1),RIGHT("00"&amp;HOUR(Entry!$D620),2)&amp;":"&amp;RIGHT("00"&amp;MINUTE(Entry!$D620),2),IFERROR(RIGHT("00"&amp;VALUE(TRIM(LEFT(Entry!$D620,FIND(":",Entry!$D620)-1))),2)&amp;":"&amp;RIGHT("00"&amp;VALUE(TRIM(MID(Entry!$D620,FIND(":",Entry!$D620)+1,2))),2),"نامعتبر")),IF(OR($E620="",$E620="نامعتبر"),"","00:00"))</f>
        <v/>
      </c>
      <c r="G620">
        <f>IF(OR($E620="",$E620="نامعتبر"),"",IF(Entry!$E620="","",LEFT(UPPER(TRIM(Entry!$E620)),6)))</f>
        <v/>
      </c>
      <c r="H620">
        <f>IF($G620="","",RIGHT($E620,4)&amp;MID($E620,6,2)&amp;RIGHT($E620,2)&amp;IF($F620="","0000",IF($F620="نامعتبر","9999",LEFT($F620,2)&amp;RIGHT($F620,2)))&amp;"|"&amp;RIGHT("00000"&amp;612,5))</f>
        <v/>
      </c>
      <c r="I620">
        <f>IF($H620="","",COUNTIFS(CalcBank,$G620,CalcKey,"&lt;"&amp;$H620)+1)</f>
        <v/>
      </c>
      <c r="J620">
        <f>IF($I620="","",$G620&amp;"|"&amp;RIGHT("000000"&amp;$I620,6))</f>
        <v/>
      </c>
      <c r="K620">
        <f>IF(OR($E620="",$E620="نامعتبر"),"",LEFT($E620,4)&amp;"/"&amp;MID($E620,6,2))</f>
        <v/>
      </c>
      <c r="L620">
        <f>IF(Entry!$K620="",0,Entry!$K620)</f>
        <v/>
      </c>
      <c r="M620">
        <f>IF(Entry!$L620="",0,Entry!$L620)</f>
        <v/>
      </c>
    </row>
    <row r="621">
      <c r="A621">
        <f>IF(Entry!$C621="","",Entry!$C621)</f>
        <v/>
      </c>
      <c r="B621">
        <f>IF($A621="","",IF(ISNUMBER($A621),IF(AND($A621&gt;=10000101,$A621&lt;=99991231),INT($A621/10000),""),IFERROR(VALUE(TRIM(LEFT($A621,FIND("/",$A621)-1))),"")))</f>
        <v/>
      </c>
      <c r="C621">
        <f>IF(OR($A621="",$B621=""),"",IF(ISNUMBER($A621),INT(MOD($A621,10000)/100),IFERROR(VALUE(TRIM(LEFT(MID($A621,FIND("/",$A621)+1,20),FIND("/",MID($A621,FIND("/",$A621)+1,20))-1))),"")))</f>
        <v/>
      </c>
      <c r="D621">
        <f>IF(OR($A621="",$B621=""),"",IF(ISNUMBER($A621),MOD($A621,100),IFERROR(VALUE(TRIM(MID(MID($A621,FIND("/",$A621)+1,20),FIND("/",MID($A621,FIND("/",$A621)+1,20))+1,20))),"")))</f>
        <v/>
      </c>
      <c r="E621">
        <f>IF($A621="","",IF(OR($B621="",$C621="",$D621="",$B621&lt;1300,$B621&gt;1500,$C621&lt;1,$C621&gt;12,$D621&lt;1,$D621&gt;31),"نامعتبر",RIGHT("0000"&amp;$B621,4)&amp;"/"&amp;RIGHT("00"&amp;$C621,2)&amp;"/"&amp;RIGHT("00"&amp;$D621,2)))</f>
        <v/>
      </c>
      <c r="F621">
        <f>IF(Entry!$D621&lt;&gt;"",IF(AND(ISNUMBER(Entry!$D621),Entry!$D621&gt;=0,Entry!$D621&lt;1),RIGHT("00"&amp;HOUR(Entry!$D621),2)&amp;":"&amp;RIGHT("00"&amp;MINUTE(Entry!$D621),2),IFERROR(RIGHT("00"&amp;VALUE(TRIM(LEFT(Entry!$D621,FIND(":",Entry!$D621)-1))),2)&amp;":"&amp;RIGHT("00"&amp;VALUE(TRIM(MID(Entry!$D621,FIND(":",Entry!$D621)+1,2))),2),"نامعتبر")),IF(OR($E621="",$E621="نامعتبر"),"","00:00"))</f>
        <v/>
      </c>
      <c r="G621">
        <f>IF(OR($E621="",$E621="نامعتبر"),"",IF(Entry!$E621="","",LEFT(UPPER(TRIM(Entry!$E621)),6)))</f>
        <v/>
      </c>
      <c r="H621">
        <f>IF($G621="","",RIGHT($E621,4)&amp;MID($E621,6,2)&amp;RIGHT($E621,2)&amp;IF($F621="","0000",IF($F621="نامعتبر","9999",LEFT($F621,2)&amp;RIGHT($F621,2)))&amp;"|"&amp;RIGHT("00000"&amp;613,5))</f>
        <v/>
      </c>
      <c r="I621">
        <f>IF($H621="","",COUNTIFS(CalcBank,$G621,CalcKey,"&lt;"&amp;$H621)+1)</f>
        <v/>
      </c>
      <c r="J621">
        <f>IF($I621="","",$G621&amp;"|"&amp;RIGHT("000000"&amp;$I621,6))</f>
        <v/>
      </c>
      <c r="K621">
        <f>IF(OR($E621="",$E621="نامعتبر"),"",LEFT($E621,4)&amp;"/"&amp;MID($E621,6,2))</f>
        <v/>
      </c>
      <c r="L621">
        <f>IF(Entry!$K621="",0,Entry!$K621)</f>
        <v/>
      </c>
      <c r="M621">
        <f>IF(Entry!$L621="",0,Entry!$L621)</f>
        <v/>
      </c>
    </row>
    <row r="622">
      <c r="A622">
        <f>IF(Entry!$C622="","",Entry!$C622)</f>
        <v/>
      </c>
      <c r="B622">
        <f>IF($A622="","",IF(ISNUMBER($A622),IF(AND($A622&gt;=10000101,$A622&lt;=99991231),INT($A622/10000),""),IFERROR(VALUE(TRIM(LEFT($A622,FIND("/",$A622)-1))),"")))</f>
        <v/>
      </c>
      <c r="C622">
        <f>IF(OR($A622="",$B622=""),"",IF(ISNUMBER($A622),INT(MOD($A622,10000)/100),IFERROR(VALUE(TRIM(LEFT(MID($A622,FIND("/",$A622)+1,20),FIND("/",MID($A622,FIND("/",$A622)+1,20))-1))),"")))</f>
        <v/>
      </c>
      <c r="D622">
        <f>IF(OR($A622="",$B622=""),"",IF(ISNUMBER($A622),MOD($A622,100),IFERROR(VALUE(TRIM(MID(MID($A622,FIND("/",$A622)+1,20),FIND("/",MID($A622,FIND("/",$A622)+1,20))+1,20))),"")))</f>
        <v/>
      </c>
      <c r="E622">
        <f>IF($A622="","",IF(OR($B622="",$C622="",$D622="",$B622&lt;1300,$B622&gt;1500,$C622&lt;1,$C622&gt;12,$D622&lt;1,$D622&gt;31),"نامعتبر",RIGHT("0000"&amp;$B622,4)&amp;"/"&amp;RIGHT("00"&amp;$C622,2)&amp;"/"&amp;RIGHT("00"&amp;$D622,2)))</f>
        <v/>
      </c>
      <c r="F622">
        <f>IF(Entry!$D622&lt;&gt;"",IF(AND(ISNUMBER(Entry!$D622),Entry!$D622&gt;=0,Entry!$D622&lt;1),RIGHT("00"&amp;HOUR(Entry!$D622),2)&amp;":"&amp;RIGHT("00"&amp;MINUTE(Entry!$D622),2),IFERROR(RIGHT("00"&amp;VALUE(TRIM(LEFT(Entry!$D622,FIND(":",Entry!$D622)-1))),2)&amp;":"&amp;RIGHT("00"&amp;VALUE(TRIM(MID(Entry!$D622,FIND(":",Entry!$D622)+1,2))),2),"نامعتبر")),IF(OR($E622="",$E622="نامعتبر"),"","00:00"))</f>
        <v/>
      </c>
      <c r="G622">
        <f>IF(OR($E622="",$E622="نامعتبر"),"",IF(Entry!$E622="","",LEFT(UPPER(TRIM(Entry!$E622)),6)))</f>
        <v/>
      </c>
      <c r="H622">
        <f>IF($G622="","",RIGHT($E622,4)&amp;MID($E622,6,2)&amp;RIGHT($E622,2)&amp;IF($F622="","0000",IF($F622="نامعتبر","9999",LEFT($F622,2)&amp;RIGHT($F622,2)))&amp;"|"&amp;RIGHT("00000"&amp;614,5))</f>
        <v/>
      </c>
      <c r="I622">
        <f>IF($H622="","",COUNTIFS(CalcBank,$G622,CalcKey,"&lt;"&amp;$H622)+1)</f>
        <v/>
      </c>
      <c r="J622">
        <f>IF($I622="","",$G622&amp;"|"&amp;RIGHT("000000"&amp;$I622,6))</f>
        <v/>
      </c>
      <c r="K622">
        <f>IF(OR($E622="",$E622="نامعتبر"),"",LEFT($E622,4)&amp;"/"&amp;MID($E622,6,2))</f>
        <v/>
      </c>
      <c r="L622">
        <f>IF(Entry!$K622="",0,Entry!$K622)</f>
        <v/>
      </c>
      <c r="M622">
        <f>IF(Entry!$L622="",0,Entry!$L622)</f>
        <v/>
      </c>
    </row>
    <row r="623">
      <c r="A623">
        <f>IF(Entry!$C623="","",Entry!$C623)</f>
        <v/>
      </c>
      <c r="B623">
        <f>IF($A623="","",IF(ISNUMBER($A623),IF(AND($A623&gt;=10000101,$A623&lt;=99991231),INT($A623/10000),""),IFERROR(VALUE(TRIM(LEFT($A623,FIND("/",$A623)-1))),"")))</f>
        <v/>
      </c>
      <c r="C623">
        <f>IF(OR($A623="",$B623=""),"",IF(ISNUMBER($A623),INT(MOD($A623,10000)/100),IFERROR(VALUE(TRIM(LEFT(MID($A623,FIND("/",$A623)+1,20),FIND("/",MID($A623,FIND("/",$A623)+1,20))-1))),"")))</f>
        <v/>
      </c>
      <c r="D623">
        <f>IF(OR($A623="",$B623=""),"",IF(ISNUMBER($A623),MOD($A623,100),IFERROR(VALUE(TRIM(MID(MID($A623,FIND("/",$A623)+1,20),FIND("/",MID($A623,FIND("/",$A623)+1,20))+1,20))),"")))</f>
        <v/>
      </c>
      <c r="E623">
        <f>IF($A623="","",IF(OR($B623="",$C623="",$D623="",$B623&lt;1300,$B623&gt;1500,$C623&lt;1,$C623&gt;12,$D623&lt;1,$D623&gt;31),"نامعتبر",RIGHT("0000"&amp;$B623,4)&amp;"/"&amp;RIGHT("00"&amp;$C623,2)&amp;"/"&amp;RIGHT("00"&amp;$D623,2)))</f>
        <v/>
      </c>
      <c r="F623">
        <f>IF(Entry!$D623&lt;&gt;"",IF(AND(ISNUMBER(Entry!$D623),Entry!$D623&gt;=0,Entry!$D623&lt;1),RIGHT("00"&amp;HOUR(Entry!$D623),2)&amp;":"&amp;RIGHT("00"&amp;MINUTE(Entry!$D623),2),IFERROR(RIGHT("00"&amp;VALUE(TRIM(LEFT(Entry!$D623,FIND(":",Entry!$D623)-1))),2)&amp;":"&amp;RIGHT("00"&amp;VALUE(TRIM(MID(Entry!$D623,FIND(":",Entry!$D623)+1,2))),2),"نامعتبر")),IF(OR($E623="",$E623="نامعتبر"),"","00:00"))</f>
        <v/>
      </c>
      <c r="G623">
        <f>IF(OR($E623="",$E623="نامعتبر"),"",IF(Entry!$E623="","",LEFT(UPPER(TRIM(Entry!$E623)),6)))</f>
        <v/>
      </c>
      <c r="H623">
        <f>IF($G623="","",RIGHT($E623,4)&amp;MID($E623,6,2)&amp;RIGHT($E623,2)&amp;IF($F623="","0000",IF($F623="نامعتبر","9999",LEFT($F623,2)&amp;RIGHT($F623,2)))&amp;"|"&amp;RIGHT("00000"&amp;615,5))</f>
        <v/>
      </c>
      <c r="I623">
        <f>IF($H623="","",COUNTIFS(CalcBank,$G623,CalcKey,"&lt;"&amp;$H623)+1)</f>
        <v/>
      </c>
      <c r="J623">
        <f>IF($I623="","",$G623&amp;"|"&amp;RIGHT("000000"&amp;$I623,6))</f>
        <v/>
      </c>
      <c r="K623">
        <f>IF(OR($E623="",$E623="نامعتبر"),"",LEFT($E623,4)&amp;"/"&amp;MID($E623,6,2))</f>
        <v/>
      </c>
      <c r="L623">
        <f>IF(Entry!$K623="",0,Entry!$K623)</f>
        <v/>
      </c>
      <c r="M623">
        <f>IF(Entry!$L623="",0,Entry!$L623)</f>
        <v/>
      </c>
    </row>
    <row r="624">
      <c r="A624">
        <f>IF(Entry!$C624="","",Entry!$C624)</f>
        <v/>
      </c>
      <c r="B624">
        <f>IF($A624="","",IF(ISNUMBER($A624),IF(AND($A624&gt;=10000101,$A624&lt;=99991231),INT($A624/10000),""),IFERROR(VALUE(TRIM(LEFT($A624,FIND("/",$A624)-1))),"")))</f>
        <v/>
      </c>
      <c r="C624">
        <f>IF(OR($A624="",$B624=""),"",IF(ISNUMBER($A624),INT(MOD($A624,10000)/100),IFERROR(VALUE(TRIM(LEFT(MID($A624,FIND("/",$A624)+1,20),FIND("/",MID($A624,FIND("/",$A624)+1,20))-1))),"")))</f>
        <v/>
      </c>
      <c r="D624">
        <f>IF(OR($A624="",$B624=""),"",IF(ISNUMBER($A624),MOD($A624,100),IFERROR(VALUE(TRIM(MID(MID($A624,FIND("/",$A624)+1,20),FIND("/",MID($A624,FIND("/",$A624)+1,20))+1,20))),"")))</f>
        <v/>
      </c>
      <c r="E624">
        <f>IF($A624="","",IF(OR($B624="",$C624="",$D624="",$B624&lt;1300,$B624&gt;1500,$C624&lt;1,$C624&gt;12,$D624&lt;1,$D624&gt;31),"نامعتبر",RIGHT("0000"&amp;$B624,4)&amp;"/"&amp;RIGHT("00"&amp;$C624,2)&amp;"/"&amp;RIGHT("00"&amp;$D624,2)))</f>
        <v/>
      </c>
      <c r="F624">
        <f>IF(Entry!$D624&lt;&gt;"",IF(AND(ISNUMBER(Entry!$D624),Entry!$D624&gt;=0,Entry!$D624&lt;1),RIGHT("00"&amp;HOUR(Entry!$D624),2)&amp;":"&amp;RIGHT("00"&amp;MINUTE(Entry!$D624),2),IFERROR(RIGHT("00"&amp;VALUE(TRIM(LEFT(Entry!$D624,FIND(":",Entry!$D624)-1))),2)&amp;":"&amp;RIGHT("00"&amp;VALUE(TRIM(MID(Entry!$D624,FIND(":",Entry!$D624)+1,2))),2),"نامعتبر")),IF(OR($E624="",$E624="نامعتبر"),"","00:00"))</f>
        <v/>
      </c>
      <c r="G624">
        <f>IF(OR($E624="",$E624="نامعتبر"),"",IF(Entry!$E624="","",LEFT(UPPER(TRIM(Entry!$E624)),6)))</f>
        <v/>
      </c>
      <c r="H624">
        <f>IF($G624="","",RIGHT($E624,4)&amp;MID($E624,6,2)&amp;RIGHT($E624,2)&amp;IF($F624="","0000",IF($F624="نامعتبر","9999",LEFT($F624,2)&amp;RIGHT($F624,2)))&amp;"|"&amp;RIGHT("00000"&amp;616,5))</f>
        <v/>
      </c>
      <c r="I624">
        <f>IF($H624="","",COUNTIFS(CalcBank,$G624,CalcKey,"&lt;"&amp;$H624)+1)</f>
        <v/>
      </c>
      <c r="J624">
        <f>IF($I624="","",$G624&amp;"|"&amp;RIGHT("000000"&amp;$I624,6))</f>
        <v/>
      </c>
      <c r="K624">
        <f>IF(OR($E624="",$E624="نامعتبر"),"",LEFT($E624,4)&amp;"/"&amp;MID($E624,6,2))</f>
        <v/>
      </c>
      <c r="L624">
        <f>IF(Entry!$K624="",0,Entry!$K624)</f>
        <v/>
      </c>
      <c r="M624">
        <f>IF(Entry!$L624="",0,Entry!$L624)</f>
        <v/>
      </c>
    </row>
    <row r="625">
      <c r="A625">
        <f>IF(Entry!$C625="","",Entry!$C625)</f>
        <v/>
      </c>
      <c r="B625">
        <f>IF($A625="","",IF(ISNUMBER($A625),IF(AND($A625&gt;=10000101,$A625&lt;=99991231),INT($A625/10000),""),IFERROR(VALUE(TRIM(LEFT($A625,FIND("/",$A625)-1))),"")))</f>
        <v/>
      </c>
      <c r="C625">
        <f>IF(OR($A625="",$B625=""),"",IF(ISNUMBER($A625),INT(MOD($A625,10000)/100),IFERROR(VALUE(TRIM(LEFT(MID($A625,FIND("/",$A625)+1,20),FIND("/",MID($A625,FIND("/",$A625)+1,20))-1))),"")))</f>
        <v/>
      </c>
      <c r="D625">
        <f>IF(OR($A625="",$B625=""),"",IF(ISNUMBER($A625),MOD($A625,100),IFERROR(VALUE(TRIM(MID(MID($A625,FIND("/",$A625)+1,20),FIND("/",MID($A625,FIND("/",$A625)+1,20))+1,20))),"")))</f>
        <v/>
      </c>
      <c r="E625">
        <f>IF($A625="","",IF(OR($B625="",$C625="",$D625="",$B625&lt;1300,$B625&gt;1500,$C625&lt;1,$C625&gt;12,$D625&lt;1,$D625&gt;31),"نامعتبر",RIGHT("0000"&amp;$B625,4)&amp;"/"&amp;RIGHT("00"&amp;$C625,2)&amp;"/"&amp;RIGHT("00"&amp;$D625,2)))</f>
        <v/>
      </c>
      <c r="F625">
        <f>IF(Entry!$D625&lt;&gt;"",IF(AND(ISNUMBER(Entry!$D625),Entry!$D625&gt;=0,Entry!$D625&lt;1),RIGHT("00"&amp;HOUR(Entry!$D625),2)&amp;":"&amp;RIGHT("00"&amp;MINUTE(Entry!$D625),2),IFERROR(RIGHT("00"&amp;VALUE(TRIM(LEFT(Entry!$D625,FIND(":",Entry!$D625)-1))),2)&amp;":"&amp;RIGHT("00"&amp;VALUE(TRIM(MID(Entry!$D625,FIND(":",Entry!$D625)+1,2))),2),"نامعتبر")),IF(OR($E625="",$E625="نامعتبر"),"","00:00"))</f>
        <v/>
      </c>
      <c r="G625">
        <f>IF(OR($E625="",$E625="نامعتبر"),"",IF(Entry!$E625="","",LEFT(UPPER(TRIM(Entry!$E625)),6)))</f>
        <v/>
      </c>
      <c r="H625">
        <f>IF($G625="","",RIGHT($E625,4)&amp;MID($E625,6,2)&amp;RIGHT($E625,2)&amp;IF($F625="","0000",IF($F625="نامعتبر","9999",LEFT($F625,2)&amp;RIGHT($F625,2)))&amp;"|"&amp;RIGHT("00000"&amp;617,5))</f>
        <v/>
      </c>
      <c r="I625">
        <f>IF($H625="","",COUNTIFS(CalcBank,$G625,CalcKey,"&lt;"&amp;$H625)+1)</f>
        <v/>
      </c>
      <c r="J625">
        <f>IF($I625="","",$G625&amp;"|"&amp;RIGHT("000000"&amp;$I625,6))</f>
        <v/>
      </c>
      <c r="K625">
        <f>IF(OR($E625="",$E625="نامعتبر"),"",LEFT($E625,4)&amp;"/"&amp;MID($E625,6,2))</f>
        <v/>
      </c>
      <c r="L625">
        <f>IF(Entry!$K625="",0,Entry!$K625)</f>
        <v/>
      </c>
      <c r="M625">
        <f>IF(Entry!$L625="",0,Entry!$L625)</f>
        <v/>
      </c>
    </row>
    <row r="626">
      <c r="A626">
        <f>IF(Entry!$C626="","",Entry!$C626)</f>
        <v/>
      </c>
      <c r="B626">
        <f>IF($A626="","",IF(ISNUMBER($A626),IF(AND($A626&gt;=10000101,$A626&lt;=99991231),INT($A626/10000),""),IFERROR(VALUE(TRIM(LEFT($A626,FIND("/",$A626)-1))),"")))</f>
        <v/>
      </c>
      <c r="C626">
        <f>IF(OR($A626="",$B626=""),"",IF(ISNUMBER($A626),INT(MOD($A626,10000)/100),IFERROR(VALUE(TRIM(LEFT(MID($A626,FIND("/",$A626)+1,20),FIND("/",MID($A626,FIND("/",$A626)+1,20))-1))),"")))</f>
        <v/>
      </c>
      <c r="D626">
        <f>IF(OR($A626="",$B626=""),"",IF(ISNUMBER($A626),MOD($A626,100),IFERROR(VALUE(TRIM(MID(MID($A626,FIND("/",$A626)+1,20),FIND("/",MID($A626,FIND("/",$A626)+1,20))+1,20))),"")))</f>
        <v/>
      </c>
      <c r="E626">
        <f>IF($A626="","",IF(OR($B626="",$C626="",$D626="",$B626&lt;1300,$B626&gt;1500,$C626&lt;1,$C626&gt;12,$D626&lt;1,$D626&gt;31),"نامعتبر",RIGHT("0000"&amp;$B626,4)&amp;"/"&amp;RIGHT("00"&amp;$C626,2)&amp;"/"&amp;RIGHT("00"&amp;$D626,2)))</f>
        <v/>
      </c>
      <c r="F626">
        <f>IF(Entry!$D626&lt;&gt;"",IF(AND(ISNUMBER(Entry!$D626),Entry!$D626&gt;=0,Entry!$D626&lt;1),RIGHT("00"&amp;HOUR(Entry!$D626),2)&amp;":"&amp;RIGHT("00"&amp;MINUTE(Entry!$D626),2),IFERROR(RIGHT("00"&amp;VALUE(TRIM(LEFT(Entry!$D626,FIND(":",Entry!$D626)-1))),2)&amp;":"&amp;RIGHT("00"&amp;VALUE(TRIM(MID(Entry!$D626,FIND(":",Entry!$D626)+1,2))),2),"نامعتبر")),IF(OR($E626="",$E626="نامعتبر"),"","00:00"))</f>
        <v/>
      </c>
      <c r="G626">
        <f>IF(OR($E626="",$E626="نامعتبر"),"",IF(Entry!$E626="","",LEFT(UPPER(TRIM(Entry!$E626)),6)))</f>
        <v/>
      </c>
      <c r="H626">
        <f>IF($G626="","",RIGHT($E626,4)&amp;MID($E626,6,2)&amp;RIGHT($E626,2)&amp;IF($F626="","0000",IF($F626="نامعتبر","9999",LEFT($F626,2)&amp;RIGHT($F626,2)))&amp;"|"&amp;RIGHT("00000"&amp;618,5))</f>
        <v/>
      </c>
      <c r="I626">
        <f>IF($H626="","",COUNTIFS(CalcBank,$G626,CalcKey,"&lt;"&amp;$H626)+1)</f>
        <v/>
      </c>
      <c r="J626">
        <f>IF($I626="","",$G626&amp;"|"&amp;RIGHT("000000"&amp;$I626,6))</f>
        <v/>
      </c>
      <c r="K626">
        <f>IF(OR($E626="",$E626="نامعتبر"),"",LEFT($E626,4)&amp;"/"&amp;MID($E626,6,2))</f>
        <v/>
      </c>
      <c r="L626">
        <f>IF(Entry!$K626="",0,Entry!$K626)</f>
        <v/>
      </c>
      <c r="M626">
        <f>IF(Entry!$L626="",0,Entry!$L626)</f>
        <v/>
      </c>
    </row>
    <row r="627">
      <c r="A627">
        <f>IF(Entry!$C627="","",Entry!$C627)</f>
        <v/>
      </c>
      <c r="B627">
        <f>IF($A627="","",IF(ISNUMBER($A627),IF(AND($A627&gt;=10000101,$A627&lt;=99991231),INT($A627/10000),""),IFERROR(VALUE(TRIM(LEFT($A627,FIND("/",$A627)-1))),"")))</f>
        <v/>
      </c>
      <c r="C627">
        <f>IF(OR($A627="",$B627=""),"",IF(ISNUMBER($A627),INT(MOD($A627,10000)/100),IFERROR(VALUE(TRIM(LEFT(MID($A627,FIND("/",$A627)+1,20),FIND("/",MID($A627,FIND("/",$A627)+1,20))-1))),"")))</f>
        <v/>
      </c>
      <c r="D627">
        <f>IF(OR($A627="",$B627=""),"",IF(ISNUMBER($A627),MOD($A627,100),IFERROR(VALUE(TRIM(MID(MID($A627,FIND("/",$A627)+1,20),FIND("/",MID($A627,FIND("/",$A627)+1,20))+1,20))),"")))</f>
        <v/>
      </c>
      <c r="E627">
        <f>IF($A627="","",IF(OR($B627="",$C627="",$D627="",$B627&lt;1300,$B627&gt;1500,$C627&lt;1,$C627&gt;12,$D627&lt;1,$D627&gt;31),"نامعتبر",RIGHT("0000"&amp;$B627,4)&amp;"/"&amp;RIGHT("00"&amp;$C627,2)&amp;"/"&amp;RIGHT("00"&amp;$D627,2)))</f>
        <v/>
      </c>
      <c r="F627">
        <f>IF(Entry!$D627&lt;&gt;"",IF(AND(ISNUMBER(Entry!$D627),Entry!$D627&gt;=0,Entry!$D627&lt;1),RIGHT("00"&amp;HOUR(Entry!$D627),2)&amp;":"&amp;RIGHT("00"&amp;MINUTE(Entry!$D627),2),IFERROR(RIGHT("00"&amp;VALUE(TRIM(LEFT(Entry!$D627,FIND(":",Entry!$D627)-1))),2)&amp;":"&amp;RIGHT("00"&amp;VALUE(TRIM(MID(Entry!$D627,FIND(":",Entry!$D627)+1,2))),2),"نامعتبر")),IF(OR($E627="",$E627="نامعتبر"),"","00:00"))</f>
        <v/>
      </c>
      <c r="G627">
        <f>IF(OR($E627="",$E627="نامعتبر"),"",IF(Entry!$E627="","",LEFT(UPPER(TRIM(Entry!$E627)),6)))</f>
        <v/>
      </c>
      <c r="H627">
        <f>IF($G627="","",RIGHT($E627,4)&amp;MID($E627,6,2)&amp;RIGHT($E627,2)&amp;IF($F627="","0000",IF($F627="نامعتبر","9999",LEFT($F627,2)&amp;RIGHT($F627,2)))&amp;"|"&amp;RIGHT("00000"&amp;619,5))</f>
        <v/>
      </c>
      <c r="I627">
        <f>IF($H627="","",COUNTIFS(CalcBank,$G627,CalcKey,"&lt;"&amp;$H627)+1)</f>
        <v/>
      </c>
      <c r="J627">
        <f>IF($I627="","",$G627&amp;"|"&amp;RIGHT("000000"&amp;$I627,6))</f>
        <v/>
      </c>
      <c r="K627">
        <f>IF(OR($E627="",$E627="نامعتبر"),"",LEFT($E627,4)&amp;"/"&amp;MID($E627,6,2))</f>
        <v/>
      </c>
      <c r="L627">
        <f>IF(Entry!$K627="",0,Entry!$K627)</f>
        <v/>
      </c>
      <c r="M627">
        <f>IF(Entry!$L627="",0,Entry!$L627)</f>
        <v/>
      </c>
    </row>
    <row r="628">
      <c r="A628">
        <f>IF(Entry!$C628="","",Entry!$C628)</f>
        <v/>
      </c>
      <c r="B628">
        <f>IF($A628="","",IF(ISNUMBER($A628),IF(AND($A628&gt;=10000101,$A628&lt;=99991231),INT($A628/10000),""),IFERROR(VALUE(TRIM(LEFT($A628,FIND("/",$A628)-1))),"")))</f>
        <v/>
      </c>
      <c r="C628">
        <f>IF(OR($A628="",$B628=""),"",IF(ISNUMBER($A628),INT(MOD($A628,10000)/100),IFERROR(VALUE(TRIM(LEFT(MID($A628,FIND("/",$A628)+1,20),FIND("/",MID($A628,FIND("/",$A628)+1,20))-1))),"")))</f>
        <v/>
      </c>
      <c r="D628">
        <f>IF(OR($A628="",$B628=""),"",IF(ISNUMBER($A628),MOD($A628,100),IFERROR(VALUE(TRIM(MID(MID($A628,FIND("/",$A628)+1,20),FIND("/",MID($A628,FIND("/",$A628)+1,20))+1,20))),"")))</f>
        <v/>
      </c>
      <c r="E628">
        <f>IF($A628="","",IF(OR($B628="",$C628="",$D628="",$B628&lt;1300,$B628&gt;1500,$C628&lt;1,$C628&gt;12,$D628&lt;1,$D628&gt;31),"نامعتبر",RIGHT("0000"&amp;$B628,4)&amp;"/"&amp;RIGHT("00"&amp;$C628,2)&amp;"/"&amp;RIGHT("00"&amp;$D628,2)))</f>
        <v/>
      </c>
      <c r="F628">
        <f>IF(Entry!$D628&lt;&gt;"",IF(AND(ISNUMBER(Entry!$D628),Entry!$D628&gt;=0,Entry!$D628&lt;1),RIGHT("00"&amp;HOUR(Entry!$D628),2)&amp;":"&amp;RIGHT("00"&amp;MINUTE(Entry!$D628),2),IFERROR(RIGHT("00"&amp;VALUE(TRIM(LEFT(Entry!$D628,FIND(":",Entry!$D628)-1))),2)&amp;":"&amp;RIGHT("00"&amp;VALUE(TRIM(MID(Entry!$D628,FIND(":",Entry!$D628)+1,2))),2),"نامعتبر")),IF(OR($E628="",$E628="نامعتبر"),"","00:00"))</f>
        <v/>
      </c>
      <c r="G628">
        <f>IF(OR($E628="",$E628="نامعتبر"),"",IF(Entry!$E628="","",LEFT(UPPER(TRIM(Entry!$E628)),6)))</f>
        <v/>
      </c>
      <c r="H628">
        <f>IF($G628="","",RIGHT($E628,4)&amp;MID($E628,6,2)&amp;RIGHT($E628,2)&amp;IF($F628="","0000",IF($F628="نامعتبر","9999",LEFT($F628,2)&amp;RIGHT($F628,2)))&amp;"|"&amp;RIGHT("00000"&amp;620,5))</f>
        <v/>
      </c>
      <c r="I628">
        <f>IF($H628="","",COUNTIFS(CalcBank,$G628,CalcKey,"&lt;"&amp;$H628)+1)</f>
        <v/>
      </c>
      <c r="J628">
        <f>IF($I628="","",$G628&amp;"|"&amp;RIGHT("000000"&amp;$I628,6))</f>
        <v/>
      </c>
      <c r="K628">
        <f>IF(OR($E628="",$E628="نامعتبر"),"",LEFT($E628,4)&amp;"/"&amp;MID($E628,6,2))</f>
        <v/>
      </c>
      <c r="L628">
        <f>IF(Entry!$K628="",0,Entry!$K628)</f>
        <v/>
      </c>
      <c r="M628">
        <f>IF(Entry!$L628="",0,Entry!$L628)</f>
        <v/>
      </c>
    </row>
    <row r="629">
      <c r="A629">
        <f>IF(Entry!$C629="","",Entry!$C629)</f>
        <v/>
      </c>
      <c r="B629">
        <f>IF($A629="","",IF(ISNUMBER($A629),IF(AND($A629&gt;=10000101,$A629&lt;=99991231),INT($A629/10000),""),IFERROR(VALUE(TRIM(LEFT($A629,FIND("/",$A629)-1))),"")))</f>
        <v/>
      </c>
      <c r="C629">
        <f>IF(OR($A629="",$B629=""),"",IF(ISNUMBER($A629),INT(MOD($A629,10000)/100),IFERROR(VALUE(TRIM(LEFT(MID($A629,FIND("/",$A629)+1,20),FIND("/",MID($A629,FIND("/",$A629)+1,20))-1))),"")))</f>
        <v/>
      </c>
      <c r="D629">
        <f>IF(OR($A629="",$B629=""),"",IF(ISNUMBER($A629),MOD($A629,100),IFERROR(VALUE(TRIM(MID(MID($A629,FIND("/",$A629)+1,20),FIND("/",MID($A629,FIND("/",$A629)+1,20))+1,20))),"")))</f>
        <v/>
      </c>
      <c r="E629">
        <f>IF($A629="","",IF(OR($B629="",$C629="",$D629="",$B629&lt;1300,$B629&gt;1500,$C629&lt;1,$C629&gt;12,$D629&lt;1,$D629&gt;31),"نامعتبر",RIGHT("0000"&amp;$B629,4)&amp;"/"&amp;RIGHT("00"&amp;$C629,2)&amp;"/"&amp;RIGHT("00"&amp;$D629,2)))</f>
        <v/>
      </c>
      <c r="F629">
        <f>IF(Entry!$D629&lt;&gt;"",IF(AND(ISNUMBER(Entry!$D629),Entry!$D629&gt;=0,Entry!$D629&lt;1),RIGHT("00"&amp;HOUR(Entry!$D629),2)&amp;":"&amp;RIGHT("00"&amp;MINUTE(Entry!$D629),2),IFERROR(RIGHT("00"&amp;VALUE(TRIM(LEFT(Entry!$D629,FIND(":",Entry!$D629)-1))),2)&amp;":"&amp;RIGHT("00"&amp;VALUE(TRIM(MID(Entry!$D629,FIND(":",Entry!$D629)+1,2))),2),"نامعتبر")),IF(OR($E629="",$E629="نامعتبر"),"","00:00"))</f>
        <v/>
      </c>
      <c r="G629">
        <f>IF(OR($E629="",$E629="نامعتبر"),"",IF(Entry!$E629="","",LEFT(UPPER(TRIM(Entry!$E629)),6)))</f>
        <v/>
      </c>
      <c r="H629">
        <f>IF($G629="","",RIGHT($E629,4)&amp;MID($E629,6,2)&amp;RIGHT($E629,2)&amp;IF($F629="","0000",IF($F629="نامعتبر","9999",LEFT($F629,2)&amp;RIGHT($F629,2)))&amp;"|"&amp;RIGHT("00000"&amp;621,5))</f>
        <v/>
      </c>
      <c r="I629">
        <f>IF($H629="","",COUNTIFS(CalcBank,$G629,CalcKey,"&lt;"&amp;$H629)+1)</f>
        <v/>
      </c>
      <c r="J629">
        <f>IF($I629="","",$G629&amp;"|"&amp;RIGHT("000000"&amp;$I629,6))</f>
        <v/>
      </c>
      <c r="K629">
        <f>IF(OR($E629="",$E629="نامعتبر"),"",LEFT($E629,4)&amp;"/"&amp;MID($E629,6,2))</f>
        <v/>
      </c>
      <c r="L629">
        <f>IF(Entry!$K629="",0,Entry!$K629)</f>
        <v/>
      </c>
      <c r="M629">
        <f>IF(Entry!$L629="",0,Entry!$L629)</f>
        <v/>
      </c>
    </row>
    <row r="630">
      <c r="A630">
        <f>IF(Entry!$C630="","",Entry!$C630)</f>
        <v/>
      </c>
      <c r="B630">
        <f>IF($A630="","",IF(ISNUMBER($A630),IF(AND($A630&gt;=10000101,$A630&lt;=99991231),INT($A630/10000),""),IFERROR(VALUE(TRIM(LEFT($A630,FIND("/",$A630)-1))),"")))</f>
        <v/>
      </c>
      <c r="C630">
        <f>IF(OR($A630="",$B630=""),"",IF(ISNUMBER($A630),INT(MOD($A630,10000)/100),IFERROR(VALUE(TRIM(LEFT(MID($A630,FIND("/",$A630)+1,20),FIND("/",MID($A630,FIND("/",$A630)+1,20))-1))),"")))</f>
        <v/>
      </c>
      <c r="D630">
        <f>IF(OR($A630="",$B630=""),"",IF(ISNUMBER($A630),MOD($A630,100),IFERROR(VALUE(TRIM(MID(MID($A630,FIND("/",$A630)+1,20),FIND("/",MID($A630,FIND("/",$A630)+1,20))+1,20))),"")))</f>
        <v/>
      </c>
      <c r="E630">
        <f>IF($A630="","",IF(OR($B630="",$C630="",$D630="",$B630&lt;1300,$B630&gt;1500,$C630&lt;1,$C630&gt;12,$D630&lt;1,$D630&gt;31),"نامعتبر",RIGHT("0000"&amp;$B630,4)&amp;"/"&amp;RIGHT("00"&amp;$C630,2)&amp;"/"&amp;RIGHT("00"&amp;$D630,2)))</f>
        <v/>
      </c>
      <c r="F630">
        <f>IF(Entry!$D630&lt;&gt;"",IF(AND(ISNUMBER(Entry!$D630),Entry!$D630&gt;=0,Entry!$D630&lt;1),RIGHT("00"&amp;HOUR(Entry!$D630),2)&amp;":"&amp;RIGHT("00"&amp;MINUTE(Entry!$D630),2),IFERROR(RIGHT("00"&amp;VALUE(TRIM(LEFT(Entry!$D630,FIND(":",Entry!$D630)-1))),2)&amp;":"&amp;RIGHT("00"&amp;VALUE(TRIM(MID(Entry!$D630,FIND(":",Entry!$D630)+1,2))),2),"نامعتبر")),IF(OR($E630="",$E630="نامعتبر"),"","00:00"))</f>
        <v/>
      </c>
      <c r="G630">
        <f>IF(OR($E630="",$E630="نامعتبر"),"",IF(Entry!$E630="","",LEFT(UPPER(TRIM(Entry!$E630)),6)))</f>
        <v/>
      </c>
      <c r="H630">
        <f>IF($G630="","",RIGHT($E630,4)&amp;MID($E630,6,2)&amp;RIGHT($E630,2)&amp;IF($F630="","0000",IF($F630="نامعتبر","9999",LEFT($F630,2)&amp;RIGHT($F630,2)))&amp;"|"&amp;RIGHT("00000"&amp;622,5))</f>
        <v/>
      </c>
      <c r="I630">
        <f>IF($H630="","",COUNTIFS(CalcBank,$G630,CalcKey,"&lt;"&amp;$H630)+1)</f>
        <v/>
      </c>
      <c r="J630">
        <f>IF($I630="","",$G630&amp;"|"&amp;RIGHT("000000"&amp;$I630,6))</f>
        <v/>
      </c>
      <c r="K630">
        <f>IF(OR($E630="",$E630="نامعتبر"),"",LEFT($E630,4)&amp;"/"&amp;MID($E630,6,2))</f>
        <v/>
      </c>
      <c r="L630">
        <f>IF(Entry!$K630="",0,Entry!$K630)</f>
        <v/>
      </c>
      <c r="M630">
        <f>IF(Entry!$L630="",0,Entry!$L630)</f>
        <v/>
      </c>
    </row>
    <row r="631">
      <c r="A631">
        <f>IF(Entry!$C631="","",Entry!$C631)</f>
        <v/>
      </c>
      <c r="B631">
        <f>IF($A631="","",IF(ISNUMBER($A631),IF(AND($A631&gt;=10000101,$A631&lt;=99991231),INT($A631/10000),""),IFERROR(VALUE(TRIM(LEFT($A631,FIND("/",$A631)-1))),"")))</f>
        <v/>
      </c>
      <c r="C631">
        <f>IF(OR($A631="",$B631=""),"",IF(ISNUMBER($A631),INT(MOD($A631,10000)/100),IFERROR(VALUE(TRIM(LEFT(MID($A631,FIND("/",$A631)+1,20),FIND("/",MID($A631,FIND("/",$A631)+1,20))-1))),"")))</f>
        <v/>
      </c>
      <c r="D631">
        <f>IF(OR($A631="",$B631=""),"",IF(ISNUMBER($A631),MOD($A631,100),IFERROR(VALUE(TRIM(MID(MID($A631,FIND("/",$A631)+1,20),FIND("/",MID($A631,FIND("/",$A631)+1,20))+1,20))),"")))</f>
        <v/>
      </c>
      <c r="E631">
        <f>IF($A631="","",IF(OR($B631="",$C631="",$D631="",$B631&lt;1300,$B631&gt;1500,$C631&lt;1,$C631&gt;12,$D631&lt;1,$D631&gt;31),"نامعتبر",RIGHT("0000"&amp;$B631,4)&amp;"/"&amp;RIGHT("00"&amp;$C631,2)&amp;"/"&amp;RIGHT("00"&amp;$D631,2)))</f>
        <v/>
      </c>
      <c r="F631">
        <f>IF(Entry!$D631&lt;&gt;"",IF(AND(ISNUMBER(Entry!$D631),Entry!$D631&gt;=0,Entry!$D631&lt;1),RIGHT("00"&amp;HOUR(Entry!$D631),2)&amp;":"&amp;RIGHT("00"&amp;MINUTE(Entry!$D631),2),IFERROR(RIGHT("00"&amp;VALUE(TRIM(LEFT(Entry!$D631,FIND(":",Entry!$D631)-1))),2)&amp;":"&amp;RIGHT("00"&amp;VALUE(TRIM(MID(Entry!$D631,FIND(":",Entry!$D631)+1,2))),2),"نامعتبر")),IF(OR($E631="",$E631="نامعتبر"),"","00:00"))</f>
        <v/>
      </c>
      <c r="G631">
        <f>IF(OR($E631="",$E631="نامعتبر"),"",IF(Entry!$E631="","",LEFT(UPPER(TRIM(Entry!$E631)),6)))</f>
        <v/>
      </c>
      <c r="H631">
        <f>IF($G631="","",RIGHT($E631,4)&amp;MID($E631,6,2)&amp;RIGHT($E631,2)&amp;IF($F631="","0000",IF($F631="نامعتبر","9999",LEFT($F631,2)&amp;RIGHT($F631,2)))&amp;"|"&amp;RIGHT("00000"&amp;623,5))</f>
        <v/>
      </c>
      <c r="I631">
        <f>IF($H631="","",COUNTIFS(CalcBank,$G631,CalcKey,"&lt;"&amp;$H631)+1)</f>
        <v/>
      </c>
      <c r="J631">
        <f>IF($I631="","",$G631&amp;"|"&amp;RIGHT("000000"&amp;$I631,6))</f>
        <v/>
      </c>
      <c r="K631">
        <f>IF(OR($E631="",$E631="نامعتبر"),"",LEFT($E631,4)&amp;"/"&amp;MID($E631,6,2))</f>
        <v/>
      </c>
      <c r="L631">
        <f>IF(Entry!$K631="",0,Entry!$K631)</f>
        <v/>
      </c>
      <c r="M631">
        <f>IF(Entry!$L631="",0,Entry!$L631)</f>
        <v/>
      </c>
    </row>
    <row r="632">
      <c r="A632">
        <f>IF(Entry!$C632="","",Entry!$C632)</f>
        <v/>
      </c>
      <c r="B632">
        <f>IF($A632="","",IF(ISNUMBER($A632),IF(AND($A632&gt;=10000101,$A632&lt;=99991231),INT($A632/10000),""),IFERROR(VALUE(TRIM(LEFT($A632,FIND("/",$A632)-1))),"")))</f>
        <v/>
      </c>
      <c r="C632">
        <f>IF(OR($A632="",$B632=""),"",IF(ISNUMBER($A632),INT(MOD($A632,10000)/100),IFERROR(VALUE(TRIM(LEFT(MID($A632,FIND("/",$A632)+1,20),FIND("/",MID($A632,FIND("/",$A632)+1,20))-1))),"")))</f>
        <v/>
      </c>
      <c r="D632">
        <f>IF(OR($A632="",$B632=""),"",IF(ISNUMBER($A632),MOD($A632,100),IFERROR(VALUE(TRIM(MID(MID($A632,FIND("/",$A632)+1,20),FIND("/",MID($A632,FIND("/",$A632)+1,20))+1,20))),"")))</f>
        <v/>
      </c>
      <c r="E632">
        <f>IF($A632="","",IF(OR($B632="",$C632="",$D632="",$B632&lt;1300,$B632&gt;1500,$C632&lt;1,$C632&gt;12,$D632&lt;1,$D632&gt;31),"نامعتبر",RIGHT("0000"&amp;$B632,4)&amp;"/"&amp;RIGHT("00"&amp;$C632,2)&amp;"/"&amp;RIGHT("00"&amp;$D632,2)))</f>
        <v/>
      </c>
      <c r="F632">
        <f>IF(Entry!$D632&lt;&gt;"",IF(AND(ISNUMBER(Entry!$D632),Entry!$D632&gt;=0,Entry!$D632&lt;1),RIGHT("00"&amp;HOUR(Entry!$D632),2)&amp;":"&amp;RIGHT("00"&amp;MINUTE(Entry!$D632),2),IFERROR(RIGHT("00"&amp;VALUE(TRIM(LEFT(Entry!$D632,FIND(":",Entry!$D632)-1))),2)&amp;":"&amp;RIGHT("00"&amp;VALUE(TRIM(MID(Entry!$D632,FIND(":",Entry!$D632)+1,2))),2),"نامعتبر")),IF(OR($E632="",$E632="نامعتبر"),"","00:00"))</f>
        <v/>
      </c>
      <c r="G632">
        <f>IF(OR($E632="",$E632="نامعتبر"),"",IF(Entry!$E632="","",LEFT(UPPER(TRIM(Entry!$E632)),6)))</f>
        <v/>
      </c>
      <c r="H632">
        <f>IF($G632="","",RIGHT($E632,4)&amp;MID($E632,6,2)&amp;RIGHT($E632,2)&amp;IF($F632="","0000",IF($F632="نامعتبر","9999",LEFT($F632,2)&amp;RIGHT($F632,2)))&amp;"|"&amp;RIGHT("00000"&amp;624,5))</f>
        <v/>
      </c>
      <c r="I632">
        <f>IF($H632="","",COUNTIFS(CalcBank,$G632,CalcKey,"&lt;"&amp;$H632)+1)</f>
        <v/>
      </c>
      <c r="J632">
        <f>IF($I632="","",$G632&amp;"|"&amp;RIGHT("000000"&amp;$I632,6))</f>
        <v/>
      </c>
      <c r="K632">
        <f>IF(OR($E632="",$E632="نامعتبر"),"",LEFT($E632,4)&amp;"/"&amp;MID($E632,6,2))</f>
        <v/>
      </c>
      <c r="L632">
        <f>IF(Entry!$K632="",0,Entry!$K632)</f>
        <v/>
      </c>
      <c r="M632">
        <f>IF(Entry!$L632="",0,Entry!$L632)</f>
        <v/>
      </c>
    </row>
    <row r="633">
      <c r="A633">
        <f>IF(Entry!$C633="","",Entry!$C633)</f>
        <v/>
      </c>
      <c r="B633">
        <f>IF($A633="","",IF(ISNUMBER($A633),IF(AND($A633&gt;=10000101,$A633&lt;=99991231),INT($A633/10000),""),IFERROR(VALUE(TRIM(LEFT($A633,FIND("/",$A633)-1))),"")))</f>
        <v/>
      </c>
      <c r="C633">
        <f>IF(OR($A633="",$B633=""),"",IF(ISNUMBER($A633),INT(MOD($A633,10000)/100),IFERROR(VALUE(TRIM(LEFT(MID($A633,FIND("/",$A633)+1,20),FIND("/",MID($A633,FIND("/",$A633)+1,20))-1))),"")))</f>
        <v/>
      </c>
      <c r="D633">
        <f>IF(OR($A633="",$B633=""),"",IF(ISNUMBER($A633),MOD($A633,100),IFERROR(VALUE(TRIM(MID(MID($A633,FIND("/",$A633)+1,20),FIND("/",MID($A633,FIND("/",$A633)+1,20))+1,20))),"")))</f>
        <v/>
      </c>
      <c r="E633">
        <f>IF($A633="","",IF(OR($B633="",$C633="",$D633="",$B633&lt;1300,$B633&gt;1500,$C633&lt;1,$C633&gt;12,$D633&lt;1,$D633&gt;31),"نامعتبر",RIGHT("0000"&amp;$B633,4)&amp;"/"&amp;RIGHT("00"&amp;$C633,2)&amp;"/"&amp;RIGHT("00"&amp;$D633,2)))</f>
        <v/>
      </c>
      <c r="F633">
        <f>IF(Entry!$D633&lt;&gt;"",IF(AND(ISNUMBER(Entry!$D633),Entry!$D633&gt;=0,Entry!$D633&lt;1),RIGHT("00"&amp;HOUR(Entry!$D633),2)&amp;":"&amp;RIGHT("00"&amp;MINUTE(Entry!$D633),2),IFERROR(RIGHT("00"&amp;VALUE(TRIM(LEFT(Entry!$D633,FIND(":",Entry!$D633)-1))),2)&amp;":"&amp;RIGHT("00"&amp;VALUE(TRIM(MID(Entry!$D633,FIND(":",Entry!$D633)+1,2))),2),"نامعتبر")),IF(OR($E633="",$E633="نامعتبر"),"","00:00"))</f>
        <v/>
      </c>
      <c r="G633">
        <f>IF(OR($E633="",$E633="نامعتبر"),"",IF(Entry!$E633="","",LEFT(UPPER(TRIM(Entry!$E633)),6)))</f>
        <v/>
      </c>
      <c r="H633">
        <f>IF($G633="","",RIGHT($E633,4)&amp;MID($E633,6,2)&amp;RIGHT($E633,2)&amp;IF($F633="","0000",IF($F633="نامعتبر","9999",LEFT($F633,2)&amp;RIGHT($F633,2)))&amp;"|"&amp;RIGHT("00000"&amp;625,5))</f>
        <v/>
      </c>
      <c r="I633">
        <f>IF($H633="","",COUNTIFS(CalcBank,$G633,CalcKey,"&lt;"&amp;$H633)+1)</f>
        <v/>
      </c>
      <c r="J633">
        <f>IF($I633="","",$G633&amp;"|"&amp;RIGHT("000000"&amp;$I633,6))</f>
        <v/>
      </c>
      <c r="K633">
        <f>IF(OR($E633="",$E633="نامعتبر"),"",LEFT($E633,4)&amp;"/"&amp;MID($E633,6,2))</f>
        <v/>
      </c>
      <c r="L633">
        <f>IF(Entry!$K633="",0,Entry!$K633)</f>
        <v/>
      </c>
      <c r="M633">
        <f>IF(Entry!$L633="",0,Entry!$L633)</f>
        <v/>
      </c>
    </row>
    <row r="634">
      <c r="A634">
        <f>IF(Entry!$C634="","",Entry!$C634)</f>
        <v/>
      </c>
      <c r="B634">
        <f>IF($A634="","",IF(ISNUMBER($A634),IF(AND($A634&gt;=10000101,$A634&lt;=99991231),INT($A634/10000),""),IFERROR(VALUE(TRIM(LEFT($A634,FIND("/",$A634)-1))),"")))</f>
        <v/>
      </c>
      <c r="C634">
        <f>IF(OR($A634="",$B634=""),"",IF(ISNUMBER($A634),INT(MOD($A634,10000)/100),IFERROR(VALUE(TRIM(LEFT(MID($A634,FIND("/",$A634)+1,20),FIND("/",MID($A634,FIND("/",$A634)+1,20))-1))),"")))</f>
        <v/>
      </c>
      <c r="D634">
        <f>IF(OR($A634="",$B634=""),"",IF(ISNUMBER($A634),MOD($A634,100),IFERROR(VALUE(TRIM(MID(MID($A634,FIND("/",$A634)+1,20),FIND("/",MID($A634,FIND("/",$A634)+1,20))+1,20))),"")))</f>
        <v/>
      </c>
      <c r="E634">
        <f>IF($A634="","",IF(OR($B634="",$C634="",$D634="",$B634&lt;1300,$B634&gt;1500,$C634&lt;1,$C634&gt;12,$D634&lt;1,$D634&gt;31),"نامعتبر",RIGHT("0000"&amp;$B634,4)&amp;"/"&amp;RIGHT("00"&amp;$C634,2)&amp;"/"&amp;RIGHT("00"&amp;$D634,2)))</f>
        <v/>
      </c>
      <c r="F634">
        <f>IF(Entry!$D634&lt;&gt;"",IF(AND(ISNUMBER(Entry!$D634),Entry!$D634&gt;=0,Entry!$D634&lt;1),RIGHT("00"&amp;HOUR(Entry!$D634),2)&amp;":"&amp;RIGHT("00"&amp;MINUTE(Entry!$D634),2),IFERROR(RIGHT("00"&amp;VALUE(TRIM(LEFT(Entry!$D634,FIND(":",Entry!$D634)-1))),2)&amp;":"&amp;RIGHT("00"&amp;VALUE(TRIM(MID(Entry!$D634,FIND(":",Entry!$D634)+1,2))),2),"نامعتبر")),IF(OR($E634="",$E634="نامعتبر"),"","00:00"))</f>
        <v/>
      </c>
      <c r="G634">
        <f>IF(OR($E634="",$E634="نامعتبر"),"",IF(Entry!$E634="","",LEFT(UPPER(TRIM(Entry!$E634)),6)))</f>
        <v/>
      </c>
      <c r="H634">
        <f>IF($G634="","",RIGHT($E634,4)&amp;MID($E634,6,2)&amp;RIGHT($E634,2)&amp;IF($F634="","0000",IF($F634="نامعتبر","9999",LEFT($F634,2)&amp;RIGHT($F634,2)))&amp;"|"&amp;RIGHT("00000"&amp;626,5))</f>
        <v/>
      </c>
      <c r="I634">
        <f>IF($H634="","",COUNTIFS(CalcBank,$G634,CalcKey,"&lt;"&amp;$H634)+1)</f>
        <v/>
      </c>
      <c r="J634">
        <f>IF($I634="","",$G634&amp;"|"&amp;RIGHT("000000"&amp;$I634,6))</f>
        <v/>
      </c>
      <c r="K634">
        <f>IF(OR($E634="",$E634="نامعتبر"),"",LEFT($E634,4)&amp;"/"&amp;MID($E634,6,2))</f>
        <v/>
      </c>
      <c r="L634">
        <f>IF(Entry!$K634="",0,Entry!$K634)</f>
        <v/>
      </c>
      <c r="M634">
        <f>IF(Entry!$L634="",0,Entry!$L634)</f>
        <v/>
      </c>
    </row>
    <row r="635">
      <c r="A635">
        <f>IF(Entry!$C635="","",Entry!$C635)</f>
        <v/>
      </c>
      <c r="B635">
        <f>IF($A635="","",IF(ISNUMBER($A635),IF(AND($A635&gt;=10000101,$A635&lt;=99991231),INT($A635/10000),""),IFERROR(VALUE(TRIM(LEFT($A635,FIND("/",$A635)-1))),"")))</f>
        <v/>
      </c>
      <c r="C635">
        <f>IF(OR($A635="",$B635=""),"",IF(ISNUMBER($A635),INT(MOD($A635,10000)/100),IFERROR(VALUE(TRIM(LEFT(MID($A635,FIND("/",$A635)+1,20),FIND("/",MID($A635,FIND("/",$A635)+1,20))-1))),"")))</f>
        <v/>
      </c>
      <c r="D635">
        <f>IF(OR($A635="",$B635=""),"",IF(ISNUMBER($A635),MOD($A635,100),IFERROR(VALUE(TRIM(MID(MID($A635,FIND("/",$A635)+1,20),FIND("/",MID($A635,FIND("/",$A635)+1,20))+1,20))),"")))</f>
        <v/>
      </c>
      <c r="E635">
        <f>IF($A635="","",IF(OR($B635="",$C635="",$D635="",$B635&lt;1300,$B635&gt;1500,$C635&lt;1,$C635&gt;12,$D635&lt;1,$D635&gt;31),"نامعتبر",RIGHT("0000"&amp;$B635,4)&amp;"/"&amp;RIGHT("00"&amp;$C635,2)&amp;"/"&amp;RIGHT("00"&amp;$D635,2)))</f>
        <v/>
      </c>
      <c r="F635">
        <f>IF(Entry!$D635&lt;&gt;"",IF(AND(ISNUMBER(Entry!$D635),Entry!$D635&gt;=0,Entry!$D635&lt;1),RIGHT("00"&amp;HOUR(Entry!$D635),2)&amp;":"&amp;RIGHT("00"&amp;MINUTE(Entry!$D635),2),IFERROR(RIGHT("00"&amp;VALUE(TRIM(LEFT(Entry!$D635,FIND(":",Entry!$D635)-1))),2)&amp;":"&amp;RIGHT("00"&amp;VALUE(TRIM(MID(Entry!$D635,FIND(":",Entry!$D635)+1,2))),2),"نامعتبر")),IF(OR($E635="",$E635="نامعتبر"),"","00:00"))</f>
        <v/>
      </c>
      <c r="G635">
        <f>IF(OR($E635="",$E635="نامعتبر"),"",IF(Entry!$E635="","",LEFT(UPPER(TRIM(Entry!$E635)),6)))</f>
        <v/>
      </c>
      <c r="H635">
        <f>IF($G635="","",RIGHT($E635,4)&amp;MID($E635,6,2)&amp;RIGHT($E635,2)&amp;IF($F635="","0000",IF($F635="نامعتبر","9999",LEFT($F635,2)&amp;RIGHT($F635,2)))&amp;"|"&amp;RIGHT("00000"&amp;627,5))</f>
        <v/>
      </c>
      <c r="I635">
        <f>IF($H635="","",COUNTIFS(CalcBank,$G635,CalcKey,"&lt;"&amp;$H635)+1)</f>
        <v/>
      </c>
      <c r="J635">
        <f>IF($I635="","",$G635&amp;"|"&amp;RIGHT("000000"&amp;$I635,6))</f>
        <v/>
      </c>
      <c r="K635">
        <f>IF(OR($E635="",$E635="نامعتبر"),"",LEFT($E635,4)&amp;"/"&amp;MID($E635,6,2))</f>
        <v/>
      </c>
      <c r="L635">
        <f>IF(Entry!$K635="",0,Entry!$K635)</f>
        <v/>
      </c>
      <c r="M635">
        <f>IF(Entry!$L635="",0,Entry!$L635)</f>
        <v/>
      </c>
    </row>
    <row r="636">
      <c r="A636">
        <f>IF(Entry!$C636="","",Entry!$C636)</f>
        <v/>
      </c>
      <c r="B636">
        <f>IF($A636="","",IF(ISNUMBER($A636),IF(AND($A636&gt;=10000101,$A636&lt;=99991231),INT($A636/10000),""),IFERROR(VALUE(TRIM(LEFT($A636,FIND("/",$A636)-1))),"")))</f>
        <v/>
      </c>
      <c r="C636">
        <f>IF(OR($A636="",$B636=""),"",IF(ISNUMBER($A636),INT(MOD($A636,10000)/100),IFERROR(VALUE(TRIM(LEFT(MID($A636,FIND("/",$A636)+1,20),FIND("/",MID($A636,FIND("/",$A636)+1,20))-1))),"")))</f>
        <v/>
      </c>
      <c r="D636">
        <f>IF(OR($A636="",$B636=""),"",IF(ISNUMBER($A636),MOD($A636,100),IFERROR(VALUE(TRIM(MID(MID($A636,FIND("/",$A636)+1,20),FIND("/",MID($A636,FIND("/",$A636)+1,20))+1,20))),"")))</f>
        <v/>
      </c>
      <c r="E636">
        <f>IF($A636="","",IF(OR($B636="",$C636="",$D636="",$B636&lt;1300,$B636&gt;1500,$C636&lt;1,$C636&gt;12,$D636&lt;1,$D636&gt;31),"نامعتبر",RIGHT("0000"&amp;$B636,4)&amp;"/"&amp;RIGHT("00"&amp;$C636,2)&amp;"/"&amp;RIGHT("00"&amp;$D636,2)))</f>
        <v/>
      </c>
      <c r="F636">
        <f>IF(Entry!$D636&lt;&gt;"",IF(AND(ISNUMBER(Entry!$D636),Entry!$D636&gt;=0,Entry!$D636&lt;1),RIGHT("00"&amp;HOUR(Entry!$D636),2)&amp;":"&amp;RIGHT("00"&amp;MINUTE(Entry!$D636),2),IFERROR(RIGHT("00"&amp;VALUE(TRIM(LEFT(Entry!$D636,FIND(":",Entry!$D636)-1))),2)&amp;":"&amp;RIGHT("00"&amp;VALUE(TRIM(MID(Entry!$D636,FIND(":",Entry!$D636)+1,2))),2),"نامعتبر")),IF(OR($E636="",$E636="نامعتبر"),"","00:00"))</f>
        <v/>
      </c>
      <c r="G636">
        <f>IF(OR($E636="",$E636="نامعتبر"),"",IF(Entry!$E636="","",LEFT(UPPER(TRIM(Entry!$E636)),6)))</f>
        <v/>
      </c>
      <c r="H636">
        <f>IF($G636="","",RIGHT($E636,4)&amp;MID($E636,6,2)&amp;RIGHT($E636,2)&amp;IF($F636="","0000",IF($F636="نامعتبر","9999",LEFT($F636,2)&amp;RIGHT($F636,2)))&amp;"|"&amp;RIGHT("00000"&amp;628,5))</f>
        <v/>
      </c>
      <c r="I636">
        <f>IF($H636="","",COUNTIFS(CalcBank,$G636,CalcKey,"&lt;"&amp;$H636)+1)</f>
        <v/>
      </c>
      <c r="J636">
        <f>IF($I636="","",$G636&amp;"|"&amp;RIGHT("000000"&amp;$I636,6))</f>
        <v/>
      </c>
      <c r="K636">
        <f>IF(OR($E636="",$E636="نامعتبر"),"",LEFT($E636,4)&amp;"/"&amp;MID($E636,6,2))</f>
        <v/>
      </c>
      <c r="L636">
        <f>IF(Entry!$K636="",0,Entry!$K636)</f>
        <v/>
      </c>
      <c r="M636">
        <f>IF(Entry!$L636="",0,Entry!$L636)</f>
        <v/>
      </c>
    </row>
    <row r="637">
      <c r="A637">
        <f>IF(Entry!$C637="","",Entry!$C637)</f>
        <v/>
      </c>
      <c r="B637">
        <f>IF($A637="","",IF(ISNUMBER($A637),IF(AND($A637&gt;=10000101,$A637&lt;=99991231),INT($A637/10000),""),IFERROR(VALUE(TRIM(LEFT($A637,FIND("/",$A637)-1))),"")))</f>
        <v/>
      </c>
      <c r="C637">
        <f>IF(OR($A637="",$B637=""),"",IF(ISNUMBER($A637),INT(MOD($A637,10000)/100),IFERROR(VALUE(TRIM(LEFT(MID($A637,FIND("/",$A637)+1,20),FIND("/",MID($A637,FIND("/",$A637)+1,20))-1))),"")))</f>
        <v/>
      </c>
      <c r="D637">
        <f>IF(OR($A637="",$B637=""),"",IF(ISNUMBER($A637),MOD($A637,100),IFERROR(VALUE(TRIM(MID(MID($A637,FIND("/",$A637)+1,20),FIND("/",MID($A637,FIND("/",$A637)+1,20))+1,20))),"")))</f>
        <v/>
      </c>
      <c r="E637">
        <f>IF($A637="","",IF(OR($B637="",$C637="",$D637="",$B637&lt;1300,$B637&gt;1500,$C637&lt;1,$C637&gt;12,$D637&lt;1,$D637&gt;31),"نامعتبر",RIGHT("0000"&amp;$B637,4)&amp;"/"&amp;RIGHT("00"&amp;$C637,2)&amp;"/"&amp;RIGHT("00"&amp;$D637,2)))</f>
        <v/>
      </c>
      <c r="F637">
        <f>IF(Entry!$D637&lt;&gt;"",IF(AND(ISNUMBER(Entry!$D637),Entry!$D637&gt;=0,Entry!$D637&lt;1),RIGHT("00"&amp;HOUR(Entry!$D637),2)&amp;":"&amp;RIGHT("00"&amp;MINUTE(Entry!$D637),2),IFERROR(RIGHT("00"&amp;VALUE(TRIM(LEFT(Entry!$D637,FIND(":",Entry!$D637)-1))),2)&amp;":"&amp;RIGHT("00"&amp;VALUE(TRIM(MID(Entry!$D637,FIND(":",Entry!$D637)+1,2))),2),"نامعتبر")),IF(OR($E637="",$E637="نامعتبر"),"","00:00"))</f>
        <v/>
      </c>
      <c r="G637">
        <f>IF(OR($E637="",$E637="نامعتبر"),"",IF(Entry!$E637="","",LEFT(UPPER(TRIM(Entry!$E637)),6)))</f>
        <v/>
      </c>
      <c r="H637">
        <f>IF($G637="","",RIGHT($E637,4)&amp;MID($E637,6,2)&amp;RIGHT($E637,2)&amp;IF($F637="","0000",IF($F637="نامعتبر","9999",LEFT($F637,2)&amp;RIGHT($F637,2)))&amp;"|"&amp;RIGHT("00000"&amp;629,5))</f>
        <v/>
      </c>
      <c r="I637">
        <f>IF($H637="","",COUNTIFS(CalcBank,$G637,CalcKey,"&lt;"&amp;$H637)+1)</f>
        <v/>
      </c>
      <c r="J637">
        <f>IF($I637="","",$G637&amp;"|"&amp;RIGHT("000000"&amp;$I637,6))</f>
        <v/>
      </c>
      <c r="K637">
        <f>IF(OR($E637="",$E637="نامعتبر"),"",LEFT($E637,4)&amp;"/"&amp;MID($E637,6,2))</f>
        <v/>
      </c>
      <c r="L637">
        <f>IF(Entry!$K637="",0,Entry!$K637)</f>
        <v/>
      </c>
      <c r="M637">
        <f>IF(Entry!$L637="",0,Entry!$L637)</f>
        <v/>
      </c>
    </row>
    <row r="638">
      <c r="A638">
        <f>IF(Entry!$C638="","",Entry!$C638)</f>
        <v/>
      </c>
      <c r="B638">
        <f>IF($A638="","",IF(ISNUMBER($A638),IF(AND($A638&gt;=10000101,$A638&lt;=99991231),INT($A638/10000),""),IFERROR(VALUE(TRIM(LEFT($A638,FIND("/",$A638)-1))),"")))</f>
        <v/>
      </c>
      <c r="C638">
        <f>IF(OR($A638="",$B638=""),"",IF(ISNUMBER($A638),INT(MOD($A638,10000)/100),IFERROR(VALUE(TRIM(LEFT(MID($A638,FIND("/",$A638)+1,20),FIND("/",MID($A638,FIND("/",$A638)+1,20))-1))),"")))</f>
        <v/>
      </c>
      <c r="D638">
        <f>IF(OR($A638="",$B638=""),"",IF(ISNUMBER($A638),MOD($A638,100),IFERROR(VALUE(TRIM(MID(MID($A638,FIND("/",$A638)+1,20),FIND("/",MID($A638,FIND("/",$A638)+1,20))+1,20))),"")))</f>
        <v/>
      </c>
      <c r="E638">
        <f>IF($A638="","",IF(OR($B638="",$C638="",$D638="",$B638&lt;1300,$B638&gt;1500,$C638&lt;1,$C638&gt;12,$D638&lt;1,$D638&gt;31),"نامعتبر",RIGHT("0000"&amp;$B638,4)&amp;"/"&amp;RIGHT("00"&amp;$C638,2)&amp;"/"&amp;RIGHT("00"&amp;$D638,2)))</f>
        <v/>
      </c>
      <c r="F638">
        <f>IF(Entry!$D638&lt;&gt;"",IF(AND(ISNUMBER(Entry!$D638),Entry!$D638&gt;=0,Entry!$D638&lt;1),RIGHT("00"&amp;HOUR(Entry!$D638),2)&amp;":"&amp;RIGHT("00"&amp;MINUTE(Entry!$D638),2),IFERROR(RIGHT("00"&amp;VALUE(TRIM(LEFT(Entry!$D638,FIND(":",Entry!$D638)-1))),2)&amp;":"&amp;RIGHT("00"&amp;VALUE(TRIM(MID(Entry!$D638,FIND(":",Entry!$D638)+1,2))),2),"نامعتبر")),IF(OR($E638="",$E638="نامعتبر"),"","00:00"))</f>
        <v/>
      </c>
      <c r="G638">
        <f>IF(OR($E638="",$E638="نامعتبر"),"",IF(Entry!$E638="","",LEFT(UPPER(TRIM(Entry!$E638)),6)))</f>
        <v/>
      </c>
      <c r="H638">
        <f>IF($G638="","",RIGHT($E638,4)&amp;MID($E638,6,2)&amp;RIGHT($E638,2)&amp;IF($F638="","0000",IF($F638="نامعتبر","9999",LEFT($F638,2)&amp;RIGHT($F638,2)))&amp;"|"&amp;RIGHT("00000"&amp;630,5))</f>
        <v/>
      </c>
      <c r="I638">
        <f>IF($H638="","",COUNTIFS(CalcBank,$G638,CalcKey,"&lt;"&amp;$H638)+1)</f>
        <v/>
      </c>
      <c r="J638">
        <f>IF($I638="","",$G638&amp;"|"&amp;RIGHT("000000"&amp;$I638,6))</f>
        <v/>
      </c>
      <c r="K638">
        <f>IF(OR($E638="",$E638="نامعتبر"),"",LEFT($E638,4)&amp;"/"&amp;MID($E638,6,2))</f>
        <v/>
      </c>
      <c r="L638">
        <f>IF(Entry!$K638="",0,Entry!$K638)</f>
        <v/>
      </c>
      <c r="M638">
        <f>IF(Entry!$L638="",0,Entry!$L638)</f>
        <v/>
      </c>
    </row>
    <row r="639">
      <c r="A639">
        <f>IF(Entry!$C639="","",Entry!$C639)</f>
        <v/>
      </c>
      <c r="B639">
        <f>IF($A639="","",IF(ISNUMBER($A639),IF(AND($A639&gt;=10000101,$A639&lt;=99991231),INT($A639/10000),""),IFERROR(VALUE(TRIM(LEFT($A639,FIND("/",$A639)-1))),"")))</f>
        <v/>
      </c>
      <c r="C639">
        <f>IF(OR($A639="",$B639=""),"",IF(ISNUMBER($A639),INT(MOD($A639,10000)/100),IFERROR(VALUE(TRIM(LEFT(MID($A639,FIND("/",$A639)+1,20),FIND("/",MID($A639,FIND("/",$A639)+1,20))-1))),"")))</f>
        <v/>
      </c>
      <c r="D639">
        <f>IF(OR($A639="",$B639=""),"",IF(ISNUMBER($A639),MOD($A639,100),IFERROR(VALUE(TRIM(MID(MID($A639,FIND("/",$A639)+1,20),FIND("/",MID($A639,FIND("/",$A639)+1,20))+1,20))),"")))</f>
        <v/>
      </c>
      <c r="E639">
        <f>IF($A639="","",IF(OR($B639="",$C639="",$D639="",$B639&lt;1300,$B639&gt;1500,$C639&lt;1,$C639&gt;12,$D639&lt;1,$D639&gt;31),"نامعتبر",RIGHT("0000"&amp;$B639,4)&amp;"/"&amp;RIGHT("00"&amp;$C639,2)&amp;"/"&amp;RIGHT("00"&amp;$D639,2)))</f>
        <v/>
      </c>
      <c r="F639">
        <f>IF(Entry!$D639&lt;&gt;"",IF(AND(ISNUMBER(Entry!$D639),Entry!$D639&gt;=0,Entry!$D639&lt;1),RIGHT("00"&amp;HOUR(Entry!$D639),2)&amp;":"&amp;RIGHT("00"&amp;MINUTE(Entry!$D639),2),IFERROR(RIGHT("00"&amp;VALUE(TRIM(LEFT(Entry!$D639,FIND(":",Entry!$D639)-1))),2)&amp;":"&amp;RIGHT("00"&amp;VALUE(TRIM(MID(Entry!$D639,FIND(":",Entry!$D639)+1,2))),2),"نامعتبر")),IF(OR($E639="",$E639="نامعتبر"),"","00:00"))</f>
        <v/>
      </c>
      <c r="G639">
        <f>IF(OR($E639="",$E639="نامعتبر"),"",IF(Entry!$E639="","",LEFT(UPPER(TRIM(Entry!$E639)),6)))</f>
        <v/>
      </c>
      <c r="H639">
        <f>IF($G639="","",RIGHT($E639,4)&amp;MID($E639,6,2)&amp;RIGHT($E639,2)&amp;IF($F639="","0000",IF($F639="نامعتبر","9999",LEFT($F639,2)&amp;RIGHT($F639,2)))&amp;"|"&amp;RIGHT("00000"&amp;631,5))</f>
        <v/>
      </c>
      <c r="I639">
        <f>IF($H639="","",COUNTIFS(CalcBank,$G639,CalcKey,"&lt;"&amp;$H639)+1)</f>
        <v/>
      </c>
      <c r="J639">
        <f>IF($I639="","",$G639&amp;"|"&amp;RIGHT("000000"&amp;$I639,6))</f>
        <v/>
      </c>
      <c r="K639">
        <f>IF(OR($E639="",$E639="نامعتبر"),"",LEFT($E639,4)&amp;"/"&amp;MID($E639,6,2))</f>
        <v/>
      </c>
      <c r="L639">
        <f>IF(Entry!$K639="",0,Entry!$K639)</f>
        <v/>
      </c>
      <c r="M639">
        <f>IF(Entry!$L639="",0,Entry!$L639)</f>
        <v/>
      </c>
    </row>
    <row r="640">
      <c r="A640">
        <f>IF(Entry!$C640="","",Entry!$C640)</f>
        <v/>
      </c>
      <c r="B640">
        <f>IF($A640="","",IF(ISNUMBER($A640),IF(AND($A640&gt;=10000101,$A640&lt;=99991231),INT($A640/10000),""),IFERROR(VALUE(TRIM(LEFT($A640,FIND("/",$A640)-1))),"")))</f>
        <v/>
      </c>
      <c r="C640">
        <f>IF(OR($A640="",$B640=""),"",IF(ISNUMBER($A640),INT(MOD($A640,10000)/100),IFERROR(VALUE(TRIM(LEFT(MID($A640,FIND("/",$A640)+1,20),FIND("/",MID($A640,FIND("/",$A640)+1,20))-1))),"")))</f>
        <v/>
      </c>
      <c r="D640">
        <f>IF(OR($A640="",$B640=""),"",IF(ISNUMBER($A640),MOD($A640,100),IFERROR(VALUE(TRIM(MID(MID($A640,FIND("/",$A640)+1,20),FIND("/",MID($A640,FIND("/",$A640)+1,20))+1,20))),"")))</f>
        <v/>
      </c>
      <c r="E640">
        <f>IF($A640="","",IF(OR($B640="",$C640="",$D640="",$B640&lt;1300,$B640&gt;1500,$C640&lt;1,$C640&gt;12,$D640&lt;1,$D640&gt;31),"نامعتبر",RIGHT("0000"&amp;$B640,4)&amp;"/"&amp;RIGHT("00"&amp;$C640,2)&amp;"/"&amp;RIGHT("00"&amp;$D640,2)))</f>
        <v/>
      </c>
      <c r="F640">
        <f>IF(Entry!$D640&lt;&gt;"",IF(AND(ISNUMBER(Entry!$D640),Entry!$D640&gt;=0,Entry!$D640&lt;1),RIGHT("00"&amp;HOUR(Entry!$D640),2)&amp;":"&amp;RIGHT("00"&amp;MINUTE(Entry!$D640),2),IFERROR(RIGHT("00"&amp;VALUE(TRIM(LEFT(Entry!$D640,FIND(":",Entry!$D640)-1))),2)&amp;":"&amp;RIGHT("00"&amp;VALUE(TRIM(MID(Entry!$D640,FIND(":",Entry!$D640)+1,2))),2),"نامعتبر")),IF(OR($E640="",$E640="نامعتبر"),"","00:00"))</f>
        <v/>
      </c>
      <c r="G640">
        <f>IF(OR($E640="",$E640="نامعتبر"),"",IF(Entry!$E640="","",LEFT(UPPER(TRIM(Entry!$E640)),6)))</f>
        <v/>
      </c>
      <c r="H640">
        <f>IF($G640="","",RIGHT($E640,4)&amp;MID($E640,6,2)&amp;RIGHT($E640,2)&amp;IF($F640="","0000",IF($F640="نامعتبر","9999",LEFT($F640,2)&amp;RIGHT($F640,2)))&amp;"|"&amp;RIGHT("00000"&amp;632,5))</f>
        <v/>
      </c>
      <c r="I640">
        <f>IF($H640="","",COUNTIFS(CalcBank,$G640,CalcKey,"&lt;"&amp;$H640)+1)</f>
        <v/>
      </c>
      <c r="J640">
        <f>IF($I640="","",$G640&amp;"|"&amp;RIGHT("000000"&amp;$I640,6))</f>
        <v/>
      </c>
      <c r="K640">
        <f>IF(OR($E640="",$E640="نامعتبر"),"",LEFT($E640,4)&amp;"/"&amp;MID($E640,6,2))</f>
        <v/>
      </c>
      <c r="L640">
        <f>IF(Entry!$K640="",0,Entry!$K640)</f>
        <v/>
      </c>
      <c r="M640">
        <f>IF(Entry!$L640="",0,Entry!$L640)</f>
        <v/>
      </c>
    </row>
    <row r="641">
      <c r="A641">
        <f>IF(Entry!$C641="","",Entry!$C641)</f>
        <v/>
      </c>
      <c r="B641">
        <f>IF($A641="","",IF(ISNUMBER($A641),IF(AND($A641&gt;=10000101,$A641&lt;=99991231),INT($A641/10000),""),IFERROR(VALUE(TRIM(LEFT($A641,FIND("/",$A641)-1))),"")))</f>
        <v/>
      </c>
      <c r="C641">
        <f>IF(OR($A641="",$B641=""),"",IF(ISNUMBER($A641),INT(MOD($A641,10000)/100),IFERROR(VALUE(TRIM(LEFT(MID($A641,FIND("/",$A641)+1,20),FIND("/",MID($A641,FIND("/",$A641)+1,20))-1))),"")))</f>
        <v/>
      </c>
      <c r="D641">
        <f>IF(OR($A641="",$B641=""),"",IF(ISNUMBER($A641),MOD($A641,100),IFERROR(VALUE(TRIM(MID(MID($A641,FIND("/",$A641)+1,20),FIND("/",MID($A641,FIND("/",$A641)+1,20))+1,20))),"")))</f>
        <v/>
      </c>
      <c r="E641">
        <f>IF($A641="","",IF(OR($B641="",$C641="",$D641="",$B641&lt;1300,$B641&gt;1500,$C641&lt;1,$C641&gt;12,$D641&lt;1,$D641&gt;31),"نامعتبر",RIGHT("0000"&amp;$B641,4)&amp;"/"&amp;RIGHT("00"&amp;$C641,2)&amp;"/"&amp;RIGHT("00"&amp;$D641,2)))</f>
        <v/>
      </c>
      <c r="F641">
        <f>IF(Entry!$D641&lt;&gt;"",IF(AND(ISNUMBER(Entry!$D641),Entry!$D641&gt;=0,Entry!$D641&lt;1),RIGHT("00"&amp;HOUR(Entry!$D641),2)&amp;":"&amp;RIGHT("00"&amp;MINUTE(Entry!$D641),2),IFERROR(RIGHT("00"&amp;VALUE(TRIM(LEFT(Entry!$D641,FIND(":",Entry!$D641)-1))),2)&amp;":"&amp;RIGHT("00"&amp;VALUE(TRIM(MID(Entry!$D641,FIND(":",Entry!$D641)+1,2))),2),"نامعتبر")),IF(OR($E641="",$E641="نامعتبر"),"","00:00"))</f>
        <v/>
      </c>
      <c r="G641">
        <f>IF(OR($E641="",$E641="نامعتبر"),"",IF(Entry!$E641="","",LEFT(UPPER(TRIM(Entry!$E641)),6)))</f>
        <v/>
      </c>
      <c r="H641">
        <f>IF($G641="","",RIGHT($E641,4)&amp;MID($E641,6,2)&amp;RIGHT($E641,2)&amp;IF($F641="","0000",IF($F641="نامعتبر","9999",LEFT($F641,2)&amp;RIGHT($F641,2)))&amp;"|"&amp;RIGHT("00000"&amp;633,5))</f>
        <v/>
      </c>
      <c r="I641">
        <f>IF($H641="","",COUNTIFS(CalcBank,$G641,CalcKey,"&lt;"&amp;$H641)+1)</f>
        <v/>
      </c>
      <c r="J641">
        <f>IF($I641="","",$G641&amp;"|"&amp;RIGHT("000000"&amp;$I641,6))</f>
        <v/>
      </c>
      <c r="K641">
        <f>IF(OR($E641="",$E641="نامعتبر"),"",LEFT($E641,4)&amp;"/"&amp;MID($E641,6,2))</f>
        <v/>
      </c>
      <c r="L641">
        <f>IF(Entry!$K641="",0,Entry!$K641)</f>
        <v/>
      </c>
      <c r="M641">
        <f>IF(Entry!$L641="",0,Entry!$L641)</f>
        <v/>
      </c>
    </row>
    <row r="642">
      <c r="A642">
        <f>IF(Entry!$C642="","",Entry!$C642)</f>
        <v/>
      </c>
      <c r="B642">
        <f>IF($A642="","",IF(ISNUMBER($A642),IF(AND($A642&gt;=10000101,$A642&lt;=99991231),INT($A642/10000),""),IFERROR(VALUE(TRIM(LEFT($A642,FIND("/",$A642)-1))),"")))</f>
        <v/>
      </c>
      <c r="C642">
        <f>IF(OR($A642="",$B642=""),"",IF(ISNUMBER($A642),INT(MOD($A642,10000)/100),IFERROR(VALUE(TRIM(LEFT(MID($A642,FIND("/",$A642)+1,20),FIND("/",MID($A642,FIND("/",$A642)+1,20))-1))),"")))</f>
        <v/>
      </c>
      <c r="D642">
        <f>IF(OR($A642="",$B642=""),"",IF(ISNUMBER($A642),MOD($A642,100),IFERROR(VALUE(TRIM(MID(MID($A642,FIND("/",$A642)+1,20),FIND("/",MID($A642,FIND("/",$A642)+1,20))+1,20))),"")))</f>
        <v/>
      </c>
      <c r="E642">
        <f>IF($A642="","",IF(OR($B642="",$C642="",$D642="",$B642&lt;1300,$B642&gt;1500,$C642&lt;1,$C642&gt;12,$D642&lt;1,$D642&gt;31),"نامعتبر",RIGHT("0000"&amp;$B642,4)&amp;"/"&amp;RIGHT("00"&amp;$C642,2)&amp;"/"&amp;RIGHT("00"&amp;$D642,2)))</f>
        <v/>
      </c>
      <c r="F642">
        <f>IF(Entry!$D642&lt;&gt;"",IF(AND(ISNUMBER(Entry!$D642),Entry!$D642&gt;=0,Entry!$D642&lt;1),RIGHT("00"&amp;HOUR(Entry!$D642),2)&amp;":"&amp;RIGHT("00"&amp;MINUTE(Entry!$D642),2),IFERROR(RIGHT("00"&amp;VALUE(TRIM(LEFT(Entry!$D642,FIND(":",Entry!$D642)-1))),2)&amp;":"&amp;RIGHT("00"&amp;VALUE(TRIM(MID(Entry!$D642,FIND(":",Entry!$D642)+1,2))),2),"نامعتبر")),IF(OR($E642="",$E642="نامعتبر"),"","00:00"))</f>
        <v/>
      </c>
      <c r="G642">
        <f>IF(OR($E642="",$E642="نامعتبر"),"",IF(Entry!$E642="","",LEFT(UPPER(TRIM(Entry!$E642)),6)))</f>
        <v/>
      </c>
      <c r="H642">
        <f>IF($G642="","",RIGHT($E642,4)&amp;MID($E642,6,2)&amp;RIGHT($E642,2)&amp;IF($F642="","0000",IF($F642="نامعتبر","9999",LEFT($F642,2)&amp;RIGHT($F642,2)))&amp;"|"&amp;RIGHT("00000"&amp;634,5))</f>
        <v/>
      </c>
      <c r="I642">
        <f>IF($H642="","",COUNTIFS(CalcBank,$G642,CalcKey,"&lt;"&amp;$H642)+1)</f>
        <v/>
      </c>
      <c r="J642">
        <f>IF($I642="","",$G642&amp;"|"&amp;RIGHT("000000"&amp;$I642,6))</f>
        <v/>
      </c>
      <c r="K642">
        <f>IF(OR($E642="",$E642="نامعتبر"),"",LEFT($E642,4)&amp;"/"&amp;MID($E642,6,2))</f>
        <v/>
      </c>
      <c r="L642">
        <f>IF(Entry!$K642="",0,Entry!$K642)</f>
        <v/>
      </c>
      <c r="M642">
        <f>IF(Entry!$L642="",0,Entry!$L642)</f>
        <v/>
      </c>
    </row>
    <row r="643">
      <c r="A643">
        <f>IF(Entry!$C643="","",Entry!$C643)</f>
        <v/>
      </c>
      <c r="B643">
        <f>IF($A643="","",IF(ISNUMBER($A643),IF(AND($A643&gt;=10000101,$A643&lt;=99991231),INT($A643/10000),""),IFERROR(VALUE(TRIM(LEFT($A643,FIND("/",$A643)-1))),"")))</f>
        <v/>
      </c>
      <c r="C643">
        <f>IF(OR($A643="",$B643=""),"",IF(ISNUMBER($A643),INT(MOD($A643,10000)/100),IFERROR(VALUE(TRIM(LEFT(MID($A643,FIND("/",$A643)+1,20),FIND("/",MID($A643,FIND("/",$A643)+1,20))-1))),"")))</f>
        <v/>
      </c>
      <c r="D643">
        <f>IF(OR($A643="",$B643=""),"",IF(ISNUMBER($A643),MOD($A643,100),IFERROR(VALUE(TRIM(MID(MID($A643,FIND("/",$A643)+1,20),FIND("/",MID($A643,FIND("/",$A643)+1,20))+1,20))),"")))</f>
        <v/>
      </c>
      <c r="E643">
        <f>IF($A643="","",IF(OR($B643="",$C643="",$D643="",$B643&lt;1300,$B643&gt;1500,$C643&lt;1,$C643&gt;12,$D643&lt;1,$D643&gt;31),"نامعتبر",RIGHT("0000"&amp;$B643,4)&amp;"/"&amp;RIGHT("00"&amp;$C643,2)&amp;"/"&amp;RIGHT("00"&amp;$D643,2)))</f>
        <v/>
      </c>
      <c r="F643">
        <f>IF(Entry!$D643&lt;&gt;"",IF(AND(ISNUMBER(Entry!$D643),Entry!$D643&gt;=0,Entry!$D643&lt;1),RIGHT("00"&amp;HOUR(Entry!$D643),2)&amp;":"&amp;RIGHT("00"&amp;MINUTE(Entry!$D643),2),IFERROR(RIGHT("00"&amp;VALUE(TRIM(LEFT(Entry!$D643,FIND(":",Entry!$D643)-1))),2)&amp;":"&amp;RIGHT("00"&amp;VALUE(TRIM(MID(Entry!$D643,FIND(":",Entry!$D643)+1,2))),2),"نامعتبر")),IF(OR($E643="",$E643="نامعتبر"),"","00:00"))</f>
        <v/>
      </c>
      <c r="G643">
        <f>IF(OR($E643="",$E643="نامعتبر"),"",IF(Entry!$E643="","",LEFT(UPPER(TRIM(Entry!$E643)),6)))</f>
        <v/>
      </c>
      <c r="H643">
        <f>IF($G643="","",RIGHT($E643,4)&amp;MID($E643,6,2)&amp;RIGHT($E643,2)&amp;IF($F643="","0000",IF($F643="نامعتبر","9999",LEFT($F643,2)&amp;RIGHT($F643,2)))&amp;"|"&amp;RIGHT("00000"&amp;635,5))</f>
        <v/>
      </c>
      <c r="I643">
        <f>IF($H643="","",COUNTIFS(CalcBank,$G643,CalcKey,"&lt;"&amp;$H643)+1)</f>
        <v/>
      </c>
      <c r="J643">
        <f>IF($I643="","",$G643&amp;"|"&amp;RIGHT("000000"&amp;$I643,6))</f>
        <v/>
      </c>
      <c r="K643">
        <f>IF(OR($E643="",$E643="نامعتبر"),"",LEFT($E643,4)&amp;"/"&amp;MID($E643,6,2))</f>
        <v/>
      </c>
      <c r="L643">
        <f>IF(Entry!$K643="",0,Entry!$K643)</f>
        <v/>
      </c>
      <c r="M643">
        <f>IF(Entry!$L643="",0,Entry!$L643)</f>
        <v/>
      </c>
    </row>
    <row r="644">
      <c r="A644">
        <f>IF(Entry!$C644="","",Entry!$C644)</f>
        <v/>
      </c>
      <c r="B644">
        <f>IF($A644="","",IF(ISNUMBER($A644),IF(AND($A644&gt;=10000101,$A644&lt;=99991231),INT($A644/10000),""),IFERROR(VALUE(TRIM(LEFT($A644,FIND("/",$A644)-1))),"")))</f>
        <v/>
      </c>
      <c r="C644">
        <f>IF(OR($A644="",$B644=""),"",IF(ISNUMBER($A644),INT(MOD($A644,10000)/100),IFERROR(VALUE(TRIM(LEFT(MID($A644,FIND("/",$A644)+1,20),FIND("/",MID($A644,FIND("/",$A644)+1,20))-1))),"")))</f>
        <v/>
      </c>
      <c r="D644">
        <f>IF(OR($A644="",$B644=""),"",IF(ISNUMBER($A644),MOD($A644,100),IFERROR(VALUE(TRIM(MID(MID($A644,FIND("/",$A644)+1,20),FIND("/",MID($A644,FIND("/",$A644)+1,20))+1,20))),"")))</f>
        <v/>
      </c>
      <c r="E644">
        <f>IF($A644="","",IF(OR($B644="",$C644="",$D644="",$B644&lt;1300,$B644&gt;1500,$C644&lt;1,$C644&gt;12,$D644&lt;1,$D644&gt;31),"نامعتبر",RIGHT("0000"&amp;$B644,4)&amp;"/"&amp;RIGHT("00"&amp;$C644,2)&amp;"/"&amp;RIGHT("00"&amp;$D644,2)))</f>
        <v/>
      </c>
      <c r="F644">
        <f>IF(Entry!$D644&lt;&gt;"",IF(AND(ISNUMBER(Entry!$D644),Entry!$D644&gt;=0,Entry!$D644&lt;1),RIGHT("00"&amp;HOUR(Entry!$D644),2)&amp;":"&amp;RIGHT("00"&amp;MINUTE(Entry!$D644),2),IFERROR(RIGHT("00"&amp;VALUE(TRIM(LEFT(Entry!$D644,FIND(":",Entry!$D644)-1))),2)&amp;":"&amp;RIGHT("00"&amp;VALUE(TRIM(MID(Entry!$D644,FIND(":",Entry!$D644)+1,2))),2),"نامعتبر")),IF(OR($E644="",$E644="نامعتبر"),"","00:00"))</f>
        <v/>
      </c>
      <c r="G644">
        <f>IF(OR($E644="",$E644="نامعتبر"),"",IF(Entry!$E644="","",LEFT(UPPER(TRIM(Entry!$E644)),6)))</f>
        <v/>
      </c>
      <c r="H644">
        <f>IF($G644="","",RIGHT($E644,4)&amp;MID($E644,6,2)&amp;RIGHT($E644,2)&amp;IF($F644="","0000",IF($F644="نامعتبر","9999",LEFT($F644,2)&amp;RIGHT($F644,2)))&amp;"|"&amp;RIGHT("00000"&amp;636,5))</f>
        <v/>
      </c>
      <c r="I644">
        <f>IF($H644="","",COUNTIFS(CalcBank,$G644,CalcKey,"&lt;"&amp;$H644)+1)</f>
        <v/>
      </c>
      <c r="J644">
        <f>IF($I644="","",$G644&amp;"|"&amp;RIGHT("000000"&amp;$I644,6))</f>
        <v/>
      </c>
      <c r="K644">
        <f>IF(OR($E644="",$E644="نامعتبر"),"",LEFT($E644,4)&amp;"/"&amp;MID($E644,6,2))</f>
        <v/>
      </c>
      <c r="L644">
        <f>IF(Entry!$K644="",0,Entry!$K644)</f>
        <v/>
      </c>
      <c r="M644">
        <f>IF(Entry!$L644="",0,Entry!$L644)</f>
        <v/>
      </c>
    </row>
    <row r="645">
      <c r="A645">
        <f>IF(Entry!$C645="","",Entry!$C645)</f>
        <v/>
      </c>
      <c r="B645">
        <f>IF($A645="","",IF(ISNUMBER($A645),IF(AND($A645&gt;=10000101,$A645&lt;=99991231),INT($A645/10000),""),IFERROR(VALUE(TRIM(LEFT($A645,FIND("/",$A645)-1))),"")))</f>
        <v/>
      </c>
      <c r="C645">
        <f>IF(OR($A645="",$B645=""),"",IF(ISNUMBER($A645),INT(MOD($A645,10000)/100),IFERROR(VALUE(TRIM(LEFT(MID($A645,FIND("/",$A645)+1,20),FIND("/",MID($A645,FIND("/",$A645)+1,20))-1))),"")))</f>
        <v/>
      </c>
      <c r="D645">
        <f>IF(OR($A645="",$B645=""),"",IF(ISNUMBER($A645),MOD($A645,100),IFERROR(VALUE(TRIM(MID(MID($A645,FIND("/",$A645)+1,20),FIND("/",MID($A645,FIND("/",$A645)+1,20))+1,20))),"")))</f>
        <v/>
      </c>
      <c r="E645">
        <f>IF($A645="","",IF(OR($B645="",$C645="",$D645="",$B645&lt;1300,$B645&gt;1500,$C645&lt;1,$C645&gt;12,$D645&lt;1,$D645&gt;31),"نامعتبر",RIGHT("0000"&amp;$B645,4)&amp;"/"&amp;RIGHT("00"&amp;$C645,2)&amp;"/"&amp;RIGHT("00"&amp;$D645,2)))</f>
        <v/>
      </c>
      <c r="F645">
        <f>IF(Entry!$D645&lt;&gt;"",IF(AND(ISNUMBER(Entry!$D645),Entry!$D645&gt;=0,Entry!$D645&lt;1),RIGHT("00"&amp;HOUR(Entry!$D645),2)&amp;":"&amp;RIGHT("00"&amp;MINUTE(Entry!$D645),2),IFERROR(RIGHT("00"&amp;VALUE(TRIM(LEFT(Entry!$D645,FIND(":",Entry!$D645)-1))),2)&amp;":"&amp;RIGHT("00"&amp;VALUE(TRIM(MID(Entry!$D645,FIND(":",Entry!$D645)+1,2))),2),"نامعتبر")),IF(OR($E645="",$E645="نامعتبر"),"","00:00"))</f>
        <v/>
      </c>
      <c r="G645">
        <f>IF(OR($E645="",$E645="نامعتبر"),"",IF(Entry!$E645="","",LEFT(UPPER(TRIM(Entry!$E645)),6)))</f>
        <v/>
      </c>
      <c r="H645">
        <f>IF($G645="","",RIGHT($E645,4)&amp;MID($E645,6,2)&amp;RIGHT($E645,2)&amp;IF($F645="","0000",IF($F645="نامعتبر","9999",LEFT($F645,2)&amp;RIGHT($F645,2)))&amp;"|"&amp;RIGHT("00000"&amp;637,5))</f>
        <v/>
      </c>
      <c r="I645">
        <f>IF($H645="","",COUNTIFS(CalcBank,$G645,CalcKey,"&lt;"&amp;$H645)+1)</f>
        <v/>
      </c>
      <c r="J645">
        <f>IF($I645="","",$G645&amp;"|"&amp;RIGHT("000000"&amp;$I645,6))</f>
        <v/>
      </c>
      <c r="K645">
        <f>IF(OR($E645="",$E645="نامعتبر"),"",LEFT($E645,4)&amp;"/"&amp;MID($E645,6,2))</f>
        <v/>
      </c>
      <c r="L645">
        <f>IF(Entry!$K645="",0,Entry!$K645)</f>
        <v/>
      </c>
      <c r="M645">
        <f>IF(Entry!$L645="",0,Entry!$L645)</f>
        <v/>
      </c>
    </row>
    <row r="646">
      <c r="A646">
        <f>IF(Entry!$C646="","",Entry!$C646)</f>
        <v/>
      </c>
      <c r="B646">
        <f>IF($A646="","",IF(ISNUMBER($A646),IF(AND($A646&gt;=10000101,$A646&lt;=99991231),INT($A646/10000),""),IFERROR(VALUE(TRIM(LEFT($A646,FIND("/",$A646)-1))),"")))</f>
        <v/>
      </c>
      <c r="C646">
        <f>IF(OR($A646="",$B646=""),"",IF(ISNUMBER($A646),INT(MOD($A646,10000)/100),IFERROR(VALUE(TRIM(LEFT(MID($A646,FIND("/",$A646)+1,20),FIND("/",MID($A646,FIND("/",$A646)+1,20))-1))),"")))</f>
        <v/>
      </c>
      <c r="D646">
        <f>IF(OR($A646="",$B646=""),"",IF(ISNUMBER($A646),MOD($A646,100),IFERROR(VALUE(TRIM(MID(MID($A646,FIND("/",$A646)+1,20),FIND("/",MID($A646,FIND("/",$A646)+1,20))+1,20))),"")))</f>
        <v/>
      </c>
      <c r="E646">
        <f>IF($A646="","",IF(OR($B646="",$C646="",$D646="",$B646&lt;1300,$B646&gt;1500,$C646&lt;1,$C646&gt;12,$D646&lt;1,$D646&gt;31),"نامعتبر",RIGHT("0000"&amp;$B646,4)&amp;"/"&amp;RIGHT("00"&amp;$C646,2)&amp;"/"&amp;RIGHT("00"&amp;$D646,2)))</f>
        <v/>
      </c>
      <c r="F646">
        <f>IF(Entry!$D646&lt;&gt;"",IF(AND(ISNUMBER(Entry!$D646),Entry!$D646&gt;=0,Entry!$D646&lt;1),RIGHT("00"&amp;HOUR(Entry!$D646),2)&amp;":"&amp;RIGHT("00"&amp;MINUTE(Entry!$D646),2),IFERROR(RIGHT("00"&amp;VALUE(TRIM(LEFT(Entry!$D646,FIND(":",Entry!$D646)-1))),2)&amp;":"&amp;RIGHT("00"&amp;VALUE(TRIM(MID(Entry!$D646,FIND(":",Entry!$D646)+1,2))),2),"نامعتبر")),IF(OR($E646="",$E646="نامعتبر"),"","00:00"))</f>
        <v/>
      </c>
      <c r="G646">
        <f>IF(OR($E646="",$E646="نامعتبر"),"",IF(Entry!$E646="","",LEFT(UPPER(TRIM(Entry!$E646)),6)))</f>
        <v/>
      </c>
      <c r="H646">
        <f>IF($G646="","",RIGHT($E646,4)&amp;MID($E646,6,2)&amp;RIGHT($E646,2)&amp;IF($F646="","0000",IF($F646="نامعتبر","9999",LEFT($F646,2)&amp;RIGHT($F646,2)))&amp;"|"&amp;RIGHT("00000"&amp;638,5))</f>
        <v/>
      </c>
      <c r="I646">
        <f>IF($H646="","",COUNTIFS(CalcBank,$G646,CalcKey,"&lt;"&amp;$H646)+1)</f>
        <v/>
      </c>
      <c r="J646">
        <f>IF($I646="","",$G646&amp;"|"&amp;RIGHT("000000"&amp;$I646,6))</f>
        <v/>
      </c>
      <c r="K646">
        <f>IF(OR($E646="",$E646="نامعتبر"),"",LEFT($E646,4)&amp;"/"&amp;MID($E646,6,2))</f>
        <v/>
      </c>
      <c r="L646">
        <f>IF(Entry!$K646="",0,Entry!$K646)</f>
        <v/>
      </c>
      <c r="M646">
        <f>IF(Entry!$L646="",0,Entry!$L646)</f>
        <v/>
      </c>
    </row>
    <row r="647">
      <c r="A647">
        <f>IF(Entry!$C647="","",Entry!$C647)</f>
        <v/>
      </c>
      <c r="B647">
        <f>IF($A647="","",IF(ISNUMBER($A647),IF(AND($A647&gt;=10000101,$A647&lt;=99991231),INT($A647/10000),""),IFERROR(VALUE(TRIM(LEFT($A647,FIND("/",$A647)-1))),"")))</f>
        <v/>
      </c>
      <c r="C647">
        <f>IF(OR($A647="",$B647=""),"",IF(ISNUMBER($A647),INT(MOD($A647,10000)/100),IFERROR(VALUE(TRIM(LEFT(MID($A647,FIND("/",$A647)+1,20),FIND("/",MID($A647,FIND("/",$A647)+1,20))-1))),"")))</f>
        <v/>
      </c>
      <c r="D647">
        <f>IF(OR($A647="",$B647=""),"",IF(ISNUMBER($A647),MOD($A647,100),IFERROR(VALUE(TRIM(MID(MID($A647,FIND("/",$A647)+1,20),FIND("/",MID($A647,FIND("/",$A647)+1,20))+1,20))),"")))</f>
        <v/>
      </c>
      <c r="E647">
        <f>IF($A647="","",IF(OR($B647="",$C647="",$D647="",$B647&lt;1300,$B647&gt;1500,$C647&lt;1,$C647&gt;12,$D647&lt;1,$D647&gt;31),"نامعتبر",RIGHT("0000"&amp;$B647,4)&amp;"/"&amp;RIGHT("00"&amp;$C647,2)&amp;"/"&amp;RIGHT("00"&amp;$D647,2)))</f>
        <v/>
      </c>
      <c r="F647">
        <f>IF(Entry!$D647&lt;&gt;"",IF(AND(ISNUMBER(Entry!$D647),Entry!$D647&gt;=0,Entry!$D647&lt;1),RIGHT("00"&amp;HOUR(Entry!$D647),2)&amp;":"&amp;RIGHT("00"&amp;MINUTE(Entry!$D647),2),IFERROR(RIGHT("00"&amp;VALUE(TRIM(LEFT(Entry!$D647,FIND(":",Entry!$D647)-1))),2)&amp;":"&amp;RIGHT("00"&amp;VALUE(TRIM(MID(Entry!$D647,FIND(":",Entry!$D647)+1,2))),2),"نامعتبر")),IF(OR($E647="",$E647="نامعتبر"),"","00:00"))</f>
        <v/>
      </c>
      <c r="G647">
        <f>IF(OR($E647="",$E647="نامعتبر"),"",IF(Entry!$E647="","",LEFT(UPPER(TRIM(Entry!$E647)),6)))</f>
        <v/>
      </c>
      <c r="H647">
        <f>IF($G647="","",RIGHT($E647,4)&amp;MID($E647,6,2)&amp;RIGHT($E647,2)&amp;IF($F647="","0000",IF($F647="نامعتبر","9999",LEFT($F647,2)&amp;RIGHT($F647,2)))&amp;"|"&amp;RIGHT("00000"&amp;639,5))</f>
        <v/>
      </c>
      <c r="I647">
        <f>IF($H647="","",COUNTIFS(CalcBank,$G647,CalcKey,"&lt;"&amp;$H647)+1)</f>
        <v/>
      </c>
      <c r="J647">
        <f>IF($I647="","",$G647&amp;"|"&amp;RIGHT("000000"&amp;$I647,6))</f>
        <v/>
      </c>
      <c r="K647">
        <f>IF(OR($E647="",$E647="نامعتبر"),"",LEFT($E647,4)&amp;"/"&amp;MID($E647,6,2))</f>
        <v/>
      </c>
      <c r="L647">
        <f>IF(Entry!$K647="",0,Entry!$K647)</f>
        <v/>
      </c>
      <c r="M647">
        <f>IF(Entry!$L647="",0,Entry!$L647)</f>
        <v/>
      </c>
    </row>
    <row r="648">
      <c r="A648">
        <f>IF(Entry!$C648="","",Entry!$C648)</f>
        <v/>
      </c>
      <c r="B648">
        <f>IF($A648="","",IF(ISNUMBER($A648),IF(AND($A648&gt;=10000101,$A648&lt;=99991231),INT($A648/10000),""),IFERROR(VALUE(TRIM(LEFT($A648,FIND("/",$A648)-1))),"")))</f>
        <v/>
      </c>
      <c r="C648">
        <f>IF(OR($A648="",$B648=""),"",IF(ISNUMBER($A648),INT(MOD($A648,10000)/100),IFERROR(VALUE(TRIM(LEFT(MID($A648,FIND("/",$A648)+1,20),FIND("/",MID($A648,FIND("/",$A648)+1,20))-1))),"")))</f>
        <v/>
      </c>
      <c r="D648">
        <f>IF(OR($A648="",$B648=""),"",IF(ISNUMBER($A648),MOD($A648,100),IFERROR(VALUE(TRIM(MID(MID($A648,FIND("/",$A648)+1,20),FIND("/",MID($A648,FIND("/",$A648)+1,20))+1,20))),"")))</f>
        <v/>
      </c>
      <c r="E648">
        <f>IF($A648="","",IF(OR($B648="",$C648="",$D648="",$B648&lt;1300,$B648&gt;1500,$C648&lt;1,$C648&gt;12,$D648&lt;1,$D648&gt;31),"نامعتبر",RIGHT("0000"&amp;$B648,4)&amp;"/"&amp;RIGHT("00"&amp;$C648,2)&amp;"/"&amp;RIGHT("00"&amp;$D648,2)))</f>
        <v/>
      </c>
      <c r="F648">
        <f>IF(Entry!$D648&lt;&gt;"",IF(AND(ISNUMBER(Entry!$D648),Entry!$D648&gt;=0,Entry!$D648&lt;1),RIGHT("00"&amp;HOUR(Entry!$D648),2)&amp;":"&amp;RIGHT("00"&amp;MINUTE(Entry!$D648),2),IFERROR(RIGHT("00"&amp;VALUE(TRIM(LEFT(Entry!$D648,FIND(":",Entry!$D648)-1))),2)&amp;":"&amp;RIGHT("00"&amp;VALUE(TRIM(MID(Entry!$D648,FIND(":",Entry!$D648)+1,2))),2),"نامعتبر")),IF(OR($E648="",$E648="نامعتبر"),"","00:00"))</f>
        <v/>
      </c>
      <c r="G648">
        <f>IF(OR($E648="",$E648="نامعتبر"),"",IF(Entry!$E648="","",LEFT(UPPER(TRIM(Entry!$E648)),6)))</f>
        <v/>
      </c>
      <c r="H648">
        <f>IF($G648="","",RIGHT($E648,4)&amp;MID($E648,6,2)&amp;RIGHT($E648,2)&amp;IF($F648="","0000",IF($F648="نامعتبر","9999",LEFT($F648,2)&amp;RIGHT($F648,2)))&amp;"|"&amp;RIGHT("00000"&amp;640,5))</f>
        <v/>
      </c>
      <c r="I648">
        <f>IF($H648="","",COUNTIFS(CalcBank,$G648,CalcKey,"&lt;"&amp;$H648)+1)</f>
        <v/>
      </c>
      <c r="J648">
        <f>IF($I648="","",$G648&amp;"|"&amp;RIGHT("000000"&amp;$I648,6))</f>
        <v/>
      </c>
      <c r="K648">
        <f>IF(OR($E648="",$E648="نامعتبر"),"",LEFT($E648,4)&amp;"/"&amp;MID($E648,6,2))</f>
        <v/>
      </c>
      <c r="L648">
        <f>IF(Entry!$K648="",0,Entry!$K648)</f>
        <v/>
      </c>
      <c r="M648">
        <f>IF(Entry!$L648="",0,Entry!$L648)</f>
        <v/>
      </c>
    </row>
    <row r="649">
      <c r="A649">
        <f>IF(Entry!$C649="","",Entry!$C649)</f>
        <v/>
      </c>
      <c r="B649">
        <f>IF($A649="","",IF(ISNUMBER($A649),IF(AND($A649&gt;=10000101,$A649&lt;=99991231),INT($A649/10000),""),IFERROR(VALUE(TRIM(LEFT($A649,FIND("/",$A649)-1))),"")))</f>
        <v/>
      </c>
      <c r="C649">
        <f>IF(OR($A649="",$B649=""),"",IF(ISNUMBER($A649),INT(MOD($A649,10000)/100),IFERROR(VALUE(TRIM(LEFT(MID($A649,FIND("/",$A649)+1,20),FIND("/",MID($A649,FIND("/",$A649)+1,20))-1))),"")))</f>
        <v/>
      </c>
      <c r="D649">
        <f>IF(OR($A649="",$B649=""),"",IF(ISNUMBER($A649),MOD($A649,100),IFERROR(VALUE(TRIM(MID(MID($A649,FIND("/",$A649)+1,20),FIND("/",MID($A649,FIND("/",$A649)+1,20))+1,20))),"")))</f>
        <v/>
      </c>
      <c r="E649">
        <f>IF($A649="","",IF(OR($B649="",$C649="",$D649="",$B649&lt;1300,$B649&gt;1500,$C649&lt;1,$C649&gt;12,$D649&lt;1,$D649&gt;31),"نامعتبر",RIGHT("0000"&amp;$B649,4)&amp;"/"&amp;RIGHT("00"&amp;$C649,2)&amp;"/"&amp;RIGHT("00"&amp;$D649,2)))</f>
        <v/>
      </c>
      <c r="F649">
        <f>IF(Entry!$D649&lt;&gt;"",IF(AND(ISNUMBER(Entry!$D649),Entry!$D649&gt;=0,Entry!$D649&lt;1),RIGHT("00"&amp;HOUR(Entry!$D649),2)&amp;":"&amp;RIGHT("00"&amp;MINUTE(Entry!$D649),2),IFERROR(RIGHT("00"&amp;VALUE(TRIM(LEFT(Entry!$D649,FIND(":",Entry!$D649)-1))),2)&amp;":"&amp;RIGHT("00"&amp;VALUE(TRIM(MID(Entry!$D649,FIND(":",Entry!$D649)+1,2))),2),"نامعتبر")),IF(OR($E649="",$E649="نامعتبر"),"","00:00"))</f>
        <v/>
      </c>
      <c r="G649">
        <f>IF(OR($E649="",$E649="نامعتبر"),"",IF(Entry!$E649="","",LEFT(UPPER(TRIM(Entry!$E649)),6)))</f>
        <v/>
      </c>
      <c r="H649">
        <f>IF($G649="","",RIGHT($E649,4)&amp;MID($E649,6,2)&amp;RIGHT($E649,2)&amp;IF($F649="","0000",IF($F649="نامعتبر","9999",LEFT($F649,2)&amp;RIGHT($F649,2)))&amp;"|"&amp;RIGHT("00000"&amp;641,5))</f>
        <v/>
      </c>
      <c r="I649">
        <f>IF($H649="","",COUNTIFS(CalcBank,$G649,CalcKey,"&lt;"&amp;$H649)+1)</f>
        <v/>
      </c>
      <c r="J649">
        <f>IF($I649="","",$G649&amp;"|"&amp;RIGHT("000000"&amp;$I649,6))</f>
        <v/>
      </c>
      <c r="K649">
        <f>IF(OR($E649="",$E649="نامعتبر"),"",LEFT($E649,4)&amp;"/"&amp;MID($E649,6,2))</f>
        <v/>
      </c>
      <c r="L649">
        <f>IF(Entry!$K649="",0,Entry!$K649)</f>
        <v/>
      </c>
      <c r="M649">
        <f>IF(Entry!$L649="",0,Entry!$L649)</f>
        <v/>
      </c>
    </row>
    <row r="650">
      <c r="A650">
        <f>IF(Entry!$C650="","",Entry!$C650)</f>
        <v/>
      </c>
      <c r="B650">
        <f>IF($A650="","",IF(ISNUMBER($A650),IF(AND($A650&gt;=10000101,$A650&lt;=99991231),INT($A650/10000),""),IFERROR(VALUE(TRIM(LEFT($A650,FIND("/",$A650)-1))),"")))</f>
        <v/>
      </c>
      <c r="C650">
        <f>IF(OR($A650="",$B650=""),"",IF(ISNUMBER($A650),INT(MOD($A650,10000)/100),IFERROR(VALUE(TRIM(LEFT(MID($A650,FIND("/",$A650)+1,20),FIND("/",MID($A650,FIND("/",$A650)+1,20))-1))),"")))</f>
        <v/>
      </c>
      <c r="D650">
        <f>IF(OR($A650="",$B650=""),"",IF(ISNUMBER($A650),MOD($A650,100),IFERROR(VALUE(TRIM(MID(MID($A650,FIND("/",$A650)+1,20),FIND("/",MID($A650,FIND("/",$A650)+1,20))+1,20))),"")))</f>
        <v/>
      </c>
      <c r="E650">
        <f>IF($A650="","",IF(OR($B650="",$C650="",$D650="",$B650&lt;1300,$B650&gt;1500,$C650&lt;1,$C650&gt;12,$D650&lt;1,$D650&gt;31),"نامعتبر",RIGHT("0000"&amp;$B650,4)&amp;"/"&amp;RIGHT("00"&amp;$C650,2)&amp;"/"&amp;RIGHT("00"&amp;$D650,2)))</f>
        <v/>
      </c>
      <c r="F650">
        <f>IF(Entry!$D650&lt;&gt;"",IF(AND(ISNUMBER(Entry!$D650),Entry!$D650&gt;=0,Entry!$D650&lt;1),RIGHT("00"&amp;HOUR(Entry!$D650),2)&amp;":"&amp;RIGHT("00"&amp;MINUTE(Entry!$D650),2),IFERROR(RIGHT("00"&amp;VALUE(TRIM(LEFT(Entry!$D650,FIND(":",Entry!$D650)-1))),2)&amp;":"&amp;RIGHT("00"&amp;VALUE(TRIM(MID(Entry!$D650,FIND(":",Entry!$D650)+1,2))),2),"نامعتبر")),IF(OR($E650="",$E650="نامعتبر"),"","00:00"))</f>
        <v/>
      </c>
      <c r="G650">
        <f>IF(OR($E650="",$E650="نامعتبر"),"",IF(Entry!$E650="","",LEFT(UPPER(TRIM(Entry!$E650)),6)))</f>
        <v/>
      </c>
      <c r="H650">
        <f>IF($G650="","",RIGHT($E650,4)&amp;MID($E650,6,2)&amp;RIGHT($E650,2)&amp;IF($F650="","0000",IF($F650="نامعتبر","9999",LEFT($F650,2)&amp;RIGHT($F650,2)))&amp;"|"&amp;RIGHT("00000"&amp;642,5))</f>
        <v/>
      </c>
      <c r="I650">
        <f>IF($H650="","",COUNTIFS(CalcBank,$G650,CalcKey,"&lt;"&amp;$H650)+1)</f>
        <v/>
      </c>
      <c r="J650">
        <f>IF($I650="","",$G650&amp;"|"&amp;RIGHT("000000"&amp;$I650,6))</f>
        <v/>
      </c>
      <c r="K650">
        <f>IF(OR($E650="",$E650="نامعتبر"),"",LEFT($E650,4)&amp;"/"&amp;MID($E650,6,2))</f>
        <v/>
      </c>
      <c r="L650">
        <f>IF(Entry!$K650="",0,Entry!$K650)</f>
        <v/>
      </c>
      <c r="M650">
        <f>IF(Entry!$L650="",0,Entry!$L650)</f>
        <v/>
      </c>
    </row>
    <row r="651">
      <c r="A651">
        <f>IF(Entry!$C651="","",Entry!$C651)</f>
        <v/>
      </c>
      <c r="B651">
        <f>IF($A651="","",IF(ISNUMBER($A651),IF(AND($A651&gt;=10000101,$A651&lt;=99991231),INT($A651/10000),""),IFERROR(VALUE(TRIM(LEFT($A651,FIND("/",$A651)-1))),"")))</f>
        <v/>
      </c>
      <c r="C651">
        <f>IF(OR($A651="",$B651=""),"",IF(ISNUMBER($A651),INT(MOD($A651,10000)/100),IFERROR(VALUE(TRIM(LEFT(MID($A651,FIND("/",$A651)+1,20),FIND("/",MID($A651,FIND("/",$A651)+1,20))-1))),"")))</f>
        <v/>
      </c>
      <c r="D651">
        <f>IF(OR($A651="",$B651=""),"",IF(ISNUMBER($A651),MOD($A651,100),IFERROR(VALUE(TRIM(MID(MID($A651,FIND("/",$A651)+1,20),FIND("/",MID($A651,FIND("/",$A651)+1,20))+1,20))),"")))</f>
        <v/>
      </c>
      <c r="E651">
        <f>IF($A651="","",IF(OR($B651="",$C651="",$D651="",$B651&lt;1300,$B651&gt;1500,$C651&lt;1,$C651&gt;12,$D651&lt;1,$D651&gt;31),"نامعتبر",RIGHT("0000"&amp;$B651,4)&amp;"/"&amp;RIGHT("00"&amp;$C651,2)&amp;"/"&amp;RIGHT("00"&amp;$D651,2)))</f>
        <v/>
      </c>
      <c r="F651">
        <f>IF(Entry!$D651&lt;&gt;"",IF(AND(ISNUMBER(Entry!$D651),Entry!$D651&gt;=0,Entry!$D651&lt;1),RIGHT("00"&amp;HOUR(Entry!$D651),2)&amp;":"&amp;RIGHT("00"&amp;MINUTE(Entry!$D651),2),IFERROR(RIGHT("00"&amp;VALUE(TRIM(LEFT(Entry!$D651,FIND(":",Entry!$D651)-1))),2)&amp;":"&amp;RIGHT("00"&amp;VALUE(TRIM(MID(Entry!$D651,FIND(":",Entry!$D651)+1,2))),2),"نامعتبر")),IF(OR($E651="",$E651="نامعتبر"),"","00:00"))</f>
        <v/>
      </c>
      <c r="G651">
        <f>IF(OR($E651="",$E651="نامعتبر"),"",IF(Entry!$E651="","",LEFT(UPPER(TRIM(Entry!$E651)),6)))</f>
        <v/>
      </c>
      <c r="H651">
        <f>IF($G651="","",RIGHT($E651,4)&amp;MID($E651,6,2)&amp;RIGHT($E651,2)&amp;IF($F651="","0000",IF($F651="نامعتبر","9999",LEFT($F651,2)&amp;RIGHT($F651,2)))&amp;"|"&amp;RIGHT("00000"&amp;643,5))</f>
        <v/>
      </c>
      <c r="I651">
        <f>IF($H651="","",COUNTIFS(CalcBank,$G651,CalcKey,"&lt;"&amp;$H651)+1)</f>
        <v/>
      </c>
      <c r="J651">
        <f>IF($I651="","",$G651&amp;"|"&amp;RIGHT("000000"&amp;$I651,6))</f>
        <v/>
      </c>
      <c r="K651">
        <f>IF(OR($E651="",$E651="نامعتبر"),"",LEFT($E651,4)&amp;"/"&amp;MID($E651,6,2))</f>
        <v/>
      </c>
      <c r="L651">
        <f>IF(Entry!$K651="",0,Entry!$K651)</f>
        <v/>
      </c>
      <c r="M651">
        <f>IF(Entry!$L651="",0,Entry!$L651)</f>
        <v/>
      </c>
    </row>
    <row r="652">
      <c r="A652">
        <f>IF(Entry!$C652="","",Entry!$C652)</f>
        <v/>
      </c>
      <c r="B652">
        <f>IF($A652="","",IF(ISNUMBER($A652),IF(AND($A652&gt;=10000101,$A652&lt;=99991231),INT($A652/10000),""),IFERROR(VALUE(TRIM(LEFT($A652,FIND("/",$A652)-1))),"")))</f>
        <v/>
      </c>
      <c r="C652">
        <f>IF(OR($A652="",$B652=""),"",IF(ISNUMBER($A652),INT(MOD($A652,10000)/100),IFERROR(VALUE(TRIM(LEFT(MID($A652,FIND("/",$A652)+1,20),FIND("/",MID($A652,FIND("/",$A652)+1,20))-1))),"")))</f>
        <v/>
      </c>
      <c r="D652">
        <f>IF(OR($A652="",$B652=""),"",IF(ISNUMBER($A652),MOD($A652,100),IFERROR(VALUE(TRIM(MID(MID($A652,FIND("/",$A652)+1,20),FIND("/",MID($A652,FIND("/",$A652)+1,20))+1,20))),"")))</f>
        <v/>
      </c>
      <c r="E652">
        <f>IF($A652="","",IF(OR($B652="",$C652="",$D652="",$B652&lt;1300,$B652&gt;1500,$C652&lt;1,$C652&gt;12,$D652&lt;1,$D652&gt;31),"نامعتبر",RIGHT("0000"&amp;$B652,4)&amp;"/"&amp;RIGHT("00"&amp;$C652,2)&amp;"/"&amp;RIGHT("00"&amp;$D652,2)))</f>
        <v/>
      </c>
      <c r="F652">
        <f>IF(Entry!$D652&lt;&gt;"",IF(AND(ISNUMBER(Entry!$D652),Entry!$D652&gt;=0,Entry!$D652&lt;1),RIGHT("00"&amp;HOUR(Entry!$D652),2)&amp;":"&amp;RIGHT("00"&amp;MINUTE(Entry!$D652),2),IFERROR(RIGHT("00"&amp;VALUE(TRIM(LEFT(Entry!$D652,FIND(":",Entry!$D652)-1))),2)&amp;":"&amp;RIGHT("00"&amp;VALUE(TRIM(MID(Entry!$D652,FIND(":",Entry!$D652)+1,2))),2),"نامعتبر")),IF(OR($E652="",$E652="نامعتبر"),"","00:00"))</f>
        <v/>
      </c>
      <c r="G652">
        <f>IF(OR($E652="",$E652="نامعتبر"),"",IF(Entry!$E652="","",LEFT(UPPER(TRIM(Entry!$E652)),6)))</f>
        <v/>
      </c>
      <c r="H652">
        <f>IF($G652="","",RIGHT($E652,4)&amp;MID($E652,6,2)&amp;RIGHT($E652,2)&amp;IF($F652="","0000",IF($F652="نامعتبر","9999",LEFT($F652,2)&amp;RIGHT($F652,2)))&amp;"|"&amp;RIGHT("00000"&amp;644,5))</f>
        <v/>
      </c>
      <c r="I652">
        <f>IF($H652="","",COUNTIFS(CalcBank,$G652,CalcKey,"&lt;"&amp;$H652)+1)</f>
        <v/>
      </c>
      <c r="J652">
        <f>IF($I652="","",$G652&amp;"|"&amp;RIGHT("000000"&amp;$I652,6))</f>
        <v/>
      </c>
      <c r="K652">
        <f>IF(OR($E652="",$E652="نامعتبر"),"",LEFT($E652,4)&amp;"/"&amp;MID($E652,6,2))</f>
        <v/>
      </c>
      <c r="L652">
        <f>IF(Entry!$K652="",0,Entry!$K652)</f>
        <v/>
      </c>
      <c r="M652">
        <f>IF(Entry!$L652="",0,Entry!$L652)</f>
        <v/>
      </c>
    </row>
    <row r="653">
      <c r="A653">
        <f>IF(Entry!$C653="","",Entry!$C653)</f>
        <v/>
      </c>
      <c r="B653">
        <f>IF($A653="","",IF(ISNUMBER($A653),IF(AND($A653&gt;=10000101,$A653&lt;=99991231),INT($A653/10000),""),IFERROR(VALUE(TRIM(LEFT($A653,FIND("/",$A653)-1))),"")))</f>
        <v/>
      </c>
      <c r="C653">
        <f>IF(OR($A653="",$B653=""),"",IF(ISNUMBER($A653),INT(MOD($A653,10000)/100),IFERROR(VALUE(TRIM(LEFT(MID($A653,FIND("/",$A653)+1,20),FIND("/",MID($A653,FIND("/",$A653)+1,20))-1))),"")))</f>
        <v/>
      </c>
      <c r="D653">
        <f>IF(OR($A653="",$B653=""),"",IF(ISNUMBER($A653),MOD($A653,100),IFERROR(VALUE(TRIM(MID(MID($A653,FIND("/",$A653)+1,20),FIND("/",MID($A653,FIND("/",$A653)+1,20))+1,20))),"")))</f>
        <v/>
      </c>
      <c r="E653">
        <f>IF($A653="","",IF(OR($B653="",$C653="",$D653="",$B653&lt;1300,$B653&gt;1500,$C653&lt;1,$C653&gt;12,$D653&lt;1,$D653&gt;31),"نامعتبر",RIGHT("0000"&amp;$B653,4)&amp;"/"&amp;RIGHT("00"&amp;$C653,2)&amp;"/"&amp;RIGHT("00"&amp;$D653,2)))</f>
        <v/>
      </c>
      <c r="F653">
        <f>IF(Entry!$D653&lt;&gt;"",IF(AND(ISNUMBER(Entry!$D653),Entry!$D653&gt;=0,Entry!$D653&lt;1),RIGHT("00"&amp;HOUR(Entry!$D653),2)&amp;":"&amp;RIGHT("00"&amp;MINUTE(Entry!$D653),2),IFERROR(RIGHT("00"&amp;VALUE(TRIM(LEFT(Entry!$D653,FIND(":",Entry!$D653)-1))),2)&amp;":"&amp;RIGHT("00"&amp;VALUE(TRIM(MID(Entry!$D653,FIND(":",Entry!$D653)+1,2))),2),"نامعتبر")),IF(OR($E653="",$E653="نامعتبر"),"","00:00"))</f>
        <v/>
      </c>
      <c r="G653">
        <f>IF(OR($E653="",$E653="نامعتبر"),"",IF(Entry!$E653="","",LEFT(UPPER(TRIM(Entry!$E653)),6)))</f>
        <v/>
      </c>
      <c r="H653">
        <f>IF($G653="","",RIGHT($E653,4)&amp;MID($E653,6,2)&amp;RIGHT($E653,2)&amp;IF($F653="","0000",IF($F653="نامعتبر","9999",LEFT($F653,2)&amp;RIGHT($F653,2)))&amp;"|"&amp;RIGHT("00000"&amp;645,5))</f>
        <v/>
      </c>
      <c r="I653">
        <f>IF($H653="","",COUNTIFS(CalcBank,$G653,CalcKey,"&lt;"&amp;$H653)+1)</f>
        <v/>
      </c>
      <c r="J653">
        <f>IF($I653="","",$G653&amp;"|"&amp;RIGHT("000000"&amp;$I653,6))</f>
        <v/>
      </c>
      <c r="K653">
        <f>IF(OR($E653="",$E653="نامعتبر"),"",LEFT($E653,4)&amp;"/"&amp;MID($E653,6,2))</f>
        <v/>
      </c>
      <c r="L653">
        <f>IF(Entry!$K653="",0,Entry!$K653)</f>
        <v/>
      </c>
      <c r="M653">
        <f>IF(Entry!$L653="",0,Entry!$L653)</f>
        <v/>
      </c>
    </row>
    <row r="654">
      <c r="A654">
        <f>IF(Entry!$C654="","",Entry!$C654)</f>
        <v/>
      </c>
      <c r="B654">
        <f>IF($A654="","",IF(ISNUMBER($A654),IF(AND($A654&gt;=10000101,$A654&lt;=99991231),INT($A654/10000),""),IFERROR(VALUE(TRIM(LEFT($A654,FIND("/",$A654)-1))),"")))</f>
        <v/>
      </c>
      <c r="C654">
        <f>IF(OR($A654="",$B654=""),"",IF(ISNUMBER($A654),INT(MOD($A654,10000)/100),IFERROR(VALUE(TRIM(LEFT(MID($A654,FIND("/",$A654)+1,20),FIND("/",MID($A654,FIND("/",$A654)+1,20))-1))),"")))</f>
        <v/>
      </c>
      <c r="D654">
        <f>IF(OR($A654="",$B654=""),"",IF(ISNUMBER($A654),MOD($A654,100),IFERROR(VALUE(TRIM(MID(MID($A654,FIND("/",$A654)+1,20),FIND("/",MID($A654,FIND("/",$A654)+1,20))+1,20))),"")))</f>
        <v/>
      </c>
      <c r="E654">
        <f>IF($A654="","",IF(OR($B654="",$C654="",$D654="",$B654&lt;1300,$B654&gt;1500,$C654&lt;1,$C654&gt;12,$D654&lt;1,$D654&gt;31),"نامعتبر",RIGHT("0000"&amp;$B654,4)&amp;"/"&amp;RIGHT("00"&amp;$C654,2)&amp;"/"&amp;RIGHT("00"&amp;$D654,2)))</f>
        <v/>
      </c>
      <c r="F654">
        <f>IF(Entry!$D654&lt;&gt;"",IF(AND(ISNUMBER(Entry!$D654),Entry!$D654&gt;=0,Entry!$D654&lt;1),RIGHT("00"&amp;HOUR(Entry!$D654),2)&amp;":"&amp;RIGHT("00"&amp;MINUTE(Entry!$D654),2),IFERROR(RIGHT("00"&amp;VALUE(TRIM(LEFT(Entry!$D654,FIND(":",Entry!$D654)-1))),2)&amp;":"&amp;RIGHT("00"&amp;VALUE(TRIM(MID(Entry!$D654,FIND(":",Entry!$D654)+1,2))),2),"نامعتبر")),IF(OR($E654="",$E654="نامعتبر"),"","00:00"))</f>
        <v/>
      </c>
      <c r="G654">
        <f>IF(OR($E654="",$E654="نامعتبر"),"",IF(Entry!$E654="","",LEFT(UPPER(TRIM(Entry!$E654)),6)))</f>
        <v/>
      </c>
      <c r="H654">
        <f>IF($G654="","",RIGHT($E654,4)&amp;MID($E654,6,2)&amp;RIGHT($E654,2)&amp;IF($F654="","0000",IF($F654="نامعتبر","9999",LEFT($F654,2)&amp;RIGHT($F654,2)))&amp;"|"&amp;RIGHT("00000"&amp;646,5))</f>
        <v/>
      </c>
      <c r="I654">
        <f>IF($H654="","",COUNTIFS(CalcBank,$G654,CalcKey,"&lt;"&amp;$H654)+1)</f>
        <v/>
      </c>
      <c r="J654">
        <f>IF($I654="","",$G654&amp;"|"&amp;RIGHT("000000"&amp;$I654,6))</f>
        <v/>
      </c>
      <c r="K654">
        <f>IF(OR($E654="",$E654="نامعتبر"),"",LEFT($E654,4)&amp;"/"&amp;MID($E654,6,2))</f>
        <v/>
      </c>
      <c r="L654">
        <f>IF(Entry!$K654="",0,Entry!$K654)</f>
        <v/>
      </c>
      <c r="M654">
        <f>IF(Entry!$L654="",0,Entry!$L654)</f>
        <v/>
      </c>
    </row>
    <row r="655">
      <c r="A655">
        <f>IF(Entry!$C655="","",Entry!$C655)</f>
        <v/>
      </c>
      <c r="B655">
        <f>IF($A655="","",IF(ISNUMBER($A655),IF(AND($A655&gt;=10000101,$A655&lt;=99991231),INT($A655/10000),""),IFERROR(VALUE(TRIM(LEFT($A655,FIND("/",$A655)-1))),"")))</f>
        <v/>
      </c>
      <c r="C655">
        <f>IF(OR($A655="",$B655=""),"",IF(ISNUMBER($A655),INT(MOD($A655,10000)/100),IFERROR(VALUE(TRIM(LEFT(MID($A655,FIND("/",$A655)+1,20),FIND("/",MID($A655,FIND("/",$A655)+1,20))-1))),"")))</f>
        <v/>
      </c>
      <c r="D655">
        <f>IF(OR($A655="",$B655=""),"",IF(ISNUMBER($A655),MOD($A655,100),IFERROR(VALUE(TRIM(MID(MID($A655,FIND("/",$A655)+1,20),FIND("/",MID($A655,FIND("/",$A655)+1,20))+1,20))),"")))</f>
        <v/>
      </c>
      <c r="E655">
        <f>IF($A655="","",IF(OR($B655="",$C655="",$D655="",$B655&lt;1300,$B655&gt;1500,$C655&lt;1,$C655&gt;12,$D655&lt;1,$D655&gt;31),"نامعتبر",RIGHT("0000"&amp;$B655,4)&amp;"/"&amp;RIGHT("00"&amp;$C655,2)&amp;"/"&amp;RIGHT("00"&amp;$D655,2)))</f>
        <v/>
      </c>
      <c r="F655">
        <f>IF(Entry!$D655&lt;&gt;"",IF(AND(ISNUMBER(Entry!$D655),Entry!$D655&gt;=0,Entry!$D655&lt;1),RIGHT("00"&amp;HOUR(Entry!$D655),2)&amp;":"&amp;RIGHT("00"&amp;MINUTE(Entry!$D655),2),IFERROR(RIGHT("00"&amp;VALUE(TRIM(LEFT(Entry!$D655,FIND(":",Entry!$D655)-1))),2)&amp;":"&amp;RIGHT("00"&amp;VALUE(TRIM(MID(Entry!$D655,FIND(":",Entry!$D655)+1,2))),2),"نامعتبر")),IF(OR($E655="",$E655="نامعتبر"),"","00:00"))</f>
        <v/>
      </c>
      <c r="G655">
        <f>IF(OR($E655="",$E655="نامعتبر"),"",IF(Entry!$E655="","",LEFT(UPPER(TRIM(Entry!$E655)),6)))</f>
        <v/>
      </c>
      <c r="H655">
        <f>IF($G655="","",RIGHT($E655,4)&amp;MID($E655,6,2)&amp;RIGHT($E655,2)&amp;IF($F655="","0000",IF($F655="نامعتبر","9999",LEFT($F655,2)&amp;RIGHT($F655,2)))&amp;"|"&amp;RIGHT("00000"&amp;647,5))</f>
        <v/>
      </c>
      <c r="I655">
        <f>IF($H655="","",COUNTIFS(CalcBank,$G655,CalcKey,"&lt;"&amp;$H655)+1)</f>
        <v/>
      </c>
      <c r="J655">
        <f>IF($I655="","",$G655&amp;"|"&amp;RIGHT("000000"&amp;$I655,6))</f>
        <v/>
      </c>
      <c r="K655">
        <f>IF(OR($E655="",$E655="نامعتبر"),"",LEFT($E655,4)&amp;"/"&amp;MID($E655,6,2))</f>
        <v/>
      </c>
      <c r="L655">
        <f>IF(Entry!$K655="",0,Entry!$K655)</f>
        <v/>
      </c>
      <c r="M655">
        <f>IF(Entry!$L655="",0,Entry!$L655)</f>
        <v/>
      </c>
    </row>
    <row r="656">
      <c r="A656">
        <f>IF(Entry!$C656="","",Entry!$C656)</f>
        <v/>
      </c>
      <c r="B656">
        <f>IF($A656="","",IF(ISNUMBER($A656),IF(AND($A656&gt;=10000101,$A656&lt;=99991231),INT($A656/10000),""),IFERROR(VALUE(TRIM(LEFT($A656,FIND("/",$A656)-1))),"")))</f>
        <v/>
      </c>
      <c r="C656">
        <f>IF(OR($A656="",$B656=""),"",IF(ISNUMBER($A656),INT(MOD($A656,10000)/100),IFERROR(VALUE(TRIM(LEFT(MID($A656,FIND("/",$A656)+1,20),FIND("/",MID($A656,FIND("/",$A656)+1,20))-1))),"")))</f>
        <v/>
      </c>
      <c r="D656">
        <f>IF(OR($A656="",$B656=""),"",IF(ISNUMBER($A656),MOD($A656,100),IFERROR(VALUE(TRIM(MID(MID($A656,FIND("/",$A656)+1,20),FIND("/",MID($A656,FIND("/",$A656)+1,20))+1,20))),"")))</f>
        <v/>
      </c>
      <c r="E656">
        <f>IF($A656="","",IF(OR($B656="",$C656="",$D656="",$B656&lt;1300,$B656&gt;1500,$C656&lt;1,$C656&gt;12,$D656&lt;1,$D656&gt;31),"نامعتبر",RIGHT("0000"&amp;$B656,4)&amp;"/"&amp;RIGHT("00"&amp;$C656,2)&amp;"/"&amp;RIGHT("00"&amp;$D656,2)))</f>
        <v/>
      </c>
      <c r="F656">
        <f>IF(Entry!$D656&lt;&gt;"",IF(AND(ISNUMBER(Entry!$D656),Entry!$D656&gt;=0,Entry!$D656&lt;1),RIGHT("00"&amp;HOUR(Entry!$D656),2)&amp;":"&amp;RIGHT("00"&amp;MINUTE(Entry!$D656),2),IFERROR(RIGHT("00"&amp;VALUE(TRIM(LEFT(Entry!$D656,FIND(":",Entry!$D656)-1))),2)&amp;":"&amp;RIGHT("00"&amp;VALUE(TRIM(MID(Entry!$D656,FIND(":",Entry!$D656)+1,2))),2),"نامعتبر")),IF(OR($E656="",$E656="نامعتبر"),"","00:00"))</f>
        <v/>
      </c>
      <c r="G656">
        <f>IF(OR($E656="",$E656="نامعتبر"),"",IF(Entry!$E656="","",LEFT(UPPER(TRIM(Entry!$E656)),6)))</f>
        <v/>
      </c>
      <c r="H656">
        <f>IF($G656="","",RIGHT($E656,4)&amp;MID($E656,6,2)&amp;RIGHT($E656,2)&amp;IF($F656="","0000",IF($F656="نامعتبر","9999",LEFT($F656,2)&amp;RIGHT($F656,2)))&amp;"|"&amp;RIGHT("00000"&amp;648,5))</f>
        <v/>
      </c>
      <c r="I656">
        <f>IF($H656="","",COUNTIFS(CalcBank,$G656,CalcKey,"&lt;"&amp;$H656)+1)</f>
        <v/>
      </c>
      <c r="J656">
        <f>IF($I656="","",$G656&amp;"|"&amp;RIGHT("000000"&amp;$I656,6))</f>
        <v/>
      </c>
      <c r="K656">
        <f>IF(OR($E656="",$E656="نامعتبر"),"",LEFT($E656,4)&amp;"/"&amp;MID($E656,6,2))</f>
        <v/>
      </c>
      <c r="L656">
        <f>IF(Entry!$K656="",0,Entry!$K656)</f>
        <v/>
      </c>
      <c r="M656">
        <f>IF(Entry!$L656="",0,Entry!$L656)</f>
        <v/>
      </c>
    </row>
    <row r="657">
      <c r="A657">
        <f>IF(Entry!$C657="","",Entry!$C657)</f>
        <v/>
      </c>
      <c r="B657">
        <f>IF($A657="","",IF(ISNUMBER($A657),IF(AND($A657&gt;=10000101,$A657&lt;=99991231),INT($A657/10000),""),IFERROR(VALUE(TRIM(LEFT($A657,FIND("/",$A657)-1))),"")))</f>
        <v/>
      </c>
      <c r="C657">
        <f>IF(OR($A657="",$B657=""),"",IF(ISNUMBER($A657),INT(MOD($A657,10000)/100),IFERROR(VALUE(TRIM(LEFT(MID($A657,FIND("/",$A657)+1,20),FIND("/",MID($A657,FIND("/",$A657)+1,20))-1))),"")))</f>
        <v/>
      </c>
      <c r="D657">
        <f>IF(OR($A657="",$B657=""),"",IF(ISNUMBER($A657),MOD($A657,100),IFERROR(VALUE(TRIM(MID(MID($A657,FIND("/",$A657)+1,20),FIND("/",MID($A657,FIND("/",$A657)+1,20))+1,20))),"")))</f>
        <v/>
      </c>
      <c r="E657">
        <f>IF($A657="","",IF(OR($B657="",$C657="",$D657="",$B657&lt;1300,$B657&gt;1500,$C657&lt;1,$C657&gt;12,$D657&lt;1,$D657&gt;31),"نامعتبر",RIGHT("0000"&amp;$B657,4)&amp;"/"&amp;RIGHT("00"&amp;$C657,2)&amp;"/"&amp;RIGHT("00"&amp;$D657,2)))</f>
        <v/>
      </c>
      <c r="F657">
        <f>IF(Entry!$D657&lt;&gt;"",IF(AND(ISNUMBER(Entry!$D657),Entry!$D657&gt;=0,Entry!$D657&lt;1),RIGHT("00"&amp;HOUR(Entry!$D657),2)&amp;":"&amp;RIGHT("00"&amp;MINUTE(Entry!$D657),2),IFERROR(RIGHT("00"&amp;VALUE(TRIM(LEFT(Entry!$D657,FIND(":",Entry!$D657)-1))),2)&amp;":"&amp;RIGHT("00"&amp;VALUE(TRIM(MID(Entry!$D657,FIND(":",Entry!$D657)+1,2))),2),"نامعتبر")),IF(OR($E657="",$E657="نامعتبر"),"","00:00"))</f>
        <v/>
      </c>
      <c r="G657">
        <f>IF(OR($E657="",$E657="نامعتبر"),"",IF(Entry!$E657="","",LEFT(UPPER(TRIM(Entry!$E657)),6)))</f>
        <v/>
      </c>
      <c r="H657">
        <f>IF($G657="","",RIGHT($E657,4)&amp;MID($E657,6,2)&amp;RIGHT($E657,2)&amp;IF($F657="","0000",IF($F657="نامعتبر","9999",LEFT($F657,2)&amp;RIGHT($F657,2)))&amp;"|"&amp;RIGHT("00000"&amp;649,5))</f>
        <v/>
      </c>
      <c r="I657">
        <f>IF($H657="","",COUNTIFS(CalcBank,$G657,CalcKey,"&lt;"&amp;$H657)+1)</f>
        <v/>
      </c>
      <c r="J657">
        <f>IF($I657="","",$G657&amp;"|"&amp;RIGHT("000000"&amp;$I657,6))</f>
        <v/>
      </c>
      <c r="K657">
        <f>IF(OR($E657="",$E657="نامعتبر"),"",LEFT($E657,4)&amp;"/"&amp;MID($E657,6,2))</f>
        <v/>
      </c>
      <c r="L657">
        <f>IF(Entry!$K657="",0,Entry!$K657)</f>
        <v/>
      </c>
      <c r="M657">
        <f>IF(Entry!$L657="",0,Entry!$L657)</f>
        <v/>
      </c>
    </row>
    <row r="658">
      <c r="A658">
        <f>IF(Entry!$C658="","",Entry!$C658)</f>
        <v/>
      </c>
      <c r="B658">
        <f>IF($A658="","",IF(ISNUMBER($A658),IF(AND($A658&gt;=10000101,$A658&lt;=99991231),INT($A658/10000),""),IFERROR(VALUE(TRIM(LEFT($A658,FIND("/",$A658)-1))),"")))</f>
        <v/>
      </c>
      <c r="C658">
        <f>IF(OR($A658="",$B658=""),"",IF(ISNUMBER($A658),INT(MOD($A658,10000)/100),IFERROR(VALUE(TRIM(LEFT(MID($A658,FIND("/",$A658)+1,20),FIND("/",MID($A658,FIND("/",$A658)+1,20))-1))),"")))</f>
        <v/>
      </c>
      <c r="D658">
        <f>IF(OR($A658="",$B658=""),"",IF(ISNUMBER($A658),MOD($A658,100),IFERROR(VALUE(TRIM(MID(MID($A658,FIND("/",$A658)+1,20),FIND("/",MID($A658,FIND("/",$A658)+1,20))+1,20))),"")))</f>
        <v/>
      </c>
      <c r="E658">
        <f>IF($A658="","",IF(OR($B658="",$C658="",$D658="",$B658&lt;1300,$B658&gt;1500,$C658&lt;1,$C658&gt;12,$D658&lt;1,$D658&gt;31),"نامعتبر",RIGHT("0000"&amp;$B658,4)&amp;"/"&amp;RIGHT("00"&amp;$C658,2)&amp;"/"&amp;RIGHT("00"&amp;$D658,2)))</f>
        <v/>
      </c>
      <c r="F658">
        <f>IF(Entry!$D658&lt;&gt;"",IF(AND(ISNUMBER(Entry!$D658),Entry!$D658&gt;=0,Entry!$D658&lt;1),RIGHT("00"&amp;HOUR(Entry!$D658),2)&amp;":"&amp;RIGHT("00"&amp;MINUTE(Entry!$D658),2),IFERROR(RIGHT("00"&amp;VALUE(TRIM(LEFT(Entry!$D658,FIND(":",Entry!$D658)-1))),2)&amp;":"&amp;RIGHT("00"&amp;VALUE(TRIM(MID(Entry!$D658,FIND(":",Entry!$D658)+1,2))),2),"نامعتبر")),IF(OR($E658="",$E658="نامعتبر"),"","00:00"))</f>
        <v/>
      </c>
      <c r="G658">
        <f>IF(OR($E658="",$E658="نامعتبر"),"",IF(Entry!$E658="","",LEFT(UPPER(TRIM(Entry!$E658)),6)))</f>
        <v/>
      </c>
      <c r="H658">
        <f>IF($G658="","",RIGHT($E658,4)&amp;MID($E658,6,2)&amp;RIGHT($E658,2)&amp;IF($F658="","0000",IF($F658="نامعتبر","9999",LEFT($F658,2)&amp;RIGHT($F658,2)))&amp;"|"&amp;RIGHT("00000"&amp;650,5))</f>
        <v/>
      </c>
      <c r="I658">
        <f>IF($H658="","",COUNTIFS(CalcBank,$G658,CalcKey,"&lt;"&amp;$H658)+1)</f>
        <v/>
      </c>
      <c r="J658">
        <f>IF($I658="","",$G658&amp;"|"&amp;RIGHT("000000"&amp;$I658,6))</f>
        <v/>
      </c>
      <c r="K658">
        <f>IF(OR($E658="",$E658="نامعتبر"),"",LEFT($E658,4)&amp;"/"&amp;MID($E658,6,2))</f>
        <v/>
      </c>
      <c r="L658">
        <f>IF(Entry!$K658="",0,Entry!$K658)</f>
        <v/>
      </c>
      <c r="M658">
        <f>IF(Entry!$L658="",0,Entry!$L658)</f>
        <v/>
      </c>
    </row>
    <row r="659">
      <c r="A659">
        <f>IF(Entry!$C659="","",Entry!$C659)</f>
        <v/>
      </c>
      <c r="B659">
        <f>IF($A659="","",IF(ISNUMBER($A659),IF(AND($A659&gt;=10000101,$A659&lt;=99991231),INT($A659/10000),""),IFERROR(VALUE(TRIM(LEFT($A659,FIND("/",$A659)-1))),"")))</f>
        <v/>
      </c>
      <c r="C659">
        <f>IF(OR($A659="",$B659=""),"",IF(ISNUMBER($A659),INT(MOD($A659,10000)/100),IFERROR(VALUE(TRIM(LEFT(MID($A659,FIND("/",$A659)+1,20),FIND("/",MID($A659,FIND("/",$A659)+1,20))-1))),"")))</f>
        <v/>
      </c>
      <c r="D659">
        <f>IF(OR($A659="",$B659=""),"",IF(ISNUMBER($A659),MOD($A659,100),IFERROR(VALUE(TRIM(MID(MID($A659,FIND("/",$A659)+1,20),FIND("/",MID($A659,FIND("/",$A659)+1,20))+1,20))),"")))</f>
        <v/>
      </c>
      <c r="E659">
        <f>IF($A659="","",IF(OR($B659="",$C659="",$D659="",$B659&lt;1300,$B659&gt;1500,$C659&lt;1,$C659&gt;12,$D659&lt;1,$D659&gt;31),"نامعتبر",RIGHT("0000"&amp;$B659,4)&amp;"/"&amp;RIGHT("00"&amp;$C659,2)&amp;"/"&amp;RIGHT("00"&amp;$D659,2)))</f>
        <v/>
      </c>
      <c r="F659">
        <f>IF(Entry!$D659&lt;&gt;"",IF(AND(ISNUMBER(Entry!$D659),Entry!$D659&gt;=0,Entry!$D659&lt;1),RIGHT("00"&amp;HOUR(Entry!$D659),2)&amp;":"&amp;RIGHT("00"&amp;MINUTE(Entry!$D659),2),IFERROR(RIGHT("00"&amp;VALUE(TRIM(LEFT(Entry!$D659,FIND(":",Entry!$D659)-1))),2)&amp;":"&amp;RIGHT("00"&amp;VALUE(TRIM(MID(Entry!$D659,FIND(":",Entry!$D659)+1,2))),2),"نامعتبر")),IF(OR($E659="",$E659="نامعتبر"),"","00:00"))</f>
        <v/>
      </c>
      <c r="G659">
        <f>IF(OR($E659="",$E659="نامعتبر"),"",IF(Entry!$E659="","",LEFT(UPPER(TRIM(Entry!$E659)),6)))</f>
        <v/>
      </c>
      <c r="H659">
        <f>IF($G659="","",RIGHT($E659,4)&amp;MID($E659,6,2)&amp;RIGHT($E659,2)&amp;IF($F659="","0000",IF($F659="نامعتبر","9999",LEFT($F659,2)&amp;RIGHT($F659,2)))&amp;"|"&amp;RIGHT("00000"&amp;651,5))</f>
        <v/>
      </c>
      <c r="I659">
        <f>IF($H659="","",COUNTIFS(CalcBank,$G659,CalcKey,"&lt;"&amp;$H659)+1)</f>
        <v/>
      </c>
      <c r="J659">
        <f>IF($I659="","",$G659&amp;"|"&amp;RIGHT("000000"&amp;$I659,6))</f>
        <v/>
      </c>
      <c r="K659">
        <f>IF(OR($E659="",$E659="نامعتبر"),"",LEFT($E659,4)&amp;"/"&amp;MID($E659,6,2))</f>
        <v/>
      </c>
      <c r="L659">
        <f>IF(Entry!$K659="",0,Entry!$K659)</f>
        <v/>
      </c>
      <c r="M659">
        <f>IF(Entry!$L659="",0,Entry!$L659)</f>
        <v/>
      </c>
    </row>
    <row r="660">
      <c r="A660">
        <f>IF(Entry!$C660="","",Entry!$C660)</f>
        <v/>
      </c>
      <c r="B660">
        <f>IF($A660="","",IF(ISNUMBER($A660),IF(AND($A660&gt;=10000101,$A660&lt;=99991231),INT($A660/10000),""),IFERROR(VALUE(TRIM(LEFT($A660,FIND("/",$A660)-1))),"")))</f>
        <v/>
      </c>
      <c r="C660">
        <f>IF(OR($A660="",$B660=""),"",IF(ISNUMBER($A660),INT(MOD($A660,10000)/100),IFERROR(VALUE(TRIM(LEFT(MID($A660,FIND("/",$A660)+1,20),FIND("/",MID($A660,FIND("/",$A660)+1,20))-1))),"")))</f>
        <v/>
      </c>
      <c r="D660">
        <f>IF(OR($A660="",$B660=""),"",IF(ISNUMBER($A660),MOD($A660,100),IFERROR(VALUE(TRIM(MID(MID($A660,FIND("/",$A660)+1,20),FIND("/",MID($A660,FIND("/",$A660)+1,20))+1,20))),"")))</f>
        <v/>
      </c>
      <c r="E660">
        <f>IF($A660="","",IF(OR($B660="",$C660="",$D660="",$B660&lt;1300,$B660&gt;1500,$C660&lt;1,$C660&gt;12,$D660&lt;1,$D660&gt;31),"نامعتبر",RIGHT("0000"&amp;$B660,4)&amp;"/"&amp;RIGHT("00"&amp;$C660,2)&amp;"/"&amp;RIGHT("00"&amp;$D660,2)))</f>
        <v/>
      </c>
      <c r="F660">
        <f>IF(Entry!$D660&lt;&gt;"",IF(AND(ISNUMBER(Entry!$D660),Entry!$D660&gt;=0,Entry!$D660&lt;1),RIGHT("00"&amp;HOUR(Entry!$D660),2)&amp;":"&amp;RIGHT("00"&amp;MINUTE(Entry!$D660),2),IFERROR(RIGHT("00"&amp;VALUE(TRIM(LEFT(Entry!$D660,FIND(":",Entry!$D660)-1))),2)&amp;":"&amp;RIGHT("00"&amp;VALUE(TRIM(MID(Entry!$D660,FIND(":",Entry!$D660)+1,2))),2),"نامعتبر")),IF(OR($E660="",$E660="نامعتبر"),"","00:00"))</f>
        <v/>
      </c>
      <c r="G660">
        <f>IF(OR($E660="",$E660="نامعتبر"),"",IF(Entry!$E660="","",LEFT(UPPER(TRIM(Entry!$E660)),6)))</f>
        <v/>
      </c>
      <c r="H660">
        <f>IF($G660="","",RIGHT($E660,4)&amp;MID($E660,6,2)&amp;RIGHT($E660,2)&amp;IF($F660="","0000",IF($F660="نامعتبر","9999",LEFT($F660,2)&amp;RIGHT($F660,2)))&amp;"|"&amp;RIGHT("00000"&amp;652,5))</f>
        <v/>
      </c>
      <c r="I660">
        <f>IF($H660="","",COUNTIFS(CalcBank,$G660,CalcKey,"&lt;"&amp;$H660)+1)</f>
        <v/>
      </c>
      <c r="J660">
        <f>IF($I660="","",$G660&amp;"|"&amp;RIGHT("000000"&amp;$I660,6))</f>
        <v/>
      </c>
      <c r="K660">
        <f>IF(OR($E660="",$E660="نامعتبر"),"",LEFT($E660,4)&amp;"/"&amp;MID($E660,6,2))</f>
        <v/>
      </c>
      <c r="L660">
        <f>IF(Entry!$K660="",0,Entry!$K660)</f>
        <v/>
      </c>
      <c r="M660">
        <f>IF(Entry!$L660="",0,Entry!$L660)</f>
        <v/>
      </c>
    </row>
    <row r="661">
      <c r="A661">
        <f>IF(Entry!$C661="","",Entry!$C661)</f>
        <v/>
      </c>
      <c r="B661">
        <f>IF($A661="","",IF(ISNUMBER($A661),IF(AND($A661&gt;=10000101,$A661&lt;=99991231),INT($A661/10000),""),IFERROR(VALUE(TRIM(LEFT($A661,FIND("/",$A661)-1))),"")))</f>
        <v/>
      </c>
      <c r="C661">
        <f>IF(OR($A661="",$B661=""),"",IF(ISNUMBER($A661),INT(MOD($A661,10000)/100),IFERROR(VALUE(TRIM(LEFT(MID($A661,FIND("/",$A661)+1,20),FIND("/",MID($A661,FIND("/",$A661)+1,20))-1))),"")))</f>
        <v/>
      </c>
      <c r="D661">
        <f>IF(OR($A661="",$B661=""),"",IF(ISNUMBER($A661),MOD($A661,100),IFERROR(VALUE(TRIM(MID(MID($A661,FIND("/",$A661)+1,20),FIND("/",MID($A661,FIND("/",$A661)+1,20))+1,20))),"")))</f>
        <v/>
      </c>
      <c r="E661">
        <f>IF($A661="","",IF(OR($B661="",$C661="",$D661="",$B661&lt;1300,$B661&gt;1500,$C661&lt;1,$C661&gt;12,$D661&lt;1,$D661&gt;31),"نامعتبر",RIGHT("0000"&amp;$B661,4)&amp;"/"&amp;RIGHT("00"&amp;$C661,2)&amp;"/"&amp;RIGHT("00"&amp;$D661,2)))</f>
        <v/>
      </c>
      <c r="F661">
        <f>IF(Entry!$D661&lt;&gt;"",IF(AND(ISNUMBER(Entry!$D661),Entry!$D661&gt;=0,Entry!$D661&lt;1),RIGHT("00"&amp;HOUR(Entry!$D661),2)&amp;":"&amp;RIGHT("00"&amp;MINUTE(Entry!$D661),2),IFERROR(RIGHT("00"&amp;VALUE(TRIM(LEFT(Entry!$D661,FIND(":",Entry!$D661)-1))),2)&amp;":"&amp;RIGHT("00"&amp;VALUE(TRIM(MID(Entry!$D661,FIND(":",Entry!$D661)+1,2))),2),"نامعتبر")),IF(OR($E661="",$E661="نامعتبر"),"","00:00"))</f>
        <v/>
      </c>
      <c r="G661">
        <f>IF(OR($E661="",$E661="نامعتبر"),"",IF(Entry!$E661="","",LEFT(UPPER(TRIM(Entry!$E661)),6)))</f>
        <v/>
      </c>
      <c r="H661">
        <f>IF($G661="","",RIGHT($E661,4)&amp;MID($E661,6,2)&amp;RIGHT($E661,2)&amp;IF($F661="","0000",IF($F661="نامعتبر","9999",LEFT($F661,2)&amp;RIGHT($F661,2)))&amp;"|"&amp;RIGHT("00000"&amp;653,5))</f>
        <v/>
      </c>
      <c r="I661">
        <f>IF($H661="","",COUNTIFS(CalcBank,$G661,CalcKey,"&lt;"&amp;$H661)+1)</f>
        <v/>
      </c>
      <c r="J661">
        <f>IF($I661="","",$G661&amp;"|"&amp;RIGHT("000000"&amp;$I661,6))</f>
        <v/>
      </c>
      <c r="K661">
        <f>IF(OR($E661="",$E661="نامعتبر"),"",LEFT($E661,4)&amp;"/"&amp;MID($E661,6,2))</f>
        <v/>
      </c>
      <c r="L661">
        <f>IF(Entry!$K661="",0,Entry!$K661)</f>
        <v/>
      </c>
      <c r="M661">
        <f>IF(Entry!$L661="",0,Entry!$L661)</f>
        <v/>
      </c>
    </row>
    <row r="662">
      <c r="A662">
        <f>IF(Entry!$C662="","",Entry!$C662)</f>
        <v/>
      </c>
      <c r="B662">
        <f>IF($A662="","",IF(ISNUMBER($A662),IF(AND($A662&gt;=10000101,$A662&lt;=99991231),INT($A662/10000),""),IFERROR(VALUE(TRIM(LEFT($A662,FIND("/",$A662)-1))),"")))</f>
        <v/>
      </c>
      <c r="C662">
        <f>IF(OR($A662="",$B662=""),"",IF(ISNUMBER($A662),INT(MOD($A662,10000)/100),IFERROR(VALUE(TRIM(LEFT(MID($A662,FIND("/",$A662)+1,20),FIND("/",MID($A662,FIND("/",$A662)+1,20))-1))),"")))</f>
        <v/>
      </c>
      <c r="D662">
        <f>IF(OR($A662="",$B662=""),"",IF(ISNUMBER($A662),MOD($A662,100),IFERROR(VALUE(TRIM(MID(MID($A662,FIND("/",$A662)+1,20),FIND("/",MID($A662,FIND("/",$A662)+1,20))+1,20))),"")))</f>
        <v/>
      </c>
      <c r="E662">
        <f>IF($A662="","",IF(OR($B662="",$C662="",$D662="",$B662&lt;1300,$B662&gt;1500,$C662&lt;1,$C662&gt;12,$D662&lt;1,$D662&gt;31),"نامعتبر",RIGHT("0000"&amp;$B662,4)&amp;"/"&amp;RIGHT("00"&amp;$C662,2)&amp;"/"&amp;RIGHT("00"&amp;$D662,2)))</f>
        <v/>
      </c>
      <c r="F662">
        <f>IF(Entry!$D662&lt;&gt;"",IF(AND(ISNUMBER(Entry!$D662),Entry!$D662&gt;=0,Entry!$D662&lt;1),RIGHT("00"&amp;HOUR(Entry!$D662),2)&amp;":"&amp;RIGHT("00"&amp;MINUTE(Entry!$D662),2),IFERROR(RIGHT("00"&amp;VALUE(TRIM(LEFT(Entry!$D662,FIND(":",Entry!$D662)-1))),2)&amp;":"&amp;RIGHT("00"&amp;VALUE(TRIM(MID(Entry!$D662,FIND(":",Entry!$D662)+1,2))),2),"نامعتبر")),IF(OR($E662="",$E662="نامعتبر"),"","00:00"))</f>
        <v/>
      </c>
      <c r="G662">
        <f>IF(OR($E662="",$E662="نامعتبر"),"",IF(Entry!$E662="","",LEFT(UPPER(TRIM(Entry!$E662)),6)))</f>
        <v/>
      </c>
      <c r="H662">
        <f>IF($G662="","",RIGHT($E662,4)&amp;MID($E662,6,2)&amp;RIGHT($E662,2)&amp;IF($F662="","0000",IF($F662="نامعتبر","9999",LEFT($F662,2)&amp;RIGHT($F662,2)))&amp;"|"&amp;RIGHT("00000"&amp;654,5))</f>
        <v/>
      </c>
      <c r="I662">
        <f>IF($H662="","",COUNTIFS(CalcBank,$G662,CalcKey,"&lt;"&amp;$H662)+1)</f>
        <v/>
      </c>
      <c r="J662">
        <f>IF($I662="","",$G662&amp;"|"&amp;RIGHT("000000"&amp;$I662,6))</f>
        <v/>
      </c>
      <c r="K662">
        <f>IF(OR($E662="",$E662="نامعتبر"),"",LEFT($E662,4)&amp;"/"&amp;MID($E662,6,2))</f>
        <v/>
      </c>
      <c r="L662">
        <f>IF(Entry!$K662="",0,Entry!$K662)</f>
        <v/>
      </c>
      <c r="M662">
        <f>IF(Entry!$L662="",0,Entry!$L662)</f>
        <v/>
      </c>
    </row>
    <row r="663">
      <c r="A663">
        <f>IF(Entry!$C663="","",Entry!$C663)</f>
        <v/>
      </c>
      <c r="B663">
        <f>IF($A663="","",IF(ISNUMBER($A663),IF(AND($A663&gt;=10000101,$A663&lt;=99991231),INT($A663/10000),""),IFERROR(VALUE(TRIM(LEFT($A663,FIND("/",$A663)-1))),"")))</f>
        <v/>
      </c>
      <c r="C663">
        <f>IF(OR($A663="",$B663=""),"",IF(ISNUMBER($A663),INT(MOD($A663,10000)/100),IFERROR(VALUE(TRIM(LEFT(MID($A663,FIND("/",$A663)+1,20),FIND("/",MID($A663,FIND("/",$A663)+1,20))-1))),"")))</f>
        <v/>
      </c>
      <c r="D663">
        <f>IF(OR($A663="",$B663=""),"",IF(ISNUMBER($A663),MOD($A663,100),IFERROR(VALUE(TRIM(MID(MID($A663,FIND("/",$A663)+1,20),FIND("/",MID($A663,FIND("/",$A663)+1,20))+1,20))),"")))</f>
        <v/>
      </c>
      <c r="E663">
        <f>IF($A663="","",IF(OR($B663="",$C663="",$D663="",$B663&lt;1300,$B663&gt;1500,$C663&lt;1,$C663&gt;12,$D663&lt;1,$D663&gt;31),"نامعتبر",RIGHT("0000"&amp;$B663,4)&amp;"/"&amp;RIGHT("00"&amp;$C663,2)&amp;"/"&amp;RIGHT("00"&amp;$D663,2)))</f>
        <v/>
      </c>
      <c r="F663">
        <f>IF(Entry!$D663&lt;&gt;"",IF(AND(ISNUMBER(Entry!$D663),Entry!$D663&gt;=0,Entry!$D663&lt;1),RIGHT("00"&amp;HOUR(Entry!$D663),2)&amp;":"&amp;RIGHT("00"&amp;MINUTE(Entry!$D663),2),IFERROR(RIGHT("00"&amp;VALUE(TRIM(LEFT(Entry!$D663,FIND(":",Entry!$D663)-1))),2)&amp;":"&amp;RIGHT("00"&amp;VALUE(TRIM(MID(Entry!$D663,FIND(":",Entry!$D663)+1,2))),2),"نامعتبر")),IF(OR($E663="",$E663="نامعتبر"),"","00:00"))</f>
        <v/>
      </c>
      <c r="G663">
        <f>IF(OR($E663="",$E663="نامعتبر"),"",IF(Entry!$E663="","",LEFT(UPPER(TRIM(Entry!$E663)),6)))</f>
        <v/>
      </c>
      <c r="H663">
        <f>IF($G663="","",RIGHT($E663,4)&amp;MID($E663,6,2)&amp;RIGHT($E663,2)&amp;IF($F663="","0000",IF($F663="نامعتبر","9999",LEFT($F663,2)&amp;RIGHT($F663,2)))&amp;"|"&amp;RIGHT("00000"&amp;655,5))</f>
        <v/>
      </c>
      <c r="I663">
        <f>IF($H663="","",COUNTIFS(CalcBank,$G663,CalcKey,"&lt;"&amp;$H663)+1)</f>
        <v/>
      </c>
      <c r="J663">
        <f>IF($I663="","",$G663&amp;"|"&amp;RIGHT("000000"&amp;$I663,6))</f>
        <v/>
      </c>
      <c r="K663">
        <f>IF(OR($E663="",$E663="نامعتبر"),"",LEFT($E663,4)&amp;"/"&amp;MID($E663,6,2))</f>
        <v/>
      </c>
      <c r="L663">
        <f>IF(Entry!$K663="",0,Entry!$K663)</f>
        <v/>
      </c>
      <c r="M663">
        <f>IF(Entry!$L663="",0,Entry!$L663)</f>
        <v/>
      </c>
    </row>
    <row r="664">
      <c r="A664">
        <f>IF(Entry!$C664="","",Entry!$C664)</f>
        <v/>
      </c>
      <c r="B664">
        <f>IF($A664="","",IF(ISNUMBER($A664),IF(AND($A664&gt;=10000101,$A664&lt;=99991231),INT($A664/10000),""),IFERROR(VALUE(TRIM(LEFT($A664,FIND("/",$A664)-1))),"")))</f>
        <v/>
      </c>
      <c r="C664">
        <f>IF(OR($A664="",$B664=""),"",IF(ISNUMBER($A664),INT(MOD($A664,10000)/100),IFERROR(VALUE(TRIM(LEFT(MID($A664,FIND("/",$A664)+1,20),FIND("/",MID($A664,FIND("/",$A664)+1,20))-1))),"")))</f>
        <v/>
      </c>
      <c r="D664">
        <f>IF(OR($A664="",$B664=""),"",IF(ISNUMBER($A664),MOD($A664,100),IFERROR(VALUE(TRIM(MID(MID($A664,FIND("/",$A664)+1,20),FIND("/",MID($A664,FIND("/",$A664)+1,20))+1,20))),"")))</f>
        <v/>
      </c>
      <c r="E664">
        <f>IF($A664="","",IF(OR($B664="",$C664="",$D664="",$B664&lt;1300,$B664&gt;1500,$C664&lt;1,$C664&gt;12,$D664&lt;1,$D664&gt;31),"نامعتبر",RIGHT("0000"&amp;$B664,4)&amp;"/"&amp;RIGHT("00"&amp;$C664,2)&amp;"/"&amp;RIGHT("00"&amp;$D664,2)))</f>
        <v/>
      </c>
      <c r="F664">
        <f>IF(Entry!$D664&lt;&gt;"",IF(AND(ISNUMBER(Entry!$D664),Entry!$D664&gt;=0,Entry!$D664&lt;1),RIGHT("00"&amp;HOUR(Entry!$D664),2)&amp;":"&amp;RIGHT("00"&amp;MINUTE(Entry!$D664),2),IFERROR(RIGHT("00"&amp;VALUE(TRIM(LEFT(Entry!$D664,FIND(":",Entry!$D664)-1))),2)&amp;":"&amp;RIGHT("00"&amp;VALUE(TRIM(MID(Entry!$D664,FIND(":",Entry!$D664)+1,2))),2),"نامعتبر")),IF(OR($E664="",$E664="نامعتبر"),"","00:00"))</f>
        <v/>
      </c>
      <c r="G664">
        <f>IF(OR($E664="",$E664="نامعتبر"),"",IF(Entry!$E664="","",LEFT(UPPER(TRIM(Entry!$E664)),6)))</f>
        <v/>
      </c>
      <c r="H664">
        <f>IF($G664="","",RIGHT($E664,4)&amp;MID($E664,6,2)&amp;RIGHT($E664,2)&amp;IF($F664="","0000",IF($F664="نامعتبر","9999",LEFT($F664,2)&amp;RIGHT($F664,2)))&amp;"|"&amp;RIGHT("00000"&amp;656,5))</f>
        <v/>
      </c>
      <c r="I664">
        <f>IF($H664="","",COUNTIFS(CalcBank,$G664,CalcKey,"&lt;"&amp;$H664)+1)</f>
        <v/>
      </c>
      <c r="J664">
        <f>IF($I664="","",$G664&amp;"|"&amp;RIGHT("000000"&amp;$I664,6))</f>
        <v/>
      </c>
      <c r="K664">
        <f>IF(OR($E664="",$E664="نامعتبر"),"",LEFT($E664,4)&amp;"/"&amp;MID($E664,6,2))</f>
        <v/>
      </c>
      <c r="L664">
        <f>IF(Entry!$K664="",0,Entry!$K664)</f>
        <v/>
      </c>
      <c r="M664">
        <f>IF(Entry!$L664="",0,Entry!$L664)</f>
        <v/>
      </c>
    </row>
    <row r="665">
      <c r="A665">
        <f>IF(Entry!$C665="","",Entry!$C665)</f>
        <v/>
      </c>
      <c r="B665">
        <f>IF($A665="","",IF(ISNUMBER($A665),IF(AND($A665&gt;=10000101,$A665&lt;=99991231),INT($A665/10000),""),IFERROR(VALUE(TRIM(LEFT($A665,FIND("/",$A665)-1))),"")))</f>
        <v/>
      </c>
      <c r="C665">
        <f>IF(OR($A665="",$B665=""),"",IF(ISNUMBER($A665),INT(MOD($A665,10000)/100),IFERROR(VALUE(TRIM(LEFT(MID($A665,FIND("/",$A665)+1,20),FIND("/",MID($A665,FIND("/",$A665)+1,20))-1))),"")))</f>
        <v/>
      </c>
      <c r="D665">
        <f>IF(OR($A665="",$B665=""),"",IF(ISNUMBER($A665),MOD($A665,100),IFERROR(VALUE(TRIM(MID(MID($A665,FIND("/",$A665)+1,20),FIND("/",MID($A665,FIND("/",$A665)+1,20))+1,20))),"")))</f>
        <v/>
      </c>
      <c r="E665">
        <f>IF($A665="","",IF(OR($B665="",$C665="",$D665="",$B665&lt;1300,$B665&gt;1500,$C665&lt;1,$C665&gt;12,$D665&lt;1,$D665&gt;31),"نامعتبر",RIGHT("0000"&amp;$B665,4)&amp;"/"&amp;RIGHT("00"&amp;$C665,2)&amp;"/"&amp;RIGHT("00"&amp;$D665,2)))</f>
        <v/>
      </c>
      <c r="F665">
        <f>IF(Entry!$D665&lt;&gt;"",IF(AND(ISNUMBER(Entry!$D665),Entry!$D665&gt;=0,Entry!$D665&lt;1),RIGHT("00"&amp;HOUR(Entry!$D665),2)&amp;":"&amp;RIGHT("00"&amp;MINUTE(Entry!$D665),2),IFERROR(RIGHT("00"&amp;VALUE(TRIM(LEFT(Entry!$D665,FIND(":",Entry!$D665)-1))),2)&amp;":"&amp;RIGHT("00"&amp;VALUE(TRIM(MID(Entry!$D665,FIND(":",Entry!$D665)+1,2))),2),"نامعتبر")),IF(OR($E665="",$E665="نامعتبر"),"","00:00"))</f>
        <v/>
      </c>
      <c r="G665">
        <f>IF(OR($E665="",$E665="نامعتبر"),"",IF(Entry!$E665="","",LEFT(UPPER(TRIM(Entry!$E665)),6)))</f>
        <v/>
      </c>
      <c r="H665">
        <f>IF($G665="","",RIGHT($E665,4)&amp;MID($E665,6,2)&amp;RIGHT($E665,2)&amp;IF($F665="","0000",IF($F665="نامعتبر","9999",LEFT($F665,2)&amp;RIGHT($F665,2)))&amp;"|"&amp;RIGHT("00000"&amp;657,5))</f>
        <v/>
      </c>
      <c r="I665">
        <f>IF($H665="","",COUNTIFS(CalcBank,$G665,CalcKey,"&lt;"&amp;$H665)+1)</f>
        <v/>
      </c>
      <c r="J665">
        <f>IF($I665="","",$G665&amp;"|"&amp;RIGHT("000000"&amp;$I665,6))</f>
        <v/>
      </c>
      <c r="K665">
        <f>IF(OR($E665="",$E665="نامعتبر"),"",LEFT($E665,4)&amp;"/"&amp;MID($E665,6,2))</f>
        <v/>
      </c>
      <c r="L665">
        <f>IF(Entry!$K665="",0,Entry!$K665)</f>
        <v/>
      </c>
      <c r="M665">
        <f>IF(Entry!$L665="",0,Entry!$L665)</f>
        <v/>
      </c>
    </row>
    <row r="666">
      <c r="A666">
        <f>IF(Entry!$C666="","",Entry!$C666)</f>
        <v/>
      </c>
      <c r="B666">
        <f>IF($A666="","",IF(ISNUMBER($A666),IF(AND($A666&gt;=10000101,$A666&lt;=99991231),INT($A666/10000),""),IFERROR(VALUE(TRIM(LEFT($A666,FIND("/",$A666)-1))),"")))</f>
        <v/>
      </c>
      <c r="C666">
        <f>IF(OR($A666="",$B666=""),"",IF(ISNUMBER($A666),INT(MOD($A666,10000)/100),IFERROR(VALUE(TRIM(LEFT(MID($A666,FIND("/",$A666)+1,20),FIND("/",MID($A666,FIND("/",$A666)+1,20))-1))),"")))</f>
        <v/>
      </c>
      <c r="D666">
        <f>IF(OR($A666="",$B666=""),"",IF(ISNUMBER($A666),MOD($A666,100),IFERROR(VALUE(TRIM(MID(MID($A666,FIND("/",$A666)+1,20),FIND("/",MID($A666,FIND("/",$A666)+1,20))+1,20))),"")))</f>
        <v/>
      </c>
      <c r="E666">
        <f>IF($A666="","",IF(OR($B666="",$C666="",$D666="",$B666&lt;1300,$B666&gt;1500,$C666&lt;1,$C666&gt;12,$D666&lt;1,$D666&gt;31),"نامعتبر",RIGHT("0000"&amp;$B666,4)&amp;"/"&amp;RIGHT("00"&amp;$C666,2)&amp;"/"&amp;RIGHT("00"&amp;$D666,2)))</f>
        <v/>
      </c>
      <c r="F666">
        <f>IF(Entry!$D666&lt;&gt;"",IF(AND(ISNUMBER(Entry!$D666),Entry!$D666&gt;=0,Entry!$D666&lt;1),RIGHT("00"&amp;HOUR(Entry!$D666),2)&amp;":"&amp;RIGHT("00"&amp;MINUTE(Entry!$D666),2),IFERROR(RIGHT("00"&amp;VALUE(TRIM(LEFT(Entry!$D666,FIND(":",Entry!$D666)-1))),2)&amp;":"&amp;RIGHT("00"&amp;VALUE(TRIM(MID(Entry!$D666,FIND(":",Entry!$D666)+1,2))),2),"نامعتبر")),IF(OR($E666="",$E666="نامعتبر"),"","00:00"))</f>
        <v/>
      </c>
      <c r="G666">
        <f>IF(OR($E666="",$E666="نامعتبر"),"",IF(Entry!$E666="","",LEFT(UPPER(TRIM(Entry!$E666)),6)))</f>
        <v/>
      </c>
      <c r="H666">
        <f>IF($G666="","",RIGHT($E666,4)&amp;MID($E666,6,2)&amp;RIGHT($E666,2)&amp;IF($F666="","0000",IF($F666="نامعتبر","9999",LEFT($F666,2)&amp;RIGHT($F666,2)))&amp;"|"&amp;RIGHT("00000"&amp;658,5))</f>
        <v/>
      </c>
      <c r="I666">
        <f>IF($H666="","",COUNTIFS(CalcBank,$G666,CalcKey,"&lt;"&amp;$H666)+1)</f>
        <v/>
      </c>
      <c r="J666">
        <f>IF($I666="","",$G666&amp;"|"&amp;RIGHT("000000"&amp;$I666,6))</f>
        <v/>
      </c>
      <c r="K666">
        <f>IF(OR($E666="",$E666="نامعتبر"),"",LEFT($E666,4)&amp;"/"&amp;MID($E666,6,2))</f>
        <v/>
      </c>
      <c r="L666">
        <f>IF(Entry!$K666="",0,Entry!$K666)</f>
        <v/>
      </c>
      <c r="M666">
        <f>IF(Entry!$L666="",0,Entry!$L666)</f>
        <v/>
      </c>
    </row>
    <row r="667">
      <c r="A667">
        <f>IF(Entry!$C667="","",Entry!$C667)</f>
        <v/>
      </c>
      <c r="B667">
        <f>IF($A667="","",IF(ISNUMBER($A667),IF(AND($A667&gt;=10000101,$A667&lt;=99991231),INT($A667/10000),""),IFERROR(VALUE(TRIM(LEFT($A667,FIND("/",$A667)-1))),"")))</f>
        <v/>
      </c>
      <c r="C667">
        <f>IF(OR($A667="",$B667=""),"",IF(ISNUMBER($A667),INT(MOD($A667,10000)/100),IFERROR(VALUE(TRIM(LEFT(MID($A667,FIND("/",$A667)+1,20),FIND("/",MID($A667,FIND("/",$A667)+1,20))-1))),"")))</f>
        <v/>
      </c>
      <c r="D667">
        <f>IF(OR($A667="",$B667=""),"",IF(ISNUMBER($A667),MOD($A667,100),IFERROR(VALUE(TRIM(MID(MID($A667,FIND("/",$A667)+1,20),FIND("/",MID($A667,FIND("/",$A667)+1,20))+1,20))),"")))</f>
        <v/>
      </c>
      <c r="E667">
        <f>IF($A667="","",IF(OR($B667="",$C667="",$D667="",$B667&lt;1300,$B667&gt;1500,$C667&lt;1,$C667&gt;12,$D667&lt;1,$D667&gt;31),"نامعتبر",RIGHT("0000"&amp;$B667,4)&amp;"/"&amp;RIGHT("00"&amp;$C667,2)&amp;"/"&amp;RIGHT("00"&amp;$D667,2)))</f>
        <v/>
      </c>
      <c r="F667">
        <f>IF(Entry!$D667&lt;&gt;"",IF(AND(ISNUMBER(Entry!$D667),Entry!$D667&gt;=0,Entry!$D667&lt;1),RIGHT("00"&amp;HOUR(Entry!$D667),2)&amp;":"&amp;RIGHT("00"&amp;MINUTE(Entry!$D667),2),IFERROR(RIGHT("00"&amp;VALUE(TRIM(LEFT(Entry!$D667,FIND(":",Entry!$D667)-1))),2)&amp;":"&amp;RIGHT("00"&amp;VALUE(TRIM(MID(Entry!$D667,FIND(":",Entry!$D667)+1,2))),2),"نامعتبر")),IF(OR($E667="",$E667="نامعتبر"),"","00:00"))</f>
        <v/>
      </c>
      <c r="G667">
        <f>IF(OR($E667="",$E667="نامعتبر"),"",IF(Entry!$E667="","",LEFT(UPPER(TRIM(Entry!$E667)),6)))</f>
        <v/>
      </c>
      <c r="H667">
        <f>IF($G667="","",RIGHT($E667,4)&amp;MID($E667,6,2)&amp;RIGHT($E667,2)&amp;IF($F667="","0000",IF($F667="نامعتبر","9999",LEFT($F667,2)&amp;RIGHT($F667,2)))&amp;"|"&amp;RIGHT("00000"&amp;659,5))</f>
        <v/>
      </c>
      <c r="I667">
        <f>IF($H667="","",COUNTIFS(CalcBank,$G667,CalcKey,"&lt;"&amp;$H667)+1)</f>
        <v/>
      </c>
      <c r="J667">
        <f>IF($I667="","",$G667&amp;"|"&amp;RIGHT("000000"&amp;$I667,6))</f>
        <v/>
      </c>
      <c r="K667">
        <f>IF(OR($E667="",$E667="نامعتبر"),"",LEFT($E667,4)&amp;"/"&amp;MID($E667,6,2))</f>
        <v/>
      </c>
      <c r="L667">
        <f>IF(Entry!$K667="",0,Entry!$K667)</f>
        <v/>
      </c>
      <c r="M667">
        <f>IF(Entry!$L667="",0,Entry!$L667)</f>
        <v/>
      </c>
    </row>
    <row r="668">
      <c r="A668">
        <f>IF(Entry!$C668="","",Entry!$C668)</f>
        <v/>
      </c>
      <c r="B668">
        <f>IF($A668="","",IF(ISNUMBER($A668),IF(AND($A668&gt;=10000101,$A668&lt;=99991231),INT($A668/10000),""),IFERROR(VALUE(TRIM(LEFT($A668,FIND("/",$A668)-1))),"")))</f>
        <v/>
      </c>
      <c r="C668">
        <f>IF(OR($A668="",$B668=""),"",IF(ISNUMBER($A668),INT(MOD($A668,10000)/100),IFERROR(VALUE(TRIM(LEFT(MID($A668,FIND("/",$A668)+1,20),FIND("/",MID($A668,FIND("/",$A668)+1,20))-1))),"")))</f>
        <v/>
      </c>
      <c r="D668">
        <f>IF(OR($A668="",$B668=""),"",IF(ISNUMBER($A668),MOD($A668,100),IFERROR(VALUE(TRIM(MID(MID($A668,FIND("/",$A668)+1,20),FIND("/",MID($A668,FIND("/",$A668)+1,20))+1,20))),"")))</f>
        <v/>
      </c>
      <c r="E668">
        <f>IF($A668="","",IF(OR($B668="",$C668="",$D668="",$B668&lt;1300,$B668&gt;1500,$C668&lt;1,$C668&gt;12,$D668&lt;1,$D668&gt;31),"نامعتبر",RIGHT("0000"&amp;$B668,4)&amp;"/"&amp;RIGHT("00"&amp;$C668,2)&amp;"/"&amp;RIGHT("00"&amp;$D668,2)))</f>
        <v/>
      </c>
      <c r="F668">
        <f>IF(Entry!$D668&lt;&gt;"",IF(AND(ISNUMBER(Entry!$D668),Entry!$D668&gt;=0,Entry!$D668&lt;1),RIGHT("00"&amp;HOUR(Entry!$D668),2)&amp;":"&amp;RIGHT("00"&amp;MINUTE(Entry!$D668),2),IFERROR(RIGHT("00"&amp;VALUE(TRIM(LEFT(Entry!$D668,FIND(":",Entry!$D668)-1))),2)&amp;":"&amp;RIGHT("00"&amp;VALUE(TRIM(MID(Entry!$D668,FIND(":",Entry!$D668)+1,2))),2),"نامعتبر")),IF(OR($E668="",$E668="نامعتبر"),"","00:00"))</f>
        <v/>
      </c>
      <c r="G668">
        <f>IF(OR($E668="",$E668="نامعتبر"),"",IF(Entry!$E668="","",LEFT(UPPER(TRIM(Entry!$E668)),6)))</f>
        <v/>
      </c>
      <c r="H668">
        <f>IF($G668="","",RIGHT($E668,4)&amp;MID($E668,6,2)&amp;RIGHT($E668,2)&amp;IF($F668="","0000",IF($F668="نامعتبر","9999",LEFT($F668,2)&amp;RIGHT($F668,2)))&amp;"|"&amp;RIGHT("00000"&amp;660,5))</f>
        <v/>
      </c>
      <c r="I668">
        <f>IF($H668="","",COUNTIFS(CalcBank,$G668,CalcKey,"&lt;"&amp;$H668)+1)</f>
        <v/>
      </c>
      <c r="J668">
        <f>IF($I668="","",$G668&amp;"|"&amp;RIGHT("000000"&amp;$I668,6))</f>
        <v/>
      </c>
      <c r="K668">
        <f>IF(OR($E668="",$E668="نامعتبر"),"",LEFT($E668,4)&amp;"/"&amp;MID($E668,6,2))</f>
        <v/>
      </c>
      <c r="L668">
        <f>IF(Entry!$K668="",0,Entry!$K668)</f>
        <v/>
      </c>
      <c r="M668">
        <f>IF(Entry!$L668="",0,Entry!$L668)</f>
        <v/>
      </c>
    </row>
    <row r="669">
      <c r="A669">
        <f>IF(Entry!$C669="","",Entry!$C669)</f>
        <v/>
      </c>
      <c r="B669">
        <f>IF($A669="","",IF(ISNUMBER($A669),IF(AND($A669&gt;=10000101,$A669&lt;=99991231),INT($A669/10000),""),IFERROR(VALUE(TRIM(LEFT($A669,FIND("/",$A669)-1))),"")))</f>
        <v/>
      </c>
      <c r="C669">
        <f>IF(OR($A669="",$B669=""),"",IF(ISNUMBER($A669),INT(MOD($A669,10000)/100),IFERROR(VALUE(TRIM(LEFT(MID($A669,FIND("/",$A669)+1,20),FIND("/",MID($A669,FIND("/",$A669)+1,20))-1))),"")))</f>
        <v/>
      </c>
      <c r="D669">
        <f>IF(OR($A669="",$B669=""),"",IF(ISNUMBER($A669),MOD($A669,100),IFERROR(VALUE(TRIM(MID(MID($A669,FIND("/",$A669)+1,20),FIND("/",MID($A669,FIND("/",$A669)+1,20))+1,20))),"")))</f>
        <v/>
      </c>
      <c r="E669">
        <f>IF($A669="","",IF(OR($B669="",$C669="",$D669="",$B669&lt;1300,$B669&gt;1500,$C669&lt;1,$C669&gt;12,$D669&lt;1,$D669&gt;31),"نامعتبر",RIGHT("0000"&amp;$B669,4)&amp;"/"&amp;RIGHT("00"&amp;$C669,2)&amp;"/"&amp;RIGHT("00"&amp;$D669,2)))</f>
        <v/>
      </c>
      <c r="F669">
        <f>IF(Entry!$D669&lt;&gt;"",IF(AND(ISNUMBER(Entry!$D669),Entry!$D669&gt;=0,Entry!$D669&lt;1),RIGHT("00"&amp;HOUR(Entry!$D669),2)&amp;":"&amp;RIGHT("00"&amp;MINUTE(Entry!$D669),2),IFERROR(RIGHT("00"&amp;VALUE(TRIM(LEFT(Entry!$D669,FIND(":",Entry!$D669)-1))),2)&amp;":"&amp;RIGHT("00"&amp;VALUE(TRIM(MID(Entry!$D669,FIND(":",Entry!$D669)+1,2))),2),"نامعتبر")),IF(OR($E669="",$E669="نامعتبر"),"","00:00"))</f>
        <v/>
      </c>
      <c r="G669">
        <f>IF(OR($E669="",$E669="نامعتبر"),"",IF(Entry!$E669="","",LEFT(UPPER(TRIM(Entry!$E669)),6)))</f>
        <v/>
      </c>
      <c r="H669">
        <f>IF($G669="","",RIGHT($E669,4)&amp;MID($E669,6,2)&amp;RIGHT($E669,2)&amp;IF($F669="","0000",IF($F669="نامعتبر","9999",LEFT($F669,2)&amp;RIGHT($F669,2)))&amp;"|"&amp;RIGHT("00000"&amp;661,5))</f>
        <v/>
      </c>
      <c r="I669">
        <f>IF($H669="","",COUNTIFS(CalcBank,$G669,CalcKey,"&lt;"&amp;$H669)+1)</f>
        <v/>
      </c>
      <c r="J669">
        <f>IF($I669="","",$G669&amp;"|"&amp;RIGHT("000000"&amp;$I669,6))</f>
        <v/>
      </c>
      <c r="K669">
        <f>IF(OR($E669="",$E669="نامعتبر"),"",LEFT($E669,4)&amp;"/"&amp;MID($E669,6,2))</f>
        <v/>
      </c>
      <c r="L669">
        <f>IF(Entry!$K669="",0,Entry!$K669)</f>
        <v/>
      </c>
      <c r="M669">
        <f>IF(Entry!$L669="",0,Entry!$L669)</f>
        <v/>
      </c>
    </row>
    <row r="670">
      <c r="A670">
        <f>IF(Entry!$C670="","",Entry!$C670)</f>
        <v/>
      </c>
      <c r="B670">
        <f>IF($A670="","",IF(ISNUMBER($A670),IF(AND($A670&gt;=10000101,$A670&lt;=99991231),INT($A670/10000),""),IFERROR(VALUE(TRIM(LEFT($A670,FIND("/",$A670)-1))),"")))</f>
        <v/>
      </c>
      <c r="C670">
        <f>IF(OR($A670="",$B670=""),"",IF(ISNUMBER($A670),INT(MOD($A670,10000)/100),IFERROR(VALUE(TRIM(LEFT(MID($A670,FIND("/",$A670)+1,20),FIND("/",MID($A670,FIND("/",$A670)+1,20))-1))),"")))</f>
        <v/>
      </c>
      <c r="D670">
        <f>IF(OR($A670="",$B670=""),"",IF(ISNUMBER($A670),MOD($A670,100),IFERROR(VALUE(TRIM(MID(MID($A670,FIND("/",$A670)+1,20),FIND("/",MID($A670,FIND("/",$A670)+1,20))+1,20))),"")))</f>
        <v/>
      </c>
      <c r="E670">
        <f>IF($A670="","",IF(OR($B670="",$C670="",$D670="",$B670&lt;1300,$B670&gt;1500,$C670&lt;1,$C670&gt;12,$D670&lt;1,$D670&gt;31),"نامعتبر",RIGHT("0000"&amp;$B670,4)&amp;"/"&amp;RIGHT("00"&amp;$C670,2)&amp;"/"&amp;RIGHT("00"&amp;$D670,2)))</f>
        <v/>
      </c>
      <c r="F670">
        <f>IF(Entry!$D670&lt;&gt;"",IF(AND(ISNUMBER(Entry!$D670),Entry!$D670&gt;=0,Entry!$D670&lt;1),RIGHT("00"&amp;HOUR(Entry!$D670),2)&amp;":"&amp;RIGHT("00"&amp;MINUTE(Entry!$D670),2),IFERROR(RIGHT("00"&amp;VALUE(TRIM(LEFT(Entry!$D670,FIND(":",Entry!$D670)-1))),2)&amp;":"&amp;RIGHT("00"&amp;VALUE(TRIM(MID(Entry!$D670,FIND(":",Entry!$D670)+1,2))),2),"نامعتبر")),IF(OR($E670="",$E670="نامعتبر"),"","00:00"))</f>
        <v/>
      </c>
      <c r="G670">
        <f>IF(OR($E670="",$E670="نامعتبر"),"",IF(Entry!$E670="","",LEFT(UPPER(TRIM(Entry!$E670)),6)))</f>
        <v/>
      </c>
      <c r="H670">
        <f>IF($G670="","",RIGHT($E670,4)&amp;MID($E670,6,2)&amp;RIGHT($E670,2)&amp;IF($F670="","0000",IF($F670="نامعتبر","9999",LEFT($F670,2)&amp;RIGHT($F670,2)))&amp;"|"&amp;RIGHT("00000"&amp;662,5))</f>
        <v/>
      </c>
      <c r="I670">
        <f>IF($H670="","",COUNTIFS(CalcBank,$G670,CalcKey,"&lt;"&amp;$H670)+1)</f>
        <v/>
      </c>
      <c r="J670">
        <f>IF($I670="","",$G670&amp;"|"&amp;RIGHT("000000"&amp;$I670,6))</f>
        <v/>
      </c>
      <c r="K670">
        <f>IF(OR($E670="",$E670="نامعتبر"),"",LEFT($E670,4)&amp;"/"&amp;MID($E670,6,2))</f>
        <v/>
      </c>
      <c r="L670">
        <f>IF(Entry!$K670="",0,Entry!$K670)</f>
        <v/>
      </c>
      <c r="M670">
        <f>IF(Entry!$L670="",0,Entry!$L670)</f>
        <v/>
      </c>
    </row>
    <row r="671">
      <c r="A671">
        <f>IF(Entry!$C671="","",Entry!$C671)</f>
        <v/>
      </c>
      <c r="B671">
        <f>IF($A671="","",IF(ISNUMBER($A671),IF(AND($A671&gt;=10000101,$A671&lt;=99991231),INT($A671/10000),""),IFERROR(VALUE(TRIM(LEFT($A671,FIND("/",$A671)-1))),"")))</f>
        <v/>
      </c>
      <c r="C671">
        <f>IF(OR($A671="",$B671=""),"",IF(ISNUMBER($A671),INT(MOD($A671,10000)/100),IFERROR(VALUE(TRIM(LEFT(MID($A671,FIND("/",$A671)+1,20),FIND("/",MID($A671,FIND("/",$A671)+1,20))-1))),"")))</f>
        <v/>
      </c>
      <c r="D671">
        <f>IF(OR($A671="",$B671=""),"",IF(ISNUMBER($A671),MOD($A671,100),IFERROR(VALUE(TRIM(MID(MID($A671,FIND("/",$A671)+1,20),FIND("/",MID($A671,FIND("/",$A671)+1,20))+1,20))),"")))</f>
        <v/>
      </c>
      <c r="E671">
        <f>IF($A671="","",IF(OR($B671="",$C671="",$D671="",$B671&lt;1300,$B671&gt;1500,$C671&lt;1,$C671&gt;12,$D671&lt;1,$D671&gt;31),"نامعتبر",RIGHT("0000"&amp;$B671,4)&amp;"/"&amp;RIGHT("00"&amp;$C671,2)&amp;"/"&amp;RIGHT("00"&amp;$D671,2)))</f>
        <v/>
      </c>
      <c r="F671">
        <f>IF(Entry!$D671&lt;&gt;"",IF(AND(ISNUMBER(Entry!$D671),Entry!$D671&gt;=0,Entry!$D671&lt;1),RIGHT("00"&amp;HOUR(Entry!$D671),2)&amp;":"&amp;RIGHT("00"&amp;MINUTE(Entry!$D671),2),IFERROR(RIGHT("00"&amp;VALUE(TRIM(LEFT(Entry!$D671,FIND(":",Entry!$D671)-1))),2)&amp;":"&amp;RIGHT("00"&amp;VALUE(TRIM(MID(Entry!$D671,FIND(":",Entry!$D671)+1,2))),2),"نامعتبر")),IF(OR($E671="",$E671="نامعتبر"),"","00:00"))</f>
        <v/>
      </c>
      <c r="G671">
        <f>IF(OR($E671="",$E671="نامعتبر"),"",IF(Entry!$E671="","",LEFT(UPPER(TRIM(Entry!$E671)),6)))</f>
        <v/>
      </c>
      <c r="H671">
        <f>IF($G671="","",RIGHT($E671,4)&amp;MID($E671,6,2)&amp;RIGHT($E671,2)&amp;IF($F671="","0000",IF($F671="نامعتبر","9999",LEFT($F671,2)&amp;RIGHT($F671,2)))&amp;"|"&amp;RIGHT("00000"&amp;663,5))</f>
        <v/>
      </c>
      <c r="I671">
        <f>IF($H671="","",COUNTIFS(CalcBank,$G671,CalcKey,"&lt;"&amp;$H671)+1)</f>
        <v/>
      </c>
      <c r="J671">
        <f>IF($I671="","",$G671&amp;"|"&amp;RIGHT("000000"&amp;$I671,6))</f>
        <v/>
      </c>
      <c r="K671">
        <f>IF(OR($E671="",$E671="نامعتبر"),"",LEFT($E671,4)&amp;"/"&amp;MID($E671,6,2))</f>
        <v/>
      </c>
      <c r="L671">
        <f>IF(Entry!$K671="",0,Entry!$K671)</f>
        <v/>
      </c>
      <c r="M671">
        <f>IF(Entry!$L671="",0,Entry!$L671)</f>
        <v/>
      </c>
    </row>
    <row r="672">
      <c r="A672">
        <f>IF(Entry!$C672="","",Entry!$C672)</f>
        <v/>
      </c>
      <c r="B672">
        <f>IF($A672="","",IF(ISNUMBER($A672),IF(AND($A672&gt;=10000101,$A672&lt;=99991231),INT($A672/10000),""),IFERROR(VALUE(TRIM(LEFT($A672,FIND("/",$A672)-1))),"")))</f>
        <v/>
      </c>
      <c r="C672">
        <f>IF(OR($A672="",$B672=""),"",IF(ISNUMBER($A672),INT(MOD($A672,10000)/100),IFERROR(VALUE(TRIM(LEFT(MID($A672,FIND("/",$A672)+1,20),FIND("/",MID($A672,FIND("/",$A672)+1,20))-1))),"")))</f>
        <v/>
      </c>
      <c r="D672">
        <f>IF(OR($A672="",$B672=""),"",IF(ISNUMBER($A672),MOD($A672,100),IFERROR(VALUE(TRIM(MID(MID($A672,FIND("/",$A672)+1,20),FIND("/",MID($A672,FIND("/",$A672)+1,20))+1,20))),"")))</f>
        <v/>
      </c>
      <c r="E672">
        <f>IF($A672="","",IF(OR($B672="",$C672="",$D672="",$B672&lt;1300,$B672&gt;1500,$C672&lt;1,$C672&gt;12,$D672&lt;1,$D672&gt;31),"نامعتبر",RIGHT("0000"&amp;$B672,4)&amp;"/"&amp;RIGHT("00"&amp;$C672,2)&amp;"/"&amp;RIGHT("00"&amp;$D672,2)))</f>
        <v/>
      </c>
      <c r="F672">
        <f>IF(Entry!$D672&lt;&gt;"",IF(AND(ISNUMBER(Entry!$D672),Entry!$D672&gt;=0,Entry!$D672&lt;1),RIGHT("00"&amp;HOUR(Entry!$D672),2)&amp;":"&amp;RIGHT("00"&amp;MINUTE(Entry!$D672),2),IFERROR(RIGHT("00"&amp;VALUE(TRIM(LEFT(Entry!$D672,FIND(":",Entry!$D672)-1))),2)&amp;":"&amp;RIGHT("00"&amp;VALUE(TRIM(MID(Entry!$D672,FIND(":",Entry!$D672)+1,2))),2),"نامعتبر")),IF(OR($E672="",$E672="نامعتبر"),"","00:00"))</f>
        <v/>
      </c>
      <c r="G672">
        <f>IF(OR($E672="",$E672="نامعتبر"),"",IF(Entry!$E672="","",LEFT(UPPER(TRIM(Entry!$E672)),6)))</f>
        <v/>
      </c>
      <c r="H672">
        <f>IF($G672="","",RIGHT($E672,4)&amp;MID($E672,6,2)&amp;RIGHT($E672,2)&amp;IF($F672="","0000",IF($F672="نامعتبر","9999",LEFT($F672,2)&amp;RIGHT($F672,2)))&amp;"|"&amp;RIGHT("00000"&amp;664,5))</f>
        <v/>
      </c>
      <c r="I672">
        <f>IF($H672="","",COUNTIFS(CalcBank,$G672,CalcKey,"&lt;"&amp;$H672)+1)</f>
        <v/>
      </c>
      <c r="J672">
        <f>IF($I672="","",$G672&amp;"|"&amp;RIGHT("000000"&amp;$I672,6))</f>
        <v/>
      </c>
      <c r="K672">
        <f>IF(OR($E672="",$E672="نامعتبر"),"",LEFT($E672,4)&amp;"/"&amp;MID($E672,6,2))</f>
        <v/>
      </c>
      <c r="L672">
        <f>IF(Entry!$K672="",0,Entry!$K672)</f>
        <v/>
      </c>
      <c r="M672">
        <f>IF(Entry!$L672="",0,Entry!$L672)</f>
        <v/>
      </c>
    </row>
    <row r="673">
      <c r="A673">
        <f>IF(Entry!$C673="","",Entry!$C673)</f>
        <v/>
      </c>
      <c r="B673">
        <f>IF($A673="","",IF(ISNUMBER($A673),IF(AND($A673&gt;=10000101,$A673&lt;=99991231),INT($A673/10000),""),IFERROR(VALUE(TRIM(LEFT($A673,FIND("/",$A673)-1))),"")))</f>
        <v/>
      </c>
      <c r="C673">
        <f>IF(OR($A673="",$B673=""),"",IF(ISNUMBER($A673),INT(MOD($A673,10000)/100),IFERROR(VALUE(TRIM(LEFT(MID($A673,FIND("/",$A673)+1,20),FIND("/",MID($A673,FIND("/",$A673)+1,20))-1))),"")))</f>
        <v/>
      </c>
      <c r="D673">
        <f>IF(OR($A673="",$B673=""),"",IF(ISNUMBER($A673),MOD($A673,100),IFERROR(VALUE(TRIM(MID(MID($A673,FIND("/",$A673)+1,20),FIND("/",MID($A673,FIND("/",$A673)+1,20))+1,20))),"")))</f>
        <v/>
      </c>
      <c r="E673">
        <f>IF($A673="","",IF(OR($B673="",$C673="",$D673="",$B673&lt;1300,$B673&gt;1500,$C673&lt;1,$C673&gt;12,$D673&lt;1,$D673&gt;31),"نامعتبر",RIGHT("0000"&amp;$B673,4)&amp;"/"&amp;RIGHT("00"&amp;$C673,2)&amp;"/"&amp;RIGHT("00"&amp;$D673,2)))</f>
        <v/>
      </c>
      <c r="F673">
        <f>IF(Entry!$D673&lt;&gt;"",IF(AND(ISNUMBER(Entry!$D673),Entry!$D673&gt;=0,Entry!$D673&lt;1),RIGHT("00"&amp;HOUR(Entry!$D673),2)&amp;":"&amp;RIGHT("00"&amp;MINUTE(Entry!$D673),2),IFERROR(RIGHT("00"&amp;VALUE(TRIM(LEFT(Entry!$D673,FIND(":",Entry!$D673)-1))),2)&amp;":"&amp;RIGHT("00"&amp;VALUE(TRIM(MID(Entry!$D673,FIND(":",Entry!$D673)+1,2))),2),"نامعتبر")),IF(OR($E673="",$E673="نامعتبر"),"","00:00"))</f>
        <v/>
      </c>
      <c r="G673">
        <f>IF(OR($E673="",$E673="نامعتبر"),"",IF(Entry!$E673="","",LEFT(UPPER(TRIM(Entry!$E673)),6)))</f>
        <v/>
      </c>
      <c r="H673">
        <f>IF($G673="","",RIGHT($E673,4)&amp;MID($E673,6,2)&amp;RIGHT($E673,2)&amp;IF($F673="","0000",IF($F673="نامعتبر","9999",LEFT($F673,2)&amp;RIGHT($F673,2)))&amp;"|"&amp;RIGHT("00000"&amp;665,5))</f>
        <v/>
      </c>
      <c r="I673">
        <f>IF($H673="","",COUNTIFS(CalcBank,$G673,CalcKey,"&lt;"&amp;$H673)+1)</f>
        <v/>
      </c>
      <c r="J673">
        <f>IF($I673="","",$G673&amp;"|"&amp;RIGHT("000000"&amp;$I673,6))</f>
        <v/>
      </c>
      <c r="K673">
        <f>IF(OR($E673="",$E673="نامعتبر"),"",LEFT($E673,4)&amp;"/"&amp;MID($E673,6,2))</f>
        <v/>
      </c>
      <c r="L673">
        <f>IF(Entry!$K673="",0,Entry!$K673)</f>
        <v/>
      </c>
      <c r="M673">
        <f>IF(Entry!$L673="",0,Entry!$L673)</f>
        <v/>
      </c>
    </row>
    <row r="674">
      <c r="A674">
        <f>IF(Entry!$C674="","",Entry!$C674)</f>
        <v/>
      </c>
      <c r="B674">
        <f>IF($A674="","",IF(ISNUMBER($A674),IF(AND($A674&gt;=10000101,$A674&lt;=99991231),INT($A674/10000),""),IFERROR(VALUE(TRIM(LEFT($A674,FIND("/",$A674)-1))),"")))</f>
        <v/>
      </c>
      <c r="C674">
        <f>IF(OR($A674="",$B674=""),"",IF(ISNUMBER($A674),INT(MOD($A674,10000)/100),IFERROR(VALUE(TRIM(LEFT(MID($A674,FIND("/",$A674)+1,20),FIND("/",MID($A674,FIND("/",$A674)+1,20))-1))),"")))</f>
        <v/>
      </c>
      <c r="D674">
        <f>IF(OR($A674="",$B674=""),"",IF(ISNUMBER($A674),MOD($A674,100),IFERROR(VALUE(TRIM(MID(MID($A674,FIND("/",$A674)+1,20),FIND("/",MID($A674,FIND("/",$A674)+1,20))+1,20))),"")))</f>
        <v/>
      </c>
      <c r="E674">
        <f>IF($A674="","",IF(OR($B674="",$C674="",$D674="",$B674&lt;1300,$B674&gt;1500,$C674&lt;1,$C674&gt;12,$D674&lt;1,$D674&gt;31),"نامعتبر",RIGHT("0000"&amp;$B674,4)&amp;"/"&amp;RIGHT("00"&amp;$C674,2)&amp;"/"&amp;RIGHT("00"&amp;$D674,2)))</f>
        <v/>
      </c>
      <c r="F674">
        <f>IF(Entry!$D674&lt;&gt;"",IF(AND(ISNUMBER(Entry!$D674),Entry!$D674&gt;=0,Entry!$D674&lt;1),RIGHT("00"&amp;HOUR(Entry!$D674),2)&amp;":"&amp;RIGHT("00"&amp;MINUTE(Entry!$D674),2),IFERROR(RIGHT("00"&amp;VALUE(TRIM(LEFT(Entry!$D674,FIND(":",Entry!$D674)-1))),2)&amp;":"&amp;RIGHT("00"&amp;VALUE(TRIM(MID(Entry!$D674,FIND(":",Entry!$D674)+1,2))),2),"نامعتبر")),IF(OR($E674="",$E674="نامعتبر"),"","00:00"))</f>
        <v/>
      </c>
      <c r="G674">
        <f>IF(OR($E674="",$E674="نامعتبر"),"",IF(Entry!$E674="","",LEFT(UPPER(TRIM(Entry!$E674)),6)))</f>
        <v/>
      </c>
      <c r="H674">
        <f>IF($G674="","",RIGHT($E674,4)&amp;MID($E674,6,2)&amp;RIGHT($E674,2)&amp;IF($F674="","0000",IF($F674="نامعتبر","9999",LEFT($F674,2)&amp;RIGHT($F674,2)))&amp;"|"&amp;RIGHT("00000"&amp;666,5))</f>
        <v/>
      </c>
      <c r="I674">
        <f>IF($H674="","",COUNTIFS(CalcBank,$G674,CalcKey,"&lt;"&amp;$H674)+1)</f>
        <v/>
      </c>
      <c r="J674">
        <f>IF($I674="","",$G674&amp;"|"&amp;RIGHT("000000"&amp;$I674,6))</f>
        <v/>
      </c>
      <c r="K674">
        <f>IF(OR($E674="",$E674="نامعتبر"),"",LEFT($E674,4)&amp;"/"&amp;MID($E674,6,2))</f>
        <v/>
      </c>
      <c r="L674">
        <f>IF(Entry!$K674="",0,Entry!$K674)</f>
        <v/>
      </c>
      <c r="M674">
        <f>IF(Entry!$L674="",0,Entry!$L674)</f>
        <v/>
      </c>
    </row>
    <row r="675">
      <c r="A675">
        <f>IF(Entry!$C675="","",Entry!$C675)</f>
        <v/>
      </c>
      <c r="B675">
        <f>IF($A675="","",IF(ISNUMBER($A675),IF(AND($A675&gt;=10000101,$A675&lt;=99991231),INT($A675/10000),""),IFERROR(VALUE(TRIM(LEFT($A675,FIND("/",$A675)-1))),"")))</f>
        <v/>
      </c>
      <c r="C675">
        <f>IF(OR($A675="",$B675=""),"",IF(ISNUMBER($A675),INT(MOD($A675,10000)/100),IFERROR(VALUE(TRIM(LEFT(MID($A675,FIND("/",$A675)+1,20),FIND("/",MID($A675,FIND("/",$A675)+1,20))-1))),"")))</f>
        <v/>
      </c>
      <c r="D675">
        <f>IF(OR($A675="",$B675=""),"",IF(ISNUMBER($A675),MOD($A675,100),IFERROR(VALUE(TRIM(MID(MID($A675,FIND("/",$A675)+1,20),FIND("/",MID($A675,FIND("/",$A675)+1,20))+1,20))),"")))</f>
        <v/>
      </c>
      <c r="E675">
        <f>IF($A675="","",IF(OR($B675="",$C675="",$D675="",$B675&lt;1300,$B675&gt;1500,$C675&lt;1,$C675&gt;12,$D675&lt;1,$D675&gt;31),"نامعتبر",RIGHT("0000"&amp;$B675,4)&amp;"/"&amp;RIGHT("00"&amp;$C675,2)&amp;"/"&amp;RIGHT("00"&amp;$D675,2)))</f>
        <v/>
      </c>
      <c r="F675">
        <f>IF(Entry!$D675&lt;&gt;"",IF(AND(ISNUMBER(Entry!$D675),Entry!$D675&gt;=0,Entry!$D675&lt;1),RIGHT("00"&amp;HOUR(Entry!$D675),2)&amp;":"&amp;RIGHT("00"&amp;MINUTE(Entry!$D675),2),IFERROR(RIGHT("00"&amp;VALUE(TRIM(LEFT(Entry!$D675,FIND(":",Entry!$D675)-1))),2)&amp;":"&amp;RIGHT("00"&amp;VALUE(TRIM(MID(Entry!$D675,FIND(":",Entry!$D675)+1,2))),2),"نامعتبر")),IF(OR($E675="",$E675="نامعتبر"),"","00:00"))</f>
        <v/>
      </c>
      <c r="G675">
        <f>IF(OR($E675="",$E675="نامعتبر"),"",IF(Entry!$E675="","",LEFT(UPPER(TRIM(Entry!$E675)),6)))</f>
        <v/>
      </c>
      <c r="H675">
        <f>IF($G675="","",RIGHT($E675,4)&amp;MID($E675,6,2)&amp;RIGHT($E675,2)&amp;IF($F675="","0000",IF($F675="نامعتبر","9999",LEFT($F675,2)&amp;RIGHT($F675,2)))&amp;"|"&amp;RIGHT("00000"&amp;667,5))</f>
        <v/>
      </c>
      <c r="I675">
        <f>IF($H675="","",COUNTIFS(CalcBank,$G675,CalcKey,"&lt;"&amp;$H675)+1)</f>
        <v/>
      </c>
      <c r="J675">
        <f>IF($I675="","",$G675&amp;"|"&amp;RIGHT("000000"&amp;$I675,6))</f>
        <v/>
      </c>
      <c r="K675">
        <f>IF(OR($E675="",$E675="نامعتبر"),"",LEFT($E675,4)&amp;"/"&amp;MID($E675,6,2))</f>
        <v/>
      </c>
      <c r="L675">
        <f>IF(Entry!$K675="",0,Entry!$K675)</f>
        <v/>
      </c>
      <c r="M675">
        <f>IF(Entry!$L675="",0,Entry!$L675)</f>
        <v/>
      </c>
    </row>
    <row r="676">
      <c r="A676">
        <f>IF(Entry!$C676="","",Entry!$C676)</f>
        <v/>
      </c>
      <c r="B676">
        <f>IF($A676="","",IF(ISNUMBER($A676),IF(AND($A676&gt;=10000101,$A676&lt;=99991231),INT($A676/10000),""),IFERROR(VALUE(TRIM(LEFT($A676,FIND("/",$A676)-1))),"")))</f>
        <v/>
      </c>
      <c r="C676">
        <f>IF(OR($A676="",$B676=""),"",IF(ISNUMBER($A676),INT(MOD($A676,10000)/100),IFERROR(VALUE(TRIM(LEFT(MID($A676,FIND("/",$A676)+1,20),FIND("/",MID($A676,FIND("/",$A676)+1,20))-1))),"")))</f>
        <v/>
      </c>
      <c r="D676">
        <f>IF(OR($A676="",$B676=""),"",IF(ISNUMBER($A676),MOD($A676,100),IFERROR(VALUE(TRIM(MID(MID($A676,FIND("/",$A676)+1,20),FIND("/",MID($A676,FIND("/",$A676)+1,20))+1,20))),"")))</f>
        <v/>
      </c>
      <c r="E676">
        <f>IF($A676="","",IF(OR($B676="",$C676="",$D676="",$B676&lt;1300,$B676&gt;1500,$C676&lt;1,$C676&gt;12,$D676&lt;1,$D676&gt;31),"نامعتبر",RIGHT("0000"&amp;$B676,4)&amp;"/"&amp;RIGHT("00"&amp;$C676,2)&amp;"/"&amp;RIGHT("00"&amp;$D676,2)))</f>
        <v/>
      </c>
      <c r="F676">
        <f>IF(Entry!$D676&lt;&gt;"",IF(AND(ISNUMBER(Entry!$D676),Entry!$D676&gt;=0,Entry!$D676&lt;1),RIGHT("00"&amp;HOUR(Entry!$D676),2)&amp;":"&amp;RIGHT("00"&amp;MINUTE(Entry!$D676),2),IFERROR(RIGHT("00"&amp;VALUE(TRIM(LEFT(Entry!$D676,FIND(":",Entry!$D676)-1))),2)&amp;":"&amp;RIGHT("00"&amp;VALUE(TRIM(MID(Entry!$D676,FIND(":",Entry!$D676)+1,2))),2),"نامعتبر")),IF(OR($E676="",$E676="نامعتبر"),"","00:00"))</f>
        <v/>
      </c>
      <c r="G676">
        <f>IF(OR($E676="",$E676="نامعتبر"),"",IF(Entry!$E676="","",LEFT(UPPER(TRIM(Entry!$E676)),6)))</f>
        <v/>
      </c>
      <c r="H676">
        <f>IF($G676="","",RIGHT($E676,4)&amp;MID($E676,6,2)&amp;RIGHT($E676,2)&amp;IF($F676="","0000",IF($F676="نامعتبر","9999",LEFT($F676,2)&amp;RIGHT($F676,2)))&amp;"|"&amp;RIGHT("00000"&amp;668,5))</f>
        <v/>
      </c>
      <c r="I676">
        <f>IF($H676="","",COUNTIFS(CalcBank,$G676,CalcKey,"&lt;"&amp;$H676)+1)</f>
        <v/>
      </c>
      <c r="J676">
        <f>IF($I676="","",$G676&amp;"|"&amp;RIGHT("000000"&amp;$I676,6))</f>
        <v/>
      </c>
      <c r="K676">
        <f>IF(OR($E676="",$E676="نامعتبر"),"",LEFT($E676,4)&amp;"/"&amp;MID($E676,6,2))</f>
        <v/>
      </c>
      <c r="L676">
        <f>IF(Entry!$K676="",0,Entry!$K676)</f>
        <v/>
      </c>
      <c r="M676">
        <f>IF(Entry!$L676="",0,Entry!$L676)</f>
        <v/>
      </c>
    </row>
    <row r="677">
      <c r="A677">
        <f>IF(Entry!$C677="","",Entry!$C677)</f>
        <v/>
      </c>
      <c r="B677">
        <f>IF($A677="","",IF(ISNUMBER($A677),IF(AND($A677&gt;=10000101,$A677&lt;=99991231),INT($A677/10000),""),IFERROR(VALUE(TRIM(LEFT($A677,FIND("/",$A677)-1))),"")))</f>
        <v/>
      </c>
      <c r="C677">
        <f>IF(OR($A677="",$B677=""),"",IF(ISNUMBER($A677),INT(MOD($A677,10000)/100),IFERROR(VALUE(TRIM(LEFT(MID($A677,FIND("/",$A677)+1,20),FIND("/",MID($A677,FIND("/",$A677)+1,20))-1))),"")))</f>
        <v/>
      </c>
      <c r="D677">
        <f>IF(OR($A677="",$B677=""),"",IF(ISNUMBER($A677),MOD($A677,100),IFERROR(VALUE(TRIM(MID(MID($A677,FIND("/",$A677)+1,20),FIND("/",MID($A677,FIND("/",$A677)+1,20))+1,20))),"")))</f>
        <v/>
      </c>
      <c r="E677">
        <f>IF($A677="","",IF(OR($B677="",$C677="",$D677="",$B677&lt;1300,$B677&gt;1500,$C677&lt;1,$C677&gt;12,$D677&lt;1,$D677&gt;31),"نامعتبر",RIGHT("0000"&amp;$B677,4)&amp;"/"&amp;RIGHT("00"&amp;$C677,2)&amp;"/"&amp;RIGHT("00"&amp;$D677,2)))</f>
        <v/>
      </c>
      <c r="F677">
        <f>IF(Entry!$D677&lt;&gt;"",IF(AND(ISNUMBER(Entry!$D677),Entry!$D677&gt;=0,Entry!$D677&lt;1),RIGHT("00"&amp;HOUR(Entry!$D677),2)&amp;":"&amp;RIGHT("00"&amp;MINUTE(Entry!$D677),2),IFERROR(RIGHT("00"&amp;VALUE(TRIM(LEFT(Entry!$D677,FIND(":",Entry!$D677)-1))),2)&amp;":"&amp;RIGHT("00"&amp;VALUE(TRIM(MID(Entry!$D677,FIND(":",Entry!$D677)+1,2))),2),"نامعتبر")),IF(OR($E677="",$E677="نامعتبر"),"","00:00"))</f>
        <v/>
      </c>
      <c r="G677">
        <f>IF(OR($E677="",$E677="نامعتبر"),"",IF(Entry!$E677="","",LEFT(UPPER(TRIM(Entry!$E677)),6)))</f>
        <v/>
      </c>
      <c r="H677">
        <f>IF($G677="","",RIGHT($E677,4)&amp;MID($E677,6,2)&amp;RIGHT($E677,2)&amp;IF($F677="","0000",IF($F677="نامعتبر","9999",LEFT($F677,2)&amp;RIGHT($F677,2)))&amp;"|"&amp;RIGHT("00000"&amp;669,5))</f>
        <v/>
      </c>
      <c r="I677">
        <f>IF($H677="","",COUNTIFS(CalcBank,$G677,CalcKey,"&lt;"&amp;$H677)+1)</f>
        <v/>
      </c>
      <c r="J677">
        <f>IF($I677="","",$G677&amp;"|"&amp;RIGHT("000000"&amp;$I677,6))</f>
        <v/>
      </c>
      <c r="K677">
        <f>IF(OR($E677="",$E677="نامعتبر"),"",LEFT($E677,4)&amp;"/"&amp;MID($E677,6,2))</f>
        <v/>
      </c>
      <c r="L677">
        <f>IF(Entry!$K677="",0,Entry!$K677)</f>
        <v/>
      </c>
      <c r="M677">
        <f>IF(Entry!$L677="",0,Entry!$L677)</f>
        <v/>
      </c>
    </row>
    <row r="678">
      <c r="A678">
        <f>IF(Entry!$C678="","",Entry!$C678)</f>
        <v/>
      </c>
      <c r="B678">
        <f>IF($A678="","",IF(ISNUMBER($A678),IF(AND($A678&gt;=10000101,$A678&lt;=99991231),INT($A678/10000),""),IFERROR(VALUE(TRIM(LEFT($A678,FIND("/",$A678)-1))),"")))</f>
        <v/>
      </c>
      <c r="C678">
        <f>IF(OR($A678="",$B678=""),"",IF(ISNUMBER($A678),INT(MOD($A678,10000)/100),IFERROR(VALUE(TRIM(LEFT(MID($A678,FIND("/",$A678)+1,20),FIND("/",MID($A678,FIND("/",$A678)+1,20))-1))),"")))</f>
        <v/>
      </c>
      <c r="D678">
        <f>IF(OR($A678="",$B678=""),"",IF(ISNUMBER($A678),MOD($A678,100),IFERROR(VALUE(TRIM(MID(MID($A678,FIND("/",$A678)+1,20),FIND("/",MID($A678,FIND("/",$A678)+1,20))+1,20))),"")))</f>
        <v/>
      </c>
      <c r="E678">
        <f>IF($A678="","",IF(OR($B678="",$C678="",$D678="",$B678&lt;1300,$B678&gt;1500,$C678&lt;1,$C678&gt;12,$D678&lt;1,$D678&gt;31),"نامعتبر",RIGHT("0000"&amp;$B678,4)&amp;"/"&amp;RIGHT("00"&amp;$C678,2)&amp;"/"&amp;RIGHT("00"&amp;$D678,2)))</f>
        <v/>
      </c>
      <c r="F678">
        <f>IF(Entry!$D678&lt;&gt;"",IF(AND(ISNUMBER(Entry!$D678),Entry!$D678&gt;=0,Entry!$D678&lt;1),RIGHT("00"&amp;HOUR(Entry!$D678),2)&amp;":"&amp;RIGHT("00"&amp;MINUTE(Entry!$D678),2),IFERROR(RIGHT("00"&amp;VALUE(TRIM(LEFT(Entry!$D678,FIND(":",Entry!$D678)-1))),2)&amp;":"&amp;RIGHT("00"&amp;VALUE(TRIM(MID(Entry!$D678,FIND(":",Entry!$D678)+1,2))),2),"نامعتبر")),IF(OR($E678="",$E678="نامعتبر"),"","00:00"))</f>
        <v/>
      </c>
      <c r="G678">
        <f>IF(OR($E678="",$E678="نامعتبر"),"",IF(Entry!$E678="","",LEFT(UPPER(TRIM(Entry!$E678)),6)))</f>
        <v/>
      </c>
      <c r="H678">
        <f>IF($G678="","",RIGHT($E678,4)&amp;MID($E678,6,2)&amp;RIGHT($E678,2)&amp;IF($F678="","0000",IF($F678="نامعتبر","9999",LEFT($F678,2)&amp;RIGHT($F678,2)))&amp;"|"&amp;RIGHT("00000"&amp;670,5))</f>
        <v/>
      </c>
      <c r="I678">
        <f>IF($H678="","",COUNTIFS(CalcBank,$G678,CalcKey,"&lt;"&amp;$H678)+1)</f>
        <v/>
      </c>
      <c r="J678">
        <f>IF($I678="","",$G678&amp;"|"&amp;RIGHT("000000"&amp;$I678,6))</f>
        <v/>
      </c>
      <c r="K678">
        <f>IF(OR($E678="",$E678="نامعتبر"),"",LEFT($E678,4)&amp;"/"&amp;MID($E678,6,2))</f>
        <v/>
      </c>
      <c r="L678">
        <f>IF(Entry!$K678="",0,Entry!$K678)</f>
        <v/>
      </c>
      <c r="M678">
        <f>IF(Entry!$L678="",0,Entry!$L678)</f>
        <v/>
      </c>
    </row>
    <row r="679">
      <c r="A679">
        <f>IF(Entry!$C679="","",Entry!$C679)</f>
        <v/>
      </c>
      <c r="B679">
        <f>IF($A679="","",IF(ISNUMBER($A679),IF(AND($A679&gt;=10000101,$A679&lt;=99991231),INT($A679/10000),""),IFERROR(VALUE(TRIM(LEFT($A679,FIND("/",$A679)-1))),"")))</f>
        <v/>
      </c>
      <c r="C679">
        <f>IF(OR($A679="",$B679=""),"",IF(ISNUMBER($A679),INT(MOD($A679,10000)/100),IFERROR(VALUE(TRIM(LEFT(MID($A679,FIND("/",$A679)+1,20),FIND("/",MID($A679,FIND("/",$A679)+1,20))-1))),"")))</f>
        <v/>
      </c>
      <c r="D679">
        <f>IF(OR($A679="",$B679=""),"",IF(ISNUMBER($A679),MOD($A679,100),IFERROR(VALUE(TRIM(MID(MID($A679,FIND("/",$A679)+1,20),FIND("/",MID($A679,FIND("/",$A679)+1,20))+1,20))),"")))</f>
        <v/>
      </c>
      <c r="E679">
        <f>IF($A679="","",IF(OR($B679="",$C679="",$D679="",$B679&lt;1300,$B679&gt;1500,$C679&lt;1,$C679&gt;12,$D679&lt;1,$D679&gt;31),"نامعتبر",RIGHT("0000"&amp;$B679,4)&amp;"/"&amp;RIGHT("00"&amp;$C679,2)&amp;"/"&amp;RIGHT("00"&amp;$D679,2)))</f>
        <v/>
      </c>
      <c r="F679">
        <f>IF(Entry!$D679&lt;&gt;"",IF(AND(ISNUMBER(Entry!$D679),Entry!$D679&gt;=0,Entry!$D679&lt;1),RIGHT("00"&amp;HOUR(Entry!$D679),2)&amp;":"&amp;RIGHT("00"&amp;MINUTE(Entry!$D679),2),IFERROR(RIGHT("00"&amp;VALUE(TRIM(LEFT(Entry!$D679,FIND(":",Entry!$D679)-1))),2)&amp;":"&amp;RIGHT("00"&amp;VALUE(TRIM(MID(Entry!$D679,FIND(":",Entry!$D679)+1,2))),2),"نامعتبر")),IF(OR($E679="",$E679="نامعتبر"),"","00:00"))</f>
        <v/>
      </c>
      <c r="G679">
        <f>IF(OR($E679="",$E679="نامعتبر"),"",IF(Entry!$E679="","",LEFT(UPPER(TRIM(Entry!$E679)),6)))</f>
        <v/>
      </c>
      <c r="H679">
        <f>IF($G679="","",RIGHT($E679,4)&amp;MID($E679,6,2)&amp;RIGHT($E679,2)&amp;IF($F679="","0000",IF($F679="نامعتبر","9999",LEFT($F679,2)&amp;RIGHT($F679,2)))&amp;"|"&amp;RIGHT("00000"&amp;671,5))</f>
        <v/>
      </c>
      <c r="I679">
        <f>IF($H679="","",COUNTIFS(CalcBank,$G679,CalcKey,"&lt;"&amp;$H679)+1)</f>
        <v/>
      </c>
      <c r="J679">
        <f>IF($I679="","",$G679&amp;"|"&amp;RIGHT("000000"&amp;$I679,6))</f>
        <v/>
      </c>
      <c r="K679">
        <f>IF(OR($E679="",$E679="نامعتبر"),"",LEFT($E679,4)&amp;"/"&amp;MID($E679,6,2))</f>
        <v/>
      </c>
      <c r="L679">
        <f>IF(Entry!$K679="",0,Entry!$K679)</f>
        <v/>
      </c>
      <c r="M679">
        <f>IF(Entry!$L679="",0,Entry!$L679)</f>
        <v/>
      </c>
    </row>
    <row r="680">
      <c r="A680">
        <f>IF(Entry!$C680="","",Entry!$C680)</f>
        <v/>
      </c>
      <c r="B680">
        <f>IF($A680="","",IF(ISNUMBER($A680),IF(AND($A680&gt;=10000101,$A680&lt;=99991231),INT($A680/10000),""),IFERROR(VALUE(TRIM(LEFT($A680,FIND("/",$A680)-1))),"")))</f>
        <v/>
      </c>
      <c r="C680">
        <f>IF(OR($A680="",$B680=""),"",IF(ISNUMBER($A680),INT(MOD($A680,10000)/100),IFERROR(VALUE(TRIM(LEFT(MID($A680,FIND("/",$A680)+1,20),FIND("/",MID($A680,FIND("/",$A680)+1,20))-1))),"")))</f>
        <v/>
      </c>
      <c r="D680">
        <f>IF(OR($A680="",$B680=""),"",IF(ISNUMBER($A680),MOD($A680,100),IFERROR(VALUE(TRIM(MID(MID($A680,FIND("/",$A680)+1,20),FIND("/",MID($A680,FIND("/",$A680)+1,20))+1,20))),"")))</f>
        <v/>
      </c>
      <c r="E680">
        <f>IF($A680="","",IF(OR($B680="",$C680="",$D680="",$B680&lt;1300,$B680&gt;1500,$C680&lt;1,$C680&gt;12,$D680&lt;1,$D680&gt;31),"نامعتبر",RIGHT("0000"&amp;$B680,4)&amp;"/"&amp;RIGHT("00"&amp;$C680,2)&amp;"/"&amp;RIGHT("00"&amp;$D680,2)))</f>
        <v/>
      </c>
      <c r="F680">
        <f>IF(Entry!$D680&lt;&gt;"",IF(AND(ISNUMBER(Entry!$D680),Entry!$D680&gt;=0,Entry!$D680&lt;1),RIGHT("00"&amp;HOUR(Entry!$D680),2)&amp;":"&amp;RIGHT("00"&amp;MINUTE(Entry!$D680),2),IFERROR(RIGHT("00"&amp;VALUE(TRIM(LEFT(Entry!$D680,FIND(":",Entry!$D680)-1))),2)&amp;":"&amp;RIGHT("00"&amp;VALUE(TRIM(MID(Entry!$D680,FIND(":",Entry!$D680)+1,2))),2),"نامعتبر")),IF(OR($E680="",$E680="نامعتبر"),"","00:00"))</f>
        <v/>
      </c>
      <c r="G680">
        <f>IF(OR($E680="",$E680="نامعتبر"),"",IF(Entry!$E680="","",LEFT(UPPER(TRIM(Entry!$E680)),6)))</f>
        <v/>
      </c>
      <c r="H680">
        <f>IF($G680="","",RIGHT($E680,4)&amp;MID($E680,6,2)&amp;RIGHT($E680,2)&amp;IF($F680="","0000",IF($F680="نامعتبر","9999",LEFT($F680,2)&amp;RIGHT($F680,2)))&amp;"|"&amp;RIGHT("00000"&amp;672,5))</f>
        <v/>
      </c>
      <c r="I680">
        <f>IF($H680="","",COUNTIFS(CalcBank,$G680,CalcKey,"&lt;"&amp;$H680)+1)</f>
        <v/>
      </c>
      <c r="J680">
        <f>IF($I680="","",$G680&amp;"|"&amp;RIGHT("000000"&amp;$I680,6))</f>
        <v/>
      </c>
      <c r="K680">
        <f>IF(OR($E680="",$E680="نامعتبر"),"",LEFT($E680,4)&amp;"/"&amp;MID($E680,6,2))</f>
        <v/>
      </c>
      <c r="L680">
        <f>IF(Entry!$K680="",0,Entry!$K680)</f>
        <v/>
      </c>
      <c r="M680">
        <f>IF(Entry!$L680="",0,Entry!$L680)</f>
        <v/>
      </c>
    </row>
    <row r="681">
      <c r="A681">
        <f>IF(Entry!$C681="","",Entry!$C681)</f>
        <v/>
      </c>
      <c r="B681">
        <f>IF($A681="","",IF(ISNUMBER($A681),IF(AND($A681&gt;=10000101,$A681&lt;=99991231),INT($A681/10000),""),IFERROR(VALUE(TRIM(LEFT($A681,FIND("/",$A681)-1))),"")))</f>
        <v/>
      </c>
      <c r="C681">
        <f>IF(OR($A681="",$B681=""),"",IF(ISNUMBER($A681),INT(MOD($A681,10000)/100),IFERROR(VALUE(TRIM(LEFT(MID($A681,FIND("/",$A681)+1,20),FIND("/",MID($A681,FIND("/",$A681)+1,20))-1))),"")))</f>
        <v/>
      </c>
      <c r="D681">
        <f>IF(OR($A681="",$B681=""),"",IF(ISNUMBER($A681),MOD($A681,100),IFERROR(VALUE(TRIM(MID(MID($A681,FIND("/",$A681)+1,20),FIND("/",MID($A681,FIND("/",$A681)+1,20))+1,20))),"")))</f>
        <v/>
      </c>
      <c r="E681">
        <f>IF($A681="","",IF(OR($B681="",$C681="",$D681="",$B681&lt;1300,$B681&gt;1500,$C681&lt;1,$C681&gt;12,$D681&lt;1,$D681&gt;31),"نامعتبر",RIGHT("0000"&amp;$B681,4)&amp;"/"&amp;RIGHT("00"&amp;$C681,2)&amp;"/"&amp;RIGHT("00"&amp;$D681,2)))</f>
        <v/>
      </c>
      <c r="F681">
        <f>IF(Entry!$D681&lt;&gt;"",IF(AND(ISNUMBER(Entry!$D681),Entry!$D681&gt;=0,Entry!$D681&lt;1),RIGHT("00"&amp;HOUR(Entry!$D681),2)&amp;":"&amp;RIGHT("00"&amp;MINUTE(Entry!$D681),2),IFERROR(RIGHT("00"&amp;VALUE(TRIM(LEFT(Entry!$D681,FIND(":",Entry!$D681)-1))),2)&amp;":"&amp;RIGHT("00"&amp;VALUE(TRIM(MID(Entry!$D681,FIND(":",Entry!$D681)+1,2))),2),"نامعتبر")),IF(OR($E681="",$E681="نامعتبر"),"","00:00"))</f>
        <v/>
      </c>
      <c r="G681">
        <f>IF(OR($E681="",$E681="نامعتبر"),"",IF(Entry!$E681="","",LEFT(UPPER(TRIM(Entry!$E681)),6)))</f>
        <v/>
      </c>
      <c r="H681">
        <f>IF($G681="","",RIGHT($E681,4)&amp;MID($E681,6,2)&amp;RIGHT($E681,2)&amp;IF($F681="","0000",IF($F681="نامعتبر","9999",LEFT($F681,2)&amp;RIGHT($F681,2)))&amp;"|"&amp;RIGHT("00000"&amp;673,5))</f>
        <v/>
      </c>
      <c r="I681">
        <f>IF($H681="","",COUNTIFS(CalcBank,$G681,CalcKey,"&lt;"&amp;$H681)+1)</f>
        <v/>
      </c>
      <c r="J681">
        <f>IF($I681="","",$G681&amp;"|"&amp;RIGHT("000000"&amp;$I681,6))</f>
        <v/>
      </c>
      <c r="K681">
        <f>IF(OR($E681="",$E681="نامعتبر"),"",LEFT($E681,4)&amp;"/"&amp;MID($E681,6,2))</f>
        <v/>
      </c>
      <c r="L681">
        <f>IF(Entry!$K681="",0,Entry!$K681)</f>
        <v/>
      </c>
      <c r="M681">
        <f>IF(Entry!$L681="",0,Entry!$L681)</f>
        <v/>
      </c>
    </row>
    <row r="682">
      <c r="A682">
        <f>IF(Entry!$C682="","",Entry!$C682)</f>
        <v/>
      </c>
      <c r="B682">
        <f>IF($A682="","",IF(ISNUMBER($A682),IF(AND($A682&gt;=10000101,$A682&lt;=99991231),INT($A682/10000),""),IFERROR(VALUE(TRIM(LEFT($A682,FIND("/",$A682)-1))),"")))</f>
        <v/>
      </c>
      <c r="C682">
        <f>IF(OR($A682="",$B682=""),"",IF(ISNUMBER($A682),INT(MOD($A682,10000)/100),IFERROR(VALUE(TRIM(LEFT(MID($A682,FIND("/",$A682)+1,20),FIND("/",MID($A682,FIND("/",$A682)+1,20))-1))),"")))</f>
        <v/>
      </c>
      <c r="D682">
        <f>IF(OR($A682="",$B682=""),"",IF(ISNUMBER($A682),MOD($A682,100),IFERROR(VALUE(TRIM(MID(MID($A682,FIND("/",$A682)+1,20),FIND("/",MID($A682,FIND("/",$A682)+1,20))+1,20))),"")))</f>
        <v/>
      </c>
      <c r="E682">
        <f>IF($A682="","",IF(OR($B682="",$C682="",$D682="",$B682&lt;1300,$B682&gt;1500,$C682&lt;1,$C682&gt;12,$D682&lt;1,$D682&gt;31),"نامعتبر",RIGHT("0000"&amp;$B682,4)&amp;"/"&amp;RIGHT("00"&amp;$C682,2)&amp;"/"&amp;RIGHT("00"&amp;$D682,2)))</f>
        <v/>
      </c>
      <c r="F682">
        <f>IF(Entry!$D682&lt;&gt;"",IF(AND(ISNUMBER(Entry!$D682),Entry!$D682&gt;=0,Entry!$D682&lt;1),RIGHT("00"&amp;HOUR(Entry!$D682),2)&amp;":"&amp;RIGHT("00"&amp;MINUTE(Entry!$D682),2),IFERROR(RIGHT("00"&amp;VALUE(TRIM(LEFT(Entry!$D682,FIND(":",Entry!$D682)-1))),2)&amp;":"&amp;RIGHT("00"&amp;VALUE(TRIM(MID(Entry!$D682,FIND(":",Entry!$D682)+1,2))),2),"نامعتبر")),IF(OR($E682="",$E682="نامعتبر"),"","00:00"))</f>
        <v/>
      </c>
      <c r="G682">
        <f>IF(OR($E682="",$E682="نامعتبر"),"",IF(Entry!$E682="","",LEFT(UPPER(TRIM(Entry!$E682)),6)))</f>
        <v/>
      </c>
      <c r="H682">
        <f>IF($G682="","",RIGHT($E682,4)&amp;MID($E682,6,2)&amp;RIGHT($E682,2)&amp;IF($F682="","0000",IF($F682="نامعتبر","9999",LEFT($F682,2)&amp;RIGHT($F682,2)))&amp;"|"&amp;RIGHT("00000"&amp;674,5))</f>
        <v/>
      </c>
      <c r="I682">
        <f>IF($H682="","",COUNTIFS(CalcBank,$G682,CalcKey,"&lt;"&amp;$H682)+1)</f>
        <v/>
      </c>
      <c r="J682">
        <f>IF($I682="","",$G682&amp;"|"&amp;RIGHT("000000"&amp;$I682,6))</f>
        <v/>
      </c>
      <c r="K682">
        <f>IF(OR($E682="",$E682="نامعتبر"),"",LEFT($E682,4)&amp;"/"&amp;MID($E682,6,2))</f>
        <v/>
      </c>
      <c r="L682">
        <f>IF(Entry!$K682="",0,Entry!$K682)</f>
        <v/>
      </c>
      <c r="M682">
        <f>IF(Entry!$L682="",0,Entry!$L682)</f>
        <v/>
      </c>
    </row>
    <row r="683">
      <c r="A683">
        <f>IF(Entry!$C683="","",Entry!$C683)</f>
        <v/>
      </c>
      <c r="B683">
        <f>IF($A683="","",IF(ISNUMBER($A683),IF(AND($A683&gt;=10000101,$A683&lt;=99991231),INT($A683/10000),""),IFERROR(VALUE(TRIM(LEFT($A683,FIND("/",$A683)-1))),"")))</f>
        <v/>
      </c>
      <c r="C683">
        <f>IF(OR($A683="",$B683=""),"",IF(ISNUMBER($A683),INT(MOD($A683,10000)/100),IFERROR(VALUE(TRIM(LEFT(MID($A683,FIND("/",$A683)+1,20),FIND("/",MID($A683,FIND("/",$A683)+1,20))-1))),"")))</f>
        <v/>
      </c>
      <c r="D683">
        <f>IF(OR($A683="",$B683=""),"",IF(ISNUMBER($A683),MOD($A683,100),IFERROR(VALUE(TRIM(MID(MID($A683,FIND("/",$A683)+1,20),FIND("/",MID($A683,FIND("/",$A683)+1,20))+1,20))),"")))</f>
        <v/>
      </c>
      <c r="E683">
        <f>IF($A683="","",IF(OR($B683="",$C683="",$D683="",$B683&lt;1300,$B683&gt;1500,$C683&lt;1,$C683&gt;12,$D683&lt;1,$D683&gt;31),"نامعتبر",RIGHT("0000"&amp;$B683,4)&amp;"/"&amp;RIGHT("00"&amp;$C683,2)&amp;"/"&amp;RIGHT("00"&amp;$D683,2)))</f>
        <v/>
      </c>
      <c r="F683">
        <f>IF(Entry!$D683&lt;&gt;"",IF(AND(ISNUMBER(Entry!$D683),Entry!$D683&gt;=0,Entry!$D683&lt;1),RIGHT("00"&amp;HOUR(Entry!$D683),2)&amp;":"&amp;RIGHT("00"&amp;MINUTE(Entry!$D683),2),IFERROR(RIGHT("00"&amp;VALUE(TRIM(LEFT(Entry!$D683,FIND(":",Entry!$D683)-1))),2)&amp;":"&amp;RIGHT("00"&amp;VALUE(TRIM(MID(Entry!$D683,FIND(":",Entry!$D683)+1,2))),2),"نامعتبر")),IF(OR($E683="",$E683="نامعتبر"),"","00:00"))</f>
        <v/>
      </c>
      <c r="G683">
        <f>IF(OR($E683="",$E683="نامعتبر"),"",IF(Entry!$E683="","",LEFT(UPPER(TRIM(Entry!$E683)),6)))</f>
        <v/>
      </c>
      <c r="H683">
        <f>IF($G683="","",RIGHT($E683,4)&amp;MID($E683,6,2)&amp;RIGHT($E683,2)&amp;IF($F683="","0000",IF($F683="نامعتبر","9999",LEFT($F683,2)&amp;RIGHT($F683,2)))&amp;"|"&amp;RIGHT("00000"&amp;675,5))</f>
        <v/>
      </c>
      <c r="I683">
        <f>IF($H683="","",COUNTIFS(CalcBank,$G683,CalcKey,"&lt;"&amp;$H683)+1)</f>
        <v/>
      </c>
      <c r="J683">
        <f>IF($I683="","",$G683&amp;"|"&amp;RIGHT("000000"&amp;$I683,6))</f>
        <v/>
      </c>
      <c r="K683">
        <f>IF(OR($E683="",$E683="نامعتبر"),"",LEFT($E683,4)&amp;"/"&amp;MID($E683,6,2))</f>
        <v/>
      </c>
      <c r="L683">
        <f>IF(Entry!$K683="",0,Entry!$K683)</f>
        <v/>
      </c>
      <c r="M683">
        <f>IF(Entry!$L683="",0,Entry!$L683)</f>
        <v/>
      </c>
    </row>
    <row r="684">
      <c r="A684">
        <f>IF(Entry!$C684="","",Entry!$C684)</f>
        <v/>
      </c>
      <c r="B684">
        <f>IF($A684="","",IF(ISNUMBER($A684),IF(AND($A684&gt;=10000101,$A684&lt;=99991231),INT($A684/10000),""),IFERROR(VALUE(TRIM(LEFT($A684,FIND("/",$A684)-1))),"")))</f>
        <v/>
      </c>
      <c r="C684">
        <f>IF(OR($A684="",$B684=""),"",IF(ISNUMBER($A684),INT(MOD($A684,10000)/100),IFERROR(VALUE(TRIM(LEFT(MID($A684,FIND("/",$A684)+1,20),FIND("/",MID($A684,FIND("/",$A684)+1,20))-1))),"")))</f>
        <v/>
      </c>
      <c r="D684">
        <f>IF(OR($A684="",$B684=""),"",IF(ISNUMBER($A684),MOD($A684,100),IFERROR(VALUE(TRIM(MID(MID($A684,FIND("/",$A684)+1,20),FIND("/",MID($A684,FIND("/",$A684)+1,20))+1,20))),"")))</f>
        <v/>
      </c>
      <c r="E684">
        <f>IF($A684="","",IF(OR($B684="",$C684="",$D684="",$B684&lt;1300,$B684&gt;1500,$C684&lt;1,$C684&gt;12,$D684&lt;1,$D684&gt;31),"نامعتبر",RIGHT("0000"&amp;$B684,4)&amp;"/"&amp;RIGHT("00"&amp;$C684,2)&amp;"/"&amp;RIGHT("00"&amp;$D684,2)))</f>
        <v/>
      </c>
      <c r="F684">
        <f>IF(Entry!$D684&lt;&gt;"",IF(AND(ISNUMBER(Entry!$D684),Entry!$D684&gt;=0,Entry!$D684&lt;1),RIGHT("00"&amp;HOUR(Entry!$D684),2)&amp;":"&amp;RIGHT("00"&amp;MINUTE(Entry!$D684),2),IFERROR(RIGHT("00"&amp;VALUE(TRIM(LEFT(Entry!$D684,FIND(":",Entry!$D684)-1))),2)&amp;":"&amp;RIGHT("00"&amp;VALUE(TRIM(MID(Entry!$D684,FIND(":",Entry!$D684)+1,2))),2),"نامعتبر")),IF(OR($E684="",$E684="نامعتبر"),"","00:00"))</f>
        <v/>
      </c>
      <c r="G684">
        <f>IF(OR($E684="",$E684="نامعتبر"),"",IF(Entry!$E684="","",LEFT(UPPER(TRIM(Entry!$E684)),6)))</f>
        <v/>
      </c>
      <c r="H684">
        <f>IF($G684="","",RIGHT($E684,4)&amp;MID($E684,6,2)&amp;RIGHT($E684,2)&amp;IF($F684="","0000",IF($F684="نامعتبر","9999",LEFT($F684,2)&amp;RIGHT($F684,2)))&amp;"|"&amp;RIGHT("00000"&amp;676,5))</f>
        <v/>
      </c>
      <c r="I684">
        <f>IF($H684="","",COUNTIFS(CalcBank,$G684,CalcKey,"&lt;"&amp;$H684)+1)</f>
        <v/>
      </c>
      <c r="J684">
        <f>IF($I684="","",$G684&amp;"|"&amp;RIGHT("000000"&amp;$I684,6))</f>
        <v/>
      </c>
      <c r="K684">
        <f>IF(OR($E684="",$E684="نامعتبر"),"",LEFT($E684,4)&amp;"/"&amp;MID($E684,6,2))</f>
        <v/>
      </c>
      <c r="L684">
        <f>IF(Entry!$K684="",0,Entry!$K684)</f>
        <v/>
      </c>
      <c r="M684">
        <f>IF(Entry!$L684="",0,Entry!$L684)</f>
        <v/>
      </c>
    </row>
    <row r="685">
      <c r="A685">
        <f>IF(Entry!$C685="","",Entry!$C685)</f>
        <v/>
      </c>
      <c r="B685">
        <f>IF($A685="","",IF(ISNUMBER($A685),IF(AND($A685&gt;=10000101,$A685&lt;=99991231),INT($A685/10000),""),IFERROR(VALUE(TRIM(LEFT($A685,FIND("/",$A685)-1))),"")))</f>
        <v/>
      </c>
      <c r="C685">
        <f>IF(OR($A685="",$B685=""),"",IF(ISNUMBER($A685),INT(MOD($A685,10000)/100),IFERROR(VALUE(TRIM(LEFT(MID($A685,FIND("/",$A685)+1,20),FIND("/",MID($A685,FIND("/",$A685)+1,20))-1))),"")))</f>
        <v/>
      </c>
      <c r="D685">
        <f>IF(OR($A685="",$B685=""),"",IF(ISNUMBER($A685),MOD($A685,100),IFERROR(VALUE(TRIM(MID(MID($A685,FIND("/",$A685)+1,20),FIND("/",MID($A685,FIND("/",$A685)+1,20))+1,20))),"")))</f>
        <v/>
      </c>
      <c r="E685">
        <f>IF($A685="","",IF(OR($B685="",$C685="",$D685="",$B685&lt;1300,$B685&gt;1500,$C685&lt;1,$C685&gt;12,$D685&lt;1,$D685&gt;31),"نامعتبر",RIGHT("0000"&amp;$B685,4)&amp;"/"&amp;RIGHT("00"&amp;$C685,2)&amp;"/"&amp;RIGHT("00"&amp;$D685,2)))</f>
        <v/>
      </c>
      <c r="F685">
        <f>IF(Entry!$D685&lt;&gt;"",IF(AND(ISNUMBER(Entry!$D685),Entry!$D685&gt;=0,Entry!$D685&lt;1),RIGHT("00"&amp;HOUR(Entry!$D685),2)&amp;":"&amp;RIGHT("00"&amp;MINUTE(Entry!$D685),2),IFERROR(RIGHT("00"&amp;VALUE(TRIM(LEFT(Entry!$D685,FIND(":",Entry!$D685)-1))),2)&amp;":"&amp;RIGHT("00"&amp;VALUE(TRIM(MID(Entry!$D685,FIND(":",Entry!$D685)+1,2))),2),"نامعتبر")),IF(OR($E685="",$E685="نامعتبر"),"","00:00"))</f>
        <v/>
      </c>
      <c r="G685">
        <f>IF(OR($E685="",$E685="نامعتبر"),"",IF(Entry!$E685="","",LEFT(UPPER(TRIM(Entry!$E685)),6)))</f>
        <v/>
      </c>
      <c r="H685">
        <f>IF($G685="","",RIGHT($E685,4)&amp;MID($E685,6,2)&amp;RIGHT($E685,2)&amp;IF($F685="","0000",IF($F685="نامعتبر","9999",LEFT($F685,2)&amp;RIGHT($F685,2)))&amp;"|"&amp;RIGHT("00000"&amp;677,5))</f>
        <v/>
      </c>
      <c r="I685">
        <f>IF($H685="","",COUNTIFS(CalcBank,$G685,CalcKey,"&lt;"&amp;$H685)+1)</f>
        <v/>
      </c>
      <c r="J685">
        <f>IF($I685="","",$G685&amp;"|"&amp;RIGHT("000000"&amp;$I685,6))</f>
        <v/>
      </c>
      <c r="K685">
        <f>IF(OR($E685="",$E685="نامعتبر"),"",LEFT($E685,4)&amp;"/"&amp;MID($E685,6,2))</f>
        <v/>
      </c>
      <c r="L685">
        <f>IF(Entry!$K685="",0,Entry!$K685)</f>
        <v/>
      </c>
      <c r="M685">
        <f>IF(Entry!$L685="",0,Entry!$L685)</f>
        <v/>
      </c>
    </row>
    <row r="686">
      <c r="A686">
        <f>IF(Entry!$C686="","",Entry!$C686)</f>
        <v/>
      </c>
      <c r="B686">
        <f>IF($A686="","",IF(ISNUMBER($A686),IF(AND($A686&gt;=10000101,$A686&lt;=99991231),INT($A686/10000),""),IFERROR(VALUE(TRIM(LEFT($A686,FIND("/",$A686)-1))),"")))</f>
        <v/>
      </c>
      <c r="C686">
        <f>IF(OR($A686="",$B686=""),"",IF(ISNUMBER($A686),INT(MOD($A686,10000)/100),IFERROR(VALUE(TRIM(LEFT(MID($A686,FIND("/",$A686)+1,20),FIND("/",MID($A686,FIND("/",$A686)+1,20))-1))),"")))</f>
        <v/>
      </c>
      <c r="D686">
        <f>IF(OR($A686="",$B686=""),"",IF(ISNUMBER($A686),MOD($A686,100),IFERROR(VALUE(TRIM(MID(MID($A686,FIND("/",$A686)+1,20),FIND("/",MID($A686,FIND("/",$A686)+1,20))+1,20))),"")))</f>
        <v/>
      </c>
      <c r="E686">
        <f>IF($A686="","",IF(OR($B686="",$C686="",$D686="",$B686&lt;1300,$B686&gt;1500,$C686&lt;1,$C686&gt;12,$D686&lt;1,$D686&gt;31),"نامعتبر",RIGHT("0000"&amp;$B686,4)&amp;"/"&amp;RIGHT("00"&amp;$C686,2)&amp;"/"&amp;RIGHT("00"&amp;$D686,2)))</f>
        <v/>
      </c>
      <c r="F686">
        <f>IF(Entry!$D686&lt;&gt;"",IF(AND(ISNUMBER(Entry!$D686),Entry!$D686&gt;=0,Entry!$D686&lt;1),RIGHT("00"&amp;HOUR(Entry!$D686),2)&amp;":"&amp;RIGHT("00"&amp;MINUTE(Entry!$D686),2),IFERROR(RIGHT("00"&amp;VALUE(TRIM(LEFT(Entry!$D686,FIND(":",Entry!$D686)-1))),2)&amp;":"&amp;RIGHT("00"&amp;VALUE(TRIM(MID(Entry!$D686,FIND(":",Entry!$D686)+1,2))),2),"نامعتبر")),IF(OR($E686="",$E686="نامعتبر"),"","00:00"))</f>
        <v/>
      </c>
      <c r="G686">
        <f>IF(OR($E686="",$E686="نامعتبر"),"",IF(Entry!$E686="","",LEFT(UPPER(TRIM(Entry!$E686)),6)))</f>
        <v/>
      </c>
      <c r="H686">
        <f>IF($G686="","",RIGHT($E686,4)&amp;MID($E686,6,2)&amp;RIGHT($E686,2)&amp;IF($F686="","0000",IF($F686="نامعتبر","9999",LEFT($F686,2)&amp;RIGHT($F686,2)))&amp;"|"&amp;RIGHT("00000"&amp;678,5))</f>
        <v/>
      </c>
      <c r="I686">
        <f>IF($H686="","",COUNTIFS(CalcBank,$G686,CalcKey,"&lt;"&amp;$H686)+1)</f>
        <v/>
      </c>
      <c r="J686">
        <f>IF($I686="","",$G686&amp;"|"&amp;RIGHT("000000"&amp;$I686,6))</f>
        <v/>
      </c>
      <c r="K686">
        <f>IF(OR($E686="",$E686="نامعتبر"),"",LEFT($E686,4)&amp;"/"&amp;MID($E686,6,2))</f>
        <v/>
      </c>
      <c r="L686">
        <f>IF(Entry!$K686="",0,Entry!$K686)</f>
        <v/>
      </c>
      <c r="M686">
        <f>IF(Entry!$L686="",0,Entry!$L686)</f>
        <v/>
      </c>
    </row>
    <row r="687">
      <c r="A687">
        <f>IF(Entry!$C687="","",Entry!$C687)</f>
        <v/>
      </c>
      <c r="B687">
        <f>IF($A687="","",IF(ISNUMBER($A687),IF(AND($A687&gt;=10000101,$A687&lt;=99991231),INT($A687/10000),""),IFERROR(VALUE(TRIM(LEFT($A687,FIND("/",$A687)-1))),"")))</f>
        <v/>
      </c>
      <c r="C687">
        <f>IF(OR($A687="",$B687=""),"",IF(ISNUMBER($A687),INT(MOD($A687,10000)/100),IFERROR(VALUE(TRIM(LEFT(MID($A687,FIND("/",$A687)+1,20),FIND("/",MID($A687,FIND("/",$A687)+1,20))-1))),"")))</f>
        <v/>
      </c>
      <c r="D687">
        <f>IF(OR($A687="",$B687=""),"",IF(ISNUMBER($A687),MOD($A687,100),IFERROR(VALUE(TRIM(MID(MID($A687,FIND("/",$A687)+1,20),FIND("/",MID($A687,FIND("/",$A687)+1,20))+1,20))),"")))</f>
        <v/>
      </c>
      <c r="E687">
        <f>IF($A687="","",IF(OR($B687="",$C687="",$D687="",$B687&lt;1300,$B687&gt;1500,$C687&lt;1,$C687&gt;12,$D687&lt;1,$D687&gt;31),"نامعتبر",RIGHT("0000"&amp;$B687,4)&amp;"/"&amp;RIGHT("00"&amp;$C687,2)&amp;"/"&amp;RIGHT("00"&amp;$D687,2)))</f>
        <v/>
      </c>
      <c r="F687">
        <f>IF(Entry!$D687&lt;&gt;"",IF(AND(ISNUMBER(Entry!$D687),Entry!$D687&gt;=0,Entry!$D687&lt;1),RIGHT("00"&amp;HOUR(Entry!$D687),2)&amp;":"&amp;RIGHT("00"&amp;MINUTE(Entry!$D687),2),IFERROR(RIGHT("00"&amp;VALUE(TRIM(LEFT(Entry!$D687,FIND(":",Entry!$D687)-1))),2)&amp;":"&amp;RIGHT("00"&amp;VALUE(TRIM(MID(Entry!$D687,FIND(":",Entry!$D687)+1,2))),2),"نامعتبر")),IF(OR($E687="",$E687="نامعتبر"),"","00:00"))</f>
        <v/>
      </c>
      <c r="G687">
        <f>IF(OR($E687="",$E687="نامعتبر"),"",IF(Entry!$E687="","",LEFT(UPPER(TRIM(Entry!$E687)),6)))</f>
        <v/>
      </c>
      <c r="H687">
        <f>IF($G687="","",RIGHT($E687,4)&amp;MID($E687,6,2)&amp;RIGHT($E687,2)&amp;IF($F687="","0000",IF($F687="نامعتبر","9999",LEFT($F687,2)&amp;RIGHT($F687,2)))&amp;"|"&amp;RIGHT("00000"&amp;679,5))</f>
        <v/>
      </c>
      <c r="I687">
        <f>IF($H687="","",COUNTIFS(CalcBank,$G687,CalcKey,"&lt;"&amp;$H687)+1)</f>
        <v/>
      </c>
      <c r="J687">
        <f>IF($I687="","",$G687&amp;"|"&amp;RIGHT("000000"&amp;$I687,6))</f>
        <v/>
      </c>
      <c r="K687">
        <f>IF(OR($E687="",$E687="نامعتبر"),"",LEFT($E687,4)&amp;"/"&amp;MID($E687,6,2))</f>
        <v/>
      </c>
      <c r="L687">
        <f>IF(Entry!$K687="",0,Entry!$K687)</f>
        <v/>
      </c>
      <c r="M687">
        <f>IF(Entry!$L687="",0,Entry!$L687)</f>
        <v/>
      </c>
    </row>
    <row r="688">
      <c r="A688">
        <f>IF(Entry!$C688="","",Entry!$C688)</f>
        <v/>
      </c>
      <c r="B688">
        <f>IF($A688="","",IF(ISNUMBER($A688),IF(AND($A688&gt;=10000101,$A688&lt;=99991231),INT($A688/10000),""),IFERROR(VALUE(TRIM(LEFT($A688,FIND("/",$A688)-1))),"")))</f>
        <v/>
      </c>
      <c r="C688">
        <f>IF(OR($A688="",$B688=""),"",IF(ISNUMBER($A688),INT(MOD($A688,10000)/100),IFERROR(VALUE(TRIM(LEFT(MID($A688,FIND("/",$A688)+1,20),FIND("/",MID($A688,FIND("/",$A688)+1,20))-1))),"")))</f>
        <v/>
      </c>
      <c r="D688">
        <f>IF(OR($A688="",$B688=""),"",IF(ISNUMBER($A688),MOD($A688,100),IFERROR(VALUE(TRIM(MID(MID($A688,FIND("/",$A688)+1,20),FIND("/",MID($A688,FIND("/",$A688)+1,20))+1,20))),"")))</f>
        <v/>
      </c>
      <c r="E688">
        <f>IF($A688="","",IF(OR($B688="",$C688="",$D688="",$B688&lt;1300,$B688&gt;1500,$C688&lt;1,$C688&gt;12,$D688&lt;1,$D688&gt;31),"نامعتبر",RIGHT("0000"&amp;$B688,4)&amp;"/"&amp;RIGHT("00"&amp;$C688,2)&amp;"/"&amp;RIGHT("00"&amp;$D688,2)))</f>
        <v/>
      </c>
      <c r="F688">
        <f>IF(Entry!$D688&lt;&gt;"",IF(AND(ISNUMBER(Entry!$D688),Entry!$D688&gt;=0,Entry!$D688&lt;1),RIGHT("00"&amp;HOUR(Entry!$D688),2)&amp;":"&amp;RIGHT("00"&amp;MINUTE(Entry!$D688),2),IFERROR(RIGHT("00"&amp;VALUE(TRIM(LEFT(Entry!$D688,FIND(":",Entry!$D688)-1))),2)&amp;":"&amp;RIGHT("00"&amp;VALUE(TRIM(MID(Entry!$D688,FIND(":",Entry!$D688)+1,2))),2),"نامعتبر")),IF(OR($E688="",$E688="نامعتبر"),"","00:00"))</f>
        <v/>
      </c>
      <c r="G688">
        <f>IF(OR($E688="",$E688="نامعتبر"),"",IF(Entry!$E688="","",LEFT(UPPER(TRIM(Entry!$E688)),6)))</f>
        <v/>
      </c>
      <c r="H688">
        <f>IF($G688="","",RIGHT($E688,4)&amp;MID($E688,6,2)&amp;RIGHT($E688,2)&amp;IF($F688="","0000",IF($F688="نامعتبر","9999",LEFT($F688,2)&amp;RIGHT($F688,2)))&amp;"|"&amp;RIGHT("00000"&amp;680,5))</f>
        <v/>
      </c>
      <c r="I688">
        <f>IF($H688="","",COUNTIFS(CalcBank,$G688,CalcKey,"&lt;"&amp;$H688)+1)</f>
        <v/>
      </c>
      <c r="J688">
        <f>IF($I688="","",$G688&amp;"|"&amp;RIGHT("000000"&amp;$I688,6))</f>
        <v/>
      </c>
      <c r="K688">
        <f>IF(OR($E688="",$E688="نامعتبر"),"",LEFT($E688,4)&amp;"/"&amp;MID($E688,6,2))</f>
        <v/>
      </c>
      <c r="L688">
        <f>IF(Entry!$K688="",0,Entry!$K688)</f>
        <v/>
      </c>
      <c r="M688">
        <f>IF(Entry!$L688="",0,Entry!$L688)</f>
        <v/>
      </c>
    </row>
    <row r="689">
      <c r="A689">
        <f>IF(Entry!$C689="","",Entry!$C689)</f>
        <v/>
      </c>
      <c r="B689">
        <f>IF($A689="","",IF(ISNUMBER($A689),IF(AND($A689&gt;=10000101,$A689&lt;=99991231),INT($A689/10000),""),IFERROR(VALUE(TRIM(LEFT($A689,FIND("/",$A689)-1))),"")))</f>
        <v/>
      </c>
      <c r="C689">
        <f>IF(OR($A689="",$B689=""),"",IF(ISNUMBER($A689),INT(MOD($A689,10000)/100),IFERROR(VALUE(TRIM(LEFT(MID($A689,FIND("/",$A689)+1,20),FIND("/",MID($A689,FIND("/",$A689)+1,20))-1))),"")))</f>
        <v/>
      </c>
      <c r="D689">
        <f>IF(OR($A689="",$B689=""),"",IF(ISNUMBER($A689),MOD($A689,100),IFERROR(VALUE(TRIM(MID(MID($A689,FIND("/",$A689)+1,20),FIND("/",MID($A689,FIND("/",$A689)+1,20))+1,20))),"")))</f>
        <v/>
      </c>
      <c r="E689">
        <f>IF($A689="","",IF(OR($B689="",$C689="",$D689="",$B689&lt;1300,$B689&gt;1500,$C689&lt;1,$C689&gt;12,$D689&lt;1,$D689&gt;31),"نامعتبر",RIGHT("0000"&amp;$B689,4)&amp;"/"&amp;RIGHT("00"&amp;$C689,2)&amp;"/"&amp;RIGHT("00"&amp;$D689,2)))</f>
        <v/>
      </c>
      <c r="F689">
        <f>IF(Entry!$D689&lt;&gt;"",IF(AND(ISNUMBER(Entry!$D689),Entry!$D689&gt;=0,Entry!$D689&lt;1),RIGHT("00"&amp;HOUR(Entry!$D689),2)&amp;":"&amp;RIGHT("00"&amp;MINUTE(Entry!$D689),2),IFERROR(RIGHT("00"&amp;VALUE(TRIM(LEFT(Entry!$D689,FIND(":",Entry!$D689)-1))),2)&amp;":"&amp;RIGHT("00"&amp;VALUE(TRIM(MID(Entry!$D689,FIND(":",Entry!$D689)+1,2))),2),"نامعتبر")),IF(OR($E689="",$E689="نامعتبر"),"","00:00"))</f>
        <v/>
      </c>
      <c r="G689">
        <f>IF(OR($E689="",$E689="نامعتبر"),"",IF(Entry!$E689="","",LEFT(UPPER(TRIM(Entry!$E689)),6)))</f>
        <v/>
      </c>
      <c r="H689">
        <f>IF($G689="","",RIGHT($E689,4)&amp;MID($E689,6,2)&amp;RIGHT($E689,2)&amp;IF($F689="","0000",IF($F689="نامعتبر","9999",LEFT($F689,2)&amp;RIGHT($F689,2)))&amp;"|"&amp;RIGHT("00000"&amp;681,5))</f>
        <v/>
      </c>
      <c r="I689">
        <f>IF($H689="","",COUNTIFS(CalcBank,$G689,CalcKey,"&lt;"&amp;$H689)+1)</f>
        <v/>
      </c>
      <c r="J689">
        <f>IF($I689="","",$G689&amp;"|"&amp;RIGHT("000000"&amp;$I689,6))</f>
        <v/>
      </c>
      <c r="K689">
        <f>IF(OR($E689="",$E689="نامعتبر"),"",LEFT($E689,4)&amp;"/"&amp;MID($E689,6,2))</f>
        <v/>
      </c>
      <c r="L689">
        <f>IF(Entry!$K689="",0,Entry!$K689)</f>
        <v/>
      </c>
      <c r="M689">
        <f>IF(Entry!$L689="",0,Entry!$L689)</f>
        <v/>
      </c>
    </row>
    <row r="690">
      <c r="A690">
        <f>IF(Entry!$C690="","",Entry!$C690)</f>
        <v/>
      </c>
      <c r="B690">
        <f>IF($A690="","",IF(ISNUMBER($A690),IF(AND($A690&gt;=10000101,$A690&lt;=99991231),INT($A690/10000),""),IFERROR(VALUE(TRIM(LEFT($A690,FIND("/",$A690)-1))),"")))</f>
        <v/>
      </c>
      <c r="C690">
        <f>IF(OR($A690="",$B690=""),"",IF(ISNUMBER($A690),INT(MOD($A690,10000)/100),IFERROR(VALUE(TRIM(LEFT(MID($A690,FIND("/",$A690)+1,20),FIND("/",MID($A690,FIND("/",$A690)+1,20))-1))),"")))</f>
        <v/>
      </c>
      <c r="D690">
        <f>IF(OR($A690="",$B690=""),"",IF(ISNUMBER($A690),MOD($A690,100),IFERROR(VALUE(TRIM(MID(MID($A690,FIND("/",$A690)+1,20),FIND("/",MID($A690,FIND("/",$A690)+1,20))+1,20))),"")))</f>
        <v/>
      </c>
      <c r="E690">
        <f>IF($A690="","",IF(OR($B690="",$C690="",$D690="",$B690&lt;1300,$B690&gt;1500,$C690&lt;1,$C690&gt;12,$D690&lt;1,$D690&gt;31),"نامعتبر",RIGHT("0000"&amp;$B690,4)&amp;"/"&amp;RIGHT("00"&amp;$C690,2)&amp;"/"&amp;RIGHT("00"&amp;$D690,2)))</f>
        <v/>
      </c>
      <c r="F690">
        <f>IF(Entry!$D690&lt;&gt;"",IF(AND(ISNUMBER(Entry!$D690),Entry!$D690&gt;=0,Entry!$D690&lt;1),RIGHT("00"&amp;HOUR(Entry!$D690),2)&amp;":"&amp;RIGHT("00"&amp;MINUTE(Entry!$D690),2),IFERROR(RIGHT("00"&amp;VALUE(TRIM(LEFT(Entry!$D690,FIND(":",Entry!$D690)-1))),2)&amp;":"&amp;RIGHT("00"&amp;VALUE(TRIM(MID(Entry!$D690,FIND(":",Entry!$D690)+1,2))),2),"نامعتبر")),IF(OR($E690="",$E690="نامعتبر"),"","00:00"))</f>
        <v/>
      </c>
      <c r="G690">
        <f>IF(OR($E690="",$E690="نامعتبر"),"",IF(Entry!$E690="","",LEFT(UPPER(TRIM(Entry!$E690)),6)))</f>
        <v/>
      </c>
      <c r="H690">
        <f>IF($G690="","",RIGHT($E690,4)&amp;MID($E690,6,2)&amp;RIGHT($E690,2)&amp;IF($F690="","0000",IF($F690="نامعتبر","9999",LEFT($F690,2)&amp;RIGHT($F690,2)))&amp;"|"&amp;RIGHT("00000"&amp;682,5))</f>
        <v/>
      </c>
      <c r="I690">
        <f>IF($H690="","",COUNTIFS(CalcBank,$G690,CalcKey,"&lt;"&amp;$H690)+1)</f>
        <v/>
      </c>
      <c r="J690">
        <f>IF($I690="","",$G690&amp;"|"&amp;RIGHT("000000"&amp;$I690,6))</f>
        <v/>
      </c>
      <c r="K690">
        <f>IF(OR($E690="",$E690="نامعتبر"),"",LEFT($E690,4)&amp;"/"&amp;MID($E690,6,2))</f>
        <v/>
      </c>
      <c r="L690">
        <f>IF(Entry!$K690="",0,Entry!$K690)</f>
        <v/>
      </c>
      <c r="M690">
        <f>IF(Entry!$L690="",0,Entry!$L690)</f>
        <v/>
      </c>
    </row>
    <row r="691">
      <c r="A691">
        <f>IF(Entry!$C691="","",Entry!$C691)</f>
        <v/>
      </c>
      <c r="B691">
        <f>IF($A691="","",IF(ISNUMBER($A691),IF(AND($A691&gt;=10000101,$A691&lt;=99991231),INT($A691/10000),""),IFERROR(VALUE(TRIM(LEFT($A691,FIND("/",$A691)-1))),"")))</f>
        <v/>
      </c>
      <c r="C691">
        <f>IF(OR($A691="",$B691=""),"",IF(ISNUMBER($A691),INT(MOD($A691,10000)/100),IFERROR(VALUE(TRIM(LEFT(MID($A691,FIND("/",$A691)+1,20),FIND("/",MID($A691,FIND("/",$A691)+1,20))-1))),"")))</f>
        <v/>
      </c>
      <c r="D691">
        <f>IF(OR($A691="",$B691=""),"",IF(ISNUMBER($A691),MOD($A691,100),IFERROR(VALUE(TRIM(MID(MID($A691,FIND("/",$A691)+1,20),FIND("/",MID($A691,FIND("/",$A691)+1,20))+1,20))),"")))</f>
        <v/>
      </c>
      <c r="E691">
        <f>IF($A691="","",IF(OR($B691="",$C691="",$D691="",$B691&lt;1300,$B691&gt;1500,$C691&lt;1,$C691&gt;12,$D691&lt;1,$D691&gt;31),"نامعتبر",RIGHT("0000"&amp;$B691,4)&amp;"/"&amp;RIGHT("00"&amp;$C691,2)&amp;"/"&amp;RIGHT("00"&amp;$D691,2)))</f>
        <v/>
      </c>
      <c r="F691">
        <f>IF(Entry!$D691&lt;&gt;"",IF(AND(ISNUMBER(Entry!$D691),Entry!$D691&gt;=0,Entry!$D691&lt;1),RIGHT("00"&amp;HOUR(Entry!$D691),2)&amp;":"&amp;RIGHT("00"&amp;MINUTE(Entry!$D691),2),IFERROR(RIGHT("00"&amp;VALUE(TRIM(LEFT(Entry!$D691,FIND(":",Entry!$D691)-1))),2)&amp;":"&amp;RIGHT("00"&amp;VALUE(TRIM(MID(Entry!$D691,FIND(":",Entry!$D691)+1,2))),2),"نامعتبر")),IF(OR($E691="",$E691="نامعتبر"),"","00:00"))</f>
        <v/>
      </c>
      <c r="G691">
        <f>IF(OR($E691="",$E691="نامعتبر"),"",IF(Entry!$E691="","",LEFT(UPPER(TRIM(Entry!$E691)),6)))</f>
        <v/>
      </c>
      <c r="H691">
        <f>IF($G691="","",RIGHT($E691,4)&amp;MID($E691,6,2)&amp;RIGHT($E691,2)&amp;IF($F691="","0000",IF($F691="نامعتبر","9999",LEFT($F691,2)&amp;RIGHT($F691,2)))&amp;"|"&amp;RIGHT("00000"&amp;683,5))</f>
        <v/>
      </c>
      <c r="I691">
        <f>IF($H691="","",COUNTIFS(CalcBank,$G691,CalcKey,"&lt;"&amp;$H691)+1)</f>
        <v/>
      </c>
      <c r="J691">
        <f>IF($I691="","",$G691&amp;"|"&amp;RIGHT("000000"&amp;$I691,6))</f>
        <v/>
      </c>
      <c r="K691">
        <f>IF(OR($E691="",$E691="نامعتبر"),"",LEFT($E691,4)&amp;"/"&amp;MID($E691,6,2))</f>
        <v/>
      </c>
      <c r="L691">
        <f>IF(Entry!$K691="",0,Entry!$K691)</f>
        <v/>
      </c>
      <c r="M691">
        <f>IF(Entry!$L691="",0,Entry!$L691)</f>
        <v/>
      </c>
    </row>
    <row r="692">
      <c r="A692">
        <f>IF(Entry!$C692="","",Entry!$C692)</f>
        <v/>
      </c>
      <c r="B692">
        <f>IF($A692="","",IF(ISNUMBER($A692),IF(AND($A692&gt;=10000101,$A692&lt;=99991231),INT($A692/10000),""),IFERROR(VALUE(TRIM(LEFT($A692,FIND("/",$A692)-1))),"")))</f>
        <v/>
      </c>
      <c r="C692">
        <f>IF(OR($A692="",$B692=""),"",IF(ISNUMBER($A692),INT(MOD($A692,10000)/100),IFERROR(VALUE(TRIM(LEFT(MID($A692,FIND("/",$A692)+1,20),FIND("/",MID($A692,FIND("/",$A692)+1,20))-1))),"")))</f>
        <v/>
      </c>
      <c r="D692">
        <f>IF(OR($A692="",$B692=""),"",IF(ISNUMBER($A692),MOD($A692,100),IFERROR(VALUE(TRIM(MID(MID($A692,FIND("/",$A692)+1,20),FIND("/",MID($A692,FIND("/",$A692)+1,20))+1,20))),"")))</f>
        <v/>
      </c>
      <c r="E692">
        <f>IF($A692="","",IF(OR($B692="",$C692="",$D692="",$B692&lt;1300,$B692&gt;1500,$C692&lt;1,$C692&gt;12,$D692&lt;1,$D692&gt;31),"نامعتبر",RIGHT("0000"&amp;$B692,4)&amp;"/"&amp;RIGHT("00"&amp;$C692,2)&amp;"/"&amp;RIGHT("00"&amp;$D692,2)))</f>
        <v/>
      </c>
      <c r="F692">
        <f>IF(Entry!$D692&lt;&gt;"",IF(AND(ISNUMBER(Entry!$D692),Entry!$D692&gt;=0,Entry!$D692&lt;1),RIGHT("00"&amp;HOUR(Entry!$D692),2)&amp;":"&amp;RIGHT("00"&amp;MINUTE(Entry!$D692),2),IFERROR(RIGHT("00"&amp;VALUE(TRIM(LEFT(Entry!$D692,FIND(":",Entry!$D692)-1))),2)&amp;":"&amp;RIGHT("00"&amp;VALUE(TRIM(MID(Entry!$D692,FIND(":",Entry!$D692)+1,2))),2),"نامعتبر")),IF(OR($E692="",$E692="نامعتبر"),"","00:00"))</f>
        <v/>
      </c>
      <c r="G692">
        <f>IF(OR($E692="",$E692="نامعتبر"),"",IF(Entry!$E692="","",LEFT(UPPER(TRIM(Entry!$E692)),6)))</f>
        <v/>
      </c>
      <c r="H692">
        <f>IF($G692="","",RIGHT($E692,4)&amp;MID($E692,6,2)&amp;RIGHT($E692,2)&amp;IF($F692="","0000",IF($F692="نامعتبر","9999",LEFT($F692,2)&amp;RIGHT($F692,2)))&amp;"|"&amp;RIGHT("00000"&amp;684,5))</f>
        <v/>
      </c>
      <c r="I692">
        <f>IF($H692="","",COUNTIFS(CalcBank,$G692,CalcKey,"&lt;"&amp;$H692)+1)</f>
        <v/>
      </c>
      <c r="J692">
        <f>IF($I692="","",$G692&amp;"|"&amp;RIGHT("000000"&amp;$I692,6))</f>
        <v/>
      </c>
      <c r="K692">
        <f>IF(OR($E692="",$E692="نامعتبر"),"",LEFT($E692,4)&amp;"/"&amp;MID($E692,6,2))</f>
        <v/>
      </c>
      <c r="L692">
        <f>IF(Entry!$K692="",0,Entry!$K692)</f>
        <v/>
      </c>
      <c r="M692">
        <f>IF(Entry!$L692="",0,Entry!$L692)</f>
        <v/>
      </c>
    </row>
    <row r="693">
      <c r="A693">
        <f>IF(Entry!$C693="","",Entry!$C693)</f>
        <v/>
      </c>
      <c r="B693">
        <f>IF($A693="","",IF(ISNUMBER($A693),IF(AND($A693&gt;=10000101,$A693&lt;=99991231),INT($A693/10000),""),IFERROR(VALUE(TRIM(LEFT($A693,FIND("/",$A693)-1))),"")))</f>
        <v/>
      </c>
      <c r="C693">
        <f>IF(OR($A693="",$B693=""),"",IF(ISNUMBER($A693),INT(MOD($A693,10000)/100),IFERROR(VALUE(TRIM(LEFT(MID($A693,FIND("/",$A693)+1,20),FIND("/",MID($A693,FIND("/",$A693)+1,20))-1))),"")))</f>
        <v/>
      </c>
      <c r="D693">
        <f>IF(OR($A693="",$B693=""),"",IF(ISNUMBER($A693),MOD($A693,100),IFERROR(VALUE(TRIM(MID(MID($A693,FIND("/",$A693)+1,20),FIND("/",MID($A693,FIND("/",$A693)+1,20))+1,20))),"")))</f>
        <v/>
      </c>
      <c r="E693">
        <f>IF($A693="","",IF(OR($B693="",$C693="",$D693="",$B693&lt;1300,$B693&gt;1500,$C693&lt;1,$C693&gt;12,$D693&lt;1,$D693&gt;31),"نامعتبر",RIGHT("0000"&amp;$B693,4)&amp;"/"&amp;RIGHT("00"&amp;$C693,2)&amp;"/"&amp;RIGHT("00"&amp;$D693,2)))</f>
        <v/>
      </c>
      <c r="F693">
        <f>IF(Entry!$D693&lt;&gt;"",IF(AND(ISNUMBER(Entry!$D693),Entry!$D693&gt;=0,Entry!$D693&lt;1),RIGHT("00"&amp;HOUR(Entry!$D693),2)&amp;":"&amp;RIGHT("00"&amp;MINUTE(Entry!$D693),2),IFERROR(RIGHT("00"&amp;VALUE(TRIM(LEFT(Entry!$D693,FIND(":",Entry!$D693)-1))),2)&amp;":"&amp;RIGHT("00"&amp;VALUE(TRIM(MID(Entry!$D693,FIND(":",Entry!$D693)+1,2))),2),"نامعتبر")),IF(OR($E693="",$E693="نامعتبر"),"","00:00"))</f>
        <v/>
      </c>
      <c r="G693">
        <f>IF(OR($E693="",$E693="نامعتبر"),"",IF(Entry!$E693="","",LEFT(UPPER(TRIM(Entry!$E693)),6)))</f>
        <v/>
      </c>
      <c r="H693">
        <f>IF($G693="","",RIGHT($E693,4)&amp;MID($E693,6,2)&amp;RIGHT($E693,2)&amp;IF($F693="","0000",IF($F693="نامعتبر","9999",LEFT($F693,2)&amp;RIGHT($F693,2)))&amp;"|"&amp;RIGHT("00000"&amp;685,5))</f>
        <v/>
      </c>
      <c r="I693">
        <f>IF($H693="","",COUNTIFS(CalcBank,$G693,CalcKey,"&lt;"&amp;$H693)+1)</f>
        <v/>
      </c>
      <c r="J693">
        <f>IF($I693="","",$G693&amp;"|"&amp;RIGHT("000000"&amp;$I693,6))</f>
        <v/>
      </c>
      <c r="K693">
        <f>IF(OR($E693="",$E693="نامعتبر"),"",LEFT($E693,4)&amp;"/"&amp;MID($E693,6,2))</f>
        <v/>
      </c>
      <c r="L693">
        <f>IF(Entry!$K693="",0,Entry!$K693)</f>
        <v/>
      </c>
      <c r="M693">
        <f>IF(Entry!$L693="",0,Entry!$L693)</f>
        <v/>
      </c>
    </row>
    <row r="694">
      <c r="A694">
        <f>IF(Entry!$C694="","",Entry!$C694)</f>
        <v/>
      </c>
      <c r="B694">
        <f>IF($A694="","",IF(ISNUMBER($A694),IF(AND($A694&gt;=10000101,$A694&lt;=99991231),INT($A694/10000),""),IFERROR(VALUE(TRIM(LEFT($A694,FIND("/",$A694)-1))),"")))</f>
        <v/>
      </c>
      <c r="C694">
        <f>IF(OR($A694="",$B694=""),"",IF(ISNUMBER($A694),INT(MOD($A694,10000)/100),IFERROR(VALUE(TRIM(LEFT(MID($A694,FIND("/",$A694)+1,20),FIND("/",MID($A694,FIND("/",$A694)+1,20))-1))),"")))</f>
        <v/>
      </c>
      <c r="D694">
        <f>IF(OR($A694="",$B694=""),"",IF(ISNUMBER($A694),MOD($A694,100),IFERROR(VALUE(TRIM(MID(MID($A694,FIND("/",$A694)+1,20),FIND("/",MID($A694,FIND("/",$A694)+1,20))+1,20))),"")))</f>
        <v/>
      </c>
      <c r="E694">
        <f>IF($A694="","",IF(OR($B694="",$C694="",$D694="",$B694&lt;1300,$B694&gt;1500,$C694&lt;1,$C694&gt;12,$D694&lt;1,$D694&gt;31),"نامعتبر",RIGHT("0000"&amp;$B694,4)&amp;"/"&amp;RIGHT("00"&amp;$C694,2)&amp;"/"&amp;RIGHT("00"&amp;$D694,2)))</f>
        <v/>
      </c>
      <c r="F694">
        <f>IF(Entry!$D694&lt;&gt;"",IF(AND(ISNUMBER(Entry!$D694),Entry!$D694&gt;=0,Entry!$D694&lt;1),RIGHT("00"&amp;HOUR(Entry!$D694),2)&amp;":"&amp;RIGHT("00"&amp;MINUTE(Entry!$D694),2),IFERROR(RIGHT("00"&amp;VALUE(TRIM(LEFT(Entry!$D694,FIND(":",Entry!$D694)-1))),2)&amp;":"&amp;RIGHT("00"&amp;VALUE(TRIM(MID(Entry!$D694,FIND(":",Entry!$D694)+1,2))),2),"نامعتبر")),IF(OR($E694="",$E694="نامعتبر"),"","00:00"))</f>
        <v/>
      </c>
      <c r="G694">
        <f>IF(OR($E694="",$E694="نامعتبر"),"",IF(Entry!$E694="","",LEFT(UPPER(TRIM(Entry!$E694)),6)))</f>
        <v/>
      </c>
      <c r="H694">
        <f>IF($G694="","",RIGHT($E694,4)&amp;MID($E694,6,2)&amp;RIGHT($E694,2)&amp;IF($F694="","0000",IF($F694="نامعتبر","9999",LEFT($F694,2)&amp;RIGHT($F694,2)))&amp;"|"&amp;RIGHT("00000"&amp;686,5))</f>
        <v/>
      </c>
      <c r="I694">
        <f>IF($H694="","",COUNTIFS(CalcBank,$G694,CalcKey,"&lt;"&amp;$H694)+1)</f>
        <v/>
      </c>
      <c r="J694">
        <f>IF($I694="","",$G694&amp;"|"&amp;RIGHT("000000"&amp;$I694,6))</f>
        <v/>
      </c>
      <c r="K694">
        <f>IF(OR($E694="",$E694="نامعتبر"),"",LEFT($E694,4)&amp;"/"&amp;MID($E694,6,2))</f>
        <v/>
      </c>
      <c r="L694">
        <f>IF(Entry!$K694="",0,Entry!$K694)</f>
        <v/>
      </c>
      <c r="M694">
        <f>IF(Entry!$L694="",0,Entry!$L694)</f>
        <v/>
      </c>
    </row>
    <row r="695">
      <c r="A695">
        <f>IF(Entry!$C695="","",Entry!$C695)</f>
        <v/>
      </c>
      <c r="B695">
        <f>IF($A695="","",IF(ISNUMBER($A695),IF(AND($A695&gt;=10000101,$A695&lt;=99991231),INT($A695/10000),""),IFERROR(VALUE(TRIM(LEFT($A695,FIND("/",$A695)-1))),"")))</f>
        <v/>
      </c>
      <c r="C695">
        <f>IF(OR($A695="",$B695=""),"",IF(ISNUMBER($A695),INT(MOD($A695,10000)/100),IFERROR(VALUE(TRIM(LEFT(MID($A695,FIND("/",$A695)+1,20),FIND("/",MID($A695,FIND("/",$A695)+1,20))-1))),"")))</f>
        <v/>
      </c>
      <c r="D695">
        <f>IF(OR($A695="",$B695=""),"",IF(ISNUMBER($A695),MOD($A695,100),IFERROR(VALUE(TRIM(MID(MID($A695,FIND("/",$A695)+1,20),FIND("/",MID($A695,FIND("/",$A695)+1,20))+1,20))),"")))</f>
        <v/>
      </c>
      <c r="E695">
        <f>IF($A695="","",IF(OR($B695="",$C695="",$D695="",$B695&lt;1300,$B695&gt;1500,$C695&lt;1,$C695&gt;12,$D695&lt;1,$D695&gt;31),"نامعتبر",RIGHT("0000"&amp;$B695,4)&amp;"/"&amp;RIGHT("00"&amp;$C695,2)&amp;"/"&amp;RIGHT("00"&amp;$D695,2)))</f>
        <v/>
      </c>
      <c r="F695">
        <f>IF(Entry!$D695&lt;&gt;"",IF(AND(ISNUMBER(Entry!$D695),Entry!$D695&gt;=0,Entry!$D695&lt;1),RIGHT("00"&amp;HOUR(Entry!$D695),2)&amp;":"&amp;RIGHT("00"&amp;MINUTE(Entry!$D695),2),IFERROR(RIGHT("00"&amp;VALUE(TRIM(LEFT(Entry!$D695,FIND(":",Entry!$D695)-1))),2)&amp;":"&amp;RIGHT("00"&amp;VALUE(TRIM(MID(Entry!$D695,FIND(":",Entry!$D695)+1,2))),2),"نامعتبر")),IF(OR($E695="",$E695="نامعتبر"),"","00:00"))</f>
        <v/>
      </c>
      <c r="G695">
        <f>IF(OR($E695="",$E695="نامعتبر"),"",IF(Entry!$E695="","",LEFT(UPPER(TRIM(Entry!$E695)),6)))</f>
        <v/>
      </c>
      <c r="H695">
        <f>IF($G695="","",RIGHT($E695,4)&amp;MID($E695,6,2)&amp;RIGHT($E695,2)&amp;IF($F695="","0000",IF($F695="نامعتبر","9999",LEFT($F695,2)&amp;RIGHT($F695,2)))&amp;"|"&amp;RIGHT("00000"&amp;687,5))</f>
        <v/>
      </c>
      <c r="I695">
        <f>IF($H695="","",COUNTIFS(CalcBank,$G695,CalcKey,"&lt;"&amp;$H695)+1)</f>
        <v/>
      </c>
      <c r="J695">
        <f>IF($I695="","",$G695&amp;"|"&amp;RIGHT("000000"&amp;$I695,6))</f>
        <v/>
      </c>
      <c r="K695">
        <f>IF(OR($E695="",$E695="نامعتبر"),"",LEFT($E695,4)&amp;"/"&amp;MID($E695,6,2))</f>
        <v/>
      </c>
      <c r="L695">
        <f>IF(Entry!$K695="",0,Entry!$K695)</f>
        <v/>
      </c>
      <c r="M695">
        <f>IF(Entry!$L695="",0,Entry!$L695)</f>
        <v/>
      </c>
    </row>
    <row r="696">
      <c r="A696">
        <f>IF(Entry!$C696="","",Entry!$C696)</f>
        <v/>
      </c>
      <c r="B696">
        <f>IF($A696="","",IF(ISNUMBER($A696),IF(AND($A696&gt;=10000101,$A696&lt;=99991231),INT($A696/10000),""),IFERROR(VALUE(TRIM(LEFT($A696,FIND("/",$A696)-1))),"")))</f>
        <v/>
      </c>
      <c r="C696">
        <f>IF(OR($A696="",$B696=""),"",IF(ISNUMBER($A696),INT(MOD($A696,10000)/100),IFERROR(VALUE(TRIM(LEFT(MID($A696,FIND("/",$A696)+1,20),FIND("/",MID($A696,FIND("/",$A696)+1,20))-1))),"")))</f>
        <v/>
      </c>
      <c r="D696">
        <f>IF(OR($A696="",$B696=""),"",IF(ISNUMBER($A696),MOD($A696,100),IFERROR(VALUE(TRIM(MID(MID($A696,FIND("/",$A696)+1,20),FIND("/",MID($A696,FIND("/",$A696)+1,20))+1,20))),"")))</f>
        <v/>
      </c>
      <c r="E696">
        <f>IF($A696="","",IF(OR($B696="",$C696="",$D696="",$B696&lt;1300,$B696&gt;1500,$C696&lt;1,$C696&gt;12,$D696&lt;1,$D696&gt;31),"نامعتبر",RIGHT("0000"&amp;$B696,4)&amp;"/"&amp;RIGHT("00"&amp;$C696,2)&amp;"/"&amp;RIGHT("00"&amp;$D696,2)))</f>
        <v/>
      </c>
      <c r="F696">
        <f>IF(Entry!$D696&lt;&gt;"",IF(AND(ISNUMBER(Entry!$D696),Entry!$D696&gt;=0,Entry!$D696&lt;1),RIGHT("00"&amp;HOUR(Entry!$D696),2)&amp;":"&amp;RIGHT("00"&amp;MINUTE(Entry!$D696),2),IFERROR(RIGHT("00"&amp;VALUE(TRIM(LEFT(Entry!$D696,FIND(":",Entry!$D696)-1))),2)&amp;":"&amp;RIGHT("00"&amp;VALUE(TRIM(MID(Entry!$D696,FIND(":",Entry!$D696)+1,2))),2),"نامعتبر")),IF(OR($E696="",$E696="نامعتبر"),"","00:00"))</f>
        <v/>
      </c>
      <c r="G696">
        <f>IF(OR($E696="",$E696="نامعتبر"),"",IF(Entry!$E696="","",LEFT(UPPER(TRIM(Entry!$E696)),6)))</f>
        <v/>
      </c>
      <c r="H696">
        <f>IF($G696="","",RIGHT($E696,4)&amp;MID($E696,6,2)&amp;RIGHT($E696,2)&amp;IF($F696="","0000",IF($F696="نامعتبر","9999",LEFT($F696,2)&amp;RIGHT($F696,2)))&amp;"|"&amp;RIGHT("00000"&amp;688,5))</f>
        <v/>
      </c>
      <c r="I696">
        <f>IF($H696="","",COUNTIFS(CalcBank,$G696,CalcKey,"&lt;"&amp;$H696)+1)</f>
        <v/>
      </c>
      <c r="J696">
        <f>IF($I696="","",$G696&amp;"|"&amp;RIGHT("000000"&amp;$I696,6))</f>
        <v/>
      </c>
      <c r="K696">
        <f>IF(OR($E696="",$E696="نامعتبر"),"",LEFT($E696,4)&amp;"/"&amp;MID($E696,6,2))</f>
        <v/>
      </c>
      <c r="L696">
        <f>IF(Entry!$K696="",0,Entry!$K696)</f>
        <v/>
      </c>
      <c r="M696">
        <f>IF(Entry!$L696="",0,Entry!$L696)</f>
        <v/>
      </c>
    </row>
    <row r="697">
      <c r="A697">
        <f>IF(Entry!$C697="","",Entry!$C697)</f>
        <v/>
      </c>
      <c r="B697">
        <f>IF($A697="","",IF(ISNUMBER($A697),IF(AND($A697&gt;=10000101,$A697&lt;=99991231),INT($A697/10000),""),IFERROR(VALUE(TRIM(LEFT($A697,FIND("/",$A697)-1))),"")))</f>
        <v/>
      </c>
      <c r="C697">
        <f>IF(OR($A697="",$B697=""),"",IF(ISNUMBER($A697),INT(MOD($A697,10000)/100),IFERROR(VALUE(TRIM(LEFT(MID($A697,FIND("/",$A697)+1,20),FIND("/",MID($A697,FIND("/",$A697)+1,20))-1))),"")))</f>
        <v/>
      </c>
      <c r="D697">
        <f>IF(OR($A697="",$B697=""),"",IF(ISNUMBER($A697),MOD($A697,100),IFERROR(VALUE(TRIM(MID(MID($A697,FIND("/",$A697)+1,20),FIND("/",MID($A697,FIND("/",$A697)+1,20))+1,20))),"")))</f>
        <v/>
      </c>
      <c r="E697">
        <f>IF($A697="","",IF(OR($B697="",$C697="",$D697="",$B697&lt;1300,$B697&gt;1500,$C697&lt;1,$C697&gt;12,$D697&lt;1,$D697&gt;31),"نامعتبر",RIGHT("0000"&amp;$B697,4)&amp;"/"&amp;RIGHT("00"&amp;$C697,2)&amp;"/"&amp;RIGHT("00"&amp;$D697,2)))</f>
        <v/>
      </c>
      <c r="F697">
        <f>IF(Entry!$D697&lt;&gt;"",IF(AND(ISNUMBER(Entry!$D697),Entry!$D697&gt;=0,Entry!$D697&lt;1),RIGHT("00"&amp;HOUR(Entry!$D697),2)&amp;":"&amp;RIGHT("00"&amp;MINUTE(Entry!$D697),2),IFERROR(RIGHT("00"&amp;VALUE(TRIM(LEFT(Entry!$D697,FIND(":",Entry!$D697)-1))),2)&amp;":"&amp;RIGHT("00"&amp;VALUE(TRIM(MID(Entry!$D697,FIND(":",Entry!$D697)+1,2))),2),"نامعتبر")),IF(OR($E697="",$E697="نامعتبر"),"","00:00"))</f>
        <v/>
      </c>
      <c r="G697">
        <f>IF(OR($E697="",$E697="نامعتبر"),"",IF(Entry!$E697="","",LEFT(UPPER(TRIM(Entry!$E697)),6)))</f>
        <v/>
      </c>
      <c r="H697">
        <f>IF($G697="","",RIGHT($E697,4)&amp;MID($E697,6,2)&amp;RIGHT($E697,2)&amp;IF($F697="","0000",IF($F697="نامعتبر","9999",LEFT($F697,2)&amp;RIGHT($F697,2)))&amp;"|"&amp;RIGHT("00000"&amp;689,5))</f>
        <v/>
      </c>
      <c r="I697">
        <f>IF($H697="","",COUNTIFS(CalcBank,$G697,CalcKey,"&lt;"&amp;$H697)+1)</f>
        <v/>
      </c>
      <c r="J697">
        <f>IF($I697="","",$G697&amp;"|"&amp;RIGHT("000000"&amp;$I697,6))</f>
        <v/>
      </c>
      <c r="K697">
        <f>IF(OR($E697="",$E697="نامعتبر"),"",LEFT($E697,4)&amp;"/"&amp;MID($E697,6,2))</f>
        <v/>
      </c>
      <c r="L697">
        <f>IF(Entry!$K697="",0,Entry!$K697)</f>
        <v/>
      </c>
      <c r="M697">
        <f>IF(Entry!$L697="",0,Entry!$L697)</f>
        <v/>
      </c>
    </row>
    <row r="698">
      <c r="A698">
        <f>IF(Entry!$C698="","",Entry!$C698)</f>
        <v/>
      </c>
      <c r="B698">
        <f>IF($A698="","",IF(ISNUMBER($A698),IF(AND($A698&gt;=10000101,$A698&lt;=99991231),INT($A698/10000),""),IFERROR(VALUE(TRIM(LEFT($A698,FIND("/",$A698)-1))),"")))</f>
        <v/>
      </c>
      <c r="C698">
        <f>IF(OR($A698="",$B698=""),"",IF(ISNUMBER($A698),INT(MOD($A698,10000)/100),IFERROR(VALUE(TRIM(LEFT(MID($A698,FIND("/",$A698)+1,20),FIND("/",MID($A698,FIND("/",$A698)+1,20))-1))),"")))</f>
        <v/>
      </c>
      <c r="D698">
        <f>IF(OR($A698="",$B698=""),"",IF(ISNUMBER($A698),MOD($A698,100),IFERROR(VALUE(TRIM(MID(MID($A698,FIND("/",$A698)+1,20),FIND("/",MID($A698,FIND("/",$A698)+1,20))+1,20))),"")))</f>
        <v/>
      </c>
      <c r="E698">
        <f>IF($A698="","",IF(OR($B698="",$C698="",$D698="",$B698&lt;1300,$B698&gt;1500,$C698&lt;1,$C698&gt;12,$D698&lt;1,$D698&gt;31),"نامعتبر",RIGHT("0000"&amp;$B698,4)&amp;"/"&amp;RIGHT("00"&amp;$C698,2)&amp;"/"&amp;RIGHT("00"&amp;$D698,2)))</f>
        <v/>
      </c>
      <c r="F698">
        <f>IF(Entry!$D698&lt;&gt;"",IF(AND(ISNUMBER(Entry!$D698),Entry!$D698&gt;=0,Entry!$D698&lt;1),RIGHT("00"&amp;HOUR(Entry!$D698),2)&amp;":"&amp;RIGHT("00"&amp;MINUTE(Entry!$D698),2),IFERROR(RIGHT("00"&amp;VALUE(TRIM(LEFT(Entry!$D698,FIND(":",Entry!$D698)-1))),2)&amp;":"&amp;RIGHT("00"&amp;VALUE(TRIM(MID(Entry!$D698,FIND(":",Entry!$D698)+1,2))),2),"نامعتبر")),IF(OR($E698="",$E698="نامعتبر"),"","00:00"))</f>
        <v/>
      </c>
      <c r="G698">
        <f>IF(OR($E698="",$E698="نامعتبر"),"",IF(Entry!$E698="","",LEFT(UPPER(TRIM(Entry!$E698)),6)))</f>
        <v/>
      </c>
      <c r="H698">
        <f>IF($G698="","",RIGHT($E698,4)&amp;MID($E698,6,2)&amp;RIGHT($E698,2)&amp;IF($F698="","0000",IF($F698="نامعتبر","9999",LEFT($F698,2)&amp;RIGHT($F698,2)))&amp;"|"&amp;RIGHT("00000"&amp;690,5))</f>
        <v/>
      </c>
      <c r="I698">
        <f>IF($H698="","",COUNTIFS(CalcBank,$G698,CalcKey,"&lt;"&amp;$H698)+1)</f>
        <v/>
      </c>
      <c r="J698">
        <f>IF($I698="","",$G698&amp;"|"&amp;RIGHT("000000"&amp;$I698,6))</f>
        <v/>
      </c>
      <c r="K698">
        <f>IF(OR($E698="",$E698="نامعتبر"),"",LEFT($E698,4)&amp;"/"&amp;MID($E698,6,2))</f>
        <v/>
      </c>
      <c r="L698">
        <f>IF(Entry!$K698="",0,Entry!$K698)</f>
        <v/>
      </c>
      <c r="M698">
        <f>IF(Entry!$L698="",0,Entry!$L698)</f>
        <v/>
      </c>
    </row>
    <row r="699">
      <c r="A699">
        <f>IF(Entry!$C699="","",Entry!$C699)</f>
        <v/>
      </c>
      <c r="B699">
        <f>IF($A699="","",IF(ISNUMBER($A699),IF(AND($A699&gt;=10000101,$A699&lt;=99991231),INT($A699/10000),""),IFERROR(VALUE(TRIM(LEFT($A699,FIND("/",$A699)-1))),"")))</f>
        <v/>
      </c>
      <c r="C699">
        <f>IF(OR($A699="",$B699=""),"",IF(ISNUMBER($A699),INT(MOD($A699,10000)/100),IFERROR(VALUE(TRIM(LEFT(MID($A699,FIND("/",$A699)+1,20),FIND("/",MID($A699,FIND("/",$A699)+1,20))-1))),"")))</f>
        <v/>
      </c>
      <c r="D699">
        <f>IF(OR($A699="",$B699=""),"",IF(ISNUMBER($A699),MOD($A699,100),IFERROR(VALUE(TRIM(MID(MID($A699,FIND("/",$A699)+1,20),FIND("/",MID($A699,FIND("/",$A699)+1,20))+1,20))),"")))</f>
        <v/>
      </c>
      <c r="E699">
        <f>IF($A699="","",IF(OR($B699="",$C699="",$D699="",$B699&lt;1300,$B699&gt;1500,$C699&lt;1,$C699&gt;12,$D699&lt;1,$D699&gt;31),"نامعتبر",RIGHT("0000"&amp;$B699,4)&amp;"/"&amp;RIGHT("00"&amp;$C699,2)&amp;"/"&amp;RIGHT("00"&amp;$D699,2)))</f>
        <v/>
      </c>
      <c r="F699">
        <f>IF(Entry!$D699&lt;&gt;"",IF(AND(ISNUMBER(Entry!$D699),Entry!$D699&gt;=0,Entry!$D699&lt;1),RIGHT("00"&amp;HOUR(Entry!$D699),2)&amp;":"&amp;RIGHT("00"&amp;MINUTE(Entry!$D699),2),IFERROR(RIGHT("00"&amp;VALUE(TRIM(LEFT(Entry!$D699,FIND(":",Entry!$D699)-1))),2)&amp;":"&amp;RIGHT("00"&amp;VALUE(TRIM(MID(Entry!$D699,FIND(":",Entry!$D699)+1,2))),2),"نامعتبر")),IF(OR($E699="",$E699="نامعتبر"),"","00:00"))</f>
        <v/>
      </c>
      <c r="G699">
        <f>IF(OR($E699="",$E699="نامعتبر"),"",IF(Entry!$E699="","",LEFT(UPPER(TRIM(Entry!$E699)),6)))</f>
        <v/>
      </c>
      <c r="H699">
        <f>IF($G699="","",RIGHT($E699,4)&amp;MID($E699,6,2)&amp;RIGHT($E699,2)&amp;IF($F699="","0000",IF($F699="نامعتبر","9999",LEFT($F699,2)&amp;RIGHT($F699,2)))&amp;"|"&amp;RIGHT("00000"&amp;691,5))</f>
        <v/>
      </c>
      <c r="I699">
        <f>IF($H699="","",COUNTIFS(CalcBank,$G699,CalcKey,"&lt;"&amp;$H699)+1)</f>
        <v/>
      </c>
      <c r="J699">
        <f>IF($I699="","",$G699&amp;"|"&amp;RIGHT("000000"&amp;$I699,6))</f>
        <v/>
      </c>
      <c r="K699">
        <f>IF(OR($E699="",$E699="نامعتبر"),"",LEFT($E699,4)&amp;"/"&amp;MID($E699,6,2))</f>
        <v/>
      </c>
      <c r="L699">
        <f>IF(Entry!$K699="",0,Entry!$K699)</f>
        <v/>
      </c>
      <c r="M699">
        <f>IF(Entry!$L699="",0,Entry!$L699)</f>
        <v/>
      </c>
    </row>
    <row r="700">
      <c r="A700">
        <f>IF(Entry!$C700="","",Entry!$C700)</f>
        <v/>
      </c>
      <c r="B700">
        <f>IF($A700="","",IF(ISNUMBER($A700),IF(AND($A700&gt;=10000101,$A700&lt;=99991231),INT($A700/10000),""),IFERROR(VALUE(TRIM(LEFT($A700,FIND("/",$A700)-1))),"")))</f>
        <v/>
      </c>
      <c r="C700">
        <f>IF(OR($A700="",$B700=""),"",IF(ISNUMBER($A700),INT(MOD($A700,10000)/100),IFERROR(VALUE(TRIM(LEFT(MID($A700,FIND("/",$A700)+1,20),FIND("/",MID($A700,FIND("/",$A700)+1,20))-1))),"")))</f>
        <v/>
      </c>
      <c r="D700">
        <f>IF(OR($A700="",$B700=""),"",IF(ISNUMBER($A700),MOD($A700,100),IFERROR(VALUE(TRIM(MID(MID($A700,FIND("/",$A700)+1,20),FIND("/",MID($A700,FIND("/",$A700)+1,20))+1,20))),"")))</f>
        <v/>
      </c>
      <c r="E700">
        <f>IF($A700="","",IF(OR($B700="",$C700="",$D700="",$B700&lt;1300,$B700&gt;1500,$C700&lt;1,$C700&gt;12,$D700&lt;1,$D700&gt;31),"نامعتبر",RIGHT("0000"&amp;$B700,4)&amp;"/"&amp;RIGHT("00"&amp;$C700,2)&amp;"/"&amp;RIGHT("00"&amp;$D700,2)))</f>
        <v/>
      </c>
      <c r="F700">
        <f>IF(Entry!$D700&lt;&gt;"",IF(AND(ISNUMBER(Entry!$D700),Entry!$D700&gt;=0,Entry!$D700&lt;1),RIGHT("00"&amp;HOUR(Entry!$D700),2)&amp;":"&amp;RIGHT("00"&amp;MINUTE(Entry!$D700),2),IFERROR(RIGHT("00"&amp;VALUE(TRIM(LEFT(Entry!$D700,FIND(":",Entry!$D700)-1))),2)&amp;":"&amp;RIGHT("00"&amp;VALUE(TRIM(MID(Entry!$D700,FIND(":",Entry!$D700)+1,2))),2),"نامعتبر")),IF(OR($E700="",$E700="نامعتبر"),"","00:00"))</f>
        <v/>
      </c>
      <c r="G700">
        <f>IF(OR($E700="",$E700="نامعتبر"),"",IF(Entry!$E700="","",LEFT(UPPER(TRIM(Entry!$E700)),6)))</f>
        <v/>
      </c>
      <c r="H700">
        <f>IF($G700="","",RIGHT($E700,4)&amp;MID($E700,6,2)&amp;RIGHT($E700,2)&amp;IF($F700="","0000",IF($F700="نامعتبر","9999",LEFT($F700,2)&amp;RIGHT($F700,2)))&amp;"|"&amp;RIGHT("00000"&amp;692,5))</f>
        <v/>
      </c>
      <c r="I700">
        <f>IF($H700="","",COUNTIFS(CalcBank,$G700,CalcKey,"&lt;"&amp;$H700)+1)</f>
        <v/>
      </c>
      <c r="J700">
        <f>IF($I700="","",$G700&amp;"|"&amp;RIGHT("000000"&amp;$I700,6))</f>
        <v/>
      </c>
      <c r="K700">
        <f>IF(OR($E700="",$E700="نامعتبر"),"",LEFT($E700,4)&amp;"/"&amp;MID($E700,6,2))</f>
        <v/>
      </c>
      <c r="L700">
        <f>IF(Entry!$K700="",0,Entry!$K700)</f>
        <v/>
      </c>
      <c r="M700">
        <f>IF(Entry!$L700="",0,Entry!$L700)</f>
        <v/>
      </c>
    </row>
    <row r="701">
      <c r="A701">
        <f>IF(Entry!$C701="","",Entry!$C701)</f>
        <v/>
      </c>
      <c r="B701">
        <f>IF($A701="","",IF(ISNUMBER($A701),IF(AND($A701&gt;=10000101,$A701&lt;=99991231),INT($A701/10000),""),IFERROR(VALUE(TRIM(LEFT($A701,FIND("/",$A701)-1))),"")))</f>
        <v/>
      </c>
      <c r="C701">
        <f>IF(OR($A701="",$B701=""),"",IF(ISNUMBER($A701),INT(MOD($A701,10000)/100),IFERROR(VALUE(TRIM(LEFT(MID($A701,FIND("/",$A701)+1,20),FIND("/",MID($A701,FIND("/",$A701)+1,20))-1))),"")))</f>
        <v/>
      </c>
      <c r="D701">
        <f>IF(OR($A701="",$B701=""),"",IF(ISNUMBER($A701),MOD($A701,100),IFERROR(VALUE(TRIM(MID(MID($A701,FIND("/",$A701)+1,20),FIND("/",MID($A701,FIND("/",$A701)+1,20))+1,20))),"")))</f>
        <v/>
      </c>
      <c r="E701">
        <f>IF($A701="","",IF(OR($B701="",$C701="",$D701="",$B701&lt;1300,$B701&gt;1500,$C701&lt;1,$C701&gt;12,$D701&lt;1,$D701&gt;31),"نامعتبر",RIGHT("0000"&amp;$B701,4)&amp;"/"&amp;RIGHT("00"&amp;$C701,2)&amp;"/"&amp;RIGHT("00"&amp;$D701,2)))</f>
        <v/>
      </c>
      <c r="F701">
        <f>IF(Entry!$D701&lt;&gt;"",IF(AND(ISNUMBER(Entry!$D701),Entry!$D701&gt;=0,Entry!$D701&lt;1),RIGHT("00"&amp;HOUR(Entry!$D701),2)&amp;":"&amp;RIGHT("00"&amp;MINUTE(Entry!$D701),2),IFERROR(RIGHT("00"&amp;VALUE(TRIM(LEFT(Entry!$D701,FIND(":",Entry!$D701)-1))),2)&amp;":"&amp;RIGHT("00"&amp;VALUE(TRIM(MID(Entry!$D701,FIND(":",Entry!$D701)+1,2))),2),"نامعتبر")),IF(OR($E701="",$E701="نامعتبر"),"","00:00"))</f>
        <v/>
      </c>
      <c r="G701">
        <f>IF(OR($E701="",$E701="نامعتبر"),"",IF(Entry!$E701="","",LEFT(UPPER(TRIM(Entry!$E701)),6)))</f>
        <v/>
      </c>
      <c r="H701">
        <f>IF($G701="","",RIGHT($E701,4)&amp;MID($E701,6,2)&amp;RIGHT($E701,2)&amp;IF($F701="","0000",IF($F701="نامعتبر","9999",LEFT($F701,2)&amp;RIGHT($F701,2)))&amp;"|"&amp;RIGHT("00000"&amp;693,5))</f>
        <v/>
      </c>
      <c r="I701">
        <f>IF($H701="","",COUNTIFS(CalcBank,$G701,CalcKey,"&lt;"&amp;$H701)+1)</f>
        <v/>
      </c>
      <c r="J701">
        <f>IF($I701="","",$G701&amp;"|"&amp;RIGHT("000000"&amp;$I701,6))</f>
        <v/>
      </c>
      <c r="K701">
        <f>IF(OR($E701="",$E701="نامعتبر"),"",LEFT($E701,4)&amp;"/"&amp;MID($E701,6,2))</f>
        <v/>
      </c>
      <c r="L701">
        <f>IF(Entry!$K701="",0,Entry!$K701)</f>
        <v/>
      </c>
      <c r="M701">
        <f>IF(Entry!$L701="",0,Entry!$L701)</f>
        <v/>
      </c>
    </row>
    <row r="702">
      <c r="A702">
        <f>IF(Entry!$C702="","",Entry!$C702)</f>
        <v/>
      </c>
      <c r="B702">
        <f>IF($A702="","",IF(ISNUMBER($A702),IF(AND($A702&gt;=10000101,$A702&lt;=99991231),INT($A702/10000),""),IFERROR(VALUE(TRIM(LEFT($A702,FIND("/",$A702)-1))),"")))</f>
        <v/>
      </c>
      <c r="C702">
        <f>IF(OR($A702="",$B702=""),"",IF(ISNUMBER($A702),INT(MOD($A702,10000)/100),IFERROR(VALUE(TRIM(LEFT(MID($A702,FIND("/",$A702)+1,20),FIND("/",MID($A702,FIND("/",$A702)+1,20))-1))),"")))</f>
        <v/>
      </c>
      <c r="D702">
        <f>IF(OR($A702="",$B702=""),"",IF(ISNUMBER($A702),MOD($A702,100),IFERROR(VALUE(TRIM(MID(MID($A702,FIND("/",$A702)+1,20),FIND("/",MID($A702,FIND("/",$A702)+1,20))+1,20))),"")))</f>
        <v/>
      </c>
      <c r="E702">
        <f>IF($A702="","",IF(OR($B702="",$C702="",$D702="",$B702&lt;1300,$B702&gt;1500,$C702&lt;1,$C702&gt;12,$D702&lt;1,$D702&gt;31),"نامعتبر",RIGHT("0000"&amp;$B702,4)&amp;"/"&amp;RIGHT("00"&amp;$C702,2)&amp;"/"&amp;RIGHT("00"&amp;$D702,2)))</f>
        <v/>
      </c>
      <c r="F702">
        <f>IF(Entry!$D702&lt;&gt;"",IF(AND(ISNUMBER(Entry!$D702),Entry!$D702&gt;=0,Entry!$D702&lt;1),RIGHT("00"&amp;HOUR(Entry!$D702),2)&amp;":"&amp;RIGHT("00"&amp;MINUTE(Entry!$D702),2),IFERROR(RIGHT("00"&amp;VALUE(TRIM(LEFT(Entry!$D702,FIND(":",Entry!$D702)-1))),2)&amp;":"&amp;RIGHT("00"&amp;VALUE(TRIM(MID(Entry!$D702,FIND(":",Entry!$D702)+1,2))),2),"نامعتبر")),IF(OR($E702="",$E702="نامعتبر"),"","00:00"))</f>
        <v/>
      </c>
      <c r="G702">
        <f>IF(OR($E702="",$E702="نامعتبر"),"",IF(Entry!$E702="","",LEFT(UPPER(TRIM(Entry!$E702)),6)))</f>
        <v/>
      </c>
      <c r="H702">
        <f>IF($G702="","",RIGHT($E702,4)&amp;MID($E702,6,2)&amp;RIGHT($E702,2)&amp;IF($F702="","0000",IF($F702="نامعتبر","9999",LEFT($F702,2)&amp;RIGHT($F702,2)))&amp;"|"&amp;RIGHT("00000"&amp;694,5))</f>
        <v/>
      </c>
      <c r="I702">
        <f>IF($H702="","",COUNTIFS(CalcBank,$G702,CalcKey,"&lt;"&amp;$H702)+1)</f>
        <v/>
      </c>
      <c r="J702">
        <f>IF($I702="","",$G702&amp;"|"&amp;RIGHT("000000"&amp;$I702,6))</f>
        <v/>
      </c>
      <c r="K702">
        <f>IF(OR($E702="",$E702="نامعتبر"),"",LEFT($E702,4)&amp;"/"&amp;MID($E702,6,2))</f>
        <v/>
      </c>
      <c r="L702">
        <f>IF(Entry!$K702="",0,Entry!$K702)</f>
        <v/>
      </c>
      <c r="M702">
        <f>IF(Entry!$L702="",0,Entry!$L702)</f>
        <v/>
      </c>
    </row>
    <row r="703">
      <c r="A703">
        <f>IF(Entry!$C703="","",Entry!$C703)</f>
        <v/>
      </c>
      <c r="B703">
        <f>IF($A703="","",IF(ISNUMBER($A703),IF(AND($A703&gt;=10000101,$A703&lt;=99991231),INT($A703/10000),""),IFERROR(VALUE(TRIM(LEFT($A703,FIND("/",$A703)-1))),"")))</f>
        <v/>
      </c>
      <c r="C703">
        <f>IF(OR($A703="",$B703=""),"",IF(ISNUMBER($A703),INT(MOD($A703,10000)/100),IFERROR(VALUE(TRIM(LEFT(MID($A703,FIND("/",$A703)+1,20),FIND("/",MID($A703,FIND("/",$A703)+1,20))-1))),"")))</f>
        <v/>
      </c>
      <c r="D703">
        <f>IF(OR($A703="",$B703=""),"",IF(ISNUMBER($A703),MOD($A703,100),IFERROR(VALUE(TRIM(MID(MID($A703,FIND("/",$A703)+1,20),FIND("/",MID($A703,FIND("/",$A703)+1,20))+1,20))),"")))</f>
        <v/>
      </c>
      <c r="E703">
        <f>IF($A703="","",IF(OR($B703="",$C703="",$D703="",$B703&lt;1300,$B703&gt;1500,$C703&lt;1,$C703&gt;12,$D703&lt;1,$D703&gt;31),"نامعتبر",RIGHT("0000"&amp;$B703,4)&amp;"/"&amp;RIGHT("00"&amp;$C703,2)&amp;"/"&amp;RIGHT("00"&amp;$D703,2)))</f>
        <v/>
      </c>
      <c r="F703">
        <f>IF(Entry!$D703&lt;&gt;"",IF(AND(ISNUMBER(Entry!$D703),Entry!$D703&gt;=0,Entry!$D703&lt;1),RIGHT("00"&amp;HOUR(Entry!$D703),2)&amp;":"&amp;RIGHT("00"&amp;MINUTE(Entry!$D703),2),IFERROR(RIGHT("00"&amp;VALUE(TRIM(LEFT(Entry!$D703,FIND(":",Entry!$D703)-1))),2)&amp;":"&amp;RIGHT("00"&amp;VALUE(TRIM(MID(Entry!$D703,FIND(":",Entry!$D703)+1,2))),2),"نامعتبر")),IF(OR($E703="",$E703="نامعتبر"),"","00:00"))</f>
        <v/>
      </c>
      <c r="G703">
        <f>IF(OR($E703="",$E703="نامعتبر"),"",IF(Entry!$E703="","",LEFT(UPPER(TRIM(Entry!$E703)),6)))</f>
        <v/>
      </c>
      <c r="H703">
        <f>IF($G703="","",RIGHT($E703,4)&amp;MID($E703,6,2)&amp;RIGHT($E703,2)&amp;IF($F703="","0000",IF($F703="نامعتبر","9999",LEFT($F703,2)&amp;RIGHT($F703,2)))&amp;"|"&amp;RIGHT("00000"&amp;695,5))</f>
        <v/>
      </c>
      <c r="I703">
        <f>IF($H703="","",COUNTIFS(CalcBank,$G703,CalcKey,"&lt;"&amp;$H703)+1)</f>
        <v/>
      </c>
      <c r="J703">
        <f>IF($I703="","",$G703&amp;"|"&amp;RIGHT("000000"&amp;$I703,6))</f>
        <v/>
      </c>
      <c r="K703">
        <f>IF(OR($E703="",$E703="نامعتبر"),"",LEFT($E703,4)&amp;"/"&amp;MID($E703,6,2))</f>
        <v/>
      </c>
      <c r="L703">
        <f>IF(Entry!$K703="",0,Entry!$K703)</f>
        <v/>
      </c>
      <c r="M703">
        <f>IF(Entry!$L703="",0,Entry!$L703)</f>
        <v/>
      </c>
    </row>
    <row r="704">
      <c r="A704">
        <f>IF(Entry!$C704="","",Entry!$C704)</f>
        <v/>
      </c>
      <c r="B704">
        <f>IF($A704="","",IF(ISNUMBER($A704),IF(AND($A704&gt;=10000101,$A704&lt;=99991231),INT($A704/10000),""),IFERROR(VALUE(TRIM(LEFT($A704,FIND("/",$A704)-1))),"")))</f>
        <v/>
      </c>
      <c r="C704">
        <f>IF(OR($A704="",$B704=""),"",IF(ISNUMBER($A704),INT(MOD($A704,10000)/100),IFERROR(VALUE(TRIM(LEFT(MID($A704,FIND("/",$A704)+1,20),FIND("/",MID($A704,FIND("/",$A704)+1,20))-1))),"")))</f>
        <v/>
      </c>
      <c r="D704">
        <f>IF(OR($A704="",$B704=""),"",IF(ISNUMBER($A704),MOD($A704,100),IFERROR(VALUE(TRIM(MID(MID($A704,FIND("/",$A704)+1,20),FIND("/",MID($A704,FIND("/",$A704)+1,20))+1,20))),"")))</f>
        <v/>
      </c>
      <c r="E704">
        <f>IF($A704="","",IF(OR($B704="",$C704="",$D704="",$B704&lt;1300,$B704&gt;1500,$C704&lt;1,$C704&gt;12,$D704&lt;1,$D704&gt;31),"نامعتبر",RIGHT("0000"&amp;$B704,4)&amp;"/"&amp;RIGHT("00"&amp;$C704,2)&amp;"/"&amp;RIGHT("00"&amp;$D704,2)))</f>
        <v/>
      </c>
      <c r="F704">
        <f>IF(Entry!$D704&lt;&gt;"",IF(AND(ISNUMBER(Entry!$D704),Entry!$D704&gt;=0,Entry!$D704&lt;1),RIGHT("00"&amp;HOUR(Entry!$D704),2)&amp;":"&amp;RIGHT("00"&amp;MINUTE(Entry!$D704),2),IFERROR(RIGHT("00"&amp;VALUE(TRIM(LEFT(Entry!$D704,FIND(":",Entry!$D704)-1))),2)&amp;":"&amp;RIGHT("00"&amp;VALUE(TRIM(MID(Entry!$D704,FIND(":",Entry!$D704)+1,2))),2),"نامعتبر")),IF(OR($E704="",$E704="نامعتبر"),"","00:00"))</f>
        <v/>
      </c>
      <c r="G704">
        <f>IF(OR($E704="",$E704="نامعتبر"),"",IF(Entry!$E704="","",LEFT(UPPER(TRIM(Entry!$E704)),6)))</f>
        <v/>
      </c>
      <c r="H704">
        <f>IF($G704="","",RIGHT($E704,4)&amp;MID($E704,6,2)&amp;RIGHT($E704,2)&amp;IF($F704="","0000",IF($F704="نامعتبر","9999",LEFT($F704,2)&amp;RIGHT($F704,2)))&amp;"|"&amp;RIGHT("00000"&amp;696,5))</f>
        <v/>
      </c>
      <c r="I704">
        <f>IF($H704="","",COUNTIFS(CalcBank,$G704,CalcKey,"&lt;"&amp;$H704)+1)</f>
        <v/>
      </c>
      <c r="J704">
        <f>IF($I704="","",$G704&amp;"|"&amp;RIGHT("000000"&amp;$I704,6))</f>
        <v/>
      </c>
      <c r="K704">
        <f>IF(OR($E704="",$E704="نامعتبر"),"",LEFT($E704,4)&amp;"/"&amp;MID($E704,6,2))</f>
        <v/>
      </c>
      <c r="L704">
        <f>IF(Entry!$K704="",0,Entry!$K704)</f>
        <v/>
      </c>
      <c r="M704">
        <f>IF(Entry!$L704="",0,Entry!$L704)</f>
        <v/>
      </c>
    </row>
    <row r="705">
      <c r="A705">
        <f>IF(Entry!$C705="","",Entry!$C705)</f>
        <v/>
      </c>
      <c r="B705">
        <f>IF($A705="","",IF(ISNUMBER($A705),IF(AND($A705&gt;=10000101,$A705&lt;=99991231),INT($A705/10000),""),IFERROR(VALUE(TRIM(LEFT($A705,FIND("/",$A705)-1))),"")))</f>
        <v/>
      </c>
      <c r="C705">
        <f>IF(OR($A705="",$B705=""),"",IF(ISNUMBER($A705),INT(MOD($A705,10000)/100),IFERROR(VALUE(TRIM(LEFT(MID($A705,FIND("/",$A705)+1,20),FIND("/",MID($A705,FIND("/",$A705)+1,20))-1))),"")))</f>
        <v/>
      </c>
      <c r="D705">
        <f>IF(OR($A705="",$B705=""),"",IF(ISNUMBER($A705),MOD($A705,100),IFERROR(VALUE(TRIM(MID(MID($A705,FIND("/",$A705)+1,20),FIND("/",MID($A705,FIND("/",$A705)+1,20))+1,20))),"")))</f>
        <v/>
      </c>
      <c r="E705">
        <f>IF($A705="","",IF(OR($B705="",$C705="",$D705="",$B705&lt;1300,$B705&gt;1500,$C705&lt;1,$C705&gt;12,$D705&lt;1,$D705&gt;31),"نامعتبر",RIGHT("0000"&amp;$B705,4)&amp;"/"&amp;RIGHT("00"&amp;$C705,2)&amp;"/"&amp;RIGHT("00"&amp;$D705,2)))</f>
        <v/>
      </c>
      <c r="F705">
        <f>IF(Entry!$D705&lt;&gt;"",IF(AND(ISNUMBER(Entry!$D705),Entry!$D705&gt;=0,Entry!$D705&lt;1),RIGHT("00"&amp;HOUR(Entry!$D705),2)&amp;":"&amp;RIGHT("00"&amp;MINUTE(Entry!$D705),2),IFERROR(RIGHT("00"&amp;VALUE(TRIM(LEFT(Entry!$D705,FIND(":",Entry!$D705)-1))),2)&amp;":"&amp;RIGHT("00"&amp;VALUE(TRIM(MID(Entry!$D705,FIND(":",Entry!$D705)+1,2))),2),"نامعتبر")),IF(OR($E705="",$E705="نامعتبر"),"","00:00"))</f>
        <v/>
      </c>
      <c r="G705">
        <f>IF(OR($E705="",$E705="نامعتبر"),"",IF(Entry!$E705="","",LEFT(UPPER(TRIM(Entry!$E705)),6)))</f>
        <v/>
      </c>
      <c r="H705">
        <f>IF($G705="","",RIGHT($E705,4)&amp;MID($E705,6,2)&amp;RIGHT($E705,2)&amp;IF($F705="","0000",IF($F705="نامعتبر","9999",LEFT($F705,2)&amp;RIGHT($F705,2)))&amp;"|"&amp;RIGHT("00000"&amp;697,5))</f>
        <v/>
      </c>
      <c r="I705">
        <f>IF($H705="","",COUNTIFS(CalcBank,$G705,CalcKey,"&lt;"&amp;$H705)+1)</f>
        <v/>
      </c>
      <c r="J705">
        <f>IF($I705="","",$G705&amp;"|"&amp;RIGHT("000000"&amp;$I705,6))</f>
        <v/>
      </c>
      <c r="K705">
        <f>IF(OR($E705="",$E705="نامعتبر"),"",LEFT($E705,4)&amp;"/"&amp;MID($E705,6,2))</f>
        <v/>
      </c>
      <c r="L705">
        <f>IF(Entry!$K705="",0,Entry!$K705)</f>
        <v/>
      </c>
      <c r="M705">
        <f>IF(Entry!$L705="",0,Entry!$L705)</f>
        <v/>
      </c>
    </row>
    <row r="706">
      <c r="A706">
        <f>IF(Entry!$C706="","",Entry!$C706)</f>
        <v/>
      </c>
      <c r="B706">
        <f>IF($A706="","",IF(ISNUMBER($A706),IF(AND($A706&gt;=10000101,$A706&lt;=99991231),INT($A706/10000),""),IFERROR(VALUE(TRIM(LEFT($A706,FIND("/",$A706)-1))),"")))</f>
        <v/>
      </c>
      <c r="C706">
        <f>IF(OR($A706="",$B706=""),"",IF(ISNUMBER($A706),INT(MOD($A706,10000)/100),IFERROR(VALUE(TRIM(LEFT(MID($A706,FIND("/",$A706)+1,20),FIND("/",MID($A706,FIND("/",$A706)+1,20))-1))),"")))</f>
        <v/>
      </c>
      <c r="D706">
        <f>IF(OR($A706="",$B706=""),"",IF(ISNUMBER($A706),MOD($A706,100),IFERROR(VALUE(TRIM(MID(MID($A706,FIND("/",$A706)+1,20),FIND("/",MID($A706,FIND("/",$A706)+1,20))+1,20))),"")))</f>
        <v/>
      </c>
      <c r="E706">
        <f>IF($A706="","",IF(OR($B706="",$C706="",$D706="",$B706&lt;1300,$B706&gt;1500,$C706&lt;1,$C706&gt;12,$D706&lt;1,$D706&gt;31),"نامعتبر",RIGHT("0000"&amp;$B706,4)&amp;"/"&amp;RIGHT("00"&amp;$C706,2)&amp;"/"&amp;RIGHT("00"&amp;$D706,2)))</f>
        <v/>
      </c>
      <c r="F706">
        <f>IF(Entry!$D706&lt;&gt;"",IF(AND(ISNUMBER(Entry!$D706),Entry!$D706&gt;=0,Entry!$D706&lt;1),RIGHT("00"&amp;HOUR(Entry!$D706),2)&amp;":"&amp;RIGHT("00"&amp;MINUTE(Entry!$D706),2),IFERROR(RIGHT("00"&amp;VALUE(TRIM(LEFT(Entry!$D706,FIND(":",Entry!$D706)-1))),2)&amp;":"&amp;RIGHT("00"&amp;VALUE(TRIM(MID(Entry!$D706,FIND(":",Entry!$D706)+1,2))),2),"نامعتبر")),IF(OR($E706="",$E706="نامعتبر"),"","00:00"))</f>
        <v/>
      </c>
      <c r="G706">
        <f>IF(OR($E706="",$E706="نامعتبر"),"",IF(Entry!$E706="","",LEFT(UPPER(TRIM(Entry!$E706)),6)))</f>
        <v/>
      </c>
      <c r="H706">
        <f>IF($G706="","",RIGHT($E706,4)&amp;MID($E706,6,2)&amp;RIGHT($E706,2)&amp;IF($F706="","0000",IF($F706="نامعتبر","9999",LEFT($F706,2)&amp;RIGHT($F706,2)))&amp;"|"&amp;RIGHT("00000"&amp;698,5))</f>
        <v/>
      </c>
      <c r="I706">
        <f>IF($H706="","",COUNTIFS(CalcBank,$G706,CalcKey,"&lt;"&amp;$H706)+1)</f>
        <v/>
      </c>
      <c r="J706">
        <f>IF($I706="","",$G706&amp;"|"&amp;RIGHT("000000"&amp;$I706,6))</f>
        <v/>
      </c>
      <c r="K706">
        <f>IF(OR($E706="",$E706="نامعتبر"),"",LEFT($E706,4)&amp;"/"&amp;MID($E706,6,2))</f>
        <v/>
      </c>
      <c r="L706">
        <f>IF(Entry!$K706="",0,Entry!$K706)</f>
        <v/>
      </c>
      <c r="M706">
        <f>IF(Entry!$L706="",0,Entry!$L706)</f>
        <v/>
      </c>
    </row>
    <row r="707">
      <c r="A707">
        <f>IF(Entry!$C707="","",Entry!$C707)</f>
        <v/>
      </c>
      <c r="B707">
        <f>IF($A707="","",IF(ISNUMBER($A707),IF(AND($A707&gt;=10000101,$A707&lt;=99991231),INT($A707/10000),""),IFERROR(VALUE(TRIM(LEFT($A707,FIND("/",$A707)-1))),"")))</f>
        <v/>
      </c>
      <c r="C707">
        <f>IF(OR($A707="",$B707=""),"",IF(ISNUMBER($A707),INT(MOD($A707,10000)/100),IFERROR(VALUE(TRIM(LEFT(MID($A707,FIND("/",$A707)+1,20),FIND("/",MID($A707,FIND("/",$A707)+1,20))-1))),"")))</f>
        <v/>
      </c>
      <c r="D707">
        <f>IF(OR($A707="",$B707=""),"",IF(ISNUMBER($A707),MOD($A707,100),IFERROR(VALUE(TRIM(MID(MID($A707,FIND("/",$A707)+1,20),FIND("/",MID($A707,FIND("/",$A707)+1,20))+1,20))),"")))</f>
        <v/>
      </c>
      <c r="E707">
        <f>IF($A707="","",IF(OR($B707="",$C707="",$D707="",$B707&lt;1300,$B707&gt;1500,$C707&lt;1,$C707&gt;12,$D707&lt;1,$D707&gt;31),"نامعتبر",RIGHT("0000"&amp;$B707,4)&amp;"/"&amp;RIGHT("00"&amp;$C707,2)&amp;"/"&amp;RIGHT("00"&amp;$D707,2)))</f>
        <v/>
      </c>
      <c r="F707">
        <f>IF(Entry!$D707&lt;&gt;"",IF(AND(ISNUMBER(Entry!$D707),Entry!$D707&gt;=0,Entry!$D707&lt;1),RIGHT("00"&amp;HOUR(Entry!$D707),2)&amp;":"&amp;RIGHT("00"&amp;MINUTE(Entry!$D707),2),IFERROR(RIGHT("00"&amp;VALUE(TRIM(LEFT(Entry!$D707,FIND(":",Entry!$D707)-1))),2)&amp;":"&amp;RIGHT("00"&amp;VALUE(TRIM(MID(Entry!$D707,FIND(":",Entry!$D707)+1,2))),2),"نامعتبر")),IF(OR($E707="",$E707="نامعتبر"),"","00:00"))</f>
        <v/>
      </c>
      <c r="G707">
        <f>IF(OR($E707="",$E707="نامعتبر"),"",IF(Entry!$E707="","",LEFT(UPPER(TRIM(Entry!$E707)),6)))</f>
        <v/>
      </c>
      <c r="H707">
        <f>IF($G707="","",RIGHT($E707,4)&amp;MID($E707,6,2)&amp;RIGHT($E707,2)&amp;IF($F707="","0000",IF($F707="نامعتبر","9999",LEFT($F707,2)&amp;RIGHT($F707,2)))&amp;"|"&amp;RIGHT("00000"&amp;699,5))</f>
        <v/>
      </c>
      <c r="I707">
        <f>IF($H707="","",COUNTIFS(CalcBank,$G707,CalcKey,"&lt;"&amp;$H707)+1)</f>
        <v/>
      </c>
      <c r="J707">
        <f>IF($I707="","",$G707&amp;"|"&amp;RIGHT("000000"&amp;$I707,6))</f>
        <v/>
      </c>
      <c r="K707">
        <f>IF(OR($E707="",$E707="نامعتبر"),"",LEFT($E707,4)&amp;"/"&amp;MID($E707,6,2))</f>
        <v/>
      </c>
      <c r="L707">
        <f>IF(Entry!$K707="",0,Entry!$K707)</f>
        <v/>
      </c>
      <c r="M707">
        <f>IF(Entry!$L707="",0,Entry!$L707)</f>
        <v/>
      </c>
    </row>
    <row r="708">
      <c r="A708">
        <f>IF(Entry!$C708="","",Entry!$C708)</f>
        <v/>
      </c>
      <c r="B708">
        <f>IF($A708="","",IF(ISNUMBER($A708),IF(AND($A708&gt;=10000101,$A708&lt;=99991231),INT($A708/10000),""),IFERROR(VALUE(TRIM(LEFT($A708,FIND("/",$A708)-1))),"")))</f>
        <v/>
      </c>
      <c r="C708">
        <f>IF(OR($A708="",$B708=""),"",IF(ISNUMBER($A708),INT(MOD($A708,10000)/100),IFERROR(VALUE(TRIM(LEFT(MID($A708,FIND("/",$A708)+1,20),FIND("/",MID($A708,FIND("/",$A708)+1,20))-1))),"")))</f>
        <v/>
      </c>
      <c r="D708">
        <f>IF(OR($A708="",$B708=""),"",IF(ISNUMBER($A708),MOD($A708,100),IFERROR(VALUE(TRIM(MID(MID($A708,FIND("/",$A708)+1,20),FIND("/",MID($A708,FIND("/",$A708)+1,20))+1,20))),"")))</f>
        <v/>
      </c>
      <c r="E708">
        <f>IF($A708="","",IF(OR($B708="",$C708="",$D708="",$B708&lt;1300,$B708&gt;1500,$C708&lt;1,$C708&gt;12,$D708&lt;1,$D708&gt;31),"نامعتبر",RIGHT("0000"&amp;$B708,4)&amp;"/"&amp;RIGHT("00"&amp;$C708,2)&amp;"/"&amp;RIGHT("00"&amp;$D708,2)))</f>
        <v/>
      </c>
      <c r="F708">
        <f>IF(Entry!$D708&lt;&gt;"",IF(AND(ISNUMBER(Entry!$D708),Entry!$D708&gt;=0,Entry!$D708&lt;1),RIGHT("00"&amp;HOUR(Entry!$D708),2)&amp;":"&amp;RIGHT("00"&amp;MINUTE(Entry!$D708),2),IFERROR(RIGHT("00"&amp;VALUE(TRIM(LEFT(Entry!$D708,FIND(":",Entry!$D708)-1))),2)&amp;":"&amp;RIGHT("00"&amp;VALUE(TRIM(MID(Entry!$D708,FIND(":",Entry!$D708)+1,2))),2),"نامعتبر")),IF(OR($E708="",$E708="نامعتبر"),"","00:00"))</f>
        <v/>
      </c>
      <c r="G708">
        <f>IF(OR($E708="",$E708="نامعتبر"),"",IF(Entry!$E708="","",LEFT(UPPER(TRIM(Entry!$E708)),6)))</f>
        <v/>
      </c>
      <c r="H708">
        <f>IF($G708="","",RIGHT($E708,4)&amp;MID($E708,6,2)&amp;RIGHT($E708,2)&amp;IF($F708="","0000",IF($F708="نامعتبر","9999",LEFT($F708,2)&amp;RIGHT($F708,2)))&amp;"|"&amp;RIGHT("00000"&amp;700,5))</f>
        <v/>
      </c>
      <c r="I708">
        <f>IF($H708="","",COUNTIFS(CalcBank,$G708,CalcKey,"&lt;"&amp;$H708)+1)</f>
        <v/>
      </c>
      <c r="J708">
        <f>IF($I708="","",$G708&amp;"|"&amp;RIGHT("000000"&amp;$I708,6))</f>
        <v/>
      </c>
      <c r="K708">
        <f>IF(OR($E708="",$E708="نامعتبر"),"",LEFT($E708,4)&amp;"/"&amp;MID($E708,6,2))</f>
        <v/>
      </c>
      <c r="L708">
        <f>IF(Entry!$K708="",0,Entry!$K708)</f>
        <v/>
      </c>
      <c r="M708">
        <f>IF(Entry!$L708="",0,Entry!$L708)</f>
        <v/>
      </c>
    </row>
    <row r="709">
      <c r="A709">
        <f>IF(Entry!$C709="","",Entry!$C709)</f>
        <v/>
      </c>
      <c r="B709">
        <f>IF($A709="","",IF(ISNUMBER($A709),IF(AND($A709&gt;=10000101,$A709&lt;=99991231),INT($A709/10000),""),IFERROR(VALUE(TRIM(LEFT($A709,FIND("/",$A709)-1))),"")))</f>
        <v/>
      </c>
      <c r="C709">
        <f>IF(OR($A709="",$B709=""),"",IF(ISNUMBER($A709),INT(MOD($A709,10000)/100),IFERROR(VALUE(TRIM(LEFT(MID($A709,FIND("/",$A709)+1,20),FIND("/",MID($A709,FIND("/",$A709)+1,20))-1))),"")))</f>
        <v/>
      </c>
      <c r="D709">
        <f>IF(OR($A709="",$B709=""),"",IF(ISNUMBER($A709),MOD($A709,100),IFERROR(VALUE(TRIM(MID(MID($A709,FIND("/",$A709)+1,20),FIND("/",MID($A709,FIND("/",$A709)+1,20))+1,20))),"")))</f>
        <v/>
      </c>
      <c r="E709">
        <f>IF($A709="","",IF(OR($B709="",$C709="",$D709="",$B709&lt;1300,$B709&gt;1500,$C709&lt;1,$C709&gt;12,$D709&lt;1,$D709&gt;31),"نامعتبر",RIGHT("0000"&amp;$B709,4)&amp;"/"&amp;RIGHT("00"&amp;$C709,2)&amp;"/"&amp;RIGHT("00"&amp;$D709,2)))</f>
        <v/>
      </c>
      <c r="F709">
        <f>IF(Entry!$D709&lt;&gt;"",IF(AND(ISNUMBER(Entry!$D709),Entry!$D709&gt;=0,Entry!$D709&lt;1),RIGHT("00"&amp;HOUR(Entry!$D709),2)&amp;":"&amp;RIGHT("00"&amp;MINUTE(Entry!$D709),2),IFERROR(RIGHT("00"&amp;VALUE(TRIM(LEFT(Entry!$D709,FIND(":",Entry!$D709)-1))),2)&amp;":"&amp;RIGHT("00"&amp;VALUE(TRIM(MID(Entry!$D709,FIND(":",Entry!$D709)+1,2))),2),"نامعتبر")),IF(OR($E709="",$E709="نامعتبر"),"","00:00"))</f>
        <v/>
      </c>
      <c r="G709">
        <f>IF(OR($E709="",$E709="نامعتبر"),"",IF(Entry!$E709="","",LEFT(UPPER(TRIM(Entry!$E709)),6)))</f>
        <v/>
      </c>
      <c r="H709">
        <f>IF($G709="","",RIGHT($E709,4)&amp;MID($E709,6,2)&amp;RIGHT($E709,2)&amp;IF($F709="","0000",IF($F709="نامعتبر","9999",LEFT($F709,2)&amp;RIGHT($F709,2)))&amp;"|"&amp;RIGHT("00000"&amp;701,5))</f>
        <v/>
      </c>
      <c r="I709">
        <f>IF($H709="","",COUNTIFS(CalcBank,$G709,CalcKey,"&lt;"&amp;$H709)+1)</f>
        <v/>
      </c>
      <c r="J709">
        <f>IF($I709="","",$G709&amp;"|"&amp;RIGHT("000000"&amp;$I709,6))</f>
        <v/>
      </c>
      <c r="K709">
        <f>IF(OR($E709="",$E709="نامعتبر"),"",LEFT($E709,4)&amp;"/"&amp;MID($E709,6,2))</f>
        <v/>
      </c>
      <c r="L709">
        <f>IF(Entry!$K709="",0,Entry!$K709)</f>
        <v/>
      </c>
      <c r="M709">
        <f>IF(Entry!$L709="",0,Entry!$L709)</f>
        <v/>
      </c>
    </row>
    <row r="710">
      <c r="A710">
        <f>IF(Entry!$C710="","",Entry!$C710)</f>
        <v/>
      </c>
      <c r="B710">
        <f>IF($A710="","",IF(ISNUMBER($A710),IF(AND($A710&gt;=10000101,$A710&lt;=99991231),INT($A710/10000),""),IFERROR(VALUE(TRIM(LEFT($A710,FIND("/",$A710)-1))),"")))</f>
        <v/>
      </c>
      <c r="C710">
        <f>IF(OR($A710="",$B710=""),"",IF(ISNUMBER($A710),INT(MOD($A710,10000)/100),IFERROR(VALUE(TRIM(LEFT(MID($A710,FIND("/",$A710)+1,20),FIND("/",MID($A710,FIND("/",$A710)+1,20))-1))),"")))</f>
        <v/>
      </c>
      <c r="D710">
        <f>IF(OR($A710="",$B710=""),"",IF(ISNUMBER($A710),MOD($A710,100),IFERROR(VALUE(TRIM(MID(MID($A710,FIND("/",$A710)+1,20),FIND("/",MID($A710,FIND("/",$A710)+1,20))+1,20))),"")))</f>
        <v/>
      </c>
      <c r="E710">
        <f>IF($A710="","",IF(OR($B710="",$C710="",$D710="",$B710&lt;1300,$B710&gt;1500,$C710&lt;1,$C710&gt;12,$D710&lt;1,$D710&gt;31),"نامعتبر",RIGHT("0000"&amp;$B710,4)&amp;"/"&amp;RIGHT("00"&amp;$C710,2)&amp;"/"&amp;RIGHT("00"&amp;$D710,2)))</f>
        <v/>
      </c>
      <c r="F710">
        <f>IF(Entry!$D710&lt;&gt;"",IF(AND(ISNUMBER(Entry!$D710),Entry!$D710&gt;=0,Entry!$D710&lt;1),RIGHT("00"&amp;HOUR(Entry!$D710),2)&amp;":"&amp;RIGHT("00"&amp;MINUTE(Entry!$D710),2),IFERROR(RIGHT("00"&amp;VALUE(TRIM(LEFT(Entry!$D710,FIND(":",Entry!$D710)-1))),2)&amp;":"&amp;RIGHT("00"&amp;VALUE(TRIM(MID(Entry!$D710,FIND(":",Entry!$D710)+1,2))),2),"نامعتبر")),IF(OR($E710="",$E710="نامعتبر"),"","00:00"))</f>
        <v/>
      </c>
      <c r="G710">
        <f>IF(OR($E710="",$E710="نامعتبر"),"",IF(Entry!$E710="","",LEFT(UPPER(TRIM(Entry!$E710)),6)))</f>
        <v/>
      </c>
      <c r="H710">
        <f>IF($G710="","",RIGHT($E710,4)&amp;MID($E710,6,2)&amp;RIGHT($E710,2)&amp;IF($F710="","0000",IF($F710="نامعتبر","9999",LEFT($F710,2)&amp;RIGHT($F710,2)))&amp;"|"&amp;RIGHT("00000"&amp;702,5))</f>
        <v/>
      </c>
      <c r="I710">
        <f>IF($H710="","",COUNTIFS(CalcBank,$G710,CalcKey,"&lt;"&amp;$H710)+1)</f>
        <v/>
      </c>
      <c r="J710">
        <f>IF($I710="","",$G710&amp;"|"&amp;RIGHT("000000"&amp;$I710,6))</f>
        <v/>
      </c>
      <c r="K710">
        <f>IF(OR($E710="",$E710="نامعتبر"),"",LEFT($E710,4)&amp;"/"&amp;MID($E710,6,2))</f>
        <v/>
      </c>
      <c r="L710">
        <f>IF(Entry!$K710="",0,Entry!$K710)</f>
        <v/>
      </c>
      <c r="M710">
        <f>IF(Entry!$L710="",0,Entry!$L710)</f>
        <v/>
      </c>
    </row>
    <row r="711">
      <c r="A711">
        <f>IF(Entry!$C711="","",Entry!$C711)</f>
        <v/>
      </c>
      <c r="B711">
        <f>IF($A711="","",IF(ISNUMBER($A711),IF(AND($A711&gt;=10000101,$A711&lt;=99991231),INT($A711/10000),""),IFERROR(VALUE(TRIM(LEFT($A711,FIND("/",$A711)-1))),"")))</f>
        <v/>
      </c>
      <c r="C711">
        <f>IF(OR($A711="",$B711=""),"",IF(ISNUMBER($A711),INT(MOD($A711,10000)/100),IFERROR(VALUE(TRIM(LEFT(MID($A711,FIND("/",$A711)+1,20),FIND("/",MID($A711,FIND("/",$A711)+1,20))-1))),"")))</f>
        <v/>
      </c>
      <c r="D711">
        <f>IF(OR($A711="",$B711=""),"",IF(ISNUMBER($A711),MOD($A711,100),IFERROR(VALUE(TRIM(MID(MID($A711,FIND("/",$A711)+1,20),FIND("/",MID($A711,FIND("/",$A711)+1,20))+1,20))),"")))</f>
        <v/>
      </c>
      <c r="E711">
        <f>IF($A711="","",IF(OR($B711="",$C711="",$D711="",$B711&lt;1300,$B711&gt;1500,$C711&lt;1,$C711&gt;12,$D711&lt;1,$D711&gt;31),"نامعتبر",RIGHT("0000"&amp;$B711,4)&amp;"/"&amp;RIGHT("00"&amp;$C711,2)&amp;"/"&amp;RIGHT("00"&amp;$D711,2)))</f>
        <v/>
      </c>
      <c r="F711">
        <f>IF(Entry!$D711&lt;&gt;"",IF(AND(ISNUMBER(Entry!$D711),Entry!$D711&gt;=0,Entry!$D711&lt;1),RIGHT("00"&amp;HOUR(Entry!$D711),2)&amp;":"&amp;RIGHT("00"&amp;MINUTE(Entry!$D711),2),IFERROR(RIGHT("00"&amp;VALUE(TRIM(LEFT(Entry!$D711,FIND(":",Entry!$D711)-1))),2)&amp;":"&amp;RIGHT("00"&amp;VALUE(TRIM(MID(Entry!$D711,FIND(":",Entry!$D711)+1,2))),2),"نامعتبر")),IF(OR($E711="",$E711="نامعتبر"),"","00:00"))</f>
        <v/>
      </c>
      <c r="G711">
        <f>IF(OR($E711="",$E711="نامعتبر"),"",IF(Entry!$E711="","",LEFT(UPPER(TRIM(Entry!$E711)),6)))</f>
        <v/>
      </c>
      <c r="H711">
        <f>IF($G711="","",RIGHT($E711,4)&amp;MID($E711,6,2)&amp;RIGHT($E711,2)&amp;IF($F711="","0000",IF($F711="نامعتبر","9999",LEFT($F711,2)&amp;RIGHT($F711,2)))&amp;"|"&amp;RIGHT("00000"&amp;703,5))</f>
        <v/>
      </c>
      <c r="I711">
        <f>IF($H711="","",COUNTIFS(CalcBank,$G711,CalcKey,"&lt;"&amp;$H711)+1)</f>
        <v/>
      </c>
      <c r="J711">
        <f>IF($I711="","",$G711&amp;"|"&amp;RIGHT("000000"&amp;$I711,6))</f>
        <v/>
      </c>
      <c r="K711">
        <f>IF(OR($E711="",$E711="نامعتبر"),"",LEFT($E711,4)&amp;"/"&amp;MID($E711,6,2))</f>
        <v/>
      </c>
      <c r="L711">
        <f>IF(Entry!$K711="",0,Entry!$K711)</f>
        <v/>
      </c>
      <c r="M711">
        <f>IF(Entry!$L711="",0,Entry!$L711)</f>
        <v/>
      </c>
    </row>
    <row r="712">
      <c r="A712">
        <f>IF(Entry!$C712="","",Entry!$C712)</f>
        <v/>
      </c>
      <c r="B712">
        <f>IF($A712="","",IF(ISNUMBER($A712),IF(AND($A712&gt;=10000101,$A712&lt;=99991231),INT($A712/10000),""),IFERROR(VALUE(TRIM(LEFT($A712,FIND("/",$A712)-1))),"")))</f>
        <v/>
      </c>
      <c r="C712">
        <f>IF(OR($A712="",$B712=""),"",IF(ISNUMBER($A712),INT(MOD($A712,10000)/100),IFERROR(VALUE(TRIM(LEFT(MID($A712,FIND("/",$A712)+1,20),FIND("/",MID($A712,FIND("/",$A712)+1,20))-1))),"")))</f>
        <v/>
      </c>
      <c r="D712">
        <f>IF(OR($A712="",$B712=""),"",IF(ISNUMBER($A712),MOD($A712,100),IFERROR(VALUE(TRIM(MID(MID($A712,FIND("/",$A712)+1,20),FIND("/",MID($A712,FIND("/",$A712)+1,20))+1,20))),"")))</f>
        <v/>
      </c>
      <c r="E712">
        <f>IF($A712="","",IF(OR($B712="",$C712="",$D712="",$B712&lt;1300,$B712&gt;1500,$C712&lt;1,$C712&gt;12,$D712&lt;1,$D712&gt;31),"نامعتبر",RIGHT("0000"&amp;$B712,4)&amp;"/"&amp;RIGHT("00"&amp;$C712,2)&amp;"/"&amp;RIGHT("00"&amp;$D712,2)))</f>
        <v/>
      </c>
      <c r="F712">
        <f>IF(Entry!$D712&lt;&gt;"",IF(AND(ISNUMBER(Entry!$D712),Entry!$D712&gt;=0,Entry!$D712&lt;1),RIGHT("00"&amp;HOUR(Entry!$D712),2)&amp;":"&amp;RIGHT("00"&amp;MINUTE(Entry!$D712),2),IFERROR(RIGHT("00"&amp;VALUE(TRIM(LEFT(Entry!$D712,FIND(":",Entry!$D712)-1))),2)&amp;":"&amp;RIGHT("00"&amp;VALUE(TRIM(MID(Entry!$D712,FIND(":",Entry!$D712)+1,2))),2),"نامعتبر")),IF(OR($E712="",$E712="نامعتبر"),"","00:00"))</f>
        <v/>
      </c>
      <c r="G712">
        <f>IF(OR($E712="",$E712="نامعتبر"),"",IF(Entry!$E712="","",LEFT(UPPER(TRIM(Entry!$E712)),6)))</f>
        <v/>
      </c>
      <c r="H712">
        <f>IF($G712="","",RIGHT($E712,4)&amp;MID($E712,6,2)&amp;RIGHT($E712,2)&amp;IF($F712="","0000",IF($F712="نامعتبر","9999",LEFT($F712,2)&amp;RIGHT($F712,2)))&amp;"|"&amp;RIGHT("00000"&amp;704,5))</f>
        <v/>
      </c>
      <c r="I712">
        <f>IF($H712="","",COUNTIFS(CalcBank,$G712,CalcKey,"&lt;"&amp;$H712)+1)</f>
        <v/>
      </c>
      <c r="J712">
        <f>IF($I712="","",$G712&amp;"|"&amp;RIGHT("000000"&amp;$I712,6))</f>
        <v/>
      </c>
      <c r="K712">
        <f>IF(OR($E712="",$E712="نامعتبر"),"",LEFT($E712,4)&amp;"/"&amp;MID($E712,6,2))</f>
        <v/>
      </c>
      <c r="L712">
        <f>IF(Entry!$K712="",0,Entry!$K712)</f>
        <v/>
      </c>
      <c r="M712">
        <f>IF(Entry!$L712="",0,Entry!$L712)</f>
        <v/>
      </c>
    </row>
    <row r="713">
      <c r="A713">
        <f>IF(Entry!$C713="","",Entry!$C713)</f>
        <v/>
      </c>
      <c r="B713">
        <f>IF($A713="","",IF(ISNUMBER($A713),IF(AND($A713&gt;=10000101,$A713&lt;=99991231),INT($A713/10000),""),IFERROR(VALUE(TRIM(LEFT($A713,FIND("/",$A713)-1))),"")))</f>
        <v/>
      </c>
      <c r="C713">
        <f>IF(OR($A713="",$B713=""),"",IF(ISNUMBER($A713),INT(MOD($A713,10000)/100),IFERROR(VALUE(TRIM(LEFT(MID($A713,FIND("/",$A713)+1,20),FIND("/",MID($A713,FIND("/",$A713)+1,20))-1))),"")))</f>
        <v/>
      </c>
      <c r="D713">
        <f>IF(OR($A713="",$B713=""),"",IF(ISNUMBER($A713),MOD($A713,100),IFERROR(VALUE(TRIM(MID(MID($A713,FIND("/",$A713)+1,20),FIND("/",MID($A713,FIND("/",$A713)+1,20))+1,20))),"")))</f>
        <v/>
      </c>
      <c r="E713">
        <f>IF($A713="","",IF(OR($B713="",$C713="",$D713="",$B713&lt;1300,$B713&gt;1500,$C713&lt;1,$C713&gt;12,$D713&lt;1,$D713&gt;31),"نامعتبر",RIGHT("0000"&amp;$B713,4)&amp;"/"&amp;RIGHT("00"&amp;$C713,2)&amp;"/"&amp;RIGHT("00"&amp;$D713,2)))</f>
        <v/>
      </c>
      <c r="F713">
        <f>IF(Entry!$D713&lt;&gt;"",IF(AND(ISNUMBER(Entry!$D713),Entry!$D713&gt;=0,Entry!$D713&lt;1),RIGHT("00"&amp;HOUR(Entry!$D713),2)&amp;":"&amp;RIGHT("00"&amp;MINUTE(Entry!$D713),2),IFERROR(RIGHT("00"&amp;VALUE(TRIM(LEFT(Entry!$D713,FIND(":",Entry!$D713)-1))),2)&amp;":"&amp;RIGHT("00"&amp;VALUE(TRIM(MID(Entry!$D713,FIND(":",Entry!$D713)+1,2))),2),"نامعتبر")),IF(OR($E713="",$E713="نامعتبر"),"","00:00"))</f>
        <v/>
      </c>
      <c r="G713">
        <f>IF(OR($E713="",$E713="نامعتبر"),"",IF(Entry!$E713="","",LEFT(UPPER(TRIM(Entry!$E713)),6)))</f>
        <v/>
      </c>
      <c r="H713">
        <f>IF($G713="","",RIGHT($E713,4)&amp;MID($E713,6,2)&amp;RIGHT($E713,2)&amp;IF($F713="","0000",IF($F713="نامعتبر","9999",LEFT($F713,2)&amp;RIGHT($F713,2)))&amp;"|"&amp;RIGHT("00000"&amp;705,5))</f>
        <v/>
      </c>
      <c r="I713">
        <f>IF($H713="","",COUNTIFS(CalcBank,$G713,CalcKey,"&lt;"&amp;$H713)+1)</f>
        <v/>
      </c>
      <c r="J713">
        <f>IF($I713="","",$G713&amp;"|"&amp;RIGHT("000000"&amp;$I713,6))</f>
        <v/>
      </c>
      <c r="K713">
        <f>IF(OR($E713="",$E713="نامعتبر"),"",LEFT($E713,4)&amp;"/"&amp;MID($E713,6,2))</f>
        <v/>
      </c>
      <c r="L713">
        <f>IF(Entry!$K713="",0,Entry!$K713)</f>
        <v/>
      </c>
      <c r="M713">
        <f>IF(Entry!$L713="",0,Entry!$L713)</f>
        <v/>
      </c>
    </row>
    <row r="714">
      <c r="A714">
        <f>IF(Entry!$C714="","",Entry!$C714)</f>
        <v/>
      </c>
      <c r="B714">
        <f>IF($A714="","",IF(ISNUMBER($A714),IF(AND($A714&gt;=10000101,$A714&lt;=99991231),INT($A714/10000),""),IFERROR(VALUE(TRIM(LEFT($A714,FIND("/",$A714)-1))),"")))</f>
        <v/>
      </c>
      <c r="C714">
        <f>IF(OR($A714="",$B714=""),"",IF(ISNUMBER($A714),INT(MOD($A714,10000)/100),IFERROR(VALUE(TRIM(LEFT(MID($A714,FIND("/",$A714)+1,20),FIND("/",MID($A714,FIND("/",$A714)+1,20))-1))),"")))</f>
        <v/>
      </c>
      <c r="D714">
        <f>IF(OR($A714="",$B714=""),"",IF(ISNUMBER($A714),MOD($A714,100),IFERROR(VALUE(TRIM(MID(MID($A714,FIND("/",$A714)+1,20),FIND("/",MID($A714,FIND("/",$A714)+1,20))+1,20))),"")))</f>
        <v/>
      </c>
      <c r="E714">
        <f>IF($A714="","",IF(OR($B714="",$C714="",$D714="",$B714&lt;1300,$B714&gt;1500,$C714&lt;1,$C714&gt;12,$D714&lt;1,$D714&gt;31),"نامعتبر",RIGHT("0000"&amp;$B714,4)&amp;"/"&amp;RIGHT("00"&amp;$C714,2)&amp;"/"&amp;RIGHT("00"&amp;$D714,2)))</f>
        <v/>
      </c>
      <c r="F714">
        <f>IF(Entry!$D714&lt;&gt;"",IF(AND(ISNUMBER(Entry!$D714),Entry!$D714&gt;=0,Entry!$D714&lt;1),RIGHT("00"&amp;HOUR(Entry!$D714),2)&amp;":"&amp;RIGHT("00"&amp;MINUTE(Entry!$D714),2),IFERROR(RIGHT("00"&amp;VALUE(TRIM(LEFT(Entry!$D714,FIND(":",Entry!$D714)-1))),2)&amp;":"&amp;RIGHT("00"&amp;VALUE(TRIM(MID(Entry!$D714,FIND(":",Entry!$D714)+1,2))),2),"نامعتبر")),IF(OR($E714="",$E714="نامعتبر"),"","00:00"))</f>
        <v/>
      </c>
      <c r="G714">
        <f>IF(OR($E714="",$E714="نامعتبر"),"",IF(Entry!$E714="","",LEFT(UPPER(TRIM(Entry!$E714)),6)))</f>
        <v/>
      </c>
      <c r="H714">
        <f>IF($G714="","",RIGHT($E714,4)&amp;MID($E714,6,2)&amp;RIGHT($E714,2)&amp;IF($F714="","0000",IF($F714="نامعتبر","9999",LEFT($F714,2)&amp;RIGHT($F714,2)))&amp;"|"&amp;RIGHT("00000"&amp;706,5))</f>
        <v/>
      </c>
      <c r="I714">
        <f>IF($H714="","",COUNTIFS(CalcBank,$G714,CalcKey,"&lt;"&amp;$H714)+1)</f>
        <v/>
      </c>
      <c r="J714">
        <f>IF($I714="","",$G714&amp;"|"&amp;RIGHT("000000"&amp;$I714,6))</f>
        <v/>
      </c>
      <c r="K714">
        <f>IF(OR($E714="",$E714="نامعتبر"),"",LEFT($E714,4)&amp;"/"&amp;MID($E714,6,2))</f>
        <v/>
      </c>
      <c r="L714">
        <f>IF(Entry!$K714="",0,Entry!$K714)</f>
        <v/>
      </c>
      <c r="M714">
        <f>IF(Entry!$L714="",0,Entry!$L714)</f>
        <v/>
      </c>
    </row>
    <row r="715">
      <c r="A715">
        <f>IF(Entry!$C715="","",Entry!$C715)</f>
        <v/>
      </c>
      <c r="B715">
        <f>IF($A715="","",IF(ISNUMBER($A715),IF(AND($A715&gt;=10000101,$A715&lt;=99991231),INT($A715/10000),""),IFERROR(VALUE(TRIM(LEFT($A715,FIND("/",$A715)-1))),"")))</f>
        <v/>
      </c>
      <c r="C715">
        <f>IF(OR($A715="",$B715=""),"",IF(ISNUMBER($A715),INT(MOD($A715,10000)/100),IFERROR(VALUE(TRIM(LEFT(MID($A715,FIND("/",$A715)+1,20),FIND("/",MID($A715,FIND("/",$A715)+1,20))-1))),"")))</f>
        <v/>
      </c>
      <c r="D715">
        <f>IF(OR($A715="",$B715=""),"",IF(ISNUMBER($A715),MOD($A715,100),IFERROR(VALUE(TRIM(MID(MID($A715,FIND("/",$A715)+1,20),FIND("/",MID($A715,FIND("/",$A715)+1,20))+1,20))),"")))</f>
        <v/>
      </c>
      <c r="E715">
        <f>IF($A715="","",IF(OR($B715="",$C715="",$D715="",$B715&lt;1300,$B715&gt;1500,$C715&lt;1,$C715&gt;12,$D715&lt;1,$D715&gt;31),"نامعتبر",RIGHT("0000"&amp;$B715,4)&amp;"/"&amp;RIGHT("00"&amp;$C715,2)&amp;"/"&amp;RIGHT("00"&amp;$D715,2)))</f>
        <v/>
      </c>
      <c r="F715">
        <f>IF(Entry!$D715&lt;&gt;"",IF(AND(ISNUMBER(Entry!$D715),Entry!$D715&gt;=0,Entry!$D715&lt;1),RIGHT("00"&amp;HOUR(Entry!$D715),2)&amp;":"&amp;RIGHT("00"&amp;MINUTE(Entry!$D715),2),IFERROR(RIGHT("00"&amp;VALUE(TRIM(LEFT(Entry!$D715,FIND(":",Entry!$D715)-1))),2)&amp;":"&amp;RIGHT("00"&amp;VALUE(TRIM(MID(Entry!$D715,FIND(":",Entry!$D715)+1,2))),2),"نامعتبر")),IF(OR($E715="",$E715="نامعتبر"),"","00:00"))</f>
        <v/>
      </c>
      <c r="G715">
        <f>IF(OR($E715="",$E715="نامعتبر"),"",IF(Entry!$E715="","",LEFT(UPPER(TRIM(Entry!$E715)),6)))</f>
        <v/>
      </c>
      <c r="H715">
        <f>IF($G715="","",RIGHT($E715,4)&amp;MID($E715,6,2)&amp;RIGHT($E715,2)&amp;IF($F715="","0000",IF($F715="نامعتبر","9999",LEFT($F715,2)&amp;RIGHT($F715,2)))&amp;"|"&amp;RIGHT("00000"&amp;707,5))</f>
        <v/>
      </c>
      <c r="I715">
        <f>IF($H715="","",COUNTIFS(CalcBank,$G715,CalcKey,"&lt;"&amp;$H715)+1)</f>
        <v/>
      </c>
      <c r="J715">
        <f>IF($I715="","",$G715&amp;"|"&amp;RIGHT("000000"&amp;$I715,6))</f>
        <v/>
      </c>
      <c r="K715">
        <f>IF(OR($E715="",$E715="نامعتبر"),"",LEFT($E715,4)&amp;"/"&amp;MID($E715,6,2))</f>
        <v/>
      </c>
      <c r="L715">
        <f>IF(Entry!$K715="",0,Entry!$K715)</f>
        <v/>
      </c>
      <c r="M715">
        <f>IF(Entry!$L715="",0,Entry!$L715)</f>
        <v/>
      </c>
    </row>
    <row r="716">
      <c r="A716">
        <f>IF(Entry!$C716="","",Entry!$C716)</f>
        <v/>
      </c>
      <c r="B716">
        <f>IF($A716="","",IF(ISNUMBER($A716),IF(AND($A716&gt;=10000101,$A716&lt;=99991231),INT($A716/10000),""),IFERROR(VALUE(TRIM(LEFT($A716,FIND("/",$A716)-1))),"")))</f>
        <v/>
      </c>
      <c r="C716">
        <f>IF(OR($A716="",$B716=""),"",IF(ISNUMBER($A716),INT(MOD($A716,10000)/100),IFERROR(VALUE(TRIM(LEFT(MID($A716,FIND("/",$A716)+1,20),FIND("/",MID($A716,FIND("/",$A716)+1,20))-1))),"")))</f>
        <v/>
      </c>
      <c r="D716">
        <f>IF(OR($A716="",$B716=""),"",IF(ISNUMBER($A716),MOD($A716,100),IFERROR(VALUE(TRIM(MID(MID($A716,FIND("/",$A716)+1,20),FIND("/",MID($A716,FIND("/",$A716)+1,20))+1,20))),"")))</f>
        <v/>
      </c>
      <c r="E716">
        <f>IF($A716="","",IF(OR($B716="",$C716="",$D716="",$B716&lt;1300,$B716&gt;1500,$C716&lt;1,$C716&gt;12,$D716&lt;1,$D716&gt;31),"نامعتبر",RIGHT("0000"&amp;$B716,4)&amp;"/"&amp;RIGHT("00"&amp;$C716,2)&amp;"/"&amp;RIGHT("00"&amp;$D716,2)))</f>
        <v/>
      </c>
      <c r="F716">
        <f>IF(Entry!$D716&lt;&gt;"",IF(AND(ISNUMBER(Entry!$D716),Entry!$D716&gt;=0,Entry!$D716&lt;1),RIGHT("00"&amp;HOUR(Entry!$D716),2)&amp;":"&amp;RIGHT("00"&amp;MINUTE(Entry!$D716),2),IFERROR(RIGHT("00"&amp;VALUE(TRIM(LEFT(Entry!$D716,FIND(":",Entry!$D716)-1))),2)&amp;":"&amp;RIGHT("00"&amp;VALUE(TRIM(MID(Entry!$D716,FIND(":",Entry!$D716)+1,2))),2),"نامعتبر")),IF(OR($E716="",$E716="نامعتبر"),"","00:00"))</f>
        <v/>
      </c>
      <c r="G716">
        <f>IF(OR($E716="",$E716="نامعتبر"),"",IF(Entry!$E716="","",LEFT(UPPER(TRIM(Entry!$E716)),6)))</f>
        <v/>
      </c>
      <c r="H716">
        <f>IF($G716="","",RIGHT($E716,4)&amp;MID($E716,6,2)&amp;RIGHT($E716,2)&amp;IF($F716="","0000",IF($F716="نامعتبر","9999",LEFT($F716,2)&amp;RIGHT($F716,2)))&amp;"|"&amp;RIGHT("00000"&amp;708,5))</f>
        <v/>
      </c>
      <c r="I716">
        <f>IF($H716="","",COUNTIFS(CalcBank,$G716,CalcKey,"&lt;"&amp;$H716)+1)</f>
        <v/>
      </c>
      <c r="J716">
        <f>IF($I716="","",$G716&amp;"|"&amp;RIGHT("000000"&amp;$I716,6))</f>
        <v/>
      </c>
      <c r="K716">
        <f>IF(OR($E716="",$E716="نامعتبر"),"",LEFT($E716,4)&amp;"/"&amp;MID($E716,6,2))</f>
        <v/>
      </c>
      <c r="L716">
        <f>IF(Entry!$K716="",0,Entry!$K716)</f>
        <v/>
      </c>
      <c r="M716">
        <f>IF(Entry!$L716="",0,Entry!$L716)</f>
        <v/>
      </c>
    </row>
    <row r="717">
      <c r="A717">
        <f>IF(Entry!$C717="","",Entry!$C717)</f>
        <v/>
      </c>
      <c r="B717">
        <f>IF($A717="","",IF(ISNUMBER($A717),IF(AND($A717&gt;=10000101,$A717&lt;=99991231),INT($A717/10000),""),IFERROR(VALUE(TRIM(LEFT($A717,FIND("/",$A717)-1))),"")))</f>
        <v/>
      </c>
      <c r="C717">
        <f>IF(OR($A717="",$B717=""),"",IF(ISNUMBER($A717),INT(MOD($A717,10000)/100),IFERROR(VALUE(TRIM(LEFT(MID($A717,FIND("/",$A717)+1,20),FIND("/",MID($A717,FIND("/",$A717)+1,20))-1))),"")))</f>
        <v/>
      </c>
      <c r="D717">
        <f>IF(OR($A717="",$B717=""),"",IF(ISNUMBER($A717),MOD($A717,100),IFERROR(VALUE(TRIM(MID(MID($A717,FIND("/",$A717)+1,20),FIND("/",MID($A717,FIND("/",$A717)+1,20))+1,20))),"")))</f>
        <v/>
      </c>
      <c r="E717">
        <f>IF($A717="","",IF(OR($B717="",$C717="",$D717="",$B717&lt;1300,$B717&gt;1500,$C717&lt;1,$C717&gt;12,$D717&lt;1,$D717&gt;31),"نامعتبر",RIGHT("0000"&amp;$B717,4)&amp;"/"&amp;RIGHT("00"&amp;$C717,2)&amp;"/"&amp;RIGHT("00"&amp;$D717,2)))</f>
        <v/>
      </c>
      <c r="F717">
        <f>IF(Entry!$D717&lt;&gt;"",IF(AND(ISNUMBER(Entry!$D717),Entry!$D717&gt;=0,Entry!$D717&lt;1),RIGHT("00"&amp;HOUR(Entry!$D717),2)&amp;":"&amp;RIGHT("00"&amp;MINUTE(Entry!$D717),2),IFERROR(RIGHT("00"&amp;VALUE(TRIM(LEFT(Entry!$D717,FIND(":",Entry!$D717)-1))),2)&amp;":"&amp;RIGHT("00"&amp;VALUE(TRIM(MID(Entry!$D717,FIND(":",Entry!$D717)+1,2))),2),"نامعتبر")),IF(OR($E717="",$E717="نامعتبر"),"","00:00"))</f>
        <v/>
      </c>
      <c r="G717">
        <f>IF(OR($E717="",$E717="نامعتبر"),"",IF(Entry!$E717="","",LEFT(UPPER(TRIM(Entry!$E717)),6)))</f>
        <v/>
      </c>
      <c r="H717">
        <f>IF($G717="","",RIGHT($E717,4)&amp;MID($E717,6,2)&amp;RIGHT($E717,2)&amp;IF($F717="","0000",IF($F717="نامعتبر","9999",LEFT($F717,2)&amp;RIGHT($F717,2)))&amp;"|"&amp;RIGHT("00000"&amp;709,5))</f>
        <v/>
      </c>
      <c r="I717">
        <f>IF($H717="","",COUNTIFS(CalcBank,$G717,CalcKey,"&lt;"&amp;$H717)+1)</f>
        <v/>
      </c>
      <c r="J717">
        <f>IF($I717="","",$G717&amp;"|"&amp;RIGHT("000000"&amp;$I717,6))</f>
        <v/>
      </c>
      <c r="K717">
        <f>IF(OR($E717="",$E717="نامعتبر"),"",LEFT($E717,4)&amp;"/"&amp;MID($E717,6,2))</f>
        <v/>
      </c>
      <c r="L717">
        <f>IF(Entry!$K717="",0,Entry!$K717)</f>
        <v/>
      </c>
      <c r="M717">
        <f>IF(Entry!$L717="",0,Entry!$L717)</f>
        <v/>
      </c>
    </row>
    <row r="718">
      <c r="A718">
        <f>IF(Entry!$C718="","",Entry!$C718)</f>
        <v/>
      </c>
      <c r="B718">
        <f>IF($A718="","",IF(ISNUMBER($A718),IF(AND($A718&gt;=10000101,$A718&lt;=99991231),INT($A718/10000),""),IFERROR(VALUE(TRIM(LEFT($A718,FIND("/",$A718)-1))),"")))</f>
        <v/>
      </c>
      <c r="C718">
        <f>IF(OR($A718="",$B718=""),"",IF(ISNUMBER($A718),INT(MOD($A718,10000)/100),IFERROR(VALUE(TRIM(LEFT(MID($A718,FIND("/",$A718)+1,20),FIND("/",MID($A718,FIND("/",$A718)+1,20))-1))),"")))</f>
        <v/>
      </c>
      <c r="D718">
        <f>IF(OR($A718="",$B718=""),"",IF(ISNUMBER($A718),MOD($A718,100),IFERROR(VALUE(TRIM(MID(MID($A718,FIND("/",$A718)+1,20),FIND("/",MID($A718,FIND("/",$A718)+1,20))+1,20))),"")))</f>
        <v/>
      </c>
      <c r="E718">
        <f>IF($A718="","",IF(OR($B718="",$C718="",$D718="",$B718&lt;1300,$B718&gt;1500,$C718&lt;1,$C718&gt;12,$D718&lt;1,$D718&gt;31),"نامعتبر",RIGHT("0000"&amp;$B718,4)&amp;"/"&amp;RIGHT("00"&amp;$C718,2)&amp;"/"&amp;RIGHT("00"&amp;$D718,2)))</f>
        <v/>
      </c>
      <c r="F718">
        <f>IF(Entry!$D718&lt;&gt;"",IF(AND(ISNUMBER(Entry!$D718),Entry!$D718&gt;=0,Entry!$D718&lt;1),RIGHT("00"&amp;HOUR(Entry!$D718),2)&amp;":"&amp;RIGHT("00"&amp;MINUTE(Entry!$D718),2),IFERROR(RIGHT("00"&amp;VALUE(TRIM(LEFT(Entry!$D718,FIND(":",Entry!$D718)-1))),2)&amp;":"&amp;RIGHT("00"&amp;VALUE(TRIM(MID(Entry!$D718,FIND(":",Entry!$D718)+1,2))),2),"نامعتبر")),IF(OR($E718="",$E718="نامعتبر"),"","00:00"))</f>
        <v/>
      </c>
      <c r="G718">
        <f>IF(OR($E718="",$E718="نامعتبر"),"",IF(Entry!$E718="","",LEFT(UPPER(TRIM(Entry!$E718)),6)))</f>
        <v/>
      </c>
      <c r="H718">
        <f>IF($G718="","",RIGHT($E718,4)&amp;MID($E718,6,2)&amp;RIGHT($E718,2)&amp;IF($F718="","0000",IF($F718="نامعتبر","9999",LEFT($F718,2)&amp;RIGHT($F718,2)))&amp;"|"&amp;RIGHT("00000"&amp;710,5))</f>
        <v/>
      </c>
      <c r="I718">
        <f>IF($H718="","",COUNTIFS(CalcBank,$G718,CalcKey,"&lt;"&amp;$H718)+1)</f>
        <v/>
      </c>
      <c r="J718">
        <f>IF($I718="","",$G718&amp;"|"&amp;RIGHT("000000"&amp;$I718,6))</f>
        <v/>
      </c>
      <c r="K718">
        <f>IF(OR($E718="",$E718="نامعتبر"),"",LEFT($E718,4)&amp;"/"&amp;MID($E718,6,2))</f>
        <v/>
      </c>
      <c r="L718">
        <f>IF(Entry!$K718="",0,Entry!$K718)</f>
        <v/>
      </c>
      <c r="M718">
        <f>IF(Entry!$L718="",0,Entry!$L718)</f>
        <v/>
      </c>
    </row>
    <row r="719">
      <c r="A719">
        <f>IF(Entry!$C719="","",Entry!$C719)</f>
        <v/>
      </c>
      <c r="B719">
        <f>IF($A719="","",IF(ISNUMBER($A719),IF(AND($A719&gt;=10000101,$A719&lt;=99991231),INT($A719/10000),""),IFERROR(VALUE(TRIM(LEFT($A719,FIND("/",$A719)-1))),"")))</f>
        <v/>
      </c>
      <c r="C719">
        <f>IF(OR($A719="",$B719=""),"",IF(ISNUMBER($A719),INT(MOD($A719,10000)/100),IFERROR(VALUE(TRIM(LEFT(MID($A719,FIND("/",$A719)+1,20),FIND("/",MID($A719,FIND("/",$A719)+1,20))-1))),"")))</f>
        <v/>
      </c>
      <c r="D719">
        <f>IF(OR($A719="",$B719=""),"",IF(ISNUMBER($A719),MOD($A719,100),IFERROR(VALUE(TRIM(MID(MID($A719,FIND("/",$A719)+1,20),FIND("/",MID($A719,FIND("/",$A719)+1,20))+1,20))),"")))</f>
        <v/>
      </c>
      <c r="E719">
        <f>IF($A719="","",IF(OR($B719="",$C719="",$D719="",$B719&lt;1300,$B719&gt;1500,$C719&lt;1,$C719&gt;12,$D719&lt;1,$D719&gt;31),"نامعتبر",RIGHT("0000"&amp;$B719,4)&amp;"/"&amp;RIGHT("00"&amp;$C719,2)&amp;"/"&amp;RIGHT("00"&amp;$D719,2)))</f>
        <v/>
      </c>
      <c r="F719">
        <f>IF(Entry!$D719&lt;&gt;"",IF(AND(ISNUMBER(Entry!$D719),Entry!$D719&gt;=0,Entry!$D719&lt;1),RIGHT("00"&amp;HOUR(Entry!$D719),2)&amp;":"&amp;RIGHT("00"&amp;MINUTE(Entry!$D719),2),IFERROR(RIGHT("00"&amp;VALUE(TRIM(LEFT(Entry!$D719,FIND(":",Entry!$D719)-1))),2)&amp;":"&amp;RIGHT("00"&amp;VALUE(TRIM(MID(Entry!$D719,FIND(":",Entry!$D719)+1,2))),2),"نامعتبر")),IF(OR($E719="",$E719="نامعتبر"),"","00:00"))</f>
        <v/>
      </c>
      <c r="G719">
        <f>IF(OR($E719="",$E719="نامعتبر"),"",IF(Entry!$E719="","",LEFT(UPPER(TRIM(Entry!$E719)),6)))</f>
        <v/>
      </c>
      <c r="H719">
        <f>IF($G719="","",RIGHT($E719,4)&amp;MID($E719,6,2)&amp;RIGHT($E719,2)&amp;IF($F719="","0000",IF($F719="نامعتبر","9999",LEFT($F719,2)&amp;RIGHT($F719,2)))&amp;"|"&amp;RIGHT("00000"&amp;711,5))</f>
        <v/>
      </c>
      <c r="I719">
        <f>IF($H719="","",COUNTIFS(CalcBank,$G719,CalcKey,"&lt;"&amp;$H719)+1)</f>
        <v/>
      </c>
      <c r="J719">
        <f>IF($I719="","",$G719&amp;"|"&amp;RIGHT("000000"&amp;$I719,6))</f>
        <v/>
      </c>
      <c r="K719">
        <f>IF(OR($E719="",$E719="نامعتبر"),"",LEFT($E719,4)&amp;"/"&amp;MID($E719,6,2))</f>
        <v/>
      </c>
      <c r="L719">
        <f>IF(Entry!$K719="",0,Entry!$K719)</f>
        <v/>
      </c>
      <c r="M719">
        <f>IF(Entry!$L719="",0,Entry!$L719)</f>
        <v/>
      </c>
    </row>
    <row r="720">
      <c r="A720">
        <f>IF(Entry!$C720="","",Entry!$C720)</f>
        <v/>
      </c>
      <c r="B720">
        <f>IF($A720="","",IF(ISNUMBER($A720),IF(AND($A720&gt;=10000101,$A720&lt;=99991231),INT($A720/10000),""),IFERROR(VALUE(TRIM(LEFT($A720,FIND("/",$A720)-1))),"")))</f>
        <v/>
      </c>
      <c r="C720">
        <f>IF(OR($A720="",$B720=""),"",IF(ISNUMBER($A720),INT(MOD($A720,10000)/100),IFERROR(VALUE(TRIM(LEFT(MID($A720,FIND("/",$A720)+1,20),FIND("/",MID($A720,FIND("/",$A720)+1,20))-1))),"")))</f>
        <v/>
      </c>
      <c r="D720">
        <f>IF(OR($A720="",$B720=""),"",IF(ISNUMBER($A720),MOD($A720,100),IFERROR(VALUE(TRIM(MID(MID($A720,FIND("/",$A720)+1,20),FIND("/",MID($A720,FIND("/",$A720)+1,20))+1,20))),"")))</f>
        <v/>
      </c>
      <c r="E720">
        <f>IF($A720="","",IF(OR($B720="",$C720="",$D720="",$B720&lt;1300,$B720&gt;1500,$C720&lt;1,$C720&gt;12,$D720&lt;1,$D720&gt;31),"نامعتبر",RIGHT("0000"&amp;$B720,4)&amp;"/"&amp;RIGHT("00"&amp;$C720,2)&amp;"/"&amp;RIGHT("00"&amp;$D720,2)))</f>
        <v/>
      </c>
      <c r="F720">
        <f>IF(Entry!$D720&lt;&gt;"",IF(AND(ISNUMBER(Entry!$D720),Entry!$D720&gt;=0,Entry!$D720&lt;1),RIGHT("00"&amp;HOUR(Entry!$D720),2)&amp;":"&amp;RIGHT("00"&amp;MINUTE(Entry!$D720),2),IFERROR(RIGHT("00"&amp;VALUE(TRIM(LEFT(Entry!$D720,FIND(":",Entry!$D720)-1))),2)&amp;":"&amp;RIGHT("00"&amp;VALUE(TRIM(MID(Entry!$D720,FIND(":",Entry!$D720)+1,2))),2),"نامعتبر")),IF(OR($E720="",$E720="نامعتبر"),"","00:00"))</f>
        <v/>
      </c>
      <c r="G720">
        <f>IF(OR($E720="",$E720="نامعتبر"),"",IF(Entry!$E720="","",LEFT(UPPER(TRIM(Entry!$E720)),6)))</f>
        <v/>
      </c>
      <c r="H720">
        <f>IF($G720="","",RIGHT($E720,4)&amp;MID($E720,6,2)&amp;RIGHT($E720,2)&amp;IF($F720="","0000",IF($F720="نامعتبر","9999",LEFT($F720,2)&amp;RIGHT($F720,2)))&amp;"|"&amp;RIGHT("00000"&amp;712,5))</f>
        <v/>
      </c>
      <c r="I720">
        <f>IF($H720="","",COUNTIFS(CalcBank,$G720,CalcKey,"&lt;"&amp;$H720)+1)</f>
        <v/>
      </c>
      <c r="J720">
        <f>IF($I720="","",$G720&amp;"|"&amp;RIGHT("000000"&amp;$I720,6))</f>
        <v/>
      </c>
      <c r="K720">
        <f>IF(OR($E720="",$E720="نامعتبر"),"",LEFT($E720,4)&amp;"/"&amp;MID($E720,6,2))</f>
        <v/>
      </c>
      <c r="L720">
        <f>IF(Entry!$K720="",0,Entry!$K720)</f>
        <v/>
      </c>
      <c r="M720">
        <f>IF(Entry!$L720="",0,Entry!$L720)</f>
        <v/>
      </c>
    </row>
    <row r="721">
      <c r="A721">
        <f>IF(Entry!$C721="","",Entry!$C721)</f>
        <v/>
      </c>
      <c r="B721">
        <f>IF($A721="","",IF(ISNUMBER($A721),IF(AND($A721&gt;=10000101,$A721&lt;=99991231),INT($A721/10000),""),IFERROR(VALUE(TRIM(LEFT($A721,FIND("/",$A721)-1))),"")))</f>
        <v/>
      </c>
      <c r="C721">
        <f>IF(OR($A721="",$B721=""),"",IF(ISNUMBER($A721),INT(MOD($A721,10000)/100),IFERROR(VALUE(TRIM(LEFT(MID($A721,FIND("/",$A721)+1,20),FIND("/",MID($A721,FIND("/",$A721)+1,20))-1))),"")))</f>
        <v/>
      </c>
      <c r="D721">
        <f>IF(OR($A721="",$B721=""),"",IF(ISNUMBER($A721),MOD($A721,100),IFERROR(VALUE(TRIM(MID(MID($A721,FIND("/",$A721)+1,20),FIND("/",MID($A721,FIND("/",$A721)+1,20))+1,20))),"")))</f>
        <v/>
      </c>
      <c r="E721">
        <f>IF($A721="","",IF(OR($B721="",$C721="",$D721="",$B721&lt;1300,$B721&gt;1500,$C721&lt;1,$C721&gt;12,$D721&lt;1,$D721&gt;31),"نامعتبر",RIGHT("0000"&amp;$B721,4)&amp;"/"&amp;RIGHT("00"&amp;$C721,2)&amp;"/"&amp;RIGHT("00"&amp;$D721,2)))</f>
        <v/>
      </c>
      <c r="F721">
        <f>IF(Entry!$D721&lt;&gt;"",IF(AND(ISNUMBER(Entry!$D721),Entry!$D721&gt;=0,Entry!$D721&lt;1),RIGHT("00"&amp;HOUR(Entry!$D721),2)&amp;":"&amp;RIGHT("00"&amp;MINUTE(Entry!$D721),2),IFERROR(RIGHT("00"&amp;VALUE(TRIM(LEFT(Entry!$D721,FIND(":",Entry!$D721)-1))),2)&amp;":"&amp;RIGHT("00"&amp;VALUE(TRIM(MID(Entry!$D721,FIND(":",Entry!$D721)+1,2))),2),"نامعتبر")),IF(OR($E721="",$E721="نامعتبر"),"","00:00"))</f>
        <v/>
      </c>
      <c r="G721">
        <f>IF(OR($E721="",$E721="نامعتبر"),"",IF(Entry!$E721="","",LEFT(UPPER(TRIM(Entry!$E721)),6)))</f>
        <v/>
      </c>
      <c r="H721">
        <f>IF($G721="","",RIGHT($E721,4)&amp;MID($E721,6,2)&amp;RIGHT($E721,2)&amp;IF($F721="","0000",IF($F721="نامعتبر","9999",LEFT($F721,2)&amp;RIGHT($F721,2)))&amp;"|"&amp;RIGHT("00000"&amp;713,5))</f>
        <v/>
      </c>
      <c r="I721">
        <f>IF($H721="","",COUNTIFS(CalcBank,$G721,CalcKey,"&lt;"&amp;$H721)+1)</f>
        <v/>
      </c>
      <c r="J721">
        <f>IF($I721="","",$G721&amp;"|"&amp;RIGHT("000000"&amp;$I721,6))</f>
        <v/>
      </c>
      <c r="K721">
        <f>IF(OR($E721="",$E721="نامعتبر"),"",LEFT($E721,4)&amp;"/"&amp;MID($E721,6,2))</f>
        <v/>
      </c>
      <c r="L721">
        <f>IF(Entry!$K721="",0,Entry!$K721)</f>
        <v/>
      </c>
      <c r="M721">
        <f>IF(Entry!$L721="",0,Entry!$L721)</f>
        <v/>
      </c>
    </row>
    <row r="722">
      <c r="A722">
        <f>IF(Entry!$C722="","",Entry!$C722)</f>
        <v/>
      </c>
      <c r="B722">
        <f>IF($A722="","",IF(ISNUMBER($A722),IF(AND($A722&gt;=10000101,$A722&lt;=99991231),INT($A722/10000),""),IFERROR(VALUE(TRIM(LEFT($A722,FIND("/",$A722)-1))),"")))</f>
        <v/>
      </c>
      <c r="C722">
        <f>IF(OR($A722="",$B722=""),"",IF(ISNUMBER($A722),INT(MOD($A722,10000)/100),IFERROR(VALUE(TRIM(LEFT(MID($A722,FIND("/",$A722)+1,20),FIND("/",MID($A722,FIND("/",$A722)+1,20))-1))),"")))</f>
        <v/>
      </c>
      <c r="D722">
        <f>IF(OR($A722="",$B722=""),"",IF(ISNUMBER($A722),MOD($A722,100),IFERROR(VALUE(TRIM(MID(MID($A722,FIND("/",$A722)+1,20),FIND("/",MID($A722,FIND("/",$A722)+1,20))+1,20))),"")))</f>
        <v/>
      </c>
      <c r="E722">
        <f>IF($A722="","",IF(OR($B722="",$C722="",$D722="",$B722&lt;1300,$B722&gt;1500,$C722&lt;1,$C722&gt;12,$D722&lt;1,$D722&gt;31),"نامعتبر",RIGHT("0000"&amp;$B722,4)&amp;"/"&amp;RIGHT("00"&amp;$C722,2)&amp;"/"&amp;RIGHT("00"&amp;$D722,2)))</f>
        <v/>
      </c>
      <c r="F722">
        <f>IF(Entry!$D722&lt;&gt;"",IF(AND(ISNUMBER(Entry!$D722),Entry!$D722&gt;=0,Entry!$D722&lt;1),RIGHT("00"&amp;HOUR(Entry!$D722),2)&amp;":"&amp;RIGHT("00"&amp;MINUTE(Entry!$D722),2),IFERROR(RIGHT("00"&amp;VALUE(TRIM(LEFT(Entry!$D722,FIND(":",Entry!$D722)-1))),2)&amp;":"&amp;RIGHT("00"&amp;VALUE(TRIM(MID(Entry!$D722,FIND(":",Entry!$D722)+1,2))),2),"نامعتبر")),IF(OR($E722="",$E722="نامعتبر"),"","00:00"))</f>
        <v/>
      </c>
      <c r="G722">
        <f>IF(OR($E722="",$E722="نامعتبر"),"",IF(Entry!$E722="","",LEFT(UPPER(TRIM(Entry!$E722)),6)))</f>
        <v/>
      </c>
      <c r="H722">
        <f>IF($G722="","",RIGHT($E722,4)&amp;MID($E722,6,2)&amp;RIGHT($E722,2)&amp;IF($F722="","0000",IF($F722="نامعتبر","9999",LEFT($F722,2)&amp;RIGHT($F722,2)))&amp;"|"&amp;RIGHT("00000"&amp;714,5))</f>
        <v/>
      </c>
      <c r="I722">
        <f>IF($H722="","",COUNTIFS(CalcBank,$G722,CalcKey,"&lt;"&amp;$H722)+1)</f>
        <v/>
      </c>
      <c r="J722">
        <f>IF($I722="","",$G722&amp;"|"&amp;RIGHT("000000"&amp;$I722,6))</f>
        <v/>
      </c>
      <c r="K722">
        <f>IF(OR($E722="",$E722="نامعتبر"),"",LEFT($E722,4)&amp;"/"&amp;MID($E722,6,2))</f>
        <v/>
      </c>
      <c r="L722">
        <f>IF(Entry!$K722="",0,Entry!$K722)</f>
        <v/>
      </c>
      <c r="M722">
        <f>IF(Entry!$L722="",0,Entry!$L722)</f>
        <v/>
      </c>
    </row>
    <row r="723">
      <c r="A723">
        <f>IF(Entry!$C723="","",Entry!$C723)</f>
        <v/>
      </c>
      <c r="B723">
        <f>IF($A723="","",IF(ISNUMBER($A723),IF(AND($A723&gt;=10000101,$A723&lt;=99991231),INT($A723/10000),""),IFERROR(VALUE(TRIM(LEFT($A723,FIND("/",$A723)-1))),"")))</f>
        <v/>
      </c>
      <c r="C723">
        <f>IF(OR($A723="",$B723=""),"",IF(ISNUMBER($A723),INT(MOD($A723,10000)/100),IFERROR(VALUE(TRIM(LEFT(MID($A723,FIND("/",$A723)+1,20),FIND("/",MID($A723,FIND("/",$A723)+1,20))-1))),"")))</f>
        <v/>
      </c>
      <c r="D723">
        <f>IF(OR($A723="",$B723=""),"",IF(ISNUMBER($A723),MOD($A723,100),IFERROR(VALUE(TRIM(MID(MID($A723,FIND("/",$A723)+1,20),FIND("/",MID($A723,FIND("/",$A723)+1,20))+1,20))),"")))</f>
        <v/>
      </c>
      <c r="E723">
        <f>IF($A723="","",IF(OR($B723="",$C723="",$D723="",$B723&lt;1300,$B723&gt;1500,$C723&lt;1,$C723&gt;12,$D723&lt;1,$D723&gt;31),"نامعتبر",RIGHT("0000"&amp;$B723,4)&amp;"/"&amp;RIGHT("00"&amp;$C723,2)&amp;"/"&amp;RIGHT("00"&amp;$D723,2)))</f>
        <v/>
      </c>
      <c r="F723">
        <f>IF(Entry!$D723&lt;&gt;"",IF(AND(ISNUMBER(Entry!$D723),Entry!$D723&gt;=0,Entry!$D723&lt;1),RIGHT("00"&amp;HOUR(Entry!$D723),2)&amp;":"&amp;RIGHT("00"&amp;MINUTE(Entry!$D723),2),IFERROR(RIGHT("00"&amp;VALUE(TRIM(LEFT(Entry!$D723,FIND(":",Entry!$D723)-1))),2)&amp;":"&amp;RIGHT("00"&amp;VALUE(TRIM(MID(Entry!$D723,FIND(":",Entry!$D723)+1,2))),2),"نامعتبر")),IF(OR($E723="",$E723="نامعتبر"),"","00:00"))</f>
        <v/>
      </c>
      <c r="G723">
        <f>IF(OR($E723="",$E723="نامعتبر"),"",IF(Entry!$E723="","",LEFT(UPPER(TRIM(Entry!$E723)),6)))</f>
        <v/>
      </c>
      <c r="H723">
        <f>IF($G723="","",RIGHT($E723,4)&amp;MID($E723,6,2)&amp;RIGHT($E723,2)&amp;IF($F723="","0000",IF($F723="نامعتبر","9999",LEFT($F723,2)&amp;RIGHT($F723,2)))&amp;"|"&amp;RIGHT("00000"&amp;715,5))</f>
        <v/>
      </c>
      <c r="I723">
        <f>IF($H723="","",COUNTIFS(CalcBank,$G723,CalcKey,"&lt;"&amp;$H723)+1)</f>
        <v/>
      </c>
      <c r="J723">
        <f>IF($I723="","",$G723&amp;"|"&amp;RIGHT("000000"&amp;$I723,6))</f>
        <v/>
      </c>
      <c r="K723">
        <f>IF(OR($E723="",$E723="نامعتبر"),"",LEFT($E723,4)&amp;"/"&amp;MID($E723,6,2))</f>
        <v/>
      </c>
      <c r="L723">
        <f>IF(Entry!$K723="",0,Entry!$K723)</f>
        <v/>
      </c>
      <c r="M723">
        <f>IF(Entry!$L723="",0,Entry!$L723)</f>
        <v/>
      </c>
    </row>
    <row r="724">
      <c r="A724">
        <f>IF(Entry!$C724="","",Entry!$C724)</f>
        <v/>
      </c>
      <c r="B724">
        <f>IF($A724="","",IF(ISNUMBER($A724),IF(AND($A724&gt;=10000101,$A724&lt;=99991231),INT($A724/10000),""),IFERROR(VALUE(TRIM(LEFT($A724,FIND("/",$A724)-1))),"")))</f>
        <v/>
      </c>
      <c r="C724">
        <f>IF(OR($A724="",$B724=""),"",IF(ISNUMBER($A724),INT(MOD($A724,10000)/100),IFERROR(VALUE(TRIM(LEFT(MID($A724,FIND("/",$A724)+1,20),FIND("/",MID($A724,FIND("/",$A724)+1,20))-1))),"")))</f>
        <v/>
      </c>
      <c r="D724">
        <f>IF(OR($A724="",$B724=""),"",IF(ISNUMBER($A724),MOD($A724,100),IFERROR(VALUE(TRIM(MID(MID($A724,FIND("/",$A724)+1,20),FIND("/",MID($A724,FIND("/",$A724)+1,20))+1,20))),"")))</f>
        <v/>
      </c>
      <c r="E724">
        <f>IF($A724="","",IF(OR($B724="",$C724="",$D724="",$B724&lt;1300,$B724&gt;1500,$C724&lt;1,$C724&gt;12,$D724&lt;1,$D724&gt;31),"نامعتبر",RIGHT("0000"&amp;$B724,4)&amp;"/"&amp;RIGHT("00"&amp;$C724,2)&amp;"/"&amp;RIGHT("00"&amp;$D724,2)))</f>
        <v/>
      </c>
      <c r="F724">
        <f>IF(Entry!$D724&lt;&gt;"",IF(AND(ISNUMBER(Entry!$D724),Entry!$D724&gt;=0,Entry!$D724&lt;1),RIGHT("00"&amp;HOUR(Entry!$D724),2)&amp;":"&amp;RIGHT("00"&amp;MINUTE(Entry!$D724),2),IFERROR(RIGHT("00"&amp;VALUE(TRIM(LEFT(Entry!$D724,FIND(":",Entry!$D724)-1))),2)&amp;":"&amp;RIGHT("00"&amp;VALUE(TRIM(MID(Entry!$D724,FIND(":",Entry!$D724)+1,2))),2),"نامعتبر")),IF(OR($E724="",$E724="نامعتبر"),"","00:00"))</f>
        <v/>
      </c>
      <c r="G724">
        <f>IF(OR($E724="",$E724="نامعتبر"),"",IF(Entry!$E724="","",LEFT(UPPER(TRIM(Entry!$E724)),6)))</f>
        <v/>
      </c>
      <c r="H724">
        <f>IF($G724="","",RIGHT($E724,4)&amp;MID($E724,6,2)&amp;RIGHT($E724,2)&amp;IF($F724="","0000",IF($F724="نامعتبر","9999",LEFT($F724,2)&amp;RIGHT($F724,2)))&amp;"|"&amp;RIGHT("00000"&amp;716,5))</f>
        <v/>
      </c>
      <c r="I724">
        <f>IF($H724="","",COUNTIFS(CalcBank,$G724,CalcKey,"&lt;"&amp;$H724)+1)</f>
        <v/>
      </c>
      <c r="J724">
        <f>IF($I724="","",$G724&amp;"|"&amp;RIGHT("000000"&amp;$I724,6))</f>
        <v/>
      </c>
      <c r="K724">
        <f>IF(OR($E724="",$E724="نامعتبر"),"",LEFT($E724,4)&amp;"/"&amp;MID($E724,6,2))</f>
        <v/>
      </c>
      <c r="L724">
        <f>IF(Entry!$K724="",0,Entry!$K724)</f>
        <v/>
      </c>
      <c r="M724">
        <f>IF(Entry!$L724="",0,Entry!$L724)</f>
        <v/>
      </c>
    </row>
    <row r="725">
      <c r="A725">
        <f>IF(Entry!$C725="","",Entry!$C725)</f>
        <v/>
      </c>
      <c r="B725">
        <f>IF($A725="","",IF(ISNUMBER($A725),IF(AND($A725&gt;=10000101,$A725&lt;=99991231),INT($A725/10000),""),IFERROR(VALUE(TRIM(LEFT($A725,FIND("/",$A725)-1))),"")))</f>
        <v/>
      </c>
      <c r="C725">
        <f>IF(OR($A725="",$B725=""),"",IF(ISNUMBER($A725),INT(MOD($A725,10000)/100),IFERROR(VALUE(TRIM(LEFT(MID($A725,FIND("/",$A725)+1,20),FIND("/",MID($A725,FIND("/",$A725)+1,20))-1))),"")))</f>
        <v/>
      </c>
      <c r="D725">
        <f>IF(OR($A725="",$B725=""),"",IF(ISNUMBER($A725),MOD($A725,100),IFERROR(VALUE(TRIM(MID(MID($A725,FIND("/",$A725)+1,20),FIND("/",MID($A725,FIND("/",$A725)+1,20))+1,20))),"")))</f>
        <v/>
      </c>
      <c r="E725">
        <f>IF($A725="","",IF(OR($B725="",$C725="",$D725="",$B725&lt;1300,$B725&gt;1500,$C725&lt;1,$C725&gt;12,$D725&lt;1,$D725&gt;31),"نامعتبر",RIGHT("0000"&amp;$B725,4)&amp;"/"&amp;RIGHT("00"&amp;$C725,2)&amp;"/"&amp;RIGHT("00"&amp;$D725,2)))</f>
        <v/>
      </c>
      <c r="F725">
        <f>IF(Entry!$D725&lt;&gt;"",IF(AND(ISNUMBER(Entry!$D725),Entry!$D725&gt;=0,Entry!$D725&lt;1),RIGHT("00"&amp;HOUR(Entry!$D725),2)&amp;":"&amp;RIGHT("00"&amp;MINUTE(Entry!$D725),2),IFERROR(RIGHT("00"&amp;VALUE(TRIM(LEFT(Entry!$D725,FIND(":",Entry!$D725)-1))),2)&amp;":"&amp;RIGHT("00"&amp;VALUE(TRIM(MID(Entry!$D725,FIND(":",Entry!$D725)+1,2))),2),"نامعتبر")),IF(OR($E725="",$E725="نامعتبر"),"","00:00"))</f>
        <v/>
      </c>
      <c r="G725">
        <f>IF(OR($E725="",$E725="نامعتبر"),"",IF(Entry!$E725="","",LEFT(UPPER(TRIM(Entry!$E725)),6)))</f>
        <v/>
      </c>
      <c r="H725">
        <f>IF($G725="","",RIGHT($E725,4)&amp;MID($E725,6,2)&amp;RIGHT($E725,2)&amp;IF($F725="","0000",IF($F725="نامعتبر","9999",LEFT($F725,2)&amp;RIGHT($F725,2)))&amp;"|"&amp;RIGHT("00000"&amp;717,5))</f>
        <v/>
      </c>
      <c r="I725">
        <f>IF($H725="","",COUNTIFS(CalcBank,$G725,CalcKey,"&lt;"&amp;$H725)+1)</f>
        <v/>
      </c>
      <c r="J725">
        <f>IF($I725="","",$G725&amp;"|"&amp;RIGHT("000000"&amp;$I725,6))</f>
        <v/>
      </c>
      <c r="K725">
        <f>IF(OR($E725="",$E725="نامعتبر"),"",LEFT($E725,4)&amp;"/"&amp;MID($E725,6,2))</f>
        <v/>
      </c>
      <c r="L725">
        <f>IF(Entry!$K725="",0,Entry!$K725)</f>
        <v/>
      </c>
      <c r="M725">
        <f>IF(Entry!$L725="",0,Entry!$L725)</f>
        <v/>
      </c>
    </row>
    <row r="726">
      <c r="A726">
        <f>IF(Entry!$C726="","",Entry!$C726)</f>
        <v/>
      </c>
      <c r="B726">
        <f>IF($A726="","",IF(ISNUMBER($A726),IF(AND($A726&gt;=10000101,$A726&lt;=99991231),INT($A726/10000),""),IFERROR(VALUE(TRIM(LEFT($A726,FIND("/",$A726)-1))),"")))</f>
        <v/>
      </c>
      <c r="C726">
        <f>IF(OR($A726="",$B726=""),"",IF(ISNUMBER($A726),INT(MOD($A726,10000)/100),IFERROR(VALUE(TRIM(LEFT(MID($A726,FIND("/",$A726)+1,20),FIND("/",MID($A726,FIND("/",$A726)+1,20))-1))),"")))</f>
        <v/>
      </c>
      <c r="D726">
        <f>IF(OR($A726="",$B726=""),"",IF(ISNUMBER($A726),MOD($A726,100),IFERROR(VALUE(TRIM(MID(MID($A726,FIND("/",$A726)+1,20),FIND("/",MID($A726,FIND("/",$A726)+1,20))+1,20))),"")))</f>
        <v/>
      </c>
      <c r="E726">
        <f>IF($A726="","",IF(OR($B726="",$C726="",$D726="",$B726&lt;1300,$B726&gt;1500,$C726&lt;1,$C726&gt;12,$D726&lt;1,$D726&gt;31),"نامعتبر",RIGHT("0000"&amp;$B726,4)&amp;"/"&amp;RIGHT("00"&amp;$C726,2)&amp;"/"&amp;RIGHT("00"&amp;$D726,2)))</f>
        <v/>
      </c>
      <c r="F726">
        <f>IF(Entry!$D726&lt;&gt;"",IF(AND(ISNUMBER(Entry!$D726),Entry!$D726&gt;=0,Entry!$D726&lt;1),RIGHT("00"&amp;HOUR(Entry!$D726),2)&amp;":"&amp;RIGHT("00"&amp;MINUTE(Entry!$D726),2),IFERROR(RIGHT("00"&amp;VALUE(TRIM(LEFT(Entry!$D726,FIND(":",Entry!$D726)-1))),2)&amp;":"&amp;RIGHT("00"&amp;VALUE(TRIM(MID(Entry!$D726,FIND(":",Entry!$D726)+1,2))),2),"نامعتبر")),IF(OR($E726="",$E726="نامعتبر"),"","00:00"))</f>
        <v/>
      </c>
      <c r="G726">
        <f>IF(OR($E726="",$E726="نامعتبر"),"",IF(Entry!$E726="","",LEFT(UPPER(TRIM(Entry!$E726)),6)))</f>
        <v/>
      </c>
      <c r="H726">
        <f>IF($G726="","",RIGHT($E726,4)&amp;MID($E726,6,2)&amp;RIGHT($E726,2)&amp;IF($F726="","0000",IF($F726="نامعتبر","9999",LEFT($F726,2)&amp;RIGHT($F726,2)))&amp;"|"&amp;RIGHT("00000"&amp;718,5))</f>
        <v/>
      </c>
      <c r="I726">
        <f>IF($H726="","",COUNTIFS(CalcBank,$G726,CalcKey,"&lt;"&amp;$H726)+1)</f>
        <v/>
      </c>
      <c r="J726">
        <f>IF($I726="","",$G726&amp;"|"&amp;RIGHT("000000"&amp;$I726,6))</f>
        <v/>
      </c>
      <c r="K726">
        <f>IF(OR($E726="",$E726="نامعتبر"),"",LEFT($E726,4)&amp;"/"&amp;MID($E726,6,2))</f>
        <v/>
      </c>
      <c r="L726">
        <f>IF(Entry!$K726="",0,Entry!$K726)</f>
        <v/>
      </c>
      <c r="M726">
        <f>IF(Entry!$L726="",0,Entry!$L726)</f>
        <v/>
      </c>
    </row>
    <row r="727">
      <c r="A727">
        <f>IF(Entry!$C727="","",Entry!$C727)</f>
        <v/>
      </c>
      <c r="B727">
        <f>IF($A727="","",IF(ISNUMBER($A727),IF(AND($A727&gt;=10000101,$A727&lt;=99991231),INT($A727/10000),""),IFERROR(VALUE(TRIM(LEFT($A727,FIND("/",$A727)-1))),"")))</f>
        <v/>
      </c>
      <c r="C727">
        <f>IF(OR($A727="",$B727=""),"",IF(ISNUMBER($A727),INT(MOD($A727,10000)/100),IFERROR(VALUE(TRIM(LEFT(MID($A727,FIND("/",$A727)+1,20),FIND("/",MID($A727,FIND("/",$A727)+1,20))-1))),"")))</f>
        <v/>
      </c>
      <c r="D727">
        <f>IF(OR($A727="",$B727=""),"",IF(ISNUMBER($A727),MOD($A727,100),IFERROR(VALUE(TRIM(MID(MID($A727,FIND("/",$A727)+1,20),FIND("/",MID($A727,FIND("/",$A727)+1,20))+1,20))),"")))</f>
        <v/>
      </c>
      <c r="E727">
        <f>IF($A727="","",IF(OR($B727="",$C727="",$D727="",$B727&lt;1300,$B727&gt;1500,$C727&lt;1,$C727&gt;12,$D727&lt;1,$D727&gt;31),"نامعتبر",RIGHT("0000"&amp;$B727,4)&amp;"/"&amp;RIGHT("00"&amp;$C727,2)&amp;"/"&amp;RIGHT("00"&amp;$D727,2)))</f>
        <v/>
      </c>
      <c r="F727">
        <f>IF(Entry!$D727&lt;&gt;"",IF(AND(ISNUMBER(Entry!$D727),Entry!$D727&gt;=0,Entry!$D727&lt;1),RIGHT("00"&amp;HOUR(Entry!$D727),2)&amp;":"&amp;RIGHT("00"&amp;MINUTE(Entry!$D727),2),IFERROR(RIGHT("00"&amp;VALUE(TRIM(LEFT(Entry!$D727,FIND(":",Entry!$D727)-1))),2)&amp;":"&amp;RIGHT("00"&amp;VALUE(TRIM(MID(Entry!$D727,FIND(":",Entry!$D727)+1,2))),2),"نامعتبر")),IF(OR($E727="",$E727="نامعتبر"),"","00:00"))</f>
        <v/>
      </c>
      <c r="G727">
        <f>IF(OR($E727="",$E727="نامعتبر"),"",IF(Entry!$E727="","",LEFT(UPPER(TRIM(Entry!$E727)),6)))</f>
        <v/>
      </c>
      <c r="H727">
        <f>IF($G727="","",RIGHT($E727,4)&amp;MID($E727,6,2)&amp;RIGHT($E727,2)&amp;IF($F727="","0000",IF($F727="نامعتبر","9999",LEFT($F727,2)&amp;RIGHT($F727,2)))&amp;"|"&amp;RIGHT("00000"&amp;719,5))</f>
        <v/>
      </c>
      <c r="I727">
        <f>IF($H727="","",COUNTIFS(CalcBank,$G727,CalcKey,"&lt;"&amp;$H727)+1)</f>
        <v/>
      </c>
      <c r="J727">
        <f>IF($I727="","",$G727&amp;"|"&amp;RIGHT("000000"&amp;$I727,6))</f>
        <v/>
      </c>
      <c r="K727">
        <f>IF(OR($E727="",$E727="نامعتبر"),"",LEFT($E727,4)&amp;"/"&amp;MID($E727,6,2))</f>
        <v/>
      </c>
      <c r="L727">
        <f>IF(Entry!$K727="",0,Entry!$K727)</f>
        <v/>
      </c>
      <c r="M727">
        <f>IF(Entry!$L727="",0,Entry!$L727)</f>
        <v/>
      </c>
    </row>
    <row r="728">
      <c r="A728">
        <f>IF(Entry!$C728="","",Entry!$C728)</f>
        <v/>
      </c>
      <c r="B728">
        <f>IF($A728="","",IF(ISNUMBER($A728),IF(AND($A728&gt;=10000101,$A728&lt;=99991231),INT($A728/10000),""),IFERROR(VALUE(TRIM(LEFT($A728,FIND("/",$A728)-1))),"")))</f>
        <v/>
      </c>
      <c r="C728">
        <f>IF(OR($A728="",$B728=""),"",IF(ISNUMBER($A728),INT(MOD($A728,10000)/100),IFERROR(VALUE(TRIM(LEFT(MID($A728,FIND("/",$A728)+1,20),FIND("/",MID($A728,FIND("/",$A728)+1,20))-1))),"")))</f>
        <v/>
      </c>
      <c r="D728">
        <f>IF(OR($A728="",$B728=""),"",IF(ISNUMBER($A728),MOD($A728,100),IFERROR(VALUE(TRIM(MID(MID($A728,FIND("/",$A728)+1,20),FIND("/",MID($A728,FIND("/",$A728)+1,20))+1,20))),"")))</f>
        <v/>
      </c>
      <c r="E728">
        <f>IF($A728="","",IF(OR($B728="",$C728="",$D728="",$B728&lt;1300,$B728&gt;1500,$C728&lt;1,$C728&gt;12,$D728&lt;1,$D728&gt;31),"نامعتبر",RIGHT("0000"&amp;$B728,4)&amp;"/"&amp;RIGHT("00"&amp;$C728,2)&amp;"/"&amp;RIGHT("00"&amp;$D728,2)))</f>
        <v/>
      </c>
      <c r="F728">
        <f>IF(Entry!$D728&lt;&gt;"",IF(AND(ISNUMBER(Entry!$D728),Entry!$D728&gt;=0,Entry!$D728&lt;1),RIGHT("00"&amp;HOUR(Entry!$D728),2)&amp;":"&amp;RIGHT("00"&amp;MINUTE(Entry!$D728),2),IFERROR(RIGHT("00"&amp;VALUE(TRIM(LEFT(Entry!$D728,FIND(":",Entry!$D728)-1))),2)&amp;":"&amp;RIGHT("00"&amp;VALUE(TRIM(MID(Entry!$D728,FIND(":",Entry!$D728)+1,2))),2),"نامعتبر")),IF(OR($E728="",$E728="نامعتبر"),"","00:00"))</f>
        <v/>
      </c>
      <c r="G728">
        <f>IF(OR($E728="",$E728="نامعتبر"),"",IF(Entry!$E728="","",LEFT(UPPER(TRIM(Entry!$E728)),6)))</f>
        <v/>
      </c>
      <c r="H728">
        <f>IF($G728="","",RIGHT($E728,4)&amp;MID($E728,6,2)&amp;RIGHT($E728,2)&amp;IF($F728="","0000",IF($F728="نامعتبر","9999",LEFT($F728,2)&amp;RIGHT($F728,2)))&amp;"|"&amp;RIGHT("00000"&amp;720,5))</f>
        <v/>
      </c>
      <c r="I728">
        <f>IF($H728="","",COUNTIFS(CalcBank,$G728,CalcKey,"&lt;"&amp;$H728)+1)</f>
        <v/>
      </c>
      <c r="J728">
        <f>IF($I728="","",$G728&amp;"|"&amp;RIGHT("000000"&amp;$I728,6))</f>
        <v/>
      </c>
      <c r="K728">
        <f>IF(OR($E728="",$E728="نامعتبر"),"",LEFT($E728,4)&amp;"/"&amp;MID($E728,6,2))</f>
        <v/>
      </c>
      <c r="L728">
        <f>IF(Entry!$K728="",0,Entry!$K728)</f>
        <v/>
      </c>
      <c r="M728">
        <f>IF(Entry!$L728="",0,Entry!$L728)</f>
        <v/>
      </c>
    </row>
    <row r="729">
      <c r="A729">
        <f>IF(Entry!$C729="","",Entry!$C729)</f>
        <v/>
      </c>
      <c r="B729">
        <f>IF($A729="","",IF(ISNUMBER($A729),IF(AND($A729&gt;=10000101,$A729&lt;=99991231),INT($A729/10000),""),IFERROR(VALUE(TRIM(LEFT($A729,FIND("/",$A729)-1))),"")))</f>
        <v/>
      </c>
      <c r="C729">
        <f>IF(OR($A729="",$B729=""),"",IF(ISNUMBER($A729),INT(MOD($A729,10000)/100),IFERROR(VALUE(TRIM(LEFT(MID($A729,FIND("/",$A729)+1,20),FIND("/",MID($A729,FIND("/",$A729)+1,20))-1))),"")))</f>
        <v/>
      </c>
      <c r="D729">
        <f>IF(OR($A729="",$B729=""),"",IF(ISNUMBER($A729),MOD($A729,100),IFERROR(VALUE(TRIM(MID(MID($A729,FIND("/",$A729)+1,20),FIND("/",MID($A729,FIND("/",$A729)+1,20))+1,20))),"")))</f>
        <v/>
      </c>
      <c r="E729">
        <f>IF($A729="","",IF(OR($B729="",$C729="",$D729="",$B729&lt;1300,$B729&gt;1500,$C729&lt;1,$C729&gt;12,$D729&lt;1,$D729&gt;31),"نامعتبر",RIGHT("0000"&amp;$B729,4)&amp;"/"&amp;RIGHT("00"&amp;$C729,2)&amp;"/"&amp;RIGHT("00"&amp;$D729,2)))</f>
        <v/>
      </c>
      <c r="F729">
        <f>IF(Entry!$D729&lt;&gt;"",IF(AND(ISNUMBER(Entry!$D729),Entry!$D729&gt;=0,Entry!$D729&lt;1),RIGHT("00"&amp;HOUR(Entry!$D729),2)&amp;":"&amp;RIGHT("00"&amp;MINUTE(Entry!$D729),2),IFERROR(RIGHT("00"&amp;VALUE(TRIM(LEFT(Entry!$D729,FIND(":",Entry!$D729)-1))),2)&amp;":"&amp;RIGHT("00"&amp;VALUE(TRIM(MID(Entry!$D729,FIND(":",Entry!$D729)+1,2))),2),"نامعتبر")),IF(OR($E729="",$E729="نامعتبر"),"","00:00"))</f>
        <v/>
      </c>
      <c r="G729">
        <f>IF(OR($E729="",$E729="نامعتبر"),"",IF(Entry!$E729="","",LEFT(UPPER(TRIM(Entry!$E729)),6)))</f>
        <v/>
      </c>
      <c r="H729">
        <f>IF($G729="","",RIGHT($E729,4)&amp;MID($E729,6,2)&amp;RIGHT($E729,2)&amp;IF($F729="","0000",IF($F729="نامعتبر","9999",LEFT($F729,2)&amp;RIGHT($F729,2)))&amp;"|"&amp;RIGHT("00000"&amp;721,5))</f>
        <v/>
      </c>
      <c r="I729">
        <f>IF($H729="","",COUNTIFS(CalcBank,$G729,CalcKey,"&lt;"&amp;$H729)+1)</f>
        <v/>
      </c>
      <c r="J729">
        <f>IF($I729="","",$G729&amp;"|"&amp;RIGHT("000000"&amp;$I729,6))</f>
        <v/>
      </c>
      <c r="K729">
        <f>IF(OR($E729="",$E729="نامعتبر"),"",LEFT($E729,4)&amp;"/"&amp;MID($E729,6,2))</f>
        <v/>
      </c>
      <c r="L729">
        <f>IF(Entry!$K729="",0,Entry!$K729)</f>
        <v/>
      </c>
      <c r="M729">
        <f>IF(Entry!$L729="",0,Entry!$L729)</f>
        <v/>
      </c>
    </row>
    <row r="730">
      <c r="A730">
        <f>IF(Entry!$C730="","",Entry!$C730)</f>
        <v/>
      </c>
      <c r="B730">
        <f>IF($A730="","",IF(ISNUMBER($A730),IF(AND($A730&gt;=10000101,$A730&lt;=99991231),INT($A730/10000),""),IFERROR(VALUE(TRIM(LEFT($A730,FIND("/",$A730)-1))),"")))</f>
        <v/>
      </c>
      <c r="C730">
        <f>IF(OR($A730="",$B730=""),"",IF(ISNUMBER($A730),INT(MOD($A730,10000)/100),IFERROR(VALUE(TRIM(LEFT(MID($A730,FIND("/",$A730)+1,20),FIND("/",MID($A730,FIND("/",$A730)+1,20))-1))),"")))</f>
        <v/>
      </c>
      <c r="D730">
        <f>IF(OR($A730="",$B730=""),"",IF(ISNUMBER($A730),MOD($A730,100),IFERROR(VALUE(TRIM(MID(MID($A730,FIND("/",$A730)+1,20),FIND("/",MID($A730,FIND("/",$A730)+1,20))+1,20))),"")))</f>
        <v/>
      </c>
      <c r="E730">
        <f>IF($A730="","",IF(OR($B730="",$C730="",$D730="",$B730&lt;1300,$B730&gt;1500,$C730&lt;1,$C730&gt;12,$D730&lt;1,$D730&gt;31),"نامعتبر",RIGHT("0000"&amp;$B730,4)&amp;"/"&amp;RIGHT("00"&amp;$C730,2)&amp;"/"&amp;RIGHT("00"&amp;$D730,2)))</f>
        <v/>
      </c>
      <c r="F730">
        <f>IF(Entry!$D730&lt;&gt;"",IF(AND(ISNUMBER(Entry!$D730),Entry!$D730&gt;=0,Entry!$D730&lt;1),RIGHT("00"&amp;HOUR(Entry!$D730),2)&amp;":"&amp;RIGHT("00"&amp;MINUTE(Entry!$D730),2),IFERROR(RIGHT("00"&amp;VALUE(TRIM(LEFT(Entry!$D730,FIND(":",Entry!$D730)-1))),2)&amp;":"&amp;RIGHT("00"&amp;VALUE(TRIM(MID(Entry!$D730,FIND(":",Entry!$D730)+1,2))),2),"نامعتبر")),IF(OR($E730="",$E730="نامعتبر"),"","00:00"))</f>
        <v/>
      </c>
      <c r="G730">
        <f>IF(OR($E730="",$E730="نامعتبر"),"",IF(Entry!$E730="","",LEFT(UPPER(TRIM(Entry!$E730)),6)))</f>
        <v/>
      </c>
      <c r="H730">
        <f>IF($G730="","",RIGHT($E730,4)&amp;MID($E730,6,2)&amp;RIGHT($E730,2)&amp;IF($F730="","0000",IF($F730="نامعتبر","9999",LEFT($F730,2)&amp;RIGHT($F730,2)))&amp;"|"&amp;RIGHT("00000"&amp;722,5))</f>
        <v/>
      </c>
      <c r="I730">
        <f>IF($H730="","",COUNTIFS(CalcBank,$G730,CalcKey,"&lt;"&amp;$H730)+1)</f>
        <v/>
      </c>
      <c r="J730">
        <f>IF($I730="","",$G730&amp;"|"&amp;RIGHT("000000"&amp;$I730,6))</f>
        <v/>
      </c>
      <c r="K730">
        <f>IF(OR($E730="",$E730="نامعتبر"),"",LEFT($E730,4)&amp;"/"&amp;MID($E730,6,2))</f>
        <v/>
      </c>
      <c r="L730">
        <f>IF(Entry!$K730="",0,Entry!$K730)</f>
        <v/>
      </c>
      <c r="M730">
        <f>IF(Entry!$L730="",0,Entry!$L730)</f>
        <v/>
      </c>
    </row>
    <row r="731">
      <c r="A731">
        <f>IF(Entry!$C731="","",Entry!$C731)</f>
        <v/>
      </c>
      <c r="B731">
        <f>IF($A731="","",IF(ISNUMBER($A731),IF(AND($A731&gt;=10000101,$A731&lt;=99991231),INT($A731/10000),""),IFERROR(VALUE(TRIM(LEFT($A731,FIND("/",$A731)-1))),"")))</f>
        <v/>
      </c>
      <c r="C731">
        <f>IF(OR($A731="",$B731=""),"",IF(ISNUMBER($A731),INT(MOD($A731,10000)/100),IFERROR(VALUE(TRIM(LEFT(MID($A731,FIND("/",$A731)+1,20),FIND("/",MID($A731,FIND("/",$A731)+1,20))-1))),"")))</f>
        <v/>
      </c>
      <c r="D731">
        <f>IF(OR($A731="",$B731=""),"",IF(ISNUMBER($A731),MOD($A731,100),IFERROR(VALUE(TRIM(MID(MID($A731,FIND("/",$A731)+1,20),FIND("/",MID($A731,FIND("/",$A731)+1,20))+1,20))),"")))</f>
        <v/>
      </c>
      <c r="E731">
        <f>IF($A731="","",IF(OR($B731="",$C731="",$D731="",$B731&lt;1300,$B731&gt;1500,$C731&lt;1,$C731&gt;12,$D731&lt;1,$D731&gt;31),"نامعتبر",RIGHT("0000"&amp;$B731,4)&amp;"/"&amp;RIGHT("00"&amp;$C731,2)&amp;"/"&amp;RIGHT("00"&amp;$D731,2)))</f>
        <v/>
      </c>
      <c r="F731">
        <f>IF(Entry!$D731&lt;&gt;"",IF(AND(ISNUMBER(Entry!$D731),Entry!$D731&gt;=0,Entry!$D731&lt;1),RIGHT("00"&amp;HOUR(Entry!$D731),2)&amp;":"&amp;RIGHT("00"&amp;MINUTE(Entry!$D731),2),IFERROR(RIGHT("00"&amp;VALUE(TRIM(LEFT(Entry!$D731,FIND(":",Entry!$D731)-1))),2)&amp;":"&amp;RIGHT("00"&amp;VALUE(TRIM(MID(Entry!$D731,FIND(":",Entry!$D731)+1,2))),2),"نامعتبر")),IF(OR($E731="",$E731="نامعتبر"),"","00:00"))</f>
        <v/>
      </c>
      <c r="G731">
        <f>IF(OR($E731="",$E731="نامعتبر"),"",IF(Entry!$E731="","",LEFT(UPPER(TRIM(Entry!$E731)),6)))</f>
        <v/>
      </c>
      <c r="H731">
        <f>IF($G731="","",RIGHT($E731,4)&amp;MID($E731,6,2)&amp;RIGHT($E731,2)&amp;IF($F731="","0000",IF($F731="نامعتبر","9999",LEFT($F731,2)&amp;RIGHT($F731,2)))&amp;"|"&amp;RIGHT("00000"&amp;723,5))</f>
        <v/>
      </c>
      <c r="I731">
        <f>IF($H731="","",COUNTIFS(CalcBank,$G731,CalcKey,"&lt;"&amp;$H731)+1)</f>
        <v/>
      </c>
      <c r="J731">
        <f>IF($I731="","",$G731&amp;"|"&amp;RIGHT("000000"&amp;$I731,6))</f>
        <v/>
      </c>
      <c r="K731">
        <f>IF(OR($E731="",$E731="نامعتبر"),"",LEFT($E731,4)&amp;"/"&amp;MID($E731,6,2))</f>
        <v/>
      </c>
      <c r="L731">
        <f>IF(Entry!$K731="",0,Entry!$K731)</f>
        <v/>
      </c>
      <c r="M731">
        <f>IF(Entry!$L731="",0,Entry!$L731)</f>
        <v/>
      </c>
    </row>
    <row r="732">
      <c r="A732">
        <f>IF(Entry!$C732="","",Entry!$C732)</f>
        <v/>
      </c>
      <c r="B732">
        <f>IF($A732="","",IF(ISNUMBER($A732),IF(AND($A732&gt;=10000101,$A732&lt;=99991231),INT($A732/10000),""),IFERROR(VALUE(TRIM(LEFT($A732,FIND("/",$A732)-1))),"")))</f>
        <v/>
      </c>
      <c r="C732">
        <f>IF(OR($A732="",$B732=""),"",IF(ISNUMBER($A732),INT(MOD($A732,10000)/100),IFERROR(VALUE(TRIM(LEFT(MID($A732,FIND("/",$A732)+1,20),FIND("/",MID($A732,FIND("/",$A732)+1,20))-1))),"")))</f>
        <v/>
      </c>
      <c r="D732">
        <f>IF(OR($A732="",$B732=""),"",IF(ISNUMBER($A732),MOD($A732,100),IFERROR(VALUE(TRIM(MID(MID($A732,FIND("/",$A732)+1,20),FIND("/",MID($A732,FIND("/",$A732)+1,20))+1,20))),"")))</f>
        <v/>
      </c>
      <c r="E732">
        <f>IF($A732="","",IF(OR($B732="",$C732="",$D732="",$B732&lt;1300,$B732&gt;1500,$C732&lt;1,$C732&gt;12,$D732&lt;1,$D732&gt;31),"نامعتبر",RIGHT("0000"&amp;$B732,4)&amp;"/"&amp;RIGHT("00"&amp;$C732,2)&amp;"/"&amp;RIGHT("00"&amp;$D732,2)))</f>
        <v/>
      </c>
      <c r="F732">
        <f>IF(Entry!$D732&lt;&gt;"",IF(AND(ISNUMBER(Entry!$D732),Entry!$D732&gt;=0,Entry!$D732&lt;1),RIGHT("00"&amp;HOUR(Entry!$D732),2)&amp;":"&amp;RIGHT("00"&amp;MINUTE(Entry!$D732),2),IFERROR(RIGHT("00"&amp;VALUE(TRIM(LEFT(Entry!$D732,FIND(":",Entry!$D732)-1))),2)&amp;":"&amp;RIGHT("00"&amp;VALUE(TRIM(MID(Entry!$D732,FIND(":",Entry!$D732)+1,2))),2),"نامعتبر")),IF(OR($E732="",$E732="نامعتبر"),"","00:00"))</f>
        <v/>
      </c>
      <c r="G732">
        <f>IF(OR($E732="",$E732="نامعتبر"),"",IF(Entry!$E732="","",LEFT(UPPER(TRIM(Entry!$E732)),6)))</f>
        <v/>
      </c>
      <c r="H732">
        <f>IF($G732="","",RIGHT($E732,4)&amp;MID($E732,6,2)&amp;RIGHT($E732,2)&amp;IF($F732="","0000",IF($F732="نامعتبر","9999",LEFT($F732,2)&amp;RIGHT($F732,2)))&amp;"|"&amp;RIGHT("00000"&amp;724,5))</f>
        <v/>
      </c>
      <c r="I732">
        <f>IF($H732="","",COUNTIFS(CalcBank,$G732,CalcKey,"&lt;"&amp;$H732)+1)</f>
        <v/>
      </c>
      <c r="J732">
        <f>IF($I732="","",$G732&amp;"|"&amp;RIGHT("000000"&amp;$I732,6))</f>
        <v/>
      </c>
      <c r="K732">
        <f>IF(OR($E732="",$E732="نامعتبر"),"",LEFT($E732,4)&amp;"/"&amp;MID($E732,6,2))</f>
        <v/>
      </c>
      <c r="L732">
        <f>IF(Entry!$K732="",0,Entry!$K732)</f>
        <v/>
      </c>
      <c r="M732">
        <f>IF(Entry!$L732="",0,Entry!$L732)</f>
        <v/>
      </c>
    </row>
    <row r="733">
      <c r="A733">
        <f>IF(Entry!$C733="","",Entry!$C733)</f>
        <v/>
      </c>
      <c r="B733">
        <f>IF($A733="","",IF(ISNUMBER($A733),IF(AND($A733&gt;=10000101,$A733&lt;=99991231),INT($A733/10000),""),IFERROR(VALUE(TRIM(LEFT($A733,FIND("/",$A733)-1))),"")))</f>
        <v/>
      </c>
      <c r="C733">
        <f>IF(OR($A733="",$B733=""),"",IF(ISNUMBER($A733),INT(MOD($A733,10000)/100),IFERROR(VALUE(TRIM(LEFT(MID($A733,FIND("/",$A733)+1,20),FIND("/",MID($A733,FIND("/",$A733)+1,20))-1))),"")))</f>
        <v/>
      </c>
      <c r="D733">
        <f>IF(OR($A733="",$B733=""),"",IF(ISNUMBER($A733),MOD($A733,100),IFERROR(VALUE(TRIM(MID(MID($A733,FIND("/",$A733)+1,20),FIND("/",MID($A733,FIND("/",$A733)+1,20))+1,20))),"")))</f>
        <v/>
      </c>
      <c r="E733">
        <f>IF($A733="","",IF(OR($B733="",$C733="",$D733="",$B733&lt;1300,$B733&gt;1500,$C733&lt;1,$C733&gt;12,$D733&lt;1,$D733&gt;31),"نامعتبر",RIGHT("0000"&amp;$B733,4)&amp;"/"&amp;RIGHT("00"&amp;$C733,2)&amp;"/"&amp;RIGHT("00"&amp;$D733,2)))</f>
        <v/>
      </c>
      <c r="F733">
        <f>IF(Entry!$D733&lt;&gt;"",IF(AND(ISNUMBER(Entry!$D733),Entry!$D733&gt;=0,Entry!$D733&lt;1),RIGHT("00"&amp;HOUR(Entry!$D733),2)&amp;":"&amp;RIGHT("00"&amp;MINUTE(Entry!$D733),2),IFERROR(RIGHT("00"&amp;VALUE(TRIM(LEFT(Entry!$D733,FIND(":",Entry!$D733)-1))),2)&amp;":"&amp;RIGHT("00"&amp;VALUE(TRIM(MID(Entry!$D733,FIND(":",Entry!$D733)+1,2))),2),"نامعتبر")),IF(OR($E733="",$E733="نامعتبر"),"","00:00"))</f>
        <v/>
      </c>
      <c r="G733">
        <f>IF(OR($E733="",$E733="نامعتبر"),"",IF(Entry!$E733="","",LEFT(UPPER(TRIM(Entry!$E733)),6)))</f>
        <v/>
      </c>
      <c r="H733">
        <f>IF($G733="","",RIGHT($E733,4)&amp;MID($E733,6,2)&amp;RIGHT($E733,2)&amp;IF($F733="","0000",IF($F733="نامعتبر","9999",LEFT($F733,2)&amp;RIGHT($F733,2)))&amp;"|"&amp;RIGHT("00000"&amp;725,5))</f>
        <v/>
      </c>
      <c r="I733">
        <f>IF($H733="","",COUNTIFS(CalcBank,$G733,CalcKey,"&lt;"&amp;$H733)+1)</f>
        <v/>
      </c>
      <c r="J733">
        <f>IF($I733="","",$G733&amp;"|"&amp;RIGHT("000000"&amp;$I733,6))</f>
        <v/>
      </c>
      <c r="K733">
        <f>IF(OR($E733="",$E733="نامعتبر"),"",LEFT($E733,4)&amp;"/"&amp;MID($E733,6,2))</f>
        <v/>
      </c>
      <c r="L733">
        <f>IF(Entry!$K733="",0,Entry!$K733)</f>
        <v/>
      </c>
      <c r="M733">
        <f>IF(Entry!$L733="",0,Entry!$L733)</f>
        <v/>
      </c>
    </row>
    <row r="734">
      <c r="A734">
        <f>IF(Entry!$C734="","",Entry!$C734)</f>
        <v/>
      </c>
      <c r="B734">
        <f>IF($A734="","",IF(ISNUMBER($A734),IF(AND($A734&gt;=10000101,$A734&lt;=99991231),INT($A734/10000),""),IFERROR(VALUE(TRIM(LEFT($A734,FIND("/",$A734)-1))),"")))</f>
        <v/>
      </c>
      <c r="C734">
        <f>IF(OR($A734="",$B734=""),"",IF(ISNUMBER($A734),INT(MOD($A734,10000)/100),IFERROR(VALUE(TRIM(LEFT(MID($A734,FIND("/",$A734)+1,20),FIND("/",MID($A734,FIND("/",$A734)+1,20))-1))),"")))</f>
        <v/>
      </c>
      <c r="D734">
        <f>IF(OR($A734="",$B734=""),"",IF(ISNUMBER($A734),MOD($A734,100),IFERROR(VALUE(TRIM(MID(MID($A734,FIND("/",$A734)+1,20),FIND("/",MID($A734,FIND("/",$A734)+1,20))+1,20))),"")))</f>
        <v/>
      </c>
      <c r="E734">
        <f>IF($A734="","",IF(OR($B734="",$C734="",$D734="",$B734&lt;1300,$B734&gt;1500,$C734&lt;1,$C734&gt;12,$D734&lt;1,$D734&gt;31),"نامعتبر",RIGHT("0000"&amp;$B734,4)&amp;"/"&amp;RIGHT("00"&amp;$C734,2)&amp;"/"&amp;RIGHT("00"&amp;$D734,2)))</f>
        <v/>
      </c>
      <c r="F734">
        <f>IF(Entry!$D734&lt;&gt;"",IF(AND(ISNUMBER(Entry!$D734),Entry!$D734&gt;=0,Entry!$D734&lt;1),RIGHT("00"&amp;HOUR(Entry!$D734),2)&amp;":"&amp;RIGHT("00"&amp;MINUTE(Entry!$D734),2),IFERROR(RIGHT("00"&amp;VALUE(TRIM(LEFT(Entry!$D734,FIND(":",Entry!$D734)-1))),2)&amp;":"&amp;RIGHT("00"&amp;VALUE(TRIM(MID(Entry!$D734,FIND(":",Entry!$D734)+1,2))),2),"نامعتبر")),IF(OR($E734="",$E734="نامعتبر"),"","00:00"))</f>
        <v/>
      </c>
      <c r="G734">
        <f>IF(OR($E734="",$E734="نامعتبر"),"",IF(Entry!$E734="","",LEFT(UPPER(TRIM(Entry!$E734)),6)))</f>
        <v/>
      </c>
      <c r="H734">
        <f>IF($G734="","",RIGHT($E734,4)&amp;MID($E734,6,2)&amp;RIGHT($E734,2)&amp;IF($F734="","0000",IF($F734="نامعتبر","9999",LEFT($F734,2)&amp;RIGHT($F734,2)))&amp;"|"&amp;RIGHT("00000"&amp;726,5))</f>
        <v/>
      </c>
      <c r="I734">
        <f>IF($H734="","",COUNTIFS(CalcBank,$G734,CalcKey,"&lt;"&amp;$H734)+1)</f>
        <v/>
      </c>
      <c r="J734">
        <f>IF($I734="","",$G734&amp;"|"&amp;RIGHT("000000"&amp;$I734,6))</f>
        <v/>
      </c>
      <c r="K734">
        <f>IF(OR($E734="",$E734="نامعتبر"),"",LEFT($E734,4)&amp;"/"&amp;MID($E734,6,2))</f>
        <v/>
      </c>
      <c r="L734">
        <f>IF(Entry!$K734="",0,Entry!$K734)</f>
        <v/>
      </c>
      <c r="M734">
        <f>IF(Entry!$L734="",0,Entry!$L734)</f>
        <v/>
      </c>
    </row>
    <row r="735">
      <c r="A735">
        <f>IF(Entry!$C735="","",Entry!$C735)</f>
        <v/>
      </c>
      <c r="B735">
        <f>IF($A735="","",IF(ISNUMBER($A735),IF(AND($A735&gt;=10000101,$A735&lt;=99991231),INT($A735/10000),""),IFERROR(VALUE(TRIM(LEFT($A735,FIND("/",$A735)-1))),"")))</f>
        <v/>
      </c>
      <c r="C735">
        <f>IF(OR($A735="",$B735=""),"",IF(ISNUMBER($A735),INT(MOD($A735,10000)/100),IFERROR(VALUE(TRIM(LEFT(MID($A735,FIND("/",$A735)+1,20),FIND("/",MID($A735,FIND("/",$A735)+1,20))-1))),"")))</f>
        <v/>
      </c>
      <c r="D735">
        <f>IF(OR($A735="",$B735=""),"",IF(ISNUMBER($A735),MOD($A735,100),IFERROR(VALUE(TRIM(MID(MID($A735,FIND("/",$A735)+1,20),FIND("/",MID($A735,FIND("/",$A735)+1,20))+1,20))),"")))</f>
        <v/>
      </c>
      <c r="E735">
        <f>IF($A735="","",IF(OR($B735="",$C735="",$D735="",$B735&lt;1300,$B735&gt;1500,$C735&lt;1,$C735&gt;12,$D735&lt;1,$D735&gt;31),"نامعتبر",RIGHT("0000"&amp;$B735,4)&amp;"/"&amp;RIGHT("00"&amp;$C735,2)&amp;"/"&amp;RIGHT("00"&amp;$D735,2)))</f>
        <v/>
      </c>
      <c r="F735">
        <f>IF(Entry!$D735&lt;&gt;"",IF(AND(ISNUMBER(Entry!$D735),Entry!$D735&gt;=0,Entry!$D735&lt;1),RIGHT("00"&amp;HOUR(Entry!$D735),2)&amp;":"&amp;RIGHT("00"&amp;MINUTE(Entry!$D735),2),IFERROR(RIGHT("00"&amp;VALUE(TRIM(LEFT(Entry!$D735,FIND(":",Entry!$D735)-1))),2)&amp;":"&amp;RIGHT("00"&amp;VALUE(TRIM(MID(Entry!$D735,FIND(":",Entry!$D735)+1,2))),2),"نامعتبر")),IF(OR($E735="",$E735="نامعتبر"),"","00:00"))</f>
        <v/>
      </c>
      <c r="G735">
        <f>IF(OR($E735="",$E735="نامعتبر"),"",IF(Entry!$E735="","",LEFT(UPPER(TRIM(Entry!$E735)),6)))</f>
        <v/>
      </c>
      <c r="H735">
        <f>IF($G735="","",RIGHT($E735,4)&amp;MID($E735,6,2)&amp;RIGHT($E735,2)&amp;IF($F735="","0000",IF($F735="نامعتبر","9999",LEFT($F735,2)&amp;RIGHT($F735,2)))&amp;"|"&amp;RIGHT("00000"&amp;727,5))</f>
        <v/>
      </c>
      <c r="I735">
        <f>IF($H735="","",COUNTIFS(CalcBank,$G735,CalcKey,"&lt;"&amp;$H735)+1)</f>
        <v/>
      </c>
      <c r="J735">
        <f>IF($I735="","",$G735&amp;"|"&amp;RIGHT("000000"&amp;$I735,6))</f>
        <v/>
      </c>
      <c r="K735">
        <f>IF(OR($E735="",$E735="نامعتبر"),"",LEFT($E735,4)&amp;"/"&amp;MID($E735,6,2))</f>
        <v/>
      </c>
      <c r="L735">
        <f>IF(Entry!$K735="",0,Entry!$K735)</f>
        <v/>
      </c>
      <c r="M735">
        <f>IF(Entry!$L735="",0,Entry!$L735)</f>
        <v/>
      </c>
    </row>
    <row r="736">
      <c r="A736">
        <f>IF(Entry!$C736="","",Entry!$C736)</f>
        <v/>
      </c>
      <c r="B736">
        <f>IF($A736="","",IF(ISNUMBER($A736),IF(AND($A736&gt;=10000101,$A736&lt;=99991231),INT($A736/10000),""),IFERROR(VALUE(TRIM(LEFT($A736,FIND("/",$A736)-1))),"")))</f>
        <v/>
      </c>
      <c r="C736">
        <f>IF(OR($A736="",$B736=""),"",IF(ISNUMBER($A736),INT(MOD($A736,10000)/100),IFERROR(VALUE(TRIM(LEFT(MID($A736,FIND("/",$A736)+1,20),FIND("/",MID($A736,FIND("/",$A736)+1,20))-1))),"")))</f>
        <v/>
      </c>
      <c r="D736">
        <f>IF(OR($A736="",$B736=""),"",IF(ISNUMBER($A736),MOD($A736,100),IFERROR(VALUE(TRIM(MID(MID($A736,FIND("/",$A736)+1,20),FIND("/",MID($A736,FIND("/",$A736)+1,20))+1,20))),"")))</f>
        <v/>
      </c>
      <c r="E736">
        <f>IF($A736="","",IF(OR($B736="",$C736="",$D736="",$B736&lt;1300,$B736&gt;1500,$C736&lt;1,$C736&gt;12,$D736&lt;1,$D736&gt;31),"نامعتبر",RIGHT("0000"&amp;$B736,4)&amp;"/"&amp;RIGHT("00"&amp;$C736,2)&amp;"/"&amp;RIGHT("00"&amp;$D736,2)))</f>
        <v/>
      </c>
      <c r="F736">
        <f>IF(Entry!$D736&lt;&gt;"",IF(AND(ISNUMBER(Entry!$D736),Entry!$D736&gt;=0,Entry!$D736&lt;1),RIGHT("00"&amp;HOUR(Entry!$D736),2)&amp;":"&amp;RIGHT("00"&amp;MINUTE(Entry!$D736),2),IFERROR(RIGHT("00"&amp;VALUE(TRIM(LEFT(Entry!$D736,FIND(":",Entry!$D736)-1))),2)&amp;":"&amp;RIGHT("00"&amp;VALUE(TRIM(MID(Entry!$D736,FIND(":",Entry!$D736)+1,2))),2),"نامعتبر")),IF(OR($E736="",$E736="نامعتبر"),"","00:00"))</f>
        <v/>
      </c>
      <c r="G736">
        <f>IF(OR($E736="",$E736="نامعتبر"),"",IF(Entry!$E736="","",LEFT(UPPER(TRIM(Entry!$E736)),6)))</f>
        <v/>
      </c>
      <c r="H736">
        <f>IF($G736="","",RIGHT($E736,4)&amp;MID($E736,6,2)&amp;RIGHT($E736,2)&amp;IF($F736="","0000",IF($F736="نامعتبر","9999",LEFT($F736,2)&amp;RIGHT($F736,2)))&amp;"|"&amp;RIGHT("00000"&amp;728,5))</f>
        <v/>
      </c>
      <c r="I736">
        <f>IF($H736="","",COUNTIFS(CalcBank,$G736,CalcKey,"&lt;"&amp;$H736)+1)</f>
        <v/>
      </c>
      <c r="J736">
        <f>IF($I736="","",$G736&amp;"|"&amp;RIGHT("000000"&amp;$I736,6))</f>
        <v/>
      </c>
      <c r="K736">
        <f>IF(OR($E736="",$E736="نامعتبر"),"",LEFT($E736,4)&amp;"/"&amp;MID($E736,6,2))</f>
        <v/>
      </c>
      <c r="L736">
        <f>IF(Entry!$K736="",0,Entry!$K736)</f>
        <v/>
      </c>
      <c r="M736">
        <f>IF(Entry!$L736="",0,Entry!$L736)</f>
        <v/>
      </c>
    </row>
    <row r="737">
      <c r="A737">
        <f>IF(Entry!$C737="","",Entry!$C737)</f>
        <v/>
      </c>
      <c r="B737">
        <f>IF($A737="","",IF(ISNUMBER($A737),IF(AND($A737&gt;=10000101,$A737&lt;=99991231),INT($A737/10000),""),IFERROR(VALUE(TRIM(LEFT($A737,FIND("/",$A737)-1))),"")))</f>
        <v/>
      </c>
      <c r="C737">
        <f>IF(OR($A737="",$B737=""),"",IF(ISNUMBER($A737),INT(MOD($A737,10000)/100),IFERROR(VALUE(TRIM(LEFT(MID($A737,FIND("/",$A737)+1,20),FIND("/",MID($A737,FIND("/",$A737)+1,20))-1))),"")))</f>
        <v/>
      </c>
      <c r="D737">
        <f>IF(OR($A737="",$B737=""),"",IF(ISNUMBER($A737),MOD($A737,100),IFERROR(VALUE(TRIM(MID(MID($A737,FIND("/",$A737)+1,20),FIND("/",MID($A737,FIND("/",$A737)+1,20))+1,20))),"")))</f>
        <v/>
      </c>
      <c r="E737">
        <f>IF($A737="","",IF(OR($B737="",$C737="",$D737="",$B737&lt;1300,$B737&gt;1500,$C737&lt;1,$C737&gt;12,$D737&lt;1,$D737&gt;31),"نامعتبر",RIGHT("0000"&amp;$B737,4)&amp;"/"&amp;RIGHT("00"&amp;$C737,2)&amp;"/"&amp;RIGHT("00"&amp;$D737,2)))</f>
        <v/>
      </c>
      <c r="F737">
        <f>IF(Entry!$D737&lt;&gt;"",IF(AND(ISNUMBER(Entry!$D737),Entry!$D737&gt;=0,Entry!$D737&lt;1),RIGHT("00"&amp;HOUR(Entry!$D737),2)&amp;":"&amp;RIGHT("00"&amp;MINUTE(Entry!$D737),2),IFERROR(RIGHT("00"&amp;VALUE(TRIM(LEFT(Entry!$D737,FIND(":",Entry!$D737)-1))),2)&amp;":"&amp;RIGHT("00"&amp;VALUE(TRIM(MID(Entry!$D737,FIND(":",Entry!$D737)+1,2))),2),"نامعتبر")),IF(OR($E737="",$E737="نامعتبر"),"","00:00"))</f>
        <v/>
      </c>
      <c r="G737">
        <f>IF(OR($E737="",$E737="نامعتبر"),"",IF(Entry!$E737="","",LEFT(UPPER(TRIM(Entry!$E737)),6)))</f>
        <v/>
      </c>
      <c r="H737">
        <f>IF($G737="","",RIGHT($E737,4)&amp;MID($E737,6,2)&amp;RIGHT($E737,2)&amp;IF($F737="","0000",IF($F737="نامعتبر","9999",LEFT($F737,2)&amp;RIGHT($F737,2)))&amp;"|"&amp;RIGHT("00000"&amp;729,5))</f>
        <v/>
      </c>
      <c r="I737">
        <f>IF($H737="","",COUNTIFS(CalcBank,$G737,CalcKey,"&lt;"&amp;$H737)+1)</f>
        <v/>
      </c>
      <c r="J737">
        <f>IF($I737="","",$G737&amp;"|"&amp;RIGHT("000000"&amp;$I737,6))</f>
        <v/>
      </c>
      <c r="K737">
        <f>IF(OR($E737="",$E737="نامعتبر"),"",LEFT($E737,4)&amp;"/"&amp;MID($E737,6,2))</f>
        <v/>
      </c>
      <c r="L737">
        <f>IF(Entry!$K737="",0,Entry!$K737)</f>
        <v/>
      </c>
      <c r="M737">
        <f>IF(Entry!$L737="",0,Entry!$L737)</f>
        <v/>
      </c>
    </row>
    <row r="738">
      <c r="A738">
        <f>IF(Entry!$C738="","",Entry!$C738)</f>
        <v/>
      </c>
      <c r="B738">
        <f>IF($A738="","",IF(ISNUMBER($A738),IF(AND($A738&gt;=10000101,$A738&lt;=99991231),INT($A738/10000),""),IFERROR(VALUE(TRIM(LEFT($A738,FIND("/",$A738)-1))),"")))</f>
        <v/>
      </c>
      <c r="C738">
        <f>IF(OR($A738="",$B738=""),"",IF(ISNUMBER($A738),INT(MOD($A738,10000)/100),IFERROR(VALUE(TRIM(LEFT(MID($A738,FIND("/",$A738)+1,20),FIND("/",MID($A738,FIND("/",$A738)+1,20))-1))),"")))</f>
        <v/>
      </c>
      <c r="D738">
        <f>IF(OR($A738="",$B738=""),"",IF(ISNUMBER($A738),MOD($A738,100),IFERROR(VALUE(TRIM(MID(MID($A738,FIND("/",$A738)+1,20),FIND("/",MID($A738,FIND("/",$A738)+1,20))+1,20))),"")))</f>
        <v/>
      </c>
      <c r="E738">
        <f>IF($A738="","",IF(OR($B738="",$C738="",$D738="",$B738&lt;1300,$B738&gt;1500,$C738&lt;1,$C738&gt;12,$D738&lt;1,$D738&gt;31),"نامعتبر",RIGHT("0000"&amp;$B738,4)&amp;"/"&amp;RIGHT("00"&amp;$C738,2)&amp;"/"&amp;RIGHT("00"&amp;$D738,2)))</f>
        <v/>
      </c>
      <c r="F738">
        <f>IF(Entry!$D738&lt;&gt;"",IF(AND(ISNUMBER(Entry!$D738),Entry!$D738&gt;=0,Entry!$D738&lt;1),RIGHT("00"&amp;HOUR(Entry!$D738),2)&amp;":"&amp;RIGHT("00"&amp;MINUTE(Entry!$D738),2),IFERROR(RIGHT("00"&amp;VALUE(TRIM(LEFT(Entry!$D738,FIND(":",Entry!$D738)-1))),2)&amp;":"&amp;RIGHT("00"&amp;VALUE(TRIM(MID(Entry!$D738,FIND(":",Entry!$D738)+1,2))),2),"نامعتبر")),IF(OR($E738="",$E738="نامعتبر"),"","00:00"))</f>
        <v/>
      </c>
      <c r="G738">
        <f>IF(OR($E738="",$E738="نامعتبر"),"",IF(Entry!$E738="","",LEFT(UPPER(TRIM(Entry!$E738)),6)))</f>
        <v/>
      </c>
      <c r="H738">
        <f>IF($G738="","",RIGHT($E738,4)&amp;MID($E738,6,2)&amp;RIGHT($E738,2)&amp;IF($F738="","0000",IF($F738="نامعتبر","9999",LEFT($F738,2)&amp;RIGHT($F738,2)))&amp;"|"&amp;RIGHT("00000"&amp;730,5))</f>
        <v/>
      </c>
      <c r="I738">
        <f>IF($H738="","",COUNTIFS(CalcBank,$G738,CalcKey,"&lt;"&amp;$H738)+1)</f>
        <v/>
      </c>
      <c r="J738">
        <f>IF($I738="","",$G738&amp;"|"&amp;RIGHT("000000"&amp;$I738,6))</f>
        <v/>
      </c>
      <c r="K738">
        <f>IF(OR($E738="",$E738="نامعتبر"),"",LEFT($E738,4)&amp;"/"&amp;MID($E738,6,2))</f>
        <v/>
      </c>
      <c r="L738">
        <f>IF(Entry!$K738="",0,Entry!$K738)</f>
        <v/>
      </c>
      <c r="M738">
        <f>IF(Entry!$L738="",0,Entry!$L738)</f>
        <v/>
      </c>
    </row>
    <row r="739">
      <c r="A739">
        <f>IF(Entry!$C739="","",Entry!$C739)</f>
        <v/>
      </c>
      <c r="B739">
        <f>IF($A739="","",IF(ISNUMBER($A739),IF(AND($A739&gt;=10000101,$A739&lt;=99991231),INT($A739/10000),""),IFERROR(VALUE(TRIM(LEFT($A739,FIND("/",$A739)-1))),"")))</f>
        <v/>
      </c>
      <c r="C739">
        <f>IF(OR($A739="",$B739=""),"",IF(ISNUMBER($A739),INT(MOD($A739,10000)/100),IFERROR(VALUE(TRIM(LEFT(MID($A739,FIND("/",$A739)+1,20),FIND("/",MID($A739,FIND("/",$A739)+1,20))-1))),"")))</f>
        <v/>
      </c>
      <c r="D739">
        <f>IF(OR($A739="",$B739=""),"",IF(ISNUMBER($A739),MOD($A739,100),IFERROR(VALUE(TRIM(MID(MID($A739,FIND("/",$A739)+1,20),FIND("/",MID($A739,FIND("/",$A739)+1,20))+1,20))),"")))</f>
        <v/>
      </c>
      <c r="E739">
        <f>IF($A739="","",IF(OR($B739="",$C739="",$D739="",$B739&lt;1300,$B739&gt;1500,$C739&lt;1,$C739&gt;12,$D739&lt;1,$D739&gt;31),"نامعتبر",RIGHT("0000"&amp;$B739,4)&amp;"/"&amp;RIGHT("00"&amp;$C739,2)&amp;"/"&amp;RIGHT("00"&amp;$D739,2)))</f>
        <v/>
      </c>
      <c r="F739">
        <f>IF(Entry!$D739&lt;&gt;"",IF(AND(ISNUMBER(Entry!$D739),Entry!$D739&gt;=0,Entry!$D739&lt;1),RIGHT("00"&amp;HOUR(Entry!$D739),2)&amp;":"&amp;RIGHT("00"&amp;MINUTE(Entry!$D739),2),IFERROR(RIGHT("00"&amp;VALUE(TRIM(LEFT(Entry!$D739,FIND(":",Entry!$D739)-1))),2)&amp;":"&amp;RIGHT("00"&amp;VALUE(TRIM(MID(Entry!$D739,FIND(":",Entry!$D739)+1,2))),2),"نامعتبر")),IF(OR($E739="",$E739="نامعتبر"),"","00:00"))</f>
        <v/>
      </c>
      <c r="G739">
        <f>IF(OR($E739="",$E739="نامعتبر"),"",IF(Entry!$E739="","",LEFT(UPPER(TRIM(Entry!$E739)),6)))</f>
        <v/>
      </c>
      <c r="H739">
        <f>IF($G739="","",RIGHT($E739,4)&amp;MID($E739,6,2)&amp;RIGHT($E739,2)&amp;IF($F739="","0000",IF($F739="نامعتبر","9999",LEFT($F739,2)&amp;RIGHT($F739,2)))&amp;"|"&amp;RIGHT("00000"&amp;731,5))</f>
        <v/>
      </c>
      <c r="I739">
        <f>IF($H739="","",COUNTIFS(CalcBank,$G739,CalcKey,"&lt;"&amp;$H739)+1)</f>
        <v/>
      </c>
      <c r="J739">
        <f>IF($I739="","",$G739&amp;"|"&amp;RIGHT("000000"&amp;$I739,6))</f>
        <v/>
      </c>
      <c r="K739">
        <f>IF(OR($E739="",$E739="نامعتبر"),"",LEFT($E739,4)&amp;"/"&amp;MID($E739,6,2))</f>
        <v/>
      </c>
      <c r="L739">
        <f>IF(Entry!$K739="",0,Entry!$K739)</f>
        <v/>
      </c>
      <c r="M739">
        <f>IF(Entry!$L739="",0,Entry!$L739)</f>
        <v/>
      </c>
    </row>
    <row r="740">
      <c r="A740">
        <f>IF(Entry!$C740="","",Entry!$C740)</f>
        <v/>
      </c>
      <c r="B740">
        <f>IF($A740="","",IF(ISNUMBER($A740),IF(AND($A740&gt;=10000101,$A740&lt;=99991231),INT($A740/10000),""),IFERROR(VALUE(TRIM(LEFT($A740,FIND("/",$A740)-1))),"")))</f>
        <v/>
      </c>
      <c r="C740">
        <f>IF(OR($A740="",$B740=""),"",IF(ISNUMBER($A740),INT(MOD($A740,10000)/100),IFERROR(VALUE(TRIM(LEFT(MID($A740,FIND("/",$A740)+1,20),FIND("/",MID($A740,FIND("/",$A740)+1,20))-1))),"")))</f>
        <v/>
      </c>
      <c r="D740">
        <f>IF(OR($A740="",$B740=""),"",IF(ISNUMBER($A740),MOD($A740,100),IFERROR(VALUE(TRIM(MID(MID($A740,FIND("/",$A740)+1,20),FIND("/",MID($A740,FIND("/",$A740)+1,20))+1,20))),"")))</f>
        <v/>
      </c>
      <c r="E740">
        <f>IF($A740="","",IF(OR($B740="",$C740="",$D740="",$B740&lt;1300,$B740&gt;1500,$C740&lt;1,$C740&gt;12,$D740&lt;1,$D740&gt;31),"نامعتبر",RIGHT("0000"&amp;$B740,4)&amp;"/"&amp;RIGHT("00"&amp;$C740,2)&amp;"/"&amp;RIGHT("00"&amp;$D740,2)))</f>
        <v/>
      </c>
      <c r="F740">
        <f>IF(Entry!$D740&lt;&gt;"",IF(AND(ISNUMBER(Entry!$D740),Entry!$D740&gt;=0,Entry!$D740&lt;1),RIGHT("00"&amp;HOUR(Entry!$D740),2)&amp;":"&amp;RIGHT("00"&amp;MINUTE(Entry!$D740),2),IFERROR(RIGHT("00"&amp;VALUE(TRIM(LEFT(Entry!$D740,FIND(":",Entry!$D740)-1))),2)&amp;":"&amp;RIGHT("00"&amp;VALUE(TRIM(MID(Entry!$D740,FIND(":",Entry!$D740)+1,2))),2),"نامعتبر")),IF(OR($E740="",$E740="نامعتبر"),"","00:00"))</f>
        <v/>
      </c>
      <c r="G740">
        <f>IF(OR($E740="",$E740="نامعتبر"),"",IF(Entry!$E740="","",LEFT(UPPER(TRIM(Entry!$E740)),6)))</f>
        <v/>
      </c>
      <c r="H740">
        <f>IF($G740="","",RIGHT($E740,4)&amp;MID($E740,6,2)&amp;RIGHT($E740,2)&amp;IF($F740="","0000",IF($F740="نامعتبر","9999",LEFT($F740,2)&amp;RIGHT($F740,2)))&amp;"|"&amp;RIGHT("00000"&amp;732,5))</f>
        <v/>
      </c>
      <c r="I740">
        <f>IF($H740="","",COUNTIFS(CalcBank,$G740,CalcKey,"&lt;"&amp;$H740)+1)</f>
        <v/>
      </c>
      <c r="J740">
        <f>IF($I740="","",$G740&amp;"|"&amp;RIGHT("000000"&amp;$I740,6))</f>
        <v/>
      </c>
      <c r="K740">
        <f>IF(OR($E740="",$E740="نامعتبر"),"",LEFT($E740,4)&amp;"/"&amp;MID($E740,6,2))</f>
        <v/>
      </c>
      <c r="L740">
        <f>IF(Entry!$K740="",0,Entry!$K740)</f>
        <v/>
      </c>
      <c r="M740">
        <f>IF(Entry!$L740="",0,Entry!$L740)</f>
        <v/>
      </c>
    </row>
    <row r="741">
      <c r="A741">
        <f>IF(Entry!$C741="","",Entry!$C741)</f>
        <v/>
      </c>
      <c r="B741">
        <f>IF($A741="","",IF(ISNUMBER($A741),IF(AND($A741&gt;=10000101,$A741&lt;=99991231),INT($A741/10000),""),IFERROR(VALUE(TRIM(LEFT($A741,FIND("/",$A741)-1))),"")))</f>
        <v/>
      </c>
      <c r="C741">
        <f>IF(OR($A741="",$B741=""),"",IF(ISNUMBER($A741),INT(MOD($A741,10000)/100),IFERROR(VALUE(TRIM(LEFT(MID($A741,FIND("/",$A741)+1,20),FIND("/",MID($A741,FIND("/",$A741)+1,20))-1))),"")))</f>
        <v/>
      </c>
      <c r="D741">
        <f>IF(OR($A741="",$B741=""),"",IF(ISNUMBER($A741),MOD($A741,100),IFERROR(VALUE(TRIM(MID(MID($A741,FIND("/",$A741)+1,20),FIND("/",MID($A741,FIND("/",$A741)+1,20))+1,20))),"")))</f>
        <v/>
      </c>
      <c r="E741">
        <f>IF($A741="","",IF(OR($B741="",$C741="",$D741="",$B741&lt;1300,$B741&gt;1500,$C741&lt;1,$C741&gt;12,$D741&lt;1,$D741&gt;31),"نامعتبر",RIGHT("0000"&amp;$B741,4)&amp;"/"&amp;RIGHT("00"&amp;$C741,2)&amp;"/"&amp;RIGHT("00"&amp;$D741,2)))</f>
        <v/>
      </c>
      <c r="F741">
        <f>IF(Entry!$D741&lt;&gt;"",IF(AND(ISNUMBER(Entry!$D741),Entry!$D741&gt;=0,Entry!$D741&lt;1),RIGHT("00"&amp;HOUR(Entry!$D741),2)&amp;":"&amp;RIGHT("00"&amp;MINUTE(Entry!$D741),2),IFERROR(RIGHT("00"&amp;VALUE(TRIM(LEFT(Entry!$D741,FIND(":",Entry!$D741)-1))),2)&amp;":"&amp;RIGHT("00"&amp;VALUE(TRIM(MID(Entry!$D741,FIND(":",Entry!$D741)+1,2))),2),"نامعتبر")),IF(OR($E741="",$E741="نامعتبر"),"","00:00"))</f>
        <v/>
      </c>
      <c r="G741">
        <f>IF(OR($E741="",$E741="نامعتبر"),"",IF(Entry!$E741="","",LEFT(UPPER(TRIM(Entry!$E741)),6)))</f>
        <v/>
      </c>
      <c r="H741">
        <f>IF($G741="","",RIGHT($E741,4)&amp;MID($E741,6,2)&amp;RIGHT($E741,2)&amp;IF($F741="","0000",IF($F741="نامعتبر","9999",LEFT($F741,2)&amp;RIGHT($F741,2)))&amp;"|"&amp;RIGHT("00000"&amp;733,5))</f>
        <v/>
      </c>
      <c r="I741">
        <f>IF($H741="","",COUNTIFS(CalcBank,$G741,CalcKey,"&lt;"&amp;$H741)+1)</f>
        <v/>
      </c>
      <c r="J741">
        <f>IF($I741="","",$G741&amp;"|"&amp;RIGHT("000000"&amp;$I741,6))</f>
        <v/>
      </c>
      <c r="K741">
        <f>IF(OR($E741="",$E741="نامعتبر"),"",LEFT($E741,4)&amp;"/"&amp;MID($E741,6,2))</f>
        <v/>
      </c>
      <c r="L741">
        <f>IF(Entry!$K741="",0,Entry!$K741)</f>
        <v/>
      </c>
      <c r="M741">
        <f>IF(Entry!$L741="",0,Entry!$L741)</f>
        <v/>
      </c>
    </row>
    <row r="742">
      <c r="A742">
        <f>IF(Entry!$C742="","",Entry!$C742)</f>
        <v/>
      </c>
      <c r="B742">
        <f>IF($A742="","",IF(ISNUMBER($A742),IF(AND($A742&gt;=10000101,$A742&lt;=99991231),INT($A742/10000),""),IFERROR(VALUE(TRIM(LEFT($A742,FIND("/",$A742)-1))),"")))</f>
        <v/>
      </c>
      <c r="C742">
        <f>IF(OR($A742="",$B742=""),"",IF(ISNUMBER($A742),INT(MOD($A742,10000)/100),IFERROR(VALUE(TRIM(LEFT(MID($A742,FIND("/",$A742)+1,20),FIND("/",MID($A742,FIND("/",$A742)+1,20))-1))),"")))</f>
        <v/>
      </c>
      <c r="D742">
        <f>IF(OR($A742="",$B742=""),"",IF(ISNUMBER($A742),MOD($A742,100),IFERROR(VALUE(TRIM(MID(MID($A742,FIND("/",$A742)+1,20),FIND("/",MID($A742,FIND("/",$A742)+1,20))+1,20))),"")))</f>
        <v/>
      </c>
      <c r="E742">
        <f>IF($A742="","",IF(OR($B742="",$C742="",$D742="",$B742&lt;1300,$B742&gt;1500,$C742&lt;1,$C742&gt;12,$D742&lt;1,$D742&gt;31),"نامعتبر",RIGHT("0000"&amp;$B742,4)&amp;"/"&amp;RIGHT("00"&amp;$C742,2)&amp;"/"&amp;RIGHT("00"&amp;$D742,2)))</f>
        <v/>
      </c>
      <c r="F742">
        <f>IF(Entry!$D742&lt;&gt;"",IF(AND(ISNUMBER(Entry!$D742),Entry!$D742&gt;=0,Entry!$D742&lt;1),RIGHT("00"&amp;HOUR(Entry!$D742),2)&amp;":"&amp;RIGHT("00"&amp;MINUTE(Entry!$D742),2),IFERROR(RIGHT("00"&amp;VALUE(TRIM(LEFT(Entry!$D742,FIND(":",Entry!$D742)-1))),2)&amp;":"&amp;RIGHT("00"&amp;VALUE(TRIM(MID(Entry!$D742,FIND(":",Entry!$D742)+1,2))),2),"نامعتبر")),IF(OR($E742="",$E742="نامعتبر"),"","00:00"))</f>
        <v/>
      </c>
      <c r="G742">
        <f>IF(OR($E742="",$E742="نامعتبر"),"",IF(Entry!$E742="","",LEFT(UPPER(TRIM(Entry!$E742)),6)))</f>
        <v/>
      </c>
      <c r="H742">
        <f>IF($G742="","",RIGHT($E742,4)&amp;MID($E742,6,2)&amp;RIGHT($E742,2)&amp;IF($F742="","0000",IF($F742="نامعتبر","9999",LEFT($F742,2)&amp;RIGHT($F742,2)))&amp;"|"&amp;RIGHT("00000"&amp;734,5))</f>
        <v/>
      </c>
      <c r="I742">
        <f>IF($H742="","",COUNTIFS(CalcBank,$G742,CalcKey,"&lt;"&amp;$H742)+1)</f>
        <v/>
      </c>
      <c r="J742">
        <f>IF($I742="","",$G742&amp;"|"&amp;RIGHT("000000"&amp;$I742,6))</f>
        <v/>
      </c>
      <c r="K742">
        <f>IF(OR($E742="",$E742="نامعتبر"),"",LEFT($E742,4)&amp;"/"&amp;MID($E742,6,2))</f>
        <v/>
      </c>
      <c r="L742">
        <f>IF(Entry!$K742="",0,Entry!$K742)</f>
        <v/>
      </c>
      <c r="M742">
        <f>IF(Entry!$L742="",0,Entry!$L742)</f>
        <v/>
      </c>
    </row>
    <row r="743">
      <c r="A743">
        <f>IF(Entry!$C743="","",Entry!$C743)</f>
        <v/>
      </c>
      <c r="B743">
        <f>IF($A743="","",IF(ISNUMBER($A743),IF(AND($A743&gt;=10000101,$A743&lt;=99991231),INT($A743/10000),""),IFERROR(VALUE(TRIM(LEFT($A743,FIND("/",$A743)-1))),"")))</f>
        <v/>
      </c>
      <c r="C743">
        <f>IF(OR($A743="",$B743=""),"",IF(ISNUMBER($A743),INT(MOD($A743,10000)/100),IFERROR(VALUE(TRIM(LEFT(MID($A743,FIND("/",$A743)+1,20),FIND("/",MID($A743,FIND("/",$A743)+1,20))-1))),"")))</f>
        <v/>
      </c>
      <c r="D743">
        <f>IF(OR($A743="",$B743=""),"",IF(ISNUMBER($A743),MOD($A743,100),IFERROR(VALUE(TRIM(MID(MID($A743,FIND("/",$A743)+1,20),FIND("/",MID($A743,FIND("/",$A743)+1,20))+1,20))),"")))</f>
        <v/>
      </c>
      <c r="E743">
        <f>IF($A743="","",IF(OR($B743="",$C743="",$D743="",$B743&lt;1300,$B743&gt;1500,$C743&lt;1,$C743&gt;12,$D743&lt;1,$D743&gt;31),"نامعتبر",RIGHT("0000"&amp;$B743,4)&amp;"/"&amp;RIGHT("00"&amp;$C743,2)&amp;"/"&amp;RIGHT("00"&amp;$D743,2)))</f>
        <v/>
      </c>
      <c r="F743">
        <f>IF(Entry!$D743&lt;&gt;"",IF(AND(ISNUMBER(Entry!$D743),Entry!$D743&gt;=0,Entry!$D743&lt;1),RIGHT("00"&amp;HOUR(Entry!$D743),2)&amp;":"&amp;RIGHT("00"&amp;MINUTE(Entry!$D743),2),IFERROR(RIGHT("00"&amp;VALUE(TRIM(LEFT(Entry!$D743,FIND(":",Entry!$D743)-1))),2)&amp;":"&amp;RIGHT("00"&amp;VALUE(TRIM(MID(Entry!$D743,FIND(":",Entry!$D743)+1,2))),2),"نامعتبر")),IF(OR($E743="",$E743="نامعتبر"),"","00:00"))</f>
        <v/>
      </c>
      <c r="G743">
        <f>IF(OR($E743="",$E743="نامعتبر"),"",IF(Entry!$E743="","",LEFT(UPPER(TRIM(Entry!$E743)),6)))</f>
        <v/>
      </c>
      <c r="H743">
        <f>IF($G743="","",RIGHT($E743,4)&amp;MID($E743,6,2)&amp;RIGHT($E743,2)&amp;IF($F743="","0000",IF($F743="نامعتبر","9999",LEFT($F743,2)&amp;RIGHT($F743,2)))&amp;"|"&amp;RIGHT("00000"&amp;735,5))</f>
        <v/>
      </c>
      <c r="I743">
        <f>IF($H743="","",COUNTIFS(CalcBank,$G743,CalcKey,"&lt;"&amp;$H743)+1)</f>
        <v/>
      </c>
      <c r="J743">
        <f>IF($I743="","",$G743&amp;"|"&amp;RIGHT("000000"&amp;$I743,6))</f>
        <v/>
      </c>
      <c r="K743">
        <f>IF(OR($E743="",$E743="نامعتبر"),"",LEFT($E743,4)&amp;"/"&amp;MID($E743,6,2))</f>
        <v/>
      </c>
      <c r="L743">
        <f>IF(Entry!$K743="",0,Entry!$K743)</f>
        <v/>
      </c>
      <c r="M743">
        <f>IF(Entry!$L743="",0,Entry!$L743)</f>
        <v/>
      </c>
    </row>
    <row r="744">
      <c r="A744">
        <f>IF(Entry!$C744="","",Entry!$C744)</f>
        <v/>
      </c>
      <c r="B744">
        <f>IF($A744="","",IF(ISNUMBER($A744),IF(AND($A744&gt;=10000101,$A744&lt;=99991231),INT($A744/10000),""),IFERROR(VALUE(TRIM(LEFT($A744,FIND("/",$A744)-1))),"")))</f>
        <v/>
      </c>
      <c r="C744">
        <f>IF(OR($A744="",$B744=""),"",IF(ISNUMBER($A744),INT(MOD($A744,10000)/100),IFERROR(VALUE(TRIM(LEFT(MID($A744,FIND("/",$A744)+1,20),FIND("/",MID($A744,FIND("/",$A744)+1,20))-1))),"")))</f>
        <v/>
      </c>
      <c r="D744">
        <f>IF(OR($A744="",$B744=""),"",IF(ISNUMBER($A744),MOD($A744,100),IFERROR(VALUE(TRIM(MID(MID($A744,FIND("/",$A744)+1,20),FIND("/",MID($A744,FIND("/",$A744)+1,20))+1,20))),"")))</f>
        <v/>
      </c>
      <c r="E744">
        <f>IF($A744="","",IF(OR($B744="",$C744="",$D744="",$B744&lt;1300,$B744&gt;1500,$C744&lt;1,$C744&gt;12,$D744&lt;1,$D744&gt;31),"نامعتبر",RIGHT("0000"&amp;$B744,4)&amp;"/"&amp;RIGHT("00"&amp;$C744,2)&amp;"/"&amp;RIGHT("00"&amp;$D744,2)))</f>
        <v/>
      </c>
      <c r="F744">
        <f>IF(Entry!$D744&lt;&gt;"",IF(AND(ISNUMBER(Entry!$D744),Entry!$D744&gt;=0,Entry!$D744&lt;1),RIGHT("00"&amp;HOUR(Entry!$D744),2)&amp;":"&amp;RIGHT("00"&amp;MINUTE(Entry!$D744),2),IFERROR(RIGHT("00"&amp;VALUE(TRIM(LEFT(Entry!$D744,FIND(":",Entry!$D744)-1))),2)&amp;":"&amp;RIGHT("00"&amp;VALUE(TRIM(MID(Entry!$D744,FIND(":",Entry!$D744)+1,2))),2),"نامعتبر")),IF(OR($E744="",$E744="نامعتبر"),"","00:00"))</f>
        <v/>
      </c>
      <c r="G744">
        <f>IF(OR($E744="",$E744="نامعتبر"),"",IF(Entry!$E744="","",LEFT(UPPER(TRIM(Entry!$E744)),6)))</f>
        <v/>
      </c>
      <c r="H744">
        <f>IF($G744="","",RIGHT($E744,4)&amp;MID($E744,6,2)&amp;RIGHT($E744,2)&amp;IF($F744="","0000",IF($F744="نامعتبر","9999",LEFT($F744,2)&amp;RIGHT($F744,2)))&amp;"|"&amp;RIGHT("00000"&amp;736,5))</f>
        <v/>
      </c>
      <c r="I744">
        <f>IF($H744="","",COUNTIFS(CalcBank,$G744,CalcKey,"&lt;"&amp;$H744)+1)</f>
        <v/>
      </c>
      <c r="J744">
        <f>IF($I744="","",$G744&amp;"|"&amp;RIGHT("000000"&amp;$I744,6))</f>
        <v/>
      </c>
      <c r="K744">
        <f>IF(OR($E744="",$E744="نامعتبر"),"",LEFT($E744,4)&amp;"/"&amp;MID($E744,6,2))</f>
        <v/>
      </c>
      <c r="L744">
        <f>IF(Entry!$K744="",0,Entry!$K744)</f>
        <v/>
      </c>
      <c r="M744">
        <f>IF(Entry!$L744="",0,Entry!$L744)</f>
        <v/>
      </c>
    </row>
    <row r="745">
      <c r="A745">
        <f>IF(Entry!$C745="","",Entry!$C745)</f>
        <v/>
      </c>
      <c r="B745">
        <f>IF($A745="","",IF(ISNUMBER($A745),IF(AND($A745&gt;=10000101,$A745&lt;=99991231),INT($A745/10000),""),IFERROR(VALUE(TRIM(LEFT($A745,FIND("/",$A745)-1))),"")))</f>
        <v/>
      </c>
      <c r="C745">
        <f>IF(OR($A745="",$B745=""),"",IF(ISNUMBER($A745),INT(MOD($A745,10000)/100),IFERROR(VALUE(TRIM(LEFT(MID($A745,FIND("/",$A745)+1,20),FIND("/",MID($A745,FIND("/",$A745)+1,20))-1))),"")))</f>
        <v/>
      </c>
      <c r="D745">
        <f>IF(OR($A745="",$B745=""),"",IF(ISNUMBER($A745),MOD($A745,100),IFERROR(VALUE(TRIM(MID(MID($A745,FIND("/",$A745)+1,20),FIND("/",MID($A745,FIND("/",$A745)+1,20))+1,20))),"")))</f>
        <v/>
      </c>
      <c r="E745">
        <f>IF($A745="","",IF(OR($B745="",$C745="",$D745="",$B745&lt;1300,$B745&gt;1500,$C745&lt;1,$C745&gt;12,$D745&lt;1,$D745&gt;31),"نامعتبر",RIGHT("0000"&amp;$B745,4)&amp;"/"&amp;RIGHT("00"&amp;$C745,2)&amp;"/"&amp;RIGHT("00"&amp;$D745,2)))</f>
        <v/>
      </c>
      <c r="F745">
        <f>IF(Entry!$D745&lt;&gt;"",IF(AND(ISNUMBER(Entry!$D745),Entry!$D745&gt;=0,Entry!$D745&lt;1),RIGHT("00"&amp;HOUR(Entry!$D745),2)&amp;":"&amp;RIGHT("00"&amp;MINUTE(Entry!$D745),2),IFERROR(RIGHT("00"&amp;VALUE(TRIM(LEFT(Entry!$D745,FIND(":",Entry!$D745)-1))),2)&amp;":"&amp;RIGHT("00"&amp;VALUE(TRIM(MID(Entry!$D745,FIND(":",Entry!$D745)+1,2))),2),"نامعتبر")),IF(OR($E745="",$E745="نامعتبر"),"","00:00"))</f>
        <v/>
      </c>
      <c r="G745">
        <f>IF(OR($E745="",$E745="نامعتبر"),"",IF(Entry!$E745="","",LEFT(UPPER(TRIM(Entry!$E745)),6)))</f>
        <v/>
      </c>
      <c r="H745">
        <f>IF($G745="","",RIGHT($E745,4)&amp;MID($E745,6,2)&amp;RIGHT($E745,2)&amp;IF($F745="","0000",IF($F745="نامعتبر","9999",LEFT($F745,2)&amp;RIGHT($F745,2)))&amp;"|"&amp;RIGHT("00000"&amp;737,5))</f>
        <v/>
      </c>
      <c r="I745">
        <f>IF($H745="","",COUNTIFS(CalcBank,$G745,CalcKey,"&lt;"&amp;$H745)+1)</f>
        <v/>
      </c>
      <c r="J745">
        <f>IF($I745="","",$G745&amp;"|"&amp;RIGHT("000000"&amp;$I745,6))</f>
        <v/>
      </c>
      <c r="K745">
        <f>IF(OR($E745="",$E745="نامعتبر"),"",LEFT($E745,4)&amp;"/"&amp;MID($E745,6,2))</f>
        <v/>
      </c>
      <c r="L745">
        <f>IF(Entry!$K745="",0,Entry!$K745)</f>
        <v/>
      </c>
      <c r="M745">
        <f>IF(Entry!$L745="",0,Entry!$L745)</f>
        <v/>
      </c>
    </row>
    <row r="746">
      <c r="A746">
        <f>IF(Entry!$C746="","",Entry!$C746)</f>
        <v/>
      </c>
      <c r="B746">
        <f>IF($A746="","",IF(ISNUMBER($A746),IF(AND($A746&gt;=10000101,$A746&lt;=99991231),INT($A746/10000),""),IFERROR(VALUE(TRIM(LEFT($A746,FIND("/",$A746)-1))),"")))</f>
        <v/>
      </c>
      <c r="C746">
        <f>IF(OR($A746="",$B746=""),"",IF(ISNUMBER($A746),INT(MOD($A746,10000)/100),IFERROR(VALUE(TRIM(LEFT(MID($A746,FIND("/",$A746)+1,20),FIND("/",MID($A746,FIND("/",$A746)+1,20))-1))),"")))</f>
        <v/>
      </c>
      <c r="D746">
        <f>IF(OR($A746="",$B746=""),"",IF(ISNUMBER($A746),MOD($A746,100),IFERROR(VALUE(TRIM(MID(MID($A746,FIND("/",$A746)+1,20),FIND("/",MID($A746,FIND("/",$A746)+1,20))+1,20))),"")))</f>
        <v/>
      </c>
      <c r="E746">
        <f>IF($A746="","",IF(OR($B746="",$C746="",$D746="",$B746&lt;1300,$B746&gt;1500,$C746&lt;1,$C746&gt;12,$D746&lt;1,$D746&gt;31),"نامعتبر",RIGHT("0000"&amp;$B746,4)&amp;"/"&amp;RIGHT("00"&amp;$C746,2)&amp;"/"&amp;RIGHT("00"&amp;$D746,2)))</f>
        <v/>
      </c>
      <c r="F746">
        <f>IF(Entry!$D746&lt;&gt;"",IF(AND(ISNUMBER(Entry!$D746),Entry!$D746&gt;=0,Entry!$D746&lt;1),RIGHT("00"&amp;HOUR(Entry!$D746),2)&amp;":"&amp;RIGHT("00"&amp;MINUTE(Entry!$D746),2),IFERROR(RIGHT("00"&amp;VALUE(TRIM(LEFT(Entry!$D746,FIND(":",Entry!$D746)-1))),2)&amp;":"&amp;RIGHT("00"&amp;VALUE(TRIM(MID(Entry!$D746,FIND(":",Entry!$D746)+1,2))),2),"نامعتبر")),IF(OR($E746="",$E746="نامعتبر"),"","00:00"))</f>
        <v/>
      </c>
      <c r="G746">
        <f>IF(OR($E746="",$E746="نامعتبر"),"",IF(Entry!$E746="","",LEFT(UPPER(TRIM(Entry!$E746)),6)))</f>
        <v/>
      </c>
      <c r="H746">
        <f>IF($G746="","",RIGHT($E746,4)&amp;MID($E746,6,2)&amp;RIGHT($E746,2)&amp;IF($F746="","0000",IF($F746="نامعتبر","9999",LEFT($F746,2)&amp;RIGHT($F746,2)))&amp;"|"&amp;RIGHT("00000"&amp;738,5))</f>
        <v/>
      </c>
      <c r="I746">
        <f>IF($H746="","",COUNTIFS(CalcBank,$G746,CalcKey,"&lt;"&amp;$H746)+1)</f>
        <v/>
      </c>
      <c r="J746">
        <f>IF($I746="","",$G746&amp;"|"&amp;RIGHT("000000"&amp;$I746,6))</f>
        <v/>
      </c>
      <c r="K746">
        <f>IF(OR($E746="",$E746="نامعتبر"),"",LEFT($E746,4)&amp;"/"&amp;MID($E746,6,2))</f>
        <v/>
      </c>
      <c r="L746">
        <f>IF(Entry!$K746="",0,Entry!$K746)</f>
        <v/>
      </c>
      <c r="M746">
        <f>IF(Entry!$L746="",0,Entry!$L746)</f>
        <v/>
      </c>
    </row>
    <row r="747">
      <c r="A747">
        <f>IF(Entry!$C747="","",Entry!$C747)</f>
        <v/>
      </c>
      <c r="B747">
        <f>IF($A747="","",IF(ISNUMBER($A747),IF(AND($A747&gt;=10000101,$A747&lt;=99991231),INT($A747/10000),""),IFERROR(VALUE(TRIM(LEFT($A747,FIND("/",$A747)-1))),"")))</f>
        <v/>
      </c>
      <c r="C747">
        <f>IF(OR($A747="",$B747=""),"",IF(ISNUMBER($A747),INT(MOD($A747,10000)/100),IFERROR(VALUE(TRIM(LEFT(MID($A747,FIND("/",$A747)+1,20),FIND("/",MID($A747,FIND("/",$A747)+1,20))-1))),"")))</f>
        <v/>
      </c>
      <c r="D747">
        <f>IF(OR($A747="",$B747=""),"",IF(ISNUMBER($A747),MOD($A747,100),IFERROR(VALUE(TRIM(MID(MID($A747,FIND("/",$A747)+1,20),FIND("/",MID($A747,FIND("/",$A747)+1,20))+1,20))),"")))</f>
        <v/>
      </c>
      <c r="E747">
        <f>IF($A747="","",IF(OR($B747="",$C747="",$D747="",$B747&lt;1300,$B747&gt;1500,$C747&lt;1,$C747&gt;12,$D747&lt;1,$D747&gt;31),"نامعتبر",RIGHT("0000"&amp;$B747,4)&amp;"/"&amp;RIGHT("00"&amp;$C747,2)&amp;"/"&amp;RIGHT("00"&amp;$D747,2)))</f>
        <v/>
      </c>
      <c r="F747">
        <f>IF(Entry!$D747&lt;&gt;"",IF(AND(ISNUMBER(Entry!$D747),Entry!$D747&gt;=0,Entry!$D747&lt;1),RIGHT("00"&amp;HOUR(Entry!$D747),2)&amp;":"&amp;RIGHT("00"&amp;MINUTE(Entry!$D747),2),IFERROR(RIGHT("00"&amp;VALUE(TRIM(LEFT(Entry!$D747,FIND(":",Entry!$D747)-1))),2)&amp;":"&amp;RIGHT("00"&amp;VALUE(TRIM(MID(Entry!$D747,FIND(":",Entry!$D747)+1,2))),2),"نامعتبر")),IF(OR($E747="",$E747="نامعتبر"),"","00:00"))</f>
        <v/>
      </c>
      <c r="G747">
        <f>IF(OR($E747="",$E747="نامعتبر"),"",IF(Entry!$E747="","",LEFT(UPPER(TRIM(Entry!$E747)),6)))</f>
        <v/>
      </c>
      <c r="H747">
        <f>IF($G747="","",RIGHT($E747,4)&amp;MID($E747,6,2)&amp;RIGHT($E747,2)&amp;IF($F747="","0000",IF($F747="نامعتبر","9999",LEFT($F747,2)&amp;RIGHT($F747,2)))&amp;"|"&amp;RIGHT("00000"&amp;739,5))</f>
        <v/>
      </c>
      <c r="I747">
        <f>IF($H747="","",COUNTIFS(CalcBank,$G747,CalcKey,"&lt;"&amp;$H747)+1)</f>
        <v/>
      </c>
      <c r="J747">
        <f>IF($I747="","",$G747&amp;"|"&amp;RIGHT("000000"&amp;$I747,6))</f>
        <v/>
      </c>
      <c r="K747">
        <f>IF(OR($E747="",$E747="نامعتبر"),"",LEFT($E747,4)&amp;"/"&amp;MID($E747,6,2))</f>
        <v/>
      </c>
      <c r="L747">
        <f>IF(Entry!$K747="",0,Entry!$K747)</f>
        <v/>
      </c>
      <c r="M747">
        <f>IF(Entry!$L747="",0,Entry!$L747)</f>
        <v/>
      </c>
    </row>
    <row r="748">
      <c r="A748">
        <f>IF(Entry!$C748="","",Entry!$C748)</f>
        <v/>
      </c>
      <c r="B748">
        <f>IF($A748="","",IF(ISNUMBER($A748),IF(AND($A748&gt;=10000101,$A748&lt;=99991231),INT($A748/10000),""),IFERROR(VALUE(TRIM(LEFT($A748,FIND("/",$A748)-1))),"")))</f>
        <v/>
      </c>
      <c r="C748">
        <f>IF(OR($A748="",$B748=""),"",IF(ISNUMBER($A748),INT(MOD($A748,10000)/100),IFERROR(VALUE(TRIM(LEFT(MID($A748,FIND("/",$A748)+1,20),FIND("/",MID($A748,FIND("/",$A748)+1,20))-1))),"")))</f>
        <v/>
      </c>
      <c r="D748">
        <f>IF(OR($A748="",$B748=""),"",IF(ISNUMBER($A748),MOD($A748,100),IFERROR(VALUE(TRIM(MID(MID($A748,FIND("/",$A748)+1,20),FIND("/",MID($A748,FIND("/",$A748)+1,20))+1,20))),"")))</f>
        <v/>
      </c>
      <c r="E748">
        <f>IF($A748="","",IF(OR($B748="",$C748="",$D748="",$B748&lt;1300,$B748&gt;1500,$C748&lt;1,$C748&gt;12,$D748&lt;1,$D748&gt;31),"نامعتبر",RIGHT("0000"&amp;$B748,4)&amp;"/"&amp;RIGHT("00"&amp;$C748,2)&amp;"/"&amp;RIGHT("00"&amp;$D748,2)))</f>
        <v/>
      </c>
      <c r="F748">
        <f>IF(Entry!$D748&lt;&gt;"",IF(AND(ISNUMBER(Entry!$D748),Entry!$D748&gt;=0,Entry!$D748&lt;1),RIGHT("00"&amp;HOUR(Entry!$D748),2)&amp;":"&amp;RIGHT("00"&amp;MINUTE(Entry!$D748),2),IFERROR(RIGHT("00"&amp;VALUE(TRIM(LEFT(Entry!$D748,FIND(":",Entry!$D748)-1))),2)&amp;":"&amp;RIGHT("00"&amp;VALUE(TRIM(MID(Entry!$D748,FIND(":",Entry!$D748)+1,2))),2),"نامعتبر")),IF(OR($E748="",$E748="نامعتبر"),"","00:00"))</f>
        <v/>
      </c>
      <c r="G748">
        <f>IF(OR($E748="",$E748="نامعتبر"),"",IF(Entry!$E748="","",LEFT(UPPER(TRIM(Entry!$E748)),6)))</f>
        <v/>
      </c>
      <c r="H748">
        <f>IF($G748="","",RIGHT($E748,4)&amp;MID($E748,6,2)&amp;RIGHT($E748,2)&amp;IF($F748="","0000",IF($F748="نامعتبر","9999",LEFT($F748,2)&amp;RIGHT($F748,2)))&amp;"|"&amp;RIGHT("00000"&amp;740,5))</f>
        <v/>
      </c>
      <c r="I748">
        <f>IF($H748="","",COUNTIFS(CalcBank,$G748,CalcKey,"&lt;"&amp;$H748)+1)</f>
        <v/>
      </c>
      <c r="J748">
        <f>IF($I748="","",$G748&amp;"|"&amp;RIGHT("000000"&amp;$I748,6))</f>
        <v/>
      </c>
      <c r="K748">
        <f>IF(OR($E748="",$E748="نامعتبر"),"",LEFT($E748,4)&amp;"/"&amp;MID($E748,6,2))</f>
        <v/>
      </c>
      <c r="L748">
        <f>IF(Entry!$K748="",0,Entry!$K748)</f>
        <v/>
      </c>
      <c r="M748">
        <f>IF(Entry!$L748="",0,Entry!$L748)</f>
        <v/>
      </c>
    </row>
    <row r="749">
      <c r="A749">
        <f>IF(Entry!$C749="","",Entry!$C749)</f>
        <v/>
      </c>
      <c r="B749">
        <f>IF($A749="","",IF(ISNUMBER($A749),IF(AND($A749&gt;=10000101,$A749&lt;=99991231),INT($A749/10000),""),IFERROR(VALUE(TRIM(LEFT($A749,FIND("/",$A749)-1))),"")))</f>
        <v/>
      </c>
      <c r="C749">
        <f>IF(OR($A749="",$B749=""),"",IF(ISNUMBER($A749),INT(MOD($A749,10000)/100),IFERROR(VALUE(TRIM(LEFT(MID($A749,FIND("/",$A749)+1,20),FIND("/",MID($A749,FIND("/",$A749)+1,20))-1))),"")))</f>
        <v/>
      </c>
      <c r="D749">
        <f>IF(OR($A749="",$B749=""),"",IF(ISNUMBER($A749),MOD($A749,100),IFERROR(VALUE(TRIM(MID(MID($A749,FIND("/",$A749)+1,20),FIND("/",MID($A749,FIND("/",$A749)+1,20))+1,20))),"")))</f>
        <v/>
      </c>
      <c r="E749">
        <f>IF($A749="","",IF(OR($B749="",$C749="",$D749="",$B749&lt;1300,$B749&gt;1500,$C749&lt;1,$C749&gt;12,$D749&lt;1,$D749&gt;31),"نامعتبر",RIGHT("0000"&amp;$B749,4)&amp;"/"&amp;RIGHT("00"&amp;$C749,2)&amp;"/"&amp;RIGHT("00"&amp;$D749,2)))</f>
        <v/>
      </c>
      <c r="F749">
        <f>IF(Entry!$D749&lt;&gt;"",IF(AND(ISNUMBER(Entry!$D749),Entry!$D749&gt;=0,Entry!$D749&lt;1),RIGHT("00"&amp;HOUR(Entry!$D749),2)&amp;":"&amp;RIGHT("00"&amp;MINUTE(Entry!$D749),2),IFERROR(RIGHT("00"&amp;VALUE(TRIM(LEFT(Entry!$D749,FIND(":",Entry!$D749)-1))),2)&amp;":"&amp;RIGHT("00"&amp;VALUE(TRIM(MID(Entry!$D749,FIND(":",Entry!$D749)+1,2))),2),"نامعتبر")),IF(OR($E749="",$E749="نامعتبر"),"","00:00"))</f>
        <v/>
      </c>
      <c r="G749">
        <f>IF(OR($E749="",$E749="نامعتبر"),"",IF(Entry!$E749="","",LEFT(UPPER(TRIM(Entry!$E749)),6)))</f>
        <v/>
      </c>
      <c r="H749">
        <f>IF($G749="","",RIGHT($E749,4)&amp;MID($E749,6,2)&amp;RIGHT($E749,2)&amp;IF($F749="","0000",IF($F749="نامعتبر","9999",LEFT($F749,2)&amp;RIGHT($F749,2)))&amp;"|"&amp;RIGHT("00000"&amp;741,5))</f>
        <v/>
      </c>
      <c r="I749">
        <f>IF($H749="","",COUNTIFS(CalcBank,$G749,CalcKey,"&lt;"&amp;$H749)+1)</f>
        <v/>
      </c>
      <c r="J749">
        <f>IF($I749="","",$G749&amp;"|"&amp;RIGHT("000000"&amp;$I749,6))</f>
        <v/>
      </c>
      <c r="K749">
        <f>IF(OR($E749="",$E749="نامعتبر"),"",LEFT($E749,4)&amp;"/"&amp;MID($E749,6,2))</f>
        <v/>
      </c>
      <c r="L749">
        <f>IF(Entry!$K749="",0,Entry!$K749)</f>
        <v/>
      </c>
      <c r="M749">
        <f>IF(Entry!$L749="",0,Entry!$L749)</f>
        <v/>
      </c>
    </row>
    <row r="750">
      <c r="A750">
        <f>IF(Entry!$C750="","",Entry!$C750)</f>
        <v/>
      </c>
      <c r="B750">
        <f>IF($A750="","",IF(ISNUMBER($A750),IF(AND($A750&gt;=10000101,$A750&lt;=99991231),INT($A750/10000),""),IFERROR(VALUE(TRIM(LEFT($A750,FIND("/",$A750)-1))),"")))</f>
        <v/>
      </c>
      <c r="C750">
        <f>IF(OR($A750="",$B750=""),"",IF(ISNUMBER($A750),INT(MOD($A750,10000)/100),IFERROR(VALUE(TRIM(LEFT(MID($A750,FIND("/",$A750)+1,20),FIND("/",MID($A750,FIND("/",$A750)+1,20))-1))),"")))</f>
        <v/>
      </c>
      <c r="D750">
        <f>IF(OR($A750="",$B750=""),"",IF(ISNUMBER($A750),MOD($A750,100),IFERROR(VALUE(TRIM(MID(MID($A750,FIND("/",$A750)+1,20),FIND("/",MID($A750,FIND("/",$A750)+1,20))+1,20))),"")))</f>
        <v/>
      </c>
      <c r="E750">
        <f>IF($A750="","",IF(OR($B750="",$C750="",$D750="",$B750&lt;1300,$B750&gt;1500,$C750&lt;1,$C750&gt;12,$D750&lt;1,$D750&gt;31),"نامعتبر",RIGHT("0000"&amp;$B750,4)&amp;"/"&amp;RIGHT("00"&amp;$C750,2)&amp;"/"&amp;RIGHT("00"&amp;$D750,2)))</f>
        <v/>
      </c>
      <c r="F750">
        <f>IF(Entry!$D750&lt;&gt;"",IF(AND(ISNUMBER(Entry!$D750),Entry!$D750&gt;=0,Entry!$D750&lt;1),RIGHT("00"&amp;HOUR(Entry!$D750),2)&amp;":"&amp;RIGHT("00"&amp;MINUTE(Entry!$D750),2),IFERROR(RIGHT("00"&amp;VALUE(TRIM(LEFT(Entry!$D750,FIND(":",Entry!$D750)-1))),2)&amp;":"&amp;RIGHT("00"&amp;VALUE(TRIM(MID(Entry!$D750,FIND(":",Entry!$D750)+1,2))),2),"نامعتبر")),IF(OR($E750="",$E750="نامعتبر"),"","00:00"))</f>
        <v/>
      </c>
      <c r="G750">
        <f>IF(OR($E750="",$E750="نامعتبر"),"",IF(Entry!$E750="","",LEFT(UPPER(TRIM(Entry!$E750)),6)))</f>
        <v/>
      </c>
      <c r="H750">
        <f>IF($G750="","",RIGHT($E750,4)&amp;MID($E750,6,2)&amp;RIGHT($E750,2)&amp;IF($F750="","0000",IF($F750="نامعتبر","9999",LEFT($F750,2)&amp;RIGHT($F750,2)))&amp;"|"&amp;RIGHT("00000"&amp;742,5))</f>
        <v/>
      </c>
      <c r="I750">
        <f>IF($H750="","",COUNTIFS(CalcBank,$G750,CalcKey,"&lt;"&amp;$H750)+1)</f>
        <v/>
      </c>
      <c r="J750">
        <f>IF($I750="","",$G750&amp;"|"&amp;RIGHT("000000"&amp;$I750,6))</f>
        <v/>
      </c>
      <c r="K750">
        <f>IF(OR($E750="",$E750="نامعتبر"),"",LEFT($E750,4)&amp;"/"&amp;MID($E750,6,2))</f>
        <v/>
      </c>
      <c r="L750">
        <f>IF(Entry!$K750="",0,Entry!$K750)</f>
        <v/>
      </c>
      <c r="M750">
        <f>IF(Entry!$L750="",0,Entry!$L750)</f>
        <v/>
      </c>
    </row>
    <row r="751">
      <c r="A751">
        <f>IF(Entry!$C751="","",Entry!$C751)</f>
        <v/>
      </c>
      <c r="B751">
        <f>IF($A751="","",IF(ISNUMBER($A751),IF(AND($A751&gt;=10000101,$A751&lt;=99991231),INT($A751/10000),""),IFERROR(VALUE(TRIM(LEFT($A751,FIND("/",$A751)-1))),"")))</f>
        <v/>
      </c>
      <c r="C751">
        <f>IF(OR($A751="",$B751=""),"",IF(ISNUMBER($A751),INT(MOD($A751,10000)/100),IFERROR(VALUE(TRIM(LEFT(MID($A751,FIND("/",$A751)+1,20),FIND("/",MID($A751,FIND("/",$A751)+1,20))-1))),"")))</f>
        <v/>
      </c>
      <c r="D751">
        <f>IF(OR($A751="",$B751=""),"",IF(ISNUMBER($A751),MOD($A751,100),IFERROR(VALUE(TRIM(MID(MID($A751,FIND("/",$A751)+1,20),FIND("/",MID($A751,FIND("/",$A751)+1,20))+1,20))),"")))</f>
        <v/>
      </c>
      <c r="E751">
        <f>IF($A751="","",IF(OR($B751="",$C751="",$D751="",$B751&lt;1300,$B751&gt;1500,$C751&lt;1,$C751&gt;12,$D751&lt;1,$D751&gt;31),"نامعتبر",RIGHT("0000"&amp;$B751,4)&amp;"/"&amp;RIGHT("00"&amp;$C751,2)&amp;"/"&amp;RIGHT("00"&amp;$D751,2)))</f>
        <v/>
      </c>
      <c r="F751">
        <f>IF(Entry!$D751&lt;&gt;"",IF(AND(ISNUMBER(Entry!$D751),Entry!$D751&gt;=0,Entry!$D751&lt;1),RIGHT("00"&amp;HOUR(Entry!$D751),2)&amp;":"&amp;RIGHT("00"&amp;MINUTE(Entry!$D751),2),IFERROR(RIGHT("00"&amp;VALUE(TRIM(LEFT(Entry!$D751,FIND(":",Entry!$D751)-1))),2)&amp;":"&amp;RIGHT("00"&amp;VALUE(TRIM(MID(Entry!$D751,FIND(":",Entry!$D751)+1,2))),2),"نامعتبر")),IF(OR($E751="",$E751="نامعتبر"),"","00:00"))</f>
        <v/>
      </c>
      <c r="G751">
        <f>IF(OR($E751="",$E751="نامعتبر"),"",IF(Entry!$E751="","",LEFT(UPPER(TRIM(Entry!$E751)),6)))</f>
        <v/>
      </c>
      <c r="H751">
        <f>IF($G751="","",RIGHT($E751,4)&amp;MID($E751,6,2)&amp;RIGHT($E751,2)&amp;IF($F751="","0000",IF($F751="نامعتبر","9999",LEFT($F751,2)&amp;RIGHT($F751,2)))&amp;"|"&amp;RIGHT("00000"&amp;743,5))</f>
        <v/>
      </c>
      <c r="I751">
        <f>IF($H751="","",COUNTIFS(CalcBank,$G751,CalcKey,"&lt;"&amp;$H751)+1)</f>
        <v/>
      </c>
      <c r="J751">
        <f>IF($I751="","",$G751&amp;"|"&amp;RIGHT("000000"&amp;$I751,6))</f>
        <v/>
      </c>
      <c r="K751">
        <f>IF(OR($E751="",$E751="نامعتبر"),"",LEFT($E751,4)&amp;"/"&amp;MID($E751,6,2))</f>
        <v/>
      </c>
      <c r="L751">
        <f>IF(Entry!$K751="",0,Entry!$K751)</f>
        <v/>
      </c>
      <c r="M751">
        <f>IF(Entry!$L751="",0,Entry!$L751)</f>
        <v/>
      </c>
    </row>
    <row r="752">
      <c r="A752">
        <f>IF(Entry!$C752="","",Entry!$C752)</f>
        <v/>
      </c>
      <c r="B752">
        <f>IF($A752="","",IF(ISNUMBER($A752),IF(AND($A752&gt;=10000101,$A752&lt;=99991231),INT($A752/10000),""),IFERROR(VALUE(TRIM(LEFT($A752,FIND("/",$A752)-1))),"")))</f>
        <v/>
      </c>
      <c r="C752">
        <f>IF(OR($A752="",$B752=""),"",IF(ISNUMBER($A752),INT(MOD($A752,10000)/100),IFERROR(VALUE(TRIM(LEFT(MID($A752,FIND("/",$A752)+1,20),FIND("/",MID($A752,FIND("/",$A752)+1,20))-1))),"")))</f>
        <v/>
      </c>
      <c r="D752">
        <f>IF(OR($A752="",$B752=""),"",IF(ISNUMBER($A752),MOD($A752,100),IFERROR(VALUE(TRIM(MID(MID($A752,FIND("/",$A752)+1,20),FIND("/",MID($A752,FIND("/",$A752)+1,20))+1,20))),"")))</f>
        <v/>
      </c>
      <c r="E752">
        <f>IF($A752="","",IF(OR($B752="",$C752="",$D752="",$B752&lt;1300,$B752&gt;1500,$C752&lt;1,$C752&gt;12,$D752&lt;1,$D752&gt;31),"نامعتبر",RIGHT("0000"&amp;$B752,4)&amp;"/"&amp;RIGHT("00"&amp;$C752,2)&amp;"/"&amp;RIGHT("00"&amp;$D752,2)))</f>
        <v/>
      </c>
      <c r="F752">
        <f>IF(Entry!$D752&lt;&gt;"",IF(AND(ISNUMBER(Entry!$D752),Entry!$D752&gt;=0,Entry!$D752&lt;1),RIGHT("00"&amp;HOUR(Entry!$D752),2)&amp;":"&amp;RIGHT("00"&amp;MINUTE(Entry!$D752),2),IFERROR(RIGHT("00"&amp;VALUE(TRIM(LEFT(Entry!$D752,FIND(":",Entry!$D752)-1))),2)&amp;":"&amp;RIGHT("00"&amp;VALUE(TRIM(MID(Entry!$D752,FIND(":",Entry!$D752)+1,2))),2),"نامعتبر")),IF(OR($E752="",$E752="نامعتبر"),"","00:00"))</f>
        <v/>
      </c>
      <c r="G752">
        <f>IF(OR($E752="",$E752="نامعتبر"),"",IF(Entry!$E752="","",LEFT(UPPER(TRIM(Entry!$E752)),6)))</f>
        <v/>
      </c>
      <c r="H752">
        <f>IF($G752="","",RIGHT($E752,4)&amp;MID($E752,6,2)&amp;RIGHT($E752,2)&amp;IF($F752="","0000",IF($F752="نامعتبر","9999",LEFT($F752,2)&amp;RIGHT($F752,2)))&amp;"|"&amp;RIGHT("00000"&amp;744,5))</f>
        <v/>
      </c>
      <c r="I752">
        <f>IF($H752="","",COUNTIFS(CalcBank,$G752,CalcKey,"&lt;"&amp;$H752)+1)</f>
        <v/>
      </c>
      <c r="J752">
        <f>IF($I752="","",$G752&amp;"|"&amp;RIGHT("000000"&amp;$I752,6))</f>
        <v/>
      </c>
      <c r="K752">
        <f>IF(OR($E752="",$E752="نامعتبر"),"",LEFT($E752,4)&amp;"/"&amp;MID($E752,6,2))</f>
        <v/>
      </c>
      <c r="L752">
        <f>IF(Entry!$K752="",0,Entry!$K752)</f>
        <v/>
      </c>
      <c r="M752">
        <f>IF(Entry!$L752="",0,Entry!$L752)</f>
        <v/>
      </c>
    </row>
    <row r="753">
      <c r="A753">
        <f>IF(Entry!$C753="","",Entry!$C753)</f>
        <v/>
      </c>
      <c r="B753">
        <f>IF($A753="","",IF(ISNUMBER($A753),IF(AND($A753&gt;=10000101,$A753&lt;=99991231),INT($A753/10000),""),IFERROR(VALUE(TRIM(LEFT($A753,FIND("/",$A753)-1))),"")))</f>
        <v/>
      </c>
      <c r="C753">
        <f>IF(OR($A753="",$B753=""),"",IF(ISNUMBER($A753),INT(MOD($A753,10000)/100),IFERROR(VALUE(TRIM(LEFT(MID($A753,FIND("/",$A753)+1,20),FIND("/",MID($A753,FIND("/",$A753)+1,20))-1))),"")))</f>
        <v/>
      </c>
      <c r="D753">
        <f>IF(OR($A753="",$B753=""),"",IF(ISNUMBER($A753),MOD($A753,100),IFERROR(VALUE(TRIM(MID(MID($A753,FIND("/",$A753)+1,20),FIND("/",MID($A753,FIND("/",$A753)+1,20))+1,20))),"")))</f>
        <v/>
      </c>
      <c r="E753">
        <f>IF($A753="","",IF(OR($B753="",$C753="",$D753="",$B753&lt;1300,$B753&gt;1500,$C753&lt;1,$C753&gt;12,$D753&lt;1,$D753&gt;31),"نامعتبر",RIGHT("0000"&amp;$B753,4)&amp;"/"&amp;RIGHT("00"&amp;$C753,2)&amp;"/"&amp;RIGHT("00"&amp;$D753,2)))</f>
        <v/>
      </c>
      <c r="F753">
        <f>IF(Entry!$D753&lt;&gt;"",IF(AND(ISNUMBER(Entry!$D753),Entry!$D753&gt;=0,Entry!$D753&lt;1),RIGHT("00"&amp;HOUR(Entry!$D753),2)&amp;":"&amp;RIGHT("00"&amp;MINUTE(Entry!$D753),2),IFERROR(RIGHT("00"&amp;VALUE(TRIM(LEFT(Entry!$D753,FIND(":",Entry!$D753)-1))),2)&amp;":"&amp;RIGHT("00"&amp;VALUE(TRIM(MID(Entry!$D753,FIND(":",Entry!$D753)+1,2))),2),"نامعتبر")),IF(OR($E753="",$E753="نامعتبر"),"","00:00"))</f>
        <v/>
      </c>
      <c r="G753">
        <f>IF(OR($E753="",$E753="نامعتبر"),"",IF(Entry!$E753="","",LEFT(UPPER(TRIM(Entry!$E753)),6)))</f>
        <v/>
      </c>
      <c r="H753">
        <f>IF($G753="","",RIGHT($E753,4)&amp;MID($E753,6,2)&amp;RIGHT($E753,2)&amp;IF($F753="","0000",IF($F753="نامعتبر","9999",LEFT($F753,2)&amp;RIGHT($F753,2)))&amp;"|"&amp;RIGHT("00000"&amp;745,5))</f>
        <v/>
      </c>
      <c r="I753">
        <f>IF($H753="","",COUNTIFS(CalcBank,$G753,CalcKey,"&lt;"&amp;$H753)+1)</f>
        <v/>
      </c>
      <c r="J753">
        <f>IF($I753="","",$G753&amp;"|"&amp;RIGHT("000000"&amp;$I753,6))</f>
        <v/>
      </c>
      <c r="K753">
        <f>IF(OR($E753="",$E753="نامعتبر"),"",LEFT($E753,4)&amp;"/"&amp;MID($E753,6,2))</f>
        <v/>
      </c>
      <c r="L753">
        <f>IF(Entry!$K753="",0,Entry!$K753)</f>
        <v/>
      </c>
      <c r="M753">
        <f>IF(Entry!$L753="",0,Entry!$L753)</f>
        <v/>
      </c>
    </row>
    <row r="754">
      <c r="A754">
        <f>IF(Entry!$C754="","",Entry!$C754)</f>
        <v/>
      </c>
      <c r="B754">
        <f>IF($A754="","",IF(ISNUMBER($A754),IF(AND($A754&gt;=10000101,$A754&lt;=99991231),INT($A754/10000),""),IFERROR(VALUE(TRIM(LEFT($A754,FIND("/",$A754)-1))),"")))</f>
        <v/>
      </c>
      <c r="C754">
        <f>IF(OR($A754="",$B754=""),"",IF(ISNUMBER($A754),INT(MOD($A754,10000)/100),IFERROR(VALUE(TRIM(LEFT(MID($A754,FIND("/",$A754)+1,20),FIND("/",MID($A754,FIND("/",$A754)+1,20))-1))),"")))</f>
        <v/>
      </c>
      <c r="D754">
        <f>IF(OR($A754="",$B754=""),"",IF(ISNUMBER($A754),MOD($A754,100),IFERROR(VALUE(TRIM(MID(MID($A754,FIND("/",$A754)+1,20),FIND("/",MID($A754,FIND("/",$A754)+1,20))+1,20))),"")))</f>
        <v/>
      </c>
      <c r="E754">
        <f>IF($A754="","",IF(OR($B754="",$C754="",$D754="",$B754&lt;1300,$B754&gt;1500,$C754&lt;1,$C754&gt;12,$D754&lt;1,$D754&gt;31),"نامعتبر",RIGHT("0000"&amp;$B754,4)&amp;"/"&amp;RIGHT("00"&amp;$C754,2)&amp;"/"&amp;RIGHT("00"&amp;$D754,2)))</f>
        <v/>
      </c>
      <c r="F754">
        <f>IF(Entry!$D754&lt;&gt;"",IF(AND(ISNUMBER(Entry!$D754),Entry!$D754&gt;=0,Entry!$D754&lt;1),RIGHT("00"&amp;HOUR(Entry!$D754),2)&amp;":"&amp;RIGHT("00"&amp;MINUTE(Entry!$D754),2),IFERROR(RIGHT("00"&amp;VALUE(TRIM(LEFT(Entry!$D754,FIND(":",Entry!$D754)-1))),2)&amp;":"&amp;RIGHT("00"&amp;VALUE(TRIM(MID(Entry!$D754,FIND(":",Entry!$D754)+1,2))),2),"نامعتبر")),IF(OR($E754="",$E754="نامعتبر"),"","00:00"))</f>
        <v/>
      </c>
      <c r="G754">
        <f>IF(OR($E754="",$E754="نامعتبر"),"",IF(Entry!$E754="","",LEFT(UPPER(TRIM(Entry!$E754)),6)))</f>
        <v/>
      </c>
      <c r="H754">
        <f>IF($G754="","",RIGHT($E754,4)&amp;MID($E754,6,2)&amp;RIGHT($E754,2)&amp;IF($F754="","0000",IF($F754="نامعتبر","9999",LEFT($F754,2)&amp;RIGHT($F754,2)))&amp;"|"&amp;RIGHT("00000"&amp;746,5))</f>
        <v/>
      </c>
      <c r="I754">
        <f>IF($H754="","",COUNTIFS(CalcBank,$G754,CalcKey,"&lt;"&amp;$H754)+1)</f>
        <v/>
      </c>
      <c r="J754">
        <f>IF($I754="","",$G754&amp;"|"&amp;RIGHT("000000"&amp;$I754,6))</f>
        <v/>
      </c>
      <c r="K754">
        <f>IF(OR($E754="",$E754="نامعتبر"),"",LEFT($E754,4)&amp;"/"&amp;MID($E754,6,2))</f>
        <v/>
      </c>
      <c r="L754">
        <f>IF(Entry!$K754="",0,Entry!$K754)</f>
        <v/>
      </c>
      <c r="M754">
        <f>IF(Entry!$L754="",0,Entry!$L754)</f>
        <v/>
      </c>
    </row>
    <row r="755">
      <c r="A755">
        <f>IF(Entry!$C755="","",Entry!$C755)</f>
        <v/>
      </c>
      <c r="B755">
        <f>IF($A755="","",IF(ISNUMBER($A755),IF(AND($A755&gt;=10000101,$A755&lt;=99991231),INT($A755/10000),""),IFERROR(VALUE(TRIM(LEFT($A755,FIND("/",$A755)-1))),"")))</f>
        <v/>
      </c>
      <c r="C755">
        <f>IF(OR($A755="",$B755=""),"",IF(ISNUMBER($A755),INT(MOD($A755,10000)/100),IFERROR(VALUE(TRIM(LEFT(MID($A755,FIND("/",$A755)+1,20),FIND("/",MID($A755,FIND("/",$A755)+1,20))-1))),"")))</f>
        <v/>
      </c>
      <c r="D755">
        <f>IF(OR($A755="",$B755=""),"",IF(ISNUMBER($A755),MOD($A755,100),IFERROR(VALUE(TRIM(MID(MID($A755,FIND("/",$A755)+1,20),FIND("/",MID($A755,FIND("/",$A755)+1,20))+1,20))),"")))</f>
        <v/>
      </c>
      <c r="E755">
        <f>IF($A755="","",IF(OR($B755="",$C755="",$D755="",$B755&lt;1300,$B755&gt;1500,$C755&lt;1,$C755&gt;12,$D755&lt;1,$D755&gt;31),"نامعتبر",RIGHT("0000"&amp;$B755,4)&amp;"/"&amp;RIGHT("00"&amp;$C755,2)&amp;"/"&amp;RIGHT("00"&amp;$D755,2)))</f>
        <v/>
      </c>
      <c r="F755">
        <f>IF(Entry!$D755&lt;&gt;"",IF(AND(ISNUMBER(Entry!$D755),Entry!$D755&gt;=0,Entry!$D755&lt;1),RIGHT("00"&amp;HOUR(Entry!$D755),2)&amp;":"&amp;RIGHT("00"&amp;MINUTE(Entry!$D755),2),IFERROR(RIGHT("00"&amp;VALUE(TRIM(LEFT(Entry!$D755,FIND(":",Entry!$D755)-1))),2)&amp;":"&amp;RIGHT("00"&amp;VALUE(TRIM(MID(Entry!$D755,FIND(":",Entry!$D755)+1,2))),2),"نامعتبر")),IF(OR($E755="",$E755="نامعتبر"),"","00:00"))</f>
        <v/>
      </c>
      <c r="G755">
        <f>IF(OR($E755="",$E755="نامعتبر"),"",IF(Entry!$E755="","",LEFT(UPPER(TRIM(Entry!$E755)),6)))</f>
        <v/>
      </c>
      <c r="H755">
        <f>IF($G755="","",RIGHT($E755,4)&amp;MID($E755,6,2)&amp;RIGHT($E755,2)&amp;IF($F755="","0000",IF($F755="نامعتبر","9999",LEFT($F755,2)&amp;RIGHT($F755,2)))&amp;"|"&amp;RIGHT("00000"&amp;747,5))</f>
        <v/>
      </c>
      <c r="I755">
        <f>IF($H755="","",COUNTIFS(CalcBank,$G755,CalcKey,"&lt;"&amp;$H755)+1)</f>
        <v/>
      </c>
      <c r="J755">
        <f>IF($I755="","",$G755&amp;"|"&amp;RIGHT("000000"&amp;$I755,6))</f>
        <v/>
      </c>
      <c r="K755">
        <f>IF(OR($E755="",$E755="نامعتبر"),"",LEFT($E755,4)&amp;"/"&amp;MID($E755,6,2))</f>
        <v/>
      </c>
      <c r="L755">
        <f>IF(Entry!$K755="",0,Entry!$K755)</f>
        <v/>
      </c>
      <c r="M755">
        <f>IF(Entry!$L755="",0,Entry!$L755)</f>
        <v/>
      </c>
    </row>
    <row r="756">
      <c r="A756">
        <f>IF(Entry!$C756="","",Entry!$C756)</f>
        <v/>
      </c>
      <c r="B756">
        <f>IF($A756="","",IF(ISNUMBER($A756),IF(AND($A756&gt;=10000101,$A756&lt;=99991231),INT($A756/10000),""),IFERROR(VALUE(TRIM(LEFT($A756,FIND("/",$A756)-1))),"")))</f>
        <v/>
      </c>
      <c r="C756">
        <f>IF(OR($A756="",$B756=""),"",IF(ISNUMBER($A756),INT(MOD($A756,10000)/100),IFERROR(VALUE(TRIM(LEFT(MID($A756,FIND("/",$A756)+1,20),FIND("/",MID($A756,FIND("/",$A756)+1,20))-1))),"")))</f>
        <v/>
      </c>
      <c r="D756">
        <f>IF(OR($A756="",$B756=""),"",IF(ISNUMBER($A756),MOD($A756,100),IFERROR(VALUE(TRIM(MID(MID($A756,FIND("/",$A756)+1,20),FIND("/",MID($A756,FIND("/",$A756)+1,20))+1,20))),"")))</f>
        <v/>
      </c>
      <c r="E756">
        <f>IF($A756="","",IF(OR($B756="",$C756="",$D756="",$B756&lt;1300,$B756&gt;1500,$C756&lt;1,$C756&gt;12,$D756&lt;1,$D756&gt;31),"نامعتبر",RIGHT("0000"&amp;$B756,4)&amp;"/"&amp;RIGHT("00"&amp;$C756,2)&amp;"/"&amp;RIGHT("00"&amp;$D756,2)))</f>
        <v/>
      </c>
      <c r="F756">
        <f>IF(Entry!$D756&lt;&gt;"",IF(AND(ISNUMBER(Entry!$D756),Entry!$D756&gt;=0,Entry!$D756&lt;1),RIGHT("00"&amp;HOUR(Entry!$D756),2)&amp;":"&amp;RIGHT("00"&amp;MINUTE(Entry!$D756),2),IFERROR(RIGHT("00"&amp;VALUE(TRIM(LEFT(Entry!$D756,FIND(":",Entry!$D756)-1))),2)&amp;":"&amp;RIGHT("00"&amp;VALUE(TRIM(MID(Entry!$D756,FIND(":",Entry!$D756)+1,2))),2),"نامعتبر")),IF(OR($E756="",$E756="نامعتبر"),"","00:00"))</f>
        <v/>
      </c>
      <c r="G756">
        <f>IF(OR($E756="",$E756="نامعتبر"),"",IF(Entry!$E756="","",LEFT(UPPER(TRIM(Entry!$E756)),6)))</f>
        <v/>
      </c>
      <c r="H756">
        <f>IF($G756="","",RIGHT($E756,4)&amp;MID($E756,6,2)&amp;RIGHT($E756,2)&amp;IF($F756="","0000",IF($F756="نامعتبر","9999",LEFT($F756,2)&amp;RIGHT($F756,2)))&amp;"|"&amp;RIGHT("00000"&amp;748,5))</f>
        <v/>
      </c>
      <c r="I756">
        <f>IF($H756="","",COUNTIFS(CalcBank,$G756,CalcKey,"&lt;"&amp;$H756)+1)</f>
        <v/>
      </c>
      <c r="J756">
        <f>IF($I756="","",$G756&amp;"|"&amp;RIGHT("000000"&amp;$I756,6))</f>
        <v/>
      </c>
      <c r="K756">
        <f>IF(OR($E756="",$E756="نامعتبر"),"",LEFT($E756,4)&amp;"/"&amp;MID($E756,6,2))</f>
        <v/>
      </c>
      <c r="L756">
        <f>IF(Entry!$K756="",0,Entry!$K756)</f>
        <v/>
      </c>
      <c r="M756">
        <f>IF(Entry!$L756="",0,Entry!$L756)</f>
        <v/>
      </c>
    </row>
    <row r="757">
      <c r="A757">
        <f>IF(Entry!$C757="","",Entry!$C757)</f>
        <v/>
      </c>
      <c r="B757">
        <f>IF($A757="","",IF(ISNUMBER($A757),IF(AND($A757&gt;=10000101,$A757&lt;=99991231),INT($A757/10000),""),IFERROR(VALUE(TRIM(LEFT($A757,FIND("/",$A757)-1))),"")))</f>
        <v/>
      </c>
      <c r="C757">
        <f>IF(OR($A757="",$B757=""),"",IF(ISNUMBER($A757),INT(MOD($A757,10000)/100),IFERROR(VALUE(TRIM(LEFT(MID($A757,FIND("/",$A757)+1,20),FIND("/",MID($A757,FIND("/",$A757)+1,20))-1))),"")))</f>
        <v/>
      </c>
      <c r="D757">
        <f>IF(OR($A757="",$B757=""),"",IF(ISNUMBER($A757),MOD($A757,100),IFERROR(VALUE(TRIM(MID(MID($A757,FIND("/",$A757)+1,20),FIND("/",MID($A757,FIND("/",$A757)+1,20))+1,20))),"")))</f>
        <v/>
      </c>
      <c r="E757">
        <f>IF($A757="","",IF(OR($B757="",$C757="",$D757="",$B757&lt;1300,$B757&gt;1500,$C757&lt;1,$C757&gt;12,$D757&lt;1,$D757&gt;31),"نامعتبر",RIGHT("0000"&amp;$B757,4)&amp;"/"&amp;RIGHT("00"&amp;$C757,2)&amp;"/"&amp;RIGHT("00"&amp;$D757,2)))</f>
        <v/>
      </c>
      <c r="F757">
        <f>IF(Entry!$D757&lt;&gt;"",IF(AND(ISNUMBER(Entry!$D757),Entry!$D757&gt;=0,Entry!$D757&lt;1),RIGHT("00"&amp;HOUR(Entry!$D757),2)&amp;":"&amp;RIGHT("00"&amp;MINUTE(Entry!$D757),2),IFERROR(RIGHT("00"&amp;VALUE(TRIM(LEFT(Entry!$D757,FIND(":",Entry!$D757)-1))),2)&amp;":"&amp;RIGHT("00"&amp;VALUE(TRIM(MID(Entry!$D757,FIND(":",Entry!$D757)+1,2))),2),"نامعتبر")),IF(OR($E757="",$E757="نامعتبر"),"","00:00"))</f>
        <v/>
      </c>
      <c r="G757">
        <f>IF(OR($E757="",$E757="نامعتبر"),"",IF(Entry!$E757="","",LEFT(UPPER(TRIM(Entry!$E757)),6)))</f>
        <v/>
      </c>
      <c r="H757">
        <f>IF($G757="","",RIGHT($E757,4)&amp;MID($E757,6,2)&amp;RIGHT($E757,2)&amp;IF($F757="","0000",IF($F757="نامعتبر","9999",LEFT($F757,2)&amp;RIGHT($F757,2)))&amp;"|"&amp;RIGHT("00000"&amp;749,5))</f>
        <v/>
      </c>
      <c r="I757">
        <f>IF($H757="","",COUNTIFS(CalcBank,$G757,CalcKey,"&lt;"&amp;$H757)+1)</f>
        <v/>
      </c>
      <c r="J757">
        <f>IF($I757="","",$G757&amp;"|"&amp;RIGHT("000000"&amp;$I757,6))</f>
        <v/>
      </c>
      <c r="K757">
        <f>IF(OR($E757="",$E757="نامعتبر"),"",LEFT($E757,4)&amp;"/"&amp;MID($E757,6,2))</f>
        <v/>
      </c>
      <c r="L757">
        <f>IF(Entry!$K757="",0,Entry!$K757)</f>
        <v/>
      </c>
      <c r="M757">
        <f>IF(Entry!$L757="",0,Entry!$L757)</f>
        <v/>
      </c>
    </row>
    <row r="758">
      <c r="A758">
        <f>IF(Entry!$C758="","",Entry!$C758)</f>
        <v/>
      </c>
      <c r="B758">
        <f>IF($A758="","",IF(ISNUMBER($A758),IF(AND($A758&gt;=10000101,$A758&lt;=99991231),INT($A758/10000),""),IFERROR(VALUE(TRIM(LEFT($A758,FIND("/",$A758)-1))),"")))</f>
        <v/>
      </c>
      <c r="C758">
        <f>IF(OR($A758="",$B758=""),"",IF(ISNUMBER($A758),INT(MOD($A758,10000)/100),IFERROR(VALUE(TRIM(LEFT(MID($A758,FIND("/",$A758)+1,20),FIND("/",MID($A758,FIND("/",$A758)+1,20))-1))),"")))</f>
        <v/>
      </c>
      <c r="D758">
        <f>IF(OR($A758="",$B758=""),"",IF(ISNUMBER($A758),MOD($A758,100),IFERROR(VALUE(TRIM(MID(MID($A758,FIND("/",$A758)+1,20),FIND("/",MID($A758,FIND("/",$A758)+1,20))+1,20))),"")))</f>
        <v/>
      </c>
      <c r="E758">
        <f>IF($A758="","",IF(OR($B758="",$C758="",$D758="",$B758&lt;1300,$B758&gt;1500,$C758&lt;1,$C758&gt;12,$D758&lt;1,$D758&gt;31),"نامعتبر",RIGHT("0000"&amp;$B758,4)&amp;"/"&amp;RIGHT("00"&amp;$C758,2)&amp;"/"&amp;RIGHT("00"&amp;$D758,2)))</f>
        <v/>
      </c>
      <c r="F758">
        <f>IF(Entry!$D758&lt;&gt;"",IF(AND(ISNUMBER(Entry!$D758),Entry!$D758&gt;=0,Entry!$D758&lt;1),RIGHT("00"&amp;HOUR(Entry!$D758),2)&amp;":"&amp;RIGHT("00"&amp;MINUTE(Entry!$D758),2),IFERROR(RIGHT("00"&amp;VALUE(TRIM(LEFT(Entry!$D758,FIND(":",Entry!$D758)-1))),2)&amp;":"&amp;RIGHT("00"&amp;VALUE(TRIM(MID(Entry!$D758,FIND(":",Entry!$D758)+1,2))),2),"نامعتبر")),IF(OR($E758="",$E758="نامعتبر"),"","00:00"))</f>
        <v/>
      </c>
      <c r="G758">
        <f>IF(OR($E758="",$E758="نامعتبر"),"",IF(Entry!$E758="","",LEFT(UPPER(TRIM(Entry!$E758)),6)))</f>
        <v/>
      </c>
      <c r="H758">
        <f>IF($G758="","",RIGHT($E758,4)&amp;MID($E758,6,2)&amp;RIGHT($E758,2)&amp;IF($F758="","0000",IF($F758="نامعتبر","9999",LEFT($F758,2)&amp;RIGHT($F758,2)))&amp;"|"&amp;RIGHT("00000"&amp;750,5))</f>
        <v/>
      </c>
      <c r="I758">
        <f>IF($H758="","",COUNTIFS(CalcBank,$G758,CalcKey,"&lt;"&amp;$H758)+1)</f>
        <v/>
      </c>
      <c r="J758">
        <f>IF($I758="","",$G758&amp;"|"&amp;RIGHT("000000"&amp;$I758,6))</f>
        <v/>
      </c>
      <c r="K758">
        <f>IF(OR($E758="",$E758="نامعتبر"),"",LEFT($E758,4)&amp;"/"&amp;MID($E758,6,2))</f>
        <v/>
      </c>
      <c r="L758">
        <f>IF(Entry!$K758="",0,Entry!$K758)</f>
        <v/>
      </c>
      <c r="M758">
        <f>IF(Entry!$L758="",0,Entry!$L758)</f>
        <v/>
      </c>
    </row>
    <row r="759">
      <c r="A759">
        <f>IF(Entry!$C759="","",Entry!$C759)</f>
        <v/>
      </c>
      <c r="B759">
        <f>IF($A759="","",IF(ISNUMBER($A759),IF(AND($A759&gt;=10000101,$A759&lt;=99991231),INT($A759/10000),""),IFERROR(VALUE(TRIM(LEFT($A759,FIND("/",$A759)-1))),"")))</f>
        <v/>
      </c>
      <c r="C759">
        <f>IF(OR($A759="",$B759=""),"",IF(ISNUMBER($A759),INT(MOD($A759,10000)/100),IFERROR(VALUE(TRIM(LEFT(MID($A759,FIND("/",$A759)+1,20),FIND("/",MID($A759,FIND("/",$A759)+1,20))-1))),"")))</f>
        <v/>
      </c>
      <c r="D759">
        <f>IF(OR($A759="",$B759=""),"",IF(ISNUMBER($A759),MOD($A759,100),IFERROR(VALUE(TRIM(MID(MID($A759,FIND("/",$A759)+1,20),FIND("/",MID($A759,FIND("/",$A759)+1,20))+1,20))),"")))</f>
        <v/>
      </c>
      <c r="E759">
        <f>IF($A759="","",IF(OR($B759="",$C759="",$D759="",$B759&lt;1300,$B759&gt;1500,$C759&lt;1,$C759&gt;12,$D759&lt;1,$D759&gt;31),"نامعتبر",RIGHT("0000"&amp;$B759,4)&amp;"/"&amp;RIGHT("00"&amp;$C759,2)&amp;"/"&amp;RIGHT("00"&amp;$D759,2)))</f>
        <v/>
      </c>
      <c r="F759">
        <f>IF(Entry!$D759&lt;&gt;"",IF(AND(ISNUMBER(Entry!$D759),Entry!$D759&gt;=0,Entry!$D759&lt;1),RIGHT("00"&amp;HOUR(Entry!$D759),2)&amp;":"&amp;RIGHT("00"&amp;MINUTE(Entry!$D759),2),IFERROR(RIGHT("00"&amp;VALUE(TRIM(LEFT(Entry!$D759,FIND(":",Entry!$D759)-1))),2)&amp;":"&amp;RIGHT("00"&amp;VALUE(TRIM(MID(Entry!$D759,FIND(":",Entry!$D759)+1,2))),2),"نامعتبر")),IF(OR($E759="",$E759="نامعتبر"),"","00:00"))</f>
        <v/>
      </c>
      <c r="G759">
        <f>IF(OR($E759="",$E759="نامعتبر"),"",IF(Entry!$E759="","",LEFT(UPPER(TRIM(Entry!$E759)),6)))</f>
        <v/>
      </c>
      <c r="H759">
        <f>IF($G759="","",RIGHT($E759,4)&amp;MID($E759,6,2)&amp;RIGHT($E759,2)&amp;IF($F759="","0000",IF($F759="نامعتبر","9999",LEFT($F759,2)&amp;RIGHT($F759,2)))&amp;"|"&amp;RIGHT("00000"&amp;751,5))</f>
        <v/>
      </c>
      <c r="I759">
        <f>IF($H759="","",COUNTIFS(CalcBank,$G759,CalcKey,"&lt;"&amp;$H759)+1)</f>
        <v/>
      </c>
      <c r="J759">
        <f>IF($I759="","",$G759&amp;"|"&amp;RIGHT("000000"&amp;$I759,6))</f>
        <v/>
      </c>
      <c r="K759">
        <f>IF(OR($E759="",$E759="نامعتبر"),"",LEFT($E759,4)&amp;"/"&amp;MID($E759,6,2))</f>
        <v/>
      </c>
      <c r="L759">
        <f>IF(Entry!$K759="",0,Entry!$K759)</f>
        <v/>
      </c>
      <c r="M759">
        <f>IF(Entry!$L759="",0,Entry!$L759)</f>
        <v/>
      </c>
    </row>
    <row r="760">
      <c r="A760">
        <f>IF(Entry!$C760="","",Entry!$C760)</f>
        <v/>
      </c>
      <c r="B760">
        <f>IF($A760="","",IF(ISNUMBER($A760),IF(AND($A760&gt;=10000101,$A760&lt;=99991231),INT($A760/10000),""),IFERROR(VALUE(TRIM(LEFT($A760,FIND("/",$A760)-1))),"")))</f>
        <v/>
      </c>
      <c r="C760">
        <f>IF(OR($A760="",$B760=""),"",IF(ISNUMBER($A760),INT(MOD($A760,10000)/100),IFERROR(VALUE(TRIM(LEFT(MID($A760,FIND("/",$A760)+1,20),FIND("/",MID($A760,FIND("/",$A760)+1,20))-1))),"")))</f>
        <v/>
      </c>
      <c r="D760">
        <f>IF(OR($A760="",$B760=""),"",IF(ISNUMBER($A760),MOD($A760,100),IFERROR(VALUE(TRIM(MID(MID($A760,FIND("/",$A760)+1,20),FIND("/",MID($A760,FIND("/",$A760)+1,20))+1,20))),"")))</f>
        <v/>
      </c>
      <c r="E760">
        <f>IF($A760="","",IF(OR($B760="",$C760="",$D760="",$B760&lt;1300,$B760&gt;1500,$C760&lt;1,$C760&gt;12,$D760&lt;1,$D760&gt;31),"نامعتبر",RIGHT("0000"&amp;$B760,4)&amp;"/"&amp;RIGHT("00"&amp;$C760,2)&amp;"/"&amp;RIGHT("00"&amp;$D760,2)))</f>
        <v/>
      </c>
      <c r="F760">
        <f>IF(Entry!$D760&lt;&gt;"",IF(AND(ISNUMBER(Entry!$D760),Entry!$D760&gt;=0,Entry!$D760&lt;1),RIGHT("00"&amp;HOUR(Entry!$D760),2)&amp;":"&amp;RIGHT("00"&amp;MINUTE(Entry!$D760),2),IFERROR(RIGHT("00"&amp;VALUE(TRIM(LEFT(Entry!$D760,FIND(":",Entry!$D760)-1))),2)&amp;":"&amp;RIGHT("00"&amp;VALUE(TRIM(MID(Entry!$D760,FIND(":",Entry!$D760)+1,2))),2),"نامعتبر")),IF(OR($E760="",$E760="نامعتبر"),"","00:00"))</f>
        <v/>
      </c>
      <c r="G760">
        <f>IF(OR($E760="",$E760="نامعتبر"),"",IF(Entry!$E760="","",LEFT(UPPER(TRIM(Entry!$E760)),6)))</f>
        <v/>
      </c>
      <c r="H760">
        <f>IF($G760="","",RIGHT($E760,4)&amp;MID($E760,6,2)&amp;RIGHT($E760,2)&amp;IF($F760="","0000",IF($F760="نامعتبر","9999",LEFT($F760,2)&amp;RIGHT($F760,2)))&amp;"|"&amp;RIGHT("00000"&amp;752,5))</f>
        <v/>
      </c>
      <c r="I760">
        <f>IF($H760="","",COUNTIFS(CalcBank,$G760,CalcKey,"&lt;"&amp;$H760)+1)</f>
        <v/>
      </c>
      <c r="J760">
        <f>IF($I760="","",$G760&amp;"|"&amp;RIGHT("000000"&amp;$I760,6))</f>
        <v/>
      </c>
      <c r="K760">
        <f>IF(OR($E760="",$E760="نامعتبر"),"",LEFT($E760,4)&amp;"/"&amp;MID($E760,6,2))</f>
        <v/>
      </c>
      <c r="L760">
        <f>IF(Entry!$K760="",0,Entry!$K760)</f>
        <v/>
      </c>
      <c r="M760">
        <f>IF(Entry!$L760="",0,Entry!$L760)</f>
        <v/>
      </c>
    </row>
    <row r="761">
      <c r="A761">
        <f>IF(Entry!$C761="","",Entry!$C761)</f>
        <v/>
      </c>
      <c r="B761">
        <f>IF($A761="","",IF(ISNUMBER($A761),IF(AND($A761&gt;=10000101,$A761&lt;=99991231),INT($A761/10000),""),IFERROR(VALUE(TRIM(LEFT($A761,FIND("/",$A761)-1))),"")))</f>
        <v/>
      </c>
      <c r="C761">
        <f>IF(OR($A761="",$B761=""),"",IF(ISNUMBER($A761),INT(MOD($A761,10000)/100),IFERROR(VALUE(TRIM(LEFT(MID($A761,FIND("/",$A761)+1,20),FIND("/",MID($A761,FIND("/",$A761)+1,20))-1))),"")))</f>
        <v/>
      </c>
      <c r="D761">
        <f>IF(OR($A761="",$B761=""),"",IF(ISNUMBER($A761),MOD($A761,100),IFERROR(VALUE(TRIM(MID(MID($A761,FIND("/",$A761)+1,20),FIND("/",MID($A761,FIND("/",$A761)+1,20))+1,20))),"")))</f>
        <v/>
      </c>
      <c r="E761">
        <f>IF($A761="","",IF(OR($B761="",$C761="",$D761="",$B761&lt;1300,$B761&gt;1500,$C761&lt;1,$C761&gt;12,$D761&lt;1,$D761&gt;31),"نامعتبر",RIGHT("0000"&amp;$B761,4)&amp;"/"&amp;RIGHT("00"&amp;$C761,2)&amp;"/"&amp;RIGHT("00"&amp;$D761,2)))</f>
        <v/>
      </c>
      <c r="F761">
        <f>IF(Entry!$D761&lt;&gt;"",IF(AND(ISNUMBER(Entry!$D761),Entry!$D761&gt;=0,Entry!$D761&lt;1),RIGHT("00"&amp;HOUR(Entry!$D761),2)&amp;":"&amp;RIGHT("00"&amp;MINUTE(Entry!$D761),2),IFERROR(RIGHT("00"&amp;VALUE(TRIM(LEFT(Entry!$D761,FIND(":",Entry!$D761)-1))),2)&amp;":"&amp;RIGHT("00"&amp;VALUE(TRIM(MID(Entry!$D761,FIND(":",Entry!$D761)+1,2))),2),"نامعتبر")),IF(OR($E761="",$E761="نامعتبر"),"","00:00"))</f>
        <v/>
      </c>
      <c r="G761">
        <f>IF(OR($E761="",$E761="نامعتبر"),"",IF(Entry!$E761="","",LEFT(UPPER(TRIM(Entry!$E761)),6)))</f>
        <v/>
      </c>
      <c r="H761">
        <f>IF($G761="","",RIGHT($E761,4)&amp;MID($E761,6,2)&amp;RIGHT($E761,2)&amp;IF($F761="","0000",IF($F761="نامعتبر","9999",LEFT($F761,2)&amp;RIGHT($F761,2)))&amp;"|"&amp;RIGHT("00000"&amp;753,5))</f>
        <v/>
      </c>
      <c r="I761">
        <f>IF($H761="","",COUNTIFS(CalcBank,$G761,CalcKey,"&lt;"&amp;$H761)+1)</f>
        <v/>
      </c>
      <c r="J761">
        <f>IF($I761="","",$G761&amp;"|"&amp;RIGHT("000000"&amp;$I761,6))</f>
        <v/>
      </c>
      <c r="K761">
        <f>IF(OR($E761="",$E761="نامعتبر"),"",LEFT($E761,4)&amp;"/"&amp;MID($E761,6,2))</f>
        <v/>
      </c>
      <c r="L761">
        <f>IF(Entry!$K761="",0,Entry!$K761)</f>
        <v/>
      </c>
      <c r="M761">
        <f>IF(Entry!$L761="",0,Entry!$L761)</f>
        <v/>
      </c>
    </row>
    <row r="762">
      <c r="A762">
        <f>IF(Entry!$C762="","",Entry!$C762)</f>
        <v/>
      </c>
      <c r="B762">
        <f>IF($A762="","",IF(ISNUMBER($A762),IF(AND($A762&gt;=10000101,$A762&lt;=99991231),INT($A762/10000),""),IFERROR(VALUE(TRIM(LEFT($A762,FIND("/",$A762)-1))),"")))</f>
        <v/>
      </c>
      <c r="C762">
        <f>IF(OR($A762="",$B762=""),"",IF(ISNUMBER($A762),INT(MOD($A762,10000)/100),IFERROR(VALUE(TRIM(LEFT(MID($A762,FIND("/",$A762)+1,20),FIND("/",MID($A762,FIND("/",$A762)+1,20))-1))),"")))</f>
        <v/>
      </c>
      <c r="D762">
        <f>IF(OR($A762="",$B762=""),"",IF(ISNUMBER($A762),MOD($A762,100),IFERROR(VALUE(TRIM(MID(MID($A762,FIND("/",$A762)+1,20),FIND("/",MID($A762,FIND("/",$A762)+1,20))+1,20))),"")))</f>
        <v/>
      </c>
      <c r="E762">
        <f>IF($A762="","",IF(OR($B762="",$C762="",$D762="",$B762&lt;1300,$B762&gt;1500,$C762&lt;1,$C762&gt;12,$D762&lt;1,$D762&gt;31),"نامعتبر",RIGHT("0000"&amp;$B762,4)&amp;"/"&amp;RIGHT("00"&amp;$C762,2)&amp;"/"&amp;RIGHT("00"&amp;$D762,2)))</f>
        <v/>
      </c>
      <c r="F762">
        <f>IF(Entry!$D762&lt;&gt;"",IF(AND(ISNUMBER(Entry!$D762),Entry!$D762&gt;=0,Entry!$D762&lt;1),RIGHT("00"&amp;HOUR(Entry!$D762),2)&amp;":"&amp;RIGHT("00"&amp;MINUTE(Entry!$D762),2),IFERROR(RIGHT("00"&amp;VALUE(TRIM(LEFT(Entry!$D762,FIND(":",Entry!$D762)-1))),2)&amp;":"&amp;RIGHT("00"&amp;VALUE(TRIM(MID(Entry!$D762,FIND(":",Entry!$D762)+1,2))),2),"نامعتبر")),IF(OR($E762="",$E762="نامعتبر"),"","00:00"))</f>
        <v/>
      </c>
      <c r="G762">
        <f>IF(OR($E762="",$E762="نامعتبر"),"",IF(Entry!$E762="","",LEFT(UPPER(TRIM(Entry!$E762)),6)))</f>
        <v/>
      </c>
      <c r="H762">
        <f>IF($G762="","",RIGHT($E762,4)&amp;MID($E762,6,2)&amp;RIGHT($E762,2)&amp;IF($F762="","0000",IF($F762="نامعتبر","9999",LEFT($F762,2)&amp;RIGHT($F762,2)))&amp;"|"&amp;RIGHT("00000"&amp;754,5))</f>
        <v/>
      </c>
      <c r="I762">
        <f>IF($H762="","",COUNTIFS(CalcBank,$G762,CalcKey,"&lt;"&amp;$H762)+1)</f>
        <v/>
      </c>
      <c r="J762">
        <f>IF($I762="","",$G762&amp;"|"&amp;RIGHT("000000"&amp;$I762,6))</f>
        <v/>
      </c>
      <c r="K762">
        <f>IF(OR($E762="",$E762="نامعتبر"),"",LEFT($E762,4)&amp;"/"&amp;MID($E762,6,2))</f>
        <v/>
      </c>
      <c r="L762">
        <f>IF(Entry!$K762="",0,Entry!$K762)</f>
        <v/>
      </c>
      <c r="M762">
        <f>IF(Entry!$L762="",0,Entry!$L762)</f>
        <v/>
      </c>
    </row>
    <row r="763">
      <c r="A763">
        <f>IF(Entry!$C763="","",Entry!$C763)</f>
        <v/>
      </c>
      <c r="B763">
        <f>IF($A763="","",IF(ISNUMBER($A763),IF(AND($A763&gt;=10000101,$A763&lt;=99991231),INT($A763/10000),""),IFERROR(VALUE(TRIM(LEFT($A763,FIND("/",$A763)-1))),"")))</f>
        <v/>
      </c>
      <c r="C763">
        <f>IF(OR($A763="",$B763=""),"",IF(ISNUMBER($A763),INT(MOD($A763,10000)/100),IFERROR(VALUE(TRIM(LEFT(MID($A763,FIND("/",$A763)+1,20),FIND("/",MID($A763,FIND("/",$A763)+1,20))-1))),"")))</f>
        <v/>
      </c>
      <c r="D763">
        <f>IF(OR($A763="",$B763=""),"",IF(ISNUMBER($A763),MOD($A763,100),IFERROR(VALUE(TRIM(MID(MID($A763,FIND("/",$A763)+1,20),FIND("/",MID($A763,FIND("/",$A763)+1,20))+1,20))),"")))</f>
        <v/>
      </c>
      <c r="E763">
        <f>IF($A763="","",IF(OR($B763="",$C763="",$D763="",$B763&lt;1300,$B763&gt;1500,$C763&lt;1,$C763&gt;12,$D763&lt;1,$D763&gt;31),"نامعتبر",RIGHT("0000"&amp;$B763,4)&amp;"/"&amp;RIGHT("00"&amp;$C763,2)&amp;"/"&amp;RIGHT("00"&amp;$D763,2)))</f>
        <v/>
      </c>
      <c r="F763">
        <f>IF(Entry!$D763&lt;&gt;"",IF(AND(ISNUMBER(Entry!$D763),Entry!$D763&gt;=0,Entry!$D763&lt;1),RIGHT("00"&amp;HOUR(Entry!$D763),2)&amp;":"&amp;RIGHT("00"&amp;MINUTE(Entry!$D763),2),IFERROR(RIGHT("00"&amp;VALUE(TRIM(LEFT(Entry!$D763,FIND(":",Entry!$D763)-1))),2)&amp;":"&amp;RIGHT("00"&amp;VALUE(TRIM(MID(Entry!$D763,FIND(":",Entry!$D763)+1,2))),2),"نامعتبر")),IF(OR($E763="",$E763="نامعتبر"),"","00:00"))</f>
        <v/>
      </c>
      <c r="G763">
        <f>IF(OR($E763="",$E763="نامعتبر"),"",IF(Entry!$E763="","",LEFT(UPPER(TRIM(Entry!$E763)),6)))</f>
        <v/>
      </c>
      <c r="H763">
        <f>IF($G763="","",RIGHT($E763,4)&amp;MID($E763,6,2)&amp;RIGHT($E763,2)&amp;IF($F763="","0000",IF($F763="نامعتبر","9999",LEFT($F763,2)&amp;RIGHT($F763,2)))&amp;"|"&amp;RIGHT("00000"&amp;755,5))</f>
        <v/>
      </c>
      <c r="I763">
        <f>IF($H763="","",COUNTIFS(CalcBank,$G763,CalcKey,"&lt;"&amp;$H763)+1)</f>
        <v/>
      </c>
      <c r="J763">
        <f>IF($I763="","",$G763&amp;"|"&amp;RIGHT("000000"&amp;$I763,6))</f>
        <v/>
      </c>
      <c r="K763">
        <f>IF(OR($E763="",$E763="نامعتبر"),"",LEFT($E763,4)&amp;"/"&amp;MID($E763,6,2))</f>
        <v/>
      </c>
      <c r="L763">
        <f>IF(Entry!$K763="",0,Entry!$K763)</f>
        <v/>
      </c>
      <c r="M763">
        <f>IF(Entry!$L763="",0,Entry!$L763)</f>
        <v/>
      </c>
    </row>
    <row r="764">
      <c r="A764">
        <f>IF(Entry!$C764="","",Entry!$C764)</f>
        <v/>
      </c>
      <c r="B764">
        <f>IF($A764="","",IF(ISNUMBER($A764),IF(AND($A764&gt;=10000101,$A764&lt;=99991231),INT($A764/10000),""),IFERROR(VALUE(TRIM(LEFT($A764,FIND("/",$A764)-1))),"")))</f>
        <v/>
      </c>
      <c r="C764">
        <f>IF(OR($A764="",$B764=""),"",IF(ISNUMBER($A764),INT(MOD($A764,10000)/100),IFERROR(VALUE(TRIM(LEFT(MID($A764,FIND("/",$A764)+1,20),FIND("/",MID($A764,FIND("/",$A764)+1,20))-1))),"")))</f>
        <v/>
      </c>
      <c r="D764">
        <f>IF(OR($A764="",$B764=""),"",IF(ISNUMBER($A764),MOD($A764,100),IFERROR(VALUE(TRIM(MID(MID($A764,FIND("/",$A764)+1,20),FIND("/",MID($A764,FIND("/",$A764)+1,20))+1,20))),"")))</f>
        <v/>
      </c>
      <c r="E764">
        <f>IF($A764="","",IF(OR($B764="",$C764="",$D764="",$B764&lt;1300,$B764&gt;1500,$C764&lt;1,$C764&gt;12,$D764&lt;1,$D764&gt;31),"نامعتبر",RIGHT("0000"&amp;$B764,4)&amp;"/"&amp;RIGHT("00"&amp;$C764,2)&amp;"/"&amp;RIGHT("00"&amp;$D764,2)))</f>
        <v/>
      </c>
      <c r="F764">
        <f>IF(Entry!$D764&lt;&gt;"",IF(AND(ISNUMBER(Entry!$D764),Entry!$D764&gt;=0,Entry!$D764&lt;1),RIGHT("00"&amp;HOUR(Entry!$D764),2)&amp;":"&amp;RIGHT("00"&amp;MINUTE(Entry!$D764),2),IFERROR(RIGHT("00"&amp;VALUE(TRIM(LEFT(Entry!$D764,FIND(":",Entry!$D764)-1))),2)&amp;":"&amp;RIGHT("00"&amp;VALUE(TRIM(MID(Entry!$D764,FIND(":",Entry!$D764)+1,2))),2),"نامعتبر")),IF(OR($E764="",$E764="نامعتبر"),"","00:00"))</f>
        <v/>
      </c>
      <c r="G764">
        <f>IF(OR($E764="",$E764="نامعتبر"),"",IF(Entry!$E764="","",LEFT(UPPER(TRIM(Entry!$E764)),6)))</f>
        <v/>
      </c>
      <c r="H764">
        <f>IF($G764="","",RIGHT($E764,4)&amp;MID($E764,6,2)&amp;RIGHT($E764,2)&amp;IF($F764="","0000",IF($F764="نامعتبر","9999",LEFT($F764,2)&amp;RIGHT($F764,2)))&amp;"|"&amp;RIGHT("00000"&amp;756,5))</f>
        <v/>
      </c>
      <c r="I764">
        <f>IF($H764="","",COUNTIFS(CalcBank,$G764,CalcKey,"&lt;"&amp;$H764)+1)</f>
        <v/>
      </c>
      <c r="J764">
        <f>IF($I764="","",$G764&amp;"|"&amp;RIGHT("000000"&amp;$I764,6))</f>
        <v/>
      </c>
      <c r="K764">
        <f>IF(OR($E764="",$E764="نامعتبر"),"",LEFT($E764,4)&amp;"/"&amp;MID($E764,6,2))</f>
        <v/>
      </c>
      <c r="L764">
        <f>IF(Entry!$K764="",0,Entry!$K764)</f>
        <v/>
      </c>
      <c r="M764">
        <f>IF(Entry!$L764="",0,Entry!$L764)</f>
        <v/>
      </c>
    </row>
    <row r="765">
      <c r="A765">
        <f>IF(Entry!$C765="","",Entry!$C765)</f>
        <v/>
      </c>
      <c r="B765">
        <f>IF($A765="","",IF(ISNUMBER($A765),IF(AND($A765&gt;=10000101,$A765&lt;=99991231),INT($A765/10000),""),IFERROR(VALUE(TRIM(LEFT($A765,FIND("/",$A765)-1))),"")))</f>
        <v/>
      </c>
      <c r="C765">
        <f>IF(OR($A765="",$B765=""),"",IF(ISNUMBER($A765),INT(MOD($A765,10000)/100),IFERROR(VALUE(TRIM(LEFT(MID($A765,FIND("/",$A765)+1,20),FIND("/",MID($A765,FIND("/",$A765)+1,20))-1))),"")))</f>
        <v/>
      </c>
      <c r="D765">
        <f>IF(OR($A765="",$B765=""),"",IF(ISNUMBER($A765),MOD($A765,100),IFERROR(VALUE(TRIM(MID(MID($A765,FIND("/",$A765)+1,20),FIND("/",MID($A765,FIND("/",$A765)+1,20))+1,20))),"")))</f>
        <v/>
      </c>
      <c r="E765">
        <f>IF($A765="","",IF(OR($B765="",$C765="",$D765="",$B765&lt;1300,$B765&gt;1500,$C765&lt;1,$C765&gt;12,$D765&lt;1,$D765&gt;31),"نامعتبر",RIGHT("0000"&amp;$B765,4)&amp;"/"&amp;RIGHT("00"&amp;$C765,2)&amp;"/"&amp;RIGHT("00"&amp;$D765,2)))</f>
        <v/>
      </c>
      <c r="F765">
        <f>IF(Entry!$D765&lt;&gt;"",IF(AND(ISNUMBER(Entry!$D765),Entry!$D765&gt;=0,Entry!$D765&lt;1),RIGHT("00"&amp;HOUR(Entry!$D765),2)&amp;":"&amp;RIGHT("00"&amp;MINUTE(Entry!$D765),2),IFERROR(RIGHT("00"&amp;VALUE(TRIM(LEFT(Entry!$D765,FIND(":",Entry!$D765)-1))),2)&amp;":"&amp;RIGHT("00"&amp;VALUE(TRIM(MID(Entry!$D765,FIND(":",Entry!$D765)+1,2))),2),"نامعتبر")),IF(OR($E765="",$E765="نامعتبر"),"","00:00"))</f>
        <v/>
      </c>
      <c r="G765">
        <f>IF(OR($E765="",$E765="نامعتبر"),"",IF(Entry!$E765="","",LEFT(UPPER(TRIM(Entry!$E765)),6)))</f>
        <v/>
      </c>
      <c r="H765">
        <f>IF($G765="","",RIGHT($E765,4)&amp;MID($E765,6,2)&amp;RIGHT($E765,2)&amp;IF($F765="","0000",IF($F765="نامعتبر","9999",LEFT($F765,2)&amp;RIGHT($F765,2)))&amp;"|"&amp;RIGHT("00000"&amp;757,5))</f>
        <v/>
      </c>
      <c r="I765">
        <f>IF($H765="","",COUNTIFS(CalcBank,$G765,CalcKey,"&lt;"&amp;$H765)+1)</f>
        <v/>
      </c>
      <c r="J765">
        <f>IF($I765="","",$G765&amp;"|"&amp;RIGHT("000000"&amp;$I765,6))</f>
        <v/>
      </c>
      <c r="K765">
        <f>IF(OR($E765="",$E765="نامعتبر"),"",LEFT($E765,4)&amp;"/"&amp;MID($E765,6,2))</f>
        <v/>
      </c>
      <c r="L765">
        <f>IF(Entry!$K765="",0,Entry!$K765)</f>
        <v/>
      </c>
      <c r="M765">
        <f>IF(Entry!$L765="",0,Entry!$L765)</f>
        <v/>
      </c>
    </row>
    <row r="766">
      <c r="A766">
        <f>IF(Entry!$C766="","",Entry!$C766)</f>
        <v/>
      </c>
      <c r="B766">
        <f>IF($A766="","",IF(ISNUMBER($A766),IF(AND($A766&gt;=10000101,$A766&lt;=99991231),INT($A766/10000),""),IFERROR(VALUE(TRIM(LEFT($A766,FIND("/",$A766)-1))),"")))</f>
        <v/>
      </c>
      <c r="C766">
        <f>IF(OR($A766="",$B766=""),"",IF(ISNUMBER($A766),INT(MOD($A766,10000)/100),IFERROR(VALUE(TRIM(LEFT(MID($A766,FIND("/",$A766)+1,20),FIND("/",MID($A766,FIND("/",$A766)+1,20))-1))),"")))</f>
        <v/>
      </c>
      <c r="D766">
        <f>IF(OR($A766="",$B766=""),"",IF(ISNUMBER($A766),MOD($A766,100),IFERROR(VALUE(TRIM(MID(MID($A766,FIND("/",$A766)+1,20),FIND("/",MID($A766,FIND("/",$A766)+1,20))+1,20))),"")))</f>
        <v/>
      </c>
      <c r="E766">
        <f>IF($A766="","",IF(OR($B766="",$C766="",$D766="",$B766&lt;1300,$B766&gt;1500,$C766&lt;1,$C766&gt;12,$D766&lt;1,$D766&gt;31),"نامعتبر",RIGHT("0000"&amp;$B766,4)&amp;"/"&amp;RIGHT("00"&amp;$C766,2)&amp;"/"&amp;RIGHT("00"&amp;$D766,2)))</f>
        <v/>
      </c>
      <c r="F766">
        <f>IF(Entry!$D766&lt;&gt;"",IF(AND(ISNUMBER(Entry!$D766),Entry!$D766&gt;=0,Entry!$D766&lt;1),RIGHT("00"&amp;HOUR(Entry!$D766),2)&amp;":"&amp;RIGHT("00"&amp;MINUTE(Entry!$D766),2),IFERROR(RIGHT("00"&amp;VALUE(TRIM(LEFT(Entry!$D766,FIND(":",Entry!$D766)-1))),2)&amp;":"&amp;RIGHT("00"&amp;VALUE(TRIM(MID(Entry!$D766,FIND(":",Entry!$D766)+1,2))),2),"نامعتبر")),IF(OR($E766="",$E766="نامعتبر"),"","00:00"))</f>
        <v/>
      </c>
      <c r="G766">
        <f>IF(OR($E766="",$E766="نامعتبر"),"",IF(Entry!$E766="","",LEFT(UPPER(TRIM(Entry!$E766)),6)))</f>
        <v/>
      </c>
      <c r="H766">
        <f>IF($G766="","",RIGHT($E766,4)&amp;MID($E766,6,2)&amp;RIGHT($E766,2)&amp;IF($F766="","0000",IF($F766="نامعتبر","9999",LEFT($F766,2)&amp;RIGHT($F766,2)))&amp;"|"&amp;RIGHT("00000"&amp;758,5))</f>
        <v/>
      </c>
      <c r="I766">
        <f>IF($H766="","",COUNTIFS(CalcBank,$G766,CalcKey,"&lt;"&amp;$H766)+1)</f>
        <v/>
      </c>
      <c r="J766">
        <f>IF($I766="","",$G766&amp;"|"&amp;RIGHT("000000"&amp;$I766,6))</f>
        <v/>
      </c>
      <c r="K766">
        <f>IF(OR($E766="",$E766="نامعتبر"),"",LEFT($E766,4)&amp;"/"&amp;MID($E766,6,2))</f>
        <v/>
      </c>
      <c r="L766">
        <f>IF(Entry!$K766="",0,Entry!$K766)</f>
        <v/>
      </c>
      <c r="M766">
        <f>IF(Entry!$L766="",0,Entry!$L766)</f>
        <v/>
      </c>
    </row>
    <row r="767">
      <c r="A767">
        <f>IF(Entry!$C767="","",Entry!$C767)</f>
        <v/>
      </c>
      <c r="B767">
        <f>IF($A767="","",IF(ISNUMBER($A767),IF(AND($A767&gt;=10000101,$A767&lt;=99991231),INT($A767/10000),""),IFERROR(VALUE(TRIM(LEFT($A767,FIND("/",$A767)-1))),"")))</f>
        <v/>
      </c>
      <c r="C767">
        <f>IF(OR($A767="",$B767=""),"",IF(ISNUMBER($A767),INT(MOD($A767,10000)/100),IFERROR(VALUE(TRIM(LEFT(MID($A767,FIND("/",$A767)+1,20),FIND("/",MID($A767,FIND("/",$A767)+1,20))-1))),"")))</f>
        <v/>
      </c>
      <c r="D767">
        <f>IF(OR($A767="",$B767=""),"",IF(ISNUMBER($A767),MOD($A767,100),IFERROR(VALUE(TRIM(MID(MID($A767,FIND("/",$A767)+1,20),FIND("/",MID($A767,FIND("/",$A767)+1,20))+1,20))),"")))</f>
        <v/>
      </c>
      <c r="E767">
        <f>IF($A767="","",IF(OR($B767="",$C767="",$D767="",$B767&lt;1300,$B767&gt;1500,$C767&lt;1,$C767&gt;12,$D767&lt;1,$D767&gt;31),"نامعتبر",RIGHT("0000"&amp;$B767,4)&amp;"/"&amp;RIGHT("00"&amp;$C767,2)&amp;"/"&amp;RIGHT("00"&amp;$D767,2)))</f>
        <v/>
      </c>
      <c r="F767">
        <f>IF(Entry!$D767&lt;&gt;"",IF(AND(ISNUMBER(Entry!$D767),Entry!$D767&gt;=0,Entry!$D767&lt;1),RIGHT("00"&amp;HOUR(Entry!$D767),2)&amp;":"&amp;RIGHT("00"&amp;MINUTE(Entry!$D767),2),IFERROR(RIGHT("00"&amp;VALUE(TRIM(LEFT(Entry!$D767,FIND(":",Entry!$D767)-1))),2)&amp;":"&amp;RIGHT("00"&amp;VALUE(TRIM(MID(Entry!$D767,FIND(":",Entry!$D767)+1,2))),2),"نامعتبر")),IF(OR($E767="",$E767="نامعتبر"),"","00:00"))</f>
        <v/>
      </c>
      <c r="G767">
        <f>IF(OR($E767="",$E767="نامعتبر"),"",IF(Entry!$E767="","",LEFT(UPPER(TRIM(Entry!$E767)),6)))</f>
        <v/>
      </c>
      <c r="H767">
        <f>IF($G767="","",RIGHT($E767,4)&amp;MID($E767,6,2)&amp;RIGHT($E767,2)&amp;IF($F767="","0000",IF($F767="نامعتبر","9999",LEFT($F767,2)&amp;RIGHT($F767,2)))&amp;"|"&amp;RIGHT("00000"&amp;759,5))</f>
        <v/>
      </c>
      <c r="I767">
        <f>IF($H767="","",COUNTIFS(CalcBank,$G767,CalcKey,"&lt;"&amp;$H767)+1)</f>
        <v/>
      </c>
      <c r="J767">
        <f>IF($I767="","",$G767&amp;"|"&amp;RIGHT("000000"&amp;$I767,6))</f>
        <v/>
      </c>
      <c r="K767">
        <f>IF(OR($E767="",$E767="نامعتبر"),"",LEFT($E767,4)&amp;"/"&amp;MID($E767,6,2))</f>
        <v/>
      </c>
      <c r="L767">
        <f>IF(Entry!$K767="",0,Entry!$K767)</f>
        <v/>
      </c>
      <c r="M767">
        <f>IF(Entry!$L767="",0,Entry!$L767)</f>
        <v/>
      </c>
    </row>
    <row r="768">
      <c r="A768">
        <f>IF(Entry!$C768="","",Entry!$C768)</f>
        <v/>
      </c>
      <c r="B768">
        <f>IF($A768="","",IF(ISNUMBER($A768),IF(AND($A768&gt;=10000101,$A768&lt;=99991231),INT($A768/10000),""),IFERROR(VALUE(TRIM(LEFT($A768,FIND("/",$A768)-1))),"")))</f>
        <v/>
      </c>
      <c r="C768">
        <f>IF(OR($A768="",$B768=""),"",IF(ISNUMBER($A768),INT(MOD($A768,10000)/100),IFERROR(VALUE(TRIM(LEFT(MID($A768,FIND("/",$A768)+1,20),FIND("/",MID($A768,FIND("/",$A768)+1,20))-1))),"")))</f>
        <v/>
      </c>
      <c r="D768">
        <f>IF(OR($A768="",$B768=""),"",IF(ISNUMBER($A768),MOD($A768,100),IFERROR(VALUE(TRIM(MID(MID($A768,FIND("/",$A768)+1,20),FIND("/",MID($A768,FIND("/",$A768)+1,20))+1,20))),"")))</f>
        <v/>
      </c>
      <c r="E768">
        <f>IF($A768="","",IF(OR($B768="",$C768="",$D768="",$B768&lt;1300,$B768&gt;1500,$C768&lt;1,$C768&gt;12,$D768&lt;1,$D768&gt;31),"نامعتبر",RIGHT("0000"&amp;$B768,4)&amp;"/"&amp;RIGHT("00"&amp;$C768,2)&amp;"/"&amp;RIGHT("00"&amp;$D768,2)))</f>
        <v/>
      </c>
      <c r="F768">
        <f>IF(Entry!$D768&lt;&gt;"",IF(AND(ISNUMBER(Entry!$D768),Entry!$D768&gt;=0,Entry!$D768&lt;1),RIGHT("00"&amp;HOUR(Entry!$D768),2)&amp;":"&amp;RIGHT("00"&amp;MINUTE(Entry!$D768),2),IFERROR(RIGHT("00"&amp;VALUE(TRIM(LEFT(Entry!$D768,FIND(":",Entry!$D768)-1))),2)&amp;":"&amp;RIGHT("00"&amp;VALUE(TRIM(MID(Entry!$D768,FIND(":",Entry!$D768)+1,2))),2),"نامعتبر")),IF(OR($E768="",$E768="نامعتبر"),"","00:00"))</f>
        <v/>
      </c>
      <c r="G768">
        <f>IF(OR($E768="",$E768="نامعتبر"),"",IF(Entry!$E768="","",LEFT(UPPER(TRIM(Entry!$E768)),6)))</f>
        <v/>
      </c>
      <c r="H768">
        <f>IF($G768="","",RIGHT($E768,4)&amp;MID($E768,6,2)&amp;RIGHT($E768,2)&amp;IF($F768="","0000",IF($F768="نامعتبر","9999",LEFT($F768,2)&amp;RIGHT($F768,2)))&amp;"|"&amp;RIGHT("00000"&amp;760,5))</f>
        <v/>
      </c>
      <c r="I768">
        <f>IF($H768="","",COUNTIFS(CalcBank,$G768,CalcKey,"&lt;"&amp;$H768)+1)</f>
        <v/>
      </c>
      <c r="J768">
        <f>IF($I768="","",$G768&amp;"|"&amp;RIGHT("000000"&amp;$I768,6))</f>
        <v/>
      </c>
      <c r="K768">
        <f>IF(OR($E768="",$E768="نامعتبر"),"",LEFT($E768,4)&amp;"/"&amp;MID($E768,6,2))</f>
        <v/>
      </c>
      <c r="L768">
        <f>IF(Entry!$K768="",0,Entry!$K768)</f>
        <v/>
      </c>
      <c r="M768">
        <f>IF(Entry!$L768="",0,Entry!$L768)</f>
        <v/>
      </c>
    </row>
    <row r="769">
      <c r="A769">
        <f>IF(Entry!$C769="","",Entry!$C769)</f>
        <v/>
      </c>
      <c r="B769">
        <f>IF($A769="","",IF(ISNUMBER($A769),IF(AND($A769&gt;=10000101,$A769&lt;=99991231),INT($A769/10000),""),IFERROR(VALUE(TRIM(LEFT($A769,FIND("/",$A769)-1))),"")))</f>
        <v/>
      </c>
      <c r="C769">
        <f>IF(OR($A769="",$B769=""),"",IF(ISNUMBER($A769),INT(MOD($A769,10000)/100),IFERROR(VALUE(TRIM(LEFT(MID($A769,FIND("/",$A769)+1,20),FIND("/",MID($A769,FIND("/",$A769)+1,20))-1))),"")))</f>
        <v/>
      </c>
      <c r="D769">
        <f>IF(OR($A769="",$B769=""),"",IF(ISNUMBER($A769),MOD($A769,100),IFERROR(VALUE(TRIM(MID(MID($A769,FIND("/",$A769)+1,20),FIND("/",MID($A769,FIND("/",$A769)+1,20))+1,20))),"")))</f>
        <v/>
      </c>
      <c r="E769">
        <f>IF($A769="","",IF(OR($B769="",$C769="",$D769="",$B769&lt;1300,$B769&gt;1500,$C769&lt;1,$C769&gt;12,$D769&lt;1,$D769&gt;31),"نامعتبر",RIGHT("0000"&amp;$B769,4)&amp;"/"&amp;RIGHT("00"&amp;$C769,2)&amp;"/"&amp;RIGHT("00"&amp;$D769,2)))</f>
        <v/>
      </c>
      <c r="F769">
        <f>IF(Entry!$D769&lt;&gt;"",IF(AND(ISNUMBER(Entry!$D769),Entry!$D769&gt;=0,Entry!$D769&lt;1),RIGHT("00"&amp;HOUR(Entry!$D769),2)&amp;":"&amp;RIGHT("00"&amp;MINUTE(Entry!$D769),2),IFERROR(RIGHT("00"&amp;VALUE(TRIM(LEFT(Entry!$D769,FIND(":",Entry!$D769)-1))),2)&amp;":"&amp;RIGHT("00"&amp;VALUE(TRIM(MID(Entry!$D769,FIND(":",Entry!$D769)+1,2))),2),"نامعتبر")),IF(OR($E769="",$E769="نامعتبر"),"","00:00"))</f>
        <v/>
      </c>
      <c r="G769">
        <f>IF(OR($E769="",$E769="نامعتبر"),"",IF(Entry!$E769="","",LEFT(UPPER(TRIM(Entry!$E769)),6)))</f>
        <v/>
      </c>
      <c r="H769">
        <f>IF($G769="","",RIGHT($E769,4)&amp;MID($E769,6,2)&amp;RIGHT($E769,2)&amp;IF($F769="","0000",IF($F769="نامعتبر","9999",LEFT($F769,2)&amp;RIGHT($F769,2)))&amp;"|"&amp;RIGHT("00000"&amp;761,5))</f>
        <v/>
      </c>
      <c r="I769">
        <f>IF($H769="","",COUNTIFS(CalcBank,$G769,CalcKey,"&lt;"&amp;$H769)+1)</f>
        <v/>
      </c>
      <c r="J769">
        <f>IF($I769="","",$G769&amp;"|"&amp;RIGHT("000000"&amp;$I769,6))</f>
        <v/>
      </c>
      <c r="K769">
        <f>IF(OR($E769="",$E769="نامعتبر"),"",LEFT($E769,4)&amp;"/"&amp;MID($E769,6,2))</f>
        <v/>
      </c>
      <c r="L769">
        <f>IF(Entry!$K769="",0,Entry!$K769)</f>
        <v/>
      </c>
      <c r="M769">
        <f>IF(Entry!$L769="",0,Entry!$L769)</f>
        <v/>
      </c>
    </row>
    <row r="770">
      <c r="A770">
        <f>IF(Entry!$C770="","",Entry!$C770)</f>
        <v/>
      </c>
      <c r="B770">
        <f>IF($A770="","",IF(ISNUMBER($A770),IF(AND($A770&gt;=10000101,$A770&lt;=99991231),INT($A770/10000),""),IFERROR(VALUE(TRIM(LEFT($A770,FIND("/",$A770)-1))),"")))</f>
        <v/>
      </c>
      <c r="C770">
        <f>IF(OR($A770="",$B770=""),"",IF(ISNUMBER($A770),INT(MOD($A770,10000)/100),IFERROR(VALUE(TRIM(LEFT(MID($A770,FIND("/",$A770)+1,20),FIND("/",MID($A770,FIND("/",$A770)+1,20))-1))),"")))</f>
        <v/>
      </c>
      <c r="D770">
        <f>IF(OR($A770="",$B770=""),"",IF(ISNUMBER($A770),MOD($A770,100),IFERROR(VALUE(TRIM(MID(MID($A770,FIND("/",$A770)+1,20),FIND("/",MID($A770,FIND("/",$A770)+1,20))+1,20))),"")))</f>
        <v/>
      </c>
      <c r="E770">
        <f>IF($A770="","",IF(OR($B770="",$C770="",$D770="",$B770&lt;1300,$B770&gt;1500,$C770&lt;1,$C770&gt;12,$D770&lt;1,$D770&gt;31),"نامعتبر",RIGHT("0000"&amp;$B770,4)&amp;"/"&amp;RIGHT("00"&amp;$C770,2)&amp;"/"&amp;RIGHT("00"&amp;$D770,2)))</f>
        <v/>
      </c>
      <c r="F770">
        <f>IF(Entry!$D770&lt;&gt;"",IF(AND(ISNUMBER(Entry!$D770),Entry!$D770&gt;=0,Entry!$D770&lt;1),RIGHT("00"&amp;HOUR(Entry!$D770),2)&amp;":"&amp;RIGHT("00"&amp;MINUTE(Entry!$D770),2),IFERROR(RIGHT("00"&amp;VALUE(TRIM(LEFT(Entry!$D770,FIND(":",Entry!$D770)-1))),2)&amp;":"&amp;RIGHT("00"&amp;VALUE(TRIM(MID(Entry!$D770,FIND(":",Entry!$D770)+1,2))),2),"نامعتبر")),IF(OR($E770="",$E770="نامعتبر"),"","00:00"))</f>
        <v/>
      </c>
      <c r="G770">
        <f>IF(OR($E770="",$E770="نامعتبر"),"",IF(Entry!$E770="","",LEFT(UPPER(TRIM(Entry!$E770)),6)))</f>
        <v/>
      </c>
      <c r="H770">
        <f>IF($G770="","",RIGHT($E770,4)&amp;MID($E770,6,2)&amp;RIGHT($E770,2)&amp;IF($F770="","0000",IF($F770="نامعتبر","9999",LEFT($F770,2)&amp;RIGHT($F770,2)))&amp;"|"&amp;RIGHT("00000"&amp;762,5))</f>
        <v/>
      </c>
      <c r="I770">
        <f>IF($H770="","",COUNTIFS(CalcBank,$G770,CalcKey,"&lt;"&amp;$H770)+1)</f>
        <v/>
      </c>
      <c r="J770">
        <f>IF($I770="","",$G770&amp;"|"&amp;RIGHT("000000"&amp;$I770,6))</f>
        <v/>
      </c>
      <c r="K770">
        <f>IF(OR($E770="",$E770="نامعتبر"),"",LEFT($E770,4)&amp;"/"&amp;MID($E770,6,2))</f>
        <v/>
      </c>
      <c r="L770">
        <f>IF(Entry!$K770="",0,Entry!$K770)</f>
        <v/>
      </c>
      <c r="M770">
        <f>IF(Entry!$L770="",0,Entry!$L770)</f>
        <v/>
      </c>
    </row>
    <row r="771">
      <c r="A771">
        <f>IF(Entry!$C771="","",Entry!$C771)</f>
        <v/>
      </c>
      <c r="B771">
        <f>IF($A771="","",IF(ISNUMBER($A771),IF(AND($A771&gt;=10000101,$A771&lt;=99991231),INT($A771/10000),""),IFERROR(VALUE(TRIM(LEFT($A771,FIND("/",$A771)-1))),"")))</f>
        <v/>
      </c>
      <c r="C771">
        <f>IF(OR($A771="",$B771=""),"",IF(ISNUMBER($A771),INT(MOD($A771,10000)/100),IFERROR(VALUE(TRIM(LEFT(MID($A771,FIND("/",$A771)+1,20),FIND("/",MID($A771,FIND("/",$A771)+1,20))-1))),"")))</f>
        <v/>
      </c>
      <c r="D771">
        <f>IF(OR($A771="",$B771=""),"",IF(ISNUMBER($A771),MOD($A771,100),IFERROR(VALUE(TRIM(MID(MID($A771,FIND("/",$A771)+1,20),FIND("/",MID($A771,FIND("/",$A771)+1,20))+1,20))),"")))</f>
        <v/>
      </c>
      <c r="E771">
        <f>IF($A771="","",IF(OR($B771="",$C771="",$D771="",$B771&lt;1300,$B771&gt;1500,$C771&lt;1,$C771&gt;12,$D771&lt;1,$D771&gt;31),"نامعتبر",RIGHT("0000"&amp;$B771,4)&amp;"/"&amp;RIGHT("00"&amp;$C771,2)&amp;"/"&amp;RIGHT("00"&amp;$D771,2)))</f>
        <v/>
      </c>
      <c r="F771">
        <f>IF(Entry!$D771&lt;&gt;"",IF(AND(ISNUMBER(Entry!$D771),Entry!$D771&gt;=0,Entry!$D771&lt;1),RIGHT("00"&amp;HOUR(Entry!$D771),2)&amp;":"&amp;RIGHT("00"&amp;MINUTE(Entry!$D771),2),IFERROR(RIGHT("00"&amp;VALUE(TRIM(LEFT(Entry!$D771,FIND(":",Entry!$D771)-1))),2)&amp;":"&amp;RIGHT("00"&amp;VALUE(TRIM(MID(Entry!$D771,FIND(":",Entry!$D771)+1,2))),2),"نامعتبر")),IF(OR($E771="",$E771="نامعتبر"),"","00:00"))</f>
        <v/>
      </c>
      <c r="G771">
        <f>IF(OR($E771="",$E771="نامعتبر"),"",IF(Entry!$E771="","",LEFT(UPPER(TRIM(Entry!$E771)),6)))</f>
        <v/>
      </c>
      <c r="H771">
        <f>IF($G771="","",RIGHT($E771,4)&amp;MID($E771,6,2)&amp;RIGHT($E771,2)&amp;IF($F771="","0000",IF($F771="نامعتبر","9999",LEFT($F771,2)&amp;RIGHT($F771,2)))&amp;"|"&amp;RIGHT("00000"&amp;763,5))</f>
        <v/>
      </c>
      <c r="I771">
        <f>IF($H771="","",COUNTIFS(CalcBank,$G771,CalcKey,"&lt;"&amp;$H771)+1)</f>
        <v/>
      </c>
      <c r="J771">
        <f>IF($I771="","",$G771&amp;"|"&amp;RIGHT("000000"&amp;$I771,6))</f>
        <v/>
      </c>
      <c r="K771">
        <f>IF(OR($E771="",$E771="نامعتبر"),"",LEFT($E771,4)&amp;"/"&amp;MID($E771,6,2))</f>
        <v/>
      </c>
      <c r="L771">
        <f>IF(Entry!$K771="",0,Entry!$K771)</f>
        <v/>
      </c>
      <c r="M771">
        <f>IF(Entry!$L771="",0,Entry!$L771)</f>
        <v/>
      </c>
    </row>
    <row r="772">
      <c r="A772">
        <f>IF(Entry!$C772="","",Entry!$C772)</f>
        <v/>
      </c>
      <c r="B772">
        <f>IF($A772="","",IF(ISNUMBER($A772),IF(AND($A772&gt;=10000101,$A772&lt;=99991231),INT($A772/10000),""),IFERROR(VALUE(TRIM(LEFT($A772,FIND("/",$A772)-1))),"")))</f>
        <v/>
      </c>
      <c r="C772">
        <f>IF(OR($A772="",$B772=""),"",IF(ISNUMBER($A772),INT(MOD($A772,10000)/100),IFERROR(VALUE(TRIM(LEFT(MID($A772,FIND("/",$A772)+1,20),FIND("/",MID($A772,FIND("/",$A772)+1,20))-1))),"")))</f>
        <v/>
      </c>
      <c r="D772">
        <f>IF(OR($A772="",$B772=""),"",IF(ISNUMBER($A772),MOD($A772,100),IFERROR(VALUE(TRIM(MID(MID($A772,FIND("/",$A772)+1,20),FIND("/",MID($A772,FIND("/",$A772)+1,20))+1,20))),"")))</f>
        <v/>
      </c>
      <c r="E772">
        <f>IF($A772="","",IF(OR($B772="",$C772="",$D772="",$B772&lt;1300,$B772&gt;1500,$C772&lt;1,$C772&gt;12,$D772&lt;1,$D772&gt;31),"نامعتبر",RIGHT("0000"&amp;$B772,4)&amp;"/"&amp;RIGHT("00"&amp;$C772,2)&amp;"/"&amp;RIGHT("00"&amp;$D772,2)))</f>
        <v/>
      </c>
      <c r="F772">
        <f>IF(Entry!$D772&lt;&gt;"",IF(AND(ISNUMBER(Entry!$D772),Entry!$D772&gt;=0,Entry!$D772&lt;1),RIGHT("00"&amp;HOUR(Entry!$D772),2)&amp;":"&amp;RIGHT("00"&amp;MINUTE(Entry!$D772),2),IFERROR(RIGHT("00"&amp;VALUE(TRIM(LEFT(Entry!$D772,FIND(":",Entry!$D772)-1))),2)&amp;":"&amp;RIGHT("00"&amp;VALUE(TRIM(MID(Entry!$D772,FIND(":",Entry!$D772)+1,2))),2),"نامعتبر")),IF(OR($E772="",$E772="نامعتبر"),"","00:00"))</f>
        <v/>
      </c>
      <c r="G772">
        <f>IF(OR($E772="",$E772="نامعتبر"),"",IF(Entry!$E772="","",LEFT(UPPER(TRIM(Entry!$E772)),6)))</f>
        <v/>
      </c>
      <c r="H772">
        <f>IF($G772="","",RIGHT($E772,4)&amp;MID($E772,6,2)&amp;RIGHT($E772,2)&amp;IF($F772="","0000",IF($F772="نامعتبر","9999",LEFT($F772,2)&amp;RIGHT($F772,2)))&amp;"|"&amp;RIGHT("00000"&amp;764,5))</f>
        <v/>
      </c>
      <c r="I772">
        <f>IF($H772="","",COUNTIFS(CalcBank,$G772,CalcKey,"&lt;"&amp;$H772)+1)</f>
        <v/>
      </c>
      <c r="J772">
        <f>IF($I772="","",$G772&amp;"|"&amp;RIGHT("000000"&amp;$I772,6))</f>
        <v/>
      </c>
      <c r="K772">
        <f>IF(OR($E772="",$E772="نامعتبر"),"",LEFT($E772,4)&amp;"/"&amp;MID($E772,6,2))</f>
        <v/>
      </c>
      <c r="L772">
        <f>IF(Entry!$K772="",0,Entry!$K772)</f>
        <v/>
      </c>
      <c r="M772">
        <f>IF(Entry!$L772="",0,Entry!$L772)</f>
        <v/>
      </c>
    </row>
    <row r="773">
      <c r="A773">
        <f>IF(Entry!$C773="","",Entry!$C773)</f>
        <v/>
      </c>
      <c r="B773">
        <f>IF($A773="","",IF(ISNUMBER($A773),IF(AND($A773&gt;=10000101,$A773&lt;=99991231),INT($A773/10000),""),IFERROR(VALUE(TRIM(LEFT($A773,FIND("/",$A773)-1))),"")))</f>
        <v/>
      </c>
      <c r="C773">
        <f>IF(OR($A773="",$B773=""),"",IF(ISNUMBER($A773),INT(MOD($A773,10000)/100),IFERROR(VALUE(TRIM(LEFT(MID($A773,FIND("/",$A773)+1,20),FIND("/",MID($A773,FIND("/",$A773)+1,20))-1))),"")))</f>
        <v/>
      </c>
      <c r="D773">
        <f>IF(OR($A773="",$B773=""),"",IF(ISNUMBER($A773),MOD($A773,100),IFERROR(VALUE(TRIM(MID(MID($A773,FIND("/",$A773)+1,20),FIND("/",MID($A773,FIND("/",$A773)+1,20))+1,20))),"")))</f>
        <v/>
      </c>
      <c r="E773">
        <f>IF($A773="","",IF(OR($B773="",$C773="",$D773="",$B773&lt;1300,$B773&gt;1500,$C773&lt;1,$C773&gt;12,$D773&lt;1,$D773&gt;31),"نامعتبر",RIGHT("0000"&amp;$B773,4)&amp;"/"&amp;RIGHT("00"&amp;$C773,2)&amp;"/"&amp;RIGHT("00"&amp;$D773,2)))</f>
        <v/>
      </c>
      <c r="F773">
        <f>IF(Entry!$D773&lt;&gt;"",IF(AND(ISNUMBER(Entry!$D773),Entry!$D773&gt;=0,Entry!$D773&lt;1),RIGHT("00"&amp;HOUR(Entry!$D773),2)&amp;":"&amp;RIGHT("00"&amp;MINUTE(Entry!$D773),2),IFERROR(RIGHT("00"&amp;VALUE(TRIM(LEFT(Entry!$D773,FIND(":",Entry!$D773)-1))),2)&amp;":"&amp;RIGHT("00"&amp;VALUE(TRIM(MID(Entry!$D773,FIND(":",Entry!$D773)+1,2))),2),"نامعتبر")),IF(OR($E773="",$E773="نامعتبر"),"","00:00"))</f>
        <v/>
      </c>
      <c r="G773">
        <f>IF(OR($E773="",$E773="نامعتبر"),"",IF(Entry!$E773="","",LEFT(UPPER(TRIM(Entry!$E773)),6)))</f>
        <v/>
      </c>
      <c r="H773">
        <f>IF($G773="","",RIGHT($E773,4)&amp;MID($E773,6,2)&amp;RIGHT($E773,2)&amp;IF($F773="","0000",IF($F773="نامعتبر","9999",LEFT($F773,2)&amp;RIGHT($F773,2)))&amp;"|"&amp;RIGHT("00000"&amp;765,5))</f>
        <v/>
      </c>
      <c r="I773">
        <f>IF($H773="","",COUNTIFS(CalcBank,$G773,CalcKey,"&lt;"&amp;$H773)+1)</f>
        <v/>
      </c>
      <c r="J773">
        <f>IF($I773="","",$G773&amp;"|"&amp;RIGHT("000000"&amp;$I773,6))</f>
        <v/>
      </c>
      <c r="K773">
        <f>IF(OR($E773="",$E773="نامعتبر"),"",LEFT($E773,4)&amp;"/"&amp;MID($E773,6,2))</f>
        <v/>
      </c>
      <c r="L773">
        <f>IF(Entry!$K773="",0,Entry!$K773)</f>
        <v/>
      </c>
      <c r="M773">
        <f>IF(Entry!$L773="",0,Entry!$L773)</f>
        <v/>
      </c>
    </row>
    <row r="774">
      <c r="A774">
        <f>IF(Entry!$C774="","",Entry!$C774)</f>
        <v/>
      </c>
      <c r="B774">
        <f>IF($A774="","",IF(ISNUMBER($A774),IF(AND($A774&gt;=10000101,$A774&lt;=99991231),INT($A774/10000),""),IFERROR(VALUE(TRIM(LEFT($A774,FIND("/",$A774)-1))),"")))</f>
        <v/>
      </c>
      <c r="C774">
        <f>IF(OR($A774="",$B774=""),"",IF(ISNUMBER($A774),INT(MOD($A774,10000)/100),IFERROR(VALUE(TRIM(LEFT(MID($A774,FIND("/",$A774)+1,20),FIND("/",MID($A774,FIND("/",$A774)+1,20))-1))),"")))</f>
        <v/>
      </c>
      <c r="D774">
        <f>IF(OR($A774="",$B774=""),"",IF(ISNUMBER($A774),MOD($A774,100),IFERROR(VALUE(TRIM(MID(MID($A774,FIND("/",$A774)+1,20),FIND("/",MID($A774,FIND("/",$A774)+1,20))+1,20))),"")))</f>
        <v/>
      </c>
      <c r="E774">
        <f>IF($A774="","",IF(OR($B774="",$C774="",$D774="",$B774&lt;1300,$B774&gt;1500,$C774&lt;1,$C774&gt;12,$D774&lt;1,$D774&gt;31),"نامعتبر",RIGHT("0000"&amp;$B774,4)&amp;"/"&amp;RIGHT("00"&amp;$C774,2)&amp;"/"&amp;RIGHT("00"&amp;$D774,2)))</f>
        <v/>
      </c>
      <c r="F774">
        <f>IF(Entry!$D774&lt;&gt;"",IF(AND(ISNUMBER(Entry!$D774),Entry!$D774&gt;=0,Entry!$D774&lt;1),RIGHT("00"&amp;HOUR(Entry!$D774),2)&amp;":"&amp;RIGHT("00"&amp;MINUTE(Entry!$D774),2),IFERROR(RIGHT("00"&amp;VALUE(TRIM(LEFT(Entry!$D774,FIND(":",Entry!$D774)-1))),2)&amp;":"&amp;RIGHT("00"&amp;VALUE(TRIM(MID(Entry!$D774,FIND(":",Entry!$D774)+1,2))),2),"نامعتبر")),IF(OR($E774="",$E774="نامعتبر"),"","00:00"))</f>
        <v/>
      </c>
      <c r="G774">
        <f>IF(OR($E774="",$E774="نامعتبر"),"",IF(Entry!$E774="","",LEFT(UPPER(TRIM(Entry!$E774)),6)))</f>
        <v/>
      </c>
      <c r="H774">
        <f>IF($G774="","",RIGHT($E774,4)&amp;MID($E774,6,2)&amp;RIGHT($E774,2)&amp;IF($F774="","0000",IF($F774="نامعتبر","9999",LEFT($F774,2)&amp;RIGHT($F774,2)))&amp;"|"&amp;RIGHT("00000"&amp;766,5))</f>
        <v/>
      </c>
      <c r="I774">
        <f>IF($H774="","",COUNTIFS(CalcBank,$G774,CalcKey,"&lt;"&amp;$H774)+1)</f>
        <v/>
      </c>
      <c r="J774">
        <f>IF($I774="","",$G774&amp;"|"&amp;RIGHT("000000"&amp;$I774,6))</f>
        <v/>
      </c>
      <c r="K774">
        <f>IF(OR($E774="",$E774="نامعتبر"),"",LEFT($E774,4)&amp;"/"&amp;MID($E774,6,2))</f>
        <v/>
      </c>
      <c r="L774">
        <f>IF(Entry!$K774="",0,Entry!$K774)</f>
        <v/>
      </c>
      <c r="M774">
        <f>IF(Entry!$L774="",0,Entry!$L774)</f>
        <v/>
      </c>
    </row>
    <row r="775">
      <c r="A775">
        <f>IF(Entry!$C775="","",Entry!$C775)</f>
        <v/>
      </c>
      <c r="B775">
        <f>IF($A775="","",IF(ISNUMBER($A775),IF(AND($A775&gt;=10000101,$A775&lt;=99991231),INT($A775/10000),""),IFERROR(VALUE(TRIM(LEFT($A775,FIND("/",$A775)-1))),"")))</f>
        <v/>
      </c>
      <c r="C775">
        <f>IF(OR($A775="",$B775=""),"",IF(ISNUMBER($A775),INT(MOD($A775,10000)/100),IFERROR(VALUE(TRIM(LEFT(MID($A775,FIND("/",$A775)+1,20),FIND("/",MID($A775,FIND("/",$A775)+1,20))-1))),"")))</f>
        <v/>
      </c>
      <c r="D775">
        <f>IF(OR($A775="",$B775=""),"",IF(ISNUMBER($A775),MOD($A775,100),IFERROR(VALUE(TRIM(MID(MID($A775,FIND("/",$A775)+1,20),FIND("/",MID($A775,FIND("/",$A775)+1,20))+1,20))),"")))</f>
        <v/>
      </c>
      <c r="E775">
        <f>IF($A775="","",IF(OR($B775="",$C775="",$D775="",$B775&lt;1300,$B775&gt;1500,$C775&lt;1,$C775&gt;12,$D775&lt;1,$D775&gt;31),"نامعتبر",RIGHT("0000"&amp;$B775,4)&amp;"/"&amp;RIGHT("00"&amp;$C775,2)&amp;"/"&amp;RIGHT("00"&amp;$D775,2)))</f>
        <v/>
      </c>
      <c r="F775">
        <f>IF(Entry!$D775&lt;&gt;"",IF(AND(ISNUMBER(Entry!$D775),Entry!$D775&gt;=0,Entry!$D775&lt;1),RIGHT("00"&amp;HOUR(Entry!$D775),2)&amp;":"&amp;RIGHT("00"&amp;MINUTE(Entry!$D775),2),IFERROR(RIGHT("00"&amp;VALUE(TRIM(LEFT(Entry!$D775,FIND(":",Entry!$D775)-1))),2)&amp;":"&amp;RIGHT("00"&amp;VALUE(TRIM(MID(Entry!$D775,FIND(":",Entry!$D775)+1,2))),2),"نامعتبر")),IF(OR($E775="",$E775="نامعتبر"),"","00:00"))</f>
        <v/>
      </c>
      <c r="G775">
        <f>IF(OR($E775="",$E775="نامعتبر"),"",IF(Entry!$E775="","",LEFT(UPPER(TRIM(Entry!$E775)),6)))</f>
        <v/>
      </c>
      <c r="H775">
        <f>IF($G775="","",RIGHT($E775,4)&amp;MID($E775,6,2)&amp;RIGHT($E775,2)&amp;IF($F775="","0000",IF($F775="نامعتبر","9999",LEFT($F775,2)&amp;RIGHT($F775,2)))&amp;"|"&amp;RIGHT("00000"&amp;767,5))</f>
        <v/>
      </c>
      <c r="I775">
        <f>IF($H775="","",COUNTIFS(CalcBank,$G775,CalcKey,"&lt;"&amp;$H775)+1)</f>
        <v/>
      </c>
      <c r="J775">
        <f>IF($I775="","",$G775&amp;"|"&amp;RIGHT("000000"&amp;$I775,6))</f>
        <v/>
      </c>
      <c r="K775">
        <f>IF(OR($E775="",$E775="نامعتبر"),"",LEFT($E775,4)&amp;"/"&amp;MID($E775,6,2))</f>
        <v/>
      </c>
      <c r="L775">
        <f>IF(Entry!$K775="",0,Entry!$K775)</f>
        <v/>
      </c>
      <c r="M775">
        <f>IF(Entry!$L775="",0,Entry!$L775)</f>
        <v/>
      </c>
    </row>
    <row r="776">
      <c r="A776">
        <f>IF(Entry!$C776="","",Entry!$C776)</f>
        <v/>
      </c>
      <c r="B776">
        <f>IF($A776="","",IF(ISNUMBER($A776),IF(AND($A776&gt;=10000101,$A776&lt;=99991231),INT($A776/10000),""),IFERROR(VALUE(TRIM(LEFT($A776,FIND("/",$A776)-1))),"")))</f>
        <v/>
      </c>
      <c r="C776">
        <f>IF(OR($A776="",$B776=""),"",IF(ISNUMBER($A776),INT(MOD($A776,10000)/100),IFERROR(VALUE(TRIM(LEFT(MID($A776,FIND("/",$A776)+1,20),FIND("/",MID($A776,FIND("/",$A776)+1,20))-1))),"")))</f>
        <v/>
      </c>
      <c r="D776">
        <f>IF(OR($A776="",$B776=""),"",IF(ISNUMBER($A776),MOD($A776,100),IFERROR(VALUE(TRIM(MID(MID($A776,FIND("/",$A776)+1,20),FIND("/",MID($A776,FIND("/",$A776)+1,20))+1,20))),"")))</f>
        <v/>
      </c>
      <c r="E776">
        <f>IF($A776="","",IF(OR($B776="",$C776="",$D776="",$B776&lt;1300,$B776&gt;1500,$C776&lt;1,$C776&gt;12,$D776&lt;1,$D776&gt;31),"نامعتبر",RIGHT("0000"&amp;$B776,4)&amp;"/"&amp;RIGHT("00"&amp;$C776,2)&amp;"/"&amp;RIGHT("00"&amp;$D776,2)))</f>
        <v/>
      </c>
      <c r="F776">
        <f>IF(Entry!$D776&lt;&gt;"",IF(AND(ISNUMBER(Entry!$D776),Entry!$D776&gt;=0,Entry!$D776&lt;1),RIGHT("00"&amp;HOUR(Entry!$D776),2)&amp;":"&amp;RIGHT("00"&amp;MINUTE(Entry!$D776),2),IFERROR(RIGHT("00"&amp;VALUE(TRIM(LEFT(Entry!$D776,FIND(":",Entry!$D776)-1))),2)&amp;":"&amp;RIGHT("00"&amp;VALUE(TRIM(MID(Entry!$D776,FIND(":",Entry!$D776)+1,2))),2),"نامعتبر")),IF(OR($E776="",$E776="نامعتبر"),"","00:00"))</f>
        <v/>
      </c>
      <c r="G776">
        <f>IF(OR($E776="",$E776="نامعتبر"),"",IF(Entry!$E776="","",LEFT(UPPER(TRIM(Entry!$E776)),6)))</f>
        <v/>
      </c>
      <c r="H776">
        <f>IF($G776="","",RIGHT($E776,4)&amp;MID($E776,6,2)&amp;RIGHT($E776,2)&amp;IF($F776="","0000",IF($F776="نامعتبر","9999",LEFT($F776,2)&amp;RIGHT($F776,2)))&amp;"|"&amp;RIGHT("00000"&amp;768,5))</f>
        <v/>
      </c>
      <c r="I776">
        <f>IF($H776="","",COUNTIFS(CalcBank,$G776,CalcKey,"&lt;"&amp;$H776)+1)</f>
        <v/>
      </c>
      <c r="J776">
        <f>IF($I776="","",$G776&amp;"|"&amp;RIGHT("000000"&amp;$I776,6))</f>
        <v/>
      </c>
      <c r="K776">
        <f>IF(OR($E776="",$E776="نامعتبر"),"",LEFT($E776,4)&amp;"/"&amp;MID($E776,6,2))</f>
        <v/>
      </c>
      <c r="L776">
        <f>IF(Entry!$K776="",0,Entry!$K776)</f>
        <v/>
      </c>
      <c r="M776">
        <f>IF(Entry!$L776="",0,Entry!$L776)</f>
        <v/>
      </c>
    </row>
    <row r="777">
      <c r="A777">
        <f>IF(Entry!$C777="","",Entry!$C777)</f>
        <v/>
      </c>
      <c r="B777">
        <f>IF($A777="","",IF(ISNUMBER($A777),IF(AND($A777&gt;=10000101,$A777&lt;=99991231),INT($A777/10000),""),IFERROR(VALUE(TRIM(LEFT($A777,FIND("/",$A777)-1))),"")))</f>
        <v/>
      </c>
      <c r="C777">
        <f>IF(OR($A777="",$B777=""),"",IF(ISNUMBER($A777),INT(MOD($A777,10000)/100),IFERROR(VALUE(TRIM(LEFT(MID($A777,FIND("/",$A777)+1,20),FIND("/",MID($A777,FIND("/",$A777)+1,20))-1))),"")))</f>
        <v/>
      </c>
      <c r="D777">
        <f>IF(OR($A777="",$B777=""),"",IF(ISNUMBER($A777),MOD($A777,100),IFERROR(VALUE(TRIM(MID(MID($A777,FIND("/",$A777)+1,20),FIND("/",MID($A777,FIND("/",$A777)+1,20))+1,20))),"")))</f>
        <v/>
      </c>
      <c r="E777">
        <f>IF($A777="","",IF(OR($B777="",$C777="",$D777="",$B777&lt;1300,$B777&gt;1500,$C777&lt;1,$C777&gt;12,$D777&lt;1,$D777&gt;31),"نامعتبر",RIGHT("0000"&amp;$B777,4)&amp;"/"&amp;RIGHT("00"&amp;$C777,2)&amp;"/"&amp;RIGHT("00"&amp;$D777,2)))</f>
        <v/>
      </c>
      <c r="F777">
        <f>IF(Entry!$D777&lt;&gt;"",IF(AND(ISNUMBER(Entry!$D777),Entry!$D777&gt;=0,Entry!$D777&lt;1),RIGHT("00"&amp;HOUR(Entry!$D777),2)&amp;":"&amp;RIGHT("00"&amp;MINUTE(Entry!$D777),2),IFERROR(RIGHT("00"&amp;VALUE(TRIM(LEFT(Entry!$D777,FIND(":",Entry!$D777)-1))),2)&amp;":"&amp;RIGHT("00"&amp;VALUE(TRIM(MID(Entry!$D777,FIND(":",Entry!$D777)+1,2))),2),"نامعتبر")),IF(OR($E777="",$E777="نامعتبر"),"","00:00"))</f>
        <v/>
      </c>
      <c r="G777">
        <f>IF(OR($E777="",$E777="نامعتبر"),"",IF(Entry!$E777="","",LEFT(UPPER(TRIM(Entry!$E777)),6)))</f>
        <v/>
      </c>
      <c r="H777">
        <f>IF($G777="","",RIGHT($E777,4)&amp;MID($E777,6,2)&amp;RIGHT($E777,2)&amp;IF($F777="","0000",IF($F777="نامعتبر","9999",LEFT($F777,2)&amp;RIGHT($F777,2)))&amp;"|"&amp;RIGHT("00000"&amp;769,5))</f>
        <v/>
      </c>
      <c r="I777">
        <f>IF($H777="","",COUNTIFS(CalcBank,$G777,CalcKey,"&lt;"&amp;$H777)+1)</f>
        <v/>
      </c>
      <c r="J777">
        <f>IF($I777="","",$G777&amp;"|"&amp;RIGHT("000000"&amp;$I777,6))</f>
        <v/>
      </c>
      <c r="K777">
        <f>IF(OR($E777="",$E777="نامعتبر"),"",LEFT($E777,4)&amp;"/"&amp;MID($E777,6,2))</f>
        <v/>
      </c>
      <c r="L777">
        <f>IF(Entry!$K777="",0,Entry!$K777)</f>
        <v/>
      </c>
      <c r="M777">
        <f>IF(Entry!$L777="",0,Entry!$L777)</f>
        <v/>
      </c>
    </row>
    <row r="778">
      <c r="A778">
        <f>IF(Entry!$C778="","",Entry!$C778)</f>
        <v/>
      </c>
      <c r="B778">
        <f>IF($A778="","",IF(ISNUMBER($A778),IF(AND($A778&gt;=10000101,$A778&lt;=99991231),INT($A778/10000),""),IFERROR(VALUE(TRIM(LEFT($A778,FIND("/",$A778)-1))),"")))</f>
        <v/>
      </c>
      <c r="C778">
        <f>IF(OR($A778="",$B778=""),"",IF(ISNUMBER($A778),INT(MOD($A778,10000)/100),IFERROR(VALUE(TRIM(LEFT(MID($A778,FIND("/",$A778)+1,20),FIND("/",MID($A778,FIND("/",$A778)+1,20))-1))),"")))</f>
        <v/>
      </c>
      <c r="D778">
        <f>IF(OR($A778="",$B778=""),"",IF(ISNUMBER($A778),MOD($A778,100),IFERROR(VALUE(TRIM(MID(MID($A778,FIND("/",$A778)+1,20),FIND("/",MID($A778,FIND("/",$A778)+1,20))+1,20))),"")))</f>
        <v/>
      </c>
      <c r="E778">
        <f>IF($A778="","",IF(OR($B778="",$C778="",$D778="",$B778&lt;1300,$B778&gt;1500,$C778&lt;1,$C778&gt;12,$D778&lt;1,$D778&gt;31),"نامعتبر",RIGHT("0000"&amp;$B778,4)&amp;"/"&amp;RIGHT("00"&amp;$C778,2)&amp;"/"&amp;RIGHT("00"&amp;$D778,2)))</f>
        <v/>
      </c>
      <c r="F778">
        <f>IF(Entry!$D778&lt;&gt;"",IF(AND(ISNUMBER(Entry!$D778),Entry!$D778&gt;=0,Entry!$D778&lt;1),RIGHT("00"&amp;HOUR(Entry!$D778),2)&amp;":"&amp;RIGHT("00"&amp;MINUTE(Entry!$D778),2),IFERROR(RIGHT("00"&amp;VALUE(TRIM(LEFT(Entry!$D778,FIND(":",Entry!$D778)-1))),2)&amp;":"&amp;RIGHT("00"&amp;VALUE(TRIM(MID(Entry!$D778,FIND(":",Entry!$D778)+1,2))),2),"نامعتبر")),IF(OR($E778="",$E778="نامعتبر"),"","00:00"))</f>
        <v/>
      </c>
      <c r="G778">
        <f>IF(OR($E778="",$E778="نامعتبر"),"",IF(Entry!$E778="","",LEFT(UPPER(TRIM(Entry!$E778)),6)))</f>
        <v/>
      </c>
      <c r="H778">
        <f>IF($G778="","",RIGHT($E778,4)&amp;MID($E778,6,2)&amp;RIGHT($E778,2)&amp;IF($F778="","0000",IF($F778="نامعتبر","9999",LEFT($F778,2)&amp;RIGHT($F778,2)))&amp;"|"&amp;RIGHT("00000"&amp;770,5))</f>
        <v/>
      </c>
      <c r="I778">
        <f>IF($H778="","",COUNTIFS(CalcBank,$G778,CalcKey,"&lt;"&amp;$H778)+1)</f>
        <v/>
      </c>
      <c r="J778">
        <f>IF($I778="","",$G778&amp;"|"&amp;RIGHT("000000"&amp;$I778,6))</f>
        <v/>
      </c>
      <c r="K778">
        <f>IF(OR($E778="",$E778="نامعتبر"),"",LEFT($E778,4)&amp;"/"&amp;MID($E778,6,2))</f>
        <v/>
      </c>
      <c r="L778">
        <f>IF(Entry!$K778="",0,Entry!$K778)</f>
        <v/>
      </c>
      <c r="M778">
        <f>IF(Entry!$L778="",0,Entry!$L778)</f>
        <v/>
      </c>
    </row>
    <row r="779">
      <c r="A779">
        <f>IF(Entry!$C779="","",Entry!$C779)</f>
        <v/>
      </c>
      <c r="B779">
        <f>IF($A779="","",IF(ISNUMBER($A779),IF(AND($A779&gt;=10000101,$A779&lt;=99991231),INT($A779/10000),""),IFERROR(VALUE(TRIM(LEFT($A779,FIND("/",$A779)-1))),"")))</f>
        <v/>
      </c>
      <c r="C779">
        <f>IF(OR($A779="",$B779=""),"",IF(ISNUMBER($A779),INT(MOD($A779,10000)/100),IFERROR(VALUE(TRIM(LEFT(MID($A779,FIND("/",$A779)+1,20),FIND("/",MID($A779,FIND("/",$A779)+1,20))-1))),"")))</f>
        <v/>
      </c>
      <c r="D779">
        <f>IF(OR($A779="",$B779=""),"",IF(ISNUMBER($A779),MOD($A779,100),IFERROR(VALUE(TRIM(MID(MID($A779,FIND("/",$A779)+1,20),FIND("/",MID($A779,FIND("/",$A779)+1,20))+1,20))),"")))</f>
        <v/>
      </c>
      <c r="E779">
        <f>IF($A779="","",IF(OR($B779="",$C779="",$D779="",$B779&lt;1300,$B779&gt;1500,$C779&lt;1,$C779&gt;12,$D779&lt;1,$D779&gt;31),"نامعتبر",RIGHT("0000"&amp;$B779,4)&amp;"/"&amp;RIGHT("00"&amp;$C779,2)&amp;"/"&amp;RIGHT("00"&amp;$D779,2)))</f>
        <v/>
      </c>
      <c r="F779">
        <f>IF(Entry!$D779&lt;&gt;"",IF(AND(ISNUMBER(Entry!$D779),Entry!$D779&gt;=0,Entry!$D779&lt;1),RIGHT("00"&amp;HOUR(Entry!$D779),2)&amp;":"&amp;RIGHT("00"&amp;MINUTE(Entry!$D779),2),IFERROR(RIGHT("00"&amp;VALUE(TRIM(LEFT(Entry!$D779,FIND(":",Entry!$D779)-1))),2)&amp;":"&amp;RIGHT("00"&amp;VALUE(TRIM(MID(Entry!$D779,FIND(":",Entry!$D779)+1,2))),2),"نامعتبر")),IF(OR($E779="",$E779="نامعتبر"),"","00:00"))</f>
        <v/>
      </c>
      <c r="G779">
        <f>IF(OR($E779="",$E779="نامعتبر"),"",IF(Entry!$E779="","",LEFT(UPPER(TRIM(Entry!$E779)),6)))</f>
        <v/>
      </c>
      <c r="H779">
        <f>IF($G779="","",RIGHT($E779,4)&amp;MID($E779,6,2)&amp;RIGHT($E779,2)&amp;IF($F779="","0000",IF($F779="نامعتبر","9999",LEFT($F779,2)&amp;RIGHT($F779,2)))&amp;"|"&amp;RIGHT("00000"&amp;771,5))</f>
        <v/>
      </c>
      <c r="I779">
        <f>IF($H779="","",COUNTIFS(CalcBank,$G779,CalcKey,"&lt;"&amp;$H779)+1)</f>
        <v/>
      </c>
      <c r="J779">
        <f>IF($I779="","",$G779&amp;"|"&amp;RIGHT("000000"&amp;$I779,6))</f>
        <v/>
      </c>
      <c r="K779">
        <f>IF(OR($E779="",$E779="نامعتبر"),"",LEFT($E779,4)&amp;"/"&amp;MID($E779,6,2))</f>
        <v/>
      </c>
      <c r="L779">
        <f>IF(Entry!$K779="",0,Entry!$K779)</f>
        <v/>
      </c>
      <c r="M779">
        <f>IF(Entry!$L779="",0,Entry!$L779)</f>
        <v/>
      </c>
    </row>
    <row r="780">
      <c r="A780">
        <f>IF(Entry!$C780="","",Entry!$C780)</f>
        <v/>
      </c>
      <c r="B780">
        <f>IF($A780="","",IF(ISNUMBER($A780),IF(AND($A780&gt;=10000101,$A780&lt;=99991231),INT($A780/10000),""),IFERROR(VALUE(TRIM(LEFT($A780,FIND("/",$A780)-1))),"")))</f>
        <v/>
      </c>
      <c r="C780">
        <f>IF(OR($A780="",$B780=""),"",IF(ISNUMBER($A780),INT(MOD($A780,10000)/100),IFERROR(VALUE(TRIM(LEFT(MID($A780,FIND("/",$A780)+1,20),FIND("/",MID($A780,FIND("/",$A780)+1,20))-1))),"")))</f>
        <v/>
      </c>
      <c r="D780">
        <f>IF(OR($A780="",$B780=""),"",IF(ISNUMBER($A780),MOD($A780,100),IFERROR(VALUE(TRIM(MID(MID($A780,FIND("/",$A780)+1,20),FIND("/",MID($A780,FIND("/",$A780)+1,20))+1,20))),"")))</f>
        <v/>
      </c>
      <c r="E780">
        <f>IF($A780="","",IF(OR($B780="",$C780="",$D780="",$B780&lt;1300,$B780&gt;1500,$C780&lt;1,$C780&gt;12,$D780&lt;1,$D780&gt;31),"نامعتبر",RIGHT("0000"&amp;$B780,4)&amp;"/"&amp;RIGHT("00"&amp;$C780,2)&amp;"/"&amp;RIGHT("00"&amp;$D780,2)))</f>
        <v/>
      </c>
      <c r="F780">
        <f>IF(Entry!$D780&lt;&gt;"",IF(AND(ISNUMBER(Entry!$D780),Entry!$D780&gt;=0,Entry!$D780&lt;1),RIGHT("00"&amp;HOUR(Entry!$D780),2)&amp;":"&amp;RIGHT("00"&amp;MINUTE(Entry!$D780),2),IFERROR(RIGHT("00"&amp;VALUE(TRIM(LEFT(Entry!$D780,FIND(":",Entry!$D780)-1))),2)&amp;":"&amp;RIGHT("00"&amp;VALUE(TRIM(MID(Entry!$D780,FIND(":",Entry!$D780)+1,2))),2),"نامعتبر")),IF(OR($E780="",$E780="نامعتبر"),"","00:00"))</f>
        <v/>
      </c>
      <c r="G780">
        <f>IF(OR($E780="",$E780="نامعتبر"),"",IF(Entry!$E780="","",LEFT(UPPER(TRIM(Entry!$E780)),6)))</f>
        <v/>
      </c>
      <c r="H780">
        <f>IF($G780="","",RIGHT($E780,4)&amp;MID($E780,6,2)&amp;RIGHT($E780,2)&amp;IF($F780="","0000",IF($F780="نامعتبر","9999",LEFT($F780,2)&amp;RIGHT($F780,2)))&amp;"|"&amp;RIGHT("00000"&amp;772,5))</f>
        <v/>
      </c>
      <c r="I780">
        <f>IF($H780="","",COUNTIFS(CalcBank,$G780,CalcKey,"&lt;"&amp;$H780)+1)</f>
        <v/>
      </c>
      <c r="J780">
        <f>IF($I780="","",$G780&amp;"|"&amp;RIGHT("000000"&amp;$I780,6))</f>
        <v/>
      </c>
      <c r="K780">
        <f>IF(OR($E780="",$E780="نامعتبر"),"",LEFT($E780,4)&amp;"/"&amp;MID($E780,6,2))</f>
        <v/>
      </c>
      <c r="L780">
        <f>IF(Entry!$K780="",0,Entry!$K780)</f>
        <v/>
      </c>
      <c r="M780">
        <f>IF(Entry!$L780="",0,Entry!$L780)</f>
        <v/>
      </c>
    </row>
    <row r="781">
      <c r="A781">
        <f>IF(Entry!$C781="","",Entry!$C781)</f>
        <v/>
      </c>
      <c r="B781">
        <f>IF($A781="","",IF(ISNUMBER($A781),IF(AND($A781&gt;=10000101,$A781&lt;=99991231),INT($A781/10000),""),IFERROR(VALUE(TRIM(LEFT($A781,FIND("/",$A781)-1))),"")))</f>
        <v/>
      </c>
      <c r="C781">
        <f>IF(OR($A781="",$B781=""),"",IF(ISNUMBER($A781),INT(MOD($A781,10000)/100),IFERROR(VALUE(TRIM(LEFT(MID($A781,FIND("/",$A781)+1,20),FIND("/",MID($A781,FIND("/",$A781)+1,20))-1))),"")))</f>
        <v/>
      </c>
      <c r="D781">
        <f>IF(OR($A781="",$B781=""),"",IF(ISNUMBER($A781),MOD($A781,100),IFERROR(VALUE(TRIM(MID(MID($A781,FIND("/",$A781)+1,20),FIND("/",MID($A781,FIND("/",$A781)+1,20))+1,20))),"")))</f>
        <v/>
      </c>
      <c r="E781">
        <f>IF($A781="","",IF(OR($B781="",$C781="",$D781="",$B781&lt;1300,$B781&gt;1500,$C781&lt;1,$C781&gt;12,$D781&lt;1,$D781&gt;31),"نامعتبر",RIGHT("0000"&amp;$B781,4)&amp;"/"&amp;RIGHT("00"&amp;$C781,2)&amp;"/"&amp;RIGHT("00"&amp;$D781,2)))</f>
        <v/>
      </c>
      <c r="F781">
        <f>IF(Entry!$D781&lt;&gt;"",IF(AND(ISNUMBER(Entry!$D781),Entry!$D781&gt;=0,Entry!$D781&lt;1),RIGHT("00"&amp;HOUR(Entry!$D781),2)&amp;":"&amp;RIGHT("00"&amp;MINUTE(Entry!$D781),2),IFERROR(RIGHT("00"&amp;VALUE(TRIM(LEFT(Entry!$D781,FIND(":",Entry!$D781)-1))),2)&amp;":"&amp;RIGHT("00"&amp;VALUE(TRIM(MID(Entry!$D781,FIND(":",Entry!$D781)+1,2))),2),"نامعتبر")),IF(OR($E781="",$E781="نامعتبر"),"","00:00"))</f>
        <v/>
      </c>
      <c r="G781">
        <f>IF(OR($E781="",$E781="نامعتبر"),"",IF(Entry!$E781="","",LEFT(UPPER(TRIM(Entry!$E781)),6)))</f>
        <v/>
      </c>
      <c r="H781">
        <f>IF($G781="","",RIGHT($E781,4)&amp;MID($E781,6,2)&amp;RIGHT($E781,2)&amp;IF($F781="","0000",IF($F781="نامعتبر","9999",LEFT($F781,2)&amp;RIGHT($F781,2)))&amp;"|"&amp;RIGHT("00000"&amp;773,5))</f>
        <v/>
      </c>
      <c r="I781">
        <f>IF($H781="","",COUNTIFS(CalcBank,$G781,CalcKey,"&lt;"&amp;$H781)+1)</f>
        <v/>
      </c>
      <c r="J781">
        <f>IF($I781="","",$G781&amp;"|"&amp;RIGHT("000000"&amp;$I781,6))</f>
        <v/>
      </c>
      <c r="K781">
        <f>IF(OR($E781="",$E781="نامعتبر"),"",LEFT($E781,4)&amp;"/"&amp;MID($E781,6,2))</f>
        <v/>
      </c>
      <c r="L781">
        <f>IF(Entry!$K781="",0,Entry!$K781)</f>
        <v/>
      </c>
      <c r="M781">
        <f>IF(Entry!$L781="",0,Entry!$L781)</f>
        <v/>
      </c>
    </row>
    <row r="782">
      <c r="A782">
        <f>IF(Entry!$C782="","",Entry!$C782)</f>
        <v/>
      </c>
      <c r="B782">
        <f>IF($A782="","",IF(ISNUMBER($A782),IF(AND($A782&gt;=10000101,$A782&lt;=99991231),INT($A782/10000),""),IFERROR(VALUE(TRIM(LEFT($A782,FIND("/",$A782)-1))),"")))</f>
        <v/>
      </c>
      <c r="C782">
        <f>IF(OR($A782="",$B782=""),"",IF(ISNUMBER($A782),INT(MOD($A782,10000)/100),IFERROR(VALUE(TRIM(LEFT(MID($A782,FIND("/",$A782)+1,20),FIND("/",MID($A782,FIND("/",$A782)+1,20))-1))),"")))</f>
        <v/>
      </c>
      <c r="D782">
        <f>IF(OR($A782="",$B782=""),"",IF(ISNUMBER($A782),MOD($A782,100),IFERROR(VALUE(TRIM(MID(MID($A782,FIND("/",$A782)+1,20),FIND("/",MID($A782,FIND("/",$A782)+1,20))+1,20))),"")))</f>
        <v/>
      </c>
      <c r="E782">
        <f>IF($A782="","",IF(OR($B782="",$C782="",$D782="",$B782&lt;1300,$B782&gt;1500,$C782&lt;1,$C782&gt;12,$D782&lt;1,$D782&gt;31),"نامعتبر",RIGHT("0000"&amp;$B782,4)&amp;"/"&amp;RIGHT("00"&amp;$C782,2)&amp;"/"&amp;RIGHT("00"&amp;$D782,2)))</f>
        <v/>
      </c>
      <c r="F782">
        <f>IF(Entry!$D782&lt;&gt;"",IF(AND(ISNUMBER(Entry!$D782),Entry!$D782&gt;=0,Entry!$D782&lt;1),RIGHT("00"&amp;HOUR(Entry!$D782),2)&amp;":"&amp;RIGHT("00"&amp;MINUTE(Entry!$D782),2),IFERROR(RIGHT("00"&amp;VALUE(TRIM(LEFT(Entry!$D782,FIND(":",Entry!$D782)-1))),2)&amp;":"&amp;RIGHT("00"&amp;VALUE(TRIM(MID(Entry!$D782,FIND(":",Entry!$D782)+1,2))),2),"نامعتبر")),IF(OR($E782="",$E782="نامعتبر"),"","00:00"))</f>
        <v/>
      </c>
      <c r="G782">
        <f>IF(OR($E782="",$E782="نامعتبر"),"",IF(Entry!$E782="","",LEFT(UPPER(TRIM(Entry!$E782)),6)))</f>
        <v/>
      </c>
      <c r="H782">
        <f>IF($G782="","",RIGHT($E782,4)&amp;MID($E782,6,2)&amp;RIGHT($E782,2)&amp;IF($F782="","0000",IF($F782="نامعتبر","9999",LEFT($F782,2)&amp;RIGHT($F782,2)))&amp;"|"&amp;RIGHT("00000"&amp;774,5))</f>
        <v/>
      </c>
      <c r="I782">
        <f>IF($H782="","",COUNTIFS(CalcBank,$G782,CalcKey,"&lt;"&amp;$H782)+1)</f>
        <v/>
      </c>
      <c r="J782">
        <f>IF($I782="","",$G782&amp;"|"&amp;RIGHT("000000"&amp;$I782,6))</f>
        <v/>
      </c>
      <c r="K782">
        <f>IF(OR($E782="",$E782="نامعتبر"),"",LEFT($E782,4)&amp;"/"&amp;MID($E782,6,2))</f>
        <v/>
      </c>
      <c r="L782">
        <f>IF(Entry!$K782="",0,Entry!$K782)</f>
        <v/>
      </c>
      <c r="M782">
        <f>IF(Entry!$L782="",0,Entry!$L782)</f>
        <v/>
      </c>
    </row>
    <row r="783">
      <c r="A783">
        <f>IF(Entry!$C783="","",Entry!$C783)</f>
        <v/>
      </c>
      <c r="B783">
        <f>IF($A783="","",IF(ISNUMBER($A783),IF(AND($A783&gt;=10000101,$A783&lt;=99991231),INT($A783/10000),""),IFERROR(VALUE(TRIM(LEFT($A783,FIND("/",$A783)-1))),"")))</f>
        <v/>
      </c>
      <c r="C783">
        <f>IF(OR($A783="",$B783=""),"",IF(ISNUMBER($A783),INT(MOD($A783,10000)/100),IFERROR(VALUE(TRIM(LEFT(MID($A783,FIND("/",$A783)+1,20),FIND("/",MID($A783,FIND("/",$A783)+1,20))-1))),"")))</f>
        <v/>
      </c>
      <c r="D783">
        <f>IF(OR($A783="",$B783=""),"",IF(ISNUMBER($A783),MOD($A783,100),IFERROR(VALUE(TRIM(MID(MID($A783,FIND("/",$A783)+1,20),FIND("/",MID($A783,FIND("/",$A783)+1,20))+1,20))),"")))</f>
        <v/>
      </c>
      <c r="E783">
        <f>IF($A783="","",IF(OR($B783="",$C783="",$D783="",$B783&lt;1300,$B783&gt;1500,$C783&lt;1,$C783&gt;12,$D783&lt;1,$D783&gt;31),"نامعتبر",RIGHT("0000"&amp;$B783,4)&amp;"/"&amp;RIGHT("00"&amp;$C783,2)&amp;"/"&amp;RIGHT("00"&amp;$D783,2)))</f>
        <v/>
      </c>
      <c r="F783">
        <f>IF(Entry!$D783&lt;&gt;"",IF(AND(ISNUMBER(Entry!$D783),Entry!$D783&gt;=0,Entry!$D783&lt;1),RIGHT("00"&amp;HOUR(Entry!$D783),2)&amp;":"&amp;RIGHT("00"&amp;MINUTE(Entry!$D783),2),IFERROR(RIGHT("00"&amp;VALUE(TRIM(LEFT(Entry!$D783,FIND(":",Entry!$D783)-1))),2)&amp;":"&amp;RIGHT("00"&amp;VALUE(TRIM(MID(Entry!$D783,FIND(":",Entry!$D783)+1,2))),2),"نامعتبر")),IF(OR($E783="",$E783="نامعتبر"),"","00:00"))</f>
        <v/>
      </c>
      <c r="G783">
        <f>IF(OR($E783="",$E783="نامعتبر"),"",IF(Entry!$E783="","",LEFT(UPPER(TRIM(Entry!$E783)),6)))</f>
        <v/>
      </c>
      <c r="H783">
        <f>IF($G783="","",RIGHT($E783,4)&amp;MID($E783,6,2)&amp;RIGHT($E783,2)&amp;IF($F783="","0000",IF($F783="نامعتبر","9999",LEFT($F783,2)&amp;RIGHT($F783,2)))&amp;"|"&amp;RIGHT("00000"&amp;775,5))</f>
        <v/>
      </c>
      <c r="I783">
        <f>IF($H783="","",COUNTIFS(CalcBank,$G783,CalcKey,"&lt;"&amp;$H783)+1)</f>
        <v/>
      </c>
      <c r="J783">
        <f>IF($I783="","",$G783&amp;"|"&amp;RIGHT("000000"&amp;$I783,6))</f>
        <v/>
      </c>
      <c r="K783">
        <f>IF(OR($E783="",$E783="نامعتبر"),"",LEFT($E783,4)&amp;"/"&amp;MID($E783,6,2))</f>
        <v/>
      </c>
      <c r="L783">
        <f>IF(Entry!$K783="",0,Entry!$K783)</f>
        <v/>
      </c>
      <c r="M783">
        <f>IF(Entry!$L783="",0,Entry!$L783)</f>
        <v/>
      </c>
    </row>
    <row r="784">
      <c r="A784">
        <f>IF(Entry!$C784="","",Entry!$C784)</f>
        <v/>
      </c>
      <c r="B784">
        <f>IF($A784="","",IF(ISNUMBER($A784),IF(AND($A784&gt;=10000101,$A784&lt;=99991231),INT($A784/10000),""),IFERROR(VALUE(TRIM(LEFT($A784,FIND("/",$A784)-1))),"")))</f>
        <v/>
      </c>
      <c r="C784">
        <f>IF(OR($A784="",$B784=""),"",IF(ISNUMBER($A784),INT(MOD($A784,10000)/100),IFERROR(VALUE(TRIM(LEFT(MID($A784,FIND("/",$A784)+1,20),FIND("/",MID($A784,FIND("/",$A784)+1,20))-1))),"")))</f>
        <v/>
      </c>
      <c r="D784">
        <f>IF(OR($A784="",$B784=""),"",IF(ISNUMBER($A784),MOD($A784,100),IFERROR(VALUE(TRIM(MID(MID($A784,FIND("/",$A784)+1,20),FIND("/",MID($A784,FIND("/",$A784)+1,20))+1,20))),"")))</f>
        <v/>
      </c>
      <c r="E784">
        <f>IF($A784="","",IF(OR($B784="",$C784="",$D784="",$B784&lt;1300,$B784&gt;1500,$C784&lt;1,$C784&gt;12,$D784&lt;1,$D784&gt;31),"نامعتبر",RIGHT("0000"&amp;$B784,4)&amp;"/"&amp;RIGHT("00"&amp;$C784,2)&amp;"/"&amp;RIGHT("00"&amp;$D784,2)))</f>
        <v/>
      </c>
      <c r="F784">
        <f>IF(Entry!$D784&lt;&gt;"",IF(AND(ISNUMBER(Entry!$D784),Entry!$D784&gt;=0,Entry!$D784&lt;1),RIGHT("00"&amp;HOUR(Entry!$D784),2)&amp;":"&amp;RIGHT("00"&amp;MINUTE(Entry!$D784),2),IFERROR(RIGHT("00"&amp;VALUE(TRIM(LEFT(Entry!$D784,FIND(":",Entry!$D784)-1))),2)&amp;":"&amp;RIGHT("00"&amp;VALUE(TRIM(MID(Entry!$D784,FIND(":",Entry!$D784)+1,2))),2),"نامعتبر")),IF(OR($E784="",$E784="نامعتبر"),"","00:00"))</f>
        <v/>
      </c>
      <c r="G784">
        <f>IF(OR($E784="",$E784="نامعتبر"),"",IF(Entry!$E784="","",LEFT(UPPER(TRIM(Entry!$E784)),6)))</f>
        <v/>
      </c>
      <c r="H784">
        <f>IF($G784="","",RIGHT($E784,4)&amp;MID($E784,6,2)&amp;RIGHT($E784,2)&amp;IF($F784="","0000",IF($F784="نامعتبر","9999",LEFT($F784,2)&amp;RIGHT($F784,2)))&amp;"|"&amp;RIGHT("00000"&amp;776,5))</f>
        <v/>
      </c>
      <c r="I784">
        <f>IF($H784="","",COUNTIFS(CalcBank,$G784,CalcKey,"&lt;"&amp;$H784)+1)</f>
        <v/>
      </c>
      <c r="J784">
        <f>IF($I784="","",$G784&amp;"|"&amp;RIGHT("000000"&amp;$I784,6))</f>
        <v/>
      </c>
      <c r="K784">
        <f>IF(OR($E784="",$E784="نامعتبر"),"",LEFT($E784,4)&amp;"/"&amp;MID($E784,6,2))</f>
        <v/>
      </c>
      <c r="L784">
        <f>IF(Entry!$K784="",0,Entry!$K784)</f>
        <v/>
      </c>
      <c r="M784">
        <f>IF(Entry!$L784="",0,Entry!$L784)</f>
        <v/>
      </c>
    </row>
    <row r="785">
      <c r="A785">
        <f>IF(Entry!$C785="","",Entry!$C785)</f>
        <v/>
      </c>
      <c r="B785">
        <f>IF($A785="","",IF(ISNUMBER($A785),IF(AND($A785&gt;=10000101,$A785&lt;=99991231),INT($A785/10000),""),IFERROR(VALUE(TRIM(LEFT($A785,FIND("/",$A785)-1))),"")))</f>
        <v/>
      </c>
      <c r="C785">
        <f>IF(OR($A785="",$B785=""),"",IF(ISNUMBER($A785),INT(MOD($A785,10000)/100),IFERROR(VALUE(TRIM(LEFT(MID($A785,FIND("/",$A785)+1,20),FIND("/",MID($A785,FIND("/",$A785)+1,20))-1))),"")))</f>
        <v/>
      </c>
      <c r="D785">
        <f>IF(OR($A785="",$B785=""),"",IF(ISNUMBER($A785),MOD($A785,100),IFERROR(VALUE(TRIM(MID(MID($A785,FIND("/",$A785)+1,20),FIND("/",MID($A785,FIND("/",$A785)+1,20))+1,20))),"")))</f>
        <v/>
      </c>
      <c r="E785">
        <f>IF($A785="","",IF(OR($B785="",$C785="",$D785="",$B785&lt;1300,$B785&gt;1500,$C785&lt;1,$C785&gt;12,$D785&lt;1,$D785&gt;31),"نامعتبر",RIGHT("0000"&amp;$B785,4)&amp;"/"&amp;RIGHT("00"&amp;$C785,2)&amp;"/"&amp;RIGHT("00"&amp;$D785,2)))</f>
        <v/>
      </c>
      <c r="F785">
        <f>IF(Entry!$D785&lt;&gt;"",IF(AND(ISNUMBER(Entry!$D785),Entry!$D785&gt;=0,Entry!$D785&lt;1),RIGHT("00"&amp;HOUR(Entry!$D785),2)&amp;":"&amp;RIGHT("00"&amp;MINUTE(Entry!$D785),2),IFERROR(RIGHT("00"&amp;VALUE(TRIM(LEFT(Entry!$D785,FIND(":",Entry!$D785)-1))),2)&amp;":"&amp;RIGHT("00"&amp;VALUE(TRIM(MID(Entry!$D785,FIND(":",Entry!$D785)+1,2))),2),"نامعتبر")),IF(OR($E785="",$E785="نامعتبر"),"","00:00"))</f>
        <v/>
      </c>
      <c r="G785">
        <f>IF(OR($E785="",$E785="نامعتبر"),"",IF(Entry!$E785="","",LEFT(UPPER(TRIM(Entry!$E785)),6)))</f>
        <v/>
      </c>
      <c r="H785">
        <f>IF($G785="","",RIGHT($E785,4)&amp;MID($E785,6,2)&amp;RIGHT($E785,2)&amp;IF($F785="","0000",IF($F785="نامعتبر","9999",LEFT($F785,2)&amp;RIGHT($F785,2)))&amp;"|"&amp;RIGHT("00000"&amp;777,5))</f>
        <v/>
      </c>
      <c r="I785">
        <f>IF($H785="","",COUNTIFS(CalcBank,$G785,CalcKey,"&lt;"&amp;$H785)+1)</f>
        <v/>
      </c>
      <c r="J785">
        <f>IF($I785="","",$G785&amp;"|"&amp;RIGHT("000000"&amp;$I785,6))</f>
        <v/>
      </c>
      <c r="K785">
        <f>IF(OR($E785="",$E785="نامعتبر"),"",LEFT($E785,4)&amp;"/"&amp;MID($E785,6,2))</f>
        <v/>
      </c>
      <c r="L785">
        <f>IF(Entry!$K785="",0,Entry!$K785)</f>
        <v/>
      </c>
      <c r="M785">
        <f>IF(Entry!$L785="",0,Entry!$L785)</f>
        <v/>
      </c>
    </row>
    <row r="786">
      <c r="A786">
        <f>IF(Entry!$C786="","",Entry!$C786)</f>
        <v/>
      </c>
      <c r="B786">
        <f>IF($A786="","",IF(ISNUMBER($A786),IF(AND($A786&gt;=10000101,$A786&lt;=99991231),INT($A786/10000),""),IFERROR(VALUE(TRIM(LEFT($A786,FIND("/",$A786)-1))),"")))</f>
        <v/>
      </c>
      <c r="C786">
        <f>IF(OR($A786="",$B786=""),"",IF(ISNUMBER($A786),INT(MOD($A786,10000)/100),IFERROR(VALUE(TRIM(LEFT(MID($A786,FIND("/",$A786)+1,20),FIND("/",MID($A786,FIND("/",$A786)+1,20))-1))),"")))</f>
        <v/>
      </c>
      <c r="D786">
        <f>IF(OR($A786="",$B786=""),"",IF(ISNUMBER($A786),MOD($A786,100),IFERROR(VALUE(TRIM(MID(MID($A786,FIND("/",$A786)+1,20),FIND("/",MID($A786,FIND("/",$A786)+1,20))+1,20))),"")))</f>
        <v/>
      </c>
      <c r="E786">
        <f>IF($A786="","",IF(OR($B786="",$C786="",$D786="",$B786&lt;1300,$B786&gt;1500,$C786&lt;1,$C786&gt;12,$D786&lt;1,$D786&gt;31),"نامعتبر",RIGHT("0000"&amp;$B786,4)&amp;"/"&amp;RIGHT("00"&amp;$C786,2)&amp;"/"&amp;RIGHT("00"&amp;$D786,2)))</f>
        <v/>
      </c>
      <c r="F786">
        <f>IF(Entry!$D786&lt;&gt;"",IF(AND(ISNUMBER(Entry!$D786),Entry!$D786&gt;=0,Entry!$D786&lt;1),RIGHT("00"&amp;HOUR(Entry!$D786),2)&amp;":"&amp;RIGHT("00"&amp;MINUTE(Entry!$D786),2),IFERROR(RIGHT("00"&amp;VALUE(TRIM(LEFT(Entry!$D786,FIND(":",Entry!$D786)-1))),2)&amp;":"&amp;RIGHT("00"&amp;VALUE(TRIM(MID(Entry!$D786,FIND(":",Entry!$D786)+1,2))),2),"نامعتبر")),IF(OR($E786="",$E786="نامعتبر"),"","00:00"))</f>
        <v/>
      </c>
      <c r="G786">
        <f>IF(OR($E786="",$E786="نامعتبر"),"",IF(Entry!$E786="","",LEFT(UPPER(TRIM(Entry!$E786)),6)))</f>
        <v/>
      </c>
      <c r="H786">
        <f>IF($G786="","",RIGHT($E786,4)&amp;MID($E786,6,2)&amp;RIGHT($E786,2)&amp;IF($F786="","0000",IF($F786="نامعتبر","9999",LEFT($F786,2)&amp;RIGHT($F786,2)))&amp;"|"&amp;RIGHT("00000"&amp;778,5))</f>
        <v/>
      </c>
      <c r="I786">
        <f>IF($H786="","",COUNTIFS(CalcBank,$G786,CalcKey,"&lt;"&amp;$H786)+1)</f>
        <v/>
      </c>
      <c r="J786">
        <f>IF($I786="","",$G786&amp;"|"&amp;RIGHT("000000"&amp;$I786,6))</f>
        <v/>
      </c>
      <c r="K786">
        <f>IF(OR($E786="",$E786="نامعتبر"),"",LEFT($E786,4)&amp;"/"&amp;MID($E786,6,2))</f>
        <v/>
      </c>
      <c r="L786">
        <f>IF(Entry!$K786="",0,Entry!$K786)</f>
        <v/>
      </c>
      <c r="M786">
        <f>IF(Entry!$L786="",0,Entry!$L786)</f>
        <v/>
      </c>
    </row>
    <row r="787">
      <c r="A787">
        <f>IF(Entry!$C787="","",Entry!$C787)</f>
        <v/>
      </c>
      <c r="B787">
        <f>IF($A787="","",IF(ISNUMBER($A787),IF(AND($A787&gt;=10000101,$A787&lt;=99991231),INT($A787/10000),""),IFERROR(VALUE(TRIM(LEFT($A787,FIND("/",$A787)-1))),"")))</f>
        <v/>
      </c>
      <c r="C787">
        <f>IF(OR($A787="",$B787=""),"",IF(ISNUMBER($A787),INT(MOD($A787,10000)/100),IFERROR(VALUE(TRIM(LEFT(MID($A787,FIND("/",$A787)+1,20),FIND("/",MID($A787,FIND("/",$A787)+1,20))-1))),"")))</f>
        <v/>
      </c>
      <c r="D787">
        <f>IF(OR($A787="",$B787=""),"",IF(ISNUMBER($A787),MOD($A787,100),IFERROR(VALUE(TRIM(MID(MID($A787,FIND("/",$A787)+1,20),FIND("/",MID($A787,FIND("/",$A787)+1,20))+1,20))),"")))</f>
        <v/>
      </c>
      <c r="E787">
        <f>IF($A787="","",IF(OR($B787="",$C787="",$D787="",$B787&lt;1300,$B787&gt;1500,$C787&lt;1,$C787&gt;12,$D787&lt;1,$D787&gt;31),"نامعتبر",RIGHT("0000"&amp;$B787,4)&amp;"/"&amp;RIGHT("00"&amp;$C787,2)&amp;"/"&amp;RIGHT("00"&amp;$D787,2)))</f>
        <v/>
      </c>
      <c r="F787">
        <f>IF(Entry!$D787&lt;&gt;"",IF(AND(ISNUMBER(Entry!$D787),Entry!$D787&gt;=0,Entry!$D787&lt;1),RIGHT("00"&amp;HOUR(Entry!$D787),2)&amp;":"&amp;RIGHT("00"&amp;MINUTE(Entry!$D787),2),IFERROR(RIGHT("00"&amp;VALUE(TRIM(LEFT(Entry!$D787,FIND(":",Entry!$D787)-1))),2)&amp;":"&amp;RIGHT("00"&amp;VALUE(TRIM(MID(Entry!$D787,FIND(":",Entry!$D787)+1,2))),2),"نامعتبر")),IF(OR($E787="",$E787="نامعتبر"),"","00:00"))</f>
        <v/>
      </c>
      <c r="G787">
        <f>IF(OR($E787="",$E787="نامعتبر"),"",IF(Entry!$E787="","",LEFT(UPPER(TRIM(Entry!$E787)),6)))</f>
        <v/>
      </c>
      <c r="H787">
        <f>IF($G787="","",RIGHT($E787,4)&amp;MID($E787,6,2)&amp;RIGHT($E787,2)&amp;IF($F787="","0000",IF($F787="نامعتبر","9999",LEFT($F787,2)&amp;RIGHT($F787,2)))&amp;"|"&amp;RIGHT("00000"&amp;779,5))</f>
        <v/>
      </c>
      <c r="I787">
        <f>IF($H787="","",COUNTIFS(CalcBank,$G787,CalcKey,"&lt;"&amp;$H787)+1)</f>
        <v/>
      </c>
      <c r="J787">
        <f>IF($I787="","",$G787&amp;"|"&amp;RIGHT("000000"&amp;$I787,6))</f>
        <v/>
      </c>
      <c r="K787">
        <f>IF(OR($E787="",$E787="نامعتبر"),"",LEFT($E787,4)&amp;"/"&amp;MID($E787,6,2))</f>
        <v/>
      </c>
      <c r="L787">
        <f>IF(Entry!$K787="",0,Entry!$K787)</f>
        <v/>
      </c>
      <c r="M787">
        <f>IF(Entry!$L787="",0,Entry!$L787)</f>
        <v/>
      </c>
    </row>
    <row r="788">
      <c r="A788">
        <f>IF(Entry!$C788="","",Entry!$C788)</f>
        <v/>
      </c>
      <c r="B788">
        <f>IF($A788="","",IF(ISNUMBER($A788),IF(AND($A788&gt;=10000101,$A788&lt;=99991231),INT($A788/10000),""),IFERROR(VALUE(TRIM(LEFT($A788,FIND("/",$A788)-1))),"")))</f>
        <v/>
      </c>
      <c r="C788">
        <f>IF(OR($A788="",$B788=""),"",IF(ISNUMBER($A788),INT(MOD($A788,10000)/100),IFERROR(VALUE(TRIM(LEFT(MID($A788,FIND("/",$A788)+1,20),FIND("/",MID($A788,FIND("/",$A788)+1,20))-1))),"")))</f>
        <v/>
      </c>
      <c r="D788">
        <f>IF(OR($A788="",$B788=""),"",IF(ISNUMBER($A788),MOD($A788,100),IFERROR(VALUE(TRIM(MID(MID($A788,FIND("/",$A788)+1,20),FIND("/",MID($A788,FIND("/",$A788)+1,20))+1,20))),"")))</f>
        <v/>
      </c>
      <c r="E788">
        <f>IF($A788="","",IF(OR($B788="",$C788="",$D788="",$B788&lt;1300,$B788&gt;1500,$C788&lt;1,$C788&gt;12,$D788&lt;1,$D788&gt;31),"نامعتبر",RIGHT("0000"&amp;$B788,4)&amp;"/"&amp;RIGHT("00"&amp;$C788,2)&amp;"/"&amp;RIGHT("00"&amp;$D788,2)))</f>
        <v/>
      </c>
      <c r="F788">
        <f>IF(Entry!$D788&lt;&gt;"",IF(AND(ISNUMBER(Entry!$D788),Entry!$D788&gt;=0,Entry!$D788&lt;1),RIGHT("00"&amp;HOUR(Entry!$D788),2)&amp;":"&amp;RIGHT("00"&amp;MINUTE(Entry!$D788),2),IFERROR(RIGHT("00"&amp;VALUE(TRIM(LEFT(Entry!$D788,FIND(":",Entry!$D788)-1))),2)&amp;":"&amp;RIGHT("00"&amp;VALUE(TRIM(MID(Entry!$D788,FIND(":",Entry!$D788)+1,2))),2),"نامعتبر")),IF(OR($E788="",$E788="نامعتبر"),"","00:00"))</f>
        <v/>
      </c>
      <c r="G788">
        <f>IF(OR($E788="",$E788="نامعتبر"),"",IF(Entry!$E788="","",LEFT(UPPER(TRIM(Entry!$E788)),6)))</f>
        <v/>
      </c>
      <c r="H788">
        <f>IF($G788="","",RIGHT($E788,4)&amp;MID($E788,6,2)&amp;RIGHT($E788,2)&amp;IF($F788="","0000",IF($F788="نامعتبر","9999",LEFT($F788,2)&amp;RIGHT($F788,2)))&amp;"|"&amp;RIGHT("00000"&amp;780,5))</f>
        <v/>
      </c>
      <c r="I788">
        <f>IF($H788="","",COUNTIFS(CalcBank,$G788,CalcKey,"&lt;"&amp;$H788)+1)</f>
        <v/>
      </c>
      <c r="J788">
        <f>IF($I788="","",$G788&amp;"|"&amp;RIGHT("000000"&amp;$I788,6))</f>
        <v/>
      </c>
      <c r="K788">
        <f>IF(OR($E788="",$E788="نامعتبر"),"",LEFT($E788,4)&amp;"/"&amp;MID($E788,6,2))</f>
        <v/>
      </c>
      <c r="L788">
        <f>IF(Entry!$K788="",0,Entry!$K788)</f>
        <v/>
      </c>
      <c r="M788">
        <f>IF(Entry!$L788="",0,Entry!$L788)</f>
        <v/>
      </c>
    </row>
    <row r="789">
      <c r="A789">
        <f>IF(Entry!$C789="","",Entry!$C789)</f>
        <v/>
      </c>
      <c r="B789">
        <f>IF($A789="","",IF(ISNUMBER($A789),IF(AND($A789&gt;=10000101,$A789&lt;=99991231),INT($A789/10000),""),IFERROR(VALUE(TRIM(LEFT($A789,FIND("/",$A789)-1))),"")))</f>
        <v/>
      </c>
      <c r="C789">
        <f>IF(OR($A789="",$B789=""),"",IF(ISNUMBER($A789),INT(MOD($A789,10000)/100),IFERROR(VALUE(TRIM(LEFT(MID($A789,FIND("/",$A789)+1,20),FIND("/",MID($A789,FIND("/",$A789)+1,20))-1))),"")))</f>
        <v/>
      </c>
      <c r="D789">
        <f>IF(OR($A789="",$B789=""),"",IF(ISNUMBER($A789),MOD($A789,100),IFERROR(VALUE(TRIM(MID(MID($A789,FIND("/",$A789)+1,20),FIND("/",MID($A789,FIND("/",$A789)+1,20))+1,20))),"")))</f>
        <v/>
      </c>
      <c r="E789">
        <f>IF($A789="","",IF(OR($B789="",$C789="",$D789="",$B789&lt;1300,$B789&gt;1500,$C789&lt;1,$C789&gt;12,$D789&lt;1,$D789&gt;31),"نامعتبر",RIGHT("0000"&amp;$B789,4)&amp;"/"&amp;RIGHT("00"&amp;$C789,2)&amp;"/"&amp;RIGHT("00"&amp;$D789,2)))</f>
        <v/>
      </c>
      <c r="F789">
        <f>IF(Entry!$D789&lt;&gt;"",IF(AND(ISNUMBER(Entry!$D789),Entry!$D789&gt;=0,Entry!$D789&lt;1),RIGHT("00"&amp;HOUR(Entry!$D789),2)&amp;":"&amp;RIGHT("00"&amp;MINUTE(Entry!$D789),2),IFERROR(RIGHT("00"&amp;VALUE(TRIM(LEFT(Entry!$D789,FIND(":",Entry!$D789)-1))),2)&amp;":"&amp;RIGHT("00"&amp;VALUE(TRIM(MID(Entry!$D789,FIND(":",Entry!$D789)+1,2))),2),"نامعتبر")),IF(OR($E789="",$E789="نامعتبر"),"","00:00"))</f>
        <v/>
      </c>
      <c r="G789">
        <f>IF(OR($E789="",$E789="نامعتبر"),"",IF(Entry!$E789="","",LEFT(UPPER(TRIM(Entry!$E789)),6)))</f>
        <v/>
      </c>
      <c r="H789">
        <f>IF($G789="","",RIGHT($E789,4)&amp;MID($E789,6,2)&amp;RIGHT($E789,2)&amp;IF($F789="","0000",IF($F789="نامعتبر","9999",LEFT($F789,2)&amp;RIGHT($F789,2)))&amp;"|"&amp;RIGHT("00000"&amp;781,5))</f>
        <v/>
      </c>
      <c r="I789">
        <f>IF($H789="","",COUNTIFS(CalcBank,$G789,CalcKey,"&lt;"&amp;$H789)+1)</f>
        <v/>
      </c>
      <c r="J789">
        <f>IF($I789="","",$G789&amp;"|"&amp;RIGHT("000000"&amp;$I789,6))</f>
        <v/>
      </c>
      <c r="K789">
        <f>IF(OR($E789="",$E789="نامعتبر"),"",LEFT($E789,4)&amp;"/"&amp;MID($E789,6,2))</f>
        <v/>
      </c>
      <c r="L789">
        <f>IF(Entry!$K789="",0,Entry!$K789)</f>
        <v/>
      </c>
      <c r="M789">
        <f>IF(Entry!$L789="",0,Entry!$L789)</f>
        <v/>
      </c>
    </row>
    <row r="790">
      <c r="A790">
        <f>IF(Entry!$C790="","",Entry!$C790)</f>
        <v/>
      </c>
      <c r="B790">
        <f>IF($A790="","",IF(ISNUMBER($A790),IF(AND($A790&gt;=10000101,$A790&lt;=99991231),INT($A790/10000),""),IFERROR(VALUE(TRIM(LEFT($A790,FIND("/",$A790)-1))),"")))</f>
        <v/>
      </c>
      <c r="C790">
        <f>IF(OR($A790="",$B790=""),"",IF(ISNUMBER($A790),INT(MOD($A790,10000)/100),IFERROR(VALUE(TRIM(LEFT(MID($A790,FIND("/",$A790)+1,20),FIND("/",MID($A790,FIND("/",$A790)+1,20))-1))),"")))</f>
        <v/>
      </c>
      <c r="D790">
        <f>IF(OR($A790="",$B790=""),"",IF(ISNUMBER($A790),MOD($A790,100),IFERROR(VALUE(TRIM(MID(MID($A790,FIND("/",$A790)+1,20),FIND("/",MID($A790,FIND("/",$A790)+1,20))+1,20))),"")))</f>
        <v/>
      </c>
      <c r="E790">
        <f>IF($A790="","",IF(OR($B790="",$C790="",$D790="",$B790&lt;1300,$B790&gt;1500,$C790&lt;1,$C790&gt;12,$D790&lt;1,$D790&gt;31),"نامعتبر",RIGHT("0000"&amp;$B790,4)&amp;"/"&amp;RIGHT("00"&amp;$C790,2)&amp;"/"&amp;RIGHT("00"&amp;$D790,2)))</f>
        <v/>
      </c>
      <c r="F790">
        <f>IF(Entry!$D790&lt;&gt;"",IF(AND(ISNUMBER(Entry!$D790),Entry!$D790&gt;=0,Entry!$D790&lt;1),RIGHT("00"&amp;HOUR(Entry!$D790),2)&amp;":"&amp;RIGHT("00"&amp;MINUTE(Entry!$D790),2),IFERROR(RIGHT("00"&amp;VALUE(TRIM(LEFT(Entry!$D790,FIND(":",Entry!$D790)-1))),2)&amp;":"&amp;RIGHT("00"&amp;VALUE(TRIM(MID(Entry!$D790,FIND(":",Entry!$D790)+1,2))),2),"نامعتبر")),IF(OR($E790="",$E790="نامعتبر"),"","00:00"))</f>
        <v/>
      </c>
      <c r="G790">
        <f>IF(OR($E790="",$E790="نامعتبر"),"",IF(Entry!$E790="","",LEFT(UPPER(TRIM(Entry!$E790)),6)))</f>
        <v/>
      </c>
      <c r="H790">
        <f>IF($G790="","",RIGHT($E790,4)&amp;MID($E790,6,2)&amp;RIGHT($E790,2)&amp;IF($F790="","0000",IF($F790="نامعتبر","9999",LEFT($F790,2)&amp;RIGHT($F790,2)))&amp;"|"&amp;RIGHT("00000"&amp;782,5))</f>
        <v/>
      </c>
      <c r="I790">
        <f>IF($H790="","",COUNTIFS(CalcBank,$G790,CalcKey,"&lt;"&amp;$H790)+1)</f>
        <v/>
      </c>
      <c r="J790">
        <f>IF($I790="","",$G790&amp;"|"&amp;RIGHT("000000"&amp;$I790,6))</f>
        <v/>
      </c>
      <c r="K790">
        <f>IF(OR($E790="",$E790="نامعتبر"),"",LEFT($E790,4)&amp;"/"&amp;MID($E790,6,2))</f>
        <v/>
      </c>
      <c r="L790">
        <f>IF(Entry!$K790="",0,Entry!$K790)</f>
        <v/>
      </c>
      <c r="M790">
        <f>IF(Entry!$L790="",0,Entry!$L790)</f>
        <v/>
      </c>
    </row>
    <row r="791">
      <c r="A791">
        <f>IF(Entry!$C791="","",Entry!$C791)</f>
        <v/>
      </c>
      <c r="B791">
        <f>IF($A791="","",IF(ISNUMBER($A791),IF(AND($A791&gt;=10000101,$A791&lt;=99991231),INT($A791/10000),""),IFERROR(VALUE(TRIM(LEFT($A791,FIND("/",$A791)-1))),"")))</f>
        <v/>
      </c>
      <c r="C791">
        <f>IF(OR($A791="",$B791=""),"",IF(ISNUMBER($A791),INT(MOD($A791,10000)/100),IFERROR(VALUE(TRIM(LEFT(MID($A791,FIND("/",$A791)+1,20),FIND("/",MID($A791,FIND("/",$A791)+1,20))-1))),"")))</f>
        <v/>
      </c>
      <c r="D791">
        <f>IF(OR($A791="",$B791=""),"",IF(ISNUMBER($A791),MOD($A791,100),IFERROR(VALUE(TRIM(MID(MID($A791,FIND("/",$A791)+1,20),FIND("/",MID($A791,FIND("/",$A791)+1,20))+1,20))),"")))</f>
        <v/>
      </c>
      <c r="E791">
        <f>IF($A791="","",IF(OR($B791="",$C791="",$D791="",$B791&lt;1300,$B791&gt;1500,$C791&lt;1,$C791&gt;12,$D791&lt;1,$D791&gt;31),"نامعتبر",RIGHT("0000"&amp;$B791,4)&amp;"/"&amp;RIGHT("00"&amp;$C791,2)&amp;"/"&amp;RIGHT("00"&amp;$D791,2)))</f>
        <v/>
      </c>
      <c r="F791">
        <f>IF(Entry!$D791&lt;&gt;"",IF(AND(ISNUMBER(Entry!$D791),Entry!$D791&gt;=0,Entry!$D791&lt;1),RIGHT("00"&amp;HOUR(Entry!$D791),2)&amp;":"&amp;RIGHT("00"&amp;MINUTE(Entry!$D791),2),IFERROR(RIGHT("00"&amp;VALUE(TRIM(LEFT(Entry!$D791,FIND(":",Entry!$D791)-1))),2)&amp;":"&amp;RIGHT("00"&amp;VALUE(TRIM(MID(Entry!$D791,FIND(":",Entry!$D791)+1,2))),2),"نامعتبر")),IF(OR($E791="",$E791="نامعتبر"),"","00:00"))</f>
        <v/>
      </c>
      <c r="G791">
        <f>IF(OR($E791="",$E791="نامعتبر"),"",IF(Entry!$E791="","",LEFT(UPPER(TRIM(Entry!$E791)),6)))</f>
        <v/>
      </c>
      <c r="H791">
        <f>IF($G791="","",RIGHT($E791,4)&amp;MID($E791,6,2)&amp;RIGHT($E791,2)&amp;IF($F791="","0000",IF($F791="نامعتبر","9999",LEFT($F791,2)&amp;RIGHT($F791,2)))&amp;"|"&amp;RIGHT("00000"&amp;783,5))</f>
        <v/>
      </c>
      <c r="I791">
        <f>IF($H791="","",COUNTIFS(CalcBank,$G791,CalcKey,"&lt;"&amp;$H791)+1)</f>
        <v/>
      </c>
      <c r="J791">
        <f>IF($I791="","",$G791&amp;"|"&amp;RIGHT("000000"&amp;$I791,6))</f>
        <v/>
      </c>
      <c r="K791">
        <f>IF(OR($E791="",$E791="نامعتبر"),"",LEFT($E791,4)&amp;"/"&amp;MID($E791,6,2))</f>
        <v/>
      </c>
      <c r="L791">
        <f>IF(Entry!$K791="",0,Entry!$K791)</f>
        <v/>
      </c>
      <c r="M791">
        <f>IF(Entry!$L791="",0,Entry!$L791)</f>
        <v/>
      </c>
    </row>
    <row r="792">
      <c r="A792">
        <f>IF(Entry!$C792="","",Entry!$C792)</f>
        <v/>
      </c>
      <c r="B792">
        <f>IF($A792="","",IF(ISNUMBER($A792),IF(AND($A792&gt;=10000101,$A792&lt;=99991231),INT($A792/10000),""),IFERROR(VALUE(TRIM(LEFT($A792,FIND("/",$A792)-1))),"")))</f>
        <v/>
      </c>
      <c r="C792">
        <f>IF(OR($A792="",$B792=""),"",IF(ISNUMBER($A792),INT(MOD($A792,10000)/100),IFERROR(VALUE(TRIM(LEFT(MID($A792,FIND("/",$A792)+1,20),FIND("/",MID($A792,FIND("/",$A792)+1,20))-1))),"")))</f>
        <v/>
      </c>
      <c r="D792">
        <f>IF(OR($A792="",$B792=""),"",IF(ISNUMBER($A792),MOD($A792,100),IFERROR(VALUE(TRIM(MID(MID($A792,FIND("/",$A792)+1,20),FIND("/",MID($A792,FIND("/",$A792)+1,20))+1,20))),"")))</f>
        <v/>
      </c>
      <c r="E792">
        <f>IF($A792="","",IF(OR($B792="",$C792="",$D792="",$B792&lt;1300,$B792&gt;1500,$C792&lt;1,$C792&gt;12,$D792&lt;1,$D792&gt;31),"نامعتبر",RIGHT("0000"&amp;$B792,4)&amp;"/"&amp;RIGHT("00"&amp;$C792,2)&amp;"/"&amp;RIGHT("00"&amp;$D792,2)))</f>
        <v/>
      </c>
      <c r="F792">
        <f>IF(Entry!$D792&lt;&gt;"",IF(AND(ISNUMBER(Entry!$D792),Entry!$D792&gt;=0,Entry!$D792&lt;1),RIGHT("00"&amp;HOUR(Entry!$D792),2)&amp;":"&amp;RIGHT("00"&amp;MINUTE(Entry!$D792),2),IFERROR(RIGHT("00"&amp;VALUE(TRIM(LEFT(Entry!$D792,FIND(":",Entry!$D792)-1))),2)&amp;":"&amp;RIGHT("00"&amp;VALUE(TRIM(MID(Entry!$D792,FIND(":",Entry!$D792)+1,2))),2),"نامعتبر")),IF(OR($E792="",$E792="نامعتبر"),"","00:00"))</f>
        <v/>
      </c>
      <c r="G792">
        <f>IF(OR($E792="",$E792="نامعتبر"),"",IF(Entry!$E792="","",LEFT(UPPER(TRIM(Entry!$E792)),6)))</f>
        <v/>
      </c>
      <c r="H792">
        <f>IF($G792="","",RIGHT($E792,4)&amp;MID($E792,6,2)&amp;RIGHT($E792,2)&amp;IF($F792="","0000",IF($F792="نامعتبر","9999",LEFT($F792,2)&amp;RIGHT($F792,2)))&amp;"|"&amp;RIGHT("00000"&amp;784,5))</f>
        <v/>
      </c>
      <c r="I792">
        <f>IF($H792="","",COUNTIFS(CalcBank,$G792,CalcKey,"&lt;"&amp;$H792)+1)</f>
        <v/>
      </c>
      <c r="J792">
        <f>IF($I792="","",$G792&amp;"|"&amp;RIGHT("000000"&amp;$I792,6))</f>
        <v/>
      </c>
      <c r="K792">
        <f>IF(OR($E792="",$E792="نامعتبر"),"",LEFT($E792,4)&amp;"/"&amp;MID($E792,6,2))</f>
        <v/>
      </c>
      <c r="L792">
        <f>IF(Entry!$K792="",0,Entry!$K792)</f>
        <v/>
      </c>
      <c r="M792">
        <f>IF(Entry!$L792="",0,Entry!$L792)</f>
        <v/>
      </c>
    </row>
    <row r="793">
      <c r="A793">
        <f>IF(Entry!$C793="","",Entry!$C793)</f>
        <v/>
      </c>
      <c r="B793">
        <f>IF($A793="","",IF(ISNUMBER($A793),IF(AND($A793&gt;=10000101,$A793&lt;=99991231),INT($A793/10000),""),IFERROR(VALUE(TRIM(LEFT($A793,FIND("/",$A793)-1))),"")))</f>
        <v/>
      </c>
      <c r="C793">
        <f>IF(OR($A793="",$B793=""),"",IF(ISNUMBER($A793),INT(MOD($A793,10000)/100),IFERROR(VALUE(TRIM(LEFT(MID($A793,FIND("/",$A793)+1,20),FIND("/",MID($A793,FIND("/",$A793)+1,20))-1))),"")))</f>
        <v/>
      </c>
      <c r="D793">
        <f>IF(OR($A793="",$B793=""),"",IF(ISNUMBER($A793),MOD($A793,100),IFERROR(VALUE(TRIM(MID(MID($A793,FIND("/",$A793)+1,20),FIND("/",MID($A793,FIND("/",$A793)+1,20))+1,20))),"")))</f>
        <v/>
      </c>
      <c r="E793">
        <f>IF($A793="","",IF(OR($B793="",$C793="",$D793="",$B793&lt;1300,$B793&gt;1500,$C793&lt;1,$C793&gt;12,$D793&lt;1,$D793&gt;31),"نامعتبر",RIGHT("0000"&amp;$B793,4)&amp;"/"&amp;RIGHT("00"&amp;$C793,2)&amp;"/"&amp;RIGHT("00"&amp;$D793,2)))</f>
        <v/>
      </c>
      <c r="F793">
        <f>IF(Entry!$D793&lt;&gt;"",IF(AND(ISNUMBER(Entry!$D793),Entry!$D793&gt;=0,Entry!$D793&lt;1),RIGHT("00"&amp;HOUR(Entry!$D793),2)&amp;":"&amp;RIGHT("00"&amp;MINUTE(Entry!$D793),2),IFERROR(RIGHT("00"&amp;VALUE(TRIM(LEFT(Entry!$D793,FIND(":",Entry!$D793)-1))),2)&amp;":"&amp;RIGHT("00"&amp;VALUE(TRIM(MID(Entry!$D793,FIND(":",Entry!$D793)+1,2))),2),"نامعتبر")),IF(OR($E793="",$E793="نامعتبر"),"","00:00"))</f>
        <v/>
      </c>
      <c r="G793">
        <f>IF(OR($E793="",$E793="نامعتبر"),"",IF(Entry!$E793="","",LEFT(UPPER(TRIM(Entry!$E793)),6)))</f>
        <v/>
      </c>
      <c r="H793">
        <f>IF($G793="","",RIGHT($E793,4)&amp;MID($E793,6,2)&amp;RIGHT($E793,2)&amp;IF($F793="","0000",IF($F793="نامعتبر","9999",LEFT($F793,2)&amp;RIGHT($F793,2)))&amp;"|"&amp;RIGHT("00000"&amp;785,5))</f>
        <v/>
      </c>
      <c r="I793">
        <f>IF($H793="","",COUNTIFS(CalcBank,$G793,CalcKey,"&lt;"&amp;$H793)+1)</f>
        <v/>
      </c>
      <c r="J793">
        <f>IF($I793="","",$G793&amp;"|"&amp;RIGHT("000000"&amp;$I793,6))</f>
        <v/>
      </c>
      <c r="K793">
        <f>IF(OR($E793="",$E793="نامعتبر"),"",LEFT($E793,4)&amp;"/"&amp;MID($E793,6,2))</f>
        <v/>
      </c>
      <c r="L793">
        <f>IF(Entry!$K793="",0,Entry!$K793)</f>
        <v/>
      </c>
      <c r="M793">
        <f>IF(Entry!$L793="",0,Entry!$L793)</f>
        <v/>
      </c>
    </row>
    <row r="794">
      <c r="A794">
        <f>IF(Entry!$C794="","",Entry!$C794)</f>
        <v/>
      </c>
      <c r="B794">
        <f>IF($A794="","",IF(ISNUMBER($A794),IF(AND($A794&gt;=10000101,$A794&lt;=99991231),INT($A794/10000),""),IFERROR(VALUE(TRIM(LEFT($A794,FIND("/",$A794)-1))),"")))</f>
        <v/>
      </c>
      <c r="C794">
        <f>IF(OR($A794="",$B794=""),"",IF(ISNUMBER($A794),INT(MOD($A794,10000)/100),IFERROR(VALUE(TRIM(LEFT(MID($A794,FIND("/",$A794)+1,20),FIND("/",MID($A794,FIND("/",$A794)+1,20))-1))),"")))</f>
        <v/>
      </c>
      <c r="D794">
        <f>IF(OR($A794="",$B794=""),"",IF(ISNUMBER($A794),MOD($A794,100),IFERROR(VALUE(TRIM(MID(MID($A794,FIND("/",$A794)+1,20),FIND("/",MID($A794,FIND("/",$A794)+1,20))+1,20))),"")))</f>
        <v/>
      </c>
      <c r="E794">
        <f>IF($A794="","",IF(OR($B794="",$C794="",$D794="",$B794&lt;1300,$B794&gt;1500,$C794&lt;1,$C794&gt;12,$D794&lt;1,$D794&gt;31),"نامعتبر",RIGHT("0000"&amp;$B794,4)&amp;"/"&amp;RIGHT("00"&amp;$C794,2)&amp;"/"&amp;RIGHT("00"&amp;$D794,2)))</f>
        <v/>
      </c>
      <c r="F794">
        <f>IF(Entry!$D794&lt;&gt;"",IF(AND(ISNUMBER(Entry!$D794),Entry!$D794&gt;=0,Entry!$D794&lt;1),RIGHT("00"&amp;HOUR(Entry!$D794),2)&amp;":"&amp;RIGHT("00"&amp;MINUTE(Entry!$D794),2),IFERROR(RIGHT("00"&amp;VALUE(TRIM(LEFT(Entry!$D794,FIND(":",Entry!$D794)-1))),2)&amp;":"&amp;RIGHT("00"&amp;VALUE(TRIM(MID(Entry!$D794,FIND(":",Entry!$D794)+1,2))),2),"نامعتبر")),IF(OR($E794="",$E794="نامعتبر"),"","00:00"))</f>
        <v/>
      </c>
      <c r="G794">
        <f>IF(OR($E794="",$E794="نامعتبر"),"",IF(Entry!$E794="","",LEFT(UPPER(TRIM(Entry!$E794)),6)))</f>
        <v/>
      </c>
      <c r="H794">
        <f>IF($G794="","",RIGHT($E794,4)&amp;MID($E794,6,2)&amp;RIGHT($E794,2)&amp;IF($F794="","0000",IF($F794="نامعتبر","9999",LEFT($F794,2)&amp;RIGHT($F794,2)))&amp;"|"&amp;RIGHT("00000"&amp;786,5))</f>
        <v/>
      </c>
      <c r="I794">
        <f>IF($H794="","",COUNTIFS(CalcBank,$G794,CalcKey,"&lt;"&amp;$H794)+1)</f>
        <v/>
      </c>
      <c r="J794">
        <f>IF($I794="","",$G794&amp;"|"&amp;RIGHT("000000"&amp;$I794,6))</f>
        <v/>
      </c>
      <c r="K794">
        <f>IF(OR($E794="",$E794="نامعتبر"),"",LEFT($E794,4)&amp;"/"&amp;MID($E794,6,2))</f>
        <v/>
      </c>
      <c r="L794">
        <f>IF(Entry!$K794="",0,Entry!$K794)</f>
        <v/>
      </c>
      <c r="M794">
        <f>IF(Entry!$L794="",0,Entry!$L794)</f>
        <v/>
      </c>
    </row>
    <row r="795">
      <c r="A795">
        <f>IF(Entry!$C795="","",Entry!$C795)</f>
        <v/>
      </c>
      <c r="B795">
        <f>IF($A795="","",IF(ISNUMBER($A795),IF(AND($A795&gt;=10000101,$A795&lt;=99991231),INT($A795/10000),""),IFERROR(VALUE(TRIM(LEFT($A795,FIND("/",$A795)-1))),"")))</f>
        <v/>
      </c>
      <c r="C795">
        <f>IF(OR($A795="",$B795=""),"",IF(ISNUMBER($A795),INT(MOD($A795,10000)/100),IFERROR(VALUE(TRIM(LEFT(MID($A795,FIND("/",$A795)+1,20),FIND("/",MID($A795,FIND("/",$A795)+1,20))-1))),"")))</f>
        <v/>
      </c>
      <c r="D795">
        <f>IF(OR($A795="",$B795=""),"",IF(ISNUMBER($A795),MOD($A795,100),IFERROR(VALUE(TRIM(MID(MID($A795,FIND("/",$A795)+1,20),FIND("/",MID($A795,FIND("/",$A795)+1,20))+1,20))),"")))</f>
        <v/>
      </c>
      <c r="E795">
        <f>IF($A795="","",IF(OR($B795="",$C795="",$D795="",$B795&lt;1300,$B795&gt;1500,$C795&lt;1,$C795&gt;12,$D795&lt;1,$D795&gt;31),"نامعتبر",RIGHT("0000"&amp;$B795,4)&amp;"/"&amp;RIGHT("00"&amp;$C795,2)&amp;"/"&amp;RIGHT("00"&amp;$D795,2)))</f>
        <v/>
      </c>
      <c r="F795">
        <f>IF(Entry!$D795&lt;&gt;"",IF(AND(ISNUMBER(Entry!$D795),Entry!$D795&gt;=0,Entry!$D795&lt;1),RIGHT("00"&amp;HOUR(Entry!$D795),2)&amp;":"&amp;RIGHT("00"&amp;MINUTE(Entry!$D795),2),IFERROR(RIGHT("00"&amp;VALUE(TRIM(LEFT(Entry!$D795,FIND(":",Entry!$D795)-1))),2)&amp;":"&amp;RIGHT("00"&amp;VALUE(TRIM(MID(Entry!$D795,FIND(":",Entry!$D795)+1,2))),2),"نامعتبر")),IF(OR($E795="",$E795="نامعتبر"),"","00:00"))</f>
        <v/>
      </c>
      <c r="G795">
        <f>IF(OR($E795="",$E795="نامعتبر"),"",IF(Entry!$E795="","",LEFT(UPPER(TRIM(Entry!$E795)),6)))</f>
        <v/>
      </c>
      <c r="H795">
        <f>IF($G795="","",RIGHT($E795,4)&amp;MID($E795,6,2)&amp;RIGHT($E795,2)&amp;IF($F795="","0000",IF($F795="نامعتبر","9999",LEFT($F795,2)&amp;RIGHT($F795,2)))&amp;"|"&amp;RIGHT("00000"&amp;787,5))</f>
        <v/>
      </c>
      <c r="I795">
        <f>IF($H795="","",COUNTIFS(CalcBank,$G795,CalcKey,"&lt;"&amp;$H795)+1)</f>
        <v/>
      </c>
      <c r="J795">
        <f>IF($I795="","",$G795&amp;"|"&amp;RIGHT("000000"&amp;$I795,6))</f>
        <v/>
      </c>
      <c r="K795">
        <f>IF(OR($E795="",$E795="نامعتبر"),"",LEFT($E795,4)&amp;"/"&amp;MID($E795,6,2))</f>
        <v/>
      </c>
      <c r="L795">
        <f>IF(Entry!$K795="",0,Entry!$K795)</f>
        <v/>
      </c>
      <c r="M795">
        <f>IF(Entry!$L795="",0,Entry!$L795)</f>
        <v/>
      </c>
    </row>
    <row r="796">
      <c r="A796">
        <f>IF(Entry!$C796="","",Entry!$C796)</f>
        <v/>
      </c>
      <c r="B796">
        <f>IF($A796="","",IF(ISNUMBER($A796),IF(AND($A796&gt;=10000101,$A796&lt;=99991231),INT($A796/10000),""),IFERROR(VALUE(TRIM(LEFT($A796,FIND("/",$A796)-1))),"")))</f>
        <v/>
      </c>
      <c r="C796">
        <f>IF(OR($A796="",$B796=""),"",IF(ISNUMBER($A796),INT(MOD($A796,10000)/100),IFERROR(VALUE(TRIM(LEFT(MID($A796,FIND("/",$A796)+1,20),FIND("/",MID($A796,FIND("/",$A796)+1,20))-1))),"")))</f>
        <v/>
      </c>
      <c r="D796">
        <f>IF(OR($A796="",$B796=""),"",IF(ISNUMBER($A796),MOD($A796,100),IFERROR(VALUE(TRIM(MID(MID($A796,FIND("/",$A796)+1,20),FIND("/",MID($A796,FIND("/",$A796)+1,20))+1,20))),"")))</f>
        <v/>
      </c>
      <c r="E796">
        <f>IF($A796="","",IF(OR($B796="",$C796="",$D796="",$B796&lt;1300,$B796&gt;1500,$C796&lt;1,$C796&gt;12,$D796&lt;1,$D796&gt;31),"نامعتبر",RIGHT("0000"&amp;$B796,4)&amp;"/"&amp;RIGHT("00"&amp;$C796,2)&amp;"/"&amp;RIGHT("00"&amp;$D796,2)))</f>
        <v/>
      </c>
      <c r="F796">
        <f>IF(Entry!$D796&lt;&gt;"",IF(AND(ISNUMBER(Entry!$D796),Entry!$D796&gt;=0,Entry!$D796&lt;1),RIGHT("00"&amp;HOUR(Entry!$D796),2)&amp;":"&amp;RIGHT("00"&amp;MINUTE(Entry!$D796),2),IFERROR(RIGHT("00"&amp;VALUE(TRIM(LEFT(Entry!$D796,FIND(":",Entry!$D796)-1))),2)&amp;":"&amp;RIGHT("00"&amp;VALUE(TRIM(MID(Entry!$D796,FIND(":",Entry!$D796)+1,2))),2),"نامعتبر")),IF(OR($E796="",$E796="نامعتبر"),"","00:00"))</f>
        <v/>
      </c>
      <c r="G796">
        <f>IF(OR($E796="",$E796="نامعتبر"),"",IF(Entry!$E796="","",LEFT(UPPER(TRIM(Entry!$E796)),6)))</f>
        <v/>
      </c>
      <c r="H796">
        <f>IF($G796="","",RIGHT($E796,4)&amp;MID($E796,6,2)&amp;RIGHT($E796,2)&amp;IF($F796="","0000",IF($F796="نامعتبر","9999",LEFT($F796,2)&amp;RIGHT($F796,2)))&amp;"|"&amp;RIGHT("00000"&amp;788,5))</f>
        <v/>
      </c>
      <c r="I796">
        <f>IF($H796="","",COUNTIFS(CalcBank,$G796,CalcKey,"&lt;"&amp;$H796)+1)</f>
        <v/>
      </c>
      <c r="J796">
        <f>IF($I796="","",$G796&amp;"|"&amp;RIGHT("000000"&amp;$I796,6))</f>
        <v/>
      </c>
      <c r="K796">
        <f>IF(OR($E796="",$E796="نامعتبر"),"",LEFT($E796,4)&amp;"/"&amp;MID($E796,6,2))</f>
        <v/>
      </c>
      <c r="L796">
        <f>IF(Entry!$K796="",0,Entry!$K796)</f>
        <v/>
      </c>
      <c r="M796">
        <f>IF(Entry!$L796="",0,Entry!$L796)</f>
        <v/>
      </c>
    </row>
    <row r="797">
      <c r="A797">
        <f>IF(Entry!$C797="","",Entry!$C797)</f>
        <v/>
      </c>
      <c r="B797">
        <f>IF($A797="","",IF(ISNUMBER($A797),IF(AND($A797&gt;=10000101,$A797&lt;=99991231),INT($A797/10000),""),IFERROR(VALUE(TRIM(LEFT($A797,FIND("/",$A797)-1))),"")))</f>
        <v/>
      </c>
      <c r="C797">
        <f>IF(OR($A797="",$B797=""),"",IF(ISNUMBER($A797),INT(MOD($A797,10000)/100),IFERROR(VALUE(TRIM(LEFT(MID($A797,FIND("/",$A797)+1,20),FIND("/",MID($A797,FIND("/",$A797)+1,20))-1))),"")))</f>
        <v/>
      </c>
      <c r="D797">
        <f>IF(OR($A797="",$B797=""),"",IF(ISNUMBER($A797),MOD($A797,100),IFERROR(VALUE(TRIM(MID(MID($A797,FIND("/",$A797)+1,20),FIND("/",MID($A797,FIND("/",$A797)+1,20))+1,20))),"")))</f>
        <v/>
      </c>
      <c r="E797">
        <f>IF($A797="","",IF(OR($B797="",$C797="",$D797="",$B797&lt;1300,$B797&gt;1500,$C797&lt;1,$C797&gt;12,$D797&lt;1,$D797&gt;31),"نامعتبر",RIGHT("0000"&amp;$B797,4)&amp;"/"&amp;RIGHT("00"&amp;$C797,2)&amp;"/"&amp;RIGHT("00"&amp;$D797,2)))</f>
        <v/>
      </c>
      <c r="F797">
        <f>IF(Entry!$D797&lt;&gt;"",IF(AND(ISNUMBER(Entry!$D797),Entry!$D797&gt;=0,Entry!$D797&lt;1),RIGHT("00"&amp;HOUR(Entry!$D797),2)&amp;":"&amp;RIGHT("00"&amp;MINUTE(Entry!$D797),2),IFERROR(RIGHT("00"&amp;VALUE(TRIM(LEFT(Entry!$D797,FIND(":",Entry!$D797)-1))),2)&amp;":"&amp;RIGHT("00"&amp;VALUE(TRIM(MID(Entry!$D797,FIND(":",Entry!$D797)+1,2))),2),"نامعتبر")),IF(OR($E797="",$E797="نامعتبر"),"","00:00"))</f>
        <v/>
      </c>
      <c r="G797">
        <f>IF(OR($E797="",$E797="نامعتبر"),"",IF(Entry!$E797="","",LEFT(UPPER(TRIM(Entry!$E797)),6)))</f>
        <v/>
      </c>
      <c r="H797">
        <f>IF($G797="","",RIGHT($E797,4)&amp;MID($E797,6,2)&amp;RIGHT($E797,2)&amp;IF($F797="","0000",IF($F797="نامعتبر","9999",LEFT($F797,2)&amp;RIGHT($F797,2)))&amp;"|"&amp;RIGHT("00000"&amp;789,5))</f>
        <v/>
      </c>
      <c r="I797">
        <f>IF($H797="","",COUNTIFS(CalcBank,$G797,CalcKey,"&lt;"&amp;$H797)+1)</f>
        <v/>
      </c>
      <c r="J797">
        <f>IF($I797="","",$G797&amp;"|"&amp;RIGHT("000000"&amp;$I797,6))</f>
        <v/>
      </c>
      <c r="K797">
        <f>IF(OR($E797="",$E797="نامعتبر"),"",LEFT($E797,4)&amp;"/"&amp;MID($E797,6,2))</f>
        <v/>
      </c>
      <c r="L797">
        <f>IF(Entry!$K797="",0,Entry!$K797)</f>
        <v/>
      </c>
      <c r="M797">
        <f>IF(Entry!$L797="",0,Entry!$L797)</f>
        <v/>
      </c>
    </row>
    <row r="798">
      <c r="A798">
        <f>IF(Entry!$C798="","",Entry!$C798)</f>
        <v/>
      </c>
      <c r="B798">
        <f>IF($A798="","",IF(ISNUMBER($A798),IF(AND($A798&gt;=10000101,$A798&lt;=99991231),INT($A798/10000),""),IFERROR(VALUE(TRIM(LEFT($A798,FIND("/",$A798)-1))),"")))</f>
        <v/>
      </c>
      <c r="C798">
        <f>IF(OR($A798="",$B798=""),"",IF(ISNUMBER($A798),INT(MOD($A798,10000)/100),IFERROR(VALUE(TRIM(LEFT(MID($A798,FIND("/",$A798)+1,20),FIND("/",MID($A798,FIND("/",$A798)+1,20))-1))),"")))</f>
        <v/>
      </c>
      <c r="D798">
        <f>IF(OR($A798="",$B798=""),"",IF(ISNUMBER($A798),MOD($A798,100),IFERROR(VALUE(TRIM(MID(MID($A798,FIND("/",$A798)+1,20),FIND("/",MID($A798,FIND("/",$A798)+1,20))+1,20))),"")))</f>
        <v/>
      </c>
      <c r="E798">
        <f>IF($A798="","",IF(OR($B798="",$C798="",$D798="",$B798&lt;1300,$B798&gt;1500,$C798&lt;1,$C798&gt;12,$D798&lt;1,$D798&gt;31),"نامعتبر",RIGHT("0000"&amp;$B798,4)&amp;"/"&amp;RIGHT("00"&amp;$C798,2)&amp;"/"&amp;RIGHT("00"&amp;$D798,2)))</f>
        <v/>
      </c>
      <c r="F798">
        <f>IF(Entry!$D798&lt;&gt;"",IF(AND(ISNUMBER(Entry!$D798),Entry!$D798&gt;=0,Entry!$D798&lt;1),RIGHT("00"&amp;HOUR(Entry!$D798),2)&amp;":"&amp;RIGHT("00"&amp;MINUTE(Entry!$D798),2),IFERROR(RIGHT("00"&amp;VALUE(TRIM(LEFT(Entry!$D798,FIND(":",Entry!$D798)-1))),2)&amp;":"&amp;RIGHT("00"&amp;VALUE(TRIM(MID(Entry!$D798,FIND(":",Entry!$D798)+1,2))),2),"نامعتبر")),IF(OR($E798="",$E798="نامعتبر"),"","00:00"))</f>
        <v/>
      </c>
      <c r="G798">
        <f>IF(OR($E798="",$E798="نامعتبر"),"",IF(Entry!$E798="","",LEFT(UPPER(TRIM(Entry!$E798)),6)))</f>
        <v/>
      </c>
      <c r="H798">
        <f>IF($G798="","",RIGHT($E798,4)&amp;MID($E798,6,2)&amp;RIGHT($E798,2)&amp;IF($F798="","0000",IF($F798="نامعتبر","9999",LEFT($F798,2)&amp;RIGHT($F798,2)))&amp;"|"&amp;RIGHT("00000"&amp;790,5))</f>
        <v/>
      </c>
      <c r="I798">
        <f>IF($H798="","",COUNTIFS(CalcBank,$G798,CalcKey,"&lt;"&amp;$H798)+1)</f>
        <v/>
      </c>
      <c r="J798">
        <f>IF($I798="","",$G798&amp;"|"&amp;RIGHT("000000"&amp;$I798,6))</f>
        <v/>
      </c>
      <c r="K798">
        <f>IF(OR($E798="",$E798="نامعتبر"),"",LEFT($E798,4)&amp;"/"&amp;MID($E798,6,2))</f>
        <v/>
      </c>
      <c r="L798">
        <f>IF(Entry!$K798="",0,Entry!$K798)</f>
        <v/>
      </c>
      <c r="M798">
        <f>IF(Entry!$L798="",0,Entry!$L798)</f>
        <v/>
      </c>
    </row>
    <row r="799">
      <c r="A799">
        <f>IF(Entry!$C799="","",Entry!$C799)</f>
        <v/>
      </c>
      <c r="B799">
        <f>IF($A799="","",IF(ISNUMBER($A799),IF(AND($A799&gt;=10000101,$A799&lt;=99991231),INT($A799/10000),""),IFERROR(VALUE(TRIM(LEFT($A799,FIND("/",$A799)-1))),"")))</f>
        <v/>
      </c>
      <c r="C799">
        <f>IF(OR($A799="",$B799=""),"",IF(ISNUMBER($A799),INT(MOD($A799,10000)/100),IFERROR(VALUE(TRIM(LEFT(MID($A799,FIND("/",$A799)+1,20),FIND("/",MID($A799,FIND("/",$A799)+1,20))-1))),"")))</f>
        <v/>
      </c>
      <c r="D799">
        <f>IF(OR($A799="",$B799=""),"",IF(ISNUMBER($A799),MOD($A799,100),IFERROR(VALUE(TRIM(MID(MID($A799,FIND("/",$A799)+1,20),FIND("/",MID($A799,FIND("/",$A799)+1,20))+1,20))),"")))</f>
        <v/>
      </c>
      <c r="E799">
        <f>IF($A799="","",IF(OR($B799="",$C799="",$D799="",$B799&lt;1300,$B799&gt;1500,$C799&lt;1,$C799&gt;12,$D799&lt;1,$D799&gt;31),"نامعتبر",RIGHT("0000"&amp;$B799,4)&amp;"/"&amp;RIGHT("00"&amp;$C799,2)&amp;"/"&amp;RIGHT("00"&amp;$D799,2)))</f>
        <v/>
      </c>
      <c r="F799">
        <f>IF(Entry!$D799&lt;&gt;"",IF(AND(ISNUMBER(Entry!$D799),Entry!$D799&gt;=0,Entry!$D799&lt;1),RIGHT("00"&amp;HOUR(Entry!$D799),2)&amp;":"&amp;RIGHT("00"&amp;MINUTE(Entry!$D799),2),IFERROR(RIGHT("00"&amp;VALUE(TRIM(LEFT(Entry!$D799,FIND(":",Entry!$D799)-1))),2)&amp;":"&amp;RIGHT("00"&amp;VALUE(TRIM(MID(Entry!$D799,FIND(":",Entry!$D799)+1,2))),2),"نامعتبر")),IF(OR($E799="",$E799="نامعتبر"),"","00:00"))</f>
        <v/>
      </c>
      <c r="G799">
        <f>IF(OR($E799="",$E799="نامعتبر"),"",IF(Entry!$E799="","",LEFT(UPPER(TRIM(Entry!$E799)),6)))</f>
        <v/>
      </c>
      <c r="H799">
        <f>IF($G799="","",RIGHT($E799,4)&amp;MID($E799,6,2)&amp;RIGHT($E799,2)&amp;IF($F799="","0000",IF($F799="نامعتبر","9999",LEFT($F799,2)&amp;RIGHT($F799,2)))&amp;"|"&amp;RIGHT("00000"&amp;791,5))</f>
        <v/>
      </c>
      <c r="I799">
        <f>IF($H799="","",COUNTIFS(CalcBank,$G799,CalcKey,"&lt;"&amp;$H799)+1)</f>
        <v/>
      </c>
      <c r="J799">
        <f>IF($I799="","",$G799&amp;"|"&amp;RIGHT("000000"&amp;$I799,6))</f>
        <v/>
      </c>
      <c r="K799">
        <f>IF(OR($E799="",$E799="نامعتبر"),"",LEFT($E799,4)&amp;"/"&amp;MID($E799,6,2))</f>
        <v/>
      </c>
      <c r="L799">
        <f>IF(Entry!$K799="",0,Entry!$K799)</f>
        <v/>
      </c>
      <c r="M799">
        <f>IF(Entry!$L799="",0,Entry!$L799)</f>
        <v/>
      </c>
    </row>
    <row r="800">
      <c r="A800">
        <f>IF(Entry!$C800="","",Entry!$C800)</f>
        <v/>
      </c>
      <c r="B800">
        <f>IF($A800="","",IF(ISNUMBER($A800),IF(AND($A800&gt;=10000101,$A800&lt;=99991231),INT($A800/10000),""),IFERROR(VALUE(TRIM(LEFT($A800,FIND("/",$A800)-1))),"")))</f>
        <v/>
      </c>
      <c r="C800">
        <f>IF(OR($A800="",$B800=""),"",IF(ISNUMBER($A800),INT(MOD($A800,10000)/100),IFERROR(VALUE(TRIM(LEFT(MID($A800,FIND("/",$A800)+1,20),FIND("/",MID($A800,FIND("/",$A800)+1,20))-1))),"")))</f>
        <v/>
      </c>
      <c r="D800">
        <f>IF(OR($A800="",$B800=""),"",IF(ISNUMBER($A800),MOD($A800,100),IFERROR(VALUE(TRIM(MID(MID($A800,FIND("/",$A800)+1,20),FIND("/",MID($A800,FIND("/",$A800)+1,20))+1,20))),"")))</f>
        <v/>
      </c>
      <c r="E800">
        <f>IF($A800="","",IF(OR($B800="",$C800="",$D800="",$B800&lt;1300,$B800&gt;1500,$C800&lt;1,$C800&gt;12,$D800&lt;1,$D800&gt;31),"نامعتبر",RIGHT("0000"&amp;$B800,4)&amp;"/"&amp;RIGHT("00"&amp;$C800,2)&amp;"/"&amp;RIGHT("00"&amp;$D800,2)))</f>
        <v/>
      </c>
      <c r="F800">
        <f>IF(Entry!$D800&lt;&gt;"",IF(AND(ISNUMBER(Entry!$D800),Entry!$D800&gt;=0,Entry!$D800&lt;1),RIGHT("00"&amp;HOUR(Entry!$D800),2)&amp;":"&amp;RIGHT("00"&amp;MINUTE(Entry!$D800),2),IFERROR(RIGHT("00"&amp;VALUE(TRIM(LEFT(Entry!$D800,FIND(":",Entry!$D800)-1))),2)&amp;":"&amp;RIGHT("00"&amp;VALUE(TRIM(MID(Entry!$D800,FIND(":",Entry!$D800)+1,2))),2),"نامعتبر")),IF(OR($E800="",$E800="نامعتبر"),"","00:00"))</f>
        <v/>
      </c>
      <c r="G800">
        <f>IF(OR($E800="",$E800="نامعتبر"),"",IF(Entry!$E800="","",LEFT(UPPER(TRIM(Entry!$E800)),6)))</f>
        <v/>
      </c>
      <c r="H800">
        <f>IF($G800="","",RIGHT($E800,4)&amp;MID($E800,6,2)&amp;RIGHT($E800,2)&amp;IF($F800="","0000",IF($F800="نامعتبر","9999",LEFT($F800,2)&amp;RIGHT($F800,2)))&amp;"|"&amp;RIGHT("00000"&amp;792,5))</f>
        <v/>
      </c>
      <c r="I800">
        <f>IF($H800="","",COUNTIFS(CalcBank,$G800,CalcKey,"&lt;"&amp;$H800)+1)</f>
        <v/>
      </c>
      <c r="J800">
        <f>IF($I800="","",$G800&amp;"|"&amp;RIGHT("000000"&amp;$I800,6))</f>
        <v/>
      </c>
      <c r="K800">
        <f>IF(OR($E800="",$E800="نامعتبر"),"",LEFT($E800,4)&amp;"/"&amp;MID($E800,6,2))</f>
        <v/>
      </c>
      <c r="L800">
        <f>IF(Entry!$K800="",0,Entry!$K800)</f>
        <v/>
      </c>
      <c r="M800">
        <f>IF(Entry!$L800="",0,Entry!$L800)</f>
        <v/>
      </c>
    </row>
    <row r="801">
      <c r="A801">
        <f>IF(Entry!$C801="","",Entry!$C801)</f>
        <v/>
      </c>
      <c r="B801">
        <f>IF($A801="","",IF(ISNUMBER($A801),IF(AND($A801&gt;=10000101,$A801&lt;=99991231),INT($A801/10000),""),IFERROR(VALUE(TRIM(LEFT($A801,FIND("/",$A801)-1))),"")))</f>
        <v/>
      </c>
      <c r="C801">
        <f>IF(OR($A801="",$B801=""),"",IF(ISNUMBER($A801),INT(MOD($A801,10000)/100),IFERROR(VALUE(TRIM(LEFT(MID($A801,FIND("/",$A801)+1,20),FIND("/",MID($A801,FIND("/",$A801)+1,20))-1))),"")))</f>
        <v/>
      </c>
      <c r="D801">
        <f>IF(OR($A801="",$B801=""),"",IF(ISNUMBER($A801),MOD($A801,100),IFERROR(VALUE(TRIM(MID(MID($A801,FIND("/",$A801)+1,20),FIND("/",MID($A801,FIND("/",$A801)+1,20))+1,20))),"")))</f>
        <v/>
      </c>
      <c r="E801">
        <f>IF($A801="","",IF(OR($B801="",$C801="",$D801="",$B801&lt;1300,$B801&gt;1500,$C801&lt;1,$C801&gt;12,$D801&lt;1,$D801&gt;31),"نامعتبر",RIGHT("0000"&amp;$B801,4)&amp;"/"&amp;RIGHT("00"&amp;$C801,2)&amp;"/"&amp;RIGHT("00"&amp;$D801,2)))</f>
        <v/>
      </c>
      <c r="F801">
        <f>IF(Entry!$D801&lt;&gt;"",IF(AND(ISNUMBER(Entry!$D801),Entry!$D801&gt;=0,Entry!$D801&lt;1),RIGHT("00"&amp;HOUR(Entry!$D801),2)&amp;":"&amp;RIGHT("00"&amp;MINUTE(Entry!$D801),2),IFERROR(RIGHT("00"&amp;VALUE(TRIM(LEFT(Entry!$D801,FIND(":",Entry!$D801)-1))),2)&amp;":"&amp;RIGHT("00"&amp;VALUE(TRIM(MID(Entry!$D801,FIND(":",Entry!$D801)+1,2))),2),"نامعتبر")),IF(OR($E801="",$E801="نامعتبر"),"","00:00"))</f>
        <v/>
      </c>
      <c r="G801">
        <f>IF(OR($E801="",$E801="نامعتبر"),"",IF(Entry!$E801="","",LEFT(UPPER(TRIM(Entry!$E801)),6)))</f>
        <v/>
      </c>
      <c r="H801">
        <f>IF($G801="","",RIGHT($E801,4)&amp;MID($E801,6,2)&amp;RIGHT($E801,2)&amp;IF($F801="","0000",IF($F801="نامعتبر","9999",LEFT($F801,2)&amp;RIGHT($F801,2)))&amp;"|"&amp;RIGHT("00000"&amp;793,5))</f>
        <v/>
      </c>
      <c r="I801">
        <f>IF($H801="","",COUNTIFS(CalcBank,$G801,CalcKey,"&lt;"&amp;$H801)+1)</f>
        <v/>
      </c>
      <c r="J801">
        <f>IF($I801="","",$G801&amp;"|"&amp;RIGHT("000000"&amp;$I801,6))</f>
        <v/>
      </c>
      <c r="K801">
        <f>IF(OR($E801="",$E801="نامعتبر"),"",LEFT($E801,4)&amp;"/"&amp;MID($E801,6,2))</f>
        <v/>
      </c>
      <c r="L801">
        <f>IF(Entry!$K801="",0,Entry!$K801)</f>
        <v/>
      </c>
      <c r="M801">
        <f>IF(Entry!$L801="",0,Entry!$L801)</f>
        <v/>
      </c>
    </row>
    <row r="802">
      <c r="A802">
        <f>IF(Entry!$C802="","",Entry!$C802)</f>
        <v/>
      </c>
      <c r="B802">
        <f>IF($A802="","",IF(ISNUMBER($A802),IF(AND($A802&gt;=10000101,$A802&lt;=99991231),INT($A802/10000),""),IFERROR(VALUE(TRIM(LEFT($A802,FIND("/",$A802)-1))),"")))</f>
        <v/>
      </c>
      <c r="C802">
        <f>IF(OR($A802="",$B802=""),"",IF(ISNUMBER($A802),INT(MOD($A802,10000)/100),IFERROR(VALUE(TRIM(LEFT(MID($A802,FIND("/",$A802)+1,20),FIND("/",MID($A802,FIND("/",$A802)+1,20))-1))),"")))</f>
        <v/>
      </c>
      <c r="D802">
        <f>IF(OR($A802="",$B802=""),"",IF(ISNUMBER($A802),MOD($A802,100),IFERROR(VALUE(TRIM(MID(MID($A802,FIND("/",$A802)+1,20),FIND("/",MID($A802,FIND("/",$A802)+1,20))+1,20))),"")))</f>
        <v/>
      </c>
      <c r="E802">
        <f>IF($A802="","",IF(OR($B802="",$C802="",$D802="",$B802&lt;1300,$B802&gt;1500,$C802&lt;1,$C802&gt;12,$D802&lt;1,$D802&gt;31),"نامعتبر",RIGHT("0000"&amp;$B802,4)&amp;"/"&amp;RIGHT("00"&amp;$C802,2)&amp;"/"&amp;RIGHT("00"&amp;$D802,2)))</f>
        <v/>
      </c>
      <c r="F802">
        <f>IF(Entry!$D802&lt;&gt;"",IF(AND(ISNUMBER(Entry!$D802),Entry!$D802&gt;=0,Entry!$D802&lt;1),RIGHT("00"&amp;HOUR(Entry!$D802),2)&amp;":"&amp;RIGHT("00"&amp;MINUTE(Entry!$D802),2),IFERROR(RIGHT("00"&amp;VALUE(TRIM(LEFT(Entry!$D802,FIND(":",Entry!$D802)-1))),2)&amp;":"&amp;RIGHT("00"&amp;VALUE(TRIM(MID(Entry!$D802,FIND(":",Entry!$D802)+1,2))),2),"نامعتبر")),IF(OR($E802="",$E802="نامعتبر"),"","00:00"))</f>
        <v/>
      </c>
      <c r="G802">
        <f>IF(OR($E802="",$E802="نامعتبر"),"",IF(Entry!$E802="","",LEFT(UPPER(TRIM(Entry!$E802)),6)))</f>
        <v/>
      </c>
      <c r="H802">
        <f>IF($G802="","",RIGHT($E802,4)&amp;MID($E802,6,2)&amp;RIGHT($E802,2)&amp;IF($F802="","0000",IF($F802="نامعتبر","9999",LEFT($F802,2)&amp;RIGHT($F802,2)))&amp;"|"&amp;RIGHT("00000"&amp;794,5))</f>
        <v/>
      </c>
      <c r="I802">
        <f>IF($H802="","",COUNTIFS(CalcBank,$G802,CalcKey,"&lt;"&amp;$H802)+1)</f>
        <v/>
      </c>
      <c r="J802">
        <f>IF($I802="","",$G802&amp;"|"&amp;RIGHT("000000"&amp;$I802,6))</f>
        <v/>
      </c>
      <c r="K802">
        <f>IF(OR($E802="",$E802="نامعتبر"),"",LEFT($E802,4)&amp;"/"&amp;MID($E802,6,2))</f>
        <v/>
      </c>
      <c r="L802">
        <f>IF(Entry!$K802="",0,Entry!$K802)</f>
        <v/>
      </c>
      <c r="M802">
        <f>IF(Entry!$L802="",0,Entry!$L802)</f>
        <v/>
      </c>
    </row>
    <row r="803">
      <c r="A803">
        <f>IF(Entry!$C803="","",Entry!$C803)</f>
        <v/>
      </c>
      <c r="B803">
        <f>IF($A803="","",IF(ISNUMBER($A803),IF(AND($A803&gt;=10000101,$A803&lt;=99991231),INT($A803/10000),""),IFERROR(VALUE(TRIM(LEFT($A803,FIND("/",$A803)-1))),"")))</f>
        <v/>
      </c>
      <c r="C803">
        <f>IF(OR($A803="",$B803=""),"",IF(ISNUMBER($A803),INT(MOD($A803,10000)/100),IFERROR(VALUE(TRIM(LEFT(MID($A803,FIND("/",$A803)+1,20),FIND("/",MID($A803,FIND("/",$A803)+1,20))-1))),"")))</f>
        <v/>
      </c>
      <c r="D803">
        <f>IF(OR($A803="",$B803=""),"",IF(ISNUMBER($A803),MOD($A803,100),IFERROR(VALUE(TRIM(MID(MID($A803,FIND("/",$A803)+1,20),FIND("/",MID($A803,FIND("/",$A803)+1,20))+1,20))),"")))</f>
        <v/>
      </c>
      <c r="E803">
        <f>IF($A803="","",IF(OR($B803="",$C803="",$D803="",$B803&lt;1300,$B803&gt;1500,$C803&lt;1,$C803&gt;12,$D803&lt;1,$D803&gt;31),"نامعتبر",RIGHT("0000"&amp;$B803,4)&amp;"/"&amp;RIGHT("00"&amp;$C803,2)&amp;"/"&amp;RIGHT("00"&amp;$D803,2)))</f>
        <v/>
      </c>
      <c r="F803">
        <f>IF(Entry!$D803&lt;&gt;"",IF(AND(ISNUMBER(Entry!$D803),Entry!$D803&gt;=0,Entry!$D803&lt;1),RIGHT("00"&amp;HOUR(Entry!$D803),2)&amp;":"&amp;RIGHT("00"&amp;MINUTE(Entry!$D803),2),IFERROR(RIGHT("00"&amp;VALUE(TRIM(LEFT(Entry!$D803,FIND(":",Entry!$D803)-1))),2)&amp;":"&amp;RIGHT("00"&amp;VALUE(TRIM(MID(Entry!$D803,FIND(":",Entry!$D803)+1,2))),2),"نامعتبر")),IF(OR($E803="",$E803="نامعتبر"),"","00:00"))</f>
        <v/>
      </c>
      <c r="G803">
        <f>IF(OR($E803="",$E803="نامعتبر"),"",IF(Entry!$E803="","",LEFT(UPPER(TRIM(Entry!$E803)),6)))</f>
        <v/>
      </c>
      <c r="H803">
        <f>IF($G803="","",RIGHT($E803,4)&amp;MID($E803,6,2)&amp;RIGHT($E803,2)&amp;IF($F803="","0000",IF($F803="نامعتبر","9999",LEFT($F803,2)&amp;RIGHT($F803,2)))&amp;"|"&amp;RIGHT("00000"&amp;795,5))</f>
        <v/>
      </c>
      <c r="I803">
        <f>IF($H803="","",COUNTIFS(CalcBank,$G803,CalcKey,"&lt;"&amp;$H803)+1)</f>
        <v/>
      </c>
      <c r="J803">
        <f>IF($I803="","",$G803&amp;"|"&amp;RIGHT("000000"&amp;$I803,6))</f>
        <v/>
      </c>
      <c r="K803">
        <f>IF(OR($E803="",$E803="نامعتبر"),"",LEFT($E803,4)&amp;"/"&amp;MID($E803,6,2))</f>
        <v/>
      </c>
      <c r="L803">
        <f>IF(Entry!$K803="",0,Entry!$K803)</f>
        <v/>
      </c>
      <c r="M803">
        <f>IF(Entry!$L803="",0,Entry!$L803)</f>
        <v/>
      </c>
    </row>
    <row r="804">
      <c r="A804">
        <f>IF(Entry!$C804="","",Entry!$C804)</f>
        <v/>
      </c>
      <c r="B804">
        <f>IF($A804="","",IF(ISNUMBER($A804),IF(AND($A804&gt;=10000101,$A804&lt;=99991231),INT($A804/10000),""),IFERROR(VALUE(TRIM(LEFT($A804,FIND("/",$A804)-1))),"")))</f>
        <v/>
      </c>
      <c r="C804">
        <f>IF(OR($A804="",$B804=""),"",IF(ISNUMBER($A804),INT(MOD($A804,10000)/100),IFERROR(VALUE(TRIM(LEFT(MID($A804,FIND("/",$A804)+1,20),FIND("/",MID($A804,FIND("/",$A804)+1,20))-1))),"")))</f>
        <v/>
      </c>
      <c r="D804">
        <f>IF(OR($A804="",$B804=""),"",IF(ISNUMBER($A804),MOD($A804,100),IFERROR(VALUE(TRIM(MID(MID($A804,FIND("/",$A804)+1,20),FIND("/",MID($A804,FIND("/",$A804)+1,20))+1,20))),"")))</f>
        <v/>
      </c>
      <c r="E804">
        <f>IF($A804="","",IF(OR($B804="",$C804="",$D804="",$B804&lt;1300,$B804&gt;1500,$C804&lt;1,$C804&gt;12,$D804&lt;1,$D804&gt;31),"نامعتبر",RIGHT("0000"&amp;$B804,4)&amp;"/"&amp;RIGHT("00"&amp;$C804,2)&amp;"/"&amp;RIGHT("00"&amp;$D804,2)))</f>
        <v/>
      </c>
      <c r="F804">
        <f>IF(Entry!$D804&lt;&gt;"",IF(AND(ISNUMBER(Entry!$D804),Entry!$D804&gt;=0,Entry!$D804&lt;1),RIGHT("00"&amp;HOUR(Entry!$D804),2)&amp;":"&amp;RIGHT("00"&amp;MINUTE(Entry!$D804),2),IFERROR(RIGHT("00"&amp;VALUE(TRIM(LEFT(Entry!$D804,FIND(":",Entry!$D804)-1))),2)&amp;":"&amp;RIGHT("00"&amp;VALUE(TRIM(MID(Entry!$D804,FIND(":",Entry!$D804)+1,2))),2),"نامعتبر")),IF(OR($E804="",$E804="نامعتبر"),"","00:00"))</f>
        <v/>
      </c>
      <c r="G804">
        <f>IF(OR($E804="",$E804="نامعتبر"),"",IF(Entry!$E804="","",LEFT(UPPER(TRIM(Entry!$E804)),6)))</f>
        <v/>
      </c>
      <c r="H804">
        <f>IF($G804="","",RIGHT($E804,4)&amp;MID($E804,6,2)&amp;RIGHT($E804,2)&amp;IF($F804="","0000",IF($F804="نامعتبر","9999",LEFT($F804,2)&amp;RIGHT($F804,2)))&amp;"|"&amp;RIGHT("00000"&amp;796,5))</f>
        <v/>
      </c>
      <c r="I804">
        <f>IF($H804="","",COUNTIFS(CalcBank,$G804,CalcKey,"&lt;"&amp;$H804)+1)</f>
        <v/>
      </c>
      <c r="J804">
        <f>IF($I804="","",$G804&amp;"|"&amp;RIGHT("000000"&amp;$I804,6))</f>
        <v/>
      </c>
      <c r="K804">
        <f>IF(OR($E804="",$E804="نامعتبر"),"",LEFT($E804,4)&amp;"/"&amp;MID($E804,6,2))</f>
        <v/>
      </c>
      <c r="L804">
        <f>IF(Entry!$K804="",0,Entry!$K804)</f>
        <v/>
      </c>
      <c r="M804">
        <f>IF(Entry!$L804="",0,Entry!$L804)</f>
        <v/>
      </c>
    </row>
    <row r="805">
      <c r="A805">
        <f>IF(Entry!$C805="","",Entry!$C805)</f>
        <v/>
      </c>
      <c r="B805">
        <f>IF($A805="","",IF(ISNUMBER($A805),IF(AND($A805&gt;=10000101,$A805&lt;=99991231),INT($A805/10000),""),IFERROR(VALUE(TRIM(LEFT($A805,FIND("/",$A805)-1))),"")))</f>
        <v/>
      </c>
      <c r="C805">
        <f>IF(OR($A805="",$B805=""),"",IF(ISNUMBER($A805),INT(MOD($A805,10000)/100),IFERROR(VALUE(TRIM(LEFT(MID($A805,FIND("/",$A805)+1,20),FIND("/",MID($A805,FIND("/",$A805)+1,20))-1))),"")))</f>
        <v/>
      </c>
      <c r="D805">
        <f>IF(OR($A805="",$B805=""),"",IF(ISNUMBER($A805),MOD($A805,100),IFERROR(VALUE(TRIM(MID(MID($A805,FIND("/",$A805)+1,20),FIND("/",MID($A805,FIND("/",$A805)+1,20))+1,20))),"")))</f>
        <v/>
      </c>
      <c r="E805">
        <f>IF($A805="","",IF(OR($B805="",$C805="",$D805="",$B805&lt;1300,$B805&gt;1500,$C805&lt;1,$C805&gt;12,$D805&lt;1,$D805&gt;31),"نامعتبر",RIGHT("0000"&amp;$B805,4)&amp;"/"&amp;RIGHT("00"&amp;$C805,2)&amp;"/"&amp;RIGHT("00"&amp;$D805,2)))</f>
        <v/>
      </c>
      <c r="F805">
        <f>IF(Entry!$D805&lt;&gt;"",IF(AND(ISNUMBER(Entry!$D805),Entry!$D805&gt;=0,Entry!$D805&lt;1),RIGHT("00"&amp;HOUR(Entry!$D805),2)&amp;":"&amp;RIGHT("00"&amp;MINUTE(Entry!$D805),2),IFERROR(RIGHT("00"&amp;VALUE(TRIM(LEFT(Entry!$D805,FIND(":",Entry!$D805)-1))),2)&amp;":"&amp;RIGHT("00"&amp;VALUE(TRIM(MID(Entry!$D805,FIND(":",Entry!$D805)+1,2))),2),"نامعتبر")),IF(OR($E805="",$E805="نامعتبر"),"","00:00"))</f>
        <v/>
      </c>
      <c r="G805">
        <f>IF(OR($E805="",$E805="نامعتبر"),"",IF(Entry!$E805="","",LEFT(UPPER(TRIM(Entry!$E805)),6)))</f>
        <v/>
      </c>
      <c r="H805">
        <f>IF($G805="","",RIGHT($E805,4)&amp;MID($E805,6,2)&amp;RIGHT($E805,2)&amp;IF($F805="","0000",IF($F805="نامعتبر","9999",LEFT($F805,2)&amp;RIGHT($F805,2)))&amp;"|"&amp;RIGHT("00000"&amp;797,5))</f>
        <v/>
      </c>
      <c r="I805">
        <f>IF($H805="","",COUNTIFS(CalcBank,$G805,CalcKey,"&lt;"&amp;$H805)+1)</f>
        <v/>
      </c>
      <c r="J805">
        <f>IF($I805="","",$G805&amp;"|"&amp;RIGHT("000000"&amp;$I805,6))</f>
        <v/>
      </c>
      <c r="K805">
        <f>IF(OR($E805="",$E805="نامعتبر"),"",LEFT($E805,4)&amp;"/"&amp;MID($E805,6,2))</f>
        <v/>
      </c>
      <c r="L805">
        <f>IF(Entry!$K805="",0,Entry!$K805)</f>
        <v/>
      </c>
      <c r="M805">
        <f>IF(Entry!$L805="",0,Entry!$L805)</f>
        <v/>
      </c>
    </row>
    <row r="806">
      <c r="A806">
        <f>IF(Entry!$C806="","",Entry!$C806)</f>
        <v/>
      </c>
      <c r="B806">
        <f>IF($A806="","",IF(ISNUMBER($A806),IF(AND($A806&gt;=10000101,$A806&lt;=99991231),INT($A806/10000),""),IFERROR(VALUE(TRIM(LEFT($A806,FIND("/",$A806)-1))),"")))</f>
        <v/>
      </c>
      <c r="C806">
        <f>IF(OR($A806="",$B806=""),"",IF(ISNUMBER($A806),INT(MOD($A806,10000)/100),IFERROR(VALUE(TRIM(LEFT(MID($A806,FIND("/",$A806)+1,20),FIND("/",MID($A806,FIND("/",$A806)+1,20))-1))),"")))</f>
        <v/>
      </c>
      <c r="D806">
        <f>IF(OR($A806="",$B806=""),"",IF(ISNUMBER($A806),MOD($A806,100),IFERROR(VALUE(TRIM(MID(MID($A806,FIND("/",$A806)+1,20),FIND("/",MID($A806,FIND("/",$A806)+1,20))+1,20))),"")))</f>
        <v/>
      </c>
      <c r="E806">
        <f>IF($A806="","",IF(OR($B806="",$C806="",$D806="",$B806&lt;1300,$B806&gt;1500,$C806&lt;1,$C806&gt;12,$D806&lt;1,$D806&gt;31),"نامعتبر",RIGHT("0000"&amp;$B806,4)&amp;"/"&amp;RIGHT("00"&amp;$C806,2)&amp;"/"&amp;RIGHT("00"&amp;$D806,2)))</f>
        <v/>
      </c>
      <c r="F806">
        <f>IF(Entry!$D806&lt;&gt;"",IF(AND(ISNUMBER(Entry!$D806),Entry!$D806&gt;=0,Entry!$D806&lt;1),RIGHT("00"&amp;HOUR(Entry!$D806),2)&amp;":"&amp;RIGHT("00"&amp;MINUTE(Entry!$D806),2),IFERROR(RIGHT("00"&amp;VALUE(TRIM(LEFT(Entry!$D806,FIND(":",Entry!$D806)-1))),2)&amp;":"&amp;RIGHT("00"&amp;VALUE(TRIM(MID(Entry!$D806,FIND(":",Entry!$D806)+1,2))),2),"نامعتبر")),IF(OR($E806="",$E806="نامعتبر"),"","00:00"))</f>
        <v/>
      </c>
      <c r="G806">
        <f>IF(OR($E806="",$E806="نامعتبر"),"",IF(Entry!$E806="","",LEFT(UPPER(TRIM(Entry!$E806)),6)))</f>
        <v/>
      </c>
      <c r="H806">
        <f>IF($G806="","",RIGHT($E806,4)&amp;MID($E806,6,2)&amp;RIGHT($E806,2)&amp;IF($F806="","0000",IF($F806="نامعتبر","9999",LEFT($F806,2)&amp;RIGHT($F806,2)))&amp;"|"&amp;RIGHT("00000"&amp;798,5))</f>
        <v/>
      </c>
      <c r="I806">
        <f>IF($H806="","",COUNTIFS(CalcBank,$G806,CalcKey,"&lt;"&amp;$H806)+1)</f>
        <v/>
      </c>
      <c r="J806">
        <f>IF($I806="","",$G806&amp;"|"&amp;RIGHT("000000"&amp;$I806,6))</f>
        <v/>
      </c>
      <c r="K806">
        <f>IF(OR($E806="",$E806="نامعتبر"),"",LEFT($E806,4)&amp;"/"&amp;MID($E806,6,2))</f>
        <v/>
      </c>
      <c r="L806">
        <f>IF(Entry!$K806="",0,Entry!$K806)</f>
        <v/>
      </c>
      <c r="M806">
        <f>IF(Entry!$L806="",0,Entry!$L806)</f>
        <v/>
      </c>
    </row>
    <row r="807">
      <c r="A807">
        <f>IF(Entry!$C807="","",Entry!$C807)</f>
        <v/>
      </c>
      <c r="B807">
        <f>IF($A807="","",IF(ISNUMBER($A807),IF(AND($A807&gt;=10000101,$A807&lt;=99991231),INT($A807/10000),""),IFERROR(VALUE(TRIM(LEFT($A807,FIND("/",$A807)-1))),"")))</f>
        <v/>
      </c>
      <c r="C807">
        <f>IF(OR($A807="",$B807=""),"",IF(ISNUMBER($A807),INT(MOD($A807,10000)/100),IFERROR(VALUE(TRIM(LEFT(MID($A807,FIND("/",$A807)+1,20),FIND("/",MID($A807,FIND("/",$A807)+1,20))-1))),"")))</f>
        <v/>
      </c>
      <c r="D807">
        <f>IF(OR($A807="",$B807=""),"",IF(ISNUMBER($A807),MOD($A807,100),IFERROR(VALUE(TRIM(MID(MID($A807,FIND("/",$A807)+1,20),FIND("/",MID($A807,FIND("/",$A807)+1,20))+1,20))),"")))</f>
        <v/>
      </c>
      <c r="E807">
        <f>IF($A807="","",IF(OR($B807="",$C807="",$D807="",$B807&lt;1300,$B807&gt;1500,$C807&lt;1,$C807&gt;12,$D807&lt;1,$D807&gt;31),"نامعتبر",RIGHT("0000"&amp;$B807,4)&amp;"/"&amp;RIGHT("00"&amp;$C807,2)&amp;"/"&amp;RIGHT("00"&amp;$D807,2)))</f>
        <v/>
      </c>
      <c r="F807">
        <f>IF(Entry!$D807&lt;&gt;"",IF(AND(ISNUMBER(Entry!$D807),Entry!$D807&gt;=0,Entry!$D807&lt;1),RIGHT("00"&amp;HOUR(Entry!$D807),2)&amp;":"&amp;RIGHT("00"&amp;MINUTE(Entry!$D807),2),IFERROR(RIGHT("00"&amp;VALUE(TRIM(LEFT(Entry!$D807,FIND(":",Entry!$D807)-1))),2)&amp;":"&amp;RIGHT("00"&amp;VALUE(TRIM(MID(Entry!$D807,FIND(":",Entry!$D807)+1,2))),2),"نامعتبر")),IF(OR($E807="",$E807="نامعتبر"),"","00:00"))</f>
        <v/>
      </c>
      <c r="G807">
        <f>IF(OR($E807="",$E807="نامعتبر"),"",IF(Entry!$E807="","",LEFT(UPPER(TRIM(Entry!$E807)),6)))</f>
        <v/>
      </c>
      <c r="H807">
        <f>IF($G807="","",RIGHT($E807,4)&amp;MID($E807,6,2)&amp;RIGHT($E807,2)&amp;IF($F807="","0000",IF($F807="نامعتبر","9999",LEFT($F807,2)&amp;RIGHT($F807,2)))&amp;"|"&amp;RIGHT("00000"&amp;799,5))</f>
        <v/>
      </c>
      <c r="I807">
        <f>IF($H807="","",COUNTIFS(CalcBank,$G807,CalcKey,"&lt;"&amp;$H807)+1)</f>
        <v/>
      </c>
      <c r="J807">
        <f>IF($I807="","",$G807&amp;"|"&amp;RIGHT("000000"&amp;$I807,6))</f>
        <v/>
      </c>
      <c r="K807">
        <f>IF(OR($E807="",$E807="نامعتبر"),"",LEFT($E807,4)&amp;"/"&amp;MID($E807,6,2))</f>
        <v/>
      </c>
      <c r="L807">
        <f>IF(Entry!$K807="",0,Entry!$K807)</f>
        <v/>
      </c>
      <c r="M807">
        <f>IF(Entry!$L807="",0,Entry!$L807)</f>
        <v/>
      </c>
    </row>
    <row r="808">
      <c r="A808">
        <f>IF(Entry!$C808="","",Entry!$C808)</f>
        <v/>
      </c>
      <c r="B808">
        <f>IF($A808="","",IF(ISNUMBER($A808),IF(AND($A808&gt;=10000101,$A808&lt;=99991231),INT($A808/10000),""),IFERROR(VALUE(TRIM(LEFT($A808,FIND("/",$A808)-1))),"")))</f>
        <v/>
      </c>
      <c r="C808">
        <f>IF(OR($A808="",$B808=""),"",IF(ISNUMBER($A808),INT(MOD($A808,10000)/100),IFERROR(VALUE(TRIM(LEFT(MID($A808,FIND("/",$A808)+1,20),FIND("/",MID($A808,FIND("/",$A808)+1,20))-1))),"")))</f>
        <v/>
      </c>
      <c r="D808">
        <f>IF(OR($A808="",$B808=""),"",IF(ISNUMBER($A808),MOD($A808,100),IFERROR(VALUE(TRIM(MID(MID($A808,FIND("/",$A808)+1,20),FIND("/",MID($A808,FIND("/",$A808)+1,20))+1,20))),"")))</f>
        <v/>
      </c>
      <c r="E808">
        <f>IF($A808="","",IF(OR($B808="",$C808="",$D808="",$B808&lt;1300,$B808&gt;1500,$C808&lt;1,$C808&gt;12,$D808&lt;1,$D808&gt;31),"نامعتبر",RIGHT("0000"&amp;$B808,4)&amp;"/"&amp;RIGHT("00"&amp;$C808,2)&amp;"/"&amp;RIGHT("00"&amp;$D808,2)))</f>
        <v/>
      </c>
      <c r="F808">
        <f>IF(Entry!$D808&lt;&gt;"",IF(AND(ISNUMBER(Entry!$D808),Entry!$D808&gt;=0,Entry!$D808&lt;1),RIGHT("00"&amp;HOUR(Entry!$D808),2)&amp;":"&amp;RIGHT("00"&amp;MINUTE(Entry!$D808),2),IFERROR(RIGHT("00"&amp;VALUE(TRIM(LEFT(Entry!$D808,FIND(":",Entry!$D808)-1))),2)&amp;":"&amp;RIGHT("00"&amp;VALUE(TRIM(MID(Entry!$D808,FIND(":",Entry!$D808)+1,2))),2),"نامعتبر")),IF(OR($E808="",$E808="نامعتبر"),"","00:00"))</f>
        <v/>
      </c>
      <c r="G808">
        <f>IF(OR($E808="",$E808="نامعتبر"),"",IF(Entry!$E808="","",LEFT(UPPER(TRIM(Entry!$E808)),6)))</f>
        <v/>
      </c>
      <c r="H808">
        <f>IF($G808="","",RIGHT($E808,4)&amp;MID($E808,6,2)&amp;RIGHT($E808,2)&amp;IF($F808="","0000",IF($F808="نامعتبر","9999",LEFT($F808,2)&amp;RIGHT($F808,2)))&amp;"|"&amp;RIGHT("00000"&amp;800,5))</f>
        <v/>
      </c>
      <c r="I808">
        <f>IF($H808="","",COUNTIFS(CalcBank,$G808,CalcKey,"&lt;"&amp;$H808)+1)</f>
        <v/>
      </c>
      <c r="J808">
        <f>IF($I808="","",$G808&amp;"|"&amp;RIGHT("000000"&amp;$I808,6))</f>
        <v/>
      </c>
      <c r="K808">
        <f>IF(OR($E808="",$E808="نامعتبر"),"",LEFT($E808,4)&amp;"/"&amp;MID($E808,6,2))</f>
        <v/>
      </c>
      <c r="L808">
        <f>IF(Entry!$K808="",0,Entry!$K808)</f>
        <v/>
      </c>
      <c r="M808">
        <f>IF(Entry!$L808="",0,Entry!$L808)</f>
        <v/>
      </c>
    </row>
    <row r="809">
      <c r="A809">
        <f>IF(Entry!$C809="","",Entry!$C809)</f>
        <v/>
      </c>
      <c r="B809">
        <f>IF($A809="","",IF(ISNUMBER($A809),IF(AND($A809&gt;=10000101,$A809&lt;=99991231),INT($A809/10000),""),IFERROR(VALUE(TRIM(LEFT($A809,FIND("/",$A809)-1))),"")))</f>
        <v/>
      </c>
      <c r="C809">
        <f>IF(OR($A809="",$B809=""),"",IF(ISNUMBER($A809),INT(MOD($A809,10000)/100),IFERROR(VALUE(TRIM(LEFT(MID($A809,FIND("/",$A809)+1,20),FIND("/",MID($A809,FIND("/",$A809)+1,20))-1))),"")))</f>
        <v/>
      </c>
      <c r="D809">
        <f>IF(OR($A809="",$B809=""),"",IF(ISNUMBER($A809),MOD($A809,100),IFERROR(VALUE(TRIM(MID(MID($A809,FIND("/",$A809)+1,20),FIND("/",MID($A809,FIND("/",$A809)+1,20))+1,20))),"")))</f>
        <v/>
      </c>
      <c r="E809">
        <f>IF($A809="","",IF(OR($B809="",$C809="",$D809="",$B809&lt;1300,$B809&gt;1500,$C809&lt;1,$C809&gt;12,$D809&lt;1,$D809&gt;31),"نامعتبر",RIGHT("0000"&amp;$B809,4)&amp;"/"&amp;RIGHT("00"&amp;$C809,2)&amp;"/"&amp;RIGHT("00"&amp;$D809,2)))</f>
        <v/>
      </c>
      <c r="F809">
        <f>IF(Entry!$D809&lt;&gt;"",IF(AND(ISNUMBER(Entry!$D809),Entry!$D809&gt;=0,Entry!$D809&lt;1),RIGHT("00"&amp;HOUR(Entry!$D809),2)&amp;":"&amp;RIGHT("00"&amp;MINUTE(Entry!$D809),2),IFERROR(RIGHT("00"&amp;VALUE(TRIM(LEFT(Entry!$D809,FIND(":",Entry!$D809)-1))),2)&amp;":"&amp;RIGHT("00"&amp;VALUE(TRIM(MID(Entry!$D809,FIND(":",Entry!$D809)+1,2))),2),"نامعتبر")),IF(OR($E809="",$E809="نامعتبر"),"","00:00"))</f>
        <v/>
      </c>
      <c r="G809">
        <f>IF(OR($E809="",$E809="نامعتبر"),"",IF(Entry!$E809="","",LEFT(UPPER(TRIM(Entry!$E809)),6)))</f>
        <v/>
      </c>
      <c r="H809">
        <f>IF($G809="","",RIGHT($E809,4)&amp;MID($E809,6,2)&amp;RIGHT($E809,2)&amp;IF($F809="","0000",IF($F809="نامعتبر","9999",LEFT($F809,2)&amp;RIGHT($F809,2)))&amp;"|"&amp;RIGHT("00000"&amp;801,5))</f>
        <v/>
      </c>
      <c r="I809">
        <f>IF($H809="","",COUNTIFS(CalcBank,$G809,CalcKey,"&lt;"&amp;$H809)+1)</f>
        <v/>
      </c>
      <c r="J809">
        <f>IF($I809="","",$G809&amp;"|"&amp;RIGHT("000000"&amp;$I809,6))</f>
        <v/>
      </c>
      <c r="K809">
        <f>IF(OR($E809="",$E809="نامعتبر"),"",LEFT($E809,4)&amp;"/"&amp;MID($E809,6,2))</f>
        <v/>
      </c>
      <c r="L809">
        <f>IF(Entry!$K809="",0,Entry!$K809)</f>
        <v/>
      </c>
      <c r="M809">
        <f>IF(Entry!$L809="",0,Entry!$L809)</f>
        <v/>
      </c>
    </row>
    <row r="810">
      <c r="A810">
        <f>IF(Entry!$C810="","",Entry!$C810)</f>
        <v/>
      </c>
      <c r="B810">
        <f>IF($A810="","",IF(ISNUMBER($A810),IF(AND($A810&gt;=10000101,$A810&lt;=99991231),INT($A810/10000),""),IFERROR(VALUE(TRIM(LEFT($A810,FIND("/",$A810)-1))),"")))</f>
        <v/>
      </c>
      <c r="C810">
        <f>IF(OR($A810="",$B810=""),"",IF(ISNUMBER($A810),INT(MOD($A810,10000)/100),IFERROR(VALUE(TRIM(LEFT(MID($A810,FIND("/",$A810)+1,20),FIND("/",MID($A810,FIND("/",$A810)+1,20))-1))),"")))</f>
        <v/>
      </c>
      <c r="D810">
        <f>IF(OR($A810="",$B810=""),"",IF(ISNUMBER($A810),MOD($A810,100),IFERROR(VALUE(TRIM(MID(MID($A810,FIND("/",$A810)+1,20),FIND("/",MID($A810,FIND("/",$A810)+1,20))+1,20))),"")))</f>
        <v/>
      </c>
      <c r="E810">
        <f>IF($A810="","",IF(OR($B810="",$C810="",$D810="",$B810&lt;1300,$B810&gt;1500,$C810&lt;1,$C810&gt;12,$D810&lt;1,$D810&gt;31),"نامعتبر",RIGHT("0000"&amp;$B810,4)&amp;"/"&amp;RIGHT("00"&amp;$C810,2)&amp;"/"&amp;RIGHT("00"&amp;$D810,2)))</f>
        <v/>
      </c>
      <c r="F810">
        <f>IF(Entry!$D810&lt;&gt;"",IF(AND(ISNUMBER(Entry!$D810),Entry!$D810&gt;=0,Entry!$D810&lt;1),RIGHT("00"&amp;HOUR(Entry!$D810),2)&amp;":"&amp;RIGHT("00"&amp;MINUTE(Entry!$D810),2),IFERROR(RIGHT("00"&amp;VALUE(TRIM(LEFT(Entry!$D810,FIND(":",Entry!$D810)-1))),2)&amp;":"&amp;RIGHT("00"&amp;VALUE(TRIM(MID(Entry!$D810,FIND(":",Entry!$D810)+1,2))),2),"نامعتبر")),IF(OR($E810="",$E810="نامعتبر"),"","00:00"))</f>
        <v/>
      </c>
      <c r="G810">
        <f>IF(OR($E810="",$E810="نامعتبر"),"",IF(Entry!$E810="","",LEFT(UPPER(TRIM(Entry!$E810)),6)))</f>
        <v/>
      </c>
      <c r="H810">
        <f>IF($G810="","",RIGHT($E810,4)&amp;MID($E810,6,2)&amp;RIGHT($E810,2)&amp;IF($F810="","0000",IF($F810="نامعتبر","9999",LEFT($F810,2)&amp;RIGHT($F810,2)))&amp;"|"&amp;RIGHT("00000"&amp;802,5))</f>
        <v/>
      </c>
      <c r="I810">
        <f>IF($H810="","",COUNTIFS(CalcBank,$G810,CalcKey,"&lt;"&amp;$H810)+1)</f>
        <v/>
      </c>
      <c r="J810">
        <f>IF($I810="","",$G810&amp;"|"&amp;RIGHT("000000"&amp;$I810,6))</f>
        <v/>
      </c>
      <c r="K810">
        <f>IF(OR($E810="",$E810="نامعتبر"),"",LEFT($E810,4)&amp;"/"&amp;MID($E810,6,2))</f>
        <v/>
      </c>
      <c r="L810">
        <f>IF(Entry!$K810="",0,Entry!$K810)</f>
        <v/>
      </c>
      <c r="M810">
        <f>IF(Entry!$L810="",0,Entry!$L810)</f>
        <v/>
      </c>
    </row>
    <row r="811">
      <c r="A811">
        <f>IF(Entry!$C811="","",Entry!$C811)</f>
        <v/>
      </c>
      <c r="B811">
        <f>IF($A811="","",IF(ISNUMBER($A811),IF(AND($A811&gt;=10000101,$A811&lt;=99991231),INT($A811/10000),""),IFERROR(VALUE(TRIM(LEFT($A811,FIND("/",$A811)-1))),"")))</f>
        <v/>
      </c>
      <c r="C811">
        <f>IF(OR($A811="",$B811=""),"",IF(ISNUMBER($A811),INT(MOD($A811,10000)/100),IFERROR(VALUE(TRIM(LEFT(MID($A811,FIND("/",$A811)+1,20),FIND("/",MID($A811,FIND("/",$A811)+1,20))-1))),"")))</f>
        <v/>
      </c>
      <c r="D811">
        <f>IF(OR($A811="",$B811=""),"",IF(ISNUMBER($A811),MOD($A811,100),IFERROR(VALUE(TRIM(MID(MID($A811,FIND("/",$A811)+1,20),FIND("/",MID($A811,FIND("/",$A811)+1,20))+1,20))),"")))</f>
        <v/>
      </c>
      <c r="E811">
        <f>IF($A811="","",IF(OR($B811="",$C811="",$D811="",$B811&lt;1300,$B811&gt;1500,$C811&lt;1,$C811&gt;12,$D811&lt;1,$D811&gt;31),"نامعتبر",RIGHT("0000"&amp;$B811,4)&amp;"/"&amp;RIGHT("00"&amp;$C811,2)&amp;"/"&amp;RIGHT("00"&amp;$D811,2)))</f>
        <v/>
      </c>
      <c r="F811">
        <f>IF(Entry!$D811&lt;&gt;"",IF(AND(ISNUMBER(Entry!$D811),Entry!$D811&gt;=0,Entry!$D811&lt;1),RIGHT("00"&amp;HOUR(Entry!$D811),2)&amp;":"&amp;RIGHT("00"&amp;MINUTE(Entry!$D811),2),IFERROR(RIGHT("00"&amp;VALUE(TRIM(LEFT(Entry!$D811,FIND(":",Entry!$D811)-1))),2)&amp;":"&amp;RIGHT("00"&amp;VALUE(TRIM(MID(Entry!$D811,FIND(":",Entry!$D811)+1,2))),2),"نامعتبر")),IF(OR($E811="",$E811="نامعتبر"),"","00:00"))</f>
        <v/>
      </c>
      <c r="G811">
        <f>IF(OR($E811="",$E811="نامعتبر"),"",IF(Entry!$E811="","",LEFT(UPPER(TRIM(Entry!$E811)),6)))</f>
        <v/>
      </c>
      <c r="H811">
        <f>IF($G811="","",RIGHT($E811,4)&amp;MID($E811,6,2)&amp;RIGHT($E811,2)&amp;IF($F811="","0000",IF($F811="نامعتبر","9999",LEFT($F811,2)&amp;RIGHT($F811,2)))&amp;"|"&amp;RIGHT("00000"&amp;803,5))</f>
        <v/>
      </c>
      <c r="I811">
        <f>IF($H811="","",COUNTIFS(CalcBank,$G811,CalcKey,"&lt;"&amp;$H811)+1)</f>
        <v/>
      </c>
      <c r="J811">
        <f>IF($I811="","",$G811&amp;"|"&amp;RIGHT("000000"&amp;$I811,6))</f>
        <v/>
      </c>
      <c r="K811">
        <f>IF(OR($E811="",$E811="نامعتبر"),"",LEFT($E811,4)&amp;"/"&amp;MID($E811,6,2))</f>
        <v/>
      </c>
      <c r="L811">
        <f>IF(Entry!$K811="",0,Entry!$K811)</f>
        <v/>
      </c>
      <c r="M811">
        <f>IF(Entry!$L811="",0,Entry!$L811)</f>
        <v/>
      </c>
    </row>
    <row r="812">
      <c r="A812">
        <f>IF(Entry!$C812="","",Entry!$C812)</f>
        <v/>
      </c>
      <c r="B812">
        <f>IF($A812="","",IF(ISNUMBER($A812),IF(AND($A812&gt;=10000101,$A812&lt;=99991231),INT($A812/10000),""),IFERROR(VALUE(TRIM(LEFT($A812,FIND("/",$A812)-1))),"")))</f>
        <v/>
      </c>
      <c r="C812">
        <f>IF(OR($A812="",$B812=""),"",IF(ISNUMBER($A812),INT(MOD($A812,10000)/100),IFERROR(VALUE(TRIM(LEFT(MID($A812,FIND("/",$A812)+1,20),FIND("/",MID($A812,FIND("/",$A812)+1,20))-1))),"")))</f>
        <v/>
      </c>
      <c r="D812">
        <f>IF(OR($A812="",$B812=""),"",IF(ISNUMBER($A812),MOD($A812,100),IFERROR(VALUE(TRIM(MID(MID($A812,FIND("/",$A812)+1,20),FIND("/",MID($A812,FIND("/",$A812)+1,20))+1,20))),"")))</f>
        <v/>
      </c>
      <c r="E812">
        <f>IF($A812="","",IF(OR($B812="",$C812="",$D812="",$B812&lt;1300,$B812&gt;1500,$C812&lt;1,$C812&gt;12,$D812&lt;1,$D812&gt;31),"نامعتبر",RIGHT("0000"&amp;$B812,4)&amp;"/"&amp;RIGHT("00"&amp;$C812,2)&amp;"/"&amp;RIGHT("00"&amp;$D812,2)))</f>
        <v/>
      </c>
      <c r="F812">
        <f>IF(Entry!$D812&lt;&gt;"",IF(AND(ISNUMBER(Entry!$D812),Entry!$D812&gt;=0,Entry!$D812&lt;1),RIGHT("00"&amp;HOUR(Entry!$D812),2)&amp;":"&amp;RIGHT("00"&amp;MINUTE(Entry!$D812),2),IFERROR(RIGHT("00"&amp;VALUE(TRIM(LEFT(Entry!$D812,FIND(":",Entry!$D812)-1))),2)&amp;":"&amp;RIGHT("00"&amp;VALUE(TRIM(MID(Entry!$D812,FIND(":",Entry!$D812)+1,2))),2),"نامعتبر")),IF(OR($E812="",$E812="نامعتبر"),"","00:00"))</f>
        <v/>
      </c>
      <c r="G812">
        <f>IF(OR($E812="",$E812="نامعتبر"),"",IF(Entry!$E812="","",LEFT(UPPER(TRIM(Entry!$E812)),6)))</f>
        <v/>
      </c>
      <c r="H812">
        <f>IF($G812="","",RIGHT($E812,4)&amp;MID($E812,6,2)&amp;RIGHT($E812,2)&amp;IF($F812="","0000",IF($F812="نامعتبر","9999",LEFT($F812,2)&amp;RIGHT($F812,2)))&amp;"|"&amp;RIGHT("00000"&amp;804,5))</f>
        <v/>
      </c>
      <c r="I812">
        <f>IF($H812="","",COUNTIFS(CalcBank,$G812,CalcKey,"&lt;"&amp;$H812)+1)</f>
        <v/>
      </c>
      <c r="J812">
        <f>IF($I812="","",$G812&amp;"|"&amp;RIGHT("000000"&amp;$I812,6))</f>
        <v/>
      </c>
      <c r="K812">
        <f>IF(OR($E812="",$E812="نامعتبر"),"",LEFT($E812,4)&amp;"/"&amp;MID($E812,6,2))</f>
        <v/>
      </c>
      <c r="L812">
        <f>IF(Entry!$K812="",0,Entry!$K812)</f>
        <v/>
      </c>
      <c r="M812">
        <f>IF(Entry!$L812="",0,Entry!$L812)</f>
        <v/>
      </c>
    </row>
    <row r="813">
      <c r="A813">
        <f>IF(Entry!$C813="","",Entry!$C813)</f>
        <v/>
      </c>
      <c r="B813">
        <f>IF($A813="","",IF(ISNUMBER($A813),IF(AND($A813&gt;=10000101,$A813&lt;=99991231),INT($A813/10000),""),IFERROR(VALUE(TRIM(LEFT($A813,FIND("/",$A813)-1))),"")))</f>
        <v/>
      </c>
      <c r="C813">
        <f>IF(OR($A813="",$B813=""),"",IF(ISNUMBER($A813),INT(MOD($A813,10000)/100),IFERROR(VALUE(TRIM(LEFT(MID($A813,FIND("/",$A813)+1,20),FIND("/",MID($A813,FIND("/",$A813)+1,20))-1))),"")))</f>
        <v/>
      </c>
      <c r="D813">
        <f>IF(OR($A813="",$B813=""),"",IF(ISNUMBER($A813),MOD($A813,100),IFERROR(VALUE(TRIM(MID(MID($A813,FIND("/",$A813)+1,20),FIND("/",MID($A813,FIND("/",$A813)+1,20))+1,20))),"")))</f>
        <v/>
      </c>
      <c r="E813">
        <f>IF($A813="","",IF(OR($B813="",$C813="",$D813="",$B813&lt;1300,$B813&gt;1500,$C813&lt;1,$C813&gt;12,$D813&lt;1,$D813&gt;31),"نامعتبر",RIGHT("0000"&amp;$B813,4)&amp;"/"&amp;RIGHT("00"&amp;$C813,2)&amp;"/"&amp;RIGHT("00"&amp;$D813,2)))</f>
        <v/>
      </c>
      <c r="F813">
        <f>IF(Entry!$D813&lt;&gt;"",IF(AND(ISNUMBER(Entry!$D813),Entry!$D813&gt;=0,Entry!$D813&lt;1),RIGHT("00"&amp;HOUR(Entry!$D813),2)&amp;":"&amp;RIGHT("00"&amp;MINUTE(Entry!$D813),2),IFERROR(RIGHT("00"&amp;VALUE(TRIM(LEFT(Entry!$D813,FIND(":",Entry!$D813)-1))),2)&amp;":"&amp;RIGHT("00"&amp;VALUE(TRIM(MID(Entry!$D813,FIND(":",Entry!$D813)+1,2))),2),"نامعتبر")),IF(OR($E813="",$E813="نامعتبر"),"","00:00"))</f>
        <v/>
      </c>
      <c r="G813">
        <f>IF(OR($E813="",$E813="نامعتبر"),"",IF(Entry!$E813="","",LEFT(UPPER(TRIM(Entry!$E813)),6)))</f>
        <v/>
      </c>
      <c r="H813">
        <f>IF($G813="","",RIGHT($E813,4)&amp;MID($E813,6,2)&amp;RIGHT($E813,2)&amp;IF($F813="","0000",IF($F813="نامعتبر","9999",LEFT($F813,2)&amp;RIGHT($F813,2)))&amp;"|"&amp;RIGHT("00000"&amp;805,5))</f>
        <v/>
      </c>
      <c r="I813">
        <f>IF($H813="","",COUNTIFS(CalcBank,$G813,CalcKey,"&lt;"&amp;$H813)+1)</f>
        <v/>
      </c>
      <c r="J813">
        <f>IF($I813="","",$G813&amp;"|"&amp;RIGHT("000000"&amp;$I813,6))</f>
        <v/>
      </c>
      <c r="K813">
        <f>IF(OR($E813="",$E813="نامعتبر"),"",LEFT($E813,4)&amp;"/"&amp;MID($E813,6,2))</f>
        <v/>
      </c>
      <c r="L813">
        <f>IF(Entry!$K813="",0,Entry!$K813)</f>
        <v/>
      </c>
      <c r="M813">
        <f>IF(Entry!$L813="",0,Entry!$L813)</f>
        <v/>
      </c>
    </row>
    <row r="814">
      <c r="A814">
        <f>IF(Entry!$C814="","",Entry!$C814)</f>
        <v/>
      </c>
      <c r="B814">
        <f>IF($A814="","",IF(ISNUMBER($A814),IF(AND($A814&gt;=10000101,$A814&lt;=99991231),INT($A814/10000),""),IFERROR(VALUE(TRIM(LEFT($A814,FIND("/",$A814)-1))),"")))</f>
        <v/>
      </c>
      <c r="C814">
        <f>IF(OR($A814="",$B814=""),"",IF(ISNUMBER($A814),INT(MOD($A814,10000)/100),IFERROR(VALUE(TRIM(LEFT(MID($A814,FIND("/",$A814)+1,20),FIND("/",MID($A814,FIND("/",$A814)+1,20))-1))),"")))</f>
        <v/>
      </c>
      <c r="D814">
        <f>IF(OR($A814="",$B814=""),"",IF(ISNUMBER($A814),MOD($A814,100),IFERROR(VALUE(TRIM(MID(MID($A814,FIND("/",$A814)+1,20),FIND("/",MID($A814,FIND("/",$A814)+1,20))+1,20))),"")))</f>
        <v/>
      </c>
      <c r="E814">
        <f>IF($A814="","",IF(OR($B814="",$C814="",$D814="",$B814&lt;1300,$B814&gt;1500,$C814&lt;1,$C814&gt;12,$D814&lt;1,$D814&gt;31),"نامعتبر",RIGHT("0000"&amp;$B814,4)&amp;"/"&amp;RIGHT("00"&amp;$C814,2)&amp;"/"&amp;RIGHT("00"&amp;$D814,2)))</f>
        <v/>
      </c>
      <c r="F814">
        <f>IF(Entry!$D814&lt;&gt;"",IF(AND(ISNUMBER(Entry!$D814),Entry!$D814&gt;=0,Entry!$D814&lt;1),RIGHT("00"&amp;HOUR(Entry!$D814),2)&amp;":"&amp;RIGHT("00"&amp;MINUTE(Entry!$D814),2),IFERROR(RIGHT("00"&amp;VALUE(TRIM(LEFT(Entry!$D814,FIND(":",Entry!$D814)-1))),2)&amp;":"&amp;RIGHT("00"&amp;VALUE(TRIM(MID(Entry!$D814,FIND(":",Entry!$D814)+1,2))),2),"نامعتبر")),IF(OR($E814="",$E814="نامعتبر"),"","00:00"))</f>
        <v/>
      </c>
      <c r="G814">
        <f>IF(OR($E814="",$E814="نامعتبر"),"",IF(Entry!$E814="","",LEFT(UPPER(TRIM(Entry!$E814)),6)))</f>
        <v/>
      </c>
      <c r="H814">
        <f>IF($G814="","",RIGHT($E814,4)&amp;MID($E814,6,2)&amp;RIGHT($E814,2)&amp;IF($F814="","0000",IF($F814="نامعتبر","9999",LEFT($F814,2)&amp;RIGHT($F814,2)))&amp;"|"&amp;RIGHT("00000"&amp;806,5))</f>
        <v/>
      </c>
      <c r="I814">
        <f>IF($H814="","",COUNTIFS(CalcBank,$G814,CalcKey,"&lt;"&amp;$H814)+1)</f>
        <v/>
      </c>
      <c r="J814">
        <f>IF($I814="","",$G814&amp;"|"&amp;RIGHT("000000"&amp;$I814,6))</f>
        <v/>
      </c>
      <c r="K814">
        <f>IF(OR($E814="",$E814="نامعتبر"),"",LEFT($E814,4)&amp;"/"&amp;MID($E814,6,2))</f>
        <v/>
      </c>
      <c r="L814">
        <f>IF(Entry!$K814="",0,Entry!$K814)</f>
        <v/>
      </c>
      <c r="M814">
        <f>IF(Entry!$L814="",0,Entry!$L814)</f>
        <v/>
      </c>
    </row>
    <row r="815">
      <c r="A815">
        <f>IF(Entry!$C815="","",Entry!$C815)</f>
        <v/>
      </c>
      <c r="B815">
        <f>IF($A815="","",IF(ISNUMBER($A815),IF(AND($A815&gt;=10000101,$A815&lt;=99991231),INT($A815/10000),""),IFERROR(VALUE(TRIM(LEFT($A815,FIND("/",$A815)-1))),"")))</f>
        <v/>
      </c>
      <c r="C815">
        <f>IF(OR($A815="",$B815=""),"",IF(ISNUMBER($A815),INT(MOD($A815,10000)/100),IFERROR(VALUE(TRIM(LEFT(MID($A815,FIND("/",$A815)+1,20),FIND("/",MID($A815,FIND("/",$A815)+1,20))-1))),"")))</f>
        <v/>
      </c>
      <c r="D815">
        <f>IF(OR($A815="",$B815=""),"",IF(ISNUMBER($A815),MOD($A815,100),IFERROR(VALUE(TRIM(MID(MID($A815,FIND("/",$A815)+1,20),FIND("/",MID($A815,FIND("/",$A815)+1,20))+1,20))),"")))</f>
        <v/>
      </c>
      <c r="E815">
        <f>IF($A815="","",IF(OR($B815="",$C815="",$D815="",$B815&lt;1300,$B815&gt;1500,$C815&lt;1,$C815&gt;12,$D815&lt;1,$D815&gt;31),"نامعتبر",RIGHT("0000"&amp;$B815,4)&amp;"/"&amp;RIGHT("00"&amp;$C815,2)&amp;"/"&amp;RIGHT("00"&amp;$D815,2)))</f>
        <v/>
      </c>
      <c r="F815">
        <f>IF(Entry!$D815&lt;&gt;"",IF(AND(ISNUMBER(Entry!$D815),Entry!$D815&gt;=0,Entry!$D815&lt;1),RIGHT("00"&amp;HOUR(Entry!$D815),2)&amp;":"&amp;RIGHT("00"&amp;MINUTE(Entry!$D815),2),IFERROR(RIGHT("00"&amp;VALUE(TRIM(LEFT(Entry!$D815,FIND(":",Entry!$D815)-1))),2)&amp;":"&amp;RIGHT("00"&amp;VALUE(TRIM(MID(Entry!$D815,FIND(":",Entry!$D815)+1,2))),2),"نامعتبر")),IF(OR($E815="",$E815="نامعتبر"),"","00:00"))</f>
        <v/>
      </c>
      <c r="G815">
        <f>IF(OR($E815="",$E815="نامعتبر"),"",IF(Entry!$E815="","",LEFT(UPPER(TRIM(Entry!$E815)),6)))</f>
        <v/>
      </c>
      <c r="H815">
        <f>IF($G815="","",RIGHT($E815,4)&amp;MID($E815,6,2)&amp;RIGHT($E815,2)&amp;IF($F815="","0000",IF($F815="نامعتبر","9999",LEFT($F815,2)&amp;RIGHT($F815,2)))&amp;"|"&amp;RIGHT("00000"&amp;807,5))</f>
        <v/>
      </c>
      <c r="I815">
        <f>IF($H815="","",COUNTIFS(CalcBank,$G815,CalcKey,"&lt;"&amp;$H815)+1)</f>
        <v/>
      </c>
      <c r="J815">
        <f>IF($I815="","",$G815&amp;"|"&amp;RIGHT("000000"&amp;$I815,6))</f>
        <v/>
      </c>
      <c r="K815">
        <f>IF(OR($E815="",$E815="نامعتبر"),"",LEFT($E815,4)&amp;"/"&amp;MID($E815,6,2))</f>
        <v/>
      </c>
      <c r="L815">
        <f>IF(Entry!$K815="",0,Entry!$K815)</f>
        <v/>
      </c>
      <c r="M815">
        <f>IF(Entry!$L815="",0,Entry!$L815)</f>
        <v/>
      </c>
    </row>
    <row r="816">
      <c r="A816">
        <f>IF(Entry!$C816="","",Entry!$C816)</f>
        <v/>
      </c>
      <c r="B816">
        <f>IF($A816="","",IF(ISNUMBER($A816),IF(AND($A816&gt;=10000101,$A816&lt;=99991231),INT($A816/10000),""),IFERROR(VALUE(TRIM(LEFT($A816,FIND("/",$A816)-1))),"")))</f>
        <v/>
      </c>
      <c r="C816">
        <f>IF(OR($A816="",$B816=""),"",IF(ISNUMBER($A816),INT(MOD($A816,10000)/100),IFERROR(VALUE(TRIM(LEFT(MID($A816,FIND("/",$A816)+1,20),FIND("/",MID($A816,FIND("/",$A816)+1,20))-1))),"")))</f>
        <v/>
      </c>
      <c r="D816">
        <f>IF(OR($A816="",$B816=""),"",IF(ISNUMBER($A816),MOD($A816,100),IFERROR(VALUE(TRIM(MID(MID($A816,FIND("/",$A816)+1,20),FIND("/",MID($A816,FIND("/",$A816)+1,20))+1,20))),"")))</f>
        <v/>
      </c>
      <c r="E816">
        <f>IF($A816="","",IF(OR($B816="",$C816="",$D816="",$B816&lt;1300,$B816&gt;1500,$C816&lt;1,$C816&gt;12,$D816&lt;1,$D816&gt;31),"نامعتبر",RIGHT("0000"&amp;$B816,4)&amp;"/"&amp;RIGHT("00"&amp;$C816,2)&amp;"/"&amp;RIGHT("00"&amp;$D816,2)))</f>
        <v/>
      </c>
      <c r="F816">
        <f>IF(Entry!$D816&lt;&gt;"",IF(AND(ISNUMBER(Entry!$D816),Entry!$D816&gt;=0,Entry!$D816&lt;1),RIGHT("00"&amp;HOUR(Entry!$D816),2)&amp;":"&amp;RIGHT("00"&amp;MINUTE(Entry!$D816),2),IFERROR(RIGHT("00"&amp;VALUE(TRIM(LEFT(Entry!$D816,FIND(":",Entry!$D816)-1))),2)&amp;":"&amp;RIGHT("00"&amp;VALUE(TRIM(MID(Entry!$D816,FIND(":",Entry!$D816)+1,2))),2),"نامعتبر")),IF(OR($E816="",$E816="نامعتبر"),"","00:00"))</f>
        <v/>
      </c>
      <c r="G816">
        <f>IF(OR($E816="",$E816="نامعتبر"),"",IF(Entry!$E816="","",LEFT(UPPER(TRIM(Entry!$E816)),6)))</f>
        <v/>
      </c>
      <c r="H816">
        <f>IF($G816="","",RIGHT($E816,4)&amp;MID($E816,6,2)&amp;RIGHT($E816,2)&amp;IF($F816="","0000",IF($F816="نامعتبر","9999",LEFT($F816,2)&amp;RIGHT($F816,2)))&amp;"|"&amp;RIGHT("00000"&amp;808,5))</f>
        <v/>
      </c>
      <c r="I816">
        <f>IF($H816="","",COUNTIFS(CalcBank,$G816,CalcKey,"&lt;"&amp;$H816)+1)</f>
        <v/>
      </c>
      <c r="J816">
        <f>IF($I816="","",$G816&amp;"|"&amp;RIGHT("000000"&amp;$I816,6))</f>
        <v/>
      </c>
      <c r="K816">
        <f>IF(OR($E816="",$E816="نامعتبر"),"",LEFT($E816,4)&amp;"/"&amp;MID($E816,6,2))</f>
        <v/>
      </c>
      <c r="L816">
        <f>IF(Entry!$K816="",0,Entry!$K816)</f>
        <v/>
      </c>
      <c r="M816">
        <f>IF(Entry!$L816="",0,Entry!$L816)</f>
        <v/>
      </c>
    </row>
    <row r="817">
      <c r="A817">
        <f>IF(Entry!$C817="","",Entry!$C817)</f>
        <v/>
      </c>
      <c r="B817">
        <f>IF($A817="","",IF(ISNUMBER($A817),IF(AND($A817&gt;=10000101,$A817&lt;=99991231),INT($A817/10000),""),IFERROR(VALUE(TRIM(LEFT($A817,FIND("/",$A817)-1))),"")))</f>
        <v/>
      </c>
      <c r="C817">
        <f>IF(OR($A817="",$B817=""),"",IF(ISNUMBER($A817),INT(MOD($A817,10000)/100),IFERROR(VALUE(TRIM(LEFT(MID($A817,FIND("/",$A817)+1,20),FIND("/",MID($A817,FIND("/",$A817)+1,20))-1))),"")))</f>
        <v/>
      </c>
      <c r="D817">
        <f>IF(OR($A817="",$B817=""),"",IF(ISNUMBER($A817),MOD($A817,100),IFERROR(VALUE(TRIM(MID(MID($A817,FIND("/",$A817)+1,20),FIND("/",MID($A817,FIND("/",$A817)+1,20))+1,20))),"")))</f>
        <v/>
      </c>
      <c r="E817">
        <f>IF($A817="","",IF(OR($B817="",$C817="",$D817="",$B817&lt;1300,$B817&gt;1500,$C817&lt;1,$C817&gt;12,$D817&lt;1,$D817&gt;31),"نامعتبر",RIGHT("0000"&amp;$B817,4)&amp;"/"&amp;RIGHT("00"&amp;$C817,2)&amp;"/"&amp;RIGHT("00"&amp;$D817,2)))</f>
        <v/>
      </c>
      <c r="F817">
        <f>IF(Entry!$D817&lt;&gt;"",IF(AND(ISNUMBER(Entry!$D817),Entry!$D817&gt;=0,Entry!$D817&lt;1),RIGHT("00"&amp;HOUR(Entry!$D817),2)&amp;":"&amp;RIGHT("00"&amp;MINUTE(Entry!$D817),2),IFERROR(RIGHT("00"&amp;VALUE(TRIM(LEFT(Entry!$D817,FIND(":",Entry!$D817)-1))),2)&amp;":"&amp;RIGHT("00"&amp;VALUE(TRIM(MID(Entry!$D817,FIND(":",Entry!$D817)+1,2))),2),"نامعتبر")),IF(OR($E817="",$E817="نامعتبر"),"","00:00"))</f>
        <v/>
      </c>
      <c r="G817">
        <f>IF(OR($E817="",$E817="نامعتبر"),"",IF(Entry!$E817="","",LEFT(UPPER(TRIM(Entry!$E817)),6)))</f>
        <v/>
      </c>
      <c r="H817">
        <f>IF($G817="","",RIGHT($E817,4)&amp;MID($E817,6,2)&amp;RIGHT($E817,2)&amp;IF($F817="","0000",IF($F817="نامعتبر","9999",LEFT($F817,2)&amp;RIGHT($F817,2)))&amp;"|"&amp;RIGHT("00000"&amp;809,5))</f>
        <v/>
      </c>
      <c r="I817">
        <f>IF($H817="","",COUNTIFS(CalcBank,$G817,CalcKey,"&lt;"&amp;$H817)+1)</f>
        <v/>
      </c>
      <c r="J817">
        <f>IF($I817="","",$G817&amp;"|"&amp;RIGHT("000000"&amp;$I817,6))</f>
        <v/>
      </c>
      <c r="K817">
        <f>IF(OR($E817="",$E817="نامعتبر"),"",LEFT($E817,4)&amp;"/"&amp;MID($E817,6,2))</f>
        <v/>
      </c>
      <c r="L817">
        <f>IF(Entry!$K817="",0,Entry!$K817)</f>
        <v/>
      </c>
      <c r="M817">
        <f>IF(Entry!$L817="",0,Entry!$L817)</f>
        <v/>
      </c>
    </row>
    <row r="818">
      <c r="A818">
        <f>IF(Entry!$C818="","",Entry!$C818)</f>
        <v/>
      </c>
      <c r="B818">
        <f>IF($A818="","",IF(ISNUMBER($A818),IF(AND($A818&gt;=10000101,$A818&lt;=99991231),INT($A818/10000),""),IFERROR(VALUE(TRIM(LEFT($A818,FIND("/",$A818)-1))),"")))</f>
        <v/>
      </c>
      <c r="C818">
        <f>IF(OR($A818="",$B818=""),"",IF(ISNUMBER($A818),INT(MOD($A818,10000)/100),IFERROR(VALUE(TRIM(LEFT(MID($A818,FIND("/",$A818)+1,20),FIND("/",MID($A818,FIND("/",$A818)+1,20))-1))),"")))</f>
        <v/>
      </c>
      <c r="D818">
        <f>IF(OR($A818="",$B818=""),"",IF(ISNUMBER($A818),MOD($A818,100),IFERROR(VALUE(TRIM(MID(MID($A818,FIND("/",$A818)+1,20),FIND("/",MID($A818,FIND("/",$A818)+1,20))+1,20))),"")))</f>
        <v/>
      </c>
      <c r="E818">
        <f>IF($A818="","",IF(OR($B818="",$C818="",$D818="",$B818&lt;1300,$B818&gt;1500,$C818&lt;1,$C818&gt;12,$D818&lt;1,$D818&gt;31),"نامعتبر",RIGHT("0000"&amp;$B818,4)&amp;"/"&amp;RIGHT("00"&amp;$C818,2)&amp;"/"&amp;RIGHT("00"&amp;$D818,2)))</f>
        <v/>
      </c>
      <c r="F818">
        <f>IF(Entry!$D818&lt;&gt;"",IF(AND(ISNUMBER(Entry!$D818),Entry!$D818&gt;=0,Entry!$D818&lt;1),RIGHT("00"&amp;HOUR(Entry!$D818),2)&amp;":"&amp;RIGHT("00"&amp;MINUTE(Entry!$D818),2),IFERROR(RIGHT("00"&amp;VALUE(TRIM(LEFT(Entry!$D818,FIND(":",Entry!$D818)-1))),2)&amp;":"&amp;RIGHT("00"&amp;VALUE(TRIM(MID(Entry!$D818,FIND(":",Entry!$D818)+1,2))),2),"نامعتبر")),IF(OR($E818="",$E818="نامعتبر"),"","00:00"))</f>
        <v/>
      </c>
      <c r="G818">
        <f>IF(OR($E818="",$E818="نامعتبر"),"",IF(Entry!$E818="","",LEFT(UPPER(TRIM(Entry!$E818)),6)))</f>
        <v/>
      </c>
      <c r="H818">
        <f>IF($G818="","",RIGHT($E818,4)&amp;MID($E818,6,2)&amp;RIGHT($E818,2)&amp;IF($F818="","0000",IF($F818="نامعتبر","9999",LEFT($F818,2)&amp;RIGHT($F818,2)))&amp;"|"&amp;RIGHT("00000"&amp;810,5))</f>
        <v/>
      </c>
      <c r="I818">
        <f>IF($H818="","",COUNTIFS(CalcBank,$G818,CalcKey,"&lt;"&amp;$H818)+1)</f>
        <v/>
      </c>
      <c r="J818">
        <f>IF($I818="","",$G818&amp;"|"&amp;RIGHT("000000"&amp;$I818,6))</f>
        <v/>
      </c>
      <c r="K818">
        <f>IF(OR($E818="",$E818="نامعتبر"),"",LEFT($E818,4)&amp;"/"&amp;MID($E818,6,2))</f>
        <v/>
      </c>
      <c r="L818">
        <f>IF(Entry!$K818="",0,Entry!$K818)</f>
        <v/>
      </c>
      <c r="M818">
        <f>IF(Entry!$L818="",0,Entry!$L818)</f>
        <v/>
      </c>
    </row>
    <row r="819">
      <c r="A819">
        <f>IF(Entry!$C819="","",Entry!$C819)</f>
        <v/>
      </c>
      <c r="B819">
        <f>IF($A819="","",IF(ISNUMBER($A819),IF(AND($A819&gt;=10000101,$A819&lt;=99991231),INT($A819/10000),""),IFERROR(VALUE(TRIM(LEFT($A819,FIND("/",$A819)-1))),"")))</f>
        <v/>
      </c>
      <c r="C819">
        <f>IF(OR($A819="",$B819=""),"",IF(ISNUMBER($A819),INT(MOD($A819,10000)/100),IFERROR(VALUE(TRIM(LEFT(MID($A819,FIND("/",$A819)+1,20),FIND("/",MID($A819,FIND("/",$A819)+1,20))-1))),"")))</f>
        <v/>
      </c>
      <c r="D819">
        <f>IF(OR($A819="",$B819=""),"",IF(ISNUMBER($A819),MOD($A819,100),IFERROR(VALUE(TRIM(MID(MID($A819,FIND("/",$A819)+1,20),FIND("/",MID($A819,FIND("/",$A819)+1,20))+1,20))),"")))</f>
        <v/>
      </c>
      <c r="E819">
        <f>IF($A819="","",IF(OR($B819="",$C819="",$D819="",$B819&lt;1300,$B819&gt;1500,$C819&lt;1,$C819&gt;12,$D819&lt;1,$D819&gt;31),"نامعتبر",RIGHT("0000"&amp;$B819,4)&amp;"/"&amp;RIGHT("00"&amp;$C819,2)&amp;"/"&amp;RIGHT("00"&amp;$D819,2)))</f>
        <v/>
      </c>
      <c r="F819">
        <f>IF(Entry!$D819&lt;&gt;"",IF(AND(ISNUMBER(Entry!$D819),Entry!$D819&gt;=0,Entry!$D819&lt;1),RIGHT("00"&amp;HOUR(Entry!$D819),2)&amp;":"&amp;RIGHT("00"&amp;MINUTE(Entry!$D819),2),IFERROR(RIGHT("00"&amp;VALUE(TRIM(LEFT(Entry!$D819,FIND(":",Entry!$D819)-1))),2)&amp;":"&amp;RIGHT("00"&amp;VALUE(TRIM(MID(Entry!$D819,FIND(":",Entry!$D819)+1,2))),2),"نامعتبر")),IF(OR($E819="",$E819="نامعتبر"),"","00:00"))</f>
        <v/>
      </c>
      <c r="G819">
        <f>IF(OR($E819="",$E819="نامعتبر"),"",IF(Entry!$E819="","",LEFT(UPPER(TRIM(Entry!$E819)),6)))</f>
        <v/>
      </c>
      <c r="H819">
        <f>IF($G819="","",RIGHT($E819,4)&amp;MID($E819,6,2)&amp;RIGHT($E819,2)&amp;IF($F819="","0000",IF($F819="نامعتبر","9999",LEFT($F819,2)&amp;RIGHT($F819,2)))&amp;"|"&amp;RIGHT("00000"&amp;811,5))</f>
        <v/>
      </c>
      <c r="I819">
        <f>IF($H819="","",COUNTIFS(CalcBank,$G819,CalcKey,"&lt;"&amp;$H819)+1)</f>
        <v/>
      </c>
      <c r="J819">
        <f>IF($I819="","",$G819&amp;"|"&amp;RIGHT("000000"&amp;$I819,6))</f>
        <v/>
      </c>
      <c r="K819">
        <f>IF(OR($E819="",$E819="نامعتبر"),"",LEFT($E819,4)&amp;"/"&amp;MID($E819,6,2))</f>
        <v/>
      </c>
      <c r="L819">
        <f>IF(Entry!$K819="",0,Entry!$K819)</f>
        <v/>
      </c>
      <c r="M819">
        <f>IF(Entry!$L819="",0,Entry!$L819)</f>
        <v/>
      </c>
    </row>
    <row r="820">
      <c r="A820">
        <f>IF(Entry!$C820="","",Entry!$C820)</f>
        <v/>
      </c>
      <c r="B820">
        <f>IF($A820="","",IF(ISNUMBER($A820),IF(AND($A820&gt;=10000101,$A820&lt;=99991231),INT($A820/10000),""),IFERROR(VALUE(TRIM(LEFT($A820,FIND("/",$A820)-1))),"")))</f>
        <v/>
      </c>
      <c r="C820">
        <f>IF(OR($A820="",$B820=""),"",IF(ISNUMBER($A820),INT(MOD($A820,10000)/100),IFERROR(VALUE(TRIM(LEFT(MID($A820,FIND("/",$A820)+1,20),FIND("/",MID($A820,FIND("/",$A820)+1,20))-1))),"")))</f>
        <v/>
      </c>
      <c r="D820">
        <f>IF(OR($A820="",$B820=""),"",IF(ISNUMBER($A820),MOD($A820,100),IFERROR(VALUE(TRIM(MID(MID($A820,FIND("/",$A820)+1,20),FIND("/",MID($A820,FIND("/",$A820)+1,20))+1,20))),"")))</f>
        <v/>
      </c>
      <c r="E820">
        <f>IF($A820="","",IF(OR($B820="",$C820="",$D820="",$B820&lt;1300,$B820&gt;1500,$C820&lt;1,$C820&gt;12,$D820&lt;1,$D820&gt;31),"نامعتبر",RIGHT("0000"&amp;$B820,4)&amp;"/"&amp;RIGHT("00"&amp;$C820,2)&amp;"/"&amp;RIGHT("00"&amp;$D820,2)))</f>
        <v/>
      </c>
      <c r="F820">
        <f>IF(Entry!$D820&lt;&gt;"",IF(AND(ISNUMBER(Entry!$D820),Entry!$D820&gt;=0,Entry!$D820&lt;1),RIGHT("00"&amp;HOUR(Entry!$D820),2)&amp;":"&amp;RIGHT("00"&amp;MINUTE(Entry!$D820),2),IFERROR(RIGHT("00"&amp;VALUE(TRIM(LEFT(Entry!$D820,FIND(":",Entry!$D820)-1))),2)&amp;":"&amp;RIGHT("00"&amp;VALUE(TRIM(MID(Entry!$D820,FIND(":",Entry!$D820)+1,2))),2),"نامعتبر")),IF(OR($E820="",$E820="نامعتبر"),"","00:00"))</f>
        <v/>
      </c>
      <c r="G820">
        <f>IF(OR($E820="",$E820="نامعتبر"),"",IF(Entry!$E820="","",LEFT(UPPER(TRIM(Entry!$E820)),6)))</f>
        <v/>
      </c>
      <c r="H820">
        <f>IF($G820="","",RIGHT($E820,4)&amp;MID($E820,6,2)&amp;RIGHT($E820,2)&amp;IF($F820="","0000",IF($F820="نامعتبر","9999",LEFT($F820,2)&amp;RIGHT($F820,2)))&amp;"|"&amp;RIGHT("00000"&amp;812,5))</f>
        <v/>
      </c>
      <c r="I820">
        <f>IF($H820="","",COUNTIFS(CalcBank,$G820,CalcKey,"&lt;"&amp;$H820)+1)</f>
        <v/>
      </c>
      <c r="J820">
        <f>IF($I820="","",$G820&amp;"|"&amp;RIGHT("000000"&amp;$I820,6))</f>
        <v/>
      </c>
      <c r="K820">
        <f>IF(OR($E820="",$E820="نامعتبر"),"",LEFT($E820,4)&amp;"/"&amp;MID($E820,6,2))</f>
        <v/>
      </c>
      <c r="L820">
        <f>IF(Entry!$K820="",0,Entry!$K820)</f>
        <v/>
      </c>
      <c r="M820">
        <f>IF(Entry!$L820="",0,Entry!$L820)</f>
        <v/>
      </c>
    </row>
    <row r="821">
      <c r="A821">
        <f>IF(Entry!$C821="","",Entry!$C821)</f>
        <v/>
      </c>
      <c r="B821">
        <f>IF($A821="","",IF(ISNUMBER($A821),IF(AND($A821&gt;=10000101,$A821&lt;=99991231),INT($A821/10000),""),IFERROR(VALUE(TRIM(LEFT($A821,FIND("/",$A821)-1))),"")))</f>
        <v/>
      </c>
      <c r="C821">
        <f>IF(OR($A821="",$B821=""),"",IF(ISNUMBER($A821),INT(MOD($A821,10000)/100),IFERROR(VALUE(TRIM(LEFT(MID($A821,FIND("/",$A821)+1,20),FIND("/",MID($A821,FIND("/",$A821)+1,20))-1))),"")))</f>
        <v/>
      </c>
      <c r="D821">
        <f>IF(OR($A821="",$B821=""),"",IF(ISNUMBER($A821),MOD($A821,100),IFERROR(VALUE(TRIM(MID(MID($A821,FIND("/",$A821)+1,20),FIND("/",MID($A821,FIND("/",$A821)+1,20))+1,20))),"")))</f>
        <v/>
      </c>
      <c r="E821">
        <f>IF($A821="","",IF(OR($B821="",$C821="",$D821="",$B821&lt;1300,$B821&gt;1500,$C821&lt;1,$C821&gt;12,$D821&lt;1,$D821&gt;31),"نامعتبر",RIGHT("0000"&amp;$B821,4)&amp;"/"&amp;RIGHT("00"&amp;$C821,2)&amp;"/"&amp;RIGHT("00"&amp;$D821,2)))</f>
        <v/>
      </c>
      <c r="F821">
        <f>IF(Entry!$D821&lt;&gt;"",IF(AND(ISNUMBER(Entry!$D821),Entry!$D821&gt;=0,Entry!$D821&lt;1),RIGHT("00"&amp;HOUR(Entry!$D821),2)&amp;":"&amp;RIGHT("00"&amp;MINUTE(Entry!$D821),2),IFERROR(RIGHT("00"&amp;VALUE(TRIM(LEFT(Entry!$D821,FIND(":",Entry!$D821)-1))),2)&amp;":"&amp;RIGHT("00"&amp;VALUE(TRIM(MID(Entry!$D821,FIND(":",Entry!$D821)+1,2))),2),"نامعتبر")),IF(OR($E821="",$E821="نامعتبر"),"","00:00"))</f>
        <v/>
      </c>
      <c r="G821">
        <f>IF(OR($E821="",$E821="نامعتبر"),"",IF(Entry!$E821="","",LEFT(UPPER(TRIM(Entry!$E821)),6)))</f>
        <v/>
      </c>
      <c r="H821">
        <f>IF($G821="","",RIGHT($E821,4)&amp;MID($E821,6,2)&amp;RIGHT($E821,2)&amp;IF($F821="","0000",IF($F821="نامعتبر","9999",LEFT($F821,2)&amp;RIGHT($F821,2)))&amp;"|"&amp;RIGHT("00000"&amp;813,5))</f>
        <v/>
      </c>
      <c r="I821">
        <f>IF($H821="","",COUNTIFS(CalcBank,$G821,CalcKey,"&lt;"&amp;$H821)+1)</f>
        <v/>
      </c>
      <c r="J821">
        <f>IF($I821="","",$G821&amp;"|"&amp;RIGHT("000000"&amp;$I821,6))</f>
        <v/>
      </c>
      <c r="K821">
        <f>IF(OR($E821="",$E821="نامعتبر"),"",LEFT($E821,4)&amp;"/"&amp;MID($E821,6,2))</f>
        <v/>
      </c>
      <c r="L821">
        <f>IF(Entry!$K821="",0,Entry!$K821)</f>
        <v/>
      </c>
      <c r="M821">
        <f>IF(Entry!$L821="",0,Entry!$L821)</f>
        <v/>
      </c>
    </row>
    <row r="822">
      <c r="A822">
        <f>IF(Entry!$C822="","",Entry!$C822)</f>
        <v/>
      </c>
      <c r="B822">
        <f>IF($A822="","",IF(ISNUMBER($A822),IF(AND($A822&gt;=10000101,$A822&lt;=99991231),INT($A822/10000),""),IFERROR(VALUE(TRIM(LEFT($A822,FIND("/",$A822)-1))),"")))</f>
        <v/>
      </c>
      <c r="C822">
        <f>IF(OR($A822="",$B822=""),"",IF(ISNUMBER($A822),INT(MOD($A822,10000)/100),IFERROR(VALUE(TRIM(LEFT(MID($A822,FIND("/",$A822)+1,20),FIND("/",MID($A822,FIND("/",$A822)+1,20))-1))),"")))</f>
        <v/>
      </c>
      <c r="D822">
        <f>IF(OR($A822="",$B822=""),"",IF(ISNUMBER($A822),MOD($A822,100),IFERROR(VALUE(TRIM(MID(MID($A822,FIND("/",$A822)+1,20),FIND("/",MID($A822,FIND("/",$A822)+1,20))+1,20))),"")))</f>
        <v/>
      </c>
      <c r="E822">
        <f>IF($A822="","",IF(OR($B822="",$C822="",$D822="",$B822&lt;1300,$B822&gt;1500,$C822&lt;1,$C822&gt;12,$D822&lt;1,$D822&gt;31),"نامعتبر",RIGHT("0000"&amp;$B822,4)&amp;"/"&amp;RIGHT("00"&amp;$C822,2)&amp;"/"&amp;RIGHT("00"&amp;$D822,2)))</f>
        <v/>
      </c>
      <c r="F822">
        <f>IF(Entry!$D822&lt;&gt;"",IF(AND(ISNUMBER(Entry!$D822),Entry!$D822&gt;=0,Entry!$D822&lt;1),RIGHT("00"&amp;HOUR(Entry!$D822),2)&amp;":"&amp;RIGHT("00"&amp;MINUTE(Entry!$D822),2),IFERROR(RIGHT("00"&amp;VALUE(TRIM(LEFT(Entry!$D822,FIND(":",Entry!$D822)-1))),2)&amp;":"&amp;RIGHT("00"&amp;VALUE(TRIM(MID(Entry!$D822,FIND(":",Entry!$D822)+1,2))),2),"نامعتبر")),IF(OR($E822="",$E822="نامعتبر"),"","00:00"))</f>
        <v/>
      </c>
      <c r="G822">
        <f>IF(OR($E822="",$E822="نامعتبر"),"",IF(Entry!$E822="","",LEFT(UPPER(TRIM(Entry!$E822)),6)))</f>
        <v/>
      </c>
      <c r="H822">
        <f>IF($G822="","",RIGHT($E822,4)&amp;MID($E822,6,2)&amp;RIGHT($E822,2)&amp;IF($F822="","0000",IF($F822="نامعتبر","9999",LEFT($F822,2)&amp;RIGHT($F822,2)))&amp;"|"&amp;RIGHT("00000"&amp;814,5))</f>
        <v/>
      </c>
      <c r="I822">
        <f>IF($H822="","",COUNTIFS(CalcBank,$G822,CalcKey,"&lt;"&amp;$H822)+1)</f>
        <v/>
      </c>
      <c r="J822">
        <f>IF($I822="","",$G822&amp;"|"&amp;RIGHT("000000"&amp;$I822,6))</f>
        <v/>
      </c>
      <c r="K822">
        <f>IF(OR($E822="",$E822="نامعتبر"),"",LEFT($E822,4)&amp;"/"&amp;MID($E822,6,2))</f>
        <v/>
      </c>
      <c r="L822">
        <f>IF(Entry!$K822="",0,Entry!$K822)</f>
        <v/>
      </c>
      <c r="M822">
        <f>IF(Entry!$L822="",0,Entry!$L822)</f>
        <v/>
      </c>
    </row>
    <row r="823">
      <c r="A823">
        <f>IF(Entry!$C823="","",Entry!$C823)</f>
        <v/>
      </c>
      <c r="B823">
        <f>IF($A823="","",IF(ISNUMBER($A823),IF(AND($A823&gt;=10000101,$A823&lt;=99991231),INT($A823/10000),""),IFERROR(VALUE(TRIM(LEFT($A823,FIND("/",$A823)-1))),"")))</f>
        <v/>
      </c>
      <c r="C823">
        <f>IF(OR($A823="",$B823=""),"",IF(ISNUMBER($A823),INT(MOD($A823,10000)/100),IFERROR(VALUE(TRIM(LEFT(MID($A823,FIND("/",$A823)+1,20),FIND("/",MID($A823,FIND("/",$A823)+1,20))-1))),"")))</f>
        <v/>
      </c>
      <c r="D823">
        <f>IF(OR($A823="",$B823=""),"",IF(ISNUMBER($A823),MOD($A823,100),IFERROR(VALUE(TRIM(MID(MID($A823,FIND("/",$A823)+1,20),FIND("/",MID($A823,FIND("/",$A823)+1,20))+1,20))),"")))</f>
        <v/>
      </c>
      <c r="E823">
        <f>IF($A823="","",IF(OR($B823="",$C823="",$D823="",$B823&lt;1300,$B823&gt;1500,$C823&lt;1,$C823&gt;12,$D823&lt;1,$D823&gt;31),"نامعتبر",RIGHT("0000"&amp;$B823,4)&amp;"/"&amp;RIGHT("00"&amp;$C823,2)&amp;"/"&amp;RIGHT("00"&amp;$D823,2)))</f>
        <v/>
      </c>
      <c r="F823">
        <f>IF(Entry!$D823&lt;&gt;"",IF(AND(ISNUMBER(Entry!$D823),Entry!$D823&gt;=0,Entry!$D823&lt;1),RIGHT("00"&amp;HOUR(Entry!$D823),2)&amp;":"&amp;RIGHT("00"&amp;MINUTE(Entry!$D823),2),IFERROR(RIGHT("00"&amp;VALUE(TRIM(LEFT(Entry!$D823,FIND(":",Entry!$D823)-1))),2)&amp;":"&amp;RIGHT("00"&amp;VALUE(TRIM(MID(Entry!$D823,FIND(":",Entry!$D823)+1,2))),2),"نامعتبر")),IF(OR($E823="",$E823="نامعتبر"),"","00:00"))</f>
        <v/>
      </c>
      <c r="G823">
        <f>IF(OR($E823="",$E823="نامعتبر"),"",IF(Entry!$E823="","",LEFT(UPPER(TRIM(Entry!$E823)),6)))</f>
        <v/>
      </c>
      <c r="H823">
        <f>IF($G823="","",RIGHT($E823,4)&amp;MID($E823,6,2)&amp;RIGHT($E823,2)&amp;IF($F823="","0000",IF($F823="نامعتبر","9999",LEFT($F823,2)&amp;RIGHT($F823,2)))&amp;"|"&amp;RIGHT("00000"&amp;815,5))</f>
        <v/>
      </c>
      <c r="I823">
        <f>IF($H823="","",COUNTIFS(CalcBank,$G823,CalcKey,"&lt;"&amp;$H823)+1)</f>
        <v/>
      </c>
      <c r="J823">
        <f>IF($I823="","",$G823&amp;"|"&amp;RIGHT("000000"&amp;$I823,6))</f>
        <v/>
      </c>
      <c r="K823">
        <f>IF(OR($E823="",$E823="نامعتبر"),"",LEFT($E823,4)&amp;"/"&amp;MID($E823,6,2))</f>
        <v/>
      </c>
      <c r="L823">
        <f>IF(Entry!$K823="",0,Entry!$K823)</f>
        <v/>
      </c>
      <c r="M823">
        <f>IF(Entry!$L823="",0,Entry!$L823)</f>
        <v/>
      </c>
    </row>
    <row r="824">
      <c r="A824">
        <f>IF(Entry!$C824="","",Entry!$C824)</f>
        <v/>
      </c>
      <c r="B824">
        <f>IF($A824="","",IF(ISNUMBER($A824),IF(AND($A824&gt;=10000101,$A824&lt;=99991231),INT($A824/10000),""),IFERROR(VALUE(TRIM(LEFT($A824,FIND("/",$A824)-1))),"")))</f>
        <v/>
      </c>
      <c r="C824">
        <f>IF(OR($A824="",$B824=""),"",IF(ISNUMBER($A824),INT(MOD($A824,10000)/100),IFERROR(VALUE(TRIM(LEFT(MID($A824,FIND("/",$A824)+1,20),FIND("/",MID($A824,FIND("/",$A824)+1,20))-1))),"")))</f>
        <v/>
      </c>
      <c r="D824">
        <f>IF(OR($A824="",$B824=""),"",IF(ISNUMBER($A824),MOD($A824,100),IFERROR(VALUE(TRIM(MID(MID($A824,FIND("/",$A824)+1,20),FIND("/",MID($A824,FIND("/",$A824)+1,20))+1,20))),"")))</f>
        <v/>
      </c>
      <c r="E824">
        <f>IF($A824="","",IF(OR($B824="",$C824="",$D824="",$B824&lt;1300,$B824&gt;1500,$C824&lt;1,$C824&gt;12,$D824&lt;1,$D824&gt;31),"نامعتبر",RIGHT("0000"&amp;$B824,4)&amp;"/"&amp;RIGHT("00"&amp;$C824,2)&amp;"/"&amp;RIGHT("00"&amp;$D824,2)))</f>
        <v/>
      </c>
      <c r="F824">
        <f>IF(Entry!$D824&lt;&gt;"",IF(AND(ISNUMBER(Entry!$D824),Entry!$D824&gt;=0,Entry!$D824&lt;1),RIGHT("00"&amp;HOUR(Entry!$D824),2)&amp;":"&amp;RIGHT("00"&amp;MINUTE(Entry!$D824),2),IFERROR(RIGHT("00"&amp;VALUE(TRIM(LEFT(Entry!$D824,FIND(":",Entry!$D824)-1))),2)&amp;":"&amp;RIGHT("00"&amp;VALUE(TRIM(MID(Entry!$D824,FIND(":",Entry!$D824)+1,2))),2),"نامعتبر")),IF(OR($E824="",$E824="نامعتبر"),"","00:00"))</f>
        <v/>
      </c>
      <c r="G824">
        <f>IF(OR($E824="",$E824="نامعتبر"),"",IF(Entry!$E824="","",LEFT(UPPER(TRIM(Entry!$E824)),6)))</f>
        <v/>
      </c>
      <c r="H824">
        <f>IF($G824="","",RIGHT($E824,4)&amp;MID($E824,6,2)&amp;RIGHT($E824,2)&amp;IF($F824="","0000",IF($F824="نامعتبر","9999",LEFT($F824,2)&amp;RIGHT($F824,2)))&amp;"|"&amp;RIGHT("00000"&amp;816,5))</f>
        <v/>
      </c>
      <c r="I824">
        <f>IF($H824="","",COUNTIFS(CalcBank,$G824,CalcKey,"&lt;"&amp;$H824)+1)</f>
        <v/>
      </c>
      <c r="J824">
        <f>IF($I824="","",$G824&amp;"|"&amp;RIGHT("000000"&amp;$I824,6))</f>
        <v/>
      </c>
      <c r="K824">
        <f>IF(OR($E824="",$E824="نامعتبر"),"",LEFT($E824,4)&amp;"/"&amp;MID($E824,6,2))</f>
        <v/>
      </c>
      <c r="L824">
        <f>IF(Entry!$K824="",0,Entry!$K824)</f>
        <v/>
      </c>
      <c r="M824">
        <f>IF(Entry!$L824="",0,Entry!$L824)</f>
        <v/>
      </c>
    </row>
    <row r="825">
      <c r="A825">
        <f>IF(Entry!$C825="","",Entry!$C825)</f>
        <v/>
      </c>
      <c r="B825">
        <f>IF($A825="","",IF(ISNUMBER($A825),IF(AND($A825&gt;=10000101,$A825&lt;=99991231),INT($A825/10000),""),IFERROR(VALUE(TRIM(LEFT($A825,FIND("/",$A825)-1))),"")))</f>
        <v/>
      </c>
      <c r="C825">
        <f>IF(OR($A825="",$B825=""),"",IF(ISNUMBER($A825),INT(MOD($A825,10000)/100),IFERROR(VALUE(TRIM(LEFT(MID($A825,FIND("/",$A825)+1,20),FIND("/",MID($A825,FIND("/",$A825)+1,20))-1))),"")))</f>
        <v/>
      </c>
      <c r="D825">
        <f>IF(OR($A825="",$B825=""),"",IF(ISNUMBER($A825),MOD($A825,100),IFERROR(VALUE(TRIM(MID(MID($A825,FIND("/",$A825)+1,20),FIND("/",MID($A825,FIND("/",$A825)+1,20))+1,20))),"")))</f>
        <v/>
      </c>
      <c r="E825">
        <f>IF($A825="","",IF(OR($B825="",$C825="",$D825="",$B825&lt;1300,$B825&gt;1500,$C825&lt;1,$C825&gt;12,$D825&lt;1,$D825&gt;31),"نامعتبر",RIGHT("0000"&amp;$B825,4)&amp;"/"&amp;RIGHT("00"&amp;$C825,2)&amp;"/"&amp;RIGHT("00"&amp;$D825,2)))</f>
        <v/>
      </c>
      <c r="F825">
        <f>IF(Entry!$D825&lt;&gt;"",IF(AND(ISNUMBER(Entry!$D825),Entry!$D825&gt;=0,Entry!$D825&lt;1),RIGHT("00"&amp;HOUR(Entry!$D825),2)&amp;":"&amp;RIGHT("00"&amp;MINUTE(Entry!$D825),2),IFERROR(RIGHT("00"&amp;VALUE(TRIM(LEFT(Entry!$D825,FIND(":",Entry!$D825)-1))),2)&amp;":"&amp;RIGHT("00"&amp;VALUE(TRIM(MID(Entry!$D825,FIND(":",Entry!$D825)+1,2))),2),"نامعتبر")),IF(OR($E825="",$E825="نامعتبر"),"","00:00"))</f>
        <v/>
      </c>
      <c r="G825">
        <f>IF(OR($E825="",$E825="نامعتبر"),"",IF(Entry!$E825="","",LEFT(UPPER(TRIM(Entry!$E825)),6)))</f>
        <v/>
      </c>
      <c r="H825">
        <f>IF($G825="","",RIGHT($E825,4)&amp;MID($E825,6,2)&amp;RIGHT($E825,2)&amp;IF($F825="","0000",IF($F825="نامعتبر","9999",LEFT($F825,2)&amp;RIGHT($F825,2)))&amp;"|"&amp;RIGHT("00000"&amp;817,5))</f>
        <v/>
      </c>
      <c r="I825">
        <f>IF($H825="","",COUNTIFS(CalcBank,$G825,CalcKey,"&lt;"&amp;$H825)+1)</f>
        <v/>
      </c>
      <c r="J825">
        <f>IF($I825="","",$G825&amp;"|"&amp;RIGHT("000000"&amp;$I825,6))</f>
        <v/>
      </c>
      <c r="K825">
        <f>IF(OR($E825="",$E825="نامعتبر"),"",LEFT($E825,4)&amp;"/"&amp;MID($E825,6,2))</f>
        <v/>
      </c>
      <c r="L825">
        <f>IF(Entry!$K825="",0,Entry!$K825)</f>
        <v/>
      </c>
      <c r="M825">
        <f>IF(Entry!$L825="",0,Entry!$L825)</f>
        <v/>
      </c>
    </row>
    <row r="826">
      <c r="A826">
        <f>IF(Entry!$C826="","",Entry!$C826)</f>
        <v/>
      </c>
      <c r="B826">
        <f>IF($A826="","",IF(ISNUMBER($A826),IF(AND($A826&gt;=10000101,$A826&lt;=99991231),INT($A826/10000),""),IFERROR(VALUE(TRIM(LEFT($A826,FIND("/",$A826)-1))),"")))</f>
        <v/>
      </c>
      <c r="C826">
        <f>IF(OR($A826="",$B826=""),"",IF(ISNUMBER($A826),INT(MOD($A826,10000)/100),IFERROR(VALUE(TRIM(LEFT(MID($A826,FIND("/",$A826)+1,20),FIND("/",MID($A826,FIND("/",$A826)+1,20))-1))),"")))</f>
        <v/>
      </c>
      <c r="D826">
        <f>IF(OR($A826="",$B826=""),"",IF(ISNUMBER($A826),MOD($A826,100),IFERROR(VALUE(TRIM(MID(MID($A826,FIND("/",$A826)+1,20),FIND("/",MID($A826,FIND("/",$A826)+1,20))+1,20))),"")))</f>
        <v/>
      </c>
      <c r="E826">
        <f>IF($A826="","",IF(OR($B826="",$C826="",$D826="",$B826&lt;1300,$B826&gt;1500,$C826&lt;1,$C826&gt;12,$D826&lt;1,$D826&gt;31),"نامعتبر",RIGHT("0000"&amp;$B826,4)&amp;"/"&amp;RIGHT("00"&amp;$C826,2)&amp;"/"&amp;RIGHT("00"&amp;$D826,2)))</f>
        <v/>
      </c>
      <c r="F826">
        <f>IF(Entry!$D826&lt;&gt;"",IF(AND(ISNUMBER(Entry!$D826),Entry!$D826&gt;=0,Entry!$D826&lt;1),RIGHT("00"&amp;HOUR(Entry!$D826),2)&amp;":"&amp;RIGHT("00"&amp;MINUTE(Entry!$D826),2),IFERROR(RIGHT("00"&amp;VALUE(TRIM(LEFT(Entry!$D826,FIND(":",Entry!$D826)-1))),2)&amp;":"&amp;RIGHT("00"&amp;VALUE(TRIM(MID(Entry!$D826,FIND(":",Entry!$D826)+1,2))),2),"نامعتبر")),IF(OR($E826="",$E826="نامعتبر"),"","00:00"))</f>
        <v/>
      </c>
      <c r="G826">
        <f>IF(OR($E826="",$E826="نامعتبر"),"",IF(Entry!$E826="","",LEFT(UPPER(TRIM(Entry!$E826)),6)))</f>
        <v/>
      </c>
      <c r="H826">
        <f>IF($G826="","",RIGHT($E826,4)&amp;MID($E826,6,2)&amp;RIGHT($E826,2)&amp;IF($F826="","0000",IF($F826="نامعتبر","9999",LEFT($F826,2)&amp;RIGHT($F826,2)))&amp;"|"&amp;RIGHT("00000"&amp;818,5))</f>
        <v/>
      </c>
      <c r="I826">
        <f>IF($H826="","",COUNTIFS(CalcBank,$G826,CalcKey,"&lt;"&amp;$H826)+1)</f>
        <v/>
      </c>
      <c r="J826">
        <f>IF($I826="","",$G826&amp;"|"&amp;RIGHT("000000"&amp;$I826,6))</f>
        <v/>
      </c>
      <c r="K826">
        <f>IF(OR($E826="",$E826="نامعتبر"),"",LEFT($E826,4)&amp;"/"&amp;MID($E826,6,2))</f>
        <v/>
      </c>
      <c r="L826">
        <f>IF(Entry!$K826="",0,Entry!$K826)</f>
        <v/>
      </c>
      <c r="M826">
        <f>IF(Entry!$L826="",0,Entry!$L826)</f>
        <v/>
      </c>
    </row>
    <row r="827">
      <c r="A827">
        <f>IF(Entry!$C827="","",Entry!$C827)</f>
        <v/>
      </c>
      <c r="B827">
        <f>IF($A827="","",IF(ISNUMBER($A827),IF(AND($A827&gt;=10000101,$A827&lt;=99991231),INT($A827/10000),""),IFERROR(VALUE(TRIM(LEFT($A827,FIND("/",$A827)-1))),"")))</f>
        <v/>
      </c>
      <c r="C827">
        <f>IF(OR($A827="",$B827=""),"",IF(ISNUMBER($A827),INT(MOD($A827,10000)/100),IFERROR(VALUE(TRIM(LEFT(MID($A827,FIND("/",$A827)+1,20),FIND("/",MID($A827,FIND("/",$A827)+1,20))-1))),"")))</f>
        <v/>
      </c>
      <c r="D827">
        <f>IF(OR($A827="",$B827=""),"",IF(ISNUMBER($A827),MOD($A827,100),IFERROR(VALUE(TRIM(MID(MID($A827,FIND("/",$A827)+1,20),FIND("/",MID($A827,FIND("/",$A827)+1,20))+1,20))),"")))</f>
        <v/>
      </c>
      <c r="E827">
        <f>IF($A827="","",IF(OR($B827="",$C827="",$D827="",$B827&lt;1300,$B827&gt;1500,$C827&lt;1,$C827&gt;12,$D827&lt;1,$D827&gt;31),"نامعتبر",RIGHT("0000"&amp;$B827,4)&amp;"/"&amp;RIGHT("00"&amp;$C827,2)&amp;"/"&amp;RIGHT("00"&amp;$D827,2)))</f>
        <v/>
      </c>
      <c r="F827">
        <f>IF(Entry!$D827&lt;&gt;"",IF(AND(ISNUMBER(Entry!$D827),Entry!$D827&gt;=0,Entry!$D827&lt;1),RIGHT("00"&amp;HOUR(Entry!$D827),2)&amp;":"&amp;RIGHT("00"&amp;MINUTE(Entry!$D827),2),IFERROR(RIGHT("00"&amp;VALUE(TRIM(LEFT(Entry!$D827,FIND(":",Entry!$D827)-1))),2)&amp;":"&amp;RIGHT("00"&amp;VALUE(TRIM(MID(Entry!$D827,FIND(":",Entry!$D827)+1,2))),2),"نامعتبر")),IF(OR($E827="",$E827="نامعتبر"),"","00:00"))</f>
        <v/>
      </c>
      <c r="G827">
        <f>IF(OR($E827="",$E827="نامعتبر"),"",IF(Entry!$E827="","",LEFT(UPPER(TRIM(Entry!$E827)),6)))</f>
        <v/>
      </c>
      <c r="H827">
        <f>IF($G827="","",RIGHT($E827,4)&amp;MID($E827,6,2)&amp;RIGHT($E827,2)&amp;IF($F827="","0000",IF($F827="نامعتبر","9999",LEFT($F827,2)&amp;RIGHT($F827,2)))&amp;"|"&amp;RIGHT("00000"&amp;819,5))</f>
        <v/>
      </c>
      <c r="I827">
        <f>IF($H827="","",COUNTIFS(CalcBank,$G827,CalcKey,"&lt;"&amp;$H827)+1)</f>
        <v/>
      </c>
      <c r="J827">
        <f>IF($I827="","",$G827&amp;"|"&amp;RIGHT("000000"&amp;$I827,6))</f>
        <v/>
      </c>
      <c r="K827">
        <f>IF(OR($E827="",$E827="نامعتبر"),"",LEFT($E827,4)&amp;"/"&amp;MID($E827,6,2))</f>
        <v/>
      </c>
      <c r="L827">
        <f>IF(Entry!$K827="",0,Entry!$K827)</f>
        <v/>
      </c>
      <c r="M827">
        <f>IF(Entry!$L827="",0,Entry!$L827)</f>
        <v/>
      </c>
    </row>
    <row r="828">
      <c r="A828">
        <f>IF(Entry!$C828="","",Entry!$C828)</f>
        <v/>
      </c>
      <c r="B828">
        <f>IF($A828="","",IF(ISNUMBER($A828),IF(AND($A828&gt;=10000101,$A828&lt;=99991231),INT($A828/10000),""),IFERROR(VALUE(TRIM(LEFT($A828,FIND("/",$A828)-1))),"")))</f>
        <v/>
      </c>
      <c r="C828">
        <f>IF(OR($A828="",$B828=""),"",IF(ISNUMBER($A828),INT(MOD($A828,10000)/100),IFERROR(VALUE(TRIM(LEFT(MID($A828,FIND("/",$A828)+1,20),FIND("/",MID($A828,FIND("/",$A828)+1,20))-1))),"")))</f>
        <v/>
      </c>
      <c r="D828">
        <f>IF(OR($A828="",$B828=""),"",IF(ISNUMBER($A828),MOD($A828,100),IFERROR(VALUE(TRIM(MID(MID($A828,FIND("/",$A828)+1,20),FIND("/",MID($A828,FIND("/",$A828)+1,20))+1,20))),"")))</f>
        <v/>
      </c>
      <c r="E828">
        <f>IF($A828="","",IF(OR($B828="",$C828="",$D828="",$B828&lt;1300,$B828&gt;1500,$C828&lt;1,$C828&gt;12,$D828&lt;1,$D828&gt;31),"نامعتبر",RIGHT("0000"&amp;$B828,4)&amp;"/"&amp;RIGHT("00"&amp;$C828,2)&amp;"/"&amp;RIGHT("00"&amp;$D828,2)))</f>
        <v/>
      </c>
      <c r="F828">
        <f>IF(Entry!$D828&lt;&gt;"",IF(AND(ISNUMBER(Entry!$D828),Entry!$D828&gt;=0,Entry!$D828&lt;1),RIGHT("00"&amp;HOUR(Entry!$D828),2)&amp;":"&amp;RIGHT("00"&amp;MINUTE(Entry!$D828),2),IFERROR(RIGHT("00"&amp;VALUE(TRIM(LEFT(Entry!$D828,FIND(":",Entry!$D828)-1))),2)&amp;":"&amp;RIGHT("00"&amp;VALUE(TRIM(MID(Entry!$D828,FIND(":",Entry!$D828)+1,2))),2),"نامعتبر")),IF(OR($E828="",$E828="نامعتبر"),"","00:00"))</f>
        <v/>
      </c>
      <c r="G828">
        <f>IF(OR($E828="",$E828="نامعتبر"),"",IF(Entry!$E828="","",LEFT(UPPER(TRIM(Entry!$E828)),6)))</f>
        <v/>
      </c>
      <c r="H828">
        <f>IF($G828="","",RIGHT($E828,4)&amp;MID($E828,6,2)&amp;RIGHT($E828,2)&amp;IF($F828="","0000",IF($F828="نامعتبر","9999",LEFT($F828,2)&amp;RIGHT($F828,2)))&amp;"|"&amp;RIGHT("00000"&amp;820,5))</f>
        <v/>
      </c>
      <c r="I828">
        <f>IF($H828="","",COUNTIFS(CalcBank,$G828,CalcKey,"&lt;"&amp;$H828)+1)</f>
        <v/>
      </c>
      <c r="J828">
        <f>IF($I828="","",$G828&amp;"|"&amp;RIGHT("000000"&amp;$I828,6))</f>
        <v/>
      </c>
      <c r="K828">
        <f>IF(OR($E828="",$E828="نامعتبر"),"",LEFT($E828,4)&amp;"/"&amp;MID($E828,6,2))</f>
        <v/>
      </c>
      <c r="L828">
        <f>IF(Entry!$K828="",0,Entry!$K828)</f>
        <v/>
      </c>
      <c r="M828">
        <f>IF(Entry!$L828="",0,Entry!$L828)</f>
        <v/>
      </c>
    </row>
    <row r="829">
      <c r="A829">
        <f>IF(Entry!$C829="","",Entry!$C829)</f>
        <v/>
      </c>
      <c r="B829">
        <f>IF($A829="","",IF(ISNUMBER($A829),IF(AND($A829&gt;=10000101,$A829&lt;=99991231),INT($A829/10000),""),IFERROR(VALUE(TRIM(LEFT($A829,FIND("/",$A829)-1))),"")))</f>
        <v/>
      </c>
      <c r="C829">
        <f>IF(OR($A829="",$B829=""),"",IF(ISNUMBER($A829),INT(MOD($A829,10000)/100),IFERROR(VALUE(TRIM(LEFT(MID($A829,FIND("/",$A829)+1,20),FIND("/",MID($A829,FIND("/",$A829)+1,20))-1))),"")))</f>
        <v/>
      </c>
      <c r="D829">
        <f>IF(OR($A829="",$B829=""),"",IF(ISNUMBER($A829),MOD($A829,100),IFERROR(VALUE(TRIM(MID(MID($A829,FIND("/",$A829)+1,20),FIND("/",MID($A829,FIND("/",$A829)+1,20))+1,20))),"")))</f>
        <v/>
      </c>
      <c r="E829">
        <f>IF($A829="","",IF(OR($B829="",$C829="",$D829="",$B829&lt;1300,$B829&gt;1500,$C829&lt;1,$C829&gt;12,$D829&lt;1,$D829&gt;31),"نامعتبر",RIGHT("0000"&amp;$B829,4)&amp;"/"&amp;RIGHT("00"&amp;$C829,2)&amp;"/"&amp;RIGHT("00"&amp;$D829,2)))</f>
        <v/>
      </c>
      <c r="F829">
        <f>IF(Entry!$D829&lt;&gt;"",IF(AND(ISNUMBER(Entry!$D829),Entry!$D829&gt;=0,Entry!$D829&lt;1),RIGHT("00"&amp;HOUR(Entry!$D829),2)&amp;":"&amp;RIGHT("00"&amp;MINUTE(Entry!$D829),2),IFERROR(RIGHT("00"&amp;VALUE(TRIM(LEFT(Entry!$D829,FIND(":",Entry!$D829)-1))),2)&amp;":"&amp;RIGHT("00"&amp;VALUE(TRIM(MID(Entry!$D829,FIND(":",Entry!$D829)+1,2))),2),"نامعتبر")),IF(OR($E829="",$E829="نامعتبر"),"","00:00"))</f>
        <v/>
      </c>
      <c r="G829">
        <f>IF(OR($E829="",$E829="نامعتبر"),"",IF(Entry!$E829="","",LEFT(UPPER(TRIM(Entry!$E829)),6)))</f>
        <v/>
      </c>
      <c r="H829">
        <f>IF($G829="","",RIGHT($E829,4)&amp;MID($E829,6,2)&amp;RIGHT($E829,2)&amp;IF($F829="","0000",IF($F829="نامعتبر","9999",LEFT($F829,2)&amp;RIGHT($F829,2)))&amp;"|"&amp;RIGHT("00000"&amp;821,5))</f>
        <v/>
      </c>
      <c r="I829">
        <f>IF($H829="","",COUNTIFS(CalcBank,$G829,CalcKey,"&lt;"&amp;$H829)+1)</f>
        <v/>
      </c>
      <c r="J829">
        <f>IF($I829="","",$G829&amp;"|"&amp;RIGHT("000000"&amp;$I829,6))</f>
        <v/>
      </c>
      <c r="K829">
        <f>IF(OR($E829="",$E829="نامعتبر"),"",LEFT($E829,4)&amp;"/"&amp;MID($E829,6,2))</f>
        <v/>
      </c>
      <c r="L829">
        <f>IF(Entry!$K829="",0,Entry!$K829)</f>
        <v/>
      </c>
      <c r="M829">
        <f>IF(Entry!$L829="",0,Entry!$L829)</f>
        <v/>
      </c>
    </row>
    <row r="830">
      <c r="A830">
        <f>IF(Entry!$C830="","",Entry!$C830)</f>
        <v/>
      </c>
      <c r="B830">
        <f>IF($A830="","",IF(ISNUMBER($A830),IF(AND($A830&gt;=10000101,$A830&lt;=99991231),INT($A830/10000),""),IFERROR(VALUE(TRIM(LEFT($A830,FIND("/",$A830)-1))),"")))</f>
        <v/>
      </c>
      <c r="C830">
        <f>IF(OR($A830="",$B830=""),"",IF(ISNUMBER($A830),INT(MOD($A830,10000)/100),IFERROR(VALUE(TRIM(LEFT(MID($A830,FIND("/",$A830)+1,20),FIND("/",MID($A830,FIND("/",$A830)+1,20))-1))),"")))</f>
        <v/>
      </c>
      <c r="D830">
        <f>IF(OR($A830="",$B830=""),"",IF(ISNUMBER($A830),MOD($A830,100),IFERROR(VALUE(TRIM(MID(MID($A830,FIND("/",$A830)+1,20),FIND("/",MID($A830,FIND("/",$A830)+1,20))+1,20))),"")))</f>
        <v/>
      </c>
      <c r="E830">
        <f>IF($A830="","",IF(OR($B830="",$C830="",$D830="",$B830&lt;1300,$B830&gt;1500,$C830&lt;1,$C830&gt;12,$D830&lt;1,$D830&gt;31),"نامعتبر",RIGHT("0000"&amp;$B830,4)&amp;"/"&amp;RIGHT("00"&amp;$C830,2)&amp;"/"&amp;RIGHT("00"&amp;$D830,2)))</f>
        <v/>
      </c>
      <c r="F830">
        <f>IF(Entry!$D830&lt;&gt;"",IF(AND(ISNUMBER(Entry!$D830),Entry!$D830&gt;=0,Entry!$D830&lt;1),RIGHT("00"&amp;HOUR(Entry!$D830),2)&amp;":"&amp;RIGHT("00"&amp;MINUTE(Entry!$D830),2),IFERROR(RIGHT("00"&amp;VALUE(TRIM(LEFT(Entry!$D830,FIND(":",Entry!$D830)-1))),2)&amp;":"&amp;RIGHT("00"&amp;VALUE(TRIM(MID(Entry!$D830,FIND(":",Entry!$D830)+1,2))),2),"نامعتبر")),IF(OR($E830="",$E830="نامعتبر"),"","00:00"))</f>
        <v/>
      </c>
      <c r="G830">
        <f>IF(OR($E830="",$E830="نامعتبر"),"",IF(Entry!$E830="","",LEFT(UPPER(TRIM(Entry!$E830)),6)))</f>
        <v/>
      </c>
      <c r="H830">
        <f>IF($G830="","",RIGHT($E830,4)&amp;MID($E830,6,2)&amp;RIGHT($E830,2)&amp;IF($F830="","0000",IF($F830="نامعتبر","9999",LEFT($F830,2)&amp;RIGHT($F830,2)))&amp;"|"&amp;RIGHT("00000"&amp;822,5))</f>
        <v/>
      </c>
      <c r="I830">
        <f>IF($H830="","",COUNTIFS(CalcBank,$G830,CalcKey,"&lt;"&amp;$H830)+1)</f>
        <v/>
      </c>
      <c r="J830">
        <f>IF($I830="","",$G830&amp;"|"&amp;RIGHT("000000"&amp;$I830,6))</f>
        <v/>
      </c>
      <c r="K830">
        <f>IF(OR($E830="",$E830="نامعتبر"),"",LEFT($E830,4)&amp;"/"&amp;MID($E830,6,2))</f>
        <v/>
      </c>
      <c r="L830">
        <f>IF(Entry!$K830="",0,Entry!$K830)</f>
        <v/>
      </c>
      <c r="M830">
        <f>IF(Entry!$L830="",0,Entry!$L830)</f>
        <v/>
      </c>
    </row>
    <row r="831">
      <c r="A831">
        <f>IF(Entry!$C831="","",Entry!$C831)</f>
        <v/>
      </c>
      <c r="B831">
        <f>IF($A831="","",IF(ISNUMBER($A831),IF(AND($A831&gt;=10000101,$A831&lt;=99991231),INT($A831/10000),""),IFERROR(VALUE(TRIM(LEFT($A831,FIND("/",$A831)-1))),"")))</f>
        <v/>
      </c>
      <c r="C831">
        <f>IF(OR($A831="",$B831=""),"",IF(ISNUMBER($A831),INT(MOD($A831,10000)/100),IFERROR(VALUE(TRIM(LEFT(MID($A831,FIND("/",$A831)+1,20),FIND("/",MID($A831,FIND("/",$A831)+1,20))-1))),"")))</f>
        <v/>
      </c>
      <c r="D831">
        <f>IF(OR($A831="",$B831=""),"",IF(ISNUMBER($A831),MOD($A831,100),IFERROR(VALUE(TRIM(MID(MID($A831,FIND("/",$A831)+1,20),FIND("/",MID($A831,FIND("/",$A831)+1,20))+1,20))),"")))</f>
        <v/>
      </c>
      <c r="E831">
        <f>IF($A831="","",IF(OR($B831="",$C831="",$D831="",$B831&lt;1300,$B831&gt;1500,$C831&lt;1,$C831&gt;12,$D831&lt;1,$D831&gt;31),"نامعتبر",RIGHT("0000"&amp;$B831,4)&amp;"/"&amp;RIGHT("00"&amp;$C831,2)&amp;"/"&amp;RIGHT("00"&amp;$D831,2)))</f>
        <v/>
      </c>
      <c r="F831">
        <f>IF(Entry!$D831&lt;&gt;"",IF(AND(ISNUMBER(Entry!$D831),Entry!$D831&gt;=0,Entry!$D831&lt;1),RIGHT("00"&amp;HOUR(Entry!$D831),2)&amp;":"&amp;RIGHT("00"&amp;MINUTE(Entry!$D831),2),IFERROR(RIGHT("00"&amp;VALUE(TRIM(LEFT(Entry!$D831,FIND(":",Entry!$D831)-1))),2)&amp;":"&amp;RIGHT("00"&amp;VALUE(TRIM(MID(Entry!$D831,FIND(":",Entry!$D831)+1,2))),2),"نامعتبر")),IF(OR($E831="",$E831="نامعتبر"),"","00:00"))</f>
        <v/>
      </c>
      <c r="G831">
        <f>IF(OR($E831="",$E831="نامعتبر"),"",IF(Entry!$E831="","",LEFT(UPPER(TRIM(Entry!$E831)),6)))</f>
        <v/>
      </c>
      <c r="H831">
        <f>IF($G831="","",RIGHT($E831,4)&amp;MID($E831,6,2)&amp;RIGHT($E831,2)&amp;IF($F831="","0000",IF($F831="نامعتبر","9999",LEFT($F831,2)&amp;RIGHT($F831,2)))&amp;"|"&amp;RIGHT("00000"&amp;823,5))</f>
        <v/>
      </c>
      <c r="I831">
        <f>IF($H831="","",COUNTIFS(CalcBank,$G831,CalcKey,"&lt;"&amp;$H831)+1)</f>
        <v/>
      </c>
      <c r="J831">
        <f>IF($I831="","",$G831&amp;"|"&amp;RIGHT("000000"&amp;$I831,6))</f>
        <v/>
      </c>
      <c r="K831">
        <f>IF(OR($E831="",$E831="نامعتبر"),"",LEFT($E831,4)&amp;"/"&amp;MID($E831,6,2))</f>
        <v/>
      </c>
      <c r="L831">
        <f>IF(Entry!$K831="",0,Entry!$K831)</f>
        <v/>
      </c>
      <c r="M831">
        <f>IF(Entry!$L831="",0,Entry!$L831)</f>
        <v/>
      </c>
    </row>
    <row r="832">
      <c r="A832">
        <f>IF(Entry!$C832="","",Entry!$C832)</f>
        <v/>
      </c>
      <c r="B832">
        <f>IF($A832="","",IF(ISNUMBER($A832),IF(AND($A832&gt;=10000101,$A832&lt;=99991231),INT($A832/10000),""),IFERROR(VALUE(TRIM(LEFT($A832,FIND("/",$A832)-1))),"")))</f>
        <v/>
      </c>
      <c r="C832">
        <f>IF(OR($A832="",$B832=""),"",IF(ISNUMBER($A832),INT(MOD($A832,10000)/100),IFERROR(VALUE(TRIM(LEFT(MID($A832,FIND("/",$A832)+1,20),FIND("/",MID($A832,FIND("/",$A832)+1,20))-1))),"")))</f>
        <v/>
      </c>
      <c r="D832">
        <f>IF(OR($A832="",$B832=""),"",IF(ISNUMBER($A832),MOD($A832,100),IFERROR(VALUE(TRIM(MID(MID($A832,FIND("/",$A832)+1,20),FIND("/",MID($A832,FIND("/",$A832)+1,20))+1,20))),"")))</f>
        <v/>
      </c>
      <c r="E832">
        <f>IF($A832="","",IF(OR($B832="",$C832="",$D832="",$B832&lt;1300,$B832&gt;1500,$C832&lt;1,$C832&gt;12,$D832&lt;1,$D832&gt;31),"نامعتبر",RIGHT("0000"&amp;$B832,4)&amp;"/"&amp;RIGHT("00"&amp;$C832,2)&amp;"/"&amp;RIGHT("00"&amp;$D832,2)))</f>
        <v/>
      </c>
      <c r="F832">
        <f>IF(Entry!$D832&lt;&gt;"",IF(AND(ISNUMBER(Entry!$D832),Entry!$D832&gt;=0,Entry!$D832&lt;1),RIGHT("00"&amp;HOUR(Entry!$D832),2)&amp;":"&amp;RIGHT("00"&amp;MINUTE(Entry!$D832),2),IFERROR(RIGHT("00"&amp;VALUE(TRIM(LEFT(Entry!$D832,FIND(":",Entry!$D832)-1))),2)&amp;":"&amp;RIGHT("00"&amp;VALUE(TRIM(MID(Entry!$D832,FIND(":",Entry!$D832)+1,2))),2),"نامعتبر")),IF(OR($E832="",$E832="نامعتبر"),"","00:00"))</f>
        <v/>
      </c>
      <c r="G832">
        <f>IF(OR($E832="",$E832="نامعتبر"),"",IF(Entry!$E832="","",LEFT(UPPER(TRIM(Entry!$E832)),6)))</f>
        <v/>
      </c>
      <c r="H832">
        <f>IF($G832="","",RIGHT($E832,4)&amp;MID($E832,6,2)&amp;RIGHT($E832,2)&amp;IF($F832="","0000",IF($F832="نامعتبر","9999",LEFT($F832,2)&amp;RIGHT($F832,2)))&amp;"|"&amp;RIGHT("00000"&amp;824,5))</f>
        <v/>
      </c>
      <c r="I832">
        <f>IF($H832="","",COUNTIFS(CalcBank,$G832,CalcKey,"&lt;"&amp;$H832)+1)</f>
        <v/>
      </c>
      <c r="J832">
        <f>IF($I832="","",$G832&amp;"|"&amp;RIGHT("000000"&amp;$I832,6))</f>
        <v/>
      </c>
      <c r="K832">
        <f>IF(OR($E832="",$E832="نامعتبر"),"",LEFT($E832,4)&amp;"/"&amp;MID($E832,6,2))</f>
        <v/>
      </c>
      <c r="L832">
        <f>IF(Entry!$K832="",0,Entry!$K832)</f>
        <v/>
      </c>
      <c r="M832">
        <f>IF(Entry!$L832="",0,Entry!$L832)</f>
        <v/>
      </c>
    </row>
    <row r="833">
      <c r="A833">
        <f>IF(Entry!$C833="","",Entry!$C833)</f>
        <v/>
      </c>
      <c r="B833">
        <f>IF($A833="","",IF(ISNUMBER($A833),IF(AND($A833&gt;=10000101,$A833&lt;=99991231),INT($A833/10000),""),IFERROR(VALUE(TRIM(LEFT($A833,FIND("/",$A833)-1))),"")))</f>
        <v/>
      </c>
      <c r="C833">
        <f>IF(OR($A833="",$B833=""),"",IF(ISNUMBER($A833),INT(MOD($A833,10000)/100),IFERROR(VALUE(TRIM(LEFT(MID($A833,FIND("/",$A833)+1,20),FIND("/",MID($A833,FIND("/",$A833)+1,20))-1))),"")))</f>
        <v/>
      </c>
      <c r="D833">
        <f>IF(OR($A833="",$B833=""),"",IF(ISNUMBER($A833),MOD($A833,100),IFERROR(VALUE(TRIM(MID(MID($A833,FIND("/",$A833)+1,20),FIND("/",MID($A833,FIND("/",$A833)+1,20))+1,20))),"")))</f>
        <v/>
      </c>
      <c r="E833">
        <f>IF($A833="","",IF(OR($B833="",$C833="",$D833="",$B833&lt;1300,$B833&gt;1500,$C833&lt;1,$C833&gt;12,$D833&lt;1,$D833&gt;31),"نامعتبر",RIGHT("0000"&amp;$B833,4)&amp;"/"&amp;RIGHT("00"&amp;$C833,2)&amp;"/"&amp;RIGHT("00"&amp;$D833,2)))</f>
        <v/>
      </c>
      <c r="F833">
        <f>IF(Entry!$D833&lt;&gt;"",IF(AND(ISNUMBER(Entry!$D833),Entry!$D833&gt;=0,Entry!$D833&lt;1),RIGHT("00"&amp;HOUR(Entry!$D833),2)&amp;":"&amp;RIGHT("00"&amp;MINUTE(Entry!$D833),2),IFERROR(RIGHT("00"&amp;VALUE(TRIM(LEFT(Entry!$D833,FIND(":",Entry!$D833)-1))),2)&amp;":"&amp;RIGHT("00"&amp;VALUE(TRIM(MID(Entry!$D833,FIND(":",Entry!$D833)+1,2))),2),"نامعتبر")),IF(OR($E833="",$E833="نامعتبر"),"","00:00"))</f>
        <v/>
      </c>
      <c r="G833">
        <f>IF(OR($E833="",$E833="نامعتبر"),"",IF(Entry!$E833="","",LEFT(UPPER(TRIM(Entry!$E833)),6)))</f>
        <v/>
      </c>
      <c r="H833">
        <f>IF($G833="","",RIGHT($E833,4)&amp;MID($E833,6,2)&amp;RIGHT($E833,2)&amp;IF($F833="","0000",IF($F833="نامعتبر","9999",LEFT($F833,2)&amp;RIGHT($F833,2)))&amp;"|"&amp;RIGHT("00000"&amp;825,5))</f>
        <v/>
      </c>
      <c r="I833">
        <f>IF($H833="","",COUNTIFS(CalcBank,$G833,CalcKey,"&lt;"&amp;$H833)+1)</f>
        <v/>
      </c>
      <c r="J833">
        <f>IF($I833="","",$G833&amp;"|"&amp;RIGHT("000000"&amp;$I833,6))</f>
        <v/>
      </c>
      <c r="K833">
        <f>IF(OR($E833="",$E833="نامعتبر"),"",LEFT($E833,4)&amp;"/"&amp;MID($E833,6,2))</f>
        <v/>
      </c>
      <c r="L833">
        <f>IF(Entry!$K833="",0,Entry!$K833)</f>
        <v/>
      </c>
      <c r="M833">
        <f>IF(Entry!$L833="",0,Entry!$L833)</f>
        <v/>
      </c>
    </row>
    <row r="834">
      <c r="A834">
        <f>IF(Entry!$C834="","",Entry!$C834)</f>
        <v/>
      </c>
      <c r="B834">
        <f>IF($A834="","",IF(ISNUMBER($A834),IF(AND($A834&gt;=10000101,$A834&lt;=99991231),INT($A834/10000),""),IFERROR(VALUE(TRIM(LEFT($A834,FIND("/",$A834)-1))),"")))</f>
        <v/>
      </c>
      <c r="C834">
        <f>IF(OR($A834="",$B834=""),"",IF(ISNUMBER($A834),INT(MOD($A834,10000)/100),IFERROR(VALUE(TRIM(LEFT(MID($A834,FIND("/",$A834)+1,20),FIND("/",MID($A834,FIND("/",$A834)+1,20))-1))),"")))</f>
        <v/>
      </c>
      <c r="D834">
        <f>IF(OR($A834="",$B834=""),"",IF(ISNUMBER($A834),MOD($A834,100),IFERROR(VALUE(TRIM(MID(MID($A834,FIND("/",$A834)+1,20),FIND("/",MID($A834,FIND("/",$A834)+1,20))+1,20))),"")))</f>
        <v/>
      </c>
      <c r="E834">
        <f>IF($A834="","",IF(OR($B834="",$C834="",$D834="",$B834&lt;1300,$B834&gt;1500,$C834&lt;1,$C834&gt;12,$D834&lt;1,$D834&gt;31),"نامعتبر",RIGHT("0000"&amp;$B834,4)&amp;"/"&amp;RIGHT("00"&amp;$C834,2)&amp;"/"&amp;RIGHT("00"&amp;$D834,2)))</f>
        <v/>
      </c>
      <c r="F834">
        <f>IF(Entry!$D834&lt;&gt;"",IF(AND(ISNUMBER(Entry!$D834),Entry!$D834&gt;=0,Entry!$D834&lt;1),RIGHT("00"&amp;HOUR(Entry!$D834),2)&amp;":"&amp;RIGHT("00"&amp;MINUTE(Entry!$D834),2),IFERROR(RIGHT("00"&amp;VALUE(TRIM(LEFT(Entry!$D834,FIND(":",Entry!$D834)-1))),2)&amp;":"&amp;RIGHT("00"&amp;VALUE(TRIM(MID(Entry!$D834,FIND(":",Entry!$D834)+1,2))),2),"نامعتبر")),IF(OR($E834="",$E834="نامعتبر"),"","00:00"))</f>
        <v/>
      </c>
      <c r="G834">
        <f>IF(OR($E834="",$E834="نامعتبر"),"",IF(Entry!$E834="","",LEFT(UPPER(TRIM(Entry!$E834)),6)))</f>
        <v/>
      </c>
      <c r="H834">
        <f>IF($G834="","",RIGHT($E834,4)&amp;MID($E834,6,2)&amp;RIGHT($E834,2)&amp;IF($F834="","0000",IF($F834="نامعتبر","9999",LEFT($F834,2)&amp;RIGHT($F834,2)))&amp;"|"&amp;RIGHT("00000"&amp;826,5))</f>
        <v/>
      </c>
      <c r="I834">
        <f>IF($H834="","",COUNTIFS(CalcBank,$G834,CalcKey,"&lt;"&amp;$H834)+1)</f>
        <v/>
      </c>
      <c r="J834">
        <f>IF($I834="","",$G834&amp;"|"&amp;RIGHT("000000"&amp;$I834,6))</f>
        <v/>
      </c>
      <c r="K834">
        <f>IF(OR($E834="",$E834="نامعتبر"),"",LEFT($E834,4)&amp;"/"&amp;MID($E834,6,2))</f>
        <v/>
      </c>
      <c r="L834">
        <f>IF(Entry!$K834="",0,Entry!$K834)</f>
        <v/>
      </c>
      <c r="M834">
        <f>IF(Entry!$L834="",0,Entry!$L834)</f>
        <v/>
      </c>
    </row>
    <row r="835">
      <c r="A835">
        <f>IF(Entry!$C835="","",Entry!$C835)</f>
        <v/>
      </c>
      <c r="B835">
        <f>IF($A835="","",IF(ISNUMBER($A835),IF(AND($A835&gt;=10000101,$A835&lt;=99991231),INT($A835/10000),""),IFERROR(VALUE(TRIM(LEFT($A835,FIND("/",$A835)-1))),"")))</f>
        <v/>
      </c>
      <c r="C835">
        <f>IF(OR($A835="",$B835=""),"",IF(ISNUMBER($A835),INT(MOD($A835,10000)/100),IFERROR(VALUE(TRIM(LEFT(MID($A835,FIND("/",$A835)+1,20),FIND("/",MID($A835,FIND("/",$A835)+1,20))-1))),"")))</f>
        <v/>
      </c>
      <c r="D835">
        <f>IF(OR($A835="",$B835=""),"",IF(ISNUMBER($A835),MOD($A835,100),IFERROR(VALUE(TRIM(MID(MID($A835,FIND("/",$A835)+1,20),FIND("/",MID($A835,FIND("/",$A835)+1,20))+1,20))),"")))</f>
        <v/>
      </c>
      <c r="E835">
        <f>IF($A835="","",IF(OR($B835="",$C835="",$D835="",$B835&lt;1300,$B835&gt;1500,$C835&lt;1,$C835&gt;12,$D835&lt;1,$D835&gt;31),"نامعتبر",RIGHT("0000"&amp;$B835,4)&amp;"/"&amp;RIGHT("00"&amp;$C835,2)&amp;"/"&amp;RIGHT("00"&amp;$D835,2)))</f>
        <v/>
      </c>
      <c r="F835">
        <f>IF(Entry!$D835&lt;&gt;"",IF(AND(ISNUMBER(Entry!$D835),Entry!$D835&gt;=0,Entry!$D835&lt;1),RIGHT("00"&amp;HOUR(Entry!$D835),2)&amp;":"&amp;RIGHT("00"&amp;MINUTE(Entry!$D835),2),IFERROR(RIGHT("00"&amp;VALUE(TRIM(LEFT(Entry!$D835,FIND(":",Entry!$D835)-1))),2)&amp;":"&amp;RIGHT("00"&amp;VALUE(TRIM(MID(Entry!$D835,FIND(":",Entry!$D835)+1,2))),2),"نامعتبر")),IF(OR($E835="",$E835="نامعتبر"),"","00:00"))</f>
        <v/>
      </c>
      <c r="G835">
        <f>IF(OR($E835="",$E835="نامعتبر"),"",IF(Entry!$E835="","",LEFT(UPPER(TRIM(Entry!$E835)),6)))</f>
        <v/>
      </c>
      <c r="H835">
        <f>IF($G835="","",RIGHT($E835,4)&amp;MID($E835,6,2)&amp;RIGHT($E835,2)&amp;IF($F835="","0000",IF($F835="نامعتبر","9999",LEFT($F835,2)&amp;RIGHT($F835,2)))&amp;"|"&amp;RIGHT("00000"&amp;827,5))</f>
        <v/>
      </c>
      <c r="I835">
        <f>IF($H835="","",COUNTIFS(CalcBank,$G835,CalcKey,"&lt;"&amp;$H835)+1)</f>
        <v/>
      </c>
      <c r="J835">
        <f>IF($I835="","",$G835&amp;"|"&amp;RIGHT("000000"&amp;$I835,6))</f>
        <v/>
      </c>
      <c r="K835">
        <f>IF(OR($E835="",$E835="نامعتبر"),"",LEFT($E835,4)&amp;"/"&amp;MID($E835,6,2))</f>
        <v/>
      </c>
      <c r="L835">
        <f>IF(Entry!$K835="",0,Entry!$K835)</f>
        <v/>
      </c>
      <c r="M835">
        <f>IF(Entry!$L835="",0,Entry!$L835)</f>
        <v/>
      </c>
    </row>
    <row r="836">
      <c r="A836">
        <f>IF(Entry!$C836="","",Entry!$C836)</f>
        <v/>
      </c>
      <c r="B836">
        <f>IF($A836="","",IF(ISNUMBER($A836),IF(AND($A836&gt;=10000101,$A836&lt;=99991231),INT($A836/10000),""),IFERROR(VALUE(TRIM(LEFT($A836,FIND("/",$A836)-1))),"")))</f>
        <v/>
      </c>
      <c r="C836">
        <f>IF(OR($A836="",$B836=""),"",IF(ISNUMBER($A836),INT(MOD($A836,10000)/100),IFERROR(VALUE(TRIM(LEFT(MID($A836,FIND("/",$A836)+1,20),FIND("/",MID($A836,FIND("/",$A836)+1,20))-1))),"")))</f>
        <v/>
      </c>
      <c r="D836">
        <f>IF(OR($A836="",$B836=""),"",IF(ISNUMBER($A836),MOD($A836,100),IFERROR(VALUE(TRIM(MID(MID($A836,FIND("/",$A836)+1,20),FIND("/",MID($A836,FIND("/",$A836)+1,20))+1,20))),"")))</f>
        <v/>
      </c>
      <c r="E836">
        <f>IF($A836="","",IF(OR($B836="",$C836="",$D836="",$B836&lt;1300,$B836&gt;1500,$C836&lt;1,$C836&gt;12,$D836&lt;1,$D836&gt;31),"نامعتبر",RIGHT("0000"&amp;$B836,4)&amp;"/"&amp;RIGHT("00"&amp;$C836,2)&amp;"/"&amp;RIGHT("00"&amp;$D836,2)))</f>
        <v/>
      </c>
      <c r="F836">
        <f>IF(Entry!$D836&lt;&gt;"",IF(AND(ISNUMBER(Entry!$D836),Entry!$D836&gt;=0,Entry!$D836&lt;1),RIGHT("00"&amp;HOUR(Entry!$D836),2)&amp;":"&amp;RIGHT("00"&amp;MINUTE(Entry!$D836),2),IFERROR(RIGHT("00"&amp;VALUE(TRIM(LEFT(Entry!$D836,FIND(":",Entry!$D836)-1))),2)&amp;":"&amp;RIGHT("00"&amp;VALUE(TRIM(MID(Entry!$D836,FIND(":",Entry!$D836)+1,2))),2),"نامعتبر")),IF(OR($E836="",$E836="نامعتبر"),"","00:00"))</f>
        <v/>
      </c>
      <c r="G836">
        <f>IF(OR($E836="",$E836="نامعتبر"),"",IF(Entry!$E836="","",LEFT(UPPER(TRIM(Entry!$E836)),6)))</f>
        <v/>
      </c>
      <c r="H836">
        <f>IF($G836="","",RIGHT($E836,4)&amp;MID($E836,6,2)&amp;RIGHT($E836,2)&amp;IF($F836="","0000",IF($F836="نامعتبر","9999",LEFT($F836,2)&amp;RIGHT($F836,2)))&amp;"|"&amp;RIGHT("00000"&amp;828,5))</f>
        <v/>
      </c>
      <c r="I836">
        <f>IF($H836="","",COUNTIFS(CalcBank,$G836,CalcKey,"&lt;"&amp;$H836)+1)</f>
        <v/>
      </c>
      <c r="J836">
        <f>IF($I836="","",$G836&amp;"|"&amp;RIGHT("000000"&amp;$I836,6))</f>
        <v/>
      </c>
      <c r="K836">
        <f>IF(OR($E836="",$E836="نامعتبر"),"",LEFT($E836,4)&amp;"/"&amp;MID($E836,6,2))</f>
        <v/>
      </c>
      <c r="L836">
        <f>IF(Entry!$K836="",0,Entry!$K836)</f>
        <v/>
      </c>
      <c r="M836">
        <f>IF(Entry!$L836="",0,Entry!$L836)</f>
        <v/>
      </c>
    </row>
    <row r="837">
      <c r="A837">
        <f>IF(Entry!$C837="","",Entry!$C837)</f>
        <v/>
      </c>
      <c r="B837">
        <f>IF($A837="","",IF(ISNUMBER($A837),IF(AND($A837&gt;=10000101,$A837&lt;=99991231),INT($A837/10000),""),IFERROR(VALUE(TRIM(LEFT($A837,FIND("/",$A837)-1))),"")))</f>
        <v/>
      </c>
      <c r="C837">
        <f>IF(OR($A837="",$B837=""),"",IF(ISNUMBER($A837),INT(MOD($A837,10000)/100),IFERROR(VALUE(TRIM(LEFT(MID($A837,FIND("/",$A837)+1,20),FIND("/",MID($A837,FIND("/",$A837)+1,20))-1))),"")))</f>
        <v/>
      </c>
      <c r="D837">
        <f>IF(OR($A837="",$B837=""),"",IF(ISNUMBER($A837),MOD($A837,100),IFERROR(VALUE(TRIM(MID(MID($A837,FIND("/",$A837)+1,20),FIND("/",MID($A837,FIND("/",$A837)+1,20))+1,20))),"")))</f>
        <v/>
      </c>
      <c r="E837">
        <f>IF($A837="","",IF(OR($B837="",$C837="",$D837="",$B837&lt;1300,$B837&gt;1500,$C837&lt;1,$C837&gt;12,$D837&lt;1,$D837&gt;31),"نامعتبر",RIGHT("0000"&amp;$B837,4)&amp;"/"&amp;RIGHT("00"&amp;$C837,2)&amp;"/"&amp;RIGHT("00"&amp;$D837,2)))</f>
        <v/>
      </c>
      <c r="F837">
        <f>IF(Entry!$D837&lt;&gt;"",IF(AND(ISNUMBER(Entry!$D837),Entry!$D837&gt;=0,Entry!$D837&lt;1),RIGHT("00"&amp;HOUR(Entry!$D837),2)&amp;":"&amp;RIGHT("00"&amp;MINUTE(Entry!$D837),2),IFERROR(RIGHT("00"&amp;VALUE(TRIM(LEFT(Entry!$D837,FIND(":",Entry!$D837)-1))),2)&amp;":"&amp;RIGHT("00"&amp;VALUE(TRIM(MID(Entry!$D837,FIND(":",Entry!$D837)+1,2))),2),"نامعتبر")),IF(OR($E837="",$E837="نامعتبر"),"","00:00"))</f>
        <v/>
      </c>
      <c r="G837">
        <f>IF(OR($E837="",$E837="نامعتبر"),"",IF(Entry!$E837="","",LEFT(UPPER(TRIM(Entry!$E837)),6)))</f>
        <v/>
      </c>
      <c r="H837">
        <f>IF($G837="","",RIGHT($E837,4)&amp;MID($E837,6,2)&amp;RIGHT($E837,2)&amp;IF($F837="","0000",IF($F837="نامعتبر","9999",LEFT($F837,2)&amp;RIGHT($F837,2)))&amp;"|"&amp;RIGHT("00000"&amp;829,5))</f>
        <v/>
      </c>
      <c r="I837">
        <f>IF($H837="","",COUNTIFS(CalcBank,$G837,CalcKey,"&lt;"&amp;$H837)+1)</f>
        <v/>
      </c>
      <c r="J837">
        <f>IF($I837="","",$G837&amp;"|"&amp;RIGHT("000000"&amp;$I837,6))</f>
        <v/>
      </c>
      <c r="K837">
        <f>IF(OR($E837="",$E837="نامعتبر"),"",LEFT($E837,4)&amp;"/"&amp;MID($E837,6,2))</f>
        <v/>
      </c>
      <c r="L837">
        <f>IF(Entry!$K837="",0,Entry!$K837)</f>
        <v/>
      </c>
      <c r="M837">
        <f>IF(Entry!$L837="",0,Entry!$L837)</f>
        <v/>
      </c>
    </row>
    <row r="838">
      <c r="A838">
        <f>IF(Entry!$C838="","",Entry!$C838)</f>
        <v/>
      </c>
      <c r="B838">
        <f>IF($A838="","",IF(ISNUMBER($A838),IF(AND($A838&gt;=10000101,$A838&lt;=99991231),INT($A838/10000),""),IFERROR(VALUE(TRIM(LEFT($A838,FIND("/",$A838)-1))),"")))</f>
        <v/>
      </c>
      <c r="C838">
        <f>IF(OR($A838="",$B838=""),"",IF(ISNUMBER($A838),INT(MOD($A838,10000)/100),IFERROR(VALUE(TRIM(LEFT(MID($A838,FIND("/",$A838)+1,20),FIND("/",MID($A838,FIND("/",$A838)+1,20))-1))),"")))</f>
        <v/>
      </c>
      <c r="D838">
        <f>IF(OR($A838="",$B838=""),"",IF(ISNUMBER($A838),MOD($A838,100),IFERROR(VALUE(TRIM(MID(MID($A838,FIND("/",$A838)+1,20),FIND("/",MID($A838,FIND("/",$A838)+1,20))+1,20))),"")))</f>
        <v/>
      </c>
      <c r="E838">
        <f>IF($A838="","",IF(OR($B838="",$C838="",$D838="",$B838&lt;1300,$B838&gt;1500,$C838&lt;1,$C838&gt;12,$D838&lt;1,$D838&gt;31),"نامعتبر",RIGHT("0000"&amp;$B838,4)&amp;"/"&amp;RIGHT("00"&amp;$C838,2)&amp;"/"&amp;RIGHT("00"&amp;$D838,2)))</f>
        <v/>
      </c>
      <c r="F838">
        <f>IF(Entry!$D838&lt;&gt;"",IF(AND(ISNUMBER(Entry!$D838),Entry!$D838&gt;=0,Entry!$D838&lt;1),RIGHT("00"&amp;HOUR(Entry!$D838),2)&amp;":"&amp;RIGHT("00"&amp;MINUTE(Entry!$D838),2),IFERROR(RIGHT("00"&amp;VALUE(TRIM(LEFT(Entry!$D838,FIND(":",Entry!$D838)-1))),2)&amp;":"&amp;RIGHT("00"&amp;VALUE(TRIM(MID(Entry!$D838,FIND(":",Entry!$D838)+1,2))),2),"نامعتبر")),IF(OR($E838="",$E838="نامعتبر"),"","00:00"))</f>
        <v/>
      </c>
      <c r="G838">
        <f>IF(OR($E838="",$E838="نامعتبر"),"",IF(Entry!$E838="","",LEFT(UPPER(TRIM(Entry!$E838)),6)))</f>
        <v/>
      </c>
      <c r="H838">
        <f>IF($G838="","",RIGHT($E838,4)&amp;MID($E838,6,2)&amp;RIGHT($E838,2)&amp;IF($F838="","0000",IF($F838="نامعتبر","9999",LEFT($F838,2)&amp;RIGHT($F838,2)))&amp;"|"&amp;RIGHT("00000"&amp;830,5))</f>
        <v/>
      </c>
      <c r="I838">
        <f>IF($H838="","",COUNTIFS(CalcBank,$G838,CalcKey,"&lt;"&amp;$H838)+1)</f>
        <v/>
      </c>
      <c r="J838">
        <f>IF($I838="","",$G838&amp;"|"&amp;RIGHT("000000"&amp;$I838,6))</f>
        <v/>
      </c>
      <c r="K838">
        <f>IF(OR($E838="",$E838="نامعتبر"),"",LEFT($E838,4)&amp;"/"&amp;MID($E838,6,2))</f>
        <v/>
      </c>
      <c r="L838">
        <f>IF(Entry!$K838="",0,Entry!$K838)</f>
        <v/>
      </c>
      <c r="M838">
        <f>IF(Entry!$L838="",0,Entry!$L838)</f>
        <v/>
      </c>
    </row>
    <row r="839">
      <c r="A839">
        <f>IF(Entry!$C839="","",Entry!$C839)</f>
        <v/>
      </c>
      <c r="B839">
        <f>IF($A839="","",IF(ISNUMBER($A839),IF(AND($A839&gt;=10000101,$A839&lt;=99991231),INT($A839/10000),""),IFERROR(VALUE(TRIM(LEFT($A839,FIND("/",$A839)-1))),"")))</f>
        <v/>
      </c>
      <c r="C839">
        <f>IF(OR($A839="",$B839=""),"",IF(ISNUMBER($A839),INT(MOD($A839,10000)/100),IFERROR(VALUE(TRIM(LEFT(MID($A839,FIND("/",$A839)+1,20),FIND("/",MID($A839,FIND("/",$A839)+1,20))-1))),"")))</f>
        <v/>
      </c>
      <c r="D839">
        <f>IF(OR($A839="",$B839=""),"",IF(ISNUMBER($A839),MOD($A839,100),IFERROR(VALUE(TRIM(MID(MID($A839,FIND("/",$A839)+1,20),FIND("/",MID($A839,FIND("/",$A839)+1,20))+1,20))),"")))</f>
        <v/>
      </c>
      <c r="E839">
        <f>IF($A839="","",IF(OR($B839="",$C839="",$D839="",$B839&lt;1300,$B839&gt;1500,$C839&lt;1,$C839&gt;12,$D839&lt;1,$D839&gt;31),"نامعتبر",RIGHT("0000"&amp;$B839,4)&amp;"/"&amp;RIGHT("00"&amp;$C839,2)&amp;"/"&amp;RIGHT("00"&amp;$D839,2)))</f>
        <v/>
      </c>
      <c r="F839">
        <f>IF(Entry!$D839&lt;&gt;"",IF(AND(ISNUMBER(Entry!$D839),Entry!$D839&gt;=0,Entry!$D839&lt;1),RIGHT("00"&amp;HOUR(Entry!$D839),2)&amp;":"&amp;RIGHT("00"&amp;MINUTE(Entry!$D839),2),IFERROR(RIGHT("00"&amp;VALUE(TRIM(LEFT(Entry!$D839,FIND(":",Entry!$D839)-1))),2)&amp;":"&amp;RIGHT("00"&amp;VALUE(TRIM(MID(Entry!$D839,FIND(":",Entry!$D839)+1,2))),2),"نامعتبر")),IF(OR($E839="",$E839="نامعتبر"),"","00:00"))</f>
        <v/>
      </c>
      <c r="G839">
        <f>IF(OR($E839="",$E839="نامعتبر"),"",IF(Entry!$E839="","",LEFT(UPPER(TRIM(Entry!$E839)),6)))</f>
        <v/>
      </c>
      <c r="H839">
        <f>IF($G839="","",RIGHT($E839,4)&amp;MID($E839,6,2)&amp;RIGHT($E839,2)&amp;IF($F839="","0000",IF($F839="نامعتبر","9999",LEFT($F839,2)&amp;RIGHT($F839,2)))&amp;"|"&amp;RIGHT("00000"&amp;831,5))</f>
        <v/>
      </c>
      <c r="I839">
        <f>IF($H839="","",COUNTIFS(CalcBank,$G839,CalcKey,"&lt;"&amp;$H839)+1)</f>
        <v/>
      </c>
      <c r="J839">
        <f>IF($I839="","",$G839&amp;"|"&amp;RIGHT("000000"&amp;$I839,6))</f>
        <v/>
      </c>
      <c r="K839">
        <f>IF(OR($E839="",$E839="نامعتبر"),"",LEFT($E839,4)&amp;"/"&amp;MID($E839,6,2))</f>
        <v/>
      </c>
      <c r="L839">
        <f>IF(Entry!$K839="",0,Entry!$K839)</f>
        <v/>
      </c>
      <c r="M839">
        <f>IF(Entry!$L839="",0,Entry!$L839)</f>
        <v/>
      </c>
    </row>
    <row r="840">
      <c r="A840">
        <f>IF(Entry!$C840="","",Entry!$C840)</f>
        <v/>
      </c>
      <c r="B840">
        <f>IF($A840="","",IF(ISNUMBER($A840),IF(AND($A840&gt;=10000101,$A840&lt;=99991231),INT($A840/10000),""),IFERROR(VALUE(TRIM(LEFT($A840,FIND("/",$A840)-1))),"")))</f>
        <v/>
      </c>
      <c r="C840">
        <f>IF(OR($A840="",$B840=""),"",IF(ISNUMBER($A840),INT(MOD($A840,10000)/100),IFERROR(VALUE(TRIM(LEFT(MID($A840,FIND("/",$A840)+1,20),FIND("/",MID($A840,FIND("/",$A840)+1,20))-1))),"")))</f>
        <v/>
      </c>
      <c r="D840">
        <f>IF(OR($A840="",$B840=""),"",IF(ISNUMBER($A840),MOD($A840,100),IFERROR(VALUE(TRIM(MID(MID($A840,FIND("/",$A840)+1,20),FIND("/",MID($A840,FIND("/",$A840)+1,20))+1,20))),"")))</f>
        <v/>
      </c>
      <c r="E840">
        <f>IF($A840="","",IF(OR($B840="",$C840="",$D840="",$B840&lt;1300,$B840&gt;1500,$C840&lt;1,$C840&gt;12,$D840&lt;1,$D840&gt;31),"نامعتبر",RIGHT("0000"&amp;$B840,4)&amp;"/"&amp;RIGHT("00"&amp;$C840,2)&amp;"/"&amp;RIGHT("00"&amp;$D840,2)))</f>
        <v/>
      </c>
      <c r="F840">
        <f>IF(Entry!$D840&lt;&gt;"",IF(AND(ISNUMBER(Entry!$D840),Entry!$D840&gt;=0,Entry!$D840&lt;1),RIGHT("00"&amp;HOUR(Entry!$D840),2)&amp;":"&amp;RIGHT("00"&amp;MINUTE(Entry!$D840),2),IFERROR(RIGHT("00"&amp;VALUE(TRIM(LEFT(Entry!$D840,FIND(":",Entry!$D840)-1))),2)&amp;":"&amp;RIGHT("00"&amp;VALUE(TRIM(MID(Entry!$D840,FIND(":",Entry!$D840)+1,2))),2),"نامعتبر")),IF(OR($E840="",$E840="نامعتبر"),"","00:00"))</f>
        <v/>
      </c>
      <c r="G840">
        <f>IF(OR($E840="",$E840="نامعتبر"),"",IF(Entry!$E840="","",LEFT(UPPER(TRIM(Entry!$E840)),6)))</f>
        <v/>
      </c>
      <c r="H840">
        <f>IF($G840="","",RIGHT($E840,4)&amp;MID($E840,6,2)&amp;RIGHT($E840,2)&amp;IF($F840="","0000",IF($F840="نامعتبر","9999",LEFT($F840,2)&amp;RIGHT($F840,2)))&amp;"|"&amp;RIGHT("00000"&amp;832,5))</f>
        <v/>
      </c>
      <c r="I840">
        <f>IF($H840="","",COUNTIFS(CalcBank,$G840,CalcKey,"&lt;"&amp;$H840)+1)</f>
        <v/>
      </c>
      <c r="J840">
        <f>IF($I840="","",$G840&amp;"|"&amp;RIGHT("000000"&amp;$I840,6))</f>
        <v/>
      </c>
      <c r="K840">
        <f>IF(OR($E840="",$E840="نامعتبر"),"",LEFT($E840,4)&amp;"/"&amp;MID($E840,6,2))</f>
        <v/>
      </c>
      <c r="L840">
        <f>IF(Entry!$K840="",0,Entry!$K840)</f>
        <v/>
      </c>
      <c r="M840">
        <f>IF(Entry!$L840="",0,Entry!$L840)</f>
        <v/>
      </c>
    </row>
    <row r="841">
      <c r="A841">
        <f>IF(Entry!$C841="","",Entry!$C841)</f>
        <v/>
      </c>
      <c r="B841">
        <f>IF($A841="","",IF(ISNUMBER($A841),IF(AND($A841&gt;=10000101,$A841&lt;=99991231),INT($A841/10000),""),IFERROR(VALUE(TRIM(LEFT($A841,FIND("/",$A841)-1))),"")))</f>
        <v/>
      </c>
      <c r="C841">
        <f>IF(OR($A841="",$B841=""),"",IF(ISNUMBER($A841),INT(MOD($A841,10000)/100),IFERROR(VALUE(TRIM(LEFT(MID($A841,FIND("/",$A841)+1,20),FIND("/",MID($A841,FIND("/",$A841)+1,20))-1))),"")))</f>
        <v/>
      </c>
      <c r="D841">
        <f>IF(OR($A841="",$B841=""),"",IF(ISNUMBER($A841),MOD($A841,100),IFERROR(VALUE(TRIM(MID(MID($A841,FIND("/",$A841)+1,20),FIND("/",MID($A841,FIND("/",$A841)+1,20))+1,20))),"")))</f>
        <v/>
      </c>
      <c r="E841">
        <f>IF($A841="","",IF(OR($B841="",$C841="",$D841="",$B841&lt;1300,$B841&gt;1500,$C841&lt;1,$C841&gt;12,$D841&lt;1,$D841&gt;31),"نامعتبر",RIGHT("0000"&amp;$B841,4)&amp;"/"&amp;RIGHT("00"&amp;$C841,2)&amp;"/"&amp;RIGHT("00"&amp;$D841,2)))</f>
        <v/>
      </c>
      <c r="F841">
        <f>IF(Entry!$D841&lt;&gt;"",IF(AND(ISNUMBER(Entry!$D841),Entry!$D841&gt;=0,Entry!$D841&lt;1),RIGHT("00"&amp;HOUR(Entry!$D841),2)&amp;":"&amp;RIGHT("00"&amp;MINUTE(Entry!$D841),2),IFERROR(RIGHT("00"&amp;VALUE(TRIM(LEFT(Entry!$D841,FIND(":",Entry!$D841)-1))),2)&amp;":"&amp;RIGHT("00"&amp;VALUE(TRIM(MID(Entry!$D841,FIND(":",Entry!$D841)+1,2))),2),"نامعتبر")),IF(OR($E841="",$E841="نامعتبر"),"","00:00"))</f>
        <v/>
      </c>
      <c r="G841">
        <f>IF(OR($E841="",$E841="نامعتبر"),"",IF(Entry!$E841="","",LEFT(UPPER(TRIM(Entry!$E841)),6)))</f>
        <v/>
      </c>
      <c r="H841">
        <f>IF($G841="","",RIGHT($E841,4)&amp;MID($E841,6,2)&amp;RIGHT($E841,2)&amp;IF($F841="","0000",IF($F841="نامعتبر","9999",LEFT($F841,2)&amp;RIGHT($F841,2)))&amp;"|"&amp;RIGHT("00000"&amp;833,5))</f>
        <v/>
      </c>
      <c r="I841">
        <f>IF($H841="","",COUNTIFS(CalcBank,$G841,CalcKey,"&lt;"&amp;$H841)+1)</f>
        <v/>
      </c>
      <c r="J841">
        <f>IF($I841="","",$G841&amp;"|"&amp;RIGHT("000000"&amp;$I841,6))</f>
        <v/>
      </c>
      <c r="K841">
        <f>IF(OR($E841="",$E841="نامعتبر"),"",LEFT($E841,4)&amp;"/"&amp;MID($E841,6,2))</f>
        <v/>
      </c>
      <c r="L841">
        <f>IF(Entry!$K841="",0,Entry!$K841)</f>
        <v/>
      </c>
      <c r="M841">
        <f>IF(Entry!$L841="",0,Entry!$L841)</f>
        <v/>
      </c>
    </row>
    <row r="842">
      <c r="A842">
        <f>IF(Entry!$C842="","",Entry!$C842)</f>
        <v/>
      </c>
      <c r="B842">
        <f>IF($A842="","",IF(ISNUMBER($A842),IF(AND($A842&gt;=10000101,$A842&lt;=99991231),INT($A842/10000),""),IFERROR(VALUE(TRIM(LEFT($A842,FIND("/",$A842)-1))),"")))</f>
        <v/>
      </c>
      <c r="C842">
        <f>IF(OR($A842="",$B842=""),"",IF(ISNUMBER($A842),INT(MOD($A842,10000)/100),IFERROR(VALUE(TRIM(LEFT(MID($A842,FIND("/",$A842)+1,20),FIND("/",MID($A842,FIND("/",$A842)+1,20))-1))),"")))</f>
        <v/>
      </c>
      <c r="D842">
        <f>IF(OR($A842="",$B842=""),"",IF(ISNUMBER($A842),MOD($A842,100),IFERROR(VALUE(TRIM(MID(MID($A842,FIND("/",$A842)+1,20),FIND("/",MID($A842,FIND("/",$A842)+1,20))+1,20))),"")))</f>
        <v/>
      </c>
      <c r="E842">
        <f>IF($A842="","",IF(OR($B842="",$C842="",$D842="",$B842&lt;1300,$B842&gt;1500,$C842&lt;1,$C842&gt;12,$D842&lt;1,$D842&gt;31),"نامعتبر",RIGHT("0000"&amp;$B842,4)&amp;"/"&amp;RIGHT("00"&amp;$C842,2)&amp;"/"&amp;RIGHT("00"&amp;$D842,2)))</f>
        <v/>
      </c>
      <c r="F842">
        <f>IF(Entry!$D842&lt;&gt;"",IF(AND(ISNUMBER(Entry!$D842),Entry!$D842&gt;=0,Entry!$D842&lt;1),RIGHT("00"&amp;HOUR(Entry!$D842),2)&amp;":"&amp;RIGHT("00"&amp;MINUTE(Entry!$D842),2),IFERROR(RIGHT("00"&amp;VALUE(TRIM(LEFT(Entry!$D842,FIND(":",Entry!$D842)-1))),2)&amp;":"&amp;RIGHT("00"&amp;VALUE(TRIM(MID(Entry!$D842,FIND(":",Entry!$D842)+1,2))),2),"نامعتبر")),IF(OR($E842="",$E842="نامعتبر"),"","00:00"))</f>
        <v/>
      </c>
      <c r="G842">
        <f>IF(OR($E842="",$E842="نامعتبر"),"",IF(Entry!$E842="","",LEFT(UPPER(TRIM(Entry!$E842)),6)))</f>
        <v/>
      </c>
      <c r="H842">
        <f>IF($G842="","",RIGHT($E842,4)&amp;MID($E842,6,2)&amp;RIGHT($E842,2)&amp;IF($F842="","0000",IF($F842="نامعتبر","9999",LEFT($F842,2)&amp;RIGHT($F842,2)))&amp;"|"&amp;RIGHT("00000"&amp;834,5))</f>
        <v/>
      </c>
      <c r="I842">
        <f>IF($H842="","",COUNTIFS(CalcBank,$G842,CalcKey,"&lt;"&amp;$H842)+1)</f>
        <v/>
      </c>
      <c r="J842">
        <f>IF($I842="","",$G842&amp;"|"&amp;RIGHT("000000"&amp;$I842,6))</f>
        <v/>
      </c>
      <c r="K842">
        <f>IF(OR($E842="",$E842="نامعتبر"),"",LEFT($E842,4)&amp;"/"&amp;MID($E842,6,2))</f>
        <v/>
      </c>
      <c r="L842">
        <f>IF(Entry!$K842="",0,Entry!$K842)</f>
        <v/>
      </c>
      <c r="M842">
        <f>IF(Entry!$L842="",0,Entry!$L842)</f>
        <v/>
      </c>
    </row>
    <row r="843">
      <c r="A843">
        <f>IF(Entry!$C843="","",Entry!$C843)</f>
        <v/>
      </c>
      <c r="B843">
        <f>IF($A843="","",IF(ISNUMBER($A843),IF(AND($A843&gt;=10000101,$A843&lt;=99991231),INT($A843/10000),""),IFERROR(VALUE(TRIM(LEFT($A843,FIND("/",$A843)-1))),"")))</f>
        <v/>
      </c>
      <c r="C843">
        <f>IF(OR($A843="",$B843=""),"",IF(ISNUMBER($A843),INT(MOD($A843,10000)/100),IFERROR(VALUE(TRIM(LEFT(MID($A843,FIND("/",$A843)+1,20),FIND("/",MID($A843,FIND("/",$A843)+1,20))-1))),"")))</f>
        <v/>
      </c>
      <c r="D843">
        <f>IF(OR($A843="",$B843=""),"",IF(ISNUMBER($A843),MOD($A843,100),IFERROR(VALUE(TRIM(MID(MID($A843,FIND("/",$A843)+1,20),FIND("/",MID($A843,FIND("/",$A843)+1,20))+1,20))),"")))</f>
        <v/>
      </c>
      <c r="E843">
        <f>IF($A843="","",IF(OR($B843="",$C843="",$D843="",$B843&lt;1300,$B843&gt;1500,$C843&lt;1,$C843&gt;12,$D843&lt;1,$D843&gt;31),"نامعتبر",RIGHT("0000"&amp;$B843,4)&amp;"/"&amp;RIGHT("00"&amp;$C843,2)&amp;"/"&amp;RIGHT("00"&amp;$D843,2)))</f>
        <v/>
      </c>
      <c r="F843">
        <f>IF(Entry!$D843&lt;&gt;"",IF(AND(ISNUMBER(Entry!$D843),Entry!$D843&gt;=0,Entry!$D843&lt;1),RIGHT("00"&amp;HOUR(Entry!$D843),2)&amp;":"&amp;RIGHT("00"&amp;MINUTE(Entry!$D843),2),IFERROR(RIGHT("00"&amp;VALUE(TRIM(LEFT(Entry!$D843,FIND(":",Entry!$D843)-1))),2)&amp;":"&amp;RIGHT("00"&amp;VALUE(TRIM(MID(Entry!$D843,FIND(":",Entry!$D843)+1,2))),2),"نامعتبر")),IF(OR($E843="",$E843="نامعتبر"),"","00:00"))</f>
        <v/>
      </c>
      <c r="G843">
        <f>IF(OR($E843="",$E843="نامعتبر"),"",IF(Entry!$E843="","",LEFT(UPPER(TRIM(Entry!$E843)),6)))</f>
        <v/>
      </c>
      <c r="H843">
        <f>IF($G843="","",RIGHT($E843,4)&amp;MID($E843,6,2)&amp;RIGHT($E843,2)&amp;IF($F843="","0000",IF($F843="نامعتبر","9999",LEFT($F843,2)&amp;RIGHT($F843,2)))&amp;"|"&amp;RIGHT("00000"&amp;835,5))</f>
        <v/>
      </c>
      <c r="I843">
        <f>IF($H843="","",COUNTIFS(CalcBank,$G843,CalcKey,"&lt;"&amp;$H843)+1)</f>
        <v/>
      </c>
      <c r="J843">
        <f>IF($I843="","",$G843&amp;"|"&amp;RIGHT("000000"&amp;$I843,6))</f>
        <v/>
      </c>
      <c r="K843">
        <f>IF(OR($E843="",$E843="نامعتبر"),"",LEFT($E843,4)&amp;"/"&amp;MID($E843,6,2))</f>
        <v/>
      </c>
      <c r="L843">
        <f>IF(Entry!$K843="",0,Entry!$K843)</f>
        <v/>
      </c>
      <c r="M843">
        <f>IF(Entry!$L843="",0,Entry!$L843)</f>
        <v/>
      </c>
    </row>
    <row r="844">
      <c r="A844">
        <f>IF(Entry!$C844="","",Entry!$C844)</f>
        <v/>
      </c>
      <c r="B844">
        <f>IF($A844="","",IF(ISNUMBER($A844),IF(AND($A844&gt;=10000101,$A844&lt;=99991231),INT($A844/10000),""),IFERROR(VALUE(TRIM(LEFT($A844,FIND("/",$A844)-1))),"")))</f>
        <v/>
      </c>
      <c r="C844">
        <f>IF(OR($A844="",$B844=""),"",IF(ISNUMBER($A844),INT(MOD($A844,10000)/100),IFERROR(VALUE(TRIM(LEFT(MID($A844,FIND("/",$A844)+1,20),FIND("/",MID($A844,FIND("/",$A844)+1,20))-1))),"")))</f>
        <v/>
      </c>
      <c r="D844">
        <f>IF(OR($A844="",$B844=""),"",IF(ISNUMBER($A844),MOD($A844,100),IFERROR(VALUE(TRIM(MID(MID($A844,FIND("/",$A844)+1,20),FIND("/",MID($A844,FIND("/",$A844)+1,20))+1,20))),"")))</f>
        <v/>
      </c>
      <c r="E844">
        <f>IF($A844="","",IF(OR($B844="",$C844="",$D844="",$B844&lt;1300,$B844&gt;1500,$C844&lt;1,$C844&gt;12,$D844&lt;1,$D844&gt;31),"نامعتبر",RIGHT("0000"&amp;$B844,4)&amp;"/"&amp;RIGHT("00"&amp;$C844,2)&amp;"/"&amp;RIGHT("00"&amp;$D844,2)))</f>
        <v/>
      </c>
      <c r="F844">
        <f>IF(Entry!$D844&lt;&gt;"",IF(AND(ISNUMBER(Entry!$D844),Entry!$D844&gt;=0,Entry!$D844&lt;1),RIGHT("00"&amp;HOUR(Entry!$D844),2)&amp;":"&amp;RIGHT("00"&amp;MINUTE(Entry!$D844),2),IFERROR(RIGHT("00"&amp;VALUE(TRIM(LEFT(Entry!$D844,FIND(":",Entry!$D844)-1))),2)&amp;":"&amp;RIGHT("00"&amp;VALUE(TRIM(MID(Entry!$D844,FIND(":",Entry!$D844)+1,2))),2),"نامعتبر")),IF(OR($E844="",$E844="نامعتبر"),"","00:00"))</f>
        <v/>
      </c>
      <c r="G844">
        <f>IF(OR($E844="",$E844="نامعتبر"),"",IF(Entry!$E844="","",LEFT(UPPER(TRIM(Entry!$E844)),6)))</f>
        <v/>
      </c>
      <c r="H844">
        <f>IF($G844="","",RIGHT($E844,4)&amp;MID($E844,6,2)&amp;RIGHT($E844,2)&amp;IF($F844="","0000",IF($F844="نامعتبر","9999",LEFT($F844,2)&amp;RIGHT($F844,2)))&amp;"|"&amp;RIGHT("00000"&amp;836,5))</f>
        <v/>
      </c>
      <c r="I844">
        <f>IF($H844="","",COUNTIFS(CalcBank,$G844,CalcKey,"&lt;"&amp;$H844)+1)</f>
        <v/>
      </c>
      <c r="J844">
        <f>IF($I844="","",$G844&amp;"|"&amp;RIGHT("000000"&amp;$I844,6))</f>
        <v/>
      </c>
      <c r="K844">
        <f>IF(OR($E844="",$E844="نامعتبر"),"",LEFT($E844,4)&amp;"/"&amp;MID($E844,6,2))</f>
        <v/>
      </c>
      <c r="L844">
        <f>IF(Entry!$K844="",0,Entry!$K844)</f>
        <v/>
      </c>
      <c r="M844">
        <f>IF(Entry!$L844="",0,Entry!$L844)</f>
        <v/>
      </c>
    </row>
    <row r="845">
      <c r="A845">
        <f>IF(Entry!$C845="","",Entry!$C845)</f>
        <v/>
      </c>
      <c r="B845">
        <f>IF($A845="","",IF(ISNUMBER($A845),IF(AND($A845&gt;=10000101,$A845&lt;=99991231),INT($A845/10000),""),IFERROR(VALUE(TRIM(LEFT($A845,FIND("/",$A845)-1))),"")))</f>
        <v/>
      </c>
      <c r="C845">
        <f>IF(OR($A845="",$B845=""),"",IF(ISNUMBER($A845),INT(MOD($A845,10000)/100),IFERROR(VALUE(TRIM(LEFT(MID($A845,FIND("/",$A845)+1,20),FIND("/",MID($A845,FIND("/",$A845)+1,20))-1))),"")))</f>
        <v/>
      </c>
      <c r="D845">
        <f>IF(OR($A845="",$B845=""),"",IF(ISNUMBER($A845),MOD($A845,100),IFERROR(VALUE(TRIM(MID(MID($A845,FIND("/",$A845)+1,20),FIND("/",MID($A845,FIND("/",$A845)+1,20))+1,20))),"")))</f>
        <v/>
      </c>
      <c r="E845">
        <f>IF($A845="","",IF(OR($B845="",$C845="",$D845="",$B845&lt;1300,$B845&gt;1500,$C845&lt;1,$C845&gt;12,$D845&lt;1,$D845&gt;31),"نامعتبر",RIGHT("0000"&amp;$B845,4)&amp;"/"&amp;RIGHT("00"&amp;$C845,2)&amp;"/"&amp;RIGHT("00"&amp;$D845,2)))</f>
        <v/>
      </c>
      <c r="F845">
        <f>IF(Entry!$D845&lt;&gt;"",IF(AND(ISNUMBER(Entry!$D845),Entry!$D845&gt;=0,Entry!$D845&lt;1),RIGHT("00"&amp;HOUR(Entry!$D845),2)&amp;":"&amp;RIGHT("00"&amp;MINUTE(Entry!$D845),2),IFERROR(RIGHT("00"&amp;VALUE(TRIM(LEFT(Entry!$D845,FIND(":",Entry!$D845)-1))),2)&amp;":"&amp;RIGHT("00"&amp;VALUE(TRIM(MID(Entry!$D845,FIND(":",Entry!$D845)+1,2))),2),"نامعتبر")),IF(OR($E845="",$E845="نامعتبر"),"","00:00"))</f>
        <v/>
      </c>
      <c r="G845">
        <f>IF(OR($E845="",$E845="نامعتبر"),"",IF(Entry!$E845="","",LEFT(UPPER(TRIM(Entry!$E845)),6)))</f>
        <v/>
      </c>
      <c r="H845">
        <f>IF($G845="","",RIGHT($E845,4)&amp;MID($E845,6,2)&amp;RIGHT($E845,2)&amp;IF($F845="","0000",IF($F845="نامعتبر","9999",LEFT($F845,2)&amp;RIGHT($F845,2)))&amp;"|"&amp;RIGHT("00000"&amp;837,5))</f>
        <v/>
      </c>
      <c r="I845">
        <f>IF($H845="","",COUNTIFS(CalcBank,$G845,CalcKey,"&lt;"&amp;$H845)+1)</f>
        <v/>
      </c>
      <c r="J845">
        <f>IF($I845="","",$G845&amp;"|"&amp;RIGHT("000000"&amp;$I845,6))</f>
        <v/>
      </c>
      <c r="K845">
        <f>IF(OR($E845="",$E845="نامعتبر"),"",LEFT($E845,4)&amp;"/"&amp;MID($E845,6,2))</f>
        <v/>
      </c>
      <c r="L845">
        <f>IF(Entry!$K845="",0,Entry!$K845)</f>
        <v/>
      </c>
      <c r="M845">
        <f>IF(Entry!$L845="",0,Entry!$L845)</f>
        <v/>
      </c>
    </row>
    <row r="846">
      <c r="A846">
        <f>IF(Entry!$C846="","",Entry!$C846)</f>
        <v/>
      </c>
      <c r="B846">
        <f>IF($A846="","",IF(ISNUMBER($A846),IF(AND($A846&gt;=10000101,$A846&lt;=99991231),INT($A846/10000),""),IFERROR(VALUE(TRIM(LEFT($A846,FIND("/",$A846)-1))),"")))</f>
        <v/>
      </c>
      <c r="C846">
        <f>IF(OR($A846="",$B846=""),"",IF(ISNUMBER($A846),INT(MOD($A846,10000)/100),IFERROR(VALUE(TRIM(LEFT(MID($A846,FIND("/",$A846)+1,20),FIND("/",MID($A846,FIND("/",$A846)+1,20))-1))),"")))</f>
        <v/>
      </c>
      <c r="D846">
        <f>IF(OR($A846="",$B846=""),"",IF(ISNUMBER($A846),MOD($A846,100),IFERROR(VALUE(TRIM(MID(MID($A846,FIND("/",$A846)+1,20),FIND("/",MID($A846,FIND("/",$A846)+1,20))+1,20))),"")))</f>
        <v/>
      </c>
      <c r="E846">
        <f>IF($A846="","",IF(OR($B846="",$C846="",$D846="",$B846&lt;1300,$B846&gt;1500,$C846&lt;1,$C846&gt;12,$D846&lt;1,$D846&gt;31),"نامعتبر",RIGHT("0000"&amp;$B846,4)&amp;"/"&amp;RIGHT("00"&amp;$C846,2)&amp;"/"&amp;RIGHT("00"&amp;$D846,2)))</f>
        <v/>
      </c>
      <c r="F846">
        <f>IF(Entry!$D846&lt;&gt;"",IF(AND(ISNUMBER(Entry!$D846),Entry!$D846&gt;=0,Entry!$D846&lt;1),RIGHT("00"&amp;HOUR(Entry!$D846),2)&amp;":"&amp;RIGHT("00"&amp;MINUTE(Entry!$D846),2),IFERROR(RIGHT("00"&amp;VALUE(TRIM(LEFT(Entry!$D846,FIND(":",Entry!$D846)-1))),2)&amp;":"&amp;RIGHT("00"&amp;VALUE(TRIM(MID(Entry!$D846,FIND(":",Entry!$D846)+1,2))),2),"نامعتبر")),IF(OR($E846="",$E846="نامعتبر"),"","00:00"))</f>
        <v/>
      </c>
      <c r="G846">
        <f>IF(OR($E846="",$E846="نامعتبر"),"",IF(Entry!$E846="","",LEFT(UPPER(TRIM(Entry!$E846)),6)))</f>
        <v/>
      </c>
      <c r="H846">
        <f>IF($G846="","",RIGHT($E846,4)&amp;MID($E846,6,2)&amp;RIGHT($E846,2)&amp;IF($F846="","0000",IF($F846="نامعتبر","9999",LEFT($F846,2)&amp;RIGHT($F846,2)))&amp;"|"&amp;RIGHT("00000"&amp;838,5))</f>
        <v/>
      </c>
      <c r="I846">
        <f>IF($H846="","",COUNTIFS(CalcBank,$G846,CalcKey,"&lt;"&amp;$H846)+1)</f>
        <v/>
      </c>
      <c r="J846">
        <f>IF($I846="","",$G846&amp;"|"&amp;RIGHT("000000"&amp;$I846,6))</f>
        <v/>
      </c>
      <c r="K846">
        <f>IF(OR($E846="",$E846="نامعتبر"),"",LEFT($E846,4)&amp;"/"&amp;MID($E846,6,2))</f>
        <v/>
      </c>
      <c r="L846">
        <f>IF(Entry!$K846="",0,Entry!$K846)</f>
        <v/>
      </c>
      <c r="M846">
        <f>IF(Entry!$L846="",0,Entry!$L846)</f>
        <v/>
      </c>
    </row>
    <row r="847">
      <c r="A847">
        <f>IF(Entry!$C847="","",Entry!$C847)</f>
        <v/>
      </c>
      <c r="B847">
        <f>IF($A847="","",IF(ISNUMBER($A847),IF(AND($A847&gt;=10000101,$A847&lt;=99991231),INT($A847/10000),""),IFERROR(VALUE(TRIM(LEFT($A847,FIND("/",$A847)-1))),"")))</f>
        <v/>
      </c>
      <c r="C847">
        <f>IF(OR($A847="",$B847=""),"",IF(ISNUMBER($A847),INT(MOD($A847,10000)/100),IFERROR(VALUE(TRIM(LEFT(MID($A847,FIND("/",$A847)+1,20),FIND("/",MID($A847,FIND("/",$A847)+1,20))-1))),"")))</f>
        <v/>
      </c>
      <c r="D847">
        <f>IF(OR($A847="",$B847=""),"",IF(ISNUMBER($A847),MOD($A847,100),IFERROR(VALUE(TRIM(MID(MID($A847,FIND("/",$A847)+1,20),FIND("/",MID($A847,FIND("/",$A847)+1,20))+1,20))),"")))</f>
        <v/>
      </c>
      <c r="E847">
        <f>IF($A847="","",IF(OR($B847="",$C847="",$D847="",$B847&lt;1300,$B847&gt;1500,$C847&lt;1,$C847&gt;12,$D847&lt;1,$D847&gt;31),"نامعتبر",RIGHT("0000"&amp;$B847,4)&amp;"/"&amp;RIGHT("00"&amp;$C847,2)&amp;"/"&amp;RIGHT("00"&amp;$D847,2)))</f>
        <v/>
      </c>
      <c r="F847">
        <f>IF(Entry!$D847&lt;&gt;"",IF(AND(ISNUMBER(Entry!$D847),Entry!$D847&gt;=0,Entry!$D847&lt;1),RIGHT("00"&amp;HOUR(Entry!$D847),2)&amp;":"&amp;RIGHT("00"&amp;MINUTE(Entry!$D847),2),IFERROR(RIGHT("00"&amp;VALUE(TRIM(LEFT(Entry!$D847,FIND(":",Entry!$D847)-1))),2)&amp;":"&amp;RIGHT("00"&amp;VALUE(TRIM(MID(Entry!$D847,FIND(":",Entry!$D847)+1,2))),2),"نامعتبر")),IF(OR($E847="",$E847="نامعتبر"),"","00:00"))</f>
        <v/>
      </c>
      <c r="G847">
        <f>IF(OR($E847="",$E847="نامعتبر"),"",IF(Entry!$E847="","",LEFT(UPPER(TRIM(Entry!$E847)),6)))</f>
        <v/>
      </c>
      <c r="H847">
        <f>IF($G847="","",RIGHT($E847,4)&amp;MID($E847,6,2)&amp;RIGHT($E847,2)&amp;IF($F847="","0000",IF($F847="نامعتبر","9999",LEFT($F847,2)&amp;RIGHT($F847,2)))&amp;"|"&amp;RIGHT("00000"&amp;839,5))</f>
        <v/>
      </c>
      <c r="I847">
        <f>IF($H847="","",COUNTIFS(CalcBank,$G847,CalcKey,"&lt;"&amp;$H847)+1)</f>
        <v/>
      </c>
      <c r="J847">
        <f>IF($I847="","",$G847&amp;"|"&amp;RIGHT("000000"&amp;$I847,6))</f>
        <v/>
      </c>
      <c r="K847">
        <f>IF(OR($E847="",$E847="نامعتبر"),"",LEFT($E847,4)&amp;"/"&amp;MID($E847,6,2))</f>
        <v/>
      </c>
      <c r="L847">
        <f>IF(Entry!$K847="",0,Entry!$K847)</f>
        <v/>
      </c>
      <c r="M847">
        <f>IF(Entry!$L847="",0,Entry!$L847)</f>
        <v/>
      </c>
    </row>
    <row r="848">
      <c r="A848">
        <f>IF(Entry!$C848="","",Entry!$C848)</f>
        <v/>
      </c>
      <c r="B848">
        <f>IF($A848="","",IF(ISNUMBER($A848),IF(AND($A848&gt;=10000101,$A848&lt;=99991231),INT($A848/10000),""),IFERROR(VALUE(TRIM(LEFT($A848,FIND("/",$A848)-1))),"")))</f>
        <v/>
      </c>
      <c r="C848">
        <f>IF(OR($A848="",$B848=""),"",IF(ISNUMBER($A848),INT(MOD($A848,10000)/100),IFERROR(VALUE(TRIM(LEFT(MID($A848,FIND("/",$A848)+1,20),FIND("/",MID($A848,FIND("/",$A848)+1,20))-1))),"")))</f>
        <v/>
      </c>
      <c r="D848">
        <f>IF(OR($A848="",$B848=""),"",IF(ISNUMBER($A848),MOD($A848,100),IFERROR(VALUE(TRIM(MID(MID($A848,FIND("/",$A848)+1,20),FIND("/",MID($A848,FIND("/",$A848)+1,20))+1,20))),"")))</f>
        <v/>
      </c>
      <c r="E848">
        <f>IF($A848="","",IF(OR($B848="",$C848="",$D848="",$B848&lt;1300,$B848&gt;1500,$C848&lt;1,$C848&gt;12,$D848&lt;1,$D848&gt;31),"نامعتبر",RIGHT("0000"&amp;$B848,4)&amp;"/"&amp;RIGHT("00"&amp;$C848,2)&amp;"/"&amp;RIGHT("00"&amp;$D848,2)))</f>
        <v/>
      </c>
      <c r="F848">
        <f>IF(Entry!$D848&lt;&gt;"",IF(AND(ISNUMBER(Entry!$D848),Entry!$D848&gt;=0,Entry!$D848&lt;1),RIGHT("00"&amp;HOUR(Entry!$D848),2)&amp;":"&amp;RIGHT("00"&amp;MINUTE(Entry!$D848),2),IFERROR(RIGHT("00"&amp;VALUE(TRIM(LEFT(Entry!$D848,FIND(":",Entry!$D848)-1))),2)&amp;":"&amp;RIGHT("00"&amp;VALUE(TRIM(MID(Entry!$D848,FIND(":",Entry!$D848)+1,2))),2),"نامعتبر")),IF(OR($E848="",$E848="نامعتبر"),"","00:00"))</f>
        <v/>
      </c>
      <c r="G848">
        <f>IF(OR($E848="",$E848="نامعتبر"),"",IF(Entry!$E848="","",LEFT(UPPER(TRIM(Entry!$E848)),6)))</f>
        <v/>
      </c>
      <c r="H848">
        <f>IF($G848="","",RIGHT($E848,4)&amp;MID($E848,6,2)&amp;RIGHT($E848,2)&amp;IF($F848="","0000",IF($F848="نامعتبر","9999",LEFT($F848,2)&amp;RIGHT($F848,2)))&amp;"|"&amp;RIGHT("00000"&amp;840,5))</f>
        <v/>
      </c>
      <c r="I848">
        <f>IF($H848="","",COUNTIFS(CalcBank,$G848,CalcKey,"&lt;"&amp;$H848)+1)</f>
        <v/>
      </c>
      <c r="J848">
        <f>IF($I848="","",$G848&amp;"|"&amp;RIGHT("000000"&amp;$I848,6))</f>
        <v/>
      </c>
      <c r="K848">
        <f>IF(OR($E848="",$E848="نامعتبر"),"",LEFT($E848,4)&amp;"/"&amp;MID($E848,6,2))</f>
        <v/>
      </c>
      <c r="L848">
        <f>IF(Entry!$K848="",0,Entry!$K848)</f>
        <v/>
      </c>
      <c r="M848">
        <f>IF(Entry!$L848="",0,Entry!$L848)</f>
        <v/>
      </c>
    </row>
    <row r="849">
      <c r="A849">
        <f>IF(Entry!$C849="","",Entry!$C849)</f>
        <v/>
      </c>
      <c r="B849">
        <f>IF($A849="","",IF(ISNUMBER($A849),IF(AND($A849&gt;=10000101,$A849&lt;=99991231),INT($A849/10000),""),IFERROR(VALUE(TRIM(LEFT($A849,FIND("/",$A849)-1))),"")))</f>
        <v/>
      </c>
      <c r="C849">
        <f>IF(OR($A849="",$B849=""),"",IF(ISNUMBER($A849),INT(MOD($A849,10000)/100),IFERROR(VALUE(TRIM(LEFT(MID($A849,FIND("/",$A849)+1,20),FIND("/",MID($A849,FIND("/",$A849)+1,20))-1))),"")))</f>
        <v/>
      </c>
      <c r="D849">
        <f>IF(OR($A849="",$B849=""),"",IF(ISNUMBER($A849),MOD($A849,100),IFERROR(VALUE(TRIM(MID(MID($A849,FIND("/",$A849)+1,20),FIND("/",MID($A849,FIND("/",$A849)+1,20))+1,20))),"")))</f>
        <v/>
      </c>
      <c r="E849">
        <f>IF($A849="","",IF(OR($B849="",$C849="",$D849="",$B849&lt;1300,$B849&gt;1500,$C849&lt;1,$C849&gt;12,$D849&lt;1,$D849&gt;31),"نامعتبر",RIGHT("0000"&amp;$B849,4)&amp;"/"&amp;RIGHT("00"&amp;$C849,2)&amp;"/"&amp;RIGHT("00"&amp;$D849,2)))</f>
        <v/>
      </c>
      <c r="F849">
        <f>IF(Entry!$D849&lt;&gt;"",IF(AND(ISNUMBER(Entry!$D849),Entry!$D849&gt;=0,Entry!$D849&lt;1),RIGHT("00"&amp;HOUR(Entry!$D849),2)&amp;":"&amp;RIGHT("00"&amp;MINUTE(Entry!$D849),2),IFERROR(RIGHT("00"&amp;VALUE(TRIM(LEFT(Entry!$D849,FIND(":",Entry!$D849)-1))),2)&amp;":"&amp;RIGHT("00"&amp;VALUE(TRIM(MID(Entry!$D849,FIND(":",Entry!$D849)+1,2))),2),"نامعتبر")),IF(OR($E849="",$E849="نامعتبر"),"","00:00"))</f>
        <v/>
      </c>
      <c r="G849">
        <f>IF(OR($E849="",$E849="نامعتبر"),"",IF(Entry!$E849="","",LEFT(UPPER(TRIM(Entry!$E849)),6)))</f>
        <v/>
      </c>
      <c r="H849">
        <f>IF($G849="","",RIGHT($E849,4)&amp;MID($E849,6,2)&amp;RIGHT($E849,2)&amp;IF($F849="","0000",IF($F849="نامعتبر","9999",LEFT($F849,2)&amp;RIGHT($F849,2)))&amp;"|"&amp;RIGHT("00000"&amp;841,5))</f>
        <v/>
      </c>
      <c r="I849">
        <f>IF($H849="","",COUNTIFS(CalcBank,$G849,CalcKey,"&lt;"&amp;$H849)+1)</f>
        <v/>
      </c>
      <c r="J849">
        <f>IF($I849="","",$G849&amp;"|"&amp;RIGHT("000000"&amp;$I849,6))</f>
        <v/>
      </c>
      <c r="K849">
        <f>IF(OR($E849="",$E849="نامعتبر"),"",LEFT($E849,4)&amp;"/"&amp;MID($E849,6,2))</f>
        <v/>
      </c>
      <c r="L849">
        <f>IF(Entry!$K849="",0,Entry!$K849)</f>
        <v/>
      </c>
      <c r="M849">
        <f>IF(Entry!$L849="",0,Entry!$L849)</f>
        <v/>
      </c>
    </row>
    <row r="850">
      <c r="A850">
        <f>IF(Entry!$C850="","",Entry!$C850)</f>
        <v/>
      </c>
      <c r="B850">
        <f>IF($A850="","",IF(ISNUMBER($A850),IF(AND($A850&gt;=10000101,$A850&lt;=99991231),INT($A850/10000),""),IFERROR(VALUE(TRIM(LEFT($A850,FIND("/",$A850)-1))),"")))</f>
        <v/>
      </c>
      <c r="C850">
        <f>IF(OR($A850="",$B850=""),"",IF(ISNUMBER($A850),INT(MOD($A850,10000)/100),IFERROR(VALUE(TRIM(LEFT(MID($A850,FIND("/",$A850)+1,20),FIND("/",MID($A850,FIND("/",$A850)+1,20))-1))),"")))</f>
        <v/>
      </c>
      <c r="D850">
        <f>IF(OR($A850="",$B850=""),"",IF(ISNUMBER($A850),MOD($A850,100),IFERROR(VALUE(TRIM(MID(MID($A850,FIND("/",$A850)+1,20),FIND("/",MID($A850,FIND("/",$A850)+1,20))+1,20))),"")))</f>
        <v/>
      </c>
      <c r="E850">
        <f>IF($A850="","",IF(OR($B850="",$C850="",$D850="",$B850&lt;1300,$B850&gt;1500,$C850&lt;1,$C850&gt;12,$D850&lt;1,$D850&gt;31),"نامعتبر",RIGHT("0000"&amp;$B850,4)&amp;"/"&amp;RIGHT("00"&amp;$C850,2)&amp;"/"&amp;RIGHT("00"&amp;$D850,2)))</f>
        <v/>
      </c>
      <c r="F850">
        <f>IF(Entry!$D850&lt;&gt;"",IF(AND(ISNUMBER(Entry!$D850),Entry!$D850&gt;=0,Entry!$D850&lt;1),RIGHT("00"&amp;HOUR(Entry!$D850),2)&amp;":"&amp;RIGHT("00"&amp;MINUTE(Entry!$D850),2),IFERROR(RIGHT("00"&amp;VALUE(TRIM(LEFT(Entry!$D850,FIND(":",Entry!$D850)-1))),2)&amp;":"&amp;RIGHT("00"&amp;VALUE(TRIM(MID(Entry!$D850,FIND(":",Entry!$D850)+1,2))),2),"نامعتبر")),IF(OR($E850="",$E850="نامعتبر"),"","00:00"))</f>
        <v/>
      </c>
      <c r="G850">
        <f>IF(OR($E850="",$E850="نامعتبر"),"",IF(Entry!$E850="","",LEFT(UPPER(TRIM(Entry!$E850)),6)))</f>
        <v/>
      </c>
      <c r="H850">
        <f>IF($G850="","",RIGHT($E850,4)&amp;MID($E850,6,2)&amp;RIGHT($E850,2)&amp;IF($F850="","0000",IF($F850="نامعتبر","9999",LEFT($F850,2)&amp;RIGHT($F850,2)))&amp;"|"&amp;RIGHT("00000"&amp;842,5))</f>
        <v/>
      </c>
      <c r="I850">
        <f>IF($H850="","",COUNTIFS(CalcBank,$G850,CalcKey,"&lt;"&amp;$H850)+1)</f>
        <v/>
      </c>
      <c r="J850">
        <f>IF($I850="","",$G850&amp;"|"&amp;RIGHT("000000"&amp;$I850,6))</f>
        <v/>
      </c>
      <c r="K850">
        <f>IF(OR($E850="",$E850="نامعتبر"),"",LEFT($E850,4)&amp;"/"&amp;MID($E850,6,2))</f>
        <v/>
      </c>
      <c r="L850">
        <f>IF(Entry!$K850="",0,Entry!$K850)</f>
        <v/>
      </c>
      <c r="M850">
        <f>IF(Entry!$L850="",0,Entry!$L850)</f>
        <v/>
      </c>
    </row>
    <row r="851">
      <c r="A851">
        <f>IF(Entry!$C851="","",Entry!$C851)</f>
        <v/>
      </c>
      <c r="B851">
        <f>IF($A851="","",IF(ISNUMBER($A851),IF(AND($A851&gt;=10000101,$A851&lt;=99991231),INT($A851/10000),""),IFERROR(VALUE(TRIM(LEFT($A851,FIND("/",$A851)-1))),"")))</f>
        <v/>
      </c>
      <c r="C851">
        <f>IF(OR($A851="",$B851=""),"",IF(ISNUMBER($A851),INT(MOD($A851,10000)/100),IFERROR(VALUE(TRIM(LEFT(MID($A851,FIND("/",$A851)+1,20),FIND("/",MID($A851,FIND("/",$A851)+1,20))-1))),"")))</f>
        <v/>
      </c>
      <c r="D851">
        <f>IF(OR($A851="",$B851=""),"",IF(ISNUMBER($A851),MOD($A851,100),IFERROR(VALUE(TRIM(MID(MID($A851,FIND("/",$A851)+1,20),FIND("/",MID($A851,FIND("/",$A851)+1,20))+1,20))),"")))</f>
        <v/>
      </c>
      <c r="E851">
        <f>IF($A851="","",IF(OR($B851="",$C851="",$D851="",$B851&lt;1300,$B851&gt;1500,$C851&lt;1,$C851&gt;12,$D851&lt;1,$D851&gt;31),"نامعتبر",RIGHT("0000"&amp;$B851,4)&amp;"/"&amp;RIGHT("00"&amp;$C851,2)&amp;"/"&amp;RIGHT("00"&amp;$D851,2)))</f>
        <v/>
      </c>
      <c r="F851">
        <f>IF(Entry!$D851&lt;&gt;"",IF(AND(ISNUMBER(Entry!$D851),Entry!$D851&gt;=0,Entry!$D851&lt;1),RIGHT("00"&amp;HOUR(Entry!$D851),2)&amp;":"&amp;RIGHT("00"&amp;MINUTE(Entry!$D851),2),IFERROR(RIGHT("00"&amp;VALUE(TRIM(LEFT(Entry!$D851,FIND(":",Entry!$D851)-1))),2)&amp;":"&amp;RIGHT("00"&amp;VALUE(TRIM(MID(Entry!$D851,FIND(":",Entry!$D851)+1,2))),2),"نامعتبر")),IF(OR($E851="",$E851="نامعتبر"),"","00:00"))</f>
        <v/>
      </c>
      <c r="G851">
        <f>IF(OR($E851="",$E851="نامعتبر"),"",IF(Entry!$E851="","",LEFT(UPPER(TRIM(Entry!$E851)),6)))</f>
        <v/>
      </c>
      <c r="H851">
        <f>IF($G851="","",RIGHT($E851,4)&amp;MID($E851,6,2)&amp;RIGHT($E851,2)&amp;IF($F851="","0000",IF($F851="نامعتبر","9999",LEFT($F851,2)&amp;RIGHT($F851,2)))&amp;"|"&amp;RIGHT("00000"&amp;843,5))</f>
        <v/>
      </c>
      <c r="I851">
        <f>IF($H851="","",COUNTIFS(CalcBank,$G851,CalcKey,"&lt;"&amp;$H851)+1)</f>
        <v/>
      </c>
      <c r="J851">
        <f>IF($I851="","",$G851&amp;"|"&amp;RIGHT("000000"&amp;$I851,6))</f>
        <v/>
      </c>
      <c r="K851">
        <f>IF(OR($E851="",$E851="نامعتبر"),"",LEFT($E851,4)&amp;"/"&amp;MID($E851,6,2))</f>
        <v/>
      </c>
      <c r="L851">
        <f>IF(Entry!$K851="",0,Entry!$K851)</f>
        <v/>
      </c>
      <c r="M851">
        <f>IF(Entry!$L851="",0,Entry!$L851)</f>
        <v/>
      </c>
    </row>
    <row r="852">
      <c r="A852">
        <f>IF(Entry!$C852="","",Entry!$C852)</f>
        <v/>
      </c>
      <c r="B852">
        <f>IF($A852="","",IF(ISNUMBER($A852),IF(AND($A852&gt;=10000101,$A852&lt;=99991231),INT($A852/10000),""),IFERROR(VALUE(TRIM(LEFT($A852,FIND("/",$A852)-1))),"")))</f>
        <v/>
      </c>
      <c r="C852">
        <f>IF(OR($A852="",$B852=""),"",IF(ISNUMBER($A852),INT(MOD($A852,10000)/100),IFERROR(VALUE(TRIM(LEFT(MID($A852,FIND("/",$A852)+1,20),FIND("/",MID($A852,FIND("/",$A852)+1,20))-1))),"")))</f>
        <v/>
      </c>
      <c r="D852">
        <f>IF(OR($A852="",$B852=""),"",IF(ISNUMBER($A852),MOD($A852,100),IFERROR(VALUE(TRIM(MID(MID($A852,FIND("/",$A852)+1,20),FIND("/",MID($A852,FIND("/",$A852)+1,20))+1,20))),"")))</f>
        <v/>
      </c>
      <c r="E852">
        <f>IF($A852="","",IF(OR($B852="",$C852="",$D852="",$B852&lt;1300,$B852&gt;1500,$C852&lt;1,$C852&gt;12,$D852&lt;1,$D852&gt;31),"نامعتبر",RIGHT("0000"&amp;$B852,4)&amp;"/"&amp;RIGHT("00"&amp;$C852,2)&amp;"/"&amp;RIGHT("00"&amp;$D852,2)))</f>
        <v/>
      </c>
      <c r="F852">
        <f>IF(Entry!$D852&lt;&gt;"",IF(AND(ISNUMBER(Entry!$D852),Entry!$D852&gt;=0,Entry!$D852&lt;1),RIGHT("00"&amp;HOUR(Entry!$D852),2)&amp;":"&amp;RIGHT("00"&amp;MINUTE(Entry!$D852),2),IFERROR(RIGHT("00"&amp;VALUE(TRIM(LEFT(Entry!$D852,FIND(":",Entry!$D852)-1))),2)&amp;":"&amp;RIGHT("00"&amp;VALUE(TRIM(MID(Entry!$D852,FIND(":",Entry!$D852)+1,2))),2),"نامعتبر")),IF(OR($E852="",$E852="نامعتبر"),"","00:00"))</f>
        <v/>
      </c>
      <c r="G852">
        <f>IF(OR($E852="",$E852="نامعتبر"),"",IF(Entry!$E852="","",LEFT(UPPER(TRIM(Entry!$E852)),6)))</f>
        <v/>
      </c>
      <c r="H852">
        <f>IF($G852="","",RIGHT($E852,4)&amp;MID($E852,6,2)&amp;RIGHT($E852,2)&amp;IF($F852="","0000",IF($F852="نامعتبر","9999",LEFT($F852,2)&amp;RIGHT($F852,2)))&amp;"|"&amp;RIGHT("00000"&amp;844,5))</f>
        <v/>
      </c>
      <c r="I852">
        <f>IF($H852="","",COUNTIFS(CalcBank,$G852,CalcKey,"&lt;"&amp;$H852)+1)</f>
        <v/>
      </c>
      <c r="J852">
        <f>IF($I852="","",$G852&amp;"|"&amp;RIGHT("000000"&amp;$I852,6))</f>
        <v/>
      </c>
      <c r="K852">
        <f>IF(OR($E852="",$E852="نامعتبر"),"",LEFT($E852,4)&amp;"/"&amp;MID($E852,6,2))</f>
        <v/>
      </c>
      <c r="L852">
        <f>IF(Entry!$K852="",0,Entry!$K852)</f>
        <v/>
      </c>
      <c r="M852">
        <f>IF(Entry!$L852="",0,Entry!$L852)</f>
        <v/>
      </c>
    </row>
    <row r="853">
      <c r="A853">
        <f>IF(Entry!$C853="","",Entry!$C853)</f>
        <v/>
      </c>
      <c r="B853">
        <f>IF($A853="","",IF(ISNUMBER($A853),IF(AND($A853&gt;=10000101,$A853&lt;=99991231),INT($A853/10000),""),IFERROR(VALUE(TRIM(LEFT($A853,FIND("/",$A853)-1))),"")))</f>
        <v/>
      </c>
      <c r="C853">
        <f>IF(OR($A853="",$B853=""),"",IF(ISNUMBER($A853),INT(MOD($A853,10000)/100),IFERROR(VALUE(TRIM(LEFT(MID($A853,FIND("/",$A853)+1,20),FIND("/",MID($A853,FIND("/",$A853)+1,20))-1))),"")))</f>
        <v/>
      </c>
      <c r="D853">
        <f>IF(OR($A853="",$B853=""),"",IF(ISNUMBER($A853),MOD($A853,100),IFERROR(VALUE(TRIM(MID(MID($A853,FIND("/",$A853)+1,20),FIND("/",MID($A853,FIND("/",$A853)+1,20))+1,20))),"")))</f>
        <v/>
      </c>
      <c r="E853">
        <f>IF($A853="","",IF(OR($B853="",$C853="",$D853="",$B853&lt;1300,$B853&gt;1500,$C853&lt;1,$C853&gt;12,$D853&lt;1,$D853&gt;31),"نامعتبر",RIGHT("0000"&amp;$B853,4)&amp;"/"&amp;RIGHT("00"&amp;$C853,2)&amp;"/"&amp;RIGHT("00"&amp;$D853,2)))</f>
        <v/>
      </c>
      <c r="F853">
        <f>IF(Entry!$D853&lt;&gt;"",IF(AND(ISNUMBER(Entry!$D853),Entry!$D853&gt;=0,Entry!$D853&lt;1),RIGHT("00"&amp;HOUR(Entry!$D853),2)&amp;":"&amp;RIGHT("00"&amp;MINUTE(Entry!$D853),2),IFERROR(RIGHT("00"&amp;VALUE(TRIM(LEFT(Entry!$D853,FIND(":",Entry!$D853)-1))),2)&amp;":"&amp;RIGHT("00"&amp;VALUE(TRIM(MID(Entry!$D853,FIND(":",Entry!$D853)+1,2))),2),"نامعتبر")),IF(OR($E853="",$E853="نامعتبر"),"","00:00"))</f>
        <v/>
      </c>
      <c r="G853">
        <f>IF(OR($E853="",$E853="نامعتبر"),"",IF(Entry!$E853="","",LEFT(UPPER(TRIM(Entry!$E853)),6)))</f>
        <v/>
      </c>
      <c r="H853">
        <f>IF($G853="","",RIGHT($E853,4)&amp;MID($E853,6,2)&amp;RIGHT($E853,2)&amp;IF($F853="","0000",IF($F853="نامعتبر","9999",LEFT($F853,2)&amp;RIGHT($F853,2)))&amp;"|"&amp;RIGHT("00000"&amp;845,5))</f>
        <v/>
      </c>
      <c r="I853">
        <f>IF($H853="","",COUNTIFS(CalcBank,$G853,CalcKey,"&lt;"&amp;$H853)+1)</f>
        <v/>
      </c>
      <c r="J853">
        <f>IF($I853="","",$G853&amp;"|"&amp;RIGHT("000000"&amp;$I853,6))</f>
        <v/>
      </c>
      <c r="K853">
        <f>IF(OR($E853="",$E853="نامعتبر"),"",LEFT($E853,4)&amp;"/"&amp;MID($E853,6,2))</f>
        <v/>
      </c>
      <c r="L853">
        <f>IF(Entry!$K853="",0,Entry!$K853)</f>
        <v/>
      </c>
      <c r="M853">
        <f>IF(Entry!$L853="",0,Entry!$L853)</f>
        <v/>
      </c>
    </row>
    <row r="854">
      <c r="A854">
        <f>IF(Entry!$C854="","",Entry!$C854)</f>
        <v/>
      </c>
      <c r="B854">
        <f>IF($A854="","",IF(ISNUMBER($A854),IF(AND($A854&gt;=10000101,$A854&lt;=99991231),INT($A854/10000),""),IFERROR(VALUE(TRIM(LEFT($A854,FIND("/",$A854)-1))),"")))</f>
        <v/>
      </c>
      <c r="C854">
        <f>IF(OR($A854="",$B854=""),"",IF(ISNUMBER($A854),INT(MOD($A854,10000)/100),IFERROR(VALUE(TRIM(LEFT(MID($A854,FIND("/",$A854)+1,20),FIND("/",MID($A854,FIND("/",$A854)+1,20))-1))),"")))</f>
        <v/>
      </c>
      <c r="D854">
        <f>IF(OR($A854="",$B854=""),"",IF(ISNUMBER($A854),MOD($A854,100),IFERROR(VALUE(TRIM(MID(MID($A854,FIND("/",$A854)+1,20),FIND("/",MID($A854,FIND("/",$A854)+1,20))+1,20))),"")))</f>
        <v/>
      </c>
      <c r="E854">
        <f>IF($A854="","",IF(OR($B854="",$C854="",$D854="",$B854&lt;1300,$B854&gt;1500,$C854&lt;1,$C854&gt;12,$D854&lt;1,$D854&gt;31),"نامعتبر",RIGHT("0000"&amp;$B854,4)&amp;"/"&amp;RIGHT("00"&amp;$C854,2)&amp;"/"&amp;RIGHT("00"&amp;$D854,2)))</f>
        <v/>
      </c>
      <c r="F854">
        <f>IF(Entry!$D854&lt;&gt;"",IF(AND(ISNUMBER(Entry!$D854),Entry!$D854&gt;=0,Entry!$D854&lt;1),RIGHT("00"&amp;HOUR(Entry!$D854),2)&amp;":"&amp;RIGHT("00"&amp;MINUTE(Entry!$D854),2),IFERROR(RIGHT("00"&amp;VALUE(TRIM(LEFT(Entry!$D854,FIND(":",Entry!$D854)-1))),2)&amp;":"&amp;RIGHT("00"&amp;VALUE(TRIM(MID(Entry!$D854,FIND(":",Entry!$D854)+1,2))),2),"نامعتبر")),IF(OR($E854="",$E854="نامعتبر"),"","00:00"))</f>
        <v/>
      </c>
      <c r="G854">
        <f>IF(OR($E854="",$E854="نامعتبر"),"",IF(Entry!$E854="","",LEFT(UPPER(TRIM(Entry!$E854)),6)))</f>
        <v/>
      </c>
      <c r="H854">
        <f>IF($G854="","",RIGHT($E854,4)&amp;MID($E854,6,2)&amp;RIGHT($E854,2)&amp;IF($F854="","0000",IF($F854="نامعتبر","9999",LEFT($F854,2)&amp;RIGHT($F854,2)))&amp;"|"&amp;RIGHT("00000"&amp;846,5))</f>
        <v/>
      </c>
      <c r="I854">
        <f>IF($H854="","",COUNTIFS(CalcBank,$G854,CalcKey,"&lt;"&amp;$H854)+1)</f>
        <v/>
      </c>
      <c r="J854">
        <f>IF($I854="","",$G854&amp;"|"&amp;RIGHT("000000"&amp;$I854,6))</f>
        <v/>
      </c>
      <c r="K854">
        <f>IF(OR($E854="",$E854="نامعتبر"),"",LEFT($E854,4)&amp;"/"&amp;MID($E854,6,2))</f>
        <v/>
      </c>
      <c r="L854">
        <f>IF(Entry!$K854="",0,Entry!$K854)</f>
        <v/>
      </c>
      <c r="M854">
        <f>IF(Entry!$L854="",0,Entry!$L854)</f>
        <v/>
      </c>
    </row>
    <row r="855">
      <c r="A855">
        <f>IF(Entry!$C855="","",Entry!$C855)</f>
        <v/>
      </c>
      <c r="B855">
        <f>IF($A855="","",IF(ISNUMBER($A855),IF(AND($A855&gt;=10000101,$A855&lt;=99991231),INT($A855/10000),""),IFERROR(VALUE(TRIM(LEFT($A855,FIND("/",$A855)-1))),"")))</f>
        <v/>
      </c>
      <c r="C855">
        <f>IF(OR($A855="",$B855=""),"",IF(ISNUMBER($A855),INT(MOD($A855,10000)/100),IFERROR(VALUE(TRIM(LEFT(MID($A855,FIND("/",$A855)+1,20),FIND("/",MID($A855,FIND("/",$A855)+1,20))-1))),"")))</f>
        <v/>
      </c>
      <c r="D855">
        <f>IF(OR($A855="",$B855=""),"",IF(ISNUMBER($A855),MOD($A855,100),IFERROR(VALUE(TRIM(MID(MID($A855,FIND("/",$A855)+1,20),FIND("/",MID($A855,FIND("/",$A855)+1,20))+1,20))),"")))</f>
        <v/>
      </c>
      <c r="E855">
        <f>IF($A855="","",IF(OR($B855="",$C855="",$D855="",$B855&lt;1300,$B855&gt;1500,$C855&lt;1,$C855&gt;12,$D855&lt;1,$D855&gt;31),"نامعتبر",RIGHT("0000"&amp;$B855,4)&amp;"/"&amp;RIGHT("00"&amp;$C855,2)&amp;"/"&amp;RIGHT("00"&amp;$D855,2)))</f>
        <v/>
      </c>
      <c r="F855">
        <f>IF(Entry!$D855&lt;&gt;"",IF(AND(ISNUMBER(Entry!$D855),Entry!$D855&gt;=0,Entry!$D855&lt;1),RIGHT("00"&amp;HOUR(Entry!$D855),2)&amp;":"&amp;RIGHT("00"&amp;MINUTE(Entry!$D855),2),IFERROR(RIGHT("00"&amp;VALUE(TRIM(LEFT(Entry!$D855,FIND(":",Entry!$D855)-1))),2)&amp;":"&amp;RIGHT("00"&amp;VALUE(TRIM(MID(Entry!$D855,FIND(":",Entry!$D855)+1,2))),2),"نامعتبر")),IF(OR($E855="",$E855="نامعتبر"),"","00:00"))</f>
        <v/>
      </c>
      <c r="G855">
        <f>IF(OR($E855="",$E855="نامعتبر"),"",IF(Entry!$E855="","",LEFT(UPPER(TRIM(Entry!$E855)),6)))</f>
        <v/>
      </c>
      <c r="H855">
        <f>IF($G855="","",RIGHT($E855,4)&amp;MID($E855,6,2)&amp;RIGHT($E855,2)&amp;IF($F855="","0000",IF($F855="نامعتبر","9999",LEFT($F855,2)&amp;RIGHT($F855,2)))&amp;"|"&amp;RIGHT("00000"&amp;847,5))</f>
        <v/>
      </c>
      <c r="I855">
        <f>IF($H855="","",COUNTIFS(CalcBank,$G855,CalcKey,"&lt;"&amp;$H855)+1)</f>
        <v/>
      </c>
      <c r="J855">
        <f>IF($I855="","",$G855&amp;"|"&amp;RIGHT("000000"&amp;$I855,6))</f>
        <v/>
      </c>
      <c r="K855">
        <f>IF(OR($E855="",$E855="نامعتبر"),"",LEFT($E855,4)&amp;"/"&amp;MID($E855,6,2))</f>
        <v/>
      </c>
      <c r="L855">
        <f>IF(Entry!$K855="",0,Entry!$K855)</f>
        <v/>
      </c>
      <c r="M855">
        <f>IF(Entry!$L855="",0,Entry!$L855)</f>
        <v/>
      </c>
    </row>
    <row r="856">
      <c r="A856">
        <f>IF(Entry!$C856="","",Entry!$C856)</f>
        <v/>
      </c>
      <c r="B856">
        <f>IF($A856="","",IF(ISNUMBER($A856),IF(AND($A856&gt;=10000101,$A856&lt;=99991231),INT($A856/10000),""),IFERROR(VALUE(TRIM(LEFT($A856,FIND("/",$A856)-1))),"")))</f>
        <v/>
      </c>
      <c r="C856">
        <f>IF(OR($A856="",$B856=""),"",IF(ISNUMBER($A856),INT(MOD($A856,10000)/100),IFERROR(VALUE(TRIM(LEFT(MID($A856,FIND("/",$A856)+1,20),FIND("/",MID($A856,FIND("/",$A856)+1,20))-1))),"")))</f>
        <v/>
      </c>
      <c r="D856">
        <f>IF(OR($A856="",$B856=""),"",IF(ISNUMBER($A856),MOD($A856,100),IFERROR(VALUE(TRIM(MID(MID($A856,FIND("/",$A856)+1,20),FIND("/",MID($A856,FIND("/",$A856)+1,20))+1,20))),"")))</f>
        <v/>
      </c>
      <c r="E856">
        <f>IF($A856="","",IF(OR($B856="",$C856="",$D856="",$B856&lt;1300,$B856&gt;1500,$C856&lt;1,$C856&gt;12,$D856&lt;1,$D856&gt;31),"نامعتبر",RIGHT("0000"&amp;$B856,4)&amp;"/"&amp;RIGHT("00"&amp;$C856,2)&amp;"/"&amp;RIGHT("00"&amp;$D856,2)))</f>
        <v/>
      </c>
      <c r="F856">
        <f>IF(Entry!$D856&lt;&gt;"",IF(AND(ISNUMBER(Entry!$D856),Entry!$D856&gt;=0,Entry!$D856&lt;1),RIGHT("00"&amp;HOUR(Entry!$D856),2)&amp;":"&amp;RIGHT("00"&amp;MINUTE(Entry!$D856),2),IFERROR(RIGHT("00"&amp;VALUE(TRIM(LEFT(Entry!$D856,FIND(":",Entry!$D856)-1))),2)&amp;":"&amp;RIGHT("00"&amp;VALUE(TRIM(MID(Entry!$D856,FIND(":",Entry!$D856)+1,2))),2),"نامعتبر")),IF(OR($E856="",$E856="نامعتبر"),"","00:00"))</f>
        <v/>
      </c>
      <c r="G856">
        <f>IF(OR($E856="",$E856="نامعتبر"),"",IF(Entry!$E856="","",LEFT(UPPER(TRIM(Entry!$E856)),6)))</f>
        <v/>
      </c>
      <c r="H856">
        <f>IF($G856="","",RIGHT($E856,4)&amp;MID($E856,6,2)&amp;RIGHT($E856,2)&amp;IF($F856="","0000",IF($F856="نامعتبر","9999",LEFT($F856,2)&amp;RIGHT($F856,2)))&amp;"|"&amp;RIGHT("00000"&amp;848,5))</f>
        <v/>
      </c>
      <c r="I856">
        <f>IF($H856="","",COUNTIFS(CalcBank,$G856,CalcKey,"&lt;"&amp;$H856)+1)</f>
        <v/>
      </c>
      <c r="J856">
        <f>IF($I856="","",$G856&amp;"|"&amp;RIGHT("000000"&amp;$I856,6))</f>
        <v/>
      </c>
      <c r="K856">
        <f>IF(OR($E856="",$E856="نامعتبر"),"",LEFT($E856,4)&amp;"/"&amp;MID($E856,6,2))</f>
        <v/>
      </c>
      <c r="L856">
        <f>IF(Entry!$K856="",0,Entry!$K856)</f>
        <v/>
      </c>
      <c r="M856">
        <f>IF(Entry!$L856="",0,Entry!$L856)</f>
        <v/>
      </c>
    </row>
    <row r="857">
      <c r="A857">
        <f>IF(Entry!$C857="","",Entry!$C857)</f>
        <v/>
      </c>
      <c r="B857">
        <f>IF($A857="","",IF(ISNUMBER($A857),IF(AND($A857&gt;=10000101,$A857&lt;=99991231),INT($A857/10000),""),IFERROR(VALUE(TRIM(LEFT($A857,FIND("/",$A857)-1))),"")))</f>
        <v/>
      </c>
      <c r="C857">
        <f>IF(OR($A857="",$B857=""),"",IF(ISNUMBER($A857),INT(MOD($A857,10000)/100),IFERROR(VALUE(TRIM(LEFT(MID($A857,FIND("/",$A857)+1,20),FIND("/",MID($A857,FIND("/",$A857)+1,20))-1))),"")))</f>
        <v/>
      </c>
      <c r="D857">
        <f>IF(OR($A857="",$B857=""),"",IF(ISNUMBER($A857),MOD($A857,100),IFERROR(VALUE(TRIM(MID(MID($A857,FIND("/",$A857)+1,20),FIND("/",MID($A857,FIND("/",$A857)+1,20))+1,20))),"")))</f>
        <v/>
      </c>
      <c r="E857">
        <f>IF($A857="","",IF(OR($B857="",$C857="",$D857="",$B857&lt;1300,$B857&gt;1500,$C857&lt;1,$C857&gt;12,$D857&lt;1,$D857&gt;31),"نامعتبر",RIGHT("0000"&amp;$B857,4)&amp;"/"&amp;RIGHT("00"&amp;$C857,2)&amp;"/"&amp;RIGHT("00"&amp;$D857,2)))</f>
        <v/>
      </c>
      <c r="F857">
        <f>IF(Entry!$D857&lt;&gt;"",IF(AND(ISNUMBER(Entry!$D857),Entry!$D857&gt;=0,Entry!$D857&lt;1),RIGHT("00"&amp;HOUR(Entry!$D857),2)&amp;":"&amp;RIGHT("00"&amp;MINUTE(Entry!$D857),2),IFERROR(RIGHT("00"&amp;VALUE(TRIM(LEFT(Entry!$D857,FIND(":",Entry!$D857)-1))),2)&amp;":"&amp;RIGHT("00"&amp;VALUE(TRIM(MID(Entry!$D857,FIND(":",Entry!$D857)+1,2))),2),"نامعتبر")),IF(OR($E857="",$E857="نامعتبر"),"","00:00"))</f>
        <v/>
      </c>
      <c r="G857">
        <f>IF(OR($E857="",$E857="نامعتبر"),"",IF(Entry!$E857="","",LEFT(UPPER(TRIM(Entry!$E857)),6)))</f>
        <v/>
      </c>
      <c r="H857">
        <f>IF($G857="","",RIGHT($E857,4)&amp;MID($E857,6,2)&amp;RIGHT($E857,2)&amp;IF($F857="","0000",IF($F857="نامعتبر","9999",LEFT($F857,2)&amp;RIGHT($F857,2)))&amp;"|"&amp;RIGHT("00000"&amp;849,5))</f>
        <v/>
      </c>
      <c r="I857">
        <f>IF($H857="","",COUNTIFS(CalcBank,$G857,CalcKey,"&lt;"&amp;$H857)+1)</f>
        <v/>
      </c>
      <c r="J857">
        <f>IF($I857="","",$G857&amp;"|"&amp;RIGHT("000000"&amp;$I857,6))</f>
        <v/>
      </c>
      <c r="K857">
        <f>IF(OR($E857="",$E857="نامعتبر"),"",LEFT($E857,4)&amp;"/"&amp;MID($E857,6,2))</f>
        <v/>
      </c>
      <c r="L857">
        <f>IF(Entry!$K857="",0,Entry!$K857)</f>
        <v/>
      </c>
      <c r="M857">
        <f>IF(Entry!$L857="",0,Entry!$L857)</f>
        <v/>
      </c>
    </row>
    <row r="858">
      <c r="A858">
        <f>IF(Entry!$C858="","",Entry!$C858)</f>
        <v/>
      </c>
      <c r="B858">
        <f>IF($A858="","",IF(ISNUMBER($A858),IF(AND($A858&gt;=10000101,$A858&lt;=99991231),INT($A858/10000),""),IFERROR(VALUE(TRIM(LEFT($A858,FIND("/",$A858)-1))),"")))</f>
        <v/>
      </c>
      <c r="C858">
        <f>IF(OR($A858="",$B858=""),"",IF(ISNUMBER($A858),INT(MOD($A858,10000)/100),IFERROR(VALUE(TRIM(LEFT(MID($A858,FIND("/",$A858)+1,20),FIND("/",MID($A858,FIND("/",$A858)+1,20))-1))),"")))</f>
        <v/>
      </c>
      <c r="D858">
        <f>IF(OR($A858="",$B858=""),"",IF(ISNUMBER($A858),MOD($A858,100),IFERROR(VALUE(TRIM(MID(MID($A858,FIND("/",$A858)+1,20),FIND("/",MID($A858,FIND("/",$A858)+1,20))+1,20))),"")))</f>
        <v/>
      </c>
      <c r="E858">
        <f>IF($A858="","",IF(OR($B858="",$C858="",$D858="",$B858&lt;1300,$B858&gt;1500,$C858&lt;1,$C858&gt;12,$D858&lt;1,$D858&gt;31),"نامعتبر",RIGHT("0000"&amp;$B858,4)&amp;"/"&amp;RIGHT("00"&amp;$C858,2)&amp;"/"&amp;RIGHT("00"&amp;$D858,2)))</f>
        <v/>
      </c>
      <c r="F858">
        <f>IF(Entry!$D858&lt;&gt;"",IF(AND(ISNUMBER(Entry!$D858),Entry!$D858&gt;=0,Entry!$D858&lt;1),RIGHT("00"&amp;HOUR(Entry!$D858),2)&amp;":"&amp;RIGHT("00"&amp;MINUTE(Entry!$D858),2),IFERROR(RIGHT("00"&amp;VALUE(TRIM(LEFT(Entry!$D858,FIND(":",Entry!$D858)-1))),2)&amp;":"&amp;RIGHT("00"&amp;VALUE(TRIM(MID(Entry!$D858,FIND(":",Entry!$D858)+1,2))),2),"نامعتبر")),IF(OR($E858="",$E858="نامعتبر"),"","00:00"))</f>
        <v/>
      </c>
      <c r="G858">
        <f>IF(OR($E858="",$E858="نامعتبر"),"",IF(Entry!$E858="","",LEFT(UPPER(TRIM(Entry!$E858)),6)))</f>
        <v/>
      </c>
      <c r="H858">
        <f>IF($G858="","",RIGHT($E858,4)&amp;MID($E858,6,2)&amp;RIGHT($E858,2)&amp;IF($F858="","0000",IF($F858="نامعتبر","9999",LEFT($F858,2)&amp;RIGHT($F858,2)))&amp;"|"&amp;RIGHT("00000"&amp;850,5))</f>
        <v/>
      </c>
      <c r="I858">
        <f>IF($H858="","",COUNTIFS(CalcBank,$G858,CalcKey,"&lt;"&amp;$H858)+1)</f>
        <v/>
      </c>
      <c r="J858">
        <f>IF($I858="","",$G858&amp;"|"&amp;RIGHT("000000"&amp;$I858,6))</f>
        <v/>
      </c>
      <c r="K858">
        <f>IF(OR($E858="",$E858="نامعتبر"),"",LEFT($E858,4)&amp;"/"&amp;MID($E858,6,2))</f>
        <v/>
      </c>
      <c r="L858">
        <f>IF(Entry!$K858="",0,Entry!$K858)</f>
        <v/>
      </c>
      <c r="M858">
        <f>IF(Entry!$L858="",0,Entry!$L858)</f>
        <v/>
      </c>
    </row>
    <row r="859">
      <c r="A859">
        <f>IF(Entry!$C859="","",Entry!$C859)</f>
        <v/>
      </c>
      <c r="B859">
        <f>IF($A859="","",IF(ISNUMBER($A859),IF(AND($A859&gt;=10000101,$A859&lt;=99991231),INT($A859/10000),""),IFERROR(VALUE(TRIM(LEFT($A859,FIND("/",$A859)-1))),"")))</f>
        <v/>
      </c>
      <c r="C859">
        <f>IF(OR($A859="",$B859=""),"",IF(ISNUMBER($A859),INT(MOD($A859,10000)/100),IFERROR(VALUE(TRIM(LEFT(MID($A859,FIND("/",$A859)+1,20),FIND("/",MID($A859,FIND("/",$A859)+1,20))-1))),"")))</f>
        <v/>
      </c>
      <c r="D859">
        <f>IF(OR($A859="",$B859=""),"",IF(ISNUMBER($A859),MOD($A859,100),IFERROR(VALUE(TRIM(MID(MID($A859,FIND("/",$A859)+1,20),FIND("/",MID($A859,FIND("/",$A859)+1,20))+1,20))),"")))</f>
        <v/>
      </c>
      <c r="E859">
        <f>IF($A859="","",IF(OR($B859="",$C859="",$D859="",$B859&lt;1300,$B859&gt;1500,$C859&lt;1,$C859&gt;12,$D859&lt;1,$D859&gt;31),"نامعتبر",RIGHT("0000"&amp;$B859,4)&amp;"/"&amp;RIGHT("00"&amp;$C859,2)&amp;"/"&amp;RIGHT("00"&amp;$D859,2)))</f>
        <v/>
      </c>
      <c r="F859">
        <f>IF(Entry!$D859&lt;&gt;"",IF(AND(ISNUMBER(Entry!$D859),Entry!$D859&gt;=0,Entry!$D859&lt;1),RIGHT("00"&amp;HOUR(Entry!$D859),2)&amp;":"&amp;RIGHT("00"&amp;MINUTE(Entry!$D859),2),IFERROR(RIGHT("00"&amp;VALUE(TRIM(LEFT(Entry!$D859,FIND(":",Entry!$D859)-1))),2)&amp;":"&amp;RIGHT("00"&amp;VALUE(TRIM(MID(Entry!$D859,FIND(":",Entry!$D859)+1,2))),2),"نامعتبر")),IF(OR($E859="",$E859="نامعتبر"),"","00:00"))</f>
        <v/>
      </c>
      <c r="G859">
        <f>IF(OR($E859="",$E859="نامعتبر"),"",IF(Entry!$E859="","",LEFT(UPPER(TRIM(Entry!$E859)),6)))</f>
        <v/>
      </c>
      <c r="H859">
        <f>IF($G859="","",RIGHT($E859,4)&amp;MID($E859,6,2)&amp;RIGHT($E859,2)&amp;IF($F859="","0000",IF($F859="نامعتبر","9999",LEFT($F859,2)&amp;RIGHT($F859,2)))&amp;"|"&amp;RIGHT("00000"&amp;851,5))</f>
        <v/>
      </c>
      <c r="I859">
        <f>IF($H859="","",COUNTIFS(CalcBank,$G859,CalcKey,"&lt;"&amp;$H859)+1)</f>
        <v/>
      </c>
      <c r="J859">
        <f>IF($I859="","",$G859&amp;"|"&amp;RIGHT("000000"&amp;$I859,6))</f>
        <v/>
      </c>
      <c r="K859">
        <f>IF(OR($E859="",$E859="نامعتبر"),"",LEFT($E859,4)&amp;"/"&amp;MID($E859,6,2))</f>
        <v/>
      </c>
      <c r="L859">
        <f>IF(Entry!$K859="",0,Entry!$K859)</f>
        <v/>
      </c>
      <c r="M859">
        <f>IF(Entry!$L859="",0,Entry!$L859)</f>
        <v/>
      </c>
    </row>
    <row r="860">
      <c r="A860">
        <f>IF(Entry!$C860="","",Entry!$C860)</f>
        <v/>
      </c>
      <c r="B860">
        <f>IF($A860="","",IF(ISNUMBER($A860),IF(AND($A860&gt;=10000101,$A860&lt;=99991231),INT($A860/10000),""),IFERROR(VALUE(TRIM(LEFT($A860,FIND("/",$A860)-1))),"")))</f>
        <v/>
      </c>
      <c r="C860">
        <f>IF(OR($A860="",$B860=""),"",IF(ISNUMBER($A860),INT(MOD($A860,10000)/100),IFERROR(VALUE(TRIM(LEFT(MID($A860,FIND("/",$A860)+1,20),FIND("/",MID($A860,FIND("/",$A860)+1,20))-1))),"")))</f>
        <v/>
      </c>
      <c r="D860">
        <f>IF(OR($A860="",$B860=""),"",IF(ISNUMBER($A860),MOD($A860,100),IFERROR(VALUE(TRIM(MID(MID($A860,FIND("/",$A860)+1,20),FIND("/",MID($A860,FIND("/",$A860)+1,20))+1,20))),"")))</f>
        <v/>
      </c>
      <c r="E860">
        <f>IF($A860="","",IF(OR($B860="",$C860="",$D860="",$B860&lt;1300,$B860&gt;1500,$C860&lt;1,$C860&gt;12,$D860&lt;1,$D860&gt;31),"نامعتبر",RIGHT("0000"&amp;$B860,4)&amp;"/"&amp;RIGHT("00"&amp;$C860,2)&amp;"/"&amp;RIGHT("00"&amp;$D860,2)))</f>
        <v/>
      </c>
      <c r="F860">
        <f>IF(Entry!$D860&lt;&gt;"",IF(AND(ISNUMBER(Entry!$D860),Entry!$D860&gt;=0,Entry!$D860&lt;1),RIGHT("00"&amp;HOUR(Entry!$D860),2)&amp;":"&amp;RIGHT("00"&amp;MINUTE(Entry!$D860),2),IFERROR(RIGHT("00"&amp;VALUE(TRIM(LEFT(Entry!$D860,FIND(":",Entry!$D860)-1))),2)&amp;":"&amp;RIGHT("00"&amp;VALUE(TRIM(MID(Entry!$D860,FIND(":",Entry!$D860)+1,2))),2),"نامعتبر")),IF(OR($E860="",$E860="نامعتبر"),"","00:00"))</f>
        <v/>
      </c>
      <c r="G860">
        <f>IF(OR($E860="",$E860="نامعتبر"),"",IF(Entry!$E860="","",LEFT(UPPER(TRIM(Entry!$E860)),6)))</f>
        <v/>
      </c>
      <c r="H860">
        <f>IF($G860="","",RIGHT($E860,4)&amp;MID($E860,6,2)&amp;RIGHT($E860,2)&amp;IF($F860="","0000",IF($F860="نامعتبر","9999",LEFT($F860,2)&amp;RIGHT($F860,2)))&amp;"|"&amp;RIGHT("00000"&amp;852,5))</f>
        <v/>
      </c>
      <c r="I860">
        <f>IF($H860="","",COUNTIFS(CalcBank,$G860,CalcKey,"&lt;"&amp;$H860)+1)</f>
        <v/>
      </c>
      <c r="J860">
        <f>IF($I860="","",$G860&amp;"|"&amp;RIGHT("000000"&amp;$I860,6))</f>
        <v/>
      </c>
      <c r="K860">
        <f>IF(OR($E860="",$E860="نامعتبر"),"",LEFT($E860,4)&amp;"/"&amp;MID($E860,6,2))</f>
        <v/>
      </c>
      <c r="L860">
        <f>IF(Entry!$K860="",0,Entry!$K860)</f>
        <v/>
      </c>
      <c r="M860">
        <f>IF(Entry!$L860="",0,Entry!$L860)</f>
        <v/>
      </c>
    </row>
    <row r="861">
      <c r="A861">
        <f>IF(Entry!$C861="","",Entry!$C861)</f>
        <v/>
      </c>
      <c r="B861">
        <f>IF($A861="","",IF(ISNUMBER($A861),IF(AND($A861&gt;=10000101,$A861&lt;=99991231),INT($A861/10000),""),IFERROR(VALUE(TRIM(LEFT($A861,FIND("/",$A861)-1))),"")))</f>
        <v/>
      </c>
      <c r="C861">
        <f>IF(OR($A861="",$B861=""),"",IF(ISNUMBER($A861),INT(MOD($A861,10000)/100),IFERROR(VALUE(TRIM(LEFT(MID($A861,FIND("/",$A861)+1,20),FIND("/",MID($A861,FIND("/",$A861)+1,20))-1))),"")))</f>
        <v/>
      </c>
      <c r="D861">
        <f>IF(OR($A861="",$B861=""),"",IF(ISNUMBER($A861),MOD($A861,100),IFERROR(VALUE(TRIM(MID(MID($A861,FIND("/",$A861)+1,20),FIND("/",MID($A861,FIND("/",$A861)+1,20))+1,20))),"")))</f>
        <v/>
      </c>
      <c r="E861">
        <f>IF($A861="","",IF(OR($B861="",$C861="",$D861="",$B861&lt;1300,$B861&gt;1500,$C861&lt;1,$C861&gt;12,$D861&lt;1,$D861&gt;31),"نامعتبر",RIGHT("0000"&amp;$B861,4)&amp;"/"&amp;RIGHT("00"&amp;$C861,2)&amp;"/"&amp;RIGHT("00"&amp;$D861,2)))</f>
        <v/>
      </c>
      <c r="F861">
        <f>IF(Entry!$D861&lt;&gt;"",IF(AND(ISNUMBER(Entry!$D861),Entry!$D861&gt;=0,Entry!$D861&lt;1),RIGHT("00"&amp;HOUR(Entry!$D861),2)&amp;":"&amp;RIGHT("00"&amp;MINUTE(Entry!$D861),2),IFERROR(RIGHT("00"&amp;VALUE(TRIM(LEFT(Entry!$D861,FIND(":",Entry!$D861)-1))),2)&amp;":"&amp;RIGHT("00"&amp;VALUE(TRIM(MID(Entry!$D861,FIND(":",Entry!$D861)+1,2))),2),"نامعتبر")),IF(OR($E861="",$E861="نامعتبر"),"","00:00"))</f>
        <v/>
      </c>
      <c r="G861">
        <f>IF(OR($E861="",$E861="نامعتبر"),"",IF(Entry!$E861="","",LEFT(UPPER(TRIM(Entry!$E861)),6)))</f>
        <v/>
      </c>
      <c r="H861">
        <f>IF($G861="","",RIGHT($E861,4)&amp;MID($E861,6,2)&amp;RIGHT($E861,2)&amp;IF($F861="","0000",IF($F861="نامعتبر","9999",LEFT($F861,2)&amp;RIGHT($F861,2)))&amp;"|"&amp;RIGHT("00000"&amp;853,5))</f>
        <v/>
      </c>
      <c r="I861">
        <f>IF($H861="","",COUNTIFS(CalcBank,$G861,CalcKey,"&lt;"&amp;$H861)+1)</f>
        <v/>
      </c>
      <c r="J861">
        <f>IF($I861="","",$G861&amp;"|"&amp;RIGHT("000000"&amp;$I861,6))</f>
        <v/>
      </c>
      <c r="K861">
        <f>IF(OR($E861="",$E861="نامعتبر"),"",LEFT($E861,4)&amp;"/"&amp;MID($E861,6,2))</f>
        <v/>
      </c>
      <c r="L861">
        <f>IF(Entry!$K861="",0,Entry!$K861)</f>
        <v/>
      </c>
      <c r="M861">
        <f>IF(Entry!$L861="",0,Entry!$L861)</f>
        <v/>
      </c>
    </row>
    <row r="862">
      <c r="A862">
        <f>IF(Entry!$C862="","",Entry!$C862)</f>
        <v/>
      </c>
      <c r="B862">
        <f>IF($A862="","",IF(ISNUMBER($A862),IF(AND($A862&gt;=10000101,$A862&lt;=99991231),INT($A862/10000),""),IFERROR(VALUE(TRIM(LEFT($A862,FIND("/",$A862)-1))),"")))</f>
        <v/>
      </c>
      <c r="C862">
        <f>IF(OR($A862="",$B862=""),"",IF(ISNUMBER($A862),INT(MOD($A862,10000)/100),IFERROR(VALUE(TRIM(LEFT(MID($A862,FIND("/",$A862)+1,20),FIND("/",MID($A862,FIND("/",$A862)+1,20))-1))),"")))</f>
        <v/>
      </c>
      <c r="D862">
        <f>IF(OR($A862="",$B862=""),"",IF(ISNUMBER($A862),MOD($A862,100),IFERROR(VALUE(TRIM(MID(MID($A862,FIND("/",$A862)+1,20),FIND("/",MID($A862,FIND("/",$A862)+1,20))+1,20))),"")))</f>
        <v/>
      </c>
      <c r="E862">
        <f>IF($A862="","",IF(OR($B862="",$C862="",$D862="",$B862&lt;1300,$B862&gt;1500,$C862&lt;1,$C862&gt;12,$D862&lt;1,$D862&gt;31),"نامعتبر",RIGHT("0000"&amp;$B862,4)&amp;"/"&amp;RIGHT("00"&amp;$C862,2)&amp;"/"&amp;RIGHT("00"&amp;$D862,2)))</f>
        <v/>
      </c>
      <c r="F862">
        <f>IF(Entry!$D862&lt;&gt;"",IF(AND(ISNUMBER(Entry!$D862),Entry!$D862&gt;=0,Entry!$D862&lt;1),RIGHT("00"&amp;HOUR(Entry!$D862),2)&amp;":"&amp;RIGHT("00"&amp;MINUTE(Entry!$D862),2),IFERROR(RIGHT("00"&amp;VALUE(TRIM(LEFT(Entry!$D862,FIND(":",Entry!$D862)-1))),2)&amp;":"&amp;RIGHT("00"&amp;VALUE(TRIM(MID(Entry!$D862,FIND(":",Entry!$D862)+1,2))),2),"نامعتبر")),IF(OR($E862="",$E862="نامعتبر"),"","00:00"))</f>
        <v/>
      </c>
      <c r="G862">
        <f>IF(OR($E862="",$E862="نامعتبر"),"",IF(Entry!$E862="","",LEFT(UPPER(TRIM(Entry!$E862)),6)))</f>
        <v/>
      </c>
      <c r="H862">
        <f>IF($G862="","",RIGHT($E862,4)&amp;MID($E862,6,2)&amp;RIGHT($E862,2)&amp;IF($F862="","0000",IF($F862="نامعتبر","9999",LEFT($F862,2)&amp;RIGHT($F862,2)))&amp;"|"&amp;RIGHT("00000"&amp;854,5))</f>
        <v/>
      </c>
      <c r="I862">
        <f>IF($H862="","",COUNTIFS(CalcBank,$G862,CalcKey,"&lt;"&amp;$H862)+1)</f>
        <v/>
      </c>
      <c r="J862">
        <f>IF($I862="","",$G862&amp;"|"&amp;RIGHT("000000"&amp;$I862,6))</f>
        <v/>
      </c>
      <c r="K862">
        <f>IF(OR($E862="",$E862="نامعتبر"),"",LEFT($E862,4)&amp;"/"&amp;MID($E862,6,2))</f>
        <v/>
      </c>
      <c r="L862">
        <f>IF(Entry!$K862="",0,Entry!$K862)</f>
        <v/>
      </c>
      <c r="M862">
        <f>IF(Entry!$L862="",0,Entry!$L862)</f>
        <v/>
      </c>
    </row>
    <row r="863">
      <c r="A863">
        <f>IF(Entry!$C863="","",Entry!$C863)</f>
        <v/>
      </c>
      <c r="B863">
        <f>IF($A863="","",IF(ISNUMBER($A863),IF(AND($A863&gt;=10000101,$A863&lt;=99991231),INT($A863/10000),""),IFERROR(VALUE(TRIM(LEFT($A863,FIND("/",$A863)-1))),"")))</f>
        <v/>
      </c>
      <c r="C863">
        <f>IF(OR($A863="",$B863=""),"",IF(ISNUMBER($A863),INT(MOD($A863,10000)/100),IFERROR(VALUE(TRIM(LEFT(MID($A863,FIND("/",$A863)+1,20),FIND("/",MID($A863,FIND("/",$A863)+1,20))-1))),"")))</f>
        <v/>
      </c>
      <c r="D863">
        <f>IF(OR($A863="",$B863=""),"",IF(ISNUMBER($A863),MOD($A863,100),IFERROR(VALUE(TRIM(MID(MID($A863,FIND("/",$A863)+1,20),FIND("/",MID($A863,FIND("/",$A863)+1,20))+1,20))),"")))</f>
        <v/>
      </c>
      <c r="E863">
        <f>IF($A863="","",IF(OR($B863="",$C863="",$D863="",$B863&lt;1300,$B863&gt;1500,$C863&lt;1,$C863&gt;12,$D863&lt;1,$D863&gt;31),"نامعتبر",RIGHT("0000"&amp;$B863,4)&amp;"/"&amp;RIGHT("00"&amp;$C863,2)&amp;"/"&amp;RIGHT("00"&amp;$D863,2)))</f>
        <v/>
      </c>
      <c r="F863">
        <f>IF(Entry!$D863&lt;&gt;"",IF(AND(ISNUMBER(Entry!$D863),Entry!$D863&gt;=0,Entry!$D863&lt;1),RIGHT("00"&amp;HOUR(Entry!$D863),2)&amp;":"&amp;RIGHT("00"&amp;MINUTE(Entry!$D863),2),IFERROR(RIGHT("00"&amp;VALUE(TRIM(LEFT(Entry!$D863,FIND(":",Entry!$D863)-1))),2)&amp;":"&amp;RIGHT("00"&amp;VALUE(TRIM(MID(Entry!$D863,FIND(":",Entry!$D863)+1,2))),2),"نامعتبر")),IF(OR($E863="",$E863="نامعتبر"),"","00:00"))</f>
        <v/>
      </c>
      <c r="G863">
        <f>IF(OR($E863="",$E863="نامعتبر"),"",IF(Entry!$E863="","",LEFT(UPPER(TRIM(Entry!$E863)),6)))</f>
        <v/>
      </c>
      <c r="H863">
        <f>IF($G863="","",RIGHT($E863,4)&amp;MID($E863,6,2)&amp;RIGHT($E863,2)&amp;IF($F863="","0000",IF($F863="نامعتبر","9999",LEFT($F863,2)&amp;RIGHT($F863,2)))&amp;"|"&amp;RIGHT("00000"&amp;855,5))</f>
        <v/>
      </c>
      <c r="I863">
        <f>IF($H863="","",COUNTIFS(CalcBank,$G863,CalcKey,"&lt;"&amp;$H863)+1)</f>
        <v/>
      </c>
      <c r="J863">
        <f>IF($I863="","",$G863&amp;"|"&amp;RIGHT("000000"&amp;$I863,6))</f>
        <v/>
      </c>
      <c r="K863">
        <f>IF(OR($E863="",$E863="نامعتبر"),"",LEFT($E863,4)&amp;"/"&amp;MID($E863,6,2))</f>
        <v/>
      </c>
      <c r="L863">
        <f>IF(Entry!$K863="",0,Entry!$K863)</f>
        <v/>
      </c>
      <c r="M863">
        <f>IF(Entry!$L863="",0,Entry!$L863)</f>
        <v/>
      </c>
    </row>
    <row r="864">
      <c r="A864">
        <f>IF(Entry!$C864="","",Entry!$C864)</f>
        <v/>
      </c>
      <c r="B864">
        <f>IF($A864="","",IF(ISNUMBER($A864),IF(AND($A864&gt;=10000101,$A864&lt;=99991231),INT($A864/10000),""),IFERROR(VALUE(TRIM(LEFT($A864,FIND("/",$A864)-1))),"")))</f>
        <v/>
      </c>
      <c r="C864">
        <f>IF(OR($A864="",$B864=""),"",IF(ISNUMBER($A864),INT(MOD($A864,10000)/100),IFERROR(VALUE(TRIM(LEFT(MID($A864,FIND("/",$A864)+1,20),FIND("/",MID($A864,FIND("/",$A864)+1,20))-1))),"")))</f>
        <v/>
      </c>
      <c r="D864">
        <f>IF(OR($A864="",$B864=""),"",IF(ISNUMBER($A864),MOD($A864,100),IFERROR(VALUE(TRIM(MID(MID($A864,FIND("/",$A864)+1,20),FIND("/",MID($A864,FIND("/",$A864)+1,20))+1,20))),"")))</f>
        <v/>
      </c>
      <c r="E864">
        <f>IF($A864="","",IF(OR($B864="",$C864="",$D864="",$B864&lt;1300,$B864&gt;1500,$C864&lt;1,$C864&gt;12,$D864&lt;1,$D864&gt;31),"نامعتبر",RIGHT("0000"&amp;$B864,4)&amp;"/"&amp;RIGHT("00"&amp;$C864,2)&amp;"/"&amp;RIGHT("00"&amp;$D864,2)))</f>
        <v/>
      </c>
      <c r="F864">
        <f>IF(Entry!$D864&lt;&gt;"",IF(AND(ISNUMBER(Entry!$D864),Entry!$D864&gt;=0,Entry!$D864&lt;1),RIGHT("00"&amp;HOUR(Entry!$D864),2)&amp;":"&amp;RIGHT("00"&amp;MINUTE(Entry!$D864),2),IFERROR(RIGHT("00"&amp;VALUE(TRIM(LEFT(Entry!$D864,FIND(":",Entry!$D864)-1))),2)&amp;":"&amp;RIGHT("00"&amp;VALUE(TRIM(MID(Entry!$D864,FIND(":",Entry!$D864)+1,2))),2),"نامعتبر")),IF(OR($E864="",$E864="نامعتبر"),"","00:00"))</f>
        <v/>
      </c>
      <c r="G864">
        <f>IF(OR($E864="",$E864="نامعتبر"),"",IF(Entry!$E864="","",LEFT(UPPER(TRIM(Entry!$E864)),6)))</f>
        <v/>
      </c>
      <c r="H864">
        <f>IF($G864="","",RIGHT($E864,4)&amp;MID($E864,6,2)&amp;RIGHT($E864,2)&amp;IF($F864="","0000",IF($F864="نامعتبر","9999",LEFT($F864,2)&amp;RIGHT($F864,2)))&amp;"|"&amp;RIGHT("00000"&amp;856,5))</f>
        <v/>
      </c>
      <c r="I864">
        <f>IF($H864="","",COUNTIFS(CalcBank,$G864,CalcKey,"&lt;"&amp;$H864)+1)</f>
        <v/>
      </c>
      <c r="J864">
        <f>IF($I864="","",$G864&amp;"|"&amp;RIGHT("000000"&amp;$I864,6))</f>
        <v/>
      </c>
      <c r="K864">
        <f>IF(OR($E864="",$E864="نامعتبر"),"",LEFT($E864,4)&amp;"/"&amp;MID($E864,6,2))</f>
        <v/>
      </c>
      <c r="L864">
        <f>IF(Entry!$K864="",0,Entry!$K864)</f>
        <v/>
      </c>
      <c r="M864">
        <f>IF(Entry!$L864="",0,Entry!$L864)</f>
        <v/>
      </c>
    </row>
    <row r="865">
      <c r="A865">
        <f>IF(Entry!$C865="","",Entry!$C865)</f>
        <v/>
      </c>
      <c r="B865">
        <f>IF($A865="","",IF(ISNUMBER($A865),IF(AND($A865&gt;=10000101,$A865&lt;=99991231),INT($A865/10000),""),IFERROR(VALUE(TRIM(LEFT($A865,FIND("/",$A865)-1))),"")))</f>
        <v/>
      </c>
      <c r="C865">
        <f>IF(OR($A865="",$B865=""),"",IF(ISNUMBER($A865),INT(MOD($A865,10000)/100),IFERROR(VALUE(TRIM(LEFT(MID($A865,FIND("/",$A865)+1,20),FIND("/",MID($A865,FIND("/",$A865)+1,20))-1))),"")))</f>
        <v/>
      </c>
      <c r="D865">
        <f>IF(OR($A865="",$B865=""),"",IF(ISNUMBER($A865),MOD($A865,100),IFERROR(VALUE(TRIM(MID(MID($A865,FIND("/",$A865)+1,20),FIND("/",MID($A865,FIND("/",$A865)+1,20))+1,20))),"")))</f>
        <v/>
      </c>
      <c r="E865">
        <f>IF($A865="","",IF(OR($B865="",$C865="",$D865="",$B865&lt;1300,$B865&gt;1500,$C865&lt;1,$C865&gt;12,$D865&lt;1,$D865&gt;31),"نامعتبر",RIGHT("0000"&amp;$B865,4)&amp;"/"&amp;RIGHT("00"&amp;$C865,2)&amp;"/"&amp;RIGHT("00"&amp;$D865,2)))</f>
        <v/>
      </c>
      <c r="F865">
        <f>IF(Entry!$D865&lt;&gt;"",IF(AND(ISNUMBER(Entry!$D865),Entry!$D865&gt;=0,Entry!$D865&lt;1),RIGHT("00"&amp;HOUR(Entry!$D865),2)&amp;":"&amp;RIGHT("00"&amp;MINUTE(Entry!$D865),2),IFERROR(RIGHT("00"&amp;VALUE(TRIM(LEFT(Entry!$D865,FIND(":",Entry!$D865)-1))),2)&amp;":"&amp;RIGHT("00"&amp;VALUE(TRIM(MID(Entry!$D865,FIND(":",Entry!$D865)+1,2))),2),"نامعتبر")),IF(OR($E865="",$E865="نامعتبر"),"","00:00"))</f>
        <v/>
      </c>
      <c r="G865">
        <f>IF(OR($E865="",$E865="نامعتبر"),"",IF(Entry!$E865="","",LEFT(UPPER(TRIM(Entry!$E865)),6)))</f>
        <v/>
      </c>
      <c r="H865">
        <f>IF($G865="","",RIGHT($E865,4)&amp;MID($E865,6,2)&amp;RIGHT($E865,2)&amp;IF($F865="","0000",IF($F865="نامعتبر","9999",LEFT($F865,2)&amp;RIGHT($F865,2)))&amp;"|"&amp;RIGHT("00000"&amp;857,5))</f>
        <v/>
      </c>
      <c r="I865">
        <f>IF($H865="","",COUNTIFS(CalcBank,$G865,CalcKey,"&lt;"&amp;$H865)+1)</f>
        <v/>
      </c>
      <c r="J865">
        <f>IF($I865="","",$G865&amp;"|"&amp;RIGHT("000000"&amp;$I865,6))</f>
        <v/>
      </c>
      <c r="K865">
        <f>IF(OR($E865="",$E865="نامعتبر"),"",LEFT($E865,4)&amp;"/"&amp;MID($E865,6,2))</f>
        <v/>
      </c>
      <c r="L865">
        <f>IF(Entry!$K865="",0,Entry!$K865)</f>
        <v/>
      </c>
      <c r="M865">
        <f>IF(Entry!$L865="",0,Entry!$L865)</f>
        <v/>
      </c>
    </row>
    <row r="866">
      <c r="A866">
        <f>IF(Entry!$C866="","",Entry!$C866)</f>
        <v/>
      </c>
      <c r="B866">
        <f>IF($A866="","",IF(ISNUMBER($A866),IF(AND($A866&gt;=10000101,$A866&lt;=99991231),INT($A866/10000),""),IFERROR(VALUE(TRIM(LEFT($A866,FIND("/",$A866)-1))),"")))</f>
        <v/>
      </c>
      <c r="C866">
        <f>IF(OR($A866="",$B866=""),"",IF(ISNUMBER($A866),INT(MOD($A866,10000)/100),IFERROR(VALUE(TRIM(LEFT(MID($A866,FIND("/",$A866)+1,20),FIND("/",MID($A866,FIND("/",$A866)+1,20))-1))),"")))</f>
        <v/>
      </c>
      <c r="D866">
        <f>IF(OR($A866="",$B866=""),"",IF(ISNUMBER($A866),MOD($A866,100),IFERROR(VALUE(TRIM(MID(MID($A866,FIND("/",$A866)+1,20),FIND("/",MID($A866,FIND("/",$A866)+1,20))+1,20))),"")))</f>
        <v/>
      </c>
      <c r="E866">
        <f>IF($A866="","",IF(OR($B866="",$C866="",$D866="",$B866&lt;1300,$B866&gt;1500,$C866&lt;1,$C866&gt;12,$D866&lt;1,$D866&gt;31),"نامعتبر",RIGHT("0000"&amp;$B866,4)&amp;"/"&amp;RIGHT("00"&amp;$C866,2)&amp;"/"&amp;RIGHT("00"&amp;$D866,2)))</f>
        <v/>
      </c>
      <c r="F866">
        <f>IF(Entry!$D866&lt;&gt;"",IF(AND(ISNUMBER(Entry!$D866),Entry!$D866&gt;=0,Entry!$D866&lt;1),RIGHT("00"&amp;HOUR(Entry!$D866),2)&amp;":"&amp;RIGHT("00"&amp;MINUTE(Entry!$D866),2),IFERROR(RIGHT("00"&amp;VALUE(TRIM(LEFT(Entry!$D866,FIND(":",Entry!$D866)-1))),2)&amp;":"&amp;RIGHT("00"&amp;VALUE(TRIM(MID(Entry!$D866,FIND(":",Entry!$D866)+1,2))),2),"نامعتبر")),IF(OR($E866="",$E866="نامعتبر"),"","00:00"))</f>
        <v/>
      </c>
      <c r="G866">
        <f>IF(OR($E866="",$E866="نامعتبر"),"",IF(Entry!$E866="","",LEFT(UPPER(TRIM(Entry!$E866)),6)))</f>
        <v/>
      </c>
      <c r="H866">
        <f>IF($G866="","",RIGHT($E866,4)&amp;MID($E866,6,2)&amp;RIGHT($E866,2)&amp;IF($F866="","0000",IF($F866="نامعتبر","9999",LEFT($F866,2)&amp;RIGHT($F866,2)))&amp;"|"&amp;RIGHT("00000"&amp;858,5))</f>
        <v/>
      </c>
      <c r="I866">
        <f>IF($H866="","",COUNTIFS(CalcBank,$G866,CalcKey,"&lt;"&amp;$H866)+1)</f>
        <v/>
      </c>
      <c r="J866">
        <f>IF($I866="","",$G866&amp;"|"&amp;RIGHT("000000"&amp;$I866,6))</f>
        <v/>
      </c>
      <c r="K866">
        <f>IF(OR($E866="",$E866="نامعتبر"),"",LEFT($E866,4)&amp;"/"&amp;MID($E866,6,2))</f>
        <v/>
      </c>
      <c r="L866">
        <f>IF(Entry!$K866="",0,Entry!$K866)</f>
        <v/>
      </c>
      <c r="M866">
        <f>IF(Entry!$L866="",0,Entry!$L866)</f>
        <v/>
      </c>
    </row>
    <row r="867">
      <c r="A867">
        <f>IF(Entry!$C867="","",Entry!$C867)</f>
        <v/>
      </c>
      <c r="B867">
        <f>IF($A867="","",IF(ISNUMBER($A867),IF(AND($A867&gt;=10000101,$A867&lt;=99991231),INT($A867/10000),""),IFERROR(VALUE(TRIM(LEFT($A867,FIND("/",$A867)-1))),"")))</f>
        <v/>
      </c>
      <c r="C867">
        <f>IF(OR($A867="",$B867=""),"",IF(ISNUMBER($A867),INT(MOD($A867,10000)/100),IFERROR(VALUE(TRIM(LEFT(MID($A867,FIND("/",$A867)+1,20),FIND("/",MID($A867,FIND("/",$A867)+1,20))-1))),"")))</f>
        <v/>
      </c>
      <c r="D867">
        <f>IF(OR($A867="",$B867=""),"",IF(ISNUMBER($A867),MOD($A867,100),IFERROR(VALUE(TRIM(MID(MID($A867,FIND("/",$A867)+1,20),FIND("/",MID($A867,FIND("/",$A867)+1,20))+1,20))),"")))</f>
        <v/>
      </c>
      <c r="E867">
        <f>IF($A867="","",IF(OR($B867="",$C867="",$D867="",$B867&lt;1300,$B867&gt;1500,$C867&lt;1,$C867&gt;12,$D867&lt;1,$D867&gt;31),"نامعتبر",RIGHT("0000"&amp;$B867,4)&amp;"/"&amp;RIGHT("00"&amp;$C867,2)&amp;"/"&amp;RIGHT("00"&amp;$D867,2)))</f>
        <v/>
      </c>
      <c r="F867">
        <f>IF(Entry!$D867&lt;&gt;"",IF(AND(ISNUMBER(Entry!$D867),Entry!$D867&gt;=0,Entry!$D867&lt;1),RIGHT("00"&amp;HOUR(Entry!$D867),2)&amp;":"&amp;RIGHT("00"&amp;MINUTE(Entry!$D867),2),IFERROR(RIGHT("00"&amp;VALUE(TRIM(LEFT(Entry!$D867,FIND(":",Entry!$D867)-1))),2)&amp;":"&amp;RIGHT("00"&amp;VALUE(TRIM(MID(Entry!$D867,FIND(":",Entry!$D867)+1,2))),2),"نامعتبر")),IF(OR($E867="",$E867="نامعتبر"),"","00:00"))</f>
        <v/>
      </c>
      <c r="G867">
        <f>IF(OR($E867="",$E867="نامعتبر"),"",IF(Entry!$E867="","",LEFT(UPPER(TRIM(Entry!$E867)),6)))</f>
        <v/>
      </c>
      <c r="H867">
        <f>IF($G867="","",RIGHT($E867,4)&amp;MID($E867,6,2)&amp;RIGHT($E867,2)&amp;IF($F867="","0000",IF($F867="نامعتبر","9999",LEFT($F867,2)&amp;RIGHT($F867,2)))&amp;"|"&amp;RIGHT("00000"&amp;859,5))</f>
        <v/>
      </c>
      <c r="I867">
        <f>IF($H867="","",COUNTIFS(CalcBank,$G867,CalcKey,"&lt;"&amp;$H867)+1)</f>
        <v/>
      </c>
      <c r="J867">
        <f>IF($I867="","",$G867&amp;"|"&amp;RIGHT("000000"&amp;$I867,6))</f>
        <v/>
      </c>
      <c r="K867">
        <f>IF(OR($E867="",$E867="نامعتبر"),"",LEFT($E867,4)&amp;"/"&amp;MID($E867,6,2))</f>
        <v/>
      </c>
      <c r="L867">
        <f>IF(Entry!$K867="",0,Entry!$K867)</f>
        <v/>
      </c>
      <c r="M867">
        <f>IF(Entry!$L867="",0,Entry!$L867)</f>
        <v/>
      </c>
    </row>
    <row r="868">
      <c r="A868">
        <f>IF(Entry!$C868="","",Entry!$C868)</f>
        <v/>
      </c>
      <c r="B868">
        <f>IF($A868="","",IF(ISNUMBER($A868),IF(AND($A868&gt;=10000101,$A868&lt;=99991231),INT($A868/10000),""),IFERROR(VALUE(TRIM(LEFT($A868,FIND("/",$A868)-1))),"")))</f>
        <v/>
      </c>
      <c r="C868">
        <f>IF(OR($A868="",$B868=""),"",IF(ISNUMBER($A868),INT(MOD($A868,10000)/100),IFERROR(VALUE(TRIM(LEFT(MID($A868,FIND("/",$A868)+1,20),FIND("/",MID($A868,FIND("/",$A868)+1,20))-1))),"")))</f>
        <v/>
      </c>
      <c r="D868">
        <f>IF(OR($A868="",$B868=""),"",IF(ISNUMBER($A868),MOD($A868,100),IFERROR(VALUE(TRIM(MID(MID($A868,FIND("/",$A868)+1,20),FIND("/",MID($A868,FIND("/",$A868)+1,20))+1,20))),"")))</f>
        <v/>
      </c>
      <c r="E868">
        <f>IF($A868="","",IF(OR($B868="",$C868="",$D868="",$B868&lt;1300,$B868&gt;1500,$C868&lt;1,$C868&gt;12,$D868&lt;1,$D868&gt;31),"نامعتبر",RIGHT("0000"&amp;$B868,4)&amp;"/"&amp;RIGHT("00"&amp;$C868,2)&amp;"/"&amp;RIGHT("00"&amp;$D868,2)))</f>
        <v/>
      </c>
      <c r="F868">
        <f>IF(Entry!$D868&lt;&gt;"",IF(AND(ISNUMBER(Entry!$D868),Entry!$D868&gt;=0,Entry!$D868&lt;1),RIGHT("00"&amp;HOUR(Entry!$D868),2)&amp;":"&amp;RIGHT("00"&amp;MINUTE(Entry!$D868),2),IFERROR(RIGHT("00"&amp;VALUE(TRIM(LEFT(Entry!$D868,FIND(":",Entry!$D868)-1))),2)&amp;":"&amp;RIGHT("00"&amp;VALUE(TRIM(MID(Entry!$D868,FIND(":",Entry!$D868)+1,2))),2),"نامعتبر")),IF(OR($E868="",$E868="نامعتبر"),"","00:00"))</f>
        <v/>
      </c>
      <c r="G868">
        <f>IF(OR($E868="",$E868="نامعتبر"),"",IF(Entry!$E868="","",LEFT(UPPER(TRIM(Entry!$E868)),6)))</f>
        <v/>
      </c>
      <c r="H868">
        <f>IF($G868="","",RIGHT($E868,4)&amp;MID($E868,6,2)&amp;RIGHT($E868,2)&amp;IF($F868="","0000",IF($F868="نامعتبر","9999",LEFT($F868,2)&amp;RIGHT($F868,2)))&amp;"|"&amp;RIGHT("00000"&amp;860,5))</f>
        <v/>
      </c>
      <c r="I868">
        <f>IF($H868="","",COUNTIFS(CalcBank,$G868,CalcKey,"&lt;"&amp;$H868)+1)</f>
        <v/>
      </c>
      <c r="J868">
        <f>IF($I868="","",$G868&amp;"|"&amp;RIGHT("000000"&amp;$I868,6))</f>
        <v/>
      </c>
      <c r="K868">
        <f>IF(OR($E868="",$E868="نامعتبر"),"",LEFT($E868,4)&amp;"/"&amp;MID($E868,6,2))</f>
        <v/>
      </c>
      <c r="L868">
        <f>IF(Entry!$K868="",0,Entry!$K868)</f>
        <v/>
      </c>
      <c r="M868">
        <f>IF(Entry!$L868="",0,Entry!$L868)</f>
        <v/>
      </c>
    </row>
    <row r="869">
      <c r="A869">
        <f>IF(Entry!$C869="","",Entry!$C869)</f>
        <v/>
      </c>
      <c r="B869">
        <f>IF($A869="","",IF(ISNUMBER($A869),IF(AND($A869&gt;=10000101,$A869&lt;=99991231),INT($A869/10000),""),IFERROR(VALUE(TRIM(LEFT($A869,FIND("/",$A869)-1))),"")))</f>
        <v/>
      </c>
      <c r="C869">
        <f>IF(OR($A869="",$B869=""),"",IF(ISNUMBER($A869),INT(MOD($A869,10000)/100),IFERROR(VALUE(TRIM(LEFT(MID($A869,FIND("/",$A869)+1,20),FIND("/",MID($A869,FIND("/",$A869)+1,20))-1))),"")))</f>
        <v/>
      </c>
      <c r="D869">
        <f>IF(OR($A869="",$B869=""),"",IF(ISNUMBER($A869),MOD($A869,100),IFERROR(VALUE(TRIM(MID(MID($A869,FIND("/",$A869)+1,20),FIND("/",MID($A869,FIND("/",$A869)+1,20))+1,20))),"")))</f>
        <v/>
      </c>
      <c r="E869">
        <f>IF($A869="","",IF(OR($B869="",$C869="",$D869="",$B869&lt;1300,$B869&gt;1500,$C869&lt;1,$C869&gt;12,$D869&lt;1,$D869&gt;31),"نامعتبر",RIGHT("0000"&amp;$B869,4)&amp;"/"&amp;RIGHT("00"&amp;$C869,2)&amp;"/"&amp;RIGHT("00"&amp;$D869,2)))</f>
        <v/>
      </c>
      <c r="F869">
        <f>IF(Entry!$D869&lt;&gt;"",IF(AND(ISNUMBER(Entry!$D869),Entry!$D869&gt;=0,Entry!$D869&lt;1),RIGHT("00"&amp;HOUR(Entry!$D869),2)&amp;":"&amp;RIGHT("00"&amp;MINUTE(Entry!$D869),2),IFERROR(RIGHT("00"&amp;VALUE(TRIM(LEFT(Entry!$D869,FIND(":",Entry!$D869)-1))),2)&amp;":"&amp;RIGHT("00"&amp;VALUE(TRIM(MID(Entry!$D869,FIND(":",Entry!$D869)+1,2))),2),"نامعتبر")),IF(OR($E869="",$E869="نامعتبر"),"","00:00"))</f>
        <v/>
      </c>
      <c r="G869">
        <f>IF(OR($E869="",$E869="نامعتبر"),"",IF(Entry!$E869="","",LEFT(UPPER(TRIM(Entry!$E869)),6)))</f>
        <v/>
      </c>
      <c r="H869">
        <f>IF($G869="","",RIGHT($E869,4)&amp;MID($E869,6,2)&amp;RIGHT($E869,2)&amp;IF($F869="","0000",IF($F869="نامعتبر","9999",LEFT($F869,2)&amp;RIGHT($F869,2)))&amp;"|"&amp;RIGHT("00000"&amp;861,5))</f>
        <v/>
      </c>
      <c r="I869">
        <f>IF($H869="","",COUNTIFS(CalcBank,$G869,CalcKey,"&lt;"&amp;$H869)+1)</f>
        <v/>
      </c>
      <c r="J869">
        <f>IF($I869="","",$G869&amp;"|"&amp;RIGHT("000000"&amp;$I869,6))</f>
        <v/>
      </c>
      <c r="K869">
        <f>IF(OR($E869="",$E869="نامعتبر"),"",LEFT($E869,4)&amp;"/"&amp;MID($E869,6,2))</f>
        <v/>
      </c>
      <c r="L869">
        <f>IF(Entry!$K869="",0,Entry!$K869)</f>
        <v/>
      </c>
      <c r="M869">
        <f>IF(Entry!$L869="",0,Entry!$L869)</f>
        <v/>
      </c>
    </row>
    <row r="870">
      <c r="A870">
        <f>IF(Entry!$C870="","",Entry!$C870)</f>
        <v/>
      </c>
      <c r="B870">
        <f>IF($A870="","",IF(ISNUMBER($A870),IF(AND($A870&gt;=10000101,$A870&lt;=99991231),INT($A870/10000),""),IFERROR(VALUE(TRIM(LEFT($A870,FIND("/",$A870)-1))),"")))</f>
        <v/>
      </c>
      <c r="C870">
        <f>IF(OR($A870="",$B870=""),"",IF(ISNUMBER($A870),INT(MOD($A870,10000)/100),IFERROR(VALUE(TRIM(LEFT(MID($A870,FIND("/",$A870)+1,20),FIND("/",MID($A870,FIND("/",$A870)+1,20))-1))),"")))</f>
        <v/>
      </c>
      <c r="D870">
        <f>IF(OR($A870="",$B870=""),"",IF(ISNUMBER($A870),MOD($A870,100),IFERROR(VALUE(TRIM(MID(MID($A870,FIND("/",$A870)+1,20),FIND("/",MID($A870,FIND("/",$A870)+1,20))+1,20))),"")))</f>
        <v/>
      </c>
      <c r="E870">
        <f>IF($A870="","",IF(OR($B870="",$C870="",$D870="",$B870&lt;1300,$B870&gt;1500,$C870&lt;1,$C870&gt;12,$D870&lt;1,$D870&gt;31),"نامعتبر",RIGHT("0000"&amp;$B870,4)&amp;"/"&amp;RIGHT("00"&amp;$C870,2)&amp;"/"&amp;RIGHT("00"&amp;$D870,2)))</f>
        <v/>
      </c>
      <c r="F870">
        <f>IF(Entry!$D870&lt;&gt;"",IF(AND(ISNUMBER(Entry!$D870),Entry!$D870&gt;=0,Entry!$D870&lt;1),RIGHT("00"&amp;HOUR(Entry!$D870),2)&amp;":"&amp;RIGHT("00"&amp;MINUTE(Entry!$D870),2),IFERROR(RIGHT("00"&amp;VALUE(TRIM(LEFT(Entry!$D870,FIND(":",Entry!$D870)-1))),2)&amp;":"&amp;RIGHT("00"&amp;VALUE(TRIM(MID(Entry!$D870,FIND(":",Entry!$D870)+1,2))),2),"نامعتبر")),IF(OR($E870="",$E870="نامعتبر"),"","00:00"))</f>
        <v/>
      </c>
      <c r="G870">
        <f>IF(OR($E870="",$E870="نامعتبر"),"",IF(Entry!$E870="","",LEFT(UPPER(TRIM(Entry!$E870)),6)))</f>
        <v/>
      </c>
      <c r="H870">
        <f>IF($G870="","",RIGHT($E870,4)&amp;MID($E870,6,2)&amp;RIGHT($E870,2)&amp;IF($F870="","0000",IF($F870="نامعتبر","9999",LEFT($F870,2)&amp;RIGHT($F870,2)))&amp;"|"&amp;RIGHT("00000"&amp;862,5))</f>
        <v/>
      </c>
      <c r="I870">
        <f>IF($H870="","",COUNTIFS(CalcBank,$G870,CalcKey,"&lt;"&amp;$H870)+1)</f>
        <v/>
      </c>
      <c r="J870">
        <f>IF($I870="","",$G870&amp;"|"&amp;RIGHT("000000"&amp;$I870,6))</f>
        <v/>
      </c>
      <c r="K870">
        <f>IF(OR($E870="",$E870="نامعتبر"),"",LEFT($E870,4)&amp;"/"&amp;MID($E870,6,2))</f>
        <v/>
      </c>
      <c r="L870">
        <f>IF(Entry!$K870="",0,Entry!$K870)</f>
        <v/>
      </c>
      <c r="M870">
        <f>IF(Entry!$L870="",0,Entry!$L870)</f>
        <v/>
      </c>
    </row>
    <row r="871">
      <c r="A871">
        <f>IF(Entry!$C871="","",Entry!$C871)</f>
        <v/>
      </c>
      <c r="B871">
        <f>IF($A871="","",IF(ISNUMBER($A871),IF(AND($A871&gt;=10000101,$A871&lt;=99991231),INT($A871/10000),""),IFERROR(VALUE(TRIM(LEFT($A871,FIND("/",$A871)-1))),"")))</f>
        <v/>
      </c>
      <c r="C871">
        <f>IF(OR($A871="",$B871=""),"",IF(ISNUMBER($A871),INT(MOD($A871,10000)/100),IFERROR(VALUE(TRIM(LEFT(MID($A871,FIND("/",$A871)+1,20),FIND("/",MID($A871,FIND("/",$A871)+1,20))-1))),"")))</f>
        <v/>
      </c>
      <c r="D871">
        <f>IF(OR($A871="",$B871=""),"",IF(ISNUMBER($A871),MOD($A871,100),IFERROR(VALUE(TRIM(MID(MID($A871,FIND("/",$A871)+1,20),FIND("/",MID($A871,FIND("/",$A871)+1,20))+1,20))),"")))</f>
        <v/>
      </c>
      <c r="E871">
        <f>IF($A871="","",IF(OR($B871="",$C871="",$D871="",$B871&lt;1300,$B871&gt;1500,$C871&lt;1,$C871&gt;12,$D871&lt;1,$D871&gt;31),"نامعتبر",RIGHT("0000"&amp;$B871,4)&amp;"/"&amp;RIGHT("00"&amp;$C871,2)&amp;"/"&amp;RIGHT("00"&amp;$D871,2)))</f>
        <v/>
      </c>
      <c r="F871">
        <f>IF(Entry!$D871&lt;&gt;"",IF(AND(ISNUMBER(Entry!$D871),Entry!$D871&gt;=0,Entry!$D871&lt;1),RIGHT("00"&amp;HOUR(Entry!$D871),2)&amp;":"&amp;RIGHT("00"&amp;MINUTE(Entry!$D871),2),IFERROR(RIGHT("00"&amp;VALUE(TRIM(LEFT(Entry!$D871,FIND(":",Entry!$D871)-1))),2)&amp;":"&amp;RIGHT("00"&amp;VALUE(TRIM(MID(Entry!$D871,FIND(":",Entry!$D871)+1,2))),2),"نامعتبر")),IF(OR($E871="",$E871="نامعتبر"),"","00:00"))</f>
        <v/>
      </c>
      <c r="G871">
        <f>IF(OR($E871="",$E871="نامعتبر"),"",IF(Entry!$E871="","",LEFT(UPPER(TRIM(Entry!$E871)),6)))</f>
        <v/>
      </c>
      <c r="H871">
        <f>IF($G871="","",RIGHT($E871,4)&amp;MID($E871,6,2)&amp;RIGHT($E871,2)&amp;IF($F871="","0000",IF($F871="نامعتبر","9999",LEFT($F871,2)&amp;RIGHT($F871,2)))&amp;"|"&amp;RIGHT("00000"&amp;863,5))</f>
        <v/>
      </c>
      <c r="I871">
        <f>IF($H871="","",COUNTIFS(CalcBank,$G871,CalcKey,"&lt;"&amp;$H871)+1)</f>
        <v/>
      </c>
      <c r="J871">
        <f>IF($I871="","",$G871&amp;"|"&amp;RIGHT("000000"&amp;$I871,6))</f>
        <v/>
      </c>
      <c r="K871">
        <f>IF(OR($E871="",$E871="نامعتبر"),"",LEFT($E871,4)&amp;"/"&amp;MID($E871,6,2))</f>
        <v/>
      </c>
      <c r="L871">
        <f>IF(Entry!$K871="",0,Entry!$K871)</f>
        <v/>
      </c>
      <c r="M871">
        <f>IF(Entry!$L871="",0,Entry!$L871)</f>
        <v/>
      </c>
    </row>
    <row r="872">
      <c r="A872">
        <f>IF(Entry!$C872="","",Entry!$C872)</f>
        <v/>
      </c>
      <c r="B872">
        <f>IF($A872="","",IF(ISNUMBER($A872),IF(AND($A872&gt;=10000101,$A872&lt;=99991231),INT($A872/10000),""),IFERROR(VALUE(TRIM(LEFT($A872,FIND("/",$A872)-1))),"")))</f>
        <v/>
      </c>
      <c r="C872">
        <f>IF(OR($A872="",$B872=""),"",IF(ISNUMBER($A872),INT(MOD($A872,10000)/100),IFERROR(VALUE(TRIM(LEFT(MID($A872,FIND("/",$A872)+1,20),FIND("/",MID($A872,FIND("/",$A872)+1,20))-1))),"")))</f>
        <v/>
      </c>
      <c r="D872">
        <f>IF(OR($A872="",$B872=""),"",IF(ISNUMBER($A872),MOD($A872,100),IFERROR(VALUE(TRIM(MID(MID($A872,FIND("/",$A872)+1,20),FIND("/",MID($A872,FIND("/",$A872)+1,20))+1,20))),"")))</f>
        <v/>
      </c>
      <c r="E872">
        <f>IF($A872="","",IF(OR($B872="",$C872="",$D872="",$B872&lt;1300,$B872&gt;1500,$C872&lt;1,$C872&gt;12,$D872&lt;1,$D872&gt;31),"نامعتبر",RIGHT("0000"&amp;$B872,4)&amp;"/"&amp;RIGHT("00"&amp;$C872,2)&amp;"/"&amp;RIGHT("00"&amp;$D872,2)))</f>
        <v/>
      </c>
      <c r="F872">
        <f>IF(Entry!$D872&lt;&gt;"",IF(AND(ISNUMBER(Entry!$D872),Entry!$D872&gt;=0,Entry!$D872&lt;1),RIGHT("00"&amp;HOUR(Entry!$D872),2)&amp;":"&amp;RIGHT("00"&amp;MINUTE(Entry!$D872),2),IFERROR(RIGHT("00"&amp;VALUE(TRIM(LEFT(Entry!$D872,FIND(":",Entry!$D872)-1))),2)&amp;":"&amp;RIGHT("00"&amp;VALUE(TRIM(MID(Entry!$D872,FIND(":",Entry!$D872)+1,2))),2),"نامعتبر")),IF(OR($E872="",$E872="نامعتبر"),"","00:00"))</f>
        <v/>
      </c>
      <c r="G872">
        <f>IF(OR($E872="",$E872="نامعتبر"),"",IF(Entry!$E872="","",LEFT(UPPER(TRIM(Entry!$E872)),6)))</f>
        <v/>
      </c>
      <c r="H872">
        <f>IF($G872="","",RIGHT($E872,4)&amp;MID($E872,6,2)&amp;RIGHT($E872,2)&amp;IF($F872="","0000",IF($F872="نامعتبر","9999",LEFT($F872,2)&amp;RIGHT($F872,2)))&amp;"|"&amp;RIGHT("00000"&amp;864,5))</f>
        <v/>
      </c>
      <c r="I872">
        <f>IF($H872="","",COUNTIFS(CalcBank,$G872,CalcKey,"&lt;"&amp;$H872)+1)</f>
        <v/>
      </c>
      <c r="J872">
        <f>IF($I872="","",$G872&amp;"|"&amp;RIGHT("000000"&amp;$I872,6))</f>
        <v/>
      </c>
      <c r="K872">
        <f>IF(OR($E872="",$E872="نامعتبر"),"",LEFT($E872,4)&amp;"/"&amp;MID($E872,6,2))</f>
        <v/>
      </c>
      <c r="L872">
        <f>IF(Entry!$K872="",0,Entry!$K872)</f>
        <v/>
      </c>
      <c r="M872">
        <f>IF(Entry!$L872="",0,Entry!$L872)</f>
        <v/>
      </c>
    </row>
    <row r="873">
      <c r="A873">
        <f>IF(Entry!$C873="","",Entry!$C873)</f>
        <v/>
      </c>
      <c r="B873">
        <f>IF($A873="","",IF(ISNUMBER($A873),IF(AND($A873&gt;=10000101,$A873&lt;=99991231),INT($A873/10000),""),IFERROR(VALUE(TRIM(LEFT($A873,FIND("/",$A873)-1))),"")))</f>
        <v/>
      </c>
      <c r="C873">
        <f>IF(OR($A873="",$B873=""),"",IF(ISNUMBER($A873),INT(MOD($A873,10000)/100),IFERROR(VALUE(TRIM(LEFT(MID($A873,FIND("/",$A873)+1,20),FIND("/",MID($A873,FIND("/",$A873)+1,20))-1))),"")))</f>
        <v/>
      </c>
      <c r="D873">
        <f>IF(OR($A873="",$B873=""),"",IF(ISNUMBER($A873),MOD($A873,100),IFERROR(VALUE(TRIM(MID(MID($A873,FIND("/",$A873)+1,20),FIND("/",MID($A873,FIND("/",$A873)+1,20))+1,20))),"")))</f>
        <v/>
      </c>
      <c r="E873">
        <f>IF($A873="","",IF(OR($B873="",$C873="",$D873="",$B873&lt;1300,$B873&gt;1500,$C873&lt;1,$C873&gt;12,$D873&lt;1,$D873&gt;31),"نامعتبر",RIGHT("0000"&amp;$B873,4)&amp;"/"&amp;RIGHT("00"&amp;$C873,2)&amp;"/"&amp;RIGHT("00"&amp;$D873,2)))</f>
        <v/>
      </c>
      <c r="F873">
        <f>IF(Entry!$D873&lt;&gt;"",IF(AND(ISNUMBER(Entry!$D873),Entry!$D873&gt;=0,Entry!$D873&lt;1),RIGHT("00"&amp;HOUR(Entry!$D873),2)&amp;":"&amp;RIGHT("00"&amp;MINUTE(Entry!$D873),2),IFERROR(RIGHT("00"&amp;VALUE(TRIM(LEFT(Entry!$D873,FIND(":",Entry!$D873)-1))),2)&amp;":"&amp;RIGHT("00"&amp;VALUE(TRIM(MID(Entry!$D873,FIND(":",Entry!$D873)+1,2))),2),"نامعتبر")),IF(OR($E873="",$E873="نامعتبر"),"","00:00"))</f>
        <v/>
      </c>
      <c r="G873">
        <f>IF(OR($E873="",$E873="نامعتبر"),"",IF(Entry!$E873="","",LEFT(UPPER(TRIM(Entry!$E873)),6)))</f>
        <v/>
      </c>
      <c r="H873">
        <f>IF($G873="","",RIGHT($E873,4)&amp;MID($E873,6,2)&amp;RIGHT($E873,2)&amp;IF($F873="","0000",IF($F873="نامعتبر","9999",LEFT($F873,2)&amp;RIGHT($F873,2)))&amp;"|"&amp;RIGHT("00000"&amp;865,5))</f>
        <v/>
      </c>
      <c r="I873">
        <f>IF($H873="","",COUNTIFS(CalcBank,$G873,CalcKey,"&lt;"&amp;$H873)+1)</f>
        <v/>
      </c>
      <c r="J873">
        <f>IF($I873="","",$G873&amp;"|"&amp;RIGHT("000000"&amp;$I873,6))</f>
        <v/>
      </c>
      <c r="K873">
        <f>IF(OR($E873="",$E873="نامعتبر"),"",LEFT($E873,4)&amp;"/"&amp;MID($E873,6,2))</f>
        <v/>
      </c>
      <c r="L873">
        <f>IF(Entry!$K873="",0,Entry!$K873)</f>
        <v/>
      </c>
      <c r="M873">
        <f>IF(Entry!$L873="",0,Entry!$L873)</f>
        <v/>
      </c>
    </row>
    <row r="874">
      <c r="A874">
        <f>IF(Entry!$C874="","",Entry!$C874)</f>
        <v/>
      </c>
      <c r="B874">
        <f>IF($A874="","",IF(ISNUMBER($A874),IF(AND($A874&gt;=10000101,$A874&lt;=99991231),INT($A874/10000),""),IFERROR(VALUE(TRIM(LEFT($A874,FIND("/",$A874)-1))),"")))</f>
        <v/>
      </c>
      <c r="C874">
        <f>IF(OR($A874="",$B874=""),"",IF(ISNUMBER($A874),INT(MOD($A874,10000)/100),IFERROR(VALUE(TRIM(LEFT(MID($A874,FIND("/",$A874)+1,20),FIND("/",MID($A874,FIND("/",$A874)+1,20))-1))),"")))</f>
        <v/>
      </c>
      <c r="D874">
        <f>IF(OR($A874="",$B874=""),"",IF(ISNUMBER($A874),MOD($A874,100),IFERROR(VALUE(TRIM(MID(MID($A874,FIND("/",$A874)+1,20),FIND("/",MID($A874,FIND("/",$A874)+1,20))+1,20))),"")))</f>
        <v/>
      </c>
      <c r="E874">
        <f>IF($A874="","",IF(OR($B874="",$C874="",$D874="",$B874&lt;1300,$B874&gt;1500,$C874&lt;1,$C874&gt;12,$D874&lt;1,$D874&gt;31),"نامعتبر",RIGHT("0000"&amp;$B874,4)&amp;"/"&amp;RIGHT("00"&amp;$C874,2)&amp;"/"&amp;RIGHT("00"&amp;$D874,2)))</f>
        <v/>
      </c>
      <c r="F874">
        <f>IF(Entry!$D874&lt;&gt;"",IF(AND(ISNUMBER(Entry!$D874),Entry!$D874&gt;=0,Entry!$D874&lt;1),RIGHT("00"&amp;HOUR(Entry!$D874),2)&amp;":"&amp;RIGHT("00"&amp;MINUTE(Entry!$D874),2),IFERROR(RIGHT("00"&amp;VALUE(TRIM(LEFT(Entry!$D874,FIND(":",Entry!$D874)-1))),2)&amp;":"&amp;RIGHT("00"&amp;VALUE(TRIM(MID(Entry!$D874,FIND(":",Entry!$D874)+1,2))),2),"نامعتبر")),IF(OR($E874="",$E874="نامعتبر"),"","00:00"))</f>
        <v/>
      </c>
      <c r="G874">
        <f>IF(OR($E874="",$E874="نامعتبر"),"",IF(Entry!$E874="","",LEFT(UPPER(TRIM(Entry!$E874)),6)))</f>
        <v/>
      </c>
      <c r="H874">
        <f>IF($G874="","",RIGHT($E874,4)&amp;MID($E874,6,2)&amp;RIGHT($E874,2)&amp;IF($F874="","0000",IF($F874="نامعتبر","9999",LEFT($F874,2)&amp;RIGHT($F874,2)))&amp;"|"&amp;RIGHT("00000"&amp;866,5))</f>
        <v/>
      </c>
      <c r="I874">
        <f>IF($H874="","",COUNTIFS(CalcBank,$G874,CalcKey,"&lt;"&amp;$H874)+1)</f>
        <v/>
      </c>
      <c r="J874">
        <f>IF($I874="","",$G874&amp;"|"&amp;RIGHT("000000"&amp;$I874,6))</f>
        <v/>
      </c>
      <c r="K874">
        <f>IF(OR($E874="",$E874="نامعتبر"),"",LEFT($E874,4)&amp;"/"&amp;MID($E874,6,2))</f>
        <v/>
      </c>
      <c r="L874">
        <f>IF(Entry!$K874="",0,Entry!$K874)</f>
        <v/>
      </c>
      <c r="M874">
        <f>IF(Entry!$L874="",0,Entry!$L874)</f>
        <v/>
      </c>
    </row>
    <row r="875">
      <c r="A875">
        <f>IF(Entry!$C875="","",Entry!$C875)</f>
        <v/>
      </c>
      <c r="B875">
        <f>IF($A875="","",IF(ISNUMBER($A875),IF(AND($A875&gt;=10000101,$A875&lt;=99991231),INT($A875/10000),""),IFERROR(VALUE(TRIM(LEFT($A875,FIND("/",$A875)-1))),"")))</f>
        <v/>
      </c>
      <c r="C875">
        <f>IF(OR($A875="",$B875=""),"",IF(ISNUMBER($A875),INT(MOD($A875,10000)/100),IFERROR(VALUE(TRIM(LEFT(MID($A875,FIND("/",$A875)+1,20),FIND("/",MID($A875,FIND("/",$A875)+1,20))-1))),"")))</f>
        <v/>
      </c>
      <c r="D875">
        <f>IF(OR($A875="",$B875=""),"",IF(ISNUMBER($A875),MOD($A875,100),IFERROR(VALUE(TRIM(MID(MID($A875,FIND("/",$A875)+1,20),FIND("/",MID($A875,FIND("/",$A875)+1,20))+1,20))),"")))</f>
        <v/>
      </c>
      <c r="E875">
        <f>IF($A875="","",IF(OR($B875="",$C875="",$D875="",$B875&lt;1300,$B875&gt;1500,$C875&lt;1,$C875&gt;12,$D875&lt;1,$D875&gt;31),"نامعتبر",RIGHT("0000"&amp;$B875,4)&amp;"/"&amp;RIGHT("00"&amp;$C875,2)&amp;"/"&amp;RIGHT("00"&amp;$D875,2)))</f>
        <v/>
      </c>
      <c r="F875">
        <f>IF(Entry!$D875&lt;&gt;"",IF(AND(ISNUMBER(Entry!$D875),Entry!$D875&gt;=0,Entry!$D875&lt;1),RIGHT("00"&amp;HOUR(Entry!$D875),2)&amp;":"&amp;RIGHT("00"&amp;MINUTE(Entry!$D875),2),IFERROR(RIGHT("00"&amp;VALUE(TRIM(LEFT(Entry!$D875,FIND(":",Entry!$D875)-1))),2)&amp;":"&amp;RIGHT("00"&amp;VALUE(TRIM(MID(Entry!$D875,FIND(":",Entry!$D875)+1,2))),2),"نامعتبر")),IF(OR($E875="",$E875="نامعتبر"),"","00:00"))</f>
        <v/>
      </c>
      <c r="G875">
        <f>IF(OR($E875="",$E875="نامعتبر"),"",IF(Entry!$E875="","",LEFT(UPPER(TRIM(Entry!$E875)),6)))</f>
        <v/>
      </c>
      <c r="H875">
        <f>IF($G875="","",RIGHT($E875,4)&amp;MID($E875,6,2)&amp;RIGHT($E875,2)&amp;IF($F875="","0000",IF($F875="نامعتبر","9999",LEFT($F875,2)&amp;RIGHT($F875,2)))&amp;"|"&amp;RIGHT("00000"&amp;867,5))</f>
        <v/>
      </c>
      <c r="I875">
        <f>IF($H875="","",COUNTIFS(CalcBank,$G875,CalcKey,"&lt;"&amp;$H875)+1)</f>
        <v/>
      </c>
      <c r="J875">
        <f>IF($I875="","",$G875&amp;"|"&amp;RIGHT("000000"&amp;$I875,6))</f>
        <v/>
      </c>
      <c r="K875">
        <f>IF(OR($E875="",$E875="نامعتبر"),"",LEFT($E875,4)&amp;"/"&amp;MID($E875,6,2))</f>
        <v/>
      </c>
      <c r="L875">
        <f>IF(Entry!$K875="",0,Entry!$K875)</f>
        <v/>
      </c>
      <c r="M875">
        <f>IF(Entry!$L875="",0,Entry!$L875)</f>
        <v/>
      </c>
    </row>
    <row r="876">
      <c r="A876">
        <f>IF(Entry!$C876="","",Entry!$C876)</f>
        <v/>
      </c>
      <c r="B876">
        <f>IF($A876="","",IF(ISNUMBER($A876),IF(AND($A876&gt;=10000101,$A876&lt;=99991231),INT($A876/10000),""),IFERROR(VALUE(TRIM(LEFT($A876,FIND("/",$A876)-1))),"")))</f>
        <v/>
      </c>
      <c r="C876">
        <f>IF(OR($A876="",$B876=""),"",IF(ISNUMBER($A876),INT(MOD($A876,10000)/100),IFERROR(VALUE(TRIM(LEFT(MID($A876,FIND("/",$A876)+1,20),FIND("/",MID($A876,FIND("/",$A876)+1,20))-1))),"")))</f>
        <v/>
      </c>
      <c r="D876">
        <f>IF(OR($A876="",$B876=""),"",IF(ISNUMBER($A876),MOD($A876,100),IFERROR(VALUE(TRIM(MID(MID($A876,FIND("/",$A876)+1,20),FIND("/",MID($A876,FIND("/",$A876)+1,20))+1,20))),"")))</f>
        <v/>
      </c>
      <c r="E876">
        <f>IF($A876="","",IF(OR($B876="",$C876="",$D876="",$B876&lt;1300,$B876&gt;1500,$C876&lt;1,$C876&gt;12,$D876&lt;1,$D876&gt;31),"نامعتبر",RIGHT("0000"&amp;$B876,4)&amp;"/"&amp;RIGHT("00"&amp;$C876,2)&amp;"/"&amp;RIGHT("00"&amp;$D876,2)))</f>
        <v/>
      </c>
      <c r="F876">
        <f>IF(Entry!$D876&lt;&gt;"",IF(AND(ISNUMBER(Entry!$D876),Entry!$D876&gt;=0,Entry!$D876&lt;1),RIGHT("00"&amp;HOUR(Entry!$D876),2)&amp;":"&amp;RIGHT("00"&amp;MINUTE(Entry!$D876),2),IFERROR(RIGHT("00"&amp;VALUE(TRIM(LEFT(Entry!$D876,FIND(":",Entry!$D876)-1))),2)&amp;":"&amp;RIGHT("00"&amp;VALUE(TRIM(MID(Entry!$D876,FIND(":",Entry!$D876)+1,2))),2),"نامعتبر")),IF(OR($E876="",$E876="نامعتبر"),"","00:00"))</f>
        <v/>
      </c>
      <c r="G876">
        <f>IF(OR($E876="",$E876="نامعتبر"),"",IF(Entry!$E876="","",LEFT(UPPER(TRIM(Entry!$E876)),6)))</f>
        <v/>
      </c>
      <c r="H876">
        <f>IF($G876="","",RIGHT($E876,4)&amp;MID($E876,6,2)&amp;RIGHT($E876,2)&amp;IF($F876="","0000",IF($F876="نامعتبر","9999",LEFT($F876,2)&amp;RIGHT($F876,2)))&amp;"|"&amp;RIGHT("00000"&amp;868,5))</f>
        <v/>
      </c>
      <c r="I876">
        <f>IF($H876="","",COUNTIFS(CalcBank,$G876,CalcKey,"&lt;"&amp;$H876)+1)</f>
        <v/>
      </c>
      <c r="J876">
        <f>IF($I876="","",$G876&amp;"|"&amp;RIGHT("000000"&amp;$I876,6))</f>
        <v/>
      </c>
      <c r="K876">
        <f>IF(OR($E876="",$E876="نامعتبر"),"",LEFT($E876,4)&amp;"/"&amp;MID($E876,6,2))</f>
        <v/>
      </c>
      <c r="L876">
        <f>IF(Entry!$K876="",0,Entry!$K876)</f>
        <v/>
      </c>
      <c r="M876">
        <f>IF(Entry!$L876="",0,Entry!$L876)</f>
        <v/>
      </c>
    </row>
    <row r="877">
      <c r="A877">
        <f>IF(Entry!$C877="","",Entry!$C877)</f>
        <v/>
      </c>
      <c r="B877">
        <f>IF($A877="","",IF(ISNUMBER($A877),IF(AND($A877&gt;=10000101,$A877&lt;=99991231),INT($A877/10000),""),IFERROR(VALUE(TRIM(LEFT($A877,FIND("/",$A877)-1))),"")))</f>
        <v/>
      </c>
      <c r="C877">
        <f>IF(OR($A877="",$B877=""),"",IF(ISNUMBER($A877),INT(MOD($A877,10000)/100),IFERROR(VALUE(TRIM(LEFT(MID($A877,FIND("/",$A877)+1,20),FIND("/",MID($A877,FIND("/",$A877)+1,20))-1))),"")))</f>
        <v/>
      </c>
      <c r="D877">
        <f>IF(OR($A877="",$B877=""),"",IF(ISNUMBER($A877),MOD($A877,100),IFERROR(VALUE(TRIM(MID(MID($A877,FIND("/",$A877)+1,20),FIND("/",MID($A877,FIND("/",$A877)+1,20))+1,20))),"")))</f>
        <v/>
      </c>
      <c r="E877">
        <f>IF($A877="","",IF(OR($B877="",$C877="",$D877="",$B877&lt;1300,$B877&gt;1500,$C877&lt;1,$C877&gt;12,$D877&lt;1,$D877&gt;31),"نامعتبر",RIGHT("0000"&amp;$B877,4)&amp;"/"&amp;RIGHT("00"&amp;$C877,2)&amp;"/"&amp;RIGHT("00"&amp;$D877,2)))</f>
        <v/>
      </c>
      <c r="F877">
        <f>IF(Entry!$D877&lt;&gt;"",IF(AND(ISNUMBER(Entry!$D877),Entry!$D877&gt;=0,Entry!$D877&lt;1),RIGHT("00"&amp;HOUR(Entry!$D877),2)&amp;":"&amp;RIGHT("00"&amp;MINUTE(Entry!$D877),2),IFERROR(RIGHT("00"&amp;VALUE(TRIM(LEFT(Entry!$D877,FIND(":",Entry!$D877)-1))),2)&amp;":"&amp;RIGHT("00"&amp;VALUE(TRIM(MID(Entry!$D877,FIND(":",Entry!$D877)+1,2))),2),"نامعتبر")),IF(OR($E877="",$E877="نامعتبر"),"","00:00"))</f>
        <v/>
      </c>
      <c r="G877">
        <f>IF(OR($E877="",$E877="نامعتبر"),"",IF(Entry!$E877="","",LEFT(UPPER(TRIM(Entry!$E877)),6)))</f>
        <v/>
      </c>
      <c r="H877">
        <f>IF($G877="","",RIGHT($E877,4)&amp;MID($E877,6,2)&amp;RIGHT($E877,2)&amp;IF($F877="","0000",IF($F877="نامعتبر","9999",LEFT($F877,2)&amp;RIGHT($F877,2)))&amp;"|"&amp;RIGHT("00000"&amp;869,5))</f>
        <v/>
      </c>
      <c r="I877">
        <f>IF($H877="","",COUNTIFS(CalcBank,$G877,CalcKey,"&lt;"&amp;$H877)+1)</f>
        <v/>
      </c>
      <c r="J877">
        <f>IF($I877="","",$G877&amp;"|"&amp;RIGHT("000000"&amp;$I877,6))</f>
        <v/>
      </c>
      <c r="K877">
        <f>IF(OR($E877="",$E877="نامعتبر"),"",LEFT($E877,4)&amp;"/"&amp;MID($E877,6,2))</f>
        <v/>
      </c>
      <c r="L877">
        <f>IF(Entry!$K877="",0,Entry!$K877)</f>
        <v/>
      </c>
      <c r="M877">
        <f>IF(Entry!$L877="",0,Entry!$L877)</f>
        <v/>
      </c>
    </row>
    <row r="878">
      <c r="A878">
        <f>IF(Entry!$C878="","",Entry!$C878)</f>
        <v/>
      </c>
      <c r="B878">
        <f>IF($A878="","",IF(ISNUMBER($A878),IF(AND($A878&gt;=10000101,$A878&lt;=99991231),INT($A878/10000),""),IFERROR(VALUE(TRIM(LEFT($A878,FIND("/",$A878)-1))),"")))</f>
        <v/>
      </c>
      <c r="C878">
        <f>IF(OR($A878="",$B878=""),"",IF(ISNUMBER($A878),INT(MOD($A878,10000)/100),IFERROR(VALUE(TRIM(LEFT(MID($A878,FIND("/",$A878)+1,20),FIND("/",MID($A878,FIND("/",$A878)+1,20))-1))),"")))</f>
        <v/>
      </c>
      <c r="D878">
        <f>IF(OR($A878="",$B878=""),"",IF(ISNUMBER($A878),MOD($A878,100),IFERROR(VALUE(TRIM(MID(MID($A878,FIND("/",$A878)+1,20),FIND("/",MID($A878,FIND("/",$A878)+1,20))+1,20))),"")))</f>
        <v/>
      </c>
      <c r="E878">
        <f>IF($A878="","",IF(OR($B878="",$C878="",$D878="",$B878&lt;1300,$B878&gt;1500,$C878&lt;1,$C878&gt;12,$D878&lt;1,$D878&gt;31),"نامعتبر",RIGHT("0000"&amp;$B878,4)&amp;"/"&amp;RIGHT("00"&amp;$C878,2)&amp;"/"&amp;RIGHT("00"&amp;$D878,2)))</f>
        <v/>
      </c>
      <c r="F878">
        <f>IF(Entry!$D878&lt;&gt;"",IF(AND(ISNUMBER(Entry!$D878),Entry!$D878&gt;=0,Entry!$D878&lt;1),RIGHT("00"&amp;HOUR(Entry!$D878),2)&amp;":"&amp;RIGHT("00"&amp;MINUTE(Entry!$D878),2),IFERROR(RIGHT("00"&amp;VALUE(TRIM(LEFT(Entry!$D878,FIND(":",Entry!$D878)-1))),2)&amp;":"&amp;RIGHT("00"&amp;VALUE(TRIM(MID(Entry!$D878,FIND(":",Entry!$D878)+1,2))),2),"نامعتبر")),IF(OR($E878="",$E878="نامعتبر"),"","00:00"))</f>
        <v/>
      </c>
      <c r="G878">
        <f>IF(OR($E878="",$E878="نامعتبر"),"",IF(Entry!$E878="","",LEFT(UPPER(TRIM(Entry!$E878)),6)))</f>
        <v/>
      </c>
      <c r="H878">
        <f>IF($G878="","",RIGHT($E878,4)&amp;MID($E878,6,2)&amp;RIGHT($E878,2)&amp;IF($F878="","0000",IF($F878="نامعتبر","9999",LEFT($F878,2)&amp;RIGHT($F878,2)))&amp;"|"&amp;RIGHT("00000"&amp;870,5))</f>
        <v/>
      </c>
      <c r="I878">
        <f>IF($H878="","",COUNTIFS(CalcBank,$G878,CalcKey,"&lt;"&amp;$H878)+1)</f>
        <v/>
      </c>
      <c r="J878">
        <f>IF($I878="","",$G878&amp;"|"&amp;RIGHT("000000"&amp;$I878,6))</f>
        <v/>
      </c>
      <c r="K878">
        <f>IF(OR($E878="",$E878="نامعتبر"),"",LEFT($E878,4)&amp;"/"&amp;MID($E878,6,2))</f>
        <v/>
      </c>
      <c r="L878">
        <f>IF(Entry!$K878="",0,Entry!$K878)</f>
        <v/>
      </c>
      <c r="M878">
        <f>IF(Entry!$L878="",0,Entry!$L878)</f>
        <v/>
      </c>
    </row>
    <row r="879">
      <c r="A879">
        <f>IF(Entry!$C879="","",Entry!$C879)</f>
        <v/>
      </c>
      <c r="B879">
        <f>IF($A879="","",IF(ISNUMBER($A879),IF(AND($A879&gt;=10000101,$A879&lt;=99991231),INT($A879/10000),""),IFERROR(VALUE(TRIM(LEFT($A879,FIND("/",$A879)-1))),"")))</f>
        <v/>
      </c>
      <c r="C879">
        <f>IF(OR($A879="",$B879=""),"",IF(ISNUMBER($A879),INT(MOD($A879,10000)/100),IFERROR(VALUE(TRIM(LEFT(MID($A879,FIND("/",$A879)+1,20),FIND("/",MID($A879,FIND("/",$A879)+1,20))-1))),"")))</f>
        <v/>
      </c>
      <c r="D879">
        <f>IF(OR($A879="",$B879=""),"",IF(ISNUMBER($A879),MOD($A879,100),IFERROR(VALUE(TRIM(MID(MID($A879,FIND("/",$A879)+1,20),FIND("/",MID($A879,FIND("/",$A879)+1,20))+1,20))),"")))</f>
        <v/>
      </c>
      <c r="E879">
        <f>IF($A879="","",IF(OR($B879="",$C879="",$D879="",$B879&lt;1300,$B879&gt;1500,$C879&lt;1,$C879&gt;12,$D879&lt;1,$D879&gt;31),"نامعتبر",RIGHT("0000"&amp;$B879,4)&amp;"/"&amp;RIGHT("00"&amp;$C879,2)&amp;"/"&amp;RIGHT("00"&amp;$D879,2)))</f>
        <v/>
      </c>
      <c r="F879">
        <f>IF(Entry!$D879&lt;&gt;"",IF(AND(ISNUMBER(Entry!$D879),Entry!$D879&gt;=0,Entry!$D879&lt;1),RIGHT("00"&amp;HOUR(Entry!$D879),2)&amp;":"&amp;RIGHT("00"&amp;MINUTE(Entry!$D879),2),IFERROR(RIGHT("00"&amp;VALUE(TRIM(LEFT(Entry!$D879,FIND(":",Entry!$D879)-1))),2)&amp;":"&amp;RIGHT("00"&amp;VALUE(TRIM(MID(Entry!$D879,FIND(":",Entry!$D879)+1,2))),2),"نامعتبر")),IF(OR($E879="",$E879="نامعتبر"),"","00:00"))</f>
        <v/>
      </c>
      <c r="G879">
        <f>IF(OR($E879="",$E879="نامعتبر"),"",IF(Entry!$E879="","",LEFT(UPPER(TRIM(Entry!$E879)),6)))</f>
        <v/>
      </c>
      <c r="H879">
        <f>IF($G879="","",RIGHT($E879,4)&amp;MID($E879,6,2)&amp;RIGHT($E879,2)&amp;IF($F879="","0000",IF($F879="نامعتبر","9999",LEFT($F879,2)&amp;RIGHT($F879,2)))&amp;"|"&amp;RIGHT("00000"&amp;871,5))</f>
        <v/>
      </c>
      <c r="I879">
        <f>IF($H879="","",COUNTIFS(CalcBank,$G879,CalcKey,"&lt;"&amp;$H879)+1)</f>
        <v/>
      </c>
      <c r="J879">
        <f>IF($I879="","",$G879&amp;"|"&amp;RIGHT("000000"&amp;$I879,6))</f>
        <v/>
      </c>
      <c r="K879">
        <f>IF(OR($E879="",$E879="نامعتبر"),"",LEFT($E879,4)&amp;"/"&amp;MID($E879,6,2))</f>
        <v/>
      </c>
      <c r="L879">
        <f>IF(Entry!$K879="",0,Entry!$K879)</f>
        <v/>
      </c>
      <c r="M879">
        <f>IF(Entry!$L879="",0,Entry!$L879)</f>
        <v/>
      </c>
    </row>
    <row r="880">
      <c r="A880">
        <f>IF(Entry!$C880="","",Entry!$C880)</f>
        <v/>
      </c>
      <c r="B880">
        <f>IF($A880="","",IF(ISNUMBER($A880),IF(AND($A880&gt;=10000101,$A880&lt;=99991231),INT($A880/10000),""),IFERROR(VALUE(TRIM(LEFT($A880,FIND("/",$A880)-1))),"")))</f>
        <v/>
      </c>
      <c r="C880">
        <f>IF(OR($A880="",$B880=""),"",IF(ISNUMBER($A880),INT(MOD($A880,10000)/100),IFERROR(VALUE(TRIM(LEFT(MID($A880,FIND("/",$A880)+1,20),FIND("/",MID($A880,FIND("/",$A880)+1,20))-1))),"")))</f>
        <v/>
      </c>
      <c r="D880">
        <f>IF(OR($A880="",$B880=""),"",IF(ISNUMBER($A880),MOD($A880,100),IFERROR(VALUE(TRIM(MID(MID($A880,FIND("/",$A880)+1,20),FIND("/",MID($A880,FIND("/",$A880)+1,20))+1,20))),"")))</f>
        <v/>
      </c>
      <c r="E880">
        <f>IF($A880="","",IF(OR($B880="",$C880="",$D880="",$B880&lt;1300,$B880&gt;1500,$C880&lt;1,$C880&gt;12,$D880&lt;1,$D880&gt;31),"نامعتبر",RIGHT("0000"&amp;$B880,4)&amp;"/"&amp;RIGHT("00"&amp;$C880,2)&amp;"/"&amp;RIGHT("00"&amp;$D880,2)))</f>
        <v/>
      </c>
      <c r="F880">
        <f>IF(Entry!$D880&lt;&gt;"",IF(AND(ISNUMBER(Entry!$D880),Entry!$D880&gt;=0,Entry!$D880&lt;1),RIGHT("00"&amp;HOUR(Entry!$D880),2)&amp;":"&amp;RIGHT("00"&amp;MINUTE(Entry!$D880),2),IFERROR(RIGHT("00"&amp;VALUE(TRIM(LEFT(Entry!$D880,FIND(":",Entry!$D880)-1))),2)&amp;":"&amp;RIGHT("00"&amp;VALUE(TRIM(MID(Entry!$D880,FIND(":",Entry!$D880)+1,2))),2),"نامعتبر")),IF(OR($E880="",$E880="نامعتبر"),"","00:00"))</f>
        <v/>
      </c>
      <c r="G880">
        <f>IF(OR($E880="",$E880="نامعتبر"),"",IF(Entry!$E880="","",LEFT(UPPER(TRIM(Entry!$E880)),6)))</f>
        <v/>
      </c>
      <c r="H880">
        <f>IF($G880="","",RIGHT($E880,4)&amp;MID($E880,6,2)&amp;RIGHT($E880,2)&amp;IF($F880="","0000",IF($F880="نامعتبر","9999",LEFT($F880,2)&amp;RIGHT($F880,2)))&amp;"|"&amp;RIGHT("00000"&amp;872,5))</f>
        <v/>
      </c>
      <c r="I880">
        <f>IF($H880="","",COUNTIFS(CalcBank,$G880,CalcKey,"&lt;"&amp;$H880)+1)</f>
        <v/>
      </c>
      <c r="J880">
        <f>IF($I880="","",$G880&amp;"|"&amp;RIGHT("000000"&amp;$I880,6))</f>
        <v/>
      </c>
      <c r="K880">
        <f>IF(OR($E880="",$E880="نامعتبر"),"",LEFT($E880,4)&amp;"/"&amp;MID($E880,6,2))</f>
        <v/>
      </c>
      <c r="L880">
        <f>IF(Entry!$K880="",0,Entry!$K880)</f>
        <v/>
      </c>
      <c r="M880">
        <f>IF(Entry!$L880="",0,Entry!$L880)</f>
        <v/>
      </c>
    </row>
    <row r="881">
      <c r="A881">
        <f>IF(Entry!$C881="","",Entry!$C881)</f>
        <v/>
      </c>
      <c r="B881">
        <f>IF($A881="","",IF(ISNUMBER($A881),IF(AND($A881&gt;=10000101,$A881&lt;=99991231),INT($A881/10000),""),IFERROR(VALUE(TRIM(LEFT($A881,FIND("/",$A881)-1))),"")))</f>
        <v/>
      </c>
      <c r="C881">
        <f>IF(OR($A881="",$B881=""),"",IF(ISNUMBER($A881),INT(MOD($A881,10000)/100),IFERROR(VALUE(TRIM(LEFT(MID($A881,FIND("/",$A881)+1,20),FIND("/",MID($A881,FIND("/",$A881)+1,20))-1))),"")))</f>
        <v/>
      </c>
      <c r="D881">
        <f>IF(OR($A881="",$B881=""),"",IF(ISNUMBER($A881),MOD($A881,100),IFERROR(VALUE(TRIM(MID(MID($A881,FIND("/",$A881)+1,20),FIND("/",MID($A881,FIND("/",$A881)+1,20))+1,20))),"")))</f>
        <v/>
      </c>
      <c r="E881">
        <f>IF($A881="","",IF(OR($B881="",$C881="",$D881="",$B881&lt;1300,$B881&gt;1500,$C881&lt;1,$C881&gt;12,$D881&lt;1,$D881&gt;31),"نامعتبر",RIGHT("0000"&amp;$B881,4)&amp;"/"&amp;RIGHT("00"&amp;$C881,2)&amp;"/"&amp;RIGHT("00"&amp;$D881,2)))</f>
        <v/>
      </c>
      <c r="F881">
        <f>IF(Entry!$D881&lt;&gt;"",IF(AND(ISNUMBER(Entry!$D881),Entry!$D881&gt;=0,Entry!$D881&lt;1),RIGHT("00"&amp;HOUR(Entry!$D881),2)&amp;":"&amp;RIGHT("00"&amp;MINUTE(Entry!$D881),2),IFERROR(RIGHT("00"&amp;VALUE(TRIM(LEFT(Entry!$D881,FIND(":",Entry!$D881)-1))),2)&amp;":"&amp;RIGHT("00"&amp;VALUE(TRIM(MID(Entry!$D881,FIND(":",Entry!$D881)+1,2))),2),"نامعتبر")),IF(OR($E881="",$E881="نامعتبر"),"","00:00"))</f>
        <v/>
      </c>
      <c r="G881">
        <f>IF(OR($E881="",$E881="نامعتبر"),"",IF(Entry!$E881="","",LEFT(UPPER(TRIM(Entry!$E881)),6)))</f>
        <v/>
      </c>
      <c r="H881">
        <f>IF($G881="","",RIGHT($E881,4)&amp;MID($E881,6,2)&amp;RIGHT($E881,2)&amp;IF($F881="","0000",IF($F881="نامعتبر","9999",LEFT($F881,2)&amp;RIGHT($F881,2)))&amp;"|"&amp;RIGHT("00000"&amp;873,5))</f>
        <v/>
      </c>
      <c r="I881">
        <f>IF($H881="","",COUNTIFS(CalcBank,$G881,CalcKey,"&lt;"&amp;$H881)+1)</f>
        <v/>
      </c>
      <c r="J881">
        <f>IF($I881="","",$G881&amp;"|"&amp;RIGHT("000000"&amp;$I881,6))</f>
        <v/>
      </c>
      <c r="K881">
        <f>IF(OR($E881="",$E881="نامعتبر"),"",LEFT($E881,4)&amp;"/"&amp;MID($E881,6,2))</f>
        <v/>
      </c>
      <c r="L881">
        <f>IF(Entry!$K881="",0,Entry!$K881)</f>
        <v/>
      </c>
      <c r="M881">
        <f>IF(Entry!$L881="",0,Entry!$L881)</f>
        <v/>
      </c>
    </row>
    <row r="882">
      <c r="A882">
        <f>IF(Entry!$C882="","",Entry!$C882)</f>
        <v/>
      </c>
      <c r="B882">
        <f>IF($A882="","",IF(ISNUMBER($A882),IF(AND($A882&gt;=10000101,$A882&lt;=99991231),INT($A882/10000),""),IFERROR(VALUE(TRIM(LEFT($A882,FIND("/",$A882)-1))),"")))</f>
        <v/>
      </c>
      <c r="C882">
        <f>IF(OR($A882="",$B882=""),"",IF(ISNUMBER($A882),INT(MOD($A882,10000)/100),IFERROR(VALUE(TRIM(LEFT(MID($A882,FIND("/",$A882)+1,20),FIND("/",MID($A882,FIND("/",$A882)+1,20))-1))),"")))</f>
        <v/>
      </c>
      <c r="D882">
        <f>IF(OR($A882="",$B882=""),"",IF(ISNUMBER($A882),MOD($A882,100),IFERROR(VALUE(TRIM(MID(MID($A882,FIND("/",$A882)+1,20),FIND("/",MID($A882,FIND("/",$A882)+1,20))+1,20))),"")))</f>
        <v/>
      </c>
      <c r="E882">
        <f>IF($A882="","",IF(OR($B882="",$C882="",$D882="",$B882&lt;1300,$B882&gt;1500,$C882&lt;1,$C882&gt;12,$D882&lt;1,$D882&gt;31),"نامعتبر",RIGHT("0000"&amp;$B882,4)&amp;"/"&amp;RIGHT("00"&amp;$C882,2)&amp;"/"&amp;RIGHT("00"&amp;$D882,2)))</f>
        <v/>
      </c>
      <c r="F882">
        <f>IF(Entry!$D882&lt;&gt;"",IF(AND(ISNUMBER(Entry!$D882),Entry!$D882&gt;=0,Entry!$D882&lt;1),RIGHT("00"&amp;HOUR(Entry!$D882),2)&amp;":"&amp;RIGHT("00"&amp;MINUTE(Entry!$D882),2),IFERROR(RIGHT("00"&amp;VALUE(TRIM(LEFT(Entry!$D882,FIND(":",Entry!$D882)-1))),2)&amp;":"&amp;RIGHT("00"&amp;VALUE(TRIM(MID(Entry!$D882,FIND(":",Entry!$D882)+1,2))),2),"نامعتبر")),IF(OR($E882="",$E882="نامعتبر"),"","00:00"))</f>
        <v/>
      </c>
      <c r="G882">
        <f>IF(OR($E882="",$E882="نامعتبر"),"",IF(Entry!$E882="","",LEFT(UPPER(TRIM(Entry!$E882)),6)))</f>
        <v/>
      </c>
      <c r="H882">
        <f>IF($G882="","",RIGHT($E882,4)&amp;MID($E882,6,2)&amp;RIGHT($E882,2)&amp;IF($F882="","0000",IF($F882="نامعتبر","9999",LEFT($F882,2)&amp;RIGHT($F882,2)))&amp;"|"&amp;RIGHT("00000"&amp;874,5))</f>
        <v/>
      </c>
      <c r="I882">
        <f>IF($H882="","",COUNTIFS(CalcBank,$G882,CalcKey,"&lt;"&amp;$H882)+1)</f>
        <v/>
      </c>
      <c r="J882">
        <f>IF($I882="","",$G882&amp;"|"&amp;RIGHT("000000"&amp;$I882,6))</f>
        <v/>
      </c>
      <c r="K882">
        <f>IF(OR($E882="",$E882="نامعتبر"),"",LEFT($E882,4)&amp;"/"&amp;MID($E882,6,2))</f>
        <v/>
      </c>
      <c r="L882">
        <f>IF(Entry!$K882="",0,Entry!$K882)</f>
        <v/>
      </c>
      <c r="M882">
        <f>IF(Entry!$L882="",0,Entry!$L882)</f>
        <v/>
      </c>
    </row>
    <row r="883">
      <c r="A883">
        <f>IF(Entry!$C883="","",Entry!$C883)</f>
        <v/>
      </c>
      <c r="B883">
        <f>IF($A883="","",IF(ISNUMBER($A883),IF(AND($A883&gt;=10000101,$A883&lt;=99991231),INT($A883/10000),""),IFERROR(VALUE(TRIM(LEFT($A883,FIND("/",$A883)-1))),"")))</f>
        <v/>
      </c>
      <c r="C883">
        <f>IF(OR($A883="",$B883=""),"",IF(ISNUMBER($A883),INT(MOD($A883,10000)/100),IFERROR(VALUE(TRIM(LEFT(MID($A883,FIND("/",$A883)+1,20),FIND("/",MID($A883,FIND("/",$A883)+1,20))-1))),"")))</f>
        <v/>
      </c>
      <c r="D883">
        <f>IF(OR($A883="",$B883=""),"",IF(ISNUMBER($A883),MOD($A883,100),IFERROR(VALUE(TRIM(MID(MID($A883,FIND("/",$A883)+1,20),FIND("/",MID($A883,FIND("/",$A883)+1,20))+1,20))),"")))</f>
        <v/>
      </c>
      <c r="E883">
        <f>IF($A883="","",IF(OR($B883="",$C883="",$D883="",$B883&lt;1300,$B883&gt;1500,$C883&lt;1,$C883&gt;12,$D883&lt;1,$D883&gt;31),"نامعتبر",RIGHT("0000"&amp;$B883,4)&amp;"/"&amp;RIGHT("00"&amp;$C883,2)&amp;"/"&amp;RIGHT("00"&amp;$D883,2)))</f>
        <v/>
      </c>
      <c r="F883">
        <f>IF(Entry!$D883&lt;&gt;"",IF(AND(ISNUMBER(Entry!$D883),Entry!$D883&gt;=0,Entry!$D883&lt;1),RIGHT("00"&amp;HOUR(Entry!$D883),2)&amp;":"&amp;RIGHT("00"&amp;MINUTE(Entry!$D883),2),IFERROR(RIGHT("00"&amp;VALUE(TRIM(LEFT(Entry!$D883,FIND(":",Entry!$D883)-1))),2)&amp;":"&amp;RIGHT("00"&amp;VALUE(TRIM(MID(Entry!$D883,FIND(":",Entry!$D883)+1,2))),2),"نامعتبر")),IF(OR($E883="",$E883="نامعتبر"),"","00:00"))</f>
        <v/>
      </c>
      <c r="G883">
        <f>IF(OR($E883="",$E883="نامعتبر"),"",IF(Entry!$E883="","",LEFT(UPPER(TRIM(Entry!$E883)),6)))</f>
        <v/>
      </c>
      <c r="H883">
        <f>IF($G883="","",RIGHT($E883,4)&amp;MID($E883,6,2)&amp;RIGHT($E883,2)&amp;IF($F883="","0000",IF($F883="نامعتبر","9999",LEFT($F883,2)&amp;RIGHT($F883,2)))&amp;"|"&amp;RIGHT("00000"&amp;875,5))</f>
        <v/>
      </c>
      <c r="I883">
        <f>IF($H883="","",COUNTIFS(CalcBank,$G883,CalcKey,"&lt;"&amp;$H883)+1)</f>
        <v/>
      </c>
      <c r="J883">
        <f>IF($I883="","",$G883&amp;"|"&amp;RIGHT("000000"&amp;$I883,6))</f>
        <v/>
      </c>
      <c r="K883">
        <f>IF(OR($E883="",$E883="نامعتبر"),"",LEFT($E883,4)&amp;"/"&amp;MID($E883,6,2))</f>
        <v/>
      </c>
      <c r="L883">
        <f>IF(Entry!$K883="",0,Entry!$K883)</f>
        <v/>
      </c>
      <c r="M883">
        <f>IF(Entry!$L883="",0,Entry!$L883)</f>
        <v/>
      </c>
    </row>
    <row r="884">
      <c r="A884">
        <f>IF(Entry!$C884="","",Entry!$C884)</f>
        <v/>
      </c>
      <c r="B884">
        <f>IF($A884="","",IF(ISNUMBER($A884),IF(AND($A884&gt;=10000101,$A884&lt;=99991231),INT($A884/10000),""),IFERROR(VALUE(TRIM(LEFT($A884,FIND("/",$A884)-1))),"")))</f>
        <v/>
      </c>
      <c r="C884">
        <f>IF(OR($A884="",$B884=""),"",IF(ISNUMBER($A884),INT(MOD($A884,10000)/100),IFERROR(VALUE(TRIM(LEFT(MID($A884,FIND("/",$A884)+1,20),FIND("/",MID($A884,FIND("/",$A884)+1,20))-1))),"")))</f>
        <v/>
      </c>
      <c r="D884">
        <f>IF(OR($A884="",$B884=""),"",IF(ISNUMBER($A884),MOD($A884,100),IFERROR(VALUE(TRIM(MID(MID($A884,FIND("/",$A884)+1,20),FIND("/",MID($A884,FIND("/",$A884)+1,20))+1,20))),"")))</f>
        <v/>
      </c>
      <c r="E884">
        <f>IF($A884="","",IF(OR($B884="",$C884="",$D884="",$B884&lt;1300,$B884&gt;1500,$C884&lt;1,$C884&gt;12,$D884&lt;1,$D884&gt;31),"نامعتبر",RIGHT("0000"&amp;$B884,4)&amp;"/"&amp;RIGHT("00"&amp;$C884,2)&amp;"/"&amp;RIGHT("00"&amp;$D884,2)))</f>
        <v/>
      </c>
      <c r="F884">
        <f>IF(Entry!$D884&lt;&gt;"",IF(AND(ISNUMBER(Entry!$D884),Entry!$D884&gt;=0,Entry!$D884&lt;1),RIGHT("00"&amp;HOUR(Entry!$D884),2)&amp;":"&amp;RIGHT("00"&amp;MINUTE(Entry!$D884),2),IFERROR(RIGHT("00"&amp;VALUE(TRIM(LEFT(Entry!$D884,FIND(":",Entry!$D884)-1))),2)&amp;":"&amp;RIGHT("00"&amp;VALUE(TRIM(MID(Entry!$D884,FIND(":",Entry!$D884)+1,2))),2),"نامعتبر")),IF(OR($E884="",$E884="نامعتبر"),"","00:00"))</f>
        <v/>
      </c>
      <c r="G884">
        <f>IF(OR($E884="",$E884="نامعتبر"),"",IF(Entry!$E884="","",LEFT(UPPER(TRIM(Entry!$E884)),6)))</f>
        <v/>
      </c>
      <c r="H884">
        <f>IF($G884="","",RIGHT($E884,4)&amp;MID($E884,6,2)&amp;RIGHT($E884,2)&amp;IF($F884="","0000",IF($F884="نامعتبر","9999",LEFT($F884,2)&amp;RIGHT($F884,2)))&amp;"|"&amp;RIGHT("00000"&amp;876,5))</f>
        <v/>
      </c>
      <c r="I884">
        <f>IF($H884="","",COUNTIFS(CalcBank,$G884,CalcKey,"&lt;"&amp;$H884)+1)</f>
        <v/>
      </c>
      <c r="J884">
        <f>IF($I884="","",$G884&amp;"|"&amp;RIGHT("000000"&amp;$I884,6))</f>
        <v/>
      </c>
      <c r="K884">
        <f>IF(OR($E884="",$E884="نامعتبر"),"",LEFT($E884,4)&amp;"/"&amp;MID($E884,6,2))</f>
        <v/>
      </c>
      <c r="L884">
        <f>IF(Entry!$K884="",0,Entry!$K884)</f>
        <v/>
      </c>
      <c r="M884">
        <f>IF(Entry!$L884="",0,Entry!$L884)</f>
        <v/>
      </c>
    </row>
    <row r="885">
      <c r="A885">
        <f>IF(Entry!$C885="","",Entry!$C885)</f>
        <v/>
      </c>
      <c r="B885">
        <f>IF($A885="","",IF(ISNUMBER($A885),IF(AND($A885&gt;=10000101,$A885&lt;=99991231),INT($A885/10000),""),IFERROR(VALUE(TRIM(LEFT($A885,FIND("/",$A885)-1))),"")))</f>
        <v/>
      </c>
      <c r="C885">
        <f>IF(OR($A885="",$B885=""),"",IF(ISNUMBER($A885),INT(MOD($A885,10000)/100),IFERROR(VALUE(TRIM(LEFT(MID($A885,FIND("/",$A885)+1,20),FIND("/",MID($A885,FIND("/",$A885)+1,20))-1))),"")))</f>
        <v/>
      </c>
      <c r="D885">
        <f>IF(OR($A885="",$B885=""),"",IF(ISNUMBER($A885),MOD($A885,100),IFERROR(VALUE(TRIM(MID(MID($A885,FIND("/",$A885)+1,20),FIND("/",MID($A885,FIND("/",$A885)+1,20))+1,20))),"")))</f>
        <v/>
      </c>
      <c r="E885">
        <f>IF($A885="","",IF(OR($B885="",$C885="",$D885="",$B885&lt;1300,$B885&gt;1500,$C885&lt;1,$C885&gt;12,$D885&lt;1,$D885&gt;31),"نامعتبر",RIGHT("0000"&amp;$B885,4)&amp;"/"&amp;RIGHT("00"&amp;$C885,2)&amp;"/"&amp;RIGHT("00"&amp;$D885,2)))</f>
        <v/>
      </c>
      <c r="F885">
        <f>IF(Entry!$D885&lt;&gt;"",IF(AND(ISNUMBER(Entry!$D885),Entry!$D885&gt;=0,Entry!$D885&lt;1),RIGHT("00"&amp;HOUR(Entry!$D885),2)&amp;":"&amp;RIGHT("00"&amp;MINUTE(Entry!$D885),2),IFERROR(RIGHT("00"&amp;VALUE(TRIM(LEFT(Entry!$D885,FIND(":",Entry!$D885)-1))),2)&amp;":"&amp;RIGHT("00"&amp;VALUE(TRIM(MID(Entry!$D885,FIND(":",Entry!$D885)+1,2))),2),"نامعتبر")),IF(OR($E885="",$E885="نامعتبر"),"","00:00"))</f>
        <v/>
      </c>
      <c r="G885">
        <f>IF(OR($E885="",$E885="نامعتبر"),"",IF(Entry!$E885="","",LEFT(UPPER(TRIM(Entry!$E885)),6)))</f>
        <v/>
      </c>
      <c r="H885">
        <f>IF($G885="","",RIGHT($E885,4)&amp;MID($E885,6,2)&amp;RIGHT($E885,2)&amp;IF($F885="","0000",IF($F885="نامعتبر","9999",LEFT($F885,2)&amp;RIGHT($F885,2)))&amp;"|"&amp;RIGHT("00000"&amp;877,5))</f>
        <v/>
      </c>
      <c r="I885">
        <f>IF($H885="","",COUNTIFS(CalcBank,$G885,CalcKey,"&lt;"&amp;$H885)+1)</f>
        <v/>
      </c>
      <c r="J885">
        <f>IF($I885="","",$G885&amp;"|"&amp;RIGHT("000000"&amp;$I885,6))</f>
        <v/>
      </c>
      <c r="K885">
        <f>IF(OR($E885="",$E885="نامعتبر"),"",LEFT($E885,4)&amp;"/"&amp;MID($E885,6,2))</f>
        <v/>
      </c>
      <c r="L885">
        <f>IF(Entry!$K885="",0,Entry!$K885)</f>
        <v/>
      </c>
      <c r="M885">
        <f>IF(Entry!$L885="",0,Entry!$L885)</f>
        <v/>
      </c>
    </row>
    <row r="886">
      <c r="A886">
        <f>IF(Entry!$C886="","",Entry!$C886)</f>
        <v/>
      </c>
      <c r="B886">
        <f>IF($A886="","",IF(ISNUMBER($A886),IF(AND($A886&gt;=10000101,$A886&lt;=99991231),INT($A886/10000),""),IFERROR(VALUE(TRIM(LEFT($A886,FIND("/",$A886)-1))),"")))</f>
        <v/>
      </c>
      <c r="C886">
        <f>IF(OR($A886="",$B886=""),"",IF(ISNUMBER($A886),INT(MOD($A886,10000)/100),IFERROR(VALUE(TRIM(LEFT(MID($A886,FIND("/",$A886)+1,20),FIND("/",MID($A886,FIND("/",$A886)+1,20))-1))),"")))</f>
        <v/>
      </c>
      <c r="D886">
        <f>IF(OR($A886="",$B886=""),"",IF(ISNUMBER($A886),MOD($A886,100),IFERROR(VALUE(TRIM(MID(MID($A886,FIND("/",$A886)+1,20),FIND("/",MID($A886,FIND("/",$A886)+1,20))+1,20))),"")))</f>
        <v/>
      </c>
      <c r="E886">
        <f>IF($A886="","",IF(OR($B886="",$C886="",$D886="",$B886&lt;1300,$B886&gt;1500,$C886&lt;1,$C886&gt;12,$D886&lt;1,$D886&gt;31),"نامعتبر",RIGHT("0000"&amp;$B886,4)&amp;"/"&amp;RIGHT("00"&amp;$C886,2)&amp;"/"&amp;RIGHT("00"&amp;$D886,2)))</f>
        <v/>
      </c>
      <c r="F886">
        <f>IF(Entry!$D886&lt;&gt;"",IF(AND(ISNUMBER(Entry!$D886),Entry!$D886&gt;=0,Entry!$D886&lt;1),RIGHT("00"&amp;HOUR(Entry!$D886),2)&amp;":"&amp;RIGHT("00"&amp;MINUTE(Entry!$D886),2),IFERROR(RIGHT("00"&amp;VALUE(TRIM(LEFT(Entry!$D886,FIND(":",Entry!$D886)-1))),2)&amp;":"&amp;RIGHT("00"&amp;VALUE(TRIM(MID(Entry!$D886,FIND(":",Entry!$D886)+1,2))),2),"نامعتبر")),IF(OR($E886="",$E886="نامعتبر"),"","00:00"))</f>
        <v/>
      </c>
      <c r="G886">
        <f>IF(OR($E886="",$E886="نامعتبر"),"",IF(Entry!$E886="","",LEFT(UPPER(TRIM(Entry!$E886)),6)))</f>
        <v/>
      </c>
      <c r="H886">
        <f>IF($G886="","",RIGHT($E886,4)&amp;MID($E886,6,2)&amp;RIGHT($E886,2)&amp;IF($F886="","0000",IF($F886="نامعتبر","9999",LEFT($F886,2)&amp;RIGHT($F886,2)))&amp;"|"&amp;RIGHT("00000"&amp;878,5))</f>
        <v/>
      </c>
      <c r="I886">
        <f>IF($H886="","",COUNTIFS(CalcBank,$G886,CalcKey,"&lt;"&amp;$H886)+1)</f>
        <v/>
      </c>
      <c r="J886">
        <f>IF($I886="","",$G886&amp;"|"&amp;RIGHT("000000"&amp;$I886,6))</f>
        <v/>
      </c>
      <c r="K886">
        <f>IF(OR($E886="",$E886="نامعتبر"),"",LEFT($E886,4)&amp;"/"&amp;MID($E886,6,2))</f>
        <v/>
      </c>
      <c r="L886">
        <f>IF(Entry!$K886="",0,Entry!$K886)</f>
        <v/>
      </c>
      <c r="M886">
        <f>IF(Entry!$L886="",0,Entry!$L886)</f>
        <v/>
      </c>
    </row>
    <row r="887">
      <c r="A887">
        <f>IF(Entry!$C887="","",Entry!$C887)</f>
        <v/>
      </c>
      <c r="B887">
        <f>IF($A887="","",IF(ISNUMBER($A887),IF(AND($A887&gt;=10000101,$A887&lt;=99991231),INT($A887/10000),""),IFERROR(VALUE(TRIM(LEFT($A887,FIND("/",$A887)-1))),"")))</f>
        <v/>
      </c>
      <c r="C887">
        <f>IF(OR($A887="",$B887=""),"",IF(ISNUMBER($A887),INT(MOD($A887,10000)/100),IFERROR(VALUE(TRIM(LEFT(MID($A887,FIND("/",$A887)+1,20),FIND("/",MID($A887,FIND("/",$A887)+1,20))-1))),"")))</f>
        <v/>
      </c>
      <c r="D887">
        <f>IF(OR($A887="",$B887=""),"",IF(ISNUMBER($A887),MOD($A887,100),IFERROR(VALUE(TRIM(MID(MID($A887,FIND("/",$A887)+1,20),FIND("/",MID($A887,FIND("/",$A887)+1,20))+1,20))),"")))</f>
        <v/>
      </c>
      <c r="E887">
        <f>IF($A887="","",IF(OR($B887="",$C887="",$D887="",$B887&lt;1300,$B887&gt;1500,$C887&lt;1,$C887&gt;12,$D887&lt;1,$D887&gt;31),"نامعتبر",RIGHT("0000"&amp;$B887,4)&amp;"/"&amp;RIGHT("00"&amp;$C887,2)&amp;"/"&amp;RIGHT("00"&amp;$D887,2)))</f>
        <v/>
      </c>
      <c r="F887">
        <f>IF(Entry!$D887&lt;&gt;"",IF(AND(ISNUMBER(Entry!$D887),Entry!$D887&gt;=0,Entry!$D887&lt;1),RIGHT("00"&amp;HOUR(Entry!$D887),2)&amp;":"&amp;RIGHT("00"&amp;MINUTE(Entry!$D887),2),IFERROR(RIGHT("00"&amp;VALUE(TRIM(LEFT(Entry!$D887,FIND(":",Entry!$D887)-1))),2)&amp;":"&amp;RIGHT("00"&amp;VALUE(TRIM(MID(Entry!$D887,FIND(":",Entry!$D887)+1,2))),2),"نامعتبر")),IF(OR($E887="",$E887="نامعتبر"),"","00:00"))</f>
        <v/>
      </c>
      <c r="G887">
        <f>IF(OR($E887="",$E887="نامعتبر"),"",IF(Entry!$E887="","",LEFT(UPPER(TRIM(Entry!$E887)),6)))</f>
        <v/>
      </c>
      <c r="H887">
        <f>IF($G887="","",RIGHT($E887,4)&amp;MID($E887,6,2)&amp;RIGHT($E887,2)&amp;IF($F887="","0000",IF($F887="نامعتبر","9999",LEFT($F887,2)&amp;RIGHT($F887,2)))&amp;"|"&amp;RIGHT("00000"&amp;879,5))</f>
        <v/>
      </c>
      <c r="I887">
        <f>IF($H887="","",COUNTIFS(CalcBank,$G887,CalcKey,"&lt;"&amp;$H887)+1)</f>
        <v/>
      </c>
      <c r="J887">
        <f>IF($I887="","",$G887&amp;"|"&amp;RIGHT("000000"&amp;$I887,6))</f>
        <v/>
      </c>
      <c r="K887">
        <f>IF(OR($E887="",$E887="نامعتبر"),"",LEFT($E887,4)&amp;"/"&amp;MID($E887,6,2))</f>
        <v/>
      </c>
      <c r="L887">
        <f>IF(Entry!$K887="",0,Entry!$K887)</f>
        <v/>
      </c>
      <c r="M887">
        <f>IF(Entry!$L887="",0,Entry!$L887)</f>
        <v/>
      </c>
    </row>
    <row r="888">
      <c r="A888">
        <f>IF(Entry!$C888="","",Entry!$C888)</f>
        <v/>
      </c>
      <c r="B888">
        <f>IF($A888="","",IF(ISNUMBER($A888),IF(AND($A888&gt;=10000101,$A888&lt;=99991231),INT($A888/10000),""),IFERROR(VALUE(TRIM(LEFT($A888,FIND("/",$A888)-1))),"")))</f>
        <v/>
      </c>
      <c r="C888">
        <f>IF(OR($A888="",$B888=""),"",IF(ISNUMBER($A888),INT(MOD($A888,10000)/100),IFERROR(VALUE(TRIM(LEFT(MID($A888,FIND("/",$A888)+1,20),FIND("/",MID($A888,FIND("/",$A888)+1,20))-1))),"")))</f>
        <v/>
      </c>
      <c r="D888">
        <f>IF(OR($A888="",$B888=""),"",IF(ISNUMBER($A888),MOD($A888,100),IFERROR(VALUE(TRIM(MID(MID($A888,FIND("/",$A888)+1,20),FIND("/",MID($A888,FIND("/",$A888)+1,20))+1,20))),"")))</f>
        <v/>
      </c>
      <c r="E888">
        <f>IF($A888="","",IF(OR($B888="",$C888="",$D888="",$B888&lt;1300,$B888&gt;1500,$C888&lt;1,$C888&gt;12,$D888&lt;1,$D888&gt;31),"نامعتبر",RIGHT("0000"&amp;$B888,4)&amp;"/"&amp;RIGHT("00"&amp;$C888,2)&amp;"/"&amp;RIGHT("00"&amp;$D888,2)))</f>
        <v/>
      </c>
      <c r="F888">
        <f>IF(Entry!$D888&lt;&gt;"",IF(AND(ISNUMBER(Entry!$D888),Entry!$D888&gt;=0,Entry!$D888&lt;1),RIGHT("00"&amp;HOUR(Entry!$D888),2)&amp;":"&amp;RIGHT("00"&amp;MINUTE(Entry!$D888),2),IFERROR(RIGHT("00"&amp;VALUE(TRIM(LEFT(Entry!$D888,FIND(":",Entry!$D888)-1))),2)&amp;":"&amp;RIGHT("00"&amp;VALUE(TRIM(MID(Entry!$D888,FIND(":",Entry!$D888)+1,2))),2),"نامعتبر")),IF(OR($E888="",$E888="نامعتبر"),"","00:00"))</f>
        <v/>
      </c>
      <c r="G888">
        <f>IF(OR($E888="",$E888="نامعتبر"),"",IF(Entry!$E888="","",LEFT(UPPER(TRIM(Entry!$E888)),6)))</f>
        <v/>
      </c>
      <c r="H888">
        <f>IF($G888="","",RIGHT($E888,4)&amp;MID($E888,6,2)&amp;RIGHT($E888,2)&amp;IF($F888="","0000",IF($F888="نامعتبر","9999",LEFT($F888,2)&amp;RIGHT($F888,2)))&amp;"|"&amp;RIGHT("00000"&amp;880,5))</f>
        <v/>
      </c>
      <c r="I888">
        <f>IF($H888="","",COUNTIFS(CalcBank,$G888,CalcKey,"&lt;"&amp;$H888)+1)</f>
        <v/>
      </c>
      <c r="J888">
        <f>IF($I888="","",$G888&amp;"|"&amp;RIGHT("000000"&amp;$I888,6))</f>
        <v/>
      </c>
      <c r="K888">
        <f>IF(OR($E888="",$E888="نامعتبر"),"",LEFT($E888,4)&amp;"/"&amp;MID($E888,6,2))</f>
        <v/>
      </c>
      <c r="L888">
        <f>IF(Entry!$K888="",0,Entry!$K888)</f>
        <v/>
      </c>
      <c r="M888">
        <f>IF(Entry!$L888="",0,Entry!$L888)</f>
        <v/>
      </c>
    </row>
    <row r="889">
      <c r="A889">
        <f>IF(Entry!$C889="","",Entry!$C889)</f>
        <v/>
      </c>
      <c r="B889">
        <f>IF($A889="","",IF(ISNUMBER($A889),IF(AND($A889&gt;=10000101,$A889&lt;=99991231),INT($A889/10000),""),IFERROR(VALUE(TRIM(LEFT($A889,FIND("/",$A889)-1))),"")))</f>
        <v/>
      </c>
      <c r="C889">
        <f>IF(OR($A889="",$B889=""),"",IF(ISNUMBER($A889),INT(MOD($A889,10000)/100),IFERROR(VALUE(TRIM(LEFT(MID($A889,FIND("/",$A889)+1,20),FIND("/",MID($A889,FIND("/",$A889)+1,20))-1))),"")))</f>
        <v/>
      </c>
      <c r="D889">
        <f>IF(OR($A889="",$B889=""),"",IF(ISNUMBER($A889),MOD($A889,100),IFERROR(VALUE(TRIM(MID(MID($A889,FIND("/",$A889)+1,20),FIND("/",MID($A889,FIND("/",$A889)+1,20))+1,20))),"")))</f>
        <v/>
      </c>
      <c r="E889">
        <f>IF($A889="","",IF(OR($B889="",$C889="",$D889="",$B889&lt;1300,$B889&gt;1500,$C889&lt;1,$C889&gt;12,$D889&lt;1,$D889&gt;31),"نامعتبر",RIGHT("0000"&amp;$B889,4)&amp;"/"&amp;RIGHT("00"&amp;$C889,2)&amp;"/"&amp;RIGHT("00"&amp;$D889,2)))</f>
        <v/>
      </c>
      <c r="F889">
        <f>IF(Entry!$D889&lt;&gt;"",IF(AND(ISNUMBER(Entry!$D889),Entry!$D889&gt;=0,Entry!$D889&lt;1),RIGHT("00"&amp;HOUR(Entry!$D889),2)&amp;":"&amp;RIGHT("00"&amp;MINUTE(Entry!$D889),2),IFERROR(RIGHT("00"&amp;VALUE(TRIM(LEFT(Entry!$D889,FIND(":",Entry!$D889)-1))),2)&amp;":"&amp;RIGHT("00"&amp;VALUE(TRIM(MID(Entry!$D889,FIND(":",Entry!$D889)+1,2))),2),"نامعتبر")),IF(OR($E889="",$E889="نامعتبر"),"","00:00"))</f>
        <v/>
      </c>
      <c r="G889">
        <f>IF(OR($E889="",$E889="نامعتبر"),"",IF(Entry!$E889="","",LEFT(UPPER(TRIM(Entry!$E889)),6)))</f>
        <v/>
      </c>
      <c r="H889">
        <f>IF($G889="","",RIGHT($E889,4)&amp;MID($E889,6,2)&amp;RIGHT($E889,2)&amp;IF($F889="","0000",IF($F889="نامعتبر","9999",LEFT($F889,2)&amp;RIGHT($F889,2)))&amp;"|"&amp;RIGHT("00000"&amp;881,5))</f>
        <v/>
      </c>
      <c r="I889">
        <f>IF($H889="","",COUNTIFS(CalcBank,$G889,CalcKey,"&lt;"&amp;$H889)+1)</f>
        <v/>
      </c>
      <c r="J889">
        <f>IF($I889="","",$G889&amp;"|"&amp;RIGHT("000000"&amp;$I889,6))</f>
        <v/>
      </c>
      <c r="K889">
        <f>IF(OR($E889="",$E889="نامعتبر"),"",LEFT($E889,4)&amp;"/"&amp;MID($E889,6,2))</f>
        <v/>
      </c>
      <c r="L889">
        <f>IF(Entry!$K889="",0,Entry!$K889)</f>
        <v/>
      </c>
      <c r="M889">
        <f>IF(Entry!$L889="",0,Entry!$L889)</f>
        <v/>
      </c>
    </row>
    <row r="890">
      <c r="A890">
        <f>IF(Entry!$C890="","",Entry!$C890)</f>
        <v/>
      </c>
      <c r="B890">
        <f>IF($A890="","",IF(ISNUMBER($A890),IF(AND($A890&gt;=10000101,$A890&lt;=99991231),INT($A890/10000),""),IFERROR(VALUE(TRIM(LEFT($A890,FIND("/",$A890)-1))),"")))</f>
        <v/>
      </c>
      <c r="C890">
        <f>IF(OR($A890="",$B890=""),"",IF(ISNUMBER($A890),INT(MOD($A890,10000)/100),IFERROR(VALUE(TRIM(LEFT(MID($A890,FIND("/",$A890)+1,20),FIND("/",MID($A890,FIND("/",$A890)+1,20))-1))),"")))</f>
        <v/>
      </c>
      <c r="D890">
        <f>IF(OR($A890="",$B890=""),"",IF(ISNUMBER($A890),MOD($A890,100),IFERROR(VALUE(TRIM(MID(MID($A890,FIND("/",$A890)+1,20),FIND("/",MID($A890,FIND("/",$A890)+1,20))+1,20))),"")))</f>
        <v/>
      </c>
      <c r="E890">
        <f>IF($A890="","",IF(OR($B890="",$C890="",$D890="",$B890&lt;1300,$B890&gt;1500,$C890&lt;1,$C890&gt;12,$D890&lt;1,$D890&gt;31),"نامعتبر",RIGHT("0000"&amp;$B890,4)&amp;"/"&amp;RIGHT("00"&amp;$C890,2)&amp;"/"&amp;RIGHT("00"&amp;$D890,2)))</f>
        <v/>
      </c>
      <c r="F890">
        <f>IF(Entry!$D890&lt;&gt;"",IF(AND(ISNUMBER(Entry!$D890),Entry!$D890&gt;=0,Entry!$D890&lt;1),RIGHT("00"&amp;HOUR(Entry!$D890),2)&amp;":"&amp;RIGHT("00"&amp;MINUTE(Entry!$D890),2),IFERROR(RIGHT("00"&amp;VALUE(TRIM(LEFT(Entry!$D890,FIND(":",Entry!$D890)-1))),2)&amp;":"&amp;RIGHT("00"&amp;VALUE(TRIM(MID(Entry!$D890,FIND(":",Entry!$D890)+1,2))),2),"نامعتبر")),IF(OR($E890="",$E890="نامعتبر"),"","00:00"))</f>
        <v/>
      </c>
      <c r="G890">
        <f>IF(OR($E890="",$E890="نامعتبر"),"",IF(Entry!$E890="","",LEFT(UPPER(TRIM(Entry!$E890)),6)))</f>
        <v/>
      </c>
      <c r="H890">
        <f>IF($G890="","",RIGHT($E890,4)&amp;MID($E890,6,2)&amp;RIGHT($E890,2)&amp;IF($F890="","0000",IF($F890="نامعتبر","9999",LEFT($F890,2)&amp;RIGHT($F890,2)))&amp;"|"&amp;RIGHT("00000"&amp;882,5))</f>
        <v/>
      </c>
      <c r="I890">
        <f>IF($H890="","",COUNTIFS(CalcBank,$G890,CalcKey,"&lt;"&amp;$H890)+1)</f>
        <v/>
      </c>
      <c r="J890">
        <f>IF($I890="","",$G890&amp;"|"&amp;RIGHT("000000"&amp;$I890,6))</f>
        <v/>
      </c>
      <c r="K890">
        <f>IF(OR($E890="",$E890="نامعتبر"),"",LEFT($E890,4)&amp;"/"&amp;MID($E890,6,2))</f>
        <v/>
      </c>
      <c r="L890">
        <f>IF(Entry!$K890="",0,Entry!$K890)</f>
        <v/>
      </c>
      <c r="M890">
        <f>IF(Entry!$L890="",0,Entry!$L890)</f>
        <v/>
      </c>
    </row>
    <row r="891">
      <c r="A891">
        <f>IF(Entry!$C891="","",Entry!$C891)</f>
        <v/>
      </c>
      <c r="B891">
        <f>IF($A891="","",IF(ISNUMBER($A891),IF(AND($A891&gt;=10000101,$A891&lt;=99991231),INT($A891/10000),""),IFERROR(VALUE(TRIM(LEFT($A891,FIND("/",$A891)-1))),"")))</f>
        <v/>
      </c>
      <c r="C891">
        <f>IF(OR($A891="",$B891=""),"",IF(ISNUMBER($A891),INT(MOD($A891,10000)/100),IFERROR(VALUE(TRIM(LEFT(MID($A891,FIND("/",$A891)+1,20),FIND("/",MID($A891,FIND("/",$A891)+1,20))-1))),"")))</f>
        <v/>
      </c>
      <c r="D891">
        <f>IF(OR($A891="",$B891=""),"",IF(ISNUMBER($A891),MOD($A891,100),IFERROR(VALUE(TRIM(MID(MID($A891,FIND("/",$A891)+1,20),FIND("/",MID($A891,FIND("/",$A891)+1,20))+1,20))),"")))</f>
        <v/>
      </c>
      <c r="E891">
        <f>IF($A891="","",IF(OR($B891="",$C891="",$D891="",$B891&lt;1300,$B891&gt;1500,$C891&lt;1,$C891&gt;12,$D891&lt;1,$D891&gt;31),"نامعتبر",RIGHT("0000"&amp;$B891,4)&amp;"/"&amp;RIGHT("00"&amp;$C891,2)&amp;"/"&amp;RIGHT("00"&amp;$D891,2)))</f>
        <v/>
      </c>
      <c r="F891">
        <f>IF(Entry!$D891&lt;&gt;"",IF(AND(ISNUMBER(Entry!$D891),Entry!$D891&gt;=0,Entry!$D891&lt;1),RIGHT("00"&amp;HOUR(Entry!$D891),2)&amp;":"&amp;RIGHT("00"&amp;MINUTE(Entry!$D891),2),IFERROR(RIGHT("00"&amp;VALUE(TRIM(LEFT(Entry!$D891,FIND(":",Entry!$D891)-1))),2)&amp;":"&amp;RIGHT("00"&amp;VALUE(TRIM(MID(Entry!$D891,FIND(":",Entry!$D891)+1,2))),2),"نامعتبر")),IF(OR($E891="",$E891="نامعتبر"),"","00:00"))</f>
        <v/>
      </c>
      <c r="G891">
        <f>IF(OR($E891="",$E891="نامعتبر"),"",IF(Entry!$E891="","",LEFT(UPPER(TRIM(Entry!$E891)),6)))</f>
        <v/>
      </c>
      <c r="H891">
        <f>IF($G891="","",RIGHT($E891,4)&amp;MID($E891,6,2)&amp;RIGHT($E891,2)&amp;IF($F891="","0000",IF($F891="نامعتبر","9999",LEFT($F891,2)&amp;RIGHT($F891,2)))&amp;"|"&amp;RIGHT("00000"&amp;883,5))</f>
        <v/>
      </c>
      <c r="I891">
        <f>IF($H891="","",COUNTIFS(CalcBank,$G891,CalcKey,"&lt;"&amp;$H891)+1)</f>
        <v/>
      </c>
      <c r="J891">
        <f>IF($I891="","",$G891&amp;"|"&amp;RIGHT("000000"&amp;$I891,6))</f>
        <v/>
      </c>
      <c r="K891">
        <f>IF(OR($E891="",$E891="نامعتبر"),"",LEFT($E891,4)&amp;"/"&amp;MID($E891,6,2))</f>
        <v/>
      </c>
      <c r="L891">
        <f>IF(Entry!$K891="",0,Entry!$K891)</f>
        <v/>
      </c>
      <c r="M891">
        <f>IF(Entry!$L891="",0,Entry!$L891)</f>
        <v/>
      </c>
    </row>
    <row r="892">
      <c r="A892">
        <f>IF(Entry!$C892="","",Entry!$C892)</f>
        <v/>
      </c>
      <c r="B892">
        <f>IF($A892="","",IF(ISNUMBER($A892),IF(AND($A892&gt;=10000101,$A892&lt;=99991231),INT($A892/10000),""),IFERROR(VALUE(TRIM(LEFT($A892,FIND("/",$A892)-1))),"")))</f>
        <v/>
      </c>
      <c r="C892">
        <f>IF(OR($A892="",$B892=""),"",IF(ISNUMBER($A892),INT(MOD($A892,10000)/100),IFERROR(VALUE(TRIM(LEFT(MID($A892,FIND("/",$A892)+1,20),FIND("/",MID($A892,FIND("/",$A892)+1,20))-1))),"")))</f>
        <v/>
      </c>
      <c r="D892">
        <f>IF(OR($A892="",$B892=""),"",IF(ISNUMBER($A892),MOD($A892,100),IFERROR(VALUE(TRIM(MID(MID($A892,FIND("/",$A892)+1,20),FIND("/",MID($A892,FIND("/",$A892)+1,20))+1,20))),"")))</f>
        <v/>
      </c>
      <c r="E892">
        <f>IF($A892="","",IF(OR($B892="",$C892="",$D892="",$B892&lt;1300,$B892&gt;1500,$C892&lt;1,$C892&gt;12,$D892&lt;1,$D892&gt;31),"نامعتبر",RIGHT("0000"&amp;$B892,4)&amp;"/"&amp;RIGHT("00"&amp;$C892,2)&amp;"/"&amp;RIGHT("00"&amp;$D892,2)))</f>
        <v/>
      </c>
      <c r="F892">
        <f>IF(Entry!$D892&lt;&gt;"",IF(AND(ISNUMBER(Entry!$D892),Entry!$D892&gt;=0,Entry!$D892&lt;1),RIGHT("00"&amp;HOUR(Entry!$D892),2)&amp;":"&amp;RIGHT("00"&amp;MINUTE(Entry!$D892),2),IFERROR(RIGHT("00"&amp;VALUE(TRIM(LEFT(Entry!$D892,FIND(":",Entry!$D892)-1))),2)&amp;":"&amp;RIGHT("00"&amp;VALUE(TRIM(MID(Entry!$D892,FIND(":",Entry!$D892)+1,2))),2),"نامعتبر")),IF(OR($E892="",$E892="نامعتبر"),"","00:00"))</f>
        <v/>
      </c>
      <c r="G892">
        <f>IF(OR($E892="",$E892="نامعتبر"),"",IF(Entry!$E892="","",LEFT(UPPER(TRIM(Entry!$E892)),6)))</f>
        <v/>
      </c>
      <c r="H892">
        <f>IF($G892="","",RIGHT($E892,4)&amp;MID($E892,6,2)&amp;RIGHT($E892,2)&amp;IF($F892="","0000",IF($F892="نامعتبر","9999",LEFT($F892,2)&amp;RIGHT($F892,2)))&amp;"|"&amp;RIGHT("00000"&amp;884,5))</f>
        <v/>
      </c>
      <c r="I892">
        <f>IF($H892="","",COUNTIFS(CalcBank,$G892,CalcKey,"&lt;"&amp;$H892)+1)</f>
        <v/>
      </c>
      <c r="J892">
        <f>IF($I892="","",$G892&amp;"|"&amp;RIGHT("000000"&amp;$I892,6))</f>
        <v/>
      </c>
      <c r="K892">
        <f>IF(OR($E892="",$E892="نامعتبر"),"",LEFT($E892,4)&amp;"/"&amp;MID($E892,6,2))</f>
        <v/>
      </c>
      <c r="L892">
        <f>IF(Entry!$K892="",0,Entry!$K892)</f>
        <v/>
      </c>
      <c r="M892">
        <f>IF(Entry!$L892="",0,Entry!$L892)</f>
        <v/>
      </c>
    </row>
    <row r="893">
      <c r="A893">
        <f>IF(Entry!$C893="","",Entry!$C893)</f>
        <v/>
      </c>
      <c r="B893">
        <f>IF($A893="","",IF(ISNUMBER($A893),IF(AND($A893&gt;=10000101,$A893&lt;=99991231),INT($A893/10000),""),IFERROR(VALUE(TRIM(LEFT($A893,FIND("/",$A893)-1))),"")))</f>
        <v/>
      </c>
      <c r="C893">
        <f>IF(OR($A893="",$B893=""),"",IF(ISNUMBER($A893),INT(MOD($A893,10000)/100),IFERROR(VALUE(TRIM(LEFT(MID($A893,FIND("/",$A893)+1,20),FIND("/",MID($A893,FIND("/",$A893)+1,20))-1))),"")))</f>
        <v/>
      </c>
      <c r="D893">
        <f>IF(OR($A893="",$B893=""),"",IF(ISNUMBER($A893),MOD($A893,100),IFERROR(VALUE(TRIM(MID(MID($A893,FIND("/",$A893)+1,20),FIND("/",MID($A893,FIND("/",$A893)+1,20))+1,20))),"")))</f>
        <v/>
      </c>
      <c r="E893">
        <f>IF($A893="","",IF(OR($B893="",$C893="",$D893="",$B893&lt;1300,$B893&gt;1500,$C893&lt;1,$C893&gt;12,$D893&lt;1,$D893&gt;31),"نامعتبر",RIGHT("0000"&amp;$B893,4)&amp;"/"&amp;RIGHT("00"&amp;$C893,2)&amp;"/"&amp;RIGHT("00"&amp;$D893,2)))</f>
        <v/>
      </c>
      <c r="F893">
        <f>IF(Entry!$D893&lt;&gt;"",IF(AND(ISNUMBER(Entry!$D893),Entry!$D893&gt;=0,Entry!$D893&lt;1),RIGHT("00"&amp;HOUR(Entry!$D893),2)&amp;":"&amp;RIGHT("00"&amp;MINUTE(Entry!$D893),2),IFERROR(RIGHT("00"&amp;VALUE(TRIM(LEFT(Entry!$D893,FIND(":",Entry!$D893)-1))),2)&amp;":"&amp;RIGHT("00"&amp;VALUE(TRIM(MID(Entry!$D893,FIND(":",Entry!$D893)+1,2))),2),"نامعتبر")),IF(OR($E893="",$E893="نامعتبر"),"","00:00"))</f>
        <v/>
      </c>
      <c r="G893">
        <f>IF(OR($E893="",$E893="نامعتبر"),"",IF(Entry!$E893="","",LEFT(UPPER(TRIM(Entry!$E893)),6)))</f>
        <v/>
      </c>
      <c r="H893">
        <f>IF($G893="","",RIGHT($E893,4)&amp;MID($E893,6,2)&amp;RIGHT($E893,2)&amp;IF($F893="","0000",IF($F893="نامعتبر","9999",LEFT($F893,2)&amp;RIGHT($F893,2)))&amp;"|"&amp;RIGHT("00000"&amp;885,5))</f>
        <v/>
      </c>
      <c r="I893">
        <f>IF($H893="","",COUNTIFS(CalcBank,$G893,CalcKey,"&lt;"&amp;$H893)+1)</f>
        <v/>
      </c>
      <c r="J893">
        <f>IF($I893="","",$G893&amp;"|"&amp;RIGHT("000000"&amp;$I893,6))</f>
        <v/>
      </c>
      <c r="K893">
        <f>IF(OR($E893="",$E893="نامعتبر"),"",LEFT($E893,4)&amp;"/"&amp;MID($E893,6,2))</f>
        <v/>
      </c>
      <c r="L893">
        <f>IF(Entry!$K893="",0,Entry!$K893)</f>
        <v/>
      </c>
      <c r="M893">
        <f>IF(Entry!$L893="",0,Entry!$L893)</f>
        <v/>
      </c>
    </row>
    <row r="894">
      <c r="A894">
        <f>IF(Entry!$C894="","",Entry!$C894)</f>
        <v/>
      </c>
      <c r="B894">
        <f>IF($A894="","",IF(ISNUMBER($A894),IF(AND($A894&gt;=10000101,$A894&lt;=99991231),INT($A894/10000),""),IFERROR(VALUE(TRIM(LEFT($A894,FIND("/",$A894)-1))),"")))</f>
        <v/>
      </c>
      <c r="C894">
        <f>IF(OR($A894="",$B894=""),"",IF(ISNUMBER($A894),INT(MOD($A894,10000)/100),IFERROR(VALUE(TRIM(LEFT(MID($A894,FIND("/",$A894)+1,20),FIND("/",MID($A894,FIND("/",$A894)+1,20))-1))),"")))</f>
        <v/>
      </c>
      <c r="D894">
        <f>IF(OR($A894="",$B894=""),"",IF(ISNUMBER($A894),MOD($A894,100),IFERROR(VALUE(TRIM(MID(MID($A894,FIND("/",$A894)+1,20),FIND("/",MID($A894,FIND("/",$A894)+1,20))+1,20))),"")))</f>
        <v/>
      </c>
      <c r="E894">
        <f>IF($A894="","",IF(OR($B894="",$C894="",$D894="",$B894&lt;1300,$B894&gt;1500,$C894&lt;1,$C894&gt;12,$D894&lt;1,$D894&gt;31),"نامعتبر",RIGHT("0000"&amp;$B894,4)&amp;"/"&amp;RIGHT("00"&amp;$C894,2)&amp;"/"&amp;RIGHT("00"&amp;$D894,2)))</f>
        <v/>
      </c>
      <c r="F894">
        <f>IF(Entry!$D894&lt;&gt;"",IF(AND(ISNUMBER(Entry!$D894),Entry!$D894&gt;=0,Entry!$D894&lt;1),RIGHT("00"&amp;HOUR(Entry!$D894),2)&amp;":"&amp;RIGHT("00"&amp;MINUTE(Entry!$D894),2),IFERROR(RIGHT("00"&amp;VALUE(TRIM(LEFT(Entry!$D894,FIND(":",Entry!$D894)-1))),2)&amp;":"&amp;RIGHT("00"&amp;VALUE(TRIM(MID(Entry!$D894,FIND(":",Entry!$D894)+1,2))),2),"نامعتبر")),IF(OR($E894="",$E894="نامعتبر"),"","00:00"))</f>
        <v/>
      </c>
      <c r="G894">
        <f>IF(OR($E894="",$E894="نامعتبر"),"",IF(Entry!$E894="","",LEFT(UPPER(TRIM(Entry!$E894)),6)))</f>
        <v/>
      </c>
      <c r="H894">
        <f>IF($G894="","",RIGHT($E894,4)&amp;MID($E894,6,2)&amp;RIGHT($E894,2)&amp;IF($F894="","0000",IF($F894="نامعتبر","9999",LEFT($F894,2)&amp;RIGHT($F894,2)))&amp;"|"&amp;RIGHT("00000"&amp;886,5))</f>
        <v/>
      </c>
      <c r="I894">
        <f>IF($H894="","",COUNTIFS(CalcBank,$G894,CalcKey,"&lt;"&amp;$H894)+1)</f>
        <v/>
      </c>
      <c r="J894">
        <f>IF($I894="","",$G894&amp;"|"&amp;RIGHT("000000"&amp;$I894,6))</f>
        <v/>
      </c>
      <c r="K894">
        <f>IF(OR($E894="",$E894="نامعتبر"),"",LEFT($E894,4)&amp;"/"&amp;MID($E894,6,2))</f>
        <v/>
      </c>
      <c r="L894">
        <f>IF(Entry!$K894="",0,Entry!$K894)</f>
        <v/>
      </c>
      <c r="M894">
        <f>IF(Entry!$L894="",0,Entry!$L894)</f>
        <v/>
      </c>
    </row>
    <row r="895">
      <c r="A895">
        <f>IF(Entry!$C895="","",Entry!$C895)</f>
        <v/>
      </c>
      <c r="B895">
        <f>IF($A895="","",IF(ISNUMBER($A895),IF(AND($A895&gt;=10000101,$A895&lt;=99991231),INT($A895/10000),""),IFERROR(VALUE(TRIM(LEFT($A895,FIND("/",$A895)-1))),"")))</f>
        <v/>
      </c>
      <c r="C895">
        <f>IF(OR($A895="",$B895=""),"",IF(ISNUMBER($A895),INT(MOD($A895,10000)/100),IFERROR(VALUE(TRIM(LEFT(MID($A895,FIND("/",$A895)+1,20),FIND("/",MID($A895,FIND("/",$A895)+1,20))-1))),"")))</f>
        <v/>
      </c>
      <c r="D895">
        <f>IF(OR($A895="",$B895=""),"",IF(ISNUMBER($A895),MOD($A895,100),IFERROR(VALUE(TRIM(MID(MID($A895,FIND("/",$A895)+1,20),FIND("/",MID($A895,FIND("/",$A895)+1,20))+1,20))),"")))</f>
        <v/>
      </c>
      <c r="E895">
        <f>IF($A895="","",IF(OR($B895="",$C895="",$D895="",$B895&lt;1300,$B895&gt;1500,$C895&lt;1,$C895&gt;12,$D895&lt;1,$D895&gt;31),"نامعتبر",RIGHT("0000"&amp;$B895,4)&amp;"/"&amp;RIGHT("00"&amp;$C895,2)&amp;"/"&amp;RIGHT("00"&amp;$D895,2)))</f>
        <v/>
      </c>
      <c r="F895">
        <f>IF(Entry!$D895&lt;&gt;"",IF(AND(ISNUMBER(Entry!$D895),Entry!$D895&gt;=0,Entry!$D895&lt;1),RIGHT("00"&amp;HOUR(Entry!$D895),2)&amp;":"&amp;RIGHT("00"&amp;MINUTE(Entry!$D895),2),IFERROR(RIGHT("00"&amp;VALUE(TRIM(LEFT(Entry!$D895,FIND(":",Entry!$D895)-1))),2)&amp;":"&amp;RIGHT("00"&amp;VALUE(TRIM(MID(Entry!$D895,FIND(":",Entry!$D895)+1,2))),2),"نامعتبر")),IF(OR($E895="",$E895="نامعتبر"),"","00:00"))</f>
        <v/>
      </c>
      <c r="G895">
        <f>IF(OR($E895="",$E895="نامعتبر"),"",IF(Entry!$E895="","",LEFT(UPPER(TRIM(Entry!$E895)),6)))</f>
        <v/>
      </c>
      <c r="H895">
        <f>IF($G895="","",RIGHT($E895,4)&amp;MID($E895,6,2)&amp;RIGHT($E895,2)&amp;IF($F895="","0000",IF($F895="نامعتبر","9999",LEFT($F895,2)&amp;RIGHT($F895,2)))&amp;"|"&amp;RIGHT("00000"&amp;887,5))</f>
        <v/>
      </c>
      <c r="I895">
        <f>IF($H895="","",COUNTIFS(CalcBank,$G895,CalcKey,"&lt;"&amp;$H895)+1)</f>
        <v/>
      </c>
      <c r="J895">
        <f>IF($I895="","",$G895&amp;"|"&amp;RIGHT("000000"&amp;$I895,6))</f>
        <v/>
      </c>
      <c r="K895">
        <f>IF(OR($E895="",$E895="نامعتبر"),"",LEFT($E895,4)&amp;"/"&amp;MID($E895,6,2))</f>
        <v/>
      </c>
      <c r="L895">
        <f>IF(Entry!$K895="",0,Entry!$K895)</f>
        <v/>
      </c>
      <c r="M895">
        <f>IF(Entry!$L895="",0,Entry!$L895)</f>
        <v/>
      </c>
    </row>
    <row r="896">
      <c r="A896">
        <f>IF(Entry!$C896="","",Entry!$C896)</f>
        <v/>
      </c>
      <c r="B896">
        <f>IF($A896="","",IF(ISNUMBER($A896),IF(AND($A896&gt;=10000101,$A896&lt;=99991231),INT($A896/10000),""),IFERROR(VALUE(TRIM(LEFT($A896,FIND("/",$A896)-1))),"")))</f>
        <v/>
      </c>
      <c r="C896">
        <f>IF(OR($A896="",$B896=""),"",IF(ISNUMBER($A896),INT(MOD($A896,10000)/100),IFERROR(VALUE(TRIM(LEFT(MID($A896,FIND("/",$A896)+1,20),FIND("/",MID($A896,FIND("/",$A896)+1,20))-1))),"")))</f>
        <v/>
      </c>
      <c r="D896">
        <f>IF(OR($A896="",$B896=""),"",IF(ISNUMBER($A896),MOD($A896,100),IFERROR(VALUE(TRIM(MID(MID($A896,FIND("/",$A896)+1,20),FIND("/",MID($A896,FIND("/",$A896)+1,20))+1,20))),"")))</f>
        <v/>
      </c>
      <c r="E896">
        <f>IF($A896="","",IF(OR($B896="",$C896="",$D896="",$B896&lt;1300,$B896&gt;1500,$C896&lt;1,$C896&gt;12,$D896&lt;1,$D896&gt;31),"نامعتبر",RIGHT("0000"&amp;$B896,4)&amp;"/"&amp;RIGHT("00"&amp;$C896,2)&amp;"/"&amp;RIGHT("00"&amp;$D896,2)))</f>
        <v/>
      </c>
      <c r="F896">
        <f>IF(Entry!$D896&lt;&gt;"",IF(AND(ISNUMBER(Entry!$D896),Entry!$D896&gt;=0,Entry!$D896&lt;1),RIGHT("00"&amp;HOUR(Entry!$D896),2)&amp;":"&amp;RIGHT("00"&amp;MINUTE(Entry!$D896),2),IFERROR(RIGHT("00"&amp;VALUE(TRIM(LEFT(Entry!$D896,FIND(":",Entry!$D896)-1))),2)&amp;":"&amp;RIGHT("00"&amp;VALUE(TRIM(MID(Entry!$D896,FIND(":",Entry!$D896)+1,2))),2),"نامعتبر")),IF(OR($E896="",$E896="نامعتبر"),"","00:00"))</f>
        <v/>
      </c>
      <c r="G896">
        <f>IF(OR($E896="",$E896="نامعتبر"),"",IF(Entry!$E896="","",LEFT(UPPER(TRIM(Entry!$E896)),6)))</f>
        <v/>
      </c>
      <c r="H896">
        <f>IF($G896="","",RIGHT($E896,4)&amp;MID($E896,6,2)&amp;RIGHT($E896,2)&amp;IF($F896="","0000",IF($F896="نامعتبر","9999",LEFT($F896,2)&amp;RIGHT($F896,2)))&amp;"|"&amp;RIGHT("00000"&amp;888,5))</f>
        <v/>
      </c>
      <c r="I896">
        <f>IF($H896="","",COUNTIFS(CalcBank,$G896,CalcKey,"&lt;"&amp;$H896)+1)</f>
        <v/>
      </c>
      <c r="J896">
        <f>IF($I896="","",$G896&amp;"|"&amp;RIGHT("000000"&amp;$I896,6))</f>
        <v/>
      </c>
      <c r="K896">
        <f>IF(OR($E896="",$E896="نامعتبر"),"",LEFT($E896,4)&amp;"/"&amp;MID($E896,6,2))</f>
        <v/>
      </c>
      <c r="L896">
        <f>IF(Entry!$K896="",0,Entry!$K896)</f>
        <v/>
      </c>
      <c r="M896">
        <f>IF(Entry!$L896="",0,Entry!$L896)</f>
        <v/>
      </c>
    </row>
    <row r="897">
      <c r="A897">
        <f>IF(Entry!$C897="","",Entry!$C897)</f>
        <v/>
      </c>
      <c r="B897">
        <f>IF($A897="","",IF(ISNUMBER($A897),IF(AND($A897&gt;=10000101,$A897&lt;=99991231),INT($A897/10000),""),IFERROR(VALUE(TRIM(LEFT($A897,FIND("/",$A897)-1))),"")))</f>
        <v/>
      </c>
      <c r="C897">
        <f>IF(OR($A897="",$B897=""),"",IF(ISNUMBER($A897),INT(MOD($A897,10000)/100),IFERROR(VALUE(TRIM(LEFT(MID($A897,FIND("/",$A897)+1,20),FIND("/",MID($A897,FIND("/",$A897)+1,20))-1))),"")))</f>
        <v/>
      </c>
      <c r="D897">
        <f>IF(OR($A897="",$B897=""),"",IF(ISNUMBER($A897),MOD($A897,100),IFERROR(VALUE(TRIM(MID(MID($A897,FIND("/",$A897)+1,20),FIND("/",MID($A897,FIND("/",$A897)+1,20))+1,20))),"")))</f>
        <v/>
      </c>
      <c r="E897">
        <f>IF($A897="","",IF(OR($B897="",$C897="",$D897="",$B897&lt;1300,$B897&gt;1500,$C897&lt;1,$C897&gt;12,$D897&lt;1,$D897&gt;31),"نامعتبر",RIGHT("0000"&amp;$B897,4)&amp;"/"&amp;RIGHT("00"&amp;$C897,2)&amp;"/"&amp;RIGHT("00"&amp;$D897,2)))</f>
        <v/>
      </c>
      <c r="F897">
        <f>IF(Entry!$D897&lt;&gt;"",IF(AND(ISNUMBER(Entry!$D897),Entry!$D897&gt;=0,Entry!$D897&lt;1),RIGHT("00"&amp;HOUR(Entry!$D897),2)&amp;":"&amp;RIGHT("00"&amp;MINUTE(Entry!$D897),2),IFERROR(RIGHT("00"&amp;VALUE(TRIM(LEFT(Entry!$D897,FIND(":",Entry!$D897)-1))),2)&amp;":"&amp;RIGHT("00"&amp;VALUE(TRIM(MID(Entry!$D897,FIND(":",Entry!$D897)+1,2))),2),"نامعتبر")),IF(OR($E897="",$E897="نامعتبر"),"","00:00"))</f>
        <v/>
      </c>
      <c r="G897">
        <f>IF(OR($E897="",$E897="نامعتبر"),"",IF(Entry!$E897="","",LEFT(UPPER(TRIM(Entry!$E897)),6)))</f>
        <v/>
      </c>
      <c r="H897">
        <f>IF($G897="","",RIGHT($E897,4)&amp;MID($E897,6,2)&amp;RIGHT($E897,2)&amp;IF($F897="","0000",IF($F897="نامعتبر","9999",LEFT($F897,2)&amp;RIGHT($F897,2)))&amp;"|"&amp;RIGHT("00000"&amp;889,5))</f>
        <v/>
      </c>
      <c r="I897">
        <f>IF($H897="","",COUNTIFS(CalcBank,$G897,CalcKey,"&lt;"&amp;$H897)+1)</f>
        <v/>
      </c>
      <c r="J897">
        <f>IF($I897="","",$G897&amp;"|"&amp;RIGHT("000000"&amp;$I897,6))</f>
        <v/>
      </c>
      <c r="K897">
        <f>IF(OR($E897="",$E897="نامعتبر"),"",LEFT($E897,4)&amp;"/"&amp;MID($E897,6,2))</f>
        <v/>
      </c>
      <c r="L897">
        <f>IF(Entry!$K897="",0,Entry!$K897)</f>
        <v/>
      </c>
      <c r="M897">
        <f>IF(Entry!$L897="",0,Entry!$L897)</f>
        <v/>
      </c>
    </row>
    <row r="898">
      <c r="A898">
        <f>IF(Entry!$C898="","",Entry!$C898)</f>
        <v/>
      </c>
      <c r="B898">
        <f>IF($A898="","",IF(ISNUMBER($A898),IF(AND($A898&gt;=10000101,$A898&lt;=99991231),INT($A898/10000),""),IFERROR(VALUE(TRIM(LEFT($A898,FIND("/",$A898)-1))),"")))</f>
        <v/>
      </c>
      <c r="C898">
        <f>IF(OR($A898="",$B898=""),"",IF(ISNUMBER($A898),INT(MOD($A898,10000)/100),IFERROR(VALUE(TRIM(LEFT(MID($A898,FIND("/",$A898)+1,20),FIND("/",MID($A898,FIND("/",$A898)+1,20))-1))),"")))</f>
        <v/>
      </c>
      <c r="D898">
        <f>IF(OR($A898="",$B898=""),"",IF(ISNUMBER($A898),MOD($A898,100),IFERROR(VALUE(TRIM(MID(MID($A898,FIND("/",$A898)+1,20),FIND("/",MID($A898,FIND("/",$A898)+1,20))+1,20))),"")))</f>
        <v/>
      </c>
      <c r="E898">
        <f>IF($A898="","",IF(OR($B898="",$C898="",$D898="",$B898&lt;1300,$B898&gt;1500,$C898&lt;1,$C898&gt;12,$D898&lt;1,$D898&gt;31),"نامعتبر",RIGHT("0000"&amp;$B898,4)&amp;"/"&amp;RIGHT("00"&amp;$C898,2)&amp;"/"&amp;RIGHT("00"&amp;$D898,2)))</f>
        <v/>
      </c>
      <c r="F898">
        <f>IF(Entry!$D898&lt;&gt;"",IF(AND(ISNUMBER(Entry!$D898),Entry!$D898&gt;=0,Entry!$D898&lt;1),RIGHT("00"&amp;HOUR(Entry!$D898),2)&amp;":"&amp;RIGHT("00"&amp;MINUTE(Entry!$D898),2),IFERROR(RIGHT("00"&amp;VALUE(TRIM(LEFT(Entry!$D898,FIND(":",Entry!$D898)-1))),2)&amp;":"&amp;RIGHT("00"&amp;VALUE(TRIM(MID(Entry!$D898,FIND(":",Entry!$D898)+1,2))),2),"نامعتبر")),IF(OR($E898="",$E898="نامعتبر"),"","00:00"))</f>
        <v/>
      </c>
      <c r="G898">
        <f>IF(OR($E898="",$E898="نامعتبر"),"",IF(Entry!$E898="","",LEFT(UPPER(TRIM(Entry!$E898)),6)))</f>
        <v/>
      </c>
      <c r="H898">
        <f>IF($G898="","",RIGHT($E898,4)&amp;MID($E898,6,2)&amp;RIGHT($E898,2)&amp;IF($F898="","0000",IF($F898="نامعتبر","9999",LEFT($F898,2)&amp;RIGHT($F898,2)))&amp;"|"&amp;RIGHT("00000"&amp;890,5))</f>
        <v/>
      </c>
      <c r="I898">
        <f>IF($H898="","",COUNTIFS(CalcBank,$G898,CalcKey,"&lt;"&amp;$H898)+1)</f>
        <v/>
      </c>
      <c r="J898">
        <f>IF($I898="","",$G898&amp;"|"&amp;RIGHT("000000"&amp;$I898,6))</f>
        <v/>
      </c>
      <c r="K898">
        <f>IF(OR($E898="",$E898="نامعتبر"),"",LEFT($E898,4)&amp;"/"&amp;MID($E898,6,2))</f>
        <v/>
      </c>
      <c r="L898">
        <f>IF(Entry!$K898="",0,Entry!$K898)</f>
        <v/>
      </c>
      <c r="M898">
        <f>IF(Entry!$L898="",0,Entry!$L898)</f>
        <v/>
      </c>
    </row>
    <row r="899">
      <c r="A899">
        <f>IF(Entry!$C899="","",Entry!$C899)</f>
        <v/>
      </c>
      <c r="B899">
        <f>IF($A899="","",IF(ISNUMBER($A899),IF(AND($A899&gt;=10000101,$A899&lt;=99991231),INT($A899/10000),""),IFERROR(VALUE(TRIM(LEFT($A899,FIND("/",$A899)-1))),"")))</f>
        <v/>
      </c>
      <c r="C899">
        <f>IF(OR($A899="",$B899=""),"",IF(ISNUMBER($A899),INT(MOD($A899,10000)/100),IFERROR(VALUE(TRIM(LEFT(MID($A899,FIND("/",$A899)+1,20),FIND("/",MID($A899,FIND("/",$A899)+1,20))-1))),"")))</f>
        <v/>
      </c>
      <c r="D899">
        <f>IF(OR($A899="",$B899=""),"",IF(ISNUMBER($A899),MOD($A899,100),IFERROR(VALUE(TRIM(MID(MID($A899,FIND("/",$A899)+1,20),FIND("/",MID($A899,FIND("/",$A899)+1,20))+1,20))),"")))</f>
        <v/>
      </c>
      <c r="E899">
        <f>IF($A899="","",IF(OR($B899="",$C899="",$D899="",$B899&lt;1300,$B899&gt;1500,$C899&lt;1,$C899&gt;12,$D899&lt;1,$D899&gt;31),"نامعتبر",RIGHT("0000"&amp;$B899,4)&amp;"/"&amp;RIGHT("00"&amp;$C899,2)&amp;"/"&amp;RIGHT("00"&amp;$D899,2)))</f>
        <v/>
      </c>
      <c r="F899">
        <f>IF(Entry!$D899&lt;&gt;"",IF(AND(ISNUMBER(Entry!$D899),Entry!$D899&gt;=0,Entry!$D899&lt;1),RIGHT("00"&amp;HOUR(Entry!$D899),2)&amp;":"&amp;RIGHT("00"&amp;MINUTE(Entry!$D899),2),IFERROR(RIGHT("00"&amp;VALUE(TRIM(LEFT(Entry!$D899,FIND(":",Entry!$D899)-1))),2)&amp;":"&amp;RIGHT("00"&amp;VALUE(TRIM(MID(Entry!$D899,FIND(":",Entry!$D899)+1,2))),2),"نامعتبر")),IF(OR($E899="",$E899="نامعتبر"),"","00:00"))</f>
        <v/>
      </c>
      <c r="G899">
        <f>IF(OR($E899="",$E899="نامعتبر"),"",IF(Entry!$E899="","",LEFT(UPPER(TRIM(Entry!$E899)),6)))</f>
        <v/>
      </c>
      <c r="H899">
        <f>IF($G899="","",RIGHT($E899,4)&amp;MID($E899,6,2)&amp;RIGHT($E899,2)&amp;IF($F899="","0000",IF($F899="نامعتبر","9999",LEFT($F899,2)&amp;RIGHT($F899,2)))&amp;"|"&amp;RIGHT("00000"&amp;891,5))</f>
        <v/>
      </c>
      <c r="I899">
        <f>IF($H899="","",COUNTIFS(CalcBank,$G899,CalcKey,"&lt;"&amp;$H899)+1)</f>
        <v/>
      </c>
      <c r="J899">
        <f>IF($I899="","",$G899&amp;"|"&amp;RIGHT("000000"&amp;$I899,6))</f>
        <v/>
      </c>
      <c r="K899">
        <f>IF(OR($E899="",$E899="نامعتبر"),"",LEFT($E899,4)&amp;"/"&amp;MID($E899,6,2))</f>
        <v/>
      </c>
      <c r="L899">
        <f>IF(Entry!$K899="",0,Entry!$K899)</f>
        <v/>
      </c>
      <c r="M899">
        <f>IF(Entry!$L899="",0,Entry!$L899)</f>
        <v/>
      </c>
    </row>
    <row r="900">
      <c r="A900">
        <f>IF(Entry!$C900="","",Entry!$C900)</f>
        <v/>
      </c>
      <c r="B900">
        <f>IF($A900="","",IF(ISNUMBER($A900),IF(AND($A900&gt;=10000101,$A900&lt;=99991231),INT($A900/10000),""),IFERROR(VALUE(TRIM(LEFT($A900,FIND("/",$A900)-1))),"")))</f>
        <v/>
      </c>
      <c r="C900">
        <f>IF(OR($A900="",$B900=""),"",IF(ISNUMBER($A900),INT(MOD($A900,10000)/100),IFERROR(VALUE(TRIM(LEFT(MID($A900,FIND("/",$A900)+1,20),FIND("/",MID($A900,FIND("/",$A900)+1,20))-1))),"")))</f>
        <v/>
      </c>
      <c r="D900">
        <f>IF(OR($A900="",$B900=""),"",IF(ISNUMBER($A900),MOD($A900,100),IFERROR(VALUE(TRIM(MID(MID($A900,FIND("/",$A900)+1,20),FIND("/",MID($A900,FIND("/",$A900)+1,20))+1,20))),"")))</f>
        <v/>
      </c>
      <c r="E900">
        <f>IF($A900="","",IF(OR($B900="",$C900="",$D900="",$B900&lt;1300,$B900&gt;1500,$C900&lt;1,$C900&gt;12,$D900&lt;1,$D900&gt;31),"نامعتبر",RIGHT("0000"&amp;$B900,4)&amp;"/"&amp;RIGHT("00"&amp;$C900,2)&amp;"/"&amp;RIGHT("00"&amp;$D900,2)))</f>
        <v/>
      </c>
      <c r="F900">
        <f>IF(Entry!$D900&lt;&gt;"",IF(AND(ISNUMBER(Entry!$D900),Entry!$D900&gt;=0,Entry!$D900&lt;1),RIGHT("00"&amp;HOUR(Entry!$D900),2)&amp;":"&amp;RIGHT("00"&amp;MINUTE(Entry!$D900),2),IFERROR(RIGHT("00"&amp;VALUE(TRIM(LEFT(Entry!$D900,FIND(":",Entry!$D900)-1))),2)&amp;":"&amp;RIGHT("00"&amp;VALUE(TRIM(MID(Entry!$D900,FIND(":",Entry!$D900)+1,2))),2),"نامعتبر")),IF(OR($E900="",$E900="نامعتبر"),"","00:00"))</f>
        <v/>
      </c>
      <c r="G900">
        <f>IF(OR($E900="",$E900="نامعتبر"),"",IF(Entry!$E900="","",LEFT(UPPER(TRIM(Entry!$E900)),6)))</f>
        <v/>
      </c>
      <c r="H900">
        <f>IF($G900="","",RIGHT($E900,4)&amp;MID($E900,6,2)&amp;RIGHT($E900,2)&amp;IF($F900="","0000",IF($F900="نامعتبر","9999",LEFT($F900,2)&amp;RIGHT($F900,2)))&amp;"|"&amp;RIGHT("00000"&amp;892,5))</f>
        <v/>
      </c>
      <c r="I900">
        <f>IF($H900="","",COUNTIFS(CalcBank,$G900,CalcKey,"&lt;"&amp;$H900)+1)</f>
        <v/>
      </c>
      <c r="J900">
        <f>IF($I900="","",$G900&amp;"|"&amp;RIGHT("000000"&amp;$I900,6))</f>
        <v/>
      </c>
      <c r="K900">
        <f>IF(OR($E900="",$E900="نامعتبر"),"",LEFT($E900,4)&amp;"/"&amp;MID($E900,6,2))</f>
        <v/>
      </c>
      <c r="L900">
        <f>IF(Entry!$K900="",0,Entry!$K900)</f>
        <v/>
      </c>
      <c r="M900">
        <f>IF(Entry!$L900="",0,Entry!$L900)</f>
        <v/>
      </c>
    </row>
    <row r="901">
      <c r="A901">
        <f>IF(Entry!$C901="","",Entry!$C901)</f>
        <v/>
      </c>
      <c r="B901">
        <f>IF($A901="","",IF(ISNUMBER($A901),IF(AND($A901&gt;=10000101,$A901&lt;=99991231),INT($A901/10000),""),IFERROR(VALUE(TRIM(LEFT($A901,FIND("/",$A901)-1))),"")))</f>
        <v/>
      </c>
      <c r="C901">
        <f>IF(OR($A901="",$B901=""),"",IF(ISNUMBER($A901),INT(MOD($A901,10000)/100),IFERROR(VALUE(TRIM(LEFT(MID($A901,FIND("/",$A901)+1,20),FIND("/",MID($A901,FIND("/",$A901)+1,20))-1))),"")))</f>
        <v/>
      </c>
      <c r="D901">
        <f>IF(OR($A901="",$B901=""),"",IF(ISNUMBER($A901),MOD($A901,100),IFERROR(VALUE(TRIM(MID(MID($A901,FIND("/",$A901)+1,20),FIND("/",MID($A901,FIND("/",$A901)+1,20))+1,20))),"")))</f>
        <v/>
      </c>
      <c r="E901">
        <f>IF($A901="","",IF(OR($B901="",$C901="",$D901="",$B901&lt;1300,$B901&gt;1500,$C901&lt;1,$C901&gt;12,$D901&lt;1,$D901&gt;31),"نامعتبر",RIGHT("0000"&amp;$B901,4)&amp;"/"&amp;RIGHT("00"&amp;$C901,2)&amp;"/"&amp;RIGHT("00"&amp;$D901,2)))</f>
        <v/>
      </c>
      <c r="F901">
        <f>IF(Entry!$D901&lt;&gt;"",IF(AND(ISNUMBER(Entry!$D901),Entry!$D901&gt;=0,Entry!$D901&lt;1),RIGHT("00"&amp;HOUR(Entry!$D901),2)&amp;":"&amp;RIGHT("00"&amp;MINUTE(Entry!$D901),2),IFERROR(RIGHT("00"&amp;VALUE(TRIM(LEFT(Entry!$D901,FIND(":",Entry!$D901)-1))),2)&amp;":"&amp;RIGHT("00"&amp;VALUE(TRIM(MID(Entry!$D901,FIND(":",Entry!$D901)+1,2))),2),"نامعتبر")),IF(OR($E901="",$E901="نامعتبر"),"","00:00"))</f>
        <v/>
      </c>
      <c r="G901">
        <f>IF(OR($E901="",$E901="نامعتبر"),"",IF(Entry!$E901="","",LEFT(UPPER(TRIM(Entry!$E901)),6)))</f>
        <v/>
      </c>
      <c r="H901">
        <f>IF($G901="","",RIGHT($E901,4)&amp;MID($E901,6,2)&amp;RIGHT($E901,2)&amp;IF($F901="","0000",IF($F901="نامعتبر","9999",LEFT($F901,2)&amp;RIGHT($F901,2)))&amp;"|"&amp;RIGHT("00000"&amp;893,5))</f>
        <v/>
      </c>
      <c r="I901">
        <f>IF($H901="","",COUNTIFS(CalcBank,$G901,CalcKey,"&lt;"&amp;$H901)+1)</f>
        <v/>
      </c>
      <c r="J901">
        <f>IF($I901="","",$G901&amp;"|"&amp;RIGHT("000000"&amp;$I901,6))</f>
        <v/>
      </c>
      <c r="K901">
        <f>IF(OR($E901="",$E901="نامعتبر"),"",LEFT($E901,4)&amp;"/"&amp;MID($E901,6,2))</f>
        <v/>
      </c>
      <c r="L901">
        <f>IF(Entry!$K901="",0,Entry!$K901)</f>
        <v/>
      </c>
      <c r="M901">
        <f>IF(Entry!$L901="",0,Entry!$L901)</f>
        <v/>
      </c>
    </row>
    <row r="902">
      <c r="A902">
        <f>IF(Entry!$C902="","",Entry!$C902)</f>
        <v/>
      </c>
      <c r="B902">
        <f>IF($A902="","",IF(ISNUMBER($A902),IF(AND($A902&gt;=10000101,$A902&lt;=99991231),INT($A902/10000),""),IFERROR(VALUE(TRIM(LEFT($A902,FIND("/",$A902)-1))),"")))</f>
        <v/>
      </c>
      <c r="C902">
        <f>IF(OR($A902="",$B902=""),"",IF(ISNUMBER($A902),INT(MOD($A902,10000)/100),IFERROR(VALUE(TRIM(LEFT(MID($A902,FIND("/",$A902)+1,20),FIND("/",MID($A902,FIND("/",$A902)+1,20))-1))),"")))</f>
        <v/>
      </c>
      <c r="D902">
        <f>IF(OR($A902="",$B902=""),"",IF(ISNUMBER($A902),MOD($A902,100),IFERROR(VALUE(TRIM(MID(MID($A902,FIND("/",$A902)+1,20),FIND("/",MID($A902,FIND("/",$A902)+1,20))+1,20))),"")))</f>
        <v/>
      </c>
      <c r="E902">
        <f>IF($A902="","",IF(OR($B902="",$C902="",$D902="",$B902&lt;1300,$B902&gt;1500,$C902&lt;1,$C902&gt;12,$D902&lt;1,$D902&gt;31),"نامعتبر",RIGHT("0000"&amp;$B902,4)&amp;"/"&amp;RIGHT("00"&amp;$C902,2)&amp;"/"&amp;RIGHT("00"&amp;$D902,2)))</f>
        <v/>
      </c>
      <c r="F902">
        <f>IF(Entry!$D902&lt;&gt;"",IF(AND(ISNUMBER(Entry!$D902),Entry!$D902&gt;=0,Entry!$D902&lt;1),RIGHT("00"&amp;HOUR(Entry!$D902),2)&amp;":"&amp;RIGHT("00"&amp;MINUTE(Entry!$D902),2),IFERROR(RIGHT("00"&amp;VALUE(TRIM(LEFT(Entry!$D902,FIND(":",Entry!$D902)-1))),2)&amp;":"&amp;RIGHT("00"&amp;VALUE(TRIM(MID(Entry!$D902,FIND(":",Entry!$D902)+1,2))),2),"نامعتبر")),IF(OR($E902="",$E902="نامعتبر"),"","00:00"))</f>
        <v/>
      </c>
      <c r="G902">
        <f>IF(OR($E902="",$E902="نامعتبر"),"",IF(Entry!$E902="","",LEFT(UPPER(TRIM(Entry!$E902)),6)))</f>
        <v/>
      </c>
      <c r="H902">
        <f>IF($G902="","",RIGHT($E902,4)&amp;MID($E902,6,2)&amp;RIGHT($E902,2)&amp;IF($F902="","0000",IF($F902="نامعتبر","9999",LEFT($F902,2)&amp;RIGHT($F902,2)))&amp;"|"&amp;RIGHT("00000"&amp;894,5))</f>
        <v/>
      </c>
      <c r="I902">
        <f>IF($H902="","",COUNTIFS(CalcBank,$G902,CalcKey,"&lt;"&amp;$H902)+1)</f>
        <v/>
      </c>
      <c r="J902">
        <f>IF($I902="","",$G902&amp;"|"&amp;RIGHT("000000"&amp;$I902,6))</f>
        <v/>
      </c>
      <c r="K902">
        <f>IF(OR($E902="",$E902="نامعتبر"),"",LEFT($E902,4)&amp;"/"&amp;MID($E902,6,2))</f>
        <v/>
      </c>
      <c r="L902">
        <f>IF(Entry!$K902="",0,Entry!$K902)</f>
        <v/>
      </c>
      <c r="M902">
        <f>IF(Entry!$L902="",0,Entry!$L902)</f>
        <v/>
      </c>
    </row>
    <row r="903">
      <c r="A903">
        <f>IF(Entry!$C903="","",Entry!$C903)</f>
        <v/>
      </c>
      <c r="B903">
        <f>IF($A903="","",IF(ISNUMBER($A903),IF(AND($A903&gt;=10000101,$A903&lt;=99991231),INT($A903/10000),""),IFERROR(VALUE(TRIM(LEFT($A903,FIND("/",$A903)-1))),"")))</f>
        <v/>
      </c>
      <c r="C903">
        <f>IF(OR($A903="",$B903=""),"",IF(ISNUMBER($A903),INT(MOD($A903,10000)/100),IFERROR(VALUE(TRIM(LEFT(MID($A903,FIND("/",$A903)+1,20),FIND("/",MID($A903,FIND("/",$A903)+1,20))-1))),"")))</f>
        <v/>
      </c>
      <c r="D903">
        <f>IF(OR($A903="",$B903=""),"",IF(ISNUMBER($A903),MOD($A903,100),IFERROR(VALUE(TRIM(MID(MID($A903,FIND("/",$A903)+1,20),FIND("/",MID($A903,FIND("/",$A903)+1,20))+1,20))),"")))</f>
        <v/>
      </c>
      <c r="E903">
        <f>IF($A903="","",IF(OR($B903="",$C903="",$D903="",$B903&lt;1300,$B903&gt;1500,$C903&lt;1,$C903&gt;12,$D903&lt;1,$D903&gt;31),"نامعتبر",RIGHT("0000"&amp;$B903,4)&amp;"/"&amp;RIGHT("00"&amp;$C903,2)&amp;"/"&amp;RIGHT("00"&amp;$D903,2)))</f>
        <v/>
      </c>
      <c r="F903">
        <f>IF(Entry!$D903&lt;&gt;"",IF(AND(ISNUMBER(Entry!$D903),Entry!$D903&gt;=0,Entry!$D903&lt;1),RIGHT("00"&amp;HOUR(Entry!$D903),2)&amp;":"&amp;RIGHT("00"&amp;MINUTE(Entry!$D903),2),IFERROR(RIGHT("00"&amp;VALUE(TRIM(LEFT(Entry!$D903,FIND(":",Entry!$D903)-1))),2)&amp;":"&amp;RIGHT("00"&amp;VALUE(TRIM(MID(Entry!$D903,FIND(":",Entry!$D903)+1,2))),2),"نامعتبر")),IF(OR($E903="",$E903="نامعتبر"),"","00:00"))</f>
        <v/>
      </c>
      <c r="G903">
        <f>IF(OR($E903="",$E903="نامعتبر"),"",IF(Entry!$E903="","",LEFT(UPPER(TRIM(Entry!$E903)),6)))</f>
        <v/>
      </c>
      <c r="H903">
        <f>IF($G903="","",RIGHT($E903,4)&amp;MID($E903,6,2)&amp;RIGHT($E903,2)&amp;IF($F903="","0000",IF($F903="نامعتبر","9999",LEFT($F903,2)&amp;RIGHT($F903,2)))&amp;"|"&amp;RIGHT("00000"&amp;895,5))</f>
        <v/>
      </c>
      <c r="I903">
        <f>IF($H903="","",COUNTIFS(CalcBank,$G903,CalcKey,"&lt;"&amp;$H903)+1)</f>
        <v/>
      </c>
      <c r="J903">
        <f>IF($I903="","",$G903&amp;"|"&amp;RIGHT("000000"&amp;$I903,6))</f>
        <v/>
      </c>
      <c r="K903">
        <f>IF(OR($E903="",$E903="نامعتبر"),"",LEFT($E903,4)&amp;"/"&amp;MID($E903,6,2))</f>
        <v/>
      </c>
      <c r="L903">
        <f>IF(Entry!$K903="",0,Entry!$K903)</f>
        <v/>
      </c>
      <c r="M903">
        <f>IF(Entry!$L903="",0,Entry!$L903)</f>
        <v/>
      </c>
    </row>
    <row r="904">
      <c r="A904">
        <f>IF(Entry!$C904="","",Entry!$C904)</f>
        <v/>
      </c>
      <c r="B904">
        <f>IF($A904="","",IF(ISNUMBER($A904),IF(AND($A904&gt;=10000101,$A904&lt;=99991231),INT($A904/10000),""),IFERROR(VALUE(TRIM(LEFT($A904,FIND("/",$A904)-1))),"")))</f>
        <v/>
      </c>
      <c r="C904">
        <f>IF(OR($A904="",$B904=""),"",IF(ISNUMBER($A904),INT(MOD($A904,10000)/100),IFERROR(VALUE(TRIM(LEFT(MID($A904,FIND("/",$A904)+1,20),FIND("/",MID($A904,FIND("/",$A904)+1,20))-1))),"")))</f>
        <v/>
      </c>
      <c r="D904">
        <f>IF(OR($A904="",$B904=""),"",IF(ISNUMBER($A904),MOD($A904,100),IFERROR(VALUE(TRIM(MID(MID($A904,FIND("/",$A904)+1,20),FIND("/",MID($A904,FIND("/",$A904)+1,20))+1,20))),"")))</f>
        <v/>
      </c>
      <c r="E904">
        <f>IF($A904="","",IF(OR($B904="",$C904="",$D904="",$B904&lt;1300,$B904&gt;1500,$C904&lt;1,$C904&gt;12,$D904&lt;1,$D904&gt;31),"نامعتبر",RIGHT("0000"&amp;$B904,4)&amp;"/"&amp;RIGHT("00"&amp;$C904,2)&amp;"/"&amp;RIGHT("00"&amp;$D904,2)))</f>
        <v/>
      </c>
      <c r="F904">
        <f>IF(Entry!$D904&lt;&gt;"",IF(AND(ISNUMBER(Entry!$D904),Entry!$D904&gt;=0,Entry!$D904&lt;1),RIGHT("00"&amp;HOUR(Entry!$D904),2)&amp;":"&amp;RIGHT("00"&amp;MINUTE(Entry!$D904),2),IFERROR(RIGHT("00"&amp;VALUE(TRIM(LEFT(Entry!$D904,FIND(":",Entry!$D904)-1))),2)&amp;":"&amp;RIGHT("00"&amp;VALUE(TRIM(MID(Entry!$D904,FIND(":",Entry!$D904)+1,2))),2),"نامعتبر")),IF(OR($E904="",$E904="نامعتبر"),"","00:00"))</f>
        <v/>
      </c>
      <c r="G904">
        <f>IF(OR($E904="",$E904="نامعتبر"),"",IF(Entry!$E904="","",LEFT(UPPER(TRIM(Entry!$E904)),6)))</f>
        <v/>
      </c>
      <c r="H904">
        <f>IF($G904="","",RIGHT($E904,4)&amp;MID($E904,6,2)&amp;RIGHT($E904,2)&amp;IF($F904="","0000",IF($F904="نامعتبر","9999",LEFT($F904,2)&amp;RIGHT($F904,2)))&amp;"|"&amp;RIGHT("00000"&amp;896,5))</f>
        <v/>
      </c>
      <c r="I904">
        <f>IF($H904="","",COUNTIFS(CalcBank,$G904,CalcKey,"&lt;"&amp;$H904)+1)</f>
        <v/>
      </c>
      <c r="J904">
        <f>IF($I904="","",$G904&amp;"|"&amp;RIGHT("000000"&amp;$I904,6))</f>
        <v/>
      </c>
      <c r="K904">
        <f>IF(OR($E904="",$E904="نامعتبر"),"",LEFT($E904,4)&amp;"/"&amp;MID($E904,6,2))</f>
        <v/>
      </c>
      <c r="L904">
        <f>IF(Entry!$K904="",0,Entry!$K904)</f>
        <v/>
      </c>
      <c r="M904">
        <f>IF(Entry!$L904="",0,Entry!$L904)</f>
        <v/>
      </c>
    </row>
    <row r="905">
      <c r="A905">
        <f>IF(Entry!$C905="","",Entry!$C905)</f>
        <v/>
      </c>
      <c r="B905">
        <f>IF($A905="","",IF(ISNUMBER($A905),IF(AND($A905&gt;=10000101,$A905&lt;=99991231),INT($A905/10000),""),IFERROR(VALUE(TRIM(LEFT($A905,FIND("/",$A905)-1))),"")))</f>
        <v/>
      </c>
      <c r="C905">
        <f>IF(OR($A905="",$B905=""),"",IF(ISNUMBER($A905),INT(MOD($A905,10000)/100),IFERROR(VALUE(TRIM(LEFT(MID($A905,FIND("/",$A905)+1,20),FIND("/",MID($A905,FIND("/",$A905)+1,20))-1))),"")))</f>
        <v/>
      </c>
      <c r="D905">
        <f>IF(OR($A905="",$B905=""),"",IF(ISNUMBER($A905),MOD($A905,100),IFERROR(VALUE(TRIM(MID(MID($A905,FIND("/",$A905)+1,20),FIND("/",MID($A905,FIND("/",$A905)+1,20))+1,20))),"")))</f>
        <v/>
      </c>
      <c r="E905">
        <f>IF($A905="","",IF(OR($B905="",$C905="",$D905="",$B905&lt;1300,$B905&gt;1500,$C905&lt;1,$C905&gt;12,$D905&lt;1,$D905&gt;31),"نامعتبر",RIGHT("0000"&amp;$B905,4)&amp;"/"&amp;RIGHT("00"&amp;$C905,2)&amp;"/"&amp;RIGHT("00"&amp;$D905,2)))</f>
        <v/>
      </c>
      <c r="F905">
        <f>IF(Entry!$D905&lt;&gt;"",IF(AND(ISNUMBER(Entry!$D905),Entry!$D905&gt;=0,Entry!$D905&lt;1),RIGHT("00"&amp;HOUR(Entry!$D905),2)&amp;":"&amp;RIGHT("00"&amp;MINUTE(Entry!$D905),2),IFERROR(RIGHT("00"&amp;VALUE(TRIM(LEFT(Entry!$D905,FIND(":",Entry!$D905)-1))),2)&amp;":"&amp;RIGHT("00"&amp;VALUE(TRIM(MID(Entry!$D905,FIND(":",Entry!$D905)+1,2))),2),"نامعتبر")),IF(OR($E905="",$E905="نامعتبر"),"","00:00"))</f>
        <v/>
      </c>
      <c r="G905">
        <f>IF(OR($E905="",$E905="نامعتبر"),"",IF(Entry!$E905="","",LEFT(UPPER(TRIM(Entry!$E905)),6)))</f>
        <v/>
      </c>
      <c r="H905">
        <f>IF($G905="","",RIGHT($E905,4)&amp;MID($E905,6,2)&amp;RIGHT($E905,2)&amp;IF($F905="","0000",IF($F905="نامعتبر","9999",LEFT($F905,2)&amp;RIGHT($F905,2)))&amp;"|"&amp;RIGHT("00000"&amp;897,5))</f>
        <v/>
      </c>
      <c r="I905">
        <f>IF($H905="","",COUNTIFS(CalcBank,$G905,CalcKey,"&lt;"&amp;$H905)+1)</f>
        <v/>
      </c>
      <c r="J905">
        <f>IF($I905="","",$G905&amp;"|"&amp;RIGHT("000000"&amp;$I905,6))</f>
        <v/>
      </c>
      <c r="K905">
        <f>IF(OR($E905="",$E905="نامعتبر"),"",LEFT($E905,4)&amp;"/"&amp;MID($E905,6,2))</f>
        <v/>
      </c>
      <c r="L905">
        <f>IF(Entry!$K905="",0,Entry!$K905)</f>
        <v/>
      </c>
      <c r="M905">
        <f>IF(Entry!$L905="",0,Entry!$L905)</f>
        <v/>
      </c>
    </row>
    <row r="906">
      <c r="A906">
        <f>IF(Entry!$C906="","",Entry!$C906)</f>
        <v/>
      </c>
      <c r="B906">
        <f>IF($A906="","",IF(ISNUMBER($A906),IF(AND($A906&gt;=10000101,$A906&lt;=99991231),INT($A906/10000),""),IFERROR(VALUE(TRIM(LEFT($A906,FIND("/",$A906)-1))),"")))</f>
        <v/>
      </c>
      <c r="C906">
        <f>IF(OR($A906="",$B906=""),"",IF(ISNUMBER($A906),INT(MOD($A906,10000)/100),IFERROR(VALUE(TRIM(LEFT(MID($A906,FIND("/",$A906)+1,20),FIND("/",MID($A906,FIND("/",$A906)+1,20))-1))),"")))</f>
        <v/>
      </c>
      <c r="D906">
        <f>IF(OR($A906="",$B906=""),"",IF(ISNUMBER($A906),MOD($A906,100),IFERROR(VALUE(TRIM(MID(MID($A906,FIND("/",$A906)+1,20),FIND("/",MID($A906,FIND("/",$A906)+1,20))+1,20))),"")))</f>
        <v/>
      </c>
      <c r="E906">
        <f>IF($A906="","",IF(OR($B906="",$C906="",$D906="",$B906&lt;1300,$B906&gt;1500,$C906&lt;1,$C906&gt;12,$D906&lt;1,$D906&gt;31),"نامعتبر",RIGHT("0000"&amp;$B906,4)&amp;"/"&amp;RIGHT("00"&amp;$C906,2)&amp;"/"&amp;RIGHT("00"&amp;$D906,2)))</f>
        <v/>
      </c>
      <c r="F906">
        <f>IF(Entry!$D906&lt;&gt;"",IF(AND(ISNUMBER(Entry!$D906),Entry!$D906&gt;=0,Entry!$D906&lt;1),RIGHT("00"&amp;HOUR(Entry!$D906),2)&amp;":"&amp;RIGHT("00"&amp;MINUTE(Entry!$D906),2),IFERROR(RIGHT("00"&amp;VALUE(TRIM(LEFT(Entry!$D906,FIND(":",Entry!$D906)-1))),2)&amp;":"&amp;RIGHT("00"&amp;VALUE(TRIM(MID(Entry!$D906,FIND(":",Entry!$D906)+1,2))),2),"نامعتبر")),IF(OR($E906="",$E906="نامعتبر"),"","00:00"))</f>
        <v/>
      </c>
      <c r="G906">
        <f>IF(OR($E906="",$E906="نامعتبر"),"",IF(Entry!$E906="","",LEFT(UPPER(TRIM(Entry!$E906)),6)))</f>
        <v/>
      </c>
      <c r="H906">
        <f>IF($G906="","",RIGHT($E906,4)&amp;MID($E906,6,2)&amp;RIGHT($E906,2)&amp;IF($F906="","0000",IF($F906="نامعتبر","9999",LEFT($F906,2)&amp;RIGHT($F906,2)))&amp;"|"&amp;RIGHT("00000"&amp;898,5))</f>
        <v/>
      </c>
      <c r="I906">
        <f>IF($H906="","",COUNTIFS(CalcBank,$G906,CalcKey,"&lt;"&amp;$H906)+1)</f>
        <v/>
      </c>
      <c r="J906">
        <f>IF($I906="","",$G906&amp;"|"&amp;RIGHT("000000"&amp;$I906,6))</f>
        <v/>
      </c>
      <c r="K906">
        <f>IF(OR($E906="",$E906="نامعتبر"),"",LEFT($E906,4)&amp;"/"&amp;MID($E906,6,2))</f>
        <v/>
      </c>
      <c r="L906">
        <f>IF(Entry!$K906="",0,Entry!$K906)</f>
        <v/>
      </c>
      <c r="M906">
        <f>IF(Entry!$L906="",0,Entry!$L906)</f>
        <v/>
      </c>
    </row>
    <row r="907">
      <c r="A907">
        <f>IF(Entry!$C907="","",Entry!$C907)</f>
        <v/>
      </c>
      <c r="B907">
        <f>IF($A907="","",IF(ISNUMBER($A907),IF(AND($A907&gt;=10000101,$A907&lt;=99991231),INT($A907/10000),""),IFERROR(VALUE(TRIM(LEFT($A907,FIND("/",$A907)-1))),"")))</f>
        <v/>
      </c>
      <c r="C907">
        <f>IF(OR($A907="",$B907=""),"",IF(ISNUMBER($A907),INT(MOD($A907,10000)/100),IFERROR(VALUE(TRIM(LEFT(MID($A907,FIND("/",$A907)+1,20),FIND("/",MID($A907,FIND("/",$A907)+1,20))-1))),"")))</f>
        <v/>
      </c>
      <c r="D907">
        <f>IF(OR($A907="",$B907=""),"",IF(ISNUMBER($A907),MOD($A907,100),IFERROR(VALUE(TRIM(MID(MID($A907,FIND("/",$A907)+1,20),FIND("/",MID($A907,FIND("/",$A907)+1,20))+1,20))),"")))</f>
        <v/>
      </c>
      <c r="E907">
        <f>IF($A907="","",IF(OR($B907="",$C907="",$D907="",$B907&lt;1300,$B907&gt;1500,$C907&lt;1,$C907&gt;12,$D907&lt;1,$D907&gt;31),"نامعتبر",RIGHT("0000"&amp;$B907,4)&amp;"/"&amp;RIGHT("00"&amp;$C907,2)&amp;"/"&amp;RIGHT("00"&amp;$D907,2)))</f>
        <v/>
      </c>
      <c r="F907">
        <f>IF(Entry!$D907&lt;&gt;"",IF(AND(ISNUMBER(Entry!$D907),Entry!$D907&gt;=0,Entry!$D907&lt;1),RIGHT("00"&amp;HOUR(Entry!$D907),2)&amp;":"&amp;RIGHT("00"&amp;MINUTE(Entry!$D907),2),IFERROR(RIGHT("00"&amp;VALUE(TRIM(LEFT(Entry!$D907,FIND(":",Entry!$D907)-1))),2)&amp;":"&amp;RIGHT("00"&amp;VALUE(TRIM(MID(Entry!$D907,FIND(":",Entry!$D907)+1,2))),2),"نامعتبر")),IF(OR($E907="",$E907="نامعتبر"),"","00:00"))</f>
        <v/>
      </c>
      <c r="G907">
        <f>IF(OR($E907="",$E907="نامعتبر"),"",IF(Entry!$E907="","",LEFT(UPPER(TRIM(Entry!$E907)),6)))</f>
        <v/>
      </c>
      <c r="H907">
        <f>IF($G907="","",RIGHT($E907,4)&amp;MID($E907,6,2)&amp;RIGHT($E907,2)&amp;IF($F907="","0000",IF($F907="نامعتبر","9999",LEFT($F907,2)&amp;RIGHT($F907,2)))&amp;"|"&amp;RIGHT("00000"&amp;899,5))</f>
        <v/>
      </c>
      <c r="I907">
        <f>IF($H907="","",COUNTIFS(CalcBank,$G907,CalcKey,"&lt;"&amp;$H907)+1)</f>
        <v/>
      </c>
      <c r="J907">
        <f>IF($I907="","",$G907&amp;"|"&amp;RIGHT("000000"&amp;$I907,6))</f>
        <v/>
      </c>
      <c r="K907">
        <f>IF(OR($E907="",$E907="نامعتبر"),"",LEFT($E907,4)&amp;"/"&amp;MID($E907,6,2))</f>
        <v/>
      </c>
      <c r="L907">
        <f>IF(Entry!$K907="",0,Entry!$K907)</f>
        <v/>
      </c>
      <c r="M907">
        <f>IF(Entry!$L907="",0,Entry!$L907)</f>
        <v/>
      </c>
    </row>
    <row r="908">
      <c r="A908">
        <f>IF(Entry!$C908="","",Entry!$C908)</f>
        <v/>
      </c>
      <c r="B908">
        <f>IF($A908="","",IF(ISNUMBER($A908),IF(AND($A908&gt;=10000101,$A908&lt;=99991231),INT($A908/10000),""),IFERROR(VALUE(TRIM(LEFT($A908,FIND("/",$A908)-1))),"")))</f>
        <v/>
      </c>
      <c r="C908">
        <f>IF(OR($A908="",$B908=""),"",IF(ISNUMBER($A908),INT(MOD($A908,10000)/100),IFERROR(VALUE(TRIM(LEFT(MID($A908,FIND("/",$A908)+1,20),FIND("/",MID($A908,FIND("/",$A908)+1,20))-1))),"")))</f>
        <v/>
      </c>
      <c r="D908">
        <f>IF(OR($A908="",$B908=""),"",IF(ISNUMBER($A908),MOD($A908,100),IFERROR(VALUE(TRIM(MID(MID($A908,FIND("/",$A908)+1,20),FIND("/",MID($A908,FIND("/",$A908)+1,20))+1,20))),"")))</f>
        <v/>
      </c>
      <c r="E908">
        <f>IF($A908="","",IF(OR($B908="",$C908="",$D908="",$B908&lt;1300,$B908&gt;1500,$C908&lt;1,$C908&gt;12,$D908&lt;1,$D908&gt;31),"نامعتبر",RIGHT("0000"&amp;$B908,4)&amp;"/"&amp;RIGHT("00"&amp;$C908,2)&amp;"/"&amp;RIGHT("00"&amp;$D908,2)))</f>
        <v/>
      </c>
      <c r="F908">
        <f>IF(Entry!$D908&lt;&gt;"",IF(AND(ISNUMBER(Entry!$D908),Entry!$D908&gt;=0,Entry!$D908&lt;1),RIGHT("00"&amp;HOUR(Entry!$D908),2)&amp;":"&amp;RIGHT("00"&amp;MINUTE(Entry!$D908),2),IFERROR(RIGHT("00"&amp;VALUE(TRIM(LEFT(Entry!$D908,FIND(":",Entry!$D908)-1))),2)&amp;":"&amp;RIGHT("00"&amp;VALUE(TRIM(MID(Entry!$D908,FIND(":",Entry!$D908)+1,2))),2),"نامعتبر")),IF(OR($E908="",$E908="نامعتبر"),"","00:00"))</f>
        <v/>
      </c>
      <c r="G908">
        <f>IF(OR($E908="",$E908="نامعتبر"),"",IF(Entry!$E908="","",LEFT(UPPER(TRIM(Entry!$E908)),6)))</f>
        <v/>
      </c>
      <c r="H908">
        <f>IF($G908="","",RIGHT($E908,4)&amp;MID($E908,6,2)&amp;RIGHT($E908,2)&amp;IF($F908="","0000",IF($F908="نامعتبر","9999",LEFT($F908,2)&amp;RIGHT($F908,2)))&amp;"|"&amp;RIGHT("00000"&amp;900,5))</f>
        <v/>
      </c>
      <c r="I908">
        <f>IF($H908="","",COUNTIFS(CalcBank,$G908,CalcKey,"&lt;"&amp;$H908)+1)</f>
        <v/>
      </c>
      <c r="J908">
        <f>IF($I908="","",$G908&amp;"|"&amp;RIGHT("000000"&amp;$I908,6))</f>
        <v/>
      </c>
      <c r="K908">
        <f>IF(OR($E908="",$E908="نامعتبر"),"",LEFT($E908,4)&amp;"/"&amp;MID($E908,6,2))</f>
        <v/>
      </c>
      <c r="L908">
        <f>IF(Entry!$K908="",0,Entry!$K908)</f>
        <v/>
      </c>
      <c r="M908">
        <f>IF(Entry!$L908="",0,Entry!$L908)</f>
        <v/>
      </c>
    </row>
    <row r="909">
      <c r="A909">
        <f>IF(Entry!$C909="","",Entry!$C909)</f>
        <v/>
      </c>
      <c r="B909">
        <f>IF($A909="","",IF(ISNUMBER($A909),IF(AND($A909&gt;=10000101,$A909&lt;=99991231),INT($A909/10000),""),IFERROR(VALUE(TRIM(LEFT($A909,FIND("/",$A909)-1))),"")))</f>
        <v/>
      </c>
      <c r="C909">
        <f>IF(OR($A909="",$B909=""),"",IF(ISNUMBER($A909),INT(MOD($A909,10000)/100),IFERROR(VALUE(TRIM(LEFT(MID($A909,FIND("/",$A909)+1,20),FIND("/",MID($A909,FIND("/",$A909)+1,20))-1))),"")))</f>
        <v/>
      </c>
      <c r="D909">
        <f>IF(OR($A909="",$B909=""),"",IF(ISNUMBER($A909),MOD($A909,100),IFERROR(VALUE(TRIM(MID(MID($A909,FIND("/",$A909)+1,20),FIND("/",MID($A909,FIND("/",$A909)+1,20))+1,20))),"")))</f>
        <v/>
      </c>
      <c r="E909">
        <f>IF($A909="","",IF(OR($B909="",$C909="",$D909="",$B909&lt;1300,$B909&gt;1500,$C909&lt;1,$C909&gt;12,$D909&lt;1,$D909&gt;31),"نامعتبر",RIGHT("0000"&amp;$B909,4)&amp;"/"&amp;RIGHT("00"&amp;$C909,2)&amp;"/"&amp;RIGHT("00"&amp;$D909,2)))</f>
        <v/>
      </c>
      <c r="F909">
        <f>IF(Entry!$D909&lt;&gt;"",IF(AND(ISNUMBER(Entry!$D909),Entry!$D909&gt;=0,Entry!$D909&lt;1),RIGHT("00"&amp;HOUR(Entry!$D909),2)&amp;":"&amp;RIGHT("00"&amp;MINUTE(Entry!$D909),2),IFERROR(RIGHT("00"&amp;VALUE(TRIM(LEFT(Entry!$D909,FIND(":",Entry!$D909)-1))),2)&amp;":"&amp;RIGHT("00"&amp;VALUE(TRIM(MID(Entry!$D909,FIND(":",Entry!$D909)+1,2))),2),"نامعتبر")),IF(OR($E909="",$E909="نامعتبر"),"","00:00"))</f>
        <v/>
      </c>
      <c r="G909">
        <f>IF(OR($E909="",$E909="نامعتبر"),"",IF(Entry!$E909="","",LEFT(UPPER(TRIM(Entry!$E909)),6)))</f>
        <v/>
      </c>
      <c r="H909">
        <f>IF($G909="","",RIGHT($E909,4)&amp;MID($E909,6,2)&amp;RIGHT($E909,2)&amp;IF($F909="","0000",IF($F909="نامعتبر","9999",LEFT($F909,2)&amp;RIGHT($F909,2)))&amp;"|"&amp;RIGHT("00000"&amp;901,5))</f>
        <v/>
      </c>
      <c r="I909">
        <f>IF($H909="","",COUNTIFS(CalcBank,$G909,CalcKey,"&lt;"&amp;$H909)+1)</f>
        <v/>
      </c>
      <c r="J909">
        <f>IF($I909="","",$G909&amp;"|"&amp;RIGHT("000000"&amp;$I909,6))</f>
        <v/>
      </c>
      <c r="K909">
        <f>IF(OR($E909="",$E909="نامعتبر"),"",LEFT($E909,4)&amp;"/"&amp;MID($E909,6,2))</f>
        <v/>
      </c>
      <c r="L909">
        <f>IF(Entry!$K909="",0,Entry!$K909)</f>
        <v/>
      </c>
      <c r="M909">
        <f>IF(Entry!$L909="",0,Entry!$L909)</f>
        <v/>
      </c>
    </row>
    <row r="910">
      <c r="A910">
        <f>IF(Entry!$C910="","",Entry!$C910)</f>
        <v/>
      </c>
      <c r="B910">
        <f>IF($A910="","",IF(ISNUMBER($A910),IF(AND($A910&gt;=10000101,$A910&lt;=99991231),INT($A910/10000),""),IFERROR(VALUE(TRIM(LEFT($A910,FIND("/",$A910)-1))),"")))</f>
        <v/>
      </c>
      <c r="C910">
        <f>IF(OR($A910="",$B910=""),"",IF(ISNUMBER($A910),INT(MOD($A910,10000)/100),IFERROR(VALUE(TRIM(LEFT(MID($A910,FIND("/",$A910)+1,20),FIND("/",MID($A910,FIND("/",$A910)+1,20))-1))),"")))</f>
        <v/>
      </c>
      <c r="D910">
        <f>IF(OR($A910="",$B910=""),"",IF(ISNUMBER($A910),MOD($A910,100),IFERROR(VALUE(TRIM(MID(MID($A910,FIND("/",$A910)+1,20),FIND("/",MID($A910,FIND("/",$A910)+1,20))+1,20))),"")))</f>
        <v/>
      </c>
      <c r="E910">
        <f>IF($A910="","",IF(OR($B910="",$C910="",$D910="",$B910&lt;1300,$B910&gt;1500,$C910&lt;1,$C910&gt;12,$D910&lt;1,$D910&gt;31),"نامعتبر",RIGHT("0000"&amp;$B910,4)&amp;"/"&amp;RIGHT("00"&amp;$C910,2)&amp;"/"&amp;RIGHT("00"&amp;$D910,2)))</f>
        <v/>
      </c>
      <c r="F910">
        <f>IF(Entry!$D910&lt;&gt;"",IF(AND(ISNUMBER(Entry!$D910),Entry!$D910&gt;=0,Entry!$D910&lt;1),RIGHT("00"&amp;HOUR(Entry!$D910),2)&amp;":"&amp;RIGHT("00"&amp;MINUTE(Entry!$D910),2),IFERROR(RIGHT("00"&amp;VALUE(TRIM(LEFT(Entry!$D910,FIND(":",Entry!$D910)-1))),2)&amp;":"&amp;RIGHT("00"&amp;VALUE(TRIM(MID(Entry!$D910,FIND(":",Entry!$D910)+1,2))),2),"نامعتبر")),IF(OR($E910="",$E910="نامعتبر"),"","00:00"))</f>
        <v/>
      </c>
      <c r="G910">
        <f>IF(OR($E910="",$E910="نامعتبر"),"",IF(Entry!$E910="","",LEFT(UPPER(TRIM(Entry!$E910)),6)))</f>
        <v/>
      </c>
      <c r="H910">
        <f>IF($G910="","",RIGHT($E910,4)&amp;MID($E910,6,2)&amp;RIGHT($E910,2)&amp;IF($F910="","0000",IF($F910="نامعتبر","9999",LEFT($F910,2)&amp;RIGHT($F910,2)))&amp;"|"&amp;RIGHT("00000"&amp;902,5))</f>
        <v/>
      </c>
      <c r="I910">
        <f>IF($H910="","",COUNTIFS(CalcBank,$G910,CalcKey,"&lt;"&amp;$H910)+1)</f>
        <v/>
      </c>
      <c r="J910">
        <f>IF($I910="","",$G910&amp;"|"&amp;RIGHT("000000"&amp;$I910,6))</f>
        <v/>
      </c>
      <c r="K910">
        <f>IF(OR($E910="",$E910="نامعتبر"),"",LEFT($E910,4)&amp;"/"&amp;MID($E910,6,2))</f>
        <v/>
      </c>
      <c r="L910">
        <f>IF(Entry!$K910="",0,Entry!$K910)</f>
        <v/>
      </c>
      <c r="M910">
        <f>IF(Entry!$L910="",0,Entry!$L910)</f>
        <v/>
      </c>
    </row>
    <row r="911">
      <c r="A911">
        <f>IF(Entry!$C911="","",Entry!$C911)</f>
        <v/>
      </c>
      <c r="B911">
        <f>IF($A911="","",IF(ISNUMBER($A911),IF(AND($A911&gt;=10000101,$A911&lt;=99991231),INT($A911/10000),""),IFERROR(VALUE(TRIM(LEFT($A911,FIND("/",$A911)-1))),"")))</f>
        <v/>
      </c>
      <c r="C911">
        <f>IF(OR($A911="",$B911=""),"",IF(ISNUMBER($A911),INT(MOD($A911,10000)/100),IFERROR(VALUE(TRIM(LEFT(MID($A911,FIND("/",$A911)+1,20),FIND("/",MID($A911,FIND("/",$A911)+1,20))-1))),"")))</f>
        <v/>
      </c>
      <c r="D911">
        <f>IF(OR($A911="",$B911=""),"",IF(ISNUMBER($A911),MOD($A911,100),IFERROR(VALUE(TRIM(MID(MID($A911,FIND("/",$A911)+1,20),FIND("/",MID($A911,FIND("/",$A911)+1,20))+1,20))),"")))</f>
        <v/>
      </c>
      <c r="E911">
        <f>IF($A911="","",IF(OR($B911="",$C911="",$D911="",$B911&lt;1300,$B911&gt;1500,$C911&lt;1,$C911&gt;12,$D911&lt;1,$D911&gt;31),"نامعتبر",RIGHT("0000"&amp;$B911,4)&amp;"/"&amp;RIGHT("00"&amp;$C911,2)&amp;"/"&amp;RIGHT("00"&amp;$D911,2)))</f>
        <v/>
      </c>
      <c r="F911">
        <f>IF(Entry!$D911&lt;&gt;"",IF(AND(ISNUMBER(Entry!$D911),Entry!$D911&gt;=0,Entry!$D911&lt;1),RIGHT("00"&amp;HOUR(Entry!$D911),2)&amp;":"&amp;RIGHT("00"&amp;MINUTE(Entry!$D911),2),IFERROR(RIGHT("00"&amp;VALUE(TRIM(LEFT(Entry!$D911,FIND(":",Entry!$D911)-1))),2)&amp;":"&amp;RIGHT("00"&amp;VALUE(TRIM(MID(Entry!$D911,FIND(":",Entry!$D911)+1,2))),2),"نامعتبر")),IF(OR($E911="",$E911="نامعتبر"),"","00:00"))</f>
        <v/>
      </c>
      <c r="G911">
        <f>IF(OR($E911="",$E911="نامعتبر"),"",IF(Entry!$E911="","",LEFT(UPPER(TRIM(Entry!$E911)),6)))</f>
        <v/>
      </c>
      <c r="H911">
        <f>IF($G911="","",RIGHT($E911,4)&amp;MID($E911,6,2)&amp;RIGHT($E911,2)&amp;IF($F911="","0000",IF($F911="نامعتبر","9999",LEFT($F911,2)&amp;RIGHT($F911,2)))&amp;"|"&amp;RIGHT("00000"&amp;903,5))</f>
        <v/>
      </c>
      <c r="I911">
        <f>IF($H911="","",COUNTIFS(CalcBank,$G911,CalcKey,"&lt;"&amp;$H911)+1)</f>
        <v/>
      </c>
      <c r="J911">
        <f>IF($I911="","",$G911&amp;"|"&amp;RIGHT("000000"&amp;$I911,6))</f>
        <v/>
      </c>
      <c r="K911">
        <f>IF(OR($E911="",$E911="نامعتبر"),"",LEFT($E911,4)&amp;"/"&amp;MID($E911,6,2))</f>
        <v/>
      </c>
      <c r="L911">
        <f>IF(Entry!$K911="",0,Entry!$K911)</f>
        <v/>
      </c>
      <c r="M911">
        <f>IF(Entry!$L911="",0,Entry!$L911)</f>
        <v/>
      </c>
    </row>
    <row r="912">
      <c r="A912">
        <f>IF(Entry!$C912="","",Entry!$C912)</f>
        <v/>
      </c>
      <c r="B912">
        <f>IF($A912="","",IF(ISNUMBER($A912),IF(AND($A912&gt;=10000101,$A912&lt;=99991231),INT($A912/10000),""),IFERROR(VALUE(TRIM(LEFT($A912,FIND("/",$A912)-1))),"")))</f>
        <v/>
      </c>
      <c r="C912">
        <f>IF(OR($A912="",$B912=""),"",IF(ISNUMBER($A912),INT(MOD($A912,10000)/100),IFERROR(VALUE(TRIM(LEFT(MID($A912,FIND("/",$A912)+1,20),FIND("/",MID($A912,FIND("/",$A912)+1,20))-1))),"")))</f>
        <v/>
      </c>
      <c r="D912">
        <f>IF(OR($A912="",$B912=""),"",IF(ISNUMBER($A912),MOD($A912,100),IFERROR(VALUE(TRIM(MID(MID($A912,FIND("/",$A912)+1,20),FIND("/",MID($A912,FIND("/",$A912)+1,20))+1,20))),"")))</f>
        <v/>
      </c>
      <c r="E912">
        <f>IF($A912="","",IF(OR($B912="",$C912="",$D912="",$B912&lt;1300,$B912&gt;1500,$C912&lt;1,$C912&gt;12,$D912&lt;1,$D912&gt;31),"نامعتبر",RIGHT("0000"&amp;$B912,4)&amp;"/"&amp;RIGHT("00"&amp;$C912,2)&amp;"/"&amp;RIGHT("00"&amp;$D912,2)))</f>
        <v/>
      </c>
      <c r="F912">
        <f>IF(Entry!$D912&lt;&gt;"",IF(AND(ISNUMBER(Entry!$D912),Entry!$D912&gt;=0,Entry!$D912&lt;1),RIGHT("00"&amp;HOUR(Entry!$D912),2)&amp;":"&amp;RIGHT("00"&amp;MINUTE(Entry!$D912),2),IFERROR(RIGHT("00"&amp;VALUE(TRIM(LEFT(Entry!$D912,FIND(":",Entry!$D912)-1))),2)&amp;":"&amp;RIGHT("00"&amp;VALUE(TRIM(MID(Entry!$D912,FIND(":",Entry!$D912)+1,2))),2),"نامعتبر")),IF(OR($E912="",$E912="نامعتبر"),"","00:00"))</f>
        <v/>
      </c>
      <c r="G912">
        <f>IF(OR($E912="",$E912="نامعتبر"),"",IF(Entry!$E912="","",LEFT(UPPER(TRIM(Entry!$E912)),6)))</f>
        <v/>
      </c>
      <c r="H912">
        <f>IF($G912="","",RIGHT($E912,4)&amp;MID($E912,6,2)&amp;RIGHT($E912,2)&amp;IF($F912="","0000",IF($F912="نامعتبر","9999",LEFT($F912,2)&amp;RIGHT($F912,2)))&amp;"|"&amp;RIGHT("00000"&amp;904,5))</f>
        <v/>
      </c>
      <c r="I912">
        <f>IF($H912="","",COUNTIFS(CalcBank,$G912,CalcKey,"&lt;"&amp;$H912)+1)</f>
        <v/>
      </c>
      <c r="J912">
        <f>IF($I912="","",$G912&amp;"|"&amp;RIGHT("000000"&amp;$I912,6))</f>
        <v/>
      </c>
      <c r="K912">
        <f>IF(OR($E912="",$E912="نامعتبر"),"",LEFT($E912,4)&amp;"/"&amp;MID($E912,6,2))</f>
        <v/>
      </c>
      <c r="L912">
        <f>IF(Entry!$K912="",0,Entry!$K912)</f>
        <v/>
      </c>
      <c r="M912">
        <f>IF(Entry!$L912="",0,Entry!$L912)</f>
        <v/>
      </c>
    </row>
    <row r="913">
      <c r="A913">
        <f>IF(Entry!$C913="","",Entry!$C913)</f>
        <v/>
      </c>
      <c r="B913">
        <f>IF($A913="","",IF(ISNUMBER($A913),IF(AND($A913&gt;=10000101,$A913&lt;=99991231),INT($A913/10000),""),IFERROR(VALUE(TRIM(LEFT($A913,FIND("/",$A913)-1))),"")))</f>
        <v/>
      </c>
      <c r="C913">
        <f>IF(OR($A913="",$B913=""),"",IF(ISNUMBER($A913),INT(MOD($A913,10000)/100),IFERROR(VALUE(TRIM(LEFT(MID($A913,FIND("/",$A913)+1,20),FIND("/",MID($A913,FIND("/",$A913)+1,20))-1))),"")))</f>
        <v/>
      </c>
      <c r="D913">
        <f>IF(OR($A913="",$B913=""),"",IF(ISNUMBER($A913),MOD($A913,100),IFERROR(VALUE(TRIM(MID(MID($A913,FIND("/",$A913)+1,20),FIND("/",MID($A913,FIND("/",$A913)+1,20))+1,20))),"")))</f>
        <v/>
      </c>
      <c r="E913">
        <f>IF($A913="","",IF(OR($B913="",$C913="",$D913="",$B913&lt;1300,$B913&gt;1500,$C913&lt;1,$C913&gt;12,$D913&lt;1,$D913&gt;31),"نامعتبر",RIGHT("0000"&amp;$B913,4)&amp;"/"&amp;RIGHT("00"&amp;$C913,2)&amp;"/"&amp;RIGHT("00"&amp;$D913,2)))</f>
        <v/>
      </c>
      <c r="F913">
        <f>IF(Entry!$D913&lt;&gt;"",IF(AND(ISNUMBER(Entry!$D913),Entry!$D913&gt;=0,Entry!$D913&lt;1),RIGHT("00"&amp;HOUR(Entry!$D913),2)&amp;":"&amp;RIGHT("00"&amp;MINUTE(Entry!$D913),2),IFERROR(RIGHT("00"&amp;VALUE(TRIM(LEFT(Entry!$D913,FIND(":",Entry!$D913)-1))),2)&amp;":"&amp;RIGHT("00"&amp;VALUE(TRIM(MID(Entry!$D913,FIND(":",Entry!$D913)+1,2))),2),"نامعتبر")),IF(OR($E913="",$E913="نامعتبر"),"","00:00"))</f>
        <v/>
      </c>
      <c r="G913">
        <f>IF(OR($E913="",$E913="نامعتبر"),"",IF(Entry!$E913="","",LEFT(UPPER(TRIM(Entry!$E913)),6)))</f>
        <v/>
      </c>
      <c r="H913">
        <f>IF($G913="","",RIGHT($E913,4)&amp;MID($E913,6,2)&amp;RIGHT($E913,2)&amp;IF($F913="","0000",IF($F913="نامعتبر","9999",LEFT($F913,2)&amp;RIGHT($F913,2)))&amp;"|"&amp;RIGHT("00000"&amp;905,5))</f>
        <v/>
      </c>
      <c r="I913">
        <f>IF($H913="","",COUNTIFS(CalcBank,$G913,CalcKey,"&lt;"&amp;$H913)+1)</f>
        <v/>
      </c>
      <c r="J913">
        <f>IF($I913="","",$G913&amp;"|"&amp;RIGHT("000000"&amp;$I913,6))</f>
        <v/>
      </c>
      <c r="K913">
        <f>IF(OR($E913="",$E913="نامعتبر"),"",LEFT($E913,4)&amp;"/"&amp;MID($E913,6,2))</f>
        <v/>
      </c>
      <c r="L913">
        <f>IF(Entry!$K913="",0,Entry!$K913)</f>
        <v/>
      </c>
      <c r="M913">
        <f>IF(Entry!$L913="",0,Entry!$L913)</f>
        <v/>
      </c>
    </row>
    <row r="914">
      <c r="A914">
        <f>IF(Entry!$C914="","",Entry!$C914)</f>
        <v/>
      </c>
      <c r="B914">
        <f>IF($A914="","",IF(ISNUMBER($A914),IF(AND($A914&gt;=10000101,$A914&lt;=99991231),INT($A914/10000),""),IFERROR(VALUE(TRIM(LEFT($A914,FIND("/",$A914)-1))),"")))</f>
        <v/>
      </c>
      <c r="C914">
        <f>IF(OR($A914="",$B914=""),"",IF(ISNUMBER($A914),INT(MOD($A914,10000)/100),IFERROR(VALUE(TRIM(LEFT(MID($A914,FIND("/",$A914)+1,20),FIND("/",MID($A914,FIND("/",$A914)+1,20))-1))),"")))</f>
        <v/>
      </c>
      <c r="D914">
        <f>IF(OR($A914="",$B914=""),"",IF(ISNUMBER($A914),MOD($A914,100),IFERROR(VALUE(TRIM(MID(MID($A914,FIND("/",$A914)+1,20),FIND("/",MID($A914,FIND("/",$A914)+1,20))+1,20))),"")))</f>
        <v/>
      </c>
      <c r="E914">
        <f>IF($A914="","",IF(OR($B914="",$C914="",$D914="",$B914&lt;1300,$B914&gt;1500,$C914&lt;1,$C914&gt;12,$D914&lt;1,$D914&gt;31),"نامعتبر",RIGHT("0000"&amp;$B914,4)&amp;"/"&amp;RIGHT("00"&amp;$C914,2)&amp;"/"&amp;RIGHT("00"&amp;$D914,2)))</f>
        <v/>
      </c>
      <c r="F914">
        <f>IF(Entry!$D914&lt;&gt;"",IF(AND(ISNUMBER(Entry!$D914),Entry!$D914&gt;=0,Entry!$D914&lt;1),RIGHT("00"&amp;HOUR(Entry!$D914),2)&amp;":"&amp;RIGHT("00"&amp;MINUTE(Entry!$D914),2),IFERROR(RIGHT("00"&amp;VALUE(TRIM(LEFT(Entry!$D914,FIND(":",Entry!$D914)-1))),2)&amp;":"&amp;RIGHT("00"&amp;VALUE(TRIM(MID(Entry!$D914,FIND(":",Entry!$D914)+1,2))),2),"نامعتبر")),IF(OR($E914="",$E914="نامعتبر"),"","00:00"))</f>
        <v/>
      </c>
      <c r="G914">
        <f>IF(OR($E914="",$E914="نامعتبر"),"",IF(Entry!$E914="","",LEFT(UPPER(TRIM(Entry!$E914)),6)))</f>
        <v/>
      </c>
      <c r="H914">
        <f>IF($G914="","",RIGHT($E914,4)&amp;MID($E914,6,2)&amp;RIGHT($E914,2)&amp;IF($F914="","0000",IF($F914="نامعتبر","9999",LEFT($F914,2)&amp;RIGHT($F914,2)))&amp;"|"&amp;RIGHT("00000"&amp;906,5))</f>
        <v/>
      </c>
      <c r="I914">
        <f>IF($H914="","",COUNTIFS(CalcBank,$G914,CalcKey,"&lt;"&amp;$H914)+1)</f>
        <v/>
      </c>
      <c r="J914">
        <f>IF($I914="","",$G914&amp;"|"&amp;RIGHT("000000"&amp;$I914,6))</f>
        <v/>
      </c>
      <c r="K914">
        <f>IF(OR($E914="",$E914="نامعتبر"),"",LEFT($E914,4)&amp;"/"&amp;MID($E914,6,2))</f>
        <v/>
      </c>
      <c r="L914">
        <f>IF(Entry!$K914="",0,Entry!$K914)</f>
        <v/>
      </c>
      <c r="M914">
        <f>IF(Entry!$L914="",0,Entry!$L914)</f>
        <v/>
      </c>
    </row>
    <row r="915">
      <c r="A915">
        <f>IF(Entry!$C915="","",Entry!$C915)</f>
        <v/>
      </c>
      <c r="B915">
        <f>IF($A915="","",IF(ISNUMBER($A915),IF(AND($A915&gt;=10000101,$A915&lt;=99991231),INT($A915/10000),""),IFERROR(VALUE(TRIM(LEFT($A915,FIND("/",$A915)-1))),"")))</f>
        <v/>
      </c>
      <c r="C915">
        <f>IF(OR($A915="",$B915=""),"",IF(ISNUMBER($A915),INT(MOD($A915,10000)/100),IFERROR(VALUE(TRIM(LEFT(MID($A915,FIND("/",$A915)+1,20),FIND("/",MID($A915,FIND("/",$A915)+1,20))-1))),"")))</f>
        <v/>
      </c>
      <c r="D915">
        <f>IF(OR($A915="",$B915=""),"",IF(ISNUMBER($A915),MOD($A915,100),IFERROR(VALUE(TRIM(MID(MID($A915,FIND("/",$A915)+1,20),FIND("/",MID($A915,FIND("/",$A915)+1,20))+1,20))),"")))</f>
        <v/>
      </c>
      <c r="E915">
        <f>IF($A915="","",IF(OR($B915="",$C915="",$D915="",$B915&lt;1300,$B915&gt;1500,$C915&lt;1,$C915&gt;12,$D915&lt;1,$D915&gt;31),"نامعتبر",RIGHT("0000"&amp;$B915,4)&amp;"/"&amp;RIGHT("00"&amp;$C915,2)&amp;"/"&amp;RIGHT("00"&amp;$D915,2)))</f>
        <v/>
      </c>
      <c r="F915">
        <f>IF(Entry!$D915&lt;&gt;"",IF(AND(ISNUMBER(Entry!$D915),Entry!$D915&gt;=0,Entry!$D915&lt;1),RIGHT("00"&amp;HOUR(Entry!$D915),2)&amp;":"&amp;RIGHT("00"&amp;MINUTE(Entry!$D915),2),IFERROR(RIGHT("00"&amp;VALUE(TRIM(LEFT(Entry!$D915,FIND(":",Entry!$D915)-1))),2)&amp;":"&amp;RIGHT("00"&amp;VALUE(TRIM(MID(Entry!$D915,FIND(":",Entry!$D915)+1,2))),2),"نامعتبر")),IF(OR($E915="",$E915="نامعتبر"),"","00:00"))</f>
        <v/>
      </c>
      <c r="G915">
        <f>IF(OR($E915="",$E915="نامعتبر"),"",IF(Entry!$E915="","",LEFT(UPPER(TRIM(Entry!$E915)),6)))</f>
        <v/>
      </c>
      <c r="H915">
        <f>IF($G915="","",RIGHT($E915,4)&amp;MID($E915,6,2)&amp;RIGHT($E915,2)&amp;IF($F915="","0000",IF($F915="نامعتبر","9999",LEFT($F915,2)&amp;RIGHT($F915,2)))&amp;"|"&amp;RIGHT("00000"&amp;907,5))</f>
        <v/>
      </c>
      <c r="I915">
        <f>IF($H915="","",COUNTIFS(CalcBank,$G915,CalcKey,"&lt;"&amp;$H915)+1)</f>
        <v/>
      </c>
      <c r="J915">
        <f>IF($I915="","",$G915&amp;"|"&amp;RIGHT("000000"&amp;$I915,6))</f>
        <v/>
      </c>
      <c r="K915">
        <f>IF(OR($E915="",$E915="نامعتبر"),"",LEFT($E915,4)&amp;"/"&amp;MID($E915,6,2))</f>
        <v/>
      </c>
      <c r="L915">
        <f>IF(Entry!$K915="",0,Entry!$K915)</f>
        <v/>
      </c>
      <c r="M915">
        <f>IF(Entry!$L915="",0,Entry!$L915)</f>
        <v/>
      </c>
    </row>
    <row r="916">
      <c r="A916">
        <f>IF(Entry!$C916="","",Entry!$C916)</f>
        <v/>
      </c>
      <c r="B916">
        <f>IF($A916="","",IF(ISNUMBER($A916),IF(AND($A916&gt;=10000101,$A916&lt;=99991231),INT($A916/10000),""),IFERROR(VALUE(TRIM(LEFT($A916,FIND("/",$A916)-1))),"")))</f>
        <v/>
      </c>
      <c r="C916">
        <f>IF(OR($A916="",$B916=""),"",IF(ISNUMBER($A916),INT(MOD($A916,10000)/100),IFERROR(VALUE(TRIM(LEFT(MID($A916,FIND("/",$A916)+1,20),FIND("/",MID($A916,FIND("/",$A916)+1,20))-1))),"")))</f>
        <v/>
      </c>
      <c r="D916">
        <f>IF(OR($A916="",$B916=""),"",IF(ISNUMBER($A916),MOD($A916,100),IFERROR(VALUE(TRIM(MID(MID($A916,FIND("/",$A916)+1,20),FIND("/",MID($A916,FIND("/",$A916)+1,20))+1,20))),"")))</f>
        <v/>
      </c>
      <c r="E916">
        <f>IF($A916="","",IF(OR($B916="",$C916="",$D916="",$B916&lt;1300,$B916&gt;1500,$C916&lt;1,$C916&gt;12,$D916&lt;1,$D916&gt;31),"نامعتبر",RIGHT("0000"&amp;$B916,4)&amp;"/"&amp;RIGHT("00"&amp;$C916,2)&amp;"/"&amp;RIGHT("00"&amp;$D916,2)))</f>
        <v/>
      </c>
      <c r="F916">
        <f>IF(Entry!$D916&lt;&gt;"",IF(AND(ISNUMBER(Entry!$D916),Entry!$D916&gt;=0,Entry!$D916&lt;1),RIGHT("00"&amp;HOUR(Entry!$D916),2)&amp;":"&amp;RIGHT("00"&amp;MINUTE(Entry!$D916),2),IFERROR(RIGHT("00"&amp;VALUE(TRIM(LEFT(Entry!$D916,FIND(":",Entry!$D916)-1))),2)&amp;":"&amp;RIGHT("00"&amp;VALUE(TRIM(MID(Entry!$D916,FIND(":",Entry!$D916)+1,2))),2),"نامعتبر")),IF(OR($E916="",$E916="نامعتبر"),"","00:00"))</f>
        <v/>
      </c>
      <c r="G916">
        <f>IF(OR($E916="",$E916="نامعتبر"),"",IF(Entry!$E916="","",LEFT(UPPER(TRIM(Entry!$E916)),6)))</f>
        <v/>
      </c>
      <c r="H916">
        <f>IF($G916="","",RIGHT($E916,4)&amp;MID($E916,6,2)&amp;RIGHT($E916,2)&amp;IF($F916="","0000",IF($F916="نامعتبر","9999",LEFT($F916,2)&amp;RIGHT($F916,2)))&amp;"|"&amp;RIGHT("00000"&amp;908,5))</f>
        <v/>
      </c>
      <c r="I916">
        <f>IF($H916="","",COUNTIFS(CalcBank,$G916,CalcKey,"&lt;"&amp;$H916)+1)</f>
        <v/>
      </c>
      <c r="J916">
        <f>IF($I916="","",$G916&amp;"|"&amp;RIGHT("000000"&amp;$I916,6))</f>
        <v/>
      </c>
      <c r="K916">
        <f>IF(OR($E916="",$E916="نامعتبر"),"",LEFT($E916,4)&amp;"/"&amp;MID($E916,6,2))</f>
        <v/>
      </c>
      <c r="L916">
        <f>IF(Entry!$K916="",0,Entry!$K916)</f>
        <v/>
      </c>
      <c r="M916">
        <f>IF(Entry!$L916="",0,Entry!$L916)</f>
        <v/>
      </c>
    </row>
    <row r="917">
      <c r="A917">
        <f>IF(Entry!$C917="","",Entry!$C917)</f>
        <v/>
      </c>
      <c r="B917">
        <f>IF($A917="","",IF(ISNUMBER($A917),IF(AND($A917&gt;=10000101,$A917&lt;=99991231),INT($A917/10000),""),IFERROR(VALUE(TRIM(LEFT($A917,FIND("/",$A917)-1))),"")))</f>
        <v/>
      </c>
      <c r="C917">
        <f>IF(OR($A917="",$B917=""),"",IF(ISNUMBER($A917),INT(MOD($A917,10000)/100),IFERROR(VALUE(TRIM(LEFT(MID($A917,FIND("/",$A917)+1,20),FIND("/",MID($A917,FIND("/",$A917)+1,20))-1))),"")))</f>
        <v/>
      </c>
      <c r="D917">
        <f>IF(OR($A917="",$B917=""),"",IF(ISNUMBER($A917),MOD($A917,100),IFERROR(VALUE(TRIM(MID(MID($A917,FIND("/",$A917)+1,20),FIND("/",MID($A917,FIND("/",$A917)+1,20))+1,20))),"")))</f>
        <v/>
      </c>
      <c r="E917">
        <f>IF($A917="","",IF(OR($B917="",$C917="",$D917="",$B917&lt;1300,$B917&gt;1500,$C917&lt;1,$C917&gt;12,$D917&lt;1,$D917&gt;31),"نامعتبر",RIGHT("0000"&amp;$B917,4)&amp;"/"&amp;RIGHT("00"&amp;$C917,2)&amp;"/"&amp;RIGHT("00"&amp;$D917,2)))</f>
        <v/>
      </c>
      <c r="F917">
        <f>IF(Entry!$D917&lt;&gt;"",IF(AND(ISNUMBER(Entry!$D917),Entry!$D917&gt;=0,Entry!$D917&lt;1),RIGHT("00"&amp;HOUR(Entry!$D917),2)&amp;":"&amp;RIGHT("00"&amp;MINUTE(Entry!$D917),2),IFERROR(RIGHT("00"&amp;VALUE(TRIM(LEFT(Entry!$D917,FIND(":",Entry!$D917)-1))),2)&amp;":"&amp;RIGHT("00"&amp;VALUE(TRIM(MID(Entry!$D917,FIND(":",Entry!$D917)+1,2))),2),"نامعتبر")),IF(OR($E917="",$E917="نامعتبر"),"","00:00"))</f>
        <v/>
      </c>
      <c r="G917">
        <f>IF(OR($E917="",$E917="نامعتبر"),"",IF(Entry!$E917="","",LEFT(UPPER(TRIM(Entry!$E917)),6)))</f>
        <v/>
      </c>
      <c r="H917">
        <f>IF($G917="","",RIGHT($E917,4)&amp;MID($E917,6,2)&amp;RIGHT($E917,2)&amp;IF($F917="","0000",IF($F917="نامعتبر","9999",LEFT($F917,2)&amp;RIGHT($F917,2)))&amp;"|"&amp;RIGHT("00000"&amp;909,5))</f>
        <v/>
      </c>
      <c r="I917">
        <f>IF($H917="","",COUNTIFS(CalcBank,$G917,CalcKey,"&lt;"&amp;$H917)+1)</f>
        <v/>
      </c>
      <c r="J917">
        <f>IF($I917="","",$G917&amp;"|"&amp;RIGHT("000000"&amp;$I917,6))</f>
        <v/>
      </c>
      <c r="K917">
        <f>IF(OR($E917="",$E917="نامعتبر"),"",LEFT($E917,4)&amp;"/"&amp;MID($E917,6,2))</f>
        <v/>
      </c>
      <c r="L917">
        <f>IF(Entry!$K917="",0,Entry!$K917)</f>
        <v/>
      </c>
      <c r="M917">
        <f>IF(Entry!$L917="",0,Entry!$L917)</f>
        <v/>
      </c>
    </row>
    <row r="918">
      <c r="A918">
        <f>IF(Entry!$C918="","",Entry!$C918)</f>
        <v/>
      </c>
      <c r="B918">
        <f>IF($A918="","",IF(ISNUMBER($A918),IF(AND($A918&gt;=10000101,$A918&lt;=99991231),INT($A918/10000),""),IFERROR(VALUE(TRIM(LEFT($A918,FIND("/",$A918)-1))),"")))</f>
        <v/>
      </c>
      <c r="C918">
        <f>IF(OR($A918="",$B918=""),"",IF(ISNUMBER($A918),INT(MOD($A918,10000)/100),IFERROR(VALUE(TRIM(LEFT(MID($A918,FIND("/",$A918)+1,20),FIND("/",MID($A918,FIND("/",$A918)+1,20))-1))),"")))</f>
        <v/>
      </c>
      <c r="D918">
        <f>IF(OR($A918="",$B918=""),"",IF(ISNUMBER($A918),MOD($A918,100),IFERROR(VALUE(TRIM(MID(MID($A918,FIND("/",$A918)+1,20),FIND("/",MID($A918,FIND("/",$A918)+1,20))+1,20))),"")))</f>
        <v/>
      </c>
      <c r="E918">
        <f>IF($A918="","",IF(OR($B918="",$C918="",$D918="",$B918&lt;1300,$B918&gt;1500,$C918&lt;1,$C918&gt;12,$D918&lt;1,$D918&gt;31),"نامعتبر",RIGHT("0000"&amp;$B918,4)&amp;"/"&amp;RIGHT("00"&amp;$C918,2)&amp;"/"&amp;RIGHT("00"&amp;$D918,2)))</f>
        <v/>
      </c>
      <c r="F918">
        <f>IF(Entry!$D918&lt;&gt;"",IF(AND(ISNUMBER(Entry!$D918),Entry!$D918&gt;=0,Entry!$D918&lt;1),RIGHT("00"&amp;HOUR(Entry!$D918),2)&amp;":"&amp;RIGHT("00"&amp;MINUTE(Entry!$D918),2),IFERROR(RIGHT("00"&amp;VALUE(TRIM(LEFT(Entry!$D918,FIND(":",Entry!$D918)-1))),2)&amp;":"&amp;RIGHT("00"&amp;VALUE(TRIM(MID(Entry!$D918,FIND(":",Entry!$D918)+1,2))),2),"نامعتبر")),IF(OR($E918="",$E918="نامعتبر"),"","00:00"))</f>
        <v/>
      </c>
      <c r="G918">
        <f>IF(OR($E918="",$E918="نامعتبر"),"",IF(Entry!$E918="","",LEFT(UPPER(TRIM(Entry!$E918)),6)))</f>
        <v/>
      </c>
      <c r="H918">
        <f>IF($G918="","",RIGHT($E918,4)&amp;MID($E918,6,2)&amp;RIGHT($E918,2)&amp;IF($F918="","0000",IF($F918="نامعتبر","9999",LEFT($F918,2)&amp;RIGHT($F918,2)))&amp;"|"&amp;RIGHT("00000"&amp;910,5))</f>
        <v/>
      </c>
      <c r="I918">
        <f>IF($H918="","",COUNTIFS(CalcBank,$G918,CalcKey,"&lt;"&amp;$H918)+1)</f>
        <v/>
      </c>
      <c r="J918">
        <f>IF($I918="","",$G918&amp;"|"&amp;RIGHT("000000"&amp;$I918,6))</f>
        <v/>
      </c>
      <c r="K918">
        <f>IF(OR($E918="",$E918="نامعتبر"),"",LEFT($E918,4)&amp;"/"&amp;MID($E918,6,2))</f>
        <v/>
      </c>
      <c r="L918">
        <f>IF(Entry!$K918="",0,Entry!$K918)</f>
        <v/>
      </c>
      <c r="M918">
        <f>IF(Entry!$L918="",0,Entry!$L918)</f>
        <v/>
      </c>
    </row>
    <row r="919">
      <c r="A919">
        <f>IF(Entry!$C919="","",Entry!$C919)</f>
        <v/>
      </c>
      <c r="B919">
        <f>IF($A919="","",IF(ISNUMBER($A919),IF(AND($A919&gt;=10000101,$A919&lt;=99991231),INT($A919/10000),""),IFERROR(VALUE(TRIM(LEFT($A919,FIND("/",$A919)-1))),"")))</f>
        <v/>
      </c>
      <c r="C919">
        <f>IF(OR($A919="",$B919=""),"",IF(ISNUMBER($A919),INT(MOD($A919,10000)/100),IFERROR(VALUE(TRIM(LEFT(MID($A919,FIND("/",$A919)+1,20),FIND("/",MID($A919,FIND("/",$A919)+1,20))-1))),"")))</f>
        <v/>
      </c>
      <c r="D919">
        <f>IF(OR($A919="",$B919=""),"",IF(ISNUMBER($A919),MOD($A919,100),IFERROR(VALUE(TRIM(MID(MID($A919,FIND("/",$A919)+1,20),FIND("/",MID($A919,FIND("/",$A919)+1,20))+1,20))),"")))</f>
        <v/>
      </c>
      <c r="E919">
        <f>IF($A919="","",IF(OR($B919="",$C919="",$D919="",$B919&lt;1300,$B919&gt;1500,$C919&lt;1,$C919&gt;12,$D919&lt;1,$D919&gt;31),"نامعتبر",RIGHT("0000"&amp;$B919,4)&amp;"/"&amp;RIGHT("00"&amp;$C919,2)&amp;"/"&amp;RIGHT("00"&amp;$D919,2)))</f>
        <v/>
      </c>
      <c r="F919">
        <f>IF(Entry!$D919&lt;&gt;"",IF(AND(ISNUMBER(Entry!$D919),Entry!$D919&gt;=0,Entry!$D919&lt;1),RIGHT("00"&amp;HOUR(Entry!$D919),2)&amp;":"&amp;RIGHT("00"&amp;MINUTE(Entry!$D919),2),IFERROR(RIGHT("00"&amp;VALUE(TRIM(LEFT(Entry!$D919,FIND(":",Entry!$D919)-1))),2)&amp;":"&amp;RIGHT("00"&amp;VALUE(TRIM(MID(Entry!$D919,FIND(":",Entry!$D919)+1,2))),2),"نامعتبر")),IF(OR($E919="",$E919="نامعتبر"),"","00:00"))</f>
        <v/>
      </c>
      <c r="G919">
        <f>IF(OR($E919="",$E919="نامعتبر"),"",IF(Entry!$E919="","",LEFT(UPPER(TRIM(Entry!$E919)),6)))</f>
        <v/>
      </c>
      <c r="H919">
        <f>IF($G919="","",RIGHT($E919,4)&amp;MID($E919,6,2)&amp;RIGHT($E919,2)&amp;IF($F919="","0000",IF($F919="نامعتبر","9999",LEFT($F919,2)&amp;RIGHT($F919,2)))&amp;"|"&amp;RIGHT("00000"&amp;911,5))</f>
        <v/>
      </c>
      <c r="I919">
        <f>IF($H919="","",COUNTIFS(CalcBank,$G919,CalcKey,"&lt;"&amp;$H919)+1)</f>
        <v/>
      </c>
      <c r="J919">
        <f>IF($I919="","",$G919&amp;"|"&amp;RIGHT("000000"&amp;$I919,6))</f>
        <v/>
      </c>
      <c r="K919">
        <f>IF(OR($E919="",$E919="نامعتبر"),"",LEFT($E919,4)&amp;"/"&amp;MID($E919,6,2))</f>
        <v/>
      </c>
      <c r="L919">
        <f>IF(Entry!$K919="",0,Entry!$K919)</f>
        <v/>
      </c>
      <c r="M919">
        <f>IF(Entry!$L919="",0,Entry!$L919)</f>
        <v/>
      </c>
    </row>
    <row r="920">
      <c r="A920">
        <f>IF(Entry!$C920="","",Entry!$C920)</f>
        <v/>
      </c>
      <c r="B920">
        <f>IF($A920="","",IF(ISNUMBER($A920),IF(AND($A920&gt;=10000101,$A920&lt;=99991231),INT($A920/10000),""),IFERROR(VALUE(TRIM(LEFT($A920,FIND("/",$A920)-1))),"")))</f>
        <v/>
      </c>
      <c r="C920">
        <f>IF(OR($A920="",$B920=""),"",IF(ISNUMBER($A920),INT(MOD($A920,10000)/100),IFERROR(VALUE(TRIM(LEFT(MID($A920,FIND("/",$A920)+1,20),FIND("/",MID($A920,FIND("/",$A920)+1,20))-1))),"")))</f>
        <v/>
      </c>
      <c r="D920">
        <f>IF(OR($A920="",$B920=""),"",IF(ISNUMBER($A920),MOD($A920,100),IFERROR(VALUE(TRIM(MID(MID($A920,FIND("/",$A920)+1,20),FIND("/",MID($A920,FIND("/",$A920)+1,20))+1,20))),"")))</f>
        <v/>
      </c>
      <c r="E920">
        <f>IF($A920="","",IF(OR($B920="",$C920="",$D920="",$B920&lt;1300,$B920&gt;1500,$C920&lt;1,$C920&gt;12,$D920&lt;1,$D920&gt;31),"نامعتبر",RIGHT("0000"&amp;$B920,4)&amp;"/"&amp;RIGHT("00"&amp;$C920,2)&amp;"/"&amp;RIGHT("00"&amp;$D920,2)))</f>
        <v/>
      </c>
      <c r="F920">
        <f>IF(Entry!$D920&lt;&gt;"",IF(AND(ISNUMBER(Entry!$D920),Entry!$D920&gt;=0,Entry!$D920&lt;1),RIGHT("00"&amp;HOUR(Entry!$D920),2)&amp;":"&amp;RIGHT("00"&amp;MINUTE(Entry!$D920),2),IFERROR(RIGHT("00"&amp;VALUE(TRIM(LEFT(Entry!$D920,FIND(":",Entry!$D920)-1))),2)&amp;":"&amp;RIGHT("00"&amp;VALUE(TRIM(MID(Entry!$D920,FIND(":",Entry!$D920)+1,2))),2),"نامعتبر")),IF(OR($E920="",$E920="نامعتبر"),"","00:00"))</f>
        <v/>
      </c>
      <c r="G920">
        <f>IF(OR($E920="",$E920="نامعتبر"),"",IF(Entry!$E920="","",LEFT(UPPER(TRIM(Entry!$E920)),6)))</f>
        <v/>
      </c>
      <c r="H920">
        <f>IF($G920="","",RIGHT($E920,4)&amp;MID($E920,6,2)&amp;RIGHT($E920,2)&amp;IF($F920="","0000",IF($F920="نامعتبر","9999",LEFT($F920,2)&amp;RIGHT($F920,2)))&amp;"|"&amp;RIGHT("00000"&amp;912,5))</f>
        <v/>
      </c>
      <c r="I920">
        <f>IF($H920="","",COUNTIFS(CalcBank,$G920,CalcKey,"&lt;"&amp;$H920)+1)</f>
        <v/>
      </c>
      <c r="J920">
        <f>IF($I920="","",$G920&amp;"|"&amp;RIGHT("000000"&amp;$I920,6))</f>
        <v/>
      </c>
      <c r="K920">
        <f>IF(OR($E920="",$E920="نامعتبر"),"",LEFT($E920,4)&amp;"/"&amp;MID($E920,6,2))</f>
        <v/>
      </c>
      <c r="L920">
        <f>IF(Entry!$K920="",0,Entry!$K920)</f>
        <v/>
      </c>
      <c r="M920">
        <f>IF(Entry!$L920="",0,Entry!$L920)</f>
        <v/>
      </c>
    </row>
    <row r="921">
      <c r="A921">
        <f>IF(Entry!$C921="","",Entry!$C921)</f>
        <v/>
      </c>
      <c r="B921">
        <f>IF($A921="","",IF(ISNUMBER($A921),IF(AND($A921&gt;=10000101,$A921&lt;=99991231),INT($A921/10000),""),IFERROR(VALUE(TRIM(LEFT($A921,FIND("/",$A921)-1))),"")))</f>
        <v/>
      </c>
      <c r="C921">
        <f>IF(OR($A921="",$B921=""),"",IF(ISNUMBER($A921),INT(MOD($A921,10000)/100),IFERROR(VALUE(TRIM(LEFT(MID($A921,FIND("/",$A921)+1,20),FIND("/",MID($A921,FIND("/",$A921)+1,20))-1))),"")))</f>
        <v/>
      </c>
      <c r="D921">
        <f>IF(OR($A921="",$B921=""),"",IF(ISNUMBER($A921),MOD($A921,100),IFERROR(VALUE(TRIM(MID(MID($A921,FIND("/",$A921)+1,20),FIND("/",MID($A921,FIND("/",$A921)+1,20))+1,20))),"")))</f>
        <v/>
      </c>
      <c r="E921">
        <f>IF($A921="","",IF(OR($B921="",$C921="",$D921="",$B921&lt;1300,$B921&gt;1500,$C921&lt;1,$C921&gt;12,$D921&lt;1,$D921&gt;31),"نامعتبر",RIGHT("0000"&amp;$B921,4)&amp;"/"&amp;RIGHT("00"&amp;$C921,2)&amp;"/"&amp;RIGHT("00"&amp;$D921,2)))</f>
        <v/>
      </c>
      <c r="F921">
        <f>IF(Entry!$D921&lt;&gt;"",IF(AND(ISNUMBER(Entry!$D921),Entry!$D921&gt;=0,Entry!$D921&lt;1),RIGHT("00"&amp;HOUR(Entry!$D921),2)&amp;":"&amp;RIGHT("00"&amp;MINUTE(Entry!$D921),2),IFERROR(RIGHT("00"&amp;VALUE(TRIM(LEFT(Entry!$D921,FIND(":",Entry!$D921)-1))),2)&amp;":"&amp;RIGHT("00"&amp;VALUE(TRIM(MID(Entry!$D921,FIND(":",Entry!$D921)+1,2))),2),"نامعتبر")),IF(OR($E921="",$E921="نامعتبر"),"","00:00"))</f>
        <v/>
      </c>
      <c r="G921">
        <f>IF(OR($E921="",$E921="نامعتبر"),"",IF(Entry!$E921="","",LEFT(UPPER(TRIM(Entry!$E921)),6)))</f>
        <v/>
      </c>
      <c r="H921">
        <f>IF($G921="","",RIGHT($E921,4)&amp;MID($E921,6,2)&amp;RIGHT($E921,2)&amp;IF($F921="","0000",IF($F921="نامعتبر","9999",LEFT($F921,2)&amp;RIGHT($F921,2)))&amp;"|"&amp;RIGHT("00000"&amp;913,5))</f>
        <v/>
      </c>
      <c r="I921">
        <f>IF($H921="","",COUNTIFS(CalcBank,$G921,CalcKey,"&lt;"&amp;$H921)+1)</f>
        <v/>
      </c>
      <c r="J921">
        <f>IF($I921="","",$G921&amp;"|"&amp;RIGHT("000000"&amp;$I921,6))</f>
        <v/>
      </c>
      <c r="K921">
        <f>IF(OR($E921="",$E921="نامعتبر"),"",LEFT($E921,4)&amp;"/"&amp;MID($E921,6,2))</f>
        <v/>
      </c>
      <c r="L921">
        <f>IF(Entry!$K921="",0,Entry!$K921)</f>
        <v/>
      </c>
      <c r="M921">
        <f>IF(Entry!$L921="",0,Entry!$L921)</f>
        <v/>
      </c>
    </row>
    <row r="922">
      <c r="A922">
        <f>IF(Entry!$C922="","",Entry!$C922)</f>
        <v/>
      </c>
      <c r="B922">
        <f>IF($A922="","",IF(ISNUMBER($A922),IF(AND($A922&gt;=10000101,$A922&lt;=99991231),INT($A922/10000),""),IFERROR(VALUE(TRIM(LEFT($A922,FIND("/",$A922)-1))),"")))</f>
        <v/>
      </c>
      <c r="C922">
        <f>IF(OR($A922="",$B922=""),"",IF(ISNUMBER($A922),INT(MOD($A922,10000)/100),IFERROR(VALUE(TRIM(LEFT(MID($A922,FIND("/",$A922)+1,20),FIND("/",MID($A922,FIND("/",$A922)+1,20))-1))),"")))</f>
        <v/>
      </c>
      <c r="D922">
        <f>IF(OR($A922="",$B922=""),"",IF(ISNUMBER($A922),MOD($A922,100),IFERROR(VALUE(TRIM(MID(MID($A922,FIND("/",$A922)+1,20),FIND("/",MID($A922,FIND("/",$A922)+1,20))+1,20))),"")))</f>
        <v/>
      </c>
      <c r="E922">
        <f>IF($A922="","",IF(OR($B922="",$C922="",$D922="",$B922&lt;1300,$B922&gt;1500,$C922&lt;1,$C922&gt;12,$D922&lt;1,$D922&gt;31),"نامعتبر",RIGHT("0000"&amp;$B922,4)&amp;"/"&amp;RIGHT("00"&amp;$C922,2)&amp;"/"&amp;RIGHT("00"&amp;$D922,2)))</f>
        <v/>
      </c>
      <c r="F922">
        <f>IF(Entry!$D922&lt;&gt;"",IF(AND(ISNUMBER(Entry!$D922),Entry!$D922&gt;=0,Entry!$D922&lt;1),RIGHT("00"&amp;HOUR(Entry!$D922),2)&amp;":"&amp;RIGHT("00"&amp;MINUTE(Entry!$D922),2),IFERROR(RIGHT("00"&amp;VALUE(TRIM(LEFT(Entry!$D922,FIND(":",Entry!$D922)-1))),2)&amp;":"&amp;RIGHT("00"&amp;VALUE(TRIM(MID(Entry!$D922,FIND(":",Entry!$D922)+1,2))),2),"نامعتبر")),IF(OR($E922="",$E922="نامعتبر"),"","00:00"))</f>
        <v/>
      </c>
      <c r="G922">
        <f>IF(OR($E922="",$E922="نامعتبر"),"",IF(Entry!$E922="","",LEFT(UPPER(TRIM(Entry!$E922)),6)))</f>
        <v/>
      </c>
      <c r="H922">
        <f>IF($G922="","",RIGHT($E922,4)&amp;MID($E922,6,2)&amp;RIGHT($E922,2)&amp;IF($F922="","0000",IF($F922="نامعتبر","9999",LEFT($F922,2)&amp;RIGHT($F922,2)))&amp;"|"&amp;RIGHT("00000"&amp;914,5))</f>
        <v/>
      </c>
      <c r="I922">
        <f>IF($H922="","",COUNTIFS(CalcBank,$G922,CalcKey,"&lt;"&amp;$H922)+1)</f>
        <v/>
      </c>
      <c r="J922">
        <f>IF($I922="","",$G922&amp;"|"&amp;RIGHT("000000"&amp;$I922,6))</f>
        <v/>
      </c>
      <c r="K922">
        <f>IF(OR($E922="",$E922="نامعتبر"),"",LEFT($E922,4)&amp;"/"&amp;MID($E922,6,2))</f>
        <v/>
      </c>
      <c r="L922">
        <f>IF(Entry!$K922="",0,Entry!$K922)</f>
        <v/>
      </c>
      <c r="M922">
        <f>IF(Entry!$L922="",0,Entry!$L922)</f>
        <v/>
      </c>
    </row>
    <row r="923">
      <c r="A923">
        <f>IF(Entry!$C923="","",Entry!$C923)</f>
        <v/>
      </c>
      <c r="B923">
        <f>IF($A923="","",IF(ISNUMBER($A923),IF(AND($A923&gt;=10000101,$A923&lt;=99991231),INT($A923/10000),""),IFERROR(VALUE(TRIM(LEFT($A923,FIND("/",$A923)-1))),"")))</f>
        <v/>
      </c>
      <c r="C923">
        <f>IF(OR($A923="",$B923=""),"",IF(ISNUMBER($A923),INT(MOD($A923,10000)/100),IFERROR(VALUE(TRIM(LEFT(MID($A923,FIND("/",$A923)+1,20),FIND("/",MID($A923,FIND("/",$A923)+1,20))-1))),"")))</f>
        <v/>
      </c>
      <c r="D923">
        <f>IF(OR($A923="",$B923=""),"",IF(ISNUMBER($A923),MOD($A923,100),IFERROR(VALUE(TRIM(MID(MID($A923,FIND("/",$A923)+1,20),FIND("/",MID($A923,FIND("/",$A923)+1,20))+1,20))),"")))</f>
        <v/>
      </c>
      <c r="E923">
        <f>IF($A923="","",IF(OR($B923="",$C923="",$D923="",$B923&lt;1300,$B923&gt;1500,$C923&lt;1,$C923&gt;12,$D923&lt;1,$D923&gt;31),"نامعتبر",RIGHT("0000"&amp;$B923,4)&amp;"/"&amp;RIGHT("00"&amp;$C923,2)&amp;"/"&amp;RIGHT("00"&amp;$D923,2)))</f>
        <v/>
      </c>
      <c r="F923">
        <f>IF(Entry!$D923&lt;&gt;"",IF(AND(ISNUMBER(Entry!$D923),Entry!$D923&gt;=0,Entry!$D923&lt;1),RIGHT("00"&amp;HOUR(Entry!$D923),2)&amp;":"&amp;RIGHT("00"&amp;MINUTE(Entry!$D923),2),IFERROR(RIGHT("00"&amp;VALUE(TRIM(LEFT(Entry!$D923,FIND(":",Entry!$D923)-1))),2)&amp;":"&amp;RIGHT("00"&amp;VALUE(TRIM(MID(Entry!$D923,FIND(":",Entry!$D923)+1,2))),2),"نامعتبر")),IF(OR($E923="",$E923="نامعتبر"),"","00:00"))</f>
        <v/>
      </c>
      <c r="G923">
        <f>IF(OR($E923="",$E923="نامعتبر"),"",IF(Entry!$E923="","",LEFT(UPPER(TRIM(Entry!$E923)),6)))</f>
        <v/>
      </c>
      <c r="H923">
        <f>IF($G923="","",RIGHT($E923,4)&amp;MID($E923,6,2)&amp;RIGHT($E923,2)&amp;IF($F923="","0000",IF($F923="نامعتبر","9999",LEFT($F923,2)&amp;RIGHT($F923,2)))&amp;"|"&amp;RIGHT("00000"&amp;915,5))</f>
        <v/>
      </c>
      <c r="I923">
        <f>IF($H923="","",COUNTIFS(CalcBank,$G923,CalcKey,"&lt;"&amp;$H923)+1)</f>
        <v/>
      </c>
      <c r="J923">
        <f>IF($I923="","",$G923&amp;"|"&amp;RIGHT("000000"&amp;$I923,6))</f>
        <v/>
      </c>
      <c r="K923">
        <f>IF(OR($E923="",$E923="نامعتبر"),"",LEFT($E923,4)&amp;"/"&amp;MID($E923,6,2))</f>
        <v/>
      </c>
      <c r="L923">
        <f>IF(Entry!$K923="",0,Entry!$K923)</f>
        <v/>
      </c>
      <c r="M923">
        <f>IF(Entry!$L923="",0,Entry!$L923)</f>
        <v/>
      </c>
    </row>
    <row r="924">
      <c r="A924">
        <f>IF(Entry!$C924="","",Entry!$C924)</f>
        <v/>
      </c>
      <c r="B924">
        <f>IF($A924="","",IF(ISNUMBER($A924),IF(AND($A924&gt;=10000101,$A924&lt;=99991231),INT($A924/10000),""),IFERROR(VALUE(TRIM(LEFT($A924,FIND("/",$A924)-1))),"")))</f>
        <v/>
      </c>
      <c r="C924">
        <f>IF(OR($A924="",$B924=""),"",IF(ISNUMBER($A924),INT(MOD($A924,10000)/100),IFERROR(VALUE(TRIM(LEFT(MID($A924,FIND("/",$A924)+1,20),FIND("/",MID($A924,FIND("/",$A924)+1,20))-1))),"")))</f>
        <v/>
      </c>
      <c r="D924">
        <f>IF(OR($A924="",$B924=""),"",IF(ISNUMBER($A924),MOD($A924,100),IFERROR(VALUE(TRIM(MID(MID($A924,FIND("/",$A924)+1,20),FIND("/",MID($A924,FIND("/",$A924)+1,20))+1,20))),"")))</f>
        <v/>
      </c>
      <c r="E924">
        <f>IF($A924="","",IF(OR($B924="",$C924="",$D924="",$B924&lt;1300,$B924&gt;1500,$C924&lt;1,$C924&gt;12,$D924&lt;1,$D924&gt;31),"نامعتبر",RIGHT("0000"&amp;$B924,4)&amp;"/"&amp;RIGHT("00"&amp;$C924,2)&amp;"/"&amp;RIGHT("00"&amp;$D924,2)))</f>
        <v/>
      </c>
      <c r="F924">
        <f>IF(Entry!$D924&lt;&gt;"",IF(AND(ISNUMBER(Entry!$D924),Entry!$D924&gt;=0,Entry!$D924&lt;1),RIGHT("00"&amp;HOUR(Entry!$D924),2)&amp;":"&amp;RIGHT("00"&amp;MINUTE(Entry!$D924),2),IFERROR(RIGHT("00"&amp;VALUE(TRIM(LEFT(Entry!$D924,FIND(":",Entry!$D924)-1))),2)&amp;":"&amp;RIGHT("00"&amp;VALUE(TRIM(MID(Entry!$D924,FIND(":",Entry!$D924)+1,2))),2),"نامعتبر")),IF(OR($E924="",$E924="نامعتبر"),"","00:00"))</f>
        <v/>
      </c>
      <c r="G924">
        <f>IF(OR($E924="",$E924="نامعتبر"),"",IF(Entry!$E924="","",LEFT(UPPER(TRIM(Entry!$E924)),6)))</f>
        <v/>
      </c>
      <c r="H924">
        <f>IF($G924="","",RIGHT($E924,4)&amp;MID($E924,6,2)&amp;RIGHT($E924,2)&amp;IF($F924="","0000",IF($F924="نامعتبر","9999",LEFT($F924,2)&amp;RIGHT($F924,2)))&amp;"|"&amp;RIGHT("00000"&amp;916,5))</f>
        <v/>
      </c>
      <c r="I924">
        <f>IF($H924="","",COUNTIFS(CalcBank,$G924,CalcKey,"&lt;"&amp;$H924)+1)</f>
        <v/>
      </c>
      <c r="J924">
        <f>IF($I924="","",$G924&amp;"|"&amp;RIGHT("000000"&amp;$I924,6))</f>
        <v/>
      </c>
      <c r="K924">
        <f>IF(OR($E924="",$E924="نامعتبر"),"",LEFT($E924,4)&amp;"/"&amp;MID($E924,6,2))</f>
        <v/>
      </c>
      <c r="L924">
        <f>IF(Entry!$K924="",0,Entry!$K924)</f>
        <v/>
      </c>
      <c r="M924">
        <f>IF(Entry!$L924="",0,Entry!$L924)</f>
        <v/>
      </c>
    </row>
    <row r="925">
      <c r="A925">
        <f>IF(Entry!$C925="","",Entry!$C925)</f>
        <v/>
      </c>
      <c r="B925">
        <f>IF($A925="","",IF(ISNUMBER($A925),IF(AND($A925&gt;=10000101,$A925&lt;=99991231),INT($A925/10000),""),IFERROR(VALUE(TRIM(LEFT($A925,FIND("/",$A925)-1))),"")))</f>
        <v/>
      </c>
      <c r="C925">
        <f>IF(OR($A925="",$B925=""),"",IF(ISNUMBER($A925),INT(MOD($A925,10000)/100),IFERROR(VALUE(TRIM(LEFT(MID($A925,FIND("/",$A925)+1,20),FIND("/",MID($A925,FIND("/",$A925)+1,20))-1))),"")))</f>
        <v/>
      </c>
      <c r="D925">
        <f>IF(OR($A925="",$B925=""),"",IF(ISNUMBER($A925),MOD($A925,100),IFERROR(VALUE(TRIM(MID(MID($A925,FIND("/",$A925)+1,20),FIND("/",MID($A925,FIND("/",$A925)+1,20))+1,20))),"")))</f>
        <v/>
      </c>
      <c r="E925">
        <f>IF($A925="","",IF(OR($B925="",$C925="",$D925="",$B925&lt;1300,$B925&gt;1500,$C925&lt;1,$C925&gt;12,$D925&lt;1,$D925&gt;31),"نامعتبر",RIGHT("0000"&amp;$B925,4)&amp;"/"&amp;RIGHT("00"&amp;$C925,2)&amp;"/"&amp;RIGHT("00"&amp;$D925,2)))</f>
        <v/>
      </c>
      <c r="F925">
        <f>IF(Entry!$D925&lt;&gt;"",IF(AND(ISNUMBER(Entry!$D925),Entry!$D925&gt;=0,Entry!$D925&lt;1),RIGHT("00"&amp;HOUR(Entry!$D925),2)&amp;":"&amp;RIGHT("00"&amp;MINUTE(Entry!$D925),2),IFERROR(RIGHT("00"&amp;VALUE(TRIM(LEFT(Entry!$D925,FIND(":",Entry!$D925)-1))),2)&amp;":"&amp;RIGHT("00"&amp;VALUE(TRIM(MID(Entry!$D925,FIND(":",Entry!$D925)+1,2))),2),"نامعتبر")),IF(OR($E925="",$E925="نامعتبر"),"","00:00"))</f>
        <v/>
      </c>
      <c r="G925">
        <f>IF(OR($E925="",$E925="نامعتبر"),"",IF(Entry!$E925="","",LEFT(UPPER(TRIM(Entry!$E925)),6)))</f>
        <v/>
      </c>
      <c r="H925">
        <f>IF($G925="","",RIGHT($E925,4)&amp;MID($E925,6,2)&amp;RIGHT($E925,2)&amp;IF($F925="","0000",IF($F925="نامعتبر","9999",LEFT($F925,2)&amp;RIGHT($F925,2)))&amp;"|"&amp;RIGHT("00000"&amp;917,5))</f>
        <v/>
      </c>
      <c r="I925">
        <f>IF($H925="","",COUNTIFS(CalcBank,$G925,CalcKey,"&lt;"&amp;$H925)+1)</f>
        <v/>
      </c>
      <c r="J925">
        <f>IF($I925="","",$G925&amp;"|"&amp;RIGHT("000000"&amp;$I925,6))</f>
        <v/>
      </c>
      <c r="K925">
        <f>IF(OR($E925="",$E925="نامعتبر"),"",LEFT($E925,4)&amp;"/"&amp;MID($E925,6,2))</f>
        <v/>
      </c>
      <c r="L925">
        <f>IF(Entry!$K925="",0,Entry!$K925)</f>
        <v/>
      </c>
      <c r="M925">
        <f>IF(Entry!$L925="",0,Entry!$L925)</f>
        <v/>
      </c>
    </row>
    <row r="926">
      <c r="A926">
        <f>IF(Entry!$C926="","",Entry!$C926)</f>
        <v/>
      </c>
      <c r="B926">
        <f>IF($A926="","",IF(ISNUMBER($A926),IF(AND($A926&gt;=10000101,$A926&lt;=99991231),INT($A926/10000),""),IFERROR(VALUE(TRIM(LEFT($A926,FIND("/",$A926)-1))),"")))</f>
        <v/>
      </c>
      <c r="C926">
        <f>IF(OR($A926="",$B926=""),"",IF(ISNUMBER($A926),INT(MOD($A926,10000)/100),IFERROR(VALUE(TRIM(LEFT(MID($A926,FIND("/",$A926)+1,20),FIND("/",MID($A926,FIND("/",$A926)+1,20))-1))),"")))</f>
        <v/>
      </c>
      <c r="D926">
        <f>IF(OR($A926="",$B926=""),"",IF(ISNUMBER($A926),MOD($A926,100),IFERROR(VALUE(TRIM(MID(MID($A926,FIND("/",$A926)+1,20),FIND("/",MID($A926,FIND("/",$A926)+1,20))+1,20))),"")))</f>
        <v/>
      </c>
      <c r="E926">
        <f>IF($A926="","",IF(OR($B926="",$C926="",$D926="",$B926&lt;1300,$B926&gt;1500,$C926&lt;1,$C926&gt;12,$D926&lt;1,$D926&gt;31),"نامعتبر",RIGHT("0000"&amp;$B926,4)&amp;"/"&amp;RIGHT("00"&amp;$C926,2)&amp;"/"&amp;RIGHT("00"&amp;$D926,2)))</f>
        <v/>
      </c>
      <c r="F926">
        <f>IF(Entry!$D926&lt;&gt;"",IF(AND(ISNUMBER(Entry!$D926),Entry!$D926&gt;=0,Entry!$D926&lt;1),RIGHT("00"&amp;HOUR(Entry!$D926),2)&amp;":"&amp;RIGHT("00"&amp;MINUTE(Entry!$D926),2),IFERROR(RIGHT("00"&amp;VALUE(TRIM(LEFT(Entry!$D926,FIND(":",Entry!$D926)-1))),2)&amp;":"&amp;RIGHT("00"&amp;VALUE(TRIM(MID(Entry!$D926,FIND(":",Entry!$D926)+1,2))),2),"نامعتبر")),IF(OR($E926="",$E926="نامعتبر"),"","00:00"))</f>
        <v/>
      </c>
      <c r="G926">
        <f>IF(OR($E926="",$E926="نامعتبر"),"",IF(Entry!$E926="","",LEFT(UPPER(TRIM(Entry!$E926)),6)))</f>
        <v/>
      </c>
      <c r="H926">
        <f>IF($G926="","",RIGHT($E926,4)&amp;MID($E926,6,2)&amp;RIGHT($E926,2)&amp;IF($F926="","0000",IF($F926="نامعتبر","9999",LEFT($F926,2)&amp;RIGHT($F926,2)))&amp;"|"&amp;RIGHT("00000"&amp;918,5))</f>
        <v/>
      </c>
      <c r="I926">
        <f>IF($H926="","",COUNTIFS(CalcBank,$G926,CalcKey,"&lt;"&amp;$H926)+1)</f>
        <v/>
      </c>
      <c r="J926">
        <f>IF($I926="","",$G926&amp;"|"&amp;RIGHT("000000"&amp;$I926,6))</f>
        <v/>
      </c>
      <c r="K926">
        <f>IF(OR($E926="",$E926="نامعتبر"),"",LEFT($E926,4)&amp;"/"&amp;MID($E926,6,2))</f>
        <v/>
      </c>
      <c r="L926">
        <f>IF(Entry!$K926="",0,Entry!$K926)</f>
        <v/>
      </c>
      <c r="M926">
        <f>IF(Entry!$L926="",0,Entry!$L926)</f>
        <v/>
      </c>
    </row>
    <row r="927">
      <c r="A927">
        <f>IF(Entry!$C927="","",Entry!$C927)</f>
        <v/>
      </c>
      <c r="B927">
        <f>IF($A927="","",IF(ISNUMBER($A927),IF(AND($A927&gt;=10000101,$A927&lt;=99991231),INT($A927/10000),""),IFERROR(VALUE(TRIM(LEFT($A927,FIND("/",$A927)-1))),"")))</f>
        <v/>
      </c>
      <c r="C927">
        <f>IF(OR($A927="",$B927=""),"",IF(ISNUMBER($A927),INT(MOD($A927,10000)/100),IFERROR(VALUE(TRIM(LEFT(MID($A927,FIND("/",$A927)+1,20),FIND("/",MID($A927,FIND("/",$A927)+1,20))-1))),"")))</f>
        <v/>
      </c>
      <c r="D927">
        <f>IF(OR($A927="",$B927=""),"",IF(ISNUMBER($A927),MOD($A927,100),IFERROR(VALUE(TRIM(MID(MID($A927,FIND("/",$A927)+1,20),FIND("/",MID($A927,FIND("/",$A927)+1,20))+1,20))),"")))</f>
        <v/>
      </c>
      <c r="E927">
        <f>IF($A927="","",IF(OR($B927="",$C927="",$D927="",$B927&lt;1300,$B927&gt;1500,$C927&lt;1,$C927&gt;12,$D927&lt;1,$D927&gt;31),"نامعتبر",RIGHT("0000"&amp;$B927,4)&amp;"/"&amp;RIGHT("00"&amp;$C927,2)&amp;"/"&amp;RIGHT("00"&amp;$D927,2)))</f>
        <v/>
      </c>
      <c r="F927">
        <f>IF(Entry!$D927&lt;&gt;"",IF(AND(ISNUMBER(Entry!$D927),Entry!$D927&gt;=0,Entry!$D927&lt;1),RIGHT("00"&amp;HOUR(Entry!$D927),2)&amp;":"&amp;RIGHT("00"&amp;MINUTE(Entry!$D927),2),IFERROR(RIGHT("00"&amp;VALUE(TRIM(LEFT(Entry!$D927,FIND(":",Entry!$D927)-1))),2)&amp;":"&amp;RIGHT("00"&amp;VALUE(TRIM(MID(Entry!$D927,FIND(":",Entry!$D927)+1,2))),2),"نامعتبر")),IF(OR($E927="",$E927="نامعتبر"),"","00:00"))</f>
        <v/>
      </c>
      <c r="G927">
        <f>IF(OR($E927="",$E927="نامعتبر"),"",IF(Entry!$E927="","",LEFT(UPPER(TRIM(Entry!$E927)),6)))</f>
        <v/>
      </c>
      <c r="H927">
        <f>IF($G927="","",RIGHT($E927,4)&amp;MID($E927,6,2)&amp;RIGHT($E927,2)&amp;IF($F927="","0000",IF($F927="نامعتبر","9999",LEFT($F927,2)&amp;RIGHT($F927,2)))&amp;"|"&amp;RIGHT("00000"&amp;919,5))</f>
        <v/>
      </c>
      <c r="I927">
        <f>IF($H927="","",COUNTIFS(CalcBank,$G927,CalcKey,"&lt;"&amp;$H927)+1)</f>
        <v/>
      </c>
      <c r="J927">
        <f>IF($I927="","",$G927&amp;"|"&amp;RIGHT("000000"&amp;$I927,6))</f>
        <v/>
      </c>
      <c r="K927">
        <f>IF(OR($E927="",$E927="نامعتبر"),"",LEFT($E927,4)&amp;"/"&amp;MID($E927,6,2))</f>
        <v/>
      </c>
      <c r="L927">
        <f>IF(Entry!$K927="",0,Entry!$K927)</f>
        <v/>
      </c>
      <c r="M927">
        <f>IF(Entry!$L927="",0,Entry!$L927)</f>
        <v/>
      </c>
    </row>
    <row r="928">
      <c r="A928">
        <f>IF(Entry!$C928="","",Entry!$C928)</f>
        <v/>
      </c>
      <c r="B928">
        <f>IF($A928="","",IF(ISNUMBER($A928),IF(AND($A928&gt;=10000101,$A928&lt;=99991231),INT($A928/10000),""),IFERROR(VALUE(TRIM(LEFT($A928,FIND("/",$A928)-1))),"")))</f>
        <v/>
      </c>
      <c r="C928">
        <f>IF(OR($A928="",$B928=""),"",IF(ISNUMBER($A928),INT(MOD($A928,10000)/100),IFERROR(VALUE(TRIM(LEFT(MID($A928,FIND("/",$A928)+1,20),FIND("/",MID($A928,FIND("/",$A928)+1,20))-1))),"")))</f>
        <v/>
      </c>
      <c r="D928">
        <f>IF(OR($A928="",$B928=""),"",IF(ISNUMBER($A928),MOD($A928,100),IFERROR(VALUE(TRIM(MID(MID($A928,FIND("/",$A928)+1,20),FIND("/",MID($A928,FIND("/",$A928)+1,20))+1,20))),"")))</f>
        <v/>
      </c>
      <c r="E928">
        <f>IF($A928="","",IF(OR($B928="",$C928="",$D928="",$B928&lt;1300,$B928&gt;1500,$C928&lt;1,$C928&gt;12,$D928&lt;1,$D928&gt;31),"نامعتبر",RIGHT("0000"&amp;$B928,4)&amp;"/"&amp;RIGHT("00"&amp;$C928,2)&amp;"/"&amp;RIGHT("00"&amp;$D928,2)))</f>
        <v/>
      </c>
      <c r="F928">
        <f>IF(Entry!$D928&lt;&gt;"",IF(AND(ISNUMBER(Entry!$D928),Entry!$D928&gt;=0,Entry!$D928&lt;1),RIGHT("00"&amp;HOUR(Entry!$D928),2)&amp;":"&amp;RIGHT("00"&amp;MINUTE(Entry!$D928),2),IFERROR(RIGHT("00"&amp;VALUE(TRIM(LEFT(Entry!$D928,FIND(":",Entry!$D928)-1))),2)&amp;":"&amp;RIGHT("00"&amp;VALUE(TRIM(MID(Entry!$D928,FIND(":",Entry!$D928)+1,2))),2),"نامعتبر")),IF(OR($E928="",$E928="نامعتبر"),"","00:00"))</f>
        <v/>
      </c>
      <c r="G928">
        <f>IF(OR($E928="",$E928="نامعتبر"),"",IF(Entry!$E928="","",LEFT(UPPER(TRIM(Entry!$E928)),6)))</f>
        <v/>
      </c>
      <c r="H928">
        <f>IF($G928="","",RIGHT($E928,4)&amp;MID($E928,6,2)&amp;RIGHT($E928,2)&amp;IF($F928="","0000",IF($F928="نامعتبر","9999",LEFT($F928,2)&amp;RIGHT($F928,2)))&amp;"|"&amp;RIGHT("00000"&amp;920,5))</f>
        <v/>
      </c>
      <c r="I928">
        <f>IF($H928="","",COUNTIFS(CalcBank,$G928,CalcKey,"&lt;"&amp;$H928)+1)</f>
        <v/>
      </c>
      <c r="J928">
        <f>IF($I928="","",$G928&amp;"|"&amp;RIGHT("000000"&amp;$I928,6))</f>
        <v/>
      </c>
      <c r="K928">
        <f>IF(OR($E928="",$E928="نامعتبر"),"",LEFT($E928,4)&amp;"/"&amp;MID($E928,6,2))</f>
        <v/>
      </c>
      <c r="L928">
        <f>IF(Entry!$K928="",0,Entry!$K928)</f>
        <v/>
      </c>
      <c r="M928">
        <f>IF(Entry!$L928="",0,Entry!$L928)</f>
        <v/>
      </c>
    </row>
    <row r="929">
      <c r="A929">
        <f>IF(Entry!$C929="","",Entry!$C929)</f>
        <v/>
      </c>
      <c r="B929">
        <f>IF($A929="","",IF(ISNUMBER($A929),IF(AND($A929&gt;=10000101,$A929&lt;=99991231),INT($A929/10000),""),IFERROR(VALUE(TRIM(LEFT($A929,FIND("/",$A929)-1))),"")))</f>
        <v/>
      </c>
      <c r="C929">
        <f>IF(OR($A929="",$B929=""),"",IF(ISNUMBER($A929),INT(MOD($A929,10000)/100),IFERROR(VALUE(TRIM(LEFT(MID($A929,FIND("/",$A929)+1,20),FIND("/",MID($A929,FIND("/",$A929)+1,20))-1))),"")))</f>
        <v/>
      </c>
      <c r="D929">
        <f>IF(OR($A929="",$B929=""),"",IF(ISNUMBER($A929),MOD($A929,100),IFERROR(VALUE(TRIM(MID(MID($A929,FIND("/",$A929)+1,20),FIND("/",MID($A929,FIND("/",$A929)+1,20))+1,20))),"")))</f>
        <v/>
      </c>
      <c r="E929">
        <f>IF($A929="","",IF(OR($B929="",$C929="",$D929="",$B929&lt;1300,$B929&gt;1500,$C929&lt;1,$C929&gt;12,$D929&lt;1,$D929&gt;31),"نامعتبر",RIGHT("0000"&amp;$B929,4)&amp;"/"&amp;RIGHT("00"&amp;$C929,2)&amp;"/"&amp;RIGHT("00"&amp;$D929,2)))</f>
        <v/>
      </c>
      <c r="F929">
        <f>IF(Entry!$D929&lt;&gt;"",IF(AND(ISNUMBER(Entry!$D929),Entry!$D929&gt;=0,Entry!$D929&lt;1),RIGHT("00"&amp;HOUR(Entry!$D929),2)&amp;":"&amp;RIGHT("00"&amp;MINUTE(Entry!$D929),2),IFERROR(RIGHT("00"&amp;VALUE(TRIM(LEFT(Entry!$D929,FIND(":",Entry!$D929)-1))),2)&amp;":"&amp;RIGHT("00"&amp;VALUE(TRIM(MID(Entry!$D929,FIND(":",Entry!$D929)+1,2))),2),"نامعتبر")),IF(OR($E929="",$E929="نامعتبر"),"","00:00"))</f>
        <v/>
      </c>
      <c r="G929">
        <f>IF(OR($E929="",$E929="نامعتبر"),"",IF(Entry!$E929="","",LEFT(UPPER(TRIM(Entry!$E929)),6)))</f>
        <v/>
      </c>
      <c r="H929">
        <f>IF($G929="","",RIGHT($E929,4)&amp;MID($E929,6,2)&amp;RIGHT($E929,2)&amp;IF($F929="","0000",IF($F929="نامعتبر","9999",LEFT($F929,2)&amp;RIGHT($F929,2)))&amp;"|"&amp;RIGHT("00000"&amp;921,5))</f>
        <v/>
      </c>
      <c r="I929">
        <f>IF($H929="","",COUNTIFS(CalcBank,$G929,CalcKey,"&lt;"&amp;$H929)+1)</f>
        <v/>
      </c>
      <c r="J929">
        <f>IF($I929="","",$G929&amp;"|"&amp;RIGHT("000000"&amp;$I929,6))</f>
        <v/>
      </c>
      <c r="K929">
        <f>IF(OR($E929="",$E929="نامعتبر"),"",LEFT($E929,4)&amp;"/"&amp;MID($E929,6,2))</f>
        <v/>
      </c>
      <c r="L929">
        <f>IF(Entry!$K929="",0,Entry!$K929)</f>
        <v/>
      </c>
      <c r="M929">
        <f>IF(Entry!$L929="",0,Entry!$L929)</f>
        <v/>
      </c>
    </row>
    <row r="930">
      <c r="A930">
        <f>IF(Entry!$C930="","",Entry!$C930)</f>
        <v/>
      </c>
      <c r="B930">
        <f>IF($A930="","",IF(ISNUMBER($A930),IF(AND($A930&gt;=10000101,$A930&lt;=99991231),INT($A930/10000),""),IFERROR(VALUE(TRIM(LEFT($A930,FIND("/",$A930)-1))),"")))</f>
        <v/>
      </c>
      <c r="C930">
        <f>IF(OR($A930="",$B930=""),"",IF(ISNUMBER($A930),INT(MOD($A930,10000)/100),IFERROR(VALUE(TRIM(LEFT(MID($A930,FIND("/",$A930)+1,20),FIND("/",MID($A930,FIND("/",$A930)+1,20))-1))),"")))</f>
        <v/>
      </c>
      <c r="D930">
        <f>IF(OR($A930="",$B930=""),"",IF(ISNUMBER($A930),MOD($A930,100),IFERROR(VALUE(TRIM(MID(MID($A930,FIND("/",$A930)+1,20),FIND("/",MID($A930,FIND("/",$A930)+1,20))+1,20))),"")))</f>
        <v/>
      </c>
      <c r="E930">
        <f>IF($A930="","",IF(OR($B930="",$C930="",$D930="",$B930&lt;1300,$B930&gt;1500,$C930&lt;1,$C930&gt;12,$D930&lt;1,$D930&gt;31),"نامعتبر",RIGHT("0000"&amp;$B930,4)&amp;"/"&amp;RIGHT("00"&amp;$C930,2)&amp;"/"&amp;RIGHT("00"&amp;$D930,2)))</f>
        <v/>
      </c>
      <c r="F930">
        <f>IF(Entry!$D930&lt;&gt;"",IF(AND(ISNUMBER(Entry!$D930),Entry!$D930&gt;=0,Entry!$D930&lt;1),RIGHT("00"&amp;HOUR(Entry!$D930),2)&amp;":"&amp;RIGHT("00"&amp;MINUTE(Entry!$D930),2),IFERROR(RIGHT("00"&amp;VALUE(TRIM(LEFT(Entry!$D930,FIND(":",Entry!$D930)-1))),2)&amp;":"&amp;RIGHT("00"&amp;VALUE(TRIM(MID(Entry!$D930,FIND(":",Entry!$D930)+1,2))),2),"نامعتبر")),IF(OR($E930="",$E930="نامعتبر"),"","00:00"))</f>
        <v/>
      </c>
      <c r="G930">
        <f>IF(OR($E930="",$E930="نامعتبر"),"",IF(Entry!$E930="","",LEFT(UPPER(TRIM(Entry!$E930)),6)))</f>
        <v/>
      </c>
      <c r="H930">
        <f>IF($G930="","",RIGHT($E930,4)&amp;MID($E930,6,2)&amp;RIGHT($E930,2)&amp;IF($F930="","0000",IF($F930="نامعتبر","9999",LEFT($F930,2)&amp;RIGHT($F930,2)))&amp;"|"&amp;RIGHT("00000"&amp;922,5))</f>
        <v/>
      </c>
      <c r="I930">
        <f>IF($H930="","",COUNTIFS(CalcBank,$G930,CalcKey,"&lt;"&amp;$H930)+1)</f>
        <v/>
      </c>
      <c r="J930">
        <f>IF($I930="","",$G930&amp;"|"&amp;RIGHT("000000"&amp;$I930,6))</f>
        <v/>
      </c>
      <c r="K930">
        <f>IF(OR($E930="",$E930="نامعتبر"),"",LEFT($E930,4)&amp;"/"&amp;MID($E930,6,2))</f>
        <v/>
      </c>
      <c r="L930">
        <f>IF(Entry!$K930="",0,Entry!$K930)</f>
        <v/>
      </c>
      <c r="M930">
        <f>IF(Entry!$L930="",0,Entry!$L930)</f>
        <v/>
      </c>
    </row>
    <row r="931">
      <c r="A931">
        <f>IF(Entry!$C931="","",Entry!$C931)</f>
        <v/>
      </c>
      <c r="B931">
        <f>IF($A931="","",IF(ISNUMBER($A931),IF(AND($A931&gt;=10000101,$A931&lt;=99991231),INT($A931/10000),""),IFERROR(VALUE(TRIM(LEFT($A931,FIND("/",$A931)-1))),"")))</f>
        <v/>
      </c>
      <c r="C931">
        <f>IF(OR($A931="",$B931=""),"",IF(ISNUMBER($A931),INT(MOD($A931,10000)/100),IFERROR(VALUE(TRIM(LEFT(MID($A931,FIND("/",$A931)+1,20),FIND("/",MID($A931,FIND("/",$A931)+1,20))-1))),"")))</f>
        <v/>
      </c>
      <c r="D931">
        <f>IF(OR($A931="",$B931=""),"",IF(ISNUMBER($A931),MOD($A931,100),IFERROR(VALUE(TRIM(MID(MID($A931,FIND("/",$A931)+1,20),FIND("/",MID($A931,FIND("/",$A931)+1,20))+1,20))),"")))</f>
        <v/>
      </c>
      <c r="E931">
        <f>IF($A931="","",IF(OR($B931="",$C931="",$D931="",$B931&lt;1300,$B931&gt;1500,$C931&lt;1,$C931&gt;12,$D931&lt;1,$D931&gt;31),"نامعتبر",RIGHT("0000"&amp;$B931,4)&amp;"/"&amp;RIGHT("00"&amp;$C931,2)&amp;"/"&amp;RIGHT("00"&amp;$D931,2)))</f>
        <v/>
      </c>
      <c r="F931">
        <f>IF(Entry!$D931&lt;&gt;"",IF(AND(ISNUMBER(Entry!$D931),Entry!$D931&gt;=0,Entry!$D931&lt;1),RIGHT("00"&amp;HOUR(Entry!$D931),2)&amp;":"&amp;RIGHT("00"&amp;MINUTE(Entry!$D931),2),IFERROR(RIGHT("00"&amp;VALUE(TRIM(LEFT(Entry!$D931,FIND(":",Entry!$D931)-1))),2)&amp;":"&amp;RIGHT("00"&amp;VALUE(TRIM(MID(Entry!$D931,FIND(":",Entry!$D931)+1,2))),2),"نامعتبر")),IF(OR($E931="",$E931="نامعتبر"),"","00:00"))</f>
        <v/>
      </c>
      <c r="G931">
        <f>IF(OR($E931="",$E931="نامعتبر"),"",IF(Entry!$E931="","",LEFT(UPPER(TRIM(Entry!$E931)),6)))</f>
        <v/>
      </c>
      <c r="H931">
        <f>IF($G931="","",RIGHT($E931,4)&amp;MID($E931,6,2)&amp;RIGHT($E931,2)&amp;IF($F931="","0000",IF($F931="نامعتبر","9999",LEFT($F931,2)&amp;RIGHT($F931,2)))&amp;"|"&amp;RIGHT("00000"&amp;923,5))</f>
        <v/>
      </c>
      <c r="I931">
        <f>IF($H931="","",COUNTIFS(CalcBank,$G931,CalcKey,"&lt;"&amp;$H931)+1)</f>
        <v/>
      </c>
      <c r="J931">
        <f>IF($I931="","",$G931&amp;"|"&amp;RIGHT("000000"&amp;$I931,6))</f>
        <v/>
      </c>
      <c r="K931">
        <f>IF(OR($E931="",$E931="نامعتبر"),"",LEFT($E931,4)&amp;"/"&amp;MID($E931,6,2))</f>
        <v/>
      </c>
      <c r="L931">
        <f>IF(Entry!$K931="",0,Entry!$K931)</f>
        <v/>
      </c>
      <c r="M931">
        <f>IF(Entry!$L931="",0,Entry!$L931)</f>
        <v/>
      </c>
    </row>
    <row r="932">
      <c r="A932">
        <f>IF(Entry!$C932="","",Entry!$C932)</f>
        <v/>
      </c>
      <c r="B932">
        <f>IF($A932="","",IF(ISNUMBER($A932),IF(AND($A932&gt;=10000101,$A932&lt;=99991231),INT($A932/10000),""),IFERROR(VALUE(TRIM(LEFT($A932,FIND("/",$A932)-1))),"")))</f>
        <v/>
      </c>
      <c r="C932">
        <f>IF(OR($A932="",$B932=""),"",IF(ISNUMBER($A932),INT(MOD($A932,10000)/100),IFERROR(VALUE(TRIM(LEFT(MID($A932,FIND("/",$A932)+1,20),FIND("/",MID($A932,FIND("/",$A932)+1,20))-1))),"")))</f>
        <v/>
      </c>
      <c r="D932">
        <f>IF(OR($A932="",$B932=""),"",IF(ISNUMBER($A932),MOD($A932,100),IFERROR(VALUE(TRIM(MID(MID($A932,FIND("/",$A932)+1,20),FIND("/",MID($A932,FIND("/",$A932)+1,20))+1,20))),"")))</f>
        <v/>
      </c>
      <c r="E932">
        <f>IF($A932="","",IF(OR($B932="",$C932="",$D932="",$B932&lt;1300,$B932&gt;1500,$C932&lt;1,$C932&gt;12,$D932&lt;1,$D932&gt;31),"نامعتبر",RIGHT("0000"&amp;$B932,4)&amp;"/"&amp;RIGHT("00"&amp;$C932,2)&amp;"/"&amp;RIGHT("00"&amp;$D932,2)))</f>
        <v/>
      </c>
      <c r="F932">
        <f>IF(Entry!$D932&lt;&gt;"",IF(AND(ISNUMBER(Entry!$D932),Entry!$D932&gt;=0,Entry!$D932&lt;1),RIGHT("00"&amp;HOUR(Entry!$D932),2)&amp;":"&amp;RIGHT("00"&amp;MINUTE(Entry!$D932),2),IFERROR(RIGHT("00"&amp;VALUE(TRIM(LEFT(Entry!$D932,FIND(":",Entry!$D932)-1))),2)&amp;":"&amp;RIGHT("00"&amp;VALUE(TRIM(MID(Entry!$D932,FIND(":",Entry!$D932)+1,2))),2),"نامعتبر")),IF(OR($E932="",$E932="نامعتبر"),"","00:00"))</f>
        <v/>
      </c>
      <c r="G932">
        <f>IF(OR($E932="",$E932="نامعتبر"),"",IF(Entry!$E932="","",LEFT(UPPER(TRIM(Entry!$E932)),6)))</f>
        <v/>
      </c>
      <c r="H932">
        <f>IF($G932="","",RIGHT($E932,4)&amp;MID($E932,6,2)&amp;RIGHT($E932,2)&amp;IF($F932="","0000",IF($F932="نامعتبر","9999",LEFT($F932,2)&amp;RIGHT($F932,2)))&amp;"|"&amp;RIGHT("00000"&amp;924,5))</f>
        <v/>
      </c>
      <c r="I932">
        <f>IF($H932="","",COUNTIFS(CalcBank,$G932,CalcKey,"&lt;"&amp;$H932)+1)</f>
        <v/>
      </c>
      <c r="J932">
        <f>IF($I932="","",$G932&amp;"|"&amp;RIGHT("000000"&amp;$I932,6))</f>
        <v/>
      </c>
      <c r="K932">
        <f>IF(OR($E932="",$E932="نامعتبر"),"",LEFT($E932,4)&amp;"/"&amp;MID($E932,6,2))</f>
        <v/>
      </c>
      <c r="L932">
        <f>IF(Entry!$K932="",0,Entry!$K932)</f>
        <v/>
      </c>
      <c r="M932">
        <f>IF(Entry!$L932="",0,Entry!$L932)</f>
        <v/>
      </c>
    </row>
    <row r="933">
      <c r="A933">
        <f>IF(Entry!$C933="","",Entry!$C933)</f>
        <v/>
      </c>
      <c r="B933">
        <f>IF($A933="","",IF(ISNUMBER($A933),IF(AND($A933&gt;=10000101,$A933&lt;=99991231),INT($A933/10000),""),IFERROR(VALUE(TRIM(LEFT($A933,FIND("/",$A933)-1))),"")))</f>
        <v/>
      </c>
      <c r="C933">
        <f>IF(OR($A933="",$B933=""),"",IF(ISNUMBER($A933),INT(MOD($A933,10000)/100),IFERROR(VALUE(TRIM(LEFT(MID($A933,FIND("/",$A933)+1,20),FIND("/",MID($A933,FIND("/",$A933)+1,20))-1))),"")))</f>
        <v/>
      </c>
      <c r="D933">
        <f>IF(OR($A933="",$B933=""),"",IF(ISNUMBER($A933),MOD($A933,100),IFERROR(VALUE(TRIM(MID(MID($A933,FIND("/",$A933)+1,20),FIND("/",MID($A933,FIND("/",$A933)+1,20))+1,20))),"")))</f>
        <v/>
      </c>
      <c r="E933">
        <f>IF($A933="","",IF(OR($B933="",$C933="",$D933="",$B933&lt;1300,$B933&gt;1500,$C933&lt;1,$C933&gt;12,$D933&lt;1,$D933&gt;31),"نامعتبر",RIGHT("0000"&amp;$B933,4)&amp;"/"&amp;RIGHT("00"&amp;$C933,2)&amp;"/"&amp;RIGHT("00"&amp;$D933,2)))</f>
        <v/>
      </c>
      <c r="F933">
        <f>IF(Entry!$D933&lt;&gt;"",IF(AND(ISNUMBER(Entry!$D933),Entry!$D933&gt;=0,Entry!$D933&lt;1),RIGHT("00"&amp;HOUR(Entry!$D933),2)&amp;":"&amp;RIGHT("00"&amp;MINUTE(Entry!$D933),2),IFERROR(RIGHT("00"&amp;VALUE(TRIM(LEFT(Entry!$D933,FIND(":",Entry!$D933)-1))),2)&amp;":"&amp;RIGHT("00"&amp;VALUE(TRIM(MID(Entry!$D933,FIND(":",Entry!$D933)+1,2))),2),"نامعتبر")),IF(OR($E933="",$E933="نامعتبر"),"","00:00"))</f>
        <v/>
      </c>
      <c r="G933">
        <f>IF(OR($E933="",$E933="نامعتبر"),"",IF(Entry!$E933="","",LEFT(UPPER(TRIM(Entry!$E933)),6)))</f>
        <v/>
      </c>
      <c r="H933">
        <f>IF($G933="","",RIGHT($E933,4)&amp;MID($E933,6,2)&amp;RIGHT($E933,2)&amp;IF($F933="","0000",IF($F933="نامعتبر","9999",LEFT($F933,2)&amp;RIGHT($F933,2)))&amp;"|"&amp;RIGHT("00000"&amp;925,5))</f>
        <v/>
      </c>
      <c r="I933">
        <f>IF($H933="","",COUNTIFS(CalcBank,$G933,CalcKey,"&lt;"&amp;$H933)+1)</f>
        <v/>
      </c>
      <c r="J933">
        <f>IF($I933="","",$G933&amp;"|"&amp;RIGHT("000000"&amp;$I933,6))</f>
        <v/>
      </c>
      <c r="K933">
        <f>IF(OR($E933="",$E933="نامعتبر"),"",LEFT($E933,4)&amp;"/"&amp;MID($E933,6,2))</f>
        <v/>
      </c>
      <c r="L933">
        <f>IF(Entry!$K933="",0,Entry!$K933)</f>
        <v/>
      </c>
      <c r="M933">
        <f>IF(Entry!$L933="",0,Entry!$L933)</f>
        <v/>
      </c>
    </row>
    <row r="934">
      <c r="A934">
        <f>IF(Entry!$C934="","",Entry!$C934)</f>
        <v/>
      </c>
      <c r="B934">
        <f>IF($A934="","",IF(ISNUMBER($A934),IF(AND($A934&gt;=10000101,$A934&lt;=99991231),INT($A934/10000),""),IFERROR(VALUE(TRIM(LEFT($A934,FIND("/",$A934)-1))),"")))</f>
        <v/>
      </c>
      <c r="C934">
        <f>IF(OR($A934="",$B934=""),"",IF(ISNUMBER($A934),INT(MOD($A934,10000)/100),IFERROR(VALUE(TRIM(LEFT(MID($A934,FIND("/",$A934)+1,20),FIND("/",MID($A934,FIND("/",$A934)+1,20))-1))),"")))</f>
        <v/>
      </c>
      <c r="D934">
        <f>IF(OR($A934="",$B934=""),"",IF(ISNUMBER($A934),MOD($A934,100),IFERROR(VALUE(TRIM(MID(MID($A934,FIND("/",$A934)+1,20),FIND("/",MID($A934,FIND("/",$A934)+1,20))+1,20))),"")))</f>
        <v/>
      </c>
      <c r="E934">
        <f>IF($A934="","",IF(OR($B934="",$C934="",$D934="",$B934&lt;1300,$B934&gt;1500,$C934&lt;1,$C934&gt;12,$D934&lt;1,$D934&gt;31),"نامعتبر",RIGHT("0000"&amp;$B934,4)&amp;"/"&amp;RIGHT("00"&amp;$C934,2)&amp;"/"&amp;RIGHT("00"&amp;$D934,2)))</f>
        <v/>
      </c>
      <c r="F934">
        <f>IF(Entry!$D934&lt;&gt;"",IF(AND(ISNUMBER(Entry!$D934),Entry!$D934&gt;=0,Entry!$D934&lt;1),RIGHT("00"&amp;HOUR(Entry!$D934),2)&amp;":"&amp;RIGHT("00"&amp;MINUTE(Entry!$D934),2),IFERROR(RIGHT("00"&amp;VALUE(TRIM(LEFT(Entry!$D934,FIND(":",Entry!$D934)-1))),2)&amp;":"&amp;RIGHT("00"&amp;VALUE(TRIM(MID(Entry!$D934,FIND(":",Entry!$D934)+1,2))),2),"نامعتبر")),IF(OR($E934="",$E934="نامعتبر"),"","00:00"))</f>
        <v/>
      </c>
      <c r="G934">
        <f>IF(OR($E934="",$E934="نامعتبر"),"",IF(Entry!$E934="","",LEFT(UPPER(TRIM(Entry!$E934)),6)))</f>
        <v/>
      </c>
      <c r="H934">
        <f>IF($G934="","",RIGHT($E934,4)&amp;MID($E934,6,2)&amp;RIGHT($E934,2)&amp;IF($F934="","0000",IF($F934="نامعتبر","9999",LEFT($F934,2)&amp;RIGHT($F934,2)))&amp;"|"&amp;RIGHT("00000"&amp;926,5))</f>
        <v/>
      </c>
      <c r="I934">
        <f>IF($H934="","",COUNTIFS(CalcBank,$G934,CalcKey,"&lt;"&amp;$H934)+1)</f>
        <v/>
      </c>
      <c r="J934">
        <f>IF($I934="","",$G934&amp;"|"&amp;RIGHT("000000"&amp;$I934,6))</f>
        <v/>
      </c>
      <c r="K934">
        <f>IF(OR($E934="",$E934="نامعتبر"),"",LEFT($E934,4)&amp;"/"&amp;MID($E934,6,2))</f>
        <v/>
      </c>
      <c r="L934">
        <f>IF(Entry!$K934="",0,Entry!$K934)</f>
        <v/>
      </c>
      <c r="M934">
        <f>IF(Entry!$L934="",0,Entry!$L934)</f>
        <v/>
      </c>
    </row>
    <row r="935">
      <c r="A935">
        <f>IF(Entry!$C935="","",Entry!$C935)</f>
        <v/>
      </c>
      <c r="B935">
        <f>IF($A935="","",IF(ISNUMBER($A935),IF(AND($A935&gt;=10000101,$A935&lt;=99991231),INT($A935/10000),""),IFERROR(VALUE(TRIM(LEFT($A935,FIND("/",$A935)-1))),"")))</f>
        <v/>
      </c>
      <c r="C935">
        <f>IF(OR($A935="",$B935=""),"",IF(ISNUMBER($A935),INT(MOD($A935,10000)/100),IFERROR(VALUE(TRIM(LEFT(MID($A935,FIND("/",$A935)+1,20),FIND("/",MID($A935,FIND("/",$A935)+1,20))-1))),"")))</f>
        <v/>
      </c>
      <c r="D935">
        <f>IF(OR($A935="",$B935=""),"",IF(ISNUMBER($A935),MOD($A935,100),IFERROR(VALUE(TRIM(MID(MID($A935,FIND("/",$A935)+1,20),FIND("/",MID($A935,FIND("/",$A935)+1,20))+1,20))),"")))</f>
        <v/>
      </c>
      <c r="E935">
        <f>IF($A935="","",IF(OR($B935="",$C935="",$D935="",$B935&lt;1300,$B935&gt;1500,$C935&lt;1,$C935&gt;12,$D935&lt;1,$D935&gt;31),"نامعتبر",RIGHT("0000"&amp;$B935,4)&amp;"/"&amp;RIGHT("00"&amp;$C935,2)&amp;"/"&amp;RIGHT("00"&amp;$D935,2)))</f>
        <v/>
      </c>
      <c r="F935">
        <f>IF(Entry!$D935&lt;&gt;"",IF(AND(ISNUMBER(Entry!$D935),Entry!$D935&gt;=0,Entry!$D935&lt;1),RIGHT("00"&amp;HOUR(Entry!$D935),2)&amp;":"&amp;RIGHT("00"&amp;MINUTE(Entry!$D935),2),IFERROR(RIGHT("00"&amp;VALUE(TRIM(LEFT(Entry!$D935,FIND(":",Entry!$D935)-1))),2)&amp;":"&amp;RIGHT("00"&amp;VALUE(TRIM(MID(Entry!$D935,FIND(":",Entry!$D935)+1,2))),2),"نامعتبر")),IF(OR($E935="",$E935="نامعتبر"),"","00:00"))</f>
        <v/>
      </c>
      <c r="G935">
        <f>IF(OR($E935="",$E935="نامعتبر"),"",IF(Entry!$E935="","",LEFT(UPPER(TRIM(Entry!$E935)),6)))</f>
        <v/>
      </c>
      <c r="H935">
        <f>IF($G935="","",RIGHT($E935,4)&amp;MID($E935,6,2)&amp;RIGHT($E935,2)&amp;IF($F935="","0000",IF($F935="نامعتبر","9999",LEFT($F935,2)&amp;RIGHT($F935,2)))&amp;"|"&amp;RIGHT("00000"&amp;927,5))</f>
        <v/>
      </c>
      <c r="I935">
        <f>IF($H935="","",COUNTIFS(CalcBank,$G935,CalcKey,"&lt;"&amp;$H935)+1)</f>
        <v/>
      </c>
      <c r="J935">
        <f>IF($I935="","",$G935&amp;"|"&amp;RIGHT("000000"&amp;$I935,6))</f>
        <v/>
      </c>
      <c r="K935">
        <f>IF(OR($E935="",$E935="نامعتبر"),"",LEFT($E935,4)&amp;"/"&amp;MID($E935,6,2))</f>
        <v/>
      </c>
      <c r="L935">
        <f>IF(Entry!$K935="",0,Entry!$K935)</f>
        <v/>
      </c>
      <c r="M935">
        <f>IF(Entry!$L935="",0,Entry!$L935)</f>
        <v/>
      </c>
    </row>
    <row r="936">
      <c r="A936">
        <f>IF(Entry!$C936="","",Entry!$C936)</f>
        <v/>
      </c>
      <c r="B936">
        <f>IF($A936="","",IF(ISNUMBER($A936),IF(AND($A936&gt;=10000101,$A936&lt;=99991231),INT($A936/10000),""),IFERROR(VALUE(TRIM(LEFT($A936,FIND("/",$A936)-1))),"")))</f>
        <v/>
      </c>
      <c r="C936">
        <f>IF(OR($A936="",$B936=""),"",IF(ISNUMBER($A936),INT(MOD($A936,10000)/100),IFERROR(VALUE(TRIM(LEFT(MID($A936,FIND("/",$A936)+1,20),FIND("/",MID($A936,FIND("/",$A936)+1,20))-1))),"")))</f>
        <v/>
      </c>
      <c r="D936">
        <f>IF(OR($A936="",$B936=""),"",IF(ISNUMBER($A936),MOD($A936,100),IFERROR(VALUE(TRIM(MID(MID($A936,FIND("/",$A936)+1,20),FIND("/",MID($A936,FIND("/",$A936)+1,20))+1,20))),"")))</f>
        <v/>
      </c>
      <c r="E936">
        <f>IF($A936="","",IF(OR($B936="",$C936="",$D936="",$B936&lt;1300,$B936&gt;1500,$C936&lt;1,$C936&gt;12,$D936&lt;1,$D936&gt;31),"نامعتبر",RIGHT("0000"&amp;$B936,4)&amp;"/"&amp;RIGHT("00"&amp;$C936,2)&amp;"/"&amp;RIGHT("00"&amp;$D936,2)))</f>
        <v/>
      </c>
      <c r="F936">
        <f>IF(Entry!$D936&lt;&gt;"",IF(AND(ISNUMBER(Entry!$D936),Entry!$D936&gt;=0,Entry!$D936&lt;1),RIGHT("00"&amp;HOUR(Entry!$D936),2)&amp;":"&amp;RIGHT("00"&amp;MINUTE(Entry!$D936),2),IFERROR(RIGHT("00"&amp;VALUE(TRIM(LEFT(Entry!$D936,FIND(":",Entry!$D936)-1))),2)&amp;":"&amp;RIGHT("00"&amp;VALUE(TRIM(MID(Entry!$D936,FIND(":",Entry!$D936)+1,2))),2),"نامعتبر")),IF(OR($E936="",$E936="نامعتبر"),"","00:00"))</f>
        <v/>
      </c>
      <c r="G936">
        <f>IF(OR($E936="",$E936="نامعتبر"),"",IF(Entry!$E936="","",LEFT(UPPER(TRIM(Entry!$E936)),6)))</f>
        <v/>
      </c>
      <c r="H936">
        <f>IF($G936="","",RIGHT($E936,4)&amp;MID($E936,6,2)&amp;RIGHT($E936,2)&amp;IF($F936="","0000",IF($F936="نامعتبر","9999",LEFT($F936,2)&amp;RIGHT($F936,2)))&amp;"|"&amp;RIGHT("00000"&amp;928,5))</f>
        <v/>
      </c>
      <c r="I936">
        <f>IF($H936="","",COUNTIFS(CalcBank,$G936,CalcKey,"&lt;"&amp;$H936)+1)</f>
        <v/>
      </c>
      <c r="J936">
        <f>IF($I936="","",$G936&amp;"|"&amp;RIGHT("000000"&amp;$I936,6))</f>
        <v/>
      </c>
      <c r="K936">
        <f>IF(OR($E936="",$E936="نامعتبر"),"",LEFT($E936,4)&amp;"/"&amp;MID($E936,6,2))</f>
        <v/>
      </c>
      <c r="L936">
        <f>IF(Entry!$K936="",0,Entry!$K936)</f>
        <v/>
      </c>
      <c r="M936">
        <f>IF(Entry!$L936="",0,Entry!$L936)</f>
        <v/>
      </c>
    </row>
    <row r="937">
      <c r="A937">
        <f>IF(Entry!$C937="","",Entry!$C937)</f>
        <v/>
      </c>
      <c r="B937">
        <f>IF($A937="","",IF(ISNUMBER($A937),IF(AND($A937&gt;=10000101,$A937&lt;=99991231),INT($A937/10000),""),IFERROR(VALUE(TRIM(LEFT($A937,FIND("/",$A937)-1))),"")))</f>
        <v/>
      </c>
      <c r="C937">
        <f>IF(OR($A937="",$B937=""),"",IF(ISNUMBER($A937),INT(MOD($A937,10000)/100),IFERROR(VALUE(TRIM(LEFT(MID($A937,FIND("/",$A937)+1,20),FIND("/",MID($A937,FIND("/",$A937)+1,20))-1))),"")))</f>
        <v/>
      </c>
      <c r="D937">
        <f>IF(OR($A937="",$B937=""),"",IF(ISNUMBER($A937),MOD($A937,100),IFERROR(VALUE(TRIM(MID(MID($A937,FIND("/",$A937)+1,20),FIND("/",MID($A937,FIND("/",$A937)+1,20))+1,20))),"")))</f>
        <v/>
      </c>
      <c r="E937">
        <f>IF($A937="","",IF(OR($B937="",$C937="",$D937="",$B937&lt;1300,$B937&gt;1500,$C937&lt;1,$C937&gt;12,$D937&lt;1,$D937&gt;31),"نامعتبر",RIGHT("0000"&amp;$B937,4)&amp;"/"&amp;RIGHT("00"&amp;$C937,2)&amp;"/"&amp;RIGHT("00"&amp;$D937,2)))</f>
        <v/>
      </c>
      <c r="F937">
        <f>IF(Entry!$D937&lt;&gt;"",IF(AND(ISNUMBER(Entry!$D937),Entry!$D937&gt;=0,Entry!$D937&lt;1),RIGHT("00"&amp;HOUR(Entry!$D937),2)&amp;":"&amp;RIGHT("00"&amp;MINUTE(Entry!$D937),2),IFERROR(RIGHT("00"&amp;VALUE(TRIM(LEFT(Entry!$D937,FIND(":",Entry!$D937)-1))),2)&amp;":"&amp;RIGHT("00"&amp;VALUE(TRIM(MID(Entry!$D937,FIND(":",Entry!$D937)+1,2))),2),"نامعتبر")),IF(OR($E937="",$E937="نامعتبر"),"","00:00"))</f>
        <v/>
      </c>
      <c r="G937">
        <f>IF(OR($E937="",$E937="نامعتبر"),"",IF(Entry!$E937="","",LEFT(UPPER(TRIM(Entry!$E937)),6)))</f>
        <v/>
      </c>
      <c r="H937">
        <f>IF($G937="","",RIGHT($E937,4)&amp;MID($E937,6,2)&amp;RIGHT($E937,2)&amp;IF($F937="","0000",IF($F937="نامعتبر","9999",LEFT($F937,2)&amp;RIGHT($F937,2)))&amp;"|"&amp;RIGHT("00000"&amp;929,5))</f>
        <v/>
      </c>
      <c r="I937">
        <f>IF($H937="","",COUNTIFS(CalcBank,$G937,CalcKey,"&lt;"&amp;$H937)+1)</f>
        <v/>
      </c>
      <c r="J937">
        <f>IF($I937="","",$G937&amp;"|"&amp;RIGHT("000000"&amp;$I937,6))</f>
        <v/>
      </c>
      <c r="K937">
        <f>IF(OR($E937="",$E937="نامعتبر"),"",LEFT($E937,4)&amp;"/"&amp;MID($E937,6,2))</f>
        <v/>
      </c>
      <c r="L937">
        <f>IF(Entry!$K937="",0,Entry!$K937)</f>
        <v/>
      </c>
      <c r="M937">
        <f>IF(Entry!$L937="",0,Entry!$L937)</f>
        <v/>
      </c>
    </row>
    <row r="938">
      <c r="A938">
        <f>IF(Entry!$C938="","",Entry!$C938)</f>
        <v/>
      </c>
      <c r="B938">
        <f>IF($A938="","",IF(ISNUMBER($A938),IF(AND($A938&gt;=10000101,$A938&lt;=99991231),INT($A938/10000),""),IFERROR(VALUE(TRIM(LEFT($A938,FIND("/",$A938)-1))),"")))</f>
        <v/>
      </c>
      <c r="C938">
        <f>IF(OR($A938="",$B938=""),"",IF(ISNUMBER($A938),INT(MOD($A938,10000)/100),IFERROR(VALUE(TRIM(LEFT(MID($A938,FIND("/",$A938)+1,20),FIND("/",MID($A938,FIND("/",$A938)+1,20))-1))),"")))</f>
        <v/>
      </c>
      <c r="D938">
        <f>IF(OR($A938="",$B938=""),"",IF(ISNUMBER($A938),MOD($A938,100),IFERROR(VALUE(TRIM(MID(MID($A938,FIND("/",$A938)+1,20),FIND("/",MID($A938,FIND("/",$A938)+1,20))+1,20))),"")))</f>
        <v/>
      </c>
      <c r="E938">
        <f>IF($A938="","",IF(OR($B938="",$C938="",$D938="",$B938&lt;1300,$B938&gt;1500,$C938&lt;1,$C938&gt;12,$D938&lt;1,$D938&gt;31),"نامعتبر",RIGHT("0000"&amp;$B938,4)&amp;"/"&amp;RIGHT("00"&amp;$C938,2)&amp;"/"&amp;RIGHT("00"&amp;$D938,2)))</f>
        <v/>
      </c>
      <c r="F938">
        <f>IF(Entry!$D938&lt;&gt;"",IF(AND(ISNUMBER(Entry!$D938),Entry!$D938&gt;=0,Entry!$D938&lt;1),RIGHT("00"&amp;HOUR(Entry!$D938),2)&amp;":"&amp;RIGHT("00"&amp;MINUTE(Entry!$D938),2),IFERROR(RIGHT("00"&amp;VALUE(TRIM(LEFT(Entry!$D938,FIND(":",Entry!$D938)-1))),2)&amp;":"&amp;RIGHT("00"&amp;VALUE(TRIM(MID(Entry!$D938,FIND(":",Entry!$D938)+1,2))),2),"نامعتبر")),IF(OR($E938="",$E938="نامعتبر"),"","00:00"))</f>
        <v/>
      </c>
      <c r="G938">
        <f>IF(OR($E938="",$E938="نامعتبر"),"",IF(Entry!$E938="","",LEFT(UPPER(TRIM(Entry!$E938)),6)))</f>
        <v/>
      </c>
      <c r="H938">
        <f>IF($G938="","",RIGHT($E938,4)&amp;MID($E938,6,2)&amp;RIGHT($E938,2)&amp;IF($F938="","0000",IF($F938="نامعتبر","9999",LEFT($F938,2)&amp;RIGHT($F938,2)))&amp;"|"&amp;RIGHT("00000"&amp;930,5))</f>
        <v/>
      </c>
      <c r="I938">
        <f>IF($H938="","",COUNTIFS(CalcBank,$G938,CalcKey,"&lt;"&amp;$H938)+1)</f>
        <v/>
      </c>
      <c r="J938">
        <f>IF($I938="","",$G938&amp;"|"&amp;RIGHT("000000"&amp;$I938,6))</f>
        <v/>
      </c>
      <c r="K938">
        <f>IF(OR($E938="",$E938="نامعتبر"),"",LEFT($E938,4)&amp;"/"&amp;MID($E938,6,2))</f>
        <v/>
      </c>
      <c r="L938">
        <f>IF(Entry!$K938="",0,Entry!$K938)</f>
        <v/>
      </c>
      <c r="M938">
        <f>IF(Entry!$L938="",0,Entry!$L938)</f>
        <v/>
      </c>
    </row>
    <row r="939">
      <c r="A939">
        <f>IF(Entry!$C939="","",Entry!$C939)</f>
        <v/>
      </c>
      <c r="B939">
        <f>IF($A939="","",IF(ISNUMBER($A939),IF(AND($A939&gt;=10000101,$A939&lt;=99991231),INT($A939/10000),""),IFERROR(VALUE(TRIM(LEFT($A939,FIND("/",$A939)-1))),"")))</f>
        <v/>
      </c>
      <c r="C939">
        <f>IF(OR($A939="",$B939=""),"",IF(ISNUMBER($A939),INT(MOD($A939,10000)/100),IFERROR(VALUE(TRIM(LEFT(MID($A939,FIND("/",$A939)+1,20),FIND("/",MID($A939,FIND("/",$A939)+1,20))-1))),"")))</f>
        <v/>
      </c>
      <c r="D939">
        <f>IF(OR($A939="",$B939=""),"",IF(ISNUMBER($A939),MOD($A939,100),IFERROR(VALUE(TRIM(MID(MID($A939,FIND("/",$A939)+1,20),FIND("/",MID($A939,FIND("/",$A939)+1,20))+1,20))),"")))</f>
        <v/>
      </c>
      <c r="E939">
        <f>IF($A939="","",IF(OR($B939="",$C939="",$D939="",$B939&lt;1300,$B939&gt;1500,$C939&lt;1,$C939&gt;12,$D939&lt;1,$D939&gt;31),"نامعتبر",RIGHT("0000"&amp;$B939,4)&amp;"/"&amp;RIGHT("00"&amp;$C939,2)&amp;"/"&amp;RIGHT("00"&amp;$D939,2)))</f>
        <v/>
      </c>
      <c r="F939">
        <f>IF(Entry!$D939&lt;&gt;"",IF(AND(ISNUMBER(Entry!$D939),Entry!$D939&gt;=0,Entry!$D939&lt;1),RIGHT("00"&amp;HOUR(Entry!$D939),2)&amp;":"&amp;RIGHT("00"&amp;MINUTE(Entry!$D939),2),IFERROR(RIGHT("00"&amp;VALUE(TRIM(LEFT(Entry!$D939,FIND(":",Entry!$D939)-1))),2)&amp;":"&amp;RIGHT("00"&amp;VALUE(TRIM(MID(Entry!$D939,FIND(":",Entry!$D939)+1,2))),2),"نامعتبر")),IF(OR($E939="",$E939="نامعتبر"),"","00:00"))</f>
        <v/>
      </c>
      <c r="G939">
        <f>IF(OR($E939="",$E939="نامعتبر"),"",IF(Entry!$E939="","",LEFT(UPPER(TRIM(Entry!$E939)),6)))</f>
        <v/>
      </c>
      <c r="H939">
        <f>IF($G939="","",RIGHT($E939,4)&amp;MID($E939,6,2)&amp;RIGHT($E939,2)&amp;IF($F939="","0000",IF($F939="نامعتبر","9999",LEFT($F939,2)&amp;RIGHT($F939,2)))&amp;"|"&amp;RIGHT("00000"&amp;931,5))</f>
        <v/>
      </c>
      <c r="I939">
        <f>IF($H939="","",COUNTIFS(CalcBank,$G939,CalcKey,"&lt;"&amp;$H939)+1)</f>
        <v/>
      </c>
      <c r="J939">
        <f>IF($I939="","",$G939&amp;"|"&amp;RIGHT("000000"&amp;$I939,6))</f>
        <v/>
      </c>
      <c r="K939">
        <f>IF(OR($E939="",$E939="نامعتبر"),"",LEFT($E939,4)&amp;"/"&amp;MID($E939,6,2))</f>
        <v/>
      </c>
      <c r="L939">
        <f>IF(Entry!$K939="",0,Entry!$K939)</f>
        <v/>
      </c>
      <c r="M939">
        <f>IF(Entry!$L939="",0,Entry!$L939)</f>
        <v/>
      </c>
    </row>
    <row r="940">
      <c r="A940">
        <f>IF(Entry!$C940="","",Entry!$C940)</f>
        <v/>
      </c>
      <c r="B940">
        <f>IF($A940="","",IF(ISNUMBER($A940),IF(AND($A940&gt;=10000101,$A940&lt;=99991231),INT($A940/10000),""),IFERROR(VALUE(TRIM(LEFT($A940,FIND("/",$A940)-1))),"")))</f>
        <v/>
      </c>
      <c r="C940">
        <f>IF(OR($A940="",$B940=""),"",IF(ISNUMBER($A940),INT(MOD($A940,10000)/100),IFERROR(VALUE(TRIM(LEFT(MID($A940,FIND("/",$A940)+1,20),FIND("/",MID($A940,FIND("/",$A940)+1,20))-1))),"")))</f>
        <v/>
      </c>
      <c r="D940">
        <f>IF(OR($A940="",$B940=""),"",IF(ISNUMBER($A940),MOD($A940,100),IFERROR(VALUE(TRIM(MID(MID($A940,FIND("/",$A940)+1,20),FIND("/",MID($A940,FIND("/",$A940)+1,20))+1,20))),"")))</f>
        <v/>
      </c>
      <c r="E940">
        <f>IF($A940="","",IF(OR($B940="",$C940="",$D940="",$B940&lt;1300,$B940&gt;1500,$C940&lt;1,$C940&gt;12,$D940&lt;1,$D940&gt;31),"نامعتبر",RIGHT("0000"&amp;$B940,4)&amp;"/"&amp;RIGHT("00"&amp;$C940,2)&amp;"/"&amp;RIGHT("00"&amp;$D940,2)))</f>
        <v/>
      </c>
      <c r="F940">
        <f>IF(Entry!$D940&lt;&gt;"",IF(AND(ISNUMBER(Entry!$D940),Entry!$D940&gt;=0,Entry!$D940&lt;1),RIGHT("00"&amp;HOUR(Entry!$D940),2)&amp;":"&amp;RIGHT("00"&amp;MINUTE(Entry!$D940),2),IFERROR(RIGHT("00"&amp;VALUE(TRIM(LEFT(Entry!$D940,FIND(":",Entry!$D940)-1))),2)&amp;":"&amp;RIGHT("00"&amp;VALUE(TRIM(MID(Entry!$D940,FIND(":",Entry!$D940)+1,2))),2),"نامعتبر")),IF(OR($E940="",$E940="نامعتبر"),"","00:00"))</f>
        <v/>
      </c>
      <c r="G940">
        <f>IF(OR($E940="",$E940="نامعتبر"),"",IF(Entry!$E940="","",LEFT(UPPER(TRIM(Entry!$E940)),6)))</f>
        <v/>
      </c>
      <c r="H940">
        <f>IF($G940="","",RIGHT($E940,4)&amp;MID($E940,6,2)&amp;RIGHT($E940,2)&amp;IF($F940="","0000",IF($F940="نامعتبر","9999",LEFT($F940,2)&amp;RIGHT($F940,2)))&amp;"|"&amp;RIGHT("00000"&amp;932,5))</f>
        <v/>
      </c>
      <c r="I940">
        <f>IF($H940="","",COUNTIFS(CalcBank,$G940,CalcKey,"&lt;"&amp;$H940)+1)</f>
        <v/>
      </c>
      <c r="J940">
        <f>IF($I940="","",$G940&amp;"|"&amp;RIGHT("000000"&amp;$I940,6))</f>
        <v/>
      </c>
      <c r="K940">
        <f>IF(OR($E940="",$E940="نامعتبر"),"",LEFT($E940,4)&amp;"/"&amp;MID($E940,6,2))</f>
        <v/>
      </c>
      <c r="L940">
        <f>IF(Entry!$K940="",0,Entry!$K940)</f>
        <v/>
      </c>
      <c r="M940">
        <f>IF(Entry!$L940="",0,Entry!$L940)</f>
        <v/>
      </c>
    </row>
    <row r="941">
      <c r="A941">
        <f>IF(Entry!$C941="","",Entry!$C941)</f>
        <v/>
      </c>
      <c r="B941">
        <f>IF($A941="","",IF(ISNUMBER($A941),IF(AND($A941&gt;=10000101,$A941&lt;=99991231),INT($A941/10000),""),IFERROR(VALUE(TRIM(LEFT($A941,FIND("/",$A941)-1))),"")))</f>
        <v/>
      </c>
      <c r="C941">
        <f>IF(OR($A941="",$B941=""),"",IF(ISNUMBER($A941),INT(MOD($A941,10000)/100),IFERROR(VALUE(TRIM(LEFT(MID($A941,FIND("/",$A941)+1,20),FIND("/",MID($A941,FIND("/",$A941)+1,20))-1))),"")))</f>
        <v/>
      </c>
      <c r="D941">
        <f>IF(OR($A941="",$B941=""),"",IF(ISNUMBER($A941),MOD($A941,100),IFERROR(VALUE(TRIM(MID(MID($A941,FIND("/",$A941)+1,20),FIND("/",MID($A941,FIND("/",$A941)+1,20))+1,20))),"")))</f>
        <v/>
      </c>
      <c r="E941">
        <f>IF($A941="","",IF(OR($B941="",$C941="",$D941="",$B941&lt;1300,$B941&gt;1500,$C941&lt;1,$C941&gt;12,$D941&lt;1,$D941&gt;31),"نامعتبر",RIGHT("0000"&amp;$B941,4)&amp;"/"&amp;RIGHT("00"&amp;$C941,2)&amp;"/"&amp;RIGHT("00"&amp;$D941,2)))</f>
        <v/>
      </c>
      <c r="F941">
        <f>IF(Entry!$D941&lt;&gt;"",IF(AND(ISNUMBER(Entry!$D941),Entry!$D941&gt;=0,Entry!$D941&lt;1),RIGHT("00"&amp;HOUR(Entry!$D941),2)&amp;":"&amp;RIGHT("00"&amp;MINUTE(Entry!$D941),2),IFERROR(RIGHT("00"&amp;VALUE(TRIM(LEFT(Entry!$D941,FIND(":",Entry!$D941)-1))),2)&amp;":"&amp;RIGHT("00"&amp;VALUE(TRIM(MID(Entry!$D941,FIND(":",Entry!$D941)+1,2))),2),"نامعتبر")),IF(OR($E941="",$E941="نامعتبر"),"","00:00"))</f>
        <v/>
      </c>
      <c r="G941">
        <f>IF(OR($E941="",$E941="نامعتبر"),"",IF(Entry!$E941="","",LEFT(UPPER(TRIM(Entry!$E941)),6)))</f>
        <v/>
      </c>
      <c r="H941">
        <f>IF($G941="","",RIGHT($E941,4)&amp;MID($E941,6,2)&amp;RIGHT($E941,2)&amp;IF($F941="","0000",IF($F941="نامعتبر","9999",LEFT($F941,2)&amp;RIGHT($F941,2)))&amp;"|"&amp;RIGHT("00000"&amp;933,5))</f>
        <v/>
      </c>
      <c r="I941">
        <f>IF($H941="","",COUNTIFS(CalcBank,$G941,CalcKey,"&lt;"&amp;$H941)+1)</f>
        <v/>
      </c>
      <c r="J941">
        <f>IF($I941="","",$G941&amp;"|"&amp;RIGHT("000000"&amp;$I941,6))</f>
        <v/>
      </c>
      <c r="K941">
        <f>IF(OR($E941="",$E941="نامعتبر"),"",LEFT($E941,4)&amp;"/"&amp;MID($E941,6,2))</f>
        <v/>
      </c>
      <c r="L941">
        <f>IF(Entry!$K941="",0,Entry!$K941)</f>
        <v/>
      </c>
      <c r="M941">
        <f>IF(Entry!$L941="",0,Entry!$L941)</f>
        <v/>
      </c>
    </row>
    <row r="942">
      <c r="A942">
        <f>IF(Entry!$C942="","",Entry!$C942)</f>
        <v/>
      </c>
      <c r="B942">
        <f>IF($A942="","",IF(ISNUMBER($A942),IF(AND($A942&gt;=10000101,$A942&lt;=99991231),INT($A942/10000),""),IFERROR(VALUE(TRIM(LEFT($A942,FIND("/",$A942)-1))),"")))</f>
        <v/>
      </c>
      <c r="C942">
        <f>IF(OR($A942="",$B942=""),"",IF(ISNUMBER($A942),INT(MOD($A942,10000)/100),IFERROR(VALUE(TRIM(LEFT(MID($A942,FIND("/",$A942)+1,20),FIND("/",MID($A942,FIND("/",$A942)+1,20))-1))),"")))</f>
        <v/>
      </c>
      <c r="D942">
        <f>IF(OR($A942="",$B942=""),"",IF(ISNUMBER($A942),MOD($A942,100),IFERROR(VALUE(TRIM(MID(MID($A942,FIND("/",$A942)+1,20),FIND("/",MID($A942,FIND("/",$A942)+1,20))+1,20))),"")))</f>
        <v/>
      </c>
      <c r="E942">
        <f>IF($A942="","",IF(OR($B942="",$C942="",$D942="",$B942&lt;1300,$B942&gt;1500,$C942&lt;1,$C942&gt;12,$D942&lt;1,$D942&gt;31),"نامعتبر",RIGHT("0000"&amp;$B942,4)&amp;"/"&amp;RIGHT("00"&amp;$C942,2)&amp;"/"&amp;RIGHT("00"&amp;$D942,2)))</f>
        <v/>
      </c>
      <c r="F942">
        <f>IF(Entry!$D942&lt;&gt;"",IF(AND(ISNUMBER(Entry!$D942),Entry!$D942&gt;=0,Entry!$D942&lt;1),RIGHT("00"&amp;HOUR(Entry!$D942),2)&amp;":"&amp;RIGHT("00"&amp;MINUTE(Entry!$D942),2),IFERROR(RIGHT("00"&amp;VALUE(TRIM(LEFT(Entry!$D942,FIND(":",Entry!$D942)-1))),2)&amp;":"&amp;RIGHT("00"&amp;VALUE(TRIM(MID(Entry!$D942,FIND(":",Entry!$D942)+1,2))),2),"نامعتبر")),IF(OR($E942="",$E942="نامعتبر"),"","00:00"))</f>
        <v/>
      </c>
      <c r="G942">
        <f>IF(OR($E942="",$E942="نامعتبر"),"",IF(Entry!$E942="","",LEFT(UPPER(TRIM(Entry!$E942)),6)))</f>
        <v/>
      </c>
      <c r="H942">
        <f>IF($G942="","",RIGHT($E942,4)&amp;MID($E942,6,2)&amp;RIGHT($E942,2)&amp;IF($F942="","0000",IF($F942="نامعتبر","9999",LEFT($F942,2)&amp;RIGHT($F942,2)))&amp;"|"&amp;RIGHT("00000"&amp;934,5))</f>
        <v/>
      </c>
      <c r="I942">
        <f>IF($H942="","",COUNTIFS(CalcBank,$G942,CalcKey,"&lt;"&amp;$H942)+1)</f>
        <v/>
      </c>
      <c r="J942">
        <f>IF($I942="","",$G942&amp;"|"&amp;RIGHT("000000"&amp;$I942,6))</f>
        <v/>
      </c>
      <c r="K942">
        <f>IF(OR($E942="",$E942="نامعتبر"),"",LEFT($E942,4)&amp;"/"&amp;MID($E942,6,2))</f>
        <v/>
      </c>
      <c r="L942">
        <f>IF(Entry!$K942="",0,Entry!$K942)</f>
        <v/>
      </c>
      <c r="M942">
        <f>IF(Entry!$L942="",0,Entry!$L942)</f>
        <v/>
      </c>
    </row>
    <row r="943">
      <c r="A943">
        <f>IF(Entry!$C943="","",Entry!$C943)</f>
        <v/>
      </c>
      <c r="B943">
        <f>IF($A943="","",IF(ISNUMBER($A943),IF(AND($A943&gt;=10000101,$A943&lt;=99991231),INT($A943/10000),""),IFERROR(VALUE(TRIM(LEFT($A943,FIND("/",$A943)-1))),"")))</f>
        <v/>
      </c>
      <c r="C943">
        <f>IF(OR($A943="",$B943=""),"",IF(ISNUMBER($A943),INT(MOD($A943,10000)/100),IFERROR(VALUE(TRIM(LEFT(MID($A943,FIND("/",$A943)+1,20),FIND("/",MID($A943,FIND("/",$A943)+1,20))-1))),"")))</f>
        <v/>
      </c>
      <c r="D943">
        <f>IF(OR($A943="",$B943=""),"",IF(ISNUMBER($A943),MOD($A943,100),IFERROR(VALUE(TRIM(MID(MID($A943,FIND("/",$A943)+1,20),FIND("/",MID($A943,FIND("/",$A943)+1,20))+1,20))),"")))</f>
        <v/>
      </c>
      <c r="E943">
        <f>IF($A943="","",IF(OR($B943="",$C943="",$D943="",$B943&lt;1300,$B943&gt;1500,$C943&lt;1,$C943&gt;12,$D943&lt;1,$D943&gt;31),"نامعتبر",RIGHT("0000"&amp;$B943,4)&amp;"/"&amp;RIGHT("00"&amp;$C943,2)&amp;"/"&amp;RIGHT("00"&amp;$D943,2)))</f>
        <v/>
      </c>
      <c r="F943">
        <f>IF(Entry!$D943&lt;&gt;"",IF(AND(ISNUMBER(Entry!$D943),Entry!$D943&gt;=0,Entry!$D943&lt;1),RIGHT("00"&amp;HOUR(Entry!$D943),2)&amp;":"&amp;RIGHT("00"&amp;MINUTE(Entry!$D943),2),IFERROR(RIGHT("00"&amp;VALUE(TRIM(LEFT(Entry!$D943,FIND(":",Entry!$D943)-1))),2)&amp;":"&amp;RIGHT("00"&amp;VALUE(TRIM(MID(Entry!$D943,FIND(":",Entry!$D943)+1,2))),2),"نامعتبر")),IF(OR($E943="",$E943="نامعتبر"),"","00:00"))</f>
        <v/>
      </c>
      <c r="G943">
        <f>IF(OR($E943="",$E943="نامعتبر"),"",IF(Entry!$E943="","",LEFT(UPPER(TRIM(Entry!$E943)),6)))</f>
        <v/>
      </c>
      <c r="H943">
        <f>IF($G943="","",RIGHT($E943,4)&amp;MID($E943,6,2)&amp;RIGHT($E943,2)&amp;IF($F943="","0000",IF($F943="نامعتبر","9999",LEFT($F943,2)&amp;RIGHT($F943,2)))&amp;"|"&amp;RIGHT("00000"&amp;935,5))</f>
        <v/>
      </c>
      <c r="I943">
        <f>IF($H943="","",COUNTIFS(CalcBank,$G943,CalcKey,"&lt;"&amp;$H943)+1)</f>
        <v/>
      </c>
      <c r="J943">
        <f>IF($I943="","",$G943&amp;"|"&amp;RIGHT("000000"&amp;$I943,6))</f>
        <v/>
      </c>
      <c r="K943">
        <f>IF(OR($E943="",$E943="نامعتبر"),"",LEFT($E943,4)&amp;"/"&amp;MID($E943,6,2))</f>
        <v/>
      </c>
      <c r="L943">
        <f>IF(Entry!$K943="",0,Entry!$K943)</f>
        <v/>
      </c>
      <c r="M943">
        <f>IF(Entry!$L943="",0,Entry!$L943)</f>
        <v/>
      </c>
    </row>
    <row r="944">
      <c r="A944">
        <f>IF(Entry!$C944="","",Entry!$C944)</f>
        <v/>
      </c>
      <c r="B944">
        <f>IF($A944="","",IF(ISNUMBER($A944),IF(AND($A944&gt;=10000101,$A944&lt;=99991231),INT($A944/10000),""),IFERROR(VALUE(TRIM(LEFT($A944,FIND("/",$A944)-1))),"")))</f>
        <v/>
      </c>
      <c r="C944">
        <f>IF(OR($A944="",$B944=""),"",IF(ISNUMBER($A944),INT(MOD($A944,10000)/100),IFERROR(VALUE(TRIM(LEFT(MID($A944,FIND("/",$A944)+1,20),FIND("/",MID($A944,FIND("/",$A944)+1,20))-1))),"")))</f>
        <v/>
      </c>
      <c r="D944">
        <f>IF(OR($A944="",$B944=""),"",IF(ISNUMBER($A944),MOD($A944,100),IFERROR(VALUE(TRIM(MID(MID($A944,FIND("/",$A944)+1,20),FIND("/",MID($A944,FIND("/",$A944)+1,20))+1,20))),"")))</f>
        <v/>
      </c>
      <c r="E944">
        <f>IF($A944="","",IF(OR($B944="",$C944="",$D944="",$B944&lt;1300,$B944&gt;1500,$C944&lt;1,$C944&gt;12,$D944&lt;1,$D944&gt;31),"نامعتبر",RIGHT("0000"&amp;$B944,4)&amp;"/"&amp;RIGHT("00"&amp;$C944,2)&amp;"/"&amp;RIGHT("00"&amp;$D944,2)))</f>
        <v/>
      </c>
      <c r="F944">
        <f>IF(Entry!$D944&lt;&gt;"",IF(AND(ISNUMBER(Entry!$D944),Entry!$D944&gt;=0,Entry!$D944&lt;1),RIGHT("00"&amp;HOUR(Entry!$D944),2)&amp;":"&amp;RIGHT("00"&amp;MINUTE(Entry!$D944),2),IFERROR(RIGHT("00"&amp;VALUE(TRIM(LEFT(Entry!$D944,FIND(":",Entry!$D944)-1))),2)&amp;":"&amp;RIGHT("00"&amp;VALUE(TRIM(MID(Entry!$D944,FIND(":",Entry!$D944)+1,2))),2),"نامعتبر")),IF(OR($E944="",$E944="نامعتبر"),"","00:00"))</f>
        <v/>
      </c>
      <c r="G944">
        <f>IF(OR($E944="",$E944="نامعتبر"),"",IF(Entry!$E944="","",LEFT(UPPER(TRIM(Entry!$E944)),6)))</f>
        <v/>
      </c>
      <c r="H944">
        <f>IF($G944="","",RIGHT($E944,4)&amp;MID($E944,6,2)&amp;RIGHT($E944,2)&amp;IF($F944="","0000",IF($F944="نامعتبر","9999",LEFT($F944,2)&amp;RIGHT($F944,2)))&amp;"|"&amp;RIGHT("00000"&amp;936,5))</f>
        <v/>
      </c>
      <c r="I944">
        <f>IF($H944="","",COUNTIFS(CalcBank,$G944,CalcKey,"&lt;"&amp;$H944)+1)</f>
        <v/>
      </c>
      <c r="J944">
        <f>IF($I944="","",$G944&amp;"|"&amp;RIGHT("000000"&amp;$I944,6))</f>
        <v/>
      </c>
      <c r="K944">
        <f>IF(OR($E944="",$E944="نامعتبر"),"",LEFT($E944,4)&amp;"/"&amp;MID($E944,6,2))</f>
        <v/>
      </c>
      <c r="L944">
        <f>IF(Entry!$K944="",0,Entry!$K944)</f>
        <v/>
      </c>
      <c r="M944">
        <f>IF(Entry!$L944="",0,Entry!$L944)</f>
        <v/>
      </c>
    </row>
    <row r="945">
      <c r="A945">
        <f>IF(Entry!$C945="","",Entry!$C945)</f>
        <v/>
      </c>
      <c r="B945">
        <f>IF($A945="","",IF(ISNUMBER($A945),IF(AND($A945&gt;=10000101,$A945&lt;=99991231),INT($A945/10000),""),IFERROR(VALUE(TRIM(LEFT($A945,FIND("/",$A945)-1))),"")))</f>
        <v/>
      </c>
      <c r="C945">
        <f>IF(OR($A945="",$B945=""),"",IF(ISNUMBER($A945),INT(MOD($A945,10000)/100),IFERROR(VALUE(TRIM(LEFT(MID($A945,FIND("/",$A945)+1,20),FIND("/",MID($A945,FIND("/",$A945)+1,20))-1))),"")))</f>
        <v/>
      </c>
      <c r="D945">
        <f>IF(OR($A945="",$B945=""),"",IF(ISNUMBER($A945),MOD($A945,100),IFERROR(VALUE(TRIM(MID(MID($A945,FIND("/",$A945)+1,20),FIND("/",MID($A945,FIND("/",$A945)+1,20))+1,20))),"")))</f>
        <v/>
      </c>
      <c r="E945">
        <f>IF($A945="","",IF(OR($B945="",$C945="",$D945="",$B945&lt;1300,$B945&gt;1500,$C945&lt;1,$C945&gt;12,$D945&lt;1,$D945&gt;31),"نامعتبر",RIGHT("0000"&amp;$B945,4)&amp;"/"&amp;RIGHT("00"&amp;$C945,2)&amp;"/"&amp;RIGHT("00"&amp;$D945,2)))</f>
        <v/>
      </c>
      <c r="F945">
        <f>IF(Entry!$D945&lt;&gt;"",IF(AND(ISNUMBER(Entry!$D945),Entry!$D945&gt;=0,Entry!$D945&lt;1),RIGHT("00"&amp;HOUR(Entry!$D945),2)&amp;":"&amp;RIGHT("00"&amp;MINUTE(Entry!$D945),2),IFERROR(RIGHT("00"&amp;VALUE(TRIM(LEFT(Entry!$D945,FIND(":",Entry!$D945)-1))),2)&amp;":"&amp;RIGHT("00"&amp;VALUE(TRIM(MID(Entry!$D945,FIND(":",Entry!$D945)+1,2))),2),"نامعتبر")),IF(OR($E945="",$E945="نامعتبر"),"","00:00"))</f>
        <v/>
      </c>
      <c r="G945">
        <f>IF(OR($E945="",$E945="نامعتبر"),"",IF(Entry!$E945="","",LEFT(UPPER(TRIM(Entry!$E945)),6)))</f>
        <v/>
      </c>
      <c r="H945">
        <f>IF($G945="","",RIGHT($E945,4)&amp;MID($E945,6,2)&amp;RIGHT($E945,2)&amp;IF($F945="","0000",IF($F945="نامعتبر","9999",LEFT($F945,2)&amp;RIGHT($F945,2)))&amp;"|"&amp;RIGHT("00000"&amp;937,5))</f>
        <v/>
      </c>
      <c r="I945">
        <f>IF($H945="","",COUNTIFS(CalcBank,$G945,CalcKey,"&lt;"&amp;$H945)+1)</f>
        <v/>
      </c>
      <c r="J945">
        <f>IF($I945="","",$G945&amp;"|"&amp;RIGHT("000000"&amp;$I945,6))</f>
        <v/>
      </c>
      <c r="K945">
        <f>IF(OR($E945="",$E945="نامعتبر"),"",LEFT($E945,4)&amp;"/"&amp;MID($E945,6,2))</f>
        <v/>
      </c>
      <c r="L945">
        <f>IF(Entry!$K945="",0,Entry!$K945)</f>
        <v/>
      </c>
      <c r="M945">
        <f>IF(Entry!$L945="",0,Entry!$L945)</f>
        <v/>
      </c>
    </row>
    <row r="946">
      <c r="A946">
        <f>IF(Entry!$C946="","",Entry!$C946)</f>
        <v/>
      </c>
      <c r="B946">
        <f>IF($A946="","",IF(ISNUMBER($A946),IF(AND($A946&gt;=10000101,$A946&lt;=99991231),INT($A946/10000),""),IFERROR(VALUE(TRIM(LEFT($A946,FIND("/",$A946)-1))),"")))</f>
        <v/>
      </c>
      <c r="C946">
        <f>IF(OR($A946="",$B946=""),"",IF(ISNUMBER($A946),INT(MOD($A946,10000)/100),IFERROR(VALUE(TRIM(LEFT(MID($A946,FIND("/",$A946)+1,20),FIND("/",MID($A946,FIND("/",$A946)+1,20))-1))),"")))</f>
        <v/>
      </c>
      <c r="D946">
        <f>IF(OR($A946="",$B946=""),"",IF(ISNUMBER($A946),MOD($A946,100),IFERROR(VALUE(TRIM(MID(MID($A946,FIND("/",$A946)+1,20),FIND("/",MID($A946,FIND("/",$A946)+1,20))+1,20))),"")))</f>
        <v/>
      </c>
      <c r="E946">
        <f>IF($A946="","",IF(OR($B946="",$C946="",$D946="",$B946&lt;1300,$B946&gt;1500,$C946&lt;1,$C946&gt;12,$D946&lt;1,$D946&gt;31),"نامعتبر",RIGHT("0000"&amp;$B946,4)&amp;"/"&amp;RIGHT("00"&amp;$C946,2)&amp;"/"&amp;RIGHT("00"&amp;$D946,2)))</f>
        <v/>
      </c>
      <c r="F946">
        <f>IF(Entry!$D946&lt;&gt;"",IF(AND(ISNUMBER(Entry!$D946),Entry!$D946&gt;=0,Entry!$D946&lt;1),RIGHT("00"&amp;HOUR(Entry!$D946),2)&amp;":"&amp;RIGHT("00"&amp;MINUTE(Entry!$D946),2),IFERROR(RIGHT("00"&amp;VALUE(TRIM(LEFT(Entry!$D946,FIND(":",Entry!$D946)-1))),2)&amp;":"&amp;RIGHT("00"&amp;VALUE(TRIM(MID(Entry!$D946,FIND(":",Entry!$D946)+1,2))),2),"نامعتبر")),IF(OR($E946="",$E946="نامعتبر"),"","00:00"))</f>
        <v/>
      </c>
      <c r="G946">
        <f>IF(OR($E946="",$E946="نامعتبر"),"",IF(Entry!$E946="","",LEFT(UPPER(TRIM(Entry!$E946)),6)))</f>
        <v/>
      </c>
      <c r="H946">
        <f>IF($G946="","",RIGHT($E946,4)&amp;MID($E946,6,2)&amp;RIGHT($E946,2)&amp;IF($F946="","0000",IF($F946="نامعتبر","9999",LEFT($F946,2)&amp;RIGHT($F946,2)))&amp;"|"&amp;RIGHT("00000"&amp;938,5))</f>
        <v/>
      </c>
      <c r="I946">
        <f>IF($H946="","",COUNTIFS(CalcBank,$G946,CalcKey,"&lt;"&amp;$H946)+1)</f>
        <v/>
      </c>
      <c r="J946">
        <f>IF($I946="","",$G946&amp;"|"&amp;RIGHT("000000"&amp;$I946,6))</f>
        <v/>
      </c>
      <c r="K946">
        <f>IF(OR($E946="",$E946="نامعتبر"),"",LEFT($E946,4)&amp;"/"&amp;MID($E946,6,2))</f>
        <v/>
      </c>
      <c r="L946">
        <f>IF(Entry!$K946="",0,Entry!$K946)</f>
        <v/>
      </c>
      <c r="M946">
        <f>IF(Entry!$L946="",0,Entry!$L946)</f>
        <v/>
      </c>
    </row>
    <row r="947">
      <c r="A947">
        <f>IF(Entry!$C947="","",Entry!$C947)</f>
        <v/>
      </c>
      <c r="B947">
        <f>IF($A947="","",IF(ISNUMBER($A947),IF(AND($A947&gt;=10000101,$A947&lt;=99991231),INT($A947/10000),""),IFERROR(VALUE(TRIM(LEFT($A947,FIND("/",$A947)-1))),"")))</f>
        <v/>
      </c>
      <c r="C947">
        <f>IF(OR($A947="",$B947=""),"",IF(ISNUMBER($A947),INT(MOD($A947,10000)/100),IFERROR(VALUE(TRIM(LEFT(MID($A947,FIND("/",$A947)+1,20),FIND("/",MID($A947,FIND("/",$A947)+1,20))-1))),"")))</f>
        <v/>
      </c>
      <c r="D947">
        <f>IF(OR($A947="",$B947=""),"",IF(ISNUMBER($A947),MOD($A947,100),IFERROR(VALUE(TRIM(MID(MID($A947,FIND("/",$A947)+1,20),FIND("/",MID($A947,FIND("/",$A947)+1,20))+1,20))),"")))</f>
        <v/>
      </c>
      <c r="E947">
        <f>IF($A947="","",IF(OR($B947="",$C947="",$D947="",$B947&lt;1300,$B947&gt;1500,$C947&lt;1,$C947&gt;12,$D947&lt;1,$D947&gt;31),"نامعتبر",RIGHT("0000"&amp;$B947,4)&amp;"/"&amp;RIGHT("00"&amp;$C947,2)&amp;"/"&amp;RIGHT("00"&amp;$D947,2)))</f>
        <v/>
      </c>
      <c r="F947">
        <f>IF(Entry!$D947&lt;&gt;"",IF(AND(ISNUMBER(Entry!$D947),Entry!$D947&gt;=0,Entry!$D947&lt;1),RIGHT("00"&amp;HOUR(Entry!$D947),2)&amp;":"&amp;RIGHT("00"&amp;MINUTE(Entry!$D947),2),IFERROR(RIGHT("00"&amp;VALUE(TRIM(LEFT(Entry!$D947,FIND(":",Entry!$D947)-1))),2)&amp;":"&amp;RIGHT("00"&amp;VALUE(TRIM(MID(Entry!$D947,FIND(":",Entry!$D947)+1,2))),2),"نامعتبر")),IF(OR($E947="",$E947="نامعتبر"),"","00:00"))</f>
        <v/>
      </c>
      <c r="G947">
        <f>IF(OR($E947="",$E947="نامعتبر"),"",IF(Entry!$E947="","",LEFT(UPPER(TRIM(Entry!$E947)),6)))</f>
        <v/>
      </c>
      <c r="H947">
        <f>IF($G947="","",RIGHT($E947,4)&amp;MID($E947,6,2)&amp;RIGHT($E947,2)&amp;IF($F947="","0000",IF($F947="نامعتبر","9999",LEFT($F947,2)&amp;RIGHT($F947,2)))&amp;"|"&amp;RIGHT("00000"&amp;939,5))</f>
        <v/>
      </c>
      <c r="I947">
        <f>IF($H947="","",COUNTIFS(CalcBank,$G947,CalcKey,"&lt;"&amp;$H947)+1)</f>
        <v/>
      </c>
      <c r="J947">
        <f>IF($I947="","",$G947&amp;"|"&amp;RIGHT("000000"&amp;$I947,6))</f>
        <v/>
      </c>
      <c r="K947">
        <f>IF(OR($E947="",$E947="نامعتبر"),"",LEFT($E947,4)&amp;"/"&amp;MID($E947,6,2))</f>
        <v/>
      </c>
      <c r="L947">
        <f>IF(Entry!$K947="",0,Entry!$K947)</f>
        <v/>
      </c>
      <c r="M947">
        <f>IF(Entry!$L947="",0,Entry!$L947)</f>
        <v/>
      </c>
    </row>
    <row r="948">
      <c r="A948">
        <f>IF(Entry!$C948="","",Entry!$C948)</f>
        <v/>
      </c>
      <c r="B948">
        <f>IF($A948="","",IF(ISNUMBER($A948),IF(AND($A948&gt;=10000101,$A948&lt;=99991231),INT($A948/10000),""),IFERROR(VALUE(TRIM(LEFT($A948,FIND("/",$A948)-1))),"")))</f>
        <v/>
      </c>
      <c r="C948">
        <f>IF(OR($A948="",$B948=""),"",IF(ISNUMBER($A948),INT(MOD($A948,10000)/100),IFERROR(VALUE(TRIM(LEFT(MID($A948,FIND("/",$A948)+1,20),FIND("/",MID($A948,FIND("/",$A948)+1,20))-1))),"")))</f>
        <v/>
      </c>
      <c r="D948">
        <f>IF(OR($A948="",$B948=""),"",IF(ISNUMBER($A948),MOD($A948,100),IFERROR(VALUE(TRIM(MID(MID($A948,FIND("/",$A948)+1,20),FIND("/",MID($A948,FIND("/",$A948)+1,20))+1,20))),"")))</f>
        <v/>
      </c>
      <c r="E948">
        <f>IF($A948="","",IF(OR($B948="",$C948="",$D948="",$B948&lt;1300,$B948&gt;1500,$C948&lt;1,$C948&gt;12,$D948&lt;1,$D948&gt;31),"نامعتبر",RIGHT("0000"&amp;$B948,4)&amp;"/"&amp;RIGHT("00"&amp;$C948,2)&amp;"/"&amp;RIGHT("00"&amp;$D948,2)))</f>
        <v/>
      </c>
      <c r="F948">
        <f>IF(Entry!$D948&lt;&gt;"",IF(AND(ISNUMBER(Entry!$D948),Entry!$D948&gt;=0,Entry!$D948&lt;1),RIGHT("00"&amp;HOUR(Entry!$D948),2)&amp;":"&amp;RIGHT("00"&amp;MINUTE(Entry!$D948),2),IFERROR(RIGHT("00"&amp;VALUE(TRIM(LEFT(Entry!$D948,FIND(":",Entry!$D948)-1))),2)&amp;":"&amp;RIGHT("00"&amp;VALUE(TRIM(MID(Entry!$D948,FIND(":",Entry!$D948)+1,2))),2),"نامعتبر")),IF(OR($E948="",$E948="نامعتبر"),"","00:00"))</f>
        <v/>
      </c>
      <c r="G948">
        <f>IF(OR($E948="",$E948="نامعتبر"),"",IF(Entry!$E948="","",LEFT(UPPER(TRIM(Entry!$E948)),6)))</f>
        <v/>
      </c>
      <c r="H948">
        <f>IF($G948="","",RIGHT($E948,4)&amp;MID($E948,6,2)&amp;RIGHT($E948,2)&amp;IF($F948="","0000",IF($F948="نامعتبر","9999",LEFT($F948,2)&amp;RIGHT($F948,2)))&amp;"|"&amp;RIGHT("00000"&amp;940,5))</f>
        <v/>
      </c>
      <c r="I948">
        <f>IF($H948="","",COUNTIFS(CalcBank,$G948,CalcKey,"&lt;"&amp;$H948)+1)</f>
        <v/>
      </c>
      <c r="J948">
        <f>IF($I948="","",$G948&amp;"|"&amp;RIGHT("000000"&amp;$I948,6))</f>
        <v/>
      </c>
      <c r="K948">
        <f>IF(OR($E948="",$E948="نامعتبر"),"",LEFT($E948,4)&amp;"/"&amp;MID($E948,6,2))</f>
        <v/>
      </c>
      <c r="L948">
        <f>IF(Entry!$K948="",0,Entry!$K948)</f>
        <v/>
      </c>
      <c r="M948">
        <f>IF(Entry!$L948="",0,Entry!$L948)</f>
        <v/>
      </c>
    </row>
    <row r="949">
      <c r="A949">
        <f>IF(Entry!$C949="","",Entry!$C949)</f>
        <v/>
      </c>
      <c r="B949">
        <f>IF($A949="","",IF(ISNUMBER($A949),IF(AND($A949&gt;=10000101,$A949&lt;=99991231),INT($A949/10000),""),IFERROR(VALUE(TRIM(LEFT($A949,FIND("/",$A949)-1))),"")))</f>
        <v/>
      </c>
      <c r="C949">
        <f>IF(OR($A949="",$B949=""),"",IF(ISNUMBER($A949),INT(MOD($A949,10000)/100),IFERROR(VALUE(TRIM(LEFT(MID($A949,FIND("/",$A949)+1,20),FIND("/",MID($A949,FIND("/",$A949)+1,20))-1))),"")))</f>
        <v/>
      </c>
      <c r="D949">
        <f>IF(OR($A949="",$B949=""),"",IF(ISNUMBER($A949),MOD($A949,100),IFERROR(VALUE(TRIM(MID(MID($A949,FIND("/",$A949)+1,20),FIND("/",MID($A949,FIND("/",$A949)+1,20))+1,20))),"")))</f>
        <v/>
      </c>
      <c r="E949">
        <f>IF($A949="","",IF(OR($B949="",$C949="",$D949="",$B949&lt;1300,$B949&gt;1500,$C949&lt;1,$C949&gt;12,$D949&lt;1,$D949&gt;31),"نامعتبر",RIGHT("0000"&amp;$B949,4)&amp;"/"&amp;RIGHT("00"&amp;$C949,2)&amp;"/"&amp;RIGHT("00"&amp;$D949,2)))</f>
        <v/>
      </c>
      <c r="F949">
        <f>IF(Entry!$D949&lt;&gt;"",IF(AND(ISNUMBER(Entry!$D949),Entry!$D949&gt;=0,Entry!$D949&lt;1),RIGHT("00"&amp;HOUR(Entry!$D949),2)&amp;":"&amp;RIGHT("00"&amp;MINUTE(Entry!$D949),2),IFERROR(RIGHT("00"&amp;VALUE(TRIM(LEFT(Entry!$D949,FIND(":",Entry!$D949)-1))),2)&amp;":"&amp;RIGHT("00"&amp;VALUE(TRIM(MID(Entry!$D949,FIND(":",Entry!$D949)+1,2))),2),"نامعتبر")),IF(OR($E949="",$E949="نامعتبر"),"","00:00"))</f>
        <v/>
      </c>
      <c r="G949">
        <f>IF(OR($E949="",$E949="نامعتبر"),"",IF(Entry!$E949="","",LEFT(UPPER(TRIM(Entry!$E949)),6)))</f>
        <v/>
      </c>
      <c r="H949">
        <f>IF($G949="","",RIGHT($E949,4)&amp;MID($E949,6,2)&amp;RIGHT($E949,2)&amp;IF($F949="","0000",IF($F949="نامعتبر","9999",LEFT($F949,2)&amp;RIGHT($F949,2)))&amp;"|"&amp;RIGHT("00000"&amp;941,5))</f>
        <v/>
      </c>
      <c r="I949">
        <f>IF($H949="","",COUNTIFS(CalcBank,$G949,CalcKey,"&lt;"&amp;$H949)+1)</f>
        <v/>
      </c>
      <c r="J949">
        <f>IF($I949="","",$G949&amp;"|"&amp;RIGHT("000000"&amp;$I949,6))</f>
        <v/>
      </c>
      <c r="K949">
        <f>IF(OR($E949="",$E949="نامعتبر"),"",LEFT($E949,4)&amp;"/"&amp;MID($E949,6,2))</f>
        <v/>
      </c>
      <c r="L949">
        <f>IF(Entry!$K949="",0,Entry!$K949)</f>
        <v/>
      </c>
      <c r="M949">
        <f>IF(Entry!$L949="",0,Entry!$L949)</f>
        <v/>
      </c>
    </row>
    <row r="950">
      <c r="A950">
        <f>IF(Entry!$C950="","",Entry!$C950)</f>
        <v/>
      </c>
      <c r="B950">
        <f>IF($A950="","",IF(ISNUMBER($A950),IF(AND($A950&gt;=10000101,$A950&lt;=99991231),INT($A950/10000),""),IFERROR(VALUE(TRIM(LEFT($A950,FIND("/",$A950)-1))),"")))</f>
        <v/>
      </c>
      <c r="C950">
        <f>IF(OR($A950="",$B950=""),"",IF(ISNUMBER($A950),INT(MOD($A950,10000)/100),IFERROR(VALUE(TRIM(LEFT(MID($A950,FIND("/",$A950)+1,20),FIND("/",MID($A950,FIND("/",$A950)+1,20))-1))),"")))</f>
        <v/>
      </c>
      <c r="D950">
        <f>IF(OR($A950="",$B950=""),"",IF(ISNUMBER($A950),MOD($A950,100),IFERROR(VALUE(TRIM(MID(MID($A950,FIND("/",$A950)+1,20),FIND("/",MID($A950,FIND("/",$A950)+1,20))+1,20))),"")))</f>
        <v/>
      </c>
      <c r="E950">
        <f>IF($A950="","",IF(OR($B950="",$C950="",$D950="",$B950&lt;1300,$B950&gt;1500,$C950&lt;1,$C950&gt;12,$D950&lt;1,$D950&gt;31),"نامعتبر",RIGHT("0000"&amp;$B950,4)&amp;"/"&amp;RIGHT("00"&amp;$C950,2)&amp;"/"&amp;RIGHT("00"&amp;$D950,2)))</f>
        <v/>
      </c>
      <c r="F950">
        <f>IF(Entry!$D950&lt;&gt;"",IF(AND(ISNUMBER(Entry!$D950),Entry!$D950&gt;=0,Entry!$D950&lt;1),RIGHT("00"&amp;HOUR(Entry!$D950),2)&amp;":"&amp;RIGHT("00"&amp;MINUTE(Entry!$D950),2),IFERROR(RIGHT("00"&amp;VALUE(TRIM(LEFT(Entry!$D950,FIND(":",Entry!$D950)-1))),2)&amp;":"&amp;RIGHT("00"&amp;VALUE(TRIM(MID(Entry!$D950,FIND(":",Entry!$D950)+1,2))),2),"نامعتبر")),IF(OR($E950="",$E950="نامعتبر"),"","00:00"))</f>
        <v/>
      </c>
      <c r="G950">
        <f>IF(OR($E950="",$E950="نامعتبر"),"",IF(Entry!$E950="","",LEFT(UPPER(TRIM(Entry!$E950)),6)))</f>
        <v/>
      </c>
      <c r="H950">
        <f>IF($G950="","",RIGHT($E950,4)&amp;MID($E950,6,2)&amp;RIGHT($E950,2)&amp;IF($F950="","0000",IF($F950="نامعتبر","9999",LEFT($F950,2)&amp;RIGHT($F950,2)))&amp;"|"&amp;RIGHT("00000"&amp;942,5))</f>
        <v/>
      </c>
      <c r="I950">
        <f>IF($H950="","",COUNTIFS(CalcBank,$G950,CalcKey,"&lt;"&amp;$H950)+1)</f>
        <v/>
      </c>
      <c r="J950">
        <f>IF($I950="","",$G950&amp;"|"&amp;RIGHT("000000"&amp;$I950,6))</f>
        <v/>
      </c>
      <c r="K950">
        <f>IF(OR($E950="",$E950="نامعتبر"),"",LEFT($E950,4)&amp;"/"&amp;MID($E950,6,2))</f>
        <v/>
      </c>
      <c r="L950">
        <f>IF(Entry!$K950="",0,Entry!$K950)</f>
        <v/>
      </c>
      <c r="M950">
        <f>IF(Entry!$L950="",0,Entry!$L950)</f>
        <v/>
      </c>
    </row>
    <row r="951">
      <c r="A951">
        <f>IF(Entry!$C951="","",Entry!$C951)</f>
        <v/>
      </c>
      <c r="B951">
        <f>IF($A951="","",IF(ISNUMBER($A951),IF(AND($A951&gt;=10000101,$A951&lt;=99991231),INT($A951/10000),""),IFERROR(VALUE(TRIM(LEFT($A951,FIND("/",$A951)-1))),"")))</f>
        <v/>
      </c>
      <c r="C951">
        <f>IF(OR($A951="",$B951=""),"",IF(ISNUMBER($A951),INT(MOD($A951,10000)/100),IFERROR(VALUE(TRIM(LEFT(MID($A951,FIND("/",$A951)+1,20),FIND("/",MID($A951,FIND("/",$A951)+1,20))-1))),"")))</f>
        <v/>
      </c>
      <c r="D951">
        <f>IF(OR($A951="",$B951=""),"",IF(ISNUMBER($A951),MOD($A951,100),IFERROR(VALUE(TRIM(MID(MID($A951,FIND("/",$A951)+1,20),FIND("/",MID($A951,FIND("/",$A951)+1,20))+1,20))),"")))</f>
        <v/>
      </c>
      <c r="E951">
        <f>IF($A951="","",IF(OR($B951="",$C951="",$D951="",$B951&lt;1300,$B951&gt;1500,$C951&lt;1,$C951&gt;12,$D951&lt;1,$D951&gt;31),"نامعتبر",RIGHT("0000"&amp;$B951,4)&amp;"/"&amp;RIGHT("00"&amp;$C951,2)&amp;"/"&amp;RIGHT("00"&amp;$D951,2)))</f>
        <v/>
      </c>
      <c r="F951">
        <f>IF(Entry!$D951&lt;&gt;"",IF(AND(ISNUMBER(Entry!$D951),Entry!$D951&gt;=0,Entry!$D951&lt;1),RIGHT("00"&amp;HOUR(Entry!$D951),2)&amp;":"&amp;RIGHT("00"&amp;MINUTE(Entry!$D951),2),IFERROR(RIGHT("00"&amp;VALUE(TRIM(LEFT(Entry!$D951,FIND(":",Entry!$D951)-1))),2)&amp;":"&amp;RIGHT("00"&amp;VALUE(TRIM(MID(Entry!$D951,FIND(":",Entry!$D951)+1,2))),2),"نامعتبر")),IF(OR($E951="",$E951="نامعتبر"),"","00:00"))</f>
        <v/>
      </c>
      <c r="G951">
        <f>IF(OR($E951="",$E951="نامعتبر"),"",IF(Entry!$E951="","",LEFT(UPPER(TRIM(Entry!$E951)),6)))</f>
        <v/>
      </c>
      <c r="H951">
        <f>IF($G951="","",RIGHT($E951,4)&amp;MID($E951,6,2)&amp;RIGHT($E951,2)&amp;IF($F951="","0000",IF($F951="نامعتبر","9999",LEFT($F951,2)&amp;RIGHT($F951,2)))&amp;"|"&amp;RIGHT("00000"&amp;943,5))</f>
        <v/>
      </c>
      <c r="I951">
        <f>IF($H951="","",COUNTIFS(CalcBank,$G951,CalcKey,"&lt;"&amp;$H951)+1)</f>
        <v/>
      </c>
      <c r="J951">
        <f>IF($I951="","",$G951&amp;"|"&amp;RIGHT("000000"&amp;$I951,6))</f>
        <v/>
      </c>
      <c r="K951">
        <f>IF(OR($E951="",$E951="نامعتبر"),"",LEFT($E951,4)&amp;"/"&amp;MID($E951,6,2))</f>
        <v/>
      </c>
      <c r="L951">
        <f>IF(Entry!$K951="",0,Entry!$K951)</f>
        <v/>
      </c>
      <c r="M951">
        <f>IF(Entry!$L951="",0,Entry!$L951)</f>
        <v/>
      </c>
    </row>
    <row r="952">
      <c r="A952">
        <f>IF(Entry!$C952="","",Entry!$C952)</f>
        <v/>
      </c>
      <c r="B952">
        <f>IF($A952="","",IF(ISNUMBER($A952),IF(AND($A952&gt;=10000101,$A952&lt;=99991231),INT($A952/10000),""),IFERROR(VALUE(TRIM(LEFT($A952,FIND("/",$A952)-1))),"")))</f>
        <v/>
      </c>
      <c r="C952">
        <f>IF(OR($A952="",$B952=""),"",IF(ISNUMBER($A952),INT(MOD($A952,10000)/100),IFERROR(VALUE(TRIM(LEFT(MID($A952,FIND("/",$A952)+1,20),FIND("/",MID($A952,FIND("/",$A952)+1,20))-1))),"")))</f>
        <v/>
      </c>
      <c r="D952">
        <f>IF(OR($A952="",$B952=""),"",IF(ISNUMBER($A952),MOD($A952,100),IFERROR(VALUE(TRIM(MID(MID($A952,FIND("/",$A952)+1,20),FIND("/",MID($A952,FIND("/",$A952)+1,20))+1,20))),"")))</f>
        <v/>
      </c>
      <c r="E952">
        <f>IF($A952="","",IF(OR($B952="",$C952="",$D952="",$B952&lt;1300,$B952&gt;1500,$C952&lt;1,$C952&gt;12,$D952&lt;1,$D952&gt;31),"نامعتبر",RIGHT("0000"&amp;$B952,4)&amp;"/"&amp;RIGHT("00"&amp;$C952,2)&amp;"/"&amp;RIGHT("00"&amp;$D952,2)))</f>
        <v/>
      </c>
      <c r="F952">
        <f>IF(Entry!$D952&lt;&gt;"",IF(AND(ISNUMBER(Entry!$D952),Entry!$D952&gt;=0,Entry!$D952&lt;1),RIGHT("00"&amp;HOUR(Entry!$D952),2)&amp;":"&amp;RIGHT("00"&amp;MINUTE(Entry!$D952),2),IFERROR(RIGHT("00"&amp;VALUE(TRIM(LEFT(Entry!$D952,FIND(":",Entry!$D952)-1))),2)&amp;":"&amp;RIGHT("00"&amp;VALUE(TRIM(MID(Entry!$D952,FIND(":",Entry!$D952)+1,2))),2),"نامعتبر")),IF(OR($E952="",$E952="نامعتبر"),"","00:00"))</f>
        <v/>
      </c>
      <c r="G952">
        <f>IF(OR($E952="",$E952="نامعتبر"),"",IF(Entry!$E952="","",LEFT(UPPER(TRIM(Entry!$E952)),6)))</f>
        <v/>
      </c>
      <c r="H952">
        <f>IF($G952="","",RIGHT($E952,4)&amp;MID($E952,6,2)&amp;RIGHT($E952,2)&amp;IF($F952="","0000",IF($F952="نامعتبر","9999",LEFT($F952,2)&amp;RIGHT($F952,2)))&amp;"|"&amp;RIGHT("00000"&amp;944,5))</f>
        <v/>
      </c>
      <c r="I952">
        <f>IF($H952="","",COUNTIFS(CalcBank,$G952,CalcKey,"&lt;"&amp;$H952)+1)</f>
        <v/>
      </c>
      <c r="J952">
        <f>IF($I952="","",$G952&amp;"|"&amp;RIGHT("000000"&amp;$I952,6))</f>
        <v/>
      </c>
      <c r="K952">
        <f>IF(OR($E952="",$E952="نامعتبر"),"",LEFT($E952,4)&amp;"/"&amp;MID($E952,6,2))</f>
        <v/>
      </c>
      <c r="L952">
        <f>IF(Entry!$K952="",0,Entry!$K952)</f>
        <v/>
      </c>
      <c r="M952">
        <f>IF(Entry!$L952="",0,Entry!$L952)</f>
        <v/>
      </c>
    </row>
    <row r="953">
      <c r="A953">
        <f>IF(Entry!$C953="","",Entry!$C953)</f>
        <v/>
      </c>
      <c r="B953">
        <f>IF($A953="","",IF(ISNUMBER($A953),IF(AND($A953&gt;=10000101,$A953&lt;=99991231),INT($A953/10000),""),IFERROR(VALUE(TRIM(LEFT($A953,FIND("/",$A953)-1))),"")))</f>
        <v/>
      </c>
      <c r="C953">
        <f>IF(OR($A953="",$B953=""),"",IF(ISNUMBER($A953),INT(MOD($A953,10000)/100),IFERROR(VALUE(TRIM(LEFT(MID($A953,FIND("/",$A953)+1,20),FIND("/",MID($A953,FIND("/",$A953)+1,20))-1))),"")))</f>
        <v/>
      </c>
      <c r="D953">
        <f>IF(OR($A953="",$B953=""),"",IF(ISNUMBER($A953),MOD($A953,100),IFERROR(VALUE(TRIM(MID(MID($A953,FIND("/",$A953)+1,20),FIND("/",MID($A953,FIND("/",$A953)+1,20))+1,20))),"")))</f>
        <v/>
      </c>
      <c r="E953">
        <f>IF($A953="","",IF(OR($B953="",$C953="",$D953="",$B953&lt;1300,$B953&gt;1500,$C953&lt;1,$C953&gt;12,$D953&lt;1,$D953&gt;31),"نامعتبر",RIGHT("0000"&amp;$B953,4)&amp;"/"&amp;RIGHT("00"&amp;$C953,2)&amp;"/"&amp;RIGHT("00"&amp;$D953,2)))</f>
        <v/>
      </c>
      <c r="F953">
        <f>IF(Entry!$D953&lt;&gt;"",IF(AND(ISNUMBER(Entry!$D953),Entry!$D953&gt;=0,Entry!$D953&lt;1),RIGHT("00"&amp;HOUR(Entry!$D953),2)&amp;":"&amp;RIGHT("00"&amp;MINUTE(Entry!$D953),2),IFERROR(RIGHT("00"&amp;VALUE(TRIM(LEFT(Entry!$D953,FIND(":",Entry!$D953)-1))),2)&amp;":"&amp;RIGHT("00"&amp;VALUE(TRIM(MID(Entry!$D953,FIND(":",Entry!$D953)+1,2))),2),"نامعتبر")),IF(OR($E953="",$E953="نامعتبر"),"","00:00"))</f>
        <v/>
      </c>
      <c r="G953">
        <f>IF(OR($E953="",$E953="نامعتبر"),"",IF(Entry!$E953="","",LEFT(UPPER(TRIM(Entry!$E953)),6)))</f>
        <v/>
      </c>
      <c r="H953">
        <f>IF($G953="","",RIGHT($E953,4)&amp;MID($E953,6,2)&amp;RIGHT($E953,2)&amp;IF($F953="","0000",IF($F953="نامعتبر","9999",LEFT($F953,2)&amp;RIGHT($F953,2)))&amp;"|"&amp;RIGHT("00000"&amp;945,5))</f>
        <v/>
      </c>
      <c r="I953">
        <f>IF($H953="","",COUNTIFS(CalcBank,$G953,CalcKey,"&lt;"&amp;$H953)+1)</f>
        <v/>
      </c>
      <c r="J953">
        <f>IF($I953="","",$G953&amp;"|"&amp;RIGHT("000000"&amp;$I953,6))</f>
        <v/>
      </c>
      <c r="K953">
        <f>IF(OR($E953="",$E953="نامعتبر"),"",LEFT($E953,4)&amp;"/"&amp;MID($E953,6,2))</f>
        <v/>
      </c>
      <c r="L953">
        <f>IF(Entry!$K953="",0,Entry!$K953)</f>
        <v/>
      </c>
      <c r="M953">
        <f>IF(Entry!$L953="",0,Entry!$L953)</f>
        <v/>
      </c>
    </row>
    <row r="954">
      <c r="A954">
        <f>IF(Entry!$C954="","",Entry!$C954)</f>
        <v/>
      </c>
      <c r="B954">
        <f>IF($A954="","",IF(ISNUMBER($A954),IF(AND($A954&gt;=10000101,$A954&lt;=99991231),INT($A954/10000),""),IFERROR(VALUE(TRIM(LEFT($A954,FIND("/",$A954)-1))),"")))</f>
        <v/>
      </c>
      <c r="C954">
        <f>IF(OR($A954="",$B954=""),"",IF(ISNUMBER($A954),INT(MOD($A954,10000)/100),IFERROR(VALUE(TRIM(LEFT(MID($A954,FIND("/",$A954)+1,20),FIND("/",MID($A954,FIND("/",$A954)+1,20))-1))),"")))</f>
        <v/>
      </c>
      <c r="D954">
        <f>IF(OR($A954="",$B954=""),"",IF(ISNUMBER($A954),MOD($A954,100),IFERROR(VALUE(TRIM(MID(MID($A954,FIND("/",$A954)+1,20),FIND("/",MID($A954,FIND("/",$A954)+1,20))+1,20))),"")))</f>
        <v/>
      </c>
      <c r="E954">
        <f>IF($A954="","",IF(OR($B954="",$C954="",$D954="",$B954&lt;1300,$B954&gt;1500,$C954&lt;1,$C954&gt;12,$D954&lt;1,$D954&gt;31),"نامعتبر",RIGHT("0000"&amp;$B954,4)&amp;"/"&amp;RIGHT("00"&amp;$C954,2)&amp;"/"&amp;RIGHT("00"&amp;$D954,2)))</f>
        <v/>
      </c>
      <c r="F954">
        <f>IF(Entry!$D954&lt;&gt;"",IF(AND(ISNUMBER(Entry!$D954),Entry!$D954&gt;=0,Entry!$D954&lt;1),RIGHT("00"&amp;HOUR(Entry!$D954),2)&amp;":"&amp;RIGHT("00"&amp;MINUTE(Entry!$D954),2),IFERROR(RIGHT("00"&amp;VALUE(TRIM(LEFT(Entry!$D954,FIND(":",Entry!$D954)-1))),2)&amp;":"&amp;RIGHT("00"&amp;VALUE(TRIM(MID(Entry!$D954,FIND(":",Entry!$D954)+1,2))),2),"نامعتبر")),IF(OR($E954="",$E954="نامعتبر"),"","00:00"))</f>
        <v/>
      </c>
      <c r="G954">
        <f>IF(OR($E954="",$E954="نامعتبر"),"",IF(Entry!$E954="","",LEFT(UPPER(TRIM(Entry!$E954)),6)))</f>
        <v/>
      </c>
      <c r="H954">
        <f>IF($G954="","",RIGHT($E954,4)&amp;MID($E954,6,2)&amp;RIGHT($E954,2)&amp;IF($F954="","0000",IF($F954="نامعتبر","9999",LEFT($F954,2)&amp;RIGHT($F954,2)))&amp;"|"&amp;RIGHT("00000"&amp;946,5))</f>
        <v/>
      </c>
      <c r="I954">
        <f>IF($H954="","",COUNTIFS(CalcBank,$G954,CalcKey,"&lt;"&amp;$H954)+1)</f>
        <v/>
      </c>
      <c r="J954">
        <f>IF($I954="","",$G954&amp;"|"&amp;RIGHT("000000"&amp;$I954,6))</f>
        <v/>
      </c>
      <c r="K954">
        <f>IF(OR($E954="",$E954="نامعتبر"),"",LEFT($E954,4)&amp;"/"&amp;MID($E954,6,2))</f>
        <v/>
      </c>
      <c r="L954">
        <f>IF(Entry!$K954="",0,Entry!$K954)</f>
        <v/>
      </c>
      <c r="M954">
        <f>IF(Entry!$L954="",0,Entry!$L954)</f>
        <v/>
      </c>
    </row>
    <row r="955">
      <c r="A955">
        <f>IF(Entry!$C955="","",Entry!$C955)</f>
        <v/>
      </c>
      <c r="B955">
        <f>IF($A955="","",IF(ISNUMBER($A955),IF(AND($A955&gt;=10000101,$A955&lt;=99991231),INT($A955/10000),""),IFERROR(VALUE(TRIM(LEFT($A955,FIND("/",$A955)-1))),"")))</f>
        <v/>
      </c>
      <c r="C955">
        <f>IF(OR($A955="",$B955=""),"",IF(ISNUMBER($A955),INT(MOD($A955,10000)/100),IFERROR(VALUE(TRIM(LEFT(MID($A955,FIND("/",$A955)+1,20),FIND("/",MID($A955,FIND("/",$A955)+1,20))-1))),"")))</f>
        <v/>
      </c>
      <c r="D955">
        <f>IF(OR($A955="",$B955=""),"",IF(ISNUMBER($A955),MOD($A955,100),IFERROR(VALUE(TRIM(MID(MID($A955,FIND("/",$A955)+1,20),FIND("/",MID($A955,FIND("/",$A955)+1,20))+1,20))),"")))</f>
        <v/>
      </c>
      <c r="E955">
        <f>IF($A955="","",IF(OR($B955="",$C955="",$D955="",$B955&lt;1300,$B955&gt;1500,$C955&lt;1,$C955&gt;12,$D955&lt;1,$D955&gt;31),"نامعتبر",RIGHT("0000"&amp;$B955,4)&amp;"/"&amp;RIGHT("00"&amp;$C955,2)&amp;"/"&amp;RIGHT("00"&amp;$D955,2)))</f>
        <v/>
      </c>
      <c r="F955">
        <f>IF(Entry!$D955&lt;&gt;"",IF(AND(ISNUMBER(Entry!$D955),Entry!$D955&gt;=0,Entry!$D955&lt;1),RIGHT("00"&amp;HOUR(Entry!$D955),2)&amp;":"&amp;RIGHT("00"&amp;MINUTE(Entry!$D955),2),IFERROR(RIGHT("00"&amp;VALUE(TRIM(LEFT(Entry!$D955,FIND(":",Entry!$D955)-1))),2)&amp;":"&amp;RIGHT("00"&amp;VALUE(TRIM(MID(Entry!$D955,FIND(":",Entry!$D955)+1,2))),2),"نامعتبر")),IF(OR($E955="",$E955="نامعتبر"),"","00:00"))</f>
        <v/>
      </c>
      <c r="G955">
        <f>IF(OR($E955="",$E955="نامعتبر"),"",IF(Entry!$E955="","",LEFT(UPPER(TRIM(Entry!$E955)),6)))</f>
        <v/>
      </c>
      <c r="H955">
        <f>IF($G955="","",RIGHT($E955,4)&amp;MID($E955,6,2)&amp;RIGHT($E955,2)&amp;IF($F955="","0000",IF($F955="نامعتبر","9999",LEFT($F955,2)&amp;RIGHT($F955,2)))&amp;"|"&amp;RIGHT("00000"&amp;947,5))</f>
        <v/>
      </c>
      <c r="I955">
        <f>IF($H955="","",COUNTIFS(CalcBank,$G955,CalcKey,"&lt;"&amp;$H955)+1)</f>
        <v/>
      </c>
      <c r="J955">
        <f>IF($I955="","",$G955&amp;"|"&amp;RIGHT("000000"&amp;$I955,6))</f>
        <v/>
      </c>
      <c r="K955">
        <f>IF(OR($E955="",$E955="نامعتبر"),"",LEFT($E955,4)&amp;"/"&amp;MID($E955,6,2))</f>
        <v/>
      </c>
      <c r="L955">
        <f>IF(Entry!$K955="",0,Entry!$K955)</f>
        <v/>
      </c>
      <c r="M955">
        <f>IF(Entry!$L955="",0,Entry!$L955)</f>
        <v/>
      </c>
    </row>
    <row r="956">
      <c r="A956">
        <f>IF(Entry!$C956="","",Entry!$C956)</f>
        <v/>
      </c>
      <c r="B956">
        <f>IF($A956="","",IF(ISNUMBER($A956),IF(AND($A956&gt;=10000101,$A956&lt;=99991231),INT($A956/10000),""),IFERROR(VALUE(TRIM(LEFT($A956,FIND("/",$A956)-1))),"")))</f>
        <v/>
      </c>
      <c r="C956">
        <f>IF(OR($A956="",$B956=""),"",IF(ISNUMBER($A956),INT(MOD($A956,10000)/100),IFERROR(VALUE(TRIM(LEFT(MID($A956,FIND("/",$A956)+1,20),FIND("/",MID($A956,FIND("/",$A956)+1,20))-1))),"")))</f>
        <v/>
      </c>
      <c r="D956">
        <f>IF(OR($A956="",$B956=""),"",IF(ISNUMBER($A956),MOD($A956,100),IFERROR(VALUE(TRIM(MID(MID($A956,FIND("/",$A956)+1,20),FIND("/",MID($A956,FIND("/",$A956)+1,20))+1,20))),"")))</f>
        <v/>
      </c>
      <c r="E956">
        <f>IF($A956="","",IF(OR($B956="",$C956="",$D956="",$B956&lt;1300,$B956&gt;1500,$C956&lt;1,$C956&gt;12,$D956&lt;1,$D956&gt;31),"نامعتبر",RIGHT("0000"&amp;$B956,4)&amp;"/"&amp;RIGHT("00"&amp;$C956,2)&amp;"/"&amp;RIGHT("00"&amp;$D956,2)))</f>
        <v/>
      </c>
      <c r="F956">
        <f>IF(Entry!$D956&lt;&gt;"",IF(AND(ISNUMBER(Entry!$D956),Entry!$D956&gt;=0,Entry!$D956&lt;1),RIGHT("00"&amp;HOUR(Entry!$D956),2)&amp;":"&amp;RIGHT("00"&amp;MINUTE(Entry!$D956),2),IFERROR(RIGHT("00"&amp;VALUE(TRIM(LEFT(Entry!$D956,FIND(":",Entry!$D956)-1))),2)&amp;":"&amp;RIGHT("00"&amp;VALUE(TRIM(MID(Entry!$D956,FIND(":",Entry!$D956)+1,2))),2),"نامعتبر")),IF(OR($E956="",$E956="نامعتبر"),"","00:00"))</f>
        <v/>
      </c>
      <c r="G956">
        <f>IF(OR($E956="",$E956="نامعتبر"),"",IF(Entry!$E956="","",LEFT(UPPER(TRIM(Entry!$E956)),6)))</f>
        <v/>
      </c>
      <c r="H956">
        <f>IF($G956="","",RIGHT($E956,4)&amp;MID($E956,6,2)&amp;RIGHT($E956,2)&amp;IF($F956="","0000",IF($F956="نامعتبر","9999",LEFT($F956,2)&amp;RIGHT($F956,2)))&amp;"|"&amp;RIGHT("00000"&amp;948,5))</f>
        <v/>
      </c>
      <c r="I956">
        <f>IF($H956="","",COUNTIFS(CalcBank,$G956,CalcKey,"&lt;"&amp;$H956)+1)</f>
        <v/>
      </c>
      <c r="J956">
        <f>IF($I956="","",$G956&amp;"|"&amp;RIGHT("000000"&amp;$I956,6))</f>
        <v/>
      </c>
      <c r="K956">
        <f>IF(OR($E956="",$E956="نامعتبر"),"",LEFT($E956,4)&amp;"/"&amp;MID($E956,6,2))</f>
        <v/>
      </c>
      <c r="L956">
        <f>IF(Entry!$K956="",0,Entry!$K956)</f>
        <v/>
      </c>
      <c r="M956">
        <f>IF(Entry!$L956="",0,Entry!$L956)</f>
        <v/>
      </c>
    </row>
    <row r="957">
      <c r="A957">
        <f>IF(Entry!$C957="","",Entry!$C957)</f>
        <v/>
      </c>
      <c r="B957">
        <f>IF($A957="","",IF(ISNUMBER($A957),IF(AND($A957&gt;=10000101,$A957&lt;=99991231),INT($A957/10000),""),IFERROR(VALUE(TRIM(LEFT($A957,FIND("/",$A957)-1))),"")))</f>
        <v/>
      </c>
      <c r="C957">
        <f>IF(OR($A957="",$B957=""),"",IF(ISNUMBER($A957),INT(MOD($A957,10000)/100),IFERROR(VALUE(TRIM(LEFT(MID($A957,FIND("/",$A957)+1,20),FIND("/",MID($A957,FIND("/",$A957)+1,20))-1))),"")))</f>
        <v/>
      </c>
      <c r="D957">
        <f>IF(OR($A957="",$B957=""),"",IF(ISNUMBER($A957),MOD($A957,100),IFERROR(VALUE(TRIM(MID(MID($A957,FIND("/",$A957)+1,20),FIND("/",MID($A957,FIND("/",$A957)+1,20))+1,20))),"")))</f>
        <v/>
      </c>
      <c r="E957">
        <f>IF($A957="","",IF(OR($B957="",$C957="",$D957="",$B957&lt;1300,$B957&gt;1500,$C957&lt;1,$C957&gt;12,$D957&lt;1,$D957&gt;31),"نامعتبر",RIGHT("0000"&amp;$B957,4)&amp;"/"&amp;RIGHT("00"&amp;$C957,2)&amp;"/"&amp;RIGHT("00"&amp;$D957,2)))</f>
        <v/>
      </c>
      <c r="F957">
        <f>IF(Entry!$D957&lt;&gt;"",IF(AND(ISNUMBER(Entry!$D957),Entry!$D957&gt;=0,Entry!$D957&lt;1),RIGHT("00"&amp;HOUR(Entry!$D957),2)&amp;":"&amp;RIGHT("00"&amp;MINUTE(Entry!$D957),2),IFERROR(RIGHT("00"&amp;VALUE(TRIM(LEFT(Entry!$D957,FIND(":",Entry!$D957)-1))),2)&amp;":"&amp;RIGHT("00"&amp;VALUE(TRIM(MID(Entry!$D957,FIND(":",Entry!$D957)+1,2))),2),"نامعتبر")),IF(OR($E957="",$E957="نامعتبر"),"","00:00"))</f>
        <v/>
      </c>
      <c r="G957">
        <f>IF(OR($E957="",$E957="نامعتبر"),"",IF(Entry!$E957="","",LEFT(UPPER(TRIM(Entry!$E957)),6)))</f>
        <v/>
      </c>
      <c r="H957">
        <f>IF($G957="","",RIGHT($E957,4)&amp;MID($E957,6,2)&amp;RIGHT($E957,2)&amp;IF($F957="","0000",IF($F957="نامعتبر","9999",LEFT($F957,2)&amp;RIGHT($F957,2)))&amp;"|"&amp;RIGHT("00000"&amp;949,5))</f>
        <v/>
      </c>
      <c r="I957">
        <f>IF($H957="","",COUNTIFS(CalcBank,$G957,CalcKey,"&lt;"&amp;$H957)+1)</f>
        <v/>
      </c>
      <c r="J957">
        <f>IF($I957="","",$G957&amp;"|"&amp;RIGHT("000000"&amp;$I957,6))</f>
        <v/>
      </c>
      <c r="K957">
        <f>IF(OR($E957="",$E957="نامعتبر"),"",LEFT($E957,4)&amp;"/"&amp;MID($E957,6,2))</f>
        <v/>
      </c>
      <c r="L957">
        <f>IF(Entry!$K957="",0,Entry!$K957)</f>
        <v/>
      </c>
      <c r="M957">
        <f>IF(Entry!$L957="",0,Entry!$L957)</f>
        <v/>
      </c>
    </row>
    <row r="958">
      <c r="A958">
        <f>IF(Entry!$C958="","",Entry!$C958)</f>
        <v/>
      </c>
      <c r="B958">
        <f>IF($A958="","",IF(ISNUMBER($A958),IF(AND($A958&gt;=10000101,$A958&lt;=99991231),INT($A958/10000),""),IFERROR(VALUE(TRIM(LEFT($A958,FIND("/",$A958)-1))),"")))</f>
        <v/>
      </c>
      <c r="C958">
        <f>IF(OR($A958="",$B958=""),"",IF(ISNUMBER($A958),INT(MOD($A958,10000)/100),IFERROR(VALUE(TRIM(LEFT(MID($A958,FIND("/",$A958)+1,20),FIND("/",MID($A958,FIND("/",$A958)+1,20))-1))),"")))</f>
        <v/>
      </c>
      <c r="D958">
        <f>IF(OR($A958="",$B958=""),"",IF(ISNUMBER($A958),MOD($A958,100),IFERROR(VALUE(TRIM(MID(MID($A958,FIND("/",$A958)+1,20),FIND("/",MID($A958,FIND("/",$A958)+1,20))+1,20))),"")))</f>
        <v/>
      </c>
      <c r="E958">
        <f>IF($A958="","",IF(OR($B958="",$C958="",$D958="",$B958&lt;1300,$B958&gt;1500,$C958&lt;1,$C958&gt;12,$D958&lt;1,$D958&gt;31),"نامعتبر",RIGHT("0000"&amp;$B958,4)&amp;"/"&amp;RIGHT("00"&amp;$C958,2)&amp;"/"&amp;RIGHT("00"&amp;$D958,2)))</f>
        <v/>
      </c>
      <c r="F958">
        <f>IF(Entry!$D958&lt;&gt;"",IF(AND(ISNUMBER(Entry!$D958),Entry!$D958&gt;=0,Entry!$D958&lt;1),RIGHT("00"&amp;HOUR(Entry!$D958),2)&amp;":"&amp;RIGHT("00"&amp;MINUTE(Entry!$D958),2),IFERROR(RIGHT("00"&amp;VALUE(TRIM(LEFT(Entry!$D958,FIND(":",Entry!$D958)-1))),2)&amp;":"&amp;RIGHT("00"&amp;VALUE(TRIM(MID(Entry!$D958,FIND(":",Entry!$D958)+1,2))),2),"نامعتبر")),IF(OR($E958="",$E958="نامعتبر"),"","00:00"))</f>
        <v/>
      </c>
      <c r="G958">
        <f>IF(OR($E958="",$E958="نامعتبر"),"",IF(Entry!$E958="","",LEFT(UPPER(TRIM(Entry!$E958)),6)))</f>
        <v/>
      </c>
      <c r="H958">
        <f>IF($G958="","",RIGHT($E958,4)&amp;MID($E958,6,2)&amp;RIGHT($E958,2)&amp;IF($F958="","0000",IF($F958="نامعتبر","9999",LEFT($F958,2)&amp;RIGHT($F958,2)))&amp;"|"&amp;RIGHT("00000"&amp;950,5))</f>
        <v/>
      </c>
      <c r="I958">
        <f>IF($H958="","",COUNTIFS(CalcBank,$G958,CalcKey,"&lt;"&amp;$H958)+1)</f>
        <v/>
      </c>
      <c r="J958">
        <f>IF($I958="","",$G958&amp;"|"&amp;RIGHT("000000"&amp;$I958,6))</f>
        <v/>
      </c>
      <c r="K958">
        <f>IF(OR($E958="",$E958="نامعتبر"),"",LEFT($E958,4)&amp;"/"&amp;MID($E958,6,2))</f>
        <v/>
      </c>
      <c r="L958">
        <f>IF(Entry!$K958="",0,Entry!$K958)</f>
        <v/>
      </c>
      <c r="M958">
        <f>IF(Entry!$L958="",0,Entry!$L958)</f>
        <v/>
      </c>
    </row>
    <row r="959">
      <c r="A959">
        <f>IF(Entry!$C959="","",Entry!$C959)</f>
        <v/>
      </c>
      <c r="B959">
        <f>IF($A959="","",IF(ISNUMBER($A959),IF(AND($A959&gt;=10000101,$A959&lt;=99991231),INT($A959/10000),""),IFERROR(VALUE(TRIM(LEFT($A959,FIND("/",$A959)-1))),"")))</f>
        <v/>
      </c>
      <c r="C959">
        <f>IF(OR($A959="",$B959=""),"",IF(ISNUMBER($A959),INT(MOD($A959,10000)/100),IFERROR(VALUE(TRIM(LEFT(MID($A959,FIND("/",$A959)+1,20),FIND("/",MID($A959,FIND("/",$A959)+1,20))-1))),"")))</f>
        <v/>
      </c>
      <c r="D959">
        <f>IF(OR($A959="",$B959=""),"",IF(ISNUMBER($A959),MOD($A959,100),IFERROR(VALUE(TRIM(MID(MID($A959,FIND("/",$A959)+1,20),FIND("/",MID($A959,FIND("/",$A959)+1,20))+1,20))),"")))</f>
        <v/>
      </c>
      <c r="E959">
        <f>IF($A959="","",IF(OR($B959="",$C959="",$D959="",$B959&lt;1300,$B959&gt;1500,$C959&lt;1,$C959&gt;12,$D959&lt;1,$D959&gt;31),"نامعتبر",RIGHT("0000"&amp;$B959,4)&amp;"/"&amp;RIGHT("00"&amp;$C959,2)&amp;"/"&amp;RIGHT("00"&amp;$D959,2)))</f>
        <v/>
      </c>
      <c r="F959">
        <f>IF(Entry!$D959&lt;&gt;"",IF(AND(ISNUMBER(Entry!$D959),Entry!$D959&gt;=0,Entry!$D959&lt;1),RIGHT("00"&amp;HOUR(Entry!$D959),2)&amp;":"&amp;RIGHT("00"&amp;MINUTE(Entry!$D959),2),IFERROR(RIGHT("00"&amp;VALUE(TRIM(LEFT(Entry!$D959,FIND(":",Entry!$D959)-1))),2)&amp;":"&amp;RIGHT("00"&amp;VALUE(TRIM(MID(Entry!$D959,FIND(":",Entry!$D959)+1,2))),2),"نامعتبر")),IF(OR($E959="",$E959="نامعتبر"),"","00:00"))</f>
        <v/>
      </c>
      <c r="G959">
        <f>IF(OR($E959="",$E959="نامعتبر"),"",IF(Entry!$E959="","",LEFT(UPPER(TRIM(Entry!$E959)),6)))</f>
        <v/>
      </c>
      <c r="H959">
        <f>IF($G959="","",RIGHT($E959,4)&amp;MID($E959,6,2)&amp;RIGHT($E959,2)&amp;IF($F959="","0000",IF($F959="نامعتبر","9999",LEFT($F959,2)&amp;RIGHT($F959,2)))&amp;"|"&amp;RIGHT("00000"&amp;951,5))</f>
        <v/>
      </c>
      <c r="I959">
        <f>IF($H959="","",COUNTIFS(CalcBank,$G959,CalcKey,"&lt;"&amp;$H959)+1)</f>
        <v/>
      </c>
      <c r="J959">
        <f>IF($I959="","",$G959&amp;"|"&amp;RIGHT("000000"&amp;$I959,6))</f>
        <v/>
      </c>
      <c r="K959">
        <f>IF(OR($E959="",$E959="نامعتبر"),"",LEFT($E959,4)&amp;"/"&amp;MID($E959,6,2))</f>
        <v/>
      </c>
      <c r="L959">
        <f>IF(Entry!$K959="",0,Entry!$K959)</f>
        <v/>
      </c>
      <c r="M959">
        <f>IF(Entry!$L959="",0,Entry!$L959)</f>
        <v/>
      </c>
    </row>
    <row r="960">
      <c r="A960">
        <f>IF(Entry!$C960="","",Entry!$C960)</f>
        <v/>
      </c>
      <c r="B960">
        <f>IF($A960="","",IF(ISNUMBER($A960),IF(AND($A960&gt;=10000101,$A960&lt;=99991231),INT($A960/10000),""),IFERROR(VALUE(TRIM(LEFT($A960,FIND("/",$A960)-1))),"")))</f>
        <v/>
      </c>
      <c r="C960">
        <f>IF(OR($A960="",$B960=""),"",IF(ISNUMBER($A960),INT(MOD($A960,10000)/100),IFERROR(VALUE(TRIM(LEFT(MID($A960,FIND("/",$A960)+1,20),FIND("/",MID($A960,FIND("/",$A960)+1,20))-1))),"")))</f>
        <v/>
      </c>
      <c r="D960">
        <f>IF(OR($A960="",$B960=""),"",IF(ISNUMBER($A960),MOD($A960,100),IFERROR(VALUE(TRIM(MID(MID($A960,FIND("/",$A960)+1,20),FIND("/",MID($A960,FIND("/",$A960)+1,20))+1,20))),"")))</f>
        <v/>
      </c>
      <c r="E960">
        <f>IF($A960="","",IF(OR($B960="",$C960="",$D960="",$B960&lt;1300,$B960&gt;1500,$C960&lt;1,$C960&gt;12,$D960&lt;1,$D960&gt;31),"نامعتبر",RIGHT("0000"&amp;$B960,4)&amp;"/"&amp;RIGHT("00"&amp;$C960,2)&amp;"/"&amp;RIGHT("00"&amp;$D960,2)))</f>
        <v/>
      </c>
      <c r="F960">
        <f>IF(Entry!$D960&lt;&gt;"",IF(AND(ISNUMBER(Entry!$D960),Entry!$D960&gt;=0,Entry!$D960&lt;1),RIGHT("00"&amp;HOUR(Entry!$D960),2)&amp;":"&amp;RIGHT("00"&amp;MINUTE(Entry!$D960),2),IFERROR(RIGHT("00"&amp;VALUE(TRIM(LEFT(Entry!$D960,FIND(":",Entry!$D960)-1))),2)&amp;":"&amp;RIGHT("00"&amp;VALUE(TRIM(MID(Entry!$D960,FIND(":",Entry!$D960)+1,2))),2),"نامعتبر")),IF(OR($E960="",$E960="نامعتبر"),"","00:00"))</f>
        <v/>
      </c>
      <c r="G960">
        <f>IF(OR($E960="",$E960="نامعتبر"),"",IF(Entry!$E960="","",LEFT(UPPER(TRIM(Entry!$E960)),6)))</f>
        <v/>
      </c>
      <c r="H960">
        <f>IF($G960="","",RIGHT($E960,4)&amp;MID($E960,6,2)&amp;RIGHT($E960,2)&amp;IF($F960="","0000",IF($F960="نامعتبر","9999",LEFT($F960,2)&amp;RIGHT($F960,2)))&amp;"|"&amp;RIGHT("00000"&amp;952,5))</f>
        <v/>
      </c>
      <c r="I960">
        <f>IF($H960="","",COUNTIFS(CalcBank,$G960,CalcKey,"&lt;"&amp;$H960)+1)</f>
        <v/>
      </c>
      <c r="J960">
        <f>IF($I960="","",$G960&amp;"|"&amp;RIGHT("000000"&amp;$I960,6))</f>
        <v/>
      </c>
      <c r="K960">
        <f>IF(OR($E960="",$E960="نامعتبر"),"",LEFT($E960,4)&amp;"/"&amp;MID($E960,6,2))</f>
        <v/>
      </c>
      <c r="L960">
        <f>IF(Entry!$K960="",0,Entry!$K960)</f>
        <v/>
      </c>
      <c r="M960">
        <f>IF(Entry!$L960="",0,Entry!$L960)</f>
        <v/>
      </c>
    </row>
    <row r="961">
      <c r="A961">
        <f>IF(Entry!$C961="","",Entry!$C961)</f>
        <v/>
      </c>
      <c r="B961">
        <f>IF($A961="","",IF(ISNUMBER($A961),IF(AND($A961&gt;=10000101,$A961&lt;=99991231),INT($A961/10000),""),IFERROR(VALUE(TRIM(LEFT($A961,FIND("/",$A961)-1))),"")))</f>
        <v/>
      </c>
      <c r="C961">
        <f>IF(OR($A961="",$B961=""),"",IF(ISNUMBER($A961),INT(MOD($A961,10000)/100),IFERROR(VALUE(TRIM(LEFT(MID($A961,FIND("/",$A961)+1,20),FIND("/",MID($A961,FIND("/",$A961)+1,20))-1))),"")))</f>
        <v/>
      </c>
      <c r="D961">
        <f>IF(OR($A961="",$B961=""),"",IF(ISNUMBER($A961),MOD($A961,100),IFERROR(VALUE(TRIM(MID(MID($A961,FIND("/",$A961)+1,20),FIND("/",MID($A961,FIND("/",$A961)+1,20))+1,20))),"")))</f>
        <v/>
      </c>
      <c r="E961">
        <f>IF($A961="","",IF(OR($B961="",$C961="",$D961="",$B961&lt;1300,$B961&gt;1500,$C961&lt;1,$C961&gt;12,$D961&lt;1,$D961&gt;31),"نامعتبر",RIGHT("0000"&amp;$B961,4)&amp;"/"&amp;RIGHT("00"&amp;$C961,2)&amp;"/"&amp;RIGHT("00"&amp;$D961,2)))</f>
        <v/>
      </c>
      <c r="F961">
        <f>IF(Entry!$D961&lt;&gt;"",IF(AND(ISNUMBER(Entry!$D961),Entry!$D961&gt;=0,Entry!$D961&lt;1),RIGHT("00"&amp;HOUR(Entry!$D961),2)&amp;":"&amp;RIGHT("00"&amp;MINUTE(Entry!$D961),2),IFERROR(RIGHT("00"&amp;VALUE(TRIM(LEFT(Entry!$D961,FIND(":",Entry!$D961)-1))),2)&amp;":"&amp;RIGHT("00"&amp;VALUE(TRIM(MID(Entry!$D961,FIND(":",Entry!$D961)+1,2))),2),"نامعتبر")),IF(OR($E961="",$E961="نامعتبر"),"","00:00"))</f>
        <v/>
      </c>
      <c r="G961">
        <f>IF(OR($E961="",$E961="نامعتبر"),"",IF(Entry!$E961="","",LEFT(UPPER(TRIM(Entry!$E961)),6)))</f>
        <v/>
      </c>
      <c r="H961">
        <f>IF($G961="","",RIGHT($E961,4)&amp;MID($E961,6,2)&amp;RIGHT($E961,2)&amp;IF($F961="","0000",IF($F961="نامعتبر","9999",LEFT($F961,2)&amp;RIGHT($F961,2)))&amp;"|"&amp;RIGHT("00000"&amp;953,5))</f>
        <v/>
      </c>
      <c r="I961">
        <f>IF($H961="","",COUNTIFS(CalcBank,$G961,CalcKey,"&lt;"&amp;$H961)+1)</f>
        <v/>
      </c>
      <c r="J961">
        <f>IF($I961="","",$G961&amp;"|"&amp;RIGHT("000000"&amp;$I961,6))</f>
        <v/>
      </c>
      <c r="K961">
        <f>IF(OR($E961="",$E961="نامعتبر"),"",LEFT($E961,4)&amp;"/"&amp;MID($E961,6,2))</f>
        <v/>
      </c>
      <c r="L961">
        <f>IF(Entry!$K961="",0,Entry!$K961)</f>
        <v/>
      </c>
      <c r="M961">
        <f>IF(Entry!$L961="",0,Entry!$L961)</f>
        <v/>
      </c>
    </row>
    <row r="962">
      <c r="A962">
        <f>IF(Entry!$C962="","",Entry!$C962)</f>
        <v/>
      </c>
      <c r="B962">
        <f>IF($A962="","",IF(ISNUMBER($A962),IF(AND($A962&gt;=10000101,$A962&lt;=99991231),INT($A962/10000),""),IFERROR(VALUE(TRIM(LEFT($A962,FIND("/",$A962)-1))),"")))</f>
        <v/>
      </c>
      <c r="C962">
        <f>IF(OR($A962="",$B962=""),"",IF(ISNUMBER($A962),INT(MOD($A962,10000)/100),IFERROR(VALUE(TRIM(LEFT(MID($A962,FIND("/",$A962)+1,20),FIND("/",MID($A962,FIND("/",$A962)+1,20))-1))),"")))</f>
        <v/>
      </c>
      <c r="D962">
        <f>IF(OR($A962="",$B962=""),"",IF(ISNUMBER($A962),MOD($A962,100),IFERROR(VALUE(TRIM(MID(MID($A962,FIND("/",$A962)+1,20),FIND("/",MID($A962,FIND("/",$A962)+1,20))+1,20))),"")))</f>
        <v/>
      </c>
      <c r="E962">
        <f>IF($A962="","",IF(OR($B962="",$C962="",$D962="",$B962&lt;1300,$B962&gt;1500,$C962&lt;1,$C962&gt;12,$D962&lt;1,$D962&gt;31),"نامعتبر",RIGHT("0000"&amp;$B962,4)&amp;"/"&amp;RIGHT("00"&amp;$C962,2)&amp;"/"&amp;RIGHT("00"&amp;$D962,2)))</f>
        <v/>
      </c>
      <c r="F962">
        <f>IF(Entry!$D962&lt;&gt;"",IF(AND(ISNUMBER(Entry!$D962),Entry!$D962&gt;=0,Entry!$D962&lt;1),RIGHT("00"&amp;HOUR(Entry!$D962),2)&amp;":"&amp;RIGHT("00"&amp;MINUTE(Entry!$D962),2),IFERROR(RIGHT("00"&amp;VALUE(TRIM(LEFT(Entry!$D962,FIND(":",Entry!$D962)-1))),2)&amp;":"&amp;RIGHT("00"&amp;VALUE(TRIM(MID(Entry!$D962,FIND(":",Entry!$D962)+1,2))),2),"نامعتبر")),IF(OR($E962="",$E962="نامعتبر"),"","00:00"))</f>
        <v/>
      </c>
      <c r="G962">
        <f>IF(OR($E962="",$E962="نامعتبر"),"",IF(Entry!$E962="","",LEFT(UPPER(TRIM(Entry!$E962)),6)))</f>
        <v/>
      </c>
      <c r="H962">
        <f>IF($G962="","",RIGHT($E962,4)&amp;MID($E962,6,2)&amp;RIGHT($E962,2)&amp;IF($F962="","0000",IF($F962="نامعتبر","9999",LEFT($F962,2)&amp;RIGHT($F962,2)))&amp;"|"&amp;RIGHT("00000"&amp;954,5))</f>
        <v/>
      </c>
      <c r="I962">
        <f>IF($H962="","",COUNTIFS(CalcBank,$G962,CalcKey,"&lt;"&amp;$H962)+1)</f>
        <v/>
      </c>
      <c r="J962">
        <f>IF($I962="","",$G962&amp;"|"&amp;RIGHT("000000"&amp;$I962,6))</f>
        <v/>
      </c>
      <c r="K962">
        <f>IF(OR($E962="",$E962="نامعتبر"),"",LEFT($E962,4)&amp;"/"&amp;MID($E962,6,2))</f>
        <v/>
      </c>
      <c r="L962">
        <f>IF(Entry!$K962="",0,Entry!$K962)</f>
        <v/>
      </c>
      <c r="M962">
        <f>IF(Entry!$L962="",0,Entry!$L962)</f>
        <v/>
      </c>
    </row>
    <row r="963">
      <c r="A963">
        <f>IF(Entry!$C963="","",Entry!$C963)</f>
        <v/>
      </c>
      <c r="B963">
        <f>IF($A963="","",IF(ISNUMBER($A963),IF(AND($A963&gt;=10000101,$A963&lt;=99991231),INT($A963/10000),""),IFERROR(VALUE(TRIM(LEFT($A963,FIND("/",$A963)-1))),"")))</f>
        <v/>
      </c>
      <c r="C963">
        <f>IF(OR($A963="",$B963=""),"",IF(ISNUMBER($A963),INT(MOD($A963,10000)/100),IFERROR(VALUE(TRIM(LEFT(MID($A963,FIND("/",$A963)+1,20),FIND("/",MID($A963,FIND("/",$A963)+1,20))-1))),"")))</f>
        <v/>
      </c>
      <c r="D963">
        <f>IF(OR($A963="",$B963=""),"",IF(ISNUMBER($A963),MOD($A963,100),IFERROR(VALUE(TRIM(MID(MID($A963,FIND("/",$A963)+1,20),FIND("/",MID($A963,FIND("/",$A963)+1,20))+1,20))),"")))</f>
        <v/>
      </c>
      <c r="E963">
        <f>IF($A963="","",IF(OR($B963="",$C963="",$D963="",$B963&lt;1300,$B963&gt;1500,$C963&lt;1,$C963&gt;12,$D963&lt;1,$D963&gt;31),"نامعتبر",RIGHT("0000"&amp;$B963,4)&amp;"/"&amp;RIGHT("00"&amp;$C963,2)&amp;"/"&amp;RIGHT("00"&amp;$D963,2)))</f>
        <v/>
      </c>
      <c r="F963">
        <f>IF(Entry!$D963&lt;&gt;"",IF(AND(ISNUMBER(Entry!$D963),Entry!$D963&gt;=0,Entry!$D963&lt;1),RIGHT("00"&amp;HOUR(Entry!$D963),2)&amp;":"&amp;RIGHT("00"&amp;MINUTE(Entry!$D963),2),IFERROR(RIGHT("00"&amp;VALUE(TRIM(LEFT(Entry!$D963,FIND(":",Entry!$D963)-1))),2)&amp;":"&amp;RIGHT("00"&amp;VALUE(TRIM(MID(Entry!$D963,FIND(":",Entry!$D963)+1,2))),2),"نامعتبر")),IF(OR($E963="",$E963="نامعتبر"),"","00:00"))</f>
        <v/>
      </c>
      <c r="G963">
        <f>IF(OR($E963="",$E963="نامعتبر"),"",IF(Entry!$E963="","",LEFT(UPPER(TRIM(Entry!$E963)),6)))</f>
        <v/>
      </c>
      <c r="H963">
        <f>IF($G963="","",RIGHT($E963,4)&amp;MID($E963,6,2)&amp;RIGHT($E963,2)&amp;IF($F963="","0000",IF($F963="نامعتبر","9999",LEFT($F963,2)&amp;RIGHT($F963,2)))&amp;"|"&amp;RIGHT("00000"&amp;955,5))</f>
        <v/>
      </c>
      <c r="I963">
        <f>IF($H963="","",COUNTIFS(CalcBank,$G963,CalcKey,"&lt;"&amp;$H963)+1)</f>
        <v/>
      </c>
      <c r="J963">
        <f>IF($I963="","",$G963&amp;"|"&amp;RIGHT("000000"&amp;$I963,6))</f>
        <v/>
      </c>
      <c r="K963">
        <f>IF(OR($E963="",$E963="نامعتبر"),"",LEFT($E963,4)&amp;"/"&amp;MID($E963,6,2))</f>
        <v/>
      </c>
      <c r="L963">
        <f>IF(Entry!$K963="",0,Entry!$K963)</f>
        <v/>
      </c>
      <c r="M963">
        <f>IF(Entry!$L963="",0,Entry!$L963)</f>
        <v/>
      </c>
    </row>
    <row r="964">
      <c r="A964">
        <f>IF(Entry!$C964="","",Entry!$C964)</f>
        <v/>
      </c>
      <c r="B964">
        <f>IF($A964="","",IF(ISNUMBER($A964),IF(AND($A964&gt;=10000101,$A964&lt;=99991231),INT($A964/10000),""),IFERROR(VALUE(TRIM(LEFT($A964,FIND("/",$A964)-1))),"")))</f>
        <v/>
      </c>
      <c r="C964">
        <f>IF(OR($A964="",$B964=""),"",IF(ISNUMBER($A964),INT(MOD($A964,10000)/100),IFERROR(VALUE(TRIM(LEFT(MID($A964,FIND("/",$A964)+1,20),FIND("/",MID($A964,FIND("/",$A964)+1,20))-1))),"")))</f>
        <v/>
      </c>
      <c r="D964">
        <f>IF(OR($A964="",$B964=""),"",IF(ISNUMBER($A964),MOD($A964,100),IFERROR(VALUE(TRIM(MID(MID($A964,FIND("/",$A964)+1,20),FIND("/",MID($A964,FIND("/",$A964)+1,20))+1,20))),"")))</f>
        <v/>
      </c>
      <c r="E964">
        <f>IF($A964="","",IF(OR($B964="",$C964="",$D964="",$B964&lt;1300,$B964&gt;1500,$C964&lt;1,$C964&gt;12,$D964&lt;1,$D964&gt;31),"نامعتبر",RIGHT("0000"&amp;$B964,4)&amp;"/"&amp;RIGHT("00"&amp;$C964,2)&amp;"/"&amp;RIGHT("00"&amp;$D964,2)))</f>
        <v/>
      </c>
      <c r="F964">
        <f>IF(Entry!$D964&lt;&gt;"",IF(AND(ISNUMBER(Entry!$D964),Entry!$D964&gt;=0,Entry!$D964&lt;1),RIGHT("00"&amp;HOUR(Entry!$D964),2)&amp;":"&amp;RIGHT("00"&amp;MINUTE(Entry!$D964),2),IFERROR(RIGHT("00"&amp;VALUE(TRIM(LEFT(Entry!$D964,FIND(":",Entry!$D964)-1))),2)&amp;":"&amp;RIGHT("00"&amp;VALUE(TRIM(MID(Entry!$D964,FIND(":",Entry!$D964)+1,2))),2),"نامعتبر")),IF(OR($E964="",$E964="نامعتبر"),"","00:00"))</f>
        <v/>
      </c>
      <c r="G964">
        <f>IF(OR($E964="",$E964="نامعتبر"),"",IF(Entry!$E964="","",LEFT(UPPER(TRIM(Entry!$E964)),6)))</f>
        <v/>
      </c>
      <c r="H964">
        <f>IF($G964="","",RIGHT($E964,4)&amp;MID($E964,6,2)&amp;RIGHT($E964,2)&amp;IF($F964="","0000",IF($F964="نامعتبر","9999",LEFT($F964,2)&amp;RIGHT($F964,2)))&amp;"|"&amp;RIGHT("00000"&amp;956,5))</f>
        <v/>
      </c>
      <c r="I964">
        <f>IF($H964="","",COUNTIFS(CalcBank,$G964,CalcKey,"&lt;"&amp;$H964)+1)</f>
        <v/>
      </c>
      <c r="J964">
        <f>IF($I964="","",$G964&amp;"|"&amp;RIGHT("000000"&amp;$I964,6))</f>
        <v/>
      </c>
      <c r="K964">
        <f>IF(OR($E964="",$E964="نامعتبر"),"",LEFT($E964,4)&amp;"/"&amp;MID($E964,6,2))</f>
        <v/>
      </c>
      <c r="L964">
        <f>IF(Entry!$K964="",0,Entry!$K964)</f>
        <v/>
      </c>
      <c r="M964">
        <f>IF(Entry!$L964="",0,Entry!$L964)</f>
        <v/>
      </c>
    </row>
    <row r="965">
      <c r="A965">
        <f>IF(Entry!$C965="","",Entry!$C965)</f>
        <v/>
      </c>
      <c r="B965">
        <f>IF($A965="","",IF(ISNUMBER($A965),IF(AND($A965&gt;=10000101,$A965&lt;=99991231),INT($A965/10000),""),IFERROR(VALUE(TRIM(LEFT($A965,FIND("/",$A965)-1))),"")))</f>
        <v/>
      </c>
      <c r="C965">
        <f>IF(OR($A965="",$B965=""),"",IF(ISNUMBER($A965),INT(MOD($A965,10000)/100),IFERROR(VALUE(TRIM(LEFT(MID($A965,FIND("/",$A965)+1,20),FIND("/",MID($A965,FIND("/",$A965)+1,20))-1))),"")))</f>
        <v/>
      </c>
      <c r="D965">
        <f>IF(OR($A965="",$B965=""),"",IF(ISNUMBER($A965),MOD($A965,100),IFERROR(VALUE(TRIM(MID(MID($A965,FIND("/",$A965)+1,20),FIND("/",MID($A965,FIND("/",$A965)+1,20))+1,20))),"")))</f>
        <v/>
      </c>
      <c r="E965">
        <f>IF($A965="","",IF(OR($B965="",$C965="",$D965="",$B965&lt;1300,$B965&gt;1500,$C965&lt;1,$C965&gt;12,$D965&lt;1,$D965&gt;31),"نامعتبر",RIGHT("0000"&amp;$B965,4)&amp;"/"&amp;RIGHT("00"&amp;$C965,2)&amp;"/"&amp;RIGHT("00"&amp;$D965,2)))</f>
        <v/>
      </c>
      <c r="F965">
        <f>IF(Entry!$D965&lt;&gt;"",IF(AND(ISNUMBER(Entry!$D965),Entry!$D965&gt;=0,Entry!$D965&lt;1),RIGHT("00"&amp;HOUR(Entry!$D965),2)&amp;":"&amp;RIGHT("00"&amp;MINUTE(Entry!$D965),2),IFERROR(RIGHT("00"&amp;VALUE(TRIM(LEFT(Entry!$D965,FIND(":",Entry!$D965)-1))),2)&amp;":"&amp;RIGHT("00"&amp;VALUE(TRIM(MID(Entry!$D965,FIND(":",Entry!$D965)+1,2))),2),"نامعتبر")),IF(OR($E965="",$E965="نامعتبر"),"","00:00"))</f>
        <v/>
      </c>
      <c r="G965">
        <f>IF(OR($E965="",$E965="نامعتبر"),"",IF(Entry!$E965="","",LEFT(UPPER(TRIM(Entry!$E965)),6)))</f>
        <v/>
      </c>
      <c r="H965">
        <f>IF($G965="","",RIGHT($E965,4)&amp;MID($E965,6,2)&amp;RIGHT($E965,2)&amp;IF($F965="","0000",IF($F965="نامعتبر","9999",LEFT($F965,2)&amp;RIGHT($F965,2)))&amp;"|"&amp;RIGHT("00000"&amp;957,5))</f>
        <v/>
      </c>
      <c r="I965">
        <f>IF($H965="","",COUNTIFS(CalcBank,$G965,CalcKey,"&lt;"&amp;$H965)+1)</f>
        <v/>
      </c>
      <c r="J965">
        <f>IF($I965="","",$G965&amp;"|"&amp;RIGHT("000000"&amp;$I965,6))</f>
        <v/>
      </c>
      <c r="K965">
        <f>IF(OR($E965="",$E965="نامعتبر"),"",LEFT($E965,4)&amp;"/"&amp;MID($E965,6,2))</f>
        <v/>
      </c>
      <c r="L965">
        <f>IF(Entry!$K965="",0,Entry!$K965)</f>
        <v/>
      </c>
      <c r="M965">
        <f>IF(Entry!$L965="",0,Entry!$L965)</f>
        <v/>
      </c>
    </row>
    <row r="966">
      <c r="A966">
        <f>IF(Entry!$C966="","",Entry!$C966)</f>
        <v/>
      </c>
      <c r="B966">
        <f>IF($A966="","",IF(ISNUMBER($A966),IF(AND($A966&gt;=10000101,$A966&lt;=99991231),INT($A966/10000),""),IFERROR(VALUE(TRIM(LEFT($A966,FIND("/",$A966)-1))),"")))</f>
        <v/>
      </c>
      <c r="C966">
        <f>IF(OR($A966="",$B966=""),"",IF(ISNUMBER($A966),INT(MOD($A966,10000)/100),IFERROR(VALUE(TRIM(LEFT(MID($A966,FIND("/",$A966)+1,20),FIND("/",MID($A966,FIND("/",$A966)+1,20))-1))),"")))</f>
        <v/>
      </c>
      <c r="D966">
        <f>IF(OR($A966="",$B966=""),"",IF(ISNUMBER($A966),MOD($A966,100),IFERROR(VALUE(TRIM(MID(MID($A966,FIND("/",$A966)+1,20),FIND("/",MID($A966,FIND("/",$A966)+1,20))+1,20))),"")))</f>
        <v/>
      </c>
      <c r="E966">
        <f>IF($A966="","",IF(OR($B966="",$C966="",$D966="",$B966&lt;1300,$B966&gt;1500,$C966&lt;1,$C966&gt;12,$D966&lt;1,$D966&gt;31),"نامعتبر",RIGHT("0000"&amp;$B966,4)&amp;"/"&amp;RIGHT("00"&amp;$C966,2)&amp;"/"&amp;RIGHT("00"&amp;$D966,2)))</f>
        <v/>
      </c>
      <c r="F966">
        <f>IF(Entry!$D966&lt;&gt;"",IF(AND(ISNUMBER(Entry!$D966),Entry!$D966&gt;=0,Entry!$D966&lt;1),RIGHT("00"&amp;HOUR(Entry!$D966),2)&amp;":"&amp;RIGHT("00"&amp;MINUTE(Entry!$D966),2),IFERROR(RIGHT("00"&amp;VALUE(TRIM(LEFT(Entry!$D966,FIND(":",Entry!$D966)-1))),2)&amp;":"&amp;RIGHT("00"&amp;VALUE(TRIM(MID(Entry!$D966,FIND(":",Entry!$D966)+1,2))),2),"نامعتبر")),IF(OR($E966="",$E966="نامعتبر"),"","00:00"))</f>
        <v/>
      </c>
      <c r="G966">
        <f>IF(OR($E966="",$E966="نامعتبر"),"",IF(Entry!$E966="","",LEFT(UPPER(TRIM(Entry!$E966)),6)))</f>
        <v/>
      </c>
      <c r="H966">
        <f>IF($G966="","",RIGHT($E966,4)&amp;MID($E966,6,2)&amp;RIGHT($E966,2)&amp;IF($F966="","0000",IF($F966="نامعتبر","9999",LEFT($F966,2)&amp;RIGHT($F966,2)))&amp;"|"&amp;RIGHT("00000"&amp;958,5))</f>
        <v/>
      </c>
      <c r="I966">
        <f>IF($H966="","",COUNTIFS(CalcBank,$G966,CalcKey,"&lt;"&amp;$H966)+1)</f>
        <v/>
      </c>
      <c r="J966">
        <f>IF($I966="","",$G966&amp;"|"&amp;RIGHT("000000"&amp;$I966,6))</f>
        <v/>
      </c>
      <c r="K966">
        <f>IF(OR($E966="",$E966="نامعتبر"),"",LEFT($E966,4)&amp;"/"&amp;MID($E966,6,2))</f>
        <v/>
      </c>
      <c r="L966">
        <f>IF(Entry!$K966="",0,Entry!$K966)</f>
        <v/>
      </c>
      <c r="M966">
        <f>IF(Entry!$L966="",0,Entry!$L966)</f>
        <v/>
      </c>
    </row>
    <row r="967">
      <c r="A967">
        <f>IF(Entry!$C967="","",Entry!$C967)</f>
        <v/>
      </c>
      <c r="B967">
        <f>IF($A967="","",IF(ISNUMBER($A967),IF(AND($A967&gt;=10000101,$A967&lt;=99991231),INT($A967/10000),""),IFERROR(VALUE(TRIM(LEFT($A967,FIND("/",$A967)-1))),"")))</f>
        <v/>
      </c>
      <c r="C967">
        <f>IF(OR($A967="",$B967=""),"",IF(ISNUMBER($A967),INT(MOD($A967,10000)/100),IFERROR(VALUE(TRIM(LEFT(MID($A967,FIND("/",$A967)+1,20),FIND("/",MID($A967,FIND("/",$A967)+1,20))-1))),"")))</f>
        <v/>
      </c>
      <c r="D967">
        <f>IF(OR($A967="",$B967=""),"",IF(ISNUMBER($A967),MOD($A967,100),IFERROR(VALUE(TRIM(MID(MID($A967,FIND("/",$A967)+1,20),FIND("/",MID($A967,FIND("/",$A967)+1,20))+1,20))),"")))</f>
        <v/>
      </c>
      <c r="E967">
        <f>IF($A967="","",IF(OR($B967="",$C967="",$D967="",$B967&lt;1300,$B967&gt;1500,$C967&lt;1,$C967&gt;12,$D967&lt;1,$D967&gt;31),"نامعتبر",RIGHT("0000"&amp;$B967,4)&amp;"/"&amp;RIGHT("00"&amp;$C967,2)&amp;"/"&amp;RIGHT("00"&amp;$D967,2)))</f>
        <v/>
      </c>
      <c r="F967">
        <f>IF(Entry!$D967&lt;&gt;"",IF(AND(ISNUMBER(Entry!$D967),Entry!$D967&gt;=0,Entry!$D967&lt;1),RIGHT("00"&amp;HOUR(Entry!$D967),2)&amp;":"&amp;RIGHT("00"&amp;MINUTE(Entry!$D967),2),IFERROR(RIGHT("00"&amp;VALUE(TRIM(LEFT(Entry!$D967,FIND(":",Entry!$D967)-1))),2)&amp;":"&amp;RIGHT("00"&amp;VALUE(TRIM(MID(Entry!$D967,FIND(":",Entry!$D967)+1,2))),2),"نامعتبر")),IF(OR($E967="",$E967="نامعتبر"),"","00:00"))</f>
        <v/>
      </c>
      <c r="G967">
        <f>IF(OR($E967="",$E967="نامعتبر"),"",IF(Entry!$E967="","",LEFT(UPPER(TRIM(Entry!$E967)),6)))</f>
        <v/>
      </c>
      <c r="H967">
        <f>IF($G967="","",RIGHT($E967,4)&amp;MID($E967,6,2)&amp;RIGHT($E967,2)&amp;IF($F967="","0000",IF($F967="نامعتبر","9999",LEFT($F967,2)&amp;RIGHT($F967,2)))&amp;"|"&amp;RIGHT("00000"&amp;959,5))</f>
        <v/>
      </c>
      <c r="I967">
        <f>IF($H967="","",COUNTIFS(CalcBank,$G967,CalcKey,"&lt;"&amp;$H967)+1)</f>
        <v/>
      </c>
      <c r="J967">
        <f>IF($I967="","",$G967&amp;"|"&amp;RIGHT("000000"&amp;$I967,6))</f>
        <v/>
      </c>
      <c r="K967">
        <f>IF(OR($E967="",$E967="نامعتبر"),"",LEFT($E967,4)&amp;"/"&amp;MID($E967,6,2))</f>
        <v/>
      </c>
      <c r="L967">
        <f>IF(Entry!$K967="",0,Entry!$K967)</f>
        <v/>
      </c>
      <c r="M967">
        <f>IF(Entry!$L967="",0,Entry!$L967)</f>
        <v/>
      </c>
    </row>
    <row r="968">
      <c r="A968">
        <f>IF(Entry!$C968="","",Entry!$C968)</f>
        <v/>
      </c>
      <c r="B968">
        <f>IF($A968="","",IF(ISNUMBER($A968),IF(AND($A968&gt;=10000101,$A968&lt;=99991231),INT($A968/10000),""),IFERROR(VALUE(TRIM(LEFT($A968,FIND("/",$A968)-1))),"")))</f>
        <v/>
      </c>
      <c r="C968">
        <f>IF(OR($A968="",$B968=""),"",IF(ISNUMBER($A968),INT(MOD($A968,10000)/100),IFERROR(VALUE(TRIM(LEFT(MID($A968,FIND("/",$A968)+1,20),FIND("/",MID($A968,FIND("/",$A968)+1,20))-1))),"")))</f>
        <v/>
      </c>
      <c r="D968">
        <f>IF(OR($A968="",$B968=""),"",IF(ISNUMBER($A968),MOD($A968,100),IFERROR(VALUE(TRIM(MID(MID($A968,FIND("/",$A968)+1,20),FIND("/",MID($A968,FIND("/",$A968)+1,20))+1,20))),"")))</f>
        <v/>
      </c>
      <c r="E968">
        <f>IF($A968="","",IF(OR($B968="",$C968="",$D968="",$B968&lt;1300,$B968&gt;1500,$C968&lt;1,$C968&gt;12,$D968&lt;1,$D968&gt;31),"نامعتبر",RIGHT("0000"&amp;$B968,4)&amp;"/"&amp;RIGHT("00"&amp;$C968,2)&amp;"/"&amp;RIGHT("00"&amp;$D968,2)))</f>
        <v/>
      </c>
      <c r="F968">
        <f>IF(Entry!$D968&lt;&gt;"",IF(AND(ISNUMBER(Entry!$D968),Entry!$D968&gt;=0,Entry!$D968&lt;1),RIGHT("00"&amp;HOUR(Entry!$D968),2)&amp;":"&amp;RIGHT("00"&amp;MINUTE(Entry!$D968),2),IFERROR(RIGHT("00"&amp;VALUE(TRIM(LEFT(Entry!$D968,FIND(":",Entry!$D968)-1))),2)&amp;":"&amp;RIGHT("00"&amp;VALUE(TRIM(MID(Entry!$D968,FIND(":",Entry!$D968)+1,2))),2),"نامعتبر")),IF(OR($E968="",$E968="نامعتبر"),"","00:00"))</f>
        <v/>
      </c>
      <c r="G968">
        <f>IF(OR($E968="",$E968="نامعتبر"),"",IF(Entry!$E968="","",LEFT(UPPER(TRIM(Entry!$E968)),6)))</f>
        <v/>
      </c>
      <c r="H968">
        <f>IF($G968="","",RIGHT($E968,4)&amp;MID($E968,6,2)&amp;RIGHT($E968,2)&amp;IF($F968="","0000",IF($F968="نامعتبر","9999",LEFT($F968,2)&amp;RIGHT($F968,2)))&amp;"|"&amp;RIGHT("00000"&amp;960,5))</f>
        <v/>
      </c>
      <c r="I968">
        <f>IF($H968="","",COUNTIFS(CalcBank,$G968,CalcKey,"&lt;"&amp;$H968)+1)</f>
        <v/>
      </c>
      <c r="J968">
        <f>IF($I968="","",$G968&amp;"|"&amp;RIGHT("000000"&amp;$I968,6))</f>
        <v/>
      </c>
      <c r="K968">
        <f>IF(OR($E968="",$E968="نامعتبر"),"",LEFT($E968,4)&amp;"/"&amp;MID($E968,6,2))</f>
        <v/>
      </c>
      <c r="L968">
        <f>IF(Entry!$K968="",0,Entry!$K968)</f>
        <v/>
      </c>
      <c r="M968">
        <f>IF(Entry!$L968="",0,Entry!$L968)</f>
        <v/>
      </c>
    </row>
    <row r="969">
      <c r="A969">
        <f>IF(Entry!$C969="","",Entry!$C969)</f>
        <v/>
      </c>
      <c r="B969">
        <f>IF($A969="","",IF(ISNUMBER($A969),IF(AND($A969&gt;=10000101,$A969&lt;=99991231),INT($A969/10000),""),IFERROR(VALUE(TRIM(LEFT($A969,FIND("/",$A969)-1))),"")))</f>
        <v/>
      </c>
      <c r="C969">
        <f>IF(OR($A969="",$B969=""),"",IF(ISNUMBER($A969),INT(MOD($A969,10000)/100),IFERROR(VALUE(TRIM(LEFT(MID($A969,FIND("/",$A969)+1,20),FIND("/",MID($A969,FIND("/",$A969)+1,20))-1))),"")))</f>
        <v/>
      </c>
      <c r="D969">
        <f>IF(OR($A969="",$B969=""),"",IF(ISNUMBER($A969),MOD($A969,100),IFERROR(VALUE(TRIM(MID(MID($A969,FIND("/",$A969)+1,20),FIND("/",MID($A969,FIND("/",$A969)+1,20))+1,20))),"")))</f>
        <v/>
      </c>
      <c r="E969">
        <f>IF($A969="","",IF(OR($B969="",$C969="",$D969="",$B969&lt;1300,$B969&gt;1500,$C969&lt;1,$C969&gt;12,$D969&lt;1,$D969&gt;31),"نامعتبر",RIGHT("0000"&amp;$B969,4)&amp;"/"&amp;RIGHT("00"&amp;$C969,2)&amp;"/"&amp;RIGHT("00"&amp;$D969,2)))</f>
        <v/>
      </c>
      <c r="F969">
        <f>IF(Entry!$D969&lt;&gt;"",IF(AND(ISNUMBER(Entry!$D969),Entry!$D969&gt;=0,Entry!$D969&lt;1),RIGHT("00"&amp;HOUR(Entry!$D969),2)&amp;":"&amp;RIGHT("00"&amp;MINUTE(Entry!$D969),2),IFERROR(RIGHT("00"&amp;VALUE(TRIM(LEFT(Entry!$D969,FIND(":",Entry!$D969)-1))),2)&amp;":"&amp;RIGHT("00"&amp;VALUE(TRIM(MID(Entry!$D969,FIND(":",Entry!$D969)+1,2))),2),"نامعتبر")),IF(OR($E969="",$E969="نامعتبر"),"","00:00"))</f>
        <v/>
      </c>
      <c r="G969">
        <f>IF(OR($E969="",$E969="نامعتبر"),"",IF(Entry!$E969="","",LEFT(UPPER(TRIM(Entry!$E969)),6)))</f>
        <v/>
      </c>
      <c r="H969">
        <f>IF($G969="","",RIGHT($E969,4)&amp;MID($E969,6,2)&amp;RIGHT($E969,2)&amp;IF($F969="","0000",IF($F969="نامعتبر","9999",LEFT($F969,2)&amp;RIGHT($F969,2)))&amp;"|"&amp;RIGHT("00000"&amp;961,5))</f>
        <v/>
      </c>
      <c r="I969">
        <f>IF($H969="","",COUNTIFS(CalcBank,$G969,CalcKey,"&lt;"&amp;$H969)+1)</f>
        <v/>
      </c>
      <c r="J969">
        <f>IF($I969="","",$G969&amp;"|"&amp;RIGHT("000000"&amp;$I969,6))</f>
        <v/>
      </c>
      <c r="K969">
        <f>IF(OR($E969="",$E969="نامعتبر"),"",LEFT($E969,4)&amp;"/"&amp;MID($E969,6,2))</f>
        <v/>
      </c>
      <c r="L969">
        <f>IF(Entry!$K969="",0,Entry!$K969)</f>
        <v/>
      </c>
      <c r="M969">
        <f>IF(Entry!$L969="",0,Entry!$L969)</f>
        <v/>
      </c>
    </row>
    <row r="970">
      <c r="A970">
        <f>IF(Entry!$C970="","",Entry!$C970)</f>
        <v/>
      </c>
      <c r="B970">
        <f>IF($A970="","",IF(ISNUMBER($A970),IF(AND($A970&gt;=10000101,$A970&lt;=99991231),INT($A970/10000),""),IFERROR(VALUE(TRIM(LEFT($A970,FIND("/",$A970)-1))),"")))</f>
        <v/>
      </c>
      <c r="C970">
        <f>IF(OR($A970="",$B970=""),"",IF(ISNUMBER($A970),INT(MOD($A970,10000)/100),IFERROR(VALUE(TRIM(LEFT(MID($A970,FIND("/",$A970)+1,20),FIND("/",MID($A970,FIND("/",$A970)+1,20))-1))),"")))</f>
        <v/>
      </c>
      <c r="D970">
        <f>IF(OR($A970="",$B970=""),"",IF(ISNUMBER($A970),MOD($A970,100),IFERROR(VALUE(TRIM(MID(MID($A970,FIND("/",$A970)+1,20),FIND("/",MID($A970,FIND("/",$A970)+1,20))+1,20))),"")))</f>
        <v/>
      </c>
      <c r="E970">
        <f>IF($A970="","",IF(OR($B970="",$C970="",$D970="",$B970&lt;1300,$B970&gt;1500,$C970&lt;1,$C970&gt;12,$D970&lt;1,$D970&gt;31),"نامعتبر",RIGHT("0000"&amp;$B970,4)&amp;"/"&amp;RIGHT("00"&amp;$C970,2)&amp;"/"&amp;RIGHT("00"&amp;$D970,2)))</f>
        <v/>
      </c>
      <c r="F970">
        <f>IF(Entry!$D970&lt;&gt;"",IF(AND(ISNUMBER(Entry!$D970),Entry!$D970&gt;=0,Entry!$D970&lt;1),RIGHT("00"&amp;HOUR(Entry!$D970),2)&amp;":"&amp;RIGHT("00"&amp;MINUTE(Entry!$D970),2),IFERROR(RIGHT("00"&amp;VALUE(TRIM(LEFT(Entry!$D970,FIND(":",Entry!$D970)-1))),2)&amp;":"&amp;RIGHT("00"&amp;VALUE(TRIM(MID(Entry!$D970,FIND(":",Entry!$D970)+1,2))),2),"نامعتبر")),IF(OR($E970="",$E970="نامعتبر"),"","00:00"))</f>
        <v/>
      </c>
      <c r="G970">
        <f>IF(OR($E970="",$E970="نامعتبر"),"",IF(Entry!$E970="","",LEFT(UPPER(TRIM(Entry!$E970)),6)))</f>
        <v/>
      </c>
      <c r="H970">
        <f>IF($G970="","",RIGHT($E970,4)&amp;MID($E970,6,2)&amp;RIGHT($E970,2)&amp;IF($F970="","0000",IF($F970="نامعتبر","9999",LEFT($F970,2)&amp;RIGHT($F970,2)))&amp;"|"&amp;RIGHT("00000"&amp;962,5))</f>
        <v/>
      </c>
      <c r="I970">
        <f>IF($H970="","",COUNTIFS(CalcBank,$G970,CalcKey,"&lt;"&amp;$H970)+1)</f>
        <v/>
      </c>
      <c r="J970">
        <f>IF($I970="","",$G970&amp;"|"&amp;RIGHT("000000"&amp;$I970,6))</f>
        <v/>
      </c>
      <c r="K970">
        <f>IF(OR($E970="",$E970="نامعتبر"),"",LEFT($E970,4)&amp;"/"&amp;MID($E970,6,2))</f>
        <v/>
      </c>
      <c r="L970">
        <f>IF(Entry!$K970="",0,Entry!$K970)</f>
        <v/>
      </c>
      <c r="M970">
        <f>IF(Entry!$L970="",0,Entry!$L970)</f>
        <v/>
      </c>
    </row>
    <row r="971">
      <c r="A971">
        <f>IF(Entry!$C971="","",Entry!$C971)</f>
        <v/>
      </c>
      <c r="B971">
        <f>IF($A971="","",IF(ISNUMBER($A971),IF(AND($A971&gt;=10000101,$A971&lt;=99991231),INT($A971/10000),""),IFERROR(VALUE(TRIM(LEFT($A971,FIND("/",$A971)-1))),"")))</f>
        <v/>
      </c>
      <c r="C971">
        <f>IF(OR($A971="",$B971=""),"",IF(ISNUMBER($A971),INT(MOD($A971,10000)/100),IFERROR(VALUE(TRIM(LEFT(MID($A971,FIND("/",$A971)+1,20),FIND("/",MID($A971,FIND("/",$A971)+1,20))-1))),"")))</f>
        <v/>
      </c>
      <c r="D971">
        <f>IF(OR($A971="",$B971=""),"",IF(ISNUMBER($A971),MOD($A971,100),IFERROR(VALUE(TRIM(MID(MID($A971,FIND("/",$A971)+1,20),FIND("/",MID($A971,FIND("/",$A971)+1,20))+1,20))),"")))</f>
        <v/>
      </c>
      <c r="E971">
        <f>IF($A971="","",IF(OR($B971="",$C971="",$D971="",$B971&lt;1300,$B971&gt;1500,$C971&lt;1,$C971&gt;12,$D971&lt;1,$D971&gt;31),"نامعتبر",RIGHT("0000"&amp;$B971,4)&amp;"/"&amp;RIGHT("00"&amp;$C971,2)&amp;"/"&amp;RIGHT("00"&amp;$D971,2)))</f>
        <v/>
      </c>
      <c r="F971">
        <f>IF(Entry!$D971&lt;&gt;"",IF(AND(ISNUMBER(Entry!$D971),Entry!$D971&gt;=0,Entry!$D971&lt;1),RIGHT("00"&amp;HOUR(Entry!$D971),2)&amp;":"&amp;RIGHT("00"&amp;MINUTE(Entry!$D971),2),IFERROR(RIGHT("00"&amp;VALUE(TRIM(LEFT(Entry!$D971,FIND(":",Entry!$D971)-1))),2)&amp;":"&amp;RIGHT("00"&amp;VALUE(TRIM(MID(Entry!$D971,FIND(":",Entry!$D971)+1,2))),2),"نامعتبر")),IF(OR($E971="",$E971="نامعتبر"),"","00:00"))</f>
        <v/>
      </c>
      <c r="G971">
        <f>IF(OR($E971="",$E971="نامعتبر"),"",IF(Entry!$E971="","",LEFT(UPPER(TRIM(Entry!$E971)),6)))</f>
        <v/>
      </c>
      <c r="H971">
        <f>IF($G971="","",RIGHT($E971,4)&amp;MID($E971,6,2)&amp;RIGHT($E971,2)&amp;IF($F971="","0000",IF($F971="نامعتبر","9999",LEFT($F971,2)&amp;RIGHT($F971,2)))&amp;"|"&amp;RIGHT("00000"&amp;963,5))</f>
        <v/>
      </c>
      <c r="I971">
        <f>IF($H971="","",COUNTIFS(CalcBank,$G971,CalcKey,"&lt;"&amp;$H971)+1)</f>
        <v/>
      </c>
      <c r="J971">
        <f>IF($I971="","",$G971&amp;"|"&amp;RIGHT("000000"&amp;$I971,6))</f>
        <v/>
      </c>
      <c r="K971">
        <f>IF(OR($E971="",$E971="نامعتبر"),"",LEFT($E971,4)&amp;"/"&amp;MID($E971,6,2))</f>
        <v/>
      </c>
      <c r="L971">
        <f>IF(Entry!$K971="",0,Entry!$K971)</f>
        <v/>
      </c>
      <c r="M971">
        <f>IF(Entry!$L971="",0,Entry!$L971)</f>
        <v/>
      </c>
    </row>
    <row r="972">
      <c r="A972">
        <f>IF(Entry!$C972="","",Entry!$C972)</f>
        <v/>
      </c>
      <c r="B972">
        <f>IF($A972="","",IF(ISNUMBER($A972),IF(AND($A972&gt;=10000101,$A972&lt;=99991231),INT($A972/10000),""),IFERROR(VALUE(TRIM(LEFT($A972,FIND("/",$A972)-1))),"")))</f>
        <v/>
      </c>
      <c r="C972">
        <f>IF(OR($A972="",$B972=""),"",IF(ISNUMBER($A972),INT(MOD($A972,10000)/100),IFERROR(VALUE(TRIM(LEFT(MID($A972,FIND("/",$A972)+1,20),FIND("/",MID($A972,FIND("/",$A972)+1,20))-1))),"")))</f>
        <v/>
      </c>
      <c r="D972">
        <f>IF(OR($A972="",$B972=""),"",IF(ISNUMBER($A972),MOD($A972,100),IFERROR(VALUE(TRIM(MID(MID($A972,FIND("/",$A972)+1,20),FIND("/",MID($A972,FIND("/",$A972)+1,20))+1,20))),"")))</f>
        <v/>
      </c>
      <c r="E972">
        <f>IF($A972="","",IF(OR($B972="",$C972="",$D972="",$B972&lt;1300,$B972&gt;1500,$C972&lt;1,$C972&gt;12,$D972&lt;1,$D972&gt;31),"نامعتبر",RIGHT("0000"&amp;$B972,4)&amp;"/"&amp;RIGHT("00"&amp;$C972,2)&amp;"/"&amp;RIGHT("00"&amp;$D972,2)))</f>
        <v/>
      </c>
      <c r="F972">
        <f>IF(Entry!$D972&lt;&gt;"",IF(AND(ISNUMBER(Entry!$D972),Entry!$D972&gt;=0,Entry!$D972&lt;1),RIGHT("00"&amp;HOUR(Entry!$D972),2)&amp;":"&amp;RIGHT("00"&amp;MINUTE(Entry!$D972),2),IFERROR(RIGHT("00"&amp;VALUE(TRIM(LEFT(Entry!$D972,FIND(":",Entry!$D972)-1))),2)&amp;":"&amp;RIGHT("00"&amp;VALUE(TRIM(MID(Entry!$D972,FIND(":",Entry!$D972)+1,2))),2),"نامعتبر")),IF(OR($E972="",$E972="نامعتبر"),"","00:00"))</f>
        <v/>
      </c>
      <c r="G972">
        <f>IF(OR($E972="",$E972="نامعتبر"),"",IF(Entry!$E972="","",LEFT(UPPER(TRIM(Entry!$E972)),6)))</f>
        <v/>
      </c>
      <c r="H972">
        <f>IF($G972="","",RIGHT($E972,4)&amp;MID($E972,6,2)&amp;RIGHT($E972,2)&amp;IF($F972="","0000",IF($F972="نامعتبر","9999",LEFT($F972,2)&amp;RIGHT($F972,2)))&amp;"|"&amp;RIGHT("00000"&amp;964,5))</f>
        <v/>
      </c>
      <c r="I972">
        <f>IF($H972="","",COUNTIFS(CalcBank,$G972,CalcKey,"&lt;"&amp;$H972)+1)</f>
        <v/>
      </c>
      <c r="J972">
        <f>IF($I972="","",$G972&amp;"|"&amp;RIGHT("000000"&amp;$I972,6))</f>
        <v/>
      </c>
      <c r="K972">
        <f>IF(OR($E972="",$E972="نامعتبر"),"",LEFT($E972,4)&amp;"/"&amp;MID($E972,6,2))</f>
        <v/>
      </c>
      <c r="L972">
        <f>IF(Entry!$K972="",0,Entry!$K972)</f>
        <v/>
      </c>
      <c r="M972">
        <f>IF(Entry!$L972="",0,Entry!$L972)</f>
        <v/>
      </c>
    </row>
    <row r="973">
      <c r="A973">
        <f>IF(Entry!$C973="","",Entry!$C973)</f>
        <v/>
      </c>
      <c r="B973">
        <f>IF($A973="","",IF(ISNUMBER($A973),IF(AND($A973&gt;=10000101,$A973&lt;=99991231),INT($A973/10000),""),IFERROR(VALUE(TRIM(LEFT($A973,FIND("/",$A973)-1))),"")))</f>
        <v/>
      </c>
      <c r="C973">
        <f>IF(OR($A973="",$B973=""),"",IF(ISNUMBER($A973),INT(MOD($A973,10000)/100),IFERROR(VALUE(TRIM(LEFT(MID($A973,FIND("/",$A973)+1,20),FIND("/",MID($A973,FIND("/",$A973)+1,20))-1))),"")))</f>
        <v/>
      </c>
      <c r="D973">
        <f>IF(OR($A973="",$B973=""),"",IF(ISNUMBER($A973),MOD($A973,100),IFERROR(VALUE(TRIM(MID(MID($A973,FIND("/",$A973)+1,20),FIND("/",MID($A973,FIND("/",$A973)+1,20))+1,20))),"")))</f>
        <v/>
      </c>
      <c r="E973">
        <f>IF($A973="","",IF(OR($B973="",$C973="",$D973="",$B973&lt;1300,$B973&gt;1500,$C973&lt;1,$C973&gt;12,$D973&lt;1,$D973&gt;31),"نامعتبر",RIGHT("0000"&amp;$B973,4)&amp;"/"&amp;RIGHT("00"&amp;$C973,2)&amp;"/"&amp;RIGHT("00"&amp;$D973,2)))</f>
        <v/>
      </c>
      <c r="F973">
        <f>IF(Entry!$D973&lt;&gt;"",IF(AND(ISNUMBER(Entry!$D973),Entry!$D973&gt;=0,Entry!$D973&lt;1),RIGHT("00"&amp;HOUR(Entry!$D973),2)&amp;":"&amp;RIGHT("00"&amp;MINUTE(Entry!$D973),2),IFERROR(RIGHT("00"&amp;VALUE(TRIM(LEFT(Entry!$D973,FIND(":",Entry!$D973)-1))),2)&amp;":"&amp;RIGHT("00"&amp;VALUE(TRIM(MID(Entry!$D973,FIND(":",Entry!$D973)+1,2))),2),"نامعتبر")),IF(OR($E973="",$E973="نامعتبر"),"","00:00"))</f>
        <v/>
      </c>
      <c r="G973">
        <f>IF(OR($E973="",$E973="نامعتبر"),"",IF(Entry!$E973="","",LEFT(UPPER(TRIM(Entry!$E973)),6)))</f>
        <v/>
      </c>
      <c r="H973">
        <f>IF($G973="","",RIGHT($E973,4)&amp;MID($E973,6,2)&amp;RIGHT($E973,2)&amp;IF($F973="","0000",IF($F973="نامعتبر","9999",LEFT($F973,2)&amp;RIGHT($F973,2)))&amp;"|"&amp;RIGHT("00000"&amp;965,5))</f>
        <v/>
      </c>
      <c r="I973">
        <f>IF($H973="","",COUNTIFS(CalcBank,$G973,CalcKey,"&lt;"&amp;$H973)+1)</f>
        <v/>
      </c>
      <c r="J973">
        <f>IF($I973="","",$G973&amp;"|"&amp;RIGHT("000000"&amp;$I973,6))</f>
        <v/>
      </c>
      <c r="K973">
        <f>IF(OR($E973="",$E973="نامعتبر"),"",LEFT($E973,4)&amp;"/"&amp;MID($E973,6,2))</f>
        <v/>
      </c>
      <c r="L973">
        <f>IF(Entry!$K973="",0,Entry!$K973)</f>
        <v/>
      </c>
      <c r="M973">
        <f>IF(Entry!$L973="",0,Entry!$L973)</f>
        <v/>
      </c>
    </row>
    <row r="974">
      <c r="A974">
        <f>IF(Entry!$C974="","",Entry!$C974)</f>
        <v/>
      </c>
      <c r="B974">
        <f>IF($A974="","",IF(ISNUMBER($A974),IF(AND($A974&gt;=10000101,$A974&lt;=99991231),INT($A974/10000),""),IFERROR(VALUE(TRIM(LEFT($A974,FIND("/",$A974)-1))),"")))</f>
        <v/>
      </c>
      <c r="C974">
        <f>IF(OR($A974="",$B974=""),"",IF(ISNUMBER($A974),INT(MOD($A974,10000)/100),IFERROR(VALUE(TRIM(LEFT(MID($A974,FIND("/",$A974)+1,20),FIND("/",MID($A974,FIND("/",$A974)+1,20))-1))),"")))</f>
        <v/>
      </c>
      <c r="D974">
        <f>IF(OR($A974="",$B974=""),"",IF(ISNUMBER($A974),MOD($A974,100),IFERROR(VALUE(TRIM(MID(MID($A974,FIND("/",$A974)+1,20),FIND("/",MID($A974,FIND("/",$A974)+1,20))+1,20))),"")))</f>
        <v/>
      </c>
      <c r="E974">
        <f>IF($A974="","",IF(OR($B974="",$C974="",$D974="",$B974&lt;1300,$B974&gt;1500,$C974&lt;1,$C974&gt;12,$D974&lt;1,$D974&gt;31),"نامعتبر",RIGHT("0000"&amp;$B974,4)&amp;"/"&amp;RIGHT("00"&amp;$C974,2)&amp;"/"&amp;RIGHT("00"&amp;$D974,2)))</f>
        <v/>
      </c>
      <c r="F974">
        <f>IF(Entry!$D974&lt;&gt;"",IF(AND(ISNUMBER(Entry!$D974),Entry!$D974&gt;=0,Entry!$D974&lt;1),RIGHT("00"&amp;HOUR(Entry!$D974),2)&amp;":"&amp;RIGHT("00"&amp;MINUTE(Entry!$D974),2),IFERROR(RIGHT("00"&amp;VALUE(TRIM(LEFT(Entry!$D974,FIND(":",Entry!$D974)-1))),2)&amp;":"&amp;RIGHT("00"&amp;VALUE(TRIM(MID(Entry!$D974,FIND(":",Entry!$D974)+1,2))),2),"نامعتبر")),IF(OR($E974="",$E974="نامعتبر"),"","00:00"))</f>
        <v/>
      </c>
      <c r="G974">
        <f>IF(OR($E974="",$E974="نامعتبر"),"",IF(Entry!$E974="","",LEFT(UPPER(TRIM(Entry!$E974)),6)))</f>
        <v/>
      </c>
      <c r="H974">
        <f>IF($G974="","",RIGHT($E974,4)&amp;MID($E974,6,2)&amp;RIGHT($E974,2)&amp;IF($F974="","0000",IF($F974="نامعتبر","9999",LEFT($F974,2)&amp;RIGHT($F974,2)))&amp;"|"&amp;RIGHT("00000"&amp;966,5))</f>
        <v/>
      </c>
      <c r="I974">
        <f>IF($H974="","",COUNTIFS(CalcBank,$G974,CalcKey,"&lt;"&amp;$H974)+1)</f>
        <v/>
      </c>
      <c r="J974">
        <f>IF($I974="","",$G974&amp;"|"&amp;RIGHT("000000"&amp;$I974,6))</f>
        <v/>
      </c>
      <c r="K974">
        <f>IF(OR($E974="",$E974="نامعتبر"),"",LEFT($E974,4)&amp;"/"&amp;MID($E974,6,2))</f>
        <v/>
      </c>
      <c r="L974">
        <f>IF(Entry!$K974="",0,Entry!$K974)</f>
        <v/>
      </c>
      <c r="M974">
        <f>IF(Entry!$L974="",0,Entry!$L974)</f>
        <v/>
      </c>
    </row>
    <row r="975">
      <c r="A975">
        <f>IF(Entry!$C975="","",Entry!$C975)</f>
        <v/>
      </c>
      <c r="B975">
        <f>IF($A975="","",IF(ISNUMBER($A975),IF(AND($A975&gt;=10000101,$A975&lt;=99991231),INT($A975/10000),""),IFERROR(VALUE(TRIM(LEFT($A975,FIND("/",$A975)-1))),"")))</f>
        <v/>
      </c>
      <c r="C975">
        <f>IF(OR($A975="",$B975=""),"",IF(ISNUMBER($A975),INT(MOD($A975,10000)/100),IFERROR(VALUE(TRIM(LEFT(MID($A975,FIND("/",$A975)+1,20),FIND("/",MID($A975,FIND("/",$A975)+1,20))-1))),"")))</f>
        <v/>
      </c>
      <c r="D975">
        <f>IF(OR($A975="",$B975=""),"",IF(ISNUMBER($A975),MOD($A975,100),IFERROR(VALUE(TRIM(MID(MID($A975,FIND("/",$A975)+1,20),FIND("/",MID($A975,FIND("/",$A975)+1,20))+1,20))),"")))</f>
        <v/>
      </c>
      <c r="E975">
        <f>IF($A975="","",IF(OR($B975="",$C975="",$D975="",$B975&lt;1300,$B975&gt;1500,$C975&lt;1,$C975&gt;12,$D975&lt;1,$D975&gt;31),"نامعتبر",RIGHT("0000"&amp;$B975,4)&amp;"/"&amp;RIGHT("00"&amp;$C975,2)&amp;"/"&amp;RIGHT("00"&amp;$D975,2)))</f>
        <v/>
      </c>
      <c r="F975">
        <f>IF(Entry!$D975&lt;&gt;"",IF(AND(ISNUMBER(Entry!$D975),Entry!$D975&gt;=0,Entry!$D975&lt;1),RIGHT("00"&amp;HOUR(Entry!$D975),2)&amp;":"&amp;RIGHT("00"&amp;MINUTE(Entry!$D975),2),IFERROR(RIGHT("00"&amp;VALUE(TRIM(LEFT(Entry!$D975,FIND(":",Entry!$D975)-1))),2)&amp;":"&amp;RIGHT("00"&amp;VALUE(TRIM(MID(Entry!$D975,FIND(":",Entry!$D975)+1,2))),2),"نامعتبر")),IF(OR($E975="",$E975="نامعتبر"),"","00:00"))</f>
        <v/>
      </c>
      <c r="G975">
        <f>IF(OR($E975="",$E975="نامعتبر"),"",IF(Entry!$E975="","",LEFT(UPPER(TRIM(Entry!$E975)),6)))</f>
        <v/>
      </c>
      <c r="H975">
        <f>IF($G975="","",RIGHT($E975,4)&amp;MID($E975,6,2)&amp;RIGHT($E975,2)&amp;IF($F975="","0000",IF($F975="نامعتبر","9999",LEFT($F975,2)&amp;RIGHT($F975,2)))&amp;"|"&amp;RIGHT("00000"&amp;967,5))</f>
        <v/>
      </c>
      <c r="I975">
        <f>IF($H975="","",COUNTIFS(CalcBank,$G975,CalcKey,"&lt;"&amp;$H975)+1)</f>
        <v/>
      </c>
      <c r="J975">
        <f>IF($I975="","",$G975&amp;"|"&amp;RIGHT("000000"&amp;$I975,6))</f>
        <v/>
      </c>
      <c r="K975">
        <f>IF(OR($E975="",$E975="نامعتبر"),"",LEFT($E975,4)&amp;"/"&amp;MID($E975,6,2))</f>
        <v/>
      </c>
      <c r="L975">
        <f>IF(Entry!$K975="",0,Entry!$K975)</f>
        <v/>
      </c>
      <c r="M975">
        <f>IF(Entry!$L975="",0,Entry!$L975)</f>
        <v/>
      </c>
    </row>
    <row r="976">
      <c r="A976">
        <f>IF(Entry!$C976="","",Entry!$C976)</f>
        <v/>
      </c>
      <c r="B976">
        <f>IF($A976="","",IF(ISNUMBER($A976),IF(AND($A976&gt;=10000101,$A976&lt;=99991231),INT($A976/10000),""),IFERROR(VALUE(TRIM(LEFT($A976,FIND("/",$A976)-1))),"")))</f>
        <v/>
      </c>
      <c r="C976">
        <f>IF(OR($A976="",$B976=""),"",IF(ISNUMBER($A976),INT(MOD($A976,10000)/100),IFERROR(VALUE(TRIM(LEFT(MID($A976,FIND("/",$A976)+1,20),FIND("/",MID($A976,FIND("/",$A976)+1,20))-1))),"")))</f>
        <v/>
      </c>
      <c r="D976">
        <f>IF(OR($A976="",$B976=""),"",IF(ISNUMBER($A976),MOD($A976,100),IFERROR(VALUE(TRIM(MID(MID($A976,FIND("/",$A976)+1,20),FIND("/",MID($A976,FIND("/",$A976)+1,20))+1,20))),"")))</f>
        <v/>
      </c>
      <c r="E976">
        <f>IF($A976="","",IF(OR($B976="",$C976="",$D976="",$B976&lt;1300,$B976&gt;1500,$C976&lt;1,$C976&gt;12,$D976&lt;1,$D976&gt;31),"نامعتبر",RIGHT("0000"&amp;$B976,4)&amp;"/"&amp;RIGHT("00"&amp;$C976,2)&amp;"/"&amp;RIGHT("00"&amp;$D976,2)))</f>
        <v/>
      </c>
      <c r="F976">
        <f>IF(Entry!$D976&lt;&gt;"",IF(AND(ISNUMBER(Entry!$D976),Entry!$D976&gt;=0,Entry!$D976&lt;1),RIGHT("00"&amp;HOUR(Entry!$D976),2)&amp;":"&amp;RIGHT("00"&amp;MINUTE(Entry!$D976),2),IFERROR(RIGHT("00"&amp;VALUE(TRIM(LEFT(Entry!$D976,FIND(":",Entry!$D976)-1))),2)&amp;":"&amp;RIGHT("00"&amp;VALUE(TRIM(MID(Entry!$D976,FIND(":",Entry!$D976)+1,2))),2),"نامعتبر")),IF(OR($E976="",$E976="نامعتبر"),"","00:00"))</f>
        <v/>
      </c>
      <c r="G976">
        <f>IF(OR($E976="",$E976="نامعتبر"),"",IF(Entry!$E976="","",LEFT(UPPER(TRIM(Entry!$E976)),6)))</f>
        <v/>
      </c>
      <c r="H976">
        <f>IF($G976="","",RIGHT($E976,4)&amp;MID($E976,6,2)&amp;RIGHT($E976,2)&amp;IF($F976="","0000",IF($F976="نامعتبر","9999",LEFT($F976,2)&amp;RIGHT($F976,2)))&amp;"|"&amp;RIGHT("00000"&amp;968,5))</f>
        <v/>
      </c>
      <c r="I976">
        <f>IF($H976="","",COUNTIFS(CalcBank,$G976,CalcKey,"&lt;"&amp;$H976)+1)</f>
        <v/>
      </c>
      <c r="J976">
        <f>IF($I976="","",$G976&amp;"|"&amp;RIGHT("000000"&amp;$I976,6))</f>
        <v/>
      </c>
      <c r="K976">
        <f>IF(OR($E976="",$E976="نامعتبر"),"",LEFT($E976,4)&amp;"/"&amp;MID($E976,6,2))</f>
        <v/>
      </c>
      <c r="L976">
        <f>IF(Entry!$K976="",0,Entry!$K976)</f>
        <v/>
      </c>
      <c r="M976">
        <f>IF(Entry!$L976="",0,Entry!$L976)</f>
        <v/>
      </c>
    </row>
    <row r="977">
      <c r="A977">
        <f>IF(Entry!$C977="","",Entry!$C977)</f>
        <v/>
      </c>
      <c r="B977">
        <f>IF($A977="","",IF(ISNUMBER($A977),IF(AND($A977&gt;=10000101,$A977&lt;=99991231),INT($A977/10000),""),IFERROR(VALUE(TRIM(LEFT($A977,FIND("/",$A977)-1))),"")))</f>
        <v/>
      </c>
      <c r="C977">
        <f>IF(OR($A977="",$B977=""),"",IF(ISNUMBER($A977),INT(MOD($A977,10000)/100),IFERROR(VALUE(TRIM(LEFT(MID($A977,FIND("/",$A977)+1,20),FIND("/",MID($A977,FIND("/",$A977)+1,20))-1))),"")))</f>
        <v/>
      </c>
      <c r="D977">
        <f>IF(OR($A977="",$B977=""),"",IF(ISNUMBER($A977),MOD($A977,100),IFERROR(VALUE(TRIM(MID(MID($A977,FIND("/",$A977)+1,20),FIND("/",MID($A977,FIND("/",$A977)+1,20))+1,20))),"")))</f>
        <v/>
      </c>
      <c r="E977">
        <f>IF($A977="","",IF(OR($B977="",$C977="",$D977="",$B977&lt;1300,$B977&gt;1500,$C977&lt;1,$C977&gt;12,$D977&lt;1,$D977&gt;31),"نامعتبر",RIGHT("0000"&amp;$B977,4)&amp;"/"&amp;RIGHT("00"&amp;$C977,2)&amp;"/"&amp;RIGHT("00"&amp;$D977,2)))</f>
        <v/>
      </c>
      <c r="F977">
        <f>IF(Entry!$D977&lt;&gt;"",IF(AND(ISNUMBER(Entry!$D977),Entry!$D977&gt;=0,Entry!$D977&lt;1),RIGHT("00"&amp;HOUR(Entry!$D977),2)&amp;":"&amp;RIGHT("00"&amp;MINUTE(Entry!$D977),2),IFERROR(RIGHT("00"&amp;VALUE(TRIM(LEFT(Entry!$D977,FIND(":",Entry!$D977)-1))),2)&amp;":"&amp;RIGHT("00"&amp;VALUE(TRIM(MID(Entry!$D977,FIND(":",Entry!$D977)+1,2))),2),"نامعتبر")),IF(OR($E977="",$E977="نامعتبر"),"","00:00"))</f>
        <v/>
      </c>
      <c r="G977">
        <f>IF(OR($E977="",$E977="نامعتبر"),"",IF(Entry!$E977="","",LEFT(UPPER(TRIM(Entry!$E977)),6)))</f>
        <v/>
      </c>
      <c r="H977">
        <f>IF($G977="","",RIGHT($E977,4)&amp;MID($E977,6,2)&amp;RIGHT($E977,2)&amp;IF($F977="","0000",IF($F977="نامعتبر","9999",LEFT($F977,2)&amp;RIGHT($F977,2)))&amp;"|"&amp;RIGHT("00000"&amp;969,5))</f>
        <v/>
      </c>
      <c r="I977">
        <f>IF($H977="","",COUNTIFS(CalcBank,$G977,CalcKey,"&lt;"&amp;$H977)+1)</f>
        <v/>
      </c>
      <c r="J977">
        <f>IF($I977="","",$G977&amp;"|"&amp;RIGHT("000000"&amp;$I977,6))</f>
        <v/>
      </c>
      <c r="K977">
        <f>IF(OR($E977="",$E977="نامعتبر"),"",LEFT($E977,4)&amp;"/"&amp;MID($E977,6,2))</f>
        <v/>
      </c>
      <c r="L977">
        <f>IF(Entry!$K977="",0,Entry!$K977)</f>
        <v/>
      </c>
      <c r="M977">
        <f>IF(Entry!$L977="",0,Entry!$L977)</f>
        <v/>
      </c>
    </row>
    <row r="978">
      <c r="A978">
        <f>IF(Entry!$C978="","",Entry!$C978)</f>
        <v/>
      </c>
      <c r="B978">
        <f>IF($A978="","",IF(ISNUMBER($A978),IF(AND($A978&gt;=10000101,$A978&lt;=99991231),INT($A978/10000),""),IFERROR(VALUE(TRIM(LEFT($A978,FIND("/",$A978)-1))),"")))</f>
        <v/>
      </c>
      <c r="C978">
        <f>IF(OR($A978="",$B978=""),"",IF(ISNUMBER($A978),INT(MOD($A978,10000)/100),IFERROR(VALUE(TRIM(LEFT(MID($A978,FIND("/",$A978)+1,20),FIND("/",MID($A978,FIND("/",$A978)+1,20))-1))),"")))</f>
        <v/>
      </c>
      <c r="D978">
        <f>IF(OR($A978="",$B978=""),"",IF(ISNUMBER($A978),MOD($A978,100),IFERROR(VALUE(TRIM(MID(MID($A978,FIND("/",$A978)+1,20),FIND("/",MID($A978,FIND("/",$A978)+1,20))+1,20))),"")))</f>
        <v/>
      </c>
      <c r="E978">
        <f>IF($A978="","",IF(OR($B978="",$C978="",$D978="",$B978&lt;1300,$B978&gt;1500,$C978&lt;1,$C978&gt;12,$D978&lt;1,$D978&gt;31),"نامعتبر",RIGHT("0000"&amp;$B978,4)&amp;"/"&amp;RIGHT("00"&amp;$C978,2)&amp;"/"&amp;RIGHT("00"&amp;$D978,2)))</f>
        <v/>
      </c>
      <c r="F978">
        <f>IF(Entry!$D978&lt;&gt;"",IF(AND(ISNUMBER(Entry!$D978),Entry!$D978&gt;=0,Entry!$D978&lt;1),RIGHT("00"&amp;HOUR(Entry!$D978),2)&amp;":"&amp;RIGHT("00"&amp;MINUTE(Entry!$D978),2),IFERROR(RIGHT("00"&amp;VALUE(TRIM(LEFT(Entry!$D978,FIND(":",Entry!$D978)-1))),2)&amp;":"&amp;RIGHT("00"&amp;VALUE(TRIM(MID(Entry!$D978,FIND(":",Entry!$D978)+1,2))),2),"نامعتبر")),IF(OR($E978="",$E978="نامعتبر"),"","00:00"))</f>
        <v/>
      </c>
      <c r="G978">
        <f>IF(OR($E978="",$E978="نامعتبر"),"",IF(Entry!$E978="","",LEFT(UPPER(TRIM(Entry!$E978)),6)))</f>
        <v/>
      </c>
      <c r="H978">
        <f>IF($G978="","",RIGHT($E978,4)&amp;MID($E978,6,2)&amp;RIGHT($E978,2)&amp;IF($F978="","0000",IF($F978="نامعتبر","9999",LEFT($F978,2)&amp;RIGHT($F978,2)))&amp;"|"&amp;RIGHT("00000"&amp;970,5))</f>
        <v/>
      </c>
      <c r="I978">
        <f>IF($H978="","",COUNTIFS(CalcBank,$G978,CalcKey,"&lt;"&amp;$H978)+1)</f>
        <v/>
      </c>
      <c r="J978">
        <f>IF($I978="","",$G978&amp;"|"&amp;RIGHT("000000"&amp;$I978,6))</f>
        <v/>
      </c>
      <c r="K978">
        <f>IF(OR($E978="",$E978="نامعتبر"),"",LEFT($E978,4)&amp;"/"&amp;MID($E978,6,2))</f>
        <v/>
      </c>
      <c r="L978">
        <f>IF(Entry!$K978="",0,Entry!$K978)</f>
        <v/>
      </c>
      <c r="M978">
        <f>IF(Entry!$L978="",0,Entry!$L978)</f>
        <v/>
      </c>
    </row>
    <row r="979">
      <c r="A979">
        <f>IF(Entry!$C979="","",Entry!$C979)</f>
        <v/>
      </c>
      <c r="B979">
        <f>IF($A979="","",IF(ISNUMBER($A979),IF(AND($A979&gt;=10000101,$A979&lt;=99991231),INT($A979/10000),""),IFERROR(VALUE(TRIM(LEFT($A979,FIND("/",$A979)-1))),"")))</f>
        <v/>
      </c>
      <c r="C979">
        <f>IF(OR($A979="",$B979=""),"",IF(ISNUMBER($A979),INT(MOD($A979,10000)/100),IFERROR(VALUE(TRIM(LEFT(MID($A979,FIND("/",$A979)+1,20),FIND("/",MID($A979,FIND("/",$A979)+1,20))-1))),"")))</f>
        <v/>
      </c>
      <c r="D979">
        <f>IF(OR($A979="",$B979=""),"",IF(ISNUMBER($A979),MOD($A979,100),IFERROR(VALUE(TRIM(MID(MID($A979,FIND("/",$A979)+1,20),FIND("/",MID($A979,FIND("/",$A979)+1,20))+1,20))),"")))</f>
        <v/>
      </c>
      <c r="E979">
        <f>IF($A979="","",IF(OR($B979="",$C979="",$D979="",$B979&lt;1300,$B979&gt;1500,$C979&lt;1,$C979&gt;12,$D979&lt;1,$D979&gt;31),"نامعتبر",RIGHT("0000"&amp;$B979,4)&amp;"/"&amp;RIGHT("00"&amp;$C979,2)&amp;"/"&amp;RIGHT("00"&amp;$D979,2)))</f>
        <v/>
      </c>
      <c r="F979">
        <f>IF(Entry!$D979&lt;&gt;"",IF(AND(ISNUMBER(Entry!$D979),Entry!$D979&gt;=0,Entry!$D979&lt;1),RIGHT("00"&amp;HOUR(Entry!$D979),2)&amp;":"&amp;RIGHT("00"&amp;MINUTE(Entry!$D979),2),IFERROR(RIGHT("00"&amp;VALUE(TRIM(LEFT(Entry!$D979,FIND(":",Entry!$D979)-1))),2)&amp;":"&amp;RIGHT("00"&amp;VALUE(TRIM(MID(Entry!$D979,FIND(":",Entry!$D979)+1,2))),2),"نامعتبر")),IF(OR($E979="",$E979="نامعتبر"),"","00:00"))</f>
        <v/>
      </c>
      <c r="G979">
        <f>IF(OR($E979="",$E979="نامعتبر"),"",IF(Entry!$E979="","",LEFT(UPPER(TRIM(Entry!$E979)),6)))</f>
        <v/>
      </c>
      <c r="H979">
        <f>IF($G979="","",RIGHT($E979,4)&amp;MID($E979,6,2)&amp;RIGHT($E979,2)&amp;IF($F979="","0000",IF($F979="نامعتبر","9999",LEFT($F979,2)&amp;RIGHT($F979,2)))&amp;"|"&amp;RIGHT("00000"&amp;971,5))</f>
        <v/>
      </c>
      <c r="I979">
        <f>IF($H979="","",COUNTIFS(CalcBank,$G979,CalcKey,"&lt;"&amp;$H979)+1)</f>
        <v/>
      </c>
      <c r="J979">
        <f>IF($I979="","",$G979&amp;"|"&amp;RIGHT("000000"&amp;$I979,6))</f>
        <v/>
      </c>
      <c r="K979">
        <f>IF(OR($E979="",$E979="نامعتبر"),"",LEFT($E979,4)&amp;"/"&amp;MID($E979,6,2))</f>
        <v/>
      </c>
      <c r="L979">
        <f>IF(Entry!$K979="",0,Entry!$K979)</f>
        <v/>
      </c>
      <c r="M979">
        <f>IF(Entry!$L979="",0,Entry!$L979)</f>
        <v/>
      </c>
    </row>
    <row r="980">
      <c r="A980">
        <f>IF(Entry!$C980="","",Entry!$C980)</f>
        <v/>
      </c>
      <c r="B980">
        <f>IF($A980="","",IF(ISNUMBER($A980),IF(AND($A980&gt;=10000101,$A980&lt;=99991231),INT($A980/10000),""),IFERROR(VALUE(TRIM(LEFT($A980,FIND("/",$A980)-1))),"")))</f>
        <v/>
      </c>
      <c r="C980">
        <f>IF(OR($A980="",$B980=""),"",IF(ISNUMBER($A980),INT(MOD($A980,10000)/100),IFERROR(VALUE(TRIM(LEFT(MID($A980,FIND("/",$A980)+1,20),FIND("/",MID($A980,FIND("/",$A980)+1,20))-1))),"")))</f>
        <v/>
      </c>
      <c r="D980">
        <f>IF(OR($A980="",$B980=""),"",IF(ISNUMBER($A980),MOD($A980,100),IFERROR(VALUE(TRIM(MID(MID($A980,FIND("/",$A980)+1,20),FIND("/",MID($A980,FIND("/",$A980)+1,20))+1,20))),"")))</f>
        <v/>
      </c>
      <c r="E980">
        <f>IF($A980="","",IF(OR($B980="",$C980="",$D980="",$B980&lt;1300,$B980&gt;1500,$C980&lt;1,$C980&gt;12,$D980&lt;1,$D980&gt;31),"نامعتبر",RIGHT("0000"&amp;$B980,4)&amp;"/"&amp;RIGHT("00"&amp;$C980,2)&amp;"/"&amp;RIGHT("00"&amp;$D980,2)))</f>
        <v/>
      </c>
      <c r="F980">
        <f>IF(Entry!$D980&lt;&gt;"",IF(AND(ISNUMBER(Entry!$D980),Entry!$D980&gt;=0,Entry!$D980&lt;1),RIGHT("00"&amp;HOUR(Entry!$D980),2)&amp;":"&amp;RIGHT("00"&amp;MINUTE(Entry!$D980),2),IFERROR(RIGHT("00"&amp;VALUE(TRIM(LEFT(Entry!$D980,FIND(":",Entry!$D980)-1))),2)&amp;":"&amp;RIGHT("00"&amp;VALUE(TRIM(MID(Entry!$D980,FIND(":",Entry!$D980)+1,2))),2),"نامعتبر")),IF(OR($E980="",$E980="نامعتبر"),"","00:00"))</f>
        <v/>
      </c>
      <c r="G980">
        <f>IF(OR($E980="",$E980="نامعتبر"),"",IF(Entry!$E980="","",LEFT(UPPER(TRIM(Entry!$E980)),6)))</f>
        <v/>
      </c>
      <c r="H980">
        <f>IF($G980="","",RIGHT($E980,4)&amp;MID($E980,6,2)&amp;RIGHT($E980,2)&amp;IF($F980="","0000",IF($F980="نامعتبر","9999",LEFT($F980,2)&amp;RIGHT($F980,2)))&amp;"|"&amp;RIGHT("00000"&amp;972,5))</f>
        <v/>
      </c>
      <c r="I980">
        <f>IF($H980="","",COUNTIFS(CalcBank,$G980,CalcKey,"&lt;"&amp;$H980)+1)</f>
        <v/>
      </c>
      <c r="J980">
        <f>IF($I980="","",$G980&amp;"|"&amp;RIGHT("000000"&amp;$I980,6))</f>
        <v/>
      </c>
      <c r="K980">
        <f>IF(OR($E980="",$E980="نامعتبر"),"",LEFT($E980,4)&amp;"/"&amp;MID($E980,6,2))</f>
        <v/>
      </c>
      <c r="L980">
        <f>IF(Entry!$K980="",0,Entry!$K980)</f>
        <v/>
      </c>
      <c r="M980">
        <f>IF(Entry!$L980="",0,Entry!$L980)</f>
        <v/>
      </c>
    </row>
    <row r="981">
      <c r="A981">
        <f>IF(Entry!$C981="","",Entry!$C981)</f>
        <v/>
      </c>
      <c r="B981">
        <f>IF($A981="","",IF(ISNUMBER($A981),IF(AND($A981&gt;=10000101,$A981&lt;=99991231),INT($A981/10000),""),IFERROR(VALUE(TRIM(LEFT($A981,FIND("/",$A981)-1))),"")))</f>
        <v/>
      </c>
      <c r="C981">
        <f>IF(OR($A981="",$B981=""),"",IF(ISNUMBER($A981),INT(MOD($A981,10000)/100),IFERROR(VALUE(TRIM(LEFT(MID($A981,FIND("/",$A981)+1,20),FIND("/",MID($A981,FIND("/",$A981)+1,20))-1))),"")))</f>
        <v/>
      </c>
      <c r="D981">
        <f>IF(OR($A981="",$B981=""),"",IF(ISNUMBER($A981),MOD($A981,100),IFERROR(VALUE(TRIM(MID(MID($A981,FIND("/",$A981)+1,20),FIND("/",MID($A981,FIND("/",$A981)+1,20))+1,20))),"")))</f>
        <v/>
      </c>
      <c r="E981">
        <f>IF($A981="","",IF(OR($B981="",$C981="",$D981="",$B981&lt;1300,$B981&gt;1500,$C981&lt;1,$C981&gt;12,$D981&lt;1,$D981&gt;31),"نامعتبر",RIGHT("0000"&amp;$B981,4)&amp;"/"&amp;RIGHT("00"&amp;$C981,2)&amp;"/"&amp;RIGHT("00"&amp;$D981,2)))</f>
        <v/>
      </c>
      <c r="F981">
        <f>IF(Entry!$D981&lt;&gt;"",IF(AND(ISNUMBER(Entry!$D981),Entry!$D981&gt;=0,Entry!$D981&lt;1),RIGHT("00"&amp;HOUR(Entry!$D981),2)&amp;":"&amp;RIGHT("00"&amp;MINUTE(Entry!$D981),2),IFERROR(RIGHT("00"&amp;VALUE(TRIM(LEFT(Entry!$D981,FIND(":",Entry!$D981)-1))),2)&amp;":"&amp;RIGHT("00"&amp;VALUE(TRIM(MID(Entry!$D981,FIND(":",Entry!$D981)+1,2))),2),"نامعتبر")),IF(OR($E981="",$E981="نامعتبر"),"","00:00"))</f>
        <v/>
      </c>
      <c r="G981">
        <f>IF(OR($E981="",$E981="نامعتبر"),"",IF(Entry!$E981="","",LEFT(UPPER(TRIM(Entry!$E981)),6)))</f>
        <v/>
      </c>
      <c r="H981">
        <f>IF($G981="","",RIGHT($E981,4)&amp;MID($E981,6,2)&amp;RIGHT($E981,2)&amp;IF($F981="","0000",IF($F981="نامعتبر","9999",LEFT($F981,2)&amp;RIGHT($F981,2)))&amp;"|"&amp;RIGHT("00000"&amp;973,5))</f>
        <v/>
      </c>
      <c r="I981">
        <f>IF($H981="","",COUNTIFS(CalcBank,$G981,CalcKey,"&lt;"&amp;$H981)+1)</f>
        <v/>
      </c>
      <c r="J981">
        <f>IF($I981="","",$G981&amp;"|"&amp;RIGHT("000000"&amp;$I981,6))</f>
        <v/>
      </c>
      <c r="K981">
        <f>IF(OR($E981="",$E981="نامعتبر"),"",LEFT($E981,4)&amp;"/"&amp;MID($E981,6,2))</f>
        <v/>
      </c>
      <c r="L981">
        <f>IF(Entry!$K981="",0,Entry!$K981)</f>
        <v/>
      </c>
      <c r="M981">
        <f>IF(Entry!$L981="",0,Entry!$L981)</f>
        <v/>
      </c>
    </row>
    <row r="982">
      <c r="A982">
        <f>IF(Entry!$C982="","",Entry!$C982)</f>
        <v/>
      </c>
      <c r="B982">
        <f>IF($A982="","",IF(ISNUMBER($A982),IF(AND($A982&gt;=10000101,$A982&lt;=99991231),INT($A982/10000),""),IFERROR(VALUE(TRIM(LEFT($A982,FIND("/",$A982)-1))),"")))</f>
        <v/>
      </c>
      <c r="C982">
        <f>IF(OR($A982="",$B982=""),"",IF(ISNUMBER($A982),INT(MOD($A982,10000)/100),IFERROR(VALUE(TRIM(LEFT(MID($A982,FIND("/",$A982)+1,20),FIND("/",MID($A982,FIND("/",$A982)+1,20))-1))),"")))</f>
        <v/>
      </c>
      <c r="D982">
        <f>IF(OR($A982="",$B982=""),"",IF(ISNUMBER($A982),MOD($A982,100),IFERROR(VALUE(TRIM(MID(MID($A982,FIND("/",$A982)+1,20),FIND("/",MID($A982,FIND("/",$A982)+1,20))+1,20))),"")))</f>
        <v/>
      </c>
      <c r="E982">
        <f>IF($A982="","",IF(OR($B982="",$C982="",$D982="",$B982&lt;1300,$B982&gt;1500,$C982&lt;1,$C982&gt;12,$D982&lt;1,$D982&gt;31),"نامعتبر",RIGHT("0000"&amp;$B982,4)&amp;"/"&amp;RIGHT("00"&amp;$C982,2)&amp;"/"&amp;RIGHT("00"&amp;$D982,2)))</f>
        <v/>
      </c>
      <c r="F982">
        <f>IF(Entry!$D982&lt;&gt;"",IF(AND(ISNUMBER(Entry!$D982),Entry!$D982&gt;=0,Entry!$D982&lt;1),RIGHT("00"&amp;HOUR(Entry!$D982),2)&amp;":"&amp;RIGHT("00"&amp;MINUTE(Entry!$D982),2),IFERROR(RIGHT("00"&amp;VALUE(TRIM(LEFT(Entry!$D982,FIND(":",Entry!$D982)-1))),2)&amp;":"&amp;RIGHT("00"&amp;VALUE(TRIM(MID(Entry!$D982,FIND(":",Entry!$D982)+1,2))),2),"نامعتبر")),IF(OR($E982="",$E982="نامعتبر"),"","00:00"))</f>
        <v/>
      </c>
      <c r="G982">
        <f>IF(OR($E982="",$E982="نامعتبر"),"",IF(Entry!$E982="","",LEFT(UPPER(TRIM(Entry!$E982)),6)))</f>
        <v/>
      </c>
      <c r="H982">
        <f>IF($G982="","",RIGHT($E982,4)&amp;MID($E982,6,2)&amp;RIGHT($E982,2)&amp;IF($F982="","0000",IF($F982="نامعتبر","9999",LEFT($F982,2)&amp;RIGHT($F982,2)))&amp;"|"&amp;RIGHT("00000"&amp;974,5))</f>
        <v/>
      </c>
      <c r="I982">
        <f>IF($H982="","",COUNTIFS(CalcBank,$G982,CalcKey,"&lt;"&amp;$H982)+1)</f>
        <v/>
      </c>
      <c r="J982">
        <f>IF($I982="","",$G982&amp;"|"&amp;RIGHT("000000"&amp;$I982,6))</f>
        <v/>
      </c>
      <c r="K982">
        <f>IF(OR($E982="",$E982="نامعتبر"),"",LEFT($E982,4)&amp;"/"&amp;MID($E982,6,2))</f>
        <v/>
      </c>
      <c r="L982">
        <f>IF(Entry!$K982="",0,Entry!$K982)</f>
        <v/>
      </c>
      <c r="M982">
        <f>IF(Entry!$L982="",0,Entry!$L982)</f>
        <v/>
      </c>
    </row>
    <row r="983">
      <c r="A983">
        <f>IF(Entry!$C983="","",Entry!$C983)</f>
        <v/>
      </c>
      <c r="B983">
        <f>IF($A983="","",IF(ISNUMBER($A983),IF(AND($A983&gt;=10000101,$A983&lt;=99991231),INT($A983/10000),""),IFERROR(VALUE(TRIM(LEFT($A983,FIND("/",$A983)-1))),"")))</f>
        <v/>
      </c>
      <c r="C983">
        <f>IF(OR($A983="",$B983=""),"",IF(ISNUMBER($A983),INT(MOD($A983,10000)/100),IFERROR(VALUE(TRIM(LEFT(MID($A983,FIND("/",$A983)+1,20),FIND("/",MID($A983,FIND("/",$A983)+1,20))-1))),"")))</f>
        <v/>
      </c>
      <c r="D983">
        <f>IF(OR($A983="",$B983=""),"",IF(ISNUMBER($A983),MOD($A983,100),IFERROR(VALUE(TRIM(MID(MID($A983,FIND("/",$A983)+1,20),FIND("/",MID($A983,FIND("/",$A983)+1,20))+1,20))),"")))</f>
        <v/>
      </c>
      <c r="E983">
        <f>IF($A983="","",IF(OR($B983="",$C983="",$D983="",$B983&lt;1300,$B983&gt;1500,$C983&lt;1,$C983&gt;12,$D983&lt;1,$D983&gt;31),"نامعتبر",RIGHT("0000"&amp;$B983,4)&amp;"/"&amp;RIGHT("00"&amp;$C983,2)&amp;"/"&amp;RIGHT("00"&amp;$D983,2)))</f>
        <v/>
      </c>
      <c r="F983">
        <f>IF(Entry!$D983&lt;&gt;"",IF(AND(ISNUMBER(Entry!$D983),Entry!$D983&gt;=0,Entry!$D983&lt;1),RIGHT("00"&amp;HOUR(Entry!$D983),2)&amp;":"&amp;RIGHT("00"&amp;MINUTE(Entry!$D983),2),IFERROR(RIGHT("00"&amp;VALUE(TRIM(LEFT(Entry!$D983,FIND(":",Entry!$D983)-1))),2)&amp;":"&amp;RIGHT("00"&amp;VALUE(TRIM(MID(Entry!$D983,FIND(":",Entry!$D983)+1,2))),2),"نامعتبر")),IF(OR($E983="",$E983="نامعتبر"),"","00:00"))</f>
        <v/>
      </c>
      <c r="G983">
        <f>IF(OR($E983="",$E983="نامعتبر"),"",IF(Entry!$E983="","",LEFT(UPPER(TRIM(Entry!$E983)),6)))</f>
        <v/>
      </c>
      <c r="H983">
        <f>IF($G983="","",RIGHT($E983,4)&amp;MID($E983,6,2)&amp;RIGHT($E983,2)&amp;IF($F983="","0000",IF($F983="نامعتبر","9999",LEFT($F983,2)&amp;RIGHT($F983,2)))&amp;"|"&amp;RIGHT("00000"&amp;975,5))</f>
        <v/>
      </c>
      <c r="I983">
        <f>IF($H983="","",COUNTIFS(CalcBank,$G983,CalcKey,"&lt;"&amp;$H983)+1)</f>
        <v/>
      </c>
      <c r="J983">
        <f>IF($I983="","",$G983&amp;"|"&amp;RIGHT("000000"&amp;$I983,6))</f>
        <v/>
      </c>
      <c r="K983">
        <f>IF(OR($E983="",$E983="نامعتبر"),"",LEFT($E983,4)&amp;"/"&amp;MID($E983,6,2))</f>
        <v/>
      </c>
      <c r="L983">
        <f>IF(Entry!$K983="",0,Entry!$K983)</f>
        <v/>
      </c>
      <c r="M983">
        <f>IF(Entry!$L983="",0,Entry!$L983)</f>
        <v/>
      </c>
    </row>
    <row r="984">
      <c r="A984">
        <f>IF(Entry!$C984="","",Entry!$C984)</f>
        <v/>
      </c>
      <c r="B984">
        <f>IF($A984="","",IF(ISNUMBER($A984),IF(AND($A984&gt;=10000101,$A984&lt;=99991231),INT($A984/10000),""),IFERROR(VALUE(TRIM(LEFT($A984,FIND("/",$A984)-1))),"")))</f>
        <v/>
      </c>
      <c r="C984">
        <f>IF(OR($A984="",$B984=""),"",IF(ISNUMBER($A984),INT(MOD($A984,10000)/100),IFERROR(VALUE(TRIM(LEFT(MID($A984,FIND("/",$A984)+1,20),FIND("/",MID($A984,FIND("/",$A984)+1,20))-1))),"")))</f>
        <v/>
      </c>
      <c r="D984">
        <f>IF(OR($A984="",$B984=""),"",IF(ISNUMBER($A984),MOD($A984,100),IFERROR(VALUE(TRIM(MID(MID($A984,FIND("/",$A984)+1,20),FIND("/",MID($A984,FIND("/",$A984)+1,20))+1,20))),"")))</f>
        <v/>
      </c>
      <c r="E984">
        <f>IF($A984="","",IF(OR($B984="",$C984="",$D984="",$B984&lt;1300,$B984&gt;1500,$C984&lt;1,$C984&gt;12,$D984&lt;1,$D984&gt;31),"نامعتبر",RIGHT("0000"&amp;$B984,4)&amp;"/"&amp;RIGHT("00"&amp;$C984,2)&amp;"/"&amp;RIGHT("00"&amp;$D984,2)))</f>
        <v/>
      </c>
      <c r="F984">
        <f>IF(Entry!$D984&lt;&gt;"",IF(AND(ISNUMBER(Entry!$D984),Entry!$D984&gt;=0,Entry!$D984&lt;1),RIGHT("00"&amp;HOUR(Entry!$D984),2)&amp;":"&amp;RIGHT("00"&amp;MINUTE(Entry!$D984),2),IFERROR(RIGHT("00"&amp;VALUE(TRIM(LEFT(Entry!$D984,FIND(":",Entry!$D984)-1))),2)&amp;":"&amp;RIGHT("00"&amp;VALUE(TRIM(MID(Entry!$D984,FIND(":",Entry!$D984)+1,2))),2),"نامعتبر")),IF(OR($E984="",$E984="نامعتبر"),"","00:00"))</f>
        <v/>
      </c>
      <c r="G984">
        <f>IF(OR($E984="",$E984="نامعتبر"),"",IF(Entry!$E984="","",LEFT(UPPER(TRIM(Entry!$E984)),6)))</f>
        <v/>
      </c>
      <c r="H984">
        <f>IF($G984="","",RIGHT($E984,4)&amp;MID($E984,6,2)&amp;RIGHT($E984,2)&amp;IF($F984="","0000",IF($F984="نامعتبر","9999",LEFT($F984,2)&amp;RIGHT($F984,2)))&amp;"|"&amp;RIGHT("00000"&amp;976,5))</f>
        <v/>
      </c>
      <c r="I984">
        <f>IF($H984="","",COUNTIFS(CalcBank,$G984,CalcKey,"&lt;"&amp;$H984)+1)</f>
        <v/>
      </c>
      <c r="J984">
        <f>IF($I984="","",$G984&amp;"|"&amp;RIGHT("000000"&amp;$I984,6))</f>
        <v/>
      </c>
      <c r="K984">
        <f>IF(OR($E984="",$E984="نامعتبر"),"",LEFT($E984,4)&amp;"/"&amp;MID($E984,6,2))</f>
        <v/>
      </c>
      <c r="L984">
        <f>IF(Entry!$K984="",0,Entry!$K984)</f>
        <v/>
      </c>
      <c r="M984">
        <f>IF(Entry!$L984="",0,Entry!$L984)</f>
        <v/>
      </c>
    </row>
    <row r="985">
      <c r="A985">
        <f>IF(Entry!$C985="","",Entry!$C985)</f>
        <v/>
      </c>
      <c r="B985">
        <f>IF($A985="","",IF(ISNUMBER($A985),IF(AND($A985&gt;=10000101,$A985&lt;=99991231),INT($A985/10000),""),IFERROR(VALUE(TRIM(LEFT($A985,FIND("/",$A985)-1))),"")))</f>
        <v/>
      </c>
      <c r="C985">
        <f>IF(OR($A985="",$B985=""),"",IF(ISNUMBER($A985),INT(MOD($A985,10000)/100),IFERROR(VALUE(TRIM(LEFT(MID($A985,FIND("/",$A985)+1,20),FIND("/",MID($A985,FIND("/",$A985)+1,20))-1))),"")))</f>
        <v/>
      </c>
      <c r="D985">
        <f>IF(OR($A985="",$B985=""),"",IF(ISNUMBER($A985),MOD($A985,100),IFERROR(VALUE(TRIM(MID(MID($A985,FIND("/",$A985)+1,20),FIND("/",MID($A985,FIND("/",$A985)+1,20))+1,20))),"")))</f>
        <v/>
      </c>
      <c r="E985">
        <f>IF($A985="","",IF(OR($B985="",$C985="",$D985="",$B985&lt;1300,$B985&gt;1500,$C985&lt;1,$C985&gt;12,$D985&lt;1,$D985&gt;31),"نامعتبر",RIGHT("0000"&amp;$B985,4)&amp;"/"&amp;RIGHT("00"&amp;$C985,2)&amp;"/"&amp;RIGHT("00"&amp;$D985,2)))</f>
        <v/>
      </c>
      <c r="F985">
        <f>IF(Entry!$D985&lt;&gt;"",IF(AND(ISNUMBER(Entry!$D985),Entry!$D985&gt;=0,Entry!$D985&lt;1),RIGHT("00"&amp;HOUR(Entry!$D985),2)&amp;":"&amp;RIGHT("00"&amp;MINUTE(Entry!$D985),2),IFERROR(RIGHT("00"&amp;VALUE(TRIM(LEFT(Entry!$D985,FIND(":",Entry!$D985)-1))),2)&amp;":"&amp;RIGHT("00"&amp;VALUE(TRIM(MID(Entry!$D985,FIND(":",Entry!$D985)+1,2))),2),"نامعتبر")),IF(OR($E985="",$E985="نامعتبر"),"","00:00"))</f>
        <v/>
      </c>
      <c r="G985">
        <f>IF(OR($E985="",$E985="نامعتبر"),"",IF(Entry!$E985="","",LEFT(UPPER(TRIM(Entry!$E985)),6)))</f>
        <v/>
      </c>
      <c r="H985">
        <f>IF($G985="","",RIGHT($E985,4)&amp;MID($E985,6,2)&amp;RIGHT($E985,2)&amp;IF($F985="","0000",IF($F985="نامعتبر","9999",LEFT($F985,2)&amp;RIGHT($F985,2)))&amp;"|"&amp;RIGHT("00000"&amp;977,5))</f>
        <v/>
      </c>
      <c r="I985">
        <f>IF($H985="","",COUNTIFS(CalcBank,$G985,CalcKey,"&lt;"&amp;$H985)+1)</f>
        <v/>
      </c>
      <c r="J985">
        <f>IF($I985="","",$G985&amp;"|"&amp;RIGHT("000000"&amp;$I985,6))</f>
        <v/>
      </c>
      <c r="K985">
        <f>IF(OR($E985="",$E985="نامعتبر"),"",LEFT($E985,4)&amp;"/"&amp;MID($E985,6,2))</f>
        <v/>
      </c>
      <c r="L985">
        <f>IF(Entry!$K985="",0,Entry!$K985)</f>
        <v/>
      </c>
      <c r="M985">
        <f>IF(Entry!$L985="",0,Entry!$L985)</f>
        <v/>
      </c>
    </row>
    <row r="986">
      <c r="A986">
        <f>IF(Entry!$C986="","",Entry!$C986)</f>
        <v/>
      </c>
      <c r="B986">
        <f>IF($A986="","",IF(ISNUMBER($A986),IF(AND($A986&gt;=10000101,$A986&lt;=99991231),INT($A986/10000),""),IFERROR(VALUE(TRIM(LEFT($A986,FIND("/",$A986)-1))),"")))</f>
        <v/>
      </c>
      <c r="C986">
        <f>IF(OR($A986="",$B986=""),"",IF(ISNUMBER($A986),INT(MOD($A986,10000)/100),IFERROR(VALUE(TRIM(LEFT(MID($A986,FIND("/",$A986)+1,20),FIND("/",MID($A986,FIND("/",$A986)+1,20))-1))),"")))</f>
        <v/>
      </c>
      <c r="D986">
        <f>IF(OR($A986="",$B986=""),"",IF(ISNUMBER($A986),MOD($A986,100),IFERROR(VALUE(TRIM(MID(MID($A986,FIND("/",$A986)+1,20),FIND("/",MID($A986,FIND("/",$A986)+1,20))+1,20))),"")))</f>
        <v/>
      </c>
      <c r="E986">
        <f>IF($A986="","",IF(OR($B986="",$C986="",$D986="",$B986&lt;1300,$B986&gt;1500,$C986&lt;1,$C986&gt;12,$D986&lt;1,$D986&gt;31),"نامعتبر",RIGHT("0000"&amp;$B986,4)&amp;"/"&amp;RIGHT("00"&amp;$C986,2)&amp;"/"&amp;RIGHT("00"&amp;$D986,2)))</f>
        <v/>
      </c>
      <c r="F986">
        <f>IF(Entry!$D986&lt;&gt;"",IF(AND(ISNUMBER(Entry!$D986),Entry!$D986&gt;=0,Entry!$D986&lt;1),RIGHT("00"&amp;HOUR(Entry!$D986),2)&amp;":"&amp;RIGHT("00"&amp;MINUTE(Entry!$D986),2),IFERROR(RIGHT("00"&amp;VALUE(TRIM(LEFT(Entry!$D986,FIND(":",Entry!$D986)-1))),2)&amp;":"&amp;RIGHT("00"&amp;VALUE(TRIM(MID(Entry!$D986,FIND(":",Entry!$D986)+1,2))),2),"نامعتبر")),IF(OR($E986="",$E986="نامعتبر"),"","00:00"))</f>
        <v/>
      </c>
      <c r="G986">
        <f>IF(OR($E986="",$E986="نامعتبر"),"",IF(Entry!$E986="","",LEFT(UPPER(TRIM(Entry!$E986)),6)))</f>
        <v/>
      </c>
      <c r="H986">
        <f>IF($G986="","",RIGHT($E986,4)&amp;MID($E986,6,2)&amp;RIGHT($E986,2)&amp;IF($F986="","0000",IF($F986="نامعتبر","9999",LEFT($F986,2)&amp;RIGHT($F986,2)))&amp;"|"&amp;RIGHT("00000"&amp;978,5))</f>
        <v/>
      </c>
      <c r="I986">
        <f>IF($H986="","",COUNTIFS(CalcBank,$G986,CalcKey,"&lt;"&amp;$H986)+1)</f>
        <v/>
      </c>
      <c r="J986">
        <f>IF($I986="","",$G986&amp;"|"&amp;RIGHT("000000"&amp;$I986,6))</f>
        <v/>
      </c>
      <c r="K986">
        <f>IF(OR($E986="",$E986="نامعتبر"),"",LEFT($E986,4)&amp;"/"&amp;MID($E986,6,2))</f>
        <v/>
      </c>
      <c r="L986">
        <f>IF(Entry!$K986="",0,Entry!$K986)</f>
        <v/>
      </c>
      <c r="M986">
        <f>IF(Entry!$L986="",0,Entry!$L986)</f>
        <v/>
      </c>
    </row>
    <row r="987">
      <c r="A987">
        <f>IF(Entry!$C987="","",Entry!$C987)</f>
        <v/>
      </c>
      <c r="B987">
        <f>IF($A987="","",IF(ISNUMBER($A987),IF(AND($A987&gt;=10000101,$A987&lt;=99991231),INT($A987/10000),""),IFERROR(VALUE(TRIM(LEFT($A987,FIND("/",$A987)-1))),"")))</f>
        <v/>
      </c>
      <c r="C987">
        <f>IF(OR($A987="",$B987=""),"",IF(ISNUMBER($A987),INT(MOD($A987,10000)/100),IFERROR(VALUE(TRIM(LEFT(MID($A987,FIND("/",$A987)+1,20),FIND("/",MID($A987,FIND("/",$A987)+1,20))-1))),"")))</f>
        <v/>
      </c>
      <c r="D987">
        <f>IF(OR($A987="",$B987=""),"",IF(ISNUMBER($A987),MOD($A987,100),IFERROR(VALUE(TRIM(MID(MID($A987,FIND("/",$A987)+1,20),FIND("/",MID($A987,FIND("/",$A987)+1,20))+1,20))),"")))</f>
        <v/>
      </c>
      <c r="E987">
        <f>IF($A987="","",IF(OR($B987="",$C987="",$D987="",$B987&lt;1300,$B987&gt;1500,$C987&lt;1,$C987&gt;12,$D987&lt;1,$D987&gt;31),"نامعتبر",RIGHT("0000"&amp;$B987,4)&amp;"/"&amp;RIGHT("00"&amp;$C987,2)&amp;"/"&amp;RIGHT("00"&amp;$D987,2)))</f>
        <v/>
      </c>
      <c r="F987">
        <f>IF(Entry!$D987&lt;&gt;"",IF(AND(ISNUMBER(Entry!$D987),Entry!$D987&gt;=0,Entry!$D987&lt;1),RIGHT("00"&amp;HOUR(Entry!$D987),2)&amp;":"&amp;RIGHT("00"&amp;MINUTE(Entry!$D987),2),IFERROR(RIGHT("00"&amp;VALUE(TRIM(LEFT(Entry!$D987,FIND(":",Entry!$D987)-1))),2)&amp;":"&amp;RIGHT("00"&amp;VALUE(TRIM(MID(Entry!$D987,FIND(":",Entry!$D987)+1,2))),2),"نامعتبر")),IF(OR($E987="",$E987="نامعتبر"),"","00:00"))</f>
        <v/>
      </c>
      <c r="G987">
        <f>IF(OR($E987="",$E987="نامعتبر"),"",IF(Entry!$E987="","",LEFT(UPPER(TRIM(Entry!$E987)),6)))</f>
        <v/>
      </c>
      <c r="H987">
        <f>IF($G987="","",RIGHT($E987,4)&amp;MID($E987,6,2)&amp;RIGHT($E987,2)&amp;IF($F987="","0000",IF($F987="نامعتبر","9999",LEFT($F987,2)&amp;RIGHT($F987,2)))&amp;"|"&amp;RIGHT("00000"&amp;979,5))</f>
        <v/>
      </c>
      <c r="I987">
        <f>IF($H987="","",COUNTIFS(CalcBank,$G987,CalcKey,"&lt;"&amp;$H987)+1)</f>
        <v/>
      </c>
      <c r="J987">
        <f>IF($I987="","",$G987&amp;"|"&amp;RIGHT("000000"&amp;$I987,6))</f>
        <v/>
      </c>
      <c r="K987">
        <f>IF(OR($E987="",$E987="نامعتبر"),"",LEFT($E987,4)&amp;"/"&amp;MID($E987,6,2))</f>
        <v/>
      </c>
      <c r="L987">
        <f>IF(Entry!$K987="",0,Entry!$K987)</f>
        <v/>
      </c>
      <c r="M987">
        <f>IF(Entry!$L987="",0,Entry!$L987)</f>
        <v/>
      </c>
    </row>
    <row r="988">
      <c r="A988">
        <f>IF(Entry!$C988="","",Entry!$C988)</f>
        <v/>
      </c>
      <c r="B988">
        <f>IF($A988="","",IF(ISNUMBER($A988),IF(AND($A988&gt;=10000101,$A988&lt;=99991231),INT($A988/10000),""),IFERROR(VALUE(TRIM(LEFT($A988,FIND("/",$A988)-1))),"")))</f>
        <v/>
      </c>
      <c r="C988">
        <f>IF(OR($A988="",$B988=""),"",IF(ISNUMBER($A988),INT(MOD($A988,10000)/100),IFERROR(VALUE(TRIM(LEFT(MID($A988,FIND("/",$A988)+1,20),FIND("/",MID($A988,FIND("/",$A988)+1,20))-1))),"")))</f>
        <v/>
      </c>
      <c r="D988">
        <f>IF(OR($A988="",$B988=""),"",IF(ISNUMBER($A988),MOD($A988,100),IFERROR(VALUE(TRIM(MID(MID($A988,FIND("/",$A988)+1,20),FIND("/",MID($A988,FIND("/",$A988)+1,20))+1,20))),"")))</f>
        <v/>
      </c>
      <c r="E988">
        <f>IF($A988="","",IF(OR($B988="",$C988="",$D988="",$B988&lt;1300,$B988&gt;1500,$C988&lt;1,$C988&gt;12,$D988&lt;1,$D988&gt;31),"نامعتبر",RIGHT("0000"&amp;$B988,4)&amp;"/"&amp;RIGHT("00"&amp;$C988,2)&amp;"/"&amp;RIGHT("00"&amp;$D988,2)))</f>
        <v/>
      </c>
      <c r="F988">
        <f>IF(Entry!$D988&lt;&gt;"",IF(AND(ISNUMBER(Entry!$D988),Entry!$D988&gt;=0,Entry!$D988&lt;1),RIGHT("00"&amp;HOUR(Entry!$D988),2)&amp;":"&amp;RIGHT("00"&amp;MINUTE(Entry!$D988),2),IFERROR(RIGHT("00"&amp;VALUE(TRIM(LEFT(Entry!$D988,FIND(":",Entry!$D988)-1))),2)&amp;":"&amp;RIGHT("00"&amp;VALUE(TRIM(MID(Entry!$D988,FIND(":",Entry!$D988)+1,2))),2),"نامعتبر")),IF(OR($E988="",$E988="نامعتبر"),"","00:00"))</f>
        <v/>
      </c>
      <c r="G988">
        <f>IF(OR($E988="",$E988="نامعتبر"),"",IF(Entry!$E988="","",LEFT(UPPER(TRIM(Entry!$E988)),6)))</f>
        <v/>
      </c>
      <c r="H988">
        <f>IF($G988="","",RIGHT($E988,4)&amp;MID($E988,6,2)&amp;RIGHT($E988,2)&amp;IF($F988="","0000",IF($F988="نامعتبر","9999",LEFT($F988,2)&amp;RIGHT($F988,2)))&amp;"|"&amp;RIGHT("00000"&amp;980,5))</f>
        <v/>
      </c>
      <c r="I988">
        <f>IF($H988="","",COUNTIFS(CalcBank,$G988,CalcKey,"&lt;"&amp;$H988)+1)</f>
        <v/>
      </c>
      <c r="J988">
        <f>IF($I988="","",$G988&amp;"|"&amp;RIGHT("000000"&amp;$I988,6))</f>
        <v/>
      </c>
      <c r="K988">
        <f>IF(OR($E988="",$E988="نامعتبر"),"",LEFT($E988,4)&amp;"/"&amp;MID($E988,6,2))</f>
        <v/>
      </c>
      <c r="L988">
        <f>IF(Entry!$K988="",0,Entry!$K988)</f>
        <v/>
      </c>
      <c r="M988">
        <f>IF(Entry!$L988="",0,Entry!$L988)</f>
        <v/>
      </c>
    </row>
    <row r="989">
      <c r="A989">
        <f>IF(Entry!$C989="","",Entry!$C989)</f>
        <v/>
      </c>
      <c r="B989">
        <f>IF($A989="","",IF(ISNUMBER($A989),IF(AND($A989&gt;=10000101,$A989&lt;=99991231),INT($A989/10000),""),IFERROR(VALUE(TRIM(LEFT($A989,FIND("/",$A989)-1))),"")))</f>
        <v/>
      </c>
      <c r="C989">
        <f>IF(OR($A989="",$B989=""),"",IF(ISNUMBER($A989),INT(MOD($A989,10000)/100),IFERROR(VALUE(TRIM(LEFT(MID($A989,FIND("/",$A989)+1,20),FIND("/",MID($A989,FIND("/",$A989)+1,20))-1))),"")))</f>
        <v/>
      </c>
      <c r="D989">
        <f>IF(OR($A989="",$B989=""),"",IF(ISNUMBER($A989),MOD($A989,100),IFERROR(VALUE(TRIM(MID(MID($A989,FIND("/",$A989)+1,20),FIND("/",MID($A989,FIND("/",$A989)+1,20))+1,20))),"")))</f>
        <v/>
      </c>
      <c r="E989">
        <f>IF($A989="","",IF(OR($B989="",$C989="",$D989="",$B989&lt;1300,$B989&gt;1500,$C989&lt;1,$C989&gt;12,$D989&lt;1,$D989&gt;31),"نامعتبر",RIGHT("0000"&amp;$B989,4)&amp;"/"&amp;RIGHT("00"&amp;$C989,2)&amp;"/"&amp;RIGHT("00"&amp;$D989,2)))</f>
        <v/>
      </c>
      <c r="F989">
        <f>IF(Entry!$D989&lt;&gt;"",IF(AND(ISNUMBER(Entry!$D989),Entry!$D989&gt;=0,Entry!$D989&lt;1),RIGHT("00"&amp;HOUR(Entry!$D989),2)&amp;":"&amp;RIGHT("00"&amp;MINUTE(Entry!$D989),2),IFERROR(RIGHT("00"&amp;VALUE(TRIM(LEFT(Entry!$D989,FIND(":",Entry!$D989)-1))),2)&amp;":"&amp;RIGHT("00"&amp;VALUE(TRIM(MID(Entry!$D989,FIND(":",Entry!$D989)+1,2))),2),"نامعتبر")),IF(OR($E989="",$E989="نامعتبر"),"","00:00"))</f>
        <v/>
      </c>
      <c r="G989">
        <f>IF(OR($E989="",$E989="نامعتبر"),"",IF(Entry!$E989="","",LEFT(UPPER(TRIM(Entry!$E989)),6)))</f>
        <v/>
      </c>
      <c r="H989">
        <f>IF($G989="","",RIGHT($E989,4)&amp;MID($E989,6,2)&amp;RIGHT($E989,2)&amp;IF($F989="","0000",IF($F989="نامعتبر","9999",LEFT($F989,2)&amp;RIGHT($F989,2)))&amp;"|"&amp;RIGHT("00000"&amp;981,5))</f>
        <v/>
      </c>
      <c r="I989">
        <f>IF($H989="","",COUNTIFS(CalcBank,$G989,CalcKey,"&lt;"&amp;$H989)+1)</f>
        <v/>
      </c>
      <c r="J989">
        <f>IF($I989="","",$G989&amp;"|"&amp;RIGHT("000000"&amp;$I989,6))</f>
        <v/>
      </c>
      <c r="K989">
        <f>IF(OR($E989="",$E989="نامعتبر"),"",LEFT($E989,4)&amp;"/"&amp;MID($E989,6,2))</f>
        <v/>
      </c>
      <c r="L989">
        <f>IF(Entry!$K989="",0,Entry!$K989)</f>
        <v/>
      </c>
      <c r="M989">
        <f>IF(Entry!$L989="",0,Entry!$L989)</f>
        <v/>
      </c>
    </row>
    <row r="990">
      <c r="A990">
        <f>IF(Entry!$C990="","",Entry!$C990)</f>
        <v/>
      </c>
      <c r="B990">
        <f>IF($A990="","",IF(ISNUMBER($A990),IF(AND($A990&gt;=10000101,$A990&lt;=99991231),INT($A990/10000),""),IFERROR(VALUE(TRIM(LEFT($A990,FIND("/",$A990)-1))),"")))</f>
        <v/>
      </c>
      <c r="C990">
        <f>IF(OR($A990="",$B990=""),"",IF(ISNUMBER($A990),INT(MOD($A990,10000)/100),IFERROR(VALUE(TRIM(LEFT(MID($A990,FIND("/",$A990)+1,20),FIND("/",MID($A990,FIND("/",$A990)+1,20))-1))),"")))</f>
        <v/>
      </c>
      <c r="D990">
        <f>IF(OR($A990="",$B990=""),"",IF(ISNUMBER($A990),MOD($A990,100),IFERROR(VALUE(TRIM(MID(MID($A990,FIND("/",$A990)+1,20),FIND("/",MID($A990,FIND("/",$A990)+1,20))+1,20))),"")))</f>
        <v/>
      </c>
      <c r="E990">
        <f>IF($A990="","",IF(OR($B990="",$C990="",$D990="",$B990&lt;1300,$B990&gt;1500,$C990&lt;1,$C990&gt;12,$D990&lt;1,$D990&gt;31),"نامعتبر",RIGHT("0000"&amp;$B990,4)&amp;"/"&amp;RIGHT("00"&amp;$C990,2)&amp;"/"&amp;RIGHT("00"&amp;$D990,2)))</f>
        <v/>
      </c>
      <c r="F990">
        <f>IF(Entry!$D990&lt;&gt;"",IF(AND(ISNUMBER(Entry!$D990),Entry!$D990&gt;=0,Entry!$D990&lt;1),RIGHT("00"&amp;HOUR(Entry!$D990),2)&amp;":"&amp;RIGHT("00"&amp;MINUTE(Entry!$D990),2),IFERROR(RIGHT("00"&amp;VALUE(TRIM(LEFT(Entry!$D990,FIND(":",Entry!$D990)-1))),2)&amp;":"&amp;RIGHT("00"&amp;VALUE(TRIM(MID(Entry!$D990,FIND(":",Entry!$D990)+1,2))),2),"نامعتبر")),IF(OR($E990="",$E990="نامعتبر"),"","00:00"))</f>
        <v/>
      </c>
      <c r="G990">
        <f>IF(OR($E990="",$E990="نامعتبر"),"",IF(Entry!$E990="","",LEFT(UPPER(TRIM(Entry!$E990)),6)))</f>
        <v/>
      </c>
      <c r="H990">
        <f>IF($G990="","",RIGHT($E990,4)&amp;MID($E990,6,2)&amp;RIGHT($E990,2)&amp;IF($F990="","0000",IF($F990="نامعتبر","9999",LEFT($F990,2)&amp;RIGHT($F990,2)))&amp;"|"&amp;RIGHT("00000"&amp;982,5))</f>
        <v/>
      </c>
      <c r="I990">
        <f>IF($H990="","",COUNTIFS(CalcBank,$G990,CalcKey,"&lt;"&amp;$H990)+1)</f>
        <v/>
      </c>
      <c r="J990">
        <f>IF($I990="","",$G990&amp;"|"&amp;RIGHT("000000"&amp;$I990,6))</f>
        <v/>
      </c>
      <c r="K990">
        <f>IF(OR($E990="",$E990="نامعتبر"),"",LEFT($E990,4)&amp;"/"&amp;MID($E990,6,2))</f>
        <v/>
      </c>
      <c r="L990">
        <f>IF(Entry!$K990="",0,Entry!$K990)</f>
        <v/>
      </c>
      <c r="M990">
        <f>IF(Entry!$L990="",0,Entry!$L990)</f>
        <v/>
      </c>
    </row>
    <row r="991">
      <c r="A991">
        <f>IF(Entry!$C991="","",Entry!$C991)</f>
        <v/>
      </c>
      <c r="B991">
        <f>IF($A991="","",IF(ISNUMBER($A991),IF(AND($A991&gt;=10000101,$A991&lt;=99991231),INT($A991/10000),""),IFERROR(VALUE(TRIM(LEFT($A991,FIND("/",$A991)-1))),"")))</f>
        <v/>
      </c>
      <c r="C991">
        <f>IF(OR($A991="",$B991=""),"",IF(ISNUMBER($A991),INT(MOD($A991,10000)/100),IFERROR(VALUE(TRIM(LEFT(MID($A991,FIND("/",$A991)+1,20),FIND("/",MID($A991,FIND("/",$A991)+1,20))-1))),"")))</f>
        <v/>
      </c>
      <c r="D991">
        <f>IF(OR($A991="",$B991=""),"",IF(ISNUMBER($A991),MOD($A991,100),IFERROR(VALUE(TRIM(MID(MID($A991,FIND("/",$A991)+1,20),FIND("/",MID($A991,FIND("/",$A991)+1,20))+1,20))),"")))</f>
        <v/>
      </c>
      <c r="E991">
        <f>IF($A991="","",IF(OR($B991="",$C991="",$D991="",$B991&lt;1300,$B991&gt;1500,$C991&lt;1,$C991&gt;12,$D991&lt;1,$D991&gt;31),"نامعتبر",RIGHT("0000"&amp;$B991,4)&amp;"/"&amp;RIGHT("00"&amp;$C991,2)&amp;"/"&amp;RIGHT("00"&amp;$D991,2)))</f>
        <v/>
      </c>
      <c r="F991">
        <f>IF(Entry!$D991&lt;&gt;"",IF(AND(ISNUMBER(Entry!$D991),Entry!$D991&gt;=0,Entry!$D991&lt;1),RIGHT("00"&amp;HOUR(Entry!$D991),2)&amp;":"&amp;RIGHT("00"&amp;MINUTE(Entry!$D991),2),IFERROR(RIGHT("00"&amp;VALUE(TRIM(LEFT(Entry!$D991,FIND(":",Entry!$D991)-1))),2)&amp;":"&amp;RIGHT("00"&amp;VALUE(TRIM(MID(Entry!$D991,FIND(":",Entry!$D991)+1,2))),2),"نامعتبر")),IF(OR($E991="",$E991="نامعتبر"),"","00:00"))</f>
        <v/>
      </c>
      <c r="G991">
        <f>IF(OR($E991="",$E991="نامعتبر"),"",IF(Entry!$E991="","",LEFT(UPPER(TRIM(Entry!$E991)),6)))</f>
        <v/>
      </c>
      <c r="H991">
        <f>IF($G991="","",RIGHT($E991,4)&amp;MID($E991,6,2)&amp;RIGHT($E991,2)&amp;IF($F991="","0000",IF($F991="نامعتبر","9999",LEFT($F991,2)&amp;RIGHT($F991,2)))&amp;"|"&amp;RIGHT("00000"&amp;983,5))</f>
        <v/>
      </c>
      <c r="I991">
        <f>IF($H991="","",COUNTIFS(CalcBank,$G991,CalcKey,"&lt;"&amp;$H991)+1)</f>
        <v/>
      </c>
      <c r="J991">
        <f>IF($I991="","",$G991&amp;"|"&amp;RIGHT("000000"&amp;$I991,6))</f>
        <v/>
      </c>
      <c r="K991">
        <f>IF(OR($E991="",$E991="نامعتبر"),"",LEFT($E991,4)&amp;"/"&amp;MID($E991,6,2))</f>
        <v/>
      </c>
      <c r="L991">
        <f>IF(Entry!$K991="",0,Entry!$K991)</f>
        <v/>
      </c>
      <c r="M991">
        <f>IF(Entry!$L991="",0,Entry!$L991)</f>
        <v/>
      </c>
    </row>
    <row r="992">
      <c r="A992">
        <f>IF(Entry!$C992="","",Entry!$C992)</f>
        <v/>
      </c>
      <c r="B992">
        <f>IF($A992="","",IF(ISNUMBER($A992),IF(AND($A992&gt;=10000101,$A992&lt;=99991231),INT($A992/10000),""),IFERROR(VALUE(TRIM(LEFT($A992,FIND("/",$A992)-1))),"")))</f>
        <v/>
      </c>
      <c r="C992">
        <f>IF(OR($A992="",$B992=""),"",IF(ISNUMBER($A992),INT(MOD($A992,10000)/100),IFERROR(VALUE(TRIM(LEFT(MID($A992,FIND("/",$A992)+1,20),FIND("/",MID($A992,FIND("/",$A992)+1,20))-1))),"")))</f>
        <v/>
      </c>
      <c r="D992">
        <f>IF(OR($A992="",$B992=""),"",IF(ISNUMBER($A992),MOD($A992,100),IFERROR(VALUE(TRIM(MID(MID($A992,FIND("/",$A992)+1,20),FIND("/",MID($A992,FIND("/",$A992)+1,20))+1,20))),"")))</f>
        <v/>
      </c>
      <c r="E992">
        <f>IF($A992="","",IF(OR($B992="",$C992="",$D992="",$B992&lt;1300,$B992&gt;1500,$C992&lt;1,$C992&gt;12,$D992&lt;1,$D992&gt;31),"نامعتبر",RIGHT("0000"&amp;$B992,4)&amp;"/"&amp;RIGHT("00"&amp;$C992,2)&amp;"/"&amp;RIGHT("00"&amp;$D992,2)))</f>
        <v/>
      </c>
      <c r="F992">
        <f>IF(Entry!$D992&lt;&gt;"",IF(AND(ISNUMBER(Entry!$D992),Entry!$D992&gt;=0,Entry!$D992&lt;1),RIGHT("00"&amp;HOUR(Entry!$D992),2)&amp;":"&amp;RIGHT("00"&amp;MINUTE(Entry!$D992),2),IFERROR(RIGHT("00"&amp;VALUE(TRIM(LEFT(Entry!$D992,FIND(":",Entry!$D992)-1))),2)&amp;":"&amp;RIGHT("00"&amp;VALUE(TRIM(MID(Entry!$D992,FIND(":",Entry!$D992)+1,2))),2),"نامعتبر")),IF(OR($E992="",$E992="نامعتبر"),"","00:00"))</f>
        <v/>
      </c>
      <c r="G992">
        <f>IF(OR($E992="",$E992="نامعتبر"),"",IF(Entry!$E992="","",LEFT(UPPER(TRIM(Entry!$E992)),6)))</f>
        <v/>
      </c>
      <c r="H992">
        <f>IF($G992="","",RIGHT($E992,4)&amp;MID($E992,6,2)&amp;RIGHT($E992,2)&amp;IF($F992="","0000",IF($F992="نامعتبر","9999",LEFT($F992,2)&amp;RIGHT($F992,2)))&amp;"|"&amp;RIGHT("00000"&amp;984,5))</f>
        <v/>
      </c>
      <c r="I992">
        <f>IF($H992="","",COUNTIFS(CalcBank,$G992,CalcKey,"&lt;"&amp;$H992)+1)</f>
        <v/>
      </c>
      <c r="J992">
        <f>IF($I992="","",$G992&amp;"|"&amp;RIGHT("000000"&amp;$I992,6))</f>
        <v/>
      </c>
      <c r="K992">
        <f>IF(OR($E992="",$E992="نامعتبر"),"",LEFT($E992,4)&amp;"/"&amp;MID($E992,6,2))</f>
        <v/>
      </c>
      <c r="L992">
        <f>IF(Entry!$K992="",0,Entry!$K992)</f>
        <v/>
      </c>
      <c r="M992">
        <f>IF(Entry!$L992="",0,Entry!$L992)</f>
        <v/>
      </c>
    </row>
    <row r="993">
      <c r="A993">
        <f>IF(Entry!$C993="","",Entry!$C993)</f>
        <v/>
      </c>
      <c r="B993">
        <f>IF($A993="","",IF(ISNUMBER($A993),IF(AND($A993&gt;=10000101,$A993&lt;=99991231),INT($A993/10000),""),IFERROR(VALUE(TRIM(LEFT($A993,FIND("/",$A993)-1))),"")))</f>
        <v/>
      </c>
      <c r="C993">
        <f>IF(OR($A993="",$B993=""),"",IF(ISNUMBER($A993),INT(MOD($A993,10000)/100),IFERROR(VALUE(TRIM(LEFT(MID($A993,FIND("/",$A993)+1,20),FIND("/",MID($A993,FIND("/",$A993)+1,20))-1))),"")))</f>
        <v/>
      </c>
      <c r="D993">
        <f>IF(OR($A993="",$B993=""),"",IF(ISNUMBER($A993),MOD($A993,100),IFERROR(VALUE(TRIM(MID(MID($A993,FIND("/",$A993)+1,20),FIND("/",MID($A993,FIND("/",$A993)+1,20))+1,20))),"")))</f>
        <v/>
      </c>
      <c r="E993">
        <f>IF($A993="","",IF(OR($B993="",$C993="",$D993="",$B993&lt;1300,$B993&gt;1500,$C993&lt;1,$C993&gt;12,$D993&lt;1,$D993&gt;31),"نامعتبر",RIGHT("0000"&amp;$B993,4)&amp;"/"&amp;RIGHT("00"&amp;$C993,2)&amp;"/"&amp;RIGHT("00"&amp;$D993,2)))</f>
        <v/>
      </c>
      <c r="F993">
        <f>IF(Entry!$D993&lt;&gt;"",IF(AND(ISNUMBER(Entry!$D993),Entry!$D993&gt;=0,Entry!$D993&lt;1),RIGHT("00"&amp;HOUR(Entry!$D993),2)&amp;":"&amp;RIGHT("00"&amp;MINUTE(Entry!$D993),2),IFERROR(RIGHT("00"&amp;VALUE(TRIM(LEFT(Entry!$D993,FIND(":",Entry!$D993)-1))),2)&amp;":"&amp;RIGHT("00"&amp;VALUE(TRIM(MID(Entry!$D993,FIND(":",Entry!$D993)+1,2))),2),"نامعتبر")),IF(OR($E993="",$E993="نامعتبر"),"","00:00"))</f>
        <v/>
      </c>
      <c r="G993">
        <f>IF(OR($E993="",$E993="نامعتبر"),"",IF(Entry!$E993="","",LEFT(UPPER(TRIM(Entry!$E993)),6)))</f>
        <v/>
      </c>
      <c r="H993">
        <f>IF($G993="","",RIGHT($E993,4)&amp;MID($E993,6,2)&amp;RIGHT($E993,2)&amp;IF($F993="","0000",IF($F993="نامعتبر","9999",LEFT($F993,2)&amp;RIGHT($F993,2)))&amp;"|"&amp;RIGHT("00000"&amp;985,5))</f>
        <v/>
      </c>
      <c r="I993">
        <f>IF($H993="","",COUNTIFS(CalcBank,$G993,CalcKey,"&lt;"&amp;$H993)+1)</f>
        <v/>
      </c>
      <c r="J993">
        <f>IF($I993="","",$G993&amp;"|"&amp;RIGHT("000000"&amp;$I993,6))</f>
        <v/>
      </c>
      <c r="K993">
        <f>IF(OR($E993="",$E993="نامعتبر"),"",LEFT($E993,4)&amp;"/"&amp;MID($E993,6,2))</f>
        <v/>
      </c>
      <c r="L993">
        <f>IF(Entry!$K993="",0,Entry!$K993)</f>
        <v/>
      </c>
      <c r="M993">
        <f>IF(Entry!$L993="",0,Entry!$L993)</f>
        <v/>
      </c>
    </row>
    <row r="994">
      <c r="A994">
        <f>IF(Entry!$C994="","",Entry!$C994)</f>
        <v/>
      </c>
      <c r="B994">
        <f>IF($A994="","",IF(ISNUMBER($A994),IF(AND($A994&gt;=10000101,$A994&lt;=99991231),INT($A994/10000),""),IFERROR(VALUE(TRIM(LEFT($A994,FIND("/",$A994)-1))),"")))</f>
        <v/>
      </c>
      <c r="C994">
        <f>IF(OR($A994="",$B994=""),"",IF(ISNUMBER($A994),INT(MOD($A994,10000)/100),IFERROR(VALUE(TRIM(LEFT(MID($A994,FIND("/",$A994)+1,20),FIND("/",MID($A994,FIND("/",$A994)+1,20))-1))),"")))</f>
        <v/>
      </c>
      <c r="D994">
        <f>IF(OR($A994="",$B994=""),"",IF(ISNUMBER($A994),MOD($A994,100),IFERROR(VALUE(TRIM(MID(MID($A994,FIND("/",$A994)+1,20),FIND("/",MID($A994,FIND("/",$A994)+1,20))+1,20))),"")))</f>
        <v/>
      </c>
      <c r="E994">
        <f>IF($A994="","",IF(OR($B994="",$C994="",$D994="",$B994&lt;1300,$B994&gt;1500,$C994&lt;1,$C994&gt;12,$D994&lt;1,$D994&gt;31),"نامعتبر",RIGHT("0000"&amp;$B994,4)&amp;"/"&amp;RIGHT("00"&amp;$C994,2)&amp;"/"&amp;RIGHT("00"&amp;$D994,2)))</f>
        <v/>
      </c>
      <c r="F994">
        <f>IF(Entry!$D994&lt;&gt;"",IF(AND(ISNUMBER(Entry!$D994),Entry!$D994&gt;=0,Entry!$D994&lt;1),RIGHT("00"&amp;HOUR(Entry!$D994),2)&amp;":"&amp;RIGHT("00"&amp;MINUTE(Entry!$D994),2),IFERROR(RIGHT("00"&amp;VALUE(TRIM(LEFT(Entry!$D994,FIND(":",Entry!$D994)-1))),2)&amp;":"&amp;RIGHT("00"&amp;VALUE(TRIM(MID(Entry!$D994,FIND(":",Entry!$D994)+1,2))),2),"نامعتبر")),IF(OR($E994="",$E994="نامعتبر"),"","00:00"))</f>
        <v/>
      </c>
      <c r="G994">
        <f>IF(OR($E994="",$E994="نامعتبر"),"",IF(Entry!$E994="","",LEFT(UPPER(TRIM(Entry!$E994)),6)))</f>
        <v/>
      </c>
      <c r="H994">
        <f>IF($G994="","",RIGHT($E994,4)&amp;MID($E994,6,2)&amp;RIGHT($E994,2)&amp;IF($F994="","0000",IF($F994="نامعتبر","9999",LEFT($F994,2)&amp;RIGHT($F994,2)))&amp;"|"&amp;RIGHT("00000"&amp;986,5))</f>
        <v/>
      </c>
      <c r="I994">
        <f>IF($H994="","",COUNTIFS(CalcBank,$G994,CalcKey,"&lt;"&amp;$H994)+1)</f>
        <v/>
      </c>
      <c r="J994">
        <f>IF($I994="","",$G994&amp;"|"&amp;RIGHT("000000"&amp;$I994,6))</f>
        <v/>
      </c>
      <c r="K994">
        <f>IF(OR($E994="",$E994="نامعتبر"),"",LEFT($E994,4)&amp;"/"&amp;MID($E994,6,2))</f>
        <v/>
      </c>
      <c r="L994">
        <f>IF(Entry!$K994="",0,Entry!$K994)</f>
        <v/>
      </c>
      <c r="M994">
        <f>IF(Entry!$L994="",0,Entry!$L994)</f>
        <v/>
      </c>
    </row>
    <row r="995">
      <c r="A995">
        <f>IF(Entry!$C995="","",Entry!$C995)</f>
        <v/>
      </c>
      <c r="B995">
        <f>IF($A995="","",IF(ISNUMBER($A995),IF(AND($A995&gt;=10000101,$A995&lt;=99991231),INT($A995/10000),""),IFERROR(VALUE(TRIM(LEFT($A995,FIND("/",$A995)-1))),"")))</f>
        <v/>
      </c>
      <c r="C995">
        <f>IF(OR($A995="",$B995=""),"",IF(ISNUMBER($A995),INT(MOD($A995,10000)/100),IFERROR(VALUE(TRIM(LEFT(MID($A995,FIND("/",$A995)+1,20),FIND("/",MID($A995,FIND("/",$A995)+1,20))-1))),"")))</f>
        <v/>
      </c>
      <c r="D995">
        <f>IF(OR($A995="",$B995=""),"",IF(ISNUMBER($A995),MOD($A995,100),IFERROR(VALUE(TRIM(MID(MID($A995,FIND("/",$A995)+1,20),FIND("/",MID($A995,FIND("/",$A995)+1,20))+1,20))),"")))</f>
        <v/>
      </c>
      <c r="E995">
        <f>IF($A995="","",IF(OR($B995="",$C995="",$D995="",$B995&lt;1300,$B995&gt;1500,$C995&lt;1,$C995&gt;12,$D995&lt;1,$D995&gt;31),"نامعتبر",RIGHT("0000"&amp;$B995,4)&amp;"/"&amp;RIGHT("00"&amp;$C995,2)&amp;"/"&amp;RIGHT("00"&amp;$D995,2)))</f>
        <v/>
      </c>
      <c r="F995">
        <f>IF(Entry!$D995&lt;&gt;"",IF(AND(ISNUMBER(Entry!$D995),Entry!$D995&gt;=0,Entry!$D995&lt;1),RIGHT("00"&amp;HOUR(Entry!$D995),2)&amp;":"&amp;RIGHT("00"&amp;MINUTE(Entry!$D995),2),IFERROR(RIGHT("00"&amp;VALUE(TRIM(LEFT(Entry!$D995,FIND(":",Entry!$D995)-1))),2)&amp;":"&amp;RIGHT("00"&amp;VALUE(TRIM(MID(Entry!$D995,FIND(":",Entry!$D995)+1,2))),2),"نامعتبر")),IF(OR($E995="",$E995="نامعتبر"),"","00:00"))</f>
        <v/>
      </c>
      <c r="G995">
        <f>IF(OR($E995="",$E995="نامعتبر"),"",IF(Entry!$E995="","",LEFT(UPPER(TRIM(Entry!$E995)),6)))</f>
        <v/>
      </c>
      <c r="H995">
        <f>IF($G995="","",RIGHT($E995,4)&amp;MID($E995,6,2)&amp;RIGHT($E995,2)&amp;IF($F995="","0000",IF($F995="نامعتبر","9999",LEFT($F995,2)&amp;RIGHT($F995,2)))&amp;"|"&amp;RIGHT("00000"&amp;987,5))</f>
        <v/>
      </c>
      <c r="I995">
        <f>IF($H995="","",COUNTIFS(CalcBank,$G995,CalcKey,"&lt;"&amp;$H995)+1)</f>
        <v/>
      </c>
      <c r="J995">
        <f>IF($I995="","",$G995&amp;"|"&amp;RIGHT("000000"&amp;$I995,6))</f>
        <v/>
      </c>
      <c r="K995">
        <f>IF(OR($E995="",$E995="نامعتبر"),"",LEFT($E995,4)&amp;"/"&amp;MID($E995,6,2))</f>
        <v/>
      </c>
      <c r="L995">
        <f>IF(Entry!$K995="",0,Entry!$K995)</f>
        <v/>
      </c>
      <c r="M995">
        <f>IF(Entry!$L995="",0,Entry!$L995)</f>
        <v/>
      </c>
    </row>
    <row r="996">
      <c r="A996">
        <f>IF(Entry!$C996="","",Entry!$C996)</f>
        <v/>
      </c>
      <c r="B996">
        <f>IF($A996="","",IF(ISNUMBER($A996),IF(AND($A996&gt;=10000101,$A996&lt;=99991231),INT($A996/10000),""),IFERROR(VALUE(TRIM(LEFT($A996,FIND("/",$A996)-1))),"")))</f>
        <v/>
      </c>
      <c r="C996">
        <f>IF(OR($A996="",$B996=""),"",IF(ISNUMBER($A996),INT(MOD($A996,10000)/100),IFERROR(VALUE(TRIM(LEFT(MID($A996,FIND("/",$A996)+1,20),FIND("/",MID($A996,FIND("/",$A996)+1,20))-1))),"")))</f>
        <v/>
      </c>
      <c r="D996">
        <f>IF(OR($A996="",$B996=""),"",IF(ISNUMBER($A996),MOD($A996,100),IFERROR(VALUE(TRIM(MID(MID($A996,FIND("/",$A996)+1,20),FIND("/",MID($A996,FIND("/",$A996)+1,20))+1,20))),"")))</f>
        <v/>
      </c>
      <c r="E996">
        <f>IF($A996="","",IF(OR($B996="",$C996="",$D996="",$B996&lt;1300,$B996&gt;1500,$C996&lt;1,$C996&gt;12,$D996&lt;1,$D996&gt;31),"نامعتبر",RIGHT("0000"&amp;$B996,4)&amp;"/"&amp;RIGHT("00"&amp;$C996,2)&amp;"/"&amp;RIGHT("00"&amp;$D996,2)))</f>
        <v/>
      </c>
      <c r="F996">
        <f>IF(Entry!$D996&lt;&gt;"",IF(AND(ISNUMBER(Entry!$D996),Entry!$D996&gt;=0,Entry!$D996&lt;1),RIGHT("00"&amp;HOUR(Entry!$D996),2)&amp;":"&amp;RIGHT("00"&amp;MINUTE(Entry!$D996),2),IFERROR(RIGHT("00"&amp;VALUE(TRIM(LEFT(Entry!$D996,FIND(":",Entry!$D996)-1))),2)&amp;":"&amp;RIGHT("00"&amp;VALUE(TRIM(MID(Entry!$D996,FIND(":",Entry!$D996)+1,2))),2),"نامعتبر")),IF(OR($E996="",$E996="نامعتبر"),"","00:00"))</f>
        <v/>
      </c>
      <c r="G996">
        <f>IF(OR($E996="",$E996="نامعتبر"),"",IF(Entry!$E996="","",LEFT(UPPER(TRIM(Entry!$E996)),6)))</f>
        <v/>
      </c>
      <c r="H996">
        <f>IF($G996="","",RIGHT($E996,4)&amp;MID($E996,6,2)&amp;RIGHT($E996,2)&amp;IF($F996="","0000",IF($F996="نامعتبر","9999",LEFT($F996,2)&amp;RIGHT($F996,2)))&amp;"|"&amp;RIGHT("00000"&amp;988,5))</f>
        <v/>
      </c>
      <c r="I996">
        <f>IF($H996="","",COUNTIFS(CalcBank,$G996,CalcKey,"&lt;"&amp;$H996)+1)</f>
        <v/>
      </c>
      <c r="J996">
        <f>IF($I996="","",$G996&amp;"|"&amp;RIGHT("000000"&amp;$I996,6))</f>
        <v/>
      </c>
      <c r="K996">
        <f>IF(OR($E996="",$E996="نامعتبر"),"",LEFT($E996,4)&amp;"/"&amp;MID($E996,6,2))</f>
        <v/>
      </c>
      <c r="L996">
        <f>IF(Entry!$K996="",0,Entry!$K996)</f>
        <v/>
      </c>
      <c r="M996">
        <f>IF(Entry!$L996="",0,Entry!$L996)</f>
        <v/>
      </c>
    </row>
    <row r="997">
      <c r="A997">
        <f>IF(Entry!$C997="","",Entry!$C997)</f>
        <v/>
      </c>
      <c r="B997">
        <f>IF($A997="","",IF(ISNUMBER($A997),IF(AND($A997&gt;=10000101,$A997&lt;=99991231),INT($A997/10000),""),IFERROR(VALUE(TRIM(LEFT($A997,FIND("/",$A997)-1))),"")))</f>
        <v/>
      </c>
      <c r="C997">
        <f>IF(OR($A997="",$B997=""),"",IF(ISNUMBER($A997),INT(MOD($A997,10000)/100),IFERROR(VALUE(TRIM(LEFT(MID($A997,FIND("/",$A997)+1,20),FIND("/",MID($A997,FIND("/",$A997)+1,20))-1))),"")))</f>
        <v/>
      </c>
      <c r="D997">
        <f>IF(OR($A997="",$B997=""),"",IF(ISNUMBER($A997),MOD($A997,100),IFERROR(VALUE(TRIM(MID(MID($A997,FIND("/",$A997)+1,20),FIND("/",MID($A997,FIND("/",$A997)+1,20))+1,20))),"")))</f>
        <v/>
      </c>
      <c r="E997">
        <f>IF($A997="","",IF(OR($B997="",$C997="",$D997="",$B997&lt;1300,$B997&gt;1500,$C997&lt;1,$C997&gt;12,$D997&lt;1,$D997&gt;31),"نامعتبر",RIGHT("0000"&amp;$B997,4)&amp;"/"&amp;RIGHT("00"&amp;$C997,2)&amp;"/"&amp;RIGHT("00"&amp;$D997,2)))</f>
        <v/>
      </c>
      <c r="F997">
        <f>IF(Entry!$D997&lt;&gt;"",IF(AND(ISNUMBER(Entry!$D997),Entry!$D997&gt;=0,Entry!$D997&lt;1),RIGHT("00"&amp;HOUR(Entry!$D997),2)&amp;":"&amp;RIGHT("00"&amp;MINUTE(Entry!$D997),2),IFERROR(RIGHT("00"&amp;VALUE(TRIM(LEFT(Entry!$D997,FIND(":",Entry!$D997)-1))),2)&amp;":"&amp;RIGHT("00"&amp;VALUE(TRIM(MID(Entry!$D997,FIND(":",Entry!$D997)+1,2))),2),"نامعتبر")),IF(OR($E997="",$E997="نامعتبر"),"","00:00"))</f>
        <v/>
      </c>
      <c r="G997">
        <f>IF(OR($E997="",$E997="نامعتبر"),"",IF(Entry!$E997="","",LEFT(UPPER(TRIM(Entry!$E997)),6)))</f>
        <v/>
      </c>
      <c r="H997">
        <f>IF($G997="","",RIGHT($E997,4)&amp;MID($E997,6,2)&amp;RIGHT($E997,2)&amp;IF($F997="","0000",IF($F997="نامعتبر","9999",LEFT($F997,2)&amp;RIGHT($F997,2)))&amp;"|"&amp;RIGHT("00000"&amp;989,5))</f>
        <v/>
      </c>
      <c r="I997">
        <f>IF($H997="","",COUNTIFS(CalcBank,$G997,CalcKey,"&lt;"&amp;$H997)+1)</f>
        <v/>
      </c>
      <c r="J997">
        <f>IF($I997="","",$G997&amp;"|"&amp;RIGHT("000000"&amp;$I997,6))</f>
        <v/>
      </c>
      <c r="K997">
        <f>IF(OR($E997="",$E997="نامعتبر"),"",LEFT($E997,4)&amp;"/"&amp;MID($E997,6,2))</f>
        <v/>
      </c>
      <c r="L997">
        <f>IF(Entry!$K997="",0,Entry!$K997)</f>
        <v/>
      </c>
      <c r="M997">
        <f>IF(Entry!$L997="",0,Entry!$L997)</f>
        <v/>
      </c>
    </row>
    <row r="998">
      <c r="A998">
        <f>IF(Entry!$C998="","",Entry!$C998)</f>
        <v/>
      </c>
      <c r="B998">
        <f>IF($A998="","",IF(ISNUMBER($A998),IF(AND($A998&gt;=10000101,$A998&lt;=99991231),INT($A998/10000),""),IFERROR(VALUE(TRIM(LEFT($A998,FIND("/",$A998)-1))),"")))</f>
        <v/>
      </c>
      <c r="C998">
        <f>IF(OR($A998="",$B998=""),"",IF(ISNUMBER($A998),INT(MOD($A998,10000)/100),IFERROR(VALUE(TRIM(LEFT(MID($A998,FIND("/",$A998)+1,20),FIND("/",MID($A998,FIND("/",$A998)+1,20))-1))),"")))</f>
        <v/>
      </c>
      <c r="D998">
        <f>IF(OR($A998="",$B998=""),"",IF(ISNUMBER($A998),MOD($A998,100),IFERROR(VALUE(TRIM(MID(MID($A998,FIND("/",$A998)+1,20),FIND("/",MID($A998,FIND("/",$A998)+1,20))+1,20))),"")))</f>
        <v/>
      </c>
      <c r="E998">
        <f>IF($A998="","",IF(OR($B998="",$C998="",$D998="",$B998&lt;1300,$B998&gt;1500,$C998&lt;1,$C998&gt;12,$D998&lt;1,$D998&gt;31),"نامعتبر",RIGHT("0000"&amp;$B998,4)&amp;"/"&amp;RIGHT("00"&amp;$C998,2)&amp;"/"&amp;RIGHT("00"&amp;$D998,2)))</f>
        <v/>
      </c>
      <c r="F998">
        <f>IF(Entry!$D998&lt;&gt;"",IF(AND(ISNUMBER(Entry!$D998),Entry!$D998&gt;=0,Entry!$D998&lt;1),RIGHT("00"&amp;HOUR(Entry!$D998),2)&amp;":"&amp;RIGHT("00"&amp;MINUTE(Entry!$D998),2),IFERROR(RIGHT("00"&amp;VALUE(TRIM(LEFT(Entry!$D998,FIND(":",Entry!$D998)-1))),2)&amp;":"&amp;RIGHT("00"&amp;VALUE(TRIM(MID(Entry!$D998,FIND(":",Entry!$D998)+1,2))),2),"نامعتبر")),IF(OR($E998="",$E998="نامعتبر"),"","00:00"))</f>
        <v/>
      </c>
      <c r="G998">
        <f>IF(OR($E998="",$E998="نامعتبر"),"",IF(Entry!$E998="","",LEFT(UPPER(TRIM(Entry!$E998)),6)))</f>
        <v/>
      </c>
      <c r="H998">
        <f>IF($G998="","",RIGHT($E998,4)&amp;MID($E998,6,2)&amp;RIGHT($E998,2)&amp;IF($F998="","0000",IF($F998="نامعتبر","9999",LEFT($F998,2)&amp;RIGHT($F998,2)))&amp;"|"&amp;RIGHT("00000"&amp;990,5))</f>
        <v/>
      </c>
      <c r="I998">
        <f>IF($H998="","",COUNTIFS(CalcBank,$G998,CalcKey,"&lt;"&amp;$H998)+1)</f>
        <v/>
      </c>
      <c r="J998">
        <f>IF($I998="","",$G998&amp;"|"&amp;RIGHT("000000"&amp;$I998,6))</f>
        <v/>
      </c>
      <c r="K998">
        <f>IF(OR($E998="",$E998="نامعتبر"),"",LEFT($E998,4)&amp;"/"&amp;MID($E998,6,2))</f>
        <v/>
      </c>
      <c r="L998">
        <f>IF(Entry!$K998="",0,Entry!$K998)</f>
        <v/>
      </c>
      <c r="M998">
        <f>IF(Entry!$L998="",0,Entry!$L998)</f>
        <v/>
      </c>
    </row>
    <row r="999">
      <c r="A999">
        <f>IF(Entry!$C999="","",Entry!$C999)</f>
        <v/>
      </c>
      <c r="B999">
        <f>IF($A999="","",IF(ISNUMBER($A999),IF(AND($A999&gt;=10000101,$A999&lt;=99991231),INT($A999/10000),""),IFERROR(VALUE(TRIM(LEFT($A999,FIND("/",$A999)-1))),"")))</f>
        <v/>
      </c>
      <c r="C999">
        <f>IF(OR($A999="",$B999=""),"",IF(ISNUMBER($A999),INT(MOD($A999,10000)/100),IFERROR(VALUE(TRIM(LEFT(MID($A999,FIND("/",$A999)+1,20),FIND("/",MID($A999,FIND("/",$A999)+1,20))-1))),"")))</f>
        <v/>
      </c>
      <c r="D999">
        <f>IF(OR($A999="",$B999=""),"",IF(ISNUMBER($A999),MOD($A999,100),IFERROR(VALUE(TRIM(MID(MID($A999,FIND("/",$A999)+1,20),FIND("/",MID($A999,FIND("/",$A999)+1,20))+1,20))),"")))</f>
        <v/>
      </c>
      <c r="E999">
        <f>IF($A999="","",IF(OR($B999="",$C999="",$D999="",$B999&lt;1300,$B999&gt;1500,$C999&lt;1,$C999&gt;12,$D999&lt;1,$D999&gt;31),"نامعتبر",RIGHT("0000"&amp;$B999,4)&amp;"/"&amp;RIGHT("00"&amp;$C999,2)&amp;"/"&amp;RIGHT("00"&amp;$D999,2)))</f>
        <v/>
      </c>
      <c r="F999">
        <f>IF(Entry!$D999&lt;&gt;"",IF(AND(ISNUMBER(Entry!$D999),Entry!$D999&gt;=0,Entry!$D999&lt;1),RIGHT("00"&amp;HOUR(Entry!$D999),2)&amp;":"&amp;RIGHT("00"&amp;MINUTE(Entry!$D999),2),IFERROR(RIGHT("00"&amp;VALUE(TRIM(LEFT(Entry!$D999,FIND(":",Entry!$D999)-1))),2)&amp;":"&amp;RIGHT("00"&amp;VALUE(TRIM(MID(Entry!$D999,FIND(":",Entry!$D999)+1,2))),2),"نامعتبر")),IF(OR($E999="",$E999="نامعتبر"),"","00:00"))</f>
        <v/>
      </c>
      <c r="G999">
        <f>IF(OR($E999="",$E999="نامعتبر"),"",IF(Entry!$E999="","",LEFT(UPPER(TRIM(Entry!$E999)),6)))</f>
        <v/>
      </c>
      <c r="H999">
        <f>IF($G999="","",RIGHT($E999,4)&amp;MID($E999,6,2)&amp;RIGHT($E999,2)&amp;IF($F999="","0000",IF($F999="نامعتبر","9999",LEFT($F999,2)&amp;RIGHT($F999,2)))&amp;"|"&amp;RIGHT("00000"&amp;991,5))</f>
        <v/>
      </c>
      <c r="I999">
        <f>IF($H999="","",COUNTIFS(CalcBank,$G999,CalcKey,"&lt;"&amp;$H999)+1)</f>
        <v/>
      </c>
      <c r="J999">
        <f>IF($I999="","",$G999&amp;"|"&amp;RIGHT("000000"&amp;$I999,6))</f>
        <v/>
      </c>
      <c r="K999">
        <f>IF(OR($E999="",$E999="نامعتبر"),"",LEFT($E999,4)&amp;"/"&amp;MID($E999,6,2))</f>
        <v/>
      </c>
      <c r="L999">
        <f>IF(Entry!$K999="",0,Entry!$K999)</f>
        <v/>
      </c>
      <c r="M999">
        <f>IF(Entry!$L999="",0,Entry!$L999)</f>
        <v/>
      </c>
    </row>
    <row r="1000">
      <c r="A1000">
        <f>IF(Entry!$C1000="","",Entry!$C1000)</f>
        <v/>
      </c>
      <c r="B1000">
        <f>IF($A1000="","",IF(ISNUMBER($A1000),IF(AND($A1000&gt;=10000101,$A1000&lt;=99991231),INT($A1000/10000),""),IFERROR(VALUE(TRIM(LEFT($A1000,FIND("/",$A1000)-1))),"")))</f>
        <v/>
      </c>
      <c r="C1000">
        <f>IF(OR($A1000="",$B1000=""),"",IF(ISNUMBER($A1000),INT(MOD($A1000,10000)/100),IFERROR(VALUE(TRIM(LEFT(MID($A1000,FIND("/",$A1000)+1,20),FIND("/",MID($A1000,FIND("/",$A1000)+1,20))-1))),"")))</f>
        <v/>
      </c>
      <c r="D1000">
        <f>IF(OR($A1000="",$B1000=""),"",IF(ISNUMBER($A1000),MOD($A1000,100),IFERROR(VALUE(TRIM(MID(MID($A1000,FIND("/",$A1000)+1,20),FIND("/",MID($A1000,FIND("/",$A1000)+1,20))+1,20))),"")))</f>
        <v/>
      </c>
      <c r="E1000">
        <f>IF($A1000="","",IF(OR($B1000="",$C1000="",$D1000="",$B1000&lt;1300,$B1000&gt;1500,$C1000&lt;1,$C1000&gt;12,$D1000&lt;1,$D1000&gt;31),"نامعتبر",RIGHT("0000"&amp;$B1000,4)&amp;"/"&amp;RIGHT("00"&amp;$C1000,2)&amp;"/"&amp;RIGHT("00"&amp;$D1000,2)))</f>
        <v/>
      </c>
      <c r="F1000">
        <f>IF(Entry!$D1000&lt;&gt;"",IF(AND(ISNUMBER(Entry!$D1000),Entry!$D1000&gt;=0,Entry!$D1000&lt;1),RIGHT("00"&amp;HOUR(Entry!$D1000),2)&amp;":"&amp;RIGHT("00"&amp;MINUTE(Entry!$D1000),2),IFERROR(RIGHT("00"&amp;VALUE(TRIM(LEFT(Entry!$D1000,FIND(":",Entry!$D1000)-1))),2)&amp;":"&amp;RIGHT("00"&amp;VALUE(TRIM(MID(Entry!$D1000,FIND(":",Entry!$D1000)+1,2))),2),"نامعتبر")),IF(OR($E1000="",$E1000="نامعتبر"),"","00:00"))</f>
        <v/>
      </c>
      <c r="G1000">
        <f>IF(OR($E1000="",$E1000="نامعتبر"),"",IF(Entry!$E1000="","",LEFT(UPPER(TRIM(Entry!$E1000)),6)))</f>
        <v/>
      </c>
      <c r="H1000">
        <f>IF($G1000="","",RIGHT($E1000,4)&amp;MID($E1000,6,2)&amp;RIGHT($E1000,2)&amp;IF($F1000="","0000",IF($F1000="نامعتبر","9999",LEFT($F1000,2)&amp;RIGHT($F1000,2)))&amp;"|"&amp;RIGHT("00000"&amp;992,5))</f>
        <v/>
      </c>
      <c r="I1000">
        <f>IF($H1000="","",COUNTIFS(CalcBank,$G1000,CalcKey,"&lt;"&amp;$H1000)+1)</f>
        <v/>
      </c>
      <c r="J1000">
        <f>IF($I1000="","",$G1000&amp;"|"&amp;RIGHT("000000"&amp;$I1000,6))</f>
        <v/>
      </c>
      <c r="K1000">
        <f>IF(OR($E1000="",$E1000="نامعتبر"),"",LEFT($E1000,4)&amp;"/"&amp;MID($E1000,6,2))</f>
        <v/>
      </c>
      <c r="L1000">
        <f>IF(Entry!$K1000="",0,Entry!$K1000)</f>
        <v/>
      </c>
      <c r="M1000">
        <f>IF(Entry!$L1000="",0,Entry!$L1000)</f>
        <v/>
      </c>
    </row>
    <row r="1001">
      <c r="A1001">
        <f>IF(Entry!$C1001="","",Entry!$C1001)</f>
        <v/>
      </c>
      <c r="B1001">
        <f>IF($A1001="","",IF(ISNUMBER($A1001),IF(AND($A1001&gt;=10000101,$A1001&lt;=99991231),INT($A1001/10000),""),IFERROR(VALUE(TRIM(LEFT($A1001,FIND("/",$A1001)-1))),"")))</f>
        <v/>
      </c>
      <c r="C1001">
        <f>IF(OR($A1001="",$B1001=""),"",IF(ISNUMBER($A1001),INT(MOD($A1001,10000)/100),IFERROR(VALUE(TRIM(LEFT(MID($A1001,FIND("/",$A1001)+1,20),FIND("/",MID($A1001,FIND("/",$A1001)+1,20))-1))),"")))</f>
        <v/>
      </c>
      <c r="D1001">
        <f>IF(OR($A1001="",$B1001=""),"",IF(ISNUMBER($A1001),MOD($A1001,100),IFERROR(VALUE(TRIM(MID(MID($A1001,FIND("/",$A1001)+1,20),FIND("/",MID($A1001,FIND("/",$A1001)+1,20))+1,20))),"")))</f>
        <v/>
      </c>
      <c r="E1001">
        <f>IF($A1001="","",IF(OR($B1001="",$C1001="",$D1001="",$B1001&lt;1300,$B1001&gt;1500,$C1001&lt;1,$C1001&gt;12,$D1001&lt;1,$D1001&gt;31),"نامعتبر",RIGHT("0000"&amp;$B1001,4)&amp;"/"&amp;RIGHT("00"&amp;$C1001,2)&amp;"/"&amp;RIGHT("00"&amp;$D1001,2)))</f>
        <v/>
      </c>
      <c r="F1001">
        <f>IF(Entry!$D1001&lt;&gt;"",IF(AND(ISNUMBER(Entry!$D1001),Entry!$D1001&gt;=0,Entry!$D1001&lt;1),RIGHT("00"&amp;HOUR(Entry!$D1001),2)&amp;":"&amp;RIGHT("00"&amp;MINUTE(Entry!$D1001),2),IFERROR(RIGHT("00"&amp;VALUE(TRIM(LEFT(Entry!$D1001,FIND(":",Entry!$D1001)-1))),2)&amp;":"&amp;RIGHT("00"&amp;VALUE(TRIM(MID(Entry!$D1001,FIND(":",Entry!$D1001)+1,2))),2),"نامعتبر")),IF(OR($E1001="",$E1001="نامعتبر"),"","00:00"))</f>
        <v/>
      </c>
      <c r="G1001">
        <f>IF(OR($E1001="",$E1001="نامعتبر"),"",IF(Entry!$E1001="","",LEFT(UPPER(TRIM(Entry!$E1001)),6)))</f>
        <v/>
      </c>
      <c r="H1001">
        <f>IF($G1001="","",RIGHT($E1001,4)&amp;MID($E1001,6,2)&amp;RIGHT($E1001,2)&amp;IF($F1001="","0000",IF($F1001="نامعتبر","9999",LEFT($F1001,2)&amp;RIGHT($F1001,2)))&amp;"|"&amp;RIGHT("00000"&amp;993,5))</f>
        <v/>
      </c>
      <c r="I1001">
        <f>IF($H1001="","",COUNTIFS(CalcBank,$G1001,CalcKey,"&lt;"&amp;$H1001)+1)</f>
        <v/>
      </c>
      <c r="J1001">
        <f>IF($I1001="","",$G1001&amp;"|"&amp;RIGHT("000000"&amp;$I1001,6))</f>
        <v/>
      </c>
      <c r="K1001">
        <f>IF(OR($E1001="",$E1001="نامعتبر"),"",LEFT($E1001,4)&amp;"/"&amp;MID($E1001,6,2))</f>
        <v/>
      </c>
      <c r="L1001">
        <f>IF(Entry!$K1001="",0,Entry!$K1001)</f>
        <v/>
      </c>
      <c r="M1001">
        <f>IF(Entry!$L1001="",0,Entry!$L1001)</f>
        <v/>
      </c>
    </row>
    <row r="1002">
      <c r="A1002">
        <f>IF(Entry!$C1002="","",Entry!$C1002)</f>
        <v/>
      </c>
      <c r="B1002">
        <f>IF($A1002="","",IF(ISNUMBER($A1002),IF(AND($A1002&gt;=10000101,$A1002&lt;=99991231),INT($A1002/10000),""),IFERROR(VALUE(TRIM(LEFT($A1002,FIND("/",$A1002)-1))),"")))</f>
        <v/>
      </c>
      <c r="C1002">
        <f>IF(OR($A1002="",$B1002=""),"",IF(ISNUMBER($A1002),INT(MOD($A1002,10000)/100),IFERROR(VALUE(TRIM(LEFT(MID($A1002,FIND("/",$A1002)+1,20),FIND("/",MID($A1002,FIND("/",$A1002)+1,20))-1))),"")))</f>
        <v/>
      </c>
      <c r="D1002">
        <f>IF(OR($A1002="",$B1002=""),"",IF(ISNUMBER($A1002),MOD($A1002,100),IFERROR(VALUE(TRIM(MID(MID($A1002,FIND("/",$A1002)+1,20),FIND("/",MID($A1002,FIND("/",$A1002)+1,20))+1,20))),"")))</f>
        <v/>
      </c>
      <c r="E1002">
        <f>IF($A1002="","",IF(OR($B1002="",$C1002="",$D1002="",$B1002&lt;1300,$B1002&gt;1500,$C1002&lt;1,$C1002&gt;12,$D1002&lt;1,$D1002&gt;31),"نامعتبر",RIGHT("0000"&amp;$B1002,4)&amp;"/"&amp;RIGHT("00"&amp;$C1002,2)&amp;"/"&amp;RIGHT("00"&amp;$D1002,2)))</f>
        <v/>
      </c>
      <c r="F1002">
        <f>IF(Entry!$D1002&lt;&gt;"",IF(AND(ISNUMBER(Entry!$D1002),Entry!$D1002&gt;=0,Entry!$D1002&lt;1),RIGHT("00"&amp;HOUR(Entry!$D1002),2)&amp;":"&amp;RIGHT("00"&amp;MINUTE(Entry!$D1002),2),IFERROR(RIGHT("00"&amp;VALUE(TRIM(LEFT(Entry!$D1002,FIND(":",Entry!$D1002)-1))),2)&amp;":"&amp;RIGHT("00"&amp;VALUE(TRIM(MID(Entry!$D1002,FIND(":",Entry!$D1002)+1,2))),2),"نامعتبر")),IF(OR($E1002="",$E1002="نامعتبر"),"","00:00"))</f>
        <v/>
      </c>
      <c r="G1002">
        <f>IF(OR($E1002="",$E1002="نامعتبر"),"",IF(Entry!$E1002="","",LEFT(UPPER(TRIM(Entry!$E1002)),6)))</f>
        <v/>
      </c>
      <c r="H1002">
        <f>IF($G1002="","",RIGHT($E1002,4)&amp;MID($E1002,6,2)&amp;RIGHT($E1002,2)&amp;IF($F1002="","0000",IF($F1002="نامعتبر","9999",LEFT($F1002,2)&amp;RIGHT($F1002,2)))&amp;"|"&amp;RIGHT("00000"&amp;994,5))</f>
        <v/>
      </c>
      <c r="I1002">
        <f>IF($H1002="","",COUNTIFS(CalcBank,$G1002,CalcKey,"&lt;"&amp;$H1002)+1)</f>
        <v/>
      </c>
      <c r="J1002">
        <f>IF($I1002="","",$G1002&amp;"|"&amp;RIGHT("000000"&amp;$I1002,6))</f>
        <v/>
      </c>
      <c r="K1002">
        <f>IF(OR($E1002="",$E1002="نامعتبر"),"",LEFT($E1002,4)&amp;"/"&amp;MID($E1002,6,2))</f>
        <v/>
      </c>
      <c r="L1002">
        <f>IF(Entry!$K1002="",0,Entry!$K1002)</f>
        <v/>
      </c>
      <c r="M1002">
        <f>IF(Entry!$L1002="",0,Entry!$L1002)</f>
        <v/>
      </c>
    </row>
    <row r="1003">
      <c r="A1003">
        <f>IF(Entry!$C1003="","",Entry!$C1003)</f>
        <v/>
      </c>
      <c r="B1003">
        <f>IF($A1003="","",IF(ISNUMBER($A1003),IF(AND($A1003&gt;=10000101,$A1003&lt;=99991231),INT($A1003/10000),""),IFERROR(VALUE(TRIM(LEFT($A1003,FIND("/",$A1003)-1))),"")))</f>
        <v/>
      </c>
      <c r="C1003">
        <f>IF(OR($A1003="",$B1003=""),"",IF(ISNUMBER($A1003),INT(MOD($A1003,10000)/100),IFERROR(VALUE(TRIM(LEFT(MID($A1003,FIND("/",$A1003)+1,20),FIND("/",MID($A1003,FIND("/",$A1003)+1,20))-1))),"")))</f>
        <v/>
      </c>
      <c r="D1003">
        <f>IF(OR($A1003="",$B1003=""),"",IF(ISNUMBER($A1003),MOD($A1003,100),IFERROR(VALUE(TRIM(MID(MID($A1003,FIND("/",$A1003)+1,20),FIND("/",MID($A1003,FIND("/",$A1003)+1,20))+1,20))),"")))</f>
        <v/>
      </c>
      <c r="E1003">
        <f>IF($A1003="","",IF(OR($B1003="",$C1003="",$D1003="",$B1003&lt;1300,$B1003&gt;1500,$C1003&lt;1,$C1003&gt;12,$D1003&lt;1,$D1003&gt;31),"نامعتبر",RIGHT("0000"&amp;$B1003,4)&amp;"/"&amp;RIGHT("00"&amp;$C1003,2)&amp;"/"&amp;RIGHT("00"&amp;$D1003,2)))</f>
        <v/>
      </c>
      <c r="F1003">
        <f>IF(Entry!$D1003&lt;&gt;"",IF(AND(ISNUMBER(Entry!$D1003),Entry!$D1003&gt;=0,Entry!$D1003&lt;1),RIGHT("00"&amp;HOUR(Entry!$D1003),2)&amp;":"&amp;RIGHT("00"&amp;MINUTE(Entry!$D1003),2),IFERROR(RIGHT("00"&amp;VALUE(TRIM(LEFT(Entry!$D1003,FIND(":",Entry!$D1003)-1))),2)&amp;":"&amp;RIGHT("00"&amp;VALUE(TRIM(MID(Entry!$D1003,FIND(":",Entry!$D1003)+1,2))),2),"نامعتبر")),IF(OR($E1003="",$E1003="نامعتبر"),"","00:00"))</f>
        <v/>
      </c>
      <c r="G1003">
        <f>IF(OR($E1003="",$E1003="نامعتبر"),"",IF(Entry!$E1003="","",LEFT(UPPER(TRIM(Entry!$E1003)),6)))</f>
        <v/>
      </c>
      <c r="H1003">
        <f>IF($G1003="","",RIGHT($E1003,4)&amp;MID($E1003,6,2)&amp;RIGHT($E1003,2)&amp;IF($F1003="","0000",IF($F1003="نامعتبر","9999",LEFT($F1003,2)&amp;RIGHT($F1003,2)))&amp;"|"&amp;RIGHT("00000"&amp;995,5))</f>
        <v/>
      </c>
      <c r="I1003">
        <f>IF($H1003="","",COUNTIFS(CalcBank,$G1003,CalcKey,"&lt;"&amp;$H1003)+1)</f>
        <v/>
      </c>
      <c r="J1003">
        <f>IF($I1003="","",$G1003&amp;"|"&amp;RIGHT("000000"&amp;$I1003,6))</f>
        <v/>
      </c>
      <c r="K1003">
        <f>IF(OR($E1003="",$E1003="نامعتبر"),"",LEFT($E1003,4)&amp;"/"&amp;MID($E1003,6,2))</f>
        <v/>
      </c>
      <c r="L1003">
        <f>IF(Entry!$K1003="",0,Entry!$K1003)</f>
        <v/>
      </c>
      <c r="M1003">
        <f>IF(Entry!$L1003="",0,Entry!$L1003)</f>
        <v/>
      </c>
    </row>
    <row r="1004">
      <c r="A1004">
        <f>IF(Entry!$C1004="","",Entry!$C1004)</f>
        <v/>
      </c>
      <c r="B1004">
        <f>IF($A1004="","",IF(ISNUMBER($A1004),IF(AND($A1004&gt;=10000101,$A1004&lt;=99991231),INT($A1004/10000),""),IFERROR(VALUE(TRIM(LEFT($A1004,FIND("/",$A1004)-1))),"")))</f>
        <v/>
      </c>
      <c r="C1004">
        <f>IF(OR($A1004="",$B1004=""),"",IF(ISNUMBER($A1004),INT(MOD($A1004,10000)/100),IFERROR(VALUE(TRIM(LEFT(MID($A1004,FIND("/",$A1004)+1,20),FIND("/",MID($A1004,FIND("/",$A1004)+1,20))-1))),"")))</f>
        <v/>
      </c>
      <c r="D1004">
        <f>IF(OR($A1004="",$B1004=""),"",IF(ISNUMBER($A1004),MOD($A1004,100),IFERROR(VALUE(TRIM(MID(MID($A1004,FIND("/",$A1004)+1,20),FIND("/",MID($A1004,FIND("/",$A1004)+1,20))+1,20))),"")))</f>
        <v/>
      </c>
      <c r="E1004">
        <f>IF($A1004="","",IF(OR($B1004="",$C1004="",$D1004="",$B1004&lt;1300,$B1004&gt;1500,$C1004&lt;1,$C1004&gt;12,$D1004&lt;1,$D1004&gt;31),"نامعتبر",RIGHT("0000"&amp;$B1004,4)&amp;"/"&amp;RIGHT("00"&amp;$C1004,2)&amp;"/"&amp;RIGHT("00"&amp;$D1004,2)))</f>
        <v/>
      </c>
      <c r="F1004">
        <f>IF(Entry!$D1004&lt;&gt;"",IF(AND(ISNUMBER(Entry!$D1004),Entry!$D1004&gt;=0,Entry!$D1004&lt;1),RIGHT("00"&amp;HOUR(Entry!$D1004),2)&amp;":"&amp;RIGHT("00"&amp;MINUTE(Entry!$D1004),2),IFERROR(RIGHT("00"&amp;VALUE(TRIM(LEFT(Entry!$D1004,FIND(":",Entry!$D1004)-1))),2)&amp;":"&amp;RIGHT("00"&amp;VALUE(TRIM(MID(Entry!$D1004,FIND(":",Entry!$D1004)+1,2))),2),"نامعتبر")),IF(OR($E1004="",$E1004="نامعتبر"),"","00:00"))</f>
        <v/>
      </c>
      <c r="G1004">
        <f>IF(OR($E1004="",$E1004="نامعتبر"),"",IF(Entry!$E1004="","",LEFT(UPPER(TRIM(Entry!$E1004)),6)))</f>
        <v/>
      </c>
      <c r="H1004">
        <f>IF($G1004="","",RIGHT($E1004,4)&amp;MID($E1004,6,2)&amp;RIGHT($E1004,2)&amp;IF($F1004="","0000",IF($F1004="نامعتبر","9999",LEFT($F1004,2)&amp;RIGHT($F1004,2)))&amp;"|"&amp;RIGHT("00000"&amp;996,5))</f>
        <v/>
      </c>
      <c r="I1004">
        <f>IF($H1004="","",COUNTIFS(CalcBank,$G1004,CalcKey,"&lt;"&amp;$H1004)+1)</f>
        <v/>
      </c>
      <c r="J1004">
        <f>IF($I1004="","",$G1004&amp;"|"&amp;RIGHT("000000"&amp;$I1004,6))</f>
        <v/>
      </c>
      <c r="K1004">
        <f>IF(OR($E1004="",$E1004="نامعتبر"),"",LEFT($E1004,4)&amp;"/"&amp;MID($E1004,6,2))</f>
        <v/>
      </c>
      <c r="L1004">
        <f>IF(Entry!$K1004="",0,Entry!$K1004)</f>
        <v/>
      </c>
      <c r="M1004">
        <f>IF(Entry!$L1004="",0,Entry!$L1004)</f>
        <v/>
      </c>
    </row>
    <row r="1005">
      <c r="A1005">
        <f>IF(Entry!$C1005="","",Entry!$C1005)</f>
        <v/>
      </c>
      <c r="B1005">
        <f>IF($A1005="","",IF(ISNUMBER($A1005),IF(AND($A1005&gt;=10000101,$A1005&lt;=99991231),INT($A1005/10000),""),IFERROR(VALUE(TRIM(LEFT($A1005,FIND("/",$A1005)-1))),"")))</f>
        <v/>
      </c>
      <c r="C1005">
        <f>IF(OR($A1005="",$B1005=""),"",IF(ISNUMBER($A1005),INT(MOD($A1005,10000)/100),IFERROR(VALUE(TRIM(LEFT(MID($A1005,FIND("/",$A1005)+1,20),FIND("/",MID($A1005,FIND("/",$A1005)+1,20))-1))),"")))</f>
        <v/>
      </c>
      <c r="D1005">
        <f>IF(OR($A1005="",$B1005=""),"",IF(ISNUMBER($A1005),MOD($A1005,100),IFERROR(VALUE(TRIM(MID(MID($A1005,FIND("/",$A1005)+1,20),FIND("/",MID($A1005,FIND("/",$A1005)+1,20))+1,20))),"")))</f>
        <v/>
      </c>
      <c r="E1005">
        <f>IF($A1005="","",IF(OR($B1005="",$C1005="",$D1005="",$B1005&lt;1300,$B1005&gt;1500,$C1005&lt;1,$C1005&gt;12,$D1005&lt;1,$D1005&gt;31),"نامعتبر",RIGHT("0000"&amp;$B1005,4)&amp;"/"&amp;RIGHT("00"&amp;$C1005,2)&amp;"/"&amp;RIGHT("00"&amp;$D1005,2)))</f>
        <v/>
      </c>
      <c r="F1005">
        <f>IF(Entry!$D1005&lt;&gt;"",IF(AND(ISNUMBER(Entry!$D1005),Entry!$D1005&gt;=0,Entry!$D1005&lt;1),RIGHT("00"&amp;HOUR(Entry!$D1005),2)&amp;":"&amp;RIGHT("00"&amp;MINUTE(Entry!$D1005),2),IFERROR(RIGHT("00"&amp;VALUE(TRIM(LEFT(Entry!$D1005,FIND(":",Entry!$D1005)-1))),2)&amp;":"&amp;RIGHT("00"&amp;VALUE(TRIM(MID(Entry!$D1005,FIND(":",Entry!$D1005)+1,2))),2),"نامعتبر")),IF(OR($E1005="",$E1005="نامعتبر"),"","00:00"))</f>
        <v/>
      </c>
      <c r="G1005">
        <f>IF(OR($E1005="",$E1005="نامعتبر"),"",IF(Entry!$E1005="","",LEFT(UPPER(TRIM(Entry!$E1005)),6)))</f>
        <v/>
      </c>
      <c r="H1005">
        <f>IF($G1005="","",RIGHT($E1005,4)&amp;MID($E1005,6,2)&amp;RIGHT($E1005,2)&amp;IF($F1005="","0000",IF($F1005="نامعتبر","9999",LEFT($F1005,2)&amp;RIGHT($F1005,2)))&amp;"|"&amp;RIGHT("00000"&amp;997,5))</f>
        <v/>
      </c>
      <c r="I1005">
        <f>IF($H1005="","",COUNTIFS(CalcBank,$G1005,CalcKey,"&lt;"&amp;$H1005)+1)</f>
        <v/>
      </c>
      <c r="J1005">
        <f>IF($I1005="","",$G1005&amp;"|"&amp;RIGHT("000000"&amp;$I1005,6))</f>
        <v/>
      </c>
      <c r="K1005">
        <f>IF(OR($E1005="",$E1005="نامعتبر"),"",LEFT($E1005,4)&amp;"/"&amp;MID($E1005,6,2))</f>
        <v/>
      </c>
      <c r="L1005">
        <f>IF(Entry!$K1005="",0,Entry!$K1005)</f>
        <v/>
      </c>
      <c r="M1005">
        <f>IF(Entry!$L1005="",0,Entry!$L1005)</f>
        <v/>
      </c>
    </row>
    <row r="1006">
      <c r="A1006">
        <f>IF(Entry!$C1006="","",Entry!$C1006)</f>
        <v/>
      </c>
      <c r="B1006">
        <f>IF($A1006="","",IF(ISNUMBER($A1006),IF(AND($A1006&gt;=10000101,$A1006&lt;=99991231),INT($A1006/10000),""),IFERROR(VALUE(TRIM(LEFT($A1006,FIND("/",$A1006)-1))),"")))</f>
        <v/>
      </c>
      <c r="C1006">
        <f>IF(OR($A1006="",$B1006=""),"",IF(ISNUMBER($A1006),INT(MOD($A1006,10000)/100),IFERROR(VALUE(TRIM(LEFT(MID($A1006,FIND("/",$A1006)+1,20),FIND("/",MID($A1006,FIND("/",$A1006)+1,20))-1))),"")))</f>
        <v/>
      </c>
      <c r="D1006">
        <f>IF(OR($A1006="",$B1006=""),"",IF(ISNUMBER($A1006),MOD($A1006,100),IFERROR(VALUE(TRIM(MID(MID($A1006,FIND("/",$A1006)+1,20),FIND("/",MID($A1006,FIND("/",$A1006)+1,20))+1,20))),"")))</f>
        <v/>
      </c>
      <c r="E1006">
        <f>IF($A1006="","",IF(OR($B1006="",$C1006="",$D1006="",$B1006&lt;1300,$B1006&gt;1500,$C1006&lt;1,$C1006&gt;12,$D1006&lt;1,$D1006&gt;31),"نامعتبر",RIGHT("0000"&amp;$B1006,4)&amp;"/"&amp;RIGHT("00"&amp;$C1006,2)&amp;"/"&amp;RIGHT("00"&amp;$D1006,2)))</f>
        <v/>
      </c>
      <c r="F1006">
        <f>IF(Entry!$D1006&lt;&gt;"",IF(AND(ISNUMBER(Entry!$D1006),Entry!$D1006&gt;=0,Entry!$D1006&lt;1),RIGHT("00"&amp;HOUR(Entry!$D1006),2)&amp;":"&amp;RIGHT("00"&amp;MINUTE(Entry!$D1006),2),IFERROR(RIGHT("00"&amp;VALUE(TRIM(LEFT(Entry!$D1006,FIND(":",Entry!$D1006)-1))),2)&amp;":"&amp;RIGHT("00"&amp;VALUE(TRIM(MID(Entry!$D1006,FIND(":",Entry!$D1006)+1,2))),2),"نامعتبر")),IF(OR($E1006="",$E1006="نامعتبر"),"","00:00"))</f>
        <v/>
      </c>
      <c r="G1006">
        <f>IF(OR($E1006="",$E1006="نامعتبر"),"",IF(Entry!$E1006="","",LEFT(UPPER(TRIM(Entry!$E1006)),6)))</f>
        <v/>
      </c>
      <c r="H1006">
        <f>IF($G1006="","",RIGHT($E1006,4)&amp;MID($E1006,6,2)&amp;RIGHT($E1006,2)&amp;IF($F1006="","0000",IF($F1006="نامعتبر","9999",LEFT($F1006,2)&amp;RIGHT($F1006,2)))&amp;"|"&amp;RIGHT("00000"&amp;998,5))</f>
        <v/>
      </c>
      <c r="I1006">
        <f>IF($H1006="","",COUNTIFS(CalcBank,$G1006,CalcKey,"&lt;"&amp;$H1006)+1)</f>
        <v/>
      </c>
      <c r="J1006">
        <f>IF($I1006="","",$G1006&amp;"|"&amp;RIGHT("000000"&amp;$I1006,6))</f>
        <v/>
      </c>
      <c r="K1006">
        <f>IF(OR($E1006="",$E1006="نامعتبر"),"",LEFT($E1006,4)&amp;"/"&amp;MID($E1006,6,2))</f>
        <v/>
      </c>
      <c r="L1006">
        <f>IF(Entry!$K1006="",0,Entry!$K1006)</f>
        <v/>
      </c>
      <c r="M1006">
        <f>IF(Entry!$L1006="",0,Entry!$L1006)</f>
        <v/>
      </c>
    </row>
    <row r="1007">
      <c r="A1007">
        <f>IF(Entry!$C1007="","",Entry!$C1007)</f>
        <v/>
      </c>
      <c r="B1007">
        <f>IF($A1007="","",IF(ISNUMBER($A1007),IF(AND($A1007&gt;=10000101,$A1007&lt;=99991231),INT($A1007/10000),""),IFERROR(VALUE(TRIM(LEFT($A1007,FIND("/",$A1007)-1))),"")))</f>
        <v/>
      </c>
      <c r="C1007">
        <f>IF(OR($A1007="",$B1007=""),"",IF(ISNUMBER($A1007),INT(MOD($A1007,10000)/100),IFERROR(VALUE(TRIM(LEFT(MID($A1007,FIND("/",$A1007)+1,20),FIND("/",MID($A1007,FIND("/",$A1007)+1,20))-1))),"")))</f>
        <v/>
      </c>
      <c r="D1007">
        <f>IF(OR($A1007="",$B1007=""),"",IF(ISNUMBER($A1007),MOD($A1007,100),IFERROR(VALUE(TRIM(MID(MID($A1007,FIND("/",$A1007)+1,20),FIND("/",MID($A1007,FIND("/",$A1007)+1,20))+1,20))),"")))</f>
        <v/>
      </c>
      <c r="E1007">
        <f>IF($A1007="","",IF(OR($B1007="",$C1007="",$D1007="",$B1007&lt;1300,$B1007&gt;1500,$C1007&lt;1,$C1007&gt;12,$D1007&lt;1,$D1007&gt;31),"نامعتبر",RIGHT("0000"&amp;$B1007,4)&amp;"/"&amp;RIGHT("00"&amp;$C1007,2)&amp;"/"&amp;RIGHT("00"&amp;$D1007,2)))</f>
        <v/>
      </c>
      <c r="F1007">
        <f>IF(Entry!$D1007&lt;&gt;"",IF(AND(ISNUMBER(Entry!$D1007),Entry!$D1007&gt;=0,Entry!$D1007&lt;1),RIGHT("00"&amp;HOUR(Entry!$D1007),2)&amp;":"&amp;RIGHT("00"&amp;MINUTE(Entry!$D1007),2),IFERROR(RIGHT("00"&amp;VALUE(TRIM(LEFT(Entry!$D1007,FIND(":",Entry!$D1007)-1))),2)&amp;":"&amp;RIGHT("00"&amp;VALUE(TRIM(MID(Entry!$D1007,FIND(":",Entry!$D1007)+1,2))),2),"نامعتبر")),IF(OR($E1007="",$E1007="نامعتبر"),"","00:00"))</f>
        <v/>
      </c>
      <c r="G1007">
        <f>IF(OR($E1007="",$E1007="نامعتبر"),"",IF(Entry!$E1007="","",LEFT(UPPER(TRIM(Entry!$E1007)),6)))</f>
        <v/>
      </c>
      <c r="H1007">
        <f>IF($G1007="","",RIGHT($E1007,4)&amp;MID($E1007,6,2)&amp;RIGHT($E1007,2)&amp;IF($F1007="","0000",IF($F1007="نامعتبر","9999",LEFT($F1007,2)&amp;RIGHT($F1007,2)))&amp;"|"&amp;RIGHT("00000"&amp;999,5))</f>
        <v/>
      </c>
      <c r="I1007">
        <f>IF($H1007="","",COUNTIFS(CalcBank,$G1007,CalcKey,"&lt;"&amp;$H1007)+1)</f>
        <v/>
      </c>
      <c r="J1007">
        <f>IF($I1007="","",$G1007&amp;"|"&amp;RIGHT("000000"&amp;$I1007,6))</f>
        <v/>
      </c>
      <c r="K1007">
        <f>IF(OR($E1007="",$E1007="نامعتبر"),"",LEFT($E1007,4)&amp;"/"&amp;MID($E1007,6,2))</f>
        <v/>
      </c>
      <c r="L1007">
        <f>IF(Entry!$K1007="",0,Entry!$K1007)</f>
        <v/>
      </c>
      <c r="M1007">
        <f>IF(Entry!$L1007="",0,Entry!$L1007)</f>
        <v/>
      </c>
    </row>
    <row r="1008">
      <c r="A1008">
        <f>IF(Entry!$C1008="","",Entry!$C1008)</f>
        <v/>
      </c>
      <c r="B1008">
        <f>IF($A1008="","",IF(ISNUMBER($A1008),IF(AND($A1008&gt;=10000101,$A1008&lt;=99991231),INT($A1008/10000),""),IFERROR(VALUE(TRIM(LEFT($A1008,FIND("/",$A1008)-1))),"")))</f>
        <v/>
      </c>
      <c r="C1008">
        <f>IF(OR($A1008="",$B1008=""),"",IF(ISNUMBER($A1008),INT(MOD($A1008,10000)/100),IFERROR(VALUE(TRIM(LEFT(MID($A1008,FIND("/",$A1008)+1,20),FIND("/",MID($A1008,FIND("/",$A1008)+1,20))-1))),"")))</f>
        <v/>
      </c>
      <c r="D1008">
        <f>IF(OR($A1008="",$B1008=""),"",IF(ISNUMBER($A1008),MOD($A1008,100),IFERROR(VALUE(TRIM(MID(MID($A1008,FIND("/",$A1008)+1,20),FIND("/",MID($A1008,FIND("/",$A1008)+1,20))+1,20))),"")))</f>
        <v/>
      </c>
      <c r="E1008">
        <f>IF($A1008="","",IF(OR($B1008="",$C1008="",$D1008="",$B1008&lt;1300,$B1008&gt;1500,$C1008&lt;1,$C1008&gt;12,$D1008&lt;1,$D1008&gt;31),"نامعتبر",RIGHT("0000"&amp;$B1008,4)&amp;"/"&amp;RIGHT("00"&amp;$C1008,2)&amp;"/"&amp;RIGHT("00"&amp;$D1008,2)))</f>
        <v/>
      </c>
      <c r="F1008">
        <f>IF(Entry!$D1008&lt;&gt;"",IF(AND(ISNUMBER(Entry!$D1008),Entry!$D1008&gt;=0,Entry!$D1008&lt;1),RIGHT("00"&amp;HOUR(Entry!$D1008),2)&amp;":"&amp;RIGHT("00"&amp;MINUTE(Entry!$D1008),2),IFERROR(RIGHT("00"&amp;VALUE(TRIM(LEFT(Entry!$D1008,FIND(":",Entry!$D1008)-1))),2)&amp;":"&amp;RIGHT("00"&amp;VALUE(TRIM(MID(Entry!$D1008,FIND(":",Entry!$D1008)+1,2))),2),"نامعتبر")),IF(OR($E1008="",$E1008="نامعتبر"),"","00:00"))</f>
        <v/>
      </c>
      <c r="G1008">
        <f>IF(OR($E1008="",$E1008="نامعتبر"),"",IF(Entry!$E1008="","",LEFT(UPPER(TRIM(Entry!$E1008)),6)))</f>
        <v/>
      </c>
      <c r="H1008">
        <f>IF($G1008="","",RIGHT($E1008,4)&amp;MID($E1008,6,2)&amp;RIGHT($E1008,2)&amp;IF($F1008="","0000",IF($F1008="نامعتبر","9999",LEFT($F1008,2)&amp;RIGHT($F1008,2)))&amp;"|"&amp;RIGHT("00000"&amp;1000,5))</f>
        <v/>
      </c>
      <c r="I1008">
        <f>IF($H1008="","",COUNTIFS(CalcBank,$G1008,CalcKey,"&lt;"&amp;$H1008)+1)</f>
        <v/>
      </c>
      <c r="J1008">
        <f>IF($I1008="","",$G1008&amp;"|"&amp;RIGHT("000000"&amp;$I1008,6))</f>
        <v/>
      </c>
      <c r="K1008">
        <f>IF(OR($E1008="",$E1008="نامعتبر"),"",LEFT($E1008,4)&amp;"/"&amp;MID($E1008,6,2))</f>
        <v/>
      </c>
      <c r="L1008">
        <f>IF(Entry!$K1008="",0,Entry!$K1008)</f>
        <v/>
      </c>
      <c r="M1008">
        <f>IF(Entry!$L1008="",0,Entry!$L1008)</f>
        <v/>
      </c>
    </row>
    <row r="1009">
      <c r="A1009">
        <f>IF(Entry!$C1009="","",Entry!$C1009)</f>
        <v/>
      </c>
      <c r="B1009">
        <f>IF($A1009="","",IF(ISNUMBER($A1009),IF(AND($A1009&gt;=10000101,$A1009&lt;=99991231),INT($A1009/10000),""),IFERROR(VALUE(TRIM(LEFT($A1009,FIND("/",$A1009)-1))),"")))</f>
        <v/>
      </c>
      <c r="C1009">
        <f>IF(OR($A1009="",$B1009=""),"",IF(ISNUMBER($A1009),INT(MOD($A1009,10000)/100),IFERROR(VALUE(TRIM(LEFT(MID($A1009,FIND("/",$A1009)+1,20),FIND("/",MID($A1009,FIND("/",$A1009)+1,20))-1))),"")))</f>
        <v/>
      </c>
      <c r="D1009">
        <f>IF(OR($A1009="",$B1009=""),"",IF(ISNUMBER($A1009),MOD($A1009,100),IFERROR(VALUE(TRIM(MID(MID($A1009,FIND("/",$A1009)+1,20),FIND("/",MID($A1009,FIND("/",$A1009)+1,20))+1,20))),"")))</f>
        <v/>
      </c>
      <c r="E1009">
        <f>IF($A1009="","",IF(OR($B1009="",$C1009="",$D1009="",$B1009&lt;1300,$B1009&gt;1500,$C1009&lt;1,$C1009&gt;12,$D1009&lt;1,$D1009&gt;31),"نامعتبر",RIGHT("0000"&amp;$B1009,4)&amp;"/"&amp;RIGHT("00"&amp;$C1009,2)&amp;"/"&amp;RIGHT("00"&amp;$D1009,2)))</f>
        <v/>
      </c>
      <c r="F1009">
        <f>IF(Entry!$D1009&lt;&gt;"",IF(AND(ISNUMBER(Entry!$D1009),Entry!$D1009&gt;=0,Entry!$D1009&lt;1),RIGHT("00"&amp;HOUR(Entry!$D1009),2)&amp;":"&amp;RIGHT("00"&amp;MINUTE(Entry!$D1009),2),IFERROR(RIGHT("00"&amp;VALUE(TRIM(LEFT(Entry!$D1009,FIND(":",Entry!$D1009)-1))),2)&amp;":"&amp;RIGHT("00"&amp;VALUE(TRIM(MID(Entry!$D1009,FIND(":",Entry!$D1009)+1,2))),2),"نامعتبر")),IF(OR($E1009="",$E1009="نامعتبر"),"","00:00"))</f>
        <v/>
      </c>
      <c r="G1009">
        <f>IF(OR($E1009="",$E1009="نامعتبر"),"",IF(Entry!$E1009="","",LEFT(UPPER(TRIM(Entry!$E1009)),6)))</f>
        <v/>
      </c>
      <c r="H1009">
        <f>IF($G1009="","",RIGHT($E1009,4)&amp;MID($E1009,6,2)&amp;RIGHT($E1009,2)&amp;IF($F1009="","0000",IF($F1009="نامعتبر","9999",LEFT($F1009,2)&amp;RIGHT($F1009,2)))&amp;"|"&amp;RIGHT("00000"&amp;1001,5))</f>
        <v/>
      </c>
      <c r="I1009">
        <f>IF($H1009="","",COUNTIFS(CalcBank,$G1009,CalcKey,"&lt;"&amp;$H1009)+1)</f>
        <v/>
      </c>
      <c r="J1009">
        <f>IF($I1009="","",$G1009&amp;"|"&amp;RIGHT("000000"&amp;$I1009,6))</f>
        <v/>
      </c>
      <c r="K1009">
        <f>IF(OR($E1009="",$E1009="نامعتبر"),"",LEFT($E1009,4)&amp;"/"&amp;MID($E1009,6,2))</f>
        <v/>
      </c>
      <c r="L1009">
        <f>IF(Entry!$K1009="",0,Entry!$K1009)</f>
        <v/>
      </c>
      <c r="M1009">
        <f>IF(Entry!$L1009="",0,Entry!$L1009)</f>
        <v/>
      </c>
    </row>
    <row r="1010">
      <c r="A1010">
        <f>IF(Entry!$C1010="","",Entry!$C1010)</f>
        <v/>
      </c>
      <c r="B1010">
        <f>IF($A1010="","",IF(ISNUMBER($A1010),IF(AND($A1010&gt;=10000101,$A1010&lt;=99991231),INT($A1010/10000),""),IFERROR(VALUE(TRIM(LEFT($A1010,FIND("/",$A1010)-1))),"")))</f>
        <v/>
      </c>
      <c r="C1010">
        <f>IF(OR($A1010="",$B1010=""),"",IF(ISNUMBER($A1010),INT(MOD($A1010,10000)/100),IFERROR(VALUE(TRIM(LEFT(MID($A1010,FIND("/",$A1010)+1,20),FIND("/",MID($A1010,FIND("/",$A1010)+1,20))-1))),"")))</f>
        <v/>
      </c>
      <c r="D1010">
        <f>IF(OR($A1010="",$B1010=""),"",IF(ISNUMBER($A1010),MOD($A1010,100),IFERROR(VALUE(TRIM(MID(MID($A1010,FIND("/",$A1010)+1,20),FIND("/",MID($A1010,FIND("/",$A1010)+1,20))+1,20))),"")))</f>
        <v/>
      </c>
      <c r="E1010">
        <f>IF($A1010="","",IF(OR($B1010="",$C1010="",$D1010="",$B1010&lt;1300,$B1010&gt;1500,$C1010&lt;1,$C1010&gt;12,$D1010&lt;1,$D1010&gt;31),"نامعتبر",RIGHT("0000"&amp;$B1010,4)&amp;"/"&amp;RIGHT("00"&amp;$C1010,2)&amp;"/"&amp;RIGHT("00"&amp;$D1010,2)))</f>
        <v/>
      </c>
      <c r="F1010">
        <f>IF(Entry!$D1010&lt;&gt;"",IF(AND(ISNUMBER(Entry!$D1010),Entry!$D1010&gt;=0,Entry!$D1010&lt;1),RIGHT("00"&amp;HOUR(Entry!$D1010),2)&amp;":"&amp;RIGHT("00"&amp;MINUTE(Entry!$D1010),2),IFERROR(RIGHT("00"&amp;VALUE(TRIM(LEFT(Entry!$D1010,FIND(":",Entry!$D1010)-1))),2)&amp;":"&amp;RIGHT("00"&amp;VALUE(TRIM(MID(Entry!$D1010,FIND(":",Entry!$D1010)+1,2))),2),"نامعتبر")),IF(OR($E1010="",$E1010="نامعتبر"),"","00:00"))</f>
        <v/>
      </c>
      <c r="G1010">
        <f>IF(OR($E1010="",$E1010="نامعتبر"),"",IF(Entry!$E1010="","",LEFT(UPPER(TRIM(Entry!$E1010)),6)))</f>
        <v/>
      </c>
      <c r="H1010">
        <f>IF($G1010="","",RIGHT($E1010,4)&amp;MID($E1010,6,2)&amp;RIGHT($E1010,2)&amp;IF($F1010="","0000",IF($F1010="نامعتبر","9999",LEFT($F1010,2)&amp;RIGHT($F1010,2)))&amp;"|"&amp;RIGHT("00000"&amp;1002,5))</f>
        <v/>
      </c>
      <c r="I1010">
        <f>IF($H1010="","",COUNTIFS(CalcBank,$G1010,CalcKey,"&lt;"&amp;$H1010)+1)</f>
        <v/>
      </c>
      <c r="J1010">
        <f>IF($I1010="","",$G1010&amp;"|"&amp;RIGHT("000000"&amp;$I1010,6))</f>
        <v/>
      </c>
      <c r="K1010">
        <f>IF(OR($E1010="",$E1010="نامعتبر"),"",LEFT($E1010,4)&amp;"/"&amp;MID($E1010,6,2))</f>
        <v/>
      </c>
      <c r="L1010">
        <f>IF(Entry!$K1010="",0,Entry!$K1010)</f>
        <v/>
      </c>
      <c r="M1010">
        <f>IF(Entry!$L1010="",0,Entry!$L1010)</f>
        <v/>
      </c>
    </row>
    <row r="1011">
      <c r="A1011">
        <f>IF(Entry!$C1011="","",Entry!$C1011)</f>
        <v/>
      </c>
      <c r="B1011">
        <f>IF($A1011="","",IF(ISNUMBER($A1011),IF(AND($A1011&gt;=10000101,$A1011&lt;=99991231),INT($A1011/10000),""),IFERROR(VALUE(TRIM(LEFT($A1011,FIND("/",$A1011)-1))),"")))</f>
        <v/>
      </c>
      <c r="C1011">
        <f>IF(OR($A1011="",$B1011=""),"",IF(ISNUMBER($A1011),INT(MOD($A1011,10000)/100),IFERROR(VALUE(TRIM(LEFT(MID($A1011,FIND("/",$A1011)+1,20),FIND("/",MID($A1011,FIND("/",$A1011)+1,20))-1))),"")))</f>
        <v/>
      </c>
      <c r="D1011">
        <f>IF(OR($A1011="",$B1011=""),"",IF(ISNUMBER($A1011),MOD($A1011,100),IFERROR(VALUE(TRIM(MID(MID($A1011,FIND("/",$A1011)+1,20),FIND("/",MID($A1011,FIND("/",$A1011)+1,20))+1,20))),"")))</f>
        <v/>
      </c>
      <c r="E1011">
        <f>IF($A1011="","",IF(OR($B1011="",$C1011="",$D1011="",$B1011&lt;1300,$B1011&gt;1500,$C1011&lt;1,$C1011&gt;12,$D1011&lt;1,$D1011&gt;31),"نامعتبر",RIGHT("0000"&amp;$B1011,4)&amp;"/"&amp;RIGHT("00"&amp;$C1011,2)&amp;"/"&amp;RIGHT("00"&amp;$D1011,2)))</f>
        <v/>
      </c>
      <c r="F1011">
        <f>IF(Entry!$D1011&lt;&gt;"",IF(AND(ISNUMBER(Entry!$D1011),Entry!$D1011&gt;=0,Entry!$D1011&lt;1),RIGHT("00"&amp;HOUR(Entry!$D1011),2)&amp;":"&amp;RIGHT("00"&amp;MINUTE(Entry!$D1011),2),IFERROR(RIGHT("00"&amp;VALUE(TRIM(LEFT(Entry!$D1011,FIND(":",Entry!$D1011)-1))),2)&amp;":"&amp;RIGHT("00"&amp;VALUE(TRIM(MID(Entry!$D1011,FIND(":",Entry!$D1011)+1,2))),2),"نامعتبر")),IF(OR($E1011="",$E1011="نامعتبر"),"","00:00"))</f>
        <v/>
      </c>
      <c r="G1011">
        <f>IF(OR($E1011="",$E1011="نامعتبر"),"",IF(Entry!$E1011="","",LEFT(UPPER(TRIM(Entry!$E1011)),6)))</f>
        <v/>
      </c>
      <c r="H1011">
        <f>IF($G1011="","",RIGHT($E1011,4)&amp;MID($E1011,6,2)&amp;RIGHT($E1011,2)&amp;IF($F1011="","0000",IF($F1011="نامعتبر","9999",LEFT($F1011,2)&amp;RIGHT($F1011,2)))&amp;"|"&amp;RIGHT("00000"&amp;1003,5))</f>
        <v/>
      </c>
      <c r="I1011">
        <f>IF($H1011="","",COUNTIFS(CalcBank,$G1011,CalcKey,"&lt;"&amp;$H1011)+1)</f>
        <v/>
      </c>
      <c r="J1011">
        <f>IF($I1011="","",$G1011&amp;"|"&amp;RIGHT("000000"&amp;$I1011,6))</f>
        <v/>
      </c>
      <c r="K1011">
        <f>IF(OR($E1011="",$E1011="نامعتبر"),"",LEFT($E1011,4)&amp;"/"&amp;MID($E1011,6,2))</f>
        <v/>
      </c>
      <c r="L1011">
        <f>IF(Entry!$K1011="",0,Entry!$K1011)</f>
        <v/>
      </c>
      <c r="M1011">
        <f>IF(Entry!$L1011="",0,Entry!$L1011)</f>
        <v/>
      </c>
    </row>
    <row r="1012">
      <c r="A1012">
        <f>IF(Entry!$C1012="","",Entry!$C1012)</f>
        <v/>
      </c>
      <c r="B1012">
        <f>IF($A1012="","",IF(ISNUMBER($A1012),IF(AND($A1012&gt;=10000101,$A1012&lt;=99991231),INT($A1012/10000),""),IFERROR(VALUE(TRIM(LEFT($A1012,FIND("/",$A1012)-1))),"")))</f>
        <v/>
      </c>
      <c r="C1012">
        <f>IF(OR($A1012="",$B1012=""),"",IF(ISNUMBER($A1012),INT(MOD($A1012,10000)/100),IFERROR(VALUE(TRIM(LEFT(MID($A1012,FIND("/",$A1012)+1,20),FIND("/",MID($A1012,FIND("/",$A1012)+1,20))-1))),"")))</f>
        <v/>
      </c>
      <c r="D1012">
        <f>IF(OR($A1012="",$B1012=""),"",IF(ISNUMBER($A1012),MOD($A1012,100),IFERROR(VALUE(TRIM(MID(MID($A1012,FIND("/",$A1012)+1,20),FIND("/",MID($A1012,FIND("/",$A1012)+1,20))+1,20))),"")))</f>
        <v/>
      </c>
      <c r="E1012">
        <f>IF($A1012="","",IF(OR($B1012="",$C1012="",$D1012="",$B1012&lt;1300,$B1012&gt;1500,$C1012&lt;1,$C1012&gt;12,$D1012&lt;1,$D1012&gt;31),"نامعتبر",RIGHT("0000"&amp;$B1012,4)&amp;"/"&amp;RIGHT("00"&amp;$C1012,2)&amp;"/"&amp;RIGHT("00"&amp;$D1012,2)))</f>
        <v/>
      </c>
      <c r="F1012">
        <f>IF(Entry!$D1012&lt;&gt;"",IF(AND(ISNUMBER(Entry!$D1012),Entry!$D1012&gt;=0,Entry!$D1012&lt;1),RIGHT("00"&amp;HOUR(Entry!$D1012),2)&amp;":"&amp;RIGHT("00"&amp;MINUTE(Entry!$D1012),2),IFERROR(RIGHT("00"&amp;VALUE(TRIM(LEFT(Entry!$D1012,FIND(":",Entry!$D1012)-1))),2)&amp;":"&amp;RIGHT("00"&amp;VALUE(TRIM(MID(Entry!$D1012,FIND(":",Entry!$D1012)+1,2))),2),"نامعتبر")),IF(OR($E1012="",$E1012="نامعتبر"),"","00:00"))</f>
        <v/>
      </c>
      <c r="G1012">
        <f>IF(OR($E1012="",$E1012="نامعتبر"),"",IF(Entry!$E1012="","",LEFT(UPPER(TRIM(Entry!$E1012)),6)))</f>
        <v/>
      </c>
      <c r="H1012">
        <f>IF($G1012="","",RIGHT($E1012,4)&amp;MID($E1012,6,2)&amp;RIGHT($E1012,2)&amp;IF($F1012="","0000",IF($F1012="نامعتبر","9999",LEFT($F1012,2)&amp;RIGHT($F1012,2)))&amp;"|"&amp;RIGHT("00000"&amp;1004,5))</f>
        <v/>
      </c>
      <c r="I1012">
        <f>IF($H1012="","",COUNTIFS(CalcBank,$G1012,CalcKey,"&lt;"&amp;$H1012)+1)</f>
        <v/>
      </c>
      <c r="J1012">
        <f>IF($I1012="","",$G1012&amp;"|"&amp;RIGHT("000000"&amp;$I1012,6))</f>
        <v/>
      </c>
      <c r="K1012">
        <f>IF(OR($E1012="",$E1012="نامعتبر"),"",LEFT($E1012,4)&amp;"/"&amp;MID($E1012,6,2))</f>
        <v/>
      </c>
      <c r="L1012">
        <f>IF(Entry!$K1012="",0,Entry!$K1012)</f>
        <v/>
      </c>
      <c r="M1012">
        <f>IF(Entry!$L1012="",0,Entry!$L1012)</f>
        <v/>
      </c>
    </row>
    <row r="1013">
      <c r="A1013">
        <f>IF(Entry!$C1013="","",Entry!$C1013)</f>
        <v/>
      </c>
      <c r="B1013">
        <f>IF($A1013="","",IF(ISNUMBER($A1013),IF(AND($A1013&gt;=10000101,$A1013&lt;=99991231),INT($A1013/10000),""),IFERROR(VALUE(TRIM(LEFT($A1013,FIND("/",$A1013)-1))),"")))</f>
        <v/>
      </c>
      <c r="C1013">
        <f>IF(OR($A1013="",$B1013=""),"",IF(ISNUMBER($A1013),INT(MOD($A1013,10000)/100),IFERROR(VALUE(TRIM(LEFT(MID($A1013,FIND("/",$A1013)+1,20),FIND("/",MID($A1013,FIND("/",$A1013)+1,20))-1))),"")))</f>
        <v/>
      </c>
      <c r="D1013">
        <f>IF(OR($A1013="",$B1013=""),"",IF(ISNUMBER($A1013),MOD($A1013,100),IFERROR(VALUE(TRIM(MID(MID($A1013,FIND("/",$A1013)+1,20),FIND("/",MID($A1013,FIND("/",$A1013)+1,20))+1,20))),"")))</f>
        <v/>
      </c>
      <c r="E1013">
        <f>IF($A1013="","",IF(OR($B1013="",$C1013="",$D1013="",$B1013&lt;1300,$B1013&gt;1500,$C1013&lt;1,$C1013&gt;12,$D1013&lt;1,$D1013&gt;31),"نامعتبر",RIGHT("0000"&amp;$B1013,4)&amp;"/"&amp;RIGHT("00"&amp;$C1013,2)&amp;"/"&amp;RIGHT("00"&amp;$D1013,2)))</f>
        <v/>
      </c>
      <c r="F1013">
        <f>IF(Entry!$D1013&lt;&gt;"",IF(AND(ISNUMBER(Entry!$D1013),Entry!$D1013&gt;=0,Entry!$D1013&lt;1),RIGHT("00"&amp;HOUR(Entry!$D1013),2)&amp;":"&amp;RIGHT("00"&amp;MINUTE(Entry!$D1013),2),IFERROR(RIGHT("00"&amp;VALUE(TRIM(LEFT(Entry!$D1013,FIND(":",Entry!$D1013)-1))),2)&amp;":"&amp;RIGHT("00"&amp;VALUE(TRIM(MID(Entry!$D1013,FIND(":",Entry!$D1013)+1,2))),2),"نامعتبر")),IF(OR($E1013="",$E1013="نامعتبر"),"","00:00"))</f>
        <v/>
      </c>
      <c r="G1013">
        <f>IF(OR($E1013="",$E1013="نامعتبر"),"",IF(Entry!$E1013="","",LEFT(UPPER(TRIM(Entry!$E1013)),6)))</f>
        <v/>
      </c>
      <c r="H1013">
        <f>IF($G1013="","",RIGHT($E1013,4)&amp;MID($E1013,6,2)&amp;RIGHT($E1013,2)&amp;IF($F1013="","0000",IF($F1013="نامعتبر","9999",LEFT($F1013,2)&amp;RIGHT($F1013,2)))&amp;"|"&amp;RIGHT("00000"&amp;1005,5))</f>
        <v/>
      </c>
      <c r="I1013">
        <f>IF($H1013="","",COUNTIFS(CalcBank,$G1013,CalcKey,"&lt;"&amp;$H1013)+1)</f>
        <v/>
      </c>
      <c r="J1013">
        <f>IF($I1013="","",$G1013&amp;"|"&amp;RIGHT("000000"&amp;$I1013,6))</f>
        <v/>
      </c>
      <c r="K1013">
        <f>IF(OR($E1013="",$E1013="نامعتبر"),"",LEFT($E1013,4)&amp;"/"&amp;MID($E1013,6,2))</f>
        <v/>
      </c>
      <c r="L1013">
        <f>IF(Entry!$K1013="",0,Entry!$K1013)</f>
        <v/>
      </c>
      <c r="M1013">
        <f>IF(Entry!$L1013="",0,Entry!$L1013)</f>
        <v/>
      </c>
    </row>
    <row r="1014">
      <c r="A1014">
        <f>IF(Entry!$C1014="","",Entry!$C1014)</f>
        <v/>
      </c>
      <c r="B1014">
        <f>IF($A1014="","",IF(ISNUMBER($A1014),IF(AND($A1014&gt;=10000101,$A1014&lt;=99991231),INT($A1014/10000),""),IFERROR(VALUE(TRIM(LEFT($A1014,FIND("/",$A1014)-1))),"")))</f>
        <v/>
      </c>
      <c r="C1014">
        <f>IF(OR($A1014="",$B1014=""),"",IF(ISNUMBER($A1014),INT(MOD($A1014,10000)/100),IFERROR(VALUE(TRIM(LEFT(MID($A1014,FIND("/",$A1014)+1,20),FIND("/",MID($A1014,FIND("/",$A1014)+1,20))-1))),"")))</f>
        <v/>
      </c>
      <c r="D1014">
        <f>IF(OR($A1014="",$B1014=""),"",IF(ISNUMBER($A1014),MOD($A1014,100),IFERROR(VALUE(TRIM(MID(MID($A1014,FIND("/",$A1014)+1,20),FIND("/",MID($A1014,FIND("/",$A1014)+1,20))+1,20))),"")))</f>
        <v/>
      </c>
      <c r="E1014">
        <f>IF($A1014="","",IF(OR($B1014="",$C1014="",$D1014="",$B1014&lt;1300,$B1014&gt;1500,$C1014&lt;1,$C1014&gt;12,$D1014&lt;1,$D1014&gt;31),"نامعتبر",RIGHT("0000"&amp;$B1014,4)&amp;"/"&amp;RIGHT("00"&amp;$C1014,2)&amp;"/"&amp;RIGHT("00"&amp;$D1014,2)))</f>
        <v/>
      </c>
      <c r="F1014">
        <f>IF(Entry!$D1014&lt;&gt;"",IF(AND(ISNUMBER(Entry!$D1014),Entry!$D1014&gt;=0,Entry!$D1014&lt;1),RIGHT("00"&amp;HOUR(Entry!$D1014),2)&amp;":"&amp;RIGHT("00"&amp;MINUTE(Entry!$D1014),2),IFERROR(RIGHT("00"&amp;VALUE(TRIM(LEFT(Entry!$D1014,FIND(":",Entry!$D1014)-1))),2)&amp;":"&amp;RIGHT("00"&amp;VALUE(TRIM(MID(Entry!$D1014,FIND(":",Entry!$D1014)+1,2))),2),"نامعتبر")),IF(OR($E1014="",$E1014="نامعتبر"),"","00:00"))</f>
        <v/>
      </c>
      <c r="G1014">
        <f>IF(OR($E1014="",$E1014="نامعتبر"),"",IF(Entry!$E1014="","",LEFT(UPPER(TRIM(Entry!$E1014)),6)))</f>
        <v/>
      </c>
      <c r="H1014">
        <f>IF($G1014="","",RIGHT($E1014,4)&amp;MID($E1014,6,2)&amp;RIGHT($E1014,2)&amp;IF($F1014="","0000",IF($F1014="نامعتبر","9999",LEFT($F1014,2)&amp;RIGHT($F1014,2)))&amp;"|"&amp;RIGHT("00000"&amp;1006,5))</f>
        <v/>
      </c>
      <c r="I1014">
        <f>IF($H1014="","",COUNTIFS(CalcBank,$G1014,CalcKey,"&lt;"&amp;$H1014)+1)</f>
        <v/>
      </c>
      <c r="J1014">
        <f>IF($I1014="","",$G1014&amp;"|"&amp;RIGHT("000000"&amp;$I1014,6))</f>
        <v/>
      </c>
      <c r="K1014">
        <f>IF(OR($E1014="",$E1014="نامعتبر"),"",LEFT($E1014,4)&amp;"/"&amp;MID($E1014,6,2))</f>
        <v/>
      </c>
      <c r="L1014">
        <f>IF(Entry!$K1014="",0,Entry!$K1014)</f>
        <v/>
      </c>
      <c r="M1014">
        <f>IF(Entry!$L1014="",0,Entry!$L1014)</f>
        <v/>
      </c>
    </row>
    <row r="1015">
      <c r="A1015">
        <f>IF(Entry!$C1015="","",Entry!$C1015)</f>
        <v/>
      </c>
      <c r="B1015">
        <f>IF($A1015="","",IF(ISNUMBER($A1015),IF(AND($A1015&gt;=10000101,$A1015&lt;=99991231),INT($A1015/10000),""),IFERROR(VALUE(TRIM(LEFT($A1015,FIND("/",$A1015)-1))),"")))</f>
        <v/>
      </c>
      <c r="C1015">
        <f>IF(OR($A1015="",$B1015=""),"",IF(ISNUMBER($A1015),INT(MOD($A1015,10000)/100),IFERROR(VALUE(TRIM(LEFT(MID($A1015,FIND("/",$A1015)+1,20),FIND("/",MID($A1015,FIND("/",$A1015)+1,20))-1))),"")))</f>
        <v/>
      </c>
      <c r="D1015">
        <f>IF(OR($A1015="",$B1015=""),"",IF(ISNUMBER($A1015),MOD($A1015,100),IFERROR(VALUE(TRIM(MID(MID($A1015,FIND("/",$A1015)+1,20),FIND("/",MID($A1015,FIND("/",$A1015)+1,20))+1,20))),"")))</f>
        <v/>
      </c>
      <c r="E1015">
        <f>IF($A1015="","",IF(OR($B1015="",$C1015="",$D1015="",$B1015&lt;1300,$B1015&gt;1500,$C1015&lt;1,$C1015&gt;12,$D1015&lt;1,$D1015&gt;31),"نامعتبر",RIGHT("0000"&amp;$B1015,4)&amp;"/"&amp;RIGHT("00"&amp;$C1015,2)&amp;"/"&amp;RIGHT("00"&amp;$D1015,2)))</f>
        <v/>
      </c>
      <c r="F1015">
        <f>IF(Entry!$D1015&lt;&gt;"",IF(AND(ISNUMBER(Entry!$D1015),Entry!$D1015&gt;=0,Entry!$D1015&lt;1),RIGHT("00"&amp;HOUR(Entry!$D1015),2)&amp;":"&amp;RIGHT("00"&amp;MINUTE(Entry!$D1015),2),IFERROR(RIGHT("00"&amp;VALUE(TRIM(LEFT(Entry!$D1015,FIND(":",Entry!$D1015)-1))),2)&amp;":"&amp;RIGHT("00"&amp;VALUE(TRIM(MID(Entry!$D1015,FIND(":",Entry!$D1015)+1,2))),2),"نامعتبر")),IF(OR($E1015="",$E1015="نامعتبر"),"","00:00"))</f>
        <v/>
      </c>
      <c r="G1015">
        <f>IF(OR($E1015="",$E1015="نامعتبر"),"",IF(Entry!$E1015="","",LEFT(UPPER(TRIM(Entry!$E1015)),6)))</f>
        <v/>
      </c>
      <c r="H1015">
        <f>IF($G1015="","",RIGHT($E1015,4)&amp;MID($E1015,6,2)&amp;RIGHT($E1015,2)&amp;IF($F1015="","0000",IF($F1015="نامعتبر","9999",LEFT($F1015,2)&amp;RIGHT($F1015,2)))&amp;"|"&amp;RIGHT("00000"&amp;1007,5))</f>
        <v/>
      </c>
      <c r="I1015">
        <f>IF($H1015="","",COUNTIFS(CalcBank,$G1015,CalcKey,"&lt;"&amp;$H1015)+1)</f>
        <v/>
      </c>
      <c r="J1015">
        <f>IF($I1015="","",$G1015&amp;"|"&amp;RIGHT("000000"&amp;$I1015,6))</f>
        <v/>
      </c>
      <c r="K1015">
        <f>IF(OR($E1015="",$E1015="نامعتبر"),"",LEFT($E1015,4)&amp;"/"&amp;MID($E1015,6,2))</f>
        <v/>
      </c>
      <c r="L1015">
        <f>IF(Entry!$K1015="",0,Entry!$K1015)</f>
        <v/>
      </c>
      <c r="M1015">
        <f>IF(Entry!$L1015="",0,Entry!$L1015)</f>
        <v/>
      </c>
    </row>
    <row r="1016">
      <c r="A1016">
        <f>IF(Entry!$C1016="","",Entry!$C1016)</f>
        <v/>
      </c>
      <c r="B1016">
        <f>IF($A1016="","",IF(ISNUMBER($A1016),IF(AND($A1016&gt;=10000101,$A1016&lt;=99991231),INT($A1016/10000),""),IFERROR(VALUE(TRIM(LEFT($A1016,FIND("/",$A1016)-1))),"")))</f>
        <v/>
      </c>
      <c r="C1016">
        <f>IF(OR($A1016="",$B1016=""),"",IF(ISNUMBER($A1016),INT(MOD($A1016,10000)/100),IFERROR(VALUE(TRIM(LEFT(MID($A1016,FIND("/",$A1016)+1,20),FIND("/",MID($A1016,FIND("/",$A1016)+1,20))-1))),"")))</f>
        <v/>
      </c>
      <c r="D1016">
        <f>IF(OR($A1016="",$B1016=""),"",IF(ISNUMBER($A1016),MOD($A1016,100),IFERROR(VALUE(TRIM(MID(MID($A1016,FIND("/",$A1016)+1,20),FIND("/",MID($A1016,FIND("/",$A1016)+1,20))+1,20))),"")))</f>
        <v/>
      </c>
      <c r="E1016">
        <f>IF($A1016="","",IF(OR($B1016="",$C1016="",$D1016="",$B1016&lt;1300,$B1016&gt;1500,$C1016&lt;1,$C1016&gt;12,$D1016&lt;1,$D1016&gt;31),"نامعتبر",RIGHT("0000"&amp;$B1016,4)&amp;"/"&amp;RIGHT("00"&amp;$C1016,2)&amp;"/"&amp;RIGHT("00"&amp;$D1016,2)))</f>
        <v/>
      </c>
      <c r="F1016">
        <f>IF(Entry!$D1016&lt;&gt;"",IF(AND(ISNUMBER(Entry!$D1016),Entry!$D1016&gt;=0,Entry!$D1016&lt;1),RIGHT("00"&amp;HOUR(Entry!$D1016),2)&amp;":"&amp;RIGHT("00"&amp;MINUTE(Entry!$D1016),2),IFERROR(RIGHT("00"&amp;VALUE(TRIM(LEFT(Entry!$D1016,FIND(":",Entry!$D1016)-1))),2)&amp;":"&amp;RIGHT("00"&amp;VALUE(TRIM(MID(Entry!$D1016,FIND(":",Entry!$D1016)+1,2))),2),"نامعتبر")),IF(OR($E1016="",$E1016="نامعتبر"),"","00:00"))</f>
        <v/>
      </c>
      <c r="G1016">
        <f>IF(OR($E1016="",$E1016="نامعتبر"),"",IF(Entry!$E1016="","",LEFT(UPPER(TRIM(Entry!$E1016)),6)))</f>
        <v/>
      </c>
      <c r="H1016">
        <f>IF($G1016="","",RIGHT($E1016,4)&amp;MID($E1016,6,2)&amp;RIGHT($E1016,2)&amp;IF($F1016="","0000",IF($F1016="نامعتبر","9999",LEFT($F1016,2)&amp;RIGHT($F1016,2)))&amp;"|"&amp;RIGHT("00000"&amp;1008,5))</f>
        <v/>
      </c>
      <c r="I1016">
        <f>IF($H1016="","",COUNTIFS(CalcBank,$G1016,CalcKey,"&lt;"&amp;$H1016)+1)</f>
        <v/>
      </c>
      <c r="J1016">
        <f>IF($I1016="","",$G1016&amp;"|"&amp;RIGHT("000000"&amp;$I1016,6))</f>
        <v/>
      </c>
      <c r="K1016">
        <f>IF(OR($E1016="",$E1016="نامعتبر"),"",LEFT($E1016,4)&amp;"/"&amp;MID($E1016,6,2))</f>
        <v/>
      </c>
      <c r="L1016">
        <f>IF(Entry!$K1016="",0,Entry!$K1016)</f>
        <v/>
      </c>
      <c r="M1016">
        <f>IF(Entry!$L1016="",0,Entry!$L1016)</f>
        <v/>
      </c>
    </row>
    <row r="1017">
      <c r="A1017">
        <f>IF(Entry!$C1017="","",Entry!$C1017)</f>
        <v/>
      </c>
      <c r="B1017">
        <f>IF($A1017="","",IF(ISNUMBER($A1017),IF(AND($A1017&gt;=10000101,$A1017&lt;=99991231),INT($A1017/10000),""),IFERROR(VALUE(TRIM(LEFT($A1017,FIND("/",$A1017)-1))),"")))</f>
        <v/>
      </c>
      <c r="C1017">
        <f>IF(OR($A1017="",$B1017=""),"",IF(ISNUMBER($A1017),INT(MOD($A1017,10000)/100),IFERROR(VALUE(TRIM(LEFT(MID($A1017,FIND("/",$A1017)+1,20),FIND("/",MID($A1017,FIND("/",$A1017)+1,20))-1))),"")))</f>
        <v/>
      </c>
      <c r="D1017">
        <f>IF(OR($A1017="",$B1017=""),"",IF(ISNUMBER($A1017),MOD($A1017,100),IFERROR(VALUE(TRIM(MID(MID($A1017,FIND("/",$A1017)+1,20),FIND("/",MID($A1017,FIND("/",$A1017)+1,20))+1,20))),"")))</f>
        <v/>
      </c>
      <c r="E1017">
        <f>IF($A1017="","",IF(OR($B1017="",$C1017="",$D1017="",$B1017&lt;1300,$B1017&gt;1500,$C1017&lt;1,$C1017&gt;12,$D1017&lt;1,$D1017&gt;31),"نامعتبر",RIGHT("0000"&amp;$B1017,4)&amp;"/"&amp;RIGHT("00"&amp;$C1017,2)&amp;"/"&amp;RIGHT("00"&amp;$D1017,2)))</f>
        <v/>
      </c>
      <c r="F1017">
        <f>IF(Entry!$D1017&lt;&gt;"",IF(AND(ISNUMBER(Entry!$D1017),Entry!$D1017&gt;=0,Entry!$D1017&lt;1),RIGHT("00"&amp;HOUR(Entry!$D1017),2)&amp;":"&amp;RIGHT("00"&amp;MINUTE(Entry!$D1017),2),IFERROR(RIGHT("00"&amp;VALUE(TRIM(LEFT(Entry!$D1017,FIND(":",Entry!$D1017)-1))),2)&amp;":"&amp;RIGHT("00"&amp;VALUE(TRIM(MID(Entry!$D1017,FIND(":",Entry!$D1017)+1,2))),2),"نامعتبر")),IF(OR($E1017="",$E1017="نامعتبر"),"","00:00"))</f>
        <v/>
      </c>
      <c r="G1017">
        <f>IF(OR($E1017="",$E1017="نامعتبر"),"",IF(Entry!$E1017="","",LEFT(UPPER(TRIM(Entry!$E1017)),6)))</f>
        <v/>
      </c>
      <c r="H1017">
        <f>IF($G1017="","",RIGHT($E1017,4)&amp;MID($E1017,6,2)&amp;RIGHT($E1017,2)&amp;IF($F1017="","0000",IF($F1017="نامعتبر","9999",LEFT($F1017,2)&amp;RIGHT($F1017,2)))&amp;"|"&amp;RIGHT("00000"&amp;1009,5))</f>
        <v/>
      </c>
      <c r="I1017">
        <f>IF($H1017="","",COUNTIFS(CalcBank,$G1017,CalcKey,"&lt;"&amp;$H1017)+1)</f>
        <v/>
      </c>
      <c r="J1017">
        <f>IF($I1017="","",$G1017&amp;"|"&amp;RIGHT("000000"&amp;$I1017,6))</f>
        <v/>
      </c>
      <c r="K1017">
        <f>IF(OR($E1017="",$E1017="نامعتبر"),"",LEFT($E1017,4)&amp;"/"&amp;MID($E1017,6,2))</f>
        <v/>
      </c>
      <c r="L1017">
        <f>IF(Entry!$K1017="",0,Entry!$K1017)</f>
        <v/>
      </c>
      <c r="M1017">
        <f>IF(Entry!$L1017="",0,Entry!$L1017)</f>
        <v/>
      </c>
    </row>
    <row r="1018">
      <c r="A1018">
        <f>IF(Entry!$C1018="","",Entry!$C1018)</f>
        <v/>
      </c>
      <c r="B1018">
        <f>IF($A1018="","",IF(ISNUMBER($A1018),IF(AND($A1018&gt;=10000101,$A1018&lt;=99991231),INT($A1018/10000),""),IFERROR(VALUE(TRIM(LEFT($A1018,FIND("/",$A1018)-1))),"")))</f>
        <v/>
      </c>
      <c r="C1018">
        <f>IF(OR($A1018="",$B1018=""),"",IF(ISNUMBER($A1018),INT(MOD($A1018,10000)/100),IFERROR(VALUE(TRIM(LEFT(MID($A1018,FIND("/",$A1018)+1,20),FIND("/",MID($A1018,FIND("/",$A1018)+1,20))-1))),"")))</f>
        <v/>
      </c>
      <c r="D1018">
        <f>IF(OR($A1018="",$B1018=""),"",IF(ISNUMBER($A1018),MOD($A1018,100),IFERROR(VALUE(TRIM(MID(MID($A1018,FIND("/",$A1018)+1,20),FIND("/",MID($A1018,FIND("/",$A1018)+1,20))+1,20))),"")))</f>
        <v/>
      </c>
      <c r="E1018">
        <f>IF($A1018="","",IF(OR($B1018="",$C1018="",$D1018="",$B1018&lt;1300,$B1018&gt;1500,$C1018&lt;1,$C1018&gt;12,$D1018&lt;1,$D1018&gt;31),"نامعتبر",RIGHT("0000"&amp;$B1018,4)&amp;"/"&amp;RIGHT("00"&amp;$C1018,2)&amp;"/"&amp;RIGHT("00"&amp;$D1018,2)))</f>
        <v/>
      </c>
      <c r="F1018">
        <f>IF(Entry!$D1018&lt;&gt;"",IF(AND(ISNUMBER(Entry!$D1018),Entry!$D1018&gt;=0,Entry!$D1018&lt;1),RIGHT("00"&amp;HOUR(Entry!$D1018),2)&amp;":"&amp;RIGHT("00"&amp;MINUTE(Entry!$D1018),2),IFERROR(RIGHT("00"&amp;VALUE(TRIM(LEFT(Entry!$D1018,FIND(":",Entry!$D1018)-1))),2)&amp;":"&amp;RIGHT("00"&amp;VALUE(TRIM(MID(Entry!$D1018,FIND(":",Entry!$D1018)+1,2))),2),"نامعتبر")),IF(OR($E1018="",$E1018="نامعتبر"),"","00:00"))</f>
        <v/>
      </c>
      <c r="G1018">
        <f>IF(OR($E1018="",$E1018="نامعتبر"),"",IF(Entry!$E1018="","",LEFT(UPPER(TRIM(Entry!$E1018)),6)))</f>
        <v/>
      </c>
      <c r="H1018">
        <f>IF($G1018="","",RIGHT($E1018,4)&amp;MID($E1018,6,2)&amp;RIGHT($E1018,2)&amp;IF($F1018="","0000",IF($F1018="نامعتبر","9999",LEFT($F1018,2)&amp;RIGHT($F1018,2)))&amp;"|"&amp;RIGHT("00000"&amp;1010,5))</f>
        <v/>
      </c>
      <c r="I1018">
        <f>IF($H1018="","",COUNTIFS(CalcBank,$G1018,CalcKey,"&lt;"&amp;$H1018)+1)</f>
        <v/>
      </c>
      <c r="J1018">
        <f>IF($I1018="","",$G1018&amp;"|"&amp;RIGHT("000000"&amp;$I1018,6))</f>
        <v/>
      </c>
      <c r="K1018">
        <f>IF(OR($E1018="",$E1018="نامعتبر"),"",LEFT($E1018,4)&amp;"/"&amp;MID($E1018,6,2))</f>
        <v/>
      </c>
      <c r="L1018">
        <f>IF(Entry!$K1018="",0,Entry!$K1018)</f>
        <v/>
      </c>
      <c r="M1018">
        <f>IF(Entry!$L1018="",0,Entry!$L1018)</f>
        <v/>
      </c>
    </row>
    <row r="1019">
      <c r="A1019">
        <f>IF(Entry!$C1019="","",Entry!$C1019)</f>
        <v/>
      </c>
      <c r="B1019">
        <f>IF($A1019="","",IF(ISNUMBER($A1019),IF(AND($A1019&gt;=10000101,$A1019&lt;=99991231),INT($A1019/10000),""),IFERROR(VALUE(TRIM(LEFT($A1019,FIND("/",$A1019)-1))),"")))</f>
        <v/>
      </c>
      <c r="C1019">
        <f>IF(OR($A1019="",$B1019=""),"",IF(ISNUMBER($A1019),INT(MOD($A1019,10000)/100),IFERROR(VALUE(TRIM(LEFT(MID($A1019,FIND("/",$A1019)+1,20),FIND("/",MID($A1019,FIND("/",$A1019)+1,20))-1))),"")))</f>
        <v/>
      </c>
      <c r="D1019">
        <f>IF(OR($A1019="",$B1019=""),"",IF(ISNUMBER($A1019),MOD($A1019,100),IFERROR(VALUE(TRIM(MID(MID($A1019,FIND("/",$A1019)+1,20),FIND("/",MID($A1019,FIND("/",$A1019)+1,20))+1,20))),"")))</f>
        <v/>
      </c>
      <c r="E1019">
        <f>IF($A1019="","",IF(OR($B1019="",$C1019="",$D1019="",$B1019&lt;1300,$B1019&gt;1500,$C1019&lt;1,$C1019&gt;12,$D1019&lt;1,$D1019&gt;31),"نامعتبر",RIGHT("0000"&amp;$B1019,4)&amp;"/"&amp;RIGHT("00"&amp;$C1019,2)&amp;"/"&amp;RIGHT("00"&amp;$D1019,2)))</f>
        <v/>
      </c>
      <c r="F1019">
        <f>IF(Entry!$D1019&lt;&gt;"",IF(AND(ISNUMBER(Entry!$D1019),Entry!$D1019&gt;=0,Entry!$D1019&lt;1),RIGHT("00"&amp;HOUR(Entry!$D1019),2)&amp;":"&amp;RIGHT("00"&amp;MINUTE(Entry!$D1019),2),IFERROR(RIGHT("00"&amp;VALUE(TRIM(LEFT(Entry!$D1019,FIND(":",Entry!$D1019)-1))),2)&amp;":"&amp;RIGHT("00"&amp;VALUE(TRIM(MID(Entry!$D1019,FIND(":",Entry!$D1019)+1,2))),2),"نامعتبر")),IF(OR($E1019="",$E1019="نامعتبر"),"","00:00"))</f>
        <v/>
      </c>
      <c r="G1019">
        <f>IF(OR($E1019="",$E1019="نامعتبر"),"",IF(Entry!$E1019="","",LEFT(UPPER(TRIM(Entry!$E1019)),6)))</f>
        <v/>
      </c>
      <c r="H1019">
        <f>IF($G1019="","",RIGHT($E1019,4)&amp;MID($E1019,6,2)&amp;RIGHT($E1019,2)&amp;IF($F1019="","0000",IF($F1019="نامعتبر","9999",LEFT($F1019,2)&amp;RIGHT($F1019,2)))&amp;"|"&amp;RIGHT("00000"&amp;1011,5))</f>
        <v/>
      </c>
      <c r="I1019">
        <f>IF($H1019="","",COUNTIFS(CalcBank,$G1019,CalcKey,"&lt;"&amp;$H1019)+1)</f>
        <v/>
      </c>
      <c r="J1019">
        <f>IF($I1019="","",$G1019&amp;"|"&amp;RIGHT("000000"&amp;$I1019,6))</f>
        <v/>
      </c>
      <c r="K1019">
        <f>IF(OR($E1019="",$E1019="نامعتبر"),"",LEFT($E1019,4)&amp;"/"&amp;MID($E1019,6,2))</f>
        <v/>
      </c>
      <c r="L1019">
        <f>IF(Entry!$K1019="",0,Entry!$K1019)</f>
        <v/>
      </c>
      <c r="M1019">
        <f>IF(Entry!$L1019="",0,Entry!$L1019)</f>
        <v/>
      </c>
    </row>
    <row r="1020">
      <c r="A1020">
        <f>IF(Entry!$C1020="","",Entry!$C1020)</f>
        <v/>
      </c>
      <c r="B1020">
        <f>IF($A1020="","",IF(ISNUMBER($A1020),IF(AND($A1020&gt;=10000101,$A1020&lt;=99991231),INT($A1020/10000),""),IFERROR(VALUE(TRIM(LEFT($A1020,FIND("/",$A1020)-1))),"")))</f>
        <v/>
      </c>
      <c r="C1020">
        <f>IF(OR($A1020="",$B1020=""),"",IF(ISNUMBER($A1020),INT(MOD($A1020,10000)/100),IFERROR(VALUE(TRIM(LEFT(MID($A1020,FIND("/",$A1020)+1,20),FIND("/",MID($A1020,FIND("/",$A1020)+1,20))-1))),"")))</f>
        <v/>
      </c>
      <c r="D1020">
        <f>IF(OR($A1020="",$B1020=""),"",IF(ISNUMBER($A1020),MOD($A1020,100),IFERROR(VALUE(TRIM(MID(MID($A1020,FIND("/",$A1020)+1,20),FIND("/",MID($A1020,FIND("/",$A1020)+1,20))+1,20))),"")))</f>
        <v/>
      </c>
      <c r="E1020">
        <f>IF($A1020="","",IF(OR($B1020="",$C1020="",$D1020="",$B1020&lt;1300,$B1020&gt;1500,$C1020&lt;1,$C1020&gt;12,$D1020&lt;1,$D1020&gt;31),"نامعتبر",RIGHT("0000"&amp;$B1020,4)&amp;"/"&amp;RIGHT("00"&amp;$C1020,2)&amp;"/"&amp;RIGHT("00"&amp;$D1020,2)))</f>
        <v/>
      </c>
      <c r="F1020">
        <f>IF(Entry!$D1020&lt;&gt;"",IF(AND(ISNUMBER(Entry!$D1020),Entry!$D1020&gt;=0,Entry!$D1020&lt;1),RIGHT("00"&amp;HOUR(Entry!$D1020),2)&amp;":"&amp;RIGHT("00"&amp;MINUTE(Entry!$D1020),2),IFERROR(RIGHT("00"&amp;VALUE(TRIM(LEFT(Entry!$D1020,FIND(":",Entry!$D1020)-1))),2)&amp;":"&amp;RIGHT("00"&amp;VALUE(TRIM(MID(Entry!$D1020,FIND(":",Entry!$D1020)+1,2))),2),"نامعتبر")),IF(OR($E1020="",$E1020="نامعتبر"),"","00:00"))</f>
        <v/>
      </c>
      <c r="G1020">
        <f>IF(OR($E1020="",$E1020="نامعتبر"),"",IF(Entry!$E1020="","",LEFT(UPPER(TRIM(Entry!$E1020)),6)))</f>
        <v/>
      </c>
      <c r="H1020">
        <f>IF($G1020="","",RIGHT($E1020,4)&amp;MID($E1020,6,2)&amp;RIGHT($E1020,2)&amp;IF($F1020="","0000",IF($F1020="نامعتبر","9999",LEFT($F1020,2)&amp;RIGHT($F1020,2)))&amp;"|"&amp;RIGHT("00000"&amp;1012,5))</f>
        <v/>
      </c>
      <c r="I1020">
        <f>IF($H1020="","",COUNTIFS(CalcBank,$G1020,CalcKey,"&lt;"&amp;$H1020)+1)</f>
        <v/>
      </c>
      <c r="J1020">
        <f>IF($I1020="","",$G1020&amp;"|"&amp;RIGHT("000000"&amp;$I1020,6))</f>
        <v/>
      </c>
      <c r="K1020">
        <f>IF(OR($E1020="",$E1020="نامعتبر"),"",LEFT($E1020,4)&amp;"/"&amp;MID($E1020,6,2))</f>
        <v/>
      </c>
      <c r="L1020">
        <f>IF(Entry!$K1020="",0,Entry!$K1020)</f>
        <v/>
      </c>
      <c r="M1020">
        <f>IF(Entry!$L1020="",0,Entry!$L1020)</f>
        <v/>
      </c>
    </row>
    <row r="1021">
      <c r="A1021">
        <f>IF(Entry!$C1021="","",Entry!$C1021)</f>
        <v/>
      </c>
      <c r="B1021">
        <f>IF($A1021="","",IF(ISNUMBER($A1021),IF(AND($A1021&gt;=10000101,$A1021&lt;=99991231),INT($A1021/10000),""),IFERROR(VALUE(TRIM(LEFT($A1021,FIND("/",$A1021)-1))),"")))</f>
        <v/>
      </c>
      <c r="C1021">
        <f>IF(OR($A1021="",$B1021=""),"",IF(ISNUMBER($A1021),INT(MOD($A1021,10000)/100),IFERROR(VALUE(TRIM(LEFT(MID($A1021,FIND("/",$A1021)+1,20),FIND("/",MID($A1021,FIND("/",$A1021)+1,20))-1))),"")))</f>
        <v/>
      </c>
      <c r="D1021">
        <f>IF(OR($A1021="",$B1021=""),"",IF(ISNUMBER($A1021),MOD($A1021,100),IFERROR(VALUE(TRIM(MID(MID($A1021,FIND("/",$A1021)+1,20),FIND("/",MID($A1021,FIND("/",$A1021)+1,20))+1,20))),"")))</f>
        <v/>
      </c>
      <c r="E1021">
        <f>IF($A1021="","",IF(OR($B1021="",$C1021="",$D1021="",$B1021&lt;1300,$B1021&gt;1500,$C1021&lt;1,$C1021&gt;12,$D1021&lt;1,$D1021&gt;31),"نامعتبر",RIGHT("0000"&amp;$B1021,4)&amp;"/"&amp;RIGHT("00"&amp;$C1021,2)&amp;"/"&amp;RIGHT("00"&amp;$D1021,2)))</f>
        <v/>
      </c>
      <c r="F1021">
        <f>IF(Entry!$D1021&lt;&gt;"",IF(AND(ISNUMBER(Entry!$D1021),Entry!$D1021&gt;=0,Entry!$D1021&lt;1),RIGHT("00"&amp;HOUR(Entry!$D1021),2)&amp;":"&amp;RIGHT("00"&amp;MINUTE(Entry!$D1021),2),IFERROR(RIGHT("00"&amp;VALUE(TRIM(LEFT(Entry!$D1021,FIND(":",Entry!$D1021)-1))),2)&amp;":"&amp;RIGHT("00"&amp;VALUE(TRIM(MID(Entry!$D1021,FIND(":",Entry!$D1021)+1,2))),2),"نامعتبر")),IF(OR($E1021="",$E1021="نامعتبر"),"","00:00"))</f>
        <v/>
      </c>
      <c r="G1021">
        <f>IF(OR($E1021="",$E1021="نامعتبر"),"",IF(Entry!$E1021="","",LEFT(UPPER(TRIM(Entry!$E1021)),6)))</f>
        <v/>
      </c>
      <c r="H1021">
        <f>IF($G1021="","",RIGHT($E1021,4)&amp;MID($E1021,6,2)&amp;RIGHT($E1021,2)&amp;IF($F1021="","0000",IF($F1021="نامعتبر","9999",LEFT($F1021,2)&amp;RIGHT($F1021,2)))&amp;"|"&amp;RIGHT("00000"&amp;1013,5))</f>
        <v/>
      </c>
      <c r="I1021">
        <f>IF($H1021="","",COUNTIFS(CalcBank,$G1021,CalcKey,"&lt;"&amp;$H1021)+1)</f>
        <v/>
      </c>
      <c r="J1021">
        <f>IF($I1021="","",$G1021&amp;"|"&amp;RIGHT("000000"&amp;$I1021,6))</f>
        <v/>
      </c>
      <c r="K1021">
        <f>IF(OR($E1021="",$E1021="نامعتبر"),"",LEFT($E1021,4)&amp;"/"&amp;MID($E1021,6,2))</f>
        <v/>
      </c>
      <c r="L1021">
        <f>IF(Entry!$K1021="",0,Entry!$K1021)</f>
        <v/>
      </c>
      <c r="M1021">
        <f>IF(Entry!$L1021="",0,Entry!$L1021)</f>
        <v/>
      </c>
    </row>
    <row r="1022">
      <c r="A1022">
        <f>IF(Entry!$C1022="","",Entry!$C1022)</f>
        <v/>
      </c>
      <c r="B1022">
        <f>IF($A1022="","",IF(ISNUMBER($A1022),IF(AND($A1022&gt;=10000101,$A1022&lt;=99991231),INT($A1022/10000),""),IFERROR(VALUE(TRIM(LEFT($A1022,FIND("/",$A1022)-1))),"")))</f>
        <v/>
      </c>
      <c r="C1022">
        <f>IF(OR($A1022="",$B1022=""),"",IF(ISNUMBER($A1022),INT(MOD($A1022,10000)/100),IFERROR(VALUE(TRIM(LEFT(MID($A1022,FIND("/",$A1022)+1,20),FIND("/",MID($A1022,FIND("/",$A1022)+1,20))-1))),"")))</f>
        <v/>
      </c>
      <c r="D1022">
        <f>IF(OR($A1022="",$B1022=""),"",IF(ISNUMBER($A1022),MOD($A1022,100),IFERROR(VALUE(TRIM(MID(MID($A1022,FIND("/",$A1022)+1,20),FIND("/",MID($A1022,FIND("/",$A1022)+1,20))+1,20))),"")))</f>
        <v/>
      </c>
      <c r="E1022">
        <f>IF($A1022="","",IF(OR($B1022="",$C1022="",$D1022="",$B1022&lt;1300,$B1022&gt;1500,$C1022&lt;1,$C1022&gt;12,$D1022&lt;1,$D1022&gt;31),"نامعتبر",RIGHT("0000"&amp;$B1022,4)&amp;"/"&amp;RIGHT("00"&amp;$C1022,2)&amp;"/"&amp;RIGHT("00"&amp;$D1022,2)))</f>
        <v/>
      </c>
      <c r="F1022">
        <f>IF(Entry!$D1022&lt;&gt;"",IF(AND(ISNUMBER(Entry!$D1022),Entry!$D1022&gt;=0,Entry!$D1022&lt;1),RIGHT("00"&amp;HOUR(Entry!$D1022),2)&amp;":"&amp;RIGHT("00"&amp;MINUTE(Entry!$D1022),2),IFERROR(RIGHT("00"&amp;VALUE(TRIM(LEFT(Entry!$D1022,FIND(":",Entry!$D1022)-1))),2)&amp;":"&amp;RIGHT("00"&amp;VALUE(TRIM(MID(Entry!$D1022,FIND(":",Entry!$D1022)+1,2))),2),"نامعتبر")),IF(OR($E1022="",$E1022="نامعتبر"),"","00:00"))</f>
        <v/>
      </c>
      <c r="G1022">
        <f>IF(OR($E1022="",$E1022="نامعتبر"),"",IF(Entry!$E1022="","",LEFT(UPPER(TRIM(Entry!$E1022)),6)))</f>
        <v/>
      </c>
      <c r="H1022">
        <f>IF($G1022="","",RIGHT($E1022,4)&amp;MID($E1022,6,2)&amp;RIGHT($E1022,2)&amp;IF($F1022="","0000",IF($F1022="نامعتبر","9999",LEFT($F1022,2)&amp;RIGHT($F1022,2)))&amp;"|"&amp;RIGHT("00000"&amp;1014,5))</f>
        <v/>
      </c>
      <c r="I1022">
        <f>IF($H1022="","",COUNTIFS(CalcBank,$G1022,CalcKey,"&lt;"&amp;$H1022)+1)</f>
        <v/>
      </c>
      <c r="J1022">
        <f>IF($I1022="","",$G1022&amp;"|"&amp;RIGHT("000000"&amp;$I1022,6))</f>
        <v/>
      </c>
      <c r="K1022">
        <f>IF(OR($E1022="",$E1022="نامعتبر"),"",LEFT($E1022,4)&amp;"/"&amp;MID($E1022,6,2))</f>
        <v/>
      </c>
      <c r="L1022">
        <f>IF(Entry!$K1022="",0,Entry!$K1022)</f>
        <v/>
      </c>
      <c r="M1022">
        <f>IF(Entry!$L1022="",0,Entry!$L1022)</f>
        <v/>
      </c>
    </row>
    <row r="1023">
      <c r="A1023">
        <f>IF(Entry!$C1023="","",Entry!$C1023)</f>
        <v/>
      </c>
      <c r="B1023">
        <f>IF($A1023="","",IF(ISNUMBER($A1023),IF(AND($A1023&gt;=10000101,$A1023&lt;=99991231),INT($A1023/10000),""),IFERROR(VALUE(TRIM(LEFT($A1023,FIND("/",$A1023)-1))),"")))</f>
        <v/>
      </c>
      <c r="C1023">
        <f>IF(OR($A1023="",$B1023=""),"",IF(ISNUMBER($A1023),INT(MOD($A1023,10000)/100),IFERROR(VALUE(TRIM(LEFT(MID($A1023,FIND("/",$A1023)+1,20),FIND("/",MID($A1023,FIND("/",$A1023)+1,20))-1))),"")))</f>
        <v/>
      </c>
      <c r="D1023">
        <f>IF(OR($A1023="",$B1023=""),"",IF(ISNUMBER($A1023),MOD($A1023,100),IFERROR(VALUE(TRIM(MID(MID($A1023,FIND("/",$A1023)+1,20),FIND("/",MID($A1023,FIND("/",$A1023)+1,20))+1,20))),"")))</f>
        <v/>
      </c>
      <c r="E1023">
        <f>IF($A1023="","",IF(OR($B1023="",$C1023="",$D1023="",$B1023&lt;1300,$B1023&gt;1500,$C1023&lt;1,$C1023&gt;12,$D1023&lt;1,$D1023&gt;31),"نامعتبر",RIGHT("0000"&amp;$B1023,4)&amp;"/"&amp;RIGHT("00"&amp;$C1023,2)&amp;"/"&amp;RIGHT("00"&amp;$D1023,2)))</f>
        <v/>
      </c>
      <c r="F1023">
        <f>IF(Entry!$D1023&lt;&gt;"",IF(AND(ISNUMBER(Entry!$D1023),Entry!$D1023&gt;=0,Entry!$D1023&lt;1),RIGHT("00"&amp;HOUR(Entry!$D1023),2)&amp;":"&amp;RIGHT("00"&amp;MINUTE(Entry!$D1023),2),IFERROR(RIGHT("00"&amp;VALUE(TRIM(LEFT(Entry!$D1023,FIND(":",Entry!$D1023)-1))),2)&amp;":"&amp;RIGHT("00"&amp;VALUE(TRIM(MID(Entry!$D1023,FIND(":",Entry!$D1023)+1,2))),2),"نامعتبر")),IF(OR($E1023="",$E1023="نامعتبر"),"","00:00"))</f>
        <v/>
      </c>
      <c r="G1023">
        <f>IF(OR($E1023="",$E1023="نامعتبر"),"",IF(Entry!$E1023="","",LEFT(UPPER(TRIM(Entry!$E1023)),6)))</f>
        <v/>
      </c>
      <c r="H1023">
        <f>IF($G1023="","",RIGHT($E1023,4)&amp;MID($E1023,6,2)&amp;RIGHT($E1023,2)&amp;IF($F1023="","0000",IF($F1023="نامعتبر","9999",LEFT($F1023,2)&amp;RIGHT($F1023,2)))&amp;"|"&amp;RIGHT("00000"&amp;1015,5))</f>
        <v/>
      </c>
      <c r="I1023">
        <f>IF($H1023="","",COUNTIFS(CalcBank,$G1023,CalcKey,"&lt;"&amp;$H1023)+1)</f>
        <v/>
      </c>
      <c r="J1023">
        <f>IF($I1023="","",$G1023&amp;"|"&amp;RIGHT("000000"&amp;$I1023,6))</f>
        <v/>
      </c>
      <c r="K1023">
        <f>IF(OR($E1023="",$E1023="نامعتبر"),"",LEFT($E1023,4)&amp;"/"&amp;MID($E1023,6,2))</f>
        <v/>
      </c>
      <c r="L1023">
        <f>IF(Entry!$K1023="",0,Entry!$K1023)</f>
        <v/>
      </c>
      <c r="M1023">
        <f>IF(Entry!$L1023="",0,Entry!$L1023)</f>
        <v/>
      </c>
    </row>
    <row r="1024">
      <c r="A1024">
        <f>IF(Entry!$C1024="","",Entry!$C1024)</f>
        <v/>
      </c>
      <c r="B1024">
        <f>IF($A1024="","",IF(ISNUMBER($A1024),IF(AND($A1024&gt;=10000101,$A1024&lt;=99991231),INT($A1024/10000),""),IFERROR(VALUE(TRIM(LEFT($A1024,FIND("/",$A1024)-1))),"")))</f>
        <v/>
      </c>
      <c r="C1024">
        <f>IF(OR($A1024="",$B1024=""),"",IF(ISNUMBER($A1024),INT(MOD($A1024,10000)/100),IFERROR(VALUE(TRIM(LEFT(MID($A1024,FIND("/",$A1024)+1,20),FIND("/",MID($A1024,FIND("/",$A1024)+1,20))-1))),"")))</f>
        <v/>
      </c>
      <c r="D1024">
        <f>IF(OR($A1024="",$B1024=""),"",IF(ISNUMBER($A1024),MOD($A1024,100),IFERROR(VALUE(TRIM(MID(MID($A1024,FIND("/",$A1024)+1,20),FIND("/",MID($A1024,FIND("/",$A1024)+1,20))+1,20))),"")))</f>
        <v/>
      </c>
      <c r="E1024">
        <f>IF($A1024="","",IF(OR($B1024="",$C1024="",$D1024="",$B1024&lt;1300,$B1024&gt;1500,$C1024&lt;1,$C1024&gt;12,$D1024&lt;1,$D1024&gt;31),"نامعتبر",RIGHT("0000"&amp;$B1024,4)&amp;"/"&amp;RIGHT("00"&amp;$C1024,2)&amp;"/"&amp;RIGHT("00"&amp;$D1024,2)))</f>
        <v/>
      </c>
      <c r="F1024">
        <f>IF(Entry!$D1024&lt;&gt;"",IF(AND(ISNUMBER(Entry!$D1024),Entry!$D1024&gt;=0,Entry!$D1024&lt;1),RIGHT("00"&amp;HOUR(Entry!$D1024),2)&amp;":"&amp;RIGHT("00"&amp;MINUTE(Entry!$D1024),2),IFERROR(RIGHT("00"&amp;VALUE(TRIM(LEFT(Entry!$D1024,FIND(":",Entry!$D1024)-1))),2)&amp;":"&amp;RIGHT("00"&amp;VALUE(TRIM(MID(Entry!$D1024,FIND(":",Entry!$D1024)+1,2))),2),"نامعتبر")),IF(OR($E1024="",$E1024="نامعتبر"),"","00:00"))</f>
        <v/>
      </c>
      <c r="G1024">
        <f>IF(OR($E1024="",$E1024="نامعتبر"),"",IF(Entry!$E1024="","",LEFT(UPPER(TRIM(Entry!$E1024)),6)))</f>
        <v/>
      </c>
      <c r="H1024">
        <f>IF($G1024="","",RIGHT($E1024,4)&amp;MID($E1024,6,2)&amp;RIGHT($E1024,2)&amp;IF($F1024="","0000",IF($F1024="نامعتبر","9999",LEFT($F1024,2)&amp;RIGHT($F1024,2)))&amp;"|"&amp;RIGHT("00000"&amp;1016,5))</f>
        <v/>
      </c>
      <c r="I1024">
        <f>IF($H1024="","",COUNTIFS(CalcBank,$G1024,CalcKey,"&lt;"&amp;$H1024)+1)</f>
        <v/>
      </c>
      <c r="J1024">
        <f>IF($I1024="","",$G1024&amp;"|"&amp;RIGHT("000000"&amp;$I1024,6))</f>
        <v/>
      </c>
      <c r="K1024">
        <f>IF(OR($E1024="",$E1024="نامعتبر"),"",LEFT($E1024,4)&amp;"/"&amp;MID($E1024,6,2))</f>
        <v/>
      </c>
      <c r="L1024">
        <f>IF(Entry!$K1024="",0,Entry!$K1024)</f>
        <v/>
      </c>
      <c r="M1024">
        <f>IF(Entry!$L1024="",0,Entry!$L1024)</f>
        <v/>
      </c>
    </row>
    <row r="1025">
      <c r="A1025">
        <f>IF(Entry!$C1025="","",Entry!$C1025)</f>
        <v/>
      </c>
      <c r="B1025">
        <f>IF($A1025="","",IF(ISNUMBER($A1025),IF(AND($A1025&gt;=10000101,$A1025&lt;=99991231),INT($A1025/10000),""),IFERROR(VALUE(TRIM(LEFT($A1025,FIND("/",$A1025)-1))),"")))</f>
        <v/>
      </c>
      <c r="C1025">
        <f>IF(OR($A1025="",$B1025=""),"",IF(ISNUMBER($A1025),INT(MOD($A1025,10000)/100),IFERROR(VALUE(TRIM(LEFT(MID($A1025,FIND("/",$A1025)+1,20),FIND("/",MID($A1025,FIND("/",$A1025)+1,20))-1))),"")))</f>
        <v/>
      </c>
      <c r="D1025">
        <f>IF(OR($A1025="",$B1025=""),"",IF(ISNUMBER($A1025),MOD($A1025,100),IFERROR(VALUE(TRIM(MID(MID($A1025,FIND("/",$A1025)+1,20),FIND("/",MID($A1025,FIND("/",$A1025)+1,20))+1,20))),"")))</f>
        <v/>
      </c>
      <c r="E1025">
        <f>IF($A1025="","",IF(OR($B1025="",$C1025="",$D1025="",$B1025&lt;1300,$B1025&gt;1500,$C1025&lt;1,$C1025&gt;12,$D1025&lt;1,$D1025&gt;31),"نامعتبر",RIGHT("0000"&amp;$B1025,4)&amp;"/"&amp;RIGHT("00"&amp;$C1025,2)&amp;"/"&amp;RIGHT("00"&amp;$D1025,2)))</f>
        <v/>
      </c>
      <c r="F1025">
        <f>IF(Entry!$D1025&lt;&gt;"",IF(AND(ISNUMBER(Entry!$D1025),Entry!$D1025&gt;=0,Entry!$D1025&lt;1),RIGHT("00"&amp;HOUR(Entry!$D1025),2)&amp;":"&amp;RIGHT("00"&amp;MINUTE(Entry!$D1025),2),IFERROR(RIGHT("00"&amp;VALUE(TRIM(LEFT(Entry!$D1025,FIND(":",Entry!$D1025)-1))),2)&amp;":"&amp;RIGHT("00"&amp;VALUE(TRIM(MID(Entry!$D1025,FIND(":",Entry!$D1025)+1,2))),2),"نامعتبر")),IF(OR($E1025="",$E1025="نامعتبر"),"","00:00"))</f>
        <v/>
      </c>
      <c r="G1025">
        <f>IF(OR($E1025="",$E1025="نامعتبر"),"",IF(Entry!$E1025="","",LEFT(UPPER(TRIM(Entry!$E1025)),6)))</f>
        <v/>
      </c>
      <c r="H1025">
        <f>IF($G1025="","",RIGHT($E1025,4)&amp;MID($E1025,6,2)&amp;RIGHT($E1025,2)&amp;IF($F1025="","0000",IF($F1025="نامعتبر","9999",LEFT($F1025,2)&amp;RIGHT($F1025,2)))&amp;"|"&amp;RIGHT("00000"&amp;1017,5))</f>
        <v/>
      </c>
      <c r="I1025">
        <f>IF($H1025="","",COUNTIFS(CalcBank,$G1025,CalcKey,"&lt;"&amp;$H1025)+1)</f>
        <v/>
      </c>
      <c r="J1025">
        <f>IF($I1025="","",$G1025&amp;"|"&amp;RIGHT("000000"&amp;$I1025,6))</f>
        <v/>
      </c>
      <c r="K1025">
        <f>IF(OR($E1025="",$E1025="نامعتبر"),"",LEFT($E1025,4)&amp;"/"&amp;MID($E1025,6,2))</f>
        <v/>
      </c>
      <c r="L1025">
        <f>IF(Entry!$K1025="",0,Entry!$K1025)</f>
        <v/>
      </c>
      <c r="M1025">
        <f>IF(Entry!$L1025="",0,Entry!$L1025)</f>
        <v/>
      </c>
    </row>
    <row r="1026">
      <c r="A1026">
        <f>IF(Entry!$C1026="","",Entry!$C1026)</f>
        <v/>
      </c>
      <c r="B1026">
        <f>IF($A1026="","",IF(ISNUMBER($A1026),IF(AND($A1026&gt;=10000101,$A1026&lt;=99991231),INT($A1026/10000),""),IFERROR(VALUE(TRIM(LEFT($A1026,FIND("/",$A1026)-1))),"")))</f>
        <v/>
      </c>
      <c r="C1026">
        <f>IF(OR($A1026="",$B1026=""),"",IF(ISNUMBER($A1026),INT(MOD($A1026,10000)/100),IFERROR(VALUE(TRIM(LEFT(MID($A1026,FIND("/",$A1026)+1,20),FIND("/",MID($A1026,FIND("/",$A1026)+1,20))-1))),"")))</f>
        <v/>
      </c>
      <c r="D1026">
        <f>IF(OR($A1026="",$B1026=""),"",IF(ISNUMBER($A1026),MOD($A1026,100),IFERROR(VALUE(TRIM(MID(MID($A1026,FIND("/",$A1026)+1,20),FIND("/",MID($A1026,FIND("/",$A1026)+1,20))+1,20))),"")))</f>
        <v/>
      </c>
      <c r="E1026">
        <f>IF($A1026="","",IF(OR($B1026="",$C1026="",$D1026="",$B1026&lt;1300,$B1026&gt;1500,$C1026&lt;1,$C1026&gt;12,$D1026&lt;1,$D1026&gt;31),"نامعتبر",RIGHT("0000"&amp;$B1026,4)&amp;"/"&amp;RIGHT("00"&amp;$C1026,2)&amp;"/"&amp;RIGHT("00"&amp;$D1026,2)))</f>
        <v/>
      </c>
      <c r="F1026">
        <f>IF(Entry!$D1026&lt;&gt;"",IF(AND(ISNUMBER(Entry!$D1026),Entry!$D1026&gt;=0,Entry!$D1026&lt;1),RIGHT("00"&amp;HOUR(Entry!$D1026),2)&amp;":"&amp;RIGHT("00"&amp;MINUTE(Entry!$D1026),2),IFERROR(RIGHT("00"&amp;VALUE(TRIM(LEFT(Entry!$D1026,FIND(":",Entry!$D1026)-1))),2)&amp;":"&amp;RIGHT("00"&amp;VALUE(TRIM(MID(Entry!$D1026,FIND(":",Entry!$D1026)+1,2))),2),"نامعتبر")),IF(OR($E1026="",$E1026="نامعتبر"),"","00:00"))</f>
        <v/>
      </c>
      <c r="G1026">
        <f>IF(OR($E1026="",$E1026="نامعتبر"),"",IF(Entry!$E1026="","",LEFT(UPPER(TRIM(Entry!$E1026)),6)))</f>
        <v/>
      </c>
      <c r="H1026">
        <f>IF($G1026="","",RIGHT($E1026,4)&amp;MID($E1026,6,2)&amp;RIGHT($E1026,2)&amp;IF($F1026="","0000",IF($F1026="نامعتبر","9999",LEFT($F1026,2)&amp;RIGHT($F1026,2)))&amp;"|"&amp;RIGHT("00000"&amp;1018,5))</f>
        <v/>
      </c>
      <c r="I1026">
        <f>IF($H1026="","",COUNTIFS(CalcBank,$G1026,CalcKey,"&lt;"&amp;$H1026)+1)</f>
        <v/>
      </c>
      <c r="J1026">
        <f>IF($I1026="","",$G1026&amp;"|"&amp;RIGHT("000000"&amp;$I1026,6))</f>
        <v/>
      </c>
      <c r="K1026">
        <f>IF(OR($E1026="",$E1026="نامعتبر"),"",LEFT($E1026,4)&amp;"/"&amp;MID($E1026,6,2))</f>
        <v/>
      </c>
      <c r="L1026">
        <f>IF(Entry!$K1026="",0,Entry!$K1026)</f>
        <v/>
      </c>
      <c r="M1026">
        <f>IF(Entry!$L1026="",0,Entry!$L1026)</f>
        <v/>
      </c>
    </row>
    <row r="1027">
      <c r="A1027">
        <f>IF(Entry!$C1027="","",Entry!$C1027)</f>
        <v/>
      </c>
      <c r="B1027">
        <f>IF($A1027="","",IF(ISNUMBER($A1027),IF(AND($A1027&gt;=10000101,$A1027&lt;=99991231),INT($A1027/10000),""),IFERROR(VALUE(TRIM(LEFT($A1027,FIND("/",$A1027)-1))),"")))</f>
        <v/>
      </c>
      <c r="C1027">
        <f>IF(OR($A1027="",$B1027=""),"",IF(ISNUMBER($A1027),INT(MOD($A1027,10000)/100),IFERROR(VALUE(TRIM(LEFT(MID($A1027,FIND("/",$A1027)+1,20),FIND("/",MID($A1027,FIND("/",$A1027)+1,20))-1))),"")))</f>
        <v/>
      </c>
      <c r="D1027">
        <f>IF(OR($A1027="",$B1027=""),"",IF(ISNUMBER($A1027),MOD($A1027,100),IFERROR(VALUE(TRIM(MID(MID($A1027,FIND("/",$A1027)+1,20),FIND("/",MID($A1027,FIND("/",$A1027)+1,20))+1,20))),"")))</f>
        <v/>
      </c>
      <c r="E1027">
        <f>IF($A1027="","",IF(OR($B1027="",$C1027="",$D1027="",$B1027&lt;1300,$B1027&gt;1500,$C1027&lt;1,$C1027&gt;12,$D1027&lt;1,$D1027&gt;31),"نامعتبر",RIGHT("0000"&amp;$B1027,4)&amp;"/"&amp;RIGHT("00"&amp;$C1027,2)&amp;"/"&amp;RIGHT("00"&amp;$D1027,2)))</f>
        <v/>
      </c>
      <c r="F1027">
        <f>IF(Entry!$D1027&lt;&gt;"",IF(AND(ISNUMBER(Entry!$D1027),Entry!$D1027&gt;=0,Entry!$D1027&lt;1),RIGHT("00"&amp;HOUR(Entry!$D1027),2)&amp;":"&amp;RIGHT("00"&amp;MINUTE(Entry!$D1027),2),IFERROR(RIGHT("00"&amp;VALUE(TRIM(LEFT(Entry!$D1027,FIND(":",Entry!$D1027)-1))),2)&amp;":"&amp;RIGHT("00"&amp;VALUE(TRIM(MID(Entry!$D1027,FIND(":",Entry!$D1027)+1,2))),2),"نامعتبر")),IF(OR($E1027="",$E1027="نامعتبر"),"","00:00"))</f>
        <v/>
      </c>
      <c r="G1027">
        <f>IF(OR($E1027="",$E1027="نامعتبر"),"",IF(Entry!$E1027="","",LEFT(UPPER(TRIM(Entry!$E1027)),6)))</f>
        <v/>
      </c>
      <c r="H1027">
        <f>IF($G1027="","",RIGHT($E1027,4)&amp;MID($E1027,6,2)&amp;RIGHT($E1027,2)&amp;IF($F1027="","0000",IF($F1027="نامعتبر","9999",LEFT($F1027,2)&amp;RIGHT($F1027,2)))&amp;"|"&amp;RIGHT("00000"&amp;1019,5))</f>
        <v/>
      </c>
      <c r="I1027">
        <f>IF($H1027="","",COUNTIFS(CalcBank,$G1027,CalcKey,"&lt;"&amp;$H1027)+1)</f>
        <v/>
      </c>
      <c r="J1027">
        <f>IF($I1027="","",$G1027&amp;"|"&amp;RIGHT("000000"&amp;$I1027,6))</f>
        <v/>
      </c>
      <c r="K1027">
        <f>IF(OR($E1027="",$E1027="نامعتبر"),"",LEFT($E1027,4)&amp;"/"&amp;MID($E1027,6,2))</f>
        <v/>
      </c>
      <c r="L1027">
        <f>IF(Entry!$K1027="",0,Entry!$K1027)</f>
        <v/>
      </c>
      <c r="M1027">
        <f>IF(Entry!$L1027="",0,Entry!$L1027)</f>
        <v/>
      </c>
    </row>
    <row r="1028">
      <c r="A1028">
        <f>IF(Entry!$C1028="","",Entry!$C1028)</f>
        <v/>
      </c>
      <c r="B1028">
        <f>IF($A1028="","",IF(ISNUMBER($A1028),IF(AND($A1028&gt;=10000101,$A1028&lt;=99991231),INT($A1028/10000),""),IFERROR(VALUE(TRIM(LEFT($A1028,FIND("/",$A1028)-1))),"")))</f>
        <v/>
      </c>
      <c r="C1028">
        <f>IF(OR($A1028="",$B1028=""),"",IF(ISNUMBER($A1028),INT(MOD($A1028,10000)/100),IFERROR(VALUE(TRIM(LEFT(MID($A1028,FIND("/",$A1028)+1,20),FIND("/",MID($A1028,FIND("/",$A1028)+1,20))-1))),"")))</f>
        <v/>
      </c>
      <c r="D1028">
        <f>IF(OR($A1028="",$B1028=""),"",IF(ISNUMBER($A1028),MOD($A1028,100),IFERROR(VALUE(TRIM(MID(MID($A1028,FIND("/",$A1028)+1,20),FIND("/",MID($A1028,FIND("/",$A1028)+1,20))+1,20))),"")))</f>
        <v/>
      </c>
      <c r="E1028">
        <f>IF($A1028="","",IF(OR($B1028="",$C1028="",$D1028="",$B1028&lt;1300,$B1028&gt;1500,$C1028&lt;1,$C1028&gt;12,$D1028&lt;1,$D1028&gt;31),"نامعتبر",RIGHT("0000"&amp;$B1028,4)&amp;"/"&amp;RIGHT("00"&amp;$C1028,2)&amp;"/"&amp;RIGHT("00"&amp;$D1028,2)))</f>
        <v/>
      </c>
      <c r="F1028">
        <f>IF(Entry!$D1028&lt;&gt;"",IF(AND(ISNUMBER(Entry!$D1028),Entry!$D1028&gt;=0,Entry!$D1028&lt;1),RIGHT("00"&amp;HOUR(Entry!$D1028),2)&amp;":"&amp;RIGHT("00"&amp;MINUTE(Entry!$D1028),2),IFERROR(RIGHT("00"&amp;VALUE(TRIM(LEFT(Entry!$D1028,FIND(":",Entry!$D1028)-1))),2)&amp;":"&amp;RIGHT("00"&amp;VALUE(TRIM(MID(Entry!$D1028,FIND(":",Entry!$D1028)+1,2))),2),"نامعتبر")),IF(OR($E1028="",$E1028="نامعتبر"),"","00:00"))</f>
        <v/>
      </c>
      <c r="G1028">
        <f>IF(OR($E1028="",$E1028="نامعتبر"),"",IF(Entry!$E1028="","",LEFT(UPPER(TRIM(Entry!$E1028)),6)))</f>
        <v/>
      </c>
      <c r="H1028">
        <f>IF($G1028="","",RIGHT($E1028,4)&amp;MID($E1028,6,2)&amp;RIGHT($E1028,2)&amp;IF($F1028="","0000",IF($F1028="نامعتبر","9999",LEFT($F1028,2)&amp;RIGHT($F1028,2)))&amp;"|"&amp;RIGHT("00000"&amp;1020,5))</f>
        <v/>
      </c>
      <c r="I1028">
        <f>IF($H1028="","",COUNTIFS(CalcBank,$G1028,CalcKey,"&lt;"&amp;$H1028)+1)</f>
        <v/>
      </c>
      <c r="J1028">
        <f>IF($I1028="","",$G1028&amp;"|"&amp;RIGHT("000000"&amp;$I1028,6))</f>
        <v/>
      </c>
      <c r="K1028">
        <f>IF(OR($E1028="",$E1028="نامعتبر"),"",LEFT($E1028,4)&amp;"/"&amp;MID($E1028,6,2))</f>
        <v/>
      </c>
      <c r="L1028">
        <f>IF(Entry!$K1028="",0,Entry!$K1028)</f>
        <v/>
      </c>
      <c r="M1028">
        <f>IF(Entry!$L1028="",0,Entry!$L1028)</f>
        <v/>
      </c>
    </row>
    <row r="1029">
      <c r="A1029">
        <f>IF(Entry!$C1029="","",Entry!$C1029)</f>
        <v/>
      </c>
      <c r="B1029">
        <f>IF($A1029="","",IF(ISNUMBER($A1029),IF(AND($A1029&gt;=10000101,$A1029&lt;=99991231),INT($A1029/10000),""),IFERROR(VALUE(TRIM(LEFT($A1029,FIND("/",$A1029)-1))),"")))</f>
        <v/>
      </c>
      <c r="C1029">
        <f>IF(OR($A1029="",$B1029=""),"",IF(ISNUMBER($A1029),INT(MOD($A1029,10000)/100),IFERROR(VALUE(TRIM(LEFT(MID($A1029,FIND("/",$A1029)+1,20),FIND("/",MID($A1029,FIND("/",$A1029)+1,20))-1))),"")))</f>
        <v/>
      </c>
      <c r="D1029">
        <f>IF(OR($A1029="",$B1029=""),"",IF(ISNUMBER($A1029),MOD($A1029,100),IFERROR(VALUE(TRIM(MID(MID($A1029,FIND("/",$A1029)+1,20),FIND("/",MID($A1029,FIND("/",$A1029)+1,20))+1,20))),"")))</f>
        <v/>
      </c>
      <c r="E1029">
        <f>IF($A1029="","",IF(OR($B1029="",$C1029="",$D1029="",$B1029&lt;1300,$B1029&gt;1500,$C1029&lt;1,$C1029&gt;12,$D1029&lt;1,$D1029&gt;31),"نامعتبر",RIGHT("0000"&amp;$B1029,4)&amp;"/"&amp;RIGHT("00"&amp;$C1029,2)&amp;"/"&amp;RIGHT("00"&amp;$D1029,2)))</f>
        <v/>
      </c>
      <c r="F1029">
        <f>IF(Entry!$D1029&lt;&gt;"",IF(AND(ISNUMBER(Entry!$D1029),Entry!$D1029&gt;=0,Entry!$D1029&lt;1),RIGHT("00"&amp;HOUR(Entry!$D1029),2)&amp;":"&amp;RIGHT("00"&amp;MINUTE(Entry!$D1029),2),IFERROR(RIGHT("00"&amp;VALUE(TRIM(LEFT(Entry!$D1029,FIND(":",Entry!$D1029)-1))),2)&amp;":"&amp;RIGHT("00"&amp;VALUE(TRIM(MID(Entry!$D1029,FIND(":",Entry!$D1029)+1,2))),2),"نامعتبر")),IF(OR($E1029="",$E1029="نامعتبر"),"","00:00"))</f>
        <v/>
      </c>
      <c r="G1029">
        <f>IF(OR($E1029="",$E1029="نامعتبر"),"",IF(Entry!$E1029="","",LEFT(UPPER(TRIM(Entry!$E1029)),6)))</f>
        <v/>
      </c>
      <c r="H1029">
        <f>IF($G1029="","",RIGHT($E1029,4)&amp;MID($E1029,6,2)&amp;RIGHT($E1029,2)&amp;IF($F1029="","0000",IF($F1029="نامعتبر","9999",LEFT($F1029,2)&amp;RIGHT($F1029,2)))&amp;"|"&amp;RIGHT("00000"&amp;1021,5))</f>
        <v/>
      </c>
      <c r="I1029">
        <f>IF($H1029="","",COUNTIFS(CalcBank,$G1029,CalcKey,"&lt;"&amp;$H1029)+1)</f>
        <v/>
      </c>
      <c r="J1029">
        <f>IF($I1029="","",$G1029&amp;"|"&amp;RIGHT("000000"&amp;$I1029,6))</f>
        <v/>
      </c>
      <c r="K1029">
        <f>IF(OR($E1029="",$E1029="نامعتبر"),"",LEFT($E1029,4)&amp;"/"&amp;MID($E1029,6,2))</f>
        <v/>
      </c>
      <c r="L1029">
        <f>IF(Entry!$K1029="",0,Entry!$K1029)</f>
        <v/>
      </c>
      <c r="M1029">
        <f>IF(Entry!$L1029="",0,Entry!$L1029)</f>
        <v/>
      </c>
    </row>
    <row r="1030">
      <c r="A1030">
        <f>IF(Entry!$C1030="","",Entry!$C1030)</f>
        <v/>
      </c>
      <c r="B1030">
        <f>IF($A1030="","",IF(ISNUMBER($A1030),IF(AND($A1030&gt;=10000101,$A1030&lt;=99991231),INT($A1030/10000),""),IFERROR(VALUE(TRIM(LEFT($A1030,FIND("/",$A1030)-1))),"")))</f>
        <v/>
      </c>
      <c r="C1030">
        <f>IF(OR($A1030="",$B1030=""),"",IF(ISNUMBER($A1030),INT(MOD($A1030,10000)/100),IFERROR(VALUE(TRIM(LEFT(MID($A1030,FIND("/",$A1030)+1,20),FIND("/",MID($A1030,FIND("/",$A1030)+1,20))-1))),"")))</f>
        <v/>
      </c>
      <c r="D1030">
        <f>IF(OR($A1030="",$B1030=""),"",IF(ISNUMBER($A1030),MOD($A1030,100),IFERROR(VALUE(TRIM(MID(MID($A1030,FIND("/",$A1030)+1,20),FIND("/",MID($A1030,FIND("/",$A1030)+1,20))+1,20))),"")))</f>
        <v/>
      </c>
      <c r="E1030">
        <f>IF($A1030="","",IF(OR($B1030="",$C1030="",$D1030="",$B1030&lt;1300,$B1030&gt;1500,$C1030&lt;1,$C1030&gt;12,$D1030&lt;1,$D1030&gt;31),"نامعتبر",RIGHT("0000"&amp;$B1030,4)&amp;"/"&amp;RIGHT("00"&amp;$C1030,2)&amp;"/"&amp;RIGHT("00"&amp;$D1030,2)))</f>
        <v/>
      </c>
      <c r="F1030">
        <f>IF(Entry!$D1030&lt;&gt;"",IF(AND(ISNUMBER(Entry!$D1030),Entry!$D1030&gt;=0,Entry!$D1030&lt;1),RIGHT("00"&amp;HOUR(Entry!$D1030),2)&amp;":"&amp;RIGHT("00"&amp;MINUTE(Entry!$D1030),2),IFERROR(RIGHT("00"&amp;VALUE(TRIM(LEFT(Entry!$D1030,FIND(":",Entry!$D1030)-1))),2)&amp;":"&amp;RIGHT("00"&amp;VALUE(TRIM(MID(Entry!$D1030,FIND(":",Entry!$D1030)+1,2))),2),"نامعتبر")),IF(OR($E1030="",$E1030="نامعتبر"),"","00:00"))</f>
        <v/>
      </c>
      <c r="G1030">
        <f>IF(OR($E1030="",$E1030="نامعتبر"),"",IF(Entry!$E1030="","",LEFT(UPPER(TRIM(Entry!$E1030)),6)))</f>
        <v/>
      </c>
      <c r="H1030">
        <f>IF($G1030="","",RIGHT($E1030,4)&amp;MID($E1030,6,2)&amp;RIGHT($E1030,2)&amp;IF($F1030="","0000",IF($F1030="نامعتبر","9999",LEFT($F1030,2)&amp;RIGHT($F1030,2)))&amp;"|"&amp;RIGHT("00000"&amp;1022,5))</f>
        <v/>
      </c>
      <c r="I1030">
        <f>IF($H1030="","",COUNTIFS(CalcBank,$G1030,CalcKey,"&lt;"&amp;$H1030)+1)</f>
        <v/>
      </c>
      <c r="J1030">
        <f>IF($I1030="","",$G1030&amp;"|"&amp;RIGHT("000000"&amp;$I1030,6))</f>
        <v/>
      </c>
      <c r="K1030">
        <f>IF(OR($E1030="",$E1030="نامعتبر"),"",LEFT($E1030,4)&amp;"/"&amp;MID($E1030,6,2))</f>
        <v/>
      </c>
      <c r="L1030">
        <f>IF(Entry!$K1030="",0,Entry!$K1030)</f>
        <v/>
      </c>
      <c r="M1030">
        <f>IF(Entry!$L1030="",0,Entry!$L1030)</f>
        <v/>
      </c>
    </row>
    <row r="1031">
      <c r="A1031">
        <f>IF(Entry!$C1031="","",Entry!$C1031)</f>
        <v/>
      </c>
      <c r="B1031">
        <f>IF($A1031="","",IF(ISNUMBER($A1031),IF(AND($A1031&gt;=10000101,$A1031&lt;=99991231),INT($A1031/10000),""),IFERROR(VALUE(TRIM(LEFT($A1031,FIND("/",$A1031)-1))),"")))</f>
        <v/>
      </c>
      <c r="C1031">
        <f>IF(OR($A1031="",$B1031=""),"",IF(ISNUMBER($A1031),INT(MOD($A1031,10000)/100),IFERROR(VALUE(TRIM(LEFT(MID($A1031,FIND("/",$A1031)+1,20),FIND("/",MID($A1031,FIND("/",$A1031)+1,20))-1))),"")))</f>
        <v/>
      </c>
      <c r="D1031">
        <f>IF(OR($A1031="",$B1031=""),"",IF(ISNUMBER($A1031),MOD($A1031,100),IFERROR(VALUE(TRIM(MID(MID($A1031,FIND("/",$A1031)+1,20),FIND("/",MID($A1031,FIND("/",$A1031)+1,20))+1,20))),"")))</f>
        <v/>
      </c>
      <c r="E1031">
        <f>IF($A1031="","",IF(OR($B1031="",$C1031="",$D1031="",$B1031&lt;1300,$B1031&gt;1500,$C1031&lt;1,$C1031&gt;12,$D1031&lt;1,$D1031&gt;31),"نامعتبر",RIGHT("0000"&amp;$B1031,4)&amp;"/"&amp;RIGHT("00"&amp;$C1031,2)&amp;"/"&amp;RIGHT("00"&amp;$D1031,2)))</f>
        <v/>
      </c>
      <c r="F1031">
        <f>IF(Entry!$D1031&lt;&gt;"",IF(AND(ISNUMBER(Entry!$D1031),Entry!$D1031&gt;=0,Entry!$D1031&lt;1),RIGHT("00"&amp;HOUR(Entry!$D1031),2)&amp;":"&amp;RIGHT("00"&amp;MINUTE(Entry!$D1031),2),IFERROR(RIGHT("00"&amp;VALUE(TRIM(LEFT(Entry!$D1031,FIND(":",Entry!$D1031)-1))),2)&amp;":"&amp;RIGHT("00"&amp;VALUE(TRIM(MID(Entry!$D1031,FIND(":",Entry!$D1031)+1,2))),2),"نامعتبر")),IF(OR($E1031="",$E1031="نامعتبر"),"","00:00"))</f>
        <v/>
      </c>
      <c r="G1031">
        <f>IF(OR($E1031="",$E1031="نامعتبر"),"",IF(Entry!$E1031="","",LEFT(UPPER(TRIM(Entry!$E1031)),6)))</f>
        <v/>
      </c>
      <c r="H1031">
        <f>IF($G1031="","",RIGHT($E1031,4)&amp;MID($E1031,6,2)&amp;RIGHT($E1031,2)&amp;IF($F1031="","0000",IF($F1031="نامعتبر","9999",LEFT($F1031,2)&amp;RIGHT($F1031,2)))&amp;"|"&amp;RIGHT("00000"&amp;1023,5))</f>
        <v/>
      </c>
      <c r="I1031">
        <f>IF($H1031="","",COUNTIFS(CalcBank,$G1031,CalcKey,"&lt;"&amp;$H1031)+1)</f>
        <v/>
      </c>
      <c r="J1031">
        <f>IF($I1031="","",$G1031&amp;"|"&amp;RIGHT("000000"&amp;$I1031,6))</f>
        <v/>
      </c>
      <c r="K1031">
        <f>IF(OR($E1031="",$E1031="نامعتبر"),"",LEFT($E1031,4)&amp;"/"&amp;MID($E1031,6,2))</f>
        <v/>
      </c>
      <c r="L1031">
        <f>IF(Entry!$K1031="",0,Entry!$K1031)</f>
        <v/>
      </c>
      <c r="M1031">
        <f>IF(Entry!$L1031="",0,Entry!$L1031)</f>
        <v/>
      </c>
    </row>
    <row r="1032">
      <c r="A1032">
        <f>IF(Entry!$C1032="","",Entry!$C1032)</f>
        <v/>
      </c>
      <c r="B1032">
        <f>IF($A1032="","",IF(ISNUMBER($A1032),IF(AND($A1032&gt;=10000101,$A1032&lt;=99991231),INT($A1032/10000),""),IFERROR(VALUE(TRIM(LEFT($A1032,FIND("/",$A1032)-1))),"")))</f>
        <v/>
      </c>
      <c r="C1032">
        <f>IF(OR($A1032="",$B1032=""),"",IF(ISNUMBER($A1032),INT(MOD($A1032,10000)/100),IFERROR(VALUE(TRIM(LEFT(MID($A1032,FIND("/",$A1032)+1,20),FIND("/",MID($A1032,FIND("/",$A1032)+1,20))-1))),"")))</f>
        <v/>
      </c>
      <c r="D1032">
        <f>IF(OR($A1032="",$B1032=""),"",IF(ISNUMBER($A1032),MOD($A1032,100),IFERROR(VALUE(TRIM(MID(MID($A1032,FIND("/",$A1032)+1,20),FIND("/",MID($A1032,FIND("/",$A1032)+1,20))+1,20))),"")))</f>
        <v/>
      </c>
      <c r="E1032">
        <f>IF($A1032="","",IF(OR($B1032="",$C1032="",$D1032="",$B1032&lt;1300,$B1032&gt;1500,$C1032&lt;1,$C1032&gt;12,$D1032&lt;1,$D1032&gt;31),"نامعتبر",RIGHT("0000"&amp;$B1032,4)&amp;"/"&amp;RIGHT("00"&amp;$C1032,2)&amp;"/"&amp;RIGHT("00"&amp;$D1032,2)))</f>
        <v/>
      </c>
      <c r="F1032">
        <f>IF(Entry!$D1032&lt;&gt;"",IF(AND(ISNUMBER(Entry!$D1032),Entry!$D1032&gt;=0,Entry!$D1032&lt;1),RIGHT("00"&amp;HOUR(Entry!$D1032),2)&amp;":"&amp;RIGHT("00"&amp;MINUTE(Entry!$D1032),2),IFERROR(RIGHT("00"&amp;VALUE(TRIM(LEFT(Entry!$D1032,FIND(":",Entry!$D1032)-1))),2)&amp;":"&amp;RIGHT("00"&amp;VALUE(TRIM(MID(Entry!$D1032,FIND(":",Entry!$D1032)+1,2))),2),"نامعتبر")),IF(OR($E1032="",$E1032="نامعتبر"),"","00:00"))</f>
        <v/>
      </c>
      <c r="G1032">
        <f>IF(OR($E1032="",$E1032="نامعتبر"),"",IF(Entry!$E1032="","",LEFT(UPPER(TRIM(Entry!$E1032)),6)))</f>
        <v/>
      </c>
      <c r="H1032">
        <f>IF($G1032="","",RIGHT($E1032,4)&amp;MID($E1032,6,2)&amp;RIGHT($E1032,2)&amp;IF($F1032="","0000",IF($F1032="نامعتبر","9999",LEFT($F1032,2)&amp;RIGHT($F1032,2)))&amp;"|"&amp;RIGHT("00000"&amp;1024,5))</f>
        <v/>
      </c>
      <c r="I1032">
        <f>IF($H1032="","",COUNTIFS(CalcBank,$G1032,CalcKey,"&lt;"&amp;$H1032)+1)</f>
        <v/>
      </c>
      <c r="J1032">
        <f>IF($I1032="","",$G1032&amp;"|"&amp;RIGHT("000000"&amp;$I1032,6))</f>
        <v/>
      </c>
      <c r="K1032">
        <f>IF(OR($E1032="",$E1032="نامعتبر"),"",LEFT($E1032,4)&amp;"/"&amp;MID($E1032,6,2))</f>
        <v/>
      </c>
      <c r="L1032">
        <f>IF(Entry!$K1032="",0,Entry!$K1032)</f>
        <v/>
      </c>
      <c r="M1032">
        <f>IF(Entry!$L1032="",0,Entry!$L1032)</f>
        <v/>
      </c>
    </row>
    <row r="1033">
      <c r="A1033">
        <f>IF(Entry!$C1033="","",Entry!$C1033)</f>
        <v/>
      </c>
      <c r="B1033">
        <f>IF($A1033="","",IF(ISNUMBER($A1033),IF(AND($A1033&gt;=10000101,$A1033&lt;=99991231),INT($A1033/10000),""),IFERROR(VALUE(TRIM(LEFT($A1033,FIND("/",$A1033)-1))),"")))</f>
        <v/>
      </c>
      <c r="C1033">
        <f>IF(OR($A1033="",$B1033=""),"",IF(ISNUMBER($A1033),INT(MOD($A1033,10000)/100),IFERROR(VALUE(TRIM(LEFT(MID($A1033,FIND("/",$A1033)+1,20),FIND("/",MID($A1033,FIND("/",$A1033)+1,20))-1))),"")))</f>
        <v/>
      </c>
      <c r="D1033">
        <f>IF(OR($A1033="",$B1033=""),"",IF(ISNUMBER($A1033),MOD($A1033,100),IFERROR(VALUE(TRIM(MID(MID($A1033,FIND("/",$A1033)+1,20),FIND("/",MID($A1033,FIND("/",$A1033)+1,20))+1,20))),"")))</f>
        <v/>
      </c>
      <c r="E1033">
        <f>IF($A1033="","",IF(OR($B1033="",$C1033="",$D1033="",$B1033&lt;1300,$B1033&gt;1500,$C1033&lt;1,$C1033&gt;12,$D1033&lt;1,$D1033&gt;31),"نامعتبر",RIGHT("0000"&amp;$B1033,4)&amp;"/"&amp;RIGHT("00"&amp;$C1033,2)&amp;"/"&amp;RIGHT("00"&amp;$D1033,2)))</f>
        <v/>
      </c>
      <c r="F1033">
        <f>IF(Entry!$D1033&lt;&gt;"",IF(AND(ISNUMBER(Entry!$D1033),Entry!$D1033&gt;=0,Entry!$D1033&lt;1),RIGHT("00"&amp;HOUR(Entry!$D1033),2)&amp;":"&amp;RIGHT("00"&amp;MINUTE(Entry!$D1033),2),IFERROR(RIGHT("00"&amp;VALUE(TRIM(LEFT(Entry!$D1033,FIND(":",Entry!$D1033)-1))),2)&amp;":"&amp;RIGHT("00"&amp;VALUE(TRIM(MID(Entry!$D1033,FIND(":",Entry!$D1033)+1,2))),2),"نامعتبر")),IF(OR($E1033="",$E1033="نامعتبر"),"","00:00"))</f>
        <v/>
      </c>
      <c r="G1033">
        <f>IF(OR($E1033="",$E1033="نامعتبر"),"",IF(Entry!$E1033="","",LEFT(UPPER(TRIM(Entry!$E1033)),6)))</f>
        <v/>
      </c>
      <c r="H1033">
        <f>IF($G1033="","",RIGHT($E1033,4)&amp;MID($E1033,6,2)&amp;RIGHT($E1033,2)&amp;IF($F1033="","0000",IF($F1033="نامعتبر","9999",LEFT($F1033,2)&amp;RIGHT($F1033,2)))&amp;"|"&amp;RIGHT("00000"&amp;1025,5))</f>
        <v/>
      </c>
      <c r="I1033">
        <f>IF($H1033="","",COUNTIFS(CalcBank,$G1033,CalcKey,"&lt;"&amp;$H1033)+1)</f>
        <v/>
      </c>
      <c r="J1033">
        <f>IF($I1033="","",$G1033&amp;"|"&amp;RIGHT("000000"&amp;$I1033,6))</f>
        <v/>
      </c>
      <c r="K1033">
        <f>IF(OR($E1033="",$E1033="نامعتبر"),"",LEFT($E1033,4)&amp;"/"&amp;MID($E1033,6,2))</f>
        <v/>
      </c>
      <c r="L1033">
        <f>IF(Entry!$K1033="",0,Entry!$K1033)</f>
        <v/>
      </c>
      <c r="M1033">
        <f>IF(Entry!$L1033="",0,Entry!$L1033)</f>
        <v/>
      </c>
    </row>
    <row r="1034">
      <c r="A1034">
        <f>IF(Entry!$C1034="","",Entry!$C1034)</f>
        <v/>
      </c>
      <c r="B1034">
        <f>IF($A1034="","",IF(ISNUMBER($A1034),IF(AND($A1034&gt;=10000101,$A1034&lt;=99991231),INT($A1034/10000),""),IFERROR(VALUE(TRIM(LEFT($A1034,FIND("/",$A1034)-1))),"")))</f>
        <v/>
      </c>
      <c r="C1034">
        <f>IF(OR($A1034="",$B1034=""),"",IF(ISNUMBER($A1034),INT(MOD($A1034,10000)/100),IFERROR(VALUE(TRIM(LEFT(MID($A1034,FIND("/",$A1034)+1,20),FIND("/",MID($A1034,FIND("/",$A1034)+1,20))-1))),"")))</f>
        <v/>
      </c>
      <c r="D1034">
        <f>IF(OR($A1034="",$B1034=""),"",IF(ISNUMBER($A1034),MOD($A1034,100),IFERROR(VALUE(TRIM(MID(MID($A1034,FIND("/",$A1034)+1,20),FIND("/",MID($A1034,FIND("/",$A1034)+1,20))+1,20))),"")))</f>
        <v/>
      </c>
      <c r="E1034">
        <f>IF($A1034="","",IF(OR($B1034="",$C1034="",$D1034="",$B1034&lt;1300,$B1034&gt;1500,$C1034&lt;1,$C1034&gt;12,$D1034&lt;1,$D1034&gt;31),"نامعتبر",RIGHT("0000"&amp;$B1034,4)&amp;"/"&amp;RIGHT("00"&amp;$C1034,2)&amp;"/"&amp;RIGHT("00"&amp;$D1034,2)))</f>
        <v/>
      </c>
      <c r="F1034">
        <f>IF(Entry!$D1034&lt;&gt;"",IF(AND(ISNUMBER(Entry!$D1034),Entry!$D1034&gt;=0,Entry!$D1034&lt;1),RIGHT("00"&amp;HOUR(Entry!$D1034),2)&amp;":"&amp;RIGHT("00"&amp;MINUTE(Entry!$D1034),2),IFERROR(RIGHT("00"&amp;VALUE(TRIM(LEFT(Entry!$D1034,FIND(":",Entry!$D1034)-1))),2)&amp;":"&amp;RIGHT("00"&amp;VALUE(TRIM(MID(Entry!$D1034,FIND(":",Entry!$D1034)+1,2))),2),"نامعتبر")),IF(OR($E1034="",$E1034="نامعتبر"),"","00:00"))</f>
        <v/>
      </c>
      <c r="G1034">
        <f>IF(OR($E1034="",$E1034="نامعتبر"),"",IF(Entry!$E1034="","",LEFT(UPPER(TRIM(Entry!$E1034)),6)))</f>
        <v/>
      </c>
      <c r="H1034">
        <f>IF($G1034="","",RIGHT($E1034,4)&amp;MID($E1034,6,2)&amp;RIGHT($E1034,2)&amp;IF($F1034="","0000",IF($F1034="نامعتبر","9999",LEFT($F1034,2)&amp;RIGHT($F1034,2)))&amp;"|"&amp;RIGHT("00000"&amp;1026,5))</f>
        <v/>
      </c>
      <c r="I1034">
        <f>IF($H1034="","",COUNTIFS(CalcBank,$G1034,CalcKey,"&lt;"&amp;$H1034)+1)</f>
        <v/>
      </c>
      <c r="J1034">
        <f>IF($I1034="","",$G1034&amp;"|"&amp;RIGHT("000000"&amp;$I1034,6))</f>
        <v/>
      </c>
      <c r="K1034">
        <f>IF(OR($E1034="",$E1034="نامعتبر"),"",LEFT($E1034,4)&amp;"/"&amp;MID($E1034,6,2))</f>
        <v/>
      </c>
      <c r="L1034">
        <f>IF(Entry!$K1034="",0,Entry!$K1034)</f>
        <v/>
      </c>
      <c r="M1034">
        <f>IF(Entry!$L1034="",0,Entry!$L1034)</f>
        <v/>
      </c>
    </row>
    <row r="1035">
      <c r="A1035">
        <f>IF(Entry!$C1035="","",Entry!$C1035)</f>
        <v/>
      </c>
      <c r="B1035">
        <f>IF($A1035="","",IF(ISNUMBER($A1035),IF(AND($A1035&gt;=10000101,$A1035&lt;=99991231),INT($A1035/10000),""),IFERROR(VALUE(TRIM(LEFT($A1035,FIND("/",$A1035)-1))),"")))</f>
        <v/>
      </c>
      <c r="C1035">
        <f>IF(OR($A1035="",$B1035=""),"",IF(ISNUMBER($A1035),INT(MOD($A1035,10000)/100),IFERROR(VALUE(TRIM(LEFT(MID($A1035,FIND("/",$A1035)+1,20),FIND("/",MID($A1035,FIND("/",$A1035)+1,20))-1))),"")))</f>
        <v/>
      </c>
      <c r="D1035">
        <f>IF(OR($A1035="",$B1035=""),"",IF(ISNUMBER($A1035),MOD($A1035,100),IFERROR(VALUE(TRIM(MID(MID($A1035,FIND("/",$A1035)+1,20),FIND("/",MID($A1035,FIND("/",$A1035)+1,20))+1,20))),"")))</f>
        <v/>
      </c>
      <c r="E1035">
        <f>IF($A1035="","",IF(OR($B1035="",$C1035="",$D1035="",$B1035&lt;1300,$B1035&gt;1500,$C1035&lt;1,$C1035&gt;12,$D1035&lt;1,$D1035&gt;31),"نامعتبر",RIGHT("0000"&amp;$B1035,4)&amp;"/"&amp;RIGHT("00"&amp;$C1035,2)&amp;"/"&amp;RIGHT("00"&amp;$D1035,2)))</f>
        <v/>
      </c>
      <c r="F1035">
        <f>IF(Entry!$D1035&lt;&gt;"",IF(AND(ISNUMBER(Entry!$D1035),Entry!$D1035&gt;=0,Entry!$D1035&lt;1),RIGHT("00"&amp;HOUR(Entry!$D1035),2)&amp;":"&amp;RIGHT("00"&amp;MINUTE(Entry!$D1035),2),IFERROR(RIGHT("00"&amp;VALUE(TRIM(LEFT(Entry!$D1035,FIND(":",Entry!$D1035)-1))),2)&amp;":"&amp;RIGHT("00"&amp;VALUE(TRIM(MID(Entry!$D1035,FIND(":",Entry!$D1035)+1,2))),2),"نامعتبر")),IF(OR($E1035="",$E1035="نامعتبر"),"","00:00"))</f>
        <v/>
      </c>
      <c r="G1035">
        <f>IF(OR($E1035="",$E1035="نامعتبر"),"",IF(Entry!$E1035="","",LEFT(UPPER(TRIM(Entry!$E1035)),6)))</f>
        <v/>
      </c>
      <c r="H1035">
        <f>IF($G1035="","",RIGHT($E1035,4)&amp;MID($E1035,6,2)&amp;RIGHT($E1035,2)&amp;IF($F1035="","0000",IF($F1035="نامعتبر","9999",LEFT($F1035,2)&amp;RIGHT($F1035,2)))&amp;"|"&amp;RIGHT("00000"&amp;1027,5))</f>
        <v/>
      </c>
      <c r="I1035">
        <f>IF($H1035="","",COUNTIFS(CalcBank,$G1035,CalcKey,"&lt;"&amp;$H1035)+1)</f>
        <v/>
      </c>
      <c r="J1035">
        <f>IF($I1035="","",$G1035&amp;"|"&amp;RIGHT("000000"&amp;$I1035,6))</f>
        <v/>
      </c>
      <c r="K1035">
        <f>IF(OR($E1035="",$E1035="نامعتبر"),"",LEFT($E1035,4)&amp;"/"&amp;MID($E1035,6,2))</f>
        <v/>
      </c>
      <c r="L1035">
        <f>IF(Entry!$K1035="",0,Entry!$K1035)</f>
        <v/>
      </c>
      <c r="M1035">
        <f>IF(Entry!$L1035="",0,Entry!$L1035)</f>
        <v/>
      </c>
    </row>
    <row r="1036">
      <c r="A1036">
        <f>IF(Entry!$C1036="","",Entry!$C1036)</f>
        <v/>
      </c>
      <c r="B1036">
        <f>IF($A1036="","",IF(ISNUMBER($A1036),IF(AND($A1036&gt;=10000101,$A1036&lt;=99991231),INT($A1036/10000),""),IFERROR(VALUE(TRIM(LEFT($A1036,FIND("/",$A1036)-1))),"")))</f>
        <v/>
      </c>
      <c r="C1036">
        <f>IF(OR($A1036="",$B1036=""),"",IF(ISNUMBER($A1036),INT(MOD($A1036,10000)/100),IFERROR(VALUE(TRIM(LEFT(MID($A1036,FIND("/",$A1036)+1,20),FIND("/",MID($A1036,FIND("/",$A1036)+1,20))-1))),"")))</f>
        <v/>
      </c>
      <c r="D1036">
        <f>IF(OR($A1036="",$B1036=""),"",IF(ISNUMBER($A1036),MOD($A1036,100),IFERROR(VALUE(TRIM(MID(MID($A1036,FIND("/",$A1036)+1,20),FIND("/",MID($A1036,FIND("/",$A1036)+1,20))+1,20))),"")))</f>
        <v/>
      </c>
      <c r="E1036">
        <f>IF($A1036="","",IF(OR($B1036="",$C1036="",$D1036="",$B1036&lt;1300,$B1036&gt;1500,$C1036&lt;1,$C1036&gt;12,$D1036&lt;1,$D1036&gt;31),"نامعتبر",RIGHT("0000"&amp;$B1036,4)&amp;"/"&amp;RIGHT("00"&amp;$C1036,2)&amp;"/"&amp;RIGHT("00"&amp;$D1036,2)))</f>
        <v/>
      </c>
      <c r="F1036">
        <f>IF(Entry!$D1036&lt;&gt;"",IF(AND(ISNUMBER(Entry!$D1036),Entry!$D1036&gt;=0,Entry!$D1036&lt;1),RIGHT("00"&amp;HOUR(Entry!$D1036),2)&amp;":"&amp;RIGHT("00"&amp;MINUTE(Entry!$D1036),2),IFERROR(RIGHT("00"&amp;VALUE(TRIM(LEFT(Entry!$D1036,FIND(":",Entry!$D1036)-1))),2)&amp;":"&amp;RIGHT("00"&amp;VALUE(TRIM(MID(Entry!$D1036,FIND(":",Entry!$D1036)+1,2))),2),"نامعتبر")),IF(OR($E1036="",$E1036="نامعتبر"),"","00:00"))</f>
        <v/>
      </c>
      <c r="G1036">
        <f>IF(OR($E1036="",$E1036="نامعتبر"),"",IF(Entry!$E1036="","",LEFT(UPPER(TRIM(Entry!$E1036)),6)))</f>
        <v/>
      </c>
      <c r="H1036">
        <f>IF($G1036="","",RIGHT($E1036,4)&amp;MID($E1036,6,2)&amp;RIGHT($E1036,2)&amp;IF($F1036="","0000",IF($F1036="نامعتبر","9999",LEFT($F1036,2)&amp;RIGHT($F1036,2)))&amp;"|"&amp;RIGHT("00000"&amp;1028,5))</f>
        <v/>
      </c>
      <c r="I1036">
        <f>IF($H1036="","",COUNTIFS(CalcBank,$G1036,CalcKey,"&lt;"&amp;$H1036)+1)</f>
        <v/>
      </c>
      <c r="J1036">
        <f>IF($I1036="","",$G1036&amp;"|"&amp;RIGHT("000000"&amp;$I1036,6))</f>
        <v/>
      </c>
      <c r="K1036">
        <f>IF(OR($E1036="",$E1036="نامعتبر"),"",LEFT($E1036,4)&amp;"/"&amp;MID($E1036,6,2))</f>
        <v/>
      </c>
      <c r="L1036">
        <f>IF(Entry!$K1036="",0,Entry!$K1036)</f>
        <v/>
      </c>
      <c r="M1036">
        <f>IF(Entry!$L1036="",0,Entry!$L1036)</f>
        <v/>
      </c>
    </row>
    <row r="1037">
      <c r="A1037">
        <f>IF(Entry!$C1037="","",Entry!$C1037)</f>
        <v/>
      </c>
      <c r="B1037">
        <f>IF($A1037="","",IF(ISNUMBER($A1037),IF(AND($A1037&gt;=10000101,$A1037&lt;=99991231),INT($A1037/10000),""),IFERROR(VALUE(TRIM(LEFT($A1037,FIND("/",$A1037)-1))),"")))</f>
        <v/>
      </c>
      <c r="C1037">
        <f>IF(OR($A1037="",$B1037=""),"",IF(ISNUMBER($A1037),INT(MOD($A1037,10000)/100),IFERROR(VALUE(TRIM(LEFT(MID($A1037,FIND("/",$A1037)+1,20),FIND("/",MID($A1037,FIND("/",$A1037)+1,20))-1))),"")))</f>
        <v/>
      </c>
      <c r="D1037">
        <f>IF(OR($A1037="",$B1037=""),"",IF(ISNUMBER($A1037),MOD($A1037,100),IFERROR(VALUE(TRIM(MID(MID($A1037,FIND("/",$A1037)+1,20),FIND("/",MID($A1037,FIND("/",$A1037)+1,20))+1,20))),"")))</f>
        <v/>
      </c>
      <c r="E1037">
        <f>IF($A1037="","",IF(OR($B1037="",$C1037="",$D1037="",$B1037&lt;1300,$B1037&gt;1500,$C1037&lt;1,$C1037&gt;12,$D1037&lt;1,$D1037&gt;31),"نامعتبر",RIGHT("0000"&amp;$B1037,4)&amp;"/"&amp;RIGHT("00"&amp;$C1037,2)&amp;"/"&amp;RIGHT("00"&amp;$D1037,2)))</f>
        <v/>
      </c>
      <c r="F1037">
        <f>IF(Entry!$D1037&lt;&gt;"",IF(AND(ISNUMBER(Entry!$D1037),Entry!$D1037&gt;=0,Entry!$D1037&lt;1),RIGHT("00"&amp;HOUR(Entry!$D1037),2)&amp;":"&amp;RIGHT("00"&amp;MINUTE(Entry!$D1037),2),IFERROR(RIGHT("00"&amp;VALUE(TRIM(LEFT(Entry!$D1037,FIND(":",Entry!$D1037)-1))),2)&amp;":"&amp;RIGHT("00"&amp;VALUE(TRIM(MID(Entry!$D1037,FIND(":",Entry!$D1037)+1,2))),2),"نامعتبر")),IF(OR($E1037="",$E1037="نامعتبر"),"","00:00"))</f>
        <v/>
      </c>
      <c r="G1037">
        <f>IF(OR($E1037="",$E1037="نامعتبر"),"",IF(Entry!$E1037="","",LEFT(UPPER(TRIM(Entry!$E1037)),6)))</f>
        <v/>
      </c>
      <c r="H1037">
        <f>IF($G1037="","",RIGHT($E1037,4)&amp;MID($E1037,6,2)&amp;RIGHT($E1037,2)&amp;IF($F1037="","0000",IF($F1037="نامعتبر","9999",LEFT($F1037,2)&amp;RIGHT($F1037,2)))&amp;"|"&amp;RIGHT("00000"&amp;1029,5))</f>
        <v/>
      </c>
      <c r="I1037">
        <f>IF($H1037="","",COUNTIFS(CalcBank,$G1037,CalcKey,"&lt;"&amp;$H1037)+1)</f>
        <v/>
      </c>
      <c r="J1037">
        <f>IF($I1037="","",$G1037&amp;"|"&amp;RIGHT("000000"&amp;$I1037,6))</f>
        <v/>
      </c>
      <c r="K1037">
        <f>IF(OR($E1037="",$E1037="نامعتبر"),"",LEFT($E1037,4)&amp;"/"&amp;MID($E1037,6,2))</f>
        <v/>
      </c>
      <c r="L1037">
        <f>IF(Entry!$K1037="",0,Entry!$K1037)</f>
        <v/>
      </c>
      <c r="M1037">
        <f>IF(Entry!$L1037="",0,Entry!$L1037)</f>
        <v/>
      </c>
    </row>
    <row r="1038">
      <c r="A1038">
        <f>IF(Entry!$C1038="","",Entry!$C1038)</f>
        <v/>
      </c>
      <c r="B1038">
        <f>IF($A1038="","",IF(ISNUMBER($A1038),IF(AND($A1038&gt;=10000101,$A1038&lt;=99991231),INT($A1038/10000),""),IFERROR(VALUE(TRIM(LEFT($A1038,FIND("/",$A1038)-1))),"")))</f>
        <v/>
      </c>
      <c r="C1038">
        <f>IF(OR($A1038="",$B1038=""),"",IF(ISNUMBER($A1038),INT(MOD($A1038,10000)/100),IFERROR(VALUE(TRIM(LEFT(MID($A1038,FIND("/",$A1038)+1,20),FIND("/",MID($A1038,FIND("/",$A1038)+1,20))-1))),"")))</f>
        <v/>
      </c>
      <c r="D1038">
        <f>IF(OR($A1038="",$B1038=""),"",IF(ISNUMBER($A1038),MOD($A1038,100),IFERROR(VALUE(TRIM(MID(MID($A1038,FIND("/",$A1038)+1,20),FIND("/",MID($A1038,FIND("/",$A1038)+1,20))+1,20))),"")))</f>
        <v/>
      </c>
      <c r="E1038">
        <f>IF($A1038="","",IF(OR($B1038="",$C1038="",$D1038="",$B1038&lt;1300,$B1038&gt;1500,$C1038&lt;1,$C1038&gt;12,$D1038&lt;1,$D1038&gt;31),"نامعتبر",RIGHT("0000"&amp;$B1038,4)&amp;"/"&amp;RIGHT("00"&amp;$C1038,2)&amp;"/"&amp;RIGHT("00"&amp;$D1038,2)))</f>
        <v/>
      </c>
      <c r="F1038">
        <f>IF(Entry!$D1038&lt;&gt;"",IF(AND(ISNUMBER(Entry!$D1038),Entry!$D1038&gt;=0,Entry!$D1038&lt;1),RIGHT("00"&amp;HOUR(Entry!$D1038),2)&amp;":"&amp;RIGHT("00"&amp;MINUTE(Entry!$D1038),2),IFERROR(RIGHT("00"&amp;VALUE(TRIM(LEFT(Entry!$D1038,FIND(":",Entry!$D1038)-1))),2)&amp;":"&amp;RIGHT("00"&amp;VALUE(TRIM(MID(Entry!$D1038,FIND(":",Entry!$D1038)+1,2))),2),"نامعتبر")),IF(OR($E1038="",$E1038="نامعتبر"),"","00:00"))</f>
        <v/>
      </c>
      <c r="G1038">
        <f>IF(OR($E1038="",$E1038="نامعتبر"),"",IF(Entry!$E1038="","",LEFT(UPPER(TRIM(Entry!$E1038)),6)))</f>
        <v/>
      </c>
      <c r="H1038">
        <f>IF($G1038="","",RIGHT($E1038,4)&amp;MID($E1038,6,2)&amp;RIGHT($E1038,2)&amp;IF($F1038="","0000",IF($F1038="نامعتبر","9999",LEFT($F1038,2)&amp;RIGHT($F1038,2)))&amp;"|"&amp;RIGHT("00000"&amp;1030,5))</f>
        <v/>
      </c>
      <c r="I1038">
        <f>IF($H1038="","",COUNTIFS(CalcBank,$G1038,CalcKey,"&lt;"&amp;$H1038)+1)</f>
        <v/>
      </c>
      <c r="J1038">
        <f>IF($I1038="","",$G1038&amp;"|"&amp;RIGHT("000000"&amp;$I1038,6))</f>
        <v/>
      </c>
      <c r="K1038">
        <f>IF(OR($E1038="",$E1038="نامعتبر"),"",LEFT($E1038,4)&amp;"/"&amp;MID($E1038,6,2))</f>
        <v/>
      </c>
      <c r="L1038">
        <f>IF(Entry!$K1038="",0,Entry!$K1038)</f>
        <v/>
      </c>
      <c r="M1038">
        <f>IF(Entry!$L1038="",0,Entry!$L1038)</f>
        <v/>
      </c>
    </row>
    <row r="1039">
      <c r="A1039">
        <f>IF(Entry!$C1039="","",Entry!$C1039)</f>
        <v/>
      </c>
      <c r="B1039">
        <f>IF($A1039="","",IF(ISNUMBER($A1039),IF(AND($A1039&gt;=10000101,$A1039&lt;=99991231),INT($A1039/10000),""),IFERROR(VALUE(TRIM(LEFT($A1039,FIND("/",$A1039)-1))),"")))</f>
        <v/>
      </c>
      <c r="C1039">
        <f>IF(OR($A1039="",$B1039=""),"",IF(ISNUMBER($A1039),INT(MOD($A1039,10000)/100),IFERROR(VALUE(TRIM(LEFT(MID($A1039,FIND("/",$A1039)+1,20),FIND("/",MID($A1039,FIND("/",$A1039)+1,20))-1))),"")))</f>
        <v/>
      </c>
      <c r="D1039">
        <f>IF(OR($A1039="",$B1039=""),"",IF(ISNUMBER($A1039),MOD($A1039,100),IFERROR(VALUE(TRIM(MID(MID($A1039,FIND("/",$A1039)+1,20),FIND("/",MID($A1039,FIND("/",$A1039)+1,20))+1,20))),"")))</f>
        <v/>
      </c>
      <c r="E1039">
        <f>IF($A1039="","",IF(OR($B1039="",$C1039="",$D1039="",$B1039&lt;1300,$B1039&gt;1500,$C1039&lt;1,$C1039&gt;12,$D1039&lt;1,$D1039&gt;31),"نامعتبر",RIGHT("0000"&amp;$B1039,4)&amp;"/"&amp;RIGHT("00"&amp;$C1039,2)&amp;"/"&amp;RIGHT("00"&amp;$D1039,2)))</f>
        <v/>
      </c>
      <c r="F1039">
        <f>IF(Entry!$D1039&lt;&gt;"",IF(AND(ISNUMBER(Entry!$D1039),Entry!$D1039&gt;=0,Entry!$D1039&lt;1),RIGHT("00"&amp;HOUR(Entry!$D1039),2)&amp;":"&amp;RIGHT("00"&amp;MINUTE(Entry!$D1039),2),IFERROR(RIGHT("00"&amp;VALUE(TRIM(LEFT(Entry!$D1039,FIND(":",Entry!$D1039)-1))),2)&amp;":"&amp;RIGHT("00"&amp;VALUE(TRIM(MID(Entry!$D1039,FIND(":",Entry!$D1039)+1,2))),2),"نامعتبر")),IF(OR($E1039="",$E1039="نامعتبر"),"","00:00"))</f>
        <v/>
      </c>
      <c r="G1039">
        <f>IF(OR($E1039="",$E1039="نامعتبر"),"",IF(Entry!$E1039="","",LEFT(UPPER(TRIM(Entry!$E1039)),6)))</f>
        <v/>
      </c>
      <c r="H1039">
        <f>IF($G1039="","",RIGHT($E1039,4)&amp;MID($E1039,6,2)&amp;RIGHT($E1039,2)&amp;IF($F1039="","0000",IF($F1039="نامعتبر","9999",LEFT($F1039,2)&amp;RIGHT($F1039,2)))&amp;"|"&amp;RIGHT("00000"&amp;1031,5))</f>
        <v/>
      </c>
      <c r="I1039">
        <f>IF($H1039="","",COUNTIFS(CalcBank,$G1039,CalcKey,"&lt;"&amp;$H1039)+1)</f>
        <v/>
      </c>
      <c r="J1039">
        <f>IF($I1039="","",$G1039&amp;"|"&amp;RIGHT("000000"&amp;$I1039,6))</f>
        <v/>
      </c>
      <c r="K1039">
        <f>IF(OR($E1039="",$E1039="نامعتبر"),"",LEFT($E1039,4)&amp;"/"&amp;MID($E1039,6,2))</f>
        <v/>
      </c>
      <c r="L1039">
        <f>IF(Entry!$K1039="",0,Entry!$K1039)</f>
        <v/>
      </c>
      <c r="M1039">
        <f>IF(Entry!$L1039="",0,Entry!$L1039)</f>
        <v/>
      </c>
    </row>
    <row r="1040">
      <c r="A1040">
        <f>IF(Entry!$C1040="","",Entry!$C1040)</f>
        <v/>
      </c>
      <c r="B1040">
        <f>IF($A1040="","",IF(ISNUMBER($A1040),IF(AND($A1040&gt;=10000101,$A1040&lt;=99991231),INT($A1040/10000),""),IFERROR(VALUE(TRIM(LEFT($A1040,FIND("/",$A1040)-1))),"")))</f>
        <v/>
      </c>
      <c r="C1040">
        <f>IF(OR($A1040="",$B1040=""),"",IF(ISNUMBER($A1040),INT(MOD($A1040,10000)/100),IFERROR(VALUE(TRIM(LEFT(MID($A1040,FIND("/",$A1040)+1,20),FIND("/",MID($A1040,FIND("/",$A1040)+1,20))-1))),"")))</f>
        <v/>
      </c>
      <c r="D1040">
        <f>IF(OR($A1040="",$B1040=""),"",IF(ISNUMBER($A1040),MOD($A1040,100),IFERROR(VALUE(TRIM(MID(MID($A1040,FIND("/",$A1040)+1,20),FIND("/",MID($A1040,FIND("/",$A1040)+1,20))+1,20))),"")))</f>
        <v/>
      </c>
      <c r="E1040">
        <f>IF($A1040="","",IF(OR($B1040="",$C1040="",$D1040="",$B1040&lt;1300,$B1040&gt;1500,$C1040&lt;1,$C1040&gt;12,$D1040&lt;1,$D1040&gt;31),"نامعتبر",RIGHT("0000"&amp;$B1040,4)&amp;"/"&amp;RIGHT("00"&amp;$C1040,2)&amp;"/"&amp;RIGHT("00"&amp;$D1040,2)))</f>
        <v/>
      </c>
      <c r="F1040">
        <f>IF(Entry!$D1040&lt;&gt;"",IF(AND(ISNUMBER(Entry!$D1040),Entry!$D1040&gt;=0,Entry!$D1040&lt;1),RIGHT("00"&amp;HOUR(Entry!$D1040),2)&amp;":"&amp;RIGHT("00"&amp;MINUTE(Entry!$D1040),2),IFERROR(RIGHT("00"&amp;VALUE(TRIM(LEFT(Entry!$D1040,FIND(":",Entry!$D1040)-1))),2)&amp;":"&amp;RIGHT("00"&amp;VALUE(TRIM(MID(Entry!$D1040,FIND(":",Entry!$D1040)+1,2))),2),"نامعتبر")),IF(OR($E1040="",$E1040="نامعتبر"),"","00:00"))</f>
        <v/>
      </c>
      <c r="G1040">
        <f>IF(OR($E1040="",$E1040="نامعتبر"),"",IF(Entry!$E1040="","",LEFT(UPPER(TRIM(Entry!$E1040)),6)))</f>
        <v/>
      </c>
      <c r="H1040">
        <f>IF($G1040="","",RIGHT($E1040,4)&amp;MID($E1040,6,2)&amp;RIGHT($E1040,2)&amp;IF($F1040="","0000",IF($F1040="نامعتبر","9999",LEFT($F1040,2)&amp;RIGHT($F1040,2)))&amp;"|"&amp;RIGHT("00000"&amp;1032,5))</f>
        <v/>
      </c>
      <c r="I1040">
        <f>IF($H1040="","",COUNTIFS(CalcBank,$G1040,CalcKey,"&lt;"&amp;$H1040)+1)</f>
        <v/>
      </c>
      <c r="J1040">
        <f>IF($I1040="","",$G1040&amp;"|"&amp;RIGHT("000000"&amp;$I1040,6))</f>
        <v/>
      </c>
      <c r="K1040">
        <f>IF(OR($E1040="",$E1040="نامعتبر"),"",LEFT($E1040,4)&amp;"/"&amp;MID($E1040,6,2))</f>
        <v/>
      </c>
      <c r="L1040">
        <f>IF(Entry!$K1040="",0,Entry!$K1040)</f>
        <v/>
      </c>
      <c r="M1040">
        <f>IF(Entry!$L1040="",0,Entry!$L1040)</f>
        <v/>
      </c>
    </row>
    <row r="1041">
      <c r="A1041">
        <f>IF(Entry!$C1041="","",Entry!$C1041)</f>
        <v/>
      </c>
      <c r="B1041">
        <f>IF($A1041="","",IF(ISNUMBER($A1041),IF(AND($A1041&gt;=10000101,$A1041&lt;=99991231),INT($A1041/10000),""),IFERROR(VALUE(TRIM(LEFT($A1041,FIND("/",$A1041)-1))),"")))</f>
        <v/>
      </c>
      <c r="C1041">
        <f>IF(OR($A1041="",$B1041=""),"",IF(ISNUMBER($A1041),INT(MOD($A1041,10000)/100),IFERROR(VALUE(TRIM(LEFT(MID($A1041,FIND("/",$A1041)+1,20),FIND("/",MID($A1041,FIND("/",$A1041)+1,20))-1))),"")))</f>
        <v/>
      </c>
      <c r="D1041">
        <f>IF(OR($A1041="",$B1041=""),"",IF(ISNUMBER($A1041),MOD($A1041,100),IFERROR(VALUE(TRIM(MID(MID($A1041,FIND("/",$A1041)+1,20),FIND("/",MID($A1041,FIND("/",$A1041)+1,20))+1,20))),"")))</f>
        <v/>
      </c>
      <c r="E1041">
        <f>IF($A1041="","",IF(OR($B1041="",$C1041="",$D1041="",$B1041&lt;1300,$B1041&gt;1500,$C1041&lt;1,$C1041&gt;12,$D1041&lt;1,$D1041&gt;31),"نامعتبر",RIGHT("0000"&amp;$B1041,4)&amp;"/"&amp;RIGHT("00"&amp;$C1041,2)&amp;"/"&amp;RIGHT("00"&amp;$D1041,2)))</f>
        <v/>
      </c>
      <c r="F1041">
        <f>IF(Entry!$D1041&lt;&gt;"",IF(AND(ISNUMBER(Entry!$D1041),Entry!$D1041&gt;=0,Entry!$D1041&lt;1),RIGHT("00"&amp;HOUR(Entry!$D1041),2)&amp;":"&amp;RIGHT("00"&amp;MINUTE(Entry!$D1041),2),IFERROR(RIGHT("00"&amp;VALUE(TRIM(LEFT(Entry!$D1041,FIND(":",Entry!$D1041)-1))),2)&amp;":"&amp;RIGHT("00"&amp;VALUE(TRIM(MID(Entry!$D1041,FIND(":",Entry!$D1041)+1,2))),2),"نامعتبر")),IF(OR($E1041="",$E1041="نامعتبر"),"","00:00"))</f>
        <v/>
      </c>
      <c r="G1041">
        <f>IF(OR($E1041="",$E1041="نامعتبر"),"",IF(Entry!$E1041="","",LEFT(UPPER(TRIM(Entry!$E1041)),6)))</f>
        <v/>
      </c>
      <c r="H1041">
        <f>IF($G1041="","",RIGHT($E1041,4)&amp;MID($E1041,6,2)&amp;RIGHT($E1041,2)&amp;IF($F1041="","0000",IF($F1041="نامعتبر","9999",LEFT($F1041,2)&amp;RIGHT($F1041,2)))&amp;"|"&amp;RIGHT("00000"&amp;1033,5))</f>
        <v/>
      </c>
      <c r="I1041">
        <f>IF($H1041="","",COUNTIFS(CalcBank,$G1041,CalcKey,"&lt;"&amp;$H1041)+1)</f>
        <v/>
      </c>
      <c r="J1041">
        <f>IF($I1041="","",$G1041&amp;"|"&amp;RIGHT("000000"&amp;$I1041,6))</f>
        <v/>
      </c>
      <c r="K1041">
        <f>IF(OR($E1041="",$E1041="نامعتبر"),"",LEFT($E1041,4)&amp;"/"&amp;MID($E1041,6,2))</f>
        <v/>
      </c>
      <c r="L1041">
        <f>IF(Entry!$K1041="",0,Entry!$K1041)</f>
        <v/>
      </c>
      <c r="M1041">
        <f>IF(Entry!$L1041="",0,Entry!$L1041)</f>
        <v/>
      </c>
    </row>
    <row r="1042">
      <c r="A1042">
        <f>IF(Entry!$C1042="","",Entry!$C1042)</f>
        <v/>
      </c>
      <c r="B1042">
        <f>IF($A1042="","",IF(ISNUMBER($A1042),IF(AND($A1042&gt;=10000101,$A1042&lt;=99991231),INT($A1042/10000),""),IFERROR(VALUE(TRIM(LEFT($A1042,FIND("/",$A1042)-1))),"")))</f>
        <v/>
      </c>
      <c r="C1042">
        <f>IF(OR($A1042="",$B1042=""),"",IF(ISNUMBER($A1042),INT(MOD($A1042,10000)/100),IFERROR(VALUE(TRIM(LEFT(MID($A1042,FIND("/",$A1042)+1,20),FIND("/",MID($A1042,FIND("/",$A1042)+1,20))-1))),"")))</f>
        <v/>
      </c>
      <c r="D1042">
        <f>IF(OR($A1042="",$B1042=""),"",IF(ISNUMBER($A1042),MOD($A1042,100),IFERROR(VALUE(TRIM(MID(MID($A1042,FIND("/",$A1042)+1,20),FIND("/",MID($A1042,FIND("/",$A1042)+1,20))+1,20))),"")))</f>
        <v/>
      </c>
      <c r="E1042">
        <f>IF($A1042="","",IF(OR($B1042="",$C1042="",$D1042="",$B1042&lt;1300,$B1042&gt;1500,$C1042&lt;1,$C1042&gt;12,$D1042&lt;1,$D1042&gt;31),"نامعتبر",RIGHT("0000"&amp;$B1042,4)&amp;"/"&amp;RIGHT("00"&amp;$C1042,2)&amp;"/"&amp;RIGHT("00"&amp;$D1042,2)))</f>
        <v/>
      </c>
      <c r="F1042">
        <f>IF(Entry!$D1042&lt;&gt;"",IF(AND(ISNUMBER(Entry!$D1042),Entry!$D1042&gt;=0,Entry!$D1042&lt;1),RIGHT("00"&amp;HOUR(Entry!$D1042),2)&amp;":"&amp;RIGHT("00"&amp;MINUTE(Entry!$D1042),2),IFERROR(RIGHT("00"&amp;VALUE(TRIM(LEFT(Entry!$D1042,FIND(":",Entry!$D1042)-1))),2)&amp;":"&amp;RIGHT("00"&amp;VALUE(TRIM(MID(Entry!$D1042,FIND(":",Entry!$D1042)+1,2))),2),"نامعتبر")),IF(OR($E1042="",$E1042="نامعتبر"),"","00:00"))</f>
        <v/>
      </c>
      <c r="G1042">
        <f>IF(OR($E1042="",$E1042="نامعتبر"),"",IF(Entry!$E1042="","",LEFT(UPPER(TRIM(Entry!$E1042)),6)))</f>
        <v/>
      </c>
      <c r="H1042">
        <f>IF($G1042="","",RIGHT($E1042,4)&amp;MID($E1042,6,2)&amp;RIGHT($E1042,2)&amp;IF($F1042="","0000",IF($F1042="نامعتبر","9999",LEFT($F1042,2)&amp;RIGHT($F1042,2)))&amp;"|"&amp;RIGHT("00000"&amp;1034,5))</f>
        <v/>
      </c>
      <c r="I1042">
        <f>IF($H1042="","",COUNTIFS(CalcBank,$G1042,CalcKey,"&lt;"&amp;$H1042)+1)</f>
        <v/>
      </c>
      <c r="J1042">
        <f>IF($I1042="","",$G1042&amp;"|"&amp;RIGHT("000000"&amp;$I1042,6))</f>
        <v/>
      </c>
      <c r="K1042">
        <f>IF(OR($E1042="",$E1042="نامعتبر"),"",LEFT($E1042,4)&amp;"/"&amp;MID($E1042,6,2))</f>
        <v/>
      </c>
      <c r="L1042">
        <f>IF(Entry!$K1042="",0,Entry!$K1042)</f>
        <v/>
      </c>
      <c r="M1042">
        <f>IF(Entry!$L1042="",0,Entry!$L1042)</f>
        <v/>
      </c>
    </row>
    <row r="1043">
      <c r="A1043">
        <f>IF(Entry!$C1043="","",Entry!$C1043)</f>
        <v/>
      </c>
      <c r="B1043">
        <f>IF($A1043="","",IF(ISNUMBER($A1043),IF(AND($A1043&gt;=10000101,$A1043&lt;=99991231),INT($A1043/10000),""),IFERROR(VALUE(TRIM(LEFT($A1043,FIND("/",$A1043)-1))),"")))</f>
        <v/>
      </c>
      <c r="C1043">
        <f>IF(OR($A1043="",$B1043=""),"",IF(ISNUMBER($A1043),INT(MOD($A1043,10000)/100),IFERROR(VALUE(TRIM(LEFT(MID($A1043,FIND("/",$A1043)+1,20),FIND("/",MID($A1043,FIND("/",$A1043)+1,20))-1))),"")))</f>
        <v/>
      </c>
      <c r="D1043">
        <f>IF(OR($A1043="",$B1043=""),"",IF(ISNUMBER($A1043),MOD($A1043,100),IFERROR(VALUE(TRIM(MID(MID($A1043,FIND("/",$A1043)+1,20),FIND("/",MID($A1043,FIND("/",$A1043)+1,20))+1,20))),"")))</f>
        <v/>
      </c>
      <c r="E1043">
        <f>IF($A1043="","",IF(OR($B1043="",$C1043="",$D1043="",$B1043&lt;1300,$B1043&gt;1500,$C1043&lt;1,$C1043&gt;12,$D1043&lt;1,$D1043&gt;31),"نامعتبر",RIGHT("0000"&amp;$B1043,4)&amp;"/"&amp;RIGHT("00"&amp;$C1043,2)&amp;"/"&amp;RIGHT("00"&amp;$D1043,2)))</f>
        <v/>
      </c>
      <c r="F1043">
        <f>IF(Entry!$D1043&lt;&gt;"",IF(AND(ISNUMBER(Entry!$D1043),Entry!$D1043&gt;=0,Entry!$D1043&lt;1),RIGHT("00"&amp;HOUR(Entry!$D1043),2)&amp;":"&amp;RIGHT("00"&amp;MINUTE(Entry!$D1043),2),IFERROR(RIGHT("00"&amp;VALUE(TRIM(LEFT(Entry!$D1043,FIND(":",Entry!$D1043)-1))),2)&amp;":"&amp;RIGHT("00"&amp;VALUE(TRIM(MID(Entry!$D1043,FIND(":",Entry!$D1043)+1,2))),2),"نامعتبر")),IF(OR($E1043="",$E1043="نامعتبر"),"","00:00"))</f>
        <v/>
      </c>
      <c r="G1043">
        <f>IF(OR($E1043="",$E1043="نامعتبر"),"",IF(Entry!$E1043="","",LEFT(UPPER(TRIM(Entry!$E1043)),6)))</f>
        <v/>
      </c>
      <c r="H1043">
        <f>IF($G1043="","",RIGHT($E1043,4)&amp;MID($E1043,6,2)&amp;RIGHT($E1043,2)&amp;IF($F1043="","0000",IF($F1043="نامعتبر","9999",LEFT($F1043,2)&amp;RIGHT($F1043,2)))&amp;"|"&amp;RIGHT("00000"&amp;1035,5))</f>
        <v/>
      </c>
      <c r="I1043">
        <f>IF($H1043="","",COUNTIFS(CalcBank,$G1043,CalcKey,"&lt;"&amp;$H1043)+1)</f>
        <v/>
      </c>
      <c r="J1043">
        <f>IF($I1043="","",$G1043&amp;"|"&amp;RIGHT("000000"&amp;$I1043,6))</f>
        <v/>
      </c>
      <c r="K1043">
        <f>IF(OR($E1043="",$E1043="نامعتبر"),"",LEFT($E1043,4)&amp;"/"&amp;MID($E1043,6,2))</f>
        <v/>
      </c>
      <c r="L1043">
        <f>IF(Entry!$K1043="",0,Entry!$K1043)</f>
        <v/>
      </c>
      <c r="M1043">
        <f>IF(Entry!$L1043="",0,Entry!$L1043)</f>
        <v/>
      </c>
    </row>
    <row r="1044">
      <c r="A1044">
        <f>IF(Entry!$C1044="","",Entry!$C1044)</f>
        <v/>
      </c>
      <c r="B1044">
        <f>IF($A1044="","",IF(ISNUMBER($A1044),IF(AND($A1044&gt;=10000101,$A1044&lt;=99991231),INT($A1044/10000),""),IFERROR(VALUE(TRIM(LEFT($A1044,FIND("/",$A1044)-1))),"")))</f>
        <v/>
      </c>
      <c r="C1044">
        <f>IF(OR($A1044="",$B1044=""),"",IF(ISNUMBER($A1044),INT(MOD($A1044,10000)/100),IFERROR(VALUE(TRIM(LEFT(MID($A1044,FIND("/",$A1044)+1,20),FIND("/",MID($A1044,FIND("/",$A1044)+1,20))-1))),"")))</f>
        <v/>
      </c>
      <c r="D1044">
        <f>IF(OR($A1044="",$B1044=""),"",IF(ISNUMBER($A1044),MOD($A1044,100),IFERROR(VALUE(TRIM(MID(MID($A1044,FIND("/",$A1044)+1,20),FIND("/",MID($A1044,FIND("/",$A1044)+1,20))+1,20))),"")))</f>
        <v/>
      </c>
      <c r="E1044">
        <f>IF($A1044="","",IF(OR($B1044="",$C1044="",$D1044="",$B1044&lt;1300,$B1044&gt;1500,$C1044&lt;1,$C1044&gt;12,$D1044&lt;1,$D1044&gt;31),"نامعتبر",RIGHT("0000"&amp;$B1044,4)&amp;"/"&amp;RIGHT("00"&amp;$C1044,2)&amp;"/"&amp;RIGHT("00"&amp;$D1044,2)))</f>
        <v/>
      </c>
      <c r="F1044">
        <f>IF(Entry!$D1044&lt;&gt;"",IF(AND(ISNUMBER(Entry!$D1044),Entry!$D1044&gt;=0,Entry!$D1044&lt;1),RIGHT("00"&amp;HOUR(Entry!$D1044),2)&amp;":"&amp;RIGHT("00"&amp;MINUTE(Entry!$D1044),2),IFERROR(RIGHT("00"&amp;VALUE(TRIM(LEFT(Entry!$D1044,FIND(":",Entry!$D1044)-1))),2)&amp;":"&amp;RIGHT("00"&amp;VALUE(TRIM(MID(Entry!$D1044,FIND(":",Entry!$D1044)+1,2))),2),"نامعتبر")),IF(OR($E1044="",$E1044="نامعتبر"),"","00:00"))</f>
        <v/>
      </c>
      <c r="G1044">
        <f>IF(OR($E1044="",$E1044="نامعتبر"),"",IF(Entry!$E1044="","",LEFT(UPPER(TRIM(Entry!$E1044)),6)))</f>
        <v/>
      </c>
      <c r="H1044">
        <f>IF($G1044="","",RIGHT($E1044,4)&amp;MID($E1044,6,2)&amp;RIGHT($E1044,2)&amp;IF($F1044="","0000",IF($F1044="نامعتبر","9999",LEFT($F1044,2)&amp;RIGHT($F1044,2)))&amp;"|"&amp;RIGHT("00000"&amp;1036,5))</f>
        <v/>
      </c>
      <c r="I1044">
        <f>IF($H1044="","",COUNTIFS(CalcBank,$G1044,CalcKey,"&lt;"&amp;$H1044)+1)</f>
        <v/>
      </c>
      <c r="J1044">
        <f>IF($I1044="","",$G1044&amp;"|"&amp;RIGHT("000000"&amp;$I1044,6))</f>
        <v/>
      </c>
      <c r="K1044">
        <f>IF(OR($E1044="",$E1044="نامعتبر"),"",LEFT($E1044,4)&amp;"/"&amp;MID($E1044,6,2))</f>
        <v/>
      </c>
      <c r="L1044">
        <f>IF(Entry!$K1044="",0,Entry!$K1044)</f>
        <v/>
      </c>
      <c r="M1044">
        <f>IF(Entry!$L1044="",0,Entry!$L1044)</f>
        <v/>
      </c>
    </row>
    <row r="1045">
      <c r="A1045">
        <f>IF(Entry!$C1045="","",Entry!$C1045)</f>
        <v/>
      </c>
      <c r="B1045">
        <f>IF($A1045="","",IF(ISNUMBER($A1045),IF(AND($A1045&gt;=10000101,$A1045&lt;=99991231),INT($A1045/10000),""),IFERROR(VALUE(TRIM(LEFT($A1045,FIND("/",$A1045)-1))),"")))</f>
        <v/>
      </c>
      <c r="C1045">
        <f>IF(OR($A1045="",$B1045=""),"",IF(ISNUMBER($A1045),INT(MOD($A1045,10000)/100),IFERROR(VALUE(TRIM(LEFT(MID($A1045,FIND("/",$A1045)+1,20),FIND("/",MID($A1045,FIND("/",$A1045)+1,20))-1))),"")))</f>
        <v/>
      </c>
      <c r="D1045">
        <f>IF(OR($A1045="",$B1045=""),"",IF(ISNUMBER($A1045),MOD($A1045,100),IFERROR(VALUE(TRIM(MID(MID($A1045,FIND("/",$A1045)+1,20),FIND("/",MID($A1045,FIND("/",$A1045)+1,20))+1,20))),"")))</f>
        <v/>
      </c>
      <c r="E1045">
        <f>IF($A1045="","",IF(OR($B1045="",$C1045="",$D1045="",$B1045&lt;1300,$B1045&gt;1500,$C1045&lt;1,$C1045&gt;12,$D1045&lt;1,$D1045&gt;31),"نامعتبر",RIGHT("0000"&amp;$B1045,4)&amp;"/"&amp;RIGHT("00"&amp;$C1045,2)&amp;"/"&amp;RIGHT("00"&amp;$D1045,2)))</f>
        <v/>
      </c>
      <c r="F1045">
        <f>IF(Entry!$D1045&lt;&gt;"",IF(AND(ISNUMBER(Entry!$D1045),Entry!$D1045&gt;=0,Entry!$D1045&lt;1),RIGHT("00"&amp;HOUR(Entry!$D1045),2)&amp;":"&amp;RIGHT("00"&amp;MINUTE(Entry!$D1045),2),IFERROR(RIGHT("00"&amp;VALUE(TRIM(LEFT(Entry!$D1045,FIND(":",Entry!$D1045)-1))),2)&amp;":"&amp;RIGHT("00"&amp;VALUE(TRIM(MID(Entry!$D1045,FIND(":",Entry!$D1045)+1,2))),2),"نامعتبر")),IF(OR($E1045="",$E1045="نامعتبر"),"","00:00"))</f>
        <v/>
      </c>
      <c r="G1045">
        <f>IF(OR($E1045="",$E1045="نامعتبر"),"",IF(Entry!$E1045="","",LEFT(UPPER(TRIM(Entry!$E1045)),6)))</f>
        <v/>
      </c>
      <c r="H1045">
        <f>IF($G1045="","",RIGHT($E1045,4)&amp;MID($E1045,6,2)&amp;RIGHT($E1045,2)&amp;IF($F1045="","0000",IF($F1045="نامعتبر","9999",LEFT($F1045,2)&amp;RIGHT($F1045,2)))&amp;"|"&amp;RIGHT("00000"&amp;1037,5))</f>
        <v/>
      </c>
      <c r="I1045">
        <f>IF($H1045="","",COUNTIFS(CalcBank,$G1045,CalcKey,"&lt;"&amp;$H1045)+1)</f>
        <v/>
      </c>
      <c r="J1045">
        <f>IF($I1045="","",$G1045&amp;"|"&amp;RIGHT("000000"&amp;$I1045,6))</f>
        <v/>
      </c>
      <c r="K1045">
        <f>IF(OR($E1045="",$E1045="نامعتبر"),"",LEFT($E1045,4)&amp;"/"&amp;MID($E1045,6,2))</f>
        <v/>
      </c>
      <c r="L1045">
        <f>IF(Entry!$K1045="",0,Entry!$K1045)</f>
        <v/>
      </c>
      <c r="M1045">
        <f>IF(Entry!$L1045="",0,Entry!$L1045)</f>
        <v/>
      </c>
    </row>
    <row r="1046">
      <c r="A1046">
        <f>IF(Entry!$C1046="","",Entry!$C1046)</f>
        <v/>
      </c>
      <c r="B1046">
        <f>IF($A1046="","",IF(ISNUMBER($A1046),IF(AND($A1046&gt;=10000101,$A1046&lt;=99991231),INT($A1046/10000),""),IFERROR(VALUE(TRIM(LEFT($A1046,FIND("/",$A1046)-1))),"")))</f>
        <v/>
      </c>
      <c r="C1046">
        <f>IF(OR($A1046="",$B1046=""),"",IF(ISNUMBER($A1046),INT(MOD($A1046,10000)/100),IFERROR(VALUE(TRIM(LEFT(MID($A1046,FIND("/",$A1046)+1,20),FIND("/",MID($A1046,FIND("/",$A1046)+1,20))-1))),"")))</f>
        <v/>
      </c>
      <c r="D1046">
        <f>IF(OR($A1046="",$B1046=""),"",IF(ISNUMBER($A1046),MOD($A1046,100),IFERROR(VALUE(TRIM(MID(MID($A1046,FIND("/",$A1046)+1,20),FIND("/",MID($A1046,FIND("/",$A1046)+1,20))+1,20))),"")))</f>
        <v/>
      </c>
      <c r="E1046">
        <f>IF($A1046="","",IF(OR($B1046="",$C1046="",$D1046="",$B1046&lt;1300,$B1046&gt;1500,$C1046&lt;1,$C1046&gt;12,$D1046&lt;1,$D1046&gt;31),"نامعتبر",RIGHT("0000"&amp;$B1046,4)&amp;"/"&amp;RIGHT("00"&amp;$C1046,2)&amp;"/"&amp;RIGHT("00"&amp;$D1046,2)))</f>
        <v/>
      </c>
      <c r="F1046">
        <f>IF(Entry!$D1046&lt;&gt;"",IF(AND(ISNUMBER(Entry!$D1046),Entry!$D1046&gt;=0,Entry!$D1046&lt;1),RIGHT("00"&amp;HOUR(Entry!$D1046),2)&amp;":"&amp;RIGHT("00"&amp;MINUTE(Entry!$D1046),2),IFERROR(RIGHT("00"&amp;VALUE(TRIM(LEFT(Entry!$D1046,FIND(":",Entry!$D1046)-1))),2)&amp;":"&amp;RIGHT("00"&amp;VALUE(TRIM(MID(Entry!$D1046,FIND(":",Entry!$D1046)+1,2))),2),"نامعتبر")),IF(OR($E1046="",$E1046="نامعتبر"),"","00:00"))</f>
        <v/>
      </c>
      <c r="G1046">
        <f>IF(OR($E1046="",$E1046="نامعتبر"),"",IF(Entry!$E1046="","",LEFT(UPPER(TRIM(Entry!$E1046)),6)))</f>
        <v/>
      </c>
      <c r="H1046">
        <f>IF($G1046="","",RIGHT($E1046,4)&amp;MID($E1046,6,2)&amp;RIGHT($E1046,2)&amp;IF($F1046="","0000",IF($F1046="نامعتبر","9999",LEFT($F1046,2)&amp;RIGHT($F1046,2)))&amp;"|"&amp;RIGHT("00000"&amp;1038,5))</f>
        <v/>
      </c>
      <c r="I1046">
        <f>IF($H1046="","",COUNTIFS(CalcBank,$G1046,CalcKey,"&lt;"&amp;$H1046)+1)</f>
        <v/>
      </c>
      <c r="J1046">
        <f>IF($I1046="","",$G1046&amp;"|"&amp;RIGHT("000000"&amp;$I1046,6))</f>
        <v/>
      </c>
      <c r="K1046">
        <f>IF(OR($E1046="",$E1046="نامعتبر"),"",LEFT($E1046,4)&amp;"/"&amp;MID($E1046,6,2))</f>
        <v/>
      </c>
      <c r="L1046">
        <f>IF(Entry!$K1046="",0,Entry!$K1046)</f>
        <v/>
      </c>
      <c r="M1046">
        <f>IF(Entry!$L1046="",0,Entry!$L1046)</f>
        <v/>
      </c>
    </row>
    <row r="1047">
      <c r="A1047">
        <f>IF(Entry!$C1047="","",Entry!$C1047)</f>
        <v/>
      </c>
      <c r="B1047">
        <f>IF($A1047="","",IF(ISNUMBER($A1047),IF(AND($A1047&gt;=10000101,$A1047&lt;=99991231),INT($A1047/10000),""),IFERROR(VALUE(TRIM(LEFT($A1047,FIND("/",$A1047)-1))),"")))</f>
        <v/>
      </c>
      <c r="C1047">
        <f>IF(OR($A1047="",$B1047=""),"",IF(ISNUMBER($A1047),INT(MOD($A1047,10000)/100),IFERROR(VALUE(TRIM(LEFT(MID($A1047,FIND("/",$A1047)+1,20),FIND("/",MID($A1047,FIND("/",$A1047)+1,20))-1))),"")))</f>
        <v/>
      </c>
      <c r="D1047">
        <f>IF(OR($A1047="",$B1047=""),"",IF(ISNUMBER($A1047),MOD($A1047,100),IFERROR(VALUE(TRIM(MID(MID($A1047,FIND("/",$A1047)+1,20),FIND("/",MID($A1047,FIND("/",$A1047)+1,20))+1,20))),"")))</f>
        <v/>
      </c>
      <c r="E1047">
        <f>IF($A1047="","",IF(OR($B1047="",$C1047="",$D1047="",$B1047&lt;1300,$B1047&gt;1500,$C1047&lt;1,$C1047&gt;12,$D1047&lt;1,$D1047&gt;31),"نامعتبر",RIGHT("0000"&amp;$B1047,4)&amp;"/"&amp;RIGHT("00"&amp;$C1047,2)&amp;"/"&amp;RIGHT("00"&amp;$D1047,2)))</f>
        <v/>
      </c>
      <c r="F1047">
        <f>IF(Entry!$D1047&lt;&gt;"",IF(AND(ISNUMBER(Entry!$D1047),Entry!$D1047&gt;=0,Entry!$D1047&lt;1),RIGHT("00"&amp;HOUR(Entry!$D1047),2)&amp;":"&amp;RIGHT("00"&amp;MINUTE(Entry!$D1047),2),IFERROR(RIGHT("00"&amp;VALUE(TRIM(LEFT(Entry!$D1047,FIND(":",Entry!$D1047)-1))),2)&amp;":"&amp;RIGHT("00"&amp;VALUE(TRIM(MID(Entry!$D1047,FIND(":",Entry!$D1047)+1,2))),2),"نامعتبر")),IF(OR($E1047="",$E1047="نامعتبر"),"","00:00"))</f>
        <v/>
      </c>
      <c r="G1047">
        <f>IF(OR($E1047="",$E1047="نامعتبر"),"",IF(Entry!$E1047="","",LEFT(UPPER(TRIM(Entry!$E1047)),6)))</f>
        <v/>
      </c>
      <c r="H1047">
        <f>IF($G1047="","",RIGHT($E1047,4)&amp;MID($E1047,6,2)&amp;RIGHT($E1047,2)&amp;IF($F1047="","0000",IF($F1047="نامعتبر","9999",LEFT($F1047,2)&amp;RIGHT($F1047,2)))&amp;"|"&amp;RIGHT("00000"&amp;1039,5))</f>
        <v/>
      </c>
      <c r="I1047">
        <f>IF($H1047="","",COUNTIFS(CalcBank,$G1047,CalcKey,"&lt;"&amp;$H1047)+1)</f>
        <v/>
      </c>
      <c r="J1047">
        <f>IF($I1047="","",$G1047&amp;"|"&amp;RIGHT("000000"&amp;$I1047,6))</f>
        <v/>
      </c>
      <c r="K1047">
        <f>IF(OR($E1047="",$E1047="نامعتبر"),"",LEFT($E1047,4)&amp;"/"&amp;MID($E1047,6,2))</f>
        <v/>
      </c>
      <c r="L1047">
        <f>IF(Entry!$K1047="",0,Entry!$K1047)</f>
        <v/>
      </c>
      <c r="M1047">
        <f>IF(Entry!$L1047="",0,Entry!$L1047)</f>
        <v/>
      </c>
    </row>
    <row r="1048">
      <c r="A1048">
        <f>IF(Entry!$C1048="","",Entry!$C1048)</f>
        <v/>
      </c>
      <c r="B1048">
        <f>IF($A1048="","",IF(ISNUMBER($A1048),IF(AND($A1048&gt;=10000101,$A1048&lt;=99991231),INT($A1048/10000),""),IFERROR(VALUE(TRIM(LEFT($A1048,FIND("/",$A1048)-1))),"")))</f>
        <v/>
      </c>
      <c r="C1048">
        <f>IF(OR($A1048="",$B1048=""),"",IF(ISNUMBER($A1048),INT(MOD($A1048,10000)/100),IFERROR(VALUE(TRIM(LEFT(MID($A1048,FIND("/",$A1048)+1,20),FIND("/",MID($A1048,FIND("/",$A1048)+1,20))-1))),"")))</f>
        <v/>
      </c>
      <c r="D1048">
        <f>IF(OR($A1048="",$B1048=""),"",IF(ISNUMBER($A1048),MOD($A1048,100),IFERROR(VALUE(TRIM(MID(MID($A1048,FIND("/",$A1048)+1,20),FIND("/",MID($A1048,FIND("/",$A1048)+1,20))+1,20))),"")))</f>
        <v/>
      </c>
      <c r="E1048">
        <f>IF($A1048="","",IF(OR($B1048="",$C1048="",$D1048="",$B1048&lt;1300,$B1048&gt;1500,$C1048&lt;1,$C1048&gt;12,$D1048&lt;1,$D1048&gt;31),"نامعتبر",RIGHT("0000"&amp;$B1048,4)&amp;"/"&amp;RIGHT("00"&amp;$C1048,2)&amp;"/"&amp;RIGHT("00"&amp;$D1048,2)))</f>
        <v/>
      </c>
      <c r="F1048">
        <f>IF(Entry!$D1048&lt;&gt;"",IF(AND(ISNUMBER(Entry!$D1048),Entry!$D1048&gt;=0,Entry!$D1048&lt;1),RIGHT("00"&amp;HOUR(Entry!$D1048),2)&amp;":"&amp;RIGHT("00"&amp;MINUTE(Entry!$D1048),2),IFERROR(RIGHT("00"&amp;VALUE(TRIM(LEFT(Entry!$D1048,FIND(":",Entry!$D1048)-1))),2)&amp;":"&amp;RIGHT("00"&amp;VALUE(TRIM(MID(Entry!$D1048,FIND(":",Entry!$D1048)+1,2))),2),"نامعتبر")),IF(OR($E1048="",$E1048="نامعتبر"),"","00:00"))</f>
        <v/>
      </c>
      <c r="G1048">
        <f>IF(OR($E1048="",$E1048="نامعتبر"),"",IF(Entry!$E1048="","",LEFT(UPPER(TRIM(Entry!$E1048)),6)))</f>
        <v/>
      </c>
      <c r="H1048">
        <f>IF($G1048="","",RIGHT($E1048,4)&amp;MID($E1048,6,2)&amp;RIGHT($E1048,2)&amp;IF($F1048="","0000",IF($F1048="نامعتبر","9999",LEFT($F1048,2)&amp;RIGHT($F1048,2)))&amp;"|"&amp;RIGHT("00000"&amp;1040,5))</f>
        <v/>
      </c>
      <c r="I1048">
        <f>IF($H1048="","",COUNTIFS(CalcBank,$G1048,CalcKey,"&lt;"&amp;$H1048)+1)</f>
        <v/>
      </c>
      <c r="J1048">
        <f>IF($I1048="","",$G1048&amp;"|"&amp;RIGHT("000000"&amp;$I1048,6))</f>
        <v/>
      </c>
      <c r="K1048">
        <f>IF(OR($E1048="",$E1048="نامعتبر"),"",LEFT($E1048,4)&amp;"/"&amp;MID($E1048,6,2))</f>
        <v/>
      </c>
      <c r="L1048">
        <f>IF(Entry!$K1048="",0,Entry!$K1048)</f>
        <v/>
      </c>
      <c r="M1048">
        <f>IF(Entry!$L1048="",0,Entry!$L1048)</f>
        <v/>
      </c>
    </row>
    <row r="1049">
      <c r="A1049">
        <f>IF(Entry!$C1049="","",Entry!$C1049)</f>
        <v/>
      </c>
      <c r="B1049">
        <f>IF($A1049="","",IF(ISNUMBER($A1049),IF(AND($A1049&gt;=10000101,$A1049&lt;=99991231),INT($A1049/10000),""),IFERROR(VALUE(TRIM(LEFT($A1049,FIND("/",$A1049)-1))),"")))</f>
        <v/>
      </c>
      <c r="C1049">
        <f>IF(OR($A1049="",$B1049=""),"",IF(ISNUMBER($A1049),INT(MOD($A1049,10000)/100),IFERROR(VALUE(TRIM(LEFT(MID($A1049,FIND("/",$A1049)+1,20),FIND("/",MID($A1049,FIND("/",$A1049)+1,20))-1))),"")))</f>
        <v/>
      </c>
      <c r="D1049">
        <f>IF(OR($A1049="",$B1049=""),"",IF(ISNUMBER($A1049),MOD($A1049,100),IFERROR(VALUE(TRIM(MID(MID($A1049,FIND("/",$A1049)+1,20),FIND("/",MID($A1049,FIND("/",$A1049)+1,20))+1,20))),"")))</f>
        <v/>
      </c>
      <c r="E1049">
        <f>IF($A1049="","",IF(OR($B1049="",$C1049="",$D1049="",$B1049&lt;1300,$B1049&gt;1500,$C1049&lt;1,$C1049&gt;12,$D1049&lt;1,$D1049&gt;31),"نامعتبر",RIGHT("0000"&amp;$B1049,4)&amp;"/"&amp;RIGHT("00"&amp;$C1049,2)&amp;"/"&amp;RIGHT("00"&amp;$D1049,2)))</f>
        <v/>
      </c>
      <c r="F1049">
        <f>IF(Entry!$D1049&lt;&gt;"",IF(AND(ISNUMBER(Entry!$D1049),Entry!$D1049&gt;=0,Entry!$D1049&lt;1),RIGHT("00"&amp;HOUR(Entry!$D1049),2)&amp;":"&amp;RIGHT("00"&amp;MINUTE(Entry!$D1049),2),IFERROR(RIGHT("00"&amp;VALUE(TRIM(LEFT(Entry!$D1049,FIND(":",Entry!$D1049)-1))),2)&amp;":"&amp;RIGHT("00"&amp;VALUE(TRIM(MID(Entry!$D1049,FIND(":",Entry!$D1049)+1,2))),2),"نامعتبر")),IF(OR($E1049="",$E1049="نامعتبر"),"","00:00"))</f>
        <v/>
      </c>
      <c r="G1049">
        <f>IF(OR($E1049="",$E1049="نامعتبر"),"",IF(Entry!$E1049="","",LEFT(UPPER(TRIM(Entry!$E1049)),6)))</f>
        <v/>
      </c>
      <c r="H1049">
        <f>IF($G1049="","",RIGHT($E1049,4)&amp;MID($E1049,6,2)&amp;RIGHT($E1049,2)&amp;IF($F1049="","0000",IF($F1049="نامعتبر","9999",LEFT($F1049,2)&amp;RIGHT($F1049,2)))&amp;"|"&amp;RIGHT("00000"&amp;1041,5))</f>
        <v/>
      </c>
      <c r="I1049">
        <f>IF($H1049="","",COUNTIFS(CalcBank,$G1049,CalcKey,"&lt;"&amp;$H1049)+1)</f>
        <v/>
      </c>
      <c r="J1049">
        <f>IF($I1049="","",$G1049&amp;"|"&amp;RIGHT("000000"&amp;$I1049,6))</f>
        <v/>
      </c>
      <c r="K1049">
        <f>IF(OR($E1049="",$E1049="نامعتبر"),"",LEFT($E1049,4)&amp;"/"&amp;MID($E1049,6,2))</f>
        <v/>
      </c>
      <c r="L1049">
        <f>IF(Entry!$K1049="",0,Entry!$K1049)</f>
        <v/>
      </c>
      <c r="M1049">
        <f>IF(Entry!$L1049="",0,Entry!$L1049)</f>
        <v/>
      </c>
    </row>
    <row r="1050">
      <c r="A1050">
        <f>IF(Entry!$C1050="","",Entry!$C1050)</f>
        <v/>
      </c>
      <c r="B1050">
        <f>IF($A1050="","",IF(ISNUMBER($A1050),IF(AND($A1050&gt;=10000101,$A1050&lt;=99991231),INT($A1050/10000),""),IFERROR(VALUE(TRIM(LEFT($A1050,FIND("/",$A1050)-1))),"")))</f>
        <v/>
      </c>
      <c r="C1050">
        <f>IF(OR($A1050="",$B1050=""),"",IF(ISNUMBER($A1050),INT(MOD($A1050,10000)/100),IFERROR(VALUE(TRIM(LEFT(MID($A1050,FIND("/",$A1050)+1,20),FIND("/",MID($A1050,FIND("/",$A1050)+1,20))-1))),"")))</f>
        <v/>
      </c>
      <c r="D1050">
        <f>IF(OR($A1050="",$B1050=""),"",IF(ISNUMBER($A1050),MOD($A1050,100),IFERROR(VALUE(TRIM(MID(MID($A1050,FIND("/",$A1050)+1,20),FIND("/",MID($A1050,FIND("/",$A1050)+1,20))+1,20))),"")))</f>
        <v/>
      </c>
      <c r="E1050">
        <f>IF($A1050="","",IF(OR($B1050="",$C1050="",$D1050="",$B1050&lt;1300,$B1050&gt;1500,$C1050&lt;1,$C1050&gt;12,$D1050&lt;1,$D1050&gt;31),"نامعتبر",RIGHT("0000"&amp;$B1050,4)&amp;"/"&amp;RIGHT("00"&amp;$C1050,2)&amp;"/"&amp;RIGHT("00"&amp;$D1050,2)))</f>
        <v/>
      </c>
      <c r="F1050">
        <f>IF(Entry!$D1050&lt;&gt;"",IF(AND(ISNUMBER(Entry!$D1050),Entry!$D1050&gt;=0,Entry!$D1050&lt;1),RIGHT("00"&amp;HOUR(Entry!$D1050),2)&amp;":"&amp;RIGHT("00"&amp;MINUTE(Entry!$D1050),2),IFERROR(RIGHT("00"&amp;VALUE(TRIM(LEFT(Entry!$D1050,FIND(":",Entry!$D1050)-1))),2)&amp;":"&amp;RIGHT("00"&amp;VALUE(TRIM(MID(Entry!$D1050,FIND(":",Entry!$D1050)+1,2))),2),"نامعتبر")),IF(OR($E1050="",$E1050="نامعتبر"),"","00:00"))</f>
        <v/>
      </c>
      <c r="G1050">
        <f>IF(OR($E1050="",$E1050="نامعتبر"),"",IF(Entry!$E1050="","",LEFT(UPPER(TRIM(Entry!$E1050)),6)))</f>
        <v/>
      </c>
      <c r="H1050">
        <f>IF($G1050="","",RIGHT($E1050,4)&amp;MID($E1050,6,2)&amp;RIGHT($E1050,2)&amp;IF($F1050="","0000",IF($F1050="نامعتبر","9999",LEFT($F1050,2)&amp;RIGHT($F1050,2)))&amp;"|"&amp;RIGHT("00000"&amp;1042,5))</f>
        <v/>
      </c>
      <c r="I1050">
        <f>IF($H1050="","",COUNTIFS(CalcBank,$G1050,CalcKey,"&lt;"&amp;$H1050)+1)</f>
        <v/>
      </c>
      <c r="J1050">
        <f>IF($I1050="","",$G1050&amp;"|"&amp;RIGHT("000000"&amp;$I1050,6))</f>
        <v/>
      </c>
      <c r="K1050">
        <f>IF(OR($E1050="",$E1050="نامعتبر"),"",LEFT($E1050,4)&amp;"/"&amp;MID($E1050,6,2))</f>
        <v/>
      </c>
      <c r="L1050">
        <f>IF(Entry!$K1050="",0,Entry!$K1050)</f>
        <v/>
      </c>
      <c r="M1050">
        <f>IF(Entry!$L1050="",0,Entry!$L1050)</f>
        <v/>
      </c>
    </row>
    <row r="1051">
      <c r="A1051">
        <f>IF(Entry!$C1051="","",Entry!$C1051)</f>
        <v/>
      </c>
      <c r="B1051">
        <f>IF($A1051="","",IF(ISNUMBER($A1051),IF(AND($A1051&gt;=10000101,$A1051&lt;=99991231),INT($A1051/10000),""),IFERROR(VALUE(TRIM(LEFT($A1051,FIND("/",$A1051)-1))),"")))</f>
        <v/>
      </c>
      <c r="C1051">
        <f>IF(OR($A1051="",$B1051=""),"",IF(ISNUMBER($A1051),INT(MOD($A1051,10000)/100),IFERROR(VALUE(TRIM(LEFT(MID($A1051,FIND("/",$A1051)+1,20),FIND("/",MID($A1051,FIND("/",$A1051)+1,20))-1))),"")))</f>
        <v/>
      </c>
      <c r="D1051">
        <f>IF(OR($A1051="",$B1051=""),"",IF(ISNUMBER($A1051),MOD($A1051,100),IFERROR(VALUE(TRIM(MID(MID($A1051,FIND("/",$A1051)+1,20),FIND("/",MID($A1051,FIND("/",$A1051)+1,20))+1,20))),"")))</f>
        <v/>
      </c>
      <c r="E1051">
        <f>IF($A1051="","",IF(OR($B1051="",$C1051="",$D1051="",$B1051&lt;1300,$B1051&gt;1500,$C1051&lt;1,$C1051&gt;12,$D1051&lt;1,$D1051&gt;31),"نامعتبر",RIGHT("0000"&amp;$B1051,4)&amp;"/"&amp;RIGHT("00"&amp;$C1051,2)&amp;"/"&amp;RIGHT("00"&amp;$D1051,2)))</f>
        <v/>
      </c>
      <c r="F1051">
        <f>IF(Entry!$D1051&lt;&gt;"",IF(AND(ISNUMBER(Entry!$D1051),Entry!$D1051&gt;=0,Entry!$D1051&lt;1),RIGHT("00"&amp;HOUR(Entry!$D1051),2)&amp;":"&amp;RIGHT("00"&amp;MINUTE(Entry!$D1051),2),IFERROR(RIGHT("00"&amp;VALUE(TRIM(LEFT(Entry!$D1051,FIND(":",Entry!$D1051)-1))),2)&amp;":"&amp;RIGHT("00"&amp;VALUE(TRIM(MID(Entry!$D1051,FIND(":",Entry!$D1051)+1,2))),2),"نامعتبر")),IF(OR($E1051="",$E1051="نامعتبر"),"","00:00"))</f>
        <v/>
      </c>
      <c r="G1051">
        <f>IF(OR($E1051="",$E1051="نامعتبر"),"",IF(Entry!$E1051="","",LEFT(UPPER(TRIM(Entry!$E1051)),6)))</f>
        <v/>
      </c>
      <c r="H1051">
        <f>IF($G1051="","",RIGHT($E1051,4)&amp;MID($E1051,6,2)&amp;RIGHT($E1051,2)&amp;IF($F1051="","0000",IF($F1051="نامعتبر","9999",LEFT($F1051,2)&amp;RIGHT($F1051,2)))&amp;"|"&amp;RIGHT("00000"&amp;1043,5))</f>
        <v/>
      </c>
      <c r="I1051">
        <f>IF($H1051="","",COUNTIFS(CalcBank,$G1051,CalcKey,"&lt;"&amp;$H1051)+1)</f>
        <v/>
      </c>
      <c r="J1051">
        <f>IF($I1051="","",$G1051&amp;"|"&amp;RIGHT("000000"&amp;$I1051,6))</f>
        <v/>
      </c>
      <c r="K1051">
        <f>IF(OR($E1051="",$E1051="نامعتبر"),"",LEFT($E1051,4)&amp;"/"&amp;MID($E1051,6,2))</f>
        <v/>
      </c>
      <c r="L1051">
        <f>IF(Entry!$K1051="",0,Entry!$K1051)</f>
        <v/>
      </c>
      <c r="M1051">
        <f>IF(Entry!$L1051="",0,Entry!$L1051)</f>
        <v/>
      </c>
    </row>
    <row r="1052">
      <c r="A1052">
        <f>IF(Entry!$C1052="","",Entry!$C1052)</f>
        <v/>
      </c>
      <c r="B1052">
        <f>IF($A1052="","",IF(ISNUMBER($A1052),IF(AND($A1052&gt;=10000101,$A1052&lt;=99991231),INT($A1052/10000),""),IFERROR(VALUE(TRIM(LEFT($A1052,FIND("/",$A1052)-1))),"")))</f>
        <v/>
      </c>
      <c r="C1052">
        <f>IF(OR($A1052="",$B1052=""),"",IF(ISNUMBER($A1052),INT(MOD($A1052,10000)/100),IFERROR(VALUE(TRIM(LEFT(MID($A1052,FIND("/",$A1052)+1,20),FIND("/",MID($A1052,FIND("/",$A1052)+1,20))-1))),"")))</f>
        <v/>
      </c>
      <c r="D1052">
        <f>IF(OR($A1052="",$B1052=""),"",IF(ISNUMBER($A1052),MOD($A1052,100),IFERROR(VALUE(TRIM(MID(MID($A1052,FIND("/",$A1052)+1,20),FIND("/",MID($A1052,FIND("/",$A1052)+1,20))+1,20))),"")))</f>
        <v/>
      </c>
      <c r="E1052">
        <f>IF($A1052="","",IF(OR($B1052="",$C1052="",$D1052="",$B1052&lt;1300,$B1052&gt;1500,$C1052&lt;1,$C1052&gt;12,$D1052&lt;1,$D1052&gt;31),"نامعتبر",RIGHT("0000"&amp;$B1052,4)&amp;"/"&amp;RIGHT("00"&amp;$C1052,2)&amp;"/"&amp;RIGHT("00"&amp;$D1052,2)))</f>
        <v/>
      </c>
      <c r="F1052">
        <f>IF(Entry!$D1052&lt;&gt;"",IF(AND(ISNUMBER(Entry!$D1052),Entry!$D1052&gt;=0,Entry!$D1052&lt;1),RIGHT("00"&amp;HOUR(Entry!$D1052),2)&amp;":"&amp;RIGHT("00"&amp;MINUTE(Entry!$D1052),2),IFERROR(RIGHT("00"&amp;VALUE(TRIM(LEFT(Entry!$D1052,FIND(":",Entry!$D1052)-1))),2)&amp;":"&amp;RIGHT("00"&amp;VALUE(TRIM(MID(Entry!$D1052,FIND(":",Entry!$D1052)+1,2))),2),"نامعتبر")),IF(OR($E1052="",$E1052="نامعتبر"),"","00:00"))</f>
        <v/>
      </c>
      <c r="G1052">
        <f>IF(OR($E1052="",$E1052="نامعتبر"),"",IF(Entry!$E1052="","",LEFT(UPPER(TRIM(Entry!$E1052)),6)))</f>
        <v/>
      </c>
      <c r="H1052">
        <f>IF($G1052="","",RIGHT($E1052,4)&amp;MID($E1052,6,2)&amp;RIGHT($E1052,2)&amp;IF($F1052="","0000",IF($F1052="نامعتبر","9999",LEFT($F1052,2)&amp;RIGHT($F1052,2)))&amp;"|"&amp;RIGHT("00000"&amp;1044,5))</f>
        <v/>
      </c>
      <c r="I1052">
        <f>IF($H1052="","",COUNTIFS(CalcBank,$G1052,CalcKey,"&lt;"&amp;$H1052)+1)</f>
        <v/>
      </c>
      <c r="J1052">
        <f>IF($I1052="","",$G1052&amp;"|"&amp;RIGHT("000000"&amp;$I1052,6))</f>
        <v/>
      </c>
      <c r="K1052">
        <f>IF(OR($E1052="",$E1052="نامعتبر"),"",LEFT($E1052,4)&amp;"/"&amp;MID($E1052,6,2))</f>
        <v/>
      </c>
      <c r="L1052">
        <f>IF(Entry!$K1052="",0,Entry!$K1052)</f>
        <v/>
      </c>
      <c r="M1052">
        <f>IF(Entry!$L1052="",0,Entry!$L1052)</f>
        <v/>
      </c>
    </row>
    <row r="1053">
      <c r="A1053">
        <f>IF(Entry!$C1053="","",Entry!$C1053)</f>
        <v/>
      </c>
      <c r="B1053">
        <f>IF($A1053="","",IF(ISNUMBER($A1053),IF(AND($A1053&gt;=10000101,$A1053&lt;=99991231),INT($A1053/10000),""),IFERROR(VALUE(TRIM(LEFT($A1053,FIND("/",$A1053)-1))),"")))</f>
        <v/>
      </c>
      <c r="C1053">
        <f>IF(OR($A1053="",$B1053=""),"",IF(ISNUMBER($A1053),INT(MOD($A1053,10000)/100),IFERROR(VALUE(TRIM(LEFT(MID($A1053,FIND("/",$A1053)+1,20),FIND("/",MID($A1053,FIND("/",$A1053)+1,20))-1))),"")))</f>
        <v/>
      </c>
      <c r="D1053">
        <f>IF(OR($A1053="",$B1053=""),"",IF(ISNUMBER($A1053),MOD($A1053,100),IFERROR(VALUE(TRIM(MID(MID($A1053,FIND("/",$A1053)+1,20),FIND("/",MID($A1053,FIND("/",$A1053)+1,20))+1,20))),"")))</f>
        <v/>
      </c>
      <c r="E1053">
        <f>IF($A1053="","",IF(OR($B1053="",$C1053="",$D1053="",$B1053&lt;1300,$B1053&gt;1500,$C1053&lt;1,$C1053&gt;12,$D1053&lt;1,$D1053&gt;31),"نامعتبر",RIGHT("0000"&amp;$B1053,4)&amp;"/"&amp;RIGHT("00"&amp;$C1053,2)&amp;"/"&amp;RIGHT("00"&amp;$D1053,2)))</f>
        <v/>
      </c>
      <c r="F1053">
        <f>IF(Entry!$D1053&lt;&gt;"",IF(AND(ISNUMBER(Entry!$D1053),Entry!$D1053&gt;=0,Entry!$D1053&lt;1),RIGHT("00"&amp;HOUR(Entry!$D1053),2)&amp;":"&amp;RIGHT("00"&amp;MINUTE(Entry!$D1053),2),IFERROR(RIGHT("00"&amp;VALUE(TRIM(LEFT(Entry!$D1053,FIND(":",Entry!$D1053)-1))),2)&amp;":"&amp;RIGHT("00"&amp;VALUE(TRIM(MID(Entry!$D1053,FIND(":",Entry!$D1053)+1,2))),2),"نامعتبر")),IF(OR($E1053="",$E1053="نامعتبر"),"","00:00"))</f>
        <v/>
      </c>
      <c r="G1053">
        <f>IF(OR($E1053="",$E1053="نامعتبر"),"",IF(Entry!$E1053="","",LEFT(UPPER(TRIM(Entry!$E1053)),6)))</f>
        <v/>
      </c>
      <c r="H1053">
        <f>IF($G1053="","",RIGHT($E1053,4)&amp;MID($E1053,6,2)&amp;RIGHT($E1053,2)&amp;IF($F1053="","0000",IF($F1053="نامعتبر","9999",LEFT($F1053,2)&amp;RIGHT($F1053,2)))&amp;"|"&amp;RIGHT("00000"&amp;1045,5))</f>
        <v/>
      </c>
      <c r="I1053">
        <f>IF($H1053="","",COUNTIFS(CalcBank,$G1053,CalcKey,"&lt;"&amp;$H1053)+1)</f>
        <v/>
      </c>
      <c r="J1053">
        <f>IF($I1053="","",$G1053&amp;"|"&amp;RIGHT("000000"&amp;$I1053,6))</f>
        <v/>
      </c>
      <c r="K1053">
        <f>IF(OR($E1053="",$E1053="نامعتبر"),"",LEFT($E1053,4)&amp;"/"&amp;MID($E1053,6,2))</f>
        <v/>
      </c>
      <c r="L1053">
        <f>IF(Entry!$K1053="",0,Entry!$K1053)</f>
        <v/>
      </c>
      <c r="M1053">
        <f>IF(Entry!$L1053="",0,Entry!$L1053)</f>
        <v/>
      </c>
    </row>
    <row r="1054">
      <c r="A1054">
        <f>IF(Entry!$C1054="","",Entry!$C1054)</f>
        <v/>
      </c>
      <c r="B1054">
        <f>IF($A1054="","",IF(ISNUMBER($A1054),IF(AND($A1054&gt;=10000101,$A1054&lt;=99991231),INT($A1054/10000),""),IFERROR(VALUE(TRIM(LEFT($A1054,FIND("/",$A1054)-1))),"")))</f>
        <v/>
      </c>
      <c r="C1054">
        <f>IF(OR($A1054="",$B1054=""),"",IF(ISNUMBER($A1054),INT(MOD($A1054,10000)/100),IFERROR(VALUE(TRIM(LEFT(MID($A1054,FIND("/",$A1054)+1,20),FIND("/",MID($A1054,FIND("/",$A1054)+1,20))-1))),"")))</f>
        <v/>
      </c>
      <c r="D1054">
        <f>IF(OR($A1054="",$B1054=""),"",IF(ISNUMBER($A1054),MOD($A1054,100),IFERROR(VALUE(TRIM(MID(MID($A1054,FIND("/",$A1054)+1,20),FIND("/",MID($A1054,FIND("/",$A1054)+1,20))+1,20))),"")))</f>
        <v/>
      </c>
      <c r="E1054">
        <f>IF($A1054="","",IF(OR($B1054="",$C1054="",$D1054="",$B1054&lt;1300,$B1054&gt;1500,$C1054&lt;1,$C1054&gt;12,$D1054&lt;1,$D1054&gt;31),"نامعتبر",RIGHT("0000"&amp;$B1054,4)&amp;"/"&amp;RIGHT("00"&amp;$C1054,2)&amp;"/"&amp;RIGHT("00"&amp;$D1054,2)))</f>
        <v/>
      </c>
      <c r="F1054">
        <f>IF(Entry!$D1054&lt;&gt;"",IF(AND(ISNUMBER(Entry!$D1054),Entry!$D1054&gt;=0,Entry!$D1054&lt;1),RIGHT("00"&amp;HOUR(Entry!$D1054),2)&amp;":"&amp;RIGHT("00"&amp;MINUTE(Entry!$D1054),2),IFERROR(RIGHT("00"&amp;VALUE(TRIM(LEFT(Entry!$D1054,FIND(":",Entry!$D1054)-1))),2)&amp;":"&amp;RIGHT("00"&amp;VALUE(TRIM(MID(Entry!$D1054,FIND(":",Entry!$D1054)+1,2))),2),"نامعتبر")),IF(OR($E1054="",$E1054="نامعتبر"),"","00:00"))</f>
        <v/>
      </c>
      <c r="G1054">
        <f>IF(OR($E1054="",$E1054="نامعتبر"),"",IF(Entry!$E1054="","",LEFT(UPPER(TRIM(Entry!$E1054)),6)))</f>
        <v/>
      </c>
      <c r="H1054">
        <f>IF($G1054="","",RIGHT($E1054,4)&amp;MID($E1054,6,2)&amp;RIGHT($E1054,2)&amp;IF($F1054="","0000",IF($F1054="نامعتبر","9999",LEFT($F1054,2)&amp;RIGHT($F1054,2)))&amp;"|"&amp;RIGHT("00000"&amp;1046,5))</f>
        <v/>
      </c>
      <c r="I1054">
        <f>IF($H1054="","",COUNTIFS(CalcBank,$G1054,CalcKey,"&lt;"&amp;$H1054)+1)</f>
        <v/>
      </c>
      <c r="J1054">
        <f>IF($I1054="","",$G1054&amp;"|"&amp;RIGHT("000000"&amp;$I1054,6))</f>
        <v/>
      </c>
      <c r="K1054">
        <f>IF(OR($E1054="",$E1054="نامعتبر"),"",LEFT($E1054,4)&amp;"/"&amp;MID($E1054,6,2))</f>
        <v/>
      </c>
      <c r="L1054">
        <f>IF(Entry!$K1054="",0,Entry!$K1054)</f>
        <v/>
      </c>
      <c r="M1054">
        <f>IF(Entry!$L1054="",0,Entry!$L1054)</f>
        <v/>
      </c>
    </row>
    <row r="1055">
      <c r="A1055">
        <f>IF(Entry!$C1055="","",Entry!$C1055)</f>
        <v/>
      </c>
      <c r="B1055">
        <f>IF($A1055="","",IF(ISNUMBER($A1055),IF(AND($A1055&gt;=10000101,$A1055&lt;=99991231),INT($A1055/10000),""),IFERROR(VALUE(TRIM(LEFT($A1055,FIND("/",$A1055)-1))),"")))</f>
        <v/>
      </c>
      <c r="C1055">
        <f>IF(OR($A1055="",$B1055=""),"",IF(ISNUMBER($A1055),INT(MOD($A1055,10000)/100),IFERROR(VALUE(TRIM(LEFT(MID($A1055,FIND("/",$A1055)+1,20),FIND("/",MID($A1055,FIND("/",$A1055)+1,20))-1))),"")))</f>
        <v/>
      </c>
      <c r="D1055">
        <f>IF(OR($A1055="",$B1055=""),"",IF(ISNUMBER($A1055),MOD($A1055,100),IFERROR(VALUE(TRIM(MID(MID($A1055,FIND("/",$A1055)+1,20),FIND("/",MID($A1055,FIND("/",$A1055)+1,20))+1,20))),"")))</f>
        <v/>
      </c>
      <c r="E1055">
        <f>IF($A1055="","",IF(OR($B1055="",$C1055="",$D1055="",$B1055&lt;1300,$B1055&gt;1500,$C1055&lt;1,$C1055&gt;12,$D1055&lt;1,$D1055&gt;31),"نامعتبر",RIGHT("0000"&amp;$B1055,4)&amp;"/"&amp;RIGHT("00"&amp;$C1055,2)&amp;"/"&amp;RIGHT("00"&amp;$D1055,2)))</f>
        <v/>
      </c>
      <c r="F1055">
        <f>IF(Entry!$D1055&lt;&gt;"",IF(AND(ISNUMBER(Entry!$D1055),Entry!$D1055&gt;=0,Entry!$D1055&lt;1),RIGHT("00"&amp;HOUR(Entry!$D1055),2)&amp;":"&amp;RIGHT("00"&amp;MINUTE(Entry!$D1055),2),IFERROR(RIGHT("00"&amp;VALUE(TRIM(LEFT(Entry!$D1055,FIND(":",Entry!$D1055)-1))),2)&amp;":"&amp;RIGHT("00"&amp;VALUE(TRIM(MID(Entry!$D1055,FIND(":",Entry!$D1055)+1,2))),2),"نامعتبر")),IF(OR($E1055="",$E1055="نامعتبر"),"","00:00"))</f>
        <v/>
      </c>
      <c r="G1055">
        <f>IF(OR($E1055="",$E1055="نامعتبر"),"",IF(Entry!$E1055="","",LEFT(UPPER(TRIM(Entry!$E1055)),6)))</f>
        <v/>
      </c>
      <c r="H1055">
        <f>IF($G1055="","",RIGHT($E1055,4)&amp;MID($E1055,6,2)&amp;RIGHT($E1055,2)&amp;IF($F1055="","0000",IF($F1055="نامعتبر","9999",LEFT($F1055,2)&amp;RIGHT($F1055,2)))&amp;"|"&amp;RIGHT("00000"&amp;1047,5))</f>
        <v/>
      </c>
      <c r="I1055">
        <f>IF($H1055="","",COUNTIFS(CalcBank,$G1055,CalcKey,"&lt;"&amp;$H1055)+1)</f>
        <v/>
      </c>
      <c r="J1055">
        <f>IF($I1055="","",$G1055&amp;"|"&amp;RIGHT("000000"&amp;$I1055,6))</f>
        <v/>
      </c>
      <c r="K1055">
        <f>IF(OR($E1055="",$E1055="نامعتبر"),"",LEFT($E1055,4)&amp;"/"&amp;MID($E1055,6,2))</f>
        <v/>
      </c>
      <c r="L1055">
        <f>IF(Entry!$K1055="",0,Entry!$K1055)</f>
        <v/>
      </c>
      <c r="M1055">
        <f>IF(Entry!$L1055="",0,Entry!$L1055)</f>
        <v/>
      </c>
    </row>
    <row r="1056">
      <c r="A1056">
        <f>IF(Entry!$C1056="","",Entry!$C1056)</f>
        <v/>
      </c>
      <c r="B1056">
        <f>IF($A1056="","",IF(ISNUMBER($A1056),IF(AND($A1056&gt;=10000101,$A1056&lt;=99991231),INT($A1056/10000),""),IFERROR(VALUE(TRIM(LEFT($A1056,FIND("/",$A1056)-1))),"")))</f>
        <v/>
      </c>
      <c r="C1056">
        <f>IF(OR($A1056="",$B1056=""),"",IF(ISNUMBER($A1056),INT(MOD($A1056,10000)/100),IFERROR(VALUE(TRIM(LEFT(MID($A1056,FIND("/",$A1056)+1,20),FIND("/",MID($A1056,FIND("/",$A1056)+1,20))-1))),"")))</f>
        <v/>
      </c>
      <c r="D1056">
        <f>IF(OR($A1056="",$B1056=""),"",IF(ISNUMBER($A1056),MOD($A1056,100),IFERROR(VALUE(TRIM(MID(MID($A1056,FIND("/",$A1056)+1,20),FIND("/",MID($A1056,FIND("/",$A1056)+1,20))+1,20))),"")))</f>
        <v/>
      </c>
      <c r="E1056">
        <f>IF($A1056="","",IF(OR($B1056="",$C1056="",$D1056="",$B1056&lt;1300,$B1056&gt;1500,$C1056&lt;1,$C1056&gt;12,$D1056&lt;1,$D1056&gt;31),"نامعتبر",RIGHT("0000"&amp;$B1056,4)&amp;"/"&amp;RIGHT("00"&amp;$C1056,2)&amp;"/"&amp;RIGHT("00"&amp;$D1056,2)))</f>
        <v/>
      </c>
      <c r="F1056">
        <f>IF(Entry!$D1056&lt;&gt;"",IF(AND(ISNUMBER(Entry!$D1056),Entry!$D1056&gt;=0,Entry!$D1056&lt;1),RIGHT("00"&amp;HOUR(Entry!$D1056),2)&amp;":"&amp;RIGHT("00"&amp;MINUTE(Entry!$D1056),2),IFERROR(RIGHT("00"&amp;VALUE(TRIM(LEFT(Entry!$D1056,FIND(":",Entry!$D1056)-1))),2)&amp;":"&amp;RIGHT("00"&amp;VALUE(TRIM(MID(Entry!$D1056,FIND(":",Entry!$D1056)+1,2))),2),"نامعتبر")),IF(OR($E1056="",$E1056="نامعتبر"),"","00:00"))</f>
        <v/>
      </c>
      <c r="G1056">
        <f>IF(OR($E1056="",$E1056="نامعتبر"),"",IF(Entry!$E1056="","",LEFT(UPPER(TRIM(Entry!$E1056)),6)))</f>
        <v/>
      </c>
      <c r="H1056">
        <f>IF($G1056="","",RIGHT($E1056,4)&amp;MID($E1056,6,2)&amp;RIGHT($E1056,2)&amp;IF($F1056="","0000",IF($F1056="نامعتبر","9999",LEFT($F1056,2)&amp;RIGHT($F1056,2)))&amp;"|"&amp;RIGHT("00000"&amp;1048,5))</f>
        <v/>
      </c>
      <c r="I1056">
        <f>IF($H1056="","",COUNTIFS(CalcBank,$G1056,CalcKey,"&lt;"&amp;$H1056)+1)</f>
        <v/>
      </c>
      <c r="J1056">
        <f>IF($I1056="","",$G1056&amp;"|"&amp;RIGHT("000000"&amp;$I1056,6))</f>
        <v/>
      </c>
      <c r="K1056">
        <f>IF(OR($E1056="",$E1056="نامعتبر"),"",LEFT($E1056,4)&amp;"/"&amp;MID($E1056,6,2))</f>
        <v/>
      </c>
      <c r="L1056">
        <f>IF(Entry!$K1056="",0,Entry!$K1056)</f>
        <v/>
      </c>
      <c r="M1056">
        <f>IF(Entry!$L1056="",0,Entry!$L1056)</f>
        <v/>
      </c>
    </row>
    <row r="1057">
      <c r="A1057">
        <f>IF(Entry!$C1057="","",Entry!$C1057)</f>
        <v/>
      </c>
      <c r="B1057">
        <f>IF($A1057="","",IF(ISNUMBER($A1057),IF(AND($A1057&gt;=10000101,$A1057&lt;=99991231),INT($A1057/10000),""),IFERROR(VALUE(TRIM(LEFT($A1057,FIND("/",$A1057)-1))),"")))</f>
        <v/>
      </c>
      <c r="C1057">
        <f>IF(OR($A1057="",$B1057=""),"",IF(ISNUMBER($A1057),INT(MOD($A1057,10000)/100),IFERROR(VALUE(TRIM(LEFT(MID($A1057,FIND("/",$A1057)+1,20),FIND("/",MID($A1057,FIND("/",$A1057)+1,20))-1))),"")))</f>
        <v/>
      </c>
      <c r="D1057">
        <f>IF(OR($A1057="",$B1057=""),"",IF(ISNUMBER($A1057),MOD($A1057,100),IFERROR(VALUE(TRIM(MID(MID($A1057,FIND("/",$A1057)+1,20),FIND("/",MID($A1057,FIND("/",$A1057)+1,20))+1,20))),"")))</f>
        <v/>
      </c>
      <c r="E1057">
        <f>IF($A1057="","",IF(OR($B1057="",$C1057="",$D1057="",$B1057&lt;1300,$B1057&gt;1500,$C1057&lt;1,$C1057&gt;12,$D1057&lt;1,$D1057&gt;31),"نامعتبر",RIGHT("0000"&amp;$B1057,4)&amp;"/"&amp;RIGHT("00"&amp;$C1057,2)&amp;"/"&amp;RIGHT("00"&amp;$D1057,2)))</f>
        <v/>
      </c>
      <c r="F1057">
        <f>IF(Entry!$D1057&lt;&gt;"",IF(AND(ISNUMBER(Entry!$D1057),Entry!$D1057&gt;=0,Entry!$D1057&lt;1),RIGHT("00"&amp;HOUR(Entry!$D1057),2)&amp;":"&amp;RIGHT("00"&amp;MINUTE(Entry!$D1057),2),IFERROR(RIGHT("00"&amp;VALUE(TRIM(LEFT(Entry!$D1057,FIND(":",Entry!$D1057)-1))),2)&amp;":"&amp;RIGHT("00"&amp;VALUE(TRIM(MID(Entry!$D1057,FIND(":",Entry!$D1057)+1,2))),2),"نامعتبر")),IF(OR($E1057="",$E1057="نامعتبر"),"","00:00"))</f>
        <v/>
      </c>
      <c r="G1057">
        <f>IF(OR($E1057="",$E1057="نامعتبر"),"",IF(Entry!$E1057="","",LEFT(UPPER(TRIM(Entry!$E1057)),6)))</f>
        <v/>
      </c>
      <c r="H1057">
        <f>IF($G1057="","",RIGHT($E1057,4)&amp;MID($E1057,6,2)&amp;RIGHT($E1057,2)&amp;IF($F1057="","0000",IF($F1057="نامعتبر","9999",LEFT($F1057,2)&amp;RIGHT($F1057,2)))&amp;"|"&amp;RIGHT("00000"&amp;1049,5))</f>
        <v/>
      </c>
      <c r="I1057">
        <f>IF($H1057="","",COUNTIFS(CalcBank,$G1057,CalcKey,"&lt;"&amp;$H1057)+1)</f>
        <v/>
      </c>
      <c r="J1057">
        <f>IF($I1057="","",$G1057&amp;"|"&amp;RIGHT("000000"&amp;$I1057,6))</f>
        <v/>
      </c>
      <c r="K1057">
        <f>IF(OR($E1057="",$E1057="نامعتبر"),"",LEFT($E1057,4)&amp;"/"&amp;MID($E1057,6,2))</f>
        <v/>
      </c>
      <c r="L1057">
        <f>IF(Entry!$K1057="",0,Entry!$K1057)</f>
        <v/>
      </c>
      <c r="M1057">
        <f>IF(Entry!$L1057="",0,Entry!$L1057)</f>
        <v/>
      </c>
    </row>
    <row r="1058">
      <c r="A1058">
        <f>IF(Entry!$C1058="","",Entry!$C1058)</f>
        <v/>
      </c>
      <c r="B1058">
        <f>IF($A1058="","",IF(ISNUMBER($A1058),IF(AND($A1058&gt;=10000101,$A1058&lt;=99991231),INT($A1058/10000),""),IFERROR(VALUE(TRIM(LEFT($A1058,FIND("/",$A1058)-1))),"")))</f>
        <v/>
      </c>
      <c r="C1058">
        <f>IF(OR($A1058="",$B1058=""),"",IF(ISNUMBER($A1058),INT(MOD($A1058,10000)/100),IFERROR(VALUE(TRIM(LEFT(MID($A1058,FIND("/",$A1058)+1,20),FIND("/",MID($A1058,FIND("/",$A1058)+1,20))-1))),"")))</f>
        <v/>
      </c>
      <c r="D1058">
        <f>IF(OR($A1058="",$B1058=""),"",IF(ISNUMBER($A1058),MOD($A1058,100),IFERROR(VALUE(TRIM(MID(MID($A1058,FIND("/",$A1058)+1,20),FIND("/",MID($A1058,FIND("/",$A1058)+1,20))+1,20))),"")))</f>
        <v/>
      </c>
      <c r="E1058">
        <f>IF($A1058="","",IF(OR($B1058="",$C1058="",$D1058="",$B1058&lt;1300,$B1058&gt;1500,$C1058&lt;1,$C1058&gt;12,$D1058&lt;1,$D1058&gt;31),"نامعتبر",RIGHT("0000"&amp;$B1058,4)&amp;"/"&amp;RIGHT("00"&amp;$C1058,2)&amp;"/"&amp;RIGHT("00"&amp;$D1058,2)))</f>
        <v/>
      </c>
      <c r="F1058">
        <f>IF(Entry!$D1058&lt;&gt;"",IF(AND(ISNUMBER(Entry!$D1058),Entry!$D1058&gt;=0,Entry!$D1058&lt;1),RIGHT("00"&amp;HOUR(Entry!$D1058),2)&amp;":"&amp;RIGHT("00"&amp;MINUTE(Entry!$D1058),2),IFERROR(RIGHT("00"&amp;VALUE(TRIM(LEFT(Entry!$D1058,FIND(":",Entry!$D1058)-1))),2)&amp;":"&amp;RIGHT("00"&amp;VALUE(TRIM(MID(Entry!$D1058,FIND(":",Entry!$D1058)+1,2))),2),"نامعتبر")),IF(OR($E1058="",$E1058="نامعتبر"),"","00:00"))</f>
        <v/>
      </c>
      <c r="G1058">
        <f>IF(OR($E1058="",$E1058="نامعتبر"),"",IF(Entry!$E1058="","",LEFT(UPPER(TRIM(Entry!$E1058)),6)))</f>
        <v/>
      </c>
      <c r="H1058">
        <f>IF($G1058="","",RIGHT($E1058,4)&amp;MID($E1058,6,2)&amp;RIGHT($E1058,2)&amp;IF($F1058="","0000",IF($F1058="نامعتبر","9999",LEFT($F1058,2)&amp;RIGHT($F1058,2)))&amp;"|"&amp;RIGHT("00000"&amp;1050,5))</f>
        <v/>
      </c>
      <c r="I1058">
        <f>IF($H1058="","",COUNTIFS(CalcBank,$G1058,CalcKey,"&lt;"&amp;$H1058)+1)</f>
        <v/>
      </c>
      <c r="J1058">
        <f>IF($I1058="","",$G1058&amp;"|"&amp;RIGHT("000000"&amp;$I1058,6))</f>
        <v/>
      </c>
      <c r="K1058">
        <f>IF(OR($E1058="",$E1058="نامعتبر"),"",LEFT($E1058,4)&amp;"/"&amp;MID($E1058,6,2))</f>
        <v/>
      </c>
      <c r="L1058">
        <f>IF(Entry!$K1058="",0,Entry!$K1058)</f>
        <v/>
      </c>
      <c r="M1058">
        <f>IF(Entry!$L1058="",0,Entry!$L1058)</f>
        <v/>
      </c>
    </row>
    <row r="1059">
      <c r="A1059">
        <f>IF(Entry!$C1059="","",Entry!$C1059)</f>
        <v/>
      </c>
      <c r="B1059">
        <f>IF($A1059="","",IF(ISNUMBER($A1059),IF(AND($A1059&gt;=10000101,$A1059&lt;=99991231),INT($A1059/10000),""),IFERROR(VALUE(TRIM(LEFT($A1059,FIND("/",$A1059)-1))),"")))</f>
        <v/>
      </c>
      <c r="C1059">
        <f>IF(OR($A1059="",$B1059=""),"",IF(ISNUMBER($A1059),INT(MOD($A1059,10000)/100),IFERROR(VALUE(TRIM(LEFT(MID($A1059,FIND("/",$A1059)+1,20),FIND("/",MID($A1059,FIND("/",$A1059)+1,20))-1))),"")))</f>
        <v/>
      </c>
      <c r="D1059">
        <f>IF(OR($A1059="",$B1059=""),"",IF(ISNUMBER($A1059),MOD($A1059,100),IFERROR(VALUE(TRIM(MID(MID($A1059,FIND("/",$A1059)+1,20),FIND("/",MID($A1059,FIND("/",$A1059)+1,20))+1,20))),"")))</f>
        <v/>
      </c>
      <c r="E1059">
        <f>IF($A1059="","",IF(OR($B1059="",$C1059="",$D1059="",$B1059&lt;1300,$B1059&gt;1500,$C1059&lt;1,$C1059&gt;12,$D1059&lt;1,$D1059&gt;31),"نامعتبر",RIGHT("0000"&amp;$B1059,4)&amp;"/"&amp;RIGHT("00"&amp;$C1059,2)&amp;"/"&amp;RIGHT("00"&amp;$D1059,2)))</f>
        <v/>
      </c>
      <c r="F1059">
        <f>IF(Entry!$D1059&lt;&gt;"",IF(AND(ISNUMBER(Entry!$D1059),Entry!$D1059&gt;=0,Entry!$D1059&lt;1),RIGHT("00"&amp;HOUR(Entry!$D1059),2)&amp;":"&amp;RIGHT("00"&amp;MINUTE(Entry!$D1059),2),IFERROR(RIGHT("00"&amp;VALUE(TRIM(LEFT(Entry!$D1059,FIND(":",Entry!$D1059)-1))),2)&amp;":"&amp;RIGHT("00"&amp;VALUE(TRIM(MID(Entry!$D1059,FIND(":",Entry!$D1059)+1,2))),2),"نامعتبر")),IF(OR($E1059="",$E1059="نامعتبر"),"","00:00"))</f>
        <v/>
      </c>
      <c r="G1059">
        <f>IF(OR($E1059="",$E1059="نامعتبر"),"",IF(Entry!$E1059="","",LEFT(UPPER(TRIM(Entry!$E1059)),6)))</f>
        <v/>
      </c>
      <c r="H1059">
        <f>IF($G1059="","",RIGHT($E1059,4)&amp;MID($E1059,6,2)&amp;RIGHT($E1059,2)&amp;IF($F1059="","0000",IF($F1059="نامعتبر","9999",LEFT($F1059,2)&amp;RIGHT($F1059,2)))&amp;"|"&amp;RIGHT("00000"&amp;1051,5))</f>
        <v/>
      </c>
      <c r="I1059">
        <f>IF($H1059="","",COUNTIFS(CalcBank,$G1059,CalcKey,"&lt;"&amp;$H1059)+1)</f>
        <v/>
      </c>
      <c r="J1059">
        <f>IF($I1059="","",$G1059&amp;"|"&amp;RIGHT("000000"&amp;$I1059,6))</f>
        <v/>
      </c>
      <c r="K1059">
        <f>IF(OR($E1059="",$E1059="نامعتبر"),"",LEFT($E1059,4)&amp;"/"&amp;MID($E1059,6,2))</f>
        <v/>
      </c>
      <c r="L1059">
        <f>IF(Entry!$K1059="",0,Entry!$K1059)</f>
        <v/>
      </c>
      <c r="M1059">
        <f>IF(Entry!$L1059="",0,Entry!$L1059)</f>
        <v/>
      </c>
    </row>
    <row r="1060">
      <c r="A1060">
        <f>IF(Entry!$C1060="","",Entry!$C1060)</f>
        <v/>
      </c>
      <c r="B1060">
        <f>IF($A1060="","",IF(ISNUMBER($A1060),IF(AND($A1060&gt;=10000101,$A1060&lt;=99991231),INT($A1060/10000),""),IFERROR(VALUE(TRIM(LEFT($A1060,FIND("/",$A1060)-1))),"")))</f>
        <v/>
      </c>
      <c r="C1060">
        <f>IF(OR($A1060="",$B1060=""),"",IF(ISNUMBER($A1060),INT(MOD($A1060,10000)/100),IFERROR(VALUE(TRIM(LEFT(MID($A1060,FIND("/",$A1060)+1,20),FIND("/",MID($A1060,FIND("/",$A1060)+1,20))-1))),"")))</f>
        <v/>
      </c>
      <c r="D1060">
        <f>IF(OR($A1060="",$B1060=""),"",IF(ISNUMBER($A1060),MOD($A1060,100),IFERROR(VALUE(TRIM(MID(MID($A1060,FIND("/",$A1060)+1,20),FIND("/",MID($A1060,FIND("/",$A1060)+1,20))+1,20))),"")))</f>
        <v/>
      </c>
      <c r="E1060">
        <f>IF($A1060="","",IF(OR($B1060="",$C1060="",$D1060="",$B1060&lt;1300,$B1060&gt;1500,$C1060&lt;1,$C1060&gt;12,$D1060&lt;1,$D1060&gt;31),"نامعتبر",RIGHT("0000"&amp;$B1060,4)&amp;"/"&amp;RIGHT("00"&amp;$C1060,2)&amp;"/"&amp;RIGHT("00"&amp;$D1060,2)))</f>
        <v/>
      </c>
      <c r="F1060">
        <f>IF(Entry!$D1060&lt;&gt;"",IF(AND(ISNUMBER(Entry!$D1060),Entry!$D1060&gt;=0,Entry!$D1060&lt;1),RIGHT("00"&amp;HOUR(Entry!$D1060),2)&amp;":"&amp;RIGHT("00"&amp;MINUTE(Entry!$D1060),2),IFERROR(RIGHT("00"&amp;VALUE(TRIM(LEFT(Entry!$D1060,FIND(":",Entry!$D1060)-1))),2)&amp;":"&amp;RIGHT("00"&amp;VALUE(TRIM(MID(Entry!$D1060,FIND(":",Entry!$D1060)+1,2))),2),"نامعتبر")),IF(OR($E1060="",$E1060="نامعتبر"),"","00:00"))</f>
        <v/>
      </c>
      <c r="G1060">
        <f>IF(OR($E1060="",$E1060="نامعتبر"),"",IF(Entry!$E1060="","",LEFT(UPPER(TRIM(Entry!$E1060)),6)))</f>
        <v/>
      </c>
      <c r="H1060">
        <f>IF($G1060="","",RIGHT($E1060,4)&amp;MID($E1060,6,2)&amp;RIGHT($E1060,2)&amp;IF($F1060="","0000",IF($F1060="نامعتبر","9999",LEFT($F1060,2)&amp;RIGHT($F1060,2)))&amp;"|"&amp;RIGHT("00000"&amp;1052,5))</f>
        <v/>
      </c>
      <c r="I1060">
        <f>IF($H1060="","",COUNTIFS(CalcBank,$G1060,CalcKey,"&lt;"&amp;$H1060)+1)</f>
        <v/>
      </c>
      <c r="J1060">
        <f>IF($I1060="","",$G1060&amp;"|"&amp;RIGHT("000000"&amp;$I1060,6))</f>
        <v/>
      </c>
      <c r="K1060">
        <f>IF(OR($E1060="",$E1060="نامعتبر"),"",LEFT($E1060,4)&amp;"/"&amp;MID($E1060,6,2))</f>
        <v/>
      </c>
      <c r="L1060">
        <f>IF(Entry!$K1060="",0,Entry!$K1060)</f>
        <v/>
      </c>
      <c r="M1060">
        <f>IF(Entry!$L1060="",0,Entry!$L1060)</f>
        <v/>
      </c>
    </row>
    <row r="1061">
      <c r="A1061">
        <f>IF(Entry!$C1061="","",Entry!$C1061)</f>
        <v/>
      </c>
      <c r="B1061">
        <f>IF($A1061="","",IF(ISNUMBER($A1061),IF(AND($A1061&gt;=10000101,$A1061&lt;=99991231),INT($A1061/10000),""),IFERROR(VALUE(TRIM(LEFT($A1061,FIND("/",$A1061)-1))),"")))</f>
        <v/>
      </c>
      <c r="C1061">
        <f>IF(OR($A1061="",$B1061=""),"",IF(ISNUMBER($A1061),INT(MOD($A1061,10000)/100),IFERROR(VALUE(TRIM(LEFT(MID($A1061,FIND("/",$A1061)+1,20),FIND("/",MID($A1061,FIND("/",$A1061)+1,20))-1))),"")))</f>
        <v/>
      </c>
      <c r="D1061">
        <f>IF(OR($A1061="",$B1061=""),"",IF(ISNUMBER($A1061),MOD($A1061,100),IFERROR(VALUE(TRIM(MID(MID($A1061,FIND("/",$A1061)+1,20),FIND("/",MID($A1061,FIND("/",$A1061)+1,20))+1,20))),"")))</f>
        <v/>
      </c>
      <c r="E1061">
        <f>IF($A1061="","",IF(OR($B1061="",$C1061="",$D1061="",$B1061&lt;1300,$B1061&gt;1500,$C1061&lt;1,$C1061&gt;12,$D1061&lt;1,$D1061&gt;31),"نامعتبر",RIGHT("0000"&amp;$B1061,4)&amp;"/"&amp;RIGHT("00"&amp;$C1061,2)&amp;"/"&amp;RIGHT("00"&amp;$D1061,2)))</f>
        <v/>
      </c>
      <c r="F1061">
        <f>IF(Entry!$D1061&lt;&gt;"",IF(AND(ISNUMBER(Entry!$D1061),Entry!$D1061&gt;=0,Entry!$D1061&lt;1),RIGHT("00"&amp;HOUR(Entry!$D1061),2)&amp;":"&amp;RIGHT("00"&amp;MINUTE(Entry!$D1061),2),IFERROR(RIGHT("00"&amp;VALUE(TRIM(LEFT(Entry!$D1061,FIND(":",Entry!$D1061)-1))),2)&amp;":"&amp;RIGHT("00"&amp;VALUE(TRIM(MID(Entry!$D1061,FIND(":",Entry!$D1061)+1,2))),2),"نامعتبر")),IF(OR($E1061="",$E1061="نامعتبر"),"","00:00"))</f>
        <v/>
      </c>
      <c r="G1061">
        <f>IF(OR($E1061="",$E1061="نامعتبر"),"",IF(Entry!$E1061="","",LEFT(UPPER(TRIM(Entry!$E1061)),6)))</f>
        <v/>
      </c>
      <c r="H1061">
        <f>IF($G1061="","",RIGHT($E1061,4)&amp;MID($E1061,6,2)&amp;RIGHT($E1061,2)&amp;IF($F1061="","0000",IF($F1061="نامعتبر","9999",LEFT($F1061,2)&amp;RIGHT($F1061,2)))&amp;"|"&amp;RIGHT("00000"&amp;1053,5))</f>
        <v/>
      </c>
      <c r="I1061">
        <f>IF($H1061="","",COUNTIFS(CalcBank,$G1061,CalcKey,"&lt;"&amp;$H1061)+1)</f>
        <v/>
      </c>
      <c r="J1061">
        <f>IF($I1061="","",$G1061&amp;"|"&amp;RIGHT("000000"&amp;$I1061,6))</f>
        <v/>
      </c>
      <c r="K1061">
        <f>IF(OR($E1061="",$E1061="نامعتبر"),"",LEFT($E1061,4)&amp;"/"&amp;MID($E1061,6,2))</f>
        <v/>
      </c>
      <c r="L1061">
        <f>IF(Entry!$K1061="",0,Entry!$K1061)</f>
        <v/>
      </c>
      <c r="M1061">
        <f>IF(Entry!$L1061="",0,Entry!$L1061)</f>
        <v/>
      </c>
    </row>
    <row r="1062">
      <c r="A1062">
        <f>IF(Entry!$C1062="","",Entry!$C1062)</f>
        <v/>
      </c>
      <c r="B1062">
        <f>IF($A1062="","",IF(ISNUMBER($A1062),IF(AND($A1062&gt;=10000101,$A1062&lt;=99991231),INT($A1062/10000),""),IFERROR(VALUE(TRIM(LEFT($A1062,FIND("/",$A1062)-1))),"")))</f>
        <v/>
      </c>
      <c r="C1062">
        <f>IF(OR($A1062="",$B1062=""),"",IF(ISNUMBER($A1062),INT(MOD($A1062,10000)/100),IFERROR(VALUE(TRIM(LEFT(MID($A1062,FIND("/",$A1062)+1,20),FIND("/",MID($A1062,FIND("/",$A1062)+1,20))-1))),"")))</f>
        <v/>
      </c>
      <c r="D1062">
        <f>IF(OR($A1062="",$B1062=""),"",IF(ISNUMBER($A1062),MOD($A1062,100),IFERROR(VALUE(TRIM(MID(MID($A1062,FIND("/",$A1062)+1,20),FIND("/",MID($A1062,FIND("/",$A1062)+1,20))+1,20))),"")))</f>
        <v/>
      </c>
      <c r="E1062">
        <f>IF($A1062="","",IF(OR($B1062="",$C1062="",$D1062="",$B1062&lt;1300,$B1062&gt;1500,$C1062&lt;1,$C1062&gt;12,$D1062&lt;1,$D1062&gt;31),"نامعتبر",RIGHT("0000"&amp;$B1062,4)&amp;"/"&amp;RIGHT("00"&amp;$C1062,2)&amp;"/"&amp;RIGHT("00"&amp;$D1062,2)))</f>
        <v/>
      </c>
      <c r="F1062">
        <f>IF(Entry!$D1062&lt;&gt;"",IF(AND(ISNUMBER(Entry!$D1062),Entry!$D1062&gt;=0,Entry!$D1062&lt;1),RIGHT("00"&amp;HOUR(Entry!$D1062),2)&amp;":"&amp;RIGHT("00"&amp;MINUTE(Entry!$D1062),2),IFERROR(RIGHT("00"&amp;VALUE(TRIM(LEFT(Entry!$D1062,FIND(":",Entry!$D1062)-1))),2)&amp;":"&amp;RIGHT("00"&amp;VALUE(TRIM(MID(Entry!$D1062,FIND(":",Entry!$D1062)+1,2))),2),"نامعتبر")),IF(OR($E1062="",$E1062="نامعتبر"),"","00:00"))</f>
        <v/>
      </c>
      <c r="G1062">
        <f>IF(OR($E1062="",$E1062="نامعتبر"),"",IF(Entry!$E1062="","",LEFT(UPPER(TRIM(Entry!$E1062)),6)))</f>
        <v/>
      </c>
      <c r="H1062">
        <f>IF($G1062="","",RIGHT($E1062,4)&amp;MID($E1062,6,2)&amp;RIGHT($E1062,2)&amp;IF($F1062="","0000",IF($F1062="نامعتبر","9999",LEFT($F1062,2)&amp;RIGHT($F1062,2)))&amp;"|"&amp;RIGHT("00000"&amp;1054,5))</f>
        <v/>
      </c>
      <c r="I1062">
        <f>IF($H1062="","",COUNTIFS(CalcBank,$G1062,CalcKey,"&lt;"&amp;$H1062)+1)</f>
        <v/>
      </c>
      <c r="J1062">
        <f>IF($I1062="","",$G1062&amp;"|"&amp;RIGHT("000000"&amp;$I1062,6))</f>
        <v/>
      </c>
      <c r="K1062">
        <f>IF(OR($E1062="",$E1062="نامعتبر"),"",LEFT($E1062,4)&amp;"/"&amp;MID($E1062,6,2))</f>
        <v/>
      </c>
      <c r="L1062">
        <f>IF(Entry!$K1062="",0,Entry!$K1062)</f>
        <v/>
      </c>
      <c r="M1062">
        <f>IF(Entry!$L1062="",0,Entry!$L1062)</f>
        <v/>
      </c>
    </row>
    <row r="1063">
      <c r="A1063">
        <f>IF(Entry!$C1063="","",Entry!$C1063)</f>
        <v/>
      </c>
      <c r="B1063">
        <f>IF($A1063="","",IF(ISNUMBER($A1063),IF(AND($A1063&gt;=10000101,$A1063&lt;=99991231),INT($A1063/10000),""),IFERROR(VALUE(TRIM(LEFT($A1063,FIND("/",$A1063)-1))),"")))</f>
        <v/>
      </c>
      <c r="C1063">
        <f>IF(OR($A1063="",$B1063=""),"",IF(ISNUMBER($A1063),INT(MOD($A1063,10000)/100),IFERROR(VALUE(TRIM(LEFT(MID($A1063,FIND("/",$A1063)+1,20),FIND("/",MID($A1063,FIND("/",$A1063)+1,20))-1))),"")))</f>
        <v/>
      </c>
      <c r="D1063">
        <f>IF(OR($A1063="",$B1063=""),"",IF(ISNUMBER($A1063),MOD($A1063,100),IFERROR(VALUE(TRIM(MID(MID($A1063,FIND("/",$A1063)+1,20),FIND("/",MID($A1063,FIND("/",$A1063)+1,20))+1,20))),"")))</f>
        <v/>
      </c>
      <c r="E1063">
        <f>IF($A1063="","",IF(OR($B1063="",$C1063="",$D1063="",$B1063&lt;1300,$B1063&gt;1500,$C1063&lt;1,$C1063&gt;12,$D1063&lt;1,$D1063&gt;31),"نامعتبر",RIGHT("0000"&amp;$B1063,4)&amp;"/"&amp;RIGHT("00"&amp;$C1063,2)&amp;"/"&amp;RIGHT("00"&amp;$D1063,2)))</f>
        <v/>
      </c>
      <c r="F1063">
        <f>IF(Entry!$D1063&lt;&gt;"",IF(AND(ISNUMBER(Entry!$D1063),Entry!$D1063&gt;=0,Entry!$D1063&lt;1),RIGHT("00"&amp;HOUR(Entry!$D1063),2)&amp;":"&amp;RIGHT("00"&amp;MINUTE(Entry!$D1063),2),IFERROR(RIGHT("00"&amp;VALUE(TRIM(LEFT(Entry!$D1063,FIND(":",Entry!$D1063)-1))),2)&amp;":"&amp;RIGHT("00"&amp;VALUE(TRIM(MID(Entry!$D1063,FIND(":",Entry!$D1063)+1,2))),2),"نامعتبر")),IF(OR($E1063="",$E1063="نامعتبر"),"","00:00"))</f>
        <v/>
      </c>
      <c r="G1063">
        <f>IF(OR($E1063="",$E1063="نامعتبر"),"",IF(Entry!$E1063="","",LEFT(UPPER(TRIM(Entry!$E1063)),6)))</f>
        <v/>
      </c>
      <c r="H1063">
        <f>IF($G1063="","",RIGHT($E1063,4)&amp;MID($E1063,6,2)&amp;RIGHT($E1063,2)&amp;IF($F1063="","0000",IF($F1063="نامعتبر","9999",LEFT($F1063,2)&amp;RIGHT($F1063,2)))&amp;"|"&amp;RIGHT("00000"&amp;1055,5))</f>
        <v/>
      </c>
      <c r="I1063">
        <f>IF($H1063="","",COUNTIFS(CalcBank,$G1063,CalcKey,"&lt;"&amp;$H1063)+1)</f>
        <v/>
      </c>
      <c r="J1063">
        <f>IF($I1063="","",$G1063&amp;"|"&amp;RIGHT("000000"&amp;$I1063,6))</f>
        <v/>
      </c>
      <c r="K1063">
        <f>IF(OR($E1063="",$E1063="نامعتبر"),"",LEFT($E1063,4)&amp;"/"&amp;MID($E1063,6,2))</f>
        <v/>
      </c>
      <c r="L1063">
        <f>IF(Entry!$K1063="",0,Entry!$K1063)</f>
        <v/>
      </c>
      <c r="M1063">
        <f>IF(Entry!$L1063="",0,Entry!$L1063)</f>
        <v/>
      </c>
    </row>
    <row r="1064">
      <c r="A1064">
        <f>IF(Entry!$C1064="","",Entry!$C1064)</f>
        <v/>
      </c>
      <c r="B1064">
        <f>IF($A1064="","",IF(ISNUMBER($A1064),IF(AND($A1064&gt;=10000101,$A1064&lt;=99991231),INT($A1064/10000),""),IFERROR(VALUE(TRIM(LEFT($A1064,FIND("/",$A1064)-1))),"")))</f>
        <v/>
      </c>
      <c r="C1064">
        <f>IF(OR($A1064="",$B1064=""),"",IF(ISNUMBER($A1064),INT(MOD($A1064,10000)/100),IFERROR(VALUE(TRIM(LEFT(MID($A1064,FIND("/",$A1064)+1,20),FIND("/",MID($A1064,FIND("/",$A1064)+1,20))-1))),"")))</f>
        <v/>
      </c>
      <c r="D1064">
        <f>IF(OR($A1064="",$B1064=""),"",IF(ISNUMBER($A1064),MOD($A1064,100),IFERROR(VALUE(TRIM(MID(MID($A1064,FIND("/",$A1064)+1,20),FIND("/",MID($A1064,FIND("/",$A1064)+1,20))+1,20))),"")))</f>
        <v/>
      </c>
      <c r="E1064">
        <f>IF($A1064="","",IF(OR($B1064="",$C1064="",$D1064="",$B1064&lt;1300,$B1064&gt;1500,$C1064&lt;1,$C1064&gt;12,$D1064&lt;1,$D1064&gt;31),"نامعتبر",RIGHT("0000"&amp;$B1064,4)&amp;"/"&amp;RIGHT("00"&amp;$C1064,2)&amp;"/"&amp;RIGHT("00"&amp;$D1064,2)))</f>
        <v/>
      </c>
      <c r="F1064">
        <f>IF(Entry!$D1064&lt;&gt;"",IF(AND(ISNUMBER(Entry!$D1064),Entry!$D1064&gt;=0,Entry!$D1064&lt;1),RIGHT("00"&amp;HOUR(Entry!$D1064),2)&amp;":"&amp;RIGHT("00"&amp;MINUTE(Entry!$D1064),2),IFERROR(RIGHT("00"&amp;VALUE(TRIM(LEFT(Entry!$D1064,FIND(":",Entry!$D1064)-1))),2)&amp;":"&amp;RIGHT("00"&amp;VALUE(TRIM(MID(Entry!$D1064,FIND(":",Entry!$D1064)+1,2))),2),"نامعتبر")),IF(OR($E1064="",$E1064="نامعتبر"),"","00:00"))</f>
        <v/>
      </c>
      <c r="G1064">
        <f>IF(OR($E1064="",$E1064="نامعتبر"),"",IF(Entry!$E1064="","",LEFT(UPPER(TRIM(Entry!$E1064)),6)))</f>
        <v/>
      </c>
      <c r="H1064">
        <f>IF($G1064="","",RIGHT($E1064,4)&amp;MID($E1064,6,2)&amp;RIGHT($E1064,2)&amp;IF($F1064="","0000",IF($F1064="نامعتبر","9999",LEFT($F1064,2)&amp;RIGHT($F1064,2)))&amp;"|"&amp;RIGHT("00000"&amp;1056,5))</f>
        <v/>
      </c>
      <c r="I1064">
        <f>IF($H1064="","",COUNTIFS(CalcBank,$G1064,CalcKey,"&lt;"&amp;$H1064)+1)</f>
        <v/>
      </c>
      <c r="J1064">
        <f>IF($I1064="","",$G1064&amp;"|"&amp;RIGHT("000000"&amp;$I1064,6))</f>
        <v/>
      </c>
      <c r="K1064">
        <f>IF(OR($E1064="",$E1064="نامعتبر"),"",LEFT($E1064,4)&amp;"/"&amp;MID($E1064,6,2))</f>
        <v/>
      </c>
      <c r="L1064">
        <f>IF(Entry!$K1064="",0,Entry!$K1064)</f>
        <v/>
      </c>
      <c r="M1064">
        <f>IF(Entry!$L1064="",0,Entry!$L1064)</f>
        <v/>
      </c>
    </row>
    <row r="1065">
      <c r="A1065">
        <f>IF(Entry!$C1065="","",Entry!$C1065)</f>
        <v/>
      </c>
      <c r="B1065">
        <f>IF($A1065="","",IF(ISNUMBER($A1065),IF(AND($A1065&gt;=10000101,$A1065&lt;=99991231),INT($A1065/10000),""),IFERROR(VALUE(TRIM(LEFT($A1065,FIND("/",$A1065)-1))),"")))</f>
        <v/>
      </c>
      <c r="C1065">
        <f>IF(OR($A1065="",$B1065=""),"",IF(ISNUMBER($A1065),INT(MOD($A1065,10000)/100),IFERROR(VALUE(TRIM(LEFT(MID($A1065,FIND("/",$A1065)+1,20),FIND("/",MID($A1065,FIND("/",$A1065)+1,20))-1))),"")))</f>
        <v/>
      </c>
      <c r="D1065">
        <f>IF(OR($A1065="",$B1065=""),"",IF(ISNUMBER($A1065),MOD($A1065,100),IFERROR(VALUE(TRIM(MID(MID($A1065,FIND("/",$A1065)+1,20),FIND("/",MID($A1065,FIND("/",$A1065)+1,20))+1,20))),"")))</f>
        <v/>
      </c>
      <c r="E1065">
        <f>IF($A1065="","",IF(OR($B1065="",$C1065="",$D1065="",$B1065&lt;1300,$B1065&gt;1500,$C1065&lt;1,$C1065&gt;12,$D1065&lt;1,$D1065&gt;31),"نامعتبر",RIGHT("0000"&amp;$B1065,4)&amp;"/"&amp;RIGHT("00"&amp;$C1065,2)&amp;"/"&amp;RIGHT("00"&amp;$D1065,2)))</f>
        <v/>
      </c>
      <c r="F1065">
        <f>IF(Entry!$D1065&lt;&gt;"",IF(AND(ISNUMBER(Entry!$D1065),Entry!$D1065&gt;=0,Entry!$D1065&lt;1),RIGHT("00"&amp;HOUR(Entry!$D1065),2)&amp;":"&amp;RIGHT("00"&amp;MINUTE(Entry!$D1065),2),IFERROR(RIGHT("00"&amp;VALUE(TRIM(LEFT(Entry!$D1065,FIND(":",Entry!$D1065)-1))),2)&amp;":"&amp;RIGHT("00"&amp;VALUE(TRIM(MID(Entry!$D1065,FIND(":",Entry!$D1065)+1,2))),2),"نامعتبر")),IF(OR($E1065="",$E1065="نامعتبر"),"","00:00"))</f>
        <v/>
      </c>
      <c r="G1065">
        <f>IF(OR($E1065="",$E1065="نامعتبر"),"",IF(Entry!$E1065="","",LEFT(UPPER(TRIM(Entry!$E1065)),6)))</f>
        <v/>
      </c>
      <c r="H1065">
        <f>IF($G1065="","",RIGHT($E1065,4)&amp;MID($E1065,6,2)&amp;RIGHT($E1065,2)&amp;IF($F1065="","0000",IF($F1065="نامعتبر","9999",LEFT($F1065,2)&amp;RIGHT($F1065,2)))&amp;"|"&amp;RIGHT("00000"&amp;1057,5))</f>
        <v/>
      </c>
      <c r="I1065">
        <f>IF($H1065="","",COUNTIFS(CalcBank,$G1065,CalcKey,"&lt;"&amp;$H1065)+1)</f>
        <v/>
      </c>
      <c r="J1065">
        <f>IF($I1065="","",$G1065&amp;"|"&amp;RIGHT("000000"&amp;$I1065,6))</f>
        <v/>
      </c>
      <c r="K1065">
        <f>IF(OR($E1065="",$E1065="نامعتبر"),"",LEFT($E1065,4)&amp;"/"&amp;MID($E1065,6,2))</f>
        <v/>
      </c>
      <c r="L1065">
        <f>IF(Entry!$K1065="",0,Entry!$K1065)</f>
        <v/>
      </c>
      <c r="M1065">
        <f>IF(Entry!$L1065="",0,Entry!$L1065)</f>
        <v/>
      </c>
    </row>
    <row r="1066">
      <c r="A1066">
        <f>IF(Entry!$C1066="","",Entry!$C1066)</f>
        <v/>
      </c>
      <c r="B1066">
        <f>IF($A1066="","",IF(ISNUMBER($A1066),IF(AND($A1066&gt;=10000101,$A1066&lt;=99991231),INT($A1066/10000),""),IFERROR(VALUE(TRIM(LEFT($A1066,FIND("/",$A1066)-1))),"")))</f>
        <v/>
      </c>
      <c r="C1066">
        <f>IF(OR($A1066="",$B1066=""),"",IF(ISNUMBER($A1066),INT(MOD($A1066,10000)/100),IFERROR(VALUE(TRIM(LEFT(MID($A1066,FIND("/",$A1066)+1,20),FIND("/",MID($A1066,FIND("/",$A1066)+1,20))-1))),"")))</f>
        <v/>
      </c>
      <c r="D1066">
        <f>IF(OR($A1066="",$B1066=""),"",IF(ISNUMBER($A1066),MOD($A1066,100),IFERROR(VALUE(TRIM(MID(MID($A1066,FIND("/",$A1066)+1,20),FIND("/",MID($A1066,FIND("/",$A1066)+1,20))+1,20))),"")))</f>
        <v/>
      </c>
      <c r="E1066">
        <f>IF($A1066="","",IF(OR($B1066="",$C1066="",$D1066="",$B1066&lt;1300,$B1066&gt;1500,$C1066&lt;1,$C1066&gt;12,$D1066&lt;1,$D1066&gt;31),"نامعتبر",RIGHT("0000"&amp;$B1066,4)&amp;"/"&amp;RIGHT("00"&amp;$C1066,2)&amp;"/"&amp;RIGHT("00"&amp;$D1066,2)))</f>
        <v/>
      </c>
      <c r="F1066">
        <f>IF(Entry!$D1066&lt;&gt;"",IF(AND(ISNUMBER(Entry!$D1066),Entry!$D1066&gt;=0,Entry!$D1066&lt;1),RIGHT("00"&amp;HOUR(Entry!$D1066),2)&amp;":"&amp;RIGHT("00"&amp;MINUTE(Entry!$D1066),2),IFERROR(RIGHT("00"&amp;VALUE(TRIM(LEFT(Entry!$D1066,FIND(":",Entry!$D1066)-1))),2)&amp;":"&amp;RIGHT("00"&amp;VALUE(TRIM(MID(Entry!$D1066,FIND(":",Entry!$D1066)+1,2))),2),"نامعتبر")),IF(OR($E1066="",$E1066="نامعتبر"),"","00:00"))</f>
        <v/>
      </c>
      <c r="G1066">
        <f>IF(OR($E1066="",$E1066="نامعتبر"),"",IF(Entry!$E1066="","",LEFT(UPPER(TRIM(Entry!$E1066)),6)))</f>
        <v/>
      </c>
      <c r="H1066">
        <f>IF($G1066="","",RIGHT($E1066,4)&amp;MID($E1066,6,2)&amp;RIGHT($E1066,2)&amp;IF($F1066="","0000",IF($F1066="نامعتبر","9999",LEFT($F1066,2)&amp;RIGHT($F1066,2)))&amp;"|"&amp;RIGHT("00000"&amp;1058,5))</f>
        <v/>
      </c>
      <c r="I1066">
        <f>IF($H1066="","",COUNTIFS(CalcBank,$G1066,CalcKey,"&lt;"&amp;$H1066)+1)</f>
        <v/>
      </c>
      <c r="J1066">
        <f>IF($I1066="","",$G1066&amp;"|"&amp;RIGHT("000000"&amp;$I1066,6))</f>
        <v/>
      </c>
      <c r="K1066">
        <f>IF(OR($E1066="",$E1066="نامعتبر"),"",LEFT($E1066,4)&amp;"/"&amp;MID($E1066,6,2))</f>
        <v/>
      </c>
      <c r="L1066">
        <f>IF(Entry!$K1066="",0,Entry!$K1066)</f>
        <v/>
      </c>
      <c r="M1066">
        <f>IF(Entry!$L1066="",0,Entry!$L1066)</f>
        <v/>
      </c>
    </row>
    <row r="1067">
      <c r="A1067">
        <f>IF(Entry!$C1067="","",Entry!$C1067)</f>
        <v/>
      </c>
      <c r="B1067">
        <f>IF($A1067="","",IF(ISNUMBER($A1067),IF(AND($A1067&gt;=10000101,$A1067&lt;=99991231),INT($A1067/10000),""),IFERROR(VALUE(TRIM(LEFT($A1067,FIND("/",$A1067)-1))),"")))</f>
        <v/>
      </c>
      <c r="C1067">
        <f>IF(OR($A1067="",$B1067=""),"",IF(ISNUMBER($A1067),INT(MOD($A1067,10000)/100),IFERROR(VALUE(TRIM(LEFT(MID($A1067,FIND("/",$A1067)+1,20),FIND("/",MID($A1067,FIND("/",$A1067)+1,20))-1))),"")))</f>
        <v/>
      </c>
      <c r="D1067">
        <f>IF(OR($A1067="",$B1067=""),"",IF(ISNUMBER($A1067),MOD($A1067,100),IFERROR(VALUE(TRIM(MID(MID($A1067,FIND("/",$A1067)+1,20),FIND("/",MID($A1067,FIND("/",$A1067)+1,20))+1,20))),"")))</f>
        <v/>
      </c>
      <c r="E1067">
        <f>IF($A1067="","",IF(OR($B1067="",$C1067="",$D1067="",$B1067&lt;1300,$B1067&gt;1500,$C1067&lt;1,$C1067&gt;12,$D1067&lt;1,$D1067&gt;31),"نامعتبر",RIGHT("0000"&amp;$B1067,4)&amp;"/"&amp;RIGHT("00"&amp;$C1067,2)&amp;"/"&amp;RIGHT("00"&amp;$D1067,2)))</f>
        <v/>
      </c>
      <c r="F1067">
        <f>IF(Entry!$D1067&lt;&gt;"",IF(AND(ISNUMBER(Entry!$D1067),Entry!$D1067&gt;=0,Entry!$D1067&lt;1),RIGHT("00"&amp;HOUR(Entry!$D1067),2)&amp;":"&amp;RIGHT("00"&amp;MINUTE(Entry!$D1067),2),IFERROR(RIGHT("00"&amp;VALUE(TRIM(LEFT(Entry!$D1067,FIND(":",Entry!$D1067)-1))),2)&amp;":"&amp;RIGHT("00"&amp;VALUE(TRIM(MID(Entry!$D1067,FIND(":",Entry!$D1067)+1,2))),2),"نامعتبر")),IF(OR($E1067="",$E1067="نامعتبر"),"","00:00"))</f>
        <v/>
      </c>
      <c r="G1067">
        <f>IF(OR($E1067="",$E1067="نامعتبر"),"",IF(Entry!$E1067="","",LEFT(UPPER(TRIM(Entry!$E1067)),6)))</f>
        <v/>
      </c>
      <c r="H1067">
        <f>IF($G1067="","",RIGHT($E1067,4)&amp;MID($E1067,6,2)&amp;RIGHT($E1067,2)&amp;IF($F1067="","0000",IF($F1067="نامعتبر","9999",LEFT($F1067,2)&amp;RIGHT($F1067,2)))&amp;"|"&amp;RIGHT("00000"&amp;1059,5))</f>
        <v/>
      </c>
      <c r="I1067">
        <f>IF($H1067="","",COUNTIFS(CalcBank,$G1067,CalcKey,"&lt;"&amp;$H1067)+1)</f>
        <v/>
      </c>
      <c r="J1067">
        <f>IF($I1067="","",$G1067&amp;"|"&amp;RIGHT("000000"&amp;$I1067,6))</f>
        <v/>
      </c>
      <c r="K1067">
        <f>IF(OR($E1067="",$E1067="نامعتبر"),"",LEFT($E1067,4)&amp;"/"&amp;MID($E1067,6,2))</f>
        <v/>
      </c>
      <c r="L1067">
        <f>IF(Entry!$K1067="",0,Entry!$K1067)</f>
        <v/>
      </c>
      <c r="M1067">
        <f>IF(Entry!$L1067="",0,Entry!$L1067)</f>
        <v/>
      </c>
    </row>
    <row r="1068">
      <c r="A1068">
        <f>IF(Entry!$C1068="","",Entry!$C1068)</f>
        <v/>
      </c>
      <c r="B1068">
        <f>IF($A1068="","",IF(ISNUMBER($A1068),IF(AND($A1068&gt;=10000101,$A1068&lt;=99991231),INT($A1068/10000),""),IFERROR(VALUE(TRIM(LEFT($A1068,FIND("/",$A1068)-1))),"")))</f>
        <v/>
      </c>
      <c r="C1068">
        <f>IF(OR($A1068="",$B1068=""),"",IF(ISNUMBER($A1068),INT(MOD($A1068,10000)/100),IFERROR(VALUE(TRIM(LEFT(MID($A1068,FIND("/",$A1068)+1,20),FIND("/",MID($A1068,FIND("/",$A1068)+1,20))-1))),"")))</f>
        <v/>
      </c>
      <c r="D1068">
        <f>IF(OR($A1068="",$B1068=""),"",IF(ISNUMBER($A1068),MOD($A1068,100),IFERROR(VALUE(TRIM(MID(MID($A1068,FIND("/",$A1068)+1,20),FIND("/",MID($A1068,FIND("/",$A1068)+1,20))+1,20))),"")))</f>
        <v/>
      </c>
      <c r="E1068">
        <f>IF($A1068="","",IF(OR($B1068="",$C1068="",$D1068="",$B1068&lt;1300,$B1068&gt;1500,$C1068&lt;1,$C1068&gt;12,$D1068&lt;1,$D1068&gt;31),"نامعتبر",RIGHT("0000"&amp;$B1068,4)&amp;"/"&amp;RIGHT("00"&amp;$C1068,2)&amp;"/"&amp;RIGHT("00"&amp;$D1068,2)))</f>
        <v/>
      </c>
      <c r="F1068">
        <f>IF(Entry!$D1068&lt;&gt;"",IF(AND(ISNUMBER(Entry!$D1068),Entry!$D1068&gt;=0,Entry!$D1068&lt;1),RIGHT("00"&amp;HOUR(Entry!$D1068),2)&amp;":"&amp;RIGHT("00"&amp;MINUTE(Entry!$D1068),2),IFERROR(RIGHT("00"&amp;VALUE(TRIM(LEFT(Entry!$D1068,FIND(":",Entry!$D1068)-1))),2)&amp;":"&amp;RIGHT("00"&amp;VALUE(TRIM(MID(Entry!$D1068,FIND(":",Entry!$D1068)+1,2))),2),"نامعتبر")),IF(OR($E1068="",$E1068="نامعتبر"),"","00:00"))</f>
        <v/>
      </c>
      <c r="G1068">
        <f>IF(OR($E1068="",$E1068="نامعتبر"),"",IF(Entry!$E1068="","",LEFT(UPPER(TRIM(Entry!$E1068)),6)))</f>
        <v/>
      </c>
      <c r="H1068">
        <f>IF($G1068="","",RIGHT($E1068,4)&amp;MID($E1068,6,2)&amp;RIGHT($E1068,2)&amp;IF($F1068="","0000",IF($F1068="نامعتبر","9999",LEFT($F1068,2)&amp;RIGHT($F1068,2)))&amp;"|"&amp;RIGHT("00000"&amp;1060,5))</f>
        <v/>
      </c>
      <c r="I1068">
        <f>IF($H1068="","",COUNTIFS(CalcBank,$G1068,CalcKey,"&lt;"&amp;$H1068)+1)</f>
        <v/>
      </c>
      <c r="J1068">
        <f>IF($I1068="","",$G1068&amp;"|"&amp;RIGHT("000000"&amp;$I1068,6))</f>
        <v/>
      </c>
      <c r="K1068">
        <f>IF(OR($E1068="",$E1068="نامعتبر"),"",LEFT($E1068,4)&amp;"/"&amp;MID($E1068,6,2))</f>
        <v/>
      </c>
      <c r="L1068">
        <f>IF(Entry!$K1068="",0,Entry!$K1068)</f>
        <v/>
      </c>
      <c r="M1068">
        <f>IF(Entry!$L1068="",0,Entry!$L1068)</f>
        <v/>
      </c>
    </row>
    <row r="1069">
      <c r="A1069">
        <f>IF(Entry!$C1069="","",Entry!$C1069)</f>
        <v/>
      </c>
      <c r="B1069">
        <f>IF($A1069="","",IF(ISNUMBER($A1069),IF(AND($A1069&gt;=10000101,$A1069&lt;=99991231),INT($A1069/10000),""),IFERROR(VALUE(TRIM(LEFT($A1069,FIND("/",$A1069)-1))),"")))</f>
        <v/>
      </c>
      <c r="C1069">
        <f>IF(OR($A1069="",$B1069=""),"",IF(ISNUMBER($A1069),INT(MOD($A1069,10000)/100),IFERROR(VALUE(TRIM(LEFT(MID($A1069,FIND("/",$A1069)+1,20),FIND("/",MID($A1069,FIND("/",$A1069)+1,20))-1))),"")))</f>
        <v/>
      </c>
      <c r="D1069">
        <f>IF(OR($A1069="",$B1069=""),"",IF(ISNUMBER($A1069),MOD($A1069,100),IFERROR(VALUE(TRIM(MID(MID($A1069,FIND("/",$A1069)+1,20),FIND("/",MID($A1069,FIND("/",$A1069)+1,20))+1,20))),"")))</f>
        <v/>
      </c>
      <c r="E1069">
        <f>IF($A1069="","",IF(OR($B1069="",$C1069="",$D1069="",$B1069&lt;1300,$B1069&gt;1500,$C1069&lt;1,$C1069&gt;12,$D1069&lt;1,$D1069&gt;31),"نامعتبر",RIGHT("0000"&amp;$B1069,4)&amp;"/"&amp;RIGHT("00"&amp;$C1069,2)&amp;"/"&amp;RIGHT("00"&amp;$D1069,2)))</f>
        <v/>
      </c>
      <c r="F1069">
        <f>IF(Entry!$D1069&lt;&gt;"",IF(AND(ISNUMBER(Entry!$D1069),Entry!$D1069&gt;=0,Entry!$D1069&lt;1),RIGHT("00"&amp;HOUR(Entry!$D1069),2)&amp;":"&amp;RIGHT("00"&amp;MINUTE(Entry!$D1069),2),IFERROR(RIGHT("00"&amp;VALUE(TRIM(LEFT(Entry!$D1069,FIND(":",Entry!$D1069)-1))),2)&amp;":"&amp;RIGHT("00"&amp;VALUE(TRIM(MID(Entry!$D1069,FIND(":",Entry!$D1069)+1,2))),2),"نامعتبر")),IF(OR($E1069="",$E1069="نامعتبر"),"","00:00"))</f>
        <v/>
      </c>
      <c r="G1069">
        <f>IF(OR($E1069="",$E1069="نامعتبر"),"",IF(Entry!$E1069="","",LEFT(UPPER(TRIM(Entry!$E1069)),6)))</f>
        <v/>
      </c>
      <c r="H1069">
        <f>IF($G1069="","",RIGHT($E1069,4)&amp;MID($E1069,6,2)&amp;RIGHT($E1069,2)&amp;IF($F1069="","0000",IF($F1069="نامعتبر","9999",LEFT($F1069,2)&amp;RIGHT($F1069,2)))&amp;"|"&amp;RIGHT("00000"&amp;1061,5))</f>
        <v/>
      </c>
      <c r="I1069">
        <f>IF($H1069="","",COUNTIFS(CalcBank,$G1069,CalcKey,"&lt;"&amp;$H1069)+1)</f>
        <v/>
      </c>
      <c r="J1069">
        <f>IF($I1069="","",$G1069&amp;"|"&amp;RIGHT("000000"&amp;$I1069,6))</f>
        <v/>
      </c>
      <c r="K1069">
        <f>IF(OR($E1069="",$E1069="نامعتبر"),"",LEFT($E1069,4)&amp;"/"&amp;MID($E1069,6,2))</f>
        <v/>
      </c>
      <c r="L1069">
        <f>IF(Entry!$K1069="",0,Entry!$K1069)</f>
        <v/>
      </c>
      <c r="M1069">
        <f>IF(Entry!$L1069="",0,Entry!$L1069)</f>
        <v/>
      </c>
    </row>
    <row r="1070">
      <c r="A1070">
        <f>IF(Entry!$C1070="","",Entry!$C1070)</f>
        <v/>
      </c>
      <c r="B1070">
        <f>IF($A1070="","",IF(ISNUMBER($A1070),IF(AND($A1070&gt;=10000101,$A1070&lt;=99991231),INT($A1070/10000),""),IFERROR(VALUE(TRIM(LEFT($A1070,FIND("/",$A1070)-1))),"")))</f>
        <v/>
      </c>
      <c r="C1070">
        <f>IF(OR($A1070="",$B1070=""),"",IF(ISNUMBER($A1070),INT(MOD($A1070,10000)/100),IFERROR(VALUE(TRIM(LEFT(MID($A1070,FIND("/",$A1070)+1,20),FIND("/",MID($A1070,FIND("/",$A1070)+1,20))-1))),"")))</f>
        <v/>
      </c>
      <c r="D1070">
        <f>IF(OR($A1070="",$B1070=""),"",IF(ISNUMBER($A1070),MOD($A1070,100),IFERROR(VALUE(TRIM(MID(MID($A1070,FIND("/",$A1070)+1,20),FIND("/",MID($A1070,FIND("/",$A1070)+1,20))+1,20))),"")))</f>
        <v/>
      </c>
      <c r="E1070">
        <f>IF($A1070="","",IF(OR($B1070="",$C1070="",$D1070="",$B1070&lt;1300,$B1070&gt;1500,$C1070&lt;1,$C1070&gt;12,$D1070&lt;1,$D1070&gt;31),"نامعتبر",RIGHT("0000"&amp;$B1070,4)&amp;"/"&amp;RIGHT("00"&amp;$C1070,2)&amp;"/"&amp;RIGHT("00"&amp;$D1070,2)))</f>
        <v/>
      </c>
      <c r="F1070">
        <f>IF(Entry!$D1070&lt;&gt;"",IF(AND(ISNUMBER(Entry!$D1070),Entry!$D1070&gt;=0,Entry!$D1070&lt;1),RIGHT("00"&amp;HOUR(Entry!$D1070),2)&amp;":"&amp;RIGHT("00"&amp;MINUTE(Entry!$D1070),2),IFERROR(RIGHT("00"&amp;VALUE(TRIM(LEFT(Entry!$D1070,FIND(":",Entry!$D1070)-1))),2)&amp;":"&amp;RIGHT("00"&amp;VALUE(TRIM(MID(Entry!$D1070,FIND(":",Entry!$D1070)+1,2))),2),"نامعتبر")),IF(OR($E1070="",$E1070="نامعتبر"),"","00:00"))</f>
        <v/>
      </c>
      <c r="G1070">
        <f>IF(OR($E1070="",$E1070="نامعتبر"),"",IF(Entry!$E1070="","",LEFT(UPPER(TRIM(Entry!$E1070)),6)))</f>
        <v/>
      </c>
      <c r="H1070">
        <f>IF($G1070="","",RIGHT($E1070,4)&amp;MID($E1070,6,2)&amp;RIGHT($E1070,2)&amp;IF($F1070="","0000",IF($F1070="نامعتبر","9999",LEFT($F1070,2)&amp;RIGHT($F1070,2)))&amp;"|"&amp;RIGHT("00000"&amp;1062,5))</f>
        <v/>
      </c>
      <c r="I1070">
        <f>IF($H1070="","",COUNTIFS(CalcBank,$G1070,CalcKey,"&lt;"&amp;$H1070)+1)</f>
        <v/>
      </c>
      <c r="J1070">
        <f>IF($I1070="","",$G1070&amp;"|"&amp;RIGHT("000000"&amp;$I1070,6))</f>
        <v/>
      </c>
      <c r="K1070">
        <f>IF(OR($E1070="",$E1070="نامعتبر"),"",LEFT($E1070,4)&amp;"/"&amp;MID($E1070,6,2))</f>
        <v/>
      </c>
      <c r="L1070">
        <f>IF(Entry!$K1070="",0,Entry!$K1070)</f>
        <v/>
      </c>
      <c r="M1070">
        <f>IF(Entry!$L1070="",0,Entry!$L1070)</f>
        <v/>
      </c>
    </row>
    <row r="1071">
      <c r="A1071">
        <f>IF(Entry!$C1071="","",Entry!$C1071)</f>
        <v/>
      </c>
      <c r="B1071">
        <f>IF($A1071="","",IF(ISNUMBER($A1071),IF(AND($A1071&gt;=10000101,$A1071&lt;=99991231),INT($A1071/10000),""),IFERROR(VALUE(TRIM(LEFT($A1071,FIND("/",$A1071)-1))),"")))</f>
        <v/>
      </c>
      <c r="C1071">
        <f>IF(OR($A1071="",$B1071=""),"",IF(ISNUMBER($A1071),INT(MOD($A1071,10000)/100),IFERROR(VALUE(TRIM(LEFT(MID($A1071,FIND("/",$A1071)+1,20),FIND("/",MID($A1071,FIND("/",$A1071)+1,20))-1))),"")))</f>
        <v/>
      </c>
      <c r="D1071">
        <f>IF(OR($A1071="",$B1071=""),"",IF(ISNUMBER($A1071),MOD($A1071,100),IFERROR(VALUE(TRIM(MID(MID($A1071,FIND("/",$A1071)+1,20),FIND("/",MID($A1071,FIND("/",$A1071)+1,20))+1,20))),"")))</f>
        <v/>
      </c>
      <c r="E1071">
        <f>IF($A1071="","",IF(OR($B1071="",$C1071="",$D1071="",$B1071&lt;1300,$B1071&gt;1500,$C1071&lt;1,$C1071&gt;12,$D1071&lt;1,$D1071&gt;31),"نامعتبر",RIGHT("0000"&amp;$B1071,4)&amp;"/"&amp;RIGHT("00"&amp;$C1071,2)&amp;"/"&amp;RIGHT("00"&amp;$D1071,2)))</f>
        <v/>
      </c>
      <c r="F1071">
        <f>IF(Entry!$D1071&lt;&gt;"",IF(AND(ISNUMBER(Entry!$D1071),Entry!$D1071&gt;=0,Entry!$D1071&lt;1),RIGHT("00"&amp;HOUR(Entry!$D1071),2)&amp;":"&amp;RIGHT("00"&amp;MINUTE(Entry!$D1071),2),IFERROR(RIGHT("00"&amp;VALUE(TRIM(LEFT(Entry!$D1071,FIND(":",Entry!$D1071)-1))),2)&amp;":"&amp;RIGHT("00"&amp;VALUE(TRIM(MID(Entry!$D1071,FIND(":",Entry!$D1071)+1,2))),2),"نامعتبر")),IF(OR($E1071="",$E1071="نامعتبر"),"","00:00"))</f>
        <v/>
      </c>
      <c r="G1071">
        <f>IF(OR($E1071="",$E1071="نامعتبر"),"",IF(Entry!$E1071="","",LEFT(UPPER(TRIM(Entry!$E1071)),6)))</f>
        <v/>
      </c>
      <c r="H1071">
        <f>IF($G1071="","",RIGHT($E1071,4)&amp;MID($E1071,6,2)&amp;RIGHT($E1071,2)&amp;IF($F1071="","0000",IF($F1071="نامعتبر","9999",LEFT($F1071,2)&amp;RIGHT($F1071,2)))&amp;"|"&amp;RIGHT("00000"&amp;1063,5))</f>
        <v/>
      </c>
      <c r="I1071">
        <f>IF($H1071="","",COUNTIFS(CalcBank,$G1071,CalcKey,"&lt;"&amp;$H1071)+1)</f>
        <v/>
      </c>
      <c r="J1071">
        <f>IF($I1071="","",$G1071&amp;"|"&amp;RIGHT("000000"&amp;$I1071,6))</f>
        <v/>
      </c>
      <c r="K1071">
        <f>IF(OR($E1071="",$E1071="نامعتبر"),"",LEFT($E1071,4)&amp;"/"&amp;MID($E1071,6,2))</f>
        <v/>
      </c>
      <c r="L1071">
        <f>IF(Entry!$K1071="",0,Entry!$K1071)</f>
        <v/>
      </c>
      <c r="M1071">
        <f>IF(Entry!$L1071="",0,Entry!$L1071)</f>
        <v/>
      </c>
    </row>
    <row r="1072">
      <c r="A1072">
        <f>IF(Entry!$C1072="","",Entry!$C1072)</f>
        <v/>
      </c>
      <c r="B1072">
        <f>IF($A1072="","",IF(ISNUMBER($A1072),IF(AND($A1072&gt;=10000101,$A1072&lt;=99991231),INT($A1072/10000),""),IFERROR(VALUE(TRIM(LEFT($A1072,FIND("/",$A1072)-1))),"")))</f>
        <v/>
      </c>
      <c r="C1072">
        <f>IF(OR($A1072="",$B1072=""),"",IF(ISNUMBER($A1072),INT(MOD($A1072,10000)/100),IFERROR(VALUE(TRIM(LEFT(MID($A1072,FIND("/",$A1072)+1,20),FIND("/",MID($A1072,FIND("/",$A1072)+1,20))-1))),"")))</f>
        <v/>
      </c>
      <c r="D1072">
        <f>IF(OR($A1072="",$B1072=""),"",IF(ISNUMBER($A1072),MOD($A1072,100),IFERROR(VALUE(TRIM(MID(MID($A1072,FIND("/",$A1072)+1,20),FIND("/",MID($A1072,FIND("/",$A1072)+1,20))+1,20))),"")))</f>
        <v/>
      </c>
      <c r="E1072">
        <f>IF($A1072="","",IF(OR($B1072="",$C1072="",$D1072="",$B1072&lt;1300,$B1072&gt;1500,$C1072&lt;1,$C1072&gt;12,$D1072&lt;1,$D1072&gt;31),"نامعتبر",RIGHT("0000"&amp;$B1072,4)&amp;"/"&amp;RIGHT("00"&amp;$C1072,2)&amp;"/"&amp;RIGHT("00"&amp;$D1072,2)))</f>
        <v/>
      </c>
      <c r="F1072">
        <f>IF(Entry!$D1072&lt;&gt;"",IF(AND(ISNUMBER(Entry!$D1072),Entry!$D1072&gt;=0,Entry!$D1072&lt;1),RIGHT("00"&amp;HOUR(Entry!$D1072),2)&amp;":"&amp;RIGHT("00"&amp;MINUTE(Entry!$D1072),2),IFERROR(RIGHT("00"&amp;VALUE(TRIM(LEFT(Entry!$D1072,FIND(":",Entry!$D1072)-1))),2)&amp;":"&amp;RIGHT("00"&amp;VALUE(TRIM(MID(Entry!$D1072,FIND(":",Entry!$D1072)+1,2))),2),"نامعتبر")),IF(OR($E1072="",$E1072="نامعتبر"),"","00:00"))</f>
        <v/>
      </c>
      <c r="G1072">
        <f>IF(OR($E1072="",$E1072="نامعتبر"),"",IF(Entry!$E1072="","",LEFT(UPPER(TRIM(Entry!$E1072)),6)))</f>
        <v/>
      </c>
      <c r="H1072">
        <f>IF($G1072="","",RIGHT($E1072,4)&amp;MID($E1072,6,2)&amp;RIGHT($E1072,2)&amp;IF($F1072="","0000",IF($F1072="نامعتبر","9999",LEFT($F1072,2)&amp;RIGHT($F1072,2)))&amp;"|"&amp;RIGHT("00000"&amp;1064,5))</f>
        <v/>
      </c>
      <c r="I1072">
        <f>IF($H1072="","",COUNTIFS(CalcBank,$G1072,CalcKey,"&lt;"&amp;$H1072)+1)</f>
        <v/>
      </c>
      <c r="J1072">
        <f>IF($I1072="","",$G1072&amp;"|"&amp;RIGHT("000000"&amp;$I1072,6))</f>
        <v/>
      </c>
      <c r="K1072">
        <f>IF(OR($E1072="",$E1072="نامعتبر"),"",LEFT($E1072,4)&amp;"/"&amp;MID($E1072,6,2))</f>
        <v/>
      </c>
      <c r="L1072">
        <f>IF(Entry!$K1072="",0,Entry!$K1072)</f>
        <v/>
      </c>
      <c r="M1072">
        <f>IF(Entry!$L1072="",0,Entry!$L1072)</f>
        <v/>
      </c>
    </row>
    <row r="1073">
      <c r="A1073">
        <f>IF(Entry!$C1073="","",Entry!$C1073)</f>
        <v/>
      </c>
      <c r="B1073">
        <f>IF($A1073="","",IF(ISNUMBER($A1073),IF(AND($A1073&gt;=10000101,$A1073&lt;=99991231),INT($A1073/10000),""),IFERROR(VALUE(TRIM(LEFT($A1073,FIND("/",$A1073)-1))),"")))</f>
        <v/>
      </c>
      <c r="C1073">
        <f>IF(OR($A1073="",$B1073=""),"",IF(ISNUMBER($A1073),INT(MOD($A1073,10000)/100),IFERROR(VALUE(TRIM(LEFT(MID($A1073,FIND("/",$A1073)+1,20),FIND("/",MID($A1073,FIND("/",$A1073)+1,20))-1))),"")))</f>
        <v/>
      </c>
      <c r="D1073">
        <f>IF(OR($A1073="",$B1073=""),"",IF(ISNUMBER($A1073),MOD($A1073,100),IFERROR(VALUE(TRIM(MID(MID($A1073,FIND("/",$A1073)+1,20),FIND("/",MID($A1073,FIND("/",$A1073)+1,20))+1,20))),"")))</f>
        <v/>
      </c>
      <c r="E1073">
        <f>IF($A1073="","",IF(OR($B1073="",$C1073="",$D1073="",$B1073&lt;1300,$B1073&gt;1500,$C1073&lt;1,$C1073&gt;12,$D1073&lt;1,$D1073&gt;31),"نامعتبر",RIGHT("0000"&amp;$B1073,4)&amp;"/"&amp;RIGHT("00"&amp;$C1073,2)&amp;"/"&amp;RIGHT("00"&amp;$D1073,2)))</f>
        <v/>
      </c>
      <c r="F1073">
        <f>IF(Entry!$D1073&lt;&gt;"",IF(AND(ISNUMBER(Entry!$D1073),Entry!$D1073&gt;=0,Entry!$D1073&lt;1),RIGHT("00"&amp;HOUR(Entry!$D1073),2)&amp;":"&amp;RIGHT("00"&amp;MINUTE(Entry!$D1073),2),IFERROR(RIGHT("00"&amp;VALUE(TRIM(LEFT(Entry!$D1073,FIND(":",Entry!$D1073)-1))),2)&amp;":"&amp;RIGHT("00"&amp;VALUE(TRIM(MID(Entry!$D1073,FIND(":",Entry!$D1073)+1,2))),2),"نامعتبر")),IF(OR($E1073="",$E1073="نامعتبر"),"","00:00"))</f>
        <v/>
      </c>
      <c r="G1073">
        <f>IF(OR($E1073="",$E1073="نامعتبر"),"",IF(Entry!$E1073="","",LEFT(UPPER(TRIM(Entry!$E1073)),6)))</f>
        <v/>
      </c>
      <c r="H1073">
        <f>IF($G1073="","",RIGHT($E1073,4)&amp;MID($E1073,6,2)&amp;RIGHT($E1073,2)&amp;IF($F1073="","0000",IF($F1073="نامعتبر","9999",LEFT($F1073,2)&amp;RIGHT($F1073,2)))&amp;"|"&amp;RIGHT("00000"&amp;1065,5))</f>
        <v/>
      </c>
      <c r="I1073">
        <f>IF($H1073="","",COUNTIFS(CalcBank,$G1073,CalcKey,"&lt;"&amp;$H1073)+1)</f>
        <v/>
      </c>
      <c r="J1073">
        <f>IF($I1073="","",$G1073&amp;"|"&amp;RIGHT("000000"&amp;$I1073,6))</f>
        <v/>
      </c>
      <c r="K1073">
        <f>IF(OR($E1073="",$E1073="نامعتبر"),"",LEFT($E1073,4)&amp;"/"&amp;MID($E1073,6,2))</f>
        <v/>
      </c>
      <c r="L1073">
        <f>IF(Entry!$K1073="",0,Entry!$K1073)</f>
        <v/>
      </c>
      <c r="M1073">
        <f>IF(Entry!$L1073="",0,Entry!$L1073)</f>
        <v/>
      </c>
    </row>
    <row r="1074">
      <c r="A1074">
        <f>IF(Entry!$C1074="","",Entry!$C1074)</f>
        <v/>
      </c>
      <c r="B1074">
        <f>IF($A1074="","",IF(ISNUMBER($A1074),IF(AND($A1074&gt;=10000101,$A1074&lt;=99991231),INT($A1074/10000),""),IFERROR(VALUE(TRIM(LEFT($A1074,FIND("/",$A1074)-1))),"")))</f>
        <v/>
      </c>
      <c r="C1074">
        <f>IF(OR($A1074="",$B1074=""),"",IF(ISNUMBER($A1074),INT(MOD($A1074,10000)/100),IFERROR(VALUE(TRIM(LEFT(MID($A1074,FIND("/",$A1074)+1,20),FIND("/",MID($A1074,FIND("/",$A1074)+1,20))-1))),"")))</f>
        <v/>
      </c>
      <c r="D1074">
        <f>IF(OR($A1074="",$B1074=""),"",IF(ISNUMBER($A1074),MOD($A1074,100),IFERROR(VALUE(TRIM(MID(MID($A1074,FIND("/",$A1074)+1,20),FIND("/",MID($A1074,FIND("/",$A1074)+1,20))+1,20))),"")))</f>
        <v/>
      </c>
      <c r="E1074">
        <f>IF($A1074="","",IF(OR($B1074="",$C1074="",$D1074="",$B1074&lt;1300,$B1074&gt;1500,$C1074&lt;1,$C1074&gt;12,$D1074&lt;1,$D1074&gt;31),"نامعتبر",RIGHT("0000"&amp;$B1074,4)&amp;"/"&amp;RIGHT("00"&amp;$C1074,2)&amp;"/"&amp;RIGHT("00"&amp;$D1074,2)))</f>
        <v/>
      </c>
      <c r="F1074">
        <f>IF(Entry!$D1074&lt;&gt;"",IF(AND(ISNUMBER(Entry!$D1074),Entry!$D1074&gt;=0,Entry!$D1074&lt;1),RIGHT("00"&amp;HOUR(Entry!$D1074),2)&amp;":"&amp;RIGHT("00"&amp;MINUTE(Entry!$D1074),2),IFERROR(RIGHT("00"&amp;VALUE(TRIM(LEFT(Entry!$D1074,FIND(":",Entry!$D1074)-1))),2)&amp;":"&amp;RIGHT("00"&amp;VALUE(TRIM(MID(Entry!$D1074,FIND(":",Entry!$D1074)+1,2))),2),"نامعتبر")),IF(OR($E1074="",$E1074="نامعتبر"),"","00:00"))</f>
        <v/>
      </c>
      <c r="G1074">
        <f>IF(OR($E1074="",$E1074="نامعتبر"),"",IF(Entry!$E1074="","",LEFT(UPPER(TRIM(Entry!$E1074)),6)))</f>
        <v/>
      </c>
      <c r="H1074">
        <f>IF($G1074="","",RIGHT($E1074,4)&amp;MID($E1074,6,2)&amp;RIGHT($E1074,2)&amp;IF($F1074="","0000",IF($F1074="نامعتبر","9999",LEFT($F1074,2)&amp;RIGHT($F1074,2)))&amp;"|"&amp;RIGHT("00000"&amp;1066,5))</f>
        <v/>
      </c>
      <c r="I1074">
        <f>IF($H1074="","",COUNTIFS(CalcBank,$G1074,CalcKey,"&lt;"&amp;$H1074)+1)</f>
        <v/>
      </c>
      <c r="J1074">
        <f>IF($I1074="","",$G1074&amp;"|"&amp;RIGHT("000000"&amp;$I1074,6))</f>
        <v/>
      </c>
      <c r="K1074">
        <f>IF(OR($E1074="",$E1074="نامعتبر"),"",LEFT($E1074,4)&amp;"/"&amp;MID($E1074,6,2))</f>
        <v/>
      </c>
      <c r="L1074">
        <f>IF(Entry!$K1074="",0,Entry!$K1074)</f>
        <v/>
      </c>
      <c r="M1074">
        <f>IF(Entry!$L1074="",0,Entry!$L1074)</f>
        <v/>
      </c>
    </row>
    <row r="1075">
      <c r="A1075">
        <f>IF(Entry!$C1075="","",Entry!$C1075)</f>
        <v/>
      </c>
      <c r="B1075">
        <f>IF($A1075="","",IF(ISNUMBER($A1075),IF(AND($A1075&gt;=10000101,$A1075&lt;=99991231),INT($A1075/10000),""),IFERROR(VALUE(TRIM(LEFT($A1075,FIND("/",$A1075)-1))),"")))</f>
        <v/>
      </c>
      <c r="C1075">
        <f>IF(OR($A1075="",$B1075=""),"",IF(ISNUMBER($A1075),INT(MOD($A1075,10000)/100),IFERROR(VALUE(TRIM(LEFT(MID($A1075,FIND("/",$A1075)+1,20),FIND("/",MID($A1075,FIND("/",$A1075)+1,20))-1))),"")))</f>
        <v/>
      </c>
      <c r="D1075">
        <f>IF(OR($A1075="",$B1075=""),"",IF(ISNUMBER($A1075),MOD($A1075,100),IFERROR(VALUE(TRIM(MID(MID($A1075,FIND("/",$A1075)+1,20),FIND("/",MID($A1075,FIND("/",$A1075)+1,20))+1,20))),"")))</f>
        <v/>
      </c>
      <c r="E1075">
        <f>IF($A1075="","",IF(OR($B1075="",$C1075="",$D1075="",$B1075&lt;1300,$B1075&gt;1500,$C1075&lt;1,$C1075&gt;12,$D1075&lt;1,$D1075&gt;31),"نامعتبر",RIGHT("0000"&amp;$B1075,4)&amp;"/"&amp;RIGHT("00"&amp;$C1075,2)&amp;"/"&amp;RIGHT("00"&amp;$D1075,2)))</f>
        <v/>
      </c>
      <c r="F1075">
        <f>IF(Entry!$D1075&lt;&gt;"",IF(AND(ISNUMBER(Entry!$D1075),Entry!$D1075&gt;=0,Entry!$D1075&lt;1),RIGHT("00"&amp;HOUR(Entry!$D1075),2)&amp;":"&amp;RIGHT("00"&amp;MINUTE(Entry!$D1075),2),IFERROR(RIGHT("00"&amp;VALUE(TRIM(LEFT(Entry!$D1075,FIND(":",Entry!$D1075)-1))),2)&amp;":"&amp;RIGHT("00"&amp;VALUE(TRIM(MID(Entry!$D1075,FIND(":",Entry!$D1075)+1,2))),2),"نامعتبر")),IF(OR($E1075="",$E1075="نامعتبر"),"","00:00"))</f>
        <v/>
      </c>
      <c r="G1075">
        <f>IF(OR($E1075="",$E1075="نامعتبر"),"",IF(Entry!$E1075="","",LEFT(UPPER(TRIM(Entry!$E1075)),6)))</f>
        <v/>
      </c>
      <c r="H1075">
        <f>IF($G1075="","",RIGHT($E1075,4)&amp;MID($E1075,6,2)&amp;RIGHT($E1075,2)&amp;IF($F1075="","0000",IF($F1075="نامعتبر","9999",LEFT($F1075,2)&amp;RIGHT($F1075,2)))&amp;"|"&amp;RIGHT("00000"&amp;1067,5))</f>
        <v/>
      </c>
      <c r="I1075">
        <f>IF($H1075="","",COUNTIFS(CalcBank,$G1075,CalcKey,"&lt;"&amp;$H1075)+1)</f>
        <v/>
      </c>
      <c r="J1075">
        <f>IF($I1075="","",$G1075&amp;"|"&amp;RIGHT("000000"&amp;$I1075,6))</f>
        <v/>
      </c>
      <c r="K1075">
        <f>IF(OR($E1075="",$E1075="نامعتبر"),"",LEFT($E1075,4)&amp;"/"&amp;MID($E1075,6,2))</f>
        <v/>
      </c>
      <c r="L1075">
        <f>IF(Entry!$K1075="",0,Entry!$K1075)</f>
        <v/>
      </c>
      <c r="M1075">
        <f>IF(Entry!$L1075="",0,Entry!$L1075)</f>
        <v/>
      </c>
    </row>
    <row r="1076">
      <c r="A1076">
        <f>IF(Entry!$C1076="","",Entry!$C1076)</f>
        <v/>
      </c>
      <c r="B1076">
        <f>IF($A1076="","",IF(ISNUMBER($A1076),IF(AND($A1076&gt;=10000101,$A1076&lt;=99991231),INT($A1076/10000),""),IFERROR(VALUE(TRIM(LEFT($A1076,FIND("/",$A1076)-1))),"")))</f>
        <v/>
      </c>
      <c r="C1076">
        <f>IF(OR($A1076="",$B1076=""),"",IF(ISNUMBER($A1076),INT(MOD($A1076,10000)/100),IFERROR(VALUE(TRIM(LEFT(MID($A1076,FIND("/",$A1076)+1,20),FIND("/",MID($A1076,FIND("/",$A1076)+1,20))-1))),"")))</f>
        <v/>
      </c>
      <c r="D1076">
        <f>IF(OR($A1076="",$B1076=""),"",IF(ISNUMBER($A1076),MOD($A1076,100),IFERROR(VALUE(TRIM(MID(MID($A1076,FIND("/",$A1076)+1,20),FIND("/",MID($A1076,FIND("/",$A1076)+1,20))+1,20))),"")))</f>
        <v/>
      </c>
      <c r="E1076">
        <f>IF($A1076="","",IF(OR($B1076="",$C1076="",$D1076="",$B1076&lt;1300,$B1076&gt;1500,$C1076&lt;1,$C1076&gt;12,$D1076&lt;1,$D1076&gt;31),"نامعتبر",RIGHT("0000"&amp;$B1076,4)&amp;"/"&amp;RIGHT("00"&amp;$C1076,2)&amp;"/"&amp;RIGHT("00"&amp;$D1076,2)))</f>
        <v/>
      </c>
      <c r="F1076">
        <f>IF(Entry!$D1076&lt;&gt;"",IF(AND(ISNUMBER(Entry!$D1076),Entry!$D1076&gt;=0,Entry!$D1076&lt;1),RIGHT("00"&amp;HOUR(Entry!$D1076),2)&amp;":"&amp;RIGHT("00"&amp;MINUTE(Entry!$D1076),2),IFERROR(RIGHT("00"&amp;VALUE(TRIM(LEFT(Entry!$D1076,FIND(":",Entry!$D1076)-1))),2)&amp;":"&amp;RIGHT("00"&amp;VALUE(TRIM(MID(Entry!$D1076,FIND(":",Entry!$D1076)+1,2))),2),"نامعتبر")),IF(OR($E1076="",$E1076="نامعتبر"),"","00:00"))</f>
        <v/>
      </c>
      <c r="G1076">
        <f>IF(OR($E1076="",$E1076="نامعتبر"),"",IF(Entry!$E1076="","",LEFT(UPPER(TRIM(Entry!$E1076)),6)))</f>
        <v/>
      </c>
      <c r="H1076">
        <f>IF($G1076="","",RIGHT($E1076,4)&amp;MID($E1076,6,2)&amp;RIGHT($E1076,2)&amp;IF($F1076="","0000",IF($F1076="نامعتبر","9999",LEFT($F1076,2)&amp;RIGHT($F1076,2)))&amp;"|"&amp;RIGHT("00000"&amp;1068,5))</f>
        <v/>
      </c>
      <c r="I1076">
        <f>IF($H1076="","",COUNTIFS(CalcBank,$G1076,CalcKey,"&lt;"&amp;$H1076)+1)</f>
        <v/>
      </c>
      <c r="J1076">
        <f>IF($I1076="","",$G1076&amp;"|"&amp;RIGHT("000000"&amp;$I1076,6))</f>
        <v/>
      </c>
      <c r="K1076">
        <f>IF(OR($E1076="",$E1076="نامعتبر"),"",LEFT($E1076,4)&amp;"/"&amp;MID($E1076,6,2))</f>
        <v/>
      </c>
      <c r="L1076">
        <f>IF(Entry!$K1076="",0,Entry!$K1076)</f>
        <v/>
      </c>
      <c r="M1076">
        <f>IF(Entry!$L1076="",0,Entry!$L1076)</f>
        <v/>
      </c>
    </row>
    <row r="1077">
      <c r="A1077">
        <f>IF(Entry!$C1077="","",Entry!$C1077)</f>
        <v/>
      </c>
      <c r="B1077">
        <f>IF($A1077="","",IF(ISNUMBER($A1077),IF(AND($A1077&gt;=10000101,$A1077&lt;=99991231),INT($A1077/10000),""),IFERROR(VALUE(TRIM(LEFT($A1077,FIND("/",$A1077)-1))),"")))</f>
        <v/>
      </c>
      <c r="C1077">
        <f>IF(OR($A1077="",$B1077=""),"",IF(ISNUMBER($A1077),INT(MOD($A1077,10000)/100),IFERROR(VALUE(TRIM(LEFT(MID($A1077,FIND("/",$A1077)+1,20),FIND("/",MID($A1077,FIND("/",$A1077)+1,20))-1))),"")))</f>
        <v/>
      </c>
      <c r="D1077">
        <f>IF(OR($A1077="",$B1077=""),"",IF(ISNUMBER($A1077),MOD($A1077,100),IFERROR(VALUE(TRIM(MID(MID($A1077,FIND("/",$A1077)+1,20),FIND("/",MID($A1077,FIND("/",$A1077)+1,20))+1,20))),"")))</f>
        <v/>
      </c>
      <c r="E1077">
        <f>IF($A1077="","",IF(OR($B1077="",$C1077="",$D1077="",$B1077&lt;1300,$B1077&gt;1500,$C1077&lt;1,$C1077&gt;12,$D1077&lt;1,$D1077&gt;31),"نامعتبر",RIGHT("0000"&amp;$B1077,4)&amp;"/"&amp;RIGHT("00"&amp;$C1077,2)&amp;"/"&amp;RIGHT("00"&amp;$D1077,2)))</f>
        <v/>
      </c>
      <c r="F1077">
        <f>IF(Entry!$D1077&lt;&gt;"",IF(AND(ISNUMBER(Entry!$D1077),Entry!$D1077&gt;=0,Entry!$D1077&lt;1),RIGHT("00"&amp;HOUR(Entry!$D1077),2)&amp;":"&amp;RIGHT("00"&amp;MINUTE(Entry!$D1077),2),IFERROR(RIGHT("00"&amp;VALUE(TRIM(LEFT(Entry!$D1077,FIND(":",Entry!$D1077)-1))),2)&amp;":"&amp;RIGHT("00"&amp;VALUE(TRIM(MID(Entry!$D1077,FIND(":",Entry!$D1077)+1,2))),2),"نامعتبر")),IF(OR($E1077="",$E1077="نامعتبر"),"","00:00"))</f>
        <v/>
      </c>
      <c r="G1077">
        <f>IF(OR($E1077="",$E1077="نامعتبر"),"",IF(Entry!$E1077="","",LEFT(UPPER(TRIM(Entry!$E1077)),6)))</f>
        <v/>
      </c>
      <c r="H1077">
        <f>IF($G1077="","",RIGHT($E1077,4)&amp;MID($E1077,6,2)&amp;RIGHT($E1077,2)&amp;IF($F1077="","0000",IF($F1077="نامعتبر","9999",LEFT($F1077,2)&amp;RIGHT($F1077,2)))&amp;"|"&amp;RIGHT("00000"&amp;1069,5))</f>
        <v/>
      </c>
      <c r="I1077">
        <f>IF($H1077="","",COUNTIFS(CalcBank,$G1077,CalcKey,"&lt;"&amp;$H1077)+1)</f>
        <v/>
      </c>
      <c r="J1077">
        <f>IF($I1077="","",$G1077&amp;"|"&amp;RIGHT("000000"&amp;$I1077,6))</f>
        <v/>
      </c>
      <c r="K1077">
        <f>IF(OR($E1077="",$E1077="نامعتبر"),"",LEFT($E1077,4)&amp;"/"&amp;MID($E1077,6,2))</f>
        <v/>
      </c>
      <c r="L1077">
        <f>IF(Entry!$K1077="",0,Entry!$K1077)</f>
        <v/>
      </c>
      <c r="M1077">
        <f>IF(Entry!$L1077="",0,Entry!$L1077)</f>
        <v/>
      </c>
    </row>
    <row r="1078">
      <c r="A1078">
        <f>IF(Entry!$C1078="","",Entry!$C1078)</f>
        <v/>
      </c>
      <c r="B1078">
        <f>IF($A1078="","",IF(ISNUMBER($A1078),IF(AND($A1078&gt;=10000101,$A1078&lt;=99991231),INT($A1078/10000),""),IFERROR(VALUE(TRIM(LEFT($A1078,FIND("/",$A1078)-1))),"")))</f>
        <v/>
      </c>
      <c r="C1078">
        <f>IF(OR($A1078="",$B1078=""),"",IF(ISNUMBER($A1078),INT(MOD($A1078,10000)/100),IFERROR(VALUE(TRIM(LEFT(MID($A1078,FIND("/",$A1078)+1,20),FIND("/",MID($A1078,FIND("/",$A1078)+1,20))-1))),"")))</f>
        <v/>
      </c>
      <c r="D1078">
        <f>IF(OR($A1078="",$B1078=""),"",IF(ISNUMBER($A1078),MOD($A1078,100),IFERROR(VALUE(TRIM(MID(MID($A1078,FIND("/",$A1078)+1,20),FIND("/",MID($A1078,FIND("/",$A1078)+1,20))+1,20))),"")))</f>
        <v/>
      </c>
      <c r="E1078">
        <f>IF($A1078="","",IF(OR($B1078="",$C1078="",$D1078="",$B1078&lt;1300,$B1078&gt;1500,$C1078&lt;1,$C1078&gt;12,$D1078&lt;1,$D1078&gt;31),"نامعتبر",RIGHT("0000"&amp;$B1078,4)&amp;"/"&amp;RIGHT("00"&amp;$C1078,2)&amp;"/"&amp;RIGHT("00"&amp;$D1078,2)))</f>
        <v/>
      </c>
      <c r="F1078">
        <f>IF(Entry!$D1078&lt;&gt;"",IF(AND(ISNUMBER(Entry!$D1078),Entry!$D1078&gt;=0,Entry!$D1078&lt;1),RIGHT("00"&amp;HOUR(Entry!$D1078),2)&amp;":"&amp;RIGHT("00"&amp;MINUTE(Entry!$D1078),2),IFERROR(RIGHT("00"&amp;VALUE(TRIM(LEFT(Entry!$D1078,FIND(":",Entry!$D1078)-1))),2)&amp;":"&amp;RIGHT("00"&amp;VALUE(TRIM(MID(Entry!$D1078,FIND(":",Entry!$D1078)+1,2))),2),"نامعتبر")),IF(OR($E1078="",$E1078="نامعتبر"),"","00:00"))</f>
        <v/>
      </c>
      <c r="G1078">
        <f>IF(OR($E1078="",$E1078="نامعتبر"),"",IF(Entry!$E1078="","",LEFT(UPPER(TRIM(Entry!$E1078)),6)))</f>
        <v/>
      </c>
      <c r="H1078">
        <f>IF($G1078="","",RIGHT($E1078,4)&amp;MID($E1078,6,2)&amp;RIGHT($E1078,2)&amp;IF($F1078="","0000",IF($F1078="نامعتبر","9999",LEFT($F1078,2)&amp;RIGHT($F1078,2)))&amp;"|"&amp;RIGHT("00000"&amp;1070,5))</f>
        <v/>
      </c>
      <c r="I1078">
        <f>IF($H1078="","",COUNTIFS(CalcBank,$G1078,CalcKey,"&lt;"&amp;$H1078)+1)</f>
        <v/>
      </c>
      <c r="J1078">
        <f>IF($I1078="","",$G1078&amp;"|"&amp;RIGHT("000000"&amp;$I1078,6))</f>
        <v/>
      </c>
      <c r="K1078">
        <f>IF(OR($E1078="",$E1078="نامعتبر"),"",LEFT($E1078,4)&amp;"/"&amp;MID($E1078,6,2))</f>
        <v/>
      </c>
      <c r="L1078">
        <f>IF(Entry!$K1078="",0,Entry!$K1078)</f>
        <v/>
      </c>
      <c r="M1078">
        <f>IF(Entry!$L1078="",0,Entry!$L1078)</f>
        <v/>
      </c>
    </row>
    <row r="1079">
      <c r="A1079">
        <f>IF(Entry!$C1079="","",Entry!$C1079)</f>
        <v/>
      </c>
      <c r="B1079">
        <f>IF($A1079="","",IF(ISNUMBER($A1079),IF(AND($A1079&gt;=10000101,$A1079&lt;=99991231),INT($A1079/10000),""),IFERROR(VALUE(TRIM(LEFT($A1079,FIND("/",$A1079)-1))),"")))</f>
        <v/>
      </c>
      <c r="C1079">
        <f>IF(OR($A1079="",$B1079=""),"",IF(ISNUMBER($A1079),INT(MOD($A1079,10000)/100),IFERROR(VALUE(TRIM(LEFT(MID($A1079,FIND("/",$A1079)+1,20),FIND("/",MID($A1079,FIND("/",$A1079)+1,20))-1))),"")))</f>
        <v/>
      </c>
      <c r="D1079">
        <f>IF(OR($A1079="",$B1079=""),"",IF(ISNUMBER($A1079),MOD($A1079,100),IFERROR(VALUE(TRIM(MID(MID($A1079,FIND("/",$A1079)+1,20),FIND("/",MID($A1079,FIND("/",$A1079)+1,20))+1,20))),"")))</f>
        <v/>
      </c>
      <c r="E1079">
        <f>IF($A1079="","",IF(OR($B1079="",$C1079="",$D1079="",$B1079&lt;1300,$B1079&gt;1500,$C1079&lt;1,$C1079&gt;12,$D1079&lt;1,$D1079&gt;31),"نامعتبر",RIGHT("0000"&amp;$B1079,4)&amp;"/"&amp;RIGHT("00"&amp;$C1079,2)&amp;"/"&amp;RIGHT("00"&amp;$D1079,2)))</f>
        <v/>
      </c>
      <c r="F1079">
        <f>IF(Entry!$D1079&lt;&gt;"",IF(AND(ISNUMBER(Entry!$D1079),Entry!$D1079&gt;=0,Entry!$D1079&lt;1),RIGHT("00"&amp;HOUR(Entry!$D1079),2)&amp;":"&amp;RIGHT("00"&amp;MINUTE(Entry!$D1079),2),IFERROR(RIGHT("00"&amp;VALUE(TRIM(LEFT(Entry!$D1079,FIND(":",Entry!$D1079)-1))),2)&amp;":"&amp;RIGHT("00"&amp;VALUE(TRIM(MID(Entry!$D1079,FIND(":",Entry!$D1079)+1,2))),2),"نامعتبر")),IF(OR($E1079="",$E1079="نامعتبر"),"","00:00"))</f>
        <v/>
      </c>
      <c r="G1079">
        <f>IF(OR($E1079="",$E1079="نامعتبر"),"",IF(Entry!$E1079="","",LEFT(UPPER(TRIM(Entry!$E1079)),6)))</f>
        <v/>
      </c>
      <c r="H1079">
        <f>IF($G1079="","",RIGHT($E1079,4)&amp;MID($E1079,6,2)&amp;RIGHT($E1079,2)&amp;IF($F1079="","0000",IF($F1079="نامعتبر","9999",LEFT($F1079,2)&amp;RIGHT($F1079,2)))&amp;"|"&amp;RIGHT("00000"&amp;1071,5))</f>
        <v/>
      </c>
      <c r="I1079">
        <f>IF($H1079="","",COUNTIFS(CalcBank,$G1079,CalcKey,"&lt;"&amp;$H1079)+1)</f>
        <v/>
      </c>
      <c r="J1079">
        <f>IF($I1079="","",$G1079&amp;"|"&amp;RIGHT("000000"&amp;$I1079,6))</f>
        <v/>
      </c>
      <c r="K1079">
        <f>IF(OR($E1079="",$E1079="نامعتبر"),"",LEFT($E1079,4)&amp;"/"&amp;MID($E1079,6,2))</f>
        <v/>
      </c>
      <c r="L1079">
        <f>IF(Entry!$K1079="",0,Entry!$K1079)</f>
        <v/>
      </c>
      <c r="M1079">
        <f>IF(Entry!$L1079="",0,Entry!$L1079)</f>
        <v/>
      </c>
    </row>
    <row r="1080">
      <c r="A1080">
        <f>IF(Entry!$C1080="","",Entry!$C1080)</f>
        <v/>
      </c>
      <c r="B1080">
        <f>IF($A1080="","",IF(ISNUMBER($A1080),IF(AND($A1080&gt;=10000101,$A1080&lt;=99991231),INT($A1080/10000),""),IFERROR(VALUE(TRIM(LEFT($A1080,FIND("/",$A1080)-1))),"")))</f>
        <v/>
      </c>
      <c r="C1080">
        <f>IF(OR($A1080="",$B1080=""),"",IF(ISNUMBER($A1080),INT(MOD($A1080,10000)/100),IFERROR(VALUE(TRIM(LEFT(MID($A1080,FIND("/",$A1080)+1,20),FIND("/",MID($A1080,FIND("/",$A1080)+1,20))-1))),"")))</f>
        <v/>
      </c>
      <c r="D1080">
        <f>IF(OR($A1080="",$B1080=""),"",IF(ISNUMBER($A1080),MOD($A1080,100),IFERROR(VALUE(TRIM(MID(MID($A1080,FIND("/",$A1080)+1,20),FIND("/",MID($A1080,FIND("/",$A1080)+1,20))+1,20))),"")))</f>
        <v/>
      </c>
      <c r="E1080">
        <f>IF($A1080="","",IF(OR($B1080="",$C1080="",$D1080="",$B1080&lt;1300,$B1080&gt;1500,$C1080&lt;1,$C1080&gt;12,$D1080&lt;1,$D1080&gt;31),"نامعتبر",RIGHT("0000"&amp;$B1080,4)&amp;"/"&amp;RIGHT("00"&amp;$C1080,2)&amp;"/"&amp;RIGHT("00"&amp;$D1080,2)))</f>
        <v/>
      </c>
      <c r="F1080">
        <f>IF(Entry!$D1080&lt;&gt;"",IF(AND(ISNUMBER(Entry!$D1080),Entry!$D1080&gt;=0,Entry!$D1080&lt;1),RIGHT("00"&amp;HOUR(Entry!$D1080),2)&amp;":"&amp;RIGHT("00"&amp;MINUTE(Entry!$D1080),2),IFERROR(RIGHT("00"&amp;VALUE(TRIM(LEFT(Entry!$D1080,FIND(":",Entry!$D1080)-1))),2)&amp;":"&amp;RIGHT("00"&amp;VALUE(TRIM(MID(Entry!$D1080,FIND(":",Entry!$D1080)+1,2))),2),"نامعتبر")),IF(OR($E1080="",$E1080="نامعتبر"),"","00:00"))</f>
        <v/>
      </c>
      <c r="G1080">
        <f>IF(OR($E1080="",$E1080="نامعتبر"),"",IF(Entry!$E1080="","",LEFT(UPPER(TRIM(Entry!$E1080)),6)))</f>
        <v/>
      </c>
      <c r="H1080">
        <f>IF($G1080="","",RIGHT($E1080,4)&amp;MID($E1080,6,2)&amp;RIGHT($E1080,2)&amp;IF($F1080="","0000",IF($F1080="نامعتبر","9999",LEFT($F1080,2)&amp;RIGHT($F1080,2)))&amp;"|"&amp;RIGHT("00000"&amp;1072,5))</f>
        <v/>
      </c>
      <c r="I1080">
        <f>IF($H1080="","",COUNTIFS(CalcBank,$G1080,CalcKey,"&lt;"&amp;$H1080)+1)</f>
        <v/>
      </c>
      <c r="J1080">
        <f>IF($I1080="","",$G1080&amp;"|"&amp;RIGHT("000000"&amp;$I1080,6))</f>
        <v/>
      </c>
      <c r="K1080">
        <f>IF(OR($E1080="",$E1080="نامعتبر"),"",LEFT($E1080,4)&amp;"/"&amp;MID($E1080,6,2))</f>
        <v/>
      </c>
      <c r="L1080">
        <f>IF(Entry!$K1080="",0,Entry!$K1080)</f>
        <v/>
      </c>
      <c r="M1080">
        <f>IF(Entry!$L1080="",0,Entry!$L1080)</f>
        <v/>
      </c>
    </row>
    <row r="1081">
      <c r="A1081">
        <f>IF(Entry!$C1081="","",Entry!$C1081)</f>
        <v/>
      </c>
      <c r="B1081">
        <f>IF($A1081="","",IF(ISNUMBER($A1081),IF(AND($A1081&gt;=10000101,$A1081&lt;=99991231),INT($A1081/10000),""),IFERROR(VALUE(TRIM(LEFT($A1081,FIND("/",$A1081)-1))),"")))</f>
        <v/>
      </c>
      <c r="C1081">
        <f>IF(OR($A1081="",$B1081=""),"",IF(ISNUMBER($A1081),INT(MOD($A1081,10000)/100),IFERROR(VALUE(TRIM(LEFT(MID($A1081,FIND("/",$A1081)+1,20),FIND("/",MID($A1081,FIND("/",$A1081)+1,20))-1))),"")))</f>
        <v/>
      </c>
      <c r="D1081">
        <f>IF(OR($A1081="",$B1081=""),"",IF(ISNUMBER($A1081),MOD($A1081,100),IFERROR(VALUE(TRIM(MID(MID($A1081,FIND("/",$A1081)+1,20),FIND("/",MID($A1081,FIND("/",$A1081)+1,20))+1,20))),"")))</f>
        <v/>
      </c>
      <c r="E1081">
        <f>IF($A1081="","",IF(OR($B1081="",$C1081="",$D1081="",$B1081&lt;1300,$B1081&gt;1500,$C1081&lt;1,$C1081&gt;12,$D1081&lt;1,$D1081&gt;31),"نامعتبر",RIGHT("0000"&amp;$B1081,4)&amp;"/"&amp;RIGHT("00"&amp;$C1081,2)&amp;"/"&amp;RIGHT("00"&amp;$D1081,2)))</f>
        <v/>
      </c>
      <c r="F1081">
        <f>IF(Entry!$D1081&lt;&gt;"",IF(AND(ISNUMBER(Entry!$D1081),Entry!$D1081&gt;=0,Entry!$D1081&lt;1),RIGHT("00"&amp;HOUR(Entry!$D1081),2)&amp;":"&amp;RIGHT("00"&amp;MINUTE(Entry!$D1081),2),IFERROR(RIGHT("00"&amp;VALUE(TRIM(LEFT(Entry!$D1081,FIND(":",Entry!$D1081)-1))),2)&amp;":"&amp;RIGHT("00"&amp;VALUE(TRIM(MID(Entry!$D1081,FIND(":",Entry!$D1081)+1,2))),2),"نامعتبر")),IF(OR($E1081="",$E1081="نامعتبر"),"","00:00"))</f>
        <v/>
      </c>
      <c r="G1081">
        <f>IF(OR($E1081="",$E1081="نامعتبر"),"",IF(Entry!$E1081="","",LEFT(UPPER(TRIM(Entry!$E1081)),6)))</f>
        <v/>
      </c>
      <c r="H1081">
        <f>IF($G1081="","",RIGHT($E1081,4)&amp;MID($E1081,6,2)&amp;RIGHT($E1081,2)&amp;IF($F1081="","0000",IF($F1081="نامعتبر","9999",LEFT($F1081,2)&amp;RIGHT($F1081,2)))&amp;"|"&amp;RIGHT("00000"&amp;1073,5))</f>
        <v/>
      </c>
      <c r="I1081">
        <f>IF($H1081="","",COUNTIFS(CalcBank,$G1081,CalcKey,"&lt;"&amp;$H1081)+1)</f>
        <v/>
      </c>
      <c r="J1081">
        <f>IF($I1081="","",$G1081&amp;"|"&amp;RIGHT("000000"&amp;$I1081,6))</f>
        <v/>
      </c>
      <c r="K1081">
        <f>IF(OR($E1081="",$E1081="نامعتبر"),"",LEFT($E1081,4)&amp;"/"&amp;MID($E1081,6,2))</f>
        <v/>
      </c>
      <c r="L1081">
        <f>IF(Entry!$K1081="",0,Entry!$K1081)</f>
        <v/>
      </c>
      <c r="M1081">
        <f>IF(Entry!$L1081="",0,Entry!$L1081)</f>
        <v/>
      </c>
    </row>
    <row r="1082">
      <c r="A1082">
        <f>IF(Entry!$C1082="","",Entry!$C1082)</f>
        <v/>
      </c>
      <c r="B1082">
        <f>IF($A1082="","",IF(ISNUMBER($A1082),IF(AND($A1082&gt;=10000101,$A1082&lt;=99991231),INT($A1082/10000),""),IFERROR(VALUE(TRIM(LEFT($A1082,FIND("/",$A1082)-1))),"")))</f>
        <v/>
      </c>
      <c r="C1082">
        <f>IF(OR($A1082="",$B1082=""),"",IF(ISNUMBER($A1082),INT(MOD($A1082,10000)/100),IFERROR(VALUE(TRIM(LEFT(MID($A1082,FIND("/",$A1082)+1,20),FIND("/",MID($A1082,FIND("/",$A1082)+1,20))-1))),"")))</f>
        <v/>
      </c>
      <c r="D1082">
        <f>IF(OR($A1082="",$B1082=""),"",IF(ISNUMBER($A1082),MOD($A1082,100),IFERROR(VALUE(TRIM(MID(MID($A1082,FIND("/",$A1082)+1,20),FIND("/",MID($A1082,FIND("/",$A1082)+1,20))+1,20))),"")))</f>
        <v/>
      </c>
      <c r="E1082">
        <f>IF($A1082="","",IF(OR($B1082="",$C1082="",$D1082="",$B1082&lt;1300,$B1082&gt;1500,$C1082&lt;1,$C1082&gt;12,$D1082&lt;1,$D1082&gt;31),"نامعتبر",RIGHT("0000"&amp;$B1082,4)&amp;"/"&amp;RIGHT("00"&amp;$C1082,2)&amp;"/"&amp;RIGHT("00"&amp;$D1082,2)))</f>
        <v/>
      </c>
      <c r="F1082">
        <f>IF(Entry!$D1082&lt;&gt;"",IF(AND(ISNUMBER(Entry!$D1082),Entry!$D1082&gt;=0,Entry!$D1082&lt;1),RIGHT("00"&amp;HOUR(Entry!$D1082),2)&amp;":"&amp;RIGHT("00"&amp;MINUTE(Entry!$D1082),2),IFERROR(RIGHT("00"&amp;VALUE(TRIM(LEFT(Entry!$D1082,FIND(":",Entry!$D1082)-1))),2)&amp;":"&amp;RIGHT("00"&amp;VALUE(TRIM(MID(Entry!$D1082,FIND(":",Entry!$D1082)+1,2))),2),"نامعتبر")),IF(OR($E1082="",$E1082="نامعتبر"),"","00:00"))</f>
        <v/>
      </c>
      <c r="G1082">
        <f>IF(OR($E1082="",$E1082="نامعتبر"),"",IF(Entry!$E1082="","",LEFT(UPPER(TRIM(Entry!$E1082)),6)))</f>
        <v/>
      </c>
      <c r="H1082">
        <f>IF($G1082="","",RIGHT($E1082,4)&amp;MID($E1082,6,2)&amp;RIGHT($E1082,2)&amp;IF($F1082="","0000",IF($F1082="نامعتبر","9999",LEFT($F1082,2)&amp;RIGHT($F1082,2)))&amp;"|"&amp;RIGHT("00000"&amp;1074,5))</f>
        <v/>
      </c>
      <c r="I1082">
        <f>IF($H1082="","",COUNTIFS(CalcBank,$G1082,CalcKey,"&lt;"&amp;$H1082)+1)</f>
        <v/>
      </c>
      <c r="J1082">
        <f>IF($I1082="","",$G1082&amp;"|"&amp;RIGHT("000000"&amp;$I1082,6))</f>
        <v/>
      </c>
      <c r="K1082">
        <f>IF(OR($E1082="",$E1082="نامعتبر"),"",LEFT($E1082,4)&amp;"/"&amp;MID($E1082,6,2))</f>
        <v/>
      </c>
      <c r="L1082">
        <f>IF(Entry!$K1082="",0,Entry!$K1082)</f>
        <v/>
      </c>
      <c r="M1082">
        <f>IF(Entry!$L1082="",0,Entry!$L1082)</f>
        <v/>
      </c>
    </row>
    <row r="1083">
      <c r="A1083">
        <f>IF(Entry!$C1083="","",Entry!$C1083)</f>
        <v/>
      </c>
      <c r="B1083">
        <f>IF($A1083="","",IF(ISNUMBER($A1083),IF(AND($A1083&gt;=10000101,$A1083&lt;=99991231),INT($A1083/10000),""),IFERROR(VALUE(TRIM(LEFT($A1083,FIND("/",$A1083)-1))),"")))</f>
        <v/>
      </c>
      <c r="C1083">
        <f>IF(OR($A1083="",$B1083=""),"",IF(ISNUMBER($A1083),INT(MOD($A1083,10000)/100),IFERROR(VALUE(TRIM(LEFT(MID($A1083,FIND("/",$A1083)+1,20),FIND("/",MID($A1083,FIND("/",$A1083)+1,20))-1))),"")))</f>
        <v/>
      </c>
      <c r="D1083">
        <f>IF(OR($A1083="",$B1083=""),"",IF(ISNUMBER($A1083),MOD($A1083,100),IFERROR(VALUE(TRIM(MID(MID($A1083,FIND("/",$A1083)+1,20),FIND("/",MID($A1083,FIND("/",$A1083)+1,20))+1,20))),"")))</f>
        <v/>
      </c>
      <c r="E1083">
        <f>IF($A1083="","",IF(OR($B1083="",$C1083="",$D1083="",$B1083&lt;1300,$B1083&gt;1500,$C1083&lt;1,$C1083&gt;12,$D1083&lt;1,$D1083&gt;31),"نامعتبر",RIGHT("0000"&amp;$B1083,4)&amp;"/"&amp;RIGHT("00"&amp;$C1083,2)&amp;"/"&amp;RIGHT("00"&amp;$D1083,2)))</f>
        <v/>
      </c>
      <c r="F1083">
        <f>IF(Entry!$D1083&lt;&gt;"",IF(AND(ISNUMBER(Entry!$D1083),Entry!$D1083&gt;=0,Entry!$D1083&lt;1),RIGHT("00"&amp;HOUR(Entry!$D1083),2)&amp;":"&amp;RIGHT("00"&amp;MINUTE(Entry!$D1083),2),IFERROR(RIGHT("00"&amp;VALUE(TRIM(LEFT(Entry!$D1083,FIND(":",Entry!$D1083)-1))),2)&amp;":"&amp;RIGHT("00"&amp;VALUE(TRIM(MID(Entry!$D1083,FIND(":",Entry!$D1083)+1,2))),2),"نامعتبر")),IF(OR($E1083="",$E1083="نامعتبر"),"","00:00"))</f>
        <v/>
      </c>
      <c r="G1083">
        <f>IF(OR($E1083="",$E1083="نامعتبر"),"",IF(Entry!$E1083="","",LEFT(UPPER(TRIM(Entry!$E1083)),6)))</f>
        <v/>
      </c>
      <c r="H1083">
        <f>IF($G1083="","",RIGHT($E1083,4)&amp;MID($E1083,6,2)&amp;RIGHT($E1083,2)&amp;IF($F1083="","0000",IF($F1083="نامعتبر","9999",LEFT($F1083,2)&amp;RIGHT($F1083,2)))&amp;"|"&amp;RIGHT("00000"&amp;1075,5))</f>
        <v/>
      </c>
      <c r="I1083">
        <f>IF($H1083="","",COUNTIFS(CalcBank,$G1083,CalcKey,"&lt;"&amp;$H1083)+1)</f>
        <v/>
      </c>
      <c r="J1083">
        <f>IF($I1083="","",$G1083&amp;"|"&amp;RIGHT("000000"&amp;$I1083,6))</f>
        <v/>
      </c>
      <c r="K1083">
        <f>IF(OR($E1083="",$E1083="نامعتبر"),"",LEFT($E1083,4)&amp;"/"&amp;MID($E1083,6,2))</f>
        <v/>
      </c>
      <c r="L1083">
        <f>IF(Entry!$K1083="",0,Entry!$K1083)</f>
        <v/>
      </c>
      <c r="M1083">
        <f>IF(Entry!$L1083="",0,Entry!$L1083)</f>
        <v/>
      </c>
    </row>
    <row r="1084">
      <c r="A1084">
        <f>IF(Entry!$C1084="","",Entry!$C1084)</f>
        <v/>
      </c>
      <c r="B1084">
        <f>IF($A1084="","",IF(ISNUMBER($A1084),IF(AND($A1084&gt;=10000101,$A1084&lt;=99991231),INT($A1084/10000),""),IFERROR(VALUE(TRIM(LEFT($A1084,FIND("/",$A1084)-1))),"")))</f>
        <v/>
      </c>
      <c r="C1084">
        <f>IF(OR($A1084="",$B1084=""),"",IF(ISNUMBER($A1084),INT(MOD($A1084,10000)/100),IFERROR(VALUE(TRIM(LEFT(MID($A1084,FIND("/",$A1084)+1,20),FIND("/",MID($A1084,FIND("/",$A1084)+1,20))-1))),"")))</f>
        <v/>
      </c>
      <c r="D1084">
        <f>IF(OR($A1084="",$B1084=""),"",IF(ISNUMBER($A1084),MOD($A1084,100),IFERROR(VALUE(TRIM(MID(MID($A1084,FIND("/",$A1084)+1,20),FIND("/",MID($A1084,FIND("/",$A1084)+1,20))+1,20))),"")))</f>
        <v/>
      </c>
      <c r="E1084">
        <f>IF($A1084="","",IF(OR($B1084="",$C1084="",$D1084="",$B1084&lt;1300,$B1084&gt;1500,$C1084&lt;1,$C1084&gt;12,$D1084&lt;1,$D1084&gt;31),"نامعتبر",RIGHT("0000"&amp;$B1084,4)&amp;"/"&amp;RIGHT("00"&amp;$C1084,2)&amp;"/"&amp;RIGHT("00"&amp;$D1084,2)))</f>
        <v/>
      </c>
      <c r="F1084">
        <f>IF(Entry!$D1084&lt;&gt;"",IF(AND(ISNUMBER(Entry!$D1084),Entry!$D1084&gt;=0,Entry!$D1084&lt;1),RIGHT("00"&amp;HOUR(Entry!$D1084),2)&amp;":"&amp;RIGHT("00"&amp;MINUTE(Entry!$D1084),2),IFERROR(RIGHT("00"&amp;VALUE(TRIM(LEFT(Entry!$D1084,FIND(":",Entry!$D1084)-1))),2)&amp;":"&amp;RIGHT("00"&amp;VALUE(TRIM(MID(Entry!$D1084,FIND(":",Entry!$D1084)+1,2))),2),"نامعتبر")),IF(OR($E1084="",$E1084="نامعتبر"),"","00:00"))</f>
        <v/>
      </c>
      <c r="G1084">
        <f>IF(OR($E1084="",$E1084="نامعتبر"),"",IF(Entry!$E1084="","",LEFT(UPPER(TRIM(Entry!$E1084)),6)))</f>
        <v/>
      </c>
      <c r="H1084">
        <f>IF($G1084="","",RIGHT($E1084,4)&amp;MID($E1084,6,2)&amp;RIGHT($E1084,2)&amp;IF($F1084="","0000",IF($F1084="نامعتبر","9999",LEFT($F1084,2)&amp;RIGHT($F1084,2)))&amp;"|"&amp;RIGHT("00000"&amp;1076,5))</f>
        <v/>
      </c>
      <c r="I1084">
        <f>IF($H1084="","",COUNTIFS(CalcBank,$G1084,CalcKey,"&lt;"&amp;$H1084)+1)</f>
        <v/>
      </c>
      <c r="J1084">
        <f>IF($I1084="","",$G1084&amp;"|"&amp;RIGHT("000000"&amp;$I1084,6))</f>
        <v/>
      </c>
      <c r="K1084">
        <f>IF(OR($E1084="",$E1084="نامعتبر"),"",LEFT($E1084,4)&amp;"/"&amp;MID($E1084,6,2))</f>
        <v/>
      </c>
      <c r="L1084">
        <f>IF(Entry!$K1084="",0,Entry!$K1084)</f>
        <v/>
      </c>
      <c r="M1084">
        <f>IF(Entry!$L1084="",0,Entry!$L1084)</f>
        <v/>
      </c>
    </row>
    <row r="1085">
      <c r="A1085">
        <f>IF(Entry!$C1085="","",Entry!$C1085)</f>
        <v/>
      </c>
      <c r="B1085">
        <f>IF($A1085="","",IF(ISNUMBER($A1085),IF(AND($A1085&gt;=10000101,$A1085&lt;=99991231),INT($A1085/10000),""),IFERROR(VALUE(TRIM(LEFT($A1085,FIND("/",$A1085)-1))),"")))</f>
        <v/>
      </c>
      <c r="C1085">
        <f>IF(OR($A1085="",$B1085=""),"",IF(ISNUMBER($A1085),INT(MOD($A1085,10000)/100),IFERROR(VALUE(TRIM(LEFT(MID($A1085,FIND("/",$A1085)+1,20),FIND("/",MID($A1085,FIND("/",$A1085)+1,20))-1))),"")))</f>
        <v/>
      </c>
      <c r="D1085">
        <f>IF(OR($A1085="",$B1085=""),"",IF(ISNUMBER($A1085),MOD($A1085,100),IFERROR(VALUE(TRIM(MID(MID($A1085,FIND("/",$A1085)+1,20),FIND("/",MID($A1085,FIND("/",$A1085)+1,20))+1,20))),"")))</f>
        <v/>
      </c>
      <c r="E1085">
        <f>IF($A1085="","",IF(OR($B1085="",$C1085="",$D1085="",$B1085&lt;1300,$B1085&gt;1500,$C1085&lt;1,$C1085&gt;12,$D1085&lt;1,$D1085&gt;31),"نامعتبر",RIGHT("0000"&amp;$B1085,4)&amp;"/"&amp;RIGHT("00"&amp;$C1085,2)&amp;"/"&amp;RIGHT("00"&amp;$D1085,2)))</f>
        <v/>
      </c>
      <c r="F1085">
        <f>IF(Entry!$D1085&lt;&gt;"",IF(AND(ISNUMBER(Entry!$D1085),Entry!$D1085&gt;=0,Entry!$D1085&lt;1),RIGHT("00"&amp;HOUR(Entry!$D1085),2)&amp;":"&amp;RIGHT("00"&amp;MINUTE(Entry!$D1085),2),IFERROR(RIGHT("00"&amp;VALUE(TRIM(LEFT(Entry!$D1085,FIND(":",Entry!$D1085)-1))),2)&amp;":"&amp;RIGHT("00"&amp;VALUE(TRIM(MID(Entry!$D1085,FIND(":",Entry!$D1085)+1,2))),2),"نامعتبر")),IF(OR($E1085="",$E1085="نامعتبر"),"","00:00"))</f>
        <v/>
      </c>
      <c r="G1085">
        <f>IF(OR($E1085="",$E1085="نامعتبر"),"",IF(Entry!$E1085="","",LEFT(UPPER(TRIM(Entry!$E1085)),6)))</f>
        <v/>
      </c>
      <c r="H1085">
        <f>IF($G1085="","",RIGHT($E1085,4)&amp;MID($E1085,6,2)&amp;RIGHT($E1085,2)&amp;IF($F1085="","0000",IF($F1085="نامعتبر","9999",LEFT($F1085,2)&amp;RIGHT($F1085,2)))&amp;"|"&amp;RIGHT("00000"&amp;1077,5))</f>
        <v/>
      </c>
      <c r="I1085">
        <f>IF($H1085="","",COUNTIFS(CalcBank,$G1085,CalcKey,"&lt;"&amp;$H1085)+1)</f>
        <v/>
      </c>
      <c r="J1085">
        <f>IF($I1085="","",$G1085&amp;"|"&amp;RIGHT("000000"&amp;$I1085,6))</f>
        <v/>
      </c>
      <c r="K1085">
        <f>IF(OR($E1085="",$E1085="نامعتبر"),"",LEFT($E1085,4)&amp;"/"&amp;MID($E1085,6,2))</f>
        <v/>
      </c>
      <c r="L1085">
        <f>IF(Entry!$K1085="",0,Entry!$K1085)</f>
        <v/>
      </c>
      <c r="M1085">
        <f>IF(Entry!$L1085="",0,Entry!$L1085)</f>
        <v/>
      </c>
    </row>
    <row r="1086">
      <c r="A1086">
        <f>IF(Entry!$C1086="","",Entry!$C1086)</f>
        <v/>
      </c>
      <c r="B1086">
        <f>IF($A1086="","",IF(ISNUMBER($A1086),IF(AND($A1086&gt;=10000101,$A1086&lt;=99991231),INT($A1086/10000),""),IFERROR(VALUE(TRIM(LEFT($A1086,FIND("/",$A1086)-1))),"")))</f>
        <v/>
      </c>
      <c r="C1086">
        <f>IF(OR($A1086="",$B1086=""),"",IF(ISNUMBER($A1086),INT(MOD($A1086,10000)/100),IFERROR(VALUE(TRIM(LEFT(MID($A1086,FIND("/",$A1086)+1,20),FIND("/",MID($A1086,FIND("/",$A1086)+1,20))-1))),"")))</f>
        <v/>
      </c>
      <c r="D1086">
        <f>IF(OR($A1086="",$B1086=""),"",IF(ISNUMBER($A1086),MOD($A1086,100),IFERROR(VALUE(TRIM(MID(MID($A1086,FIND("/",$A1086)+1,20),FIND("/",MID($A1086,FIND("/",$A1086)+1,20))+1,20))),"")))</f>
        <v/>
      </c>
      <c r="E1086">
        <f>IF($A1086="","",IF(OR($B1086="",$C1086="",$D1086="",$B1086&lt;1300,$B1086&gt;1500,$C1086&lt;1,$C1086&gt;12,$D1086&lt;1,$D1086&gt;31),"نامعتبر",RIGHT("0000"&amp;$B1086,4)&amp;"/"&amp;RIGHT("00"&amp;$C1086,2)&amp;"/"&amp;RIGHT("00"&amp;$D1086,2)))</f>
        <v/>
      </c>
      <c r="F1086">
        <f>IF(Entry!$D1086&lt;&gt;"",IF(AND(ISNUMBER(Entry!$D1086),Entry!$D1086&gt;=0,Entry!$D1086&lt;1),RIGHT("00"&amp;HOUR(Entry!$D1086),2)&amp;":"&amp;RIGHT("00"&amp;MINUTE(Entry!$D1086),2),IFERROR(RIGHT("00"&amp;VALUE(TRIM(LEFT(Entry!$D1086,FIND(":",Entry!$D1086)-1))),2)&amp;":"&amp;RIGHT("00"&amp;VALUE(TRIM(MID(Entry!$D1086,FIND(":",Entry!$D1086)+1,2))),2),"نامعتبر")),IF(OR($E1086="",$E1086="نامعتبر"),"","00:00"))</f>
        <v/>
      </c>
      <c r="G1086">
        <f>IF(OR($E1086="",$E1086="نامعتبر"),"",IF(Entry!$E1086="","",LEFT(UPPER(TRIM(Entry!$E1086)),6)))</f>
        <v/>
      </c>
      <c r="H1086">
        <f>IF($G1086="","",RIGHT($E1086,4)&amp;MID($E1086,6,2)&amp;RIGHT($E1086,2)&amp;IF($F1086="","0000",IF($F1086="نامعتبر","9999",LEFT($F1086,2)&amp;RIGHT($F1086,2)))&amp;"|"&amp;RIGHT("00000"&amp;1078,5))</f>
        <v/>
      </c>
      <c r="I1086">
        <f>IF($H1086="","",COUNTIFS(CalcBank,$G1086,CalcKey,"&lt;"&amp;$H1086)+1)</f>
        <v/>
      </c>
      <c r="J1086">
        <f>IF($I1086="","",$G1086&amp;"|"&amp;RIGHT("000000"&amp;$I1086,6))</f>
        <v/>
      </c>
      <c r="K1086">
        <f>IF(OR($E1086="",$E1086="نامعتبر"),"",LEFT($E1086,4)&amp;"/"&amp;MID($E1086,6,2))</f>
        <v/>
      </c>
      <c r="L1086">
        <f>IF(Entry!$K1086="",0,Entry!$K1086)</f>
        <v/>
      </c>
      <c r="M1086">
        <f>IF(Entry!$L1086="",0,Entry!$L1086)</f>
        <v/>
      </c>
    </row>
    <row r="1087">
      <c r="A1087">
        <f>IF(Entry!$C1087="","",Entry!$C1087)</f>
        <v/>
      </c>
      <c r="B1087">
        <f>IF($A1087="","",IF(ISNUMBER($A1087),IF(AND($A1087&gt;=10000101,$A1087&lt;=99991231),INT($A1087/10000),""),IFERROR(VALUE(TRIM(LEFT($A1087,FIND("/",$A1087)-1))),"")))</f>
        <v/>
      </c>
      <c r="C1087">
        <f>IF(OR($A1087="",$B1087=""),"",IF(ISNUMBER($A1087),INT(MOD($A1087,10000)/100),IFERROR(VALUE(TRIM(LEFT(MID($A1087,FIND("/",$A1087)+1,20),FIND("/",MID($A1087,FIND("/",$A1087)+1,20))-1))),"")))</f>
        <v/>
      </c>
      <c r="D1087">
        <f>IF(OR($A1087="",$B1087=""),"",IF(ISNUMBER($A1087),MOD($A1087,100),IFERROR(VALUE(TRIM(MID(MID($A1087,FIND("/",$A1087)+1,20),FIND("/",MID($A1087,FIND("/",$A1087)+1,20))+1,20))),"")))</f>
        <v/>
      </c>
      <c r="E1087">
        <f>IF($A1087="","",IF(OR($B1087="",$C1087="",$D1087="",$B1087&lt;1300,$B1087&gt;1500,$C1087&lt;1,$C1087&gt;12,$D1087&lt;1,$D1087&gt;31),"نامعتبر",RIGHT("0000"&amp;$B1087,4)&amp;"/"&amp;RIGHT("00"&amp;$C1087,2)&amp;"/"&amp;RIGHT("00"&amp;$D1087,2)))</f>
        <v/>
      </c>
      <c r="F1087">
        <f>IF(Entry!$D1087&lt;&gt;"",IF(AND(ISNUMBER(Entry!$D1087),Entry!$D1087&gt;=0,Entry!$D1087&lt;1),RIGHT("00"&amp;HOUR(Entry!$D1087),2)&amp;":"&amp;RIGHT("00"&amp;MINUTE(Entry!$D1087),2),IFERROR(RIGHT("00"&amp;VALUE(TRIM(LEFT(Entry!$D1087,FIND(":",Entry!$D1087)-1))),2)&amp;":"&amp;RIGHT("00"&amp;VALUE(TRIM(MID(Entry!$D1087,FIND(":",Entry!$D1087)+1,2))),2),"نامعتبر")),IF(OR($E1087="",$E1087="نامعتبر"),"","00:00"))</f>
        <v/>
      </c>
      <c r="G1087">
        <f>IF(OR($E1087="",$E1087="نامعتبر"),"",IF(Entry!$E1087="","",LEFT(UPPER(TRIM(Entry!$E1087)),6)))</f>
        <v/>
      </c>
      <c r="H1087">
        <f>IF($G1087="","",RIGHT($E1087,4)&amp;MID($E1087,6,2)&amp;RIGHT($E1087,2)&amp;IF($F1087="","0000",IF($F1087="نامعتبر","9999",LEFT($F1087,2)&amp;RIGHT($F1087,2)))&amp;"|"&amp;RIGHT("00000"&amp;1079,5))</f>
        <v/>
      </c>
      <c r="I1087">
        <f>IF($H1087="","",COUNTIFS(CalcBank,$G1087,CalcKey,"&lt;"&amp;$H1087)+1)</f>
        <v/>
      </c>
      <c r="J1087">
        <f>IF($I1087="","",$G1087&amp;"|"&amp;RIGHT("000000"&amp;$I1087,6))</f>
        <v/>
      </c>
      <c r="K1087">
        <f>IF(OR($E1087="",$E1087="نامعتبر"),"",LEFT($E1087,4)&amp;"/"&amp;MID($E1087,6,2))</f>
        <v/>
      </c>
      <c r="L1087">
        <f>IF(Entry!$K1087="",0,Entry!$K1087)</f>
        <v/>
      </c>
      <c r="M1087">
        <f>IF(Entry!$L1087="",0,Entry!$L1087)</f>
        <v/>
      </c>
    </row>
    <row r="1088">
      <c r="A1088">
        <f>IF(Entry!$C1088="","",Entry!$C1088)</f>
        <v/>
      </c>
      <c r="B1088">
        <f>IF($A1088="","",IF(ISNUMBER($A1088),IF(AND($A1088&gt;=10000101,$A1088&lt;=99991231),INT($A1088/10000),""),IFERROR(VALUE(TRIM(LEFT($A1088,FIND("/",$A1088)-1))),"")))</f>
        <v/>
      </c>
      <c r="C1088">
        <f>IF(OR($A1088="",$B1088=""),"",IF(ISNUMBER($A1088),INT(MOD($A1088,10000)/100),IFERROR(VALUE(TRIM(LEFT(MID($A1088,FIND("/",$A1088)+1,20),FIND("/",MID($A1088,FIND("/",$A1088)+1,20))-1))),"")))</f>
        <v/>
      </c>
      <c r="D1088">
        <f>IF(OR($A1088="",$B1088=""),"",IF(ISNUMBER($A1088),MOD($A1088,100),IFERROR(VALUE(TRIM(MID(MID($A1088,FIND("/",$A1088)+1,20),FIND("/",MID($A1088,FIND("/",$A1088)+1,20))+1,20))),"")))</f>
        <v/>
      </c>
      <c r="E1088">
        <f>IF($A1088="","",IF(OR($B1088="",$C1088="",$D1088="",$B1088&lt;1300,$B1088&gt;1500,$C1088&lt;1,$C1088&gt;12,$D1088&lt;1,$D1088&gt;31),"نامعتبر",RIGHT("0000"&amp;$B1088,4)&amp;"/"&amp;RIGHT("00"&amp;$C1088,2)&amp;"/"&amp;RIGHT("00"&amp;$D1088,2)))</f>
        <v/>
      </c>
      <c r="F1088">
        <f>IF(Entry!$D1088&lt;&gt;"",IF(AND(ISNUMBER(Entry!$D1088),Entry!$D1088&gt;=0,Entry!$D1088&lt;1),RIGHT("00"&amp;HOUR(Entry!$D1088),2)&amp;":"&amp;RIGHT("00"&amp;MINUTE(Entry!$D1088),2),IFERROR(RIGHT("00"&amp;VALUE(TRIM(LEFT(Entry!$D1088,FIND(":",Entry!$D1088)-1))),2)&amp;":"&amp;RIGHT("00"&amp;VALUE(TRIM(MID(Entry!$D1088,FIND(":",Entry!$D1088)+1,2))),2),"نامعتبر")),IF(OR($E1088="",$E1088="نامعتبر"),"","00:00"))</f>
        <v/>
      </c>
      <c r="G1088">
        <f>IF(OR($E1088="",$E1088="نامعتبر"),"",IF(Entry!$E1088="","",LEFT(UPPER(TRIM(Entry!$E1088)),6)))</f>
        <v/>
      </c>
      <c r="H1088">
        <f>IF($G1088="","",RIGHT($E1088,4)&amp;MID($E1088,6,2)&amp;RIGHT($E1088,2)&amp;IF($F1088="","0000",IF($F1088="نامعتبر","9999",LEFT($F1088,2)&amp;RIGHT($F1088,2)))&amp;"|"&amp;RIGHT("00000"&amp;1080,5))</f>
        <v/>
      </c>
      <c r="I1088">
        <f>IF($H1088="","",COUNTIFS(CalcBank,$G1088,CalcKey,"&lt;"&amp;$H1088)+1)</f>
        <v/>
      </c>
      <c r="J1088">
        <f>IF($I1088="","",$G1088&amp;"|"&amp;RIGHT("000000"&amp;$I1088,6))</f>
        <v/>
      </c>
      <c r="K1088">
        <f>IF(OR($E1088="",$E1088="نامعتبر"),"",LEFT($E1088,4)&amp;"/"&amp;MID($E1088,6,2))</f>
        <v/>
      </c>
      <c r="L1088">
        <f>IF(Entry!$K1088="",0,Entry!$K1088)</f>
        <v/>
      </c>
      <c r="M1088">
        <f>IF(Entry!$L1088="",0,Entry!$L1088)</f>
        <v/>
      </c>
    </row>
    <row r="1089">
      <c r="A1089">
        <f>IF(Entry!$C1089="","",Entry!$C1089)</f>
        <v/>
      </c>
      <c r="B1089">
        <f>IF($A1089="","",IF(ISNUMBER($A1089),IF(AND($A1089&gt;=10000101,$A1089&lt;=99991231),INT($A1089/10000),""),IFERROR(VALUE(TRIM(LEFT($A1089,FIND("/",$A1089)-1))),"")))</f>
        <v/>
      </c>
      <c r="C1089">
        <f>IF(OR($A1089="",$B1089=""),"",IF(ISNUMBER($A1089),INT(MOD($A1089,10000)/100),IFERROR(VALUE(TRIM(LEFT(MID($A1089,FIND("/",$A1089)+1,20),FIND("/",MID($A1089,FIND("/",$A1089)+1,20))-1))),"")))</f>
        <v/>
      </c>
      <c r="D1089">
        <f>IF(OR($A1089="",$B1089=""),"",IF(ISNUMBER($A1089),MOD($A1089,100),IFERROR(VALUE(TRIM(MID(MID($A1089,FIND("/",$A1089)+1,20),FIND("/",MID($A1089,FIND("/",$A1089)+1,20))+1,20))),"")))</f>
        <v/>
      </c>
      <c r="E1089">
        <f>IF($A1089="","",IF(OR($B1089="",$C1089="",$D1089="",$B1089&lt;1300,$B1089&gt;1500,$C1089&lt;1,$C1089&gt;12,$D1089&lt;1,$D1089&gt;31),"نامعتبر",RIGHT("0000"&amp;$B1089,4)&amp;"/"&amp;RIGHT("00"&amp;$C1089,2)&amp;"/"&amp;RIGHT("00"&amp;$D1089,2)))</f>
        <v/>
      </c>
      <c r="F1089">
        <f>IF(Entry!$D1089&lt;&gt;"",IF(AND(ISNUMBER(Entry!$D1089),Entry!$D1089&gt;=0,Entry!$D1089&lt;1),RIGHT("00"&amp;HOUR(Entry!$D1089),2)&amp;":"&amp;RIGHT("00"&amp;MINUTE(Entry!$D1089),2),IFERROR(RIGHT("00"&amp;VALUE(TRIM(LEFT(Entry!$D1089,FIND(":",Entry!$D1089)-1))),2)&amp;":"&amp;RIGHT("00"&amp;VALUE(TRIM(MID(Entry!$D1089,FIND(":",Entry!$D1089)+1,2))),2),"نامعتبر")),IF(OR($E1089="",$E1089="نامعتبر"),"","00:00"))</f>
        <v/>
      </c>
      <c r="G1089">
        <f>IF(OR($E1089="",$E1089="نامعتبر"),"",IF(Entry!$E1089="","",LEFT(UPPER(TRIM(Entry!$E1089)),6)))</f>
        <v/>
      </c>
      <c r="H1089">
        <f>IF($G1089="","",RIGHT($E1089,4)&amp;MID($E1089,6,2)&amp;RIGHT($E1089,2)&amp;IF($F1089="","0000",IF($F1089="نامعتبر","9999",LEFT($F1089,2)&amp;RIGHT($F1089,2)))&amp;"|"&amp;RIGHT("00000"&amp;1081,5))</f>
        <v/>
      </c>
      <c r="I1089">
        <f>IF($H1089="","",COUNTIFS(CalcBank,$G1089,CalcKey,"&lt;"&amp;$H1089)+1)</f>
        <v/>
      </c>
      <c r="J1089">
        <f>IF($I1089="","",$G1089&amp;"|"&amp;RIGHT("000000"&amp;$I1089,6))</f>
        <v/>
      </c>
      <c r="K1089">
        <f>IF(OR($E1089="",$E1089="نامعتبر"),"",LEFT($E1089,4)&amp;"/"&amp;MID($E1089,6,2))</f>
        <v/>
      </c>
      <c r="L1089">
        <f>IF(Entry!$K1089="",0,Entry!$K1089)</f>
        <v/>
      </c>
      <c r="M1089">
        <f>IF(Entry!$L1089="",0,Entry!$L1089)</f>
        <v/>
      </c>
    </row>
    <row r="1090">
      <c r="A1090">
        <f>IF(Entry!$C1090="","",Entry!$C1090)</f>
        <v/>
      </c>
      <c r="B1090">
        <f>IF($A1090="","",IF(ISNUMBER($A1090),IF(AND($A1090&gt;=10000101,$A1090&lt;=99991231),INT($A1090/10000),""),IFERROR(VALUE(TRIM(LEFT($A1090,FIND("/",$A1090)-1))),"")))</f>
        <v/>
      </c>
      <c r="C1090">
        <f>IF(OR($A1090="",$B1090=""),"",IF(ISNUMBER($A1090),INT(MOD($A1090,10000)/100),IFERROR(VALUE(TRIM(LEFT(MID($A1090,FIND("/",$A1090)+1,20),FIND("/",MID($A1090,FIND("/",$A1090)+1,20))-1))),"")))</f>
        <v/>
      </c>
      <c r="D1090">
        <f>IF(OR($A1090="",$B1090=""),"",IF(ISNUMBER($A1090),MOD($A1090,100),IFERROR(VALUE(TRIM(MID(MID($A1090,FIND("/",$A1090)+1,20),FIND("/",MID($A1090,FIND("/",$A1090)+1,20))+1,20))),"")))</f>
        <v/>
      </c>
      <c r="E1090">
        <f>IF($A1090="","",IF(OR($B1090="",$C1090="",$D1090="",$B1090&lt;1300,$B1090&gt;1500,$C1090&lt;1,$C1090&gt;12,$D1090&lt;1,$D1090&gt;31),"نامعتبر",RIGHT("0000"&amp;$B1090,4)&amp;"/"&amp;RIGHT("00"&amp;$C1090,2)&amp;"/"&amp;RIGHT("00"&amp;$D1090,2)))</f>
        <v/>
      </c>
      <c r="F1090">
        <f>IF(Entry!$D1090&lt;&gt;"",IF(AND(ISNUMBER(Entry!$D1090),Entry!$D1090&gt;=0,Entry!$D1090&lt;1),RIGHT("00"&amp;HOUR(Entry!$D1090),2)&amp;":"&amp;RIGHT("00"&amp;MINUTE(Entry!$D1090),2),IFERROR(RIGHT("00"&amp;VALUE(TRIM(LEFT(Entry!$D1090,FIND(":",Entry!$D1090)-1))),2)&amp;":"&amp;RIGHT("00"&amp;VALUE(TRIM(MID(Entry!$D1090,FIND(":",Entry!$D1090)+1,2))),2),"نامعتبر")),IF(OR($E1090="",$E1090="نامعتبر"),"","00:00"))</f>
        <v/>
      </c>
      <c r="G1090">
        <f>IF(OR($E1090="",$E1090="نامعتبر"),"",IF(Entry!$E1090="","",LEFT(UPPER(TRIM(Entry!$E1090)),6)))</f>
        <v/>
      </c>
      <c r="H1090">
        <f>IF($G1090="","",RIGHT($E1090,4)&amp;MID($E1090,6,2)&amp;RIGHT($E1090,2)&amp;IF($F1090="","0000",IF($F1090="نامعتبر","9999",LEFT($F1090,2)&amp;RIGHT($F1090,2)))&amp;"|"&amp;RIGHT("00000"&amp;1082,5))</f>
        <v/>
      </c>
      <c r="I1090">
        <f>IF($H1090="","",COUNTIFS(CalcBank,$G1090,CalcKey,"&lt;"&amp;$H1090)+1)</f>
        <v/>
      </c>
      <c r="J1090">
        <f>IF($I1090="","",$G1090&amp;"|"&amp;RIGHT("000000"&amp;$I1090,6))</f>
        <v/>
      </c>
      <c r="K1090">
        <f>IF(OR($E1090="",$E1090="نامعتبر"),"",LEFT($E1090,4)&amp;"/"&amp;MID($E1090,6,2))</f>
        <v/>
      </c>
      <c r="L1090">
        <f>IF(Entry!$K1090="",0,Entry!$K1090)</f>
        <v/>
      </c>
      <c r="M1090">
        <f>IF(Entry!$L1090="",0,Entry!$L1090)</f>
        <v/>
      </c>
    </row>
    <row r="1091">
      <c r="A1091">
        <f>IF(Entry!$C1091="","",Entry!$C1091)</f>
        <v/>
      </c>
      <c r="B1091">
        <f>IF($A1091="","",IF(ISNUMBER($A1091),IF(AND($A1091&gt;=10000101,$A1091&lt;=99991231),INT($A1091/10000),""),IFERROR(VALUE(TRIM(LEFT($A1091,FIND("/",$A1091)-1))),"")))</f>
        <v/>
      </c>
      <c r="C1091">
        <f>IF(OR($A1091="",$B1091=""),"",IF(ISNUMBER($A1091),INT(MOD($A1091,10000)/100),IFERROR(VALUE(TRIM(LEFT(MID($A1091,FIND("/",$A1091)+1,20),FIND("/",MID($A1091,FIND("/",$A1091)+1,20))-1))),"")))</f>
        <v/>
      </c>
      <c r="D1091">
        <f>IF(OR($A1091="",$B1091=""),"",IF(ISNUMBER($A1091),MOD($A1091,100),IFERROR(VALUE(TRIM(MID(MID($A1091,FIND("/",$A1091)+1,20),FIND("/",MID($A1091,FIND("/",$A1091)+1,20))+1,20))),"")))</f>
        <v/>
      </c>
      <c r="E1091">
        <f>IF($A1091="","",IF(OR($B1091="",$C1091="",$D1091="",$B1091&lt;1300,$B1091&gt;1500,$C1091&lt;1,$C1091&gt;12,$D1091&lt;1,$D1091&gt;31),"نامعتبر",RIGHT("0000"&amp;$B1091,4)&amp;"/"&amp;RIGHT("00"&amp;$C1091,2)&amp;"/"&amp;RIGHT("00"&amp;$D1091,2)))</f>
        <v/>
      </c>
      <c r="F1091">
        <f>IF(Entry!$D1091&lt;&gt;"",IF(AND(ISNUMBER(Entry!$D1091),Entry!$D1091&gt;=0,Entry!$D1091&lt;1),RIGHT("00"&amp;HOUR(Entry!$D1091),2)&amp;":"&amp;RIGHT("00"&amp;MINUTE(Entry!$D1091),2),IFERROR(RIGHT("00"&amp;VALUE(TRIM(LEFT(Entry!$D1091,FIND(":",Entry!$D1091)-1))),2)&amp;":"&amp;RIGHT("00"&amp;VALUE(TRIM(MID(Entry!$D1091,FIND(":",Entry!$D1091)+1,2))),2),"نامعتبر")),IF(OR($E1091="",$E1091="نامعتبر"),"","00:00"))</f>
        <v/>
      </c>
      <c r="G1091">
        <f>IF(OR($E1091="",$E1091="نامعتبر"),"",IF(Entry!$E1091="","",LEFT(UPPER(TRIM(Entry!$E1091)),6)))</f>
        <v/>
      </c>
      <c r="H1091">
        <f>IF($G1091="","",RIGHT($E1091,4)&amp;MID($E1091,6,2)&amp;RIGHT($E1091,2)&amp;IF($F1091="","0000",IF($F1091="نامعتبر","9999",LEFT($F1091,2)&amp;RIGHT($F1091,2)))&amp;"|"&amp;RIGHT("00000"&amp;1083,5))</f>
        <v/>
      </c>
      <c r="I1091">
        <f>IF($H1091="","",COUNTIFS(CalcBank,$G1091,CalcKey,"&lt;"&amp;$H1091)+1)</f>
        <v/>
      </c>
      <c r="J1091">
        <f>IF($I1091="","",$G1091&amp;"|"&amp;RIGHT("000000"&amp;$I1091,6))</f>
        <v/>
      </c>
      <c r="K1091">
        <f>IF(OR($E1091="",$E1091="نامعتبر"),"",LEFT($E1091,4)&amp;"/"&amp;MID($E1091,6,2))</f>
        <v/>
      </c>
      <c r="L1091">
        <f>IF(Entry!$K1091="",0,Entry!$K1091)</f>
        <v/>
      </c>
      <c r="M1091">
        <f>IF(Entry!$L1091="",0,Entry!$L1091)</f>
        <v/>
      </c>
    </row>
    <row r="1092">
      <c r="A1092">
        <f>IF(Entry!$C1092="","",Entry!$C1092)</f>
        <v/>
      </c>
      <c r="B1092">
        <f>IF($A1092="","",IF(ISNUMBER($A1092),IF(AND($A1092&gt;=10000101,$A1092&lt;=99991231),INT($A1092/10000),""),IFERROR(VALUE(TRIM(LEFT($A1092,FIND("/",$A1092)-1))),"")))</f>
        <v/>
      </c>
      <c r="C1092">
        <f>IF(OR($A1092="",$B1092=""),"",IF(ISNUMBER($A1092),INT(MOD($A1092,10000)/100),IFERROR(VALUE(TRIM(LEFT(MID($A1092,FIND("/",$A1092)+1,20),FIND("/",MID($A1092,FIND("/",$A1092)+1,20))-1))),"")))</f>
        <v/>
      </c>
      <c r="D1092">
        <f>IF(OR($A1092="",$B1092=""),"",IF(ISNUMBER($A1092),MOD($A1092,100),IFERROR(VALUE(TRIM(MID(MID($A1092,FIND("/",$A1092)+1,20),FIND("/",MID($A1092,FIND("/",$A1092)+1,20))+1,20))),"")))</f>
        <v/>
      </c>
      <c r="E1092">
        <f>IF($A1092="","",IF(OR($B1092="",$C1092="",$D1092="",$B1092&lt;1300,$B1092&gt;1500,$C1092&lt;1,$C1092&gt;12,$D1092&lt;1,$D1092&gt;31),"نامعتبر",RIGHT("0000"&amp;$B1092,4)&amp;"/"&amp;RIGHT("00"&amp;$C1092,2)&amp;"/"&amp;RIGHT("00"&amp;$D1092,2)))</f>
        <v/>
      </c>
      <c r="F1092">
        <f>IF(Entry!$D1092&lt;&gt;"",IF(AND(ISNUMBER(Entry!$D1092),Entry!$D1092&gt;=0,Entry!$D1092&lt;1),RIGHT("00"&amp;HOUR(Entry!$D1092),2)&amp;":"&amp;RIGHT("00"&amp;MINUTE(Entry!$D1092),2),IFERROR(RIGHT("00"&amp;VALUE(TRIM(LEFT(Entry!$D1092,FIND(":",Entry!$D1092)-1))),2)&amp;":"&amp;RIGHT("00"&amp;VALUE(TRIM(MID(Entry!$D1092,FIND(":",Entry!$D1092)+1,2))),2),"نامعتبر")),IF(OR($E1092="",$E1092="نامعتبر"),"","00:00"))</f>
        <v/>
      </c>
      <c r="G1092">
        <f>IF(OR($E1092="",$E1092="نامعتبر"),"",IF(Entry!$E1092="","",LEFT(UPPER(TRIM(Entry!$E1092)),6)))</f>
        <v/>
      </c>
      <c r="H1092">
        <f>IF($G1092="","",RIGHT($E1092,4)&amp;MID($E1092,6,2)&amp;RIGHT($E1092,2)&amp;IF($F1092="","0000",IF($F1092="نامعتبر","9999",LEFT($F1092,2)&amp;RIGHT($F1092,2)))&amp;"|"&amp;RIGHT("00000"&amp;1084,5))</f>
        <v/>
      </c>
      <c r="I1092">
        <f>IF($H1092="","",COUNTIFS(CalcBank,$G1092,CalcKey,"&lt;"&amp;$H1092)+1)</f>
        <v/>
      </c>
      <c r="J1092">
        <f>IF($I1092="","",$G1092&amp;"|"&amp;RIGHT("000000"&amp;$I1092,6))</f>
        <v/>
      </c>
      <c r="K1092">
        <f>IF(OR($E1092="",$E1092="نامعتبر"),"",LEFT($E1092,4)&amp;"/"&amp;MID($E1092,6,2))</f>
        <v/>
      </c>
      <c r="L1092">
        <f>IF(Entry!$K1092="",0,Entry!$K1092)</f>
        <v/>
      </c>
      <c r="M1092">
        <f>IF(Entry!$L1092="",0,Entry!$L1092)</f>
        <v/>
      </c>
    </row>
    <row r="1093">
      <c r="A1093">
        <f>IF(Entry!$C1093="","",Entry!$C1093)</f>
        <v/>
      </c>
      <c r="B1093">
        <f>IF($A1093="","",IF(ISNUMBER($A1093),IF(AND($A1093&gt;=10000101,$A1093&lt;=99991231),INT($A1093/10000),""),IFERROR(VALUE(TRIM(LEFT($A1093,FIND("/",$A1093)-1))),"")))</f>
        <v/>
      </c>
      <c r="C1093">
        <f>IF(OR($A1093="",$B1093=""),"",IF(ISNUMBER($A1093),INT(MOD($A1093,10000)/100),IFERROR(VALUE(TRIM(LEFT(MID($A1093,FIND("/",$A1093)+1,20),FIND("/",MID($A1093,FIND("/",$A1093)+1,20))-1))),"")))</f>
        <v/>
      </c>
      <c r="D1093">
        <f>IF(OR($A1093="",$B1093=""),"",IF(ISNUMBER($A1093),MOD($A1093,100),IFERROR(VALUE(TRIM(MID(MID($A1093,FIND("/",$A1093)+1,20),FIND("/",MID($A1093,FIND("/",$A1093)+1,20))+1,20))),"")))</f>
        <v/>
      </c>
      <c r="E1093">
        <f>IF($A1093="","",IF(OR($B1093="",$C1093="",$D1093="",$B1093&lt;1300,$B1093&gt;1500,$C1093&lt;1,$C1093&gt;12,$D1093&lt;1,$D1093&gt;31),"نامعتبر",RIGHT("0000"&amp;$B1093,4)&amp;"/"&amp;RIGHT("00"&amp;$C1093,2)&amp;"/"&amp;RIGHT("00"&amp;$D1093,2)))</f>
        <v/>
      </c>
      <c r="F1093">
        <f>IF(Entry!$D1093&lt;&gt;"",IF(AND(ISNUMBER(Entry!$D1093),Entry!$D1093&gt;=0,Entry!$D1093&lt;1),RIGHT("00"&amp;HOUR(Entry!$D1093),2)&amp;":"&amp;RIGHT("00"&amp;MINUTE(Entry!$D1093),2),IFERROR(RIGHT("00"&amp;VALUE(TRIM(LEFT(Entry!$D1093,FIND(":",Entry!$D1093)-1))),2)&amp;":"&amp;RIGHT("00"&amp;VALUE(TRIM(MID(Entry!$D1093,FIND(":",Entry!$D1093)+1,2))),2),"نامعتبر")),IF(OR($E1093="",$E1093="نامعتبر"),"","00:00"))</f>
        <v/>
      </c>
      <c r="G1093">
        <f>IF(OR($E1093="",$E1093="نامعتبر"),"",IF(Entry!$E1093="","",LEFT(UPPER(TRIM(Entry!$E1093)),6)))</f>
        <v/>
      </c>
      <c r="H1093">
        <f>IF($G1093="","",RIGHT($E1093,4)&amp;MID($E1093,6,2)&amp;RIGHT($E1093,2)&amp;IF($F1093="","0000",IF($F1093="نامعتبر","9999",LEFT($F1093,2)&amp;RIGHT($F1093,2)))&amp;"|"&amp;RIGHT("00000"&amp;1085,5))</f>
        <v/>
      </c>
      <c r="I1093">
        <f>IF($H1093="","",COUNTIFS(CalcBank,$G1093,CalcKey,"&lt;"&amp;$H1093)+1)</f>
        <v/>
      </c>
      <c r="J1093">
        <f>IF($I1093="","",$G1093&amp;"|"&amp;RIGHT("000000"&amp;$I1093,6))</f>
        <v/>
      </c>
      <c r="K1093">
        <f>IF(OR($E1093="",$E1093="نامعتبر"),"",LEFT($E1093,4)&amp;"/"&amp;MID($E1093,6,2))</f>
        <v/>
      </c>
      <c r="L1093">
        <f>IF(Entry!$K1093="",0,Entry!$K1093)</f>
        <v/>
      </c>
      <c r="M1093">
        <f>IF(Entry!$L1093="",0,Entry!$L1093)</f>
        <v/>
      </c>
    </row>
    <row r="1094">
      <c r="A1094">
        <f>IF(Entry!$C1094="","",Entry!$C1094)</f>
        <v/>
      </c>
      <c r="B1094">
        <f>IF($A1094="","",IF(ISNUMBER($A1094),IF(AND($A1094&gt;=10000101,$A1094&lt;=99991231),INT($A1094/10000),""),IFERROR(VALUE(TRIM(LEFT($A1094,FIND("/",$A1094)-1))),"")))</f>
        <v/>
      </c>
      <c r="C1094">
        <f>IF(OR($A1094="",$B1094=""),"",IF(ISNUMBER($A1094),INT(MOD($A1094,10000)/100),IFERROR(VALUE(TRIM(LEFT(MID($A1094,FIND("/",$A1094)+1,20),FIND("/",MID($A1094,FIND("/",$A1094)+1,20))-1))),"")))</f>
        <v/>
      </c>
      <c r="D1094">
        <f>IF(OR($A1094="",$B1094=""),"",IF(ISNUMBER($A1094),MOD($A1094,100),IFERROR(VALUE(TRIM(MID(MID($A1094,FIND("/",$A1094)+1,20),FIND("/",MID($A1094,FIND("/",$A1094)+1,20))+1,20))),"")))</f>
        <v/>
      </c>
      <c r="E1094">
        <f>IF($A1094="","",IF(OR($B1094="",$C1094="",$D1094="",$B1094&lt;1300,$B1094&gt;1500,$C1094&lt;1,$C1094&gt;12,$D1094&lt;1,$D1094&gt;31),"نامعتبر",RIGHT("0000"&amp;$B1094,4)&amp;"/"&amp;RIGHT("00"&amp;$C1094,2)&amp;"/"&amp;RIGHT("00"&amp;$D1094,2)))</f>
        <v/>
      </c>
      <c r="F1094">
        <f>IF(Entry!$D1094&lt;&gt;"",IF(AND(ISNUMBER(Entry!$D1094),Entry!$D1094&gt;=0,Entry!$D1094&lt;1),RIGHT("00"&amp;HOUR(Entry!$D1094),2)&amp;":"&amp;RIGHT("00"&amp;MINUTE(Entry!$D1094),2),IFERROR(RIGHT("00"&amp;VALUE(TRIM(LEFT(Entry!$D1094,FIND(":",Entry!$D1094)-1))),2)&amp;":"&amp;RIGHT("00"&amp;VALUE(TRIM(MID(Entry!$D1094,FIND(":",Entry!$D1094)+1,2))),2),"نامعتبر")),IF(OR($E1094="",$E1094="نامعتبر"),"","00:00"))</f>
        <v/>
      </c>
      <c r="G1094">
        <f>IF(OR($E1094="",$E1094="نامعتبر"),"",IF(Entry!$E1094="","",LEFT(UPPER(TRIM(Entry!$E1094)),6)))</f>
        <v/>
      </c>
      <c r="H1094">
        <f>IF($G1094="","",RIGHT($E1094,4)&amp;MID($E1094,6,2)&amp;RIGHT($E1094,2)&amp;IF($F1094="","0000",IF($F1094="نامعتبر","9999",LEFT($F1094,2)&amp;RIGHT($F1094,2)))&amp;"|"&amp;RIGHT("00000"&amp;1086,5))</f>
        <v/>
      </c>
      <c r="I1094">
        <f>IF($H1094="","",COUNTIFS(CalcBank,$G1094,CalcKey,"&lt;"&amp;$H1094)+1)</f>
        <v/>
      </c>
      <c r="J1094">
        <f>IF($I1094="","",$G1094&amp;"|"&amp;RIGHT("000000"&amp;$I1094,6))</f>
        <v/>
      </c>
      <c r="K1094">
        <f>IF(OR($E1094="",$E1094="نامعتبر"),"",LEFT($E1094,4)&amp;"/"&amp;MID($E1094,6,2))</f>
        <v/>
      </c>
      <c r="L1094">
        <f>IF(Entry!$K1094="",0,Entry!$K1094)</f>
        <v/>
      </c>
      <c r="M1094">
        <f>IF(Entry!$L1094="",0,Entry!$L1094)</f>
        <v/>
      </c>
    </row>
    <row r="1095">
      <c r="A1095">
        <f>IF(Entry!$C1095="","",Entry!$C1095)</f>
        <v/>
      </c>
      <c r="B1095">
        <f>IF($A1095="","",IF(ISNUMBER($A1095),IF(AND($A1095&gt;=10000101,$A1095&lt;=99991231),INT($A1095/10000),""),IFERROR(VALUE(TRIM(LEFT($A1095,FIND("/",$A1095)-1))),"")))</f>
        <v/>
      </c>
      <c r="C1095">
        <f>IF(OR($A1095="",$B1095=""),"",IF(ISNUMBER($A1095),INT(MOD($A1095,10000)/100),IFERROR(VALUE(TRIM(LEFT(MID($A1095,FIND("/",$A1095)+1,20),FIND("/",MID($A1095,FIND("/",$A1095)+1,20))-1))),"")))</f>
        <v/>
      </c>
      <c r="D1095">
        <f>IF(OR($A1095="",$B1095=""),"",IF(ISNUMBER($A1095),MOD($A1095,100),IFERROR(VALUE(TRIM(MID(MID($A1095,FIND("/",$A1095)+1,20),FIND("/",MID($A1095,FIND("/",$A1095)+1,20))+1,20))),"")))</f>
        <v/>
      </c>
      <c r="E1095">
        <f>IF($A1095="","",IF(OR($B1095="",$C1095="",$D1095="",$B1095&lt;1300,$B1095&gt;1500,$C1095&lt;1,$C1095&gt;12,$D1095&lt;1,$D1095&gt;31),"نامعتبر",RIGHT("0000"&amp;$B1095,4)&amp;"/"&amp;RIGHT("00"&amp;$C1095,2)&amp;"/"&amp;RIGHT("00"&amp;$D1095,2)))</f>
        <v/>
      </c>
      <c r="F1095">
        <f>IF(Entry!$D1095&lt;&gt;"",IF(AND(ISNUMBER(Entry!$D1095),Entry!$D1095&gt;=0,Entry!$D1095&lt;1),RIGHT("00"&amp;HOUR(Entry!$D1095),2)&amp;":"&amp;RIGHT("00"&amp;MINUTE(Entry!$D1095),2),IFERROR(RIGHT("00"&amp;VALUE(TRIM(LEFT(Entry!$D1095,FIND(":",Entry!$D1095)-1))),2)&amp;":"&amp;RIGHT("00"&amp;VALUE(TRIM(MID(Entry!$D1095,FIND(":",Entry!$D1095)+1,2))),2),"نامعتبر")),IF(OR($E1095="",$E1095="نامعتبر"),"","00:00"))</f>
        <v/>
      </c>
      <c r="G1095">
        <f>IF(OR($E1095="",$E1095="نامعتبر"),"",IF(Entry!$E1095="","",LEFT(UPPER(TRIM(Entry!$E1095)),6)))</f>
        <v/>
      </c>
      <c r="H1095">
        <f>IF($G1095="","",RIGHT($E1095,4)&amp;MID($E1095,6,2)&amp;RIGHT($E1095,2)&amp;IF($F1095="","0000",IF($F1095="نامعتبر","9999",LEFT($F1095,2)&amp;RIGHT($F1095,2)))&amp;"|"&amp;RIGHT("00000"&amp;1087,5))</f>
        <v/>
      </c>
      <c r="I1095">
        <f>IF($H1095="","",COUNTIFS(CalcBank,$G1095,CalcKey,"&lt;"&amp;$H1095)+1)</f>
        <v/>
      </c>
      <c r="J1095">
        <f>IF($I1095="","",$G1095&amp;"|"&amp;RIGHT("000000"&amp;$I1095,6))</f>
        <v/>
      </c>
      <c r="K1095">
        <f>IF(OR($E1095="",$E1095="نامعتبر"),"",LEFT($E1095,4)&amp;"/"&amp;MID($E1095,6,2))</f>
        <v/>
      </c>
      <c r="L1095">
        <f>IF(Entry!$K1095="",0,Entry!$K1095)</f>
        <v/>
      </c>
      <c r="M1095">
        <f>IF(Entry!$L1095="",0,Entry!$L1095)</f>
        <v/>
      </c>
    </row>
    <row r="1096">
      <c r="A1096">
        <f>IF(Entry!$C1096="","",Entry!$C1096)</f>
        <v/>
      </c>
      <c r="B1096">
        <f>IF($A1096="","",IF(ISNUMBER($A1096),IF(AND($A1096&gt;=10000101,$A1096&lt;=99991231),INT($A1096/10000),""),IFERROR(VALUE(TRIM(LEFT($A1096,FIND("/",$A1096)-1))),"")))</f>
        <v/>
      </c>
      <c r="C1096">
        <f>IF(OR($A1096="",$B1096=""),"",IF(ISNUMBER($A1096),INT(MOD($A1096,10000)/100),IFERROR(VALUE(TRIM(LEFT(MID($A1096,FIND("/",$A1096)+1,20),FIND("/",MID($A1096,FIND("/",$A1096)+1,20))-1))),"")))</f>
        <v/>
      </c>
      <c r="D1096">
        <f>IF(OR($A1096="",$B1096=""),"",IF(ISNUMBER($A1096),MOD($A1096,100),IFERROR(VALUE(TRIM(MID(MID($A1096,FIND("/",$A1096)+1,20),FIND("/",MID($A1096,FIND("/",$A1096)+1,20))+1,20))),"")))</f>
        <v/>
      </c>
      <c r="E1096">
        <f>IF($A1096="","",IF(OR($B1096="",$C1096="",$D1096="",$B1096&lt;1300,$B1096&gt;1500,$C1096&lt;1,$C1096&gt;12,$D1096&lt;1,$D1096&gt;31),"نامعتبر",RIGHT("0000"&amp;$B1096,4)&amp;"/"&amp;RIGHT("00"&amp;$C1096,2)&amp;"/"&amp;RIGHT("00"&amp;$D1096,2)))</f>
        <v/>
      </c>
      <c r="F1096">
        <f>IF(Entry!$D1096&lt;&gt;"",IF(AND(ISNUMBER(Entry!$D1096),Entry!$D1096&gt;=0,Entry!$D1096&lt;1),RIGHT("00"&amp;HOUR(Entry!$D1096),2)&amp;":"&amp;RIGHT("00"&amp;MINUTE(Entry!$D1096),2),IFERROR(RIGHT("00"&amp;VALUE(TRIM(LEFT(Entry!$D1096,FIND(":",Entry!$D1096)-1))),2)&amp;":"&amp;RIGHT("00"&amp;VALUE(TRIM(MID(Entry!$D1096,FIND(":",Entry!$D1096)+1,2))),2),"نامعتبر")),IF(OR($E1096="",$E1096="نامعتبر"),"","00:00"))</f>
        <v/>
      </c>
      <c r="G1096">
        <f>IF(OR($E1096="",$E1096="نامعتبر"),"",IF(Entry!$E1096="","",LEFT(UPPER(TRIM(Entry!$E1096)),6)))</f>
        <v/>
      </c>
      <c r="H1096">
        <f>IF($G1096="","",RIGHT($E1096,4)&amp;MID($E1096,6,2)&amp;RIGHT($E1096,2)&amp;IF($F1096="","0000",IF($F1096="نامعتبر","9999",LEFT($F1096,2)&amp;RIGHT($F1096,2)))&amp;"|"&amp;RIGHT("00000"&amp;1088,5))</f>
        <v/>
      </c>
      <c r="I1096">
        <f>IF($H1096="","",COUNTIFS(CalcBank,$G1096,CalcKey,"&lt;"&amp;$H1096)+1)</f>
        <v/>
      </c>
      <c r="J1096">
        <f>IF($I1096="","",$G1096&amp;"|"&amp;RIGHT("000000"&amp;$I1096,6))</f>
        <v/>
      </c>
      <c r="K1096">
        <f>IF(OR($E1096="",$E1096="نامعتبر"),"",LEFT($E1096,4)&amp;"/"&amp;MID($E1096,6,2))</f>
        <v/>
      </c>
      <c r="L1096">
        <f>IF(Entry!$K1096="",0,Entry!$K1096)</f>
        <v/>
      </c>
      <c r="M1096">
        <f>IF(Entry!$L1096="",0,Entry!$L1096)</f>
        <v/>
      </c>
    </row>
    <row r="1097">
      <c r="A1097">
        <f>IF(Entry!$C1097="","",Entry!$C1097)</f>
        <v/>
      </c>
      <c r="B1097">
        <f>IF($A1097="","",IF(ISNUMBER($A1097),IF(AND($A1097&gt;=10000101,$A1097&lt;=99991231),INT($A1097/10000),""),IFERROR(VALUE(TRIM(LEFT($A1097,FIND("/",$A1097)-1))),"")))</f>
        <v/>
      </c>
      <c r="C1097">
        <f>IF(OR($A1097="",$B1097=""),"",IF(ISNUMBER($A1097),INT(MOD($A1097,10000)/100),IFERROR(VALUE(TRIM(LEFT(MID($A1097,FIND("/",$A1097)+1,20),FIND("/",MID($A1097,FIND("/",$A1097)+1,20))-1))),"")))</f>
        <v/>
      </c>
      <c r="D1097">
        <f>IF(OR($A1097="",$B1097=""),"",IF(ISNUMBER($A1097),MOD($A1097,100),IFERROR(VALUE(TRIM(MID(MID($A1097,FIND("/",$A1097)+1,20),FIND("/",MID($A1097,FIND("/",$A1097)+1,20))+1,20))),"")))</f>
        <v/>
      </c>
      <c r="E1097">
        <f>IF($A1097="","",IF(OR($B1097="",$C1097="",$D1097="",$B1097&lt;1300,$B1097&gt;1500,$C1097&lt;1,$C1097&gt;12,$D1097&lt;1,$D1097&gt;31),"نامعتبر",RIGHT("0000"&amp;$B1097,4)&amp;"/"&amp;RIGHT("00"&amp;$C1097,2)&amp;"/"&amp;RIGHT("00"&amp;$D1097,2)))</f>
        <v/>
      </c>
      <c r="F1097">
        <f>IF(Entry!$D1097&lt;&gt;"",IF(AND(ISNUMBER(Entry!$D1097),Entry!$D1097&gt;=0,Entry!$D1097&lt;1),RIGHT("00"&amp;HOUR(Entry!$D1097),2)&amp;":"&amp;RIGHT("00"&amp;MINUTE(Entry!$D1097),2),IFERROR(RIGHT("00"&amp;VALUE(TRIM(LEFT(Entry!$D1097,FIND(":",Entry!$D1097)-1))),2)&amp;":"&amp;RIGHT("00"&amp;VALUE(TRIM(MID(Entry!$D1097,FIND(":",Entry!$D1097)+1,2))),2),"نامعتبر")),IF(OR($E1097="",$E1097="نامعتبر"),"","00:00"))</f>
        <v/>
      </c>
      <c r="G1097">
        <f>IF(OR($E1097="",$E1097="نامعتبر"),"",IF(Entry!$E1097="","",LEFT(UPPER(TRIM(Entry!$E1097)),6)))</f>
        <v/>
      </c>
      <c r="H1097">
        <f>IF($G1097="","",RIGHT($E1097,4)&amp;MID($E1097,6,2)&amp;RIGHT($E1097,2)&amp;IF($F1097="","0000",IF($F1097="نامعتبر","9999",LEFT($F1097,2)&amp;RIGHT($F1097,2)))&amp;"|"&amp;RIGHT("00000"&amp;1089,5))</f>
        <v/>
      </c>
      <c r="I1097">
        <f>IF($H1097="","",COUNTIFS(CalcBank,$G1097,CalcKey,"&lt;"&amp;$H1097)+1)</f>
        <v/>
      </c>
      <c r="J1097">
        <f>IF($I1097="","",$G1097&amp;"|"&amp;RIGHT("000000"&amp;$I1097,6))</f>
        <v/>
      </c>
      <c r="K1097">
        <f>IF(OR($E1097="",$E1097="نامعتبر"),"",LEFT($E1097,4)&amp;"/"&amp;MID($E1097,6,2))</f>
        <v/>
      </c>
      <c r="L1097">
        <f>IF(Entry!$K1097="",0,Entry!$K1097)</f>
        <v/>
      </c>
      <c r="M1097">
        <f>IF(Entry!$L1097="",0,Entry!$L1097)</f>
        <v/>
      </c>
    </row>
    <row r="1098">
      <c r="A1098">
        <f>IF(Entry!$C1098="","",Entry!$C1098)</f>
        <v/>
      </c>
      <c r="B1098">
        <f>IF($A1098="","",IF(ISNUMBER($A1098),IF(AND($A1098&gt;=10000101,$A1098&lt;=99991231),INT($A1098/10000),""),IFERROR(VALUE(TRIM(LEFT($A1098,FIND("/",$A1098)-1))),"")))</f>
        <v/>
      </c>
      <c r="C1098">
        <f>IF(OR($A1098="",$B1098=""),"",IF(ISNUMBER($A1098),INT(MOD($A1098,10000)/100),IFERROR(VALUE(TRIM(LEFT(MID($A1098,FIND("/",$A1098)+1,20),FIND("/",MID($A1098,FIND("/",$A1098)+1,20))-1))),"")))</f>
        <v/>
      </c>
      <c r="D1098">
        <f>IF(OR($A1098="",$B1098=""),"",IF(ISNUMBER($A1098),MOD($A1098,100),IFERROR(VALUE(TRIM(MID(MID($A1098,FIND("/",$A1098)+1,20),FIND("/",MID($A1098,FIND("/",$A1098)+1,20))+1,20))),"")))</f>
        <v/>
      </c>
      <c r="E1098">
        <f>IF($A1098="","",IF(OR($B1098="",$C1098="",$D1098="",$B1098&lt;1300,$B1098&gt;1500,$C1098&lt;1,$C1098&gt;12,$D1098&lt;1,$D1098&gt;31),"نامعتبر",RIGHT("0000"&amp;$B1098,4)&amp;"/"&amp;RIGHT("00"&amp;$C1098,2)&amp;"/"&amp;RIGHT("00"&amp;$D1098,2)))</f>
        <v/>
      </c>
      <c r="F1098">
        <f>IF(Entry!$D1098&lt;&gt;"",IF(AND(ISNUMBER(Entry!$D1098),Entry!$D1098&gt;=0,Entry!$D1098&lt;1),RIGHT("00"&amp;HOUR(Entry!$D1098),2)&amp;":"&amp;RIGHT("00"&amp;MINUTE(Entry!$D1098),2),IFERROR(RIGHT("00"&amp;VALUE(TRIM(LEFT(Entry!$D1098,FIND(":",Entry!$D1098)-1))),2)&amp;":"&amp;RIGHT("00"&amp;VALUE(TRIM(MID(Entry!$D1098,FIND(":",Entry!$D1098)+1,2))),2),"نامعتبر")),IF(OR($E1098="",$E1098="نامعتبر"),"","00:00"))</f>
        <v/>
      </c>
      <c r="G1098">
        <f>IF(OR($E1098="",$E1098="نامعتبر"),"",IF(Entry!$E1098="","",LEFT(UPPER(TRIM(Entry!$E1098)),6)))</f>
        <v/>
      </c>
      <c r="H1098">
        <f>IF($G1098="","",RIGHT($E1098,4)&amp;MID($E1098,6,2)&amp;RIGHT($E1098,2)&amp;IF($F1098="","0000",IF($F1098="نامعتبر","9999",LEFT($F1098,2)&amp;RIGHT($F1098,2)))&amp;"|"&amp;RIGHT("00000"&amp;1090,5))</f>
        <v/>
      </c>
      <c r="I1098">
        <f>IF($H1098="","",COUNTIFS(CalcBank,$G1098,CalcKey,"&lt;"&amp;$H1098)+1)</f>
        <v/>
      </c>
      <c r="J1098">
        <f>IF($I1098="","",$G1098&amp;"|"&amp;RIGHT("000000"&amp;$I1098,6))</f>
        <v/>
      </c>
      <c r="K1098">
        <f>IF(OR($E1098="",$E1098="نامعتبر"),"",LEFT($E1098,4)&amp;"/"&amp;MID($E1098,6,2))</f>
        <v/>
      </c>
      <c r="L1098">
        <f>IF(Entry!$K1098="",0,Entry!$K1098)</f>
        <v/>
      </c>
      <c r="M1098">
        <f>IF(Entry!$L1098="",0,Entry!$L1098)</f>
        <v/>
      </c>
    </row>
    <row r="1099">
      <c r="A1099">
        <f>IF(Entry!$C1099="","",Entry!$C1099)</f>
        <v/>
      </c>
      <c r="B1099">
        <f>IF($A1099="","",IF(ISNUMBER($A1099),IF(AND($A1099&gt;=10000101,$A1099&lt;=99991231),INT($A1099/10000),""),IFERROR(VALUE(TRIM(LEFT($A1099,FIND("/",$A1099)-1))),"")))</f>
        <v/>
      </c>
      <c r="C1099">
        <f>IF(OR($A1099="",$B1099=""),"",IF(ISNUMBER($A1099),INT(MOD($A1099,10000)/100),IFERROR(VALUE(TRIM(LEFT(MID($A1099,FIND("/",$A1099)+1,20),FIND("/",MID($A1099,FIND("/",$A1099)+1,20))-1))),"")))</f>
        <v/>
      </c>
      <c r="D1099">
        <f>IF(OR($A1099="",$B1099=""),"",IF(ISNUMBER($A1099),MOD($A1099,100),IFERROR(VALUE(TRIM(MID(MID($A1099,FIND("/",$A1099)+1,20),FIND("/",MID($A1099,FIND("/",$A1099)+1,20))+1,20))),"")))</f>
        <v/>
      </c>
      <c r="E1099">
        <f>IF($A1099="","",IF(OR($B1099="",$C1099="",$D1099="",$B1099&lt;1300,$B1099&gt;1500,$C1099&lt;1,$C1099&gt;12,$D1099&lt;1,$D1099&gt;31),"نامعتبر",RIGHT("0000"&amp;$B1099,4)&amp;"/"&amp;RIGHT("00"&amp;$C1099,2)&amp;"/"&amp;RIGHT("00"&amp;$D1099,2)))</f>
        <v/>
      </c>
      <c r="F1099">
        <f>IF(Entry!$D1099&lt;&gt;"",IF(AND(ISNUMBER(Entry!$D1099),Entry!$D1099&gt;=0,Entry!$D1099&lt;1),RIGHT("00"&amp;HOUR(Entry!$D1099),2)&amp;":"&amp;RIGHT("00"&amp;MINUTE(Entry!$D1099),2),IFERROR(RIGHT("00"&amp;VALUE(TRIM(LEFT(Entry!$D1099,FIND(":",Entry!$D1099)-1))),2)&amp;":"&amp;RIGHT("00"&amp;VALUE(TRIM(MID(Entry!$D1099,FIND(":",Entry!$D1099)+1,2))),2),"نامعتبر")),IF(OR($E1099="",$E1099="نامعتبر"),"","00:00"))</f>
        <v/>
      </c>
      <c r="G1099">
        <f>IF(OR($E1099="",$E1099="نامعتبر"),"",IF(Entry!$E1099="","",LEFT(UPPER(TRIM(Entry!$E1099)),6)))</f>
        <v/>
      </c>
      <c r="H1099">
        <f>IF($G1099="","",RIGHT($E1099,4)&amp;MID($E1099,6,2)&amp;RIGHT($E1099,2)&amp;IF($F1099="","0000",IF($F1099="نامعتبر","9999",LEFT($F1099,2)&amp;RIGHT($F1099,2)))&amp;"|"&amp;RIGHT("00000"&amp;1091,5))</f>
        <v/>
      </c>
      <c r="I1099">
        <f>IF($H1099="","",COUNTIFS(CalcBank,$G1099,CalcKey,"&lt;"&amp;$H1099)+1)</f>
        <v/>
      </c>
      <c r="J1099">
        <f>IF($I1099="","",$G1099&amp;"|"&amp;RIGHT("000000"&amp;$I1099,6))</f>
        <v/>
      </c>
      <c r="K1099">
        <f>IF(OR($E1099="",$E1099="نامعتبر"),"",LEFT($E1099,4)&amp;"/"&amp;MID($E1099,6,2))</f>
        <v/>
      </c>
      <c r="L1099">
        <f>IF(Entry!$K1099="",0,Entry!$K1099)</f>
        <v/>
      </c>
      <c r="M1099">
        <f>IF(Entry!$L1099="",0,Entry!$L1099)</f>
        <v/>
      </c>
    </row>
    <row r="1100">
      <c r="A1100">
        <f>IF(Entry!$C1100="","",Entry!$C1100)</f>
        <v/>
      </c>
      <c r="B1100">
        <f>IF($A1100="","",IF(ISNUMBER($A1100),IF(AND($A1100&gt;=10000101,$A1100&lt;=99991231),INT($A1100/10000),""),IFERROR(VALUE(TRIM(LEFT($A1100,FIND("/",$A1100)-1))),"")))</f>
        <v/>
      </c>
      <c r="C1100">
        <f>IF(OR($A1100="",$B1100=""),"",IF(ISNUMBER($A1100),INT(MOD($A1100,10000)/100),IFERROR(VALUE(TRIM(LEFT(MID($A1100,FIND("/",$A1100)+1,20),FIND("/",MID($A1100,FIND("/",$A1100)+1,20))-1))),"")))</f>
        <v/>
      </c>
      <c r="D1100">
        <f>IF(OR($A1100="",$B1100=""),"",IF(ISNUMBER($A1100),MOD($A1100,100),IFERROR(VALUE(TRIM(MID(MID($A1100,FIND("/",$A1100)+1,20),FIND("/",MID($A1100,FIND("/",$A1100)+1,20))+1,20))),"")))</f>
        <v/>
      </c>
      <c r="E1100">
        <f>IF($A1100="","",IF(OR($B1100="",$C1100="",$D1100="",$B1100&lt;1300,$B1100&gt;1500,$C1100&lt;1,$C1100&gt;12,$D1100&lt;1,$D1100&gt;31),"نامعتبر",RIGHT("0000"&amp;$B1100,4)&amp;"/"&amp;RIGHT("00"&amp;$C1100,2)&amp;"/"&amp;RIGHT("00"&amp;$D1100,2)))</f>
        <v/>
      </c>
      <c r="F1100">
        <f>IF(Entry!$D1100&lt;&gt;"",IF(AND(ISNUMBER(Entry!$D1100),Entry!$D1100&gt;=0,Entry!$D1100&lt;1),RIGHT("00"&amp;HOUR(Entry!$D1100),2)&amp;":"&amp;RIGHT("00"&amp;MINUTE(Entry!$D1100),2),IFERROR(RIGHT("00"&amp;VALUE(TRIM(LEFT(Entry!$D1100,FIND(":",Entry!$D1100)-1))),2)&amp;":"&amp;RIGHT("00"&amp;VALUE(TRIM(MID(Entry!$D1100,FIND(":",Entry!$D1100)+1,2))),2),"نامعتبر")),IF(OR($E1100="",$E1100="نامعتبر"),"","00:00"))</f>
        <v/>
      </c>
      <c r="G1100">
        <f>IF(OR($E1100="",$E1100="نامعتبر"),"",IF(Entry!$E1100="","",LEFT(UPPER(TRIM(Entry!$E1100)),6)))</f>
        <v/>
      </c>
      <c r="H1100">
        <f>IF($G1100="","",RIGHT($E1100,4)&amp;MID($E1100,6,2)&amp;RIGHT($E1100,2)&amp;IF($F1100="","0000",IF($F1100="نامعتبر","9999",LEFT($F1100,2)&amp;RIGHT($F1100,2)))&amp;"|"&amp;RIGHT("00000"&amp;1092,5))</f>
        <v/>
      </c>
      <c r="I1100">
        <f>IF($H1100="","",COUNTIFS(CalcBank,$G1100,CalcKey,"&lt;"&amp;$H1100)+1)</f>
        <v/>
      </c>
      <c r="J1100">
        <f>IF($I1100="","",$G1100&amp;"|"&amp;RIGHT("000000"&amp;$I1100,6))</f>
        <v/>
      </c>
      <c r="K1100">
        <f>IF(OR($E1100="",$E1100="نامعتبر"),"",LEFT($E1100,4)&amp;"/"&amp;MID($E1100,6,2))</f>
        <v/>
      </c>
      <c r="L1100">
        <f>IF(Entry!$K1100="",0,Entry!$K1100)</f>
        <v/>
      </c>
      <c r="M1100">
        <f>IF(Entry!$L1100="",0,Entry!$L1100)</f>
        <v/>
      </c>
    </row>
    <row r="1101">
      <c r="A1101">
        <f>IF(Entry!$C1101="","",Entry!$C1101)</f>
        <v/>
      </c>
      <c r="B1101">
        <f>IF($A1101="","",IF(ISNUMBER($A1101),IF(AND($A1101&gt;=10000101,$A1101&lt;=99991231),INT($A1101/10000),""),IFERROR(VALUE(TRIM(LEFT($A1101,FIND("/",$A1101)-1))),"")))</f>
        <v/>
      </c>
      <c r="C1101">
        <f>IF(OR($A1101="",$B1101=""),"",IF(ISNUMBER($A1101),INT(MOD($A1101,10000)/100),IFERROR(VALUE(TRIM(LEFT(MID($A1101,FIND("/",$A1101)+1,20),FIND("/",MID($A1101,FIND("/",$A1101)+1,20))-1))),"")))</f>
        <v/>
      </c>
      <c r="D1101">
        <f>IF(OR($A1101="",$B1101=""),"",IF(ISNUMBER($A1101),MOD($A1101,100),IFERROR(VALUE(TRIM(MID(MID($A1101,FIND("/",$A1101)+1,20),FIND("/",MID($A1101,FIND("/",$A1101)+1,20))+1,20))),"")))</f>
        <v/>
      </c>
      <c r="E1101">
        <f>IF($A1101="","",IF(OR($B1101="",$C1101="",$D1101="",$B1101&lt;1300,$B1101&gt;1500,$C1101&lt;1,$C1101&gt;12,$D1101&lt;1,$D1101&gt;31),"نامعتبر",RIGHT("0000"&amp;$B1101,4)&amp;"/"&amp;RIGHT("00"&amp;$C1101,2)&amp;"/"&amp;RIGHT("00"&amp;$D1101,2)))</f>
        <v/>
      </c>
      <c r="F1101">
        <f>IF(Entry!$D1101&lt;&gt;"",IF(AND(ISNUMBER(Entry!$D1101),Entry!$D1101&gt;=0,Entry!$D1101&lt;1),RIGHT("00"&amp;HOUR(Entry!$D1101),2)&amp;":"&amp;RIGHT("00"&amp;MINUTE(Entry!$D1101),2),IFERROR(RIGHT("00"&amp;VALUE(TRIM(LEFT(Entry!$D1101,FIND(":",Entry!$D1101)-1))),2)&amp;":"&amp;RIGHT("00"&amp;VALUE(TRIM(MID(Entry!$D1101,FIND(":",Entry!$D1101)+1,2))),2),"نامعتبر")),IF(OR($E1101="",$E1101="نامعتبر"),"","00:00"))</f>
        <v/>
      </c>
      <c r="G1101">
        <f>IF(OR($E1101="",$E1101="نامعتبر"),"",IF(Entry!$E1101="","",LEFT(UPPER(TRIM(Entry!$E1101)),6)))</f>
        <v/>
      </c>
      <c r="H1101">
        <f>IF($G1101="","",RIGHT($E1101,4)&amp;MID($E1101,6,2)&amp;RIGHT($E1101,2)&amp;IF($F1101="","0000",IF($F1101="نامعتبر","9999",LEFT($F1101,2)&amp;RIGHT($F1101,2)))&amp;"|"&amp;RIGHT("00000"&amp;1093,5))</f>
        <v/>
      </c>
      <c r="I1101">
        <f>IF($H1101="","",COUNTIFS(CalcBank,$G1101,CalcKey,"&lt;"&amp;$H1101)+1)</f>
        <v/>
      </c>
      <c r="J1101">
        <f>IF($I1101="","",$G1101&amp;"|"&amp;RIGHT("000000"&amp;$I1101,6))</f>
        <v/>
      </c>
      <c r="K1101">
        <f>IF(OR($E1101="",$E1101="نامعتبر"),"",LEFT($E1101,4)&amp;"/"&amp;MID($E1101,6,2))</f>
        <v/>
      </c>
      <c r="L1101">
        <f>IF(Entry!$K1101="",0,Entry!$K1101)</f>
        <v/>
      </c>
      <c r="M1101">
        <f>IF(Entry!$L1101="",0,Entry!$L1101)</f>
        <v/>
      </c>
    </row>
    <row r="1102">
      <c r="A1102">
        <f>IF(Entry!$C1102="","",Entry!$C1102)</f>
        <v/>
      </c>
      <c r="B1102">
        <f>IF($A1102="","",IF(ISNUMBER($A1102),IF(AND($A1102&gt;=10000101,$A1102&lt;=99991231),INT($A1102/10000),""),IFERROR(VALUE(TRIM(LEFT($A1102,FIND("/",$A1102)-1))),"")))</f>
        <v/>
      </c>
      <c r="C1102">
        <f>IF(OR($A1102="",$B1102=""),"",IF(ISNUMBER($A1102),INT(MOD($A1102,10000)/100),IFERROR(VALUE(TRIM(LEFT(MID($A1102,FIND("/",$A1102)+1,20),FIND("/",MID($A1102,FIND("/",$A1102)+1,20))-1))),"")))</f>
        <v/>
      </c>
      <c r="D1102">
        <f>IF(OR($A1102="",$B1102=""),"",IF(ISNUMBER($A1102),MOD($A1102,100),IFERROR(VALUE(TRIM(MID(MID($A1102,FIND("/",$A1102)+1,20),FIND("/",MID($A1102,FIND("/",$A1102)+1,20))+1,20))),"")))</f>
        <v/>
      </c>
      <c r="E1102">
        <f>IF($A1102="","",IF(OR($B1102="",$C1102="",$D1102="",$B1102&lt;1300,$B1102&gt;1500,$C1102&lt;1,$C1102&gt;12,$D1102&lt;1,$D1102&gt;31),"نامعتبر",RIGHT("0000"&amp;$B1102,4)&amp;"/"&amp;RIGHT("00"&amp;$C1102,2)&amp;"/"&amp;RIGHT("00"&amp;$D1102,2)))</f>
        <v/>
      </c>
      <c r="F1102">
        <f>IF(Entry!$D1102&lt;&gt;"",IF(AND(ISNUMBER(Entry!$D1102),Entry!$D1102&gt;=0,Entry!$D1102&lt;1),RIGHT("00"&amp;HOUR(Entry!$D1102),2)&amp;":"&amp;RIGHT("00"&amp;MINUTE(Entry!$D1102),2),IFERROR(RIGHT("00"&amp;VALUE(TRIM(LEFT(Entry!$D1102,FIND(":",Entry!$D1102)-1))),2)&amp;":"&amp;RIGHT("00"&amp;VALUE(TRIM(MID(Entry!$D1102,FIND(":",Entry!$D1102)+1,2))),2),"نامعتبر")),IF(OR($E1102="",$E1102="نامعتبر"),"","00:00"))</f>
        <v/>
      </c>
      <c r="G1102">
        <f>IF(OR($E1102="",$E1102="نامعتبر"),"",IF(Entry!$E1102="","",LEFT(UPPER(TRIM(Entry!$E1102)),6)))</f>
        <v/>
      </c>
      <c r="H1102">
        <f>IF($G1102="","",RIGHT($E1102,4)&amp;MID($E1102,6,2)&amp;RIGHT($E1102,2)&amp;IF($F1102="","0000",IF($F1102="نامعتبر","9999",LEFT($F1102,2)&amp;RIGHT($F1102,2)))&amp;"|"&amp;RIGHT("00000"&amp;1094,5))</f>
        <v/>
      </c>
      <c r="I1102">
        <f>IF($H1102="","",COUNTIFS(CalcBank,$G1102,CalcKey,"&lt;"&amp;$H1102)+1)</f>
        <v/>
      </c>
      <c r="J1102">
        <f>IF($I1102="","",$G1102&amp;"|"&amp;RIGHT("000000"&amp;$I1102,6))</f>
        <v/>
      </c>
      <c r="K1102">
        <f>IF(OR($E1102="",$E1102="نامعتبر"),"",LEFT($E1102,4)&amp;"/"&amp;MID($E1102,6,2))</f>
        <v/>
      </c>
      <c r="L1102">
        <f>IF(Entry!$K1102="",0,Entry!$K1102)</f>
        <v/>
      </c>
      <c r="M1102">
        <f>IF(Entry!$L1102="",0,Entry!$L1102)</f>
        <v/>
      </c>
    </row>
    <row r="1103">
      <c r="A1103">
        <f>IF(Entry!$C1103="","",Entry!$C1103)</f>
        <v/>
      </c>
      <c r="B1103">
        <f>IF($A1103="","",IF(ISNUMBER($A1103),IF(AND($A1103&gt;=10000101,$A1103&lt;=99991231),INT($A1103/10000),""),IFERROR(VALUE(TRIM(LEFT($A1103,FIND("/",$A1103)-1))),"")))</f>
        <v/>
      </c>
      <c r="C1103">
        <f>IF(OR($A1103="",$B1103=""),"",IF(ISNUMBER($A1103),INT(MOD($A1103,10000)/100),IFERROR(VALUE(TRIM(LEFT(MID($A1103,FIND("/",$A1103)+1,20),FIND("/",MID($A1103,FIND("/",$A1103)+1,20))-1))),"")))</f>
        <v/>
      </c>
      <c r="D1103">
        <f>IF(OR($A1103="",$B1103=""),"",IF(ISNUMBER($A1103),MOD($A1103,100),IFERROR(VALUE(TRIM(MID(MID($A1103,FIND("/",$A1103)+1,20),FIND("/",MID($A1103,FIND("/",$A1103)+1,20))+1,20))),"")))</f>
        <v/>
      </c>
      <c r="E1103">
        <f>IF($A1103="","",IF(OR($B1103="",$C1103="",$D1103="",$B1103&lt;1300,$B1103&gt;1500,$C1103&lt;1,$C1103&gt;12,$D1103&lt;1,$D1103&gt;31),"نامعتبر",RIGHT("0000"&amp;$B1103,4)&amp;"/"&amp;RIGHT("00"&amp;$C1103,2)&amp;"/"&amp;RIGHT("00"&amp;$D1103,2)))</f>
        <v/>
      </c>
      <c r="F1103">
        <f>IF(Entry!$D1103&lt;&gt;"",IF(AND(ISNUMBER(Entry!$D1103),Entry!$D1103&gt;=0,Entry!$D1103&lt;1),RIGHT("00"&amp;HOUR(Entry!$D1103),2)&amp;":"&amp;RIGHT("00"&amp;MINUTE(Entry!$D1103),2),IFERROR(RIGHT("00"&amp;VALUE(TRIM(LEFT(Entry!$D1103,FIND(":",Entry!$D1103)-1))),2)&amp;":"&amp;RIGHT("00"&amp;VALUE(TRIM(MID(Entry!$D1103,FIND(":",Entry!$D1103)+1,2))),2),"نامعتبر")),IF(OR($E1103="",$E1103="نامعتبر"),"","00:00"))</f>
        <v/>
      </c>
      <c r="G1103">
        <f>IF(OR($E1103="",$E1103="نامعتبر"),"",IF(Entry!$E1103="","",LEFT(UPPER(TRIM(Entry!$E1103)),6)))</f>
        <v/>
      </c>
      <c r="H1103">
        <f>IF($G1103="","",RIGHT($E1103,4)&amp;MID($E1103,6,2)&amp;RIGHT($E1103,2)&amp;IF($F1103="","0000",IF($F1103="نامعتبر","9999",LEFT($F1103,2)&amp;RIGHT($F1103,2)))&amp;"|"&amp;RIGHT("00000"&amp;1095,5))</f>
        <v/>
      </c>
      <c r="I1103">
        <f>IF($H1103="","",COUNTIFS(CalcBank,$G1103,CalcKey,"&lt;"&amp;$H1103)+1)</f>
        <v/>
      </c>
      <c r="J1103">
        <f>IF($I1103="","",$G1103&amp;"|"&amp;RIGHT("000000"&amp;$I1103,6))</f>
        <v/>
      </c>
      <c r="K1103">
        <f>IF(OR($E1103="",$E1103="نامعتبر"),"",LEFT($E1103,4)&amp;"/"&amp;MID($E1103,6,2))</f>
        <v/>
      </c>
      <c r="L1103">
        <f>IF(Entry!$K1103="",0,Entry!$K1103)</f>
        <v/>
      </c>
      <c r="M1103">
        <f>IF(Entry!$L1103="",0,Entry!$L1103)</f>
        <v/>
      </c>
    </row>
    <row r="1104">
      <c r="A1104">
        <f>IF(Entry!$C1104="","",Entry!$C1104)</f>
        <v/>
      </c>
      <c r="B1104">
        <f>IF($A1104="","",IF(ISNUMBER($A1104),IF(AND($A1104&gt;=10000101,$A1104&lt;=99991231),INT($A1104/10000),""),IFERROR(VALUE(TRIM(LEFT($A1104,FIND("/",$A1104)-1))),"")))</f>
        <v/>
      </c>
      <c r="C1104">
        <f>IF(OR($A1104="",$B1104=""),"",IF(ISNUMBER($A1104),INT(MOD($A1104,10000)/100),IFERROR(VALUE(TRIM(LEFT(MID($A1104,FIND("/",$A1104)+1,20),FIND("/",MID($A1104,FIND("/",$A1104)+1,20))-1))),"")))</f>
        <v/>
      </c>
      <c r="D1104">
        <f>IF(OR($A1104="",$B1104=""),"",IF(ISNUMBER($A1104),MOD($A1104,100),IFERROR(VALUE(TRIM(MID(MID($A1104,FIND("/",$A1104)+1,20),FIND("/",MID($A1104,FIND("/",$A1104)+1,20))+1,20))),"")))</f>
        <v/>
      </c>
      <c r="E1104">
        <f>IF($A1104="","",IF(OR($B1104="",$C1104="",$D1104="",$B1104&lt;1300,$B1104&gt;1500,$C1104&lt;1,$C1104&gt;12,$D1104&lt;1,$D1104&gt;31),"نامعتبر",RIGHT("0000"&amp;$B1104,4)&amp;"/"&amp;RIGHT("00"&amp;$C1104,2)&amp;"/"&amp;RIGHT("00"&amp;$D1104,2)))</f>
        <v/>
      </c>
      <c r="F1104">
        <f>IF(Entry!$D1104&lt;&gt;"",IF(AND(ISNUMBER(Entry!$D1104),Entry!$D1104&gt;=0,Entry!$D1104&lt;1),RIGHT("00"&amp;HOUR(Entry!$D1104),2)&amp;":"&amp;RIGHT("00"&amp;MINUTE(Entry!$D1104),2),IFERROR(RIGHT("00"&amp;VALUE(TRIM(LEFT(Entry!$D1104,FIND(":",Entry!$D1104)-1))),2)&amp;":"&amp;RIGHT("00"&amp;VALUE(TRIM(MID(Entry!$D1104,FIND(":",Entry!$D1104)+1,2))),2),"نامعتبر")),IF(OR($E1104="",$E1104="نامعتبر"),"","00:00"))</f>
        <v/>
      </c>
      <c r="G1104">
        <f>IF(OR($E1104="",$E1104="نامعتبر"),"",IF(Entry!$E1104="","",LEFT(UPPER(TRIM(Entry!$E1104)),6)))</f>
        <v/>
      </c>
      <c r="H1104">
        <f>IF($G1104="","",RIGHT($E1104,4)&amp;MID($E1104,6,2)&amp;RIGHT($E1104,2)&amp;IF($F1104="","0000",IF($F1104="نامعتبر","9999",LEFT($F1104,2)&amp;RIGHT($F1104,2)))&amp;"|"&amp;RIGHT("00000"&amp;1096,5))</f>
        <v/>
      </c>
      <c r="I1104">
        <f>IF($H1104="","",COUNTIFS(CalcBank,$G1104,CalcKey,"&lt;"&amp;$H1104)+1)</f>
        <v/>
      </c>
      <c r="J1104">
        <f>IF($I1104="","",$G1104&amp;"|"&amp;RIGHT("000000"&amp;$I1104,6))</f>
        <v/>
      </c>
      <c r="K1104">
        <f>IF(OR($E1104="",$E1104="نامعتبر"),"",LEFT($E1104,4)&amp;"/"&amp;MID($E1104,6,2))</f>
        <v/>
      </c>
      <c r="L1104">
        <f>IF(Entry!$K1104="",0,Entry!$K1104)</f>
        <v/>
      </c>
      <c r="M1104">
        <f>IF(Entry!$L1104="",0,Entry!$L1104)</f>
        <v/>
      </c>
    </row>
    <row r="1105">
      <c r="A1105">
        <f>IF(Entry!$C1105="","",Entry!$C1105)</f>
        <v/>
      </c>
      <c r="B1105">
        <f>IF($A1105="","",IF(ISNUMBER($A1105),IF(AND($A1105&gt;=10000101,$A1105&lt;=99991231),INT($A1105/10000),""),IFERROR(VALUE(TRIM(LEFT($A1105,FIND("/",$A1105)-1))),"")))</f>
        <v/>
      </c>
      <c r="C1105">
        <f>IF(OR($A1105="",$B1105=""),"",IF(ISNUMBER($A1105),INT(MOD($A1105,10000)/100),IFERROR(VALUE(TRIM(LEFT(MID($A1105,FIND("/",$A1105)+1,20),FIND("/",MID($A1105,FIND("/",$A1105)+1,20))-1))),"")))</f>
        <v/>
      </c>
      <c r="D1105">
        <f>IF(OR($A1105="",$B1105=""),"",IF(ISNUMBER($A1105),MOD($A1105,100),IFERROR(VALUE(TRIM(MID(MID($A1105,FIND("/",$A1105)+1,20),FIND("/",MID($A1105,FIND("/",$A1105)+1,20))+1,20))),"")))</f>
        <v/>
      </c>
      <c r="E1105">
        <f>IF($A1105="","",IF(OR($B1105="",$C1105="",$D1105="",$B1105&lt;1300,$B1105&gt;1500,$C1105&lt;1,$C1105&gt;12,$D1105&lt;1,$D1105&gt;31),"نامعتبر",RIGHT("0000"&amp;$B1105,4)&amp;"/"&amp;RIGHT("00"&amp;$C1105,2)&amp;"/"&amp;RIGHT("00"&amp;$D1105,2)))</f>
        <v/>
      </c>
      <c r="F1105">
        <f>IF(Entry!$D1105&lt;&gt;"",IF(AND(ISNUMBER(Entry!$D1105),Entry!$D1105&gt;=0,Entry!$D1105&lt;1),RIGHT("00"&amp;HOUR(Entry!$D1105),2)&amp;":"&amp;RIGHT("00"&amp;MINUTE(Entry!$D1105),2),IFERROR(RIGHT("00"&amp;VALUE(TRIM(LEFT(Entry!$D1105,FIND(":",Entry!$D1105)-1))),2)&amp;":"&amp;RIGHT("00"&amp;VALUE(TRIM(MID(Entry!$D1105,FIND(":",Entry!$D1105)+1,2))),2),"نامعتبر")),IF(OR($E1105="",$E1105="نامعتبر"),"","00:00"))</f>
        <v/>
      </c>
      <c r="G1105">
        <f>IF(OR($E1105="",$E1105="نامعتبر"),"",IF(Entry!$E1105="","",LEFT(UPPER(TRIM(Entry!$E1105)),6)))</f>
        <v/>
      </c>
      <c r="H1105">
        <f>IF($G1105="","",RIGHT($E1105,4)&amp;MID($E1105,6,2)&amp;RIGHT($E1105,2)&amp;IF($F1105="","0000",IF($F1105="نامعتبر","9999",LEFT($F1105,2)&amp;RIGHT($F1105,2)))&amp;"|"&amp;RIGHT("00000"&amp;1097,5))</f>
        <v/>
      </c>
      <c r="I1105">
        <f>IF($H1105="","",COUNTIFS(CalcBank,$G1105,CalcKey,"&lt;"&amp;$H1105)+1)</f>
        <v/>
      </c>
      <c r="J1105">
        <f>IF($I1105="","",$G1105&amp;"|"&amp;RIGHT("000000"&amp;$I1105,6))</f>
        <v/>
      </c>
      <c r="K1105">
        <f>IF(OR($E1105="",$E1105="نامعتبر"),"",LEFT($E1105,4)&amp;"/"&amp;MID($E1105,6,2))</f>
        <v/>
      </c>
      <c r="L1105">
        <f>IF(Entry!$K1105="",0,Entry!$K1105)</f>
        <v/>
      </c>
      <c r="M1105">
        <f>IF(Entry!$L1105="",0,Entry!$L1105)</f>
        <v/>
      </c>
    </row>
    <row r="1106">
      <c r="A1106">
        <f>IF(Entry!$C1106="","",Entry!$C1106)</f>
        <v/>
      </c>
      <c r="B1106">
        <f>IF($A1106="","",IF(ISNUMBER($A1106),IF(AND($A1106&gt;=10000101,$A1106&lt;=99991231),INT($A1106/10000),""),IFERROR(VALUE(TRIM(LEFT($A1106,FIND("/",$A1106)-1))),"")))</f>
        <v/>
      </c>
      <c r="C1106">
        <f>IF(OR($A1106="",$B1106=""),"",IF(ISNUMBER($A1106),INT(MOD($A1106,10000)/100),IFERROR(VALUE(TRIM(LEFT(MID($A1106,FIND("/",$A1106)+1,20),FIND("/",MID($A1106,FIND("/",$A1106)+1,20))-1))),"")))</f>
        <v/>
      </c>
      <c r="D1106">
        <f>IF(OR($A1106="",$B1106=""),"",IF(ISNUMBER($A1106),MOD($A1106,100),IFERROR(VALUE(TRIM(MID(MID($A1106,FIND("/",$A1106)+1,20),FIND("/",MID($A1106,FIND("/",$A1106)+1,20))+1,20))),"")))</f>
        <v/>
      </c>
      <c r="E1106">
        <f>IF($A1106="","",IF(OR($B1106="",$C1106="",$D1106="",$B1106&lt;1300,$B1106&gt;1500,$C1106&lt;1,$C1106&gt;12,$D1106&lt;1,$D1106&gt;31),"نامعتبر",RIGHT("0000"&amp;$B1106,4)&amp;"/"&amp;RIGHT("00"&amp;$C1106,2)&amp;"/"&amp;RIGHT("00"&amp;$D1106,2)))</f>
        <v/>
      </c>
      <c r="F1106">
        <f>IF(Entry!$D1106&lt;&gt;"",IF(AND(ISNUMBER(Entry!$D1106),Entry!$D1106&gt;=0,Entry!$D1106&lt;1),RIGHT("00"&amp;HOUR(Entry!$D1106),2)&amp;":"&amp;RIGHT("00"&amp;MINUTE(Entry!$D1106),2),IFERROR(RIGHT("00"&amp;VALUE(TRIM(LEFT(Entry!$D1106,FIND(":",Entry!$D1106)-1))),2)&amp;":"&amp;RIGHT("00"&amp;VALUE(TRIM(MID(Entry!$D1106,FIND(":",Entry!$D1106)+1,2))),2),"نامعتبر")),IF(OR($E1106="",$E1106="نامعتبر"),"","00:00"))</f>
        <v/>
      </c>
      <c r="G1106">
        <f>IF(OR($E1106="",$E1106="نامعتبر"),"",IF(Entry!$E1106="","",LEFT(UPPER(TRIM(Entry!$E1106)),6)))</f>
        <v/>
      </c>
      <c r="H1106">
        <f>IF($G1106="","",RIGHT($E1106,4)&amp;MID($E1106,6,2)&amp;RIGHT($E1106,2)&amp;IF($F1106="","0000",IF($F1106="نامعتبر","9999",LEFT($F1106,2)&amp;RIGHT($F1106,2)))&amp;"|"&amp;RIGHT("00000"&amp;1098,5))</f>
        <v/>
      </c>
      <c r="I1106">
        <f>IF($H1106="","",COUNTIFS(CalcBank,$G1106,CalcKey,"&lt;"&amp;$H1106)+1)</f>
        <v/>
      </c>
      <c r="J1106">
        <f>IF($I1106="","",$G1106&amp;"|"&amp;RIGHT("000000"&amp;$I1106,6))</f>
        <v/>
      </c>
      <c r="K1106">
        <f>IF(OR($E1106="",$E1106="نامعتبر"),"",LEFT($E1106,4)&amp;"/"&amp;MID($E1106,6,2))</f>
        <v/>
      </c>
      <c r="L1106">
        <f>IF(Entry!$K1106="",0,Entry!$K1106)</f>
        <v/>
      </c>
      <c r="M1106">
        <f>IF(Entry!$L1106="",0,Entry!$L1106)</f>
        <v/>
      </c>
    </row>
    <row r="1107">
      <c r="A1107">
        <f>IF(Entry!$C1107="","",Entry!$C1107)</f>
        <v/>
      </c>
      <c r="B1107">
        <f>IF($A1107="","",IF(ISNUMBER($A1107),IF(AND($A1107&gt;=10000101,$A1107&lt;=99991231),INT($A1107/10000),""),IFERROR(VALUE(TRIM(LEFT($A1107,FIND("/",$A1107)-1))),"")))</f>
        <v/>
      </c>
      <c r="C1107">
        <f>IF(OR($A1107="",$B1107=""),"",IF(ISNUMBER($A1107),INT(MOD($A1107,10000)/100),IFERROR(VALUE(TRIM(LEFT(MID($A1107,FIND("/",$A1107)+1,20),FIND("/",MID($A1107,FIND("/",$A1107)+1,20))-1))),"")))</f>
        <v/>
      </c>
      <c r="D1107">
        <f>IF(OR($A1107="",$B1107=""),"",IF(ISNUMBER($A1107),MOD($A1107,100),IFERROR(VALUE(TRIM(MID(MID($A1107,FIND("/",$A1107)+1,20),FIND("/",MID($A1107,FIND("/",$A1107)+1,20))+1,20))),"")))</f>
        <v/>
      </c>
      <c r="E1107">
        <f>IF($A1107="","",IF(OR($B1107="",$C1107="",$D1107="",$B1107&lt;1300,$B1107&gt;1500,$C1107&lt;1,$C1107&gt;12,$D1107&lt;1,$D1107&gt;31),"نامعتبر",RIGHT("0000"&amp;$B1107,4)&amp;"/"&amp;RIGHT("00"&amp;$C1107,2)&amp;"/"&amp;RIGHT("00"&amp;$D1107,2)))</f>
        <v/>
      </c>
      <c r="F1107">
        <f>IF(Entry!$D1107&lt;&gt;"",IF(AND(ISNUMBER(Entry!$D1107),Entry!$D1107&gt;=0,Entry!$D1107&lt;1),RIGHT("00"&amp;HOUR(Entry!$D1107),2)&amp;":"&amp;RIGHT("00"&amp;MINUTE(Entry!$D1107),2),IFERROR(RIGHT("00"&amp;VALUE(TRIM(LEFT(Entry!$D1107,FIND(":",Entry!$D1107)-1))),2)&amp;":"&amp;RIGHT("00"&amp;VALUE(TRIM(MID(Entry!$D1107,FIND(":",Entry!$D1107)+1,2))),2),"نامعتبر")),IF(OR($E1107="",$E1107="نامعتبر"),"","00:00"))</f>
        <v/>
      </c>
      <c r="G1107">
        <f>IF(OR($E1107="",$E1107="نامعتبر"),"",IF(Entry!$E1107="","",LEFT(UPPER(TRIM(Entry!$E1107)),6)))</f>
        <v/>
      </c>
      <c r="H1107">
        <f>IF($G1107="","",RIGHT($E1107,4)&amp;MID($E1107,6,2)&amp;RIGHT($E1107,2)&amp;IF($F1107="","0000",IF($F1107="نامعتبر","9999",LEFT($F1107,2)&amp;RIGHT($F1107,2)))&amp;"|"&amp;RIGHT("00000"&amp;1099,5))</f>
        <v/>
      </c>
      <c r="I1107">
        <f>IF($H1107="","",COUNTIFS(CalcBank,$G1107,CalcKey,"&lt;"&amp;$H1107)+1)</f>
        <v/>
      </c>
      <c r="J1107">
        <f>IF($I1107="","",$G1107&amp;"|"&amp;RIGHT("000000"&amp;$I1107,6))</f>
        <v/>
      </c>
      <c r="K1107">
        <f>IF(OR($E1107="",$E1107="نامعتبر"),"",LEFT($E1107,4)&amp;"/"&amp;MID($E1107,6,2))</f>
        <v/>
      </c>
      <c r="L1107">
        <f>IF(Entry!$K1107="",0,Entry!$K1107)</f>
        <v/>
      </c>
      <c r="M1107">
        <f>IF(Entry!$L1107="",0,Entry!$L1107)</f>
        <v/>
      </c>
    </row>
    <row r="1108">
      <c r="A1108">
        <f>IF(Entry!$C1108="","",Entry!$C1108)</f>
        <v/>
      </c>
      <c r="B1108">
        <f>IF($A1108="","",IF(ISNUMBER($A1108),IF(AND($A1108&gt;=10000101,$A1108&lt;=99991231),INT($A1108/10000),""),IFERROR(VALUE(TRIM(LEFT($A1108,FIND("/",$A1108)-1))),"")))</f>
        <v/>
      </c>
      <c r="C1108">
        <f>IF(OR($A1108="",$B1108=""),"",IF(ISNUMBER($A1108),INT(MOD($A1108,10000)/100),IFERROR(VALUE(TRIM(LEFT(MID($A1108,FIND("/",$A1108)+1,20),FIND("/",MID($A1108,FIND("/",$A1108)+1,20))-1))),"")))</f>
        <v/>
      </c>
      <c r="D1108">
        <f>IF(OR($A1108="",$B1108=""),"",IF(ISNUMBER($A1108),MOD($A1108,100),IFERROR(VALUE(TRIM(MID(MID($A1108,FIND("/",$A1108)+1,20),FIND("/",MID($A1108,FIND("/",$A1108)+1,20))+1,20))),"")))</f>
        <v/>
      </c>
      <c r="E1108">
        <f>IF($A1108="","",IF(OR($B1108="",$C1108="",$D1108="",$B1108&lt;1300,$B1108&gt;1500,$C1108&lt;1,$C1108&gt;12,$D1108&lt;1,$D1108&gt;31),"نامعتبر",RIGHT("0000"&amp;$B1108,4)&amp;"/"&amp;RIGHT("00"&amp;$C1108,2)&amp;"/"&amp;RIGHT("00"&amp;$D1108,2)))</f>
        <v/>
      </c>
      <c r="F1108">
        <f>IF(Entry!$D1108&lt;&gt;"",IF(AND(ISNUMBER(Entry!$D1108),Entry!$D1108&gt;=0,Entry!$D1108&lt;1),RIGHT("00"&amp;HOUR(Entry!$D1108),2)&amp;":"&amp;RIGHT("00"&amp;MINUTE(Entry!$D1108),2),IFERROR(RIGHT("00"&amp;VALUE(TRIM(LEFT(Entry!$D1108,FIND(":",Entry!$D1108)-1))),2)&amp;":"&amp;RIGHT("00"&amp;VALUE(TRIM(MID(Entry!$D1108,FIND(":",Entry!$D1108)+1,2))),2),"نامعتبر")),IF(OR($E1108="",$E1108="نامعتبر"),"","00:00"))</f>
        <v/>
      </c>
      <c r="G1108">
        <f>IF(OR($E1108="",$E1108="نامعتبر"),"",IF(Entry!$E1108="","",LEFT(UPPER(TRIM(Entry!$E1108)),6)))</f>
        <v/>
      </c>
      <c r="H1108">
        <f>IF($G1108="","",RIGHT($E1108,4)&amp;MID($E1108,6,2)&amp;RIGHT($E1108,2)&amp;IF($F1108="","0000",IF($F1108="نامعتبر","9999",LEFT($F1108,2)&amp;RIGHT($F1108,2)))&amp;"|"&amp;RIGHT("00000"&amp;1100,5))</f>
        <v/>
      </c>
      <c r="I1108">
        <f>IF($H1108="","",COUNTIFS(CalcBank,$G1108,CalcKey,"&lt;"&amp;$H1108)+1)</f>
        <v/>
      </c>
      <c r="J1108">
        <f>IF($I1108="","",$G1108&amp;"|"&amp;RIGHT("000000"&amp;$I1108,6))</f>
        <v/>
      </c>
      <c r="K1108">
        <f>IF(OR($E1108="",$E1108="نامعتبر"),"",LEFT($E1108,4)&amp;"/"&amp;MID($E1108,6,2))</f>
        <v/>
      </c>
      <c r="L1108">
        <f>IF(Entry!$K1108="",0,Entry!$K1108)</f>
        <v/>
      </c>
      <c r="M1108">
        <f>IF(Entry!$L1108="",0,Entry!$L1108)</f>
        <v/>
      </c>
    </row>
    <row r="1109">
      <c r="A1109">
        <f>IF(Entry!$C1109="","",Entry!$C1109)</f>
        <v/>
      </c>
      <c r="B1109">
        <f>IF($A1109="","",IF(ISNUMBER($A1109),IF(AND($A1109&gt;=10000101,$A1109&lt;=99991231),INT($A1109/10000),""),IFERROR(VALUE(TRIM(LEFT($A1109,FIND("/",$A1109)-1))),"")))</f>
        <v/>
      </c>
      <c r="C1109">
        <f>IF(OR($A1109="",$B1109=""),"",IF(ISNUMBER($A1109),INT(MOD($A1109,10000)/100),IFERROR(VALUE(TRIM(LEFT(MID($A1109,FIND("/",$A1109)+1,20),FIND("/",MID($A1109,FIND("/",$A1109)+1,20))-1))),"")))</f>
        <v/>
      </c>
      <c r="D1109">
        <f>IF(OR($A1109="",$B1109=""),"",IF(ISNUMBER($A1109),MOD($A1109,100),IFERROR(VALUE(TRIM(MID(MID($A1109,FIND("/",$A1109)+1,20),FIND("/",MID($A1109,FIND("/",$A1109)+1,20))+1,20))),"")))</f>
        <v/>
      </c>
      <c r="E1109">
        <f>IF($A1109="","",IF(OR($B1109="",$C1109="",$D1109="",$B1109&lt;1300,$B1109&gt;1500,$C1109&lt;1,$C1109&gt;12,$D1109&lt;1,$D1109&gt;31),"نامعتبر",RIGHT("0000"&amp;$B1109,4)&amp;"/"&amp;RIGHT("00"&amp;$C1109,2)&amp;"/"&amp;RIGHT("00"&amp;$D1109,2)))</f>
        <v/>
      </c>
      <c r="F1109">
        <f>IF(Entry!$D1109&lt;&gt;"",IF(AND(ISNUMBER(Entry!$D1109),Entry!$D1109&gt;=0,Entry!$D1109&lt;1),RIGHT("00"&amp;HOUR(Entry!$D1109),2)&amp;":"&amp;RIGHT("00"&amp;MINUTE(Entry!$D1109),2),IFERROR(RIGHT("00"&amp;VALUE(TRIM(LEFT(Entry!$D1109,FIND(":",Entry!$D1109)-1))),2)&amp;":"&amp;RIGHT("00"&amp;VALUE(TRIM(MID(Entry!$D1109,FIND(":",Entry!$D1109)+1,2))),2),"نامعتبر")),IF(OR($E1109="",$E1109="نامعتبر"),"","00:00"))</f>
        <v/>
      </c>
      <c r="G1109">
        <f>IF(OR($E1109="",$E1109="نامعتبر"),"",IF(Entry!$E1109="","",LEFT(UPPER(TRIM(Entry!$E1109)),6)))</f>
        <v/>
      </c>
      <c r="H1109">
        <f>IF($G1109="","",RIGHT($E1109,4)&amp;MID($E1109,6,2)&amp;RIGHT($E1109,2)&amp;IF($F1109="","0000",IF($F1109="نامعتبر","9999",LEFT($F1109,2)&amp;RIGHT($F1109,2)))&amp;"|"&amp;RIGHT("00000"&amp;1101,5))</f>
        <v/>
      </c>
      <c r="I1109">
        <f>IF($H1109="","",COUNTIFS(CalcBank,$G1109,CalcKey,"&lt;"&amp;$H1109)+1)</f>
        <v/>
      </c>
      <c r="J1109">
        <f>IF($I1109="","",$G1109&amp;"|"&amp;RIGHT("000000"&amp;$I1109,6))</f>
        <v/>
      </c>
      <c r="K1109">
        <f>IF(OR($E1109="",$E1109="نامعتبر"),"",LEFT($E1109,4)&amp;"/"&amp;MID($E1109,6,2))</f>
        <v/>
      </c>
      <c r="L1109">
        <f>IF(Entry!$K1109="",0,Entry!$K1109)</f>
        <v/>
      </c>
      <c r="M1109">
        <f>IF(Entry!$L1109="",0,Entry!$L1109)</f>
        <v/>
      </c>
    </row>
    <row r="1110">
      <c r="A1110">
        <f>IF(Entry!$C1110="","",Entry!$C1110)</f>
        <v/>
      </c>
      <c r="B1110">
        <f>IF($A1110="","",IF(ISNUMBER($A1110),IF(AND($A1110&gt;=10000101,$A1110&lt;=99991231),INT($A1110/10000),""),IFERROR(VALUE(TRIM(LEFT($A1110,FIND("/",$A1110)-1))),"")))</f>
        <v/>
      </c>
      <c r="C1110">
        <f>IF(OR($A1110="",$B1110=""),"",IF(ISNUMBER($A1110),INT(MOD($A1110,10000)/100),IFERROR(VALUE(TRIM(LEFT(MID($A1110,FIND("/",$A1110)+1,20),FIND("/",MID($A1110,FIND("/",$A1110)+1,20))-1))),"")))</f>
        <v/>
      </c>
      <c r="D1110">
        <f>IF(OR($A1110="",$B1110=""),"",IF(ISNUMBER($A1110),MOD($A1110,100),IFERROR(VALUE(TRIM(MID(MID($A1110,FIND("/",$A1110)+1,20),FIND("/",MID($A1110,FIND("/",$A1110)+1,20))+1,20))),"")))</f>
        <v/>
      </c>
      <c r="E1110">
        <f>IF($A1110="","",IF(OR($B1110="",$C1110="",$D1110="",$B1110&lt;1300,$B1110&gt;1500,$C1110&lt;1,$C1110&gt;12,$D1110&lt;1,$D1110&gt;31),"نامعتبر",RIGHT("0000"&amp;$B1110,4)&amp;"/"&amp;RIGHT("00"&amp;$C1110,2)&amp;"/"&amp;RIGHT("00"&amp;$D1110,2)))</f>
        <v/>
      </c>
      <c r="F1110">
        <f>IF(Entry!$D1110&lt;&gt;"",IF(AND(ISNUMBER(Entry!$D1110),Entry!$D1110&gt;=0,Entry!$D1110&lt;1),RIGHT("00"&amp;HOUR(Entry!$D1110),2)&amp;":"&amp;RIGHT("00"&amp;MINUTE(Entry!$D1110),2),IFERROR(RIGHT("00"&amp;VALUE(TRIM(LEFT(Entry!$D1110,FIND(":",Entry!$D1110)-1))),2)&amp;":"&amp;RIGHT("00"&amp;VALUE(TRIM(MID(Entry!$D1110,FIND(":",Entry!$D1110)+1,2))),2),"نامعتبر")),IF(OR($E1110="",$E1110="نامعتبر"),"","00:00"))</f>
        <v/>
      </c>
      <c r="G1110">
        <f>IF(OR($E1110="",$E1110="نامعتبر"),"",IF(Entry!$E1110="","",LEFT(UPPER(TRIM(Entry!$E1110)),6)))</f>
        <v/>
      </c>
      <c r="H1110">
        <f>IF($G1110="","",RIGHT($E1110,4)&amp;MID($E1110,6,2)&amp;RIGHT($E1110,2)&amp;IF($F1110="","0000",IF($F1110="نامعتبر","9999",LEFT($F1110,2)&amp;RIGHT($F1110,2)))&amp;"|"&amp;RIGHT("00000"&amp;1102,5))</f>
        <v/>
      </c>
      <c r="I1110">
        <f>IF($H1110="","",COUNTIFS(CalcBank,$G1110,CalcKey,"&lt;"&amp;$H1110)+1)</f>
        <v/>
      </c>
      <c r="J1110">
        <f>IF($I1110="","",$G1110&amp;"|"&amp;RIGHT("000000"&amp;$I1110,6))</f>
        <v/>
      </c>
      <c r="K1110">
        <f>IF(OR($E1110="",$E1110="نامعتبر"),"",LEFT($E1110,4)&amp;"/"&amp;MID($E1110,6,2))</f>
        <v/>
      </c>
      <c r="L1110">
        <f>IF(Entry!$K1110="",0,Entry!$K1110)</f>
        <v/>
      </c>
      <c r="M1110">
        <f>IF(Entry!$L1110="",0,Entry!$L1110)</f>
        <v/>
      </c>
    </row>
    <row r="1111">
      <c r="A1111">
        <f>IF(Entry!$C1111="","",Entry!$C1111)</f>
        <v/>
      </c>
      <c r="B1111">
        <f>IF($A1111="","",IF(ISNUMBER($A1111),IF(AND($A1111&gt;=10000101,$A1111&lt;=99991231),INT($A1111/10000),""),IFERROR(VALUE(TRIM(LEFT($A1111,FIND("/",$A1111)-1))),"")))</f>
        <v/>
      </c>
      <c r="C1111">
        <f>IF(OR($A1111="",$B1111=""),"",IF(ISNUMBER($A1111),INT(MOD($A1111,10000)/100),IFERROR(VALUE(TRIM(LEFT(MID($A1111,FIND("/",$A1111)+1,20),FIND("/",MID($A1111,FIND("/",$A1111)+1,20))-1))),"")))</f>
        <v/>
      </c>
      <c r="D1111">
        <f>IF(OR($A1111="",$B1111=""),"",IF(ISNUMBER($A1111),MOD($A1111,100),IFERROR(VALUE(TRIM(MID(MID($A1111,FIND("/",$A1111)+1,20),FIND("/",MID($A1111,FIND("/",$A1111)+1,20))+1,20))),"")))</f>
        <v/>
      </c>
      <c r="E1111">
        <f>IF($A1111="","",IF(OR($B1111="",$C1111="",$D1111="",$B1111&lt;1300,$B1111&gt;1500,$C1111&lt;1,$C1111&gt;12,$D1111&lt;1,$D1111&gt;31),"نامعتبر",RIGHT("0000"&amp;$B1111,4)&amp;"/"&amp;RIGHT("00"&amp;$C1111,2)&amp;"/"&amp;RIGHT("00"&amp;$D1111,2)))</f>
        <v/>
      </c>
      <c r="F1111">
        <f>IF(Entry!$D1111&lt;&gt;"",IF(AND(ISNUMBER(Entry!$D1111),Entry!$D1111&gt;=0,Entry!$D1111&lt;1),RIGHT("00"&amp;HOUR(Entry!$D1111),2)&amp;":"&amp;RIGHT("00"&amp;MINUTE(Entry!$D1111),2),IFERROR(RIGHT("00"&amp;VALUE(TRIM(LEFT(Entry!$D1111,FIND(":",Entry!$D1111)-1))),2)&amp;":"&amp;RIGHT("00"&amp;VALUE(TRIM(MID(Entry!$D1111,FIND(":",Entry!$D1111)+1,2))),2),"نامعتبر")),IF(OR($E1111="",$E1111="نامعتبر"),"","00:00"))</f>
        <v/>
      </c>
      <c r="G1111">
        <f>IF(OR($E1111="",$E1111="نامعتبر"),"",IF(Entry!$E1111="","",LEFT(UPPER(TRIM(Entry!$E1111)),6)))</f>
        <v/>
      </c>
      <c r="H1111">
        <f>IF($G1111="","",RIGHT($E1111,4)&amp;MID($E1111,6,2)&amp;RIGHT($E1111,2)&amp;IF($F1111="","0000",IF($F1111="نامعتبر","9999",LEFT($F1111,2)&amp;RIGHT($F1111,2)))&amp;"|"&amp;RIGHT("00000"&amp;1103,5))</f>
        <v/>
      </c>
      <c r="I1111">
        <f>IF($H1111="","",COUNTIFS(CalcBank,$G1111,CalcKey,"&lt;"&amp;$H1111)+1)</f>
        <v/>
      </c>
      <c r="J1111">
        <f>IF($I1111="","",$G1111&amp;"|"&amp;RIGHT("000000"&amp;$I1111,6))</f>
        <v/>
      </c>
      <c r="K1111">
        <f>IF(OR($E1111="",$E1111="نامعتبر"),"",LEFT($E1111,4)&amp;"/"&amp;MID($E1111,6,2))</f>
        <v/>
      </c>
      <c r="L1111">
        <f>IF(Entry!$K1111="",0,Entry!$K1111)</f>
        <v/>
      </c>
      <c r="M1111">
        <f>IF(Entry!$L1111="",0,Entry!$L1111)</f>
        <v/>
      </c>
    </row>
    <row r="1112">
      <c r="A1112">
        <f>IF(Entry!$C1112="","",Entry!$C1112)</f>
        <v/>
      </c>
      <c r="B1112">
        <f>IF($A1112="","",IF(ISNUMBER($A1112),IF(AND($A1112&gt;=10000101,$A1112&lt;=99991231),INT($A1112/10000),""),IFERROR(VALUE(TRIM(LEFT($A1112,FIND("/",$A1112)-1))),"")))</f>
        <v/>
      </c>
      <c r="C1112">
        <f>IF(OR($A1112="",$B1112=""),"",IF(ISNUMBER($A1112),INT(MOD($A1112,10000)/100),IFERROR(VALUE(TRIM(LEFT(MID($A1112,FIND("/",$A1112)+1,20),FIND("/",MID($A1112,FIND("/",$A1112)+1,20))-1))),"")))</f>
        <v/>
      </c>
      <c r="D1112">
        <f>IF(OR($A1112="",$B1112=""),"",IF(ISNUMBER($A1112),MOD($A1112,100),IFERROR(VALUE(TRIM(MID(MID($A1112,FIND("/",$A1112)+1,20),FIND("/",MID($A1112,FIND("/",$A1112)+1,20))+1,20))),"")))</f>
        <v/>
      </c>
      <c r="E1112">
        <f>IF($A1112="","",IF(OR($B1112="",$C1112="",$D1112="",$B1112&lt;1300,$B1112&gt;1500,$C1112&lt;1,$C1112&gt;12,$D1112&lt;1,$D1112&gt;31),"نامعتبر",RIGHT("0000"&amp;$B1112,4)&amp;"/"&amp;RIGHT("00"&amp;$C1112,2)&amp;"/"&amp;RIGHT("00"&amp;$D1112,2)))</f>
        <v/>
      </c>
      <c r="F1112">
        <f>IF(Entry!$D1112&lt;&gt;"",IF(AND(ISNUMBER(Entry!$D1112),Entry!$D1112&gt;=0,Entry!$D1112&lt;1),RIGHT("00"&amp;HOUR(Entry!$D1112),2)&amp;":"&amp;RIGHT("00"&amp;MINUTE(Entry!$D1112),2),IFERROR(RIGHT("00"&amp;VALUE(TRIM(LEFT(Entry!$D1112,FIND(":",Entry!$D1112)-1))),2)&amp;":"&amp;RIGHT("00"&amp;VALUE(TRIM(MID(Entry!$D1112,FIND(":",Entry!$D1112)+1,2))),2),"نامعتبر")),IF(OR($E1112="",$E1112="نامعتبر"),"","00:00"))</f>
        <v/>
      </c>
      <c r="G1112">
        <f>IF(OR($E1112="",$E1112="نامعتبر"),"",IF(Entry!$E1112="","",LEFT(UPPER(TRIM(Entry!$E1112)),6)))</f>
        <v/>
      </c>
      <c r="H1112">
        <f>IF($G1112="","",RIGHT($E1112,4)&amp;MID($E1112,6,2)&amp;RIGHT($E1112,2)&amp;IF($F1112="","0000",IF($F1112="نامعتبر","9999",LEFT($F1112,2)&amp;RIGHT($F1112,2)))&amp;"|"&amp;RIGHT("00000"&amp;1104,5))</f>
        <v/>
      </c>
      <c r="I1112">
        <f>IF($H1112="","",COUNTIFS(CalcBank,$G1112,CalcKey,"&lt;"&amp;$H1112)+1)</f>
        <v/>
      </c>
      <c r="J1112">
        <f>IF($I1112="","",$G1112&amp;"|"&amp;RIGHT("000000"&amp;$I1112,6))</f>
        <v/>
      </c>
      <c r="K1112">
        <f>IF(OR($E1112="",$E1112="نامعتبر"),"",LEFT($E1112,4)&amp;"/"&amp;MID($E1112,6,2))</f>
        <v/>
      </c>
      <c r="L1112">
        <f>IF(Entry!$K1112="",0,Entry!$K1112)</f>
        <v/>
      </c>
      <c r="M1112">
        <f>IF(Entry!$L1112="",0,Entry!$L1112)</f>
        <v/>
      </c>
    </row>
    <row r="1113">
      <c r="A1113">
        <f>IF(Entry!$C1113="","",Entry!$C1113)</f>
        <v/>
      </c>
      <c r="B1113">
        <f>IF($A1113="","",IF(ISNUMBER($A1113),IF(AND($A1113&gt;=10000101,$A1113&lt;=99991231),INT($A1113/10000),""),IFERROR(VALUE(TRIM(LEFT($A1113,FIND("/",$A1113)-1))),"")))</f>
        <v/>
      </c>
      <c r="C1113">
        <f>IF(OR($A1113="",$B1113=""),"",IF(ISNUMBER($A1113),INT(MOD($A1113,10000)/100),IFERROR(VALUE(TRIM(LEFT(MID($A1113,FIND("/",$A1113)+1,20),FIND("/",MID($A1113,FIND("/",$A1113)+1,20))-1))),"")))</f>
        <v/>
      </c>
      <c r="D1113">
        <f>IF(OR($A1113="",$B1113=""),"",IF(ISNUMBER($A1113),MOD($A1113,100),IFERROR(VALUE(TRIM(MID(MID($A1113,FIND("/",$A1113)+1,20),FIND("/",MID($A1113,FIND("/",$A1113)+1,20))+1,20))),"")))</f>
        <v/>
      </c>
      <c r="E1113">
        <f>IF($A1113="","",IF(OR($B1113="",$C1113="",$D1113="",$B1113&lt;1300,$B1113&gt;1500,$C1113&lt;1,$C1113&gt;12,$D1113&lt;1,$D1113&gt;31),"نامعتبر",RIGHT("0000"&amp;$B1113,4)&amp;"/"&amp;RIGHT("00"&amp;$C1113,2)&amp;"/"&amp;RIGHT("00"&amp;$D1113,2)))</f>
        <v/>
      </c>
      <c r="F1113">
        <f>IF(Entry!$D1113&lt;&gt;"",IF(AND(ISNUMBER(Entry!$D1113),Entry!$D1113&gt;=0,Entry!$D1113&lt;1),RIGHT("00"&amp;HOUR(Entry!$D1113),2)&amp;":"&amp;RIGHT("00"&amp;MINUTE(Entry!$D1113),2),IFERROR(RIGHT("00"&amp;VALUE(TRIM(LEFT(Entry!$D1113,FIND(":",Entry!$D1113)-1))),2)&amp;":"&amp;RIGHT("00"&amp;VALUE(TRIM(MID(Entry!$D1113,FIND(":",Entry!$D1113)+1,2))),2),"نامعتبر")),IF(OR($E1113="",$E1113="نامعتبر"),"","00:00"))</f>
        <v/>
      </c>
      <c r="G1113">
        <f>IF(OR($E1113="",$E1113="نامعتبر"),"",IF(Entry!$E1113="","",LEFT(UPPER(TRIM(Entry!$E1113)),6)))</f>
        <v/>
      </c>
      <c r="H1113">
        <f>IF($G1113="","",RIGHT($E1113,4)&amp;MID($E1113,6,2)&amp;RIGHT($E1113,2)&amp;IF($F1113="","0000",IF($F1113="نامعتبر","9999",LEFT($F1113,2)&amp;RIGHT($F1113,2)))&amp;"|"&amp;RIGHT("00000"&amp;1105,5))</f>
        <v/>
      </c>
      <c r="I1113">
        <f>IF($H1113="","",COUNTIFS(CalcBank,$G1113,CalcKey,"&lt;"&amp;$H1113)+1)</f>
        <v/>
      </c>
      <c r="J1113">
        <f>IF($I1113="","",$G1113&amp;"|"&amp;RIGHT("000000"&amp;$I1113,6))</f>
        <v/>
      </c>
      <c r="K1113">
        <f>IF(OR($E1113="",$E1113="نامعتبر"),"",LEFT($E1113,4)&amp;"/"&amp;MID($E1113,6,2))</f>
        <v/>
      </c>
      <c r="L1113">
        <f>IF(Entry!$K1113="",0,Entry!$K1113)</f>
        <v/>
      </c>
      <c r="M1113">
        <f>IF(Entry!$L1113="",0,Entry!$L1113)</f>
        <v/>
      </c>
    </row>
    <row r="1114">
      <c r="A1114">
        <f>IF(Entry!$C1114="","",Entry!$C1114)</f>
        <v/>
      </c>
      <c r="B1114">
        <f>IF($A1114="","",IF(ISNUMBER($A1114),IF(AND($A1114&gt;=10000101,$A1114&lt;=99991231),INT($A1114/10000),""),IFERROR(VALUE(TRIM(LEFT($A1114,FIND("/",$A1114)-1))),"")))</f>
        <v/>
      </c>
      <c r="C1114">
        <f>IF(OR($A1114="",$B1114=""),"",IF(ISNUMBER($A1114),INT(MOD($A1114,10000)/100),IFERROR(VALUE(TRIM(LEFT(MID($A1114,FIND("/",$A1114)+1,20),FIND("/",MID($A1114,FIND("/",$A1114)+1,20))-1))),"")))</f>
        <v/>
      </c>
      <c r="D1114">
        <f>IF(OR($A1114="",$B1114=""),"",IF(ISNUMBER($A1114),MOD($A1114,100),IFERROR(VALUE(TRIM(MID(MID($A1114,FIND("/",$A1114)+1,20),FIND("/",MID($A1114,FIND("/",$A1114)+1,20))+1,20))),"")))</f>
        <v/>
      </c>
      <c r="E1114">
        <f>IF($A1114="","",IF(OR($B1114="",$C1114="",$D1114="",$B1114&lt;1300,$B1114&gt;1500,$C1114&lt;1,$C1114&gt;12,$D1114&lt;1,$D1114&gt;31),"نامعتبر",RIGHT("0000"&amp;$B1114,4)&amp;"/"&amp;RIGHT("00"&amp;$C1114,2)&amp;"/"&amp;RIGHT("00"&amp;$D1114,2)))</f>
        <v/>
      </c>
      <c r="F1114">
        <f>IF(Entry!$D1114&lt;&gt;"",IF(AND(ISNUMBER(Entry!$D1114),Entry!$D1114&gt;=0,Entry!$D1114&lt;1),RIGHT("00"&amp;HOUR(Entry!$D1114),2)&amp;":"&amp;RIGHT("00"&amp;MINUTE(Entry!$D1114),2),IFERROR(RIGHT("00"&amp;VALUE(TRIM(LEFT(Entry!$D1114,FIND(":",Entry!$D1114)-1))),2)&amp;":"&amp;RIGHT("00"&amp;VALUE(TRIM(MID(Entry!$D1114,FIND(":",Entry!$D1114)+1,2))),2),"نامعتبر")),IF(OR($E1114="",$E1114="نامعتبر"),"","00:00"))</f>
        <v/>
      </c>
      <c r="G1114">
        <f>IF(OR($E1114="",$E1114="نامعتبر"),"",IF(Entry!$E1114="","",LEFT(UPPER(TRIM(Entry!$E1114)),6)))</f>
        <v/>
      </c>
      <c r="H1114">
        <f>IF($G1114="","",RIGHT($E1114,4)&amp;MID($E1114,6,2)&amp;RIGHT($E1114,2)&amp;IF($F1114="","0000",IF($F1114="نامعتبر","9999",LEFT($F1114,2)&amp;RIGHT($F1114,2)))&amp;"|"&amp;RIGHT("00000"&amp;1106,5))</f>
        <v/>
      </c>
      <c r="I1114">
        <f>IF($H1114="","",COUNTIFS(CalcBank,$G1114,CalcKey,"&lt;"&amp;$H1114)+1)</f>
        <v/>
      </c>
      <c r="J1114">
        <f>IF($I1114="","",$G1114&amp;"|"&amp;RIGHT("000000"&amp;$I1114,6))</f>
        <v/>
      </c>
      <c r="K1114">
        <f>IF(OR($E1114="",$E1114="نامعتبر"),"",LEFT($E1114,4)&amp;"/"&amp;MID($E1114,6,2))</f>
        <v/>
      </c>
      <c r="L1114">
        <f>IF(Entry!$K1114="",0,Entry!$K1114)</f>
        <v/>
      </c>
      <c r="M1114">
        <f>IF(Entry!$L1114="",0,Entry!$L1114)</f>
        <v/>
      </c>
    </row>
    <row r="1115">
      <c r="A1115">
        <f>IF(Entry!$C1115="","",Entry!$C1115)</f>
        <v/>
      </c>
      <c r="B1115">
        <f>IF($A1115="","",IF(ISNUMBER($A1115),IF(AND($A1115&gt;=10000101,$A1115&lt;=99991231),INT($A1115/10000),""),IFERROR(VALUE(TRIM(LEFT($A1115,FIND("/",$A1115)-1))),"")))</f>
        <v/>
      </c>
      <c r="C1115">
        <f>IF(OR($A1115="",$B1115=""),"",IF(ISNUMBER($A1115),INT(MOD($A1115,10000)/100),IFERROR(VALUE(TRIM(LEFT(MID($A1115,FIND("/",$A1115)+1,20),FIND("/",MID($A1115,FIND("/",$A1115)+1,20))-1))),"")))</f>
        <v/>
      </c>
      <c r="D1115">
        <f>IF(OR($A1115="",$B1115=""),"",IF(ISNUMBER($A1115),MOD($A1115,100),IFERROR(VALUE(TRIM(MID(MID($A1115,FIND("/",$A1115)+1,20),FIND("/",MID($A1115,FIND("/",$A1115)+1,20))+1,20))),"")))</f>
        <v/>
      </c>
      <c r="E1115">
        <f>IF($A1115="","",IF(OR($B1115="",$C1115="",$D1115="",$B1115&lt;1300,$B1115&gt;1500,$C1115&lt;1,$C1115&gt;12,$D1115&lt;1,$D1115&gt;31),"نامعتبر",RIGHT("0000"&amp;$B1115,4)&amp;"/"&amp;RIGHT("00"&amp;$C1115,2)&amp;"/"&amp;RIGHT("00"&amp;$D1115,2)))</f>
        <v/>
      </c>
      <c r="F1115">
        <f>IF(Entry!$D1115&lt;&gt;"",IF(AND(ISNUMBER(Entry!$D1115),Entry!$D1115&gt;=0,Entry!$D1115&lt;1),RIGHT("00"&amp;HOUR(Entry!$D1115),2)&amp;":"&amp;RIGHT("00"&amp;MINUTE(Entry!$D1115),2),IFERROR(RIGHT("00"&amp;VALUE(TRIM(LEFT(Entry!$D1115,FIND(":",Entry!$D1115)-1))),2)&amp;":"&amp;RIGHT("00"&amp;VALUE(TRIM(MID(Entry!$D1115,FIND(":",Entry!$D1115)+1,2))),2),"نامعتبر")),IF(OR($E1115="",$E1115="نامعتبر"),"","00:00"))</f>
        <v/>
      </c>
      <c r="G1115">
        <f>IF(OR($E1115="",$E1115="نامعتبر"),"",IF(Entry!$E1115="","",LEFT(UPPER(TRIM(Entry!$E1115)),6)))</f>
        <v/>
      </c>
      <c r="H1115">
        <f>IF($G1115="","",RIGHT($E1115,4)&amp;MID($E1115,6,2)&amp;RIGHT($E1115,2)&amp;IF($F1115="","0000",IF($F1115="نامعتبر","9999",LEFT($F1115,2)&amp;RIGHT($F1115,2)))&amp;"|"&amp;RIGHT("00000"&amp;1107,5))</f>
        <v/>
      </c>
      <c r="I1115">
        <f>IF($H1115="","",COUNTIFS(CalcBank,$G1115,CalcKey,"&lt;"&amp;$H1115)+1)</f>
        <v/>
      </c>
      <c r="J1115">
        <f>IF($I1115="","",$G1115&amp;"|"&amp;RIGHT("000000"&amp;$I1115,6))</f>
        <v/>
      </c>
      <c r="K1115">
        <f>IF(OR($E1115="",$E1115="نامعتبر"),"",LEFT($E1115,4)&amp;"/"&amp;MID($E1115,6,2))</f>
        <v/>
      </c>
      <c r="L1115">
        <f>IF(Entry!$K1115="",0,Entry!$K1115)</f>
        <v/>
      </c>
      <c r="M1115">
        <f>IF(Entry!$L1115="",0,Entry!$L1115)</f>
        <v/>
      </c>
    </row>
    <row r="1116">
      <c r="A1116">
        <f>IF(Entry!$C1116="","",Entry!$C1116)</f>
        <v/>
      </c>
      <c r="B1116">
        <f>IF($A1116="","",IF(ISNUMBER($A1116),IF(AND($A1116&gt;=10000101,$A1116&lt;=99991231),INT($A1116/10000),""),IFERROR(VALUE(TRIM(LEFT($A1116,FIND("/",$A1116)-1))),"")))</f>
        <v/>
      </c>
      <c r="C1116">
        <f>IF(OR($A1116="",$B1116=""),"",IF(ISNUMBER($A1116),INT(MOD($A1116,10000)/100),IFERROR(VALUE(TRIM(LEFT(MID($A1116,FIND("/",$A1116)+1,20),FIND("/",MID($A1116,FIND("/",$A1116)+1,20))-1))),"")))</f>
        <v/>
      </c>
      <c r="D1116">
        <f>IF(OR($A1116="",$B1116=""),"",IF(ISNUMBER($A1116),MOD($A1116,100),IFERROR(VALUE(TRIM(MID(MID($A1116,FIND("/",$A1116)+1,20),FIND("/",MID($A1116,FIND("/",$A1116)+1,20))+1,20))),"")))</f>
        <v/>
      </c>
      <c r="E1116">
        <f>IF($A1116="","",IF(OR($B1116="",$C1116="",$D1116="",$B1116&lt;1300,$B1116&gt;1500,$C1116&lt;1,$C1116&gt;12,$D1116&lt;1,$D1116&gt;31),"نامعتبر",RIGHT("0000"&amp;$B1116,4)&amp;"/"&amp;RIGHT("00"&amp;$C1116,2)&amp;"/"&amp;RIGHT("00"&amp;$D1116,2)))</f>
        <v/>
      </c>
      <c r="F1116">
        <f>IF(Entry!$D1116&lt;&gt;"",IF(AND(ISNUMBER(Entry!$D1116),Entry!$D1116&gt;=0,Entry!$D1116&lt;1),RIGHT("00"&amp;HOUR(Entry!$D1116),2)&amp;":"&amp;RIGHT("00"&amp;MINUTE(Entry!$D1116),2),IFERROR(RIGHT("00"&amp;VALUE(TRIM(LEFT(Entry!$D1116,FIND(":",Entry!$D1116)-1))),2)&amp;":"&amp;RIGHT("00"&amp;VALUE(TRIM(MID(Entry!$D1116,FIND(":",Entry!$D1116)+1,2))),2),"نامعتبر")),IF(OR($E1116="",$E1116="نامعتبر"),"","00:00"))</f>
        <v/>
      </c>
      <c r="G1116">
        <f>IF(OR($E1116="",$E1116="نامعتبر"),"",IF(Entry!$E1116="","",LEFT(UPPER(TRIM(Entry!$E1116)),6)))</f>
        <v/>
      </c>
      <c r="H1116">
        <f>IF($G1116="","",RIGHT($E1116,4)&amp;MID($E1116,6,2)&amp;RIGHT($E1116,2)&amp;IF($F1116="","0000",IF($F1116="نامعتبر","9999",LEFT($F1116,2)&amp;RIGHT($F1116,2)))&amp;"|"&amp;RIGHT("00000"&amp;1108,5))</f>
        <v/>
      </c>
      <c r="I1116">
        <f>IF($H1116="","",COUNTIFS(CalcBank,$G1116,CalcKey,"&lt;"&amp;$H1116)+1)</f>
        <v/>
      </c>
      <c r="J1116">
        <f>IF($I1116="","",$G1116&amp;"|"&amp;RIGHT("000000"&amp;$I1116,6))</f>
        <v/>
      </c>
      <c r="K1116">
        <f>IF(OR($E1116="",$E1116="نامعتبر"),"",LEFT($E1116,4)&amp;"/"&amp;MID($E1116,6,2))</f>
        <v/>
      </c>
      <c r="L1116">
        <f>IF(Entry!$K1116="",0,Entry!$K1116)</f>
        <v/>
      </c>
      <c r="M1116">
        <f>IF(Entry!$L1116="",0,Entry!$L1116)</f>
        <v/>
      </c>
    </row>
    <row r="1117">
      <c r="A1117">
        <f>IF(Entry!$C1117="","",Entry!$C1117)</f>
        <v/>
      </c>
      <c r="B1117">
        <f>IF($A1117="","",IF(ISNUMBER($A1117),IF(AND($A1117&gt;=10000101,$A1117&lt;=99991231),INT($A1117/10000),""),IFERROR(VALUE(TRIM(LEFT($A1117,FIND("/",$A1117)-1))),"")))</f>
        <v/>
      </c>
      <c r="C1117">
        <f>IF(OR($A1117="",$B1117=""),"",IF(ISNUMBER($A1117),INT(MOD($A1117,10000)/100),IFERROR(VALUE(TRIM(LEFT(MID($A1117,FIND("/",$A1117)+1,20),FIND("/",MID($A1117,FIND("/",$A1117)+1,20))-1))),"")))</f>
        <v/>
      </c>
      <c r="D1117">
        <f>IF(OR($A1117="",$B1117=""),"",IF(ISNUMBER($A1117),MOD($A1117,100),IFERROR(VALUE(TRIM(MID(MID($A1117,FIND("/",$A1117)+1,20),FIND("/",MID($A1117,FIND("/",$A1117)+1,20))+1,20))),"")))</f>
        <v/>
      </c>
      <c r="E1117">
        <f>IF($A1117="","",IF(OR($B1117="",$C1117="",$D1117="",$B1117&lt;1300,$B1117&gt;1500,$C1117&lt;1,$C1117&gt;12,$D1117&lt;1,$D1117&gt;31),"نامعتبر",RIGHT("0000"&amp;$B1117,4)&amp;"/"&amp;RIGHT("00"&amp;$C1117,2)&amp;"/"&amp;RIGHT("00"&amp;$D1117,2)))</f>
        <v/>
      </c>
      <c r="F1117">
        <f>IF(Entry!$D1117&lt;&gt;"",IF(AND(ISNUMBER(Entry!$D1117),Entry!$D1117&gt;=0,Entry!$D1117&lt;1),RIGHT("00"&amp;HOUR(Entry!$D1117),2)&amp;":"&amp;RIGHT("00"&amp;MINUTE(Entry!$D1117),2),IFERROR(RIGHT("00"&amp;VALUE(TRIM(LEFT(Entry!$D1117,FIND(":",Entry!$D1117)-1))),2)&amp;":"&amp;RIGHT("00"&amp;VALUE(TRIM(MID(Entry!$D1117,FIND(":",Entry!$D1117)+1,2))),2),"نامعتبر")),IF(OR($E1117="",$E1117="نامعتبر"),"","00:00"))</f>
        <v/>
      </c>
      <c r="G1117">
        <f>IF(OR($E1117="",$E1117="نامعتبر"),"",IF(Entry!$E1117="","",LEFT(UPPER(TRIM(Entry!$E1117)),6)))</f>
        <v/>
      </c>
      <c r="H1117">
        <f>IF($G1117="","",RIGHT($E1117,4)&amp;MID($E1117,6,2)&amp;RIGHT($E1117,2)&amp;IF($F1117="","0000",IF($F1117="نامعتبر","9999",LEFT($F1117,2)&amp;RIGHT($F1117,2)))&amp;"|"&amp;RIGHT("00000"&amp;1109,5))</f>
        <v/>
      </c>
      <c r="I1117">
        <f>IF($H1117="","",COUNTIFS(CalcBank,$G1117,CalcKey,"&lt;"&amp;$H1117)+1)</f>
        <v/>
      </c>
      <c r="J1117">
        <f>IF($I1117="","",$G1117&amp;"|"&amp;RIGHT("000000"&amp;$I1117,6))</f>
        <v/>
      </c>
      <c r="K1117">
        <f>IF(OR($E1117="",$E1117="نامعتبر"),"",LEFT($E1117,4)&amp;"/"&amp;MID($E1117,6,2))</f>
        <v/>
      </c>
      <c r="L1117">
        <f>IF(Entry!$K1117="",0,Entry!$K1117)</f>
        <v/>
      </c>
      <c r="M1117">
        <f>IF(Entry!$L1117="",0,Entry!$L1117)</f>
        <v/>
      </c>
    </row>
    <row r="1118">
      <c r="A1118">
        <f>IF(Entry!$C1118="","",Entry!$C1118)</f>
        <v/>
      </c>
      <c r="B1118">
        <f>IF($A1118="","",IF(ISNUMBER($A1118),IF(AND($A1118&gt;=10000101,$A1118&lt;=99991231),INT($A1118/10000),""),IFERROR(VALUE(TRIM(LEFT($A1118,FIND("/",$A1118)-1))),"")))</f>
        <v/>
      </c>
      <c r="C1118">
        <f>IF(OR($A1118="",$B1118=""),"",IF(ISNUMBER($A1118),INT(MOD($A1118,10000)/100),IFERROR(VALUE(TRIM(LEFT(MID($A1118,FIND("/",$A1118)+1,20),FIND("/",MID($A1118,FIND("/",$A1118)+1,20))-1))),"")))</f>
        <v/>
      </c>
      <c r="D1118">
        <f>IF(OR($A1118="",$B1118=""),"",IF(ISNUMBER($A1118),MOD($A1118,100),IFERROR(VALUE(TRIM(MID(MID($A1118,FIND("/",$A1118)+1,20),FIND("/",MID($A1118,FIND("/",$A1118)+1,20))+1,20))),"")))</f>
        <v/>
      </c>
      <c r="E1118">
        <f>IF($A1118="","",IF(OR($B1118="",$C1118="",$D1118="",$B1118&lt;1300,$B1118&gt;1500,$C1118&lt;1,$C1118&gt;12,$D1118&lt;1,$D1118&gt;31),"نامعتبر",RIGHT("0000"&amp;$B1118,4)&amp;"/"&amp;RIGHT("00"&amp;$C1118,2)&amp;"/"&amp;RIGHT("00"&amp;$D1118,2)))</f>
        <v/>
      </c>
      <c r="F1118">
        <f>IF(Entry!$D1118&lt;&gt;"",IF(AND(ISNUMBER(Entry!$D1118),Entry!$D1118&gt;=0,Entry!$D1118&lt;1),RIGHT("00"&amp;HOUR(Entry!$D1118),2)&amp;":"&amp;RIGHT("00"&amp;MINUTE(Entry!$D1118),2),IFERROR(RIGHT("00"&amp;VALUE(TRIM(LEFT(Entry!$D1118,FIND(":",Entry!$D1118)-1))),2)&amp;":"&amp;RIGHT("00"&amp;VALUE(TRIM(MID(Entry!$D1118,FIND(":",Entry!$D1118)+1,2))),2),"نامعتبر")),IF(OR($E1118="",$E1118="نامعتبر"),"","00:00"))</f>
        <v/>
      </c>
      <c r="G1118">
        <f>IF(OR($E1118="",$E1118="نامعتبر"),"",IF(Entry!$E1118="","",LEFT(UPPER(TRIM(Entry!$E1118)),6)))</f>
        <v/>
      </c>
      <c r="H1118">
        <f>IF($G1118="","",RIGHT($E1118,4)&amp;MID($E1118,6,2)&amp;RIGHT($E1118,2)&amp;IF($F1118="","0000",IF($F1118="نامعتبر","9999",LEFT($F1118,2)&amp;RIGHT($F1118,2)))&amp;"|"&amp;RIGHT("00000"&amp;1110,5))</f>
        <v/>
      </c>
      <c r="I1118">
        <f>IF($H1118="","",COUNTIFS(CalcBank,$G1118,CalcKey,"&lt;"&amp;$H1118)+1)</f>
        <v/>
      </c>
      <c r="J1118">
        <f>IF($I1118="","",$G1118&amp;"|"&amp;RIGHT("000000"&amp;$I1118,6))</f>
        <v/>
      </c>
      <c r="K1118">
        <f>IF(OR($E1118="",$E1118="نامعتبر"),"",LEFT($E1118,4)&amp;"/"&amp;MID($E1118,6,2))</f>
        <v/>
      </c>
      <c r="L1118">
        <f>IF(Entry!$K1118="",0,Entry!$K1118)</f>
        <v/>
      </c>
      <c r="M1118">
        <f>IF(Entry!$L1118="",0,Entry!$L1118)</f>
        <v/>
      </c>
    </row>
    <row r="1119">
      <c r="A1119">
        <f>IF(Entry!$C1119="","",Entry!$C1119)</f>
        <v/>
      </c>
      <c r="B1119">
        <f>IF($A1119="","",IF(ISNUMBER($A1119),IF(AND($A1119&gt;=10000101,$A1119&lt;=99991231),INT($A1119/10000),""),IFERROR(VALUE(TRIM(LEFT($A1119,FIND("/",$A1119)-1))),"")))</f>
        <v/>
      </c>
      <c r="C1119">
        <f>IF(OR($A1119="",$B1119=""),"",IF(ISNUMBER($A1119),INT(MOD($A1119,10000)/100),IFERROR(VALUE(TRIM(LEFT(MID($A1119,FIND("/",$A1119)+1,20),FIND("/",MID($A1119,FIND("/",$A1119)+1,20))-1))),"")))</f>
        <v/>
      </c>
      <c r="D1119">
        <f>IF(OR($A1119="",$B1119=""),"",IF(ISNUMBER($A1119),MOD($A1119,100),IFERROR(VALUE(TRIM(MID(MID($A1119,FIND("/",$A1119)+1,20),FIND("/",MID($A1119,FIND("/",$A1119)+1,20))+1,20))),"")))</f>
        <v/>
      </c>
      <c r="E1119">
        <f>IF($A1119="","",IF(OR($B1119="",$C1119="",$D1119="",$B1119&lt;1300,$B1119&gt;1500,$C1119&lt;1,$C1119&gt;12,$D1119&lt;1,$D1119&gt;31),"نامعتبر",RIGHT("0000"&amp;$B1119,4)&amp;"/"&amp;RIGHT("00"&amp;$C1119,2)&amp;"/"&amp;RIGHT("00"&amp;$D1119,2)))</f>
        <v/>
      </c>
      <c r="F1119">
        <f>IF(Entry!$D1119&lt;&gt;"",IF(AND(ISNUMBER(Entry!$D1119),Entry!$D1119&gt;=0,Entry!$D1119&lt;1),RIGHT("00"&amp;HOUR(Entry!$D1119),2)&amp;":"&amp;RIGHT("00"&amp;MINUTE(Entry!$D1119),2),IFERROR(RIGHT("00"&amp;VALUE(TRIM(LEFT(Entry!$D1119,FIND(":",Entry!$D1119)-1))),2)&amp;":"&amp;RIGHT("00"&amp;VALUE(TRIM(MID(Entry!$D1119,FIND(":",Entry!$D1119)+1,2))),2),"نامعتبر")),IF(OR($E1119="",$E1119="نامعتبر"),"","00:00"))</f>
        <v/>
      </c>
      <c r="G1119">
        <f>IF(OR($E1119="",$E1119="نامعتبر"),"",IF(Entry!$E1119="","",LEFT(UPPER(TRIM(Entry!$E1119)),6)))</f>
        <v/>
      </c>
      <c r="H1119">
        <f>IF($G1119="","",RIGHT($E1119,4)&amp;MID($E1119,6,2)&amp;RIGHT($E1119,2)&amp;IF($F1119="","0000",IF($F1119="نامعتبر","9999",LEFT($F1119,2)&amp;RIGHT($F1119,2)))&amp;"|"&amp;RIGHT("00000"&amp;1111,5))</f>
        <v/>
      </c>
      <c r="I1119">
        <f>IF($H1119="","",COUNTIFS(CalcBank,$G1119,CalcKey,"&lt;"&amp;$H1119)+1)</f>
        <v/>
      </c>
      <c r="J1119">
        <f>IF($I1119="","",$G1119&amp;"|"&amp;RIGHT("000000"&amp;$I1119,6))</f>
        <v/>
      </c>
      <c r="K1119">
        <f>IF(OR($E1119="",$E1119="نامعتبر"),"",LEFT($E1119,4)&amp;"/"&amp;MID($E1119,6,2))</f>
        <v/>
      </c>
      <c r="L1119">
        <f>IF(Entry!$K1119="",0,Entry!$K1119)</f>
        <v/>
      </c>
      <c r="M1119">
        <f>IF(Entry!$L1119="",0,Entry!$L1119)</f>
        <v/>
      </c>
    </row>
    <row r="1120">
      <c r="A1120">
        <f>IF(Entry!$C1120="","",Entry!$C1120)</f>
        <v/>
      </c>
      <c r="B1120">
        <f>IF($A1120="","",IF(ISNUMBER($A1120),IF(AND($A1120&gt;=10000101,$A1120&lt;=99991231),INT($A1120/10000),""),IFERROR(VALUE(TRIM(LEFT($A1120,FIND("/",$A1120)-1))),"")))</f>
        <v/>
      </c>
      <c r="C1120">
        <f>IF(OR($A1120="",$B1120=""),"",IF(ISNUMBER($A1120),INT(MOD($A1120,10000)/100),IFERROR(VALUE(TRIM(LEFT(MID($A1120,FIND("/",$A1120)+1,20),FIND("/",MID($A1120,FIND("/",$A1120)+1,20))-1))),"")))</f>
        <v/>
      </c>
      <c r="D1120">
        <f>IF(OR($A1120="",$B1120=""),"",IF(ISNUMBER($A1120),MOD($A1120,100),IFERROR(VALUE(TRIM(MID(MID($A1120,FIND("/",$A1120)+1,20),FIND("/",MID($A1120,FIND("/",$A1120)+1,20))+1,20))),"")))</f>
        <v/>
      </c>
      <c r="E1120">
        <f>IF($A1120="","",IF(OR($B1120="",$C1120="",$D1120="",$B1120&lt;1300,$B1120&gt;1500,$C1120&lt;1,$C1120&gt;12,$D1120&lt;1,$D1120&gt;31),"نامعتبر",RIGHT("0000"&amp;$B1120,4)&amp;"/"&amp;RIGHT("00"&amp;$C1120,2)&amp;"/"&amp;RIGHT("00"&amp;$D1120,2)))</f>
        <v/>
      </c>
      <c r="F1120">
        <f>IF(Entry!$D1120&lt;&gt;"",IF(AND(ISNUMBER(Entry!$D1120),Entry!$D1120&gt;=0,Entry!$D1120&lt;1),RIGHT("00"&amp;HOUR(Entry!$D1120),2)&amp;":"&amp;RIGHT("00"&amp;MINUTE(Entry!$D1120),2),IFERROR(RIGHT("00"&amp;VALUE(TRIM(LEFT(Entry!$D1120,FIND(":",Entry!$D1120)-1))),2)&amp;":"&amp;RIGHT("00"&amp;VALUE(TRIM(MID(Entry!$D1120,FIND(":",Entry!$D1120)+1,2))),2),"نامعتبر")),IF(OR($E1120="",$E1120="نامعتبر"),"","00:00"))</f>
        <v/>
      </c>
      <c r="G1120">
        <f>IF(OR($E1120="",$E1120="نامعتبر"),"",IF(Entry!$E1120="","",LEFT(UPPER(TRIM(Entry!$E1120)),6)))</f>
        <v/>
      </c>
      <c r="H1120">
        <f>IF($G1120="","",RIGHT($E1120,4)&amp;MID($E1120,6,2)&amp;RIGHT($E1120,2)&amp;IF($F1120="","0000",IF($F1120="نامعتبر","9999",LEFT($F1120,2)&amp;RIGHT($F1120,2)))&amp;"|"&amp;RIGHT("00000"&amp;1112,5))</f>
        <v/>
      </c>
      <c r="I1120">
        <f>IF($H1120="","",COUNTIFS(CalcBank,$G1120,CalcKey,"&lt;"&amp;$H1120)+1)</f>
        <v/>
      </c>
      <c r="J1120">
        <f>IF($I1120="","",$G1120&amp;"|"&amp;RIGHT("000000"&amp;$I1120,6))</f>
        <v/>
      </c>
      <c r="K1120">
        <f>IF(OR($E1120="",$E1120="نامعتبر"),"",LEFT($E1120,4)&amp;"/"&amp;MID($E1120,6,2))</f>
        <v/>
      </c>
      <c r="L1120">
        <f>IF(Entry!$K1120="",0,Entry!$K1120)</f>
        <v/>
      </c>
      <c r="M1120">
        <f>IF(Entry!$L1120="",0,Entry!$L1120)</f>
        <v/>
      </c>
    </row>
    <row r="1121">
      <c r="A1121">
        <f>IF(Entry!$C1121="","",Entry!$C1121)</f>
        <v/>
      </c>
      <c r="B1121">
        <f>IF($A1121="","",IF(ISNUMBER($A1121),IF(AND($A1121&gt;=10000101,$A1121&lt;=99991231),INT($A1121/10000),""),IFERROR(VALUE(TRIM(LEFT($A1121,FIND("/",$A1121)-1))),"")))</f>
        <v/>
      </c>
      <c r="C1121">
        <f>IF(OR($A1121="",$B1121=""),"",IF(ISNUMBER($A1121),INT(MOD($A1121,10000)/100),IFERROR(VALUE(TRIM(LEFT(MID($A1121,FIND("/",$A1121)+1,20),FIND("/",MID($A1121,FIND("/",$A1121)+1,20))-1))),"")))</f>
        <v/>
      </c>
      <c r="D1121">
        <f>IF(OR($A1121="",$B1121=""),"",IF(ISNUMBER($A1121),MOD($A1121,100),IFERROR(VALUE(TRIM(MID(MID($A1121,FIND("/",$A1121)+1,20),FIND("/",MID($A1121,FIND("/",$A1121)+1,20))+1,20))),"")))</f>
        <v/>
      </c>
      <c r="E1121">
        <f>IF($A1121="","",IF(OR($B1121="",$C1121="",$D1121="",$B1121&lt;1300,$B1121&gt;1500,$C1121&lt;1,$C1121&gt;12,$D1121&lt;1,$D1121&gt;31),"نامعتبر",RIGHT("0000"&amp;$B1121,4)&amp;"/"&amp;RIGHT("00"&amp;$C1121,2)&amp;"/"&amp;RIGHT("00"&amp;$D1121,2)))</f>
        <v/>
      </c>
      <c r="F1121">
        <f>IF(Entry!$D1121&lt;&gt;"",IF(AND(ISNUMBER(Entry!$D1121),Entry!$D1121&gt;=0,Entry!$D1121&lt;1),RIGHT("00"&amp;HOUR(Entry!$D1121),2)&amp;":"&amp;RIGHT("00"&amp;MINUTE(Entry!$D1121),2),IFERROR(RIGHT("00"&amp;VALUE(TRIM(LEFT(Entry!$D1121,FIND(":",Entry!$D1121)-1))),2)&amp;":"&amp;RIGHT("00"&amp;VALUE(TRIM(MID(Entry!$D1121,FIND(":",Entry!$D1121)+1,2))),2),"نامعتبر")),IF(OR($E1121="",$E1121="نامعتبر"),"","00:00"))</f>
        <v/>
      </c>
      <c r="G1121">
        <f>IF(OR($E1121="",$E1121="نامعتبر"),"",IF(Entry!$E1121="","",LEFT(UPPER(TRIM(Entry!$E1121)),6)))</f>
        <v/>
      </c>
      <c r="H1121">
        <f>IF($G1121="","",RIGHT($E1121,4)&amp;MID($E1121,6,2)&amp;RIGHT($E1121,2)&amp;IF($F1121="","0000",IF($F1121="نامعتبر","9999",LEFT($F1121,2)&amp;RIGHT($F1121,2)))&amp;"|"&amp;RIGHT("00000"&amp;1113,5))</f>
        <v/>
      </c>
      <c r="I1121">
        <f>IF($H1121="","",COUNTIFS(CalcBank,$G1121,CalcKey,"&lt;"&amp;$H1121)+1)</f>
        <v/>
      </c>
      <c r="J1121">
        <f>IF($I1121="","",$G1121&amp;"|"&amp;RIGHT("000000"&amp;$I1121,6))</f>
        <v/>
      </c>
      <c r="K1121">
        <f>IF(OR($E1121="",$E1121="نامعتبر"),"",LEFT($E1121,4)&amp;"/"&amp;MID($E1121,6,2))</f>
        <v/>
      </c>
      <c r="L1121">
        <f>IF(Entry!$K1121="",0,Entry!$K1121)</f>
        <v/>
      </c>
      <c r="M1121">
        <f>IF(Entry!$L1121="",0,Entry!$L1121)</f>
        <v/>
      </c>
    </row>
    <row r="1122">
      <c r="A1122">
        <f>IF(Entry!$C1122="","",Entry!$C1122)</f>
        <v/>
      </c>
      <c r="B1122">
        <f>IF($A1122="","",IF(ISNUMBER($A1122),IF(AND($A1122&gt;=10000101,$A1122&lt;=99991231),INT($A1122/10000),""),IFERROR(VALUE(TRIM(LEFT($A1122,FIND("/",$A1122)-1))),"")))</f>
        <v/>
      </c>
      <c r="C1122">
        <f>IF(OR($A1122="",$B1122=""),"",IF(ISNUMBER($A1122),INT(MOD($A1122,10000)/100),IFERROR(VALUE(TRIM(LEFT(MID($A1122,FIND("/",$A1122)+1,20),FIND("/",MID($A1122,FIND("/",$A1122)+1,20))-1))),"")))</f>
        <v/>
      </c>
      <c r="D1122">
        <f>IF(OR($A1122="",$B1122=""),"",IF(ISNUMBER($A1122),MOD($A1122,100),IFERROR(VALUE(TRIM(MID(MID($A1122,FIND("/",$A1122)+1,20),FIND("/",MID($A1122,FIND("/",$A1122)+1,20))+1,20))),"")))</f>
        <v/>
      </c>
      <c r="E1122">
        <f>IF($A1122="","",IF(OR($B1122="",$C1122="",$D1122="",$B1122&lt;1300,$B1122&gt;1500,$C1122&lt;1,$C1122&gt;12,$D1122&lt;1,$D1122&gt;31),"نامعتبر",RIGHT("0000"&amp;$B1122,4)&amp;"/"&amp;RIGHT("00"&amp;$C1122,2)&amp;"/"&amp;RIGHT("00"&amp;$D1122,2)))</f>
        <v/>
      </c>
      <c r="F1122">
        <f>IF(Entry!$D1122&lt;&gt;"",IF(AND(ISNUMBER(Entry!$D1122),Entry!$D1122&gt;=0,Entry!$D1122&lt;1),RIGHT("00"&amp;HOUR(Entry!$D1122),2)&amp;":"&amp;RIGHT("00"&amp;MINUTE(Entry!$D1122),2),IFERROR(RIGHT("00"&amp;VALUE(TRIM(LEFT(Entry!$D1122,FIND(":",Entry!$D1122)-1))),2)&amp;":"&amp;RIGHT("00"&amp;VALUE(TRIM(MID(Entry!$D1122,FIND(":",Entry!$D1122)+1,2))),2),"نامعتبر")),IF(OR($E1122="",$E1122="نامعتبر"),"","00:00"))</f>
        <v/>
      </c>
      <c r="G1122">
        <f>IF(OR($E1122="",$E1122="نامعتبر"),"",IF(Entry!$E1122="","",LEFT(UPPER(TRIM(Entry!$E1122)),6)))</f>
        <v/>
      </c>
      <c r="H1122">
        <f>IF($G1122="","",RIGHT($E1122,4)&amp;MID($E1122,6,2)&amp;RIGHT($E1122,2)&amp;IF($F1122="","0000",IF($F1122="نامعتبر","9999",LEFT($F1122,2)&amp;RIGHT($F1122,2)))&amp;"|"&amp;RIGHT("00000"&amp;1114,5))</f>
        <v/>
      </c>
      <c r="I1122">
        <f>IF($H1122="","",COUNTIFS(CalcBank,$G1122,CalcKey,"&lt;"&amp;$H1122)+1)</f>
        <v/>
      </c>
      <c r="J1122">
        <f>IF($I1122="","",$G1122&amp;"|"&amp;RIGHT("000000"&amp;$I1122,6))</f>
        <v/>
      </c>
      <c r="K1122">
        <f>IF(OR($E1122="",$E1122="نامعتبر"),"",LEFT($E1122,4)&amp;"/"&amp;MID($E1122,6,2))</f>
        <v/>
      </c>
      <c r="L1122">
        <f>IF(Entry!$K1122="",0,Entry!$K1122)</f>
        <v/>
      </c>
      <c r="M1122">
        <f>IF(Entry!$L1122="",0,Entry!$L1122)</f>
        <v/>
      </c>
    </row>
    <row r="1123">
      <c r="A1123">
        <f>IF(Entry!$C1123="","",Entry!$C1123)</f>
        <v/>
      </c>
      <c r="B1123">
        <f>IF($A1123="","",IF(ISNUMBER($A1123),IF(AND($A1123&gt;=10000101,$A1123&lt;=99991231),INT($A1123/10000),""),IFERROR(VALUE(TRIM(LEFT($A1123,FIND("/",$A1123)-1))),"")))</f>
        <v/>
      </c>
      <c r="C1123">
        <f>IF(OR($A1123="",$B1123=""),"",IF(ISNUMBER($A1123),INT(MOD($A1123,10000)/100),IFERROR(VALUE(TRIM(LEFT(MID($A1123,FIND("/",$A1123)+1,20),FIND("/",MID($A1123,FIND("/",$A1123)+1,20))-1))),"")))</f>
        <v/>
      </c>
      <c r="D1123">
        <f>IF(OR($A1123="",$B1123=""),"",IF(ISNUMBER($A1123),MOD($A1123,100),IFERROR(VALUE(TRIM(MID(MID($A1123,FIND("/",$A1123)+1,20),FIND("/",MID($A1123,FIND("/",$A1123)+1,20))+1,20))),"")))</f>
        <v/>
      </c>
      <c r="E1123">
        <f>IF($A1123="","",IF(OR($B1123="",$C1123="",$D1123="",$B1123&lt;1300,$B1123&gt;1500,$C1123&lt;1,$C1123&gt;12,$D1123&lt;1,$D1123&gt;31),"نامعتبر",RIGHT("0000"&amp;$B1123,4)&amp;"/"&amp;RIGHT("00"&amp;$C1123,2)&amp;"/"&amp;RIGHT("00"&amp;$D1123,2)))</f>
        <v/>
      </c>
      <c r="F1123">
        <f>IF(Entry!$D1123&lt;&gt;"",IF(AND(ISNUMBER(Entry!$D1123),Entry!$D1123&gt;=0,Entry!$D1123&lt;1),RIGHT("00"&amp;HOUR(Entry!$D1123),2)&amp;":"&amp;RIGHT("00"&amp;MINUTE(Entry!$D1123),2),IFERROR(RIGHT("00"&amp;VALUE(TRIM(LEFT(Entry!$D1123,FIND(":",Entry!$D1123)-1))),2)&amp;":"&amp;RIGHT("00"&amp;VALUE(TRIM(MID(Entry!$D1123,FIND(":",Entry!$D1123)+1,2))),2),"نامعتبر")),IF(OR($E1123="",$E1123="نامعتبر"),"","00:00"))</f>
        <v/>
      </c>
      <c r="G1123">
        <f>IF(OR($E1123="",$E1123="نامعتبر"),"",IF(Entry!$E1123="","",LEFT(UPPER(TRIM(Entry!$E1123)),6)))</f>
        <v/>
      </c>
      <c r="H1123">
        <f>IF($G1123="","",RIGHT($E1123,4)&amp;MID($E1123,6,2)&amp;RIGHT($E1123,2)&amp;IF($F1123="","0000",IF($F1123="نامعتبر","9999",LEFT($F1123,2)&amp;RIGHT($F1123,2)))&amp;"|"&amp;RIGHT("00000"&amp;1115,5))</f>
        <v/>
      </c>
      <c r="I1123">
        <f>IF($H1123="","",COUNTIFS(CalcBank,$G1123,CalcKey,"&lt;"&amp;$H1123)+1)</f>
        <v/>
      </c>
      <c r="J1123">
        <f>IF($I1123="","",$G1123&amp;"|"&amp;RIGHT("000000"&amp;$I1123,6))</f>
        <v/>
      </c>
      <c r="K1123">
        <f>IF(OR($E1123="",$E1123="نامعتبر"),"",LEFT($E1123,4)&amp;"/"&amp;MID($E1123,6,2))</f>
        <v/>
      </c>
      <c r="L1123">
        <f>IF(Entry!$K1123="",0,Entry!$K1123)</f>
        <v/>
      </c>
      <c r="M1123">
        <f>IF(Entry!$L1123="",0,Entry!$L1123)</f>
        <v/>
      </c>
    </row>
    <row r="1124">
      <c r="A1124">
        <f>IF(Entry!$C1124="","",Entry!$C1124)</f>
        <v/>
      </c>
      <c r="B1124">
        <f>IF($A1124="","",IF(ISNUMBER($A1124),IF(AND($A1124&gt;=10000101,$A1124&lt;=99991231),INT($A1124/10000),""),IFERROR(VALUE(TRIM(LEFT($A1124,FIND("/",$A1124)-1))),"")))</f>
        <v/>
      </c>
      <c r="C1124">
        <f>IF(OR($A1124="",$B1124=""),"",IF(ISNUMBER($A1124),INT(MOD($A1124,10000)/100),IFERROR(VALUE(TRIM(LEFT(MID($A1124,FIND("/",$A1124)+1,20),FIND("/",MID($A1124,FIND("/",$A1124)+1,20))-1))),"")))</f>
        <v/>
      </c>
      <c r="D1124">
        <f>IF(OR($A1124="",$B1124=""),"",IF(ISNUMBER($A1124),MOD($A1124,100),IFERROR(VALUE(TRIM(MID(MID($A1124,FIND("/",$A1124)+1,20),FIND("/",MID($A1124,FIND("/",$A1124)+1,20))+1,20))),"")))</f>
        <v/>
      </c>
      <c r="E1124">
        <f>IF($A1124="","",IF(OR($B1124="",$C1124="",$D1124="",$B1124&lt;1300,$B1124&gt;1500,$C1124&lt;1,$C1124&gt;12,$D1124&lt;1,$D1124&gt;31),"نامعتبر",RIGHT("0000"&amp;$B1124,4)&amp;"/"&amp;RIGHT("00"&amp;$C1124,2)&amp;"/"&amp;RIGHT("00"&amp;$D1124,2)))</f>
        <v/>
      </c>
      <c r="F1124">
        <f>IF(Entry!$D1124&lt;&gt;"",IF(AND(ISNUMBER(Entry!$D1124),Entry!$D1124&gt;=0,Entry!$D1124&lt;1),RIGHT("00"&amp;HOUR(Entry!$D1124),2)&amp;":"&amp;RIGHT("00"&amp;MINUTE(Entry!$D1124),2),IFERROR(RIGHT("00"&amp;VALUE(TRIM(LEFT(Entry!$D1124,FIND(":",Entry!$D1124)-1))),2)&amp;":"&amp;RIGHT("00"&amp;VALUE(TRIM(MID(Entry!$D1124,FIND(":",Entry!$D1124)+1,2))),2),"نامعتبر")),IF(OR($E1124="",$E1124="نامعتبر"),"","00:00"))</f>
        <v/>
      </c>
      <c r="G1124">
        <f>IF(OR($E1124="",$E1124="نامعتبر"),"",IF(Entry!$E1124="","",LEFT(UPPER(TRIM(Entry!$E1124)),6)))</f>
        <v/>
      </c>
      <c r="H1124">
        <f>IF($G1124="","",RIGHT($E1124,4)&amp;MID($E1124,6,2)&amp;RIGHT($E1124,2)&amp;IF($F1124="","0000",IF($F1124="نامعتبر","9999",LEFT($F1124,2)&amp;RIGHT($F1124,2)))&amp;"|"&amp;RIGHT("00000"&amp;1116,5))</f>
        <v/>
      </c>
      <c r="I1124">
        <f>IF($H1124="","",COUNTIFS(CalcBank,$G1124,CalcKey,"&lt;"&amp;$H1124)+1)</f>
        <v/>
      </c>
      <c r="J1124">
        <f>IF($I1124="","",$G1124&amp;"|"&amp;RIGHT("000000"&amp;$I1124,6))</f>
        <v/>
      </c>
      <c r="K1124">
        <f>IF(OR($E1124="",$E1124="نامعتبر"),"",LEFT($E1124,4)&amp;"/"&amp;MID($E1124,6,2))</f>
        <v/>
      </c>
      <c r="L1124">
        <f>IF(Entry!$K1124="",0,Entry!$K1124)</f>
        <v/>
      </c>
      <c r="M1124">
        <f>IF(Entry!$L1124="",0,Entry!$L1124)</f>
        <v/>
      </c>
    </row>
    <row r="1125">
      <c r="A1125">
        <f>IF(Entry!$C1125="","",Entry!$C1125)</f>
        <v/>
      </c>
      <c r="B1125">
        <f>IF($A1125="","",IF(ISNUMBER($A1125),IF(AND($A1125&gt;=10000101,$A1125&lt;=99991231),INT($A1125/10000),""),IFERROR(VALUE(TRIM(LEFT($A1125,FIND("/",$A1125)-1))),"")))</f>
        <v/>
      </c>
      <c r="C1125">
        <f>IF(OR($A1125="",$B1125=""),"",IF(ISNUMBER($A1125),INT(MOD($A1125,10000)/100),IFERROR(VALUE(TRIM(LEFT(MID($A1125,FIND("/",$A1125)+1,20),FIND("/",MID($A1125,FIND("/",$A1125)+1,20))-1))),"")))</f>
        <v/>
      </c>
      <c r="D1125">
        <f>IF(OR($A1125="",$B1125=""),"",IF(ISNUMBER($A1125),MOD($A1125,100),IFERROR(VALUE(TRIM(MID(MID($A1125,FIND("/",$A1125)+1,20),FIND("/",MID($A1125,FIND("/",$A1125)+1,20))+1,20))),"")))</f>
        <v/>
      </c>
      <c r="E1125">
        <f>IF($A1125="","",IF(OR($B1125="",$C1125="",$D1125="",$B1125&lt;1300,$B1125&gt;1500,$C1125&lt;1,$C1125&gt;12,$D1125&lt;1,$D1125&gt;31),"نامعتبر",RIGHT("0000"&amp;$B1125,4)&amp;"/"&amp;RIGHT("00"&amp;$C1125,2)&amp;"/"&amp;RIGHT("00"&amp;$D1125,2)))</f>
        <v/>
      </c>
      <c r="F1125">
        <f>IF(Entry!$D1125&lt;&gt;"",IF(AND(ISNUMBER(Entry!$D1125),Entry!$D1125&gt;=0,Entry!$D1125&lt;1),RIGHT("00"&amp;HOUR(Entry!$D1125),2)&amp;":"&amp;RIGHT("00"&amp;MINUTE(Entry!$D1125),2),IFERROR(RIGHT("00"&amp;VALUE(TRIM(LEFT(Entry!$D1125,FIND(":",Entry!$D1125)-1))),2)&amp;":"&amp;RIGHT("00"&amp;VALUE(TRIM(MID(Entry!$D1125,FIND(":",Entry!$D1125)+1,2))),2),"نامعتبر")),IF(OR($E1125="",$E1125="نامعتبر"),"","00:00"))</f>
        <v/>
      </c>
      <c r="G1125">
        <f>IF(OR($E1125="",$E1125="نامعتبر"),"",IF(Entry!$E1125="","",LEFT(UPPER(TRIM(Entry!$E1125)),6)))</f>
        <v/>
      </c>
      <c r="H1125">
        <f>IF($G1125="","",RIGHT($E1125,4)&amp;MID($E1125,6,2)&amp;RIGHT($E1125,2)&amp;IF($F1125="","0000",IF($F1125="نامعتبر","9999",LEFT($F1125,2)&amp;RIGHT($F1125,2)))&amp;"|"&amp;RIGHT("00000"&amp;1117,5))</f>
        <v/>
      </c>
      <c r="I1125">
        <f>IF($H1125="","",COUNTIFS(CalcBank,$G1125,CalcKey,"&lt;"&amp;$H1125)+1)</f>
        <v/>
      </c>
      <c r="J1125">
        <f>IF($I1125="","",$G1125&amp;"|"&amp;RIGHT("000000"&amp;$I1125,6))</f>
        <v/>
      </c>
      <c r="K1125">
        <f>IF(OR($E1125="",$E1125="نامعتبر"),"",LEFT($E1125,4)&amp;"/"&amp;MID($E1125,6,2))</f>
        <v/>
      </c>
      <c r="L1125">
        <f>IF(Entry!$K1125="",0,Entry!$K1125)</f>
        <v/>
      </c>
      <c r="M1125">
        <f>IF(Entry!$L1125="",0,Entry!$L1125)</f>
        <v/>
      </c>
    </row>
    <row r="1126">
      <c r="A1126">
        <f>IF(Entry!$C1126="","",Entry!$C1126)</f>
        <v/>
      </c>
      <c r="B1126">
        <f>IF($A1126="","",IF(ISNUMBER($A1126),IF(AND($A1126&gt;=10000101,$A1126&lt;=99991231),INT($A1126/10000),""),IFERROR(VALUE(TRIM(LEFT($A1126,FIND("/",$A1126)-1))),"")))</f>
        <v/>
      </c>
      <c r="C1126">
        <f>IF(OR($A1126="",$B1126=""),"",IF(ISNUMBER($A1126),INT(MOD($A1126,10000)/100),IFERROR(VALUE(TRIM(LEFT(MID($A1126,FIND("/",$A1126)+1,20),FIND("/",MID($A1126,FIND("/",$A1126)+1,20))-1))),"")))</f>
        <v/>
      </c>
      <c r="D1126">
        <f>IF(OR($A1126="",$B1126=""),"",IF(ISNUMBER($A1126),MOD($A1126,100),IFERROR(VALUE(TRIM(MID(MID($A1126,FIND("/",$A1126)+1,20),FIND("/",MID($A1126,FIND("/",$A1126)+1,20))+1,20))),"")))</f>
        <v/>
      </c>
      <c r="E1126">
        <f>IF($A1126="","",IF(OR($B1126="",$C1126="",$D1126="",$B1126&lt;1300,$B1126&gt;1500,$C1126&lt;1,$C1126&gt;12,$D1126&lt;1,$D1126&gt;31),"نامعتبر",RIGHT("0000"&amp;$B1126,4)&amp;"/"&amp;RIGHT("00"&amp;$C1126,2)&amp;"/"&amp;RIGHT("00"&amp;$D1126,2)))</f>
        <v/>
      </c>
      <c r="F1126">
        <f>IF(Entry!$D1126&lt;&gt;"",IF(AND(ISNUMBER(Entry!$D1126),Entry!$D1126&gt;=0,Entry!$D1126&lt;1),RIGHT("00"&amp;HOUR(Entry!$D1126),2)&amp;":"&amp;RIGHT("00"&amp;MINUTE(Entry!$D1126),2),IFERROR(RIGHT("00"&amp;VALUE(TRIM(LEFT(Entry!$D1126,FIND(":",Entry!$D1126)-1))),2)&amp;":"&amp;RIGHT("00"&amp;VALUE(TRIM(MID(Entry!$D1126,FIND(":",Entry!$D1126)+1,2))),2),"نامعتبر")),IF(OR($E1126="",$E1126="نامعتبر"),"","00:00"))</f>
        <v/>
      </c>
      <c r="G1126">
        <f>IF(OR($E1126="",$E1126="نامعتبر"),"",IF(Entry!$E1126="","",LEFT(UPPER(TRIM(Entry!$E1126)),6)))</f>
        <v/>
      </c>
      <c r="H1126">
        <f>IF($G1126="","",RIGHT($E1126,4)&amp;MID($E1126,6,2)&amp;RIGHT($E1126,2)&amp;IF($F1126="","0000",IF($F1126="نامعتبر","9999",LEFT($F1126,2)&amp;RIGHT($F1126,2)))&amp;"|"&amp;RIGHT("00000"&amp;1118,5))</f>
        <v/>
      </c>
      <c r="I1126">
        <f>IF($H1126="","",COUNTIFS(CalcBank,$G1126,CalcKey,"&lt;"&amp;$H1126)+1)</f>
        <v/>
      </c>
      <c r="J1126">
        <f>IF($I1126="","",$G1126&amp;"|"&amp;RIGHT("000000"&amp;$I1126,6))</f>
        <v/>
      </c>
      <c r="K1126">
        <f>IF(OR($E1126="",$E1126="نامعتبر"),"",LEFT($E1126,4)&amp;"/"&amp;MID($E1126,6,2))</f>
        <v/>
      </c>
      <c r="L1126">
        <f>IF(Entry!$K1126="",0,Entry!$K1126)</f>
        <v/>
      </c>
      <c r="M1126">
        <f>IF(Entry!$L1126="",0,Entry!$L1126)</f>
        <v/>
      </c>
    </row>
    <row r="1127">
      <c r="A1127">
        <f>IF(Entry!$C1127="","",Entry!$C1127)</f>
        <v/>
      </c>
      <c r="B1127">
        <f>IF($A1127="","",IF(ISNUMBER($A1127),IF(AND($A1127&gt;=10000101,$A1127&lt;=99991231),INT($A1127/10000),""),IFERROR(VALUE(TRIM(LEFT($A1127,FIND("/",$A1127)-1))),"")))</f>
        <v/>
      </c>
      <c r="C1127">
        <f>IF(OR($A1127="",$B1127=""),"",IF(ISNUMBER($A1127),INT(MOD($A1127,10000)/100),IFERROR(VALUE(TRIM(LEFT(MID($A1127,FIND("/",$A1127)+1,20),FIND("/",MID($A1127,FIND("/",$A1127)+1,20))-1))),"")))</f>
        <v/>
      </c>
      <c r="D1127">
        <f>IF(OR($A1127="",$B1127=""),"",IF(ISNUMBER($A1127),MOD($A1127,100),IFERROR(VALUE(TRIM(MID(MID($A1127,FIND("/",$A1127)+1,20),FIND("/",MID($A1127,FIND("/",$A1127)+1,20))+1,20))),"")))</f>
        <v/>
      </c>
      <c r="E1127">
        <f>IF($A1127="","",IF(OR($B1127="",$C1127="",$D1127="",$B1127&lt;1300,$B1127&gt;1500,$C1127&lt;1,$C1127&gt;12,$D1127&lt;1,$D1127&gt;31),"نامعتبر",RIGHT("0000"&amp;$B1127,4)&amp;"/"&amp;RIGHT("00"&amp;$C1127,2)&amp;"/"&amp;RIGHT("00"&amp;$D1127,2)))</f>
        <v/>
      </c>
      <c r="F1127">
        <f>IF(Entry!$D1127&lt;&gt;"",IF(AND(ISNUMBER(Entry!$D1127),Entry!$D1127&gt;=0,Entry!$D1127&lt;1),RIGHT("00"&amp;HOUR(Entry!$D1127),2)&amp;":"&amp;RIGHT("00"&amp;MINUTE(Entry!$D1127),2),IFERROR(RIGHT("00"&amp;VALUE(TRIM(LEFT(Entry!$D1127,FIND(":",Entry!$D1127)-1))),2)&amp;":"&amp;RIGHT("00"&amp;VALUE(TRIM(MID(Entry!$D1127,FIND(":",Entry!$D1127)+1,2))),2),"نامعتبر")),IF(OR($E1127="",$E1127="نامعتبر"),"","00:00"))</f>
        <v/>
      </c>
      <c r="G1127">
        <f>IF(OR($E1127="",$E1127="نامعتبر"),"",IF(Entry!$E1127="","",LEFT(UPPER(TRIM(Entry!$E1127)),6)))</f>
        <v/>
      </c>
      <c r="H1127">
        <f>IF($G1127="","",RIGHT($E1127,4)&amp;MID($E1127,6,2)&amp;RIGHT($E1127,2)&amp;IF($F1127="","0000",IF($F1127="نامعتبر","9999",LEFT($F1127,2)&amp;RIGHT($F1127,2)))&amp;"|"&amp;RIGHT("00000"&amp;1119,5))</f>
        <v/>
      </c>
      <c r="I1127">
        <f>IF($H1127="","",COUNTIFS(CalcBank,$G1127,CalcKey,"&lt;"&amp;$H1127)+1)</f>
        <v/>
      </c>
      <c r="J1127">
        <f>IF($I1127="","",$G1127&amp;"|"&amp;RIGHT("000000"&amp;$I1127,6))</f>
        <v/>
      </c>
      <c r="K1127">
        <f>IF(OR($E1127="",$E1127="نامعتبر"),"",LEFT($E1127,4)&amp;"/"&amp;MID($E1127,6,2))</f>
        <v/>
      </c>
      <c r="L1127">
        <f>IF(Entry!$K1127="",0,Entry!$K1127)</f>
        <v/>
      </c>
      <c r="M1127">
        <f>IF(Entry!$L1127="",0,Entry!$L1127)</f>
        <v/>
      </c>
    </row>
    <row r="1128">
      <c r="A1128">
        <f>IF(Entry!$C1128="","",Entry!$C1128)</f>
        <v/>
      </c>
      <c r="B1128">
        <f>IF($A1128="","",IF(ISNUMBER($A1128),IF(AND($A1128&gt;=10000101,$A1128&lt;=99991231),INT($A1128/10000),""),IFERROR(VALUE(TRIM(LEFT($A1128,FIND("/",$A1128)-1))),"")))</f>
        <v/>
      </c>
      <c r="C1128">
        <f>IF(OR($A1128="",$B1128=""),"",IF(ISNUMBER($A1128),INT(MOD($A1128,10000)/100),IFERROR(VALUE(TRIM(LEFT(MID($A1128,FIND("/",$A1128)+1,20),FIND("/",MID($A1128,FIND("/",$A1128)+1,20))-1))),"")))</f>
        <v/>
      </c>
      <c r="D1128">
        <f>IF(OR($A1128="",$B1128=""),"",IF(ISNUMBER($A1128),MOD($A1128,100),IFERROR(VALUE(TRIM(MID(MID($A1128,FIND("/",$A1128)+1,20),FIND("/",MID($A1128,FIND("/",$A1128)+1,20))+1,20))),"")))</f>
        <v/>
      </c>
      <c r="E1128">
        <f>IF($A1128="","",IF(OR($B1128="",$C1128="",$D1128="",$B1128&lt;1300,$B1128&gt;1500,$C1128&lt;1,$C1128&gt;12,$D1128&lt;1,$D1128&gt;31),"نامعتبر",RIGHT("0000"&amp;$B1128,4)&amp;"/"&amp;RIGHT("00"&amp;$C1128,2)&amp;"/"&amp;RIGHT("00"&amp;$D1128,2)))</f>
        <v/>
      </c>
      <c r="F1128">
        <f>IF(Entry!$D1128&lt;&gt;"",IF(AND(ISNUMBER(Entry!$D1128),Entry!$D1128&gt;=0,Entry!$D1128&lt;1),RIGHT("00"&amp;HOUR(Entry!$D1128),2)&amp;":"&amp;RIGHT("00"&amp;MINUTE(Entry!$D1128),2),IFERROR(RIGHT("00"&amp;VALUE(TRIM(LEFT(Entry!$D1128,FIND(":",Entry!$D1128)-1))),2)&amp;":"&amp;RIGHT("00"&amp;VALUE(TRIM(MID(Entry!$D1128,FIND(":",Entry!$D1128)+1,2))),2),"نامعتبر")),IF(OR($E1128="",$E1128="نامعتبر"),"","00:00"))</f>
        <v/>
      </c>
      <c r="G1128">
        <f>IF(OR($E1128="",$E1128="نامعتبر"),"",IF(Entry!$E1128="","",LEFT(UPPER(TRIM(Entry!$E1128)),6)))</f>
        <v/>
      </c>
      <c r="H1128">
        <f>IF($G1128="","",RIGHT($E1128,4)&amp;MID($E1128,6,2)&amp;RIGHT($E1128,2)&amp;IF($F1128="","0000",IF($F1128="نامعتبر","9999",LEFT($F1128,2)&amp;RIGHT($F1128,2)))&amp;"|"&amp;RIGHT("00000"&amp;1120,5))</f>
        <v/>
      </c>
      <c r="I1128">
        <f>IF($H1128="","",COUNTIFS(CalcBank,$G1128,CalcKey,"&lt;"&amp;$H1128)+1)</f>
        <v/>
      </c>
      <c r="J1128">
        <f>IF($I1128="","",$G1128&amp;"|"&amp;RIGHT("000000"&amp;$I1128,6))</f>
        <v/>
      </c>
      <c r="K1128">
        <f>IF(OR($E1128="",$E1128="نامعتبر"),"",LEFT($E1128,4)&amp;"/"&amp;MID($E1128,6,2))</f>
        <v/>
      </c>
      <c r="L1128">
        <f>IF(Entry!$K1128="",0,Entry!$K1128)</f>
        <v/>
      </c>
      <c r="M1128">
        <f>IF(Entry!$L1128="",0,Entry!$L1128)</f>
        <v/>
      </c>
    </row>
    <row r="1129">
      <c r="A1129">
        <f>IF(Entry!$C1129="","",Entry!$C1129)</f>
        <v/>
      </c>
      <c r="B1129">
        <f>IF($A1129="","",IF(ISNUMBER($A1129),IF(AND($A1129&gt;=10000101,$A1129&lt;=99991231),INT($A1129/10000),""),IFERROR(VALUE(TRIM(LEFT($A1129,FIND("/",$A1129)-1))),"")))</f>
        <v/>
      </c>
      <c r="C1129">
        <f>IF(OR($A1129="",$B1129=""),"",IF(ISNUMBER($A1129),INT(MOD($A1129,10000)/100),IFERROR(VALUE(TRIM(LEFT(MID($A1129,FIND("/",$A1129)+1,20),FIND("/",MID($A1129,FIND("/",$A1129)+1,20))-1))),"")))</f>
        <v/>
      </c>
      <c r="D1129">
        <f>IF(OR($A1129="",$B1129=""),"",IF(ISNUMBER($A1129),MOD($A1129,100),IFERROR(VALUE(TRIM(MID(MID($A1129,FIND("/",$A1129)+1,20),FIND("/",MID($A1129,FIND("/",$A1129)+1,20))+1,20))),"")))</f>
        <v/>
      </c>
      <c r="E1129">
        <f>IF($A1129="","",IF(OR($B1129="",$C1129="",$D1129="",$B1129&lt;1300,$B1129&gt;1500,$C1129&lt;1,$C1129&gt;12,$D1129&lt;1,$D1129&gt;31),"نامعتبر",RIGHT("0000"&amp;$B1129,4)&amp;"/"&amp;RIGHT("00"&amp;$C1129,2)&amp;"/"&amp;RIGHT("00"&amp;$D1129,2)))</f>
        <v/>
      </c>
      <c r="F1129">
        <f>IF(Entry!$D1129&lt;&gt;"",IF(AND(ISNUMBER(Entry!$D1129),Entry!$D1129&gt;=0,Entry!$D1129&lt;1),RIGHT("00"&amp;HOUR(Entry!$D1129),2)&amp;":"&amp;RIGHT("00"&amp;MINUTE(Entry!$D1129),2),IFERROR(RIGHT("00"&amp;VALUE(TRIM(LEFT(Entry!$D1129,FIND(":",Entry!$D1129)-1))),2)&amp;":"&amp;RIGHT("00"&amp;VALUE(TRIM(MID(Entry!$D1129,FIND(":",Entry!$D1129)+1,2))),2),"نامعتبر")),IF(OR($E1129="",$E1129="نامعتبر"),"","00:00"))</f>
        <v/>
      </c>
      <c r="G1129">
        <f>IF(OR($E1129="",$E1129="نامعتبر"),"",IF(Entry!$E1129="","",LEFT(UPPER(TRIM(Entry!$E1129)),6)))</f>
        <v/>
      </c>
      <c r="H1129">
        <f>IF($G1129="","",RIGHT($E1129,4)&amp;MID($E1129,6,2)&amp;RIGHT($E1129,2)&amp;IF($F1129="","0000",IF($F1129="نامعتبر","9999",LEFT($F1129,2)&amp;RIGHT($F1129,2)))&amp;"|"&amp;RIGHT("00000"&amp;1121,5))</f>
        <v/>
      </c>
      <c r="I1129">
        <f>IF($H1129="","",COUNTIFS(CalcBank,$G1129,CalcKey,"&lt;"&amp;$H1129)+1)</f>
        <v/>
      </c>
      <c r="J1129">
        <f>IF($I1129="","",$G1129&amp;"|"&amp;RIGHT("000000"&amp;$I1129,6))</f>
        <v/>
      </c>
      <c r="K1129">
        <f>IF(OR($E1129="",$E1129="نامعتبر"),"",LEFT($E1129,4)&amp;"/"&amp;MID($E1129,6,2))</f>
        <v/>
      </c>
      <c r="L1129">
        <f>IF(Entry!$K1129="",0,Entry!$K1129)</f>
        <v/>
      </c>
      <c r="M1129">
        <f>IF(Entry!$L1129="",0,Entry!$L1129)</f>
        <v/>
      </c>
    </row>
    <row r="1130">
      <c r="A1130">
        <f>IF(Entry!$C1130="","",Entry!$C1130)</f>
        <v/>
      </c>
      <c r="B1130">
        <f>IF($A1130="","",IF(ISNUMBER($A1130),IF(AND($A1130&gt;=10000101,$A1130&lt;=99991231),INT($A1130/10000),""),IFERROR(VALUE(TRIM(LEFT($A1130,FIND("/",$A1130)-1))),"")))</f>
        <v/>
      </c>
      <c r="C1130">
        <f>IF(OR($A1130="",$B1130=""),"",IF(ISNUMBER($A1130),INT(MOD($A1130,10000)/100),IFERROR(VALUE(TRIM(LEFT(MID($A1130,FIND("/",$A1130)+1,20),FIND("/",MID($A1130,FIND("/",$A1130)+1,20))-1))),"")))</f>
        <v/>
      </c>
      <c r="D1130">
        <f>IF(OR($A1130="",$B1130=""),"",IF(ISNUMBER($A1130),MOD($A1130,100),IFERROR(VALUE(TRIM(MID(MID($A1130,FIND("/",$A1130)+1,20),FIND("/",MID($A1130,FIND("/",$A1130)+1,20))+1,20))),"")))</f>
        <v/>
      </c>
      <c r="E1130">
        <f>IF($A1130="","",IF(OR($B1130="",$C1130="",$D1130="",$B1130&lt;1300,$B1130&gt;1500,$C1130&lt;1,$C1130&gt;12,$D1130&lt;1,$D1130&gt;31),"نامعتبر",RIGHT("0000"&amp;$B1130,4)&amp;"/"&amp;RIGHT("00"&amp;$C1130,2)&amp;"/"&amp;RIGHT("00"&amp;$D1130,2)))</f>
        <v/>
      </c>
      <c r="F1130">
        <f>IF(Entry!$D1130&lt;&gt;"",IF(AND(ISNUMBER(Entry!$D1130),Entry!$D1130&gt;=0,Entry!$D1130&lt;1),RIGHT("00"&amp;HOUR(Entry!$D1130),2)&amp;":"&amp;RIGHT("00"&amp;MINUTE(Entry!$D1130),2),IFERROR(RIGHT("00"&amp;VALUE(TRIM(LEFT(Entry!$D1130,FIND(":",Entry!$D1130)-1))),2)&amp;":"&amp;RIGHT("00"&amp;VALUE(TRIM(MID(Entry!$D1130,FIND(":",Entry!$D1130)+1,2))),2),"نامعتبر")),IF(OR($E1130="",$E1130="نامعتبر"),"","00:00"))</f>
        <v/>
      </c>
      <c r="G1130">
        <f>IF(OR($E1130="",$E1130="نامعتبر"),"",IF(Entry!$E1130="","",LEFT(UPPER(TRIM(Entry!$E1130)),6)))</f>
        <v/>
      </c>
      <c r="H1130">
        <f>IF($G1130="","",RIGHT($E1130,4)&amp;MID($E1130,6,2)&amp;RIGHT($E1130,2)&amp;IF($F1130="","0000",IF($F1130="نامعتبر","9999",LEFT($F1130,2)&amp;RIGHT($F1130,2)))&amp;"|"&amp;RIGHT("00000"&amp;1122,5))</f>
        <v/>
      </c>
      <c r="I1130">
        <f>IF($H1130="","",COUNTIFS(CalcBank,$G1130,CalcKey,"&lt;"&amp;$H1130)+1)</f>
        <v/>
      </c>
      <c r="J1130">
        <f>IF($I1130="","",$G1130&amp;"|"&amp;RIGHT("000000"&amp;$I1130,6))</f>
        <v/>
      </c>
      <c r="K1130">
        <f>IF(OR($E1130="",$E1130="نامعتبر"),"",LEFT($E1130,4)&amp;"/"&amp;MID($E1130,6,2))</f>
        <v/>
      </c>
      <c r="L1130">
        <f>IF(Entry!$K1130="",0,Entry!$K1130)</f>
        <v/>
      </c>
      <c r="M1130">
        <f>IF(Entry!$L1130="",0,Entry!$L1130)</f>
        <v/>
      </c>
    </row>
    <row r="1131">
      <c r="A1131">
        <f>IF(Entry!$C1131="","",Entry!$C1131)</f>
        <v/>
      </c>
      <c r="B1131">
        <f>IF($A1131="","",IF(ISNUMBER($A1131),IF(AND($A1131&gt;=10000101,$A1131&lt;=99991231),INT($A1131/10000),""),IFERROR(VALUE(TRIM(LEFT($A1131,FIND("/",$A1131)-1))),"")))</f>
        <v/>
      </c>
      <c r="C1131">
        <f>IF(OR($A1131="",$B1131=""),"",IF(ISNUMBER($A1131),INT(MOD($A1131,10000)/100),IFERROR(VALUE(TRIM(LEFT(MID($A1131,FIND("/",$A1131)+1,20),FIND("/",MID($A1131,FIND("/",$A1131)+1,20))-1))),"")))</f>
        <v/>
      </c>
      <c r="D1131">
        <f>IF(OR($A1131="",$B1131=""),"",IF(ISNUMBER($A1131),MOD($A1131,100),IFERROR(VALUE(TRIM(MID(MID($A1131,FIND("/",$A1131)+1,20),FIND("/",MID($A1131,FIND("/",$A1131)+1,20))+1,20))),"")))</f>
        <v/>
      </c>
      <c r="E1131">
        <f>IF($A1131="","",IF(OR($B1131="",$C1131="",$D1131="",$B1131&lt;1300,$B1131&gt;1500,$C1131&lt;1,$C1131&gt;12,$D1131&lt;1,$D1131&gt;31),"نامعتبر",RIGHT("0000"&amp;$B1131,4)&amp;"/"&amp;RIGHT("00"&amp;$C1131,2)&amp;"/"&amp;RIGHT("00"&amp;$D1131,2)))</f>
        <v/>
      </c>
      <c r="F1131">
        <f>IF(Entry!$D1131&lt;&gt;"",IF(AND(ISNUMBER(Entry!$D1131),Entry!$D1131&gt;=0,Entry!$D1131&lt;1),RIGHT("00"&amp;HOUR(Entry!$D1131),2)&amp;":"&amp;RIGHT("00"&amp;MINUTE(Entry!$D1131),2),IFERROR(RIGHT("00"&amp;VALUE(TRIM(LEFT(Entry!$D1131,FIND(":",Entry!$D1131)-1))),2)&amp;":"&amp;RIGHT("00"&amp;VALUE(TRIM(MID(Entry!$D1131,FIND(":",Entry!$D1131)+1,2))),2),"نامعتبر")),IF(OR($E1131="",$E1131="نامعتبر"),"","00:00"))</f>
        <v/>
      </c>
      <c r="G1131">
        <f>IF(OR($E1131="",$E1131="نامعتبر"),"",IF(Entry!$E1131="","",LEFT(UPPER(TRIM(Entry!$E1131)),6)))</f>
        <v/>
      </c>
      <c r="H1131">
        <f>IF($G1131="","",RIGHT($E1131,4)&amp;MID($E1131,6,2)&amp;RIGHT($E1131,2)&amp;IF($F1131="","0000",IF($F1131="نامعتبر","9999",LEFT($F1131,2)&amp;RIGHT($F1131,2)))&amp;"|"&amp;RIGHT("00000"&amp;1123,5))</f>
        <v/>
      </c>
      <c r="I1131">
        <f>IF($H1131="","",COUNTIFS(CalcBank,$G1131,CalcKey,"&lt;"&amp;$H1131)+1)</f>
        <v/>
      </c>
      <c r="J1131">
        <f>IF($I1131="","",$G1131&amp;"|"&amp;RIGHT("000000"&amp;$I1131,6))</f>
        <v/>
      </c>
      <c r="K1131">
        <f>IF(OR($E1131="",$E1131="نامعتبر"),"",LEFT($E1131,4)&amp;"/"&amp;MID($E1131,6,2))</f>
        <v/>
      </c>
      <c r="L1131">
        <f>IF(Entry!$K1131="",0,Entry!$K1131)</f>
        <v/>
      </c>
      <c r="M1131">
        <f>IF(Entry!$L1131="",0,Entry!$L1131)</f>
        <v/>
      </c>
    </row>
    <row r="1132">
      <c r="A1132">
        <f>IF(Entry!$C1132="","",Entry!$C1132)</f>
        <v/>
      </c>
      <c r="B1132">
        <f>IF($A1132="","",IF(ISNUMBER($A1132),IF(AND($A1132&gt;=10000101,$A1132&lt;=99991231),INT($A1132/10000),""),IFERROR(VALUE(TRIM(LEFT($A1132,FIND("/",$A1132)-1))),"")))</f>
        <v/>
      </c>
      <c r="C1132">
        <f>IF(OR($A1132="",$B1132=""),"",IF(ISNUMBER($A1132),INT(MOD($A1132,10000)/100),IFERROR(VALUE(TRIM(LEFT(MID($A1132,FIND("/",$A1132)+1,20),FIND("/",MID($A1132,FIND("/",$A1132)+1,20))-1))),"")))</f>
        <v/>
      </c>
      <c r="D1132">
        <f>IF(OR($A1132="",$B1132=""),"",IF(ISNUMBER($A1132),MOD($A1132,100),IFERROR(VALUE(TRIM(MID(MID($A1132,FIND("/",$A1132)+1,20),FIND("/",MID($A1132,FIND("/",$A1132)+1,20))+1,20))),"")))</f>
        <v/>
      </c>
      <c r="E1132">
        <f>IF($A1132="","",IF(OR($B1132="",$C1132="",$D1132="",$B1132&lt;1300,$B1132&gt;1500,$C1132&lt;1,$C1132&gt;12,$D1132&lt;1,$D1132&gt;31),"نامعتبر",RIGHT("0000"&amp;$B1132,4)&amp;"/"&amp;RIGHT("00"&amp;$C1132,2)&amp;"/"&amp;RIGHT("00"&amp;$D1132,2)))</f>
        <v/>
      </c>
      <c r="F1132">
        <f>IF(Entry!$D1132&lt;&gt;"",IF(AND(ISNUMBER(Entry!$D1132),Entry!$D1132&gt;=0,Entry!$D1132&lt;1),RIGHT("00"&amp;HOUR(Entry!$D1132),2)&amp;":"&amp;RIGHT("00"&amp;MINUTE(Entry!$D1132),2),IFERROR(RIGHT("00"&amp;VALUE(TRIM(LEFT(Entry!$D1132,FIND(":",Entry!$D1132)-1))),2)&amp;":"&amp;RIGHT("00"&amp;VALUE(TRIM(MID(Entry!$D1132,FIND(":",Entry!$D1132)+1,2))),2),"نامعتبر")),IF(OR($E1132="",$E1132="نامعتبر"),"","00:00"))</f>
        <v/>
      </c>
      <c r="G1132">
        <f>IF(OR($E1132="",$E1132="نامعتبر"),"",IF(Entry!$E1132="","",LEFT(UPPER(TRIM(Entry!$E1132)),6)))</f>
        <v/>
      </c>
      <c r="H1132">
        <f>IF($G1132="","",RIGHT($E1132,4)&amp;MID($E1132,6,2)&amp;RIGHT($E1132,2)&amp;IF($F1132="","0000",IF($F1132="نامعتبر","9999",LEFT($F1132,2)&amp;RIGHT($F1132,2)))&amp;"|"&amp;RIGHT("00000"&amp;1124,5))</f>
        <v/>
      </c>
      <c r="I1132">
        <f>IF($H1132="","",COUNTIFS(CalcBank,$G1132,CalcKey,"&lt;"&amp;$H1132)+1)</f>
        <v/>
      </c>
      <c r="J1132">
        <f>IF($I1132="","",$G1132&amp;"|"&amp;RIGHT("000000"&amp;$I1132,6))</f>
        <v/>
      </c>
      <c r="K1132">
        <f>IF(OR($E1132="",$E1132="نامعتبر"),"",LEFT($E1132,4)&amp;"/"&amp;MID($E1132,6,2))</f>
        <v/>
      </c>
      <c r="L1132">
        <f>IF(Entry!$K1132="",0,Entry!$K1132)</f>
        <v/>
      </c>
      <c r="M1132">
        <f>IF(Entry!$L1132="",0,Entry!$L1132)</f>
        <v/>
      </c>
    </row>
    <row r="1133">
      <c r="A1133">
        <f>IF(Entry!$C1133="","",Entry!$C1133)</f>
        <v/>
      </c>
      <c r="B1133">
        <f>IF($A1133="","",IF(ISNUMBER($A1133),IF(AND($A1133&gt;=10000101,$A1133&lt;=99991231),INT($A1133/10000),""),IFERROR(VALUE(TRIM(LEFT($A1133,FIND("/",$A1133)-1))),"")))</f>
        <v/>
      </c>
      <c r="C1133">
        <f>IF(OR($A1133="",$B1133=""),"",IF(ISNUMBER($A1133),INT(MOD($A1133,10000)/100),IFERROR(VALUE(TRIM(LEFT(MID($A1133,FIND("/",$A1133)+1,20),FIND("/",MID($A1133,FIND("/",$A1133)+1,20))-1))),"")))</f>
        <v/>
      </c>
      <c r="D1133">
        <f>IF(OR($A1133="",$B1133=""),"",IF(ISNUMBER($A1133),MOD($A1133,100),IFERROR(VALUE(TRIM(MID(MID($A1133,FIND("/",$A1133)+1,20),FIND("/",MID($A1133,FIND("/",$A1133)+1,20))+1,20))),"")))</f>
        <v/>
      </c>
      <c r="E1133">
        <f>IF($A1133="","",IF(OR($B1133="",$C1133="",$D1133="",$B1133&lt;1300,$B1133&gt;1500,$C1133&lt;1,$C1133&gt;12,$D1133&lt;1,$D1133&gt;31),"نامعتبر",RIGHT("0000"&amp;$B1133,4)&amp;"/"&amp;RIGHT("00"&amp;$C1133,2)&amp;"/"&amp;RIGHT("00"&amp;$D1133,2)))</f>
        <v/>
      </c>
      <c r="F1133">
        <f>IF(Entry!$D1133&lt;&gt;"",IF(AND(ISNUMBER(Entry!$D1133),Entry!$D1133&gt;=0,Entry!$D1133&lt;1),RIGHT("00"&amp;HOUR(Entry!$D1133),2)&amp;":"&amp;RIGHT("00"&amp;MINUTE(Entry!$D1133),2),IFERROR(RIGHT("00"&amp;VALUE(TRIM(LEFT(Entry!$D1133,FIND(":",Entry!$D1133)-1))),2)&amp;":"&amp;RIGHT("00"&amp;VALUE(TRIM(MID(Entry!$D1133,FIND(":",Entry!$D1133)+1,2))),2),"نامعتبر")),IF(OR($E1133="",$E1133="نامعتبر"),"","00:00"))</f>
        <v/>
      </c>
      <c r="G1133">
        <f>IF(OR($E1133="",$E1133="نامعتبر"),"",IF(Entry!$E1133="","",LEFT(UPPER(TRIM(Entry!$E1133)),6)))</f>
        <v/>
      </c>
      <c r="H1133">
        <f>IF($G1133="","",RIGHT($E1133,4)&amp;MID($E1133,6,2)&amp;RIGHT($E1133,2)&amp;IF($F1133="","0000",IF($F1133="نامعتبر","9999",LEFT($F1133,2)&amp;RIGHT($F1133,2)))&amp;"|"&amp;RIGHT("00000"&amp;1125,5))</f>
        <v/>
      </c>
      <c r="I1133">
        <f>IF($H1133="","",COUNTIFS(CalcBank,$G1133,CalcKey,"&lt;"&amp;$H1133)+1)</f>
        <v/>
      </c>
      <c r="J1133">
        <f>IF($I1133="","",$G1133&amp;"|"&amp;RIGHT("000000"&amp;$I1133,6))</f>
        <v/>
      </c>
      <c r="K1133">
        <f>IF(OR($E1133="",$E1133="نامعتبر"),"",LEFT($E1133,4)&amp;"/"&amp;MID($E1133,6,2))</f>
        <v/>
      </c>
      <c r="L1133">
        <f>IF(Entry!$K1133="",0,Entry!$K1133)</f>
        <v/>
      </c>
      <c r="M1133">
        <f>IF(Entry!$L1133="",0,Entry!$L1133)</f>
        <v/>
      </c>
    </row>
    <row r="1134">
      <c r="A1134">
        <f>IF(Entry!$C1134="","",Entry!$C1134)</f>
        <v/>
      </c>
      <c r="B1134">
        <f>IF($A1134="","",IF(ISNUMBER($A1134),IF(AND($A1134&gt;=10000101,$A1134&lt;=99991231),INT($A1134/10000),""),IFERROR(VALUE(TRIM(LEFT($A1134,FIND("/",$A1134)-1))),"")))</f>
        <v/>
      </c>
      <c r="C1134">
        <f>IF(OR($A1134="",$B1134=""),"",IF(ISNUMBER($A1134),INT(MOD($A1134,10000)/100),IFERROR(VALUE(TRIM(LEFT(MID($A1134,FIND("/",$A1134)+1,20),FIND("/",MID($A1134,FIND("/",$A1134)+1,20))-1))),"")))</f>
        <v/>
      </c>
      <c r="D1134">
        <f>IF(OR($A1134="",$B1134=""),"",IF(ISNUMBER($A1134),MOD($A1134,100),IFERROR(VALUE(TRIM(MID(MID($A1134,FIND("/",$A1134)+1,20),FIND("/",MID($A1134,FIND("/",$A1134)+1,20))+1,20))),"")))</f>
        <v/>
      </c>
      <c r="E1134">
        <f>IF($A1134="","",IF(OR($B1134="",$C1134="",$D1134="",$B1134&lt;1300,$B1134&gt;1500,$C1134&lt;1,$C1134&gt;12,$D1134&lt;1,$D1134&gt;31),"نامعتبر",RIGHT("0000"&amp;$B1134,4)&amp;"/"&amp;RIGHT("00"&amp;$C1134,2)&amp;"/"&amp;RIGHT("00"&amp;$D1134,2)))</f>
        <v/>
      </c>
      <c r="F1134">
        <f>IF(Entry!$D1134&lt;&gt;"",IF(AND(ISNUMBER(Entry!$D1134),Entry!$D1134&gt;=0,Entry!$D1134&lt;1),RIGHT("00"&amp;HOUR(Entry!$D1134),2)&amp;":"&amp;RIGHT("00"&amp;MINUTE(Entry!$D1134),2),IFERROR(RIGHT("00"&amp;VALUE(TRIM(LEFT(Entry!$D1134,FIND(":",Entry!$D1134)-1))),2)&amp;":"&amp;RIGHT("00"&amp;VALUE(TRIM(MID(Entry!$D1134,FIND(":",Entry!$D1134)+1,2))),2),"نامعتبر")),IF(OR($E1134="",$E1134="نامعتبر"),"","00:00"))</f>
        <v/>
      </c>
      <c r="G1134">
        <f>IF(OR($E1134="",$E1134="نامعتبر"),"",IF(Entry!$E1134="","",LEFT(UPPER(TRIM(Entry!$E1134)),6)))</f>
        <v/>
      </c>
      <c r="H1134">
        <f>IF($G1134="","",RIGHT($E1134,4)&amp;MID($E1134,6,2)&amp;RIGHT($E1134,2)&amp;IF($F1134="","0000",IF($F1134="نامعتبر","9999",LEFT($F1134,2)&amp;RIGHT($F1134,2)))&amp;"|"&amp;RIGHT("00000"&amp;1126,5))</f>
        <v/>
      </c>
      <c r="I1134">
        <f>IF($H1134="","",COUNTIFS(CalcBank,$G1134,CalcKey,"&lt;"&amp;$H1134)+1)</f>
        <v/>
      </c>
      <c r="J1134">
        <f>IF($I1134="","",$G1134&amp;"|"&amp;RIGHT("000000"&amp;$I1134,6))</f>
        <v/>
      </c>
      <c r="K1134">
        <f>IF(OR($E1134="",$E1134="نامعتبر"),"",LEFT($E1134,4)&amp;"/"&amp;MID($E1134,6,2))</f>
        <v/>
      </c>
      <c r="L1134">
        <f>IF(Entry!$K1134="",0,Entry!$K1134)</f>
        <v/>
      </c>
      <c r="M1134">
        <f>IF(Entry!$L1134="",0,Entry!$L1134)</f>
        <v/>
      </c>
    </row>
    <row r="1135">
      <c r="A1135">
        <f>IF(Entry!$C1135="","",Entry!$C1135)</f>
        <v/>
      </c>
      <c r="B1135">
        <f>IF($A1135="","",IF(ISNUMBER($A1135),IF(AND($A1135&gt;=10000101,$A1135&lt;=99991231),INT($A1135/10000),""),IFERROR(VALUE(TRIM(LEFT($A1135,FIND("/",$A1135)-1))),"")))</f>
        <v/>
      </c>
      <c r="C1135">
        <f>IF(OR($A1135="",$B1135=""),"",IF(ISNUMBER($A1135),INT(MOD($A1135,10000)/100),IFERROR(VALUE(TRIM(LEFT(MID($A1135,FIND("/",$A1135)+1,20),FIND("/",MID($A1135,FIND("/",$A1135)+1,20))-1))),"")))</f>
        <v/>
      </c>
      <c r="D1135">
        <f>IF(OR($A1135="",$B1135=""),"",IF(ISNUMBER($A1135),MOD($A1135,100),IFERROR(VALUE(TRIM(MID(MID($A1135,FIND("/",$A1135)+1,20),FIND("/",MID($A1135,FIND("/",$A1135)+1,20))+1,20))),"")))</f>
        <v/>
      </c>
      <c r="E1135">
        <f>IF($A1135="","",IF(OR($B1135="",$C1135="",$D1135="",$B1135&lt;1300,$B1135&gt;1500,$C1135&lt;1,$C1135&gt;12,$D1135&lt;1,$D1135&gt;31),"نامعتبر",RIGHT("0000"&amp;$B1135,4)&amp;"/"&amp;RIGHT("00"&amp;$C1135,2)&amp;"/"&amp;RIGHT("00"&amp;$D1135,2)))</f>
        <v/>
      </c>
      <c r="F1135">
        <f>IF(Entry!$D1135&lt;&gt;"",IF(AND(ISNUMBER(Entry!$D1135),Entry!$D1135&gt;=0,Entry!$D1135&lt;1),RIGHT("00"&amp;HOUR(Entry!$D1135),2)&amp;":"&amp;RIGHT("00"&amp;MINUTE(Entry!$D1135),2),IFERROR(RIGHT("00"&amp;VALUE(TRIM(LEFT(Entry!$D1135,FIND(":",Entry!$D1135)-1))),2)&amp;":"&amp;RIGHT("00"&amp;VALUE(TRIM(MID(Entry!$D1135,FIND(":",Entry!$D1135)+1,2))),2),"نامعتبر")),IF(OR($E1135="",$E1135="نامعتبر"),"","00:00"))</f>
        <v/>
      </c>
      <c r="G1135">
        <f>IF(OR($E1135="",$E1135="نامعتبر"),"",IF(Entry!$E1135="","",LEFT(UPPER(TRIM(Entry!$E1135)),6)))</f>
        <v/>
      </c>
      <c r="H1135">
        <f>IF($G1135="","",RIGHT($E1135,4)&amp;MID($E1135,6,2)&amp;RIGHT($E1135,2)&amp;IF($F1135="","0000",IF($F1135="نامعتبر","9999",LEFT($F1135,2)&amp;RIGHT($F1135,2)))&amp;"|"&amp;RIGHT("00000"&amp;1127,5))</f>
        <v/>
      </c>
      <c r="I1135">
        <f>IF($H1135="","",COUNTIFS(CalcBank,$G1135,CalcKey,"&lt;"&amp;$H1135)+1)</f>
        <v/>
      </c>
      <c r="J1135">
        <f>IF($I1135="","",$G1135&amp;"|"&amp;RIGHT("000000"&amp;$I1135,6))</f>
        <v/>
      </c>
      <c r="K1135">
        <f>IF(OR($E1135="",$E1135="نامعتبر"),"",LEFT($E1135,4)&amp;"/"&amp;MID($E1135,6,2))</f>
        <v/>
      </c>
      <c r="L1135">
        <f>IF(Entry!$K1135="",0,Entry!$K1135)</f>
        <v/>
      </c>
      <c r="M1135">
        <f>IF(Entry!$L1135="",0,Entry!$L1135)</f>
        <v/>
      </c>
    </row>
    <row r="1136">
      <c r="A1136">
        <f>IF(Entry!$C1136="","",Entry!$C1136)</f>
        <v/>
      </c>
      <c r="B1136">
        <f>IF($A1136="","",IF(ISNUMBER($A1136),IF(AND($A1136&gt;=10000101,$A1136&lt;=99991231),INT($A1136/10000),""),IFERROR(VALUE(TRIM(LEFT($A1136,FIND("/",$A1136)-1))),"")))</f>
        <v/>
      </c>
      <c r="C1136">
        <f>IF(OR($A1136="",$B1136=""),"",IF(ISNUMBER($A1136),INT(MOD($A1136,10000)/100),IFERROR(VALUE(TRIM(LEFT(MID($A1136,FIND("/",$A1136)+1,20),FIND("/",MID($A1136,FIND("/",$A1136)+1,20))-1))),"")))</f>
        <v/>
      </c>
      <c r="D1136">
        <f>IF(OR($A1136="",$B1136=""),"",IF(ISNUMBER($A1136),MOD($A1136,100),IFERROR(VALUE(TRIM(MID(MID($A1136,FIND("/",$A1136)+1,20),FIND("/",MID($A1136,FIND("/",$A1136)+1,20))+1,20))),"")))</f>
        <v/>
      </c>
      <c r="E1136">
        <f>IF($A1136="","",IF(OR($B1136="",$C1136="",$D1136="",$B1136&lt;1300,$B1136&gt;1500,$C1136&lt;1,$C1136&gt;12,$D1136&lt;1,$D1136&gt;31),"نامعتبر",RIGHT("0000"&amp;$B1136,4)&amp;"/"&amp;RIGHT("00"&amp;$C1136,2)&amp;"/"&amp;RIGHT("00"&amp;$D1136,2)))</f>
        <v/>
      </c>
      <c r="F1136">
        <f>IF(Entry!$D1136&lt;&gt;"",IF(AND(ISNUMBER(Entry!$D1136),Entry!$D1136&gt;=0,Entry!$D1136&lt;1),RIGHT("00"&amp;HOUR(Entry!$D1136),2)&amp;":"&amp;RIGHT("00"&amp;MINUTE(Entry!$D1136),2),IFERROR(RIGHT("00"&amp;VALUE(TRIM(LEFT(Entry!$D1136,FIND(":",Entry!$D1136)-1))),2)&amp;":"&amp;RIGHT("00"&amp;VALUE(TRIM(MID(Entry!$D1136,FIND(":",Entry!$D1136)+1,2))),2),"نامعتبر")),IF(OR($E1136="",$E1136="نامعتبر"),"","00:00"))</f>
        <v/>
      </c>
      <c r="G1136">
        <f>IF(OR($E1136="",$E1136="نامعتبر"),"",IF(Entry!$E1136="","",LEFT(UPPER(TRIM(Entry!$E1136)),6)))</f>
        <v/>
      </c>
      <c r="H1136">
        <f>IF($G1136="","",RIGHT($E1136,4)&amp;MID($E1136,6,2)&amp;RIGHT($E1136,2)&amp;IF($F1136="","0000",IF($F1136="نامعتبر","9999",LEFT($F1136,2)&amp;RIGHT($F1136,2)))&amp;"|"&amp;RIGHT("00000"&amp;1128,5))</f>
        <v/>
      </c>
      <c r="I1136">
        <f>IF($H1136="","",COUNTIFS(CalcBank,$G1136,CalcKey,"&lt;"&amp;$H1136)+1)</f>
        <v/>
      </c>
      <c r="J1136">
        <f>IF($I1136="","",$G1136&amp;"|"&amp;RIGHT("000000"&amp;$I1136,6))</f>
        <v/>
      </c>
      <c r="K1136">
        <f>IF(OR($E1136="",$E1136="نامعتبر"),"",LEFT($E1136,4)&amp;"/"&amp;MID($E1136,6,2))</f>
        <v/>
      </c>
      <c r="L1136">
        <f>IF(Entry!$K1136="",0,Entry!$K1136)</f>
        <v/>
      </c>
      <c r="M1136">
        <f>IF(Entry!$L1136="",0,Entry!$L1136)</f>
        <v/>
      </c>
    </row>
    <row r="1137">
      <c r="A1137">
        <f>IF(Entry!$C1137="","",Entry!$C1137)</f>
        <v/>
      </c>
      <c r="B1137">
        <f>IF($A1137="","",IF(ISNUMBER($A1137),IF(AND($A1137&gt;=10000101,$A1137&lt;=99991231),INT($A1137/10000),""),IFERROR(VALUE(TRIM(LEFT($A1137,FIND("/",$A1137)-1))),"")))</f>
        <v/>
      </c>
      <c r="C1137">
        <f>IF(OR($A1137="",$B1137=""),"",IF(ISNUMBER($A1137),INT(MOD($A1137,10000)/100),IFERROR(VALUE(TRIM(LEFT(MID($A1137,FIND("/",$A1137)+1,20),FIND("/",MID($A1137,FIND("/",$A1137)+1,20))-1))),"")))</f>
        <v/>
      </c>
      <c r="D1137">
        <f>IF(OR($A1137="",$B1137=""),"",IF(ISNUMBER($A1137),MOD($A1137,100),IFERROR(VALUE(TRIM(MID(MID($A1137,FIND("/",$A1137)+1,20),FIND("/",MID($A1137,FIND("/",$A1137)+1,20))+1,20))),"")))</f>
        <v/>
      </c>
      <c r="E1137">
        <f>IF($A1137="","",IF(OR($B1137="",$C1137="",$D1137="",$B1137&lt;1300,$B1137&gt;1500,$C1137&lt;1,$C1137&gt;12,$D1137&lt;1,$D1137&gt;31),"نامعتبر",RIGHT("0000"&amp;$B1137,4)&amp;"/"&amp;RIGHT("00"&amp;$C1137,2)&amp;"/"&amp;RIGHT("00"&amp;$D1137,2)))</f>
        <v/>
      </c>
      <c r="F1137">
        <f>IF(Entry!$D1137&lt;&gt;"",IF(AND(ISNUMBER(Entry!$D1137),Entry!$D1137&gt;=0,Entry!$D1137&lt;1),RIGHT("00"&amp;HOUR(Entry!$D1137),2)&amp;":"&amp;RIGHT("00"&amp;MINUTE(Entry!$D1137),2),IFERROR(RIGHT("00"&amp;VALUE(TRIM(LEFT(Entry!$D1137,FIND(":",Entry!$D1137)-1))),2)&amp;":"&amp;RIGHT("00"&amp;VALUE(TRIM(MID(Entry!$D1137,FIND(":",Entry!$D1137)+1,2))),2),"نامعتبر")),IF(OR($E1137="",$E1137="نامعتبر"),"","00:00"))</f>
        <v/>
      </c>
      <c r="G1137">
        <f>IF(OR($E1137="",$E1137="نامعتبر"),"",IF(Entry!$E1137="","",LEFT(UPPER(TRIM(Entry!$E1137)),6)))</f>
        <v/>
      </c>
      <c r="H1137">
        <f>IF($G1137="","",RIGHT($E1137,4)&amp;MID($E1137,6,2)&amp;RIGHT($E1137,2)&amp;IF($F1137="","0000",IF($F1137="نامعتبر","9999",LEFT($F1137,2)&amp;RIGHT($F1137,2)))&amp;"|"&amp;RIGHT("00000"&amp;1129,5))</f>
        <v/>
      </c>
      <c r="I1137">
        <f>IF($H1137="","",COUNTIFS(CalcBank,$G1137,CalcKey,"&lt;"&amp;$H1137)+1)</f>
        <v/>
      </c>
      <c r="J1137">
        <f>IF($I1137="","",$G1137&amp;"|"&amp;RIGHT("000000"&amp;$I1137,6))</f>
        <v/>
      </c>
      <c r="K1137">
        <f>IF(OR($E1137="",$E1137="نامعتبر"),"",LEFT($E1137,4)&amp;"/"&amp;MID($E1137,6,2))</f>
        <v/>
      </c>
      <c r="L1137">
        <f>IF(Entry!$K1137="",0,Entry!$K1137)</f>
        <v/>
      </c>
      <c r="M1137">
        <f>IF(Entry!$L1137="",0,Entry!$L1137)</f>
        <v/>
      </c>
    </row>
    <row r="1138">
      <c r="A1138">
        <f>IF(Entry!$C1138="","",Entry!$C1138)</f>
        <v/>
      </c>
      <c r="B1138">
        <f>IF($A1138="","",IF(ISNUMBER($A1138),IF(AND($A1138&gt;=10000101,$A1138&lt;=99991231),INT($A1138/10000),""),IFERROR(VALUE(TRIM(LEFT($A1138,FIND("/",$A1138)-1))),"")))</f>
        <v/>
      </c>
      <c r="C1138">
        <f>IF(OR($A1138="",$B1138=""),"",IF(ISNUMBER($A1138),INT(MOD($A1138,10000)/100),IFERROR(VALUE(TRIM(LEFT(MID($A1138,FIND("/",$A1138)+1,20),FIND("/",MID($A1138,FIND("/",$A1138)+1,20))-1))),"")))</f>
        <v/>
      </c>
      <c r="D1138">
        <f>IF(OR($A1138="",$B1138=""),"",IF(ISNUMBER($A1138),MOD($A1138,100),IFERROR(VALUE(TRIM(MID(MID($A1138,FIND("/",$A1138)+1,20),FIND("/",MID($A1138,FIND("/",$A1138)+1,20))+1,20))),"")))</f>
        <v/>
      </c>
      <c r="E1138">
        <f>IF($A1138="","",IF(OR($B1138="",$C1138="",$D1138="",$B1138&lt;1300,$B1138&gt;1500,$C1138&lt;1,$C1138&gt;12,$D1138&lt;1,$D1138&gt;31),"نامعتبر",RIGHT("0000"&amp;$B1138,4)&amp;"/"&amp;RIGHT("00"&amp;$C1138,2)&amp;"/"&amp;RIGHT("00"&amp;$D1138,2)))</f>
        <v/>
      </c>
      <c r="F1138">
        <f>IF(Entry!$D1138&lt;&gt;"",IF(AND(ISNUMBER(Entry!$D1138),Entry!$D1138&gt;=0,Entry!$D1138&lt;1),RIGHT("00"&amp;HOUR(Entry!$D1138),2)&amp;":"&amp;RIGHT("00"&amp;MINUTE(Entry!$D1138),2),IFERROR(RIGHT("00"&amp;VALUE(TRIM(LEFT(Entry!$D1138,FIND(":",Entry!$D1138)-1))),2)&amp;":"&amp;RIGHT("00"&amp;VALUE(TRIM(MID(Entry!$D1138,FIND(":",Entry!$D1138)+1,2))),2),"نامعتبر")),IF(OR($E1138="",$E1138="نامعتبر"),"","00:00"))</f>
        <v/>
      </c>
      <c r="G1138">
        <f>IF(OR($E1138="",$E1138="نامعتبر"),"",IF(Entry!$E1138="","",LEFT(UPPER(TRIM(Entry!$E1138)),6)))</f>
        <v/>
      </c>
      <c r="H1138">
        <f>IF($G1138="","",RIGHT($E1138,4)&amp;MID($E1138,6,2)&amp;RIGHT($E1138,2)&amp;IF($F1138="","0000",IF($F1138="نامعتبر","9999",LEFT($F1138,2)&amp;RIGHT($F1138,2)))&amp;"|"&amp;RIGHT("00000"&amp;1130,5))</f>
        <v/>
      </c>
      <c r="I1138">
        <f>IF($H1138="","",COUNTIFS(CalcBank,$G1138,CalcKey,"&lt;"&amp;$H1138)+1)</f>
        <v/>
      </c>
      <c r="J1138">
        <f>IF($I1138="","",$G1138&amp;"|"&amp;RIGHT("000000"&amp;$I1138,6))</f>
        <v/>
      </c>
      <c r="K1138">
        <f>IF(OR($E1138="",$E1138="نامعتبر"),"",LEFT($E1138,4)&amp;"/"&amp;MID($E1138,6,2))</f>
        <v/>
      </c>
      <c r="L1138">
        <f>IF(Entry!$K1138="",0,Entry!$K1138)</f>
        <v/>
      </c>
      <c r="M1138">
        <f>IF(Entry!$L1138="",0,Entry!$L1138)</f>
        <v/>
      </c>
    </row>
    <row r="1139">
      <c r="A1139">
        <f>IF(Entry!$C1139="","",Entry!$C1139)</f>
        <v/>
      </c>
      <c r="B1139">
        <f>IF($A1139="","",IF(ISNUMBER($A1139),IF(AND($A1139&gt;=10000101,$A1139&lt;=99991231),INT($A1139/10000),""),IFERROR(VALUE(TRIM(LEFT($A1139,FIND("/",$A1139)-1))),"")))</f>
        <v/>
      </c>
      <c r="C1139">
        <f>IF(OR($A1139="",$B1139=""),"",IF(ISNUMBER($A1139),INT(MOD($A1139,10000)/100),IFERROR(VALUE(TRIM(LEFT(MID($A1139,FIND("/",$A1139)+1,20),FIND("/",MID($A1139,FIND("/",$A1139)+1,20))-1))),"")))</f>
        <v/>
      </c>
      <c r="D1139">
        <f>IF(OR($A1139="",$B1139=""),"",IF(ISNUMBER($A1139),MOD($A1139,100),IFERROR(VALUE(TRIM(MID(MID($A1139,FIND("/",$A1139)+1,20),FIND("/",MID($A1139,FIND("/",$A1139)+1,20))+1,20))),"")))</f>
        <v/>
      </c>
      <c r="E1139">
        <f>IF($A1139="","",IF(OR($B1139="",$C1139="",$D1139="",$B1139&lt;1300,$B1139&gt;1500,$C1139&lt;1,$C1139&gt;12,$D1139&lt;1,$D1139&gt;31),"نامعتبر",RIGHT("0000"&amp;$B1139,4)&amp;"/"&amp;RIGHT("00"&amp;$C1139,2)&amp;"/"&amp;RIGHT("00"&amp;$D1139,2)))</f>
        <v/>
      </c>
      <c r="F1139">
        <f>IF(Entry!$D1139&lt;&gt;"",IF(AND(ISNUMBER(Entry!$D1139),Entry!$D1139&gt;=0,Entry!$D1139&lt;1),RIGHT("00"&amp;HOUR(Entry!$D1139),2)&amp;":"&amp;RIGHT("00"&amp;MINUTE(Entry!$D1139),2),IFERROR(RIGHT("00"&amp;VALUE(TRIM(LEFT(Entry!$D1139,FIND(":",Entry!$D1139)-1))),2)&amp;":"&amp;RIGHT("00"&amp;VALUE(TRIM(MID(Entry!$D1139,FIND(":",Entry!$D1139)+1,2))),2),"نامعتبر")),IF(OR($E1139="",$E1139="نامعتبر"),"","00:00"))</f>
        <v/>
      </c>
      <c r="G1139">
        <f>IF(OR($E1139="",$E1139="نامعتبر"),"",IF(Entry!$E1139="","",LEFT(UPPER(TRIM(Entry!$E1139)),6)))</f>
        <v/>
      </c>
      <c r="H1139">
        <f>IF($G1139="","",RIGHT($E1139,4)&amp;MID($E1139,6,2)&amp;RIGHT($E1139,2)&amp;IF($F1139="","0000",IF($F1139="نامعتبر","9999",LEFT($F1139,2)&amp;RIGHT($F1139,2)))&amp;"|"&amp;RIGHT("00000"&amp;1131,5))</f>
        <v/>
      </c>
      <c r="I1139">
        <f>IF($H1139="","",COUNTIFS(CalcBank,$G1139,CalcKey,"&lt;"&amp;$H1139)+1)</f>
        <v/>
      </c>
      <c r="J1139">
        <f>IF($I1139="","",$G1139&amp;"|"&amp;RIGHT("000000"&amp;$I1139,6))</f>
        <v/>
      </c>
      <c r="K1139">
        <f>IF(OR($E1139="",$E1139="نامعتبر"),"",LEFT($E1139,4)&amp;"/"&amp;MID($E1139,6,2))</f>
        <v/>
      </c>
      <c r="L1139">
        <f>IF(Entry!$K1139="",0,Entry!$K1139)</f>
        <v/>
      </c>
      <c r="M1139">
        <f>IF(Entry!$L1139="",0,Entry!$L1139)</f>
        <v/>
      </c>
    </row>
    <row r="1140">
      <c r="A1140">
        <f>IF(Entry!$C1140="","",Entry!$C1140)</f>
        <v/>
      </c>
      <c r="B1140">
        <f>IF($A1140="","",IF(ISNUMBER($A1140),IF(AND($A1140&gt;=10000101,$A1140&lt;=99991231),INT($A1140/10000),""),IFERROR(VALUE(TRIM(LEFT($A1140,FIND("/",$A1140)-1))),"")))</f>
        <v/>
      </c>
      <c r="C1140">
        <f>IF(OR($A1140="",$B1140=""),"",IF(ISNUMBER($A1140),INT(MOD($A1140,10000)/100),IFERROR(VALUE(TRIM(LEFT(MID($A1140,FIND("/",$A1140)+1,20),FIND("/",MID($A1140,FIND("/",$A1140)+1,20))-1))),"")))</f>
        <v/>
      </c>
      <c r="D1140">
        <f>IF(OR($A1140="",$B1140=""),"",IF(ISNUMBER($A1140),MOD($A1140,100),IFERROR(VALUE(TRIM(MID(MID($A1140,FIND("/",$A1140)+1,20),FIND("/",MID($A1140,FIND("/",$A1140)+1,20))+1,20))),"")))</f>
        <v/>
      </c>
      <c r="E1140">
        <f>IF($A1140="","",IF(OR($B1140="",$C1140="",$D1140="",$B1140&lt;1300,$B1140&gt;1500,$C1140&lt;1,$C1140&gt;12,$D1140&lt;1,$D1140&gt;31),"نامعتبر",RIGHT("0000"&amp;$B1140,4)&amp;"/"&amp;RIGHT("00"&amp;$C1140,2)&amp;"/"&amp;RIGHT("00"&amp;$D1140,2)))</f>
        <v/>
      </c>
      <c r="F1140">
        <f>IF(Entry!$D1140&lt;&gt;"",IF(AND(ISNUMBER(Entry!$D1140),Entry!$D1140&gt;=0,Entry!$D1140&lt;1),RIGHT("00"&amp;HOUR(Entry!$D1140),2)&amp;":"&amp;RIGHT("00"&amp;MINUTE(Entry!$D1140),2),IFERROR(RIGHT("00"&amp;VALUE(TRIM(LEFT(Entry!$D1140,FIND(":",Entry!$D1140)-1))),2)&amp;":"&amp;RIGHT("00"&amp;VALUE(TRIM(MID(Entry!$D1140,FIND(":",Entry!$D1140)+1,2))),2),"نامعتبر")),IF(OR($E1140="",$E1140="نامعتبر"),"","00:00"))</f>
        <v/>
      </c>
      <c r="G1140">
        <f>IF(OR($E1140="",$E1140="نامعتبر"),"",IF(Entry!$E1140="","",LEFT(UPPER(TRIM(Entry!$E1140)),6)))</f>
        <v/>
      </c>
      <c r="H1140">
        <f>IF($G1140="","",RIGHT($E1140,4)&amp;MID($E1140,6,2)&amp;RIGHT($E1140,2)&amp;IF($F1140="","0000",IF($F1140="نامعتبر","9999",LEFT($F1140,2)&amp;RIGHT($F1140,2)))&amp;"|"&amp;RIGHT("00000"&amp;1132,5))</f>
        <v/>
      </c>
      <c r="I1140">
        <f>IF($H1140="","",COUNTIFS(CalcBank,$G1140,CalcKey,"&lt;"&amp;$H1140)+1)</f>
        <v/>
      </c>
      <c r="J1140">
        <f>IF($I1140="","",$G1140&amp;"|"&amp;RIGHT("000000"&amp;$I1140,6))</f>
        <v/>
      </c>
      <c r="K1140">
        <f>IF(OR($E1140="",$E1140="نامعتبر"),"",LEFT($E1140,4)&amp;"/"&amp;MID($E1140,6,2))</f>
        <v/>
      </c>
      <c r="L1140">
        <f>IF(Entry!$K1140="",0,Entry!$K1140)</f>
        <v/>
      </c>
      <c r="M1140">
        <f>IF(Entry!$L1140="",0,Entry!$L1140)</f>
        <v/>
      </c>
    </row>
    <row r="1141">
      <c r="A1141">
        <f>IF(Entry!$C1141="","",Entry!$C1141)</f>
        <v/>
      </c>
      <c r="B1141">
        <f>IF($A1141="","",IF(ISNUMBER($A1141),IF(AND($A1141&gt;=10000101,$A1141&lt;=99991231),INT($A1141/10000),""),IFERROR(VALUE(TRIM(LEFT($A1141,FIND("/",$A1141)-1))),"")))</f>
        <v/>
      </c>
      <c r="C1141">
        <f>IF(OR($A1141="",$B1141=""),"",IF(ISNUMBER($A1141),INT(MOD($A1141,10000)/100),IFERROR(VALUE(TRIM(LEFT(MID($A1141,FIND("/",$A1141)+1,20),FIND("/",MID($A1141,FIND("/",$A1141)+1,20))-1))),"")))</f>
        <v/>
      </c>
      <c r="D1141">
        <f>IF(OR($A1141="",$B1141=""),"",IF(ISNUMBER($A1141),MOD($A1141,100),IFERROR(VALUE(TRIM(MID(MID($A1141,FIND("/",$A1141)+1,20),FIND("/",MID($A1141,FIND("/",$A1141)+1,20))+1,20))),"")))</f>
        <v/>
      </c>
      <c r="E1141">
        <f>IF($A1141="","",IF(OR($B1141="",$C1141="",$D1141="",$B1141&lt;1300,$B1141&gt;1500,$C1141&lt;1,$C1141&gt;12,$D1141&lt;1,$D1141&gt;31),"نامعتبر",RIGHT("0000"&amp;$B1141,4)&amp;"/"&amp;RIGHT("00"&amp;$C1141,2)&amp;"/"&amp;RIGHT("00"&amp;$D1141,2)))</f>
        <v/>
      </c>
      <c r="F1141">
        <f>IF(Entry!$D1141&lt;&gt;"",IF(AND(ISNUMBER(Entry!$D1141),Entry!$D1141&gt;=0,Entry!$D1141&lt;1),RIGHT("00"&amp;HOUR(Entry!$D1141),2)&amp;":"&amp;RIGHT("00"&amp;MINUTE(Entry!$D1141),2),IFERROR(RIGHT("00"&amp;VALUE(TRIM(LEFT(Entry!$D1141,FIND(":",Entry!$D1141)-1))),2)&amp;":"&amp;RIGHT("00"&amp;VALUE(TRIM(MID(Entry!$D1141,FIND(":",Entry!$D1141)+1,2))),2),"نامعتبر")),IF(OR($E1141="",$E1141="نامعتبر"),"","00:00"))</f>
        <v/>
      </c>
      <c r="G1141">
        <f>IF(OR($E1141="",$E1141="نامعتبر"),"",IF(Entry!$E1141="","",LEFT(UPPER(TRIM(Entry!$E1141)),6)))</f>
        <v/>
      </c>
      <c r="H1141">
        <f>IF($G1141="","",RIGHT($E1141,4)&amp;MID($E1141,6,2)&amp;RIGHT($E1141,2)&amp;IF($F1141="","0000",IF($F1141="نامعتبر","9999",LEFT($F1141,2)&amp;RIGHT($F1141,2)))&amp;"|"&amp;RIGHT("00000"&amp;1133,5))</f>
        <v/>
      </c>
      <c r="I1141">
        <f>IF($H1141="","",COUNTIFS(CalcBank,$G1141,CalcKey,"&lt;"&amp;$H1141)+1)</f>
        <v/>
      </c>
      <c r="J1141">
        <f>IF($I1141="","",$G1141&amp;"|"&amp;RIGHT("000000"&amp;$I1141,6))</f>
        <v/>
      </c>
      <c r="K1141">
        <f>IF(OR($E1141="",$E1141="نامعتبر"),"",LEFT($E1141,4)&amp;"/"&amp;MID($E1141,6,2))</f>
        <v/>
      </c>
      <c r="L1141">
        <f>IF(Entry!$K1141="",0,Entry!$K1141)</f>
        <v/>
      </c>
      <c r="M1141">
        <f>IF(Entry!$L1141="",0,Entry!$L1141)</f>
        <v/>
      </c>
    </row>
    <row r="1142">
      <c r="A1142">
        <f>IF(Entry!$C1142="","",Entry!$C1142)</f>
        <v/>
      </c>
      <c r="B1142">
        <f>IF($A1142="","",IF(ISNUMBER($A1142),IF(AND($A1142&gt;=10000101,$A1142&lt;=99991231),INT($A1142/10000),""),IFERROR(VALUE(TRIM(LEFT($A1142,FIND("/",$A1142)-1))),"")))</f>
        <v/>
      </c>
      <c r="C1142">
        <f>IF(OR($A1142="",$B1142=""),"",IF(ISNUMBER($A1142),INT(MOD($A1142,10000)/100),IFERROR(VALUE(TRIM(LEFT(MID($A1142,FIND("/",$A1142)+1,20),FIND("/",MID($A1142,FIND("/",$A1142)+1,20))-1))),"")))</f>
        <v/>
      </c>
      <c r="D1142">
        <f>IF(OR($A1142="",$B1142=""),"",IF(ISNUMBER($A1142),MOD($A1142,100),IFERROR(VALUE(TRIM(MID(MID($A1142,FIND("/",$A1142)+1,20),FIND("/",MID($A1142,FIND("/",$A1142)+1,20))+1,20))),"")))</f>
        <v/>
      </c>
      <c r="E1142">
        <f>IF($A1142="","",IF(OR($B1142="",$C1142="",$D1142="",$B1142&lt;1300,$B1142&gt;1500,$C1142&lt;1,$C1142&gt;12,$D1142&lt;1,$D1142&gt;31),"نامعتبر",RIGHT("0000"&amp;$B1142,4)&amp;"/"&amp;RIGHT("00"&amp;$C1142,2)&amp;"/"&amp;RIGHT("00"&amp;$D1142,2)))</f>
        <v/>
      </c>
      <c r="F1142">
        <f>IF(Entry!$D1142&lt;&gt;"",IF(AND(ISNUMBER(Entry!$D1142),Entry!$D1142&gt;=0,Entry!$D1142&lt;1),RIGHT("00"&amp;HOUR(Entry!$D1142),2)&amp;":"&amp;RIGHT("00"&amp;MINUTE(Entry!$D1142),2),IFERROR(RIGHT("00"&amp;VALUE(TRIM(LEFT(Entry!$D1142,FIND(":",Entry!$D1142)-1))),2)&amp;":"&amp;RIGHT("00"&amp;VALUE(TRIM(MID(Entry!$D1142,FIND(":",Entry!$D1142)+1,2))),2),"نامعتبر")),IF(OR($E1142="",$E1142="نامعتبر"),"","00:00"))</f>
        <v/>
      </c>
      <c r="G1142">
        <f>IF(OR($E1142="",$E1142="نامعتبر"),"",IF(Entry!$E1142="","",LEFT(UPPER(TRIM(Entry!$E1142)),6)))</f>
        <v/>
      </c>
      <c r="H1142">
        <f>IF($G1142="","",RIGHT($E1142,4)&amp;MID($E1142,6,2)&amp;RIGHT($E1142,2)&amp;IF($F1142="","0000",IF($F1142="نامعتبر","9999",LEFT($F1142,2)&amp;RIGHT($F1142,2)))&amp;"|"&amp;RIGHT("00000"&amp;1134,5))</f>
        <v/>
      </c>
      <c r="I1142">
        <f>IF($H1142="","",COUNTIFS(CalcBank,$G1142,CalcKey,"&lt;"&amp;$H1142)+1)</f>
        <v/>
      </c>
      <c r="J1142">
        <f>IF($I1142="","",$G1142&amp;"|"&amp;RIGHT("000000"&amp;$I1142,6))</f>
        <v/>
      </c>
      <c r="K1142">
        <f>IF(OR($E1142="",$E1142="نامعتبر"),"",LEFT($E1142,4)&amp;"/"&amp;MID($E1142,6,2))</f>
        <v/>
      </c>
      <c r="L1142">
        <f>IF(Entry!$K1142="",0,Entry!$K1142)</f>
        <v/>
      </c>
      <c r="M1142">
        <f>IF(Entry!$L1142="",0,Entry!$L1142)</f>
        <v/>
      </c>
    </row>
    <row r="1143">
      <c r="A1143">
        <f>IF(Entry!$C1143="","",Entry!$C1143)</f>
        <v/>
      </c>
      <c r="B1143">
        <f>IF($A1143="","",IF(ISNUMBER($A1143),IF(AND($A1143&gt;=10000101,$A1143&lt;=99991231),INT($A1143/10000),""),IFERROR(VALUE(TRIM(LEFT($A1143,FIND("/",$A1143)-1))),"")))</f>
        <v/>
      </c>
      <c r="C1143">
        <f>IF(OR($A1143="",$B1143=""),"",IF(ISNUMBER($A1143),INT(MOD($A1143,10000)/100),IFERROR(VALUE(TRIM(LEFT(MID($A1143,FIND("/",$A1143)+1,20),FIND("/",MID($A1143,FIND("/",$A1143)+1,20))-1))),"")))</f>
        <v/>
      </c>
      <c r="D1143">
        <f>IF(OR($A1143="",$B1143=""),"",IF(ISNUMBER($A1143),MOD($A1143,100),IFERROR(VALUE(TRIM(MID(MID($A1143,FIND("/",$A1143)+1,20),FIND("/",MID($A1143,FIND("/",$A1143)+1,20))+1,20))),"")))</f>
        <v/>
      </c>
      <c r="E1143">
        <f>IF($A1143="","",IF(OR($B1143="",$C1143="",$D1143="",$B1143&lt;1300,$B1143&gt;1500,$C1143&lt;1,$C1143&gt;12,$D1143&lt;1,$D1143&gt;31),"نامعتبر",RIGHT("0000"&amp;$B1143,4)&amp;"/"&amp;RIGHT("00"&amp;$C1143,2)&amp;"/"&amp;RIGHT("00"&amp;$D1143,2)))</f>
        <v/>
      </c>
      <c r="F1143">
        <f>IF(Entry!$D1143&lt;&gt;"",IF(AND(ISNUMBER(Entry!$D1143),Entry!$D1143&gt;=0,Entry!$D1143&lt;1),RIGHT("00"&amp;HOUR(Entry!$D1143),2)&amp;":"&amp;RIGHT("00"&amp;MINUTE(Entry!$D1143),2),IFERROR(RIGHT("00"&amp;VALUE(TRIM(LEFT(Entry!$D1143,FIND(":",Entry!$D1143)-1))),2)&amp;":"&amp;RIGHT("00"&amp;VALUE(TRIM(MID(Entry!$D1143,FIND(":",Entry!$D1143)+1,2))),2),"نامعتبر")),IF(OR($E1143="",$E1143="نامعتبر"),"","00:00"))</f>
        <v/>
      </c>
      <c r="G1143">
        <f>IF(OR($E1143="",$E1143="نامعتبر"),"",IF(Entry!$E1143="","",LEFT(UPPER(TRIM(Entry!$E1143)),6)))</f>
        <v/>
      </c>
      <c r="H1143">
        <f>IF($G1143="","",RIGHT($E1143,4)&amp;MID($E1143,6,2)&amp;RIGHT($E1143,2)&amp;IF($F1143="","0000",IF($F1143="نامعتبر","9999",LEFT($F1143,2)&amp;RIGHT($F1143,2)))&amp;"|"&amp;RIGHT("00000"&amp;1135,5))</f>
        <v/>
      </c>
      <c r="I1143">
        <f>IF($H1143="","",COUNTIFS(CalcBank,$G1143,CalcKey,"&lt;"&amp;$H1143)+1)</f>
        <v/>
      </c>
      <c r="J1143">
        <f>IF($I1143="","",$G1143&amp;"|"&amp;RIGHT("000000"&amp;$I1143,6))</f>
        <v/>
      </c>
      <c r="K1143">
        <f>IF(OR($E1143="",$E1143="نامعتبر"),"",LEFT($E1143,4)&amp;"/"&amp;MID($E1143,6,2))</f>
        <v/>
      </c>
      <c r="L1143">
        <f>IF(Entry!$K1143="",0,Entry!$K1143)</f>
        <v/>
      </c>
      <c r="M1143">
        <f>IF(Entry!$L1143="",0,Entry!$L1143)</f>
        <v/>
      </c>
    </row>
    <row r="1144">
      <c r="A1144">
        <f>IF(Entry!$C1144="","",Entry!$C1144)</f>
        <v/>
      </c>
      <c r="B1144">
        <f>IF($A1144="","",IF(ISNUMBER($A1144),IF(AND($A1144&gt;=10000101,$A1144&lt;=99991231),INT($A1144/10000),""),IFERROR(VALUE(TRIM(LEFT($A1144,FIND("/",$A1144)-1))),"")))</f>
        <v/>
      </c>
      <c r="C1144">
        <f>IF(OR($A1144="",$B1144=""),"",IF(ISNUMBER($A1144),INT(MOD($A1144,10000)/100),IFERROR(VALUE(TRIM(LEFT(MID($A1144,FIND("/",$A1144)+1,20),FIND("/",MID($A1144,FIND("/",$A1144)+1,20))-1))),"")))</f>
        <v/>
      </c>
      <c r="D1144">
        <f>IF(OR($A1144="",$B1144=""),"",IF(ISNUMBER($A1144),MOD($A1144,100),IFERROR(VALUE(TRIM(MID(MID($A1144,FIND("/",$A1144)+1,20),FIND("/",MID($A1144,FIND("/",$A1144)+1,20))+1,20))),"")))</f>
        <v/>
      </c>
      <c r="E1144">
        <f>IF($A1144="","",IF(OR($B1144="",$C1144="",$D1144="",$B1144&lt;1300,$B1144&gt;1500,$C1144&lt;1,$C1144&gt;12,$D1144&lt;1,$D1144&gt;31),"نامعتبر",RIGHT("0000"&amp;$B1144,4)&amp;"/"&amp;RIGHT("00"&amp;$C1144,2)&amp;"/"&amp;RIGHT("00"&amp;$D1144,2)))</f>
        <v/>
      </c>
      <c r="F1144">
        <f>IF(Entry!$D1144&lt;&gt;"",IF(AND(ISNUMBER(Entry!$D1144),Entry!$D1144&gt;=0,Entry!$D1144&lt;1),RIGHT("00"&amp;HOUR(Entry!$D1144),2)&amp;":"&amp;RIGHT("00"&amp;MINUTE(Entry!$D1144),2),IFERROR(RIGHT("00"&amp;VALUE(TRIM(LEFT(Entry!$D1144,FIND(":",Entry!$D1144)-1))),2)&amp;":"&amp;RIGHT("00"&amp;VALUE(TRIM(MID(Entry!$D1144,FIND(":",Entry!$D1144)+1,2))),2),"نامعتبر")),IF(OR($E1144="",$E1144="نامعتبر"),"","00:00"))</f>
        <v/>
      </c>
      <c r="G1144">
        <f>IF(OR($E1144="",$E1144="نامعتبر"),"",IF(Entry!$E1144="","",LEFT(UPPER(TRIM(Entry!$E1144)),6)))</f>
        <v/>
      </c>
      <c r="H1144">
        <f>IF($G1144="","",RIGHT($E1144,4)&amp;MID($E1144,6,2)&amp;RIGHT($E1144,2)&amp;IF($F1144="","0000",IF($F1144="نامعتبر","9999",LEFT($F1144,2)&amp;RIGHT($F1144,2)))&amp;"|"&amp;RIGHT("00000"&amp;1136,5))</f>
        <v/>
      </c>
      <c r="I1144">
        <f>IF($H1144="","",COUNTIFS(CalcBank,$G1144,CalcKey,"&lt;"&amp;$H1144)+1)</f>
        <v/>
      </c>
      <c r="J1144">
        <f>IF($I1144="","",$G1144&amp;"|"&amp;RIGHT("000000"&amp;$I1144,6))</f>
        <v/>
      </c>
      <c r="K1144">
        <f>IF(OR($E1144="",$E1144="نامعتبر"),"",LEFT($E1144,4)&amp;"/"&amp;MID($E1144,6,2))</f>
        <v/>
      </c>
      <c r="L1144">
        <f>IF(Entry!$K1144="",0,Entry!$K1144)</f>
        <v/>
      </c>
      <c r="M1144">
        <f>IF(Entry!$L1144="",0,Entry!$L1144)</f>
        <v/>
      </c>
    </row>
    <row r="1145">
      <c r="A1145">
        <f>IF(Entry!$C1145="","",Entry!$C1145)</f>
        <v/>
      </c>
      <c r="B1145">
        <f>IF($A1145="","",IF(ISNUMBER($A1145),IF(AND($A1145&gt;=10000101,$A1145&lt;=99991231),INT($A1145/10000),""),IFERROR(VALUE(TRIM(LEFT($A1145,FIND("/",$A1145)-1))),"")))</f>
        <v/>
      </c>
      <c r="C1145">
        <f>IF(OR($A1145="",$B1145=""),"",IF(ISNUMBER($A1145),INT(MOD($A1145,10000)/100),IFERROR(VALUE(TRIM(LEFT(MID($A1145,FIND("/",$A1145)+1,20),FIND("/",MID($A1145,FIND("/",$A1145)+1,20))-1))),"")))</f>
        <v/>
      </c>
      <c r="D1145">
        <f>IF(OR($A1145="",$B1145=""),"",IF(ISNUMBER($A1145),MOD($A1145,100),IFERROR(VALUE(TRIM(MID(MID($A1145,FIND("/",$A1145)+1,20),FIND("/",MID($A1145,FIND("/",$A1145)+1,20))+1,20))),"")))</f>
        <v/>
      </c>
      <c r="E1145">
        <f>IF($A1145="","",IF(OR($B1145="",$C1145="",$D1145="",$B1145&lt;1300,$B1145&gt;1500,$C1145&lt;1,$C1145&gt;12,$D1145&lt;1,$D1145&gt;31),"نامعتبر",RIGHT("0000"&amp;$B1145,4)&amp;"/"&amp;RIGHT("00"&amp;$C1145,2)&amp;"/"&amp;RIGHT("00"&amp;$D1145,2)))</f>
        <v/>
      </c>
      <c r="F1145">
        <f>IF(Entry!$D1145&lt;&gt;"",IF(AND(ISNUMBER(Entry!$D1145),Entry!$D1145&gt;=0,Entry!$D1145&lt;1),RIGHT("00"&amp;HOUR(Entry!$D1145),2)&amp;":"&amp;RIGHT("00"&amp;MINUTE(Entry!$D1145),2),IFERROR(RIGHT("00"&amp;VALUE(TRIM(LEFT(Entry!$D1145,FIND(":",Entry!$D1145)-1))),2)&amp;":"&amp;RIGHT("00"&amp;VALUE(TRIM(MID(Entry!$D1145,FIND(":",Entry!$D1145)+1,2))),2),"نامعتبر")),IF(OR($E1145="",$E1145="نامعتبر"),"","00:00"))</f>
        <v/>
      </c>
      <c r="G1145">
        <f>IF(OR($E1145="",$E1145="نامعتبر"),"",IF(Entry!$E1145="","",LEFT(UPPER(TRIM(Entry!$E1145)),6)))</f>
        <v/>
      </c>
      <c r="H1145">
        <f>IF($G1145="","",RIGHT($E1145,4)&amp;MID($E1145,6,2)&amp;RIGHT($E1145,2)&amp;IF($F1145="","0000",IF($F1145="نامعتبر","9999",LEFT($F1145,2)&amp;RIGHT($F1145,2)))&amp;"|"&amp;RIGHT("00000"&amp;1137,5))</f>
        <v/>
      </c>
      <c r="I1145">
        <f>IF($H1145="","",COUNTIFS(CalcBank,$G1145,CalcKey,"&lt;"&amp;$H1145)+1)</f>
        <v/>
      </c>
      <c r="J1145">
        <f>IF($I1145="","",$G1145&amp;"|"&amp;RIGHT("000000"&amp;$I1145,6))</f>
        <v/>
      </c>
      <c r="K1145">
        <f>IF(OR($E1145="",$E1145="نامعتبر"),"",LEFT($E1145,4)&amp;"/"&amp;MID($E1145,6,2))</f>
        <v/>
      </c>
      <c r="L1145">
        <f>IF(Entry!$K1145="",0,Entry!$K1145)</f>
        <v/>
      </c>
      <c r="M1145">
        <f>IF(Entry!$L1145="",0,Entry!$L1145)</f>
        <v/>
      </c>
    </row>
    <row r="1146">
      <c r="A1146">
        <f>IF(Entry!$C1146="","",Entry!$C1146)</f>
        <v/>
      </c>
      <c r="B1146">
        <f>IF($A1146="","",IF(ISNUMBER($A1146),IF(AND($A1146&gt;=10000101,$A1146&lt;=99991231),INT($A1146/10000),""),IFERROR(VALUE(TRIM(LEFT($A1146,FIND("/",$A1146)-1))),"")))</f>
        <v/>
      </c>
      <c r="C1146">
        <f>IF(OR($A1146="",$B1146=""),"",IF(ISNUMBER($A1146),INT(MOD($A1146,10000)/100),IFERROR(VALUE(TRIM(LEFT(MID($A1146,FIND("/",$A1146)+1,20),FIND("/",MID($A1146,FIND("/",$A1146)+1,20))-1))),"")))</f>
        <v/>
      </c>
      <c r="D1146">
        <f>IF(OR($A1146="",$B1146=""),"",IF(ISNUMBER($A1146),MOD($A1146,100),IFERROR(VALUE(TRIM(MID(MID($A1146,FIND("/",$A1146)+1,20),FIND("/",MID($A1146,FIND("/",$A1146)+1,20))+1,20))),"")))</f>
        <v/>
      </c>
      <c r="E1146">
        <f>IF($A1146="","",IF(OR($B1146="",$C1146="",$D1146="",$B1146&lt;1300,$B1146&gt;1500,$C1146&lt;1,$C1146&gt;12,$D1146&lt;1,$D1146&gt;31),"نامعتبر",RIGHT("0000"&amp;$B1146,4)&amp;"/"&amp;RIGHT("00"&amp;$C1146,2)&amp;"/"&amp;RIGHT("00"&amp;$D1146,2)))</f>
        <v/>
      </c>
      <c r="F1146">
        <f>IF(Entry!$D1146&lt;&gt;"",IF(AND(ISNUMBER(Entry!$D1146),Entry!$D1146&gt;=0,Entry!$D1146&lt;1),RIGHT("00"&amp;HOUR(Entry!$D1146),2)&amp;":"&amp;RIGHT("00"&amp;MINUTE(Entry!$D1146),2),IFERROR(RIGHT("00"&amp;VALUE(TRIM(LEFT(Entry!$D1146,FIND(":",Entry!$D1146)-1))),2)&amp;":"&amp;RIGHT("00"&amp;VALUE(TRIM(MID(Entry!$D1146,FIND(":",Entry!$D1146)+1,2))),2),"نامعتبر")),IF(OR($E1146="",$E1146="نامعتبر"),"","00:00"))</f>
        <v/>
      </c>
      <c r="G1146">
        <f>IF(OR($E1146="",$E1146="نامعتبر"),"",IF(Entry!$E1146="","",LEFT(UPPER(TRIM(Entry!$E1146)),6)))</f>
        <v/>
      </c>
      <c r="H1146">
        <f>IF($G1146="","",RIGHT($E1146,4)&amp;MID($E1146,6,2)&amp;RIGHT($E1146,2)&amp;IF($F1146="","0000",IF($F1146="نامعتبر","9999",LEFT($F1146,2)&amp;RIGHT($F1146,2)))&amp;"|"&amp;RIGHT("00000"&amp;1138,5))</f>
        <v/>
      </c>
      <c r="I1146">
        <f>IF($H1146="","",COUNTIFS(CalcBank,$G1146,CalcKey,"&lt;"&amp;$H1146)+1)</f>
        <v/>
      </c>
      <c r="J1146">
        <f>IF($I1146="","",$G1146&amp;"|"&amp;RIGHT("000000"&amp;$I1146,6))</f>
        <v/>
      </c>
      <c r="K1146">
        <f>IF(OR($E1146="",$E1146="نامعتبر"),"",LEFT($E1146,4)&amp;"/"&amp;MID($E1146,6,2))</f>
        <v/>
      </c>
      <c r="L1146">
        <f>IF(Entry!$K1146="",0,Entry!$K1146)</f>
        <v/>
      </c>
      <c r="M1146">
        <f>IF(Entry!$L1146="",0,Entry!$L1146)</f>
        <v/>
      </c>
    </row>
    <row r="1147">
      <c r="A1147">
        <f>IF(Entry!$C1147="","",Entry!$C1147)</f>
        <v/>
      </c>
      <c r="B1147">
        <f>IF($A1147="","",IF(ISNUMBER($A1147),IF(AND($A1147&gt;=10000101,$A1147&lt;=99991231),INT($A1147/10000),""),IFERROR(VALUE(TRIM(LEFT($A1147,FIND("/",$A1147)-1))),"")))</f>
        <v/>
      </c>
      <c r="C1147">
        <f>IF(OR($A1147="",$B1147=""),"",IF(ISNUMBER($A1147),INT(MOD($A1147,10000)/100),IFERROR(VALUE(TRIM(LEFT(MID($A1147,FIND("/",$A1147)+1,20),FIND("/",MID($A1147,FIND("/",$A1147)+1,20))-1))),"")))</f>
        <v/>
      </c>
      <c r="D1147">
        <f>IF(OR($A1147="",$B1147=""),"",IF(ISNUMBER($A1147),MOD($A1147,100),IFERROR(VALUE(TRIM(MID(MID($A1147,FIND("/",$A1147)+1,20),FIND("/",MID($A1147,FIND("/",$A1147)+1,20))+1,20))),"")))</f>
        <v/>
      </c>
      <c r="E1147">
        <f>IF($A1147="","",IF(OR($B1147="",$C1147="",$D1147="",$B1147&lt;1300,$B1147&gt;1500,$C1147&lt;1,$C1147&gt;12,$D1147&lt;1,$D1147&gt;31),"نامعتبر",RIGHT("0000"&amp;$B1147,4)&amp;"/"&amp;RIGHT("00"&amp;$C1147,2)&amp;"/"&amp;RIGHT("00"&amp;$D1147,2)))</f>
        <v/>
      </c>
      <c r="F1147">
        <f>IF(Entry!$D1147&lt;&gt;"",IF(AND(ISNUMBER(Entry!$D1147),Entry!$D1147&gt;=0,Entry!$D1147&lt;1),RIGHT("00"&amp;HOUR(Entry!$D1147),2)&amp;":"&amp;RIGHT("00"&amp;MINUTE(Entry!$D1147),2),IFERROR(RIGHT("00"&amp;VALUE(TRIM(LEFT(Entry!$D1147,FIND(":",Entry!$D1147)-1))),2)&amp;":"&amp;RIGHT("00"&amp;VALUE(TRIM(MID(Entry!$D1147,FIND(":",Entry!$D1147)+1,2))),2),"نامعتبر")),IF(OR($E1147="",$E1147="نامعتبر"),"","00:00"))</f>
        <v/>
      </c>
      <c r="G1147">
        <f>IF(OR($E1147="",$E1147="نامعتبر"),"",IF(Entry!$E1147="","",LEFT(UPPER(TRIM(Entry!$E1147)),6)))</f>
        <v/>
      </c>
      <c r="H1147">
        <f>IF($G1147="","",RIGHT($E1147,4)&amp;MID($E1147,6,2)&amp;RIGHT($E1147,2)&amp;IF($F1147="","0000",IF($F1147="نامعتبر","9999",LEFT($F1147,2)&amp;RIGHT($F1147,2)))&amp;"|"&amp;RIGHT("00000"&amp;1139,5))</f>
        <v/>
      </c>
      <c r="I1147">
        <f>IF($H1147="","",COUNTIFS(CalcBank,$G1147,CalcKey,"&lt;"&amp;$H1147)+1)</f>
        <v/>
      </c>
      <c r="J1147">
        <f>IF($I1147="","",$G1147&amp;"|"&amp;RIGHT("000000"&amp;$I1147,6))</f>
        <v/>
      </c>
      <c r="K1147">
        <f>IF(OR($E1147="",$E1147="نامعتبر"),"",LEFT($E1147,4)&amp;"/"&amp;MID($E1147,6,2))</f>
        <v/>
      </c>
      <c r="L1147">
        <f>IF(Entry!$K1147="",0,Entry!$K1147)</f>
        <v/>
      </c>
      <c r="M1147">
        <f>IF(Entry!$L1147="",0,Entry!$L1147)</f>
        <v/>
      </c>
    </row>
    <row r="1148">
      <c r="A1148">
        <f>IF(Entry!$C1148="","",Entry!$C1148)</f>
        <v/>
      </c>
      <c r="B1148">
        <f>IF($A1148="","",IF(ISNUMBER($A1148),IF(AND($A1148&gt;=10000101,$A1148&lt;=99991231),INT($A1148/10000),""),IFERROR(VALUE(TRIM(LEFT($A1148,FIND("/",$A1148)-1))),"")))</f>
        <v/>
      </c>
      <c r="C1148">
        <f>IF(OR($A1148="",$B1148=""),"",IF(ISNUMBER($A1148),INT(MOD($A1148,10000)/100),IFERROR(VALUE(TRIM(LEFT(MID($A1148,FIND("/",$A1148)+1,20),FIND("/",MID($A1148,FIND("/",$A1148)+1,20))-1))),"")))</f>
        <v/>
      </c>
      <c r="D1148">
        <f>IF(OR($A1148="",$B1148=""),"",IF(ISNUMBER($A1148),MOD($A1148,100),IFERROR(VALUE(TRIM(MID(MID($A1148,FIND("/",$A1148)+1,20),FIND("/",MID($A1148,FIND("/",$A1148)+1,20))+1,20))),"")))</f>
        <v/>
      </c>
      <c r="E1148">
        <f>IF($A1148="","",IF(OR($B1148="",$C1148="",$D1148="",$B1148&lt;1300,$B1148&gt;1500,$C1148&lt;1,$C1148&gt;12,$D1148&lt;1,$D1148&gt;31),"نامعتبر",RIGHT("0000"&amp;$B1148,4)&amp;"/"&amp;RIGHT("00"&amp;$C1148,2)&amp;"/"&amp;RIGHT("00"&amp;$D1148,2)))</f>
        <v/>
      </c>
      <c r="F1148">
        <f>IF(Entry!$D1148&lt;&gt;"",IF(AND(ISNUMBER(Entry!$D1148),Entry!$D1148&gt;=0,Entry!$D1148&lt;1),RIGHT("00"&amp;HOUR(Entry!$D1148),2)&amp;":"&amp;RIGHT("00"&amp;MINUTE(Entry!$D1148),2),IFERROR(RIGHT("00"&amp;VALUE(TRIM(LEFT(Entry!$D1148,FIND(":",Entry!$D1148)-1))),2)&amp;":"&amp;RIGHT("00"&amp;VALUE(TRIM(MID(Entry!$D1148,FIND(":",Entry!$D1148)+1,2))),2),"نامعتبر")),IF(OR($E1148="",$E1148="نامعتبر"),"","00:00"))</f>
        <v/>
      </c>
      <c r="G1148">
        <f>IF(OR($E1148="",$E1148="نامعتبر"),"",IF(Entry!$E1148="","",LEFT(UPPER(TRIM(Entry!$E1148)),6)))</f>
        <v/>
      </c>
      <c r="H1148">
        <f>IF($G1148="","",RIGHT($E1148,4)&amp;MID($E1148,6,2)&amp;RIGHT($E1148,2)&amp;IF($F1148="","0000",IF($F1148="نامعتبر","9999",LEFT($F1148,2)&amp;RIGHT($F1148,2)))&amp;"|"&amp;RIGHT("00000"&amp;1140,5))</f>
        <v/>
      </c>
      <c r="I1148">
        <f>IF($H1148="","",COUNTIFS(CalcBank,$G1148,CalcKey,"&lt;"&amp;$H1148)+1)</f>
        <v/>
      </c>
      <c r="J1148">
        <f>IF($I1148="","",$G1148&amp;"|"&amp;RIGHT("000000"&amp;$I1148,6))</f>
        <v/>
      </c>
      <c r="K1148">
        <f>IF(OR($E1148="",$E1148="نامعتبر"),"",LEFT($E1148,4)&amp;"/"&amp;MID($E1148,6,2))</f>
        <v/>
      </c>
      <c r="L1148">
        <f>IF(Entry!$K1148="",0,Entry!$K1148)</f>
        <v/>
      </c>
      <c r="M1148">
        <f>IF(Entry!$L1148="",0,Entry!$L1148)</f>
        <v/>
      </c>
    </row>
    <row r="1149">
      <c r="A1149">
        <f>IF(Entry!$C1149="","",Entry!$C1149)</f>
        <v/>
      </c>
      <c r="B1149">
        <f>IF($A1149="","",IF(ISNUMBER($A1149),IF(AND($A1149&gt;=10000101,$A1149&lt;=99991231),INT($A1149/10000),""),IFERROR(VALUE(TRIM(LEFT($A1149,FIND("/",$A1149)-1))),"")))</f>
        <v/>
      </c>
      <c r="C1149">
        <f>IF(OR($A1149="",$B1149=""),"",IF(ISNUMBER($A1149),INT(MOD($A1149,10000)/100),IFERROR(VALUE(TRIM(LEFT(MID($A1149,FIND("/",$A1149)+1,20),FIND("/",MID($A1149,FIND("/",$A1149)+1,20))-1))),"")))</f>
        <v/>
      </c>
      <c r="D1149">
        <f>IF(OR($A1149="",$B1149=""),"",IF(ISNUMBER($A1149),MOD($A1149,100),IFERROR(VALUE(TRIM(MID(MID($A1149,FIND("/",$A1149)+1,20),FIND("/",MID($A1149,FIND("/",$A1149)+1,20))+1,20))),"")))</f>
        <v/>
      </c>
      <c r="E1149">
        <f>IF($A1149="","",IF(OR($B1149="",$C1149="",$D1149="",$B1149&lt;1300,$B1149&gt;1500,$C1149&lt;1,$C1149&gt;12,$D1149&lt;1,$D1149&gt;31),"نامعتبر",RIGHT("0000"&amp;$B1149,4)&amp;"/"&amp;RIGHT("00"&amp;$C1149,2)&amp;"/"&amp;RIGHT("00"&amp;$D1149,2)))</f>
        <v/>
      </c>
      <c r="F1149">
        <f>IF(Entry!$D1149&lt;&gt;"",IF(AND(ISNUMBER(Entry!$D1149),Entry!$D1149&gt;=0,Entry!$D1149&lt;1),RIGHT("00"&amp;HOUR(Entry!$D1149),2)&amp;":"&amp;RIGHT("00"&amp;MINUTE(Entry!$D1149),2),IFERROR(RIGHT("00"&amp;VALUE(TRIM(LEFT(Entry!$D1149,FIND(":",Entry!$D1149)-1))),2)&amp;":"&amp;RIGHT("00"&amp;VALUE(TRIM(MID(Entry!$D1149,FIND(":",Entry!$D1149)+1,2))),2),"نامعتبر")),IF(OR($E1149="",$E1149="نامعتبر"),"","00:00"))</f>
        <v/>
      </c>
      <c r="G1149">
        <f>IF(OR($E1149="",$E1149="نامعتبر"),"",IF(Entry!$E1149="","",LEFT(UPPER(TRIM(Entry!$E1149)),6)))</f>
        <v/>
      </c>
      <c r="H1149">
        <f>IF($G1149="","",RIGHT($E1149,4)&amp;MID($E1149,6,2)&amp;RIGHT($E1149,2)&amp;IF($F1149="","0000",IF($F1149="نامعتبر","9999",LEFT($F1149,2)&amp;RIGHT($F1149,2)))&amp;"|"&amp;RIGHT("00000"&amp;1141,5))</f>
        <v/>
      </c>
      <c r="I1149">
        <f>IF($H1149="","",COUNTIFS(CalcBank,$G1149,CalcKey,"&lt;"&amp;$H1149)+1)</f>
        <v/>
      </c>
      <c r="J1149">
        <f>IF($I1149="","",$G1149&amp;"|"&amp;RIGHT("000000"&amp;$I1149,6))</f>
        <v/>
      </c>
      <c r="K1149">
        <f>IF(OR($E1149="",$E1149="نامعتبر"),"",LEFT($E1149,4)&amp;"/"&amp;MID($E1149,6,2))</f>
        <v/>
      </c>
      <c r="L1149">
        <f>IF(Entry!$K1149="",0,Entry!$K1149)</f>
        <v/>
      </c>
      <c r="M1149">
        <f>IF(Entry!$L1149="",0,Entry!$L1149)</f>
        <v/>
      </c>
    </row>
    <row r="1150">
      <c r="A1150">
        <f>IF(Entry!$C1150="","",Entry!$C1150)</f>
        <v/>
      </c>
      <c r="B1150">
        <f>IF($A1150="","",IF(ISNUMBER($A1150),IF(AND($A1150&gt;=10000101,$A1150&lt;=99991231),INT($A1150/10000),""),IFERROR(VALUE(TRIM(LEFT($A1150,FIND("/",$A1150)-1))),"")))</f>
        <v/>
      </c>
      <c r="C1150">
        <f>IF(OR($A1150="",$B1150=""),"",IF(ISNUMBER($A1150),INT(MOD($A1150,10000)/100),IFERROR(VALUE(TRIM(LEFT(MID($A1150,FIND("/",$A1150)+1,20),FIND("/",MID($A1150,FIND("/",$A1150)+1,20))-1))),"")))</f>
        <v/>
      </c>
      <c r="D1150">
        <f>IF(OR($A1150="",$B1150=""),"",IF(ISNUMBER($A1150),MOD($A1150,100),IFERROR(VALUE(TRIM(MID(MID($A1150,FIND("/",$A1150)+1,20),FIND("/",MID($A1150,FIND("/",$A1150)+1,20))+1,20))),"")))</f>
        <v/>
      </c>
      <c r="E1150">
        <f>IF($A1150="","",IF(OR($B1150="",$C1150="",$D1150="",$B1150&lt;1300,$B1150&gt;1500,$C1150&lt;1,$C1150&gt;12,$D1150&lt;1,$D1150&gt;31),"نامعتبر",RIGHT("0000"&amp;$B1150,4)&amp;"/"&amp;RIGHT("00"&amp;$C1150,2)&amp;"/"&amp;RIGHT("00"&amp;$D1150,2)))</f>
        <v/>
      </c>
      <c r="F1150">
        <f>IF(Entry!$D1150&lt;&gt;"",IF(AND(ISNUMBER(Entry!$D1150),Entry!$D1150&gt;=0,Entry!$D1150&lt;1),RIGHT("00"&amp;HOUR(Entry!$D1150),2)&amp;":"&amp;RIGHT("00"&amp;MINUTE(Entry!$D1150),2),IFERROR(RIGHT("00"&amp;VALUE(TRIM(LEFT(Entry!$D1150,FIND(":",Entry!$D1150)-1))),2)&amp;":"&amp;RIGHT("00"&amp;VALUE(TRIM(MID(Entry!$D1150,FIND(":",Entry!$D1150)+1,2))),2),"نامعتبر")),IF(OR($E1150="",$E1150="نامعتبر"),"","00:00"))</f>
        <v/>
      </c>
      <c r="G1150">
        <f>IF(OR($E1150="",$E1150="نامعتبر"),"",IF(Entry!$E1150="","",LEFT(UPPER(TRIM(Entry!$E1150)),6)))</f>
        <v/>
      </c>
      <c r="H1150">
        <f>IF($G1150="","",RIGHT($E1150,4)&amp;MID($E1150,6,2)&amp;RIGHT($E1150,2)&amp;IF($F1150="","0000",IF($F1150="نامعتبر","9999",LEFT($F1150,2)&amp;RIGHT($F1150,2)))&amp;"|"&amp;RIGHT("00000"&amp;1142,5))</f>
        <v/>
      </c>
      <c r="I1150">
        <f>IF($H1150="","",COUNTIFS(CalcBank,$G1150,CalcKey,"&lt;"&amp;$H1150)+1)</f>
        <v/>
      </c>
      <c r="J1150">
        <f>IF($I1150="","",$G1150&amp;"|"&amp;RIGHT("000000"&amp;$I1150,6))</f>
        <v/>
      </c>
      <c r="K1150">
        <f>IF(OR($E1150="",$E1150="نامعتبر"),"",LEFT($E1150,4)&amp;"/"&amp;MID($E1150,6,2))</f>
        <v/>
      </c>
      <c r="L1150">
        <f>IF(Entry!$K1150="",0,Entry!$K1150)</f>
        <v/>
      </c>
      <c r="M1150">
        <f>IF(Entry!$L1150="",0,Entry!$L1150)</f>
        <v/>
      </c>
    </row>
    <row r="1151">
      <c r="A1151">
        <f>IF(Entry!$C1151="","",Entry!$C1151)</f>
        <v/>
      </c>
      <c r="B1151">
        <f>IF($A1151="","",IF(ISNUMBER($A1151),IF(AND($A1151&gt;=10000101,$A1151&lt;=99991231),INT($A1151/10000),""),IFERROR(VALUE(TRIM(LEFT($A1151,FIND("/",$A1151)-1))),"")))</f>
        <v/>
      </c>
      <c r="C1151">
        <f>IF(OR($A1151="",$B1151=""),"",IF(ISNUMBER($A1151),INT(MOD($A1151,10000)/100),IFERROR(VALUE(TRIM(LEFT(MID($A1151,FIND("/",$A1151)+1,20),FIND("/",MID($A1151,FIND("/",$A1151)+1,20))-1))),"")))</f>
        <v/>
      </c>
      <c r="D1151">
        <f>IF(OR($A1151="",$B1151=""),"",IF(ISNUMBER($A1151),MOD($A1151,100),IFERROR(VALUE(TRIM(MID(MID($A1151,FIND("/",$A1151)+1,20),FIND("/",MID($A1151,FIND("/",$A1151)+1,20))+1,20))),"")))</f>
        <v/>
      </c>
      <c r="E1151">
        <f>IF($A1151="","",IF(OR($B1151="",$C1151="",$D1151="",$B1151&lt;1300,$B1151&gt;1500,$C1151&lt;1,$C1151&gt;12,$D1151&lt;1,$D1151&gt;31),"نامعتبر",RIGHT("0000"&amp;$B1151,4)&amp;"/"&amp;RIGHT("00"&amp;$C1151,2)&amp;"/"&amp;RIGHT("00"&amp;$D1151,2)))</f>
        <v/>
      </c>
      <c r="F1151">
        <f>IF(Entry!$D1151&lt;&gt;"",IF(AND(ISNUMBER(Entry!$D1151),Entry!$D1151&gt;=0,Entry!$D1151&lt;1),RIGHT("00"&amp;HOUR(Entry!$D1151),2)&amp;":"&amp;RIGHT("00"&amp;MINUTE(Entry!$D1151),2),IFERROR(RIGHT("00"&amp;VALUE(TRIM(LEFT(Entry!$D1151,FIND(":",Entry!$D1151)-1))),2)&amp;":"&amp;RIGHT("00"&amp;VALUE(TRIM(MID(Entry!$D1151,FIND(":",Entry!$D1151)+1,2))),2),"نامعتبر")),IF(OR($E1151="",$E1151="نامعتبر"),"","00:00"))</f>
        <v/>
      </c>
      <c r="G1151">
        <f>IF(OR($E1151="",$E1151="نامعتبر"),"",IF(Entry!$E1151="","",LEFT(UPPER(TRIM(Entry!$E1151)),6)))</f>
        <v/>
      </c>
      <c r="H1151">
        <f>IF($G1151="","",RIGHT($E1151,4)&amp;MID($E1151,6,2)&amp;RIGHT($E1151,2)&amp;IF($F1151="","0000",IF($F1151="نامعتبر","9999",LEFT($F1151,2)&amp;RIGHT($F1151,2)))&amp;"|"&amp;RIGHT("00000"&amp;1143,5))</f>
        <v/>
      </c>
      <c r="I1151">
        <f>IF($H1151="","",COUNTIFS(CalcBank,$G1151,CalcKey,"&lt;"&amp;$H1151)+1)</f>
        <v/>
      </c>
      <c r="J1151">
        <f>IF($I1151="","",$G1151&amp;"|"&amp;RIGHT("000000"&amp;$I1151,6))</f>
        <v/>
      </c>
      <c r="K1151">
        <f>IF(OR($E1151="",$E1151="نامعتبر"),"",LEFT($E1151,4)&amp;"/"&amp;MID($E1151,6,2))</f>
        <v/>
      </c>
      <c r="L1151">
        <f>IF(Entry!$K1151="",0,Entry!$K1151)</f>
        <v/>
      </c>
      <c r="M1151">
        <f>IF(Entry!$L1151="",0,Entry!$L1151)</f>
        <v/>
      </c>
    </row>
    <row r="1152">
      <c r="A1152">
        <f>IF(Entry!$C1152="","",Entry!$C1152)</f>
        <v/>
      </c>
      <c r="B1152">
        <f>IF($A1152="","",IF(ISNUMBER($A1152),IF(AND($A1152&gt;=10000101,$A1152&lt;=99991231),INT($A1152/10000),""),IFERROR(VALUE(TRIM(LEFT($A1152,FIND("/",$A1152)-1))),"")))</f>
        <v/>
      </c>
      <c r="C1152">
        <f>IF(OR($A1152="",$B1152=""),"",IF(ISNUMBER($A1152),INT(MOD($A1152,10000)/100),IFERROR(VALUE(TRIM(LEFT(MID($A1152,FIND("/",$A1152)+1,20),FIND("/",MID($A1152,FIND("/",$A1152)+1,20))-1))),"")))</f>
        <v/>
      </c>
      <c r="D1152">
        <f>IF(OR($A1152="",$B1152=""),"",IF(ISNUMBER($A1152),MOD($A1152,100),IFERROR(VALUE(TRIM(MID(MID($A1152,FIND("/",$A1152)+1,20),FIND("/",MID($A1152,FIND("/",$A1152)+1,20))+1,20))),"")))</f>
        <v/>
      </c>
      <c r="E1152">
        <f>IF($A1152="","",IF(OR($B1152="",$C1152="",$D1152="",$B1152&lt;1300,$B1152&gt;1500,$C1152&lt;1,$C1152&gt;12,$D1152&lt;1,$D1152&gt;31),"نامعتبر",RIGHT("0000"&amp;$B1152,4)&amp;"/"&amp;RIGHT("00"&amp;$C1152,2)&amp;"/"&amp;RIGHT("00"&amp;$D1152,2)))</f>
        <v/>
      </c>
      <c r="F1152">
        <f>IF(Entry!$D1152&lt;&gt;"",IF(AND(ISNUMBER(Entry!$D1152),Entry!$D1152&gt;=0,Entry!$D1152&lt;1),RIGHT("00"&amp;HOUR(Entry!$D1152),2)&amp;":"&amp;RIGHT("00"&amp;MINUTE(Entry!$D1152),2),IFERROR(RIGHT("00"&amp;VALUE(TRIM(LEFT(Entry!$D1152,FIND(":",Entry!$D1152)-1))),2)&amp;":"&amp;RIGHT("00"&amp;VALUE(TRIM(MID(Entry!$D1152,FIND(":",Entry!$D1152)+1,2))),2),"نامعتبر")),IF(OR($E1152="",$E1152="نامعتبر"),"","00:00"))</f>
        <v/>
      </c>
      <c r="G1152">
        <f>IF(OR($E1152="",$E1152="نامعتبر"),"",IF(Entry!$E1152="","",LEFT(UPPER(TRIM(Entry!$E1152)),6)))</f>
        <v/>
      </c>
      <c r="H1152">
        <f>IF($G1152="","",RIGHT($E1152,4)&amp;MID($E1152,6,2)&amp;RIGHT($E1152,2)&amp;IF($F1152="","0000",IF($F1152="نامعتبر","9999",LEFT($F1152,2)&amp;RIGHT($F1152,2)))&amp;"|"&amp;RIGHT("00000"&amp;1144,5))</f>
        <v/>
      </c>
      <c r="I1152">
        <f>IF($H1152="","",COUNTIFS(CalcBank,$G1152,CalcKey,"&lt;"&amp;$H1152)+1)</f>
        <v/>
      </c>
      <c r="J1152">
        <f>IF($I1152="","",$G1152&amp;"|"&amp;RIGHT("000000"&amp;$I1152,6))</f>
        <v/>
      </c>
      <c r="K1152">
        <f>IF(OR($E1152="",$E1152="نامعتبر"),"",LEFT($E1152,4)&amp;"/"&amp;MID($E1152,6,2))</f>
        <v/>
      </c>
      <c r="L1152">
        <f>IF(Entry!$K1152="",0,Entry!$K1152)</f>
        <v/>
      </c>
      <c r="M1152">
        <f>IF(Entry!$L1152="",0,Entry!$L1152)</f>
        <v/>
      </c>
    </row>
    <row r="1153">
      <c r="A1153">
        <f>IF(Entry!$C1153="","",Entry!$C1153)</f>
        <v/>
      </c>
      <c r="B1153">
        <f>IF($A1153="","",IF(ISNUMBER($A1153),IF(AND($A1153&gt;=10000101,$A1153&lt;=99991231),INT($A1153/10000),""),IFERROR(VALUE(TRIM(LEFT($A1153,FIND("/",$A1153)-1))),"")))</f>
        <v/>
      </c>
      <c r="C1153">
        <f>IF(OR($A1153="",$B1153=""),"",IF(ISNUMBER($A1153),INT(MOD($A1153,10000)/100),IFERROR(VALUE(TRIM(LEFT(MID($A1153,FIND("/",$A1153)+1,20),FIND("/",MID($A1153,FIND("/",$A1153)+1,20))-1))),"")))</f>
        <v/>
      </c>
      <c r="D1153">
        <f>IF(OR($A1153="",$B1153=""),"",IF(ISNUMBER($A1153),MOD($A1153,100),IFERROR(VALUE(TRIM(MID(MID($A1153,FIND("/",$A1153)+1,20),FIND("/",MID($A1153,FIND("/",$A1153)+1,20))+1,20))),"")))</f>
        <v/>
      </c>
      <c r="E1153">
        <f>IF($A1153="","",IF(OR($B1153="",$C1153="",$D1153="",$B1153&lt;1300,$B1153&gt;1500,$C1153&lt;1,$C1153&gt;12,$D1153&lt;1,$D1153&gt;31),"نامعتبر",RIGHT("0000"&amp;$B1153,4)&amp;"/"&amp;RIGHT("00"&amp;$C1153,2)&amp;"/"&amp;RIGHT("00"&amp;$D1153,2)))</f>
        <v/>
      </c>
      <c r="F1153">
        <f>IF(Entry!$D1153&lt;&gt;"",IF(AND(ISNUMBER(Entry!$D1153),Entry!$D1153&gt;=0,Entry!$D1153&lt;1),RIGHT("00"&amp;HOUR(Entry!$D1153),2)&amp;":"&amp;RIGHT("00"&amp;MINUTE(Entry!$D1153),2),IFERROR(RIGHT("00"&amp;VALUE(TRIM(LEFT(Entry!$D1153,FIND(":",Entry!$D1153)-1))),2)&amp;":"&amp;RIGHT("00"&amp;VALUE(TRIM(MID(Entry!$D1153,FIND(":",Entry!$D1153)+1,2))),2),"نامعتبر")),IF(OR($E1153="",$E1153="نامعتبر"),"","00:00"))</f>
        <v/>
      </c>
      <c r="G1153">
        <f>IF(OR($E1153="",$E1153="نامعتبر"),"",IF(Entry!$E1153="","",LEFT(UPPER(TRIM(Entry!$E1153)),6)))</f>
        <v/>
      </c>
      <c r="H1153">
        <f>IF($G1153="","",RIGHT($E1153,4)&amp;MID($E1153,6,2)&amp;RIGHT($E1153,2)&amp;IF($F1153="","0000",IF($F1153="نامعتبر","9999",LEFT($F1153,2)&amp;RIGHT($F1153,2)))&amp;"|"&amp;RIGHT("00000"&amp;1145,5))</f>
        <v/>
      </c>
      <c r="I1153">
        <f>IF($H1153="","",COUNTIFS(CalcBank,$G1153,CalcKey,"&lt;"&amp;$H1153)+1)</f>
        <v/>
      </c>
      <c r="J1153">
        <f>IF($I1153="","",$G1153&amp;"|"&amp;RIGHT("000000"&amp;$I1153,6))</f>
        <v/>
      </c>
      <c r="K1153">
        <f>IF(OR($E1153="",$E1153="نامعتبر"),"",LEFT($E1153,4)&amp;"/"&amp;MID($E1153,6,2))</f>
        <v/>
      </c>
      <c r="L1153">
        <f>IF(Entry!$K1153="",0,Entry!$K1153)</f>
        <v/>
      </c>
      <c r="M1153">
        <f>IF(Entry!$L1153="",0,Entry!$L1153)</f>
        <v/>
      </c>
    </row>
    <row r="1154">
      <c r="A1154">
        <f>IF(Entry!$C1154="","",Entry!$C1154)</f>
        <v/>
      </c>
      <c r="B1154">
        <f>IF($A1154="","",IF(ISNUMBER($A1154),IF(AND($A1154&gt;=10000101,$A1154&lt;=99991231),INT($A1154/10000),""),IFERROR(VALUE(TRIM(LEFT($A1154,FIND("/",$A1154)-1))),"")))</f>
        <v/>
      </c>
      <c r="C1154">
        <f>IF(OR($A1154="",$B1154=""),"",IF(ISNUMBER($A1154),INT(MOD($A1154,10000)/100),IFERROR(VALUE(TRIM(LEFT(MID($A1154,FIND("/",$A1154)+1,20),FIND("/",MID($A1154,FIND("/",$A1154)+1,20))-1))),"")))</f>
        <v/>
      </c>
      <c r="D1154">
        <f>IF(OR($A1154="",$B1154=""),"",IF(ISNUMBER($A1154),MOD($A1154,100),IFERROR(VALUE(TRIM(MID(MID($A1154,FIND("/",$A1154)+1,20),FIND("/",MID($A1154,FIND("/",$A1154)+1,20))+1,20))),"")))</f>
        <v/>
      </c>
      <c r="E1154">
        <f>IF($A1154="","",IF(OR($B1154="",$C1154="",$D1154="",$B1154&lt;1300,$B1154&gt;1500,$C1154&lt;1,$C1154&gt;12,$D1154&lt;1,$D1154&gt;31),"نامعتبر",RIGHT("0000"&amp;$B1154,4)&amp;"/"&amp;RIGHT("00"&amp;$C1154,2)&amp;"/"&amp;RIGHT("00"&amp;$D1154,2)))</f>
        <v/>
      </c>
      <c r="F1154">
        <f>IF(Entry!$D1154&lt;&gt;"",IF(AND(ISNUMBER(Entry!$D1154),Entry!$D1154&gt;=0,Entry!$D1154&lt;1),RIGHT("00"&amp;HOUR(Entry!$D1154),2)&amp;":"&amp;RIGHT("00"&amp;MINUTE(Entry!$D1154),2),IFERROR(RIGHT("00"&amp;VALUE(TRIM(LEFT(Entry!$D1154,FIND(":",Entry!$D1154)-1))),2)&amp;":"&amp;RIGHT("00"&amp;VALUE(TRIM(MID(Entry!$D1154,FIND(":",Entry!$D1154)+1,2))),2),"نامعتبر")),IF(OR($E1154="",$E1154="نامعتبر"),"","00:00"))</f>
        <v/>
      </c>
      <c r="G1154">
        <f>IF(OR($E1154="",$E1154="نامعتبر"),"",IF(Entry!$E1154="","",LEFT(UPPER(TRIM(Entry!$E1154)),6)))</f>
        <v/>
      </c>
      <c r="H1154">
        <f>IF($G1154="","",RIGHT($E1154,4)&amp;MID($E1154,6,2)&amp;RIGHT($E1154,2)&amp;IF($F1154="","0000",IF($F1154="نامعتبر","9999",LEFT($F1154,2)&amp;RIGHT($F1154,2)))&amp;"|"&amp;RIGHT("00000"&amp;1146,5))</f>
        <v/>
      </c>
      <c r="I1154">
        <f>IF($H1154="","",COUNTIFS(CalcBank,$G1154,CalcKey,"&lt;"&amp;$H1154)+1)</f>
        <v/>
      </c>
      <c r="J1154">
        <f>IF($I1154="","",$G1154&amp;"|"&amp;RIGHT("000000"&amp;$I1154,6))</f>
        <v/>
      </c>
      <c r="K1154">
        <f>IF(OR($E1154="",$E1154="نامعتبر"),"",LEFT($E1154,4)&amp;"/"&amp;MID($E1154,6,2))</f>
        <v/>
      </c>
      <c r="L1154">
        <f>IF(Entry!$K1154="",0,Entry!$K1154)</f>
        <v/>
      </c>
      <c r="M1154">
        <f>IF(Entry!$L1154="",0,Entry!$L1154)</f>
        <v/>
      </c>
    </row>
    <row r="1155">
      <c r="A1155">
        <f>IF(Entry!$C1155="","",Entry!$C1155)</f>
        <v/>
      </c>
      <c r="B1155">
        <f>IF($A1155="","",IF(ISNUMBER($A1155),IF(AND($A1155&gt;=10000101,$A1155&lt;=99991231),INT($A1155/10000),""),IFERROR(VALUE(TRIM(LEFT($A1155,FIND("/",$A1155)-1))),"")))</f>
        <v/>
      </c>
      <c r="C1155">
        <f>IF(OR($A1155="",$B1155=""),"",IF(ISNUMBER($A1155),INT(MOD($A1155,10000)/100),IFERROR(VALUE(TRIM(LEFT(MID($A1155,FIND("/",$A1155)+1,20),FIND("/",MID($A1155,FIND("/",$A1155)+1,20))-1))),"")))</f>
        <v/>
      </c>
      <c r="D1155">
        <f>IF(OR($A1155="",$B1155=""),"",IF(ISNUMBER($A1155),MOD($A1155,100),IFERROR(VALUE(TRIM(MID(MID($A1155,FIND("/",$A1155)+1,20),FIND("/",MID($A1155,FIND("/",$A1155)+1,20))+1,20))),"")))</f>
        <v/>
      </c>
      <c r="E1155">
        <f>IF($A1155="","",IF(OR($B1155="",$C1155="",$D1155="",$B1155&lt;1300,$B1155&gt;1500,$C1155&lt;1,$C1155&gt;12,$D1155&lt;1,$D1155&gt;31),"نامعتبر",RIGHT("0000"&amp;$B1155,4)&amp;"/"&amp;RIGHT("00"&amp;$C1155,2)&amp;"/"&amp;RIGHT("00"&amp;$D1155,2)))</f>
        <v/>
      </c>
      <c r="F1155">
        <f>IF(Entry!$D1155&lt;&gt;"",IF(AND(ISNUMBER(Entry!$D1155),Entry!$D1155&gt;=0,Entry!$D1155&lt;1),RIGHT("00"&amp;HOUR(Entry!$D1155),2)&amp;":"&amp;RIGHT("00"&amp;MINUTE(Entry!$D1155),2),IFERROR(RIGHT("00"&amp;VALUE(TRIM(LEFT(Entry!$D1155,FIND(":",Entry!$D1155)-1))),2)&amp;":"&amp;RIGHT("00"&amp;VALUE(TRIM(MID(Entry!$D1155,FIND(":",Entry!$D1155)+1,2))),2),"نامعتبر")),IF(OR($E1155="",$E1155="نامعتبر"),"","00:00"))</f>
        <v/>
      </c>
      <c r="G1155">
        <f>IF(OR($E1155="",$E1155="نامعتبر"),"",IF(Entry!$E1155="","",LEFT(UPPER(TRIM(Entry!$E1155)),6)))</f>
        <v/>
      </c>
      <c r="H1155">
        <f>IF($G1155="","",RIGHT($E1155,4)&amp;MID($E1155,6,2)&amp;RIGHT($E1155,2)&amp;IF($F1155="","0000",IF($F1155="نامعتبر","9999",LEFT($F1155,2)&amp;RIGHT($F1155,2)))&amp;"|"&amp;RIGHT("00000"&amp;1147,5))</f>
        <v/>
      </c>
      <c r="I1155">
        <f>IF($H1155="","",COUNTIFS(CalcBank,$G1155,CalcKey,"&lt;"&amp;$H1155)+1)</f>
        <v/>
      </c>
      <c r="J1155">
        <f>IF($I1155="","",$G1155&amp;"|"&amp;RIGHT("000000"&amp;$I1155,6))</f>
        <v/>
      </c>
      <c r="K1155">
        <f>IF(OR($E1155="",$E1155="نامعتبر"),"",LEFT($E1155,4)&amp;"/"&amp;MID($E1155,6,2))</f>
        <v/>
      </c>
      <c r="L1155">
        <f>IF(Entry!$K1155="",0,Entry!$K1155)</f>
        <v/>
      </c>
      <c r="M1155">
        <f>IF(Entry!$L1155="",0,Entry!$L1155)</f>
        <v/>
      </c>
    </row>
    <row r="1156">
      <c r="A1156">
        <f>IF(Entry!$C1156="","",Entry!$C1156)</f>
        <v/>
      </c>
      <c r="B1156">
        <f>IF($A1156="","",IF(ISNUMBER($A1156),IF(AND($A1156&gt;=10000101,$A1156&lt;=99991231),INT($A1156/10000),""),IFERROR(VALUE(TRIM(LEFT($A1156,FIND("/",$A1156)-1))),"")))</f>
        <v/>
      </c>
      <c r="C1156">
        <f>IF(OR($A1156="",$B1156=""),"",IF(ISNUMBER($A1156),INT(MOD($A1156,10000)/100),IFERROR(VALUE(TRIM(LEFT(MID($A1156,FIND("/",$A1156)+1,20),FIND("/",MID($A1156,FIND("/",$A1156)+1,20))-1))),"")))</f>
        <v/>
      </c>
      <c r="D1156">
        <f>IF(OR($A1156="",$B1156=""),"",IF(ISNUMBER($A1156),MOD($A1156,100),IFERROR(VALUE(TRIM(MID(MID($A1156,FIND("/",$A1156)+1,20),FIND("/",MID($A1156,FIND("/",$A1156)+1,20))+1,20))),"")))</f>
        <v/>
      </c>
      <c r="E1156">
        <f>IF($A1156="","",IF(OR($B1156="",$C1156="",$D1156="",$B1156&lt;1300,$B1156&gt;1500,$C1156&lt;1,$C1156&gt;12,$D1156&lt;1,$D1156&gt;31),"نامعتبر",RIGHT("0000"&amp;$B1156,4)&amp;"/"&amp;RIGHT("00"&amp;$C1156,2)&amp;"/"&amp;RIGHT("00"&amp;$D1156,2)))</f>
        <v/>
      </c>
      <c r="F1156">
        <f>IF(Entry!$D1156&lt;&gt;"",IF(AND(ISNUMBER(Entry!$D1156),Entry!$D1156&gt;=0,Entry!$D1156&lt;1),RIGHT("00"&amp;HOUR(Entry!$D1156),2)&amp;":"&amp;RIGHT("00"&amp;MINUTE(Entry!$D1156),2),IFERROR(RIGHT("00"&amp;VALUE(TRIM(LEFT(Entry!$D1156,FIND(":",Entry!$D1156)-1))),2)&amp;":"&amp;RIGHT("00"&amp;VALUE(TRIM(MID(Entry!$D1156,FIND(":",Entry!$D1156)+1,2))),2),"نامعتبر")),IF(OR($E1156="",$E1156="نامعتبر"),"","00:00"))</f>
        <v/>
      </c>
      <c r="G1156">
        <f>IF(OR($E1156="",$E1156="نامعتبر"),"",IF(Entry!$E1156="","",LEFT(UPPER(TRIM(Entry!$E1156)),6)))</f>
        <v/>
      </c>
      <c r="H1156">
        <f>IF($G1156="","",RIGHT($E1156,4)&amp;MID($E1156,6,2)&amp;RIGHT($E1156,2)&amp;IF($F1156="","0000",IF($F1156="نامعتبر","9999",LEFT($F1156,2)&amp;RIGHT($F1156,2)))&amp;"|"&amp;RIGHT("00000"&amp;1148,5))</f>
        <v/>
      </c>
      <c r="I1156">
        <f>IF($H1156="","",COUNTIFS(CalcBank,$G1156,CalcKey,"&lt;"&amp;$H1156)+1)</f>
        <v/>
      </c>
      <c r="J1156">
        <f>IF($I1156="","",$G1156&amp;"|"&amp;RIGHT("000000"&amp;$I1156,6))</f>
        <v/>
      </c>
      <c r="K1156">
        <f>IF(OR($E1156="",$E1156="نامعتبر"),"",LEFT($E1156,4)&amp;"/"&amp;MID($E1156,6,2))</f>
        <v/>
      </c>
      <c r="L1156">
        <f>IF(Entry!$K1156="",0,Entry!$K1156)</f>
        <v/>
      </c>
      <c r="M1156">
        <f>IF(Entry!$L1156="",0,Entry!$L1156)</f>
        <v/>
      </c>
    </row>
    <row r="1157">
      <c r="A1157">
        <f>IF(Entry!$C1157="","",Entry!$C1157)</f>
        <v/>
      </c>
      <c r="B1157">
        <f>IF($A1157="","",IF(ISNUMBER($A1157),IF(AND($A1157&gt;=10000101,$A1157&lt;=99991231),INT($A1157/10000),""),IFERROR(VALUE(TRIM(LEFT($A1157,FIND("/",$A1157)-1))),"")))</f>
        <v/>
      </c>
      <c r="C1157">
        <f>IF(OR($A1157="",$B1157=""),"",IF(ISNUMBER($A1157),INT(MOD($A1157,10000)/100),IFERROR(VALUE(TRIM(LEFT(MID($A1157,FIND("/",$A1157)+1,20),FIND("/",MID($A1157,FIND("/",$A1157)+1,20))-1))),"")))</f>
        <v/>
      </c>
      <c r="D1157">
        <f>IF(OR($A1157="",$B1157=""),"",IF(ISNUMBER($A1157),MOD($A1157,100),IFERROR(VALUE(TRIM(MID(MID($A1157,FIND("/",$A1157)+1,20),FIND("/",MID($A1157,FIND("/",$A1157)+1,20))+1,20))),"")))</f>
        <v/>
      </c>
      <c r="E1157">
        <f>IF($A1157="","",IF(OR($B1157="",$C1157="",$D1157="",$B1157&lt;1300,$B1157&gt;1500,$C1157&lt;1,$C1157&gt;12,$D1157&lt;1,$D1157&gt;31),"نامعتبر",RIGHT("0000"&amp;$B1157,4)&amp;"/"&amp;RIGHT("00"&amp;$C1157,2)&amp;"/"&amp;RIGHT("00"&amp;$D1157,2)))</f>
        <v/>
      </c>
      <c r="F1157">
        <f>IF(Entry!$D1157&lt;&gt;"",IF(AND(ISNUMBER(Entry!$D1157),Entry!$D1157&gt;=0,Entry!$D1157&lt;1),RIGHT("00"&amp;HOUR(Entry!$D1157),2)&amp;":"&amp;RIGHT("00"&amp;MINUTE(Entry!$D1157),2),IFERROR(RIGHT("00"&amp;VALUE(TRIM(LEFT(Entry!$D1157,FIND(":",Entry!$D1157)-1))),2)&amp;":"&amp;RIGHT("00"&amp;VALUE(TRIM(MID(Entry!$D1157,FIND(":",Entry!$D1157)+1,2))),2),"نامعتبر")),IF(OR($E1157="",$E1157="نامعتبر"),"","00:00"))</f>
        <v/>
      </c>
      <c r="G1157">
        <f>IF(OR($E1157="",$E1157="نامعتبر"),"",IF(Entry!$E1157="","",LEFT(UPPER(TRIM(Entry!$E1157)),6)))</f>
        <v/>
      </c>
      <c r="H1157">
        <f>IF($G1157="","",RIGHT($E1157,4)&amp;MID($E1157,6,2)&amp;RIGHT($E1157,2)&amp;IF($F1157="","0000",IF($F1157="نامعتبر","9999",LEFT($F1157,2)&amp;RIGHT($F1157,2)))&amp;"|"&amp;RIGHT("00000"&amp;1149,5))</f>
        <v/>
      </c>
      <c r="I1157">
        <f>IF($H1157="","",COUNTIFS(CalcBank,$G1157,CalcKey,"&lt;"&amp;$H1157)+1)</f>
        <v/>
      </c>
      <c r="J1157">
        <f>IF($I1157="","",$G1157&amp;"|"&amp;RIGHT("000000"&amp;$I1157,6))</f>
        <v/>
      </c>
      <c r="K1157">
        <f>IF(OR($E1157="",$E1157="نامعتبر"),"",LEFT($E1157,4)&amp;"/"&amp;MID($E1157,6,2))</f>
        <v/>
      </c>
      <c r="L1157">
        <f>IF(Entry!$K1157="",0,Entry!$K1157)</f>
        <v/>
      </c>
      <c r="M1157">
        <f>IF(Entry!$L1157="",0,Entry!$L1157)</f>
        <v/>
      </c>
    </row>
    <row r="1158">
      <c r="A1158">
        <f>IF(Entry!$C1158="","",Entry!$C1158)</f>
        <v/>
      </c>
      <c r="B1158">
        <f>IF($A1158="","",IF(ISNUMBER($A1158),IF(AND($A1158&gt;=10000101,$A1158&lt;=99991231),INT($A1158/10000),""),IFERROR(VALUE(TRIM(LEFT($A1158,FIND("/",$A1158)-1))),"")))</f>
        <v/>
      </c>
      <c r="C1158">
        <f>IF(OR($A1158="",$B1158=""),"",IF(ISNUMBER($A1158),INT(MOD($A1158,10000)/100),IFERROR(VALUE(TRIM(LEFT(MID($A1158,FIND("/",$A1158)+1,20),FIND("/",MID($A1158,FIND("/",$A1158)+1,20))-1))),"")))</f>
        <v/>
      </c>
      <c r="D1158">
        <f>IF(OR($A1158="",$B1158=""),"",IF(ISNUMBER($A1158),MOD($A1158,100),IFERROR(VALUE(TRIM(MID(MID($A1158,FIND("/",$A1158)+1,20),FIND("/",MID($A1158,FIND("/",$A1158)+1,20))+1,20))),"")))</f>
        <v/>
      </c>
      <c r="E1158">
        <f>IF($A1158="","",IF(OR($B1158="",$C1158="",$D1158="",$B1158&lt;1300,$B1158&gt;1500,$C1158&lt;1,$C1158&gt;12,$D1158&lt;1,$D1158&gt;31),"نامعتبر",RIGHT("0000"&amp;$B1158,4)&amp;"/"&amp;RIGHT("00"&amp;$C1158,2)&amp;"/"&amp;RIGHT("00"&amp;$D1158,2)))</f>
        <v/>
      </c>
      <c r="F1158">
        <f>IF(Entry!$D1158&lt;&gt;"",IF(AND(ISNUMBER(Entry!$D1158),Entry!$D1158&gt;=0,Entry!$D1158&lt;1),RIGHT("00"&amp;HOUR(Entry!$D1158),2)&amp;":"&amp;RIGHT("00"&amp;MINUTE(Entry!$D1158),2),IFERROR(RIGHT("00"&amp;VALUE(TRIM(LEFT(Entry!$D1158,FIND(":",Entry!$D1158)-1))),2)&amp;":"&amp;RIGHT("00"&amp;VALUE(TRIM(MID(Entry!$D1158,FIND(":",Entry!$D1158)+1,2))),2),"نامعتبر")),IF(OR($E1158="",$E1158="نامعتبر"),"","00:00"))</f>
        <v/>
      </c>
      <c r="G1158">
        <f>IF(OR($E1158="",$E1158="نامعتبر"),"",IF(Entry!$E1158="","",LEFT(UPPER(TRIM(Entry!$E1158)),6)))</f>
        <v/>
      </c>
      <c r="H1158">
        <f>IF($G1158="","",RIGHT($E1158,4)&amp;MID($E1158,6,2)&amp;RIGHT($E1158,2)&amp;IF($F1158="","0000",IF($F1158="نامعتبر","9999",LEFT($F1158,2)&amp;RIGHT($F1158,2)))&amp;"|"&amp;RIGHT("00000"&amp;1150,5))</f>
        <v/>
      </c>
      <c r="I1158">
        <f>IF($H1158="","",COUNTIFS(CalcBank,$G1158,CalcKey,"&lt;"&amp;$H1158)+1)</f>
        <v/>
      </c>
      <c r="J1158">
        <f>IF($I1158="","",$G1158&amp;"|"&amp;RIGHT("000000"&amp;$I1158,6))</f>
        <v/>
      </c>
      <c r="K1158">
        <f>IF(OR($E1158="",$E1158="نامعتبر"),"",LEFT($E1158,4)&amp;"/"&amp;MID($E1158,6,2))</f>
        <v/>
      </c>
      <c r="L1158">
        <f>IF(Entry!$K1158="",0,Entry!$K1158)</f>
        <v/>
      </c>
      <c r="M1158">
        <f>IF(Entry!$L1158="",0,Entry!$L1158)</f>
        <v/>
      </c>
    </row>
    <row r="1159">
      <c r="A1159">
        <f>IF(Entry!$C1159="","",Entry!$C1159)</f>
        <v/>
      </c>
      <c r="B1159">
        <f>IF($A1159="","",IF(ISNUMBER($A1159),IF(AND($A1159&gt;=10000101,$A1159&lt;=99991231),INT($A1159/10000),""),IFERROR(VALUE(TRIM(LEFT($A1159,FIND("/",$A1159)-1))),"")))</f>
        <v/>
      </c>
      <c r="C1159">
        <f>IF(OR($A1159="",$B1159=""),"",IF(ISNUMBER($A1159),INT(MOD($A1159,10000)/100),IFERROR(VALUE(TRIM(LEFT(MID($A1159,FIND("/",$A1159)+1,20),FIND("/",MID($A1159,FIND("/",$A1159)+1,20))-1))),"")))</f>
        <v/>
      </c>
      <c r="D1159">
        <f>IF(OR($A1159="",$B1159=""),"",IF(ISNUMBER($A1159),MOD($A1159,100),IFERROR(VALUE(TRIM(MID(MID($A1159,FIND("/",$A1159)+1,20),FIND("/",MID($A1159,FIND("/",$A1159)+1,20))+1,20))),"")))</f>
        <v/>
      </c>
      <c r="E1159">
        <f>IF($A1159="","",IF(OR($B1159="",$C1159="",$D1159="",$B1159&lt;1300,$B1159&gt;1500,$C1159&lt;1,$C1159&gt;12,$D1159&lt;1,$D1159&gt;31),"نامعتبر",RIGHT("0000"&amp;$B1159,4)&amp;"/"&amp;RIGHT("00"&amp;$C1159,2)&amp;"/"&amp;RIGHT("00"&amp;$D1159,2)))</f>
        <v/>
      </c>
      <c r="F1159">
        <f>IF(Entry!$D1159&lt;&gt;"",IF(AND(ISNUMBER(Entry!$D1159),Entry!$D1159&gt;=0,Entry!$D1159&lt;1),RIGHT("00"&amp;HOUR(Entry!$D1159),2)&amp;":"&amp;RIGHT("00"&amp;MINUTE(Entry!$D1159),2),IFERROR(RIGHT("00"&amp;VALUE(TRIM(LEFT(Entry!$D1159,FIND(":",Entry!$D1159)-1))),2)&amp;":"&amp;RIGHT("00"&amp;VALUE(TRIM(MID(Entry!$D1159,FIND(":",Entry!$D1159)+1,2))),2),"نامعتبر")),IF(OR($E1159="",$E1159="نامعتبر"),"","00:00"))</f>
        <v/>
      </c>
      <c r="G1159">
        <f>IF(OR($E1159="",$E1159="نامعتبر"),"",IF(Entry!$E1159="","",LEFT(UPPER(TRIM(Entry!$E1159)),6)))</f>
        <v/>
      </c>
      <c r="H1159">
        <f>IF($G1159="","",RIGHT($E1159,4)&amp;MID($E1159,6,2)&amp;RIGHT($E1159,2)&amp;IF($F1159="","0000",IF($F1159="نامعتبر","9999",LEFT($F1159,2)&amp;RIGHT($F1159,2)))&amp;"|"&amp;RIGHT("00000"&amp;1151,5))</f>
        <v/>
      </c>
      <c r="I1159">
        <f>IF($H1159="","",COUNTIFS(CalcBank,$G1159,CalcKey,"&lt;"&amp;$H1159)+1)</f>
        <v/>
      </c>
      <c r="J1159">
        <f>IF($I1159="","",$G1159&amp;"|"&amp;RIGHT("000000"&amp;$I1159,6))</f>
        <v/>
      </c>
      <c r="K1159">
        <f>IF(OR($E1159="",$E1159="نامعتبر"),"",LEFT($E1159,4)&amp;"/"&amp;MID($E1159,6,2))</f>
        <v/>
      </c>
      <c r="L1159">
        <f>IF(Entry!$K1159="",0,Entry!$K1159)</f>
        <v/>
      </c>
      <c r="M1159">
        <f>IF(Entry!$L1159="",0,Entry!$L1159)</f>
        <v/>
      </c>
    </row>
    <row r="1160">
      <c r="A1160">
        <f>IF(Entry!$C1160="","",Entry!$C1160)</f>
        <v/>
      </c>
      <c r="B1160">
        <f>IF($A1160="","",IF(ISNUMBER($A1160),IF(AND($A1160&gt;=10000101,$A1160&lt;=99991231),INT($A1160/10000),""),IFERROR(VALUE(TRIM(LEFT($A1160,FIND("/",$A1160)-1))),"")))</f>
        <v/>
      </c>
      <c r="C1160">
        <f>IF(OR($A1160="",$B1160=""),"",IF(ISNUMBER($A1160),INT(MOD($A1160,10000)/100),IFERROR(VALUE(TRIM(LEFT(MID($A1160,FIND("/",$A1160)+1,20),FIND("/",MID($A1160,FIND("/",$A1160)+1,20))-1))),"")))</f>
        <v/>
      </c>
      <c r="D1160">
        <f>IF(OR($A1160="",$B1160=""),"",IF(ISNUMBER($A1160),MOD($A1160,100),IFERROR(VALUE(TRIM(MID(MID($A1160,FIND("/",$A1160)+1,20),FIND("/",MID($A1160,FIND("/",$A1160)+1,20))+1,20))),"")))</f>
        <v/>
      </c>
      <c r="E1160">
        <f>IF($A1160="","",IF(OR($B1160="",$C1160="",$D1160="",$B1160&lt;1300,$B1160&gt;1500,$C1160&lt;1,$C1160&gt;12,$D1160&lt;1,$D1160&gt;31),"نامعتبر",RIGHT("0000"&amp;$B1160,4)&amp;"/"&amp;RIGHT("00"&amp;$C1160,2)&amp;"/"&amp;RIGHT("00"&amp;$D1160,2)))</f>
        <v/>
      </c>
      <c r="F1160">
        <f>IF(Entry!$D1160&lt;&gt;"",IF(AND(ISNUMBER(Entry!$D1160),Entry!$D1160&gt;=0,Entry!$D1160&lt;1),RIGHT("00"&amp;HOUR(Entry!$D1160),2)&amp;":"&amp;RIGHT("00"&amp;MINUTE(Entry!$D1160),2),IFERROR(RIGHT("00"&amp;VALUE(TRIM(LEFT(Entry!$D1160,FIND(":",Entry!$D1160)-1))),2)&amp;":"&amp;RIGHT("00"&amp;VALUE(TRIM(MID(Entry!$D1160,FIND(":",Entry!$D1160)+1,2))),2),"نامعتبر")),IF(OR($E1160="",$E1160="نامعتبر"),"","00:00"))</f>
        <v/>
      </c>
      <c r="G1160">
        <f>IF(OR($E1160="",$E1160="نامعتبر"),"",IF(Entry!$E1160="","",LEFT(UPPER(TRIM(Entry!$E1160)),6)))</f>
        <v/>
      </c>
      <c r="H1160">
        <f>IF($G1160="","",RIGHT($E1160,4)&amp;MID($E1160,6,2)&amp;RIGHT($E1160,2)&amp;IF($F1160="","0000",IF($F1160="نامعتبر","9999",LEFT($F1160,2)&amp;RIGHT($F1160,2)))&amp;"|"&amp;RIGHT("00000"&amp;1152,5))</f>
        <v/>
      </c>
      <c r="I1160">
        <f>IF($H1160="","",COUNTIFS(CalcBank,$G1160,CalcKey,"&lt;"&amp;$H1160)+1)</f>
        <v/>
      </c>
      <c r="J1160">
        <f>IF($I1160="","",$G1160&amp;"|"&amp;RIGHT("000000"&amp;$I1160,6))</f>
        <v/>
      </c>
      <c r="K1160">
        <f>IF(OR($E1160="",$E1160="نامعتبر"),"",LEFT($E1160,4)&amp;"/"&amp;MID($E1160,6,2))</f>
        <v/>
      </c>
      <c r="L1160">
        <f>IF(Entry!$K1160="",0,Entry!$K1160)</f>
        <v/>
      </c>
      <c r="M1160">
        <f>IF(Entry!$L1160="",0,Entry!$L1160)</f>
        <v/>
      </c>
    </row>
    <row r="1161">
      <c r="A1161">
        <f>IF(Entry!$C1161="","",Entry!$C1161)</f>
        <v/>
      </c>
      <c r="B1161">
        <f>IF($A1161="","",IF(ISNUMBER($A1161),IF(AND($A1161&gt;=10000101,$A1161&lt;=99991231),INT($A1161/10000),""),IFERROR(VALUE(TRIM(LEFT($A1161,FIND("/",$A1161)-1))),"")))</f>
        <v/>
      </c>
      <c r="C1161">
        <f>IF(OR($A1161="",$B1161=""),"",IF(ISNUMBER($A1161),INT(MOD($A1161,10000)/100),IFERROR(VALUE(TRIM(LEFT(MID($A1161,FIND("/",$A1161)+1,20),FIND("/",MID($A1161,FIND("/",$A1161)+1,20))-1))),"")))</f>
        <v/>
      </c>
      <c r="D1161">
        <f>IF(OR($A1161="",$B1161=""),"",IF(ISNUMBER($A1161),MOD($A1161,100),IFERROR(VALUE(TRIM(MID(MID($A1161,FIND("/",$A1161)+1,20),FIND("/",MID($A1161,FIND("/",$A1161)+1,20))+1,20))),"")))</f>
        <v/>
      </c>
      <c r="E1161">
        <f>IF($A1161="","",IF(OR($B1161="",$C1161="",$D1161="",$B1161&lt;1300,$B1161&gt;1500,$C1161&lt;1,$C1161&gt;12,$D1161&lt;1,$D1161&gt;31),"نامعتبر",RIGHT("0000"&amp;$B1161,4)&amp;"/"&amp;RIGHT("00"&amp;$C1161,2)&amp;"/"&amp;RIGHT("00"&amp;$D1161,2)))</f>
        <v/>
      </c>
      <c r="F1161">
        <f>IF(Entry!$D1161&lt;&gt;"",IF(AND(ISNUMBER(Entry!$D1161),Entry!$D1161&gt;=0,Entry!$D1161&lt;1),RIGHT("00"&amp;HOUR(Entry!$D1161),2)&amp;":"&amp;RIGHT("00"&amp;MINUTE(Entry!$D1161),2),IFERROR(RIGHT("00"&amp;VALUE(TRIM(LEFT(Entry!$D1161,FIND(":",Entry!$D1161)-1))),2)&amp;":"&amp;RIGHT("00"&amp;VALUE(TRIM(MID(Entry!$D1161,FIND(":",Entry!$D1161)+1,2))),2),"نامعتبر")),IF(OR($E1161="",$E1161="نامعتبر"),"","00:00"))</f>
        <v/>
      </c>
      <c r="G1161">
        <f>IF(OR($E1161="",$E1161="نامعتبر"),"",IF(Entry!$E1161="","",LEFT(UPPER(TRIM(Entry!$E1161)),6)))</f>
        <v/>
      </c>
      <c r="H1161">
        <f>IF($G1161="","",RIGHT($E1161,4)&amp;MID($E1161,6,2)&amp;RIGHT($E1161,2)&amp;IF($F1161="","0000",IF($F1161="نامعتبر","9999",LEFT($F1161,2)&amp;RIGHT($F1161,2)))&amp;"|"&amp;RIGHT("00000"&amp;1153,5))</f>
        <v/>
      </c>
      <c r="I1161">
        <f>IF($H1161="","",COUNTIFS(CalcBank,$G1161,CalcKey,"&lt;"&amp;$H1161)+1)</f>
        <v/>
      </c>
      <c r="J1161">
        <f>IF($I1161="","",$G1161&amp;"|"&amp;RIGHT("000000"&amp;$I1161,6))</f>
        <v/>
      </c>
      <c r="K1161">
        <f>IF(OR($E1161="",$E1161="نامعتبر"),"",LEFT($E1161,4)&amp;"/"&amp;MID($E1161,6,2))</f>
        <v/>
      </c>
      <c r="L1161">
        <f>IF(Entry!$K1161="",0,Entry!$K1161)</f>
        <v/>
      </c>
      <c r="M1161">
        <f>IF(Entry!$L1161="",0,Entry!$L1161)</f>
        <v/>
      </c>
    </row>
    <row r="1162">
      <c r="A1162">
        <f>IF(Entry!$C1162="","",Entry!$C1162)</f>
        <v/>
      </c>
      <c r="B1162">
        <f>IF($A1162="","",IF(ISNUMBER($A1162),IF(AND($A1162&gt;=10000101,$A1162&lt;=99991231),INT($A1162/10000),""),IFERROR(VALUE(TRIM(LEFT($A1162,FIND("/",$A1162)-1))),"")))</f>
        <v/>
      </c>
      <c r="C1162">
        <f>IF(OR($A1162="",$B1162=""),"",IF(ISNUMBER($A1162),INT(MOD($A1162,10000)/100),IFERROR(VALUE(TRIM(LEFT(MID($A1162,FIND("/",$A1162)+1,20),FIND("/",MID($A1162,FIND("/",$A1162)+1,20))-1))),"")))</f>
        <v/>
      </c>
      <c r="D1162">
        <f>IF(OR($A1162="",$B1162=""),"",IF(ISNUMBER($A1162),MOD($A1162,100),IFERROR(VALUE(TRIM(MID(MID($A1162,FIND("/",$A1162)+1,20),FIND("/",MID($A1162,FIND("/",$A1162)+1,20))+1,20))),"")))</f>
        <v/>
      </c>
      <c r="E1162">
        <f>IF($A1162="","",IF(OR($B1162="",$C1162="",$D1162="",$B1162&lt;1300,$B1162&gt;1500,$C1162&lt;1,$C1162&gt;12,$D1162&lt;1,$D1162&gt;31),"نامعتبر",RIGHT("0000"&amp;$B1162,4)&amp;"/"&amp;RIGHT("00"&amp;$C1162,2)&amp;"/"&amp;RIGHT("00"&amp;$D1162,2)))</f>
        <v/>
      </c>
      <c r="F1162">
        <f>IF(Entry!$D1162&lt;&gt;"",IF(AND(ISNUMBER(Entry!$D1162),Entry!$D1162&gt;=0,Entry!$D1162&lt;1),RIGHT("00"&amp;HOUR(Entry!$D1162),2)&amp;":"&amp;RIGHT("00"&amp;MINUTE(Entry!$D1162),2),IFERROR(RIGHT("00"&amp;VALUE(TRIM(LEFT(Entry!$D1162,FIND(":",Entry!$D1162)-1))),2)&amp;":"&amp;RIGHT("00"&amp;VALUE(TRIM(MID(Entry!$D1162,FIND(":",Entry!$D1162)+1,2))),2),"نامعتبر")),IF(OR($E1162="",$E1162="نامعتبر"),"","00:00"))</f>
        <v/>
      </c>
      <c r="G1162">
        <f>IF(OR($E1162="",$E1162="نامعتبر"),"",IF(Entry!$E1162="","",LEFT(UPPER(TRIM(Entry!$E1162)),6)))</f>
        <v/>
      </c>
      <c r="H1162">
        <f>IF($G1162="","",RIGHT($E1162,4)&amp;MID($E1162,6,2)&amp;RIGHT($E1162,2)&amp;IF($F1162="","0000",IF($F1162="نامعتبر","9999",LEFT($F1162,2)&amp;RIGHT($F1162,2)))&amp;"|"&amp;RIGHT("00000"&amp;1154,5))</f>
        <v/>
      </c>
      <c r="I1162">
        <f>IF($H1162="","",COUNTIFS(CalcBank,$G1162,CalcKey,"&lt;"&amp;$H1162)+1)</f>
        <v/>
      </c>
      <c r="J1162">
        <f>IF($I1162="","",$G1162&amp;"|"&amp;RIGHT("000000"&amp;$I1162,6))</f>
        <v/>
      </c>
      <c r="K1162">
        <f>IF(OR($E1162="",$E1162="نامعتبر"),"",LEFT($E1162,4)&amp;"/"&amp;MID($E1162,6,2))</f>
        <v/>
      </c>
      <c r="L1162">
        <f>IF(Entry!$K1162="",0,Entry!$K1162)</f>
        <v/>
      </c>
      <c r="M1162">
        <f>IF(Entry!$L1162="",0,Entry!$L1162)</f>
        <v/>
      </c>
    </row>
    <row r="1163">
      <c r="A1163">
        <f>IF(Entry!$C1163="","",Entry!$C1163)</f>
        <v/>
      </c>
      <c r="B1163">
        <f>IF($A1163="","",IF(ISNUMBER($A1163),IF(AND($A1163&gt;=10000101,$A1163&lt;=99991231),INT($A1163/10000),""),IFERROR(VALUE(TRIM(LEFT($A1163,FIND("/",$A1163)-1))),"")))</f>
        <v/>
      </c>
      <c r="C1163">
        <f>IF(OR($A1163="",$B1163=""),"",IF(ISNUMBER($A1163),INT(MOD($A1163,10000)/100),IFERROR(VALUE(TRIM(LEFT(MID($A1163,FIND("/",$A1163)+1,20),FIND("/",MID($A1163,FIND("/",$A1163)+1,20))-1))),"")))</f>
        <v/>
      </c>
      <c r="D1163">
        <f>IF(OR($A1163="",$B1163=""),"",IF(ISNUMBER($A1163),MOD($A1163,100),IFERROR(VALUE(TRIM(MID(MID($A1163,FIND("/",$A1163)+1,20),FIND("/",MID($A1163,FIND("/",$A1163)+1,20))+1,20))),"")))</f>
        <v/>
      </c>
      <c r="E1163">
        <f>IF($A1163="","",IF(OR($B1163="",$C1163="",$D1163="",$B1163&lt;1300,$B1163&gt;1500,$C1163&lt;1,$C1163&gt;12,$D1163&lt;1,$D1163&gt;31),"نامعتبر",RIGHT("0000"&amp;$B1163,4)&amp;"/"&amp;RIGHT("00"&amp;$C1163,2)&amp;"/"&amp;RIGHT("00"&amp;$D1163,2)))</f>
        <v/>
      </c>
      <c r="F1163">
        <f>IF(Entry!$D1163&lt;&gt;"",IF(AND(ISNUMBER(Entry!$D1163),Entry!$D1163&gt;=0,Entry!$D1163&lt;1),RIGHT("00"&amp;HOUR(Entry!$D1163),2)&amp;":"&amp;RIGHT("00"&amp;MINUTE(Entry!$D1163),2),IFERROR(RIGHT("00"&amp;VALUE(TRIM(LEFT(Entry!$D1163,FIND(":",Entry!$D1163)-1))),2)&amp;":"&amp;RIGHT("00"&amp;VALUE(TRIM(MID(Entry!$D1163,FIND(":",Entry!$D1163)+1,2))),2),"نامعتبر")),IF(OR($E1163="",$E1163="نامعتبر"),"","00:00"))</f>
        <v/>
      </c>
      <c r="G1163">
        <f>IF(OR($E1163="",$E1163="نامعتبر"),"",IF(Entry!$E1163="","",LEFT(UPPER(TRIM(Entry!$E1163)),6)))</f>
        <v/>
      </c>
      <c r="H1163">
        <f>IF($G1163="","",RIGHT($E1163,4)&amp;MID($E1163,6,2)&amp;RIGHT($E1163,2)&amp;IF($F1163="","0000",IF($F1163="نامعتبر","9999",LEFT($F1163,2)&amp;RIGHT($F1163,2)))&amp;"|"&amp;RIGHT("00000"&amp;1155,5))</f>
        <v/>
      </c>
      <c r="I1163">
        <f>IF($H1163="","",COUNTIFS(CalcBank,$G1163,CalcKey,"&lt;"&amp;$H1163)+1)</f>
        <v/>
      </c>
      <c r="J1163">
        <f>IF($I1163="","",$G1163&amp;"|"&amp;RIGHT("000000"&amp;$I1163,6))</f>
        <v/>
      </c>
      <c r="K1163">
        <f>IF(OR($E1163="",$E1163="نامعتبر"),"",LEFT($E1163,4)&amp;"/"&amp;MID($E1163,6,2))</f>
        <v/>
      </c>
      <c r="L1163">
        <f>IF(Entry!$K1163="",0,Entry!$K1163)</f>
        <v/>
      </c>
      <c r="M1163">
        <f>IF(Entry!$L1163="",0,Entry!$L1163)</f>
        <v/>
      </c>
    </row>
    <row r="1164">
      <c r="A1164">
        <f>IF(Entry!$C1164="","",Entry!$C1164)</f>
        <v/>
      </c>
      <c r="B1164">
        <f>IF($A1164="","",IF(ISNUMBER($A1164),IF(AND($A1164&gt;=10000101,$A1164&lt;=99991231),INT($A1164/10000),""),IFERROR(VALUE(TRIM(LEFT($A1164,FIND("/",$A1164)-1))),"")))</f>
        <v/>
      </c>
      <c r="C1164">
        <f>IF(OR($A1164="",$B1164=""),"",IF(ISNUMBER($A1164),INT(MOD($A1164,10000)/100),IFERROR(VALUE(TRIM(LEFT(MID($A1164,FIND("/",$A1164)+1,20),FIND("/",MID($A1164,FIND("/",$A1164)+1,20))-1))),"")))</f>
        <v/>
      </c>
      <c r="D1164">
        <f>IF(OR($A1164="",$B1164=""),"",IF(ISNUMBER($A1164),MOD($A1164,100),IFERROR(VALUE(TRIM(MID(MID($A1164,FIND("/",$A1164)+1,20),FIND("/",MID($A1164,FIND("/",$A1164)+1,20))+1,20))),"")))</f>
        <v/>
      </c>
      <c r="E1164">
        <f>IF($A1164="","",IF(OR($B1164="",$C1164="",$D1164="",$B1164&lt;1300,$B1164&gt;1500,$C1164&lt;1,$C1164&gt;12,$D1164&lt;1,$D1164&gt;31),"نامعتبر",RIGHT("0000"&amp;$B1164,4)&amp;"/"&amp;RIGHT("00"&amp;$C1164,2)&amp;"/"&amp;RIGHT("00"&amp;$D1164,2)))</f>
        <v/>
      </c>
      <c r="F1164">
        <f>IF(Entry!$D1164&lt;&gt;"",IF(AND(ISNUMBER(Entry!$D1164),Entry!$D1164&gt;=0,Entry!$D1164&lt;1),RIGHT("00"&amp;HOUR(Entry!$D1164),2)&amp;":"&amp;RIGHT("00"&amp;MINUTE(Entry!$D1164),2),IFERROR(RIGHT("00"&amp;VALUE(TRIM(LEFT(Entry!$D1164,FIND(":",Entry!$D1164)-1))),2)&amp;":"&amp;RIGHT("00"&amp;VALUE(TRIM(MID(Entry!$D1164,FIND(":",Entry!$D1164)+1,2))),2),"نامعتبر")),IF(OR($E1164="",$E1164="نامعتبر"),"","00:00"))</f>
        <v/>
      </c>
      <c r="G1164">
        <f>IF(OR($E1164="",$E1164="نامعتبر"),"",IF(Entry!$E1164="","",LEFT(UPPER(TRIM(Entry!$E1164)),6)))</f>
        <v/>
      </c>
      <c r="H1164">
        <f>IF($G1164="","",RIGHT($E1164,4)&amp;MID($E1164,6,2)&amp;RIGHT($E1164,2)&amp;IF($F1164="","0000",IF($F1164="نامعتبر","9999",LEFT($F1164,2)&amp;RIGHT($F1164,2)))&amp;"|"&amp;RIGHT("00000"&amp;1156,5))</f>
        <v/>
      </c>
      <c r="I1164">
        <f>IF($H1164="","",COUNTIFS(CalcBank,$G1164,CalcKey,"&lt;"&amp;$H1164)+1)</f>
        <v/>
      </c>
      <c r="J1164">
        <f>IF($I1164="","",$G1164&amp;"|"&amp;RIGHT("000000"&amp;$I1164,6))</f>
        <v/>
      </c>
      <c r="K1164">
        <f>IF(OR($E1164="",$E1164="نامعتبر"),"",LEFT($E1164,4)&amp;"/"&amp;MID($E1164,6,2))</f>
        <v/>
      </c>
      <c r="L1164">
        <f>IF(Entry!$K1164="",0,Entry!$K1164)</f>
        <v/>
      </c>
      <c r="M1164">
        <f>IF(Entry!$L1164="",0,Entry!$L1164)</f>
        <v/>
      </c>
    </row>
    <row r="1165">
      <c r="A1165">
        <f>IF(Entry!$C1165="","",Entry!$C1165)</f>
        <v/>
      </c>
      <c r="B1165">
        <f>IF($A1165="","",IF(ISNUMBER($A1165),IF(AND($A1165&gt;=10000101,$A1165&lt;=99991231),INT($A1165/10000),""),IFERROR(VALUE(TRIM(LEFT($A1165,FIND("/",$A1165)-1))),"")))</f>
        <v/>
      </c>
      <c r="C1165">
        <f>IF(OR($A1165="",$B1165=""),"",IF(ISNUMBER($A1165),INT(MOD($A1165,10000)/100),IFERROR(VALUE(TRIM(LEFT(MID($A1165,FIND("/",$A1165)+1,20),FIND("/",MID($A1165,FIND("/",$A1165)+1,20))-1))),"")))</f>
        <v/>
      </c>
      <c r="D1165">
        <f>IF(OR($A1165="",$B1165=""),"",IF(ISNUMBER($A1165),MOD($A1165,100),IFERROR(VALUE(TRIM(MID(MID($A1165,FIND("/",$A1165)+1,20),FIND("/",MID($A1165,FIND("/",$A1165)+1,20))+1,20))),"")))</f>
        <v/>
      </c>
      <c r="E1165">
        <f>IF($A1165="","",IF(OR($B1165="",$C1165="",$D1165="",$B1165&lt;1300,$B1165&gt;1500,$C1165&lt;1,$C1165&gt;12,$D1165&lt;1,$D1165&gt;31),"نامعتبر",RIGHT("0000"&amp;$B1165,4)&amp;"/"&amp;RIGHT("00"&amp;$C1165,2)&amp;"/"&amp;RIGHT("00"&amp;$D1165,2)))</f>
        <v/>
      </c>
      <c r="F1165">
        <f>IF(Entry!$D1165&lt;&gt;"",IF(AND(ISNUMBER(Entry!$D1165),Entry!$D1165&gt;=0,Entry!$D1165&lt;1),RIGHT("00"&amp;HOUR(Entry!$D1165),2)&amp;":"&amp;RIGHT("00"&amp;MINUTE(Entry!$D1165),2),IFERROR(RIGHT("00"&amp;VALUE(TRIM(LEFT(Entry!$D1165,FIND(":",Entry!$D1165)-1))),2)&amp;":"&amp;RIGHT("00"&amp;VALUE(TRIM(MID(Entry!$D1165,FIND(":",Entry!$D1165)+1,2))),2),"نامعتبر")),IF(OR($E1165="",$E1165="نامعتبر"),"","00:00"))</f>
        <v/>
      </c>
      <c r="G1165">
        <f>IF(OR($E1165="",$E1165="نامعتبر"),"",IF(Entry!$E1165="","",LEFT(UPPER(TRIM(Entry!$E1165)),6)))</f>
        <v/>
      </c>
      <c r="H1165">
        <f>IF($G1165="","",RIGHT($E1165,4)&amp;MID($E1165,6,2)&amp;RIGHT($E1165,2)&amp;IF($F1165="","0000",IF($F1165="نامعتبر","9999",LEFT($F1165,2)&amp;RIGHT($F1165,2)))&amp;"|"&amp;RIGHT("00000"&amp;1157,5))</f>
        <v/>
      </c>
      <c r="I1165">
        <f>IF($H1165="","",COUNTIFS(CalcBank,$G1165,CalcKey,"&lt;"&amp;$H1165)+1)</f>
        <v/>
      </c>
      <c r="J1165">
        <f>IF($I1165="","",$G1165&amp;"|"&amp;RIGHT("000000"&amp;$I1165,6))</f>
        <v/>
      </c>
      <c r="K1165">
        <f>IF(OR($E1165="",$E1165="نامعتبر"),"",LEFT($E1165,4)&amp;"/"&amp;MID($E1165,6,2))</f>
        <v/>
      </c>
      <c r="L1165">
        <f>IF(Entry!$K1165="",0,Entry!$K1165)</f>
        <v/>
      </c>
      <c r="M1165">
        <f>IF(Entry!$L1165="",0,Entry!$L1165)</f>
        <v/>
      </c>
    </row>
    <row r="1166">
      <c r="A1166">
        <f>IF(Entry!$C1166="","",Entry!$C1166)</f>
        <v/>
      </c>
      <c r="B1166">
        <f>IF($A1166="","",IF(ISNUMBER($A1166),IF(AND($A1166&gt;=10000101,$A1166&lt;=99991231),INT($A1166/10000),""),IFERROR(VALUE(TRIM(LEFT($A1166,FIND("/",$A1166)-1))),"")))</f>
        <v/>
      </c>
      <c r="C1166">
        <f>IF(OR($A1166="",$B1166=""),"",IF(ISNUMBER($A1166),INT(MOD($A1166,10000)/100),IFERROR(VALUE(TRIM(LEFT(MID($A1166,FIND("/",$A1166)+1,20),FIND("/",MID($A1166,FIND("/",$A1166)+1,20))-1))),"")))</f>
        <v/>
      </c>
      <c r="D1166">
        <f>IF(OR($A1166="",$B1166=""),"",IF(ISNUMBER($A1166),MOD($A1166,100),IFERROR(VALUE(TRIM(MID(MID($A1166,FIND("/",$A1166)+1,20),FIND("/",MID($A1166,FIND("/",$A1166)+1,20))+1,20))),"")))</f>
        <v/>
      </c>
      <c r="E1166">
        <f>IF($A1166="","",IF(OR($B1166="",$C1166="",$D1166="",$B1166&lt;1300,$B1166&gt;1500,$C1166&lt;1,$C1166&gt;12,$D1166&lt;1,$D1166&gt;31),"نامعتبر",RIGHT("0000"&amp;$B1166,4)&amp;"/"&amp;RIGHT("00"&amp;$C1166,2)&amp;"/"&amp;RIGHT("00"&amp;$D1166,2)))</f>
        <v/>
      </c>
      <c r="F1166">
        <f>IF(Entry!$D1166&lt;&gt;"",IF(AND(ISNUMBER(Entry!$D1166),Entry!$D1166&gt;=0,Entry!$D1166&lt;1),RIGHT("00"&amp;HOUR(Entry!$D1166),2)&amp;":"&amp;RIGHT("00"&amp;MINUTE(Entry!$D1166),2),IFERROR(RIGHT("00"&amp;VALUE(TRIM(LEFT(Entry!$D1166,FIND(":",Entry!$D1166)-1))),2)&amp;":"&amp;RIGHT("00"&amp;VALUE(TRIM(MID(Entry!$D1166,FIND(":",Entry!$D1166)+1,2))),2),"نامعتبر")),IF(OR($E1166="",$E1166="نامعتبر"),"","00:00"))</f>
        <v/>
      </c>
      <c r="G1166">
        <f>IF(OR($E1166="",$E1166="نامعتبر"),"",IF(Entry!$E1166="","",LEFT(UPPER(TRIM(Entry!$E1166)),6)))</f>
        <v/>
      </c>
      <c r="H1166">
        <f>IF($G1166="","",RIGHT($E1166,4)&amp;MID($E1166,6,2)&amp;RIGHT($E1166,2)&amp;IF($F1166="","0000",IF($F1166="نامعتبر","9999",LEFT($F1166,2)&amp;RIGHT($F1166,2)))&amp;"|"&amp;RIGHT("00000"&amp;1158,5))</f>
        <v/>
      </c>
      <c r="I1166">
        <f>IF($H1166="","",COUNTIFS(CalcBank,$G1166,CalcKey,"&lt;"&amp;$H1166)+1)</f>
        <v/>
      </c>
      <c r="J1166">
        <f>IF($I1166="","",$G1166&amp;"|"&amp;RIGHT("000000"&amp;$I1166,6))</f>
        <v/>
      </c>
      <c r="K1166">
        <f>IF(OR($E1166="",$E1166="نامعتبر"),"",LEFT($E1166,4)&amp;"/"&amp;MID($E1166,6,2))</f>
        <v/>
      </c>
      <c r="L1166">
        <f>IF(Entry!$K1166="",0,Entry!$K1166)</f>
        <v/>
      </c>
      <c r="M1166">
        <f>IF(Entry!$L1166="",0,Entry!$L1166)</f>
        <v/>
      </c>
    </row>
    <row r="1167">
      <c r="A1167">
        <f>IF(Entry!$C1167="","",Entry!$C1167)</f>
        <v/>
      </c>
      <c r="B1167">
        <f>IF($A1167="","",IF(ISNUMBER($A1167),IF(AND($A1167&gt;=10000101,$A1167&lt;=99991231),INT($A1167/10000),""),IFERROR(VALUE(TRIM(LEFT($A1167,FIND("/",$A1167)-1))),"")))</f>
        <v/>
      </c>
      <c r="C1167">
        <f>IF(OR($A1167="",$B1167=""),"",IF(ISNUMBER($A1167),INT(MOD($A1167,10000)/100),IFERROR(VALUE(TRIM(LEFT(MID($A1167,FIND("/",$A1167)+1,20),FIND("/",MID($A1167,FIND("/",$A1167)+1,20))-1))),"")))</f>
        <v/>
      </c>
      <c r="D1167">
        <f>IF(OR($A1167="",$B1167=""),"",IF(ISNUMBER($A1167),MOD($A1167,100),IFERROR(VALUE(TRIM(MID(MID($A1167,FIND("/",$A1167)+1,20),FIND("/",MID($A1167,FIND("/",$A1167)+1,20))+1,20))),"")))</f>
        <v/>
      </c>
      <c r="E1167">
        <f>IF($A1167="","",IF(OR($B1167="",$C1167="",$D1167="",$B1167&lt;1300,$B1167&gt;1500,$C1167&lt;1,$C1167&gt;12,$D1167&lt;1,$D1167&gt;31),"نامعتبر",RIGHT("0000"&amp;$B1167,4)&amp;"/"&amp;RIGHT("00"&amp;$C1167,2)&amp;"/"&amp;RIGHT("00"&amp;$D1167,2)))</f>
        <v/>
      </c>
      <c r="F1167">
        <f>IF(Entry!$D1167&lt;&gt;"",IF(AND(ISNUMBER(Entry!$D1167),Entry!$D1167&gt;=0,Entry!$D1167&lt;1),RIGHT("00"&amp;HOUR(Entry!$D1167),2)&amp;":"&amp;RIGHT("00"&amp;MINUTE(Entry!$D1167),2),IFERROR(RIGHT("00"&amp;VALUE(TRIM(LEFT(Entry!$D1167,FIND(":",Entry!$D1167)-1))),2)&amp;":"&amp;RIGHT("00"&amp;VALUE(TRIM(MID(Entry!$D1167,FIND(":",Entry!$D1167)+1,2))),2),"نامعتبر")),IF(OR($E1167="",$E1167="نامعتبر"),"","00:00"))</f>
        <v/>
      </c>
      <c r="G1167">
        <f>IF(OR($E1167="",$E1167="نامعتبر"),"",IF(Entry!$E1167="","",LEFT(UPPER(TRIM(Entry!$E1167)),6)))</f>
        <v/>
      </c>
      <c r="H1167">
        <f>IF($G1167="","",RIGHT($E1167,4)&amp;MID($E1167,6,2)&amp;RIGHT($E1167,2)&amp;IF($F1167="","0000",IF($F1167="نامعتبر","9999",LEFT($F1167,2)&amp;RIGHT($F1167,2)))&amp;"|"&amp;RIGHT("00000"&amp;1159,5))</f>
        <v/>
      </c>
      <c r="I1167">
        <f>IF($H1167="","",COUNTIFS(CalcBank,$G1167,CalcKey,"&lt;"&amp;$H1167)+1)</f>
        <v/>
      </c>
      <c r="J1167">
        <f>IF($I1167="","",$G1167&amp;"|"&amp;RIGHT("000000"&amp;$I1167,6))</f>
        <v/>
      </c>
      <c r="K1167">
        <f>IF(OR($E1167="",$E1167="نامعتبر"),"",LEFT($E1167,4)&amp;"/"&amp;MID($E1167,6,2))</f>
        <v/>
      </c>
      <c r="L1167">
        <f>IF(Entry!$K1167="",0,Entry!$K1167)</f>
        <v/>
      </c>
      <c r="M1167">
        <f>IF(Entry!$L1167="",0,Entry!$L1167)</f>
        <v/>
      </c>
    </row>
    <row r="1168">
      <c r="A1168">
        <f>IF(Entry!$C1168="","",Entry!$C1168)</f>
        <v/>
      </c>
      <c r="B1168">
        <f>IF($A1168="","",IF(ISNUMBER($A1168),IF(AND($A1168&gt;=10000101,$A1168&lt;=99991231),INT($A1168/10000),""),IFERROR(VALUE(TRIM(LEFT($A1168,FIND("/",$A1168)-1))),"")))</f>
        <v/>
      </c>
      <c r="C1168">
        <f>IF(OR($A1168="",$B1168=""),"",IF(ISNUMBER($A1168),INT(MOD($A1168,10000)/100),IFERROR(VALUE(TRIM(LEFT(MID($A1168,FIND("/",$A1168)+1,20),FIND("/",MID($A1168,FIND("/",$A1168)+1,20))-1))),"")))</f>
        <v/>
      </c>
      <c r="D1168">
        <f>IF(OR($A1168="",$B1168=""),"",IF(ISNUMBER($A1168),MOD($A1168,100),IFERROR(VALUE(TRIM(MID(MID($A1168,FIND("/",$A1168)+1,20),FIND("/",MID($A1168,FIND("/",$A1168)+1,20))+1,20))),"")))</f>
        <v/>
      </c>
      <c r="E1168">
        <f>IF($A1168="","",IF(OR($B1168="",$C1168="",$D1168="",$B1168&lt;1300,$B1168&gt;1500,$C1168&lt;1,$C1168&gt;12,$D1168&lt;1,$D1168&gt;31),"نامعتبر",RIGHT("0000"&amp;$B1168,4)&amp;"/"&amp;RIGHT("00"&amp;$C1168,2)&amp;"/"&amp;RIGHT("00"&amp;$D1168,2)))</f>
        <v/>
      </c>
      <c r="F1168">
        <f>IF(Entry!$D1168&lt;&gt;"",IF(AND(ISNUMBER(Entry!$D1168),Entry!$D1168&gt;=0,Entry!$D1168&lt;1),RIGHT("00"&amp;HOUR(Entry!$D1168),2)&amp;":"&amp;RIGHT("00"&amp;MINUTE(Entry!$D1168),2),IFERROR(RIGHT("00"&amp;VALUE(TRIM(LEFT(Entry!$D1168,FIND(":",Entry!$D1168)-1))),2)&amp;":"&amp;RIGHT("00"&amp;VALUE(TRIM(MID(Entry!$D1168,FIND(":",Entry!$D1168)+1,2))),2),"نامعتبر")),IF(OR($E1168="",$E1168="نامعتبر"),"","00:00"))</f>
        <v/>
      </c>
      <c r="G1168">
        <f>IF(OR($E1168="",$E1168="نامعتبر"),"",IF(Entry!$E1168="","",LEFT(UPPER(TRIM(Entry!$E1168)),6)))</f>
        <v/>
      </c>
      <c r="H1168">
        <f>IF($G1168="","",RIGHT($E1168,4)&amp;MID($E1168,6,2)&amp;RIGHT($E1168,2)&amp;IF($F1168="","0000",IF($F1168="نامعتبر","9999",LEFT($F1168,2)&amp;RIGHT($F1168,2)))&amp;"|"&amp;RIGHT("00000"&amp;1160,5))</f>
        <v/>
      </c>
      <c r="I1168">
        <f>IF($H1168="","",COUNTIFS(CalcBank,$G1168,CalcKey,"&lt;"&amp;$H1168)+1)</f>
        <v/>
      </c>
      <c r="J1168">
        <f>IF($I1168="","",$G1168&amp;"|"&amp;RIGHT("000000"&amp;$I1168,6))</f>
        <v/>
      </c>
      <c r="K1168">
        <f>IF(OR($E1168="",$E1168="نامعتبر"),"",LEFT($E1168,4)&amp;"/"&amp;MID($E1168,6,2))</f>
        <v/>
      </c>
      <c r="L1168">
        <f>IF(Entry!$K1168="",0,Entry!$K1168)</f>
        <v/>
      </c>
      <c r="M1168">
        <f>IF(Entry!$L1168="",0,Entry!$L1168)</f>
        <v/>
      </c>
    </row>
    <row r="1169">
      <c r="A1169">
        <f>IF(Entry!$C1169="","",Entry!$C1169)</f>
        <v/>
      </c>
      <c r="B1169">
        <f>IF($A1169="","",IF(ISNUMBER($A1169),IF(AND($A1169&gt;=10000101,$A1169&lt;=99991231),INT($A1169/10000),""),IFERROR(VALUE(TRIM(LEFT($A1169,FIND("/",$A1169)-1))),"")))</f>
        <v/>
      </c>
      <c r="C1169">
        <f>IF(OR($A1169="",$B1169=""),"",IF(ISNUMBER($A1169),INT(MOD($A1169,10000)/100),IFERROR(VALUE(TRIM(LEFT(MID($A1169,FIND("/",$A1169)+1,20),FIND("/",MID($A1169,FIND("/",$A1169)+1,20))-1))),"")))</f>
        <v/>
      </c>
      <c r="D1169">
        <f>IF(OR($A1169="",$B1169=""),"",IF(ISNUMBER($A1169),MOD($A1169,100),IFERROR(VALUE(TRIM(MID(MID($A1169,FIND("/",$A1169)+1,20),FIND("/",MID($A1169,FIND("/",$A1169)+1,20))+1,20))),"")))</f>
        <v/>
      </c>
      <c r="E1169">
        <f>IF($A1169="","",IF(OR($B1169="",$C1169="",$D1169="",$B1169&lt;1300,$B1169&gt;1500,$C1169&lt;1,$C1169&gt;12,$D1169&lt;1,$D1169&gt;31),"نامعتبر",RIGHT("0000"&amp;$B1169,4)&amp;"/"&amp;RIGHT("00"&amp;$C1169,2)&amp;"/"&amp;RIGHT("00"&amp;$D1169,2)))</f>
        <v/>
      </c>
      <c r="F1169">
        <f>IF(Entry!$D1169&lt;&gt;"",IF(AND(ISNUMBER(Entry!$D1169),Entry!$D1169&gt;=0,Entry!$D1169&lt;1),RIGHT("00"&amp;HOUR(Entry!$D1169),2)&amp;":"&amp;RIGHT("00"&amp;MINUTE(Entry!$D1169),2),IFERROR(RIGHT("00"&amp;VALUE(TRIM(LEFT(Entry!$D1169,FIND(":",Entry!$D1169)-1))),2)&amp;":"&amp;RIGHT("00"&amp;VALUE(TRIM(MID(Entry!$D1169,FIND(":",Entry!$D1169)+1,2))),2),"نامعتبر")),IF(OR($E1169="",$E1169="نامعتبر"),"","00:00"))</f>
        <v/>
      </c>
      <c r="G1169">
        <f>IF(OR($E1169="",$E1169="نامعتبر"),"",IF(Entry!$E1169="","",LEFT(UPPER(TRIM(Entry!$E1169)),6)))</f>
        <v/>
      </c>
      <c r="H1169">
        <f>IF($G1169="","",RIGHT($E1169,4)&amp;MID($E1169,6,2)&amp;RIGHT($E1169,2)&amp;IF($F1169="","0000",IF($F1169="نامعتبر","9999",LEFT($F1169,2)&amp;RIGHT($F1169,2)))&amp;"|"&amp;RIGHT("00000"&amp;1161,5))</f>
        <v/>
      </c>
      <c r="I1169">
        <f>IF($H1169="","",COUNTIFS(CalcBank,$G1169,CalcKey,"&lt;"&amp;$H1169)+1)</f>
        <v/>
      </c>
      <c r="J1169">
        <f>IF($I1169="","",$G1169&amp;"|"&amp;RIGHT("000000"&amp;$I1169,6))</f>
        <v/>
      </c>
      <c r="K1169">
        <f>IF(OR($E1169="",$E1169="نامعتبر"),"",LEFT($E1169,4)&amp;"/"&amp;MID($E1169,6,2))</f>
        <v/>
      </c>
      <c r="L1169">
        <f>IF(Entry!$K1169="",0,Entry!$K1169)</f>
        <v/>
      </c>
      <c r="M1169">
        <f>IF(Entry!$L1169="",0,Entry!$L1169)</f>
        <v/>
      </c>
    </row>
    <row r="1170">
      <c r="A1170">
        <f>IF(Entry!$C1170="","",Entry!$C1170)</f>
        <v/>
      </c>
      <c r="B1170">
        <f>IF($A1170="","",IF(ISNUMBER($A1170),IF(AND($A1170&gt;=10000101,$A1170&lt;=99991231),INT($A1170/10000),""),IFERROR(VALUE(TRIM(LEFT($A1170,FIND("/",$A1170)-1))),"")))</f>
        <v/>
      </c>
      <c r="C1170">
        <f>IF(OR($A1170="",$B1170=""),"",IF(ISNUMBER($A1170),INT(MOD($A1170,10000)/100),IFERROR(VALUE(TRIM(LEFT(MID($A1170,FIND("/",$A1170)+1,20),FIND("/",MID($A1170,FIND("/",$A1170)+1,20))-1))),"")))</f>
        <v/>
      </c>
      <c r="D1170">
        <f>IF(OR($A1170="",$B1170=""),"",IF(ISNUMBER($A1170),MOD($A1170,100),IFERROR(VALUE(TRIM(MID(MID($A1170,FIND("/",$A1170)+1,20),FIND("/",MID($A1170,FIND("/",$A1170)+1,20))+1,20))),"")))</f>
        <v/>
      </c>
      <c r="E1170">
        <f>IF($A1170="","",IF(OR($B1170="",$C1170="",$D1170="",$B1170&lt;1300,$B1170&gt;1500,$C1170&lt;1,$C1170&gt;12,$D1170&lt;1,$D1170&gt;31),"نامعتبر",RIGHT("0000"&amp;$B1170,4)&amp;"/"&amp;RIGHT("00"&amp;$C1170,2)&amp;"/"&amp;RIGHT("00"&amp;$D1170,2)))</f>
        <v/>
      </c>
      <c r="F1170">
        <f>IF(Entry!$D1170&lt;&gt;"",IF(AND(ISNUMBER(Entry!$D1170),Entry!$D1170&gt;=0,Entry!$D1170&lt;1),RIGHT("00"&amp;HOUR(Entry!$D1170),2)&amp;":"&amp;RIGHT("00"&amp;MINUTE(Entry!$D1170),2),IFERROR(RIGHT("00"&amp;VALUE(TRIM(LEFT(Entry!$D1170,FIND(":",Entry!$D1170)-1))),2)&amp;":"&amp;RIGHT("00"&amp;VALUE(TRIM(MID(Entry!$D1170,FIND(":",Entry!$D1170)+1,2))),2),"نامعتبر")),IF(OR($E1170="",$E1170="نامعتبر"),"","00:00"))</f>
        <v/>
      </c>
      <c r="G1170">
        <f>IF(OR($E1170="",$E1170="نامعتبر"),"",IF(Entry!$E1170="","",LEFT(UPPER(TRIM(Entry!$E1170)),6)))</f>
        <v/>
      </c>
      <c r="H1170">
        <f>IF($G1170="","",RIGHT($E1170,4)&amp;MID($E1170,6,2)&amp;RIGHT($E1170,2)&amp;IF($F1170="","0000",IF($F1170="نامعتبر","9999",LEFT($F1170,2)&amp;RIGHT($F1170,2)))&amp;"|"&amp;RIGHT("00000"&amp;1162,5))</f>
        <v/>
      </c>
      <c r="I1170">
        <f>IF($H1170="","",COUNTIFS(CalcBank,$G1170,CalcKey,"&lt;"&amp;$H1170)+1)</f>
        <v/>
      </c>
      <c r="J1170">
        <f>IF($I1170="","",$G1170&amp;"|"&amp;RIGHT("000000"&amp;$I1170,6))</f>
        <v/>
      </c>
      <c r="K1170">
        <f>IF(OR($E1170="",$E1170="نامعتبر"),"",LEFT($E1170,4)&amp;"/"&amp;MID($E1170,6,2))</f>
        <v/>
      </c>
      <c r="L1170">
        <f>IF(Entry!$K1170="",0,Entry!$K1170)</f>
        <v/>
      </c>
      <c r="M1170">
        <f>IF(Entry!$L1170="",0,Entry!$L1170)</f>
        <v/>
      </c>
    </row>
    <row r="1171">
      <c r="A1171">
        <f>IF(Entry!$C1171="","",Entry!$C1171)</f>
        <v/>
      </c>
      <c r="B1171">
        <f>IF($A1171="","",IF(ISNUMBER($A1171),IF(AND($A1171&gt;=10000101,$A1171&lt;=99991231),INT($A1171/10000),""),IFERROR(VALUE(TRIM(LEFT($A1171,FIND("/",$A1171)-1))),"")))</f>
        <v/>
      </c>
      <c r="C1171">
        <f>IF(OR($A1171="",$B1171=""),"",IF(ISNUMBER($A1171),INT(MOD($A1171,10000)/100),IFERROR(VALUE(TRIM(LEFT(MID($A1171,FIND("/",$A1171)+1,20),FIND("/",MID($A1171,FIND("/",$A1171)+1,20))-1))),"")))</f>
        <v/>
      </c>
      <c r="D1171">
        <f>IF(OR($A1171="",$B1171=""),"",IF(ISNUMBER($A1171),MOD($A1171,100),IFERROR(VALUE(TRIM(MID(MID($A1171,FIND("/",$A1171)+1,20),FIND("/",MID($A1171,FIND("/",$A1171)+1,20))+1,20))),"")))</f>
        <v/>
      </c>
      <c r="E1171">
        <f>IF($A1171="","",IF(OR($B1171="",$C1171="",$D1171="",$B1171&lt;1300,$B1171&gt;1500,$C1171&lt;1,$C1171&gt;12,$D1171&lt;1,$D1171&gt;31),"نامعتبر",RIGHT("0000"&amp;$B1171,4)&amp;"/"&amp;RIGHT("00"&amp;$C1171,2)&amp;"/"&amp;RIGHT("00"&amp;$D1171,2)))</f>
        <v/>
      </c>
      <c r="F1171">
        <f>IF(Entry!$D1171&lt;&gt;"",IF(AND(ISNUMBER(Entry!$D1171),Entry!$D1171&gt;=0,Entry!$D1171&lt;1),RIGHT("00"&amp;HOUR(Entry!$D1171),2)&amp;":"&amp;RIGHT("00"&amp;MINUTE(Entry!$D1171),2),IFERROR(RIGHT("00"&amp;VALUE(TRIM(LEFT(Entry!$D1171,FIND(":",Entry!$D1171)-1))),2)&amp;":"&amp;RIGHT("00"&amp;VALUE(TRIM(MID(Entry!$D1171,FIND(":",Entry!$D1171)+1,2))),2),"نامعتبر")),IF(OR($E1171="",$E1171="نامعتبر"),"","00:00"))</f>
        <v/>
      </c>
      <c r="G1171">
        <f>IF(OR($E1171="",$E1171="نامعتبر"),"",IF(Entry!$E1171="","",LEFT(UPPER(TRIM(Entry!$E1171)),6)))</f>
        <v/>
      </c>
      <c r="H1171">
        <f>IF($G1171="","",RIGHT($E1171,4)&amp;MID($E1171,6,2)&amp;RIGHT($E1171,2)&amp;IF($F1171="","0000",IF($F1171="نامعتبر","9999",LEFT($F1171,2)&amp;RIGHT($F1171,2)))&amp;"|"&amp;RIGHT("00000"&amp;1163,5))</f>
        <v/>
      </c>
      <c r="I1171">
        <f>IF($H1171="","",COUNTIFS(CalcBank,$G1171,CalcKey,"&lt;"&amp;$H1171)+1)</f>
        <v/>
      </c>
      <c r="J1171">
        <f>IF($I1171="","",$G1171&amp;"|"&amp;RIGHT("000000"&amp;$I1171,6))</f>
        <v/>
      </c>
      <c r="K1171">
        <f>IF(OR($E1171="",$E1171="نامعتبر"),"",LEFT($E1171,4)&amp;"/"&amp;MID($E1171,6,2))</f>
        <v/>
      </c>
      <c r="L1171">
        <f>IF(Entry!$K1171="",0,Entry!$K1171)</f>
        <v/>
      </c>
      <c r="M1171">
        <f>IF(Entry!$L1171="",0,Entry!$L1171)</f>
        <v/>
      </c>
    </row>
    <row r="1172">
      <c r="A1172">
        <f>IF(Entry!$C1172="","",Entry!$C1172)</f>
        <v/>
      </c>
      <c r="B1172">
        <f>IF($A1172="","",IF(ISNUMBER($A1172),IF(AND($A1172&gt;=10000101,$A1172&lt;=99991231),INT($A1172/10000),""),IFERROR(VALUE(TRIM(LEFT($A1172,FIND("/",$A1172)-1))),"")))</f>
        <v/>
      </c>
      <c r="C1172">
        <f>IF(OR($A1172="",$B1172=""),"",IF(ISNUMBER($A1172),INT(MOD($A1172,10000)/100),IFERROR(VALUE(TRIM(LEFT(MID($A1172,FIND("/",$A1172)+1,20),FIND("/",MID($A1172,FIND("/",$A1172)+1,20))-1))),"")))</f>
        <v/>
      </c>
      <c r="D1172">
        <f>IF(OR($A1172="",$B1172=""),"",IF(ISNUMBER($A1172),MOD($A1172,100),IFERROR(VALUE(TRIM(MID(MID($A1172,FIND("/",$A1172)+1,20),FIND("/",MID($A1172,FIND("/",$A1172)+1,20))+1,20))),"")))</f>
        <v/>
      </c>
      <c r="E1172">
        <f>IF($A1172="","",IF(OR($B1172="",$C1172="",$D1172="",$B1172&lt;1300,$B1172&gt;1500,$C1172&lt;1,$C1172&gt;12,$D1172&lt;1,$D1172&gt;31),"نامعتبر",RIGHT("0000"&amp;$B1172,4)&amp;"/"&amp;RIGHT("00"&amp;$C1172,2)&amp;"/"&amp;RIGHT("00"&amp;$D1172,2)))</f>
        <v/>
      </c>
      <c r="F1172">
        <f>IF(Entry!$D1172&lt;&gt;"",IF(AND(ISNUMBER(Entry!$D1172),Entry!$D1172&gt;=0,Entry!$D1172&lt;1),RIGHT("00"&amp;HOUR(Entry!$D1172),2)&amp;":"&amp;RIGHT("00"&amp;MINUTE(Entry!$D1172),2),IFERROR(RIGHT("00"&amp;VALUE(TRIM(LEFT(Entry!$D1172,FIND(":",Entry!$D1172)-1))),2)&amp;":"&amp;RIGHT("00"&amp;VALUE(TRIM(MID(Entry!$D1172,FIND(":",Entry!$D1172)+1,2))),2),"نامعتبر")),IF(OR($E1172="",$E1172="نامعتبر"),"","00:00"))</f>
        <v/>
      </c>
      <c r="G1172">
        <f>IF(OR($E1172="",$E1172="نامعتبر"),"",IF(Entry!$E1172="","",LEFT(UPPER(TRIM(Entry!$E1172)),6)))</f>
        <v/>
      </c>
      <c r="H1172">
        <f>IF($G1172="","",RIGHT($E1172,4)&amp;MID($E1172,6,2)&amp;RIGHT($E1172,2)&amp;IF($F1172="","0000",IF($F1172="نامعتبر","9999",LEFT($F1172,2)&amp;RIGHT($F1172,2)))&amp;"|"&amp;RIGHT("00000"&amp;1164,5))</f>
        <v/>
      </c>
      <c r="I1172">
        <f>IF($H1172="","",COUNTIFS(CalcBank,$G1172,CalcKey,"&lt;"&amp;$H1172)+1)</f>
        <v/>
      </c>
      <c r="J1172">
        <f>IF($I1172="","",$G1172&amp;"|"&amp;RIGHT("000000"&amp;$I1172,6))</f>
        <v/>
      </c>
      <c r="K1172">
        <f>IF(OR($E1172="",$E1172="نامعتبر"),"",LEFT($E1172,4)&amp;"/"&amp;MID($E1172,6,2))</f>
        <v/>
      </c>
      <c r="L1172">
        <f>IF(Entry!$K1172="",0,Entry!$K1172)</f>
        <v/>
      </c>
      <c r="M1172">
        <f>IF(Entry!$L1172="",0,Entry!$L1172)</f>
        <v/>
      </c>
    </row>
    <row r="1173">
      <c r="A1173">
        <f>IF(Entry!$C1173="","",Entry!$C1173)</f>
        <v/>
      </c>
      <c r="B1173">
        <f>IF($A1173="","",IF(ISNUMBER($A1173),IF(AND($A1173&gt;=10000101,$A1173&lt;=99991231),INT($A1173/10000),""),IFERROR(VALUE(TRIM(LEFT($A1173,FIND("/",$A1173)-1))),"")))</f>
        <v/>
      </c>
      <c r="C1173">
        <f>IF(OR($A1173="",$B1173=""),"",IF(ISNUMBER($A1173),INT(MOD($A1173,10000)/100),IFERROR(VALUE(TRIM(LEFT(MID($A1173,FIND("/",$A1173)+1,20),FIND("/",MID($A1173,FIND("/",$A1173)+1,20))-1))),"")))</f>
        <v/>
      </c>
      <c r="D1173">
        <f>IF(OR($A1173="",$B1173=""),"",IF(ISNUMBER($A1173),MOD($A1173,100),IFERROR(VALUE(TRIM(MID(MID($A1173,FIND("/",$A1173)+1,20),FIND("/",MID($A1173,FIND("/",$A1173)+1,20))+1,20))),"")))</f>
        <v/>
      </c>
      <c r="E1173">
        <f>IF($A1173="","",IF(OR($B1173="",$C1173="",$D1173="",$B1173&lt;1300,$B1173&gt;1500,$C1173&lt;1,$C1173&gt;12,$D1173&lt;1,$D1173&gt;31),"نامعتبر",RIGHT("0000"&amp;$B1173,4)&amp;"/"&amp;RIGHT("00"&amp;$C1173,2)&amp;"/"&amp;RIGHT("00"&amp;$D1173,2)))</f>
        <v/>
      </c>
      <c r="F1173">
        <f>IF(Entry!$D1173&lt;&gt;"",IF(AND(ISNUMBER(Entry!$D1173),Entry!$D1173&gt;=0,Entry!$D1173&lt;1),RIGHT("00"&amp;HOUR(Entry!$D1173),2)&amp;":"&amp;RIGHT("00"&amp;MINUTE(Entry!$D1173),2),IFERROR(RIGHT("00"&amp;VALUE(TRIM(LEFT(Entry!$D1173,FIND(":",Entry!$D1173)-1))),2)&amp;":"&amp;RIGHT("00"&amp;VALUE(TRIM(MID(Entry!$D1173,FIND(":",Entry!$D1173)+1,2))),2),"نامعتبر")),IF(OR($E1173="",$E1173="نامعتبر"),"","00:00"))</f>
        <v/>
      </c>
      <c r="G1173">
        <f>IF(OR($E1173="",$E1173="نامعتبر"),"",IF(Entry!$E1173="","",LEFT(UPPER(TRIM(Entry!$E1173)),6)))</f>
        <v/>
      </c>
      <c r="H1173">
        <f>IF($G1173="","",RIGHT($E1173,4)&amp;MID($E1173,6,2)&amp;RIGHT($E1173,2)&amp;IF($F1173="","0000",IF($F1173="نامعتبر","9999",LEFT($F1173,2)&amp;RIGHT($F1173,2)))&amp;"|"&amp;RIGHT("00000"&amp;1165,5))</f>
        <v/>
      </c>
      <c r="I1173">
        <f>IF($H1173="","",COUNTIFS(CalcBank,$G1173,CalcKey,"&lt;"&amp;$H1173)+1)</f>
        <v/>
      </c>
      <c r="J1173">
        <f>IF($I1173="","",$G1173&amp;"|"&amp;RIGHT("000000"&amp;$I1173,6))</f>
        <v/>
      </c>
      <c r="K1173">
        <f>IF(OR($E1173="",$E1173="نامعتبر"),"",LEFT($E1173,4)&amp;"/"&amp;MID($E1173,6,2))</f>
        <v/>
      </c>
      <c r="L1173">
        <f>IF(Entry!$K1173="",0,Entry!$K1173)</f>
        <v/>
      </c>
      <c r="M1173">
        <f>IF(Entry!$L1173="",0,Entry!$L1173)</f>
        <v/>
      </c>
    </row>
    <row r="1174">
      <c r="A1174">
        <f>IF(Entry!$C1174="","",Entry!$C1174)</f>
        <v/>
      </c>
      <c r="B1174">
        <f>IF($A1174="","",IF(ISNUMBER($A1174),IF(AND($A1174&gt;=10000101,$A1174&lt;=99991231),INT($A1174/10000),""),IFERROR(VALUE(TRIM(LEFT($A1174,FIND("/",$A1174)-1))),"")))</f>
        <v/>
      </c>
      <c r="C1174">
        <f>IF(OR($A1174="",$B1174=""),"",IF(ISNUMBER($A1174),INT(MOD($A1174,10000)/100),IFERROR(VALUE(TRIM(LEFT(MID($A1174,FIND("/",$A1174)+1,20),FIND("/",MID($A1174,FIND("/",$A1174)+1,20))-1))),"")))</f>
        <v/>
      </c>
      <c r="D1174">
        <f>IF(OR($A1174="",$B1174=""),"",IF(ISNUMBER($A1174),MOD($A1174,100),IFERROR(VALUE(TRIM(MID(MID($A1174,FIND("/",$A1174)+1,20),FIND("/",MID($A1174,FIND("/",$A1174)+1,20))+1,20))),"")))</f>
        <v/>
      </c>
      <c r="E1174">
        <f>IF($A1174="","",IF(OR($B1174="",$C1174="",$D1174="",$B1174&lt;1300,$B1174&gt;1500,$C1174&lt;1,$C1174&gt;12,$D1174&lt;1,$D1174&gt;31),"نامعتبر",RIGHT("0000"&amp;$B1174,4)&amp;"/"&amp;RIGHT("00"&amp;$C1174,2)&amp;"/"&amp;RIGHT("00"&amp;$D1174,2)))</f>
        <v/>
      </c>
      <c r="F1174">
        <f>IF(Entry!$D1174&lt;&gt;"",IF(AND(ISNUMBER(Entry!$D1174),Entry!$D1174&gt;=0,Entry!$D1174&lt;1),RIGHT("00"&amp;HOUR(Entry!$D1174),2)&amp;":"&amp;RIGHT("00"&amp;MINUTE(Entry!$D1174),2),IFERROR(RIGHT("00"&amp;VALUE(TRIM(LEFT(Entry!$D1174,FIND(":",Entry!$D1174)-1))),2)&amp;":"&amp;RIGHT("00"&amp;VALUE(TRIM(MID(Entry!$D1174,FIND(":",Entry!$D1174)+1,2))),2),"نامعتبر")),IF(OR($E1174="",$E1174="نامعتبر"),"","00:00"))</f>
        <v/>
      </c>
      <c r="G1174">
        <f>IF(OR($E1174="",$E1174="نامعتبر"),"",IF(Entry!$E1174="","",LEFT(UPPER(TRIM(Entry!$E1174)),6)))</f>
        <v/>
      </c>
      <c r="H1174">
        <f>IF($G1174="","",RIGHT($E1174,4)&amp;MID($E1174,6,2)&amp;RIGHT($E1174,2)&amp;IF($F1174="","0000",IF($F1174="نامعتبر","9999",LEFT($F1174,2)&amp;RIGHT($F1174,2)))&amp;"|"&amp;RIGHT("00000"&amp;1166,5))</f>
        <v/>
      </c>
      <c r="I1174">
        <f>IF($H1174="","",COUNTIFS(CalcBank,$G1174,CalcKey,"&lt;"&amp;$H1174)+1)</f>
        <v/>
      </c>
      <c r="J1174">
        <f>IF($I1174="","",$G1174&amp;"|"&amp;RIGHT("000000"&amp;$I1174,6))</f>
        <v/>
      </c>
      <c r="K1174">
        <f>IF(OR($E1174="",$E1174="نامعتبر"),"",LEFT($E1174,4)&amp;"/"&amp;MID($E1174,6,2))</f>
        <v/>
      </c>
      <c r="L1174">
        <f>IF(Entry!$K1174="",0,Entry!$K1174)</f>
        <v/>
      </c>
      <c r="M1174">
        <f>IF(Entry!$L1174="",0,Entry!$L1174)</f>
        <v/>
      </c>
    </row>
    <row r="1175">
      <c r="A1175">
        <f>IF(Entry!$C1175="","",Entry!$C1175)</f>
        <v/>
      </c>
      <c r="B1175">
        <f>IF($A1175="","",IF(ISNUMBER($A1175),IF(AND($A1175&gt;=10000101,$A1175&lt;=99991231),INT($A1175/10000),""),IFERROR(VALUE(TRIM(LEFT($A1175,FIND("/",$A1175)-1))),"")))</f>
        <v/>
      </c>
      <c r="C1175">
        <f>IF(OR($A1175="",$B1175=""),"",IF(ISNUMBER($A1175),INT(MOD($A1175,10000)/100),IFERROR(VALUE(TRIM(LEFT(MID($A1175,FIND("/",$A1175)+1,20),FIND("/",MID($A1175,FIND("/",$A1175)+1,20))-1))),"")))</f>
        <v/>
      </c>
      <c r="D1175">
        <f>IF(OR($A1175="",$B1175=""),"",IF(ISNUMBER($A1175),MOD($A1175,100),IFERROR(VALUE(TRIM(MID(MID($A1175,FIND("/",$A1175)+1,20),FIND("/",MID($A1175,FIND("/",$A1175)+1,20))+1,20))),"")))</f>
        <v/>
      </c>
      <c r="E1175">
        <f>IF($A1175="","",IF(OR($B1175="",$C1175="",$D1175="",$B1175&lt;1300,$B1175&gt;1500,$C1175&lt;1,$C1175&gt;12,$D1175&lt;1,$D1175&gt;31),"نامعتبر",RIGHT("0000"&amp;$B1175,4)&amp;"/"&amp;RIGHT("00"&amp;$C1175,2)&amp;"/"&amp;RIGHT("00"&amp;$D1175,2)))</f>
        <v/>
      </c>
      <c r="F1175">
        <f>IF(Entry!$D1175&lt;&gt;"",IF(AND(ISNUMBER(Entry!$D1175),Entry!$D1175&gt;=0,Entry!$D1175&lt;1),RIGHT("00"&amp;HOUR(Entry!$D1175),2)&amp;":"&amp;RIGHT("00"&amp;MINUTE(Entry!$D1175),2),IFERROR(RIGHT("00"&amp;VALUE(TRIM(LEFT(Entry!$D1175,FIND(":",Entry!$D1175)-1))),2)&amp;":"&amp;RIGHT("00"&amp;VALUE(TRIM(MID(Entry!$D1175,FIND(":",Entry!$D1175)+1,2))),2),"نامعتبر")),IF(OR($E1175="",$E1175="نامعتبر"),"","00:00"))</f>
        <v/>
      </c>
      <c r="G1175">
        <f>IF(OR($E1175="",$E1175="نامعتبر"),"",IF(Entry!$E1175="","",LEFT(UPPER(TRIM(Entry!$E1175)),6)))</f>
        <v/>
      </c>
      <c r="H1175">
        <f>IF($G1175="","",RIGHT($E1175,4)&amp;MID($E1175,6,2)&amp;RIGHT($E1175,2)&amp;IF($F1175="","0000",IF($F1175="نامعتبر","9999",LEFT($F1175,2)&amp;RIGHT($F1175,2)))&amp;"|"&amp;RIGHT("00000"&amp;1167,5))</f>
        <v/>
      </c>
      <c r="I1175">
        <f>IF($H1175="","",COUNTIFS(CalcBank,$G1175,CalcKey,"&lt;"&amp;$H1175)+1)</f>
        <v/>
      </c>
      <c r="J1175">
        <f>IF($I1175="","",$G1175&amp;"|"&amp;RIGHT("000000"&amp;$I1175,6))</f>
        <v/>
      </c>
      <c r="K1175">
        <f>IF(OR($E1175="",$E1175="نامعتبر"),"",LEFT($E1175,4)&amp;"/"&amp;MID($E1175,6,2))</f>
        <v/>
      </c>
      <c r="L1175">
        <f>IF(Entry!$K1175="",0,Entry!$K1175)</f>
        <v/>
      </c>
      <c r="M1175">
        <f>IF(Entry!$L1175="",0,Entry!$L1175)</f>
        <v/>
      </c>
    </row>
    <row r="1176">
      <c r="A1176">
        <f>IF(Entry!$C1176="","",Entry!$C1176)</f>
        <v/>
      </c>
      <c r="B1176">
        <f>IF($A1176="","",IF(ISNUMBER($A1176),IF(AND($A1176&gt;=10000101,$A1176&lt;=99991231),INT($A1176/10000),""),IFERROR(VALUE(TRIM(LEFT($A1176,FIND("/",$A1176)-1))),"")))</f>
        <v/>
      </c>
      <c r="C1176">
        <f>IF(OR($A1176="",$B1176=""),"",IF(ISNUMBER($A1176),INT(MOD($A1176,10000)/100),IFERROR(VALUE(TRIM(LEFT(MID($A1176,FIND("/",$A1176)+1,20),FIND("/",MID($A1176,FIND("/",$A1176)+1,20))-1))),"")))</f>
        <v/>
      </c>
      <c r="D1176">
        <f>IF(OR($A1176="",$B1176=""),"",IF(ISNUMBER($A1176),MOD($A1176,100),IFERROR(VALUE(TRIM(MID(MID($A1176,FIND("/",$A1176)+1,20),FIND("/",MID($A1176,FIND("/",$A1176)+1,20))+1,20))),"")))</f>
        <v/>
      </c>
      <c r="E1176">
        <f>IF($A1176="","",IF(OR($B1176="",$C1176="",$D1176="",$B1176&lt;1300,$B1176&gt;1500,$C1176&lt;1,$C1176&gt;12,$D1176&lt;1,$D1176&gt;31),"نامعتبر",RIGHT("0000"&amp;$B1176,4)&amp;"/"&amp;RIGHT("00"&amp;$C1176,2)&amp;"/"&amp;RIGHT("00"&amp;$D1176,2)))</f>
        <v/>
      </c>
      <c r="F1176">
        <f>IF(Entry!$D1176&lt;&gt;"",IF(AND(ISNUMBER(Entry!$D1176),Entry!$D1176&gt;=0,Entry!$D1176&lt;1),RIGHT("00"&amp;HOUR(Entry!$D1176),2)&amp;":"&amp;RIGHT("00"&amp;MINUTE(Entry!$D1176),2),IFERROR(RIGHT("00"&amp;VALUE(TRIM(LEFT(Entry!$D1176,FIND(":",Entry!$D1176)-1))),2)&amp;":"&amp;RIGHT("00"&amp;VALUE(TRIM(MID(Entry!$D1176,FIND(":",Entry!$D1176)+1,2))),2),"نامعتبر")),IF(OR($E1176="",$E1176="نامعتبر"),"","00:00"))</f>
        <v/>
      </c>
      <c r="G1176">
        <f>IF(OR($E1176="",$E1176="نامعتبر"),"",IF(Entry!$E1176="","",LEFT(UPPER(TRIM(Entry!$E1176)),6)))</f>
        <v/>
      </c>
      <c r="H1176">
        <f>IF($G1176="","",RIGHT($E1176,4)&amp;MID($E1176,6,2)&amp;RIGHT($E1176,2)&amp;IF($F1176="","0000",IF($F1176="نامعتبر","9999",LEFT($F1176,2)&amp;RIGHT($F1176,2)))&amp;"|"&amp;RIGHT("00000"&amp;1168,5))</f>
        <v/>
      </c>
      <c r="I1176">
        <f>IF($H1176="","",COUNTIFS(CalcBank,$G1176,CalcKey,"&lt;"&amp;$H1176)+1)</f>
        <v/>
      </c>
      <c r="J1176">
        <f>IF($I1176="","",$G1176&amp;"|"&amp;RIGHT("000000"&amp;$I1176,6))</f>
        <v/>
      </c>
      <c r="K1176">
        <f>IF(OR($E1176="",$E1176="نامعتبر"),"",LEFT($E1176,4)&amp;"/"&amp;MID($E1176,6,2))</f>
        <v/>
      </c>
      <c r="L1176">
        <f>IF(Entry!$K1176="",0,Entry!$K1176)</f>
        <v/>
      </c>
      <c r="M1176">
        <f>IF(Entry!$L1176="",0,Entry!$L1176)</f>
        <v/>
      </c>
    </row>
    <row r="1177">
      <c r="A1177">
        <f>IF(Entry!$C1177="","",Entry!$C1177)</f>
        <v/>
      </c>
      <c r="B1177">
        <f>IF($A1177="","",IF(ISNUMBER($A1177),IF(AND($A1177&gt;=10000101,$A1177&lt;=99991231),INT($A1177/10000),""),IFERROR(VALUE(TRIM(LEFT($A1177,FIND("/",$A1177)-1))),"")))</f>
        <v/>
      </c>
      <c r="C1177">
        <f>IF(OR($A1177="",$B1177=""),"",IF(ISNUMBER($A1177),INT(MOD($A1177,10000)/100),IFERROR(VALUE(TRIM(LEFT(MID($A1177,FIND("/",$A1177)+1,20),FIND("/",MID($A1177,FIND("/",$A1177)+1,20))-1))),"")))</f>
        <v/>
      </c>
      <c r="D1177">
        <f>IF(OR($A1177="",$B1177=""),"",IF(ISNUMBER($A1177),MOD($A1177,100),IFERROR(VALUE(TRIM(MID(MID($A1177,FIND("/",$A1177)+1,20),FIND("/",MID($A1177,FIND("/",$A1177)+1,20))+1,20))),"")))</f>
        <v/>
      </c>
      <c r="E1177">
        <f>IF($A1177="","",IF(OR($B1177="",$C1177="",$D1177="",$B1177&lt;1300,$B1177&gt;1500,$C1177&lt;1,$C1177&gt;12,$D1177&lt;1,$D1177&gt;31),"نامعتبر",RIGHT("0000"&amp;$B1177,4)&amp;"/"&amp;RIGHT("00"&amp;$C1177,2)&amp;"/"&amp;RIGHT("00"&amp;$D1177,2)))</f>
        <v/>
      </c>
      <c r="F1177">
        <f>IF(Entry!$D1177&lt;&gt;"",IF(AND(ISNUMBER(Entry!$D1177),Entry!$D1177&gt;=0,Entry!$D1177&lt;1),RIGHT("00"&amp;HOUR(Entry!$D1177),2)&amp;":"&amp;RIGHT("00"&amp;MINUTE(Entry!$D1177),2),IFERROR(RIGHT("00"&amp;VALUE(TRIM(LEFT(Entry!$D1177,FIND(":",Entry!$D1177)-1))),2)&amp;":"&amp;RIGHT("00"&amp;VALUE(TRIM(MID(Entry!$D1177,FIND(":",Entry!$D1177)+1,2))),2),"نامعتبر")),IF(OR($E1177="",$E1177="نامعتبر"),"","00:00"))</f>
        <v/>
      </c>
      <c r="G1177">
        <f>IF(OR($E1177="",$E1177="نامعتبر"),"",IF(Entry!$E1177="","",LEFT(UPPER(TRIM(Entry!$E1177)),6)))</f>
        <v/>
      </c>
      <c r="H1177">
        <f>IF($G1177="","",RIGHT($E1177,4)&amp;MID($E1177,6,2)&amp;RIGHT($E1177,2)&amp;IF($F1177="","0000",IF($F1177="نامعتبر","9999",LEFT($F1177,2)&amp;RIGHT($F1177,2)))&amp;"|"&amp;RIGHT("00000"&amp;1169,5))</f>
        <v/>
      </c>
      <c r="I1177">
        <f>IF($H1177="","",COUNTIFS(CalcBank,$G1177,CalcKey,"&lt;"&amp;$H1177)+1)</f>
        <v/>
      </c>
      <c r="J1177">
        <f>IF($I1177="","",$G1177&amp;"|"&amp;RIGHT("000000"&amp;$I1177,6))</f>
        <v/>
      </c>
      <c r="K1177">
        <f>IF(OR($E1177="",$E1177="نامعتبر"),"",LEFT($E1177,4)&amp;"/"&amp;MID($E1177,6,2))</f>
        <v/>
      </c>
      <c r="L1177">
        <f>IF(Entry!$K1177="",0,Entry!$K1177)</f>
        <v/>
      </c>
      <c r="M1177">
        <f>IF(Entry!$L1177="",0,Entry!$L1177)</f>
        <v/>
      </c>
    </row>
    <row r="1178">
      <c r="A1178">
        <f>IF(Entry!$C1178="","",Entry!$C1178)</f>
        <v/>
      </c>
      <c r="B1178">
        <f>IF($A1178="","",IF(ISNUMBER($A1178),IF(AND($A1178&gt;=10000101,$A1178&lt;=99991231),INT($A1178/10000),""),IFERROR(VALUE(TRIM(LEFT($A1178,FIND("/",$A1178)-1))),"")))</f>
        <v/>
      </c>
      <c r="C1178">
        <f>IF(OR($A1178="",$B1178=""),"",IF(ISNUMBER($A1178),INT(MOD($A1178,10000)/100),IFERROR(VALUE(TRIM(LEFT(MID($A1178,FIND("/",$A1178)+1,20),FIND("/",MID($A1178,FIND("/",$A1178)+1,20))-1))),"")))</f>
        <v/>
      </c>
      <c r="D1178">
        <f>IF(OR($A1178="",$B1178=""),"",IF(ISNUMBER($A1178),MOD($A1178,100),IFERROR(VALUE(TRIM(MID(MID($A1178,FIND("/",$A1178)+1,20),FIND("/",MID($A1178,FIND("/",$A1178)+1,20))+1,20))),"")))</f>
        <v/>
      </c>
      <c r="E1178">
        <f>IF($A1178="","",IF(OR($B1178="",$C1178="",$D1178="",$B1178&lt;1300,$B1178&gt;1500,$C1178&lt;1,$C1178&gt;12,$D1178&lt;1,$D1178&gt;31),"نامعتبر",RIGHT("0000"&amp;$B1178,4)&amp;"/"&amp;RIGHT("00"&amp;$C1178,2)&amp;"/"&amp;RIGHT("00"&amp;$D1178,2)))</f>
        <v/>
      </c>
      <c r="F1178">
        <f>IF(Entry!$D1178&lt;&gt;"",IF(AND(ISNUMBER(Entry!$D1178),Entry!$D1178&gt;=0,Entry!$D1178&lt;1),RIGHT("00"&amp;HOUR(Entry!$D1178),2)&amp;":"&amp;RIGHT("00"&amp;MINUTE(Entry!$D1178),2),IFERROR(RIGHT("00"&amp;VALUE(TRIM(LEFT(Entry!$D1178,FIND(":",Entry!$D1178)-1))),2)&amp;":"&amp;RIGHT("00"&amp;VALUE(TRIM(MID(Entry!$D1178,FIND(":",Entry!$D1178)+1,2))),2),"نامعتبر")),IF(OR($E1178="",$E1178="نامعتبر"),"","00:00"))</f>
        <v/>
      </c>
      <c r="G1178">
        <f>IF(OR($E1178="",$E1178="نامعتبر"),"",IF(Entry!$E1178="","",LEFT(UPPER(TRIM(Entry!$E1178)),6)))</f>
        <v/>
      </c>
      <c r="H1178">
        <f>IF($G1178="","",RIGHT($E1178,4)&amp;MID($E1178,6,2)&amp;RIGHT($E1178,2)&amp;IF($F1178="","0000",IF($F1178="نامعتبر","9999",LEFT($F1178,2)&amp;RIGHT($F1178,2)))&amp;"|"&amp;RIGHT("00000"&amp;1170,5))</f>
        <v/>
      </c>
      <c r="I1178">
        <f>IF($H1178="","",COUNTIFS(CalcBank,$G1178,CalcKey,"&lt;"&amp;$H1178)+1)</f>
        <v/>
      </c>
      <c r="J1178">
        <f>IF($I1178="","",$G1178&amp;"|"&amp;RIGHT("000000"&amp;$I1178,6))</f>
        <v/>
      </c>
      <c r="K1178">
        <f>IF(OR($E1178="",$E1178="نامعتبر"),"",LEFT($E1178,4)&amp;"/"&amp;MID($E1178,6,2))</f>
        <v/>
      </c>
      <c r="L1178">
        <f>IF(Entry!$K1178="",0,Entry!$K1178)</f>
        <v/>
      </c>
      <c r="M1178">
        <f>IF(Entry!$L1178="",0,Entry!$L1178)</f>
        <v/>
      </c>
    </row>
    <row r="1179">
      <c r="A1179">
        <f>IF(Entry!$C1179="","",Entry!$C1179)</f>
        <v/>
      </c>
      <c r="B1179">
        <f>IF($A1179="","",IF(ISNUMBER($A1179),IF(AND($A1179&gt;=10000101,$A1179&lt;=99991231),INT($A1179/10000),""),IFERROR(VALUE(TRIM(LEFT($A1179,FIND("/",$A1179)-1))),"")))</f>
        <v/>
      </c>
      <c r="C1179">
        <f>IF(OR($A1179="",$B1179=""),"",IF(ISNUMBER($A1179),INT(MOD($A1179,10000)/100),IFERROR(VALUE(TRIM(LEFT(MID($A1179,FIND("/",$A1179)+1,20),FIND("/",MID($A1179,FIND("/",$A1179)+1,20))-1))),"")))</f>
        <v/>
      </c>
      <c r="D1179">
        <f>IF(OR($A1179="",$B1179=""),"",IF(ISNUMBER($A1179),MOD($A1179,100),IFERROR(VALUE(TRIM(MID(MID($A1179,FIND("/",$A1179)+1,20),FIND("/",MID($A1179,FIND("/",$A1179)+1,20))+1,20))),"")))</f>
        <v/>
      </c>
      <c r="E1179">
        <f>IF($A1179="","",IF(OR($B1179="",$C1179="",$D1179="",$B1179&lt;1300,$B1179&gt;1500,$C1179&lt;1,$C1179&gt;12,$D1179&lt;1,$D1179&gt;31),"نامعتبر",RIGHT("0000"&amp;$B1179,4)&amp;"/"&amp;RIGHT("00"&amp;$C1179,2)&amp;"/"&amp;RIGHT("00"&amp;$D1179,2)))</f>
        <v/>
      </c>
      <c r="F1179">
        <f>IF(Entry!$D1179&lt;&gt;"",IF(AND(ISNUMBER(Entry!$D1179),Entry!$D1179&gt;=0,Entry!$D1179&lt;1),RIGHT("00"&amp;HOUR(Entry!$D1179),2)&amp;":"&amp;RIGHT("00"&amp;MINUTE(Entry!$D1179),2),IFERROR(RIGHT("00"&amp;VALUE(TRIM(LEFT(Entry!$D1179,FIND(":",Entry!$D1179)-1))),2)&amp;":"&amp;RIGHT("00"&amp;VALUE(TRIM(MID(Entry!$D1179,FIND(":",Entry!$D1179)+1,2))),2),"نامعتبر")),IF(OR($E1179="",$E1179="نامعتبر"),"","00:00"))</f>
        <v/>
      </c>
      <c r="G1179">
        <f>IF(OR($E1179="",$E1179="نامعتبر"),"",IF(Entry!$E1179="","",LEFT(UPPER(TRIM(Entry!$E1179)),6)))</f>
        <v/>
      </c>
      <c r="H1179">
        <f>IF($G1179="","",RIGHT($E1179,4)&amp;MID($E1179,6,2)&amp;RIGHT($E1179,2)&amp;IF($F1179="","0000",IF($F1179="نامعتبر","9999",LEFT($F1179,2)&amp;RIGHT($F1179,2)))&amp;"|"&amp;RIGHT("00000"&amp;1171,5))</f>
        <v/>
      </c>
      <c r="I1179">
        <f>IF($H1179="","",COUNTIFS(CalcBank,$G1179,CalcKey,"&lt;"&amp;$H1179)+1)</f>
        <v/>
      </c>
      <c r="J1179">
        <f>IF($I1179="","",$G1179&amp;"|"&amp;RIGHT("000000"&amp;$I1179,6))</f>
        <v/>
      </c>
      <c r="K1179">
        <f>IF(OR($E1179="",$E1179="نامعتبر"),"",LEFT($E1179,4)&amp;"/"&amp;MID($E1179,6,2))</f>
        <v/>
      </c>
      <c r="L1179">
        <f>IF(Entry!$K1179="",0,Entry!$K1179)</f>
        <v/>
      </c>
      <c r="M1179">
        <f>IF(Entry!$L1179="",0,Entry!$L1179)</f>
        <v/>
      </c>
    </row>
    <row r="1180">
      <c r="A1180">
        <f>IF(Entry!$C1180="","",Entry!$C1180)</f>
        <v/>
      </c>
      <c r="B1180">
        <f>IF($A1180="","",IF(ISNUMBER($A1180),IF(AND($A1180&gt;=10000101,$A1180&lt;=99991231),INT($A1180/10000),""),IFERROR(VALUE(TRIM(LEFT($A1180,FIND("/",$A1180)-1))),"")))</f>
        <v/>
      </c>
      <c r="C1180">
        <f>IF(OR($A1180="",$B1180=""),"",IF(ISNUMBER($A1180),INT(MOD($A1180,10000)/100),IFERROR(VALUE(TRIM(LEFT(MID($A1180,FIND("/",$A1180)+1,20),FIND("/",MID($A1180,FIND("/",$A1180)+1,20))-1))),"")))</f>
        <v/>
      </c>
      <c r="D1180">
        <f>IF(OR($A1180="",$B1180=""),"",IF(ISNUMBER($A1180),MOD($A1180,100),IFERROR(VALUE(TRIM(MID(MID($A1180,FIND("/",$A1180)+1,20),FIND("/",MID($A1180,FIND("/",$A1180)+1,20))+1,20))),"")))</f>
        <v/>
      </c>
      <c r="E1180">
        <f>IF($A1180="","",IF(OR($B1180="",$C1180="",$D1180="",$B1180&lt;1300,$B1180&gt;1500,$C1180&lt;1,$C1180&gt;12,$D1180&lt;1,$D1180&gt;31),"نامعتبر",RIGHT("0000"&amp;$B1180,4)&amp;"/"&amp;RIGHT("00"&amp;$C1180,2)&amp;"/"&amp;RIGHT("00"&amp;$D1180,2)))</f>
        <v/>
      </c>
      <c r="F1180">
        <f>IF(Entry!$D1180&lt;&gt;"",IF(AND(ISNUMBER(Entry!$D1180),Entry!$D1180&gt;=0,Entry!$D1180&lt;1),RIGHT("00"&amp;HOUR(Entry!$D1180),2)&amp;":"&amp;RIGHT("00"&amp;MINUTE(Entry!$D1180),2),IFERROR(RIGHT("00"&amp;VALUE(TRIM(LEFT(Entry!$D1180,FIND(":",Entry!$D1180)-1))),2)&amp;":"&amp;RIGHT("00"&amp;VALUE(TRIM(MID(Entry!$D1180,FIND(":",Entry!$D1180)+1,2))),2),"نامعتبر")),IF(OR($E1180="",$E1180="نامعتبر"),"","00:00"))</f>
        <v/>
      </c>
      <c r="G1180">
        <f>IF(OR($E1180="",$E1180="نامعتبر"),"",IF(Entry!$E1180="","",LEFT(UPPER(TRIM(Entry!$E1180)),6)))</f>
        <v/>
      </c>
      <c r="H1180">
        <f>IF($G1180="","",RIGHT($E1180,4)&amp;MID($E1180,6,2)&amp;RIGHT($E1180,2)&amp;IF($F1180="","0000",IF($F1180="نامعتبر","9999",LEFT($F1180,2)&amp;RIGHT($F1180,2)))&amp;"|"&amp;RIGHT("00000"&amp;1172,5))</f>
        <v/>
      </c>
      <c r="I1180">
        <f>IF($H1180="","",COUNTIFS(CalcBank,$G1180,CalcKey,"&lt;"&amp;$H1180)+1)</f>
        <v/>
      </c>
      <c r="J1180">
        <f>IF($I1180="","",$G1180&amp;"|"&amp;RIGHT("000000"&amp;$I1180,6))</f>
        <v/>
      </c>
      <c r="K1180">
        <f>IF(OR($E1180="",$E1180="نامعتبر"),"",LEFT($E1180,4)&amp;"/"&amp;MID($E1180,6,2))</f>
        <v/>
      </c>
      <c r="L1180">
        <f>IF(Entry!$K1180="",0,Entry!$K1180)</f>
        <v/>
      </c>
      <c r="M1180">
        <f>IF(Entry!$L1180="",0,Entry!$L1180)</f>
        <v/>
      </c>
    </row>
    <row r="1181">
      <c r="A1181">
        <f>IF(Entry!$C1181="","",Entry!$C1181)</f>
        <v/>
      </c>
      <c r="B1181">
        <f>IF($A1181="","",IF(ISNUMBER($A1181),IF(AND($A1181&gt;=10000101,$A1181&lt;=99991231),INT($A1181/10000),""),IFERROR(VALUE(TRIM(LEFT($A1181,FIND("/",$A1181)-1))),"")))</f>
        <v/>
      </c>
      <c r="C1181">
        <f>IF(OR($A1181="",$B1181=""),"",IF(ISNUMBER($A1181),INT(MOD($A1181,10000)/100),IFERROR(VALUE(TRIM(LEFT(MID($A1181,FIND("/",$A1181)+1,20),FIND("/",MID($A1181,FIND("/",$A1181)+1,20))-1))),"")))</f>
        <v/>
      </c>
      <c r="D1181">
        <f>IF(OR($A1181="",$B1181=""),"",IF(ISNUMBER($A1181),MOD($A1181,100),IFERROR(VALUE(TRIM(MID(MID($A1181,FIND("/",$A1181)+1,20),FIND("/",MID($A1181,FIND("/",$A1181)+1,20))+1,20))),"")))</f>
        <v/>
      </c>
      <c r="E1181">
        <f>IF($A1181="","",IF(OR($B1181="",$C1181="",$D1181="",$B1181&lt;1300,$B1181&gt;1500,$C1181&lt;1,$C1181&gt;12,$D1181&lt;1,$D1181&gt;31),"نامعتبر",RIGHT("0000"&amp;$B1181,4)&amp;"/"&amp;RIGHT("00"&amp;$C1181,2)&amp;"/"&amp;RIGHT("00"&amp;$D1181,2)))</f>
        <v/>
      </c>
      <c r="F1181">
        <f>IF(Entry!$D1181&lt;&gt;"",IF(AND(ISNUMBER(Entry!$D1181),Entry!$D1181&gt;=0,Entry!$D1181&lt;1),RIGHT("00"&amp;HOUR(Entry!$D1181),2)&amp;":"&amp;RIGHT("00"&amp;MINUTE(Entry!$D1181),2),IFERROR(RIGHT("00"&amp;VALUE(TRIM(LEFT(Entry!$D1181,FIND(":",Entry!$D1181)-1))),2)&amp;":"&amp;RIGHT("00"&amp;VALUE(TRIM(MID(Entry!$D1181,FIND(":",Entry!$D1181)+1,2))),2),"نامعتبر")),IF(OR($E1181="",$E1181="نامعتبر"),"","00:00"))</f>
        <v/>
      </c>
      <c r="G1181">
        <f>IF(OR($E1181="",$E1181="نامعتبر"),"",IF(Entry!$E1181="","",LEFT(UPPER(TRIM(Entry!$E1181)),6)))</f>
        <v/>
      </c>
      <c r="H1181">
        <f>IF($G1181="","",RIGHT($E1181,4)&amp;MID($E1181,6,2)&amp;RIGHT($E1181,2)&amp;IF($F1181="","0000",IF($F1181="نامعتبر","9999",LEFT($F1181,2)&amp;RIGHT($F1181,2)))&amp;"|"&amp;RIGHT("00000"&amp;1173,5))</f>
        <v/>
      </c>
      <c r="I1181">
        <f>IF($H1181="","",COUNTIFS(CalcBank,$G1181,CalcKey,"&lt;"&amp;$H1181)+1)</f>
        <v/>
      </c>
      <c r="J1181">
        <f>IF($I1181="","",$G1181&amp;"|"&amp;RIGHT("000000"&amp;$I1181,6))</f>
        <v/>
      </c>
      <c r="K1181">
        <f>IF(OR($E1181="",$E1181="نامعتبر"),"",LEFT($E1181,4)&amp;"/"&amp;MID($E1181,6,2))</f>
        <v/>
      </c>
      <c r="L1181">
        <f>IF(Entry!$K1181="",0,Entry!$K1181)</f>
        <v/>
      </c>
      <c r="M1181">
        <f>IF(Entry!$L1181="",0,Entry!$L1181)</f>
        <v/>
      </c>
    </row>
    <row r="1182">
      <c r="A1182">
        <f>IF(Entry!$C1182="","",Entry!$C1182)</f>
        <v/>
      </c>
      <c r="B1182">
        <f>IF($A1182="","",IF(ISNUMBER($A1182),IF(AND($A1182&gt;=10000101,$A1182&lt;=99991231),INT($A1182/10000),""),IFERROR(VALUE(TRIM(LEFT($A1182,FIND("/",$A1182)-1))),"")))</f>
        <v/>
      </c>
      <c r="C1182">
        <f>IF(OR($A1182="",$B1182=""),"",IF(ISNUMBER($A1182),INT(MOD($A1182,10000)/100),IFERROR(VALUE(TRIM(LEFT(MID($A1182,FIND("/",$A1182)+1,20),FIND("/",MID($A1182,FIND("/",$A1182)+1,20))-1))),"")))</f>
        <v/>
      </c>
      <c r="D1182">
        <f>IF(OR($A1182="",$B1182=""),"",IF(ISNUMBER($A1182),MOD($A1182,100),IFERROR(VALUE(TRIM(MID(MID($A1182,FIND("/",$A1182)+1,20),FIND("/",MID($A1182,FIND("/",$A1182)+1,20))+1,20))),"")))</f>
        <v/>
      </c>
      <c r="E1182">
        <f>IF($A1182="","",IF(OR($B1182="",$C1182="",$D1182="",$B1182&lt;1300,$B1182&gt;1500,$C1182&lt;1,$C1182&gt;12,$D1182&lt;1,$D1182&gt;31),"نامعتبر",RIGHT("0000"&amp;$B1182,4)&amp;"/"&amp;RIGHT("00"&amp;$C1182,2)&amp;"/"&amp;RIGHT("00"&amp;$D1182,2)))</f>
        <v/>
      </c>
      <c r="F1182">
        <f>IF(Entry!$D1182&lt;&gt;"",IF(AND(ISNUMBER(Entry!$D1182),Entry!$D1182&gt;=0,Entry!$D1182&lt;1),RIGHT("00"&amp;HOUR(Entry!$D1182),2)&amp;":"&amp;RIGHT("00"&amp;MINUTE(Entry!$D1182),2),IFERROR(RIGHT("00"&amp;VALUE(TRIM(LEFT(Entry!$D1182,FIND(":",Entry!$D1182)-1))),2)&amp;":"&amp;RIGHT("00"&amp;VALUE(TRIM(MID(Entry!$D1182,FIND(":",Entry!$D1182)+1,2))),2),"نامعتبر")),IF(OR($E1182="",$E1182="نامعتبر"),"","00:00"))</f>
        <v/>
      </c>
      <c r="G1182">
        <f>IF(OR($E1182="",$E1182="نامعتبر"),"",IF(Entry!$E1182="","",LEFT(UPPER(TRIM(Entry!$E1182)),6)))</f>
        <v/>
      </c>
      <c r="H1182">
        <f>IF($G1182="","",RIGHT($E1182,4)&amp;MID($E1182,6,2)&amp;RIGHT($E1182,2)&amp;IF($F1182="","0000",IF($F1182="نامعتبر","9999",LEFT($F1182,2)&amp;RIGHT($F1182,2)))&amp;"|"&amp;RIGHT("00000"&amp;1174,5))</f>
        <v/>
      </c>
      <c r="I1182">
        <f>IF($H1182="","",COUNTIFS(CalcBank,$G1182,CalcKey,"&lt;"&amp;$H1182)+1)</f>
        <v/>
      </c>
      <c r="J1182">
        <f>IF($I1182="","",$G1182&amp;"|"&amp;RIGHT("000000"&amp;$I1182,6))</f>
        <v/>
      </c>
      <c r="K1182">
        <f>IF(OR($E1182="",$E1182="نامعتبر"),"",LEFT($E1182,4)&amp;"/"&amp;MID($E1182,6,2))</f>
        <v/>
      </c>
      <c r="L1182">
        <f>IF(Entry!$K1182="",0,Entry!$K1182)</f>
        <v/>
      </c>
      <c r="M1182">
        <f>IF(Entry!$L1182="",0,Entry!$L1182)</f>
        <v/>
      </c>
    </row>
    <row r="1183">
      <c r="A1183">
        <f>IF(Entry!$C1183="","",Entry!$C1183)</f>
        <v/>
      </c>
      <c r="B1183">
        <f>IF($A1183="","",IF(ISNUMBER($A1183),IF(AND($A1183&gt;=10000101,$A1183&lt;=99991231),INT($A1183/10000),""),IFERROR(VALUE(TRIM(LEFT($A1183,FIND("/",$A1183)-1))),"")))</f>
        <v/>
      </c>
      <c r="C1183">
        <f>IF(OR($A1183="",$B1183=""),"",IF(ISNUMBER($A1183),INT(MOD($A1183,10000)/100),IFERROR(VALUE(TRIM(LEFT(MID($A1183,FIND("/",$A1183)+1,20),FIND("/",MID($A1183,FIND("/",$A1183)+1,20))-1))),"")))</f>
        <v/>
      </c>
      <c r="D1183">
        <f>IF(OR($A1183="",$B1183=""),"",IF(ISNUMBER($A1183),MOD($A1183,100),IFERROR(VALUE(TRIM(MID(MID($A1183,FIND("/",$A1183)+1,20),FIND("/",MID($A1183,FIND("/",$A1183)+1,20))+1,20))),"")))</f>
        <v/>
      </c>
      <c r="E1183">
        <f>IF($A1183="","",IF(OR($B1183="",$C1183="",$D1183="",$B1183&lt;1300,$B1183&gt;1500,$C1183&lt;1,$C1183&gt;12,$D1183&lt;1,$D1183&gt;31),"نامعتبر",RIGHT("0000"&amp;$B1183,4)&amp;"/"&amp;RIGHT("00"&amp;$C1183,2)&amp;"/"&amp;RIGHT("00"&amp;$D1183,2)))</f>
        <v/>
      </c>
      <c r="F1183">
        <f>IF(Entry!$D1183&lt;&gt;"",IF(AND(ISNUMBER(Entry!$D1183),Entry!$D1183&gt;=0,Entry!$D1183&lt;1),RIGHT("00"&amp;HOUR(Entry!$D1183),2)&amp;":"&amp;RIGHT("00"&amp;MINUTE(Entry!$D1183),2),IFERROR(RIGHT("00"&amp;VALUE(TRIM(LEFT(Entry!$D1183,FIND(":",Entry!$D1183)-1))),2)&amp;":"&amp;RIGHT("00"&amp;VALUE(TRIM(MID(Entry!$D1183,FIND(":",Entry!$D1183)+1,2))),2),"نامعتبر")),IF(OR($E1183="",$E1183="نامعتبر"),"","00:00"))</f>
        <v/>
      </c>
      <c r="G1183">
        <f>IF(OR($E1183="",$E1183="نامعتبر"),"",IF(Entry!$E1183="","",LEFT(UPPER(TRIM(Entry!$E1183)),6)))</f>
        <v/>
      </c>
      <c r="H1183">
        <f>IF($G1183="","",RIGHT($E1183,4)&amp;MID($E1183,6,2)&amp;RIGHT($E1183,2)&amp;IF($F1183="","0000",IF($F1183="نامعتبر","9999",LEFT($F1183,2)&amp;RIGHT($F1183,2)))&amp;"|"&amp;RIGHT("00000"&amp;1175,5))</f>
        <v/>
      </c>
      <c r="I1183">
        <f>IF($H1183="","",COUNTIFS(CalcBank,$G1183,CalcKey,"&lt;"&amp;$H1183)+1)</f>
        <v/>
      </c>
      <c r="J1183">
        <f>IF($I1183="","",$G1183&amp;"|"&amp;RIGHT("000000"&amp;$I1183,6))</f>
        <v/>
      </c>
      <c r="K1183">
        <f>IF(OR($E1183="",$E1183="نامعتبر"),"",LEFT($E1183,4)&amp;"/"&amp;MID($E1183,6,2))</f>
        <v/>
      </c>
      <c r="L1183">
        <f>IF(Entry!$K1183="",0,Entry!$K1183)</f>
        <v/>
      </c>
      <c r="M1183">
        <f>IF(Entry!$L1183="",0,Entry!$L1183)</f>
        <v/>
      </c>
    </row>
    <row r="1184">
      <c r="A1184">
        <f>IF(Entry!$C1184="","",Entry!$C1184)</f>
        <v/>
      </c>
      <c r="B1184">
        <f>IF($A1184="","",IF(ISNUMBER($A1184),IF(AND($A1184&gt;=10000101,$A1184&lt;=99991231),INT($A1184/10000),""),IFERROR(VALUE(TRIM(LEFT($A1184,FIND("/",$A1184)-1))),"")))</f>
        <v/>
      </c>
      <c r="C1184">
        <f>IF(OR($A1184="",$B1184=""),"",IF(ISNUMBER($A1184),INT(MOD($A1184,10000)/100),IFERROR(VALUE(TRIM(LEFT(MID($A1184,FIND("/",$A1184)+1,20),FIND("/",MID($A1184,FIND("/",$A1184)+1,20))-1))),"")))</f>
        <v/>
      </c>
      <c r="D1184">
        <f>IF(OR($A1184="",$B1184=""),"",IF(ISNUMBER($A1184),MOD($A1184,100),IFERROR(VALUE(TRIM(MID(MID($A1184,FIND("/",$A1184)+1,20),FIND("/",MID($A1184,FIND("/",$A1184)+1,20))+1,20))),"")))</f>
        <v/>
      </c>
      <c r="E1184">
        <f>IF($A1184="","",IF(OR($B1184="",$C1184="",$D1184="",$B1184&lt;1300,$B1184&gt;1500,$C1184&lt;1,$C1184&gt;12,$D1184&lt;1,$D1184&gt;31),"نامعتبر",RIGHT("0000"&amp;$B1184,4)&amp;"/"&amp;RIGHT("00"&amp;$C1184,2)&amp;"/"&amp;RIGHT("00"&amp;$D1184,2)))</f>
        <v/>
      </c>
      <c r="F1184">
        <f>IF(Entry!$D1184&lt;&gt;"",IF(AND(ISNUMBER(Entry!$D1184),Entry!$D1184&gt;=0,Entry!$D1184&lt;1),RIGHT("00"&amp;HOUR(Entry!$D1184),2)&amp;":"&amp;RIGHT("00"&amp;MINUTE(Entry!$D1184),2),IFERROR(RIGHT("00"&amp;VALUE(TRIM(LEFT(Entry!$D1184,FIND(":",Entry!$D1184)-1))),2)&amp;":"&amp;RIGHT("00"&amp;VALUE(TRIM(MID(Entry!$D1184,FIND(":",Entry!$D1184)+1,2))),2),"نامعتبر")),IF(OR($E1184="",$E1184="نامعتبر"),"","00:00"))</f>
        <v/>
      </c>
      <c r="G1184">
        <f>IF(OR($E1184="",$E1184="نامعتبر"),"",IF(Entry!$E1184="","",LEFT(UPPER(TRIM(Entry!$E1184)),6)))</f>
        <v/>
      </c>
      <c r="H1184">
        <f>IF($G1184="","",RIGHT($E1184,4)&amp;MID($E1184,6,2)&amp;RIGHT($E1184,2)&amp;IF($F1184="","0000",IF($F1184="نامعتبر","9999",LEFT($F1184,2)&amp;RIGHT($F1184,2)))&amp;"|"&amp;RIGHT("00000"&amp;1176,5))</f>
        <v/>
      </c>
      <c r="I1184">
        <f>IF($H1184="","",COUNTIFS(CalcBank,$G1184,CalcKey,"&lt;"&amp;$H1184)+1)</f>
        <v/>
      </c>
      <c r="J1184">
        <f>IF($I1184="","",$G1184&amp;"|"&amp;RIGHT("000000"&amp;$I1184,6))</f>
        <v/>
      </c>
      <c r="K1184">
        <f>IF(OR($E1184="",$E1184="نامعتبر"),"",LEFT($E1184,4)&amp;"/"&amp;MID($E1184,6,2))</f>
        <v/>
      </c>
      <c r="L1184">
        <f>IF(Entry!$K1184="",0,Entry!$K1184)</f>
        <v/>
      </c>
      <c r="M1184">
        <f>IF(Entry!$L1184="",0,Entry!$L1184)</f>
        <v/>
      </c>
    </row>
    <row r="1185">
      <c r="A1185">
        <f>IF(Entry!$C1185="","",Entry!$C1185)</f>
        <v/>
      </c>
      <c r="B1185">
        <f>IF($A1185="","",IF(ISNUMBER($A1185),IF(AND($A1185&gt;=10000101,$A1185&lt;=99991231),INT($A1185/10000),""),IFERROR(VALUE(TRIM(LEFT($A1185,FIND("/",$A1185)-1))),"")))</f>
        <v/>
      </c>
      <c r="C1185">
        <f>IF(OR($A1185="",$B1185=""),"",IF(ISNUMBER($A1185),INT(MOD($A1185,10000)/100),IFERROR(VALUE(TRIM(LEFT(MID($A1185,FIND("/",$A1185)+1,20),FIND("/",MID($A1185,FIND("/",$A1185)+1,20))-1))),"")))</f>
        <v/>
      </c>
      <c r="D1185">
        <f>IF(OR($A1185="",$B1185=""),"",IF(ISNUMBER($A1185),MOD($A1185,100),IFERROR(VALUE(TRIM(MID(MID($A1185,FIND("/",$A1185)+1,20),FIND("/",MID($A1185,FIND("/",$A1185)+1,20))+1,20))),"")))</f>
        <v/>
      </c>
      <c r="E1185">
        <f>IF($A1185="","",IF(OR($B1185="",$C1185="",$D1185="",$B1185&lt;1300,$B1185&gt;1500,$C1185&lt;1,$C1185&gt;12,$D1185&lt;1,$D1185&gt;31),"نامعتبر",RIGHT("0000"&amp;$B1185,4)&amp;"/"&amp;RIGHT("00"&amp;$C1185,2)&amp;"/"&amp;RIGHT("00"&amp;$D1185,2)))</f>
        <v/>
      </c>
      <c r="F1185">
        <f>IF(Entry!$D1185&lt;&gt;"",IF(AND(ISNUMBER(Entry!$D1185),Entry!$D1185&gt;=0,Entry!$D1185&lt;1),RIGHT("00"&amp;HOUR(Entry!$D1185),2)&amp;":"&amp;RIGHT("00"&amp;MINUTE(Entry!$D1185),2),IFERROR(RIGHT("00"&amp;VALUE(TRIM(LEFT(Entry!$D1185,FIND(":",Entry!$D1185)-1))),2)&amp;":"&amp;RIGHT("00"&amp;VALUE(TRIM(MID(Entry!$D1185,FIND(":",Entry!$D1185)+1,2))),2),"نامعتبر")),IF(OR($E1185="",$E1185="نامعتبر"),"","00:00"))</f>
        <v/>
      </c>
      <c r="G1185">
        <f>IF(OR($E1185="",$E1185="نامعتبر"),"",IF(Entry!$E1185="","",LEFT(UPPER(TRIM(Entry!$E1185)),6)))</f>
        <v/>
      </c>
      <c r="H1185">
        <f>IF($G1185="","",RIGHT($E1185,4)&amp;MID($E1185,6,2)&amp;RIGHT($E1185,2)&amp;IF($F1185="","0000",IF($F1185="نامعتبر","9999",LEFT($F1185,2)&amp;RIGHT($F1185,2)))&amp;"|"&amp;RIGHT("00000"&amp;1177,5))</f>
        <v/>
      </c>
      <c r="I1185">
        <f>IF($H1185="","",COUNTIFS(CalcBank,$G1185,CalcKey,"&lt;"&amp;$H1185)+1)</f>
        <v/>
      </c>
      <c r="J1185">
        <f>IF($I1185="","",$G1185&amp;"|"&amp;RIGHT("000000"&amp;$I1185,6))</f>
        <v/>
      </c>
      <c r="K1185">
        <f>IF(OR($E1185="",$E1185="نامعتبر"),"",LEFT($E1185,4)&amp;"/"&amp;MID($E1185,6,2))</f>
        <v/>
      </c>
      <c r="L1185">
        <f>IF(Entry!$K1185="",0,Entry!$K1185)</f>
        <v/>
      </c>
      <c r="M1185">
        <f>IF(Entry!$L1185="",0,Entry!$L1185)</f>
        <v/>
      </c>
    </row>
    <row r="1186">
      <c r="A1186">
        <f>IF(Entry!$C1186="","",Entry!$C1186)</f>
        <v/>
      </c>
      <c r="B1186">
        <f>IF($A1186="","",IF(ISNUMBER($A1186),IF(AND($A1186&gt;=10000101,$A1186&lt;=99991231),INT($A1186/10000),""),IFERROR(VALUE(TRIM(LEFT($A1186,FIND("/",$A1186)-1))),"")))</f>
        <v/>
      </c>
      <c r="C1186">
        <f>IF(OR($A1186="",$B1186=""),"",IF(ISNUMBER($A1186),INT(MOD($A1186,10000)/100),IFERROR(VALUE(TRIM(LEFT(MID($A1186,FIND("/",$A1186)+1,20),FIND("/",MID($A1186,FIND("/",$A1186)+1,20))-1))),"")))</f>
        <v/>
      </c>
      <c r="D1186">
        <f>IF(OR($A1186="",$B1186=""),"",IF(ISNUMBER($A1186),MOD($A1186,100),IFERROR(VALUE(TRIM(MID(MID($A1186,FIND("/",$A1186)+1,20),FIND("/",MID($A1186,FIND("/",$A1186)+1,20))+1,20))),"")))</f>
        <v/>
      </c>
      <c r="E1186">
        <f>IF($A1186="","",IF(OR($B1186="",$C1186="",$D1186="",$B1186&lt;1300,$B1186&gt;1500,$C1186&lt;1,$C1186&gt;12,$D1186&lt;1,$D1186&gt;31),"نامعتبر",RIGHT("0000"&amp;$B1186,4)&amp;"/"&amp;RIGHT("00"&amp;$C1186,2)&amp;"/"&amp;RIGHT("00"&amp;$D1186,2)))</f>
        <v/>
      </c>
      <c r="F1186">
        <f>IF(Entry!$D1186&lt;&gt;"",IF(AND(ISNUMBER(Entry!$D1186),Entry!$D1186&gt;=0,Entry!$D1186&lt;1),RIGHT("00"&amp;HOUR(Entry!$D1186),2)&amp;":"&amp;RIGHT("00"&amp;MINUTE(Entry!$D1186),2),IFERROR(RIGHT("00"&amp;VALUE(TRIM(LEFT(Entry!$D1186,FIND(":",Entry!$D1186)-1))),2)&amp;":"&amp;RIGHT("00"&amp;VALUE(TRIM(MID(Entry!$D1186,FIND(":",Entry!$D1186)+1,2))),2),"نامعتبر")),IF(OR($E1186="",$E1186="نامعتبر"),"","00:00"))</f>
        <v/>
      </c>
      <c r="G1186">
        <f>IF(OR($E1186="",$E1186="نامعتبر"),"",IF(Entry!$E1186="","",LEFT(UPPER(TRIM(Entry!$E1186)),6)))</f>
        <v/>
      </c>
      <c r="H1186">
        <f>IF($G1186="","",RIGHT($E1186,4)&amp;MID($E1186,6,2)&amp;RIGHT($E1186,2)&amp;IF($F1186="","0000",IF($F1186="نامعتبر","9999",LEFT($F1186,2)&amp;RIGHT($F1186,2)))&amp;"|"&amp;RIGHT("00000"&amp;1178,5))</f>
        <v/>
      </c>
      <c r="I1186">
        <f>IF($H1186="","",COUNTIFS(CalcBank,$G1186,CalcKey,"&lt;"&amp;$H1186)+1)</f>
        <v/>
      </c>
      <c r="J1186">
        <f>IF($I1186="","",$G1186&amp;"|"&amp;RIGHT("000000"&amp;$I1186,6))</f>
        <v/>
      </c>
      <c r="K1186">
        <f>IF(OR($E1186="",$E1186="نامعتبر"),"",LEFT($E1186,4)&amp;"/"&amp;MID($E1186,6,2))</f>
        <v/>
      </c>
      <c r="L1186">
        <f>IF(Entry!$K1186="",0,Entry!$K1186)</f>
        <v/>
      </c>
      <c r="M1186">
        <f>IF(Entry!$L1186="",0,Entry!$L1186)</f>
        <v/>
      </c>
    </row>
    <row r="1187">
      <c r="A1187">
        <f>IF(Entry!$C1187="","",Entry!$C1187)</f>
        <v/>
      </c>
      <c r="B1187">
        <f>IF($A1187="","",IF(ISNUMBER($A1187),IF(AND($A1187&gt;=10000101,$A1187&lt;=99991231),INT($A1187/10000),""),IFERROR(VALUE(TRIM(LEFT($A1187,FIND("/",$A1187)-1))),"")))</f>
        <v/>
      </c>
      <c r="C1187">
        <f>IF(OR($A1187="",$B1187=""),"",IF(ISNUMBER($A1187),INT(MOD($A1187,10000)/100),IFERROR(VALUE(TRIM(LEFT(MID($A1187,FIND("/",$A1187)+1,20),FIND("/",MID($A1187,FIND("/",$A1187)+1,20))-1))),"")))</f>
        <v/>
      </c>
      <c r="D1187">
        <f>IF(OR($A1187="",$B1187=""),"",IF(ISNUMBER($A1187),MOD($A1187,100),IFERROR(VALUE(TRIM(MID(MID($A1187,FIND("/",$A1187)+1,20),FIND("/",MID($A1187,FIND("/",$A1187)+1,20))+1,20))),"")))</f>
        <v/>
      </c>
      <c r="E1187">
        <f>IF($A1187="","",IF(OR($B1187="",$C1187="",$D1187="",$B1187&lt;1300,$B1187&gt;1500,$C1187&lt;1,$C1187&gt;12,$D1187&lt;1,$D1187&gt;31),"نامعتبر",RIGHT("0000"&amp;$B1187,4)&amp;"/"&amp;RIGHT("00"&amp;$C1187,2)&amp;"/"&amp;RIGHT("00"&amp;$D1187,2)))</f>
        <v/>
      </c>
      <c r="F1187">
        <f>IF(Entry!$D1187&lt;&gt;"",IF(AND(ISNUMBER(Entry!$D1187),Entry!$D1187&gt;=0,Entry!$D1187&lt;1),RIGHT("00"&amp;HOUR(Entry!$D1187),2)&amp;":"&amp;RIGHT("00"&amp;MINUTE(Entry!$D1187),2),IFERROR(RIGHT("00"&amp;VALUE(TRIM(LEFT(Entry!$D1187,FIND(":",Entry!$D1187)-1))),2)&amp;":"&amp;RIGHT("00"&amp;VALUE(TRIM(MID(Entry!$D1187,FIND(":",Entry!$D1187)+1,2))),2),"نامعتبر")),IF(OR($E1187="",$E1187="نامعتبر"),"","00:00"))</f>
        <v/>
      </c>
      <c r="G1187">
        <f>IF(OR($E1187="",$E1187="نامعتبر"),"",IF(Entry!$E1187="","",LEFT(UPPER(TRIM(Entry!$E1187)),6)))</f>
        <v/>
      </c>
      <c r="H1187">
        <f>IF($G1187="","",RIGHT($E1187,4)&amp;MID($E1187,6,2)&amp;RIGHT($E1187,2)&amp;IF($F1187="","0000",IF($F1187="نامعتبر","9999",LEFT($F1187,2)&amp;RIGHT($F1187,2)))&amp;"|"&amp;RIGHT("00000"&amp;1179,5))</f>
        <v/>
      </c>
      <c r="I1187">
        <f>IF($H1187="","",COUNTIFS(CalcBank,$G1187,CalcKey,"&lt;"&amp;$H1187)+1)</f>
        <v/>
      </c>
      <c r="J1187">
        <f>IF($I1187="","",$G1187&amp;"|"&amp;RIGHT("000000"&amp;$I1187,6))</f>
        <v/>
      </c>
      <c r="K1187">
        <f>IF(OR($E1187="",$E1187="نامعتبر"),"",LEFT($E1187,4)&amp;"/"&amp;MID($E1187,6,2))</f>
        <v/>
      </c>
      <c r="L1187">
        <f>IF(Entry!$K1187="",0,Entry!$K1187)</f>
        <v/>
      </c>
      <c r="M1187">
        <f>IF(Entry!$L1187="",0,Entry!$L1187)</f>
        <v/>
      </c>
    </row>
    <row r="1188">
      <c r="A1188">
        <f>IF(Entry!$C1188="","",Entry!$C1188)</f>
        <v/>
      </c>
      <c r="B1188">
        <f>IF($A1188="","",IF(ISNUMBER($A1188),IF(AND($A1188&gt;=10000101,$A1188&lt;=99991231),INT($A1188/10000),""),IFERROR(VALUE(TRIM(LEFT($A1188,FIND("/",$A1188)-1))),"")))</f>
        <v/>
      </c>
      <c r="C1188">
        <f>IF(OR($A1188="",$B1188=""),"",IF(ISNUMBER($A1188),INT(MOD($A1188,10000)/100),IFERROR(VALUE(TRIM(LEFT(MID($A1188,FIND("/",$A1188)+1,20),FIND("/",MID($A1188,FIND("/",$A1188)+1,20))-1))),"")))</f>
        <v/>
      </c>
      <c r="D1188">
        <f>IF(OR($A1188="",$B1188=""),"",IF(ISNUMBER($A1188),MOD($A1188,100),IFERROR(VALUE(TRIM(MID(MID($A1188,FIND("/",$A1188)+1,20),FIND("/",MID($A1188,FIND("/",$A1188)+1,20))+1,20))),"")))</f>
        <v/>
      </c>
      <c r="E1188">
        <f>IF($A1188="","",IF(OR($B1188="",$C1188="",$D1188="",$B1188&lt;1300,$B1188&gt;1500,$C1188&lt;1,$C1188&gt;12,$D1188&lt;1,$D1188&gt;31),"نامعتبر",RIGHT("0000"&amp;$B1188,4)&amp;"/"&amp;RIGHT("00"&amp;$C1188,2)&amp;"/"&amp;RIGHT("00"&amp;$D1188,2)))</f>
        <v/>
      </c>
      <c r="F1188">
        <f>IF(Entry!$D1188&lt;&gt;"",IF(AND(ISNUMBER(Entry!$D1188),Entry!$D1188&gt;=0,Entry!$D1188&lt;1),RIGHT("00"&amp;HOUR(Entry!$D1188),2)&amp;":"&amp;RIGHT("00"&amp;MINUTE(Entry!$D1188),2),IFERROR(RIGHT("00"&amp;VALUE(TRIM(LEFT(Entry!$D1188,FIND(":",Entry!$D1188)-1))),2)&amp;":"&amp;RIGHT("00"&amp;VALUE(TRIM(MID(Entry!$D1188,FIND(":",Entry!$D1188)+1,2))),2),"نامعتبر")),IF(OR($E1188="",$E1188="نامعتبر"),"","00:00"))</f>
        <v/>
      </c>
      <c r="G1188">
        <f>IF(OR($E1188="",$E1188="نامعتبر"),"",IF(Entry!$E1188="","",LEFT(UPPER(TRIM(Entry!$E1188)),6)))</f>
        <v/>
      </c>
      <c r="H1188">
        <f>IF($G1188="","",RIGHT($E1188,4)&amp;MID($E1188,6,2)&amp;RIGHT($E1188,2)&amp;IF($F1188="","0000",IF($F1188="نامعتبر","9999",LEFT($F1188,2)&amp;RIGHT($F1188,2)))&amp;"|"&amp;RIGHT("00000"&amp;1180,5))</f>
        <v/>
      </c>
      <c r="I1188">
        <f>IF($H1188="","",COUNTIFS(CalcBank,$G1188,CalcKey,"&lt;"&amp;$H1188)+1)</f>
        <v/>
      </c>
      <c r="J1188">
        <f>IF($I1188="","",$G1188&amp;"|"&amp;RIGHT("000000"&amp;$I1188,6))</f>
        <v/>
      </c>
      <c r="K1188">
        <f>IF(OR($E1188="",$E1188="نامعتبر"),"",LEFT($E1188,4)&amp;"/"&amp;MID($E1188,6,2))</f>
        <v/>
      </c>
      <c r="L1188">
        <f>IF(Entry!$K1188="",0,Entry!$K1188)</f>
        <v/>
      </c>
      <c r="M1188">
        <f>IF(Entry!$L1188="",0,Entry!$L1188)</f>
        <v/>
      </c>
    </row>
    <row r="1189">
      <c r="A1189">
        <f>IF(Entry!$C1189="","",Entry!$C1189)</f>
        <v/>
      </c>
      <c r="B1189">
        <f>IF($A1189="","",IF(ISNUMBER($A1189),IF(AND($A1189&gt;=10000101,$A1189&lt;=99991231),INT($A1189/10000),""),IFERROR(VALUE(TRIM(LEFT($A1189,FIND("/",$A1189)-1))),"")))</f>
        <v/>
      </c>
      <c r="C1189">
        <f>IF(OR($A1189="",$B1189=""),"",IF(ISNUMBER($A1189),INT(MOD($A1189,10000)/100),IFERROR(VALUE(TRIM(LEFT(MID($A1189,FIND("/",$A1189)+1,20),FIND("/",MID($A1189,FIND("/",$A1189)+1,20))-1))),"")))</f>
        <v/>
      </c>
      <c r="D1189">
        <f>IF(OR($A1189="",$B1189=""),"",IF(ISNUMBER($A1189),MOD($A1189,100),IFERROR(VALUE(TRIM(MID(MID($A1189,FIND("/",$A1189)+1,20),FIND("/",MID($A1189,FIND("/",$A1189)+1,20))+1,20))),"")))</f>
        <v/>
      </c>
      <c r="E1189">
        <f>IF($A1189="","",IF(OR($B1189="",$C1189="",$D1189="",$B1189&lt;1300,$B1189&gt;1500,$C1189&lt;1,$C1189&gt;12,$D1189&lt;1,$D1189&gt;31),"نامعتبر",RIGHT("0000"&amp;$B1189,4)&amp;"/"&amp;RIGHT("00"&amp;$C1189,2)&amp;"/"&amp;RIGHT("00"&amp;$D1189,2)))</f>
        <v/>
      </c>
      <c r="F1189">
        <f>IF(Entry!$D1189&lt;&gt;"",IF(AND(ISNUMBER(Entry!$D1189),Entry!$D1189&gt;=0,Entry!$D1189&lt;1),RIGHT("00"&amp;HOUR(Entry!$D1189),2)&amp;":"&amp;RIGHT("00"&amp;MINUTE(Entry!$D1189),2),IFERROR(RIGHT("00"&amp;VALUE(TRIM(LEFT(Entry!$D1189,FIND(":",Entry!$D1189)-1))),2)&amp;":"&amp;RIGHT("00"&amp;VALUE(TRIM(MID(Entry!$D1189,FIND(":",Entry!$D1189)+1,2))),2),"نامعتبر")),IF(OR($E1189="",$E1189="نامعتبر"),"","00:00"))</f>
        <v/>
      </c>
      <c r="G1189">
        <f>IF(OR($E1189="",$E1189="نامعتبر"),"",IF(Entry!$E1189="","",LEFT(UPPER(TRIM(Entry!$E1189)),6)))</f>
        <v/>
      </c>
      <c r="H1189">
        <f>IF($G1189="","",RIGHT($E1189,4)&amp;MID($E1189,6,2)&amp;RIGHT($E1189,2)&amp;IF($F1189="","0000",IF($F1189="نامعتبر","9999",LEFT($F1189,2)&amp;RIGHT($F1189,2)))&amp;"|"&amp;RIGHT("00000"&amp;1181,5))</f>
        <v/>
      </c>
      <c r="I1189">
        <f>IF($H1189="","",COUNTIFS(CalcBank,$G1189,CalcKey,"&lt;"&amp;$H1189)+1)</f>
        <v/>
      </c>
      <c r="J1189">
        <f>IF($I1189="","",$G1189&amp;"|"&amp;RIGHT("000000"&amp;$I1189,6))</f>
        <v/>
      </c>
      <c r="K1189">
        <f>IF(OR($E1189="",$E1189="نامعتبر"),"",LEFT($E1189,4)&amp;"/"&amp;MID($E1189,6,2))</f>
        <v/>
      </c>
      <c r="L1189">
        <f>IF(Entry!$K1189="",0,Entry!$K1189)</f>
        <v/>
      </c>
      <c r="M1189">
        <f>IF(Entry!$L1189="",0,Entry!$L1189)</f>
        <v/>
      </c>
    </row>
    <row r="1190">
      <c r="A1190">
        <f>IF(Entry!$C1190="","",Entry!$C1190)</f>
        <v/>
      </c>
      <c r="B1190">
        <f>IF($A1190="","",IF(ISNUMBER($A1190),IF(AND($A1190&gt;=10000101,$A1190&lt;=99991231),INT($A1190/10000),""),IFERROR(VALUE(TRIM(LEFT($A1190,FIND("/",$A1190)-1))),"")))</f>
        <v/>
      </c>
      <c r="C1190">
        <f>IF(OR($A1190="",$B1190=""),"",IF(ISNUMBER($A1190),INT(MOD($A1190,10000)/100),IFERROR(VALUE(TRIM(LEFT(MID($A1190,FIND("/",$A1190)+1,20),FIND("/",MID($A1190,FIND("/",$A1190)+1,20))-1))),"")))</f>
        <v/>
      </c>
      <c r="D1190">
        <f>IF(OR($A1190="",$B1190=""),"",IF(ISNUMBER($A1190),MOD($A1190,100),IFERROR(VALUE(TRIM(MID(MID($A1190,FIND("/",$A1190)+1,20),FIND("/",MID($A1190,FIND("/",$A1190)+1,20))+1,20))),"")))</f>
        <v/>
      </c>
      <c r="E1190">
        <f>IF($A1190="","",IF(OR($B1190="",$C1190="",$D1190="",$B1190&lt;1300,$B1190&gt;1500,$C1190&lt;1,$C1190&gt;12,$D1190&lt;1,$D1190&gt;31),"نامعتبر",RIGHT("0000"&amp;$B1190,4)&amp;"/"&amp;RIGHT("00"&amp;$C1190,2)&amp;"/"&amp;RIGHT("00"&amp;$D1190,2)))</f>
        <v/>
      </c>
      <c r="F1190">
        <f>IF(Entry!$D1190&lt;&gt;"",IF(AND(ISNUMBER(Entry!$D1190),Entry!$D1190&gt;=0,Entry!$D1190&lt;1),RIGHT("00"&amp;HOUR(Entry!$D1190),2)&amp;":"&amp;RIGHT("00"&amp;MINUTE(Entry!$D1190),2),IFERROR(RIGHT("00"&amp;VALUE(TRIM(LEFT(Entry!$D1190,FIND(":",Entry!$D1190)-1))),2)&amp;":"&amp;RIGHT("00"&amp;VALUE(TRIM(MID(Entry!$D1190,FIND(":",Entry!$D1190)+1,2))),2),"نامعتبر")),IF(OR($E1190="",$E1190="نامعتبر"),"","00:00"))</f>
        <v/>
      </c>
      <c r="G1190">
        <f>IF(OR($E1190="",$E1190="نامعتبر"),"",IF(Entry!$E1190="","",LEFT(UPPER(TRIM(Entry!$E1190)),6)))</f>
        <v/>
      </c>
      <c r="H1190">
        <f>IF($G1190="","",RIGHT($E1190,4)&amp;MID($E1190,6,2)&amp;RIGHT($E1190,2)&amp;IF($F1190="","0000",IF($F1190="نامعتبر","9999",LEFT($F1190,2)&amp;RIGHT($F1190,2)))&amp;"|"&amp;RIGHT("00000"&amp;1182,5))</f>
        <v/>
      </c>
      <c r="I1190">
        <f>IF($H1190="","",COUNTIFS(CalcBank,$G1190,CalcKey,"&lt;"&amp;$H1190)+1)</f>
        <v/>
      </c>
      <c r="J1190">
        <f>IF($I1190="","",$G1190&amp;"|"&amp;RIGHT("000000"&amp;$I1190,6))</f>
        <v/>
      </c>
      <c r="K1190">
        <f>IF(OR($E1190="",$E1190="نامعتبر"),"",LEFT($E1190,4)&amp;"/"&amp;MID($E1190,6,2))</f>
        <v/>
      </c>
      <c r="L1190">
        <f>IF(Entry!$K1190="",0,Entry!$K1190)</f>
        <v/>
      </c>
      <c r="M1190">
        <f>IF(Entry!$L1190="",0,Entry!$L1190)</f>
        <v/>
      </c>
    </row>
    <row r="1191">
      <c r="A1191">
        <f>IF(Entry!$C1191="","",Entry!$C1191)</f>
        <v/>
      </c>
      <c r="B1191">
        <f>IF($A1191="","",IF(ISNUMBER($A1191),IF(AND($A1191&gt;=10000101,$A1191&lt;=99991231),INT($A1191/10000),""),IFERROR(VALUE(TRIM(LEFT($A1191,FIND("/",$A1191)-1))),"")))</f>
        <v/>
      </c>
      <c r="C1191">
        <f>IF(OR($A1191="",$B1191=""),"",IF(ISNUMBER($A1191),INT(MOD($A1191,10000)/100),IFERROR(VALUE(TRIM(LEFT(MID($A1191,FIND("/",$A1191)+1,20),FIND("/",MID($A1191,FIND("/",$A1191)+1,20))-1))),"")))</f>
        <v/>
      </c>
      <c r="D1191">
        <f>IF(OR($A1191="",$B1191=""),"",IF(ISNUMBER($A1191),MOD($A1191,100),IFERROR(VALUE(TRIM(MID(MID($A1191,FIND("/",$A1191)+1,20),FIND("/",MID($A1191,FIND("/",$A1191)+1,20))+1,20))),"")))</f>
        <v/>
      </c>
      <c r="E1191">
        <f>IF($A1191="","",IF(OR($B1191="",$C1191="",$D1191="",$B1191&lt;1300,$B1191&gt;1500,$C1191&lt;1,$C1191&gt;12,$D1191&lt;1,$D1191&gt;31),"نامعتبر",RIGHT("0000"&amp;$B1191,4)&amp;"/"&amp;RIGHT("00"&amp;$C1191,2)&amp;"/"&amp;RIGHT("00"&amp;$D1191,2)))</f>
        <v/>
      </c>
      <c r="F1191">
        <f>IF(Entry!$D1191&lt;&gt;"",IF(AND(ISNUMBER(Entry!$D1191),Entry!$D1191&gt;=0,Entry!$D1191&lt;1),RIGHT("00"&amp;HOUR(Entry!$D1191),2)&amp;":"&amp;RIGHT("00"&amp;MINUTE(Entry!$D1191),2),IFERROR(RIGHT("00"&amp;VALUE(TRIM(LEFT(Entry!$D1191,FIND(":",Entry!$D1191)-1))),2)&amp;":"&amp;RIGHT("00"&amp;VALUE(TRIM(MID(Entry!$D1191,FIND(":",Entry!$D1191)+1,2))),2),"نامعتبر")),IF(OR($E1191="",$E1191="نامعتبر"),"","00:00"))</f>
        <v/>
      </c>
      <c r="G1191">
        <f>IF(OR($E1191="",$E1191="نامعتبر"),"",IF(Entry!$E1191="","",LEFT(UPPER(TRIM(Entry!$E1191)),6)))</f>
        <v/>
      </c>
      <c r="H1191">
        <f>IF($G1191="","",RIGHT($E1191,4)&amp;MID($E1191,6,2)&amp;RIGHT($E1191,2)&amp;IF($F1191="","0000",IF($F1191="نامعتبر","9999",LEFT($F1191,2)&amp;RIGHT($F1191,2)))&amp;"|"&amp;RIGHT("00000"&amp;1183,5))</f>
        <v/>
      </c>
      <c r="I1191">
        <f>IF($H1191="","",COUNTIFS(CalcBank,$G1191,CalcKey,"&lt;"&amp;$H1191)+1)</f>
        <v/>
      </c>
      <c r="J1191">
        <f>IF($I1191="","",$G1191&amp;"|"&amp;RIGHT("000000"&amp;$I1191,6))</f>
        <v/>
      </c>
      <c r="K1191">
        <f>IF(OR($E1191="",$E1191="نامعتبر"),"",LEFT($E1191,4)&amp;"/"&amp;MID($E1191,6,2))</f>
        <v/>
      </c>
      <c r="L1191">
        <f>IF(Entry!$K1191="",0,Entry!$K1191)</f>
        <v/>
      </c>
      <c r="M1191">
        <f>IF(Entry!$L1191="",0,Entry!$L1191)</f>
        <v/>
      </c>
    </row>
    <row r="1192">
      <c r="A1192">
        <f>IF(Entry!$C1192="","",Entry!$C1192)</f>
        <v/>
      </c>
      <c r="B1192">
        <f>IF($A1192="","",IF(ISNUMBER($A1192),IF(AND($A1192&gt;=10000101,$A1192&lt;=99991231),INT($A1192/10000),""),IFERROR(VALUE(TRIM(LEFT($A1192,FIND("/",$A1192)-1))),"")))</f>
        <v/>
      </c>
      <c r="C1192">
        <f>IF(OR($A1192="",$B1192=""),"",IF(ISNUMBER($A1192),INT(MOD($A1192,10000)/100),IFERROR(VALUE(TRIM(LEFT(MID($A1192,FIND("/",$A1192)+1,20),FIND("/",MID($A1192,FIND("/",$A1192)+1,20))-1))),"")))</f>
        <v/>
      </c>
      <c r="D1192">
        <f>IF(OR($A1192="",$B1192=""),"",IF(ISNUMBER($A1192),MOD($A1192,100),IFERROR(VALUE(TRIM(MID(MID($A1192,FIND("/",$A1192)+1,20),FIND("/",MID($A1192,FIND("/",$A1192)+1,20))+1,20))),"")))</f>
        <v/>
      </c>
      <c r="E1192">
        <f>IF($A1192="","",IF(OR($B1192="",$C1192="",$D1192="",$B1192&lt;1300,$B1192&gt;1500,$C1192&lt;1,$C1192&gt;12,$D1192&lt;1,$D1192&gt;31),"نامعتبر",RIGHT("0000"&amp;$B1192,4)&amp;"/"&amp;RIGHT("00"&amp;$C1192,2)&amp;"/"&amp;RIGHT("00"&amp;$D1192,2)))</f>
        <v/>
      </c>
      <c r="F1192">
        <f>IF(Entry!$D1192&lt;&gt;"",IF(AND(ISNUMBER(Entry!$D1192),Entry!$D1192&gt;=0,Entry!$D1192&lt;1),RIGHT("00"&amp;HOUR(Entry!$D1192),2)&amp;":"&amp;RIGHT("00"&amp;MINUTE(Entry!$D1192),2),IFERROR(RIGHT("00"&amp;VALUE(TRIM(LEFT(Entry!$D1192,FIND(":",Entry!$D1192)-1))),2)&amp;":"&amp;RIGHT("00"&amp;VALUE(TRIM(MID(Entry!$D1192,FIND(":",Entry!$D1192)+1,2))),2),"نامعتبر")),IF(OR($E1192="",$E1192="نامعتبر"),"","00:00"))</f>
        <v/>
      </c>
      <c r="G1192">
        <f>IF(OR($E1192="",$E1192="نامعتبر"),"",IF(Entry!$E1192="","",LEFT(UPPER(TRIM(Entry!$E1192)),6)))</f>
        <v/>
      </c>
      <c r="H1192">
        <f>IF($G1192="","",RIGHT($E1192,4)&amp;MID($E1192,6,2)&amp;RIGHT($E1192,2)&amp;IF($F1192="","0000",IF($F1192="نامعتبر","9999",LEFT($F1192,2)&amp;RIGHT($F1192,2)))&amp;"|"&amp;RIGHT("00000"&amp;1184,5))</f>
        <v/>
      </c>
      <c r="I1192">
        <f>IF($H1192="","",COUNTIFS(CalcBank,$G1192,CalcKey,"&lt;"&amp;$H1192)+1)</f>
        <v/>
      </c>
      <c r="J1192">
        <f>IF($I1192="","",$G1192&amp;"|"&amp;RIGHT("000000"&amp;$I1192,6))</f>
        <v/>
      </c>
      <c r="K1192">
        <f>IF(OR($E1192="",$E1192="نامعتبر"),"",LEFT($E1192,4)&amp;"/"&amp;MID($E1192,6,2))</f>
        <v/>
      </c>
      <c r="L1192">
        <f>IF(Entry!$K1192="",0,Entry!$K1192)</f>
        <v/>
      </c>
      <c r="M1192">
        <f>IF(Entry!$L1192="",0,Entry!$L1192)</f>
        <v/>
      </c>
    </row>
    <row r="1193">
      <c r="A1193">
        <f>IF(Entry!$C1193="","",Entry!$C1193)</f>
        <v/>
      </c>
      <c r="B1193">
        <f>IF($A1193="","",IF(ISNUMBER($A1193),IF(AND($A1193&gt;=10000101,$A1193&lt;=99991231),INT($A1193/10000),""),IFERROR(VALUE(TRIM(LEFT($A1193,FIND("/",$A1193)-1))),"")))</f>
        <v/>
      </c>
      <c r="C1193">
        <f>IF(OR($A1193="",$B1193=""),"",IF(ISNUMBER($A1193),INT(MOD($A1193,10000)/100),IFERROR(VALUE(TRIM(LEFT(MID($A1193,FIND("/",$A1193)+1,20),FIND("/",MID($A1193,FIND("/",$A1193)+1,20))-1))),"")))</f>
        <v/>
      </c>
      <c r="D1193">
        <f>IF(OR($A1193="",$B1193=""),"",IF(ISNUMBER($A1193),MOD($A1193,100),IFERROR(VALUE(TRIM(MID(MID($A1193,FIND("/",$A1193)+1,20),FIND("/",MID($A1193,FIND("/",$A1193)+1,20))+1,20))),"")))</f>
        <v/>
      </c>
      <c r="E1193">
        <f>IF($A1193="","",IF(OR($B1193="",$C1193="",$D1193="",$B1193&lt;1300,$B1193&gt;1500,$C1193&lt;1,$C1193&gt;12,$D1193&lt;1,$D1193&gt;31),"نامعتبر",RIGHT("0000"&amp;$B1193,4)&amp;"/"&amp;RIGHT("00"&amp;$C1193,2)&amp;"/"&amp;RIGHT("00"&amp;$D1193,2)))</f>
        <v/>
      </c>
      <c r="F1193">
        <f>IF(Entry!$D1193&lt;&gt;"",IF(AND(ISNUMBER(Entry!$D1193),Entry!$D1193&gt;=0,Entry!$D1193&lt;1),RIGHT("00"&amp;HOUR(Entry!$D1193),2)&amp;":"&amp;RIGHT("00"&amp;MINUTE(Entry!$D1193),2),IFERROR(RIGHT("00"&amp;VALUE(TRIM(LEFT(Entry!$D1193,FIND(":",Entry!$D1193)-1))),2)&amp;":"&amp;RIGHT("00"&amp;VALUE(TRIM(MID(Entry!$D1193,FIND(":",Entry!$D1193)+1,2))),2),"نامعتبر")),IF(OR($E1193="",$E1193="نامعتبر"),"","00:00"))</f>
        <v/>
      </c>
      <c r="G1193">
        <f>IF(OR($E1193="",$E1193="نامعتبر"),"",IF(Entry!$E1193="","",LEFT(UPPER(TRIM(Entry!$E1193)),6)))</f>
        <v/>
      </c>
      <c r="H1193">
        <f>IF($G1193="","",RIGHT($E1193,4)&amp;MID($E1193,6,2)&amp;RIGHT($E1193,2)&amp;IF($F1193="","0000",IF($F1193="نامعتبر","9999",LEFT($F1193,2)&amp;RIGHT($F1193,2)))&amp;"|"&amp;RIGHT("00000"&amp;1185,5))</f>
        <v/>
      </c>
      <c r="I1193">
        <f>IF($H1193="","",COUNTIFS(CalcBank,$G1193,CalcKey,"&lt;"&amp;$H1193)+1)</f>
        <v/>
      </c>
      <c r="J1193">
        <f>IF($I1193="","",$G1193&amp;"|"&amp;RIGHT("000000"&amp;$I1193,6))</f>
        <v/>
      </c>
      <c r="K1193">
        <f>IF(OR($E1193="",$E1193="نامعتبر"),"",LEFT($E1193,4)&amp;"/"&amp;MID($E1193,6,2))</f>
        <v/>
      </c>
      <c r="L1193">
        <f>IF(Entry!$K1193="",0,Entry!$K1193)</f>
        <v/>
      </c>
      <c r="M1193">
        <f>IF(Entry!$L1193="",0,Entry!$L1193)</f>
        <v/>
      </c>
    </row>
    <row r="1194">
      <c r="A1194">
        <f>IF(Entry!$C1194="","",Entry!$C1194)</f>
        <v/>
      </c>
      <c r="B1194">
        <f>IF($A1194="","",IF(ISNUMBER($A1194),IF(AND($A1194&gt;=10000101,$A1194&lt;=99991231),INT($A1194/10000),""),IFERROR(VALUE(TRIM(LEFT($A1194,FIND("/",$A1194)-1))),"")))</f>
        <v/>
      </c>
      <c r="C1194">
        <f>IF(OR($A1194="",$B1194=""),"",IF(ISNUMBER($A1194),INT(MOD($A1194,10000)/100),IFERROR(VALUE(TRIM(LEFT(MID($A1194,FIND("/",$A1194)+1,20),FIND("/",MID($A1194,FIND("/",$A1194)+1,20))-1))),"")))</f>
        <v/>
      </c>
      <c r="D1194">
        <f>IF(OR($A1194="",$B1194=""),"",IF(ISNUMBER($A1194),MOD($A1194,100),IFERROR(VALUE(TRIM(MID(MID($A1194,FIND("/",$A1194)+1,20),FIND("/",MID($A1194,FIND("/",$A1194)+1,20))+1,20))),"")))</f>
        <v/>
      </c>
      <c r="E1194">
        <f>IF($A1194="","",IF(OR($B1194="",$C1194="",$D1194="",$B1194&lt;1300,$B1194&gt;1500,$C1194&lt;1,$C1194&gt;12,$D1194&lt;1,$D1194&gt;31),"نامعتبر",RIGHT("0000"&amp;$B1194,4)&amp;"/"&amp;RIGHT("00"&amp;$C1194,2)&amp;"/"&amp;RIGHT("00"&amp;$D1194,2)))</f>
        <v/>
      </c>
      <c r="F1194">
        <f>IF(Entry!$D1194&lt;&gt;"",IF(AND(ISNUMBER(Entry!$D1194),Entry!$D1194&gt;=0,Entry!$D1194&lt;1),RIGHT("00"&amp;HOUR(Entry!$D1194),2)&amp;":"&amp;RIGHT("00"&amp;MINUTE(Entry!$D1194),2),IFERROR(RIGHT("00"&amp;VALUE(TRIM(LEFT(Entry!$D1194,FIND(":",Entry!$D1194)-1))),2)&amp;":"&amp;RIGHT("00"&amp;VALUE(TRIM(MID(Entry!$D1194,FIND(":",Entry!$D1194)+1,2))),2),"نامعتبر")),IF(OR($E1194="",$E1194="نامعتبر"),"","00:00"))</f>
        <v/>
      </c>
      <c r="G1194">
        <f>IF(OR($E1194="",$E1194="نامعتبر"),"",IF(Entry!$E1194="","",LEFT(UPPER(TRIM(Entry!$E1194)),6)))</f>
        <v/>
      </c>
      <c r="H1194">
        <f>IF($G1194="","",RIGHT($E1194,4)&amp;MID($E1194,6,2)&amp;RIGHT($E1194,2)&amp;IF($F1194="","0000",IF($F1194="نامعتبر","9999",LEFT($F1194,2)&amp;RIGHT($F1194,2)))&amp;"|"&amp;RIGHT("00000"&amp;1186,5))</f>
        <v/>
      </c>
      <c r="I1194">
        <f>IF($H1194="","",COUNTIFS(CalcBank,$G1194,CalcKey,"&lt;"&amp;$H1194)+1)</f>
        <v/>
      </c>
      <c r="J1194">
        <f>IF($I1194="","",$G1194&amp;"|"&amp;RIGHT("000000"&amp;$I1194,6))</f>
        <v/>
      </c>
      <c r="K1194">
        <f>IF(OR($E1194="",$E1194="نامعتبر"),"",LEFT($E1194,4)&amp;"/"&amp;MID($E1194,6,2))</f>
        <v/>
      </c>
      <c r="L1194">
        <f>IF(Entry!$K1194="",0,Entry!$K1194)</f>
        <v/>
      </c>
      <c r="M1194">
        <f>IF(Entry!$L1194="",0,Entry!$L1194)</f>
        <v/>
      </c>
    </row>
    <row r="1195">
      <c r="A1195">
        <f>IF(Entry!$C1195="","",Entry!$C1195)</f>
        <v/>
      </c>
      <c r="B1195">
        <f>IF($A1195="","",IF(ISNUMBER($A1195),IF(AND($A1195&gt;=10000101,$A1195&lt;=99991231),INT($A1195/10000),""),IFERROR(VALUE(TRIM(LEFT($A1195,FIND("/",$A1195)-1))),"")))</f>
        <v/>
      </c>
      <c r="C1195">
        <f>IF(OR($A1195="",$B1195=""),"",IF(ISNUMBER($A1195),INT(MOD($A1195,10000)/100),IFERROR(VALUE(TRIM(LEFT(MID($A1195,FIND("/",$A1195)+1,20),FIND("/",MID($A1195,FIND("/",$A1195)+1,20))-1))),"")))</f>
        <v/>
      </c>
      <c r="D1195">
        <f>IF(OR($A1195="",$B1195=""),"",IF(ISNUMBER($A1195),MOD($A1195,100),IFERROR(VALUE(TRIM(MID(MID($A1195,FIND("/",$A1195)+1,20),FIND("/",MID($A1195,FIND("/",$A1195)+1,20))+1,20))),"")))</f>
        <v/>
      </c>
      <c r="E1195">
        <f>IF($A1195="","",IF(OR($B1195="",$C1195="",$D1195="",$B1195&lt;1300,$B1195&gt;1500,$C1195&lt;1,$C1195&gt;12,$D1195&lt;1,$D1195&gt;31),"نامعتبر",RIGHT("0000"&amp;$B1195,4)&amp;"/"&amp;RIGHT("00"&amp;$C1195,2)&amp;"/"&amp;RIGHT("00"&amp;$D1195,2)))</f>
        <v/>
      </c>
      <c r="F1195">
        <f>IF(Entry!$D1195&lt;&gt;"",IF(AND(ISNUMBER(Entry!$D1195),Entry!$D1195&gt;=0,Entry!$D1195&lt;1),RIGHT("00"&amp;HOUR(Entry!$D1195),2)&amp;":"&amp;RIGHT("00"&amp;MINUTE(Entry!$D1195),2),IFERROR(RIGHT("00"&amp;VALUE(TRIM(LEFT(Entry!$D1195,FIND(":",Entry!$D1195)-1))),2)&amp;":"&amp;RIGHT("00"&amp;VALUE(TRIM(MID(Entry!$D1195,FIND(":",Entry!$D1195)+1,2))),2),"نامعتبر")),IF(OR($E1195="",$E1195="نامعتبر"),"","00:00"))</f>
        <v/>
      </c>
      <c r="G1195">
        <f>IF(OR($E1195="",$E1195="نامعتبر"),"",IF(Entry!$E1195="","",LEFT(UPPER(TRIM(Entry!$E1195)),6)))</f>
        <v/>
      </c>
      <c r="H1195">
        <f>IF($G1195="","",RIGHT($E1195,4)&amp;MID($E1195,6,2)&amp;RIGHT($E1195,2)&amp;IF($F1195="","0000",IF($F1195="نامعتبر","9999",LEFT($F1195,2)&amp;RIGHT($F1195,2)))&amp;"|"&amp;RIGHT("00000"&amp;1187,5))</f>
        <v/>
      </c>
      <c r="I1195">
        <f>IF($H1195="","",COUNTIFS(CalcBank,$G1195,CalcKey,"&lt;"&amp;$H1195)+1)</f>
        <v/>
      </c>
      <c r="J1195">
        <f>IF($I1195="","",$G1195&amp;"|"&amp;RIGHT("000000"&amp;$I1195,6))</f>
        <v/>
      </c>
      <c r="K1195">
        <f>IF(OR($E1195="",$E1195="نامعتبر"),"",LEFT($E1195,4)&amp;"/"&amp;MID($E1195,6,2))</f>
        <v/>
      </c>
      <c r="L1195">
        <f>IF(Entry!$K1195="",0,Entry!$K1195)</f>
        <v/>
      </c>
      <c r="M1195">
        <f>IF(Entry!$L1195="",0,Entry!$L1195)</f>
        <v/>
      </c>
    </row>
    <row r="1196">
      <c r="A1196">
        <f>IF(Entry!$C1196="","",Entry!$C1196)</f>
        <v/>
      </c>
      <c r="B1196">
        <f>IF($A1196="","",IF(ISNUMBER($A1196),IF(AND($A1196&gt;=10000101,$A1196&lt;=99991231),INT($A1196/10000),""),IFERROR(VALUE(TRIM(LEFT($A1196,FIND("/",$A1196)-1))),"")))</f>
        <v/>
      </c>
      <c r="C1196">
        <f>IF(OR($A1196="",$B1196=""),"",IF(ISNUMBER($A1196),INT(MOD($A1196,10000)/100),IFERROR(VALUE(TRIM(LEFT(MID($A1196,FIND("/",$A1196)+1,20),FIND("/",MID($A1196,FIND("/",$A1196)+1,20))-1))),"")))</f>
        <v/>
      </c>
      <c r="D1196">
        <f>IF(OR($A1196="",$B1196=""),"",IF(ISNUMBER($A1196),MOD($A1196,100),IFERROR(VALUE(TRIM(MID(MID($A1196,FIND("/",$A1196)+1,20),FIND("/",MID($A1196,FIND("/",$A1196)+1,20))+1,20))),"")))</f>
        <v/>
      </c>
      <c r="E1196">
        <f>IF($A1196="","",IF(OR($B1196="",$C1196="",$D1196="",$B1196&lt;1300,$B1196&gt;1500,$C1196&lt;1,$C1196&gt;12,$D1196&lt;1,$D1196&gt;31),"نامعتبر",RIGHT("0000"&amp;$B1196,4)&amp;"/"&amp;RIGHT("00"&amp;$C1196,2)&amp;"/"&amp;RIGHT("00"&amp;$D1196,2)))</f>
        <v/>
      </c>
      <c r="F1196">
        <f>IF(Entry!$D1196&lt;&gt;"",IF(AND(ISNUMBER(Entry!$D1196),Entry!$D1196&gt;=0,Entry!$D1196&lt;1),RIGHT("00"&amp;HOUR(Entry!$D1196),2)&amp;":"&amp;RIGHT("00"&amp;MINUTE(Entry!$D1196),2),IFERROR(RIGHT("00"&amp;VALUE(TRIM(LEFT(Entry!$D1196,FIND(":",Entry!$D1196)-1))),2)&amp;":"&amp;RIGHT("00"&amp;VALUE(TRIM(MID(Entry!$D1196,FIND(":",Entry!$D1196)+1,2))),2),"نامعتبر")),IF(OR($E1196="",$E1196="نامعتبر"),"","00:00"))</f>
        <v/>
      </c>
      <c r="G1196">
        <f>IF(OR($E1196="",$E1196="نامعتبر"),"",IF(Entry!$E1196="","",LEFT(UPPER(TRIM(Entry!$E1196)),6)))</f>
        <v/>
      </c>
      <c r="H1196">
        <f>IF($G1196="","",RIGHT($E1196,4)&amp;MID($E1196,6,2)&amp;RIGHT($E1196,2)&amp;IF($F1196="","0000",IF($F1196="نامعتبر","9999",LEFT($F1196,2)&amp;RIGHT($F1196,2)))&amp;"|"&amp;RIGHT("00000"&amp;1188,5))</f>
        <v/>
      </c>
      <c r="I1196">
        <f>IF($H1196="","",COUNTIFS(CalcBank,$G1196,CalcKey,"&lt;"&amp;$H1196)+1)</f>
        <v/>
      </c>
      <c r="J1196">
        <f>IF($I1196="","",$G1196&amp;"|"&amp;RIGHT("000000"&amp;$I1196,6))</f>
        <v/>
      </c>
      <c r="K1196">
        <f>IF(OR($E1196="",$E1196="نامعتبر"),"",LEFT($E1196,4)&amp;"/"&amp;MID($E1196,6,2))</f>
        <v/>
      </c>
      <c r="L1196">
        <f>IF(Entry!$K1196="",0,Entry!$K1196)</f>
        <v/>
      </c>
      <c r="M1196">
        <f>IF(Entry!$L1196="",0,Entry!$L1196)</f>
        <v/>
      </c>
    </row>
    <row r="1197">
      <c r="A1197">
        <f>IF(Entry!$C1197="","",Entry!$C1197)</f>
        <v/>
      </c>
      <c r="B1197">
        <f>IF($A1197="","",IF(ISNUMBER($A1197),IF(AND($A1197&gt;=10000101,$A1197&lt;=99991231),INT($A1197/10000),""),IFERROR(VALUE(TRIM(LEFT($A1197,FIND("/",$A1197)-1))),"")))</f>
        <v/>
      </c>
      <c r="C1197">
        <f>IF(OR($A1197="",$B1197=""),"",IF(ISNUMBER($A1197),INT(MOD($A1197,10000)/100),IFERROR(VALUE(TRIM(LEFT(MID($A1197,FIND("/",$A1197)+1,20),FIND("/",MID($A1197,FIND("/",$A1197)+1,20))-1))),"")))</f>
        <v/>
      </c>
      <c r="D1197">
        <f>IF(OR($A1197="",$B1197=""),"",IF(ISNUMBER($A1197),MOD($A1197,100),IFERROR(VALUE(TRIM(MID(MID($A1197,FIND("/",$A1197)+1,20),FIND("/",MID($A1197,FIND("/",$A1197)+1,20))+1,20))),"")))</f>
        <v/>
      </c>
      <c r="E1197">
        <f>IF($A1197="","",IF(OR($B1197="",$C1197="",$D1197="",$B1197&lt;1300,$B1197&gt;1500,$C1197&lt;1,$C1197&gt;12,$D1197&lt;1,$D1197&gt;31),"نامعتبر",RIGHT("0000"&amp;$B1197,4)&amp;"/"&amp;RIGHT("00"&amp;$C1197,2)&amp;"/"&amp;RIGHT("00"&amp;$D1197,2)))</f>
        <v/>
      </c>
      <c r="F1197">
        <f>IF(Entry!$D1197&lt;&gt;"",IF(AND(ISNUMBER(Entry!$D1197),Entry!$D1197&gt;=0,Entry!$D1197&lt;1),RIGHT("00"&amp;HOUR(Entry!$D1197),2)&amp;":"&amp;RIGHT("00"&amp;MINUTE(Entry!$D1197),2),IFERROR(RIGHT("00"&amp;VALUE(TRIM(LEFT(Entry!$D1197,FIND(":",Entry!$D1197)-1))),2)&amp;":"&amp;RIGHT("00"&amp;VALUE(TRIM(MID(Entry!$D1197,FIND(":",Entry!$D1197)+1,2))),2),"نامعتبر")),IF(OR($E1197="",$E1197="نامعتبر"),"","00:00"))</f>
        <v/>
      </c>
      <c r="G1197">
        <f>IF(OR($E1197="",$E1197="نامعتبر"),"",IF(Entry!$E1197="","",LEFT(UPPER(TRIM(Entry!$E1197)),6)))</f>
        <v/>
      </c>
      <c r="H1197">
        <f>IF($G1197="","",RIGHT($E1197,4)&amp;MID($E1197,6,2)&amp;RIGHT($E1197,2)&amp;IF($F1197="","0000",IF($F1197="نامعتبر","9999",LEFT($F1197,2)&amp;RIGHT($F1197,2)))&amp;"|"&amp;RIGHT("00000"&amp;1189,5))</f>
        <v/>
      </c>
      <c r="I1197">
        <f>IF($H1197="","",COUNTIFS(CalcBank,$G1197,CalcKey,"&lt;"&amp;$H1197)+1)</f>
        <v/>
      </c>
      <c r="J1197">
        <f>IF($I1197="","",$G1197&amp;"|"&amp;RIGHT("000000"&amp;$I1197,6))</f>
        <v/>
      </c>
      <c r="K1197">
        <f>IF(OR($E1197="",$E1197="نامعتبر"),"",LEFT($E1197,4)&amp;"/"&amp;MID($E1197,6,2))</f>
        <v/>
      </c>
      <c r="L1197">
        <f>IF(Entry!$K1197="",0,Entry!$K1197)</f>
        <v/>
      </c>
      <c r="M1197">
        <f>IF(Entry!$L1197="",0,Entry!$L1197)</f>
        <v/>
      </c>
    </row>
    <row r="1198">
      <c r="A1198">
        <f>IF(Entry!$C1198="","",Entry!$C1198)</f>
        <v/>
      </c>
      <c r="B1198">
        <f>IF($A1198="","",IF(ISNUMBER($A1198),IF(AND($A1198&gt;=10000101,$A1198&lt;=99991231),INT($A1198/10000),""),IFERROR(VALUE(TRIM(LEFT($A1198,FIND("/",$A1198)-1))),"")))</f>
        <v/>
      </c>
      <c r="C1198">
        <f>IF(OR($A1198="",$B1198=""),"",IF(ISNUMBER($A1198),INT(MOD($A1198,10000)/100),IFERROR(VALUE(TRIM(LEFT(MID($A1198,FIND("/",$A1198)+1,20),FIND("/",MID($A1198,FIND("/",$A1198)+1,20))-1))),"")))</f>
        <v/>
      </c>
      <c r="D1198">
        <f>IF(OR($A1198="",$B1198=""),"",IF(ISNUMBER($A1198),MOD($A1198,100),IFERROR(VALUE(TRIM(MID(MID($A1198,FIND("/",$A1198)+1,20),FIND("/",MID($A1198,FIND("/",$A1198)+1,20))+1,20))),"")))</f>
        <v/>
      </c>
      <c r="E1198">
        <f>IF($A1198="","",IF(OR($B1198="",$C1198="",$D1198="",$B1198&lt;1300,$B1198&gt;1500,$C1198&lt;1,$C1198&gt;12,$D1198&lt;1,$D1198&gt;31),"نامعتبر",RIGHT("0000"&amp;$B1198,4)&amp;"/"&amp;RIGHT("00"&amp;$C1198,2)&amp;"/"&amp;RIGHT("00"&amp;$D1198,2)))</f>
        <v/>
      </c>
      <c r="F1198">
        <f>IF(Entry!$D1198&lt;&gt;"",IF(AND(ISNUMBER(Entry!$D1198),Entry!$D1198&gt;=0,Entry!$D1198&lt;1),RIGHT("00"&amp;HOUR(Entry!$D1198),2)&amp;":"&amp;RIGHT("00"&amp;MINUTE(Entry!$D1198),2),IFERROR(RIGHT("00"&amp;VALUE(TRIM(LEFT(Entry!$D1198,FIND(":",Entry!$D1198)-1))),2)&amp;":"&amp;RIGHT("00"&amp;VALUE(TRIM(MID(Entry!$D1198,FIND(":",Entry!$D1198)+1,2))),2),"نامعتبر")),IF(OR($E1198="",$E1198="نامعتبر"),"","00:00"))</f>
        <v/>
      </c>
      <c r="G1198">
        <f>IF(OR($E1198="",$E1198="نامعتبر"),"",IF(Entry!$E1198="","",LEFT(UPPER(TRIM(Entry!$E1198)),6)))</f>
        <v/>
      </c>
      <c r="H1198">
        <f>IF($G1198="","",RIGHT($E1198,4)&amp;MID($E1198,6,2)&amp;RIGHT($E1198,2)&amp;IF($F1198="","0000",IF($F1198="نامعتبر","9999",LEFT($F1198,2)&amp;RIGHT($F1198,2)))&amp;"|"&amp;RIGHT("00000"&amp;1190,5))</f>
        <v/>
      </c>
      <c r="I1198">
        <f>IF($H1198="","",COUNTIFS(CalcBank,$G1198,CalcKey,"&lt;"&amp;$H1198)+1)</f>
        <v/>
      </c>
      <c r="J1198">
        <f>IF($I1198="","",$G1198&amp;"|"&amp;RIGHT("000000"&amp;$I1198,6))</f>
        <v/>
      </c>
      <c r="K1198">
        <f>IF(OR($E1198="",$E1198="نامعتبر"),"",LEFT($E1198,4)&amp;"/"&amp;MID($E1198,6,2))</f>
        <v/>
      </c>
      <c r="L1198">
        <f>IF(Entry!$K1198="",0,Entry!$K1198)</f>
        <v/>
      </c>
      <c r="M1198">
        <f>IF(Entry!$L1198="",0,Entry!$L1198)</f>
        <v/>
      </c>
    </row>
    <row r="1199">
      <c r="A1199">
        <f>IF(Entry!$C1199="","",Entry!$C1199)</f>
        <v/>
      </c>
      <c r="B1199">
        <f>IF($A1199="","",IF(ISNUMBER($A1199),IF(AND($A1199&gt;=10000101,$A1199&lt;=99991231),INT($A1199/10000),""),IFERROR(VALUE(TRIM(LEFT($A1199,FIND("/",$A1199)-1))),"")))</f>
        <v/>
      </c>
      <c r="C1199">
        <f>IF(OR($A1199="",$B1199=""),"",IF(ISNUMBER($A1199),INT(MOD($A1199,10000)/100),IFERROR(VALUE(TRIM(LEFT(MID($A1199,FIND("/",$A1199)+1,20),FIND("/",MID($A1199,FIND("/",$A1199)+1,20))-1))),"")))</f>
        <v/>
      </c>
      <c r="D1199">
        <f>IF(OR($A1199="",$B1199=""),"",IF(ISNUMBER($A1199),MOD($A1199,100),IFERROR(VALUE(TRIM(MID(MID($A1199,FIND("/",$A1199)+1,20),FIND("/",MID($A1199,FIND("/",$A1199)+1,20))+1,20))),"")))</f>
        <v/>
      </c>
      <c r="E1199">
        <f>IF($A1199="","",IF(OR($B1199="",$C1199="",$D1199="",$B1199&lt;1300,$B1199&gt;1500,$C1199&lt;1,$C1199&gt;12,$D1199&lt;1,$D1199&gt;31),"نامعتبر",RIGHT("0000"&amp;$B1199,4)&amp;"/"&amp;RIGHT("00"&amp;$C1199,2)&amp;"/"&amp;RIGHT("00"&amp;$D1199,2)))</f>
        <v/>
      </c>
      <c r="F1199">
        <f>IF(Entry!$D1199&lt;&gt;"",IF(AND(ISNUMBER(Entry!$D1199),Entry!$D1199&gt;=0,Entry!$D1199&lt;1),RIGHT("00"&amp;HOUR(Entry!$D1199),2)&amp;":"&amp;RIGHT("00"&amp;MINUTE(Entry!$D1199),2),IFERROR(RIGHT("00"&amp;VALUE(TRIM(LEFT(Entry!$D1199,FIND(":",Entry!$D1199)-1))),2)&amp;":"&amp;RIGHT("00"&amp;VALUE(TRIM(MID(Entry!$D1199,FIND(":",Entry!$D1199)+1,2))),2),"نامعتبر")),IF(OR($E1199="",$E1199="نامعتبر"),"","00:00"))</f>
        <v/>
      </c>
      <c r="G1199">
        <f>IF(OR($E1199="",$E1199="نامعتبر"),"",IF(Entry!$E1199="","",LEFT(UPPER(TRIM(Entry!$E1199)),6)))</f>
        <v/>
      </c>
      <c r="H1199">
        <f>IF($G1199="","",RIGHT($E1199,4)&amp;MID($E1199,6,2)&amp;RIGHT($E1199,2)&amp;IF($F1199="","0000",IF($F1199="نامعتبر","9999",LEFT($F1199,2)&amp;RIGHT($F1199,2)))&amp;"|"&amp;RIGHT("00000"&amp;1191,5))</f>
        <v/>
      </c>
      <c r="I1199">
        <f>IF($H1199="","",COUNTIFS(CalcBank,$G1199,CalcKey,"&lt;"&amp;$H1199)+1)</f>
        <v/>
      </c>
      <c r="J1199">
        <f>IF($I1199="","",$G1199&amp;"|"&amp;RIGHT("000000"&amp;$I1199,6))</f>
        <v/>
      </c>
      <c r="K1199">
        <f>IF(OR($E1199="",$E1199="نامعتبر"),"",LEFT($E1199,4)&amp;"/"&amp;MID($E1199,6,2))</f>
        <v/>
      </c>
      <c r="L1199">
        <f>IF(Entry!$K1199="",0,Entry!$K1199)</f>
        <v/>
      </c>
      <c r="M1199">
        <f>IF(Entry!$L1199="",0,Entry!$L1199)</f>
        <v/>
      </c>
    </row>
    <row r="1200">
      <c r="A1200">
        <f>IF(Entry!$C1200="","",Entry!$C1200)</f>
        <v/>
      </c>
      <c r="B1200">
        <f>IF($A1200="","",IF(ISNUMBER($A1200),IF(AND($A1200&gt;=10000101,$A1200&lt;=99991231),INT($A1200/10000),""),IFERROR(VALUE(TRIM(LEFT($A1200,FIND("/",$A1200)-1))),"")))</f>
        <v/>
      </c>
      <c r="C1200">
        <f>IF(OR($A1200="",$B1200=""),"",IF(ISNUMBER($A1200),INT(MOD($A1200,10000)/100),IFERROR(VALUE(TRIM(LEFT(MID($A1200,FIND("/",$A1200)+1,20),FIND("/",MID($A1200,FIND("/",$A1200)+1,20))-1))),"")))</f>
        <v/>
      </c>
      <c r="D1200">
        <f>IF(OR($A1200="",$B1200=""),"",IF(ISNUMBER($A1200),MOD($A1200,100),IFERROR(VALUE(TRIM(MID(MID($A1200,FIND("/",$A1200)+1,20),FIND("/",MID($A1200,FIND("/",$A1200)+1,20))+1,20))),"")))</f>
        <v/>
      </c>
      <c r="E1200">
        <f>IF($A1200="","",IF(OR($B1200="",$C1200="",$D1200="",$B1200&lt;1300,$B1200&gt;1500,$C1200&lt;1,$C1200&gt;12,$D1200&lt;1,$D1200&gt;31),"نامعتبر",RIGHT("0000"&amp;$B1200,4)&amp;"/"&amp;RIGHT("00"&amp;$C1200,2)&amp;"/"&amp;RIGHT("00"&amp;$D1200,2)))</f>
        <v/>
      </c>
      <c r="F1200">
        <f>IF(Entry!$D1200&lt;&gt;"",IF(AND(ISNUMBER(Entry!$D1200),Entry!$D1200&gt;=0,Entry!$D1200&lt;1),RIGHT("00"&amp;HOUR(Entry!$D1200),2)&amp;":"&amp;RIGHT("00"&amp;MINUTE(Entry!$D1200),2),IFERROR(RIGHT("00"&amp;VALUE(TRIM(LEFT(Entry!$D1200,FIND(":",Entry!$D1200)-1))),2)&amp;":"&amp;RIGHT("00"&amp;VALUE(TRIM(MID(Entry!$D1200,FIND(":",Entry!$D1200)+1,2))),2),"نامعتبر")),IF(OR($E1200="",$E1200="نامعتبر"),"","00:00"))</f>
        <v/>
      </c>
      <c r="G1200">
        <f>IF(OR($E1200="",$E1200="نامعتبر"),"",IF(Entry!$E1200="","",LEFT(UPPER(TRIM(Entry!$E1200)),6)))</f>
        <v/>
      </c>
      <c r="H1200">
        <f>IF($G1200="","",RIGHT($E1200,4)&amp;MID($E1200,6,2)&amp;RIGHT($E1200,2)&amp;IF($F1200="","0000",IF($F1200="نامعتبر","9999",LEFT($F1200,2)&amp;RIGHT($F1200,2)))&amp;"|"&amp;RIGHT("00000"&amp;1192,5))</f>
        <v/>
      </c>
      <c r="I1200">
        <f>IF($H1200="","",COUNTIFS(CalcBank,$G1200,CalcKey,"&lt;"&amp;$H1200)+1)</f>
        <v/>
      </c>
      <c r="J1200">
        <f>IF($I1200="","",$G1200&amp;"|"&amp;RIGHT("000000"&amp;$I1200,6))</f>
        <v/>
      </c>
      <c r="K1200">
        <f>IF(OR($E1200="",$E1200="نامعتبر"),"",LEFT($E1200,4)&amp;"/"&amp;MID($E1200,6,2))</f>
        <v/>
      </c>
      <c r="L1200">
        <f>IF(Entry!$K1200="",0,Entry!$K1200)</f>
        <v/>
      </c>
      <c r="M1200">
        <f>IF(Entry!$L1200="",0,Entry!$L1200)</f>
        <v/>
      </c>
    </row>
    <row r="1201">
      <c r="A1201">
        <f>IF(Entry!$C1201="","",Entry!$C1201)</f>
        <v/>
      </c>
      <c r="B1201">
        <f>IF($A1201="","",IF(ISNUMBER($A1201),IF(AND($A1201&gt;=10000101,$A1201&lt;=99991231),INT($A1201/10000),""),IFERROR(VALUE(TRIM(LEFT($A1201,FIND("/",$A1201)-1))),"")))</f>
        <v/>
      </c>
      <c r="C1201">
        <f>IF(OR($A1201="",$B1201=""),"",IF(ISNUMBER($A1201),INT(MOD($A1201,10000)/100),IFERROR(VALUE(TRIM(LEFT(MID($A1201,FIND("/",$A1201)+1,20),FIND("/",MID($A1201,FIND("/",$A1201)+1,20))-1))),"")))</f>
        <v/>
      </c>
      <c r="D1201">
        <f>IF(OR($A1201="",$B1201=""),"",IF(ISNUMBER($A1201),MOD($A1201,100),IFERROR(VALUE(TRIM(MID(MID($A1201,FIND("/",$A1201)+1,20),FIND("/",MID($A1201,FIND("/",$A1201)+1,20))+1,20))),"")))</f>
        <v/>
      </c>
      <c r="E1201">
        <f>IF($A1201="","",IF(OR($B1201="",$C1201="",$D1201="",$B1201&lt;1300,$B1201&gt;1500,$C1201&lt;1,$C1201&gt;12,$D1201&lt;1,$D1201&gt;31),"نامعتبر",RIGHT("0000"&amp;$B1201,4)&amp;"/"&amp;RIGHT("00"&amp;$C1201,2)&amp;"/"&amp;RIGHT("00"&amp;$D1201,2)))</f>
        <v/>
      </c>
      <c r="F1201">
        <f>IF(Entry!$D1201&lt;&gt;"",IF(AND(ISNUMBER(Entry!$D1201),Entry!$D1201&gt;=0,Entry!$D1201&lt;1),RIGHT("00"&amp;HOUR(Entry!$D1201),2)&amp;":"&amp;RIGHT("00"&amp;MINUTE(Entry!$D1201),2),IFERROR(RIGHT("00"&amp;VALUE(TRIM(LEFT(Entry!$D1201,FIND(":",Entry!$D1201)-1))),2)&amp;":"&amp;RIGHT("00"&amp;VALUE(TRIM(MID(Entry!$D1201,FIND(":",Entry!$D1201)+1,2))),2),"نامعتبر")),IF(OR($E1201="",$E1201="نامعتبر"),"","00:00"))</f>
        <v/>
      </c>
      <c r="G1201">
        <f>IF(OR($E1201="",$E1201="نامعتبر"),"",IF(Entry!$E1201="","",LEFT(UPPER(TRIM(Entry!$E1201)),6)))</f>
        <v/>
      </c>
      <c r="H1201">
        <f>IF($G1201="","",RIGHT($E1201,4)&amp;MID($E1201,6,2)&amp;RIGHT($E1201,2)&amp;IF($F1201="","0000",IF($F1201="نامعتبر","9999",LEFT($F1201,2)&amp;RIGHT($F1201,2)))&amp;"|"&amp;RIGHT("00000"&amp;1193,5))</f>
        <v/>
      </c>
      <c r="I1201">
        <f>IF($H1201="","",COUNTIFS(CalcBank,$G1201,CalcKey,"&lt;"&amp;$H1201)+1)</f>
        <v/>
      </c>
      <c r="J1201">
        <f>IF($I1201="","",$G1201&amp;"|"&amp;RIGHT("000000"&amp;$I1201,6))</f>
        <v/>
      </c>
      <c r="K1201">
        <f>IF(OR($E1201="",$E1201="نامعتبر"),"",LEFT($E1201,4)&amp;"/"&amp;MID($E1201,6,2))</f>
        <v/>
      </c>
      <c r="L1201">
        <f>IF(Entry!$K1201="",0,Entry!$K1201)</f>
        <v/>
      </c>
      <c r="M1201">
        <f>IF(Entry!$L1201="",0,Entry!$L1201)</f>
        <v/>
      </c>
    </row>
    <row r="1202">
      <c r="A1202">
        <f>IF(Entry!$C1202="","",Entry!$C1202)</f>
        <v/>
      </c>
      <c r="B1202">
        <f>IF($A1202="","",IF(ISNUMBER($A1202),IF(AND($A1202&gt;=10000101,$A1202&lt;=99991231),INT($A1202/10000),""),IFERROR(VALUE(TRIM(LEFT($A1202,FIND("/",$A1202)-1))),"")))</f>
        <v/>
      </c>
      <c r="C1202">
        <f>IF(OR($A1202="",$B1202=""),"",IF(ISNUMBER($A1202),INT(MOD($A1202,10000)/100),IFERROR(VALUE(TRIM(LEFT(MID($A1202,FIND("/",$A1202)+1,20),FIND("/",MID($A1202,FIND("/",$A1202)+1,20))-1))),"")))</f>
        <v/>
      </c>
      <c r="D1202">
        <f>IF(OR($A1202="",$B1202=""),"",IF(ISNUMBER($A1202),MOD($A1202,100),IFERROR(VALUE(TRIM(MID(MID($A1202,FIND("/",$A1202)+1,20),FIND("/",MID($A1202,FIND("/",$A1202)+1,20))+1,20))),"")))</f>
        <v/>
      </c>
      <c r="E1202">
        <f>IF($A1202="","",IF(OR($B1202="",$C1202="",$D1202="",$B1202&lt;1300,$B1202&gt;1500,$C1202&lt;1,$C1202&gt;12,$D1202&lt;1,$D1202&gt;31),"نامعتبر",RIGHT("0000"&amp;$B1202,4)&amp;"/"&amp;RIGHT("00"&amp;$C1202,2)&amp;"/"&amp;RIGHT("00"&amp;$D1202,2)))</f>
        <v/>
      </c>
      <c r="F1202">
        <f>IF(Entry!$D1202&lt;&gt;"",IF(AND(ISNUMBER(Entry!$D1202),Entry!$D1202&gt;=0,Entry!$D1202&lt;1),RIGHT("00"&amp;HOUR(Entry!$D1202),2)&amp;":"&amp;RIGHT("00"&amp;MINUTE(Entry!$D1202),2),IFERROR(RIGHT("00"&amp;VALUE(TRIM(LEFT(Entry!$D1202,FIND(":",Entry!$D1202)-1))),2)&amp;":"&amp;RIGHT("00"&amp;VALUE(TRIM(MID(Entry!$D1202,FIND(":",Entry!$D1202)+1,2))),2),"نامعتبر")),IF(OR($E1202="",$E1202="نامعتبر"),"","00:00"))</f>
        <v/>
      </c>
      <c r="G1202">
        <f>IF(OR($E1202="",$E1202="نامعتبر"),"",IF(Entry!$E1202="","",LEFT(UPPER(TRIM(Entry!$E1202)),6)))</f>
        <v/>
      </c>
      <c r="H1202">
        <f>IF($G1202="","",RIGHT($E1202,4)&amp;MID($E1202,6,2)&amp;RIGHT($E1202,2)&amp;IF($F1202="","0000",IF($F1202="نامعتبر","9999",LEFT($F1202,2)&amp;RIGHT($F1202,2)))&amp;"|"&amp;RIGHT("00000"&amp;1194,5))</f>
        <v/>
      </c>
      <c r="I1202">
        <f>IF($H1202="","",COUNTIFS(CalcBank,$G1202,CalcKey,"&lt;"&amp;$H1202)+1)</f>
        <v/>
      </c>
      <c r="J1202">
        <f>IF($I1202="","",$G1202&amp;"|"&amp;RIGHT("000000"&amp;$I1202,6))</f>
        <v/>
      </c>
      <c r="K1202">
        <f>IF(OR($E1202="",$E1202="نامعتبر"),"",LEFT($E1202,4)&amp;"/"&amp;MID($E1202,6,2))</f>
        <v/>
      </c>
      <c r="L1202">
        <f>IF(Entry!$K1202="",0,Entry!$K1202)</f>
        <v/>
      </c>
      <c r="M1202">
        <f>IF(Entry!$L1202="",0,Entry!$L1202)</f>
        <v/>
      </c>
    </row>
    <row r="1203">
      <c r="A1203">
        <f>IF(Entry!$C1203="","",Entry!$C1203)</f>
        <v/>
      </c>
      <c r="B1203">
        <f>IF($A1203="","",IF(ISNUMBER($A1203),IF(AND($A1203&gt;=10000101,$A1203&lt;=99991231),INT($A1203/10000),""),IFERROR(VALUE(TRIM(LEFT($A1203,FIND("/",$A1203)-1))),"")))</f>
        <v/>
      </c>
      <c r="C1203">
        <f>IF(OR($A1203="",$B1203=""),"",IF(ISNUMBER($A1203),INT(MOD($A1203,10000)/100),IFERROR(VALUE(TRIM(LEFT(MID($A1203,FIND("/",$A1203)+1,20),FIND("/",MID($A1203,FIND("/",$A1203)+1,20))-1))),"")))</f>
        <v/>
      </c>
      <c r="D1203">
        <f>IF(OR($A1203="",$B1203=""),"",IF(ISNUMBER($A1203),MOD($A1203,100),IFERROR(VALUE(TRIM(MID(MID($A1203,FIND("/",$A1203)+1,20),FIND("/",MID($A1203,FIND("/",$A1203)+1,20))+1,20))),"")))</f>
        <v/>
      </c>
      <c r="E1203">
        <f>IF($A1203="","",IF(OR($B1203="",$C1203="",$D1203="",$B1203&lt;1300,$B1203&gt;1500,$C1203&lt;1,$C1203&gt;12,$D1203&lt;1,$D1203&gt;31),"نامعتبر",RIGHT("0000"&amp;$B1203,4)&amp;"/"&amp;RIGHT("00"&amp;$C1203,2)&amp;"/"&amp;RIGHT("00"&amp;$D1203,2)))</f>
        <v/>
      </c>
      <c r="F1203">
        <f>IF(Entry!$D1203&lt;&gt;"",IF(AND(ISNUMBER(Entry!$D1203),Entry!$D1203&gt;=0,Entry!$D1203&lt;1),RIGHT("00"&amp;HOUR(Entry!$D1203),2)&amp;":"&amp;RIGHT("00"&amp;MINUTE(Entry!$D1203),2),IFERROR(RIGHT("00"&amp;VALUE(TRIM(LEFT(Entry!$D1203,FIND(":",Entry!$D1203)-1))),2)&amp;":"&amp;RIGHT("00"&amp;VALUE(TRIM(MID(Entry!$D1203,FIND(":",Entry!$D1203)+1,2))),2),"نامعتبر")),IF(OR($E1203="",$E1203="نامعتبر"),"","00:00"))</f>
        <v/>
      </c>
      <c r="G1203">
        <f>IF(OR($E1203="",$E1203="نامعتبر"),"",IF(Entry!$E1203="","",LEFT(UPPER(TRIM(Entry!$E1203)),6)))</f>
        <v/>
      </c>
      <c r="H1203">
        <f>IF($G1203="","",RIGHT($E1203,4)&amp;MID($E1203,6,2)&amp;RIGHT($E1203,2)&amp;IF($F1203="","0000",IF($F1203="نامعتبر","9999",LEFT($F1203,2)&amp;RIGHT($F1203,2)))&amp;"|"&amp;RIGHT("00000"&amp;1195,5))</f>
        <v/>
      </c>
      <c r="I1203">
        <f>IF($H1203="","",COUNTIFS(CalcBank,$G1203,CalcKey,"&lt;"&amp;$H1203)+1)</f>
        <v/>
      </c>
      <c r="J1203">
        <f>IF($I1203="","",$G1203&amp;"|"&amp;RIGHT("000000"&amp;$I1203,6))</f>
        <v/>
      </c>
      <c r="K1203">
        <f>IF(OR($E1203="",$E1203="نامعتبر"),"",LEFT($E1203,4)&amp;"/"&amp;MID($E1203,6,2))</f>
        <v/>
      </c>
      <c r="L1203">
        <f>IF(Entry!$K1203="",0,Entry!$K1203)</f>
        <v/>
      </c>
      <c r="M1203">
        <f>IF(Entry!$L1203="",0,Entry!$L1203)</f>
        <v/>
      </c>
    </row>
    <row r="1204">
      <c r="A1204">
        <f>IF(Entry!$C1204="","",Entry!$C1204)</f>
        <v/>
      </c>
      <c r="B1204">
        <f>IF($A1204="","",IF(ISNUMBER($A1204),IF(AND($A1204&gt;=10000101,$A1204&lt;=99991231),INT($A1204/10000),""),IFERROR(VALUE(TRIM(LEFT($A1204,FIND("/",$A1204)-1))),"")))</f>
        <v/>
      </c>
      <c r="C1204">
        <f>IF(OR($A1204="",$B1204=""),"",IF(ISNUMBER($A1204),INT(MOD($A1204,10000)/100),IFERROR(VALUE(TRIM(LEFT(MID($A1204,FIND("/",$A1204)+1,20),FIND("/",MID($A1204,FIND("/",$A1204)+1,20))-1))),"")))</f>
        <v/>
      </c>
      <c r="D1204">
        <f>IF(OR($A1204="",$B1204=""),"",IF(ISNUMBER($A1204),MOD($A1204,100),IFERROR(VALUE(TRIM(MID(MID($A1204,FIND("/",$A1204)+1,20),FIND("/",MID($A1204,FIND("/",$A1204)+1,20))+1,20))),"")))</f>
        <v/>
      </c>
      <c r="E1204">
        <f>IF($A1204="","",IF(OR($B1204="",$C1204="",$D1204="",$B1204&lt;1300,$B1204&gt;1500,$C1204&lt;1,$C1204&gt;12,$D1204&lt;1,$D1204&gt;31),"نامعتبر",RIGHT("0000"&amp;$B1204,4)&amp;"/"&amp;RIGHT("00"&amp;$C1204,2)&amp;"/"&amp;RIGHT("00"&amp;$D1204,2)))</f>
        <v/>
      </c>
      <c r="F1204">
        <f>IF(Entry!$D1204&lt;&gt;"",IF(AND(ISNUMBER(Entry!$D1204),Entry!$D1204&gt;=0,Entry!$D1204&lt;1),RIGHT("00"&amp;HOUR(Entry!$D1204),2)&amp;":"&amp;RIGHT("00"&amp;MINUTE(Entry!$D1204),2),IFERROR(RIGHT("00"&amp;VALUE(TRIM(LEFT(Entry!$D1204,FIND(":",Entry!$D1204)-1))),2)&amp;":"&amp;RIGHT("00"&amp;VALUE(TRIM(MID(Entry!$D1204,FIND(":",Entry!$D1204)+1,2))),2),"نامعتبر")),IF(OR($E1204="",$E1204="نامعتبر"),"","00:00"))</f>
        <v/>
      </c>
      <c r="G1204">
        <f>IF(OR($E1204="",$E1204="نامعتبر"),"",IF(Entry!$E1204="","",LEFT(UPPER(TRIM(Entry!$E1204)),6)))</f>
        <v/>
      </c>
      <c r="H1204">
        <f>IF($G1204="","",RIGHT($E1204,4)&amp;MID($E1204,6,2)&amp;RIGHT($E1204,2)&amp;IF($F1204="","0000",IF($F1204="نامعتبر","9999",LEFT($F1204,2)&amp;RIGHT($F1204,2)))&amp;"|"&amp;RIGHT("00000"&amp;1196,5))</f>
        <v/>
      </c>
      <c r="I1204">
        <f>IF($H1204="","",COUNTIFS(CalcBank,$G1204,CalcKey,"&lt;"&amp;$H1204)+1)</f>
        <v/>
      </c>
      <c r="J1204">
        <f>IF($I1204="","",$G1204&amp;"|"&amp;RIGHT("000000"&amp;$I1204,6))</f>
        <v/>
      </c>
      <c r="K1204">
        <f>IF(OR($E1204="",$E1204="نامعتبر"),"",LEFT($E1204,4)&amp;"/"&amp;MID($E1204,6,2))</f>
        <v/>
      </c>
      <c r="L1204">
        <f>IF(Entry!$K1204="",0,Entry!$K1204)</f>
        <v/>
      </c>
      <c r="M1204">
        <f>IF(Entry!$L1204="",0,Entry!$L1204)</f>
        <v/>
      </c>
    </row>
    <row r="1205">
      <c r="A1205">
        <f>IF(Entry!$C1205="","",Entry!$C1205)</f>
        <v/>
      </c>
      <c r="B1205">
        <f>IF($A1205="","",IF(ISNUMBER($A1205),IF(AND($A1205&gt;=10000101,$A1205&lt;=99991231),INT($A1205/10000),""),IFERROR(VALUE(TRIM(LEFT($A1205,FIND("/",$A1205)-1))),"")))</f>
        <v/>
      </c>
      <c r="C1205">
        <f>IF(OR($A1205="",$B1205=""),"",IF(ISNUMBER($A1205),INT(MOD($A1205,10000)/100),IFERROR(VALUE(TRIM(LEFT(MID($A1205,FIND("/",$A1205)+1,20),FIND("/",MID($A1205,FIND("/",$A1205)+1,20))-1))),"")))</f>
        <v/>
      </c>
      <c r="D1205">
        <f>IF(OR($A1205="",$B1205=""),"",IF(ISNUMBER($A1205),MOD($A1205,100),IFERROR(VALUE(TRIM(MID(MID($A1205,FIND("/",$A1205)+1,20),FIND("/",MID($A1205,FIND("/",$A1205)+1,20))+1,20))),"")))</f>
        <v/>
      </c>
      <c r="E1205">
        <f>IF($A1205="","",IF(OR($B1205="",$C1205="",$D1205="",$B1205&lt;1300,$B1205&gt;1500,$C1205&lt;1,$C1205&gt;12,$D1205&lt;1,$D1205&gt;31),"نامعتبر",RIGHT("0000"&amp;$B1205,4)&amp;"/"&amp;RIGHT("00"&amp;$C1205,2)&amp;"/"&amp;RIGHT("00"&amp;$D1205,2)))</f>
        <v/>
      </c>
      <c r="F1205">
        <f>IF(Entry!$D1205&lt;&gt;"",IF(AND(ISNUMBER(Entry!$D1205),Entry!$D1205&gt;=0,Entry!$D1205&lt;1),RIGHT("00"&amp;HOUR(Entry!$D1205),2)&amp;":"&amp;RIGHT("00"&amp;MINUTE(Entry!$D1205),2),IFERROR(RIGHT("00"&amp;VALUE(TRIM(LEFT(Entry!$D1205,FIND(":",Entry!$D1205)-1))),2)&amp;":"&amp;RIGHT("00"&amp;VALUE(TRIM(MID(Entry!$D1205,FIND(":",Entry!$D1205)+1,2))),2),"نامعتبر")),IF(OR($E1205="",$E1205="نامعتبر"),"","00:00"))</f>
        <v/>
      </c>
      <c r="G1205">
        <f>IF(OR($E1205="",$E1205="نامعتبر"),"",IF(Entry!$E1205="","",LEFT(UPPER(TRIM(Entry!$E1205)),6)))</f>
        <v/>
      </c>
      <c r="H1205">
        <f>IF($G1205="","",RIGHT($E1205,4)&amp;MID($E1205,6,2)&amp;RIGHT($E1205,2)&amp;IF($F1205="","0000",IF($F1205="نامعتبر","9999",LEFT($F1205,2)&amp;RIGHT($F1205,2)))&amp;"|"&amp;RIGHT("00000"&amp;1197,5))</f>
        <v/>
      </c>
      <c r="I1205">
        <f>IF($H1205="","",COUNTIFS(CalcBank,$G1205,CalcKey,"&lt;"&amp;$H1205)+1)</f>
        <v/>
      </c>
      <c r="J1205">
        <f>IF($I1205="","",$G1205&amp;"|"&amp;RIGHT("000000"&amp;$I1205,6))</f>
        <v/>
      </c>
      <c r="K1205">
        <f>IF(OR($E1205="",$E1205="نامعتبر"),"",LEFT($E1205,4)&amp;"/"&amp;MID($E1205,6,2))</f>
        <v/>
      </c>
      <c r="L1205">
        <f>IF(Entry!$K1205="",0,Entry!$K1205)</f>
        <v/>
      </c>
      <c r="M1205">
        <f>IF(Entry!$L1205="",0,Entry!$L1205)</f>
        <v/>
      </c>
    </row>
    <row r="1206">
      <c r="A1206">
        <f>IF(Entry!$C1206="","",Entry!$C1206)</f>
        <v/>
      </c>
      <c r="B1206">
        <f>IF($A1206="","",IF(ISNUMBER($A1206),IF(AND($A1206&gt;=10000101,$A1206&lt;=99991231),INT($A1206/10000),""),IFERROR(VALUE(TRIM(LEFT($A1206,FIND("/",$A1206)-1))),"")))</f>
        <v/>
      </c>
      <c r="C1206">
        <f>IF(OR($A1206="",$B1206=""),"",IF(ISNUMBER($A1206),INT(MOD($A1206,10000)/100),IFERROR(VALUE(TRIM(LEFT(MID($A1206,FIND("/",$A1206)+1,20),FIND("/",MID($A1206,FIND("/",$A1206)+1,20))-1))),"")))</f>
        <v/>
      </c>
      <c r="D1206">
        <f>IF(OR($A1206="",$B1206=""),"",IF(ISNUMBER($A1206),MOD($A1206,100),IFERROR(VALUE(TRIM(MID(MID($A1206,FIND("/",$A1206)+1,20),FIND("/",MID($A1206,FIND("/",$A1206)+1,20))+1,20))),"")))</f>
        <v/>
      </c>
      <c r="E1206">
        <f>IF($A1206="","",IF(OR($B1206="",$C1206="",$D1206="",$B1206&lt;1300,$B1206&gt;1500,$C1206&lt;1,$C1206&gt;12,$D1206&lt;1,$D1206&gt;31),"نامعتبر",RIGHT("0000"&amp;$B1206,4)&amp;"/"&amp;RIGHT("00"&amp;$C1206,2)&amp;"/"&amp;RIGHT("00"&amp;$D1206,2)))</f>
        <v/>
      </c>
      <c r="F1206">
        <f>IF(Entry!$D1206&lt;&gt;"",IF(AND(ISNUMBER(Entry!$D1206),Entry!$D1206&gt;=0,Entry!$D1206&lt;1),RIGHT("00"&amp;HOUR(Entry!$D1206),2)&amp;":"&amp;RIGHT("00"&amp;MINUTE(Entry!$D1206),2),IFERROR(RIGHT("00"&amp;VALUE(TRIM(LEFT(Entry!$D1206,FIND(":",Entry!$D1206)-1))),2)&amp;":"&amp;RIGHT("00"&amp;VALUE(TRIM(MID(Entry!$D1206,FIND(":",Entry!$D1206)+1,2))),2),"نامعتبر")),IF(OR($E1206="",$E1206="نامعتبر"),"","00:00"))</f>
        <v/>
      </c>
      <c r="G1206">
        <f>IF(OR($E1206="",$E1206="نامعتبر"),"",IF(Entry!$E1206="","",LEFT(UPPER(TRIM(Entry!$E1206)),6)))</f>
        <v/>
      </c>
      <c r="H1206">
        <f>IF($G1206="","",RIGHT($E1206,4)&amp;MID($E1206,6,2)&amp;RIGHT($E1206,2)&amp;IF($F1206="","0000",IF($F1206="نامعتبر","9999",LEFT($F1206,2)&amp;RIGHT($F1206,2)))&amp;"|"&amp;RIGHT("00000"&amp;1198,5))</f>
        <v/>
      </c>
      <c r="I1206">
        <f>IF($H1206="","",COUNTIFS(CalcBank,$G1206,CalcKey,"&lt;"&amp;$H1206)+1)</f>
        <v/>
      </c>
      <c r="J1206">
        <f>IF($I1206="","",$G1206&amp;"|"&amp;RIGHT("000000"&amp;$I1206,6))</f>
        <v/>
      </c>
      <c r="K1206">
        <f>IF(OR($E1206="",$E1206="نامعتبر"),"",LEFT($E1206,4)&amp;"/"&amp;MID($E1206,6,2))</f>
        <v/>
      </c>
      <c r="L1206">
        <f>IF(Entry!$K1206="",0,Entry!$K1206)</f>
        <v/>
      </c>
      <c r="M1206">
        <f>IF(Entry!$L1206="",0,Entry!$L1206)</f>
        <v/>
      </c>
    </row>
    <row r="1207">
      <c r="A1207">
        <f>IF(Entry!$C1207="","",Entry!$C1207)</f>
        <v/>
      </c>
      <c r="B1207">
        <f>IF($A1207="","",IF(ISNUMBER($A1207),IF(AND($A1207&gt;=10000101,$A1207&lt;=99991231),INT($A1207/10000),""),IFERROR(VALUE(TRIM(LEFT($A1207,FIND("/",$A1207)-1))),"")))</f>
        <v/>
      </c>
      <c r="C1207">
        <f>IF(OR($A1207="",$B1207=""),"",IF(ISNUMBER($A1207),INT(MOD($A1207,10000)/100),IFERROR(VALUE(TRIM(LEFT(MID($A1207,FIND("/",$A1207)+1,20),FIND("/",MID($A1207,FIND("/",$A1207)+1,20))-1))),"")))</f>
        <v/>
      </c>
      <c r="D1207">
        <f>IF(OR($A1207="",$B1207=""),"",IF(ISNUMBER($A1207),MOD($A1207,100),IFERROR(VALUE(TRIM(MID(MID($A1207,FIND("/",$A1207)+1,20),FIND("/",MID($A1207,FIND("/",$A1207)+1,20))+1,20))),"")))</f>
        <v/>
      </c>
      <c r="E1207">
        <f>IF($A1207="","",IF(OR($B1207="",$C1207="",$D1207="",$B1207&lt;1300,$B1207&gt;1500,$C1207&lt;1,$C1207&gt;12,$D1207&lt;1,$D1207&gt;31),"نامعتبر",RIGHT("0000"&amp;$B1207,4)&amp;"/"&amp;RIGHT("00"&amp;$C1207,2)&amp;"/"&amp;RIGHT("00"&amp;$D1207,2)))</f>
        <v/>
      </c>
      <c r="F1207">
        <f>IF(Entry!$D1207&lt;&gt;"",IF(AND(ISNUMBER(Entry!$D1207),Entry!$D1207&gt;=0,Entry!$D1207&lt;1),RIGHT("00"&amp;HOUR(Entry!$D1207),2)&amp;":"&amp;RIGHT("00"&amp;MINUTE(Entry!$D1207),2),IFERROR(RIGHT("00"&amp;VALUE(TRIM(LEFT(Entry!$D1207,FIND(":",Entry!$D1207)-1))),2)&amp;":"&amp;RIGHT("00"&amp;VALUE(TRIM(MID(Entry!$D1207,FIND(":",Entry!$D1207)+1,2))),2),"نامعتبر")),IF(OR($E1207="",$E1207="نامعتبر"),"","00:00"))</f>
        <v/>
      </c>
      <c r="G1207">
        <f>IF(OR($E1207="",$E1207="نامعتبر"),"",IF(Entry!$E1207="","",LEFT(UPPER(TRIM(Entry!$E1207)),6)))</f>
        <v/>
      </c>
      <c r="H1207">
        <f>IF($G1207="","",RIGHT($E1207,4)&amp;MID($E1207,6,2)&amp;RIGHT($E1207,2)&amp;IF($F1207="","0000",IF($F1207="نامعتبر","9999",LEFT($F1207,2)&amp;RIGHT($F1207,2)))&amp;"|"&amp;RIGHT("00000"&amp;1199,5))</f>
        <v/>
      </c>
      <c r="I1207">
        <f>IF($H1207="","",COUNTIFS(CalcBank,$G1207,CalcKey,"&lt;"&amp;$H1207)+1)</f>
        <v/>
      </c>
      <c r="J1207">
        <f>IF($I1207="","",$G1207&amp;"|"&amp;RIGHT("000000"&amp;$I1207,6))</f>
        <v/>
      </c>
      <c r="K1207">
        <f>IF(OR($E1207="",$E1207="نامعتبر"),"",LEFT($E1207,4)&amp;"/"&amp;MID($E1207,6,2))</f>
        <v/>
      </c>
      <c r="L1207">
        <f>IF(Entry!$K1207="",0,Entry!$K1207)</f>
        <v/>
      </c>
      <c r="M1207">
        <f>IF(Entry!$L1207="",0,Entry!$L1207)</f>
        <v/>
      </c>
    </row>
    <row r="1208">
      <c r="A1208">
        <f>IF(Entry!$C1208="","",Entry!$C1208)</f>
        <v/>
      </c>
      <c r="B1208">
        <f>IF($A1208="","",IF(ISNUMBER($A1208),IF(AND($A1208&gt;=10000101,$A1208&lt;=99991231),INT($A1208/10000),""),IFERROR(VALUE(TRIM(LEFT($A1208,FIND("/",$A1208)-1))),"")))</f>
        <v/>
      </c>
      <c r="C1208">
        <f>IF(OR($A1208="",$B1208=""),"",IF(ISNUMBER($A1208),INT(MOD($A1208,10000)/100),IFERROR(VALUE(TRIM(LEFT(MID($A1208,FIND("/",$A1208)+1,20),FIND("/",MID($A1208,FIND("/",$A1208)+1,20))-1))),"")))</f>
        <v/>
      </c>
      <c r="D1208">
        <f>IF(OR($A1208="",$B1208=""),"",IF(ISNUMBER($A1208),MOD($A1208,100),IFERROR(VALUE(TRIM(MID(MID($A1208,FIND("/",$A1208)+1,20),FIND("/",MID($A1208,FIND("/",$A1208)+1,20))+1,20))),"")))</f>
        <v/>
      </c>
      <c r="E1208">
        <f>IF($A1208="","",IF(OR($B1208="",$C1208="",$D1208="",$B1208&lt;1300,$B1208&gt;1500,$C1208&lt;1,$C1208&gt;12,$D1208&lt;1,$D1208&gt;31),"نامعتبر",RIGHT("0000"&amp;$B1208,4)&amp;"/"&amp;RIGHT("00"&amp;$C1208,2)&amp;"/"&amp;RIGHT("00"&amp;$D1208,2)))</f>
        <v/>
      </c>
      <c r="F1208">
        <f>IF(Entry!$D1208&lt;&gt;"",IF(AND(ISNUMBER(Entry!$D1208),Entry!$D1208&gt;=0,Entry!$D1208&lt;1),RIGHT("00"&amp;HOUR(Entry!$D1208),2)&amp;":"&amp;RIGHT("00"&amp;MINUTE(Entry!$D1208),2),IFERROR(RIGHT("00"&amp;VALUE(TRIM(LEFT(Entry!$D1208,FIND(":",Entry!$D1208)-1))),2)&amp;":"&amp;RIGHT("00"&amp;VALUE(TRIM(MID(Entry!$D1208,FIND(":",Entry!$D1208)+1,2))),2),"نامعتبر")),IF(OR($E1208="",$E1208="نامعتبر"),"","00:00"))</f>
        <v/>
      </c>
      <c r="G1208">
        <f>IF(OR($E1208="",$E1208="نامعتبر"),"",IF(Entry!$E1208="","",LEFT(UPPER(TRIM(Entry!$E1208)),6)))</f>
        <v/>
      </c>
      <c r="H1208">
        <f>IF($G1208="","",RIGHT($E1208,4)&amp;MID($E1208,6,2)&amp;RIGHT($E1208,2)&amp;IF($F1208="","0000",IF($F1208="نامعتبر","9999",LEFT($F1208,2)&amp;RIGHT($F1208,2)))&amp;"|"&amp;RIGHT("00000"&amp;1200,5))</f>
        <v/>
      </c>
      <c r="I1208">
        <f>IF($H1208="","",COUNTIFS(CalcBank,$G1208,CalcKey,"&lt;"&amp;$H1208)+1)</f>
        <v/>
      </c>
      <c r="J1208">
        <f>IF($I1208="","",$G1208&amp;"|"&amp;RIGHT("000000"&amp;$I1208,6))</f>
        <v/>
      </c>
      <c r="K1208">
        <f>IF(OR($E1208="",$E1208="نامعتبر"),"",LEFT($E1208,4)&amp;"/"&amp;MID($E1208,6,2))</f>
        <v/>
      </c>
      <c r="L1208">
        <f>IF(Entry!$K1208="",0,Entry!$K1208)</f>
        <v/>
      </c>
      <c r="M1208">
        <f>IF(Entry!$L1208="",0,Entry!$L1208)</f>
        <v/>
      </c>
    </row>
    <row r="1209">
      <c r="A1209">
        <f>IF(Entry!$C1209="","",Entry!$C1209)</f>
        <v/>
      </c>
      <c r="B1209">
        <f>IF($A1209="","",IF(ISNUMBER($A1209),IF(AND($A1209&gt;=10000101,$A1209&lt;=99991231),INT($A1209/10000),""),IFERROR(VALUE(TRIM(LEFT($A1209,FIND("/",$A1209)-1))),"")))</f>
        <v/>
      </c>
      <c r="C1209">
        <f>IF(OR($A1209="",$B1209=""),"",IF(ISNUMBER($A1209),INT(MOD($A1209,10000)/100),IFERROR(VALUE(TRIM(LEFT(MID($A1209,FIND("/",$A1209)+1,20),FIND("/",MID($A1209,FIND("/",$A1209)+1,20))-1))),"")))</f>
        <v/>
      </c>
      <c r="D1209">
        <f>IF(OR($A1209="",$B1209=""),"",IF(ISNUMBER($A1209),MOD($A1209,100),IFERROR(VALUE(TRIM(MID(MID($A1209,FIND("/",$A1209)+1,20),FIND("/",MID($A1209,FIND("/",$A1209)+1,20))+1,20))),"")))</f>
        <v/>
      </c>
      <c r="E1209">
        <f>IF($A1209="","",IF(OR($B1209="",$C1209="",$D1209="",$B1209&lt;1300,$B1209&gt;1500,$C1209&lt;1,$C1209&gt;12,$D1209&lt;1,$D1209&gt;31),"نامعتبر",RIGHT("0000"&amp;$B1209,4)&amp;"/"&amp;RIGHT("00"&amp;$C1209,2)&amp;"/"&amp;RIGHT("00"&amp;$D1209,2)))</f>
        <v/>
      </c>
      <c r="F1209">
        <f>IF(Entry!$D1209&lt;&gt;"",IF(AND(ISNUMBER(Entry!$D1209),Entry!$D1209&gt;=0,Entry!$D1209&lt;1),RIGHT("00"&amp;HOUR(Entry!$D1209),2)&amp;":"&amp;RIGHT("00"&amp;MINUTE(Entry!$D1209),2),IFERROR(RIGHT("00"&amp;VALUE(TRIM(LEFT(Entry!$D1209,FIND(":",Entry!$D1209)-1))),2)&amp;":"&amp;RIGHT("00"&amp;VALUE(TRIM(MID(Entry!$D1209,FIND(":",Entry!$D1209)+1,2))),2),"نامعتبر")),IF(OR($E1209="",$E1209="نامعتبر"),"","00:00"))</f>
        <v/>
      </c>
      <c r="G1209">
        <f>IF(OR($E1209="",$E1209="نامعتبر"),"",IF(Entry!$E1209="","",LEFT(UPPER(TRIM(Entry!$E1209)),6)))</f>
        <v/>
      </c>
      <c r="H1209">
        <f>IF($G1209="","",RIGHT($E1209,4)&amp;MID($E1209,6,2)&amp;RIGHT($E1209,2)&amp;IF($F1209="","0000",IF($F1209="نامعتبر","9999",LEFT($F1209,2)&amp;RIGHT($F1209,2)))&amp;"|"&amp;RIGHT("00000"&amp;1201,5))</f>
        <v/>
      </c>
      <c r="I1209">
        <f>IF($H1209="","",COUNTIFS(CalcBank,$G1209,CalcKey,"&lt;"&amp;$H1209)+1)</f>
        <v/>
      </c>
      <c r="J1209">
        <f>IF($I1209="","",$G1209&amp;"|"&amp;RIGHT("000000"&amp;$I1209,6))</f>
        <v/>
      </c>
      <c r="K1209">
        <f>IF(OR($E1209="",$E1209="نامعتبر"),"",LEFT($E1209,4)&amp;"/"&amp;MID($E1209,6,2))</f>
        <v/>
      </c>
      <c r="L1209">
        <f>IF(Entry!$K1209="",0,Entry!$K1209)</f>
        <v/>
      </c>
      <c r="M1209">
        <f>IF(Entry!$L1209="",0,Entry!$L1209)</f>
        <v/>
      </c>
    </row>
    <row r="1210">
      <c r="A1210">
        <f>IF(Entry!$C1210="","",Entry!$C1210)</f>
        <v/>
      </c>
      <c r="B1210">
        <f>IF($A1210="","",IF(ISNUMBER($A1210),IF(AND($A1210&gt;=10000101,$A1210&lt;=99991231),INT($A1210/10000),""),IFERROR(VALUE(TRIM(LEFT($A1210,FIND("/",$A1210)-1))),"")))</f>
        <v/>
      </c>
      <c r="C1210">
        <f>IF(OR($A1210="",$B1210=""),"",IF(ISNUMBER($A1210),INT(MOD($A1210,10000)/100),IFERROR(VALUE(TRIM(LEFT(MID($A1210,FIND("/",$A1210)+1,20),FIND("/",MID($A1210,FIND("/",$A1210)+1,20))-1))),"")))</f>
        <v/>
      </c>
      <c r="D1210">
        <f>IF(OR($A1210="",$B1210=""),"",IF(ISNUMBER($A1210),MOD($A1210,100),IFERROR(VALUE(TRIM(MID(MID($A1210,FIND("/",$A1210)+1,20),FIND("/",MID($A1210,FIND("/",$A1210)+1,20))+1,20))),"")))</f>
        <v/>
      </c>
      <c r="E1210">
        <f>IF($A1210="","",IF(OR($B1210="",$C1210="",$D1210="",$B1210&lt;1300,$B1210&gt;1500,$C1210&lt;1,$C1210&gt;12,$D1210&lt;1,$D1210&gt;31),"نامعتبر",RIGHT("0000"&amp;$B1210,4)&amp;"/"&amp;RIGHT("00"&amp;$C1210,2)&amp;"/"&amp;RIGHT("00"&amp;$D1210,2)))</f>
        <v/>
      </c>
      <c r="F1210">
        <f>IF(Entry!$D1210&lt;&gt;"",IF(AND(ISNUMBER(Entry!$D1210),Entry!$D1210&gt;=0,Entry!$D1210&lt;1),RIGHT("00"&amp;HOUR(Entry!$D1210),2)&amp;":"&amp;RIGHT("00"&amp;MINUTE(Entry!$D1210),2),IFERROR(RIGHT("00"&amp;VALUE(TRIM(LEFT(Entry!$D1210,FIND(":",Entry!$D1210)-1))),2)&amp;":"&amp;RIGHT("00"&amp;VALUE(TRIM(MID(Entry!$D1210,FIND(":",Entry!$D1210)+1,2))),2),"نامعتبر")),IF(OR($E1210="",$E1210="نامعتبر"),"","00:00"))</f>
        <v/>
      </c>
      <c r="G1210">
        <f>IF(OR($E1210="",$E1210="نامعتبر"),"",IF(Entry!$E1210="","",LEFT(UPPER(TRIM(Entry!$E1210)),6)))</f>
        <v/>
      </c>
      <c r="H1210">
        <f>IF($G1210="","",RIGHT($E1210,4)&amp;MID($E1210,6,2)&amp;RIGHT($E1210,2)&amp;IF($F1210="","0000",IF($F1210="نامعتبر","9999",LEFT($F1210,2)&amp;RIGHT($F1210,2)))&amp;"|"&amp;RIGHT("00000"&amp;1202,5))</f>
        <v/>
      </c>
      <c r="I1210">
        <f>IF($H1210="","",COUNTIFS(CalcBank,$G1210,CalcKey,"&lt;"&amp;$H1210)+1)</f>
        <v/>
      </c>
      <c r="J1210">
        <f>IF($I1210="","",$G1210&amp;"|"&amp;RIGHT("000000"&amp;$I1210,6))</f>
        <v/>
      </c>
      <c r="K1210">
        <f>IF(OR($E1210="",$E1210="نامعتبر"),"",LEFT($E1210,4)&amp;"/"&amp;MID($E1210,6,2))</f>
        <v/>
      </c>
      <c r="L1210">
        <f>IF(Entry!$K1210="",0,Entry!$K1210)</f>
        <v/>
      </c>
      <c r="M1210">
        <f>IF(Entry!$L1210="",0,Entry!$L1210)</f>
        <v/>
      </c>
    </row>
    <row r="1211">
      <c r="A1211">
        <f>IF(Entry!$C1211="","",Entry!$C1211)</f>
        <v/>
      </c>
      <c r="B1211">
        <f>IF($A1211="","",IF(ISNUMBER($A1211),IF(AND($A1211&gt;=10000101,$A1211&lt;=99991231),INT($A1211/10000),""),IFERROR(VALUE(TRIM(LEFT($A1211,FIND("/",$A1211)-1))),"")))</f>
        <v/>
      </c>
      <c r="C1211">
        <f>IF(OR($A1211="",$B1211=""),"",IF(ISNUMBER($A1211),INT(MOD($A1211,10000)/100),IFERROR(VALUE(TRIM(LEFT(MID($A1211,FIND("/",$A1211)+1,20),FIND("/",MID($A1211,FIND("/",$A1211)+1,20))-1))),"")))</f>
        <v/>
      </c>
      <c r="D1211">
        <f>IF(OR($A1211="",$B1211=""),"",IF(ISNUMBER($A1211),MOD($A1211,100),IFERROR(VALUE(TRIM(MID(MID($A1211,FIND("/",$A1211)+1,20),FIND("/",MID($A1211,FIND("/",$A1211)+1,20))+1,20))),"")))</f>
        <v/>
      </c>
      <c r="E1211">
        <f>IF($A1211="","",IF(OR($B1211="",$C1211="",$D1211="",$B1211&lt;1300,$B1211&gt;1500,$C1211&lt;1,$C1211&gt;12,$D1211&lt;1,$D1211&gt;31),"نامعتبر",RIGHT("0000"&amp;$B1211,4)&amp;"/"&amp;RIGHT("00"&amp;$C1211,2)&amp;"/"&amp;RIGHT("00"&amp;$D1211,2)))</f>
        <v/>
      </c>
      <c r="F1211">
        <f>IF(Entry!$D1211&lt;&gt;"",IF(AND(ISNUMBER(Entry!$D1211),Entry!$D1211&gt;=0,Entry!$D1211&lt;1),RIGHT("00"&amp;HOUR(Entry!$D1211),2)&amp;":"&amp;RIGHT("00"&amp;MINUTE(Entry!$D1211),2),IFERROR(RIGHT("00"&amp;VALUE(TRIM(LEFT(Entry!$D1211,FIND(":",Entry!$D1211)-1))),2)&amp;":"&amp;RIGHT("00"&amp;VALUE(TRIM(MID(Entry!$D1211,FIND(":",Entry!$D1211)+1,2))),2),"نامعتبر")),IF(OR($E1211="",$E1211="نامعتبر"),"","00:00"))</f>
        <v/>
      </c>
      <c r="G1211">
        <f>IF(OR($E1211="",$E1211="نامعتبر"),"",IF(Entry!$E1211="","",LEFT(UPPER(TRIM(Entry!$E1211)),6)))</f>
        <v/>
      </c>
      <c r="H1211">
        <f>IF($G1211="","",RIGHT($E1211,4)&amp;MID($E1211,6,2)&amp;RIGHT($E1211,2)&amp;IF($F1211="","0000",IF($F1211="نامعتبر","9999",LEFT($F1211,2)&amp;RIGHT($F1211,2)))&amp;"|"&amp;RIGHT("00000"&amp;1203,5))</f>
        <v/>
      </c>
      <c r="I1211">
        <f>IF($H1211="","",COUNTIFS(CalcBank,$G1211,CalcKey,"&lt;"&amp;$H1211)+1)</f>
        <v/>
      </c>
      <c r="J1211">
        <f>IF($I1211="","",$G1211&amp;"|"&amp;RIGHT("000000"&amp;$I1211,6))</f>
        <v/>
      </c>
      <c r="K1211">
        <f>IF(OR($E1211="",$E1211="نامعتبر"),"",LEFT($E1211,4)&amp;"/"&amp;MID($E1211,6,2))</f>
        <v/>
      </c>
      <c r="L1211">
        <f>IF(Entry!$K1211="",0,Entry!$K1211)</f>
        <v/>
      </c>
      <c r="M1211">
        <f>IF(Entry!$L1211="",0,Entry!$L1211)</f>
        <v/>
      </c>
    </row>
    <row r="1212">
      <c r="A1212">
        <f>IF(Entry!$C1212="","",Entry!$C1212)</f>
        <v/>
      </c>
      <c r="B1212">
        <f>IF($A1212="","",IF(ISNUMBER($A1212),IF(AND($A1212&gt;=10000101,$A1212&lt;=99991231),INT($A1212/10000),""),IFERROR(VALUE(TRIM(LEFT($A1212,FIND("/",$A1212)-1))),"")))</f>
        <v/>
      </c>
      <c r="C1212">
        <f>IF(OR($A1212="",$B1212=""),"",IF(ISNUMBER($A1212),INT(MOD($A1212,10000)/100),IFERROR(VALUE(TRIM(LEFT(MID($A1212,FIND("/",$A1212)+1,20),FIND("/",MID($A1212,FIND("/",$A1212)+1,20))-1))),"")))</f>
        <v/>
      </c>
      <c r="D1212">
        <f>IF(OR($A1212="",$B1212=""),"",IF(ISNUMBER($A1212),MOD($A1212,100),IFERROR(VALUE(TRIM(MID(MID($A1212,FIND("/",$A1212)+1,20),FIND("/",MID($A1212,FIND("/",$A1212)+1,20))+1,20))),"")))</f>
        <v/>
      </c>
      <c r="E1212">
        <f>IF($A1212="","",IF(OR($B1212="",$C1212="",$D1212="",$B1212&lt;1300,$B1212&gt;1500,$C1212&lt;1,$C1212&gt;12,$D1212&lt;1,$D1212&gt;31),"نامعتبر",RIGHT("0000"&amp;$B1212,4)&amp;"/"&amp;RIGHT("00"&amp;$C1212,2)&amp;"/"&amp;RIGHT("00"&amp;$D1212,2)))</f>
        <v/>
      </c>
      <c r="F1212">
        <f>IF(Entry!$D1212&lt;&gt;"",IF(AND(ISNUMBER(Entry!$D1212),Entry!$D1212&gt;=0,Entry!$D1212&lt;1),RIGHT("00"&amp;HOUR(Entry!$D1212),2)&amp;":"&amp;RIGHT("00"&amp;MINUTE(Entry!$D1212),2),IFERROR(RIGHT("00"&amp;VALUE(TRIM(LEFT(Entry!$D1212,FIND(":",Entry!$D1212)-1))),2)&amp;":"&amp;RIGHT("00"&amp;VALUE(TRIM(MID(Entry!$D1212,FIND(":",Entry!$D1212)+1,2))),2),"نامعتبر")),IF(OR($E1212="",$E1212="نامعتبر"),"","00:00"))</f>
        <v/>
      </c>
      <c r="G1212">
        <f>IF(OR($E1212="",$E1212="نامعتبر"),"",IF(Entry!$E1212="","",LEFT(UPPER(TRIM(Entry!$E1212)),6)))</f>
        <v/>
      </c>
      <c r="H1212">
        <f>IF($G1212="","",RIGHT($E1212,4)&amp;MID($E1212,6,2)&amp;RIGHT($E1212,2)&amp;IF($F1212="","0000",IF($F1212="نامعتبر","9999",LEFT($F1212,2)&amp;RIGHT($F1212,2)))&amp;"|"&amp;RIGHT("00000"&amp;1204,5))</f>
        <v/>
      </c>
      <c r="I1212">
        <f>IF($H1212="","",COUNTIFS(CalcBank,$G1212,CalcKey,"&lt;"&amp;$H1212)+1)</f>
        <v/>
      </c>
      <c r="J1212">
        <f>IF($I1212="","",$G1212&amp;"|"&amp;RIGHT("000000"&amp;$I1212,6))</f>
        <v/>
      </c>
      <c r="K1212">
        <f>IF(OR($E1212="",$E1212="نامعتبر"),"",LEFT($E1212,4)&amp;"/"&amp;MID($E1212,6,2))</f>
        <v/>
      </c>
      <c r="L1212">
        <f>IF(Entry!$K1212="",0,Entry!$K1212)</f>
        <v/>
      </c>
      <c r="M1212">
        <f>IF(Entry!$L1212="",0,Entry!$L1212)</f>
        <v/>
      </c>
    </row>
    <row r="1213">
      <c r="A1213">
        <f>IF(Entry!$C1213="","",Entry!$C1213)</f>
        <v/>
      </c>
      <c r="B1213">
        <f>IF($A1213="","",IF(ISNUMBER($A1213),IF(AND($A1213&gt;=10000101,$A1213&lt;=99991231),INT($A1213/10000),""),IFERROR(VALUE(TRIM(LEFT($A1213,FIND("/",$A1213)-1))),"")))</f>
        <v/>
      </c>
      <c r="C1213">
        <f>IF(OR($A1213="",$B1213=""),"",IF(ISNUMBER($A1213),INT(MOD($A1213,10000)/100),IFERROR(VALUE(TRIM(LEFT(MID($A1213,FIND("/",$A1213)+1,20),FIND("/",MID($A1213,FIND("/",$A1213)+1,20))-1))),"")))</f>
        <v/>
      </c>
      <c r="D1213">
        <f>IF(OR($A1213="",$B1213=""),"",IF(ISNUMBER($A1213),MOD($A1213,100),IFERROR(VALUE(TRIM(MID(MID($A1213,FIND("/",$A1213)+1,20),FIND("/",MID($A1213,FIND("/",$A1213)+1,20))+1,20))),"")))</f>
        <v/>
      </c>
      <c r="E1213">
        <f>IF($A1213="","",IF(OR($B1213="",$C1213="",$D1213="",$B1213&lt;1300,$B1213&gt;1500,$C1213&lt;1,$C1213&gt;12,$D1213&lt;1,$D1213&gt;31),"نامعتبر",RIGHT("0000"&amp;$B1213,4)&amp;"/"&amp;RIGHT("00"&amp;$C1213,2)&amp;"/"&amp;RIGHT("00"&amp;$D1213,2)))</f>
        <v/>
      </c>
      <c r="F1213">
        <f>IF(Entry!$D1213&lt;&gt;"",IF(AND(ISNUMBER(Entry!$D1213),Entry!$D1213&gt;=0,Entry!$D1213&lt;1),RIGHT("00"&amp;HOUR(Entry!$D1213),2)&amp;":"&amp;RIGHT("00"&amp;MINUTE(Entry!$D1213),2),IFERROR(RIGHT("00"&amp;VALUE(TRIM(LEFT(Entry!$D1213,FIND(":",Entry!$D1213)-1))),2)&amp;":"&amp;RIGHT("00"&amp;VALUE(TRIM(MID(Entry!$D1213,FIND(":",Entry!$D1213)+1,2))),2),"نامعتبر")),IF(OR($E1213="",$E1213="نامعتبر"),"","00:00"))</f>
        <v/>
      </c>
      <c r="G1213">
        <f>IF(OR($E1213="",$E1213="نامعتبر"),"",IF(Entry!$E1213="","",LEFT(UPPER(TRIM(Entry!$E1213)),6)))</f>
        <v/>
      </c>
      <c r="H1213">
        <f>IF($G1213="","",RIGHT($E1213,4)&amp;MID($E1213,6,2)&amp;RIGHT($E1213,2)&amp;IF($F1213="","0000",IF($F1213="نامعتبر","9999",LEFT($F1213,2)&amp;RIGHT($F1213,2)))&amp;"|"&amp;RIGHT("00000"&amp;1205,5))</f>
        <v/>
      </c>
      <c r="I1213">
        <f>IF($H1213="","",COUNTIFS(CalcBank,$G1213,CalcKey,"&lt;"&amp;$H1213)+1)</f>
        <v/>
      </c>
      <c r="J1213">
        <f>IF($I1213="","",$G1213&amp;"|"&amp;RIGHT("000000"&amp;$I1213,6))</f>
        <v/>
      </c>
      <c r="K1213">
        <f>IF(OR($E1213="",$E1213="نامعتبر"),"",LEFT($E1213,4)&amp;"/"&amp;MID($E1213,6,2))</f>
        <v/>
      </c>
      <c r="L1213">
        <f>IF(Entry!$K1213="",0,Entry!$K1213)</f>
        <v/>
      </c>
      <c r="M1213">
        <f>IF(Entry!$L1213="",0,Entry!$L1213)</f>
        <v/>
      </c>
    </row>
    <row r="1214">
      <c r="A1214">
        <f>IF(Entry!$C1214="","",Entry!$C1214)</f>
        <v/>
      </c>
      <c r="B1214">
        <f>IF($A1214="","",IF(ISNUMBER($A1214),IF(AND($A1214&gt;=10000101,$A1214&lt;=99991231),INT($A1214/10000),""),IFERROR(VALUE(TRIM(LEFT($A1214,FIND("/",$A1214)-1))),"")))</f>
        <v/>
      </c>
      <c r="C1214">
        <f>IF(OR($A1214="",$B1214=""),"",IF(ISNUMBER($A1214),INT(MOD($A1214,10000)/100),IFERROR(VALUE(TRIM(LEFT(MID($A1214,FIND("/",$A1214)+1,20),FIND("/",MID($A1214,FIND("/",$A1214)+1,20))-1))),"")))</f>
        <v/>
      </c>
      <c r="D1214">
        <f>IF(OR($A1214="",$B1214=""),"",IF(ISNUMBER($A1214),MOD($A1214,100),IFERROR(VALUE(TRIM(MID(MID($A1214,FIND("/",$A1214)+1,20),FIND("/",MID($A1214,FIND("/",$A1214)+1,20))+1,20))),"")))</f>
        <v/>
      </c>
      <c r="E1214">
        <f>IF($A1214="","",IF(OR($B1214="",$C1214="",$D1214="",$B1214&lt;1300,$B1214&gt;1500,$C1214&lt;1,$C1214&gt;12,$D1214&lt;1,$D1214&gt;31),"نامعتبر",RIGHT("0000"&amp;$B1214,4)&amp;"/"&amp;RIGHT("00"&amp;$C1214,2)&amp;"/"&amp;RIGHT("00"&amp;$D1214,2)))</f>
        <v/>
      </c>
      <c r="F1214">
        <f>IF(Entry!$D1214&lt;&gt;"",IF(AND(ISNUMBER(Entry!$D1214),Entry!$D1214&gt;=0,Entry!$D1214&lt;1),RIGHT("00"&amp;HOUR(Entry!$D1214),2)&amp;":"&amp;RIGHT("00"&amp;MINUTE(Entry!$D1214),2),IFERROR(RIGHT("00"&amp;VALUE(TRIM(LEFT(Entry!$D1214,FIND(":",Entry!$D1214)-1))),2)&amp;":"&amp;RIGHT("00"&amp;VALUE(TRIM(MID(Entry!$D1214,FIND(":",Entry!$D1214)+1,2))),2),"نامعتبر")),IF(OR($E1214="",$E1214="نامعتبر"),"","00:00"))</f>
        <v/>
      </c>
      <c r="G1214">
        <f>IF(OR($E1214="",$E1214="نامعتبر"),"",IF(Entry!$E1214="","",LEFT(UPPER(TRIM(Entry!$E1214)),6)))</f>
        <v/>
      </c>
      <c r="H1214">
        <f>IF($G1214="","",RIGHT($E1214,4)&amp;MID($E1214,6,2)&amp;RIGHT($E1214,2)&amp;IF($F1214="","0000",IF($F1214="نامعتبر","9999",LEFT($F1214,2)&amp;RIGHT($F1214,2)))&amp;"|"&amp;RIGHT("00000"&amp;1206,5))</f>
        <v/>
      </c>
      <c r="I1214">
        <f>IF($H1214="","",COUNTIFS(CalcBank,$G1214,CalcKey,"&lt;"&amp;$H1214)+1)</f>
        <v/>
      </c>
      <c r="J1214">
        <f>IF($I1214="","",$G1214&amp;"|"&amp;RIGHT("000000"&amp;$I1214,6))</f>
        <v/>
      </c>
      <c r="K1214">
        <f>IF(OR($E1214="",$E1214="نامعتبر"),"",LEFT($E1214,4)&amp;"/"&amp;MID($E1214,6,2))</f>
        <v/>
      </c>
      <c r="L1214">
        <f>IF(Entry!$K1214="",0,Entry!$K1214)</f>
        <v/>
      </c>
      <c r="M1214">
        <f>IF(Entry!$L1214="",0,Entry!$L1214)</f>
        <v/>
      </c>
    </row>
    <row r="1215">
      <c r="A1215">
        <f>IF(Entry!$C1215="","",Entry!$C1215)</f>
        <v/>
      </c>
      <c r="B1215">
        <f>IF($A1215="","",IF(ISNUMBER($A1215),IF(AND($A1215&gt;=10000101,$A1215&lt;=99991231),INT($A1215/10000),""),IFERROR(VALUE(TRIM(LEFT($A1215,FIND("/",$A1215)-1))),"")))</f>
        <v/>
      </c>
      <c r="C1215">
        <f>IF(OR($A1215="",$B1215=""),"",IF(ISNUMBER($A1215),INT(MOD($A1215,10000)/100),IFERROR(VALUE(TRIM(LEFT(MID($A1215,FIND("/",$A1215)+1,20),FIND("/",MID($A1215,FIND("/",$A1215)+1,20))-1))),"")))</f>
        <v/>
      </c>
      <c r="D1215">
        <f>IF(OR($A1215="",$B1215=""),"",IF(ISNUMBER($A1215),MOD($A1215,100),IFERROR(VALUE(TRIM(MID(MID($A1215,FIND("/",$A1215)+1,20),FIND("/",MID($A1215,FIND("/",$A1215)+1,20))+1,20))),"")))</f>
        <v/>
      </c>
      <c r="E1215">
        <f>IF($A1215="","",IF(OR($B1215="",$C1215="",$D1215="",$B1215&lt;1300,$B1215&gt;1500,$C1215&lt;1,$C1215&gt;12,$D1215&lt;1,$D1215&gt;31),"نامعتبر",RIGHT("0000"&amp;$B1215,4)&amp;"/"&amp;RIGHT("00"&amp;$C1215,2)&amp;"/"&amp;RIGHT("00"&amp;$D1215,2)))</f>
        <v/>
      </c>
      <c r="F1215">
        <f>IF(Entry!$D1215&lt;&gt;"",IF(AND(ISNUMBER(Entry!$D1215),Entry!$D1215&gt;=0,Entry!$D1215&lt;1),RIGHT("00"&amp;HOUR(Entry!$D1215),2)&amp;":"&amp;RIGHT("00"&amp;MINUTE(Entry!$D1215),2),IFERROR(RIGHT("00"&amp;VALUE(TRIM(LEFT(Entry!$D1215,FIND(":",Entry!$D1215)-1))),2)&amp;":"&amp;RIGHT("00"&amp;VALUE(TRIM(MID(Entry!$D1215,FIND(":",Entry!$D1215)+1,2))),2),"نامعتبر")),IF(OR($E1215="",$E1215="نامعتبر"),"","00:00"))</f>
        <v/>
      </c>
      <c r="G1215">
        <f>IF(OR($E1215="",$E1215="نامعتبر"),"",IF(Entry!$E1215="","",LEFT(UPPER(TRIM(Entry!$E1215)),6)))</f>
        <v/>
      </c>
      <c r="H1215">
        <f>IF($G1215="","",RIGHT($E1215,4)&amp;MID($E1215,6,2)&amp;RIGHT($E1215,2)&amp;IF($F1215="","0000",IF($F1215="نامعتبر","9999",LEFT($F1215,2)&amp;RIGHT($F1215,2)))&amp;"|"&amp;RIGHT("00000"&amp;1207,5))</f>
        <v/>
      </c>
      <c r="I1215">
        <f>IF($H1215="","",COUNTIFS(CalcBank,$G1215,CalcKey,"&lt;"&amp;$H1215)+1)</f>
        <v/>
      </c>
      <c r="J1215">
        <f>IF($I1215="","",$G1215&amp;"|"&amp;RIGHT("000000"&amp;$I1215,6))</f>
        <v/>
      </c>
      <c r="K1215">
        <f>IF(OR($E1215="",$E1215="نامعتبر"),"",LEFT($E1215,4)&amp;"/"&amp;MID($E1215,6,2))</f>
        <v/>
      </c>
      <c r="L1215">
        <f>IF(Entry!$K1215="",0,Entry!$K1215)</f>
        <v/>
      </c>
      <c r="M1215">
        <f>IF(Entry!$L1215="",0,Entry!$L1215)</f>
        <v/>
      </c>
    </row>
    <row r="1216">
      <c r="A1216">
        <f>IF(Entry!$C1216="","",Entry!$C1216)</f>
        <v/>
      </c>
      <c r="B1216">
        <f>IF($A1216="","",IF(ISNUMBER($A1216),IF(AND($A1216&gt;=10000101,$A1216&lt;=99991231),INT($A1216/10000),""),IFERROR(VALUE(TRIM(LEFT($A1216,FIND("/",$A1216)-1))),"")))</f>
        <v/>
      </c>
      <c r="C1216">
        <f>IF(OR($A1216="",$B1216=""),"",IF(ISNUMBER($A1216),INT(MOD($A1216,10000)/100),IFERROR(VALUE(TRIM(LEFT(MID($A1216,FIND("/",$A1216)+1,20),FIND("/",MID($A1216,FIND("/",$A1216)+1,20))-1))),"")))</f>
        <v/>
      </c>
      <c r="D1216">
        <f>IF(OR($A1216="",$B1216=""),"",IF(ISNUMBER($A1216),MOD($A1216,100),IFERROR(VALUE(TRIM(MID(MID($A1216,FIND("/",$A1216)+1,20),FIND("/",MID($A1216,FIND("/",$A1216)+1,20))+1,20))),"")))</f>
        <v/>
      </c>
      <c r="E1216">
        <f>IF($A1216="","",IF(OR($B1216="",$C1216="",$D1216="",$B1216&lt;1300,$B1216&gt;1500,$C1216&lt;1,$C1216&gt;12,$D1216&lt;1,$D1216&gt;31),"نامعتبر",RIGHT("0000"&amp;$B1216,4)&amp;"/"&amp;RIGHT("00"&amp;$C1216,2)&amp;"/"&amp;RIGHT("00"&amp;$D1216,2)))</f>
        <v/>
      </c>
      <c r="F1216">
        <f>IF(Entry!$D1216&lt;&gt;"",IF(AND(ISNUMBER(Entry!$D1216),Entry!$D1216&gt;=0,Entry!$D1216&lt;1),RIGHT("00"&amp;HOUR(Entry!$D1216),2)&amp;":"&amp;RIGHT("00"&amp;MINUTE(Entry!$D1216),2),IFERROR(RIGHT("00"&amp;VALUE(TRIM(LEFT(Entry!$D1216,FIND(":",Entry!$D1216)-1))),2)&amp;":"&amp;RIGHT("00"&amp;VALUE(TRIM(MID(Entry!$D1216,FIND(":",Entry!$D1216)+1,2))),2),"نامعتبر")),IF(OR($E1216="",$E1216="نامعتبر"),"","00:00"))</f>
        <v/>
      </c>
      <c r="G1216">
        <f>IF(OR($E1216="",$E1216="نامعتبر"),"",IF(Entry!$E1216="","",LEFT(UPPER(TRIM(Entry!$E1216)),6)))</f>
        <v/>
      </c>
      <c r="H1216">
        <f>IF($G1216="","",RIGHT($E1216,4)&amp;MID($E1216,6,2)&amp;RIGHT($E1216,2)&amp;IF($F1216="","0000",IF($F1216="نامعتبر","9999",LEFT($F1216,2)&amp;RIGHT($F1216,2)))&amp;"|"&amp;RIGHT("00000"&amp;1208,5))</f>
        <v/>
      </c>
      <c r="I1216">
        <f>IF($H1216="","",COUNTIFS(CalcBank,$G1216,CalcKey,"&lt;"&amp;$H1216)+1)</f>
        <v/>
      </c>
      <c r="J1216">
        <f>IF($I1216="","",$G1216&amp;"|"&amp;RIGHT("000000"&amp;$I1216,6))</f>
        <v/>
      </c>
      <c r="K1216">
        <f>IF(OR($E1216="",$E1216="نامعتبر"),"",LEFT($E1216,4)&amp;"/"&amp;MID($E1216,6,2))</f>
        <v/>
      </c>
      <c r="L1216">
        <f>IF(Entry!$K1216="",0,Entry!$K1216)</f>
        <v/>
      </c>
      <c r="M1216">
        <f>IF(Entry!$L1216="",0,Entry!$L1216)</f>
        <v/>
      </c>
    </row>
    <row r="1217">
      <c r="A1217">
        <f>IF(Entry!$C1217="","",Entry!$C1217)</f>
        <v/>
      </c>
      <c r="B1217">
        <f>IF($A1217="","",IF(ISNUMBER($A1217),IF(AND($A1217&gt;=10000101,$A1217&lt;=99991231),INT($A1217/10000),""),IFERROR(VALUE(TRIM(LEFT($A1217,FIND("/",$A1217)-1))),"")))</f>
        <v/>
      </c>
      <c r="C1217">
        <f>IF(OR($A1217="",$B1217=""),"",IF(ISNUMBER($A1217),INT(MOD($A1217,10000)/100),IFERROR(VALUE(TRIM(LEFT(MID($A1217,FIND("/",$A1217)+1,20),FIND("/",MID($A1217,FIND("/",$A1217)+1,20))-1))),"")))</f>
        <v/>
      </c>
      <c r="D1217">
        <f>IF(OR($A1217="",$B1217=""),"",IF(ISNUMBER($A1217),MOD($A1217,100),IFERROR(VALUE(TRIM(MID(MID($A1217,FIND("/",$A1217)+1,20),FIND("/",MID($A1217,FIND("/",$A1217)+1,20))+1,20))),"")))</f>
        <v/>
      </c>
      <c r="E1217">
        <f>IF($A1217="","",IF(OR($B1217="",$C1217="",$D1217="",$B1217&lt;1300,$B1217&gt;1500,$C1217&lt;1,$C1217&gt;12,$D1217&lt;1,$D1217&gt;31),"نامعتبر",RIGHT("0000"&amp;$B1217,4)&amp;"/"&amp;RIGHT("00"&amp;$C1217,2)&amp;"/"&amp;RIGHT("00"&amp;$D1217,2)))</f>
        <v/>
      </c>
      <c r="F1217">
        <f>IF(Entry!$D1217&lt;&gt;"",IF(AND(ISNUMBER(Entry!$D1217),Entry!$D1217&gt;=0,Entry!$D1217&lt;1),RIGHT("00"&amp;HOUR(Entry!$D1217),2)&amp;":"&amp;RIGHT("00"&amp;MINUTE(Entry!$D1217),2),IFERROR(RIGHT("00"&amp;VALUE(TRIM(LEFT(Entry!$D1217,FIND(":",Entry!$D1217)-1))),2)&amp;":"&amp;RIGHT("00"&amp;VALUE(TRIM(MID(Entry!$D1217,FIND(":",Entry!$D1217)+1,2))),2),"نامعتبر")),IF(OR($E1217="",$E1217="نامعتبر"),"","00:00"))</f>
        <v/>
      </c>
      <c r="G1217">
        <f>IF(OR($E1217="",$E1217="نامعتبر"),"",IF(Entry!$E1217="","",LEFT(UPPER(TRIM(Entry!$E1217)),6)))</f>
        <v/>
      </c>
      <c r="H1217">
        <f>IF($G1217="","",RIGHT($E1217,4)&amp;MID($E1217,6,2)&amp;RIGHT($E1217,2)&amp;IF($F1217="","0000",IF($F1217="نامعتبر","9999",LEFT($F1217,2)&amp;RIGHT($F1217,2)))&amp;"|"&amp;RIGHT("00000"&amp;1209,5))</f>
        <v/>
      </c>
      <c r="I1217">
        <f>IF($H1217="","",COUNTIFS(CalcBank,$G1217,CalcKey,"&lt;"&amp;$H1217)+1)</f>
        <v/>
      </c>
      <c r="J1217">
        <f>IF($I1217="","",$G1217&amp;"|"&amp;RIGHT("000000"&amp;$I1217,6))</f>
        <v/>
      </c>
      <c r="K1217">
        <f>IF(OR($E1217="",$E1217="نامعتبر"),"",LEFT($E1217,4)&amp;"/"&amp;MID($E1217,6,2))</f>
        <v/>
      </c>
      <c r="L1217">
        <f>IF(Entry!$K1217="",0,Entry!$K1217)</f>
        <v/>
      </c>
      <c r="M1217">
        <f>IF(Entry!$L1217="",0,Entry!$L1217)</f>
        <v/>
      </c>
    </row>
    <row r="1218">
      <c r="A1218">
        <f>IF(Entry!$C1218="","",Entry!$C1218)</f>
        <v/>
      </c>
      <c r="B1218">
        <f>IF($A1218="","",IF(ISNUMBER($A1218),IF(AND($A1218&gt;=10000101,$A1218&lt;=99991231),INT($A1218/10000),""),IFERROR(VALUE(TRIM(LEFT($A1218,FIND("/",$A1218)-1))),"")))</f>
        <v/>
      </c>
      <c r="C1218">
        <f>IF(OR($A1218="",$B1218=""),"",IF(ISNUMBER($A1218),INT(MOD($A1218,10000)/100),IFERROR(VALUE(TRIM(LEFT(MID($A1218,FIND("/",$A1218)+1,20),FIND("/",MID($A1218,FIND("/",$A1218)+1,20))-1))),"")))</f>
        <v/>
      </c>
      <c r="D1218">
        <f>IF(OR($A1218="",$B1218=""),"",IF(ISNUMBER($A1218),MOD($A1218,100),IFERROR(VALUE(TRIM(MID(MID($A1218,FIND("/",$A1218)+1,20),FIND("/",MID($A1218,FIND("/",$A1218)+1,20))+1,20))),"")))</f>
        <v/>
      </c>
      <c r="E1218">
        <f>IF($A1218="","",IF(OR($B1218="",$C1218="",$D1218="",$B1218&lt;1300,$B1218&gt;1500,$C1218&lt;1,$C1218&gt;12,$D1218&lt;1,$D1218&gt;31),"نامعتبر",RIGHT("0000"&amp;$B1218,4)&amp;"/"&amp;RIGHT("00"&amp;$C1218,2)&amp;"/"&amp;RIGHT("00"&amp;$D1218,2)))</f>
        <v/>
      </c>
      <c r="F1218">
        <f>IF(Entry!$D1218&lt;&gt;"",IF(AND(ISNUMBER(Entry!$D1218),Entry!$D1218&gt;=0,Entry!$D1218&lt;1),RIGHT("00"&amp;HOUR(Entry!$D1218),2)&amp;":"&amp;RIGHT("00"&amp;MINUTE(Entry!$D1218),2),IFERROR(RIGHT("00"&amp;VALUE(TRIM(LEFT(Entry!$D1218,FIND(":",Entry!$D1218)-1))),2)&amp;":"&amp;RIGHT("00"&amp;VALUE(TRIM(MID(Entry!$D1218,FIND(":",Entry!$D1218)+1,2))),2),"نامعتبر")),IF(OR($E1218="",$E1218="نامعتبر"),"","00:00"))</f>
        <v/>
      </c>
      <c r="G1218">
        <f>IF(OR($E1218="",$E1218="نامعتبر"),"",IF(Entry!$E1218="","",LEFT(UPPER(TRIM(Entry!$E1218)),6)))</f>
        <v/>
      </c>
      <c r="H1218">
        <f>IF($G1218="","",RIGHT($E1218,4)&amp;MID($E1218,6,2)&amp;RIGHT($E1218,2)&amp;IF($F1218="","0000",IF($F1218="نامعتبر","9999",LEFT($F1218,2)&amp;RIGHT($F1218,2)))&amp;"|"&amp;RIGHT("00000"&amp;1210,5))</f>
        <v/>
      </c>
      <c r="I1218">
        <f>IF($H1218="","",COUNTIFS(CalcBank,$G1218,CalcKey,"&lt;"&amp;$H1218)+1)</f>
        <v/>
      </c>
      <c r="J1218">
        <f>IF($I1218="","",$G1218&amp;"|"&amp;RIGHT("000000"&amp;$I1218,6))</f>
        <v/>
      </c>
      <c r="K1218">
        <f>IF(OR($E1218="",$E1218="نامعتبر"),"",LEFT($E1218,4)&amp;"/"&amp;MID($E1218,6,2))</f>
        <v/>
      </c>
      <c r="L1218">
        <f>IF(Entry!$K1218="",0,Entry!$K1218)</f>
        <v/>
      </c>
      <c r="M1218">
        <f>IF(Entry!$L1218="",0,Entry!$L1218)</f>
        <v/>
      </c>
    </row>
    <row r="1219">
      <c r="A1219">
        <f>IF(Entry!$C1219="","",Entry!$C1219)</f>
        <v/>
      </c>
      <c r="B1219">
        <f>IF($A1219="","",IF(ISNUMBER($A1219),IF(AND($A1219&gt;=10000101,$A1219&lt;=99991231),INT($A1219/10000),""),IFERROR(VALUE(TRIM(LEFT($A1219,FIND("/",$A1219)-1))),"")))</f>
        <v/>
      </c>
      <c r="C1219">
        <f>IF(OR($A1219="",$B1219=""),"",IF(ISNUMBER($A1219),INT(MOD($A1219,10000)/100),IFERROR(VALUE(TRIM(LEFT(MID($A1219,FIND("/",$A1219)+1,20),FIND("/",MID($A1219,FIND("/",$A1219)+1,20))-1))),"")))</f>
        <v/>
      </c>
      <c r="D1219">
        <f>IF(OR($A1219="",$B1219=""),"",IF(ISNUMBER($A1219),MOD($A1219,100),IFERROR(VALUE(TRIM(MID(MID($A1219,FIND("/",$A1219)+1,20),FIND("/",MID($A1219,FIND("/",$A1219)+1,20))+1,20))),"")))</f>
        <v/>
      </c>
      <c r="E1219">
        <f>IF($A1219="","",IF(OR($B1219="",$C1219="",$D1219="",$B1219&lt;1300,$B1219&gt;1500,$C1219&lt;1,$C1219&gt;12,$D1219&lt;1,$D1219&gt;31),"نامعتبر",RIGHT("0000"&amp;$B1219,4)&amp;"/"&amp;RIGHT("00"&amp;$C1219,2)&amp;"/"&amp;RIGHT("00"&amp;$D1219,2)))</f>
        <v/>
      </c>
      <c r="F1219">
        <f>IF(Entry!$D1219&lt;&gt;"",IF(AND(ISNUMBER(Entry!$D1219),Entry!$D1219&gt;=0,Entry!$D1219&lt;1),RIGHT("00"&amp;HOUR(Entry!$D1219),2)&amp;":"&amp;RIGHT("00"&amp;MINUTE(Entry!$D1219),2),IFERROR(RIGHT("00"&amp;VALUE(TRIM(LEFT(Entry!$D1219,FIND(":",Entry!$D1219)-1))),2)&amp;":"&amp;RIGHT("00"&amp;VALUE(TRIM(MID(Entry!$D1219,FIND(":",Entry!$D1219)+1,2))),2),"نامعتبر")),IF(OR($E1219="",$E1219="نامعتبر"),"","00:00"))</f>
        <v/>
      </c>
      <c r="G1219">
        <f>IF(OR($E1219="",$E1219="نامعتبر"),"",IF(Entry!$E1219="","",LEFT(UPPER(TRIM(Entry!$E1219)),6)))</f>
        <v/>
      </c>
      <c r="H1219">
        <f>IF($G1219="","",RIGHT($E1219,4)&amp;MID($E1219,6,2)&amp;RIGHT($E1219,2)&amp;IF($F1219="","0000",IF($F1219="نامعتبر","9999",LEFT($F1219,2)&amp;RIGHT($F1219,2)))&amp;"|"&amp;RIGHT("00000"&amp;1211,5))</f>
        <v/>
      </c>
      <c r="I1219">
        <f>IF($H1219="","",COUNTIFS(CalcBank,$G1219,CalcKey,"&lt;"&amp;$H1219)+1)</f>
        <v/>
      </c>
      <c r="J1219">
        <f>IF($I1219="","",$G1219&amp;"|"&amp;RIGHT("000000"&amp;$I1219,6))</f>
        <v/>
      </c>
      <c r="K1219">
        <f>IF(OR($E1219="",$E1219="نامعتبر"),"",LEFT($E1219,4)&amp;"/"&amp;MID($E1219,6,2))</f>
        <v/>
      </c>
      <c r="L1219">
        <f>IF(Entry!$K1219="",0,Entry!$K1219)</f>
        <v/>
      </c>
      <c r="M1219">
        <f>IF(Entry!$L1219="",0,Entry!$L1219)</f>
        <v/>
      </c>
    </row>
    <row r="1220">
      <c r="A1220">
        <f>IF(Entry!$C1220="","",Entry!$C1220)</f>
        <v/>
      </c>
      <c r="B1220">
        <f>IF($A1220="","",IF(ISNUMBER($A1220),IF(AND($A1220&gt;=10000101,$A1220&lt;=99991231),INT($A1220/10000),""),IFERROR(VALUE(TRIM(LEFT($A1220,FIND("/",$A1220)-1))),"")))</f>
        <v/>
      </c>
      <c r="C1220">
        <f>IF(OR($A1220="",$B1220=""),"",IF(ISNUMBER($A1220),INT(MOD($A1220,10000)/100),IFERROR(VALUE(TRIM(LEFT(MID($A1220,FIND("/",$A1220)+1,20),FIND("/",MID($A1220,FIND("/",$A1220)+1,20))-1))),"")))</f>
        <v/>
      </c>
      <c r="D1220">
        <f>IF(OR($A1220="",$B1220=""),"",IF(ISNUMBER($A1220),MOD($A1220,100),IFERROR(VALUE(TRIM(MID(MID($A1220,FIND("/",$A1220)+1,20),FIND("/",MID($A1220,FIND("/",$A1220)+1,20))+1,20))),"")))</f>
        <v/>
      </c>
      <c r="E1220">
        <f>IF($A1220="","",IF(OR($B1220="",$C1220="",$D1220="",$B1220&lt;1300,$B1220&gt;1500,$C1220&lt;1,$C1220&gt;12,$D1220&lt;1,$D1220&gt;31),"نامعتبر",RIGHT("0000"&amp;$B1220,4)&amp;"/"&amp;RIGHT("00"&amp;$C1220,2)&amp;"/"&amp;RIGHT("00"&amp;$D1220,2)))</f>
        <v/>
      </c>
      <c r="F1220">
        <f>IF(Entry!$D1220&lt;&gt;"",IF(AND(ISNUMBER(Entry!$D1220),Entry!$D1220&gt;=0,Entry!$D1220&lt;1),RIGHT("00"&amp;HOUR(Entry!$D1220),2)&amp;":"&amp;RIGHT("00"&amp;MINUTE(Entry!$D1220),2),IFERROR(RIGHT("00"&amp;VALUE(TRIM(LEFT(Entry!$D1220,FIND(":",Entry!$D1220)-1))),2)&amp;":"&amp;RIGHT("00"&amp;VALUE(TRIM(MID(Entry!$D1220,FIND(":",Entry!$D1220)+1,2))),2),"نامعتبر")),IF(OR($E1220="",$E1220="نامعتبر"),"","00:00"))</f>
        <v/>
      </c>
      <c r="G1220">
        <f>IF(OR($E1220="",$E1220="نامعتبر"),"",IF(Entry!$E1220="","",LEFT(UPPER(TRIM(Entry!$E1220)),6)))</f>
        <v/>
      </c>
      <c r="H1220">
        <f>IF($G1220="","",RIGHT($E1220,4)&amp;MID($E1220,6,2)&amp;RIGHT($E1220,2)&amp;IF($F1220="","0000",IF($F1220="نامعتبر","9999",LEFT($F1220,2)&amp;RIGHT($F1220,2)))&amp;"|"&amp;RIGHT("00000"&amp;1212,5))</f>
        <v/>
      </c>
      <c r="I1220">
        <f>IF($H1220="","",COUNTIFS(CalcBank,$G1220,CalcKey,"&lt;"&amp;$H1220)+1)</f>
        <v/>
      </c>
      <c r="J1220">
        <f>IF($I1220="","",$G1220&amp;"|"&amp;RIGHT("000000"&amp;$I1220,6))</f>
        <v/>
      </c>
      <c r="K1220">
        <f>IF(OR($E1220="",$E1220="نامعتبر"),"",LEFT($E1220,4)&amp;"/"&amp;MID($E1220,6,2))</f>
        <v/>
      </c>
      <c r="L1220">
        <f>IF(Entry!$K1220="",0,Entry!$K1220)</f>
        <v/>
      </c>
      <c r="M1220">
        <f>IF(Entry!$L1220="",0,Entry!$L1220)</f>
        <v/>
      </c>
    </row>
    <row r="1221">
      <c r="A1221">
        <f>IF(Entry!$C1221="","",Entry!$C1221)</f>
        <v/>
      </c>
      <c r="B1221">
        <f>IF($A1221="","",IF(ISNUMBER($A1221),IF(AND($A1221&gt;=10000101,$A1221&lt;=99991231),INT($A1221/10000),""),IFERROR(VALUE(TRIM(LEFT($A1221,FIND("/",$A1221)-1))),"")))</f>
        <v/>
      </c>
      <c r="C1221">
        <f>IF(OR($A1221="",$B1221=""),"",IF(ISNUMBER($A1221),INT(MOD($A1221,10000)/100),IFERROR(VALUE(TRIM(LEFT(MID($A1221,FIND("/",$A1221)+1,20),FIND("/",MID($A1221,FIND("/",$A1221)+1,20))-1))),"")))</f>
        <v/>
      </c>
      <c r="D1221">
        <f>IF(OR($A1221="",$B1221=""),"",IF(ISNUMBER($A1221),MOD($A1221,100),IFERROR(VALUE(TRIM(MID(MID($A1221,FIND("/",$A1221)+1,20),FIND("/",MID($A1221,FIND("/",$A1221)+1,20))+1,20))),"")))</f>
        <v/>
      </c>
      <c r="E1221">
        <f>IF($A1221="","",IF(OR($B1221="",$C1221="",$D1221="",$B1221&lt;1300,$B1221&gt;1500,$C1221&lt;1,$C1221&gt;12,$D1221&lt;1,$D1221&gt;31),"نامعتبر",RIGHT("0000"&amp;$B1221,4)&amp;"/"&amp;RIGHT("00"&amp;$C1221,2)&amp;"/"&amp;RIGHT("00"&amp;$D1221,2)))</f>
        <v/>
      </c>
      <c r="F1221">
        <f>IF(Entry!$D1221&lt;&gt;"",IF(AND(ISNUMBER(Entry!$D1221),Entry!$D1221&gt;=0,Entry!$D1221&lt;1),RIGHT("00"&amp;HOUR(Entry!$D1221),2)&amp;":"&amp;RIGHT("00"&amp;MINUTE(Entry!$D1221),2),IFERROR(RIGHT("00"&amp;VALUE(TRIM(LEFT(Entry!$D1221,FIND(":",Entry!$D1221)-1))),2)&amp;":"&amp;RIGHT("00"&amp;VALUE(TRIM(MID(Entry!$D1221,FIND(":",Entry!$D1221)+1,2))),2),"نامعتبر")),IF(OR($E1221="",$E1221="نامعتبر"),"","00:00"))</f>
        <v/>
      </c>
      <c r="G1221">
        <f>IF(OR($E1221="",$E1221="نامعتبر"),"",IF(Entry!$E1221="","",LEFT(UPPER(TRIM(Entry!$E1221)),6)))</f>
        <v/>
      </c>
      <c r="H1221">
        <f>IF($G1221="","",RIGHT($E1221,4)&amp;MID($E1221,6,2)&amp;RIGHT($E1221,2)&amp;IF($F1221="","0000",IF($F1221="نامعتبر","9999",LEFT($F1221,2)&amp;RIGHT($F1221,2)))&amp;"|"&amp;RIGHT("00000"&amp;1213,5))</f>
        <v/>
      </c>
      <c r="I1221">
        <f>IF($H1221="","",COUNTIFS(CalcBank,$G1221,CalcKey,"&lt;"&amp;$H1221)+1)</f>
        <v/>
      </c>
      <c r="J1221">
        <f>IF($I1221="","",$G1221&amp;"|"&amp;RIGHT("000000"&amp;$I1221,6))</f>
        <v/>
      </c>
      <c r="K1221">
        <f>IF(OR($E1221="",$E1221="نامعتبر"),"",LEFT($E1221,4)&amp;"/"&amp;MID($E1221,6,2))</f>
        <v/>
      </c>
      <c r="L1221">
        <f>IF(Entry!$K1221="",0,Entry!$K1221)</f>
        <v/>
      </c>
      <c r="M1221">
        <f>IF(Entry!$L1221="",0,Entry!$L1221)</f>
        <v/>
      </c>
    </row>
    <row r="1222">
      <c r="A1222">
        <f>IF(Entry!$C1222="","",Entry!$C1222)</f>
        <v/>
      </c>
      <c r="B1222">
        <f>IF($A1222="","",IF(ISNUMBER($A1222),IF(AND($A1222&gt;=10000101,$A1222&lt;=99991231),INT($A1222/10000),""),IFERROR(VALUE(TRIM(LEFT($A1222,FIND("/",$A1222)-1))),"")))</f>
        <v/>
      </c>
      <c r="C1222">
        <f>IF(OR($A1222="",$B1222=""),"",IF(ISNUMBER($A1222),INT(MOD($A1222,10000)/100),IFERROR(VALUE(TRIM(LEFT(MID($A1222,FIND("/",$A1222)+1,20),FIND("/",MID($A1222,FIND("/",$A1222)+1,20))-1))),"")))</f>
        <v/>
      </c>
      <c r="D1222">
        <f>IF(OR($A1222="",$B1222=""),"",IF(ISNUMBER($A1222),MOD($A1222,100),IFERROR(VALUE(TRIM(MID(MID($A1222,FIND("/",$A1222)+1,20),FIND("/",MID($A1222,FIND("/",$A1222)+1,20))+1,20))),"")))</f>
        <v/>
      </c>
      <c r="E1222">
        <f>IF($A1222="","",IF(OR($B1222="",$C1222="",$D1222="",$B1222&lt;1300,$B1222&gt;1500,$C1222&lt;1,$C1222&gt;12,$D1222&lt;1,$D1222&gt;31),"نامعتبر",RIGHT("0000"&amp;$B1222,4)&amp;"/"&amp;RIGHT("00"&amp;$C1222,2)&amp;"/"&amp;RIGHT("00"&amp;$D1222,2)))</f>
        <v/>
      </c>
      <c r="F1222">
        <f>IF(Entry!$D1222&lt;&gt;"",IF(AND(ISNUMBER(Entry!$D1222),Entry!$D1222&gt;=0,Entry!$D1222&lt;1),RIGHT("00"&amp;HOUR(Entry!$D1222),2)&amp;":"&amp;RIGHT("00"&amp;MINUTE(Entry!$D1222),2),IFERROR(RIGHT("00"&amp;VALUE(TRIM(LEFT(Entry!$D1222,FIND(":",Entry!$D1222)-1))),2)&amp;":"&amp;RIGHT("00"&amp;VALUE(TRIM(MID(Entry!$D1222,FIND(":",Entry!$D1222)+1,2))),2),"نامعتبر")),IF(OR($E1222="",$E1222="نامعتبر"),"","00:00"))</f>
        <v/>
      </c>
      <c r="G1222">
        <f>IF(OR($E1222="",$E1222="نامعتبر"),"",IF(Entry!$E1222="","",LEFT(UPPER(TRIM(Entry!$E1222)),6)))</f>
        <v/>
      </c>
      <c r="H1222">
        <f>IF($G1222="","",RIGHT($E1222,4)&amp;MID($E1222,6,2)&amp;RIGHT($E1222,2)&amp;IF($F1222="","0000",IF($F1222="نامعتبر","9999",LEFT($F1222,2)&amp;RIGHT($F1222,2)))&amp;"|"&amp;RIGHT("00000"&amp;1214,5))</f>
        <v/>
      </c>
      <c r="I1222">
        <f>IF($H1222="","",COUNTIFS(CalcBank,$G1222,CalcKey,"&lt;"&amp;$H1222)+1)</f>
        <v/>
      </c>
      <c r="J1222">
        <f>IF($I1222="","",$G1222&amp;"|"&amp;RIGHT("000000"&amp;$I1222,6))</f>
        <v/>
      </c>
      <c r="K1222">
        <f>IF(OR($E1222="",$E1222="نامعتبر"),"",LEFT($E1222,4)&amp;"/"&amp;MID($E1222,6,2))</f>
        <v/>
      </c>
      <c r="L1222">
        <f>IF(Entry!$K1222="",0,Entry!$K1222)</f>
        <v/>
      </c>
      <c r="M1222">
        <f>IF(Entry!$L1222="",0,Entry!$L1222)</f>
        <v/>
      </c>
    </row>
    <row r="1223">
      <c r="A1223">
        <f>IF(Entry!$C1223="","",Entry!$C1223)</f>
        <v/>
      </c>
      <c r="B1223">
        <f>IF($A1223="","",IF(ISNUMBER($A1223),IF(AND($A1223&gt;=10000101,$A1223&lt;=99991231),INT($A1223/10000),""),IFERROR(VALUE(TRIM(LEFT($A1223,FIND("/",$A1223)-1))),"")))</f>
        <v/>
      </c>
      <c r="C1223">
        <f>IF(OR($A1223="",$B1223=""),"",IF(ISNUMBER($A1223),INT(MOD($A1223,10000)/100),IFERROR(VALUE(TRIM(LEFT(MID($A1223,FIND("/",$A1223)+1,20),FIND("/",MID($A1223,FIND("/",$A1223)+1,20))-1))),"")))</f>
        <v/>
      </c>
      <c r="D1223">
        <f>IF(OR($A1223="",$B1223=""),"",IF(ISNUMBER($A1223),MOD($A1223,100),IFERROR(VALUE(TRIM(MID(MID($A1223,FIND("/",$A1223)+1,20),FIND("/",MID($A1223,FIND("/",$A1223)+1,20))+1,20))),"")))</f>
        <v/>
      </c>
      <c r="E1223">
        <f>IF($A1223="","",IF(OR($B1223="",$C1223="",$D1223="",$B1223&lt;1300,$B1223&gt;1500,$C1223&lt;1,$C1223&gt;12,$D1223&lt;1,$D1223&gt;31),"نامعتبر",RIGHT("0000"&amp;$B1223,4)&amp;"/"&amp;RIGHT("00"&amp;$C1223,2)&amp;"/"&amp;RIGHT("00"&amp;$D1223,2)))</f>
        <v/>
      </c>
      <c r="F1223">
        <f>IF(Entry!$D1223&lt;&gt;"",IF(AND(ISNUMBER(Entry!$D1223),Entry!$D1223&gt;=0,Entry!$D1223&lt;1),RIGHT("00"&amp;HOUR(Entry!$D1223),2)&amp;":"&amp;RIGHT("00"&amp;MINUTE(Entry!$D1223),2),IFERROR(RIGHT("00"&amp;VALUE(TRIM(LEFT(Entry!$D1223,FIND(":",Entry!$D1223)-1))),2)&amp;":"&amp;RIGHT("00"&amp;VALUE(TRIM(MID(Entry!$D1223,FIND(":",Entry!$D1223)+1,2))),2),"نامعتبر")),IF(OR($E1223="",$E1223="نامعتبر"),"","00:00"))</f>
        <v/>
      </c>
      <c r="G1223">
        <f>IF(OR($E1223="",$E1223="نامعتبر"),"",IF(Entry!$E1223="","",LEFT(UPPER(TRIM(Entry!$E1223)),6)))</f>
        <v/>
      </c>
      <c r="H1223">
        <f>IF($G1223="","",RIGHT($E1223,4)&amp;MID($E1223,6,2)&amp;RIGHT($E1223,2)&amp;IF($F1223="","0000",IF($F1223="نامعتبر","9999",LEFT($F1223,2)&amp;RIGHT($F1223,2)))&amp;"|"&amp;RIGHT("00000"&amp;1215,5))</f>
        <v/>
      </c>
      <c r="I1223">
        <f>IF($H1223="","",COUNTIFS(CalcBank,$G1223,CalcKey,"&lt;"&amp;$H1223)+1)</f>
        <v/>
      </c>
      <c r="J1223">
        <f>IF($I1223="","",$G1223&amp;"|"&amp;RIGHT("000000"&amp;$I1223,6))</f>
        <v/>
      </c>
      <c r="K1223">
        <f>IF(OR($E1223="",$E1223="نامعتبر"),"",LEFT($E1223,4)&amp;"/"&amp;MID($E1223,6,2))</f>
        <v/>
      </c>
      <c r="L1223">
        <f>IF(Entry!$K1223="",0,Entry!$K1223)</f>
        <v/>
      </c>
      <c r="M1223">
        <f>IF(Entry!$L1223="",0,Entry!$L1223)</f>
        <v/>
      </c>
    </row>
    <row r="1224">
      <c r="A1224">
        <f>IF(Entry!$C1224="","",Entry!$C1224)</f>
        <v/>
      </c>
      <c r="B1224">
        <f>IF($A1224="","",IF(ISNUMBER($A1224),IF(AND($A1224&gt;=10000101,$A1224&lt;=99991231),INT($A1224/10000),""),IFERROR(VALUE(TRIM(LEFT($A1224,FIND("/",$A1224)-1))),"")))</f>
        <v/>
      </c>
      <c r="C1224">
        <f>IF(OR($A1224="",$B1224=""),"",IF(ISNUMBER($A1224),INT(MOD($A1224,10000)/100),IFERROR(VALUE(TRIM(LEFT(MID($A1224,FIND("/",$A1224)+1,20),FIND("/",MID($A1224,FIND("/",$A1224)+1,20))-1))),"")))</f>
        <v/>
      </c>
      <c r="D1224">
        <f>IF(OR($A1224="",$B1224=""),"",IF(ISNUMBER($A1224),MOD($A1224,100),IFERROR(VALUE(TRIM(MID(MID($A1224,FIND("/",$A1224)+1,20),FIND("/",MID($A1224,FIND("/",$A1224)+1,20))+1,20))),"")))</f>
        <v/>
      </c>
      <c r="E1224">
        <f>IF($A1224="","",IF(OR($B1224="",$C1224="",$D1224="",$B1224&lt;1300,$B1224&gt;1500,$C1224&lt;1,$C1224&gt;12,$D1224&lt;1,$D1224&gt;31),"نامعتبر",RIGHT("0000"&amp;$B1224,4)&amp;"/"&amp;RIGHT("00"&amp;$C1224,2)&amp;"/"&amp;RIGHT("00"&amp;$D1224,2)))</f>
        <v/>
      </c>
      <c r="F1224">
        <f>IF(Entry!$D1224&lt;&gt;"",IF(AND(ISNUMBER(Entry!$D1224),Entry!$D1224&gt;=0,Entry!$D1224&lt;1),RIGHT("00"&amp;HOUR(Entry!$D1224),2)&amp;":"&amp;RIGHT("00"&amp;MINUTE(Entry!$D1224),2),IFERROR(RIGHT("00"&amp;VALUE(TRIM(LEFT(Entry!$D1224,FIND(":",Entry!$D1224)-1))),2)&amp;":"&amp;RIGHT("00"&amp;VALUE(TRIM(MID(Entry!$D1224,FIND(":",Entry!$D1224)+1,2))),2),"نامعتبر")),IF(OR($E1224="",$E1224="نامعتبر"),"","00:00"))</f>
        <v/>
      </c>
      <c r="G1224">
        <f>IF(OR($E1224="",$E1224="نامعتبر"),"",IF(Entry!$E1224="","",LEFT(UPPER(TRIM(Entry!$E1224)),6)))</f>
        <v/>
      </c>
      <c r="H1224">
        <f>IF($G1224="","",RIGHT($E1224,4)&amp;MID($E1224,6,2)&amp;RIGHT($E1224,2)&amp;IF($F1224="","0000",IF($F1224="نامعتبر","9999",LEFT($F1224,2)&amp;RIGHT($F1224,2)))&amp;"|"&amp;RIGHT("00000"&amp;1216,5))</f>
        <v/>
      </c>
      <c r="I1224">
        <f>IF($H1224="","",COUNTIFS(CalcBank,$G1224,CalcKey,"&lt;"&amp;$H1224)+1)</f>
        <v/>
      </c>
      <c r="J1224">
        <f>IF($I1224="","",$G1224&amp;"|"&amp;RIGHT("000000"&amp;$I1224,6))</f>
        <v/>
      </c>
      <c r="K1224">
        <f>IF(OR($E1224="",$E1224="نامعتبر"),"",LEFT($E1224,4)&amp;"/"&amp;MID($E1224,6,2))</f>
        <v/>
      </c>
      <c r="L1224">
        <f>IF(Entry!$K1224="",0,Entry!$K1224)</f>
        <v/>
      </c>
      <c r="M1224">
        <f>IF(Entry!$L1224="",0,Entry!$L1224)</f>
        <v/>
      </c>
    </row>
    <row r="1225">
      <c r="A1225">
        <f>IF(Entry!$C1225="","",Entry!$C1225)</f>
        <v/>
      </c>
      <c r="B1225">
        <f>IF($A1225="","",IF(ISNUMBER($A1225),IF(AND($A1225&gt;=10000101,$A1225&lt;=99991231),INT($A1225/10000),""),IFERROR(VALUE(TRIM(LEFT($A1225,FIND("/",$A1225)-1))),"")))</f>
        <v/>
      </c>
      <c r="C1225">
        <f>IF(OR($A1225="",$B1225=""),"",IF(ISNUMBER($A1225),INT(MOD($A1225,10000)/100),IFERROR(VALUE(TRIM(LEFT(MID($A1225,FIND("/",$A1225)+1,20),FIND("/",MID($A1225,FIND("/",$A1225)+1,20))-1))),"")))</f>
        <v/>
      </c>
      <c r="D1225">
        <f>IF(OR($A1225="",$B1225=""),"",IF(ISNUMBER($A1225),MOD($A1225,100),IFERROR(VALUE(TRIM(MID(MID($A1225,FIND("/",$A1225)+1,20),FIND("/",MID($A1225,FIND("/",$A1225)+1,20))+1,20))),"")))</f>
        <v/>
      </c>
      <c r="E1225">
        <f>IF($A1225="","",IF(OR($B1225="",$C1225="",$D1225="",$B1225&lt;1300,$B1225&gt;1500,$C1225&lt;1,$C1225&gt;12,$D1225&lt;1,$D1225&gt;31),"نامعتبر",RIGHT("0000"&amp;$B1225,4)&amp;"/"&amp;RIGHT("00"&amp;$C1225,2)&amp;"/"&amp;RIGHT("00"&amp;$D1225,2)))</f>
        <v/>
      </c>
      <c r="F1225">
        <f>IF(Entry!$D1225&lt;&gt;"",IF(AND(ISNUMBER(Entry!$D1225),Entry!$D1225&gt;=0,Entry!$D1225&lt;1),RIGHT("00"&amp;HOUR(Entry!$D1225),2)&amp;":"&amp;RIGHT("00"&amp;MINUTE(Entry!$D1225),2),IFERROR(RIGHT("00"&amp;VALUE(TRIM(LEFT(Entry!$D1225,FIND(":",Entry!$D1225)-1))),2)&amp;":"&amp;RIGHT("00"&amp;VALUE(TRIM(MID(Entry!$D1225,FIND(":",Entry!$D1225)+1,2))),2),"نامعتبر")),IF(OR($E1225="",$E1225="نامعتبر"),"","00:00"))</f>
        <v/>
      </c>
      <c r="G1225">
        <f>IF(OR($E1225="",$E1225="نامعتبر"),"",IF(Entry!$E1225="","",LEFT(UPPER(TRIM(Entry!$E1225)),6)))</f>
        <v/>
      </c>
      <c r="H1225">
        <f>IF($G1225="","",RIGHT($E1225,4)&amp;MID($E1225,6,2)&amp;RIGHT($E1225,2)&amp;IF($F1225="","0000",IF($F1225="نامعتبر","9999",LEFT($F1225,2)&amp;RIGHT($F1225,2)))&amp;"|"&amp;RIGHT("00000"&amp;1217,5))</f>
        <v/>
      </c>
      <c r="I1225">
        <f>IF($H1225="","",COUNTIFS(CalcBank,$G1225,CalcKey,"&lt;"&amp;$H1225)+1)</f>
        <v/>
      </c>
      <c r="J1225">
        <f>IF($I1225="","",$G1225&amp;"|"&amp;RIGHT("000000"&amp;$I1225,6))</f>
        <v/>
      </c>
      <c r="K1225">
        <f>IF(OR($E1225="",$E1225="نامعتبر"),"",LEFT($E1225,4)&amp;"/"&amp;MID($E1225,6,2))</f>
        <v/>
      </c>
      <c r="L1225">
        <f>IF(Entry!$K1225="",0,Entry!$K1225)</f>
        <v/>
      </c>
      <c r="M1225">
        <f>IF(Entry!$L1225="",0,Entry!$L1225)</f>
        <v/>
      </c>
    </row>
    <row r="1226">
      <c r="A1226">
        <f>IF(Entry!$C1226="","",Entry!$C1226)</f>
        <v/>
      </c>
      <c r="B1226">
        <f>IF($A1226="","",IF(ISNUMBER($A1226),IF(AND($A1226&gt;=10000101,$A1226&lt;=99991231),INT($A1226/10000),""),IFERROR(VALUE(TRIM(LEFT($A1226,FIND("/",$A1226)-1))),"")))</f>
        <v/>
      </c>
      <c r="C1226">
        <f>IF(OR($A1226="",$B1226=""),"",IF(ISNUMBER($A1226),INT(MOD($A1226,10000)/100),IFERROR(VALUE(TRIM(LEFT(MID($A1226,FIND("/",$A1226)+1,20),FIND("/",MID($A1226,FIND("/",$A1226)+1,20))-1))),"")))</f>
        <v/>
      </c>
      <c r="D1226">
        <f>IF(OR($A1226="",$B1226=""),"",IF(ISNUMBER($A1226),MOD($A1226,100),IFERROR(VALUE(TRIM(MID(MID($A1226,FIND("/",$A1226)+1,20),FIND("/",MID($A1226,FIND("/",$A1226)+1,20))+1,20))),"")))</f>
        <v/>
      </c>
      <c r="E1226">
        <f>IF($A1226="","",IF(OR($B1226="",$C1226="",$D1226="",$B1226&lt;1300,$B1226&gt;1500,$C1226&lt;1,$C1226&gt;12,$D1226&lt;1,$D1226&gt;31),"نامعتبر",RIGHT("0000"&amp;$B1226,4)&amp;"/"&amp;RIGHT("00"&amp;$C1226,2)&amp;"/"&amp;RIGHT("00"&amp;$D1226,2)))</f>
        <v/>
      </c>
      <c r="F1226">
        <f>IF(Entry!$D1226&lt;&gt;"",IF(AND(ISNUMBER(Entry!$D1226),Entry!$D1226&gt;=0,Entry!$D1226&lt;1),RIGHT("00"&amp;HOUR(Entry!$D1226),2)&amp;":"&amp;RIGHT("00"&amp;MINUTE(Entry!$D1226),2),IFERROR(RIGHT("00"&amp;VALUE(TRIM(LEFT(Entry!$D1226,FIND(":",Entry!$D1226)-1))),2)&amp;":"&amp;RIGHT("00"&amp;VALUE(TRIM(MID(Entry!$D1226,FIND(":",Entry!$D1226)+1,2))),2),"نامعتبر")),IF(OR($E1226="",$E1226="نامعتبر"),"","00:00"))</f>
        <v/>
      </c>
      <c r="G1226">
        <f>IF(OR($E1226="",$E1226="نامعتبر"),"",IF(Entry!$E1226="","",LEFT(UPPER(TRIM(Entry!$E1226)),6)))</f>
        <v/>
      </c>
      <c r="H1226">
        <f>IF($G1226="","",RIGHT($E1226,4)&amp;MID($E1226,6,2)&amp;RIGHT($E1226,2)&amp;IF($F1226="","0000",IF($F1226="نامعتبر","9999",LEFT($F1226,2)&amp;RIGHT($F1226,2)))&amp;"|"&amp;RIGHT("00000"&amp;1218,5))</f>
        <v/>
      </c>
      <c r="I1226">
        <f>IF($H1226="","",COUNTIFS(CalcBank,$G1226,CalcKey,"&lt;"&amp;$H1226)+1)</f>
        <v/>
      </c>
      <c r="J1226">
        <f>IF($I1226="","",$G1226&amp;"|"&amp;RIGHT("000000"&amp;$I1226,6))</f>
        <v/>
      </c>
      <c r="K1226">
        <f>IF(OR($E1226="",$E1226="نامعتبر"),"",LEFT($E1226,4)&amp;"/"&amp;MID($E1226,6,2))</f>
        <v/>
      </c>
      <c r="L1226">
        <f>IF(Entry!$K1226="",0,Entry!$K1226)</f>
        <v/>
      </c>
      <c r="M1226">
        <f>IF(Entry!$L1226="",0,Entry!$L1226)</f>
        <v/>
      </c>
    </row>
    <row r="1227">
      <c r="A1227">
        <f>IF(Entry!$C1227="","",Entry!$C1227)</f>
        <v/>
      </c>
      <c r="B1227">
        <f>IF($A1227="","",IF(ISNUMBER($A1227),IF(AND($A1227&gt;=10000101,$A1227&lt;=99991231),INT($A1227/10000),""),IFERROR(VALUE(TRIM(LEFT($A1227,FIND("/",$A1227)-1))),"")))</f>
        <v/>
      </c>
      <c r="C1227">
        <f>IF(OR($A1227="",$B1227=""),"",IF(ISNUMBER($A1227),INT(MOD($A1227,10000)/100),IFERROR(VALUE(TRIM(LEFT(MID($A1227,FIND("/",$A1227)+1,20),FIND("/",MID($A1227,FIND("/",$A1227)+1,20))-1))),"")))</f>
        <v/>
      </c>
      <c r="D1227">
        <f>IF(OR($A1227="",$B1227=""),"",IF(ISNUMBER($A1227),MOD($A1227,100),IFERROR(VALUE(TRIM(MID(MID($A1227,FIND("/",$A1227)+1,20),FIND("/",MID($A1227,FIND("/",$A1227)+1,20))+1,20))),"")))</f>
        <v/>
      </c>
      <c r="E1227">
        <f>IF($A1227="","",IF(OR($B1227="",$C1227="",$D1227="",$B1227&lt;1300,$B1227&gt;1500,$C1227&lt;1,$C1227&gt;12,$D1227&lt;1,$D1227&gt;31),"نامعتبر",RIGHT("0000"&amp;$B1227,4)&amp;"/"&amp;RIGHT("00"&amp;$C1227,2)&amp;"/"&amp;RIGHT("00"&amp;$D1227,2)))</f>
        <v/>
      </c>
      <c r="F1227">
        <f>IF(Entry!$D1227&lt;&gt;"",IF(AND(ISNUMBER(Entry!$D1227),Entry!$D1227&gt;=0,Entry!$D1227&lt;1),RIGHT("00"&amp;HOUR(Entry!$D1227),2)&amp;":"&amp;RIGHT("00"&amp;MINUTE(Entry!$D1227),2),IFERROR(RIGHT("00"&amp;VALUE(TRIM(LEFT(Entry!$D1227,FIND(":",Entry!$D1227)-1))),2)&amp;":"&amp;RIGHT("00"&amp;VALUE(TRIM(MID(Entry!$D1227,FIND(":",Entry!$D1227)+1,2))),2),"نامعتبر")),IF(OR($E1227="",$E1227="نامعتبر"),"","00:00"))</f>
        <v/>
      </c>
      <c r="G1227">
        <f>IF(OR($E1227="",$E1227="نامعتبر"),"",IF(Entry!$E1227="","",LEFT(UPPER(TRIM(Entry!$E1227)),6)))</f>
        <v/>
      </c>
      <c r="H1227">
        <f>IF($G1227="","",RIGHT($E1227,4)&amp;MID($E1227,6,2)&amp;RIGHT($E1227,2)&amp;IF($F1227="","0000",IF($F1227="نامعتبر","9999",LEFT($F1227,2)&amp;RIGHT($F1227,2)))&amp;"|"&amp;RIGHT("00000"&amp;1219,5))</f>
        <v/>
      </c>
      <c r="I1227">
        <f>IF($H1227="","",COUNTIFS(CalcBank,$G1227,CalcKey,"&lt;"&amp;$H1227)+1)</f>
        <v/>
      </c>
      <c r="J1227">
        <f>IF($I1227="","",$G1227&amp;"|"&amp;RIGHT("000000"&amp;$I1227,6))</f>
        <v/>
      </c>
      <c r="K1227">
        <f>IF(OR($E1227="",$E1227="نامعتبر"),"",LEFT($E1227,4)&amp;"/"&amp;MID($E1227,6,2))</f>
        <v/>
      </c>
      <c r="L1227">
        <f>IF(Entry!$K1227="",0,Entry!$K1227)</f>
        <v/>
      </c>
      <c r="M1227">
        <f>IF(Entry!$L1227="",0,Entry!$L1227)</f>
        <v/>
      </c>
    </row>
    <row r="1228">
      <c r="A1228">
        <f>IF(Entry!$C1228="","",Entry!$C1228)</f>
        <v/>
      </c>
      <c r="B1228">
        <f>IF($A1228="","",IF(ISNUMBER($A1228),IF(AND($A1228&gt;=10000101,$A1228&lt;=99991231),INT($A1228/10000),""),IFERROR(VALUE(TRIM(LEFT($A1228,FIND("/",$A1228)-1))),"")))</f>
        <v/>
      </c>
      <c r="C1228">
        <f>IF(OR($A1228="",$B1228=""),"",IF(ISNUMBER($A1228),INT(MOD($A1228,10000)/100),IFERROR(VALUE(TRIM(LEFT(MID($A1228,FIND("/",$A1228)+1,20),FIND("/",MID($A1228,FIND("/",$A1228)+1,20))-1))),"")))</f>
        <v/>
      </c>
      <c r="D1228">
        <f>IF(OR($A1228="",$B1228=""),"",IF(ISNUMBER($A1228),MOD($A1228,100),IFERROR(VALUE(TRIM(MID(MID($A1228,FIND("/",$A1228)+1,20),FIND("/",MID($A1228,FIND("/",$A1228)+1,20))+1,20))),"")))</f>
        <v/>
      </c>
      <c r="E1228">
        <f>IF($A1228="","",IF(OR($B1228="",$C1228="",$D1228="",$B1228&lt;1300,$B1228&gt;1500,$C1228&lt;1,$C1228&gt;12,$D1228&lt;1,$D1228&gt;31),"نامعتبر",RIGHT("0000"&amp;$B1228,4)&amp;"/"&amp;RIGHT("00"&amp;$C1228,2)&amp;"/"&amp;RIGHT("00"&amp;$D1228,2)))</f>
        <v/>
      </c>
      <c r="F1228">
        <f>IF(Entry!$D1228&lt;&gt;"",IF(AND(ISNUMBER(Entry!$D1228),Entry!$D1228&gt;=0,Entry!$D1228&lt;1),RIGHT("00"&amp;HOUR(Entry!$D1228),2)&amp;":"&amp;RIGHT("00"&amp;MINUTE(Entry!$D1228),2),IFERROR(RIGHT("00"&amp;VALUE(TRIM(LEFT(Entry!$D1228,FIND(":",Entry!$D1228)-1))),2)&amp;":"&amp;RIGHT("00"&amp;VALUE(TRIM(MID(Entry!$D1228,FIND(":",Entry!$D1228)+1,2))),2),"نامعتبر")),IF(OR($E1228="",$E1228="نامعتبر"),"","00:00"))</f>
        <v/>
      </c>
      <c r="G1228">
        <f>IF(OR($E1228="",$E1228="نامعتبر"),"",IF(Entry!$E1228="","",LEFT(UPPER(TRIM(Entry!$E1228)),6)))</f>
        <v/>
      </c>
      <c r="H1228">
        <f>IF($G1228="","",RIGHT($E1228,4)&amp;MID($E1228,6,2)&amp;RIGHT($E1228,2)&amp;IF($F1228="","0000",IF($F1228="نامعتبر","9999",LEFT($F1228,2)&amp;RIGHT($F1228,2)))&amp;"|"&amp;RIGHT("00000"&amp;1220,5))</f>
        <v/>
      </c>
      <c r="I1228">
        <f>IF($H1228="","",COUNTIFS(CalcBank,$G1228,CalcKey,"&lt;"&amp;$H1228)+1)</f>
        <v/>
      </c>
      <c r="J1228">
        <f>IF($I1228="","",$G1228&amp;"|"&amp;RIGHT("000000"&amp;$I1228,6))</f>
        <v/>
      </c>
      <c r="K1228">
        <f>IF(OR($E1228="",$E1228="نامعتبر"),"",LEFT($E1228,4)&amp;"/"&amp;MID($E1228,6,2))</f>
        <v/>
      </c>
      <c r="L1228">
        <f>IF(Entry!$K1228="",0,Entry!$K1228)</f>
        <v/>
      </c>
      <c r="M1228">
        <f>IF(Entry!$L1228="",0,Entry!$L1228)</f>
        <v/>
      </c>
    </row>
    <row r="1229">
      <c r="A1229">
        <f>IF(Entry!$C1229="","",Entry!$C1229)</f>
        <v/>
      </c>
      <c r="B1229">
        <f>IF($A1229="","",IF(ISNUMBER($A1229),IF(AND($A1229&gt;=10000101,$A1229&lt;=99991231),INT($A1229/10000),""),IFERROR(VALUE(TRIM(LEFT($A1229,FIND("/",$A1229)-1))),"")))</f>
        <v/>
      </c>
      <c r="C1229">
        <f>IF(OR($A1229="",$B1229=""),"",IF(ISNUMBER($A1229),INT(MOD($A1229,10000)/100),IFERROR(VALUE(TRIM(LEFT(MID($A1229,FIND("/",$A1229)+1,20),FIND("/",MID($A1229,FIND("/",$A1229)+1,20))-1))),"")))</f>
        <v/>
      </c>
      <c r="D1229">
        <f>IF(OR($A1229="",$B1229=""),"",IF(ISNUMBER($A1229),MOD($A1229,100),IFERROR(VALUE(TRIM(MID(MID($A1229,FIND("/",$A1229)+1,20),FIND("/",MID($A1229,FIND("/",$A1229)+1,20))+1,20))),"")))</f>
        <v/>
      </c>
      <c r="E1229">
        <f>IF($A1229="","",IF(OR($B1229="",$C1229="",$D1229="",$B1229&lt;1300,$B1229&gt;1500,$C1229&lt;1,$C1229&gt;12,$D1229&lt;1,$D1229&gt;31),"نامعتبر",RIGHT("0000"&amp;$B1229,4)&amp;"/"&amp;RIGHT("00"&amp;$C1229,2)&amp;"/"&amp;RIGHT("00"&amp;$D1229,2)))</f>
        <v/>
      </c>
      <c r="F1229">
        <f>IF(Entry!$D1229&lt;&gt;"",IF(AND(ISNUMBER(Entry!$D1229),Entry!$D1229&gt;=0,Entry!$D1229&lt;1),RIGHT("00"&amp;HOUR(Entry!$D1229),2)&amp;":"&amp;RIGHT("00"&amp;MINUTE(Entry!$D1229),2),IFERROR(RIGHT("00"&amp;VALUE(TRIM(LEFT(Entry!$D1229,FIND(":",Entry!$D1229)-1))),2)&amp;":"&amp;RIGHT("00"&amp;VALUE(TRIM(MID(Entry!$D1229,FIND(":",Entry!$D1229)+1,2))),2),"نامعتبر")),IF(OR($E1229="",$E1229="نامعتبر"),"","00:00"))</f>
        <v/>
      </c>
      <c r="G1229">
        <f>IF(OR($E1229="",$E1229="نامعتبر"),"",IF(Entry!$E1229="","",LEFT(UPPER(TRIM(Entry!$E1229)),6)))</f>
        <v/>
      </c>
      <c r="H1229">
        <f>IF($G1229="","",RIGHT($E1229,4)&amp;MID($E1229,6,2)&amp;RIGHT($E1229,2)&amp;IF($F1229="","0000",IF($F1229="نامعتبر","9999",LEFT($F1229,2)&amp;RIGHT($F1229,2)))&amp;"|"&amp;RIGHT("00000"&amp;1221,5))</f>
        <v/>
      </c>
      <c r="I1229">
        <f>IF($H1229="","",COUNTIFS(CalcBank,$G1229,CalcKey,"&lt;"&amp;$H1229)+1)</f>
        <v/>
      </c>
      <c r="J1229">
        <f>IF($I1229="","",$G1229&amp;"|"&amp;RIGHT("000000"&amp;$I1229,6))</f>
        <v/>
      </c>
      <c r="K1229">
        <f>IF(OR($E1229="",$E1229="نامعتبر"),"",LEFT($E1229,4)&amp;"/"&amp;MID($E1229,6,2))</f>
        <v/>
      </c>
      <c r="L1229">
        <f>IF(Entry!$K1229="",0,Entry!$K1229)</f>
        <v/>
      </c>
      <c r="M1229">
        <f>IF(Entry!$L1229="",0,Entry!$L1229)</f>
        <v/>
      </c>
    </row>
    <row r="1230">
      <c r="A1230">
        <f>IF(Entry!$C1230="","",Entry!$C1230)</f>
        <v/>
      </c>
      <c r="B1230">
        <f>IF($A1230="","",IF(ISNUMBER($A1230),IF(AND($A1230&gt;=10000101,$A1230&lt;=99991231),INT($A1230/10000),""),IFERROR(VALUE(TRIM(LEFT($A1230,FIND("/",$A1230)-1))),"")))</f>
        <v/>
      </c>
      <c r="C1230">
        <f>IF(OR($A1230="",$B1230=""),"",IF(ISNUMBER($A1230),INT(MOD($A1230,10000)/100),IFERROR(VALUE(TRIM(LEFT(MID($A1230,FIND("/",$A1230)+1,20),FIND("/",MID($A1230,FIND("/",$A1230)+1,20))-1))),"")))</f>
        <v/>
      </c>
      <c r="D1230">
        <f>IF(OR($A1230="",$B1230=""),"",IF(ISNUMBER($A1230),MOD($A1230,100),IFERROR(VALUE(TRIM(MID(MID($A1230,FIND("/",$A1230)+1,20),FIND("/",MID($A1230,FIND("/",$A1230)+1,20))+1,20))),"")))</f>
        <v/>
      </c>
      <c r="E1230">
        <f>IF($A1230="","",IF(OR($B1230="",$C1230="",$D1230="",$B1230&lt;1300,$B1230&gt;1500,$C1230&lt;1,$C1230&gt;12,$D1230&lt;1,$D1230&gt;31),"نامعتبر",RIGHT("0000"&amp;$B1230,4)&amp;"/"&amp;RIGHT("00"&amp;$C1230,2)&amp;"/"&amp;RIGHT("00"&amp;$D1230,2)))</f>
        <v/>
      </c>
      <c r="F1230">
        <f>IF(Entry!$D1230&lt;&gt;"",IF(AND(ISNUMBER(Entry!$D1230),Entry!$D1230&gt;=0,Entry!$D1230&lt;1),RIGHT("00"&amp;HOUR(Entry!$D1230),2)&amp;":"&amp;RIGHT("00"&amp;MINUTE(Entry!$D1230),2),IFERROR(RIGHT("00"&amp;VALUE(TRIM(LEFT(Entry!$D1230,FIND(":",Entry!$D1230)-1))),2)&amp;":"&amp;RIGHT("00"&amp;VALUE(TRIM(MID(Entry!$D1230,FIND(":",Entry!$D1230)+1,2))),2),"نامعتبر")),IF(OR($E1230="",$E1230="نامعتبر"),"","00:00"))</f>
        <v/>
      </c>
      <c r="G1230">
        <f>IF(OR($E1230="",$E1230="نامعتبر"),"",IF(Entry!$E1230="","",LEFT(UPPER(TRIM(Entry!$E1230)),6)))</f>
        <v/>
      </c>
      <c r="H1230">
        <f>IF($G1230="","",RIGHT($E1230,4)&amp;MID($E1230,6,2)&amp;RIGHT($E1230,2)&amp;IF($F1230="","0000",IF($F1230="نامعتبر","9999",LEFT($F1230,2)&amp;RIGHT($F1230,2)))&amp;"|"&amp;RIGHT("00000"&amp;1222,5))</f>
        <v/>
      </c>
      <c r="I1230">
        <f>IF($H1230="","",COUNTIFS(CalcBank,$G1230,CalcKey,"&lt;"&amp;$H1230)+1)</f>
        <v/>
      </c>
      <c r="J1230">
        <f>IF($I1230="","",$G1230&amp;"|"&amp;RIGHT("000000"&amp;$I1230,6))</f>
        <v/>
      </c>
      <c r="K1230">
        <f>IF(OR($E1230="",$E1230="نامعتبر"),"",LEFT($E1230,4)&amp;"/"&amp;MID($E1230,6,2))</f>
        <v/>
      </c>
      <c r="L1230">
        <f>IF(Entry!$K1230="",0,Entry!$K1230)</f>
        <v/>
      </c>
      <c r="M1230">
        <f>IF(Entry!$L1230="",0,Entry!$L1230)</f>
        <v/>
      </c>
    </row>
    <row r="1231">
      <c r="A1231">
        <f>IF(Entry!$C1231="","",Entry!$C1231)</f>
        <v/>
      </c>
      <c r="B1231">
        <f>IF($A1231="","",IF(ISNUMBER($A1231),IF(AND($A1231&gt;=10000101,$A1231&lt;=99991231),INT($A1231/10000),""),IFERROR(VALUE(TRIM(LEFT($A1231,FIND("/",$A1231)-1))),"")))</f>
        <v/>
      </c>
      <c r="C1231">
        <f>IF(OR($A1231="",$B1231=""),"",IF(ISNUMBER($A1231),INT(MOD($A1231,10000)/100),IFERROR(VALUE(TRIM(LEFT(MID($A1231,FIND("/",$A1231)+1,20),FIND("/",MID($A1231,FIND("/",$A1231)+1,20))-1))),"")))</f>
        <v/>
      </c>
      <c r="D1231">
        <f>IF(OR($A1231="",$B1231=""),"",IF(ISNUMBER($A1231),MOD($A1231,100),IFERROR(VALUE(TRIM(MID(MID($A1231,FIND("/",$A1231)+1,20),FIND("/",MID($A1231,FIND("/",$A1231)+1,20))+1,20))),"")))</f>
        <v/>
      </c>
      <c r="E1231">
        <f>IF($A1231="","",IF(OR($B1231="",$C1231="",$D1231="",$B1231&lt;1300,$B1231&gt;1500,$C1231&lt;1,$C1231&gt;12,$D1231&lt;1,$D1231&gt;31),"نامعتبر",RIGHT("0000"&amp;$B1231,4)&amp;"/"&amp;RIGHT("00"&amp;$C1231,2)&amp;"/"&amp;RIGHT("00"&amp;$D1231,2)))</f>
        <v/>
      </c>
      <c r="F1231">
        <f>IF(Entry!$D1231&lt;&gt;"",IF(AND(ISNUMBER(Entry!$D1231),Entry!$D1231&gt;=0,Entry!$D1231&lt;1),RIGHT("00"&amp;HOUR(Entry!$D1231),2)&amp;":"&amp;RIGHT("00"&amp;MINUTE(Entry!$D1231),2),IFERROR(RIGHT("00"&amp;VALUE(TRIM(LEFT(Entry!$D1231,FIND(":",Entry!$D1231)-1))),2)&amp;":"&amp;RIGHT("00"&amp;VALUE(TRIM(MID(Entry!$D1231,FIND(":",Entry!$D1231)+1,2))),2),"نامعتبر")),IF(OR($E1231="",$E1231="نامعتبر"),"","00:00"))</f>
        <v/>
      </c>
      <c r="G1231">
        <f>IF(OR($E1231="",$E1231="نامعتبر"),"",IF(Entry!$E1231="","",LEFT(UPPER(TRIM(Entry!$E1231)),6)))</f>
        <v/>
      </c>
      <c r="H1231">
        <f>IF($G1231="","",RIGHT($E1231,4)&amp;MID($E1231,6,2)&amp;RIGHT($E1231,2)&amp;IF($F1231="","0000",IF($F1231="نامعتبر","9999",LEFT($F1231,2)&amp;RIGHT($F1231,2)))&amp;"|"&amp;RIGHT("00000"&amp;1223,5))</f>
        <v/>
      </c>
      <c r="I1231">
        <f>IF($H1231="","",COUNTIFS(CalcBank,$G1231,CalcKey,"&lt;"&amp;$H1231)+1)</f>
        <v/>
      </c>
      <c r="J1231">
        <f>IF($I1231="","",$G1231&amp;"|"&amp;RIGHT("000000"&amp;$I1231,6))</f>
        <v/>
      </c>
      <c r="K1231">
        <f>IF(OR($E1231="",$E1231="نامعتبر"),"",LEFT($E1231,4)&amp;"/"&amp;MID($E1231,6,2))</f>
        <v/>
      </c>
      <c r="L1231">
        <f>IF(Entry!$K1231="",0,Entry!$K1231)</f>
        <v/>
      </c>
      <c r="M1231">
        <f>IF(Entry!$L1231="",0,Entry!$L1231)</f>
        <v/>
      </c>
    </row>
    <row r="1232">
      <c r="A1232">
        <f>IF(Entry!$C1232="","",Entry!$C1232)</f>
        <v/>
      </c>
      <c r="B1232">
        <f>IF($A1232="","",IF(ISNUMBER($A1232),IF(AND($A1232&gt;=10000101,$A1232&lt;=99991231),INT($A1232/10000),""),IFERROR(VALUE(TRIM(LEFT($A1232,FIND("/",$A1232)-1))),"")))</f>
        <v/>
      </c>
      <c r="C1232">
        <f>IF(OR($A1232="",$B1232=""),"",IF(ISNUMBER($A1232),INT(MOD($A1232,10000)/100),IFERROR(VALUE(TRIM(LEFT(MID($A1232,FIND("/",$A1232)+1,20),FIND("/",MID($A1232,FIND("/",$A1232)+1,20))-1))),"")))</f>
        <v/>
      </c>
      <c r="D1232">
        <f>IF(OR($A1232="",$B1232=""),"",IF(ISNUMBER($A1232),MOD($A1232,100),IFERROR(VALUE(TRIM(MID(MID($A1232,FIND("/",$A1232)+1,20),FIND("/",MID($A1232,FIND("/",$A1232)+1,20))+1,20))),"")))</f>
        <v/>
      </c>
      <c r="E1232">
        <f>IF($A1232="","",IF(OR($B1232="",$C1232="",$D1232="",$B1232&lt;1300,$B1232&gt;1500,$C1232&lt;1,$C1232&gt;12,$D1232&lt;1,$D1232&gt;31),"نامعتبر",RIGHT("0000"&amp;$B1232,4)&amp;"/"&amp;RIGHT("00"&amp;$C1232,2)&amp;"/"&amp;RIGHT("00"&amp;$D1232,2)))</f>
        <v/>
      </c>
      <c r="F1232">
        <f>IF(Entry!$D1232&lt;&gt;"",IF(AND(ISNUMBER(Entry!$D1232),Entry!$D1232&gt;=0,Entry!$D1232&lt;1),RIGHT("00"&amp;HOUR(Entry!$D1232),2)&amp;":"&amp;RIGHT("00"&amp;MINUTE(Entry!$D1232),2),IFERROR(RIGHT("00"&amp;VALUE(TRIM(LEFT(Entry!$D1232,FIND(":",Entry!$D1232)-1))),2)&amp;":"&amp;RIGHT("00"&amp;VALUE(TRIM(MID(Entry!$D1232,FIND(":",Entry!$D1232)+1,2))),2),"نامعتبر")),IF(OR($E1232="",$E1232="نامعتبر"),"","00:00"))</f>
        <v/>
      </c>
      <c r="G1232">
        <f>IF(OR($E1232="",$E1232="نامعتبر"),"",IF(Entry!$E1232="","",LEFT(UPPER(TRIM(Entry!$E1232)),6)))</f>
        <v/>
      </c>
      <c r="H1232">
        <f>IF($G1232="","",RIGHT($E1232,4)&amp;MID($E1232,6,2)&amp;RIGHT($E1232,2)&amp;IF($F1232="","0000",IF($F1232="نامعتبر","9999",LEFT($F1232,2)&amp;RIGHT($F1232,2)))&amp;"|"&amp;RIGHT("00000"&amp;1224,5))</f>
        <v/>
      </c>
      <c r="I1232">
        <f>IF($H1232="","",COUNTIFS(CalcBank,$G1232,CalcKey,"&lt;"&amp;$H1232)+1)</f>
        <v/>
      </c>
      <c r="J1232">
        <f>IF($I1232="","",$G1232&amp;"|"&amp;RIGHT("000000"&amp;$I1232,6))</f>
        <v/>
      </c>
      <c r="K1232">
        <f>IF(OR($E1232="",$E1232="نامعتبر"),"",LEFT($E1232,4)&amp;"/"&amp;MID($E1232,6,2))</f>
        <v/>
      </c>
      <c r="L1232">
        <f>IF(Entry!$K1232="",0,Entry!$K1232)</f>
        <v/>
      </c>
      <c r="M1232">
        <f>IF(Entry!$L1232="",0,Entry!$L1232)</f>
        <v/>
      </c>
    </row>
    <row r="1233">
      <c r="A1233">
        <f>IF(Entry!$C1233="","",Entry!$C1233)</f>
        <v/>
      </c>
      <c r="B1233">
        <f>IF($A1233="","",IF(ISNUMBER($A1233),IF(AND($A1233&gt;=10000101,$A1233&lt;=99991231),INT($A1233/10000),""),IFERROR(VALUE(TRIM(LEFT($A1233,FIND("/",$A1233)-1))),"")))</f>
        <v/>
      </c>
      <c r="C1233">
        <f>IF(OR($A1233="",$B1233=""),"",IF(ISNUMBER($A1233),INT(MOD($A1233,10000)/100),IFERROR(VALUE(TRIM(LEFT(MID($A1233,FIND("/",$A1233)+1,20),FIND("/",MID($A1233,FIND("/",$A1233)+1,20))-1))),"")))</f>
        <v/>
      </c>
      <c r="D1233">
        <f>IF(OR($A1233="",$B1233=""),"",IF(ISNUMBER($A1233),MOD($A1233,100),IFERROR(VALUE(TRIM(MID(MID($A1233,FIND("/",$A1233)+1,20),FIND("/",MID($A1233,FIND("/",$A1233)+1,20))+1,20))),"")))</f>
        <v/>
      </c>
      <c r="E1233">
        <f>IF($A1233="","",IF(OR($B1233="",$C1233="",$D1233="",$B1233&lt;1300,$B1233&gt;1500,$C1233&lt;1,$C1233&gt;12,$D1233&lt;1,$D1233&gt;31),"نامعتبر",RIGHT("0000"&amp;$B1233,4)&amp;"/"&amp;RIGHT("00"&amp;$C1233,2)&amp;"/"&amp;RIGHT("00"&amp;$D1233,2)))</f>
        <v/>
      </c>
      <c r="F1233">
        <f>IF(Entry!$D1233&lt;&gt;"",IF(AND(ISNUMBER(Entry!$D1233),Entry!$D1233&gt;=0,Entry!$D1233&lt;1),RIGHT("00"&amp;HOUR(Entry!$D1233),2)&amp;":"&amp;RIGHT("00"&amp;MINUTE(Entry!$D1233),2),IFERROR(RIGHT("00"&amp;VALUE(TRIM(LEFT(Entry!$D1233,FIND(":",Entry!$D1233)-1))),2)&amp;":"&amp;RIGHT("00"&amp;VALUE(TRIM(MID(Entry!$D1233,FIND(":",Entry!$D1233)+1,2))),2),"نامعتبر")),IF(OR($E1233="",$E1233="نامعتبر"),"","00:00"))</f>
        <v/>
      </c>
      <c r="G1233">
        <f>IF(OR($E1233="",$E1233="نامعتبر"),"",IF(Entry!$E1233="","",LEFT(UPPER(TRIM(Entry!$E1233)),6)))</f>
        <v/>
      </c>
      <c r="H1233">
        <f>IF($G1233="","",RIGHT($E1233,4)&amp;MID($E1233,6,2)&amp;RIGHT($E1233,2)&amp;IF($F1233="","0000",IF($F1233="نامعتبر","9999",LEFT($F1233,2)&amp;RIGHT($F1233,2)))&amp;"|"&amp;RIGHT("00000"&amp;1225,5))</f>
        <v/>
      </c>
      <c r="I1233">
        <f>IF($H1233="","",COUNTIFS(CalcBank,$G1233,CalcKey,"&lt;"&amp;$H1233)+1)</f>
        <v/>
      </c>
      <c r="J1233">
        <f>IF($I1233="","",$G1233&amp;"|"&amp;RIGHT("000000"&amp;$I1233,6))</f>
        <v/>
      </c>
      <c r="K1233">
        <f>IF(OR($E1233="",$E1233="نامعتبر"),"",LEFT($E1233,4)&amp;"/"&amp;MID($E1233,6,2))</f>
        <v/>
      </c>
      <c r="L1233">
        <f>IF(Entry!$K1233="",0,Entry!$K1233)</f>
        <v/>
      </c>
      <c r="M1233">
        <f>IF(Entry!$L1233="",0,Entry!$L1233)</f>
        <v/>
      </c>
    </row>
    <row r="1234">
      <c r="A1234">
        <f>IF(Entry!$C1234="","",Entry!$C1234)</f>
        <v/>
      </c>
      <c r="B1234">
        <f>IF($A1234="","",IF(ISNUMBER($A1234),IF(AND($A1234&gt;=10000101,$A1234&lt;=99991231),INT($A1234/10000),""),IFERROR(VALUE(TRIM(LEFT($A1234,FIND("/",$A1234)-1))),"")))</f>
        <v/>
      </c>
      <c r="C1234">
        <f>IF(OR($A1234="",$B1234=""),"",IF(ISNUMBER($A1234),INT(MOD($A1234,10000)/100),IFERROR(VALUE(TRIM(LEFT(MID($A1234,FIND("/",$A1234)+1,20),FIND("/",MID($A1234,FIND("/",$A1234)+1,20))-1))),"")))</f>
        <v/>
      </c>
      <c r="D1234">
        <f>IF(OR($A1234="",$B1234=""),"",IF(ISNUMBER($A1234),MOD($A1234,100),IFERROR(VALUE(TRIM(MID(MID($A1234,FIND("/",$A1234)+1,20),FIND("/",MID($A1234,FIND("/",$A1234)+1,20))+1,20))),"")))</f>
        <v/>
      </c>
      <c r="E1234">
        <f>IF($A1234="","",IF(OR($B1234="",$C1234="",$D1234="",$B1234&lt;1300,$B1234&gt;1500,$C1234&lt;1,$C1234&gt;12,$D1234&lt;1,$D1234&gt;31),"نامعتبر",RIGHT("0000"&amp;$B1234,4)&amp;"/"&amp;RIGHT("00"&amp;$C1234,2)&amp;"/"&amp;RIGHT("00"&amp;$D1234,2)))</f>
        <v/>
      </c>
      <c r="F1234">
        <f>IF(Entry!$D1234&lt;&gt;"",IF(AND(ISNUMBER(Entry!$D1234),Entry!$D1234&gt;=0,Entry!$D1234&lt;1),RIGHT("00"&amp;HOUR(Entry!$D1234),2)&amp;":"&amp;RIGHT("00"&amp;MINUTE(Entry!$D1234),2),IFERROR(RIGHT("00"&amp;VALUE(TRIM(LEFT(Entry!$D1234,FIND(":",Entry!$D1234)-1))),2)&amp;":"&amp;RIGHT("00"&amp;VALUE(TRIM(MID(Entry!$D1234,FIND(":",Entry!$D1234)+1,2))),2),"نامعتبر")),IF(OR($E1234="",$E1234="نامعتبر"),"","00:00"))</f>
        <v/>
      </c>
      <c r="G1234">
        <f>IF(OR($E1234="",$E1234="نامعتبر"),"",IF(Entry!$E1234="","",LEFT(UPPER(TRIM(Entry!$E1234)),6)))</f>
        <v/>
      </c>
      <c r="H1234">
        <f>IF($G1234="","",RIGHT($E1234,4)&amp;MID($E1234,6,2)&amp;RIGHT($E1234,2)&amp;IF($F1234="","0000",IF($F1234="نامعتبر","9999",LEFT($F1234,2)&amp;RIGHT($F1234,2)))&amp;"|"&amp;RIGHT("00000"&amp;1226,5))</f>
        <v/>
      </c>
      <c r="I1234">
        <f>IF($H1234="","",COUNTIFS(CalcBank,$G1234,CalcKey,"&lt;"&amp;$H1234)+1)</f>
        <v/>
      </c>
      <c r="J1234">
        <f>IF($I1234="","",$G1234&amp;"|"&amp;RIGHT("000000"&amp;$I1234,6))</f>
        <v/>
      </c>
      <c r="K1234">
        <f>IF(OR($E1234="",$E1234="نامعتبر"),"",LEFT($E1234,4)&amp;"/"&amp;MID($E1234,6,2))</f>
        <v/>
      </c>
      <c r="L1234">
        <f>IF(Entry!$K1234="",0,Entry!$K1234)</f>
        <v/>
      </c>
      <c r="M1234">
        <f>IF(Entry!$L1234="",0,Entry!$L1234)</f>
        <v/>
      </c>
    </row>
    <row r="1235">
      <c r="A1235">
        <f>IF(Entry!$C1235="","",Entry!$C1235)</f>
        <v/>
      </c>
      <c r="B1235">
        <f>IF($A1235="","",IF(ISNUMBER($A1235),IF(AND($A1235&gt;=10000101,$A1235&lt;=99991231),INT($A1235/10000),""),IFERROR(VALUE(TRIM(LEFT($A1235,FIND("/",$A1235)-1))),"")))</f>
        <v/>
      </c>
      <c r="C1235">
        <f>IF(OR($A1235="",$B1235=""),"",IF(ISNUMBER($A1235),INT(MOD($A1235,10000)/100),IFERROR(VALUE(TRIM(LEFT(MID($A1235,FIND("/",$A1235)+1,20),FIND("/",MID($A1235,FIND("/",$A1235)+1,20))-1))),"")))</f>
        <v/>
      </c>
      <c r="D1235">
        <f>IF(OR($A1235="",$B1235=""),"",IF(ISNUMBER($A1235),MOD($A1235,100),IFERROR(VALUE(TRIM(MID(MID($A1235,FIND("/",$A1235)+1,20),FIND("/",MID($A1235,FIND("/",$A1235)+1,20))+1,20))),"")))</f>
        <v/>
      </c>
      <c r="E1235">
        <f>IF($A1235="","",IF(OR($B1235="",$C1235="",$D1235="",$B1235&lt;1300,$B1235&gt;1500,$C1235&lt;1,$C1235&gt;12,$D1235&lt;1,$D1235&gt;31),"نامعتبر",RIGHT("0000"&amp;$B1235,4)&amp;"/"&amp;RIGHT("00"&amp;$C1235,2)&amp;"/"&amp;RIGHT("00"&amp;$D1235,2)))</f>
        <v/>
      </c>
      <c r="F1235">
        <f>IF(Entry!$D1235&lt;&gt;"",IF(AND(ISNUMBER(Entry!$D1235),Entry!$D1235&gt;=0,Entry!$D1235&lt;1),RIGHT("00"&amp;HOUR(Entry!$D1235),2)&amp;":"&amp;RIGHT("00"&amp;MINUTE(Entry!$D1235),2),IFERROR(RIGHT("00"&amp;VALUE(TRIM(LEFT(Entry!$D1235,FIND(":",Entry!$D1235)-1))),2)&amp;":"&amp;RIGHT("00"&amp;VALUE(TRIM(MID(Entry!$D1235,FIND(":",Entry!$D1235)+1,2))),2),"نامعتبر")),IF(OR($E1235="",$E1235="نامعتبر"),"","00:00"))</f>
        <v/>
      </c>
      <c r="G1235">
        <f>IF(OR($E1235="",$E1235="نامعتبر"),"",IF(Entry!$E1235="","",LEFT(UPPER(TRIM(Entry!$E1235)),6)))</f>
        <v/>
      </c>
      <c r="H1235">
        <f>IF($G1235="","",RIGHT($E1235,4)&amp;MID($E1235,6,2)&amp;RIGHT($E1235,2)&amp;IF($F1235="","0000",IF($F1235="نامعتبر","9999",LEFT($F1235,2)&amp;RIGHT($F1235,2)))&amp;"|"&amp;RIGHT("00000"&amp;1227,5))</f>
        <v/>
      </c>
      <c r="I1235">
        <f>IF($H1235="","",COUNTIFS(CalcBank,$G1235,CalcKey,"&lt;"&amp;$H1235)+1)</f>
        <v/>
      </c>
      <c r="J1235">
        <f>IF($I1235="","",$G1235&amp;"|"&amp;RIGHT("000000"&amp;$I1235,6))</f>
        <v/>
      </c>
      <c r="K1235">
        <f>IF(OR($E1235="",$E1235="نامعتبر"),"",LEFT($E1235,4)&amp;"/"&amp;MID($E1235,6,2))</f>
        <v/>
      </c>
      <c r="L1235">
        <f>IF(Entry!$K1235="",0,Entry!$K1235)</f>
        <v/>
      </c>
      <c r="M1235">
        <f>IF(Entry!$L1235="",0,Entry!$L1235)</f>
        <v/>
      </c>
    </row>
    <row r="1236">
      <c r="A1236">
        <f>IF(Entry!$C1236="","",Entry!$C1236)</f>
        <v/>
      </c>
      <c r="B1236">
        <f>IF($A1236="","",IF(ISNUMBER($A1236),IF(AND($A1236&gt;=10000101,$A1236&lt;=99991231),INT($A1236/10000),""),IFERROR(VALUE(TRIM(LEFT($A1236,FIND("/",$A1236)-1))),"")))</f>
        <v/>
      </c>
      <c r="C1236">
        <f>IF(OR($A1236="",$B1236=""),"",IF(ISNUMBER($A1236),INT(MOD($A1236,10000)/100),IFERROR(VALUE(TRIM(LEFT(MID($A1236,FIND("/",$A1236)+1,20),FIND("/",MID($A1236,FIND("/",$A1236)+1,20))-1))),"")))</f>
        <v/>
      </c>
      <c r="D1236">
        <f>IF(OR($A1236="",$B1236=""),"",IF(ISNUMBER($A1236),MOD($A1236,100),IFERROR(VALUE(TRIM(MID(MID($A1236,FIND("/",$A1236)+1,20),FIND("/",MID($A1236,FIND("/",$A1236)+1,20))+1,20))),"")))</f>
        <v/>
      </c>
      <c r="E1236">
        <f>IF($A1236="","",IF(OR($B1236="",$C1236="",$D1236="",$B1236&lt;1300,$B1236&gt;1500,$C1236&lt;1,$C1236&gt;12,$D1236&lt;1,$D1236&gt;31),"نامعتبر",RIGHT("0000"&amp;$B1236,4)&amp;"/"&amp;RIGHT("00"&amp;$C1236,2)&amp;"/"&amp;RIGHT("00"&amp;$D1236,2)))</f>
        <v/>
      </c>
      <c r="F1236">
        <f>IF(Entry!$D1236&lt;&gt;"",IF(AND(ISNUMBER(Entry!$D1236),Entry!$D1236&gt;=0,Entry!$D1236&lt;1),RIGHT("00"&amp;HOUR(Entry!$D1236),2)&amp;":"&amp;RIGHT("00"&amp;MINUTE(Entry!$D1236),2),IFERROR(RIGHT("00"&amp;VALUE(TRIM(LEFT(Entry!$D1236,FIND(":",Entry!$D1236)-1))),2)&amp;":"&amp;RIGHT("00"&amp;VALUE(TRIM(MID(Entry!$D1236,FIND(":",Entry!$D1236)+1,2))),2),"نامعتبر")),IF(OR($E1236="",$E1236="نامعتبر"),"","00:00"))</f>
        <v/>
      </c>
      <c r="G1236">
        <f>IF(OR($E1236="",$E1236="نامعتبر"),"",IF(Entry!$E1236="","",LEFT(UPPER(TRIM(Entry!$E1236)),6)))</f>
        <v/>
      </c>
      <c r="H1236">
        <f>IF($G1236="","",RIGHT($E1236,4)&amp;MID($E1236,6,2)&amp;RIGHT($E1236,2)&amp;IF($F1236="","0000",IF($F1236="نامعتبر","9999",LEFT($F1236,2)&amp;RIGHT($F1236,2)))&amp;"|"&amp;RIGHT("00000"&amp;1228,5))</f>
        <v/>
      </c>
      <c r="I1236">
        <f>IF($H1236="","",COUNTIFS(CalcBank,$G1236,CalcKey,"&lt;"&amp;$H1236)+1)</f>
        <v/>
      </c>
      <c r="J1236">
        <f>IF($I1236="","",$G1236&amp;"|"&amp;RIGHT("000000"&amp;$I1236,6))</f>
        <v/>
      </c>
      <c r="K1236">
        <f>IF(OR($E1236="",$E1236="نامعتبر"),"",LEFT($E1236,4)&amp;"/"&amp;MID($E1236,6,2))</f>
        <v/>
      </c>
      <c r="L1236">
        <f>IF(Entry!$K1236="",0,Entry!$K1236)</f>
        <v/>
      </c>
      <c r="M1236">
        <f>IF(Entry!$L1236="",0,Entry!$L1236)</f>
        <v/>
      </c>
    </row>
    <row r="1237">
      <c r="A1237">
        <f>IF(Entry!$C1237="","",Entry!$C1237)</f>
        <v/>
      </c>
      <c r="B1237">
        <f>IF($A1237="","",IF(ISNUMBER($A1237),IF(AND($A1237&gt;=10000101,$A1237&lt;=99991231),INT($A1237/10000),""),IFERROR(VALUE(TRIM(LEFT($A1237,FIND("/",$A1237)-1))),"")))</f>
        <v/>
      </c>
      <c r="C1237">
        <f>IF(OR($A1237="",$B1237=""),"",IF(ISNUMBER($A1237),INT(MOD($A1237,10000)/100),IFERROR(VALUE(TRIM(LEFT(MID($A1237,FIND("/",$A1237)+1,20),FIND("/",MID($A1237,FIND("/",$A1237)+1,20))-1))),"")))</f>
        <v/>
      </c>
      <c r="D1237">
        <f>IF(OR($A1237="",$B1237=""),"",IF(ISNUMBER($A1237),MOD($A1237,100),IFERROR(VALUE(TRIM(MID(MID($A1237,FIND("/",$A1237)+1,20),FIND("/",MID($A1237,FIND("/",$A1237)+1,20))+1,20))),"")))</f>
        <v/>
      </c>
      <c r="E1237">
        <f>IF($A1237="","",IF(OR($B1237="",$C1237="",$D1237="",$B1237&lt;1300,$B1237&gt;1500,$C1237&lt;1,$C1237&gt;12,$D1237&lt;1,$D1237&gt;31),"نامعتبر",RIGHT("0000"&amp;$B1237,4)&amp;"/"&amp;RIGHT("00"&amp;$C1237,2)&amp;"/"&amp;RIGHT("00"&amp;$D1237,2)))</f>
        <v/>
      </c>
      <c r="F1237">
        <f>IF(Entry!$D1237&lt;&gt;"",IF(AND(ISNUMBER(Entry!$D1237),Entry!$D1237&gt;=0,Entry!$D1237&lt;1),RIGHT("00"&amp;HOUR(Entry!$D1237),2)&amp;":"&amp;RIGHT("00"&amp;MINUTE(Entry!$D1237),2),IFERROR(RIGHT("00"&amp;VALUE(TRIM(LEFT(Entry!$D1237,FIND(":",Entry!$D1237)-1))),2)&amp;":"&amp;RIGHT("00"&amp;VALUE(TRIM(MID(Entry!$D1237,FIND(":",Entry!$D1237)+1,2))),2),"نامعتبر")),IF(OR($E1237="",$E1237="نامعتبر"),"","00:00"))</f>
        <v/>
      </c>
      <c r="G1237">
        <f>IF(OR($E1237="",$E1237="نامعتبر"),"",IF(Entry!$E1237="","",LEFT(UPPER(TRIM(Entry!$E1237)),6)))</f>
        <v/>
      </c>
      <c r="H1237">
        <f>IF($G1237="","",RIGHT($E1237,4)&amp;MID($E1237,6,2)&amp;RIGHT($E1237,2)&amp;IF($F1237="","0000",IF($F1237="نامعتبر","9999",LEFT($F1237,2)&amp;RIGHT($F1237,2)))&amp;"|"&amp;RIGHT("00000"&amp;1229,5))</f>
        <v/>
      </c>
      <c r="I1237">
        <f>IF($H1237="","",COUNTIFS(CalcBank,$G1237,CalcKey,"&lt;"&amp;$H1237)+1)</f>
        <v/>
      </c>
      <c r="J1237">
        <f>IF($I1237="","",$G1237&amp;"|"&amp;RIGHT("000000"&amp;$I1237,6))</f>
        <v/>
      </c>
      <c r="K1237">
        <f>IF(OR($E1237="",$E1237="نامعتبر"),"",LEFT($E1237,4)&amp;"/"&amp;MID($E1237,6,2))</f>
        <v/>
      </c>
      <c r="L1237">
        <f>IF(Entry!$K1237="",0,Entry!$K1237)</f>
        <v/>
      </c>
      <c r="M1237">
        <f>IF(Entry!$L1237="",0,Entry!$L1237)</f>
        <v/>
      </c>
    </row>
    <row r="1238">
      <c r="A1238">
        <f>IF(Entry!$C1238="","",Entry!$C1238)</f>
        <v/>
      </c>
      <c r="B1238">
        <f>IF($A1238="","",IF(ISNUMBER($A1238),IF(AND($A1238&gt;=10000101,$A1238&lt;=99991231),INT($A1238/10000),""),IFERROR(VALUE(TRIM(LEFT($A1238,FIND("/",$A1238)-1))),"")))</f>
        <v/>
      </c>
      <c r="C1238">
        <f>IF(OR($A1238="",$B1238=""),"",IF(ISNUMBER($A1238),INT(MOD($A1238,10000)/100),IFERROR(VALUE(TRIM(LEFT(MID($A1238,FIND("/",$A1238)+1,20),FIND("/",MID($A1238,FIND("/",$A1238)+1,20))-1))),"")))</f>
        <v/>
      </c>
      <c r="D1238">
        <f>IF(OR($A1238="",$B1238=""),"",IF(ISNUMBER($A1238),MOD($A1238,100),IFERROR(VALUE(TRIM(MID(MID($A1238,FIND("/",$A1238)+1,20),FIND("/",MID($A1238,FIND("/",$A1238)+1,20))+1,20))),"")))</f>
        <v/>
      </c>
      <c r="E1238">
        <f>IF($A1238="","",IF(OR($B1238="",$C1238="",$D1238="",$B1238&lt;1300,$B1238&gt;1500,$C1238&lt;1,$C1238&gt;12,$D1238&lt;1,$D1238&gt;31),"نامعتبر",RIGHT("0000"&amp;$B1238,4)&amp;"/"&amp;RIGHT("00"&amp;$C1238,2)&amp;"/"&amp;RIGHT("00"&amp;$D1238,2)))</f>
        <v/>
      </c>
      <c r="F1238">
        <f>IF(Entry!$D1238&lt;&gt;"",IF(AND(ISNUMBER(Entry!$D1238),Entry!$D1238&gt;=0,Entry!$D1238&lt;1),RIGHT("00"&amp;HOUR(Entry!$D1238),2)&amp;":"&amp;RIGHT("00"&amp;MINUTE(Entry!$D1238),2),IFERROR(RIGHT("00"&amp;VALUE(TRIM(LEFT(Entry!$D1238,FIND(":",Entry!$D1238)-1))),2)&amp;":"&amp;RIGHT("00"&amp;VALUE(TRIM(MID(Entry!$D1238,FIND(":",Entry!$D1238)+1,2))),2),"نامعتبر")),IF(OR($E1238="",$E1238="نامعتبر"),"","00:00"))</f>
        <v/>
      </c>
      <c r="G1238">
        <f>IF(OR($E1238="",$E1238="نامعتبر"),"",IF(Entry!$E1238="","",LEFT(UPPER(TRIM(Entry!$E1238)),6)))</f>
        <v/>
      </c>
      <c r="H1238">
        <f>IF($G1238="","",RIGHT($E1238,4)&amp;MID($E1238,6,2)&amp;RIGHT($E1238,2)&amp;IF($F1238="","0000",IF($F1238="نامعتبر","9999",LEFT($F1238,2)&amp;RIGHT($F1238,2)))&amp;"|"&amp;RIGHT("00000"&amp;1230,5))</f>
        <v/>
      </c>
      <c r="I1238">
        <f>IF($H1238="","",COUNTIFS(CalcBank,$G1238,CalcKey,"&lt;"&amp;$H1238)+1)</f>
        <v/>
      </c>
      <c r="J1238">
        <f>IF($I1238="","",$G1238&amp;"|"&amp;RIGHT("000000"&amp;$I1238,6))</f>
        <v/>
      </c>
      <c r="K1238">
        <f>IF(OR($E1238="",$E1238="نامعتبر"),"",LEFT($E1238,4)&amp;"/"&amp;MID($E1238,6,2))</f>
        <v/>
      </c>
      <c r="L1238">
        <f>IF(Entry!$K1238="",0,Entry!$K1238)</f>
        <v/>
      </c>
      <c r="M1238">
        <f>IF(Entry!$L1238="",0,Entry!$L1238)</f>
        <v/>
      </c>
    </row>
    <row r="1239">
      <c r="A1239">
        <f>IF(Entry!$C1239="","",Entry!$C1239)</f>
        <v/>
      </c>
      <c r="B1239">
        <f>IF($A1239="","",IF(ISNUMBER($A1239),IF(AND($A1239&gt;=10000101,$A1239&lt;=99991231),INT($A1239/10000),""),IFERROR(VALUE(TRIM(LEFT($A1239,FIND("/",$A1239)-1))),"")))</f>
        <v/>
      </c>
      <c r="C1239">
        <f>IF(OR($A1239="",$B1239=""),"",IF(ISNUMBER($A1239),INT(MOD($A1239,10000)/100),IFERROR(VALUE(TRIM(LEFT(MID($A1239,FIND("/",$A1239)+1,20),FIND("/",MID($A1239,FIND("/",$A1239)+1,20))-1))),"")))</f>
        <v/>
      </c>
      <c r="D1239">
        <f>IF(OR($A1239="",$B1239=""),"",IF(ISNUMBER($A1239),MOD($A1239,100),IFERROR(VALUE(TRIM(MID(MID($A1239,FIND("/",$A1239)+1,20),FIND("/",MID($A1239,FIND("/",$A1239)+1,20))+1,20))),"")))</f>
        <v/>
      </c>
      <c r="E1239">
        <f>IF($A1239="","",IF(OR($B1239="",$C1239="",$D1239="",$B1239&lt;1300,$B1239&gt;1500,$C1239&lt;1,$C1239&gt;12,$D1239&lt;1,$D1239&gt;31),"نامعتبر",RIGHT("0000"&amp;$B1239,4)&amp;"/"&amp;RIGHT("00"&amp;$C1239,2)&amp;"/"&amp;RIGHT("00"&amp;$D1239,2)))</f>
        <v/>
      </c>
      <c r="F1239">
        <f>IF(Entry!$D1239&lt;&gt;"",IF(AND(ISNUMBER(Entry!$D1239),Entry!$D1239&gt;=0,Entry!$D1239&lt;1),RIGHT("00"&amp;HOUR(Entry!$D1239),2)&amp;":"&amp;RIGHT("00"&amp;MINUTE(Entry!$D1239),2),IFERROR(RIGHT("00"&amp;VALUE(TRIM(LEFT(Entry!$D1239,FIND(":",Entry!$D1239)-1))),2)&amp;":"&amp;RIGHT("00"&amp;VALUE(TRIM(MID(Entry!$D1239,FIND(":",Entry!$D1239)+1,2))),2),"نامعتبر")),IF(OR($E1239="",$E1239="نامعتبر"),"","00:00"))</f>
        <v/>
      </c>
      <c r="G1239">
        <f>IF(OR($E1239="",$E1239="نامعتبر"),"",IF(Entry!$E1239="","",LEFT(UPPER(TRIM(Entry!$E1239)),6)))</f>
        <v/>
      </c>
      <c r="H1239">
        <f>IF($G1239="","",RIGHT($E1239,4)&amp;MID($E1239,6,2)&amp;RIGHT($E1239,2)&amp;IF($F1239="","0000",IF($F1239="نامعتبر","9999",LEFT($F1239,2)&amp;RIGHT($F1239,2)))&amp;"|"&amp;RIGHT("00000"&amp;1231,5))</f>
        <v/>
      </c>
      <c r="I1239">
        <f>IF($H1239="","",COUNTIFS(CalcBank,$G1239,CalcKey,"&lt;"&amp;$H1239)+1)</f>
        <v/>
      </c>
      <c r="J1239">
        <f>IF($I1239="","",$G1239&amp;"|"&amp;RIGHT("000000"&amp;$I1239,6))</f>
        <v/>
      </c>
      <c r="K1239">
        <f>IF(OR($E1239="",$E1239="نامعتبر"),"",LEFT($E1239,4)&amp;"/"&amp;MID($E1239,6,2))</f>
        <v/>
      </c>
      <c r="L1239">
        <f>IF(Entry!$K1239="",0,Entry!$K1239)</f>
        <v/>
      </c>
      <c r="M1239">
        <f>IF(Entry!$L1239="",0,Entry!$L1239)</f>
        <v/>
      </c>
    </row>
    <row r="1240">
      <c r="A1240">
        <f>IF(Entry!$C1240="","",Entry!$C1240)</f>
        <v/>
      </c>
      <c r="B1240">
        <f>IF($A1240="","",IF(ISNUMBER($A1240),IF(AND($A1240&gt;=10000101,$A1240&lt;=99991231),INT($A1240/10000),""),IFERROR(VALUE(TRIM(LEFT($A1240,FIND("/",$A1240)-1))),"")))</f>
        <v/>
      </c>
      <c r="C1240">
        <f>IF(OR($A1240="",$B1240=""),"",IF(ISNUMBER($A1240),INT(MOD($A1240,10000)/100),IFERROR(VALUE(TRIM(LEFT(MID($A1240,FIND("/",$A1240)+1,20),FIND("/",MID($A1240,FIND("/",$A1240)+1,20))-1))),"")))</f>
        <v/>
      </c>
      <c r="D1240">
        <f>IF(OR($A1240="",$B1240=""),"",IF(ISNUMBER($A1240),MOD($A1240,100),IFERROR(VALUE(TRIM(MID(MID($A1240,FIND("/",$A1240)+1,20),FIND("/",MID($A1240,FIND("/",$A1240)+1,20))+1,20))),"")))</f>
        <v/>
      </c>
      <c r="E1240">
        <f>IF($A1240="","",IF(OR($B1240="",$C1240="",$D1240="",$B1240&lt;1300,$B1240&gt;1500,$C1240&lt;1,$C1240&gt;12,$D1240&lt;1,$D1240&gt;31),"نامعتبر",RIGHT("0000"&amp;$B1240,4)&amp;"/"&amp;RIGHT("00"&amp;$C1240,2)&amp;"/"&amp;RIGHT("00"&amp;$D1240,2)))</f>
        <v/>
      </c>
      <c r="F1240">
        <f>IF(Entry!$D1240&lt;&gt;"",IF(AND(ISNUMBER(Entry!$D1240),Entry!$D1240&gt;=0,Entry!$D1240&lt;1),RIGHT("00"&amp;HOUR(Entry!$D1240),2)&amp;":"&amp;RIGHT("00"&amp;MINUTE(Entry!$D1240),2),IFERROR(RIGHT("00"&amp;VALUE(TRIM(LEFT(Entry!$D1240,FIND(":",Entry!$D1240)-1))),2)&amp;":"&amp;RIGHT("00"&amp;VALUE(TRIM(MID(Entry!$D1240,FIND(":",Entry!$D1240)+1,2))),2),"نامعتبر")),IF(OR($E1240="",$E1240="نامعتبر"),"","00:00"))</f>
        <v/>
      </c>
      <c r="G1240">
        <f>IF(OR($E1240="",$E1240="نامعتبر"),"",IF(Entry!$E1240="","",LEFT(UPPER(TRIM(Entry!$E1240)),6)))</f>
        <v/>
      </c>
      <c r="H1240">
        <f>IF($G1240="","",RIGHT($E1240,4)&amp;MID($E1240,6,2)&amp;RIGHT($E1240,2)&amp;IF($F1240="","0000",IF($F1240="نامعتبر","9999",LEFT($F1240,2)&amp;RIGHT($F1240,2)))&amp;"|"&amp;RIGHT("00000"&amp;1232,5))</f>
        <v/>
      </c>
      <c r="I1240">
        <f>IF($H1240="","",COUNTIFS(CalcBank,$G1240,CalcKey,"&lt;"&amp;$H1240)+1)</f>
        <v/>
      </c>
      <c r="J1240">
        <f>IF($I1240="","",$G1240&amp;"|"&amp;RIGHT("000000"&amp;$I1240,6))</f>
        <v/>
      </c>
      <c r="K1240">
        <f>IF(OR($E1240="",$E1240="نامعتبر"),"",LEFT($E1240,4)&amp;"/"&amp;MID($E1240,6,2))</f>
        <v/>
      </c>
      <c r="L1240">
        <f>IF(Entry!$K1240="",0,Entry!$K1240)</f>
        <v/>
      </c>
      <c r="M1240">
        <f>IF(Entry!$L1240="",0,Entry!$L1240)</f>
        <v/>
      </c>
    </row>
    <row r="1241">
      <c r="A1241">
        <f>IF(Entry!$C1241="","",Entry!$C1241)</f>
        <v/>
      </c>
      <c r="B1241">
        <f>IF($A1241="","",IF(ISNUMBER($A1241),IF(AND($A1241&gt;=10000101,$A1241&lt;=99991231),INT($A1241/10000),""),IFERROR(VALUE(TRIM(LEFT($A1241,FIND("/",$A1241)-1))),"")))</f>
        <v/>
      </c>
      <c r="C1241">
        <f>IF(OR($A1241="",$B1241=""),"",IF(ISNUMBER($A1241),INT(MOD($A1241,10000)/100),IFERROR(VALUE(TRIM(LEFT(MID($A1241,FIND("/",$A1241)+1,20),FIND("/",MID($A1241,FIND("/",$A1241)+1,20))-1))),"")))</f>
        <v/>
      </c>
      <c r="D1241">
        <f>IF(OR($A1241="",$B1241=""),"",IF(ISNUMBER($A1241),MOD($A1241,100),IFERROR(VALUE(TRIM(MID(MID($A1241,FIND("/",$A1241)+1,20),FIND("/",MID($A1241,FIND("/",$A1241)+1,20))+1,20))),"")))</f>
        <v/>
      </c>
      <c r="E1241">
        <f>IF($A1241="","",IF(OR($B1241="",$C1241="",$D1241="",$B1241&lt;1300,$B1241&gt;1500,$C1241&lt;1,$C1241&gt;12,$D1241&lt;1,$D1241&gt;31),"نامعتبر",RIGHT("0000"&amp;$B1241,4)&amp;"/"&amp;RIGHT("00"&amp;$C1241,2)&amp;"/"&amp;RIGHT("00"&amp;$D1241,2)))</f>
        <v/>
      </c>
      <c r="F1241">
        <f>IF(Entry!$D1241&lt;&gt;"",IF(AND(ISNUMBER(Entry!$D1241),Entry!$D1241&gt;=0,Entry!$D1241&lt;1),RIGHT("00"&amp;HOUR(Entry!$D1241),2)&amp;":"&amp;RIGHT("00"&amp;MINUTE(Entry!$D1241),2),IFERROR(RIGHT("00"&amp;VALUE(TRIM(LEFT(Entry!$D1241,FIND(":",Entry!$D1241)-1))),2)&amp;":"&amp;RIGHT("00"&amp;VALUE(TRIM(MID(Entry!$D1241,FIND(":",Entry!$D1241)+1,2))),2),"نامعتبر")),IF(OR($E1241="",$E1241="نامعتبر"),"","00:00"))</f>
        <v/>
      </c>
      <c r="G1241">
        <f>IF(OR($E1241="",$E1241="نامعتبر"),"",IF(Entry!$E1241="","",LEFT(UPPER(TRIM(Entry!$E1241)),6)))</f>
        <v/>
      </c>
      <c r="H1241">
        <f>IF($G1241="","",RIGHT($E1241,4)&amp;MID($E1241,6,2)&amp;RIGHT($E1241,2)&amp;IF($F1241="","0000",IF($F1241="نامعتبر","9999",LEFT($F1241,2)&amp;RIGHT($F1241,2)))&amp;"|"&amp;RIGHT("00000"&amp;1233,5))</f>
        <v/>
      </c>
      <c r="I1241">
        <f>IF($H1241="","",COUNTIFS(CalcBank,$G1241,CalcKey,"&lt;"&amp;$H1241)+1)</f>
        <v/>
      </c>
      <c r="J1241">
        <f>IF($I1241="","",$G1241&amp;"|"&amp;RIGHT("000000"&amp;$I1241,6))</f>
        <v/>
      </c>
      <c r="K1241">
        <f>IF(OR($E1241="",$E1241="نامعتبر"),"",LEFT($E1241,4)&amp;"/"&amp;MID($E1241,6,2))</f>
        <v/>
      </c>
      <c r="L1241">
        <f>IF(Entry!$K1241="",0,Entry!$K1241)</f>
        <v/>
      </c>
      <c r="M1241">
        <f>IF(Entry!$L1241="",0,Entry!$L1241)</f>
        <v/>
      </c>
    </row>
    <row r="1242">
      <c r="A1242">
        <f>IF(Entry!$C1242="","",Entry!$C1242)</f>
        <v/>
      </c>
      <c r="B1242">
        <f>IF($A1242="","",IF(ISNUMBER($A1242),IF(AND($A1242&gt;=10000101,$A1242&lt;=99991231),INT($A1242/10000),""),IFERROR(VALUE(TRIM(LEFT($A1242,FIND("/",$A1242)-1))),"")))</f>
        <v/>
      </c>
      <c r="C1242">
        <f>IF(OR($A1242="",$B1242=""),"",IF(ISNUMBER($A1242),INT(MOD($A1242,10000)/100),IFERROR(VALUE(TRIM(LEFT(MID($A1242,FIND("/",$A1242)+1,20),FIND("/",MID($A1242,FIND("/",$A1242)+1,20))-1))),"")))</f>
        <v/>
      </c>
      <c r="D1242">
        <f>IF(OR($A1242="",$B1242=""),"",IF(ISNUMBER($A1242),MOD($A1242,100),IFERROR(VALUE(TRIM(MID(MID($A1242,FIND("/",$A1242)+1,20),FIND("/",MID($A1242,FIND("/",$A1242)+1,20))+1,20))),"")))</f>
        <v/>
      </c>
      <c r="E1242">
        <f>IF($A1242="","",IF(OR($B1242="",$C1242="",$D1242="",$B1242&lt;1300,$B1242&gt;1500,$C1242&lt;1,$C1242&gt;12,$D1242&lt;1,$D1242&gt;31),"نامعتبر",RIGHT("0000"&amp;$B1242,4)&amp;"/"&amp;RIGHT("00"&amp;$C1242,2)&amp;"/"&amp;RIGHT("00"&amp;$D1242,2)))</f>
        <v/>
      </c>
      <c r="F1242">
        <f>IF(Entry!$D1242&lt;&gt;"",IF(AND(ISNUMBER(Entry!$D1242),Entry!$D1242&gt;=0,Entry!$D1242&lt;1),RIGHT("00"&amp;HOUR(Entry!$D1242),2)&amp;":"&amp;RIGHT("00"&amp;MINUTE(Entry!$D1242),2),IFERROR(RIGHT("00"&amp;VALUE(TRIM(LEFT(Entry!$D1242,FIND(":",Entry!$D1242)-1))),2)&amp;":"&amp;RIGHT("00"&amp;VALUE(TRIM(MID(Entry!$D1242,FIND(":",Entry!$D1242)+1,2))),2),"نامعتبر")),IF(OR($E1242="",$E1242="نامعتبر"),"","00:00"))</f>
        <v/>
      </c>
      <c r="G1242">
        <f>IF(OR($E1242="",$E1242="نامعتبر"),"",IF(Entry!$E1242="","",LEFT(UPPER(TRIM(Entry!$E1242)),6)))</f>
        <v/>
      </c>
      <c r="H1242">
        <f>IF($G1242="","",RIGHT($E1242,4)&amp;MID($E1242,6,2)&amp;RIGHT($E1242,2)&amp;IF($F1242="","0000",IF($F1242="نامعتبر","9999",LEFT($F1242,2)&amp;RIGHT($F1242,2)))&amp;"|"&amp;RIGHT("00000"&amp;1234,5))</f>
        <v/>
      </c>
      <c r="I1242">
        <f>IF($H1242="","",COUNTIFS(CalcBank,$G1242,CalcKey,"&lt;"&amp;$H1242)+1)</f>
        <v/>
      </c>
      <c r="J1242">
        <f>IF($I1242="","",$G1242&amp;"|"&amp;RIGHT("000000"&amp;$I1242,6))</f>
        <v/>
      </c>
      <c r="K1242">
        <f>IF(OR($E1242="",$E1242="نامعتبر"),"",LEFT($E1242,4)&amp;"/"&amp;MID($E1242,6,2))</f>
        <v/>
      </c>
      <c r="L1242">
        <f>IF(Entry!$K1242="",0,Entry!$K1242)</f>
        <v/>
      </c>
      <c r="M1242">
        <f>IF(Entry!$L1242="",0,Entry!$L1242)</f>
        <v/>
      </c>
    </row>
    <row r="1243">
      <c r="A1243">
        <f>IF(Entry!$C1243="","",Entry!$C1243)</f>
        <v/>
      </c>
      <c r="B1243">
        <f>IF($A1243="","",IF(ISNUMBER($A1243),IF(AND($A1243&gt;=10000101,$A1243&lt;=99991231),INT($A1243/10000),""),IFERROR(VALUE(TRIM(LEFT($A1243,FIND("/",$A1243)-1))),"")))</f>
        <v/>
      </c>
      <c r="C1243">
        <f>IF(OR($A1243="",$B1243=""),"",IF(ISNUMBER($A1243),INT(MOD($A1243,10000)/100),IFERROR(VALUE(TRIM(LEFT(MID($A1243,FIND("/",$A1243)+1,20),FIND("/",MID($A1243,FIND("/",$A1243)+1,20))-1))),"")))</f>
        <v/>
      </c>
      <c r="D1243">
        <f>IF(OR($A1243="",$B1243=""),"",IF(ISNUMBER($A1243),MOD($A1243,100),IFERROR(VALUE(TRIM(MID(MID($A1243,FIND("/",$A1243)+1,20),FIND("/",MID($A1243,FIND("/",$A1243)+1,20))+1,20))),"")))</f>
        <v/>
      </c>
      <c r="E1243">
        <f>IF($A1243="","",IF(OR($B1243="",$C1243="",$D1243="",$B1243&lt;1300,$B1243&gt;1500,$C1243&lt;1,$C1243&gt;12,$D1243&lt;1,$D1243&gt;31),"نامعتبر",RIGHT("0000"&amp;$B1243,4)&amp;"/"&amp;RIGHT("00"&amp;$C1243,2)&amp;"/"&amp;RIGHT("00"&amp;$D1243,2)))</f>
        <v/>
      </c>
      <c r="F1243">
        <f>IF(Entry!$D1243&lt;&gt;"",IF(AND(ISNUMBER(Entry!$D1243),Entry!$D1243&gt;=0,Entry!$D1243&lt;1),RIGHT("00"&amp;HOUR(Entry!$D1243),2)&amp;":"&amp;RIGHT("00"&amp;MINUTE(Entry!$D1243),2),IFERROR(RIGHT("00"&amp;VALUE(TRIM(LEFT(Entry!$D1243,FIND(":",Entry!$D1243)-1))),2)&amp;":"&amp;RIGHT("00"&amp;VALUE(TRIM(MID(Entry!$D1243,FIND(":",Entry!$D1243)+1,2))),2),"نامعتبر")),IF(OR($E1243="",$E1243="نامعتبر"),"","00:00"))</f>
        <v/>
      </c>
      <c r="G1243">
        <f>IF(OR($E1243="",$E1243="نامعتبر"),"",IF(Entry!$E1243="","",LEFT(UPPER(TRIM(Entry!$E1243)),6)))</f>
        <v/>
      </c>
      <c r="H1243">
        <f>IF($G1243="","",RIGHT($E1243,4)&amp;MID($E1243,6,2)&amp;RIGHT($E1243,2)&amp;IF($F1243="","0000",IF($F1243="نامعتبر","9999",LEFT($F1243,2)&amp;RIGHT($F1243,2)))&amp;"|"&amp;RIGHT("00000"&amp;1235,5))</f>
        <v/>
      </c>
      <c r="I1243">
        <f>IF($H1243="","",COUNTIFS(CalcBank,$G1243,CalcKey,"&lt;"&amp;$H1243)+1)</f>
        <v/>
      </c>
      <c r="J1243">
        <f>IF($I1243="","",$G1243&amp;"|"&amp;RIGHT("000000"&amp;$I1243,6))</f>
        <v/>
      </c>
      <c r="K1243">
        <f>IF(OR($E1243="",$E1243="نامعتبر"),"",LEFT($E1243,4)&amp;"/"&amp;MID($E1243,6,2))</f>
        <v/>
      </c>
      <c r="L1243">
        <f>IF(Entry!$K1243="",0,Entry!$K1243)</f>
        <v/>
      </c>
      <c r="M1243">
        <f>IF(Entry!$L1243="",0,Entry!$L1243)</f>
        <v/>
      </c>
    </row>
    <row r="1244">
      <c r="A1244">
        <f>IF(Entry!$C1244="","",Entry!$C1244)</f>
        <v/>
      </c>
      <c r="B1244">
        <f>IF($A1244="","",IF(ISNUMBER($A1244),IF(AND($A1244&gt;=10000101,$A1244&lt;=99991231),INT($A1244/10000),""),IFERROR(VALUE(TRIM(LEFT($A1244,FIND("/",$A1244)-1))),"")))</f>
        <v/>
      </c>
      <c r="C1244">
        <f>IF(OR($A1244="",$B1244=""),"",IF(ISNUMBER($A1244),INT(MOD($A1244,10000)/100),IFERROR(VALUE(TRIM(LEFT(MID($A1244,FIND("/",$A1244)+1,20),FIND("/",MID($A1244,FIND("/",$A1244)+1,20))-1))),"")))</f>
        <v/>
      </c>
      <c r="D1244">
        <f>IF(OR($A1244="",$B1244=""),"",IF(ISNUMBER($A1244),MOD($A1244,100),IFERROR(VALUE(TRIM(MID(MID($A1244,FIND("/",$A1244)+1,20),FIND("/",MID($A1244,FIND("/",$A1244)+1,20))+1,20))),"")))</f>
        <v/>
      </c>
      <c r="E1244">
        <f>IF($A1244="","",IF(OR($B1244="",$C1244="",$D1244="",$B1244&lt;1300,$B1244&gt;1500,$C1244&lt;1,$C1244&gt;12,$D1244&lt;1,$D1244&gt;31),"نامعتبر",RIGHT("0000"&amp;$B1244,4)&amp;"/"&amp;RIGHT("00"&amp;$C1244,2)&amp;"/"&amp;RIGHT("00"&amp;$D1244,2)))</f>
        <v/>
      </c>
      <c r="F1244">
        <f>IF(Entry!$D1244&lt;&gt;"",IF(AND(ISNUMBER(Entry!$D1244),Entry!$D1244&gt;=0,Entry!$D1244&lt;1),RIGHT("00"&amp;HOUR(Entry!$D1244),2)&amp;":"&amp;RIGHT("00"&amp;MINUTE(Entry!$D1244),2),IFERROR(RIGHT("00"&amp;VALUE(TRIM(LEFT(Entry!$D1244,FIND(":",Entry!$D1244)-1))),2)&amp;":"&amp;RIGHT("00"&amp;VALUE(TRIM(MID(Entry!$D1244,FIND(":",Entry!$D1244)+1,2))),2),"نامعتبر")),IF(OR($E1244="",$E1244="نامعتبر"),"","00:00"))</f>
        <v/>
      </c>
      <c r="G1244">
        <f>IF(OR($E1244="",$E1244="نامعتبر"),"",IF(Entry!$E1244="","",LEFT(UPPER(TRIM(Entry!$E1244)),6)))</f>
        <v/>
      </c>
      <c r="H1244">
        <f>IF($G1244="","",RIGHT($E1244,4)&amp;MID($E1244,6,2)&amp;RIGHT($E1244,2)&amp;IF($F1244="","0000",IF($F1244="نامعتبر","9999",LEFT($F1244,2)&amp;RIGHT($F1244,2)))&amp;"|"&amp;RIGHT("00000"&amp;1236,5))</f>
        <v/>
      </c>
      <c r="I1244">
        <f>IF($H1244="","",COUNTIFS(CalcBank,$G1244,CalcKey,"&lt;"&amp;$H1244)+1)</f>
        <v/>
      </c>
      <c r="J1244">
        <f>IF($I1244="","",$G1244&amp;"|"&amp;RIGHT("000000"&amp;$I1244,6))</f>
        <v/>
      </c>
      <c r="K1244">
        <f>IF(OR($E1244="",$E1244="نامعتبر"),"",LEFT($E1244,4)&amp;"/"&amp;MID($E1244,6,2))</f>
        <v/>
      </c>
      <c r="L1244">
        <f>IF(Entry!$K1244="",0,Entry!$K1244)</f>
        <v/>
      </c>
      <c r="M1244">
        <f>IF(Entry!$L1244="",0,Entry!$L1244)</f>
        <v/>
      </c>
    </row>
    <row r="1245">
      <c r="A1245">
        <f>IF(Entry!$C1245="","",Entry!$C1245)</f>
        <v/>
      </c>
      <c r="B1245">
        <f>IF($A1245="","",IF(ISNUMBER($A1245),IF(AND($A1245&gt;=10000101,$A1245&lt;=99991231),INT($A1245/10000),""),IFERROR(VALUE(TRIM(LEFT($A1245,FIND("/",$A1245)-1))),"")))</f>
        <v/>
      </c>
      <c r="C1245">
        <f>IF(OR($A1245="",$B1245=""),"",IF(ISNUMBER($A1245),INT(MOD($A1245,10000)/100),IFERROR(VALUE(TRIM(LEFT(MID($A1245,FIND("/",$A1245)+1,20),FIND("/",MID($A1245,FIND("/",$A1245)+1,20))-1))),"")))</f>
        <v/>
      </c>
      <c r="D1245">
        <f>IF(OR($A1245="",$B1245=""),"",IF(ISNUMBER($A1245),MOD($A1245,100),IFERROR(VALUE(TRIM(MID(MID($A1245,FIND("/",$A1245)+1,20),FIND("/",MID($A1245,FIND("/",$A1245)+1,20))+1,20))),"")))</f>
        <v/>
      </c>
      <c r="E1245">
        <f>IF($A1245="","",IF(OR($B1245="",$C1245="",$D1245="",$B1245&lt;1300,$B1245&gt;1500,$C1245&lt;1,$C1245&gt;12,$D1245&lt;1,$D1245&gt;31),"نامعتبر",RIGHT("0000"&amp;$B1245,4)&amp;"/"&amp;RIGHT("00"&amp;$C1245,2)&amp;"/"&amp;RIGHT("00"&amp;$D1245,2)))</f>
        <v/>
      </c>
      <c r="F1245">
        <f>IF(Entry!$D1245&lt;&gt;"",IF(AND(ISNUMBER(Entry!$D1245),Entry!$D1245&gt;=0,Entry!$D1245&lt;1),RIGHT("00"&amp;HOUR(Entry!$D1245),2)&amp;":"&amp;RIGHT("00"&amp;MINUTE(Entry!$D1245),2),IFERROR(RIGHT("00"&amp;VALUE(TRIM(LEFT(Entry!$D1245,FIND(":",Entry!$D1245)-1))),2)&amp;":"&amp;RIGHT("00"&amp;VALUE(TRIM(MID(Entry!$D1245,FIND(":",Entry!$D1245)+1,2))),2),"نامعتبر")),IF(OR($E1245="",$E1245="نامعتبر"),"","00:00"))</f>
        <v/>
      </c>
      <c r="G1245">
        <f>IF(OR($E1245="",$E1245="نامعتبر"),"",IF(Entry!$E1245="","",LEFT(UPPER(TRIM(Entry!$E1245)),6)))</f>
        <v/>
      </c>
      <c r="H1245">
        <f>IF($G1245="","",RIGHT($E1245,4)&amp;MID($E1245,6,2)&amp;RIGHT($E1245,2)&amp;IF($F1245="","0000",IF($F1245="نامعتبر","9999",LEFT($F1245,2)&amp;RIGHT($F1245,2)))&amp;"|"&amp;RIGHT("00000"&amp;1237,5))</f>
        <v/>
      </c>
      <c r="I1245">
        <f>IF($H1245="","",COUNTIFS(CalcBank,$G1245,CalcKey,"&lt;"&amp;$H1245)+1)</f>
        <v/>
      </c>
      <c r="J1245">
        <f>IF($I1245="","",$G1245&amp;"|"&amp;RIGHT("000000"&amp;$I1245,6))</f>
        <v/>
      </c>
      <c r="K1245">
        <f>IF(OR($E1245="",$E1245="نامعتبر"),"",LEFT($E1245,4)&amp;"/"&amp;MID($E1245,6,2))</f>
        <v/>
      </c>
      <c r="L1245">
        <f>IF(Entry!$K1245="",0,Entry!$K1245)</f>
        <v/>
      </c>
      <c r="M1245">
        <f>IF(Entry!$L1245="",0,Entry!$L1245)</f>
        <v/>
      </c>
    </row>
    <row r="1246">
      <c r="A1246">
        <f>IF(Entry!$C1246="","",Entry!$C1246)</f>
        <v/>
      </c>
      <c r="B1246">
        <f>IF($A1246="","",IF(ISNUMBER($A1246),IF(AND($A1246&gt;=10000101,$A1246&lt;=99991231),INT($A1246/10000),""),IFERROR(VALUE(TRIM(LEFT($A1246,FIND("/",$A1246)-1))),"")))</f>
        <v/>
      </c>
      <c r="C1246">
        <f>IF(OR($A1246="",$B1246=""),"",IF(ISNUMBER($A1246),INT(MOD($A1246,10000)/100),IFERROR(VALUE(TRIM(LEFT(MID($A1246,FIND("/",$A1246)+1,20),FIND("/",MID($A1246,FIND("/",$A1246)+1,20))-1))),"")))</f>
        <v/>
      </c>
      <c r="D1246">
        <f>IF(OR($A1246="",$B1246=""),"",IF(ISNUMBER($A1246),MOD($A1246,100),IFERROR(VALUE(TRIM(MID(MID($A1246,FIND("/",$A1246)+1,20),FIND("/",MID($A1246,FIND("/",$A1246)+1,20))+1,20))),"")))</f>
        <v/>
      </c>
      <c r="E1246">
        <f>IF($A1246="","",IF(OR($B1246="",$C1246="",$D1246="",$B1246&lt;1300,$B1246&gt;1500,$C1246&lt;1,$C1246&gt;12,$D1246&lt;1,$D1246&gt;31),"نامعتبر",RIGHT("0000"&amp;$B1246,4)&amp;"/"&amp;RIGHT("00"&amp;$C1246,2)&amp;"/"&amp;RIGHT("00"&amp;$D1246,2)))</f>
        <v/>
      </c>
      <c r="F1246">
        <f>IF(Entry!$D1246&lt;&gt;"",IF(AND(ISNUMBER(Entry!$D1246),Entry!$D1246&gt;=0,Entry!$D1246&lt;1),RIGHT("00"&amp;HOUR(Entry!$D1246),2)&amp;":"&amp;RIGHT("00"&amp;MINUTE(Entry!$D1246),2),IFERROR(RIGHT("00"&amp;VALUE(TRIM(LEFT(Entry!$D1246,FIND(":",Entry!$D1246)-1))),2)&amp;":"&amp;RIGHT("00"&amp;VALUE(TRIM(MID(Entry!$D1246,FIND(":",Entry!$D1246)+1,2))),2),"نامعتبر")),IF(OR($E1246="",$E1246="نامعتبر"),"","00:00"))</f>
        <v/>
      </c>
      <c r="G1246">
        <f>IF(OR($E1246="",$E1246="نامعتبر"),"",IF(Entry!$E1246="","",LEFT(UPPER(TRIM(Entry!$E1246)),6)))</f>
        <v/>
      </c>
      <c r="H1246">
        <f>IF($G1246="","",RIGHT($E1246,4)&amp;MID($E1246,6,2)&amp;RIGHT($E1246,2)&amp;IF($F1246="","0000",IF($F1246="نامعتبر","9999",LEFT($F1246,2)&amp;RIGHT($F1246,2)))&amp;"|"&amp;RIGHT("00000"&amp;1238,5))</f>
        <v/>
      </c>
      <c r="I1246">
        <f>IF($H1246="","",COUNTIFS(CalcBank,$G1246,CalcKey,"&lt;"&amp;$H1246)+1)</f>
        <v/>
      </c>
      <c r="J1246">
        <f>IF($I1246="","",$G1246&amp;"|"&amp;RIGHT("000000"&amp;$I1246,6))</f>
        <v/>
      </c>
      <c r="K1246">
        <f>IF(OR($E1246="",$E1246="نامعتبر"),"",LEFT($E1246,4)&amp;"/"&amp;MID($E1246,6,2))</f>
        <v/>
      </c>
      <c r="L1246">
        <f>IF(Entry!$K1246="",0,Entry!$K1246)</f>
        <v/>
      </c>
      <c r="M1246">
        <f>IF(Entry!$L1246="",0,Entry!$L1246)</f>
        <v/>
      </c>
    </row>
    <row r="1247">
      <c r="A1247">
        <f>IF(Entry!$C1247="","",Entry!$C1247)</f>
        <v/>
      </c>
      <c r="B1247">
        <f>IF($A1247="","",IF(ISNUMBER($A1247),IF(AND($A1247&gt;=10000101,$A1247&lt;=99991231),INT($A1247/10000),""),IFERROR(VALUE(TRIM(LEFT($A1247,FIND("/",$A1247)-1))),"")))</f>
        <v/>
      </c>
      <c r="C1247">
        <f>IF(OR($A1247="",$B1247=""),"",IF(ISNUMBER($A1247),INT(MOD($A1247,10000)/100),IFERROR(VALUE(TRIM(LEFT(MID($A1247,FIND("/",$A1247)+1,20),FIND("/",MID($A1247,FIND("/",$A1247)+1,20))-1))),"")))</f>
        <v/>
      </c>
      <c r="D1247">
        <f>IF(OR($A1247="",$B1247=""),"",IF(ISNUMBER($A1247),MOD($A1247,100),IFERROR(VALUE(TRIM(MID(MID($A1247,FIND("/",$A1247)+1,20),FIND("/",MID($A1247,FIND("/",$A1247)+1,20))+1,20))),"")))</f>
        <v/>
      </c>
      <c r="E1247">
        <f>IF($A1247="","",IF(OR($B1247="",$C1247="",$D1247="",$B1247&lt;1300,$B1247&gt;1500,$C1247&lt;1,$C1247&gt;12,$D1247&lt;1,$D1247&gt;31),"نامعتبر",RIGHT("0000"&amp;$B1247,4)&amp;"/"&amp;RIGHT("00"&amp;$C1247,2)&amp;"/"&amp;RIGHT("00"&amp;$D1247,2)))</f>
        <v/>
      </c>
      <c r="F1247">
        <f>IF(Entry!$D1247&lt;&gt;"",IF(AND(ISNUMBER(Entry!$D1247),Entry!$D1247&gt;=0,Entry!$D1247&lt;1),RIGHT("00"&amp;HOUR(Entry!$D1247),2)&amp;":"&amp;RIGHT("00"&amp;MINUTE(Entry!$D1247),2),IFERROR(RIGHT("00"&amp;VALUE(TRIM(LEFT(Entry!$D1247,FIND(":",Entry!$D1247)-1))),2)&amp;":"&amp;RIGHT("00"&amp;VALUE(TRIM(MID(Entry!$D1247,FIND(":",Entry!$D1247)+1,2))),2),"نامعتبر")),IF(OR($E1247="",$E1247="نامعتبر"),"","00:00"))</f>
        <v/>
      </c>
      <c r="G1247">
        <f>IF(OR($E1247="",$E1247="نامعتبر"),"",IF(Entry!$E1247="","",LEFT(UPPER(TRIM(Entry!$E1247)),6)))</f>
        <v/>
      </c>
      <c r="H1247">
        <f>IF($G1247="","",RIGHT($E1247,4)&amp;MID($E1247,6,2)&amp;RIGHT($E1247,2)&amp;IF($F1247="","0000",IF($F1247="نامعتبر","9999",LEFT($F1247,2)&amp;RIGHT($F1247,2)))&amp;"|"&amp;RIGHT("00000"&amp;1239,5))</f>
        <v/>
      </c>
      <c r="I1247">
        <f>IF($H1247="","",COUNTIFS(CalcBank,$G1247,CalcKey,"&lt;"&amp;$H1247)+1)</f>
        <v/>
      </c>
      <c r="J1247">
        <f>IF($I1247="","",$G1247&amp;"|"&amp;RIGHT("000000"&amp;$I1247,6))</f>
        <v/>
      </c>
      <c r="K1247">
        <f>IF(OR($E1247="",$E1247="نامعتبر"),"",LEFT($E1247,4)&amp;"/"&amp;MID($E1247,6,2))</f>
        <v/>
      </c>
      <c r="L1247">
        <f>IF(Entry!$K1247="",0,Entry!$K1247)</f>
        <v/>
      </c>
      <c r="M1247">
        <f>IF(Entry!$L1247="",0,Entry!$L1247)</f>
        <v/>
      </c>
    </row>
    <row r="1248">
      <c r="A1248">
        <f>IF(Entry!$C1248="","",Entry!$C1248)</f>
        <v/>
      </c>
      <c r="B1248">
        <f>IF($A1248="","",IF(ISNUMBER($A1248),IF(AND($A1248&gt;=10000101,$A1248&lt;=99991231),INT($A1248/10000),""),IFERROR(VALUE(TRIM(LEFT($A1248,FIND("/",$A1248)-1))),"")))</f>
        <v/>
      </c>
      <c r="C1248">
        <f>IF(OR($A1248="",$B1248=""),"",IF(ISNUMBER($A1248),INT(MOD($A1248,10000)/100),IFERROR(VALUE(TRIM(LEFT(MID($A1248,FIND("/",$A1248)+1,20),FIND("/",MID($A1248,FIND("/",$A1248)+1,20))-1))),"")))</f>
        <v/>
      </c>
      <c r="D1248">
        <f>IF(OR($A1248="",$B1248=""),"",IF(ISNUMBER($A1248),MOD($A1248,100),IFERROR(VALUE(TRIM(MID(MID($A1248,FIND("/",$A1248)+1,20),FIND("/",MID($A1248,FIND("/",$A1248)+1,20))+1,20))),"")))</f>
        <v/>
      </c>
      <c r="E1248">
        <f>IF($A1248="","",IF(OR($B1248="",$C1248="",$D1248="",$B1248&lt;1300,$B1248&gt;1500,$C1248&lt;1,$C1248&gt;12,$D1248&lt;1,$D1248&gt;31),"نامعتبر",RIGHT("0000"&amp;$B1248,4)&amp;"/"&amp;RIGHT("00"&amp;$C1248,2)&amp;"/"&amp;RIGHT("00"&amp;$D1248,2)))</f>
        <v/>
      </c>
      <c r="F1248">
        <f>IF(Entry!$D1248&lt;&gt;"",IF(AND(ISNUMBER(Entry!$D1248),Entry!$D1248&gt;=0,Entry!$D1248&lt;1),RIGHT("00"&amp;HOUR(Entry!$D1248),2)&amp;":"&amp;RIGHT("00"&amp;MINUTE(Entry!$D1248),2),IFERROR(RIGHT("00"&amp;VALUE(TRIM(LEFT(Entry!$D1248,FIND(":",Entry!$D1248)-1))),2)&amp;":"&amp;RIGHT("00"&amp;VALUE(TRIM(MID(Entry!$D1248,FIND(":",Entry!$D1248)+1,2))),2),"نامعتبر")),IF(OR($E1248="",$E1248="نامعتبر"),"","00:00"))</f>
        <v/>
      </c>
      <c r="G1248">
        <f>IF(OR($E1248="",$E1248="نامعتبر"),"",IF(Entry!$E1248="","",LEFT(UPPER(TRIM(Entry!$E1248)),6)))</f>
        <v/>
      </c>
      <c r="H1248">
        <f>IF($G1248="","",RIGHT($E1248,4)&amp;MID($E1248,6,2)&amp;RIGHT($E1248,2)&amp;IF($F1248="","0000",IF($F1248="نامعتبر","9999",LEFT($F1248,2)&amp;RIGHT($F1248,2)))&amp;"|"&amp;RIGHT("00000"&amp;1240,5))</f>
        <v/>
      </c>
      <c r="I1248">
        <f>IF($H1248="","",COUNTIFS(CalcBank,$G1248,CalcKey,"&lt;"&amp;$H1248)+1)</f>
        <v/>
      </c>
      <c r="J1248">
        <f>IF($I1248="","",$G1248&amp;"|"&amp;RIGHT("000000"&amp;$I1248,6))</f>
        <v/>
      </c>
      <c r="K1248">
        <f>IF(OR($E1248="",$E1248="نامعتبر"),"",LEFT($E1248,4)&amp;"/"&amp;MID($E1248,6,2))</f>
        <v/>
      </c>
      <c r="L1248">
        <f>IF(Entry!$K1248="",0,Entry!$K1248)</f>
        <v/>
      </c>
      <c r="M1248">
        <f>IF(Entry!$L1248="",0,Entry!$L1248)</f>
        <v/>
      </c>
    </row>
    <row r="1249">
      <c r="A1249">
        <f>IF(Entry!$C1249="","",Entry!$C1249)</f>
        <v/>
      </c>
      <c r="B1249">
        <f>IF($A1249="","",IF(ISNUMBER($A1249),IF(AND($A1249&gt;=10000101,$A1249&lt;=99991231),INT($A1249/10000),""),IFERROR(VALUE(TRIM(LEFT($A1249,FIND("/",$A1249)-1))),"")))</f>
        <v/>
      </c>
      <c r="C1249">
        <f>IF(OR($A1249="",$B1249=""),"",IF(ISNUMBER($A1249),INT(MOD($A1249,10000)/100),IFERROR(VALUE(TRIM(LEFT(MID($A1249,FIND("/",$A1249)+1,20),FIND("/",MID($A1249,FIND("/",$A1249)+1,20))-1))),"")))</f>
        <v/>
      </c>
      <c r="D1249">
        <f>IF(OR($A1249="",$B1249=""),"",IF(ISNUMBER($A1249),MOD($A1249,100),IFERROR(VALUE(TRIM(MID(MID($A1249,FIND("/",$A1249)+1,20),FIND("/",MID($A1249,FIND("/",$A1249)+1,20))+1,20))),"")))</f>
        <v/>
      </c>
      <c r="E1249">
        <f>IF($A1249="","",IF(OR($B1249="",$C1249="",$D1249="",$B1249&lt;1300,$B1249&gt;1500,$C1249&lt;1,$C1249&gt;12,$D1249&lt;1,$D1249&gt;31),"نامعتبر",RIGHT("0000"&amp;$B1249,4)&amp;"/"&amp;RIGHT("00"&amp;$C1249,2)&amp;"/"&amp;RIGHT("00"&amp;$D1249,2)))</f>
        <v/>
      </c>
      <c r="F1249">
        <f>IF(Entry!$D1249&lt;&gt;"",IF(AND(ISNUMBER(Entry!$D1249),Entry!$D1249&gt;=0,Entry!$D1249&lt;1),RIGHT("00"&amp;HOUR(Entry!$D1249),2)&amp;":"&amp;RIGHT("00"&amp;MINUTE(Entry!$D1249),2),IFERROR(RIGHT("00"&amp;VALUE(TRIM(LEFT(Entry!$D1249,FIND(":",Entry!$D1249)-1))),2)&amp;":"&amp;RIGHT("00"&amp;VALUE(TRIM(MID(Entry!$D1249,FIND(":",Entry!$D1249)+1,2))),2),"نامعتبر")),IF(OR($E1249="",$E1249="نامعتبر"),"","00:00"))</f>
        <v/>
      </c>
      <c r="G1249">
        <f>IF(OR($E1249="",$E1249="نامعتبر"),"",IF(Entry!$E1249="","",LEFT(UPPER(TRIM(Entry!$E1249)),6)))</f>
        <v/>
      </c>
      <c r="H1249">
        <f>IF($G1249="","",RIGHT($E1249,4)&amp;MID($E1249,6,2)&amp;RIGHT($E1249,2)&amp;IF($F1249="","0000",IF($F1249="نامعتبر","9999",LEFT($F1249,2)&amp;RIGHT($F1249,2)))&amp;"|"&amp;RIGHT("00000"&amp;1241,5))</f>
        <v/>
      </c>
      <c r="I1249">
        <f>IF($H1249="","",COUNTIFS(CalcBank,$G1249,CalcKey,"&lt;"&amp;$H1249)+1)</f>
        <v/>
      </c>
      <c r="J1249">
        <f>IF($I1249="","",$G1249&amp;"|"&amp;RIGHT("000000"&amp;$I1249,6))</f>
        <v/>
      </c>
      <c r="K1249">
        <f>IF(OR($E1249="",$E1249="نامعتبر"),"",LEFT($E1249,4)&amp;"/"&amp;MID($E1249,6,2))</f>
        <v/>
      </c>
      <c r="L1249">
        <f>IF(Entry!$K1249="",0,Entry!$K1249)</f>
        <v/>
      </c>
      <c r="M1249">
        <f>IF(Entry!$L1249="",0,Entry!$L1249)</f>
        <v/>
      </c>
    </row>
    <row r="1250">
      <c r="A1250">
        <f>IF(Entry!$C1250="","",Entry!$C1250)</f>
        <v/>
      </c>
      <c r="B1250">
        <f>IF($A1250="","",IF(ISNUMBER($A1250),IF(AND($A1250&gt;=10000101,$A1250&lt;=99991231),INT($A1250/10000),""),IFERROR(VALUE(TRIM(LEFT($A1250,FIND("/",$A1250)-1))),"")))</f>
        <v/>
      </c>
      <c r="C1250">
        <f>IF(OR($A1250="",$B1250=""),"",IF(ISNUMBER($A1250),INT(MOD($A1250,10000)/100),IFERROR(VALUE(TRIM(LEFT(MID($A1250,FIND("/",$A1250)+1,20),FIND("/",MID($A1250,FIND("/",$A1250)+1,20))-1))),"")))</f>
        <v/>
      </c>
      <c r="D1250">
        <f>IF(OR($A1250="",$B1250=""),"",IF(ISNUMBER($A1250),MOD($A1250,100),IFERROR(VALUE(TRIM(MID(MID($A1250,FIND("/",$A1250)+1,20),FIND("/",MID($A1250,FIND("/",$A1250)+1,20))+1,20))),"")))</f>
        <v/>
      </c>
      <c r="E1250">
        <f>IF($A1250="","",IF(OR($B1250="",$C1250="",$D1250="",$B1250&lt;1300,$B1250&gt;1500,$C1250&lt;1,$C1250&gt;12,$D1250&lt;1,$D1250&gt;31),"نامعتبر",RIGHT("0000"&amp;$B1250,4)&amp;"/"&amp;RIGHT("00"&amp;$C1250,2)&amp;"/"&amp;RIGHT("00"&amp;$D1250,2)))</f>
        <v/>
      </c>
      <c r="F1250">
        <f>IF(Entry!$D1250&lt;&gt;"",IF(AND(ISNUMBER(Entry!$D1250),Entry!$D1250&gt;=0,Entry!$D1250&lt;1),RIGHT("00"&amp;HOUR(Entry!$D1250),2)&amp;":"&amp;RIGHT("00"&amp;MINUTE(Entry!$D1250),2),IFERROR(RIGHT("00"&amp;VALUE(TRIM(LEFT(Entry!$D1250,FIND(":",Entry!$D1250)-1))),2)&amp;":"&amp;RIGHT("00"&amp;VALUE(TRIM(MID(Entry!$D1250,FIND(":",Entry!$D1250)+1,2))),2),"نامعتبر")),IF(OR($E1250="",$E1250="نامعتبر"),"","00:00"))</f>
        <v/>
      </c>
      <c r="G1250">
        <f>IF(OR($E1250="",$E1250="نامعتبر"),"",IF(Entry!$E1250="","",LEFT(UPPER(TRIM(Entry!$E1250)),6)))</f>
        <v/>
      </c>
      <c r="H1250">
        <f>IF($G1250="","",RIGHT($E1250,4)&amp;MID($E1250,6,2)&amp;RIGHT($E1250,2)&amp;IF($F1250="","0000",IF($F1250="نامعتبر","9999",LEFT($F1250,2)&amp;RIGHT($F1250,2)))&amp;"|"&amp;RIGHT("00000"&amp;1242,5))</f>
        <v/>
      </c>
      <c r="I1250">
        <f>IF($H1250="","",COUNTIFS(CalcBank,$G1250,CalcKey,"&lt;"&amp;$H1250)+1)</f>
        <v/>
      </c>
      <c r="J1250">
        <f>IF($I1250="","",$G1250&amp;"|"&amp;RIGHT("000000"&amp;$I1250,6))</f>
        <v/>
      </c>
      <c r="K1250">
        <f>IF(OR($E1250="",$E1250="نامعتبر"),"",LEFT($E1250,4)&amp;"/"&amp;MID($E1250,6,2))</f>
        <v/>
      </c>
      <c r="L1250">
        <f>IF(Entry!$K1250="",0,Entry!$K1250)</f>
        <v/>
      </c>
      <c r="M1250">
        <f>IF(Entry!$L1250="",0,Entry!$L1250)</f>
        <v/>
      </c>
    </row>
    <row r="1251">
      <c r="A1251">
        <f>IF(Entry!$C1251="","",Entry!$C1251)</f>
        <v/>
      </c>
      <c r="B1251">
        <f>IF($A1251="","",IF(ISNUMBER($A1251),IF(AND($A1251&gt;=10000101,$A1251&lt;=99991231),INT($A1251/10000),""),IFERROR(VALUE(TRIM(LEFT($A1251,FIND("/",$A1251)-1))),"")))</f>
        <v/>
      </c>
      <c r="C1251">
        <f>IF(OR($A1251="",$B1251=""),"",IF(ISNUMBER($A1251),INT(MOD($A1251,10000)/100),IFERROR(VALUE(TRIM(LEFT(MID($A1251,FIND("/",$A1251)+1,20),FIND("/",MID($A1251,FIND("/",$A1251)+1,20))-1))),"")))</f>
        <v/>
      </c>
      <c r="D1251">
        <f>IF(OR($A1251="",$B1251=""),"",IF(ISNUMBER($A1251),MOD($A1251,100),IFERROR(VALUE(TRIM(MID(MID($A1251,FIND("/",$A1251)+1,20),FIND("/",MID($A1251,FIND("/",$A1251)+1,20))+1,20))),"")))</f>
        <v/>
      </c>
      <c r="E1251">
        <f>IF($A1251="","",IF(OR($B1251="",$C1251="",$D1251="",$B1251&lt;1300,$B1251&gt;1500,$C1251&lt;1,$C1251&gt;12,$D1251&lt;1,$D1251&gt;31),"نامعتبر",RIGHT("0000"&amp;$B1251,4)&amp;"/"&amp;RIGHT("00"&amp;$C1251,2)&amp;"/"&amp;RIGHT("00"&amp;$D1251,2)))</f>
        <v/>
      </c>
      <c r="F1251">
        <f>IF(Entry!$D1251&lt;&gt;"",IF(AND(ISNUMBER(Entry!$D1251),Entry!$D1251&gt;=0,Entry!$D1251&lt;1),RIGHT("00"&amp;HOUR(Entry!$D1251),2)&amp;":"&amp;RIGHT("00"&amp;MINUTE(Entry!$D1251),2),IFERROR(RIGHT("00"&amp;VALUE(TRIM(LEFT(Entry!$D1251,FIND(":",Entry!$D1251)-1))),2)&amp;":"&amp;RIGHT("00"&amp;VALUE(TRIM(MID(Entry!$D1251,FIND(":",Entry!$D1251)+1,2))),2),"نامعتبر")),IF(OR($E1251="",$E1251="نامعتبر"),"","00:00"))</f>
        <v/>
      </c>
      <c r="G1251">
        <f>IF(OR($E1251="",$E1251="نامعتبر"),"",IF(Entry!$E1251="","",LEFT(UPPER(TRIM(Entry!$E1251)),6)))</f>
        <v/>
      </c>
      <c r="H1251">
        <f>IF($G1251="","",RIGHT($E1251,4)&amp;MID($E1251,6,2)&amp;RIGHT($E1251,2)&amp;IF($F1251="","0000",IF($F1251="نامعتبر","9999",LEFT($F1251,2)&amp;RIGHT($F1251,2)))&amp;"|"&amp;RIGHT("00000"&amp;1243,5))</f>
        <v/>
      </c>
      <c r="I1251">
        <f>IF($H1251="","",COUNTIFS(CalcBank,$G1251,CalcKey,"&lt;"&amp;$H1251)+1)</f>
        <v/>
      </c>
      <c r="J1251">
        <f>IF($I1251="","",$G1251&amp;"|"&amp;RIGHT("000000"&amp;$I1251,6))</f>
        <v/>
      </c>
      <c r="K1251">
        <f>IF(OR($E1251="",$E1251="نامعتبر"),"",LEFT($E1251,4)&amp;"/"&amp;MID($E1251,6,2))</f>
        <v/>
      </c>
      <c r="L1251">
        <f>IF(Entry!$K1251="",0,Entry!$K1251)</f>
        <v/>
      </c>
      <c r="M1251">
        <f>IF(Entry!$L1251="",0,Entry!$L1251)</f>
        <v/>
      </c>
    </row>
    <row r="1252">
      <c r="A1252">
        <f>IF(Entry!$C1252="","",Entry!$C1252)</f>
        <v/>
      </c>
      <c r="B1252">
        <f>IF($A1252="","",IF(ISNUMBER($A1252),IF(AND($A1252&gt;=10000101,$A1252&lt;=99991231),INT($A1252/10000),""),IFERROR(VALUE(TRIM(LEFT($A1252,FIND("/",$A1252)-1))),"")))</f>
        <v/>
      </c>
      <c r="C1252">
        <f>IF(OR($A1252="",$B1252=""),"",IF(ISNUMBER($A1252),INT(MOD($A1252,10000)/100),IFERROR(VALUE(TRIM(LEFT(MID($A1252,FIND("/",$A1252)+1,20),FIND("/",MID($A1252,FIND("/",$A1252)+1,20))-1))),"")))</f>
        <v/>
      </c>
      <c r="D1252">
        <f>IF(OR($A1252="",$B1252=""),"",IF(ISNUMBER($A1252),MOD($A1252,100),IFERROR(VALUE(TRIM(MID(MID($A1252,FIND("/",$A1252)+1,20),FIND("/",MID($A1252,FIND("/",$A1252)+1,20))+1,20))),"")))</f>
        <v/>
      </c>
      <c r="E1252">
        <f>IF($A1252="","",IF(OR($B1252="",$C1252="",$D1252="",$B1252&lt;1300,$B1252&gt;1500,$C1252&lt;1,$C1252&gt;12,$D1252&lt;1,$D1252&gt;31),"نامعتبر",RIGHT("0000"&amp;$B1252,4)&amp;"/"&amp;RIGHT("00"&amp;$C1252,2)&amp;"/"&amp;RIGHT("00"&amp;$D1252,2)))</f>
        <v/>
      </c>
      <c r="F1252">
        <f>IF(Entry!$D1252&lt;&gt;"",IF(AND(ISNUMBER(Entry!$D1252),Entry!$D1252&gt;=0,Entry!$D1252&lt;1),RIGHT("00"&amp;HOUR(Entry!$D1252),2)&amp;":"&amp;RIGHT("00"&amp;MINUTE(Entry!$D1252),2),IFERROR(RIGHT("00"&amp;VALUE(TRIM(LEFT(Entry!$D1252,FIND(":",Entry!$D1252)-1))),2)&amp;":"&amp;RIGHT("00"&amp;VALUE(TRIM(MID(Entry!$D1252,FIND(":",Entry!$D1252)+1,2))),2),"نامعتبر")),IF(OR($E1252="",$E1252="نامعتبر"),"","00:00"))</f>
        <v/>
      </c>
      <c r="G1252">
        <f>IF(OR($E1252="",$E1252="نامعتبر"),"",IF(Entry!$E1252="","",LEFT(UPPER(TRIM(Entry!$E1252)),6)))</f>
        <v/>
      </c>
      <c r="H1252">
        <f>IF($G1252="","",RIGHT($E1252,4)&amp;MID($E1252,6,2)&amp;RIGHT($E1252,2)&amp;IF($F1252="","0000",IF($F1252="نامعتبر","9999",LEFT($F1252,2)&amp;RIGHT($F1252,2)))&amp;"|"&amp;RIGHT("00000"&amp;1244,5))</f>
        <v/>
      </c>
      <c r="I1252">
        <f>IF($H1252="","",COUNTIFS(CalcBank,$G1252,CalcKey,"&lt;"&amp;$H1252)+1)</f>
        <v/>
      </c>
      <c r="J1252">
        <f>IF($I1252="","",$G1252&amp;"|"&amp;RIGHT("000000"&amp;$I1252,6))</f>
        <v/>
      </c>
      <c r="K1252">
        <f>IF(OR($E1252="",$E1252="نامعتبر"),"",LEFT($E1252,4)&amp;"/"&amp;MID($E1252,6,2))</f>
        <v/>
      </c>
      <c r="L1252">
        <f>IF(Entry!$K1252="",0,Entry!$K1252)</f>
        <v/>
      </c>
      <c r="M1252">
        <f>IF(Entry!$L1252="",0,Entry!$L1252)</f>
        <v/>
      </c>
    </row>
    <row r="1253">
      <c r="A1253">
        <f>IF(Entry!$C1253="","",Entry!$C1253)</f>
        <v/>
      </c>
      <c r="B1253">
        <f>IF($A1253="","",IF(ISNUMBER($A1253),IF(AND($A1253&gt;=10000101,$A1253&lt;=99991231),INT($A1253/10000),""),IFERROR(VALUE(TRIM(LEFT($A1253,FIND("/",$A1253)-1))),"")))</f>
        <v/>
      </c>
      <c r="C1253">
        <f>IF(OR($A1253="",$B1253=""),"",IF(ISNUMBER($A1253),INT(MOD($A1253,10000)/100),IFERROR(VALUE(TRIM(LEFT(MID($A1253,FIND("/",$A1253)+1,20),FIND("/",MID($A1253,FIND("/",$A1253)+1,20))-1))),"")))</f>
        <v/>
      </c>
      <c r="D1253">
        <f>IF(OR($A1253="",$B1253=""),"",IF(ISNUMBER($A1253),MOD($A1253,100),IFERROR(VALUE(TRIM(MID(MID($A1253,FIND("/",$A1253)+1,20),FIND("/",MID($A1253,FIND("/",$A1253)+1,20))+1,20))),"")))</f>
        <v/>
      </c>
      <c r="E1253">
        <f>IF($A1253="","",IF(OR($B1253="",$C1253="",$D1253="",$B1253&lt;1300,$B1253&gt;1500,$C1253&lt;1,$C1253&gt;12,$D1253&lt;1,$D1253&gt;31),"نامعتبر",RIGHT("0000"&amp;$B1253,4)&amp;"/"&amp;RIGHT("00"&amp;$C1253,2)&amp;"/"&amp;RIGHT("00"&amp;$D1253,2)))</f>
        <v/>
      </c>
      <c r="F1253">
        <f>IF(Entry!$D1253&lt;&gt;"",IF(AND(ISNUMBER(Entry!$D1253),Entry!$D1253&gt;=0,Entry!$D1253&lt;1),RIGHT("00"&amp;HOUR(Entry!$D1253),2)&amp;":"&amp;RIGHT("00"&amp;MINUTE(Entry!$D1253),2),IFERROR(RIGHT("00"&amp;VALUE(TRIM(LEFT(Entry!$D1253,FIND(":",Entry!$D1253)-1))),2)&amp;":"&amp;RIGHT("00"&amp;VALUE(TRIM(MID(Entry!$D1253,FIND(":",Entry!$D1253)+1,2))),2),"نامعتبر")),IF(OR($E1253="",$E1253="نامعتبر"),"","00:00"))</f>
        <v/>
      </c>
      <c r="G1253">
        <f>IF(OR($E1253="",$E1253="نامعتبر"),"",IF(Entry!$E1253="","",LEFT(UPPER(TRIM(Entry!$E1253)),6)))</f>
        <v/>
      </c>
      <c r="H1253">
        <f>IF($G1253="","",RIGHT($E1253,4)&amp;MID($E1253,6,2)&amp;RIGHT($E1253,2)&amp;IF($F1253="","0000",IF($F1253="نامعتبر","9999",LEFT($F1253,2)&amp;RIGHT($F1253,2)))&amp;"|"&amp;RIGHT("00000"&amp;1245,5))</f>
        <v/>
      </c>
      <c r="I1253">
        <f>IF($H1253="","",COUNTIFS(CalcBank,$G1253,CalcKey,"&lt;"&amp;$H1253)+1)</f>
        <v/>
      </c>
      <c r="J1253">
        <f>IF($I1253="","",$G1253&amp;"|"&amp;RIGHT("000000"&amp;$I1253,6))</f>
        <v/>
      </c>
      <c r="K1253">
        <f>IF(OR($E1253="",$E1253="نامعتبر"),"",LEFT($E1253,4)&amp;"/"&amp;MID($E1253,6,2))</f>
        <v/>
      </c>
      <c r="L1253">
        <f>IF(Entry!$K1253="",0,Entry!$K1253)</f>
        <v/>
      </c>
      <c r="M1253">
        <f>IF(Entry!$L1253="",0,Entry!$L1253)</f>
        <v/>
      </c>
    </row>
    <row r="1254">
      <c r="A1254">
        <f>IF(Entry!$C1254="","",Entry!$C1254)</f>
        <v/>
      </c>
      <c r="B1254">
        <f>IF($A1254="","",IF(ISNUMBER($A1254),IF(AND($A1254&gt;=10000101,$A1254&lt;=99991231),INT($A1254/10000),""),IFERROR(VALUE(TRIM(LEFT($A1254,FIND("/",$A1254)-1))),"")))</f>
        <v/>
      </c>
      <c r="C1254">
        <f>IF(OR($A1254="",$B1254=""),"",IF(ISNUMBER($A1254),INT(MOD($A1254,10000)/100),IFERROR(VALUE(TRIM(LEFT(MID($A1254,FIND("/",$A1254)+1,20),FIND("/",MID($A1254,FIND("/",$A1254)+1,20))-1))),"")))</f>
        <v/>
      </c>
      <c r="D1254">
        <f>IF(OR($A1254="",$B1254=""),"",IF(ISNUMBER($A1254),MOD($A1254,100),IFERROR(VALUE(TRIM(MID(MID($A1254,FIND("/",$A1254)+1,20),FIND("/",MID($A1254,FIND("/",$A1254)+1,20))+1,20))),"")))</f>
        <v/>
      </c>
      <c r="E1254">
        <f>IF($A1254="","",IF(OR($B1254="",$C1254="",$D1254="",$B1254&lt;1300,$B1254&gt;1500,$C1254&lt;1,$C1254&gt;12,$D1254&lt;1,$D1254&gt;31),"نامعتبر",RIGHT("0000"&amp;$B1254,4)&amp;"/"&amp;RIGHT("00"&amp;$C1254,2)&amp;"/"&amp;RIGHT("00"&amp;$D1254,2)))</f>
        <v/>
      </c>
      <c r="F1254">
        <f>IF(Entry!$D1254&lt;&gt;"",IF(AND(ISNUMBER(Entry!$D1254),Entry!$D1254&gt;=0,Entry!$D1254&lt;1),RIGHT("00"&amp;HOUR(Entry!$D1254),2)&amp;":"&amp;RIGHT("00"&amp;MINUTE(Entry!$D1254),2),IFERROR(RIGHT("00"&amp;VALUE(TRIM(LEFT(Entry!$D1254,FIND(":",Entry!$D1254)-1))),2)&amp;":"&amp;RIGHT("00"&amp;VALUE(TRIM(MID(Entry!$D1254,FIND(":",Entry!$D1254)+1,2))),2),"نامعتبر")),IF(OR($E1254="",$E1254="نامعتبر"),"","00:00"))</f>
        <v/>
      </c>
      <c r="G1254">
        <f>IF(OR($E1254="",$E1254="نامعتبر"),"",IF(Entry!$E1254="","",LEFT(UPPER(TRIM(Entry!$E1254)),6)))</f>
        <v/>
      </c>
      <c r="H1254">
        <f>IF($G1254="","",RIGHT($E1254,4)&amp;MID($E1254,6,2)&amp;RIGHT($E1254,2)&amp;IF($F1254="","0000",IF($F1254="نامعتبر","9999",LEFT($F1254,2)&amp;RIGHT($F1254,2)))&amp;"|"&amp;RIGHT("00000"&amp;1246,5))</f>
        <v/>
      </c>
      <c r="I1254">
        <f>IF($H1254="","",COUNTIFS(CalcBank,$G1254,CalcKey,"&lt;"&amp;$H1254)+1)</f>
        <v/>
      </c>
      <c r="J1254">
        <f>IF($I1254="","",$G1254&amp;"|"&amp;RIGHT("000000"&amp;$I1254,6))</f>
        <v/>
      </c>
      <c r="K1254">
        <f>IF(OR($E1254="",$E1254="نامعتبر"),"",LEFT($E1254,4)&amp;"/"&amp;MID($E1254,6,2))</f>
        <v/>
      </c>
      <c r="L1254">
        <f>IF(Entry!$K1254="",0,Entry!$K1254)</f>
        <v/>
      </c>
      <c r="M1254">
        <f>IF(Entry!$L1254="",0,Entry!$L1254)</f>
        <v/>
      </c>
    </row>
    <row r="1255">
      <c r="A1255">
        <f>IF(Entry!$C1255="","",Entry!$C1255)</f>
        <v/>
      </c>
      <c r="B1255">
        <f>IF($A1255="","",IF(ISNUMBER($A1255),IF(AND($A1255&gt;=10000101,$A1255&lt;=99991231),INT($A1255/10000),""),IFERROR(VALUE(TRIM(LEFT($A1255,FIND("/",$A1255)-1))),"")))</f>
        <v/>
      </c>
      <c r="C1255">
        <f>IF(OR($A1255="",$B1255=""),"",IF(ISNUMBER($A1255),INT(MOD($A1255,10000)/100),IFERROR(VALUE(TRIM(LEFT(MID($A1255,FIND("/",$A1255)+1,20),FIND("/",MID($A1255,FIND("/",$A1255)+1,20))-1))),"")))</f>
        <v/>
      </c>
      <c r="D1255">
        <f>IF(OR($A1255="",$B1255=""),"",IF(ISNUMBER($A1255),MOD($A1255,100),IFERROR(VALUE(TRIM(MID(MID($A1255,FIND("/",$A1255)+1,20),FIND("/",MID($A1255,FIND("/",$A1255)+1,20))+1,20))),"")))</f>
        <v/>
      </c>
      <c r="E1255">
        <f>IF($A1255="","",IF(OR($B1255="",$C1255="",$D1255="",$B1255&lt;1300,$B1255&gt;1500,$C1255&lt;1,$C1255&gt;12,$D1255&lt;1,$D1255&gt;31),"نامعتبر",RIGHT("0000"&amp;$B1255,4)&amp;"/"&amp;RIGHT("00"&amp;$C1255,2)&amp;"/"&amp;RIGHT("00"&amp;$D1255,2)))</f>
        <v/>
      </c>
      <c r="F1255">
        <f>IF(Entry!$D1255&lt;&gt;"",IF(AND(ISNUMBER(Entry!$D1255),Entry!$D1255&gt;=0,Entry!$D1255&lt;1),RIGHT("00"&amp;HOUR(Entry!$D1255),2)&amp;":"&amp;RIGHT("00"&amp;MINUTE(Entry!$D1255),2),IFERROR(RIGHT("00"&amp;VALUE(TRIM(LEFT(Entry!$D1255,FIND(":",Entry!$D1255)-1))),2)&amp;":"&amp;RIGHT("00"&amp;VALUE(TRIM(MID(Entry!$D1255,FIND(":",Entry!$D1255)+1,2))),2),"نامعتبر")),IF(OR($E1255="",$E1255="نامعتبر"),"","00:00"))</f>
        <v/>
      </c>
      <c r="G1255">
        <f>IF(OR($E1255="",$E1255="نامعتبر"),"",IF(Entry!$E1255="","",LEFT(UPPER(TRIM(Entry!$E1255)),6)))</f>
        <v/>
      </c>
      <c r="H1255">
        <f>IF($G1255="","",RIGHT($E1255,4)&amp;MID($E1255,6,2)&amp;RIGHT($E1255,2)&amp;IF($F1255="","0000",IF($F1255="نامعتبر","9999",LEFT($F1255,2)&amp;RIGHT($F1255,2)))&amp;"|"&amp;RIGHT("00000"&amp;1247,5))</f>
        <v/>
      </c>
      <c r="I1255">
        <f>IF($H1255="","",COUNTIFS(CalcBank,$G1255,CalcKey,"&lt;"&amp;$H1255)+1)</f>
        <v/>
      </c>
      <c r="J1255">
        <f>IF($I1255="","",$G1255&amp;"|"&amp;RIGHT("000000"&amp;$I1255,6))</f>
        <v/>
      </c>
      <c r="K1255">
        <f>IF(OR($E1255="",$E1255="نامعتبر"),"",LEFT($E1255,4)&amp;"/"&amp;MID($E1255,6,2))</f>
        <v/>
      </c>
      <c r="L1255">
        <f>IF(Entry!$K1255="",0,Entry!$K1255)</f>
        <v/>
      </c>
      <c r="M1255">
        <f>IF(Entry!$L1255="",0,Entry!$L1255)</f>
        <v/>
      </c>
    </row>
    <row r="1256">
      <c r="A1256">
        <f>IF(Entry!$C1256="","",Entry!$C1256)</f>
        <v/>
      </c>
      <c r="B1256">
        <f>IF($A1256="","",IF(ISNUMBER($A1256),IF(AND($A1256&gt;=10000101,$A1256&lt;=99991231),INT($A1256/10000),""),IFERROR(VALUE(TRIM(LEFT($A1256,FIND("/",$A1256)-1))),"")))</f>
        <v/>
      </c>
      <c r="C1256">
        <f>IF(OR($A1256="",$B1256=""),"",IF(ISNUMBER($A1256),INT(MOD($A1256,10000)/100),IFERROR(VALUE(TRIM(LEFT(MID($A1256,FIND("/",$A1256)+1,20),FIND("/",MID($A1256,FIND("/",$A1256)+1,20))-1))),"")))</f>
        <v/>
      </c>
      <c r="D1256">
        <f>IF(OR($A1256="",$B1256=""),"",IF(ISNUMBER($A1256),MOD($A1256,100),IFERROR(VALUE(TRIM(MID(MID($A1256,FIND("/",$A1256)+1,20),FIND("/",MID($A1256,FIND("/",$A1256)+1,20))+1,20))),"")))</f>
        <v/>
      </c>
      <c r="E1256">
        <f>IF($A1256="","",IF(OR($B1256="",$C1256="",$D1256="",$B1256&lt;1300,$B1256&gt;1500,$C1256&lt;1,$C1256&gt;12,$D1256&lt;1,$D1256&gt;31),"نامعتبر",RIGHT("0000"&amp;$B1256,4)&amp;"/"&amp;RIGHT("00"&amp;$C1256,2)&amp;"/"&amp;RIGHT("00"&amp;$D1256,2)))</f>
        <v/>
      </c>
      <c r="F1256">
        <f>IF(Entry!$D1256&lt;&gt;"",IF(AND(ISNUMBER(Entry!$D1256),Entry!$D1256&gt;=0,Entry!$D1256&lt;1),RIGHT("00"&amp;HOUR(Entry!$D1256),2)&amp;":"&amp;RIGHT("00"&amp;MINUTE(Entry!$D1256),2),IFERROR(RIGHT("00"&amp;VALUE(TRIM(LEFT(Entry!$D1256,FIND(":",Entry!$D1256)-1))),2)&amp;":"&amp;RIGHT("00"&amp;VALUE(TRIM(MID(Entry!$D1256,FIND(":",Entry!$D1256)+1,2))),2),"نامعتبر")),IF(OR($E1256="",$E1256="نامعتبر"),"","00:00"))</f>
        <v/>
      </c>
      <c r="G1256">
        <f>IF(OR($E1256="",$E1256="نامعتبر"),"",IF(Entry!$E1256="","",LEFT(UPPER(TRIM(Entry!$E1256)),6)))</f>
        <v/>
      </c>
      <c r="H1256">
        <f>IF($G1256="","",RIGHT($E1256,4)&amp;MID($E1256,6,2)&amp;RIGHT($E1256,2)&amp;IF($F1256="","0000",IF($F1256="نامعتبر","9999",LEFT($F1256,2)&amp;RIGHT($F1256,2)))&amp;"|"&amp;RIGHT("00000"&amp;1248,5))</f>
        <v/>
      </c>
      <c r="I1256">
        <f>IF($H1256="","",COUNTIFS(CalcBank,$G1256,CalcKey,"&lt;"&amp;$H1256)+1)</f>
        <v/>
      </c>
      <c r="J1256">
        <f>IF($I1256="","",$G1256&amp;"|"&amp;RIGHT("000000"&amp;$I1256,6))</f>
        <v/>
      </c>
      <c r="K1256">
        <f>IF(OR($E1256="",$E1256="نامعتبر"),"",LEFT($E1256,4)&amp;"/"&amp;MID($E1256,6,2))</f>
        <v/>
      </c>
      <c r="L1256">
        <f>IF(Entry!$K1256="",0,Entry!$K1256)</f>
        <v/>
      </c>
      <c r="M1256">
        <f>IF(Entry!$L1256="",0,Entry!$L1256)</f>
        <v/>
      </c>
    </row>
    <row r="1257">
      <c r="A1257">
        <f>IF(Entry!$C1257="","",Entry!$C1257)</f>
        <v/>
      </c>
      <c r="B1257">
        <f>IF($A1257="","",IF(ISNUMBER($A1257),IF(AND($A1257&gt;=10000101,$A1257&lt;=99991231),INT($A1257/10000),""),IFERROR(VALUE(TRIM(LEFT($A1257,FIND("/",$A1257)-1))),"")))</f>
        <v/>
      </c>
      <c r="C1257">
        <f>IF(OR($A1257="",$B1257=""),"",IF(ISNUMBER($A1257),INT(MOD($A1257,10000)/100),IFERROR(VALUE(TRIM(LEFT(MID($A1257,FIND("/",$A1257)+1,20),FIND("/",MID($A1257,FIND("/",$A1257)+1,20))-1))),"")))</f>
        <v/>
      </c>
      <c r="D1257">
        <f>IF(OR($A1257="",$B1257=""),"",IF(ISNUMBER($A1257),MOD($A1257,100),IFERROR(VALUE(TRIM(MID(MID($A1257,FIND("/",$A1257)+1,20),FIND("/",MID($A1257,FIND("/",$A1257)+1,20))+1,20))),"")))</f>
        <v/>
      </c>
      <c r="E1257">
        <f>IF($A1257="","",IF(OR($B1257="",$C1257="",$D1257="",$B1257&lt;1300,$B1257&gt;1500,$C1257&lt;1,$C1257&gt;12,$D1257&lt;1,$D1257&gt;31),"نامعتبر",RIGHT("0000"&amp;$B1257,4)&amp;"/"&amp;RIGHT("00"&amp;$C1257,2)&amp;"/"&amp;RIGHT("00"&amp;$D1257,2)))</f>
        <v/>
      </c>
      <c r="F1257">
        <f>IF(Entry!$D1257&lt;&gt;"",IF(AND(ISNUMBER(Entry!$D1257),Entry!$D1257&gt;=0,Entry!$D1257&lt;1),RIGHT("00"&amp;HOUR(Entry!$D1257),2)&amp;":"&amp;RIGHT("00"&amp;MINUTE(Entry!$D1257),2),IFERROR(RIGHT("00"&amp;VALUE(TRIM(LEFT(Entry!$D1257,FIND(":",Entry!$D1257)-1))),2)&amp;":"&amp;RIGHT("00"&amp;VALUE(TRIM(MID(Entry!$D1257,FIND(":",Entry!$D1257)+1,2))),2),"نامعتبر")),IF(OR($E1257="",$E1257="نامعتبر"),"","00:00"))</f>
        <v/>
      </c>
      <c r="G1257">
        <f>IF(OR($E1257="",$E1257="نامعتبر"),"",IF(Entry!$E1257="","",LEFT(UPPER(TRIM(Entry!$E1257)),6)))</f>
        <v/>
      </c>
      <c r="H1257">
        <f>IF($G1257="","",RIGHT($E1257,4)&amp;MID($E1257,6,2)&amp;RIGHT($E1257,2)&amp;IF($F1257="","0000",IF($F1257="نامعتبر","9999",LEFT($F1257,2)&amp;RIGHT($F1257,2)))&amp;"|"&amp;RIGHT("00000"&amp;1249,5))</f>
        <v/>
      </c>
      <c r="I1257">
        <f>IF($H1257="","",COUNTIFS(CalcBank,$G1257,CalcKey,"&lt;"&amp;$H1257)+1)</f>
        <v/>
      </c>
      <c r="J1257">
        <f>IF($I1257="","",$G1257&amp;"|"&amp;RIGHT("000000"&amp;$I1257,6))</f>
        <v/>
      </c>
      <c r="K1257">
        <f>IF(OR($E1257="",$E1257="نامعتبر"),"",LEFT($E1257,4)&amp;"/"&amp;MID($E1257,6,2))</f>
        <v/>
      </c>
      <c r="L1257">
        <f>IF(Entry!$K1257="",0,Entry!$K1257)</f>
        <v/>
      </c>
      <c r="M1257">
        <f>IF(Entry!$L1257="",0,Entry!$L1257)</f>
        <v/>
      </c>
    </row>
    <row r="1258">
      <c r="A1258">
        <f>IF(Entry!$C1258="","",Entry!$C1258)</f>
        <v/>
      </c>
      <c r="B1258">
        <f>IF($A1258="","",IF(ISNUMBER($A1258),IF(AND($A1258&gt;=10000101,$A1258&lt;=99991231),INT($A1258/10000),""),IFERROR(VALUE(TRIM(LEFT($A1258,FIND("/",$A1258)-1))),"")))</f>
        <v/>
      </c>
      <c r="C1258">
        <f>IF(OR($A1258="",$B1258=""),"",IF(ISNUMBER($A1258),INT(MOD($A1258,10000)/100),IFERROR(VALUE(TRIM(LEFT(MID($A1258,FIND("/",$A1258)+1,20),FIND("/",MID($A1258,FIND("/",$A1258)+1,20))-1))),"")))</f>
        <v/>
      </c>
      <c r="D1258">
        <f>IF(OR($A1258="",$B1258=""),"",IF(ISNUMBER($A1258),MOD($A1258,100),IFERROR(VALUE(TRIM(MID(MID($A1258,FIND("/",$A1258)+1,20),FIND("/",MID($A1258,FIND("/",$A1258)+1,20))+1,20))),"")))</f>
        <v/>
      </c>
      <c r="E1258">
        <f>IF($A1258="","",IF(OR($B1258="",$C1258="",$D1258="",$B1258&lt;1300,$B1258&gt;1500,$C1258&lt;1,$C1258&gt;12,$D1258&lt;1,$D1258&gt;31),"نامعتبر",RIGHT("0000"&amp;$B1258,4)&amp;"/"&amp;RIGHT("00"&amp;$C1258,2)&amp;"/"&amp;RIGHT("00"&amp;$D1258,2)))</f>
        <v/>
      </c>
      <c r="F1258">
        <f>IF(Entry!$D1258&lt;&gt;"",IF(AND(ISNUMBER(Entry!$D1258),Entry!$D1258&gt;=0,Entry!$D1258&lt;1),RIGHT("00"&amp;HOUR(Entry!$D1258),2)&amp;":"&amp;RIGHT("00"&amp;MINUTE(Entry!$D1258),2),IFERROR(RIGHT("00"&amp;VALUE(TRIM(LEFT(Entry!$D1258,FIND(":",Entry!$D1258)-1))),2)&amp;":"&amp;RIGHT("00"&amp;VALUE(TRIM(MID(Entry!$D1258,FIND(":",Entry!$D1258)+1,2))),2),"نامعتبر")),IF(OR($E1258="",$E1258="نامعتبر"),"","00:00"))</f>
        <v/>
      </c>
      <c r="G1258">
        <f>IF(OR($E1258="",$E1258="نامعتبر"),"",IF(Entry!$E1258="","",LEFT(UPPER(TRIM(Entry!$E1258)),6)))</f>
        <v/>
      </c>
      <c r="H1258">
        <f>IF($G1258="","",RIGHT($E1258,4)&amp;MID($E1258,6,2)&amp;RIGHT($E1258,2)&amp;IF($F1258="","0000",IF($F1258="نامعتبر","9999",LEFT($F1258,2)&amp;RIGHT($F1258,2)))&amp;"|"&amp;RIGHT("00000"&amp;1250,5))</f>
        <v/>
      </c>
      <c r="I1258">
        <f>IF($H1258="","",COUNTIFS(CalcBank,$G1258,CalcKey,"&lt;"&amp;$H1258)+1)</f>
        <v/>
      </c>
      <c r="J1258">
        <f>IF($I1258="","",$G1258&amp;"|"&amp;RIGHT("000000"&amp;$I1258,6))</f>
        <v/>
      </c>
      <c r="K1258">
        <f>IF(OR($E1258="",$E1258="نامعتبر"),"",LEFT($E1258,4)&amp;"/"&amp;MID($E1258,6,2))</f>
        <v/>
      </c>
      <c r="L1258">
        <f>IF(Entry!$K1258="",0,Entry!$K1258)</f>
        <v/>
      </c>
      <c r="M1258">
        <f>IF(Entry!$L1258="",0,Entry!$L1258)</f>
        <v/>
      </c>
    </row>
    <row r="1259">
      <c r="A1259">
        <f>IF(Entry!$C1259="","",Entry!$C1259)</f>
        <v/>
      </c>
      <c r="B1259">
        <f>IF($A1259="","",IF(ISNUMBER($A1259),IF(AND($A1259&gt;=10000101,$A1259&lt;=99991231),INT($A1259/10000),""),IFERROR(VALUE(TRIM(LEFT($A1259,FIND("/",$A1259)-1))),"")))</f>
        <v/>
      </c>
      <c r="C1259">
        <f>IF(OR($A1259="",$B1259=""),"",IF(ISNUMBER($A1259),INT(MOD($A1259,10000)/100),IFERROR(VALUE(TRIM(LEFT(MID($A1259,FIND("/",$A1259)+1,20),FIND("/",MID($A1259,FIND("/",$A1259)+1,20))-1))),"")))</f>
        <v/>
      </c>
      <c r="D1259">
        <f>IF(OR($A1259="",$B1259=""),"",IF(ISNUMBER($A1259),MOD($A1259,100),IFERROR(VALUE(TRIM(MID(MID($A1259,FIND("/",$A1259)+1,20),FIND("/",MID($A1259,FIND("/",$A1259)+1,20))+1,20))),"")))</f>
        <v/>
      </c>
      <c r="E1259">
        <f>IF($A1259="","",IF(OR($B1259="",$C1259="",$D1259="",$B1259&lt;1300,$B1259&gt;1500,$C1259&lt;1,$C1259&gt;12,$D1259&lt;1,$D1259&gt;31),"نامعتبر",RIGHT("0000"&amp;$B1259,4)&amp;"/"&amp;RIGHT("00"&amp;$C1259,2)&amp;"/"&amp;RIGHT("00"&amp;$D1259,2)))</f>
        <v/>
      </c>
      <c r="F1259">
        <f>IF(Entry!$D1259&lt;&gt;"",IF(AND(ISNUMBER(Entry!$D1259),Entry!$D1259&gt;=0,Entry!$D1259&lt;1),RIGHT("00"&amp;HOUR(Entry!$D1259),2)&amp;":"&amp;RIGHT("00"&amp;MINUTE(Entry!$D1259),2),IFERROR(RIGHT("00"&amp;VALUE(TRIM(LEFT(Entry!$D1259,FIND(":",Entry!$D1259)-1))),2)&amp;":"&amp;RIGHT("00"&amp;VALUE(TRIM(MID(Entry!$D1259,FIND(":",Entry!$D1259)+1,2))),2),"نامعتبر")),IF(OR($E1259="",$E1259="نامعتبر"),"","00:00"))</f>
        <v/>
      </c>
      <c r="G1259">
        <f>IF(OR($E1259="",$E1259="نامعتبر"),"",IF(Entry!$E1259="","",LEFT(UPPER(TRIM(Entry!$E1259)),6)))</f>
        <v/>
      </c>
      <c r="H1259">
        <f>IF($G1259="","",RIGHT($E1259,4)&amp;MID($E1259,6,2)&amp;RIGHT($E1259,2)&amp;IF($F1259="","0000",IF($F1259="نامعتبر","9999",LEFT($F1259,2)&amp;RIGHT($F1259,2)))&amp;"|"&amp;RIGHT("00000"&amp;1251,5))</f>
        <v/>
      </c>
      <c r="I1259">
        <f>IF($H1259="","",COUNTIFS(CalcBank,$G1259,CalcKey,"&lt;"&amp;$H1259)+1)</f>
        <v/>
      </c>
      <c r="J1259">
        <f>IF($I1259="","",$G1259&amp;"|"&amp;RIGHT("000000"&amp;$I1259,6))</f>
        <v/>
      </c>
      <c r="K1259">
        <f>IF(OR($E1259="",$E1259="نامعتبر"),"",LEFT($E1259,4)&amp;"/"&amp;MID($E1259,6,2))</f>
        <v/>
      </c>
      <c r="L1259">
        <f>IF(Entry!$K1259="",0,Entry!$K1259)</f>
        <v/>
      </c>
      <c r="M1259">
        <f>IF(Entry!$L1259="",0,Entry!$L1259)</f>
        <v/>
      </c>
    </row>
    <row r="1260">
      <c r="A1260">
        <f>IF(Entry!$C1260="","",Entry!$C1260)</f>
        <v/>
      </c>
      <c r="B1260">
        <f>IF($A1260="","",IF(ISNUMBER($A1260),IF(AND($A1260&gt;=10000101,$A1260&lt;=99991231),INT($A1260/10000),""),IFERROR(VALUE(TRIM(LEFT($A1260,FIND("/",$A1260)-1))),"")))</f>
        <v/>
      </c>
      <c r="C1260">
        <f>IF(OR($A1260="",$B1260=""),"",IF(ISNUMBER($A1260),INT(MOD($A1260,10000)/100),IFERROR(VALUE(TRIM(LEFT(MID($A1260,FIND("/",$A1260)+1,20),FIND("/",MID($A1260,FIND("/",$A1260)+1,20))-1))),"")))</f>
        <v/>
      </c>
      <c r="D1260">
        <f>IF(OR($A1260="",$B1260=""),"",IF(ISNUMBER($A1260),MOD($A1260,100),IFERROR(VALUE(TRIM(MID(MID($A1260,FIND("/",$A1260)+1,20),FIND("/",MID($A1260,FIND("/",$A1260)+1,20))+1,20))),"")))</f>
        <v/>
      </c>
      <c r="E1260">
        <f>IF($A1260="","",IF(OR($B1260="",$C1260="",$D1260="",$B1260&lt;1300,$B1260&gt;1500,$C1260&lt;1,$C1260&gt;12,$D1260&lt;1,$D1260&gt;31),"نامعتبر",RIGHT("0000"&amp;$B1260,4)&amp;"/"&amp;RIGHT("00"&amp;$C1260,2)&amp;"/"&amp;RIGHT("00"&amp;$D1260,2)))</f>
        <v/>
      </c>
      <c r="F1260">
        <f>IF(Entry!$D1260&lt;&gt;"",IF(AND(ISNUMBER(Entry!$D1260),Entry!$D1260&gt;=0,Entry!$D1260&lt;1),RIGHT("00"&amp;HOUR(Entry!$D1260),2)&amp;":"&amp;RIGHT("00"&amp;MINUTE(Entry!$D1260),2),IFERROR(RIGHT("00"&amp;VALUE(TRIM(LEFT(Entry!$D1260,FIND(":",Entry!$D1260)-1))),2)&amp;":"&amp;RIGHT("00"&amp;VALUE(TRIM(MID(Entry!$D1260,FIND(":",Entry!$D1260)+1,2))),2),"نامعتبر")),IF(OR($E1260="",$E1260="نامعتبر"),"","00:00"))</f>
        <v/>
      </c>
      <c r="G1260">
        <f>IF(OR($E1260="",$E1260="نامعتبر"),"",IF(Entry!$E1260="","",LEFT(UPPER(TRIM(Entry!$E1260)),6)))</f>
        <v/>
      </c>
      <c r="H1260">
        <f>IF($G1260="","",RIGHT($E1260,4)&amp;MID($E1260,6,2)&amp;RIGHT($E1260,2)&amp;IF($F1260="","0000",IF($F1260="نامعتبر","9999",LEFT($F1260,2)&amp;RIGHT($F1260,2)))&amp;"|"&amp;RIGHT("00000"&amp;1252,5))</f>
        <v/>
      </c>
      <c r="I1260">
        <f>IF($H1260="","",COUNTIFS(CalcBank,$G1260,CalcKey,"&lt;"&amp;$H1260)+1)</f>
        <v/>
      </c>
      <c r="J1260">
        <f>IF($I1260="","",$G1260&amp;"|"&amp;RIGHT("000000"&amp;$I1260,6))</f>
        <v/>
      </c>
      <c r="K1260">
        <f>IF(OR($E1260="",$E1260="نامعتبر"),"",LEFT($E1260,4)&amp;"/"&amp;MID($E1260,6,2))</f>
        <v/>
      </c>
      <c r="L1260">
        <f>IF(Entry!$K1260="",0,Entry!$K1260)</f>
        <v/>
      </c>
      <c r="M1260">
        <f>IF(Entry!$L1260="",0,Entry!$L1260)</f>
        <v/>
      </c>
    </row>
    <row r="1261">
      <c r="A1261">
        <f>IF(Entry!$C1261="","",Entry!$C1261)</f>
        <v/>
      </c>
      <c r="B1261">
        <f>IF($A1261="","",IF(ISNUMBER($A1261),IF(AND($A1261&gt;=10000101,$A1261&lt;=99991231),INT($A1261/10000),""),IFERROR(VALUE(TRIM(LEFT($A1261,FIND("/",$A1261)-1))),"")))</f>
        <v/>
      </c>
      <c r="C1261">
        <f>IF(OR($A1261="",$B1261=""),"",IF(ISNUMBER($A1261),INT(MOD($A1261,10000)/100),IFERROR(VALUE(TRIM(LEFT(MID($A1261,FIND("/",$A1261)+1,20),FIND("/",MID($A1261,FIND("/",$A1261)+1,20))-1))),"")))</f>
        <v/>
      </c>
      <c r="D1261">
        <f>IF(OR($A1261="",$B1261=""),"",IF(ISNUMBER($A1261),MOD($A1261,100),IFERROR(VALUE(TRIM(MID(MID($A1261,FIND("/",$A1261)+1,20),FIND("/",MID($A1261,FIND("/",$A1261)+1,20))+1,20))),"")))</f>
        <v/>
      </c>
      <c r="E1261">
        <f>IF($A1261="","",IF(OR($B1261="",$C1261="",$D1261="",$B1261&lt;1300,$B1261&gt;1500,$C1261&lt;1,$C1261&gt;12,$D1261&lt;1,$D1261&gt;31),"نامعتبر",RIGHT("0000"&amp;$B1261,4)&amp;"/"&amp;RIGHT("00"&amp;$C1261,2)&amp;"/"&amp;RIGHT("00"&amp;$D1261,2)))</f>
        <v/>
      </c>
      <c r="F1261">
        <f>IF(Entry!$D1261&lt;&gt;"",IF(AND(ISNUMBER(Entry!$D1261),Entry!$D1261&gt;=0,Entry!$D1261&lt;1),RIGHT("00"&amp;HOUR(Entry!$D1261),2)&amp;":"&amp;RIGHT("00"&amp;MINUTE(Entry!$D1261),2),IFERROR(RIGHT("00"&amp;VALUE(TRIM(LEFT(Entry!$D1261,FIND(":",Entry!$D1261)-1))),2)&amp;":"&amp;RIGHT("00"&amp;VALUE(TRIM(MID(Entry!$D1261,FIND(":",Entry!$D1261)+1,2))),2),"نامعتبر")),IF(OR($E1261="",$E1261="نامعتبر"),"","00:00"))</f>
        <v/>
      </c>
      <c r="G1261">
        <f>IF(OR($E1261="",$E1261="نامعتبر"),"",IF(Entry!$E1261="","",LEFT(UPPER(TRIM(Entry!$E1261)),6)))</f>
        <v/>
      </c>
      <c r="H1261">
        <f>IF($G1261="","",RIGHT($E1261,4)&amp;MID($E1261,6,2)&amp;RIGHT($E1261,2)&amp;IF($F1261="","0000",IF($F1261="نامعتبر","9999",LEFT($F1261,2)&amp;RIGHT($F1261,2)))&amp;"|"&amp;RIGHT("00000"&amp;1253,5))</f>
        <v/>
      </c>
      <c r="I1261">
        <f>IF($H1261="","",COUNTIFS(CalcBank,$G1261,CalcKey,"&lt;"&amp;$H1261)+1)</f>
        <v/>
      </c>
      <c r="J1261">
        <f>IF($I1261="","",$G1261&amp;"|"&amp;RIGHT("000000"&amp;$I1261,6))</f>
        <v/>
      </c>
      <c r="K1261">
        <f>IF(OR($E1261="",$E1261="نامعتبر"),"",LEFT($E1261,4)&amp;"/"&amp;MID($E1261,6,2))</f>
        <v/>
      </c>
      <c r="L1261">
        <f>IF(Entry!$K1261="",0,Entry!$K1261)</f>
        <v/>
      </c>
      <c r="M1261">
        <f>IF(Entry!$L1261="",0,Entry!$L1261)</f>
        <v/>
      </c>
    </row>
    <row r="1262">
      <c r="A1262">
        <f>IF(Entry!$C1262="","",Entry!$C1262)</f>
        <v/>
      </c>
      <c r="B1262">
        <f>IF($A1262="","",IF(ISNUMBER($A1262),IF(AND($A1262&gt;=10000101,$A1262&lt;=99991231),INT($A1262/10000),""),IFERROR(VALUE(TRIM(LEFT($A1262,FIND("/",$A1262)-1))),"")))</f>
        <v/>
      </c>
      <c r="C1262">
        <f>IF(OR($A1262="",$B1262=""),"",IF(ISNUMBER($A1262),INT(MOD($A1262,10000)/100),IFERROR(VALUE(TRIM(LEFT(MID($A1262,FIND("/",$A1262)+1,20),FIND("/",MID($A1262,FIND("/",$A1262)+1,20))-1))),"")))</f>
        <v/>
      </c>
      <c r="D1262">
        <f>IF(OR($A1262="",$B1262=""),"",IF(ISNUMBER($A1262),MOD($A1262,100),IFERROR(VALUE(TRIM(MID(MID($A1262,FIND("/",$A1262)+1,20),FIND("/",MID($A1262,FIND("/",$A1262)+1,20))+1,20))),"")))</f>
        <v/>
      </c>
      <c r="E1262">
        <f>IF($A1262="","",IF(OR($B1262="",$C1262="",$D1262="",$B1262&lt;1300,$B1262&gt;1500,$C1262&lt;1,$C1262&gt;12,$D1262&lt;1,$D1262&gt;31),"نامعتبر",RIGHT("0000"&amp;$B1262,4)&amp;"/"&amp;RIGHT("00"&amp;$C1262,2)&amp;"/"&amp;RIGHT("00"&amp;$D1262,2)))</f>
        <v/>
      </c>
      <c r="F1262">
        <f>IF(Entry!$D1262&lt;&gt;"",IF(AND(ISNUMBER(Entry!$D1262),Entry!$D1262&gt;=0,Entry!$D1262&lt;1),RIGHT("00"&amp;HOUR(Entry!$D1262),2)&amp;":"&amp;RIGHT("00"&amp;MINUTE(Entry!$D1262),2),IFERROR(RIGHT("00"&amp;VALUE(TRIM(LEFT(Entry!$D1262,FIND(":",Entry!$D1262)-1))),2)&amp;":"&amp;RIGHT("00"&amp;VALUE(TRIM(MID(Entry!$D1262,FIND(":",Entry!$D1262)+1,2))),2),"نامعتبر")),IF(OR($E1262="",$E1262="نامعتبر"),"","00:00"))</f>
        <v/>
      </c>
      <c r="G1262">
        <f>IF(OR($E1262="",$E1262="نامعتبر"),"",IF(Entry!$E1262="","",LEFT(UPPER(TRIM(Entry!$E1262)),6)))</f>
        <v/>
      </c>
      <c r="H1262">
        <f>IF($G1262="","",RIGHT($E1262,4)&amp;MID($E1262,6,2)&amp;RIGHT($E1262,2)&amp;IF($F1262="","0000",IF($F1262="نامعتبر","9999",LEFT($F1262,2)&amp;RIGHT($F1262,2)))&amp;"|"&amp;RIGHT("00000"&amp;1254,5))</f>
        <v/>
      </c>
      <c r="I1262">
        <f>IF($H1262="","",COUNTIFS(CalcBank,$G1262,CalcKey,"&lt;"&amp;$H1262)+1)</f>
        <v/>
      </c>
      <c r="J1262">
        <f>IF($I1262="","",$G1262&amp;"|"&amp;RIGHT("000000"&amp;$I1262,6))</f>
        <v/>
      </c>
      <c r="K1262">
        <f>IF(OR($E1262="",$E1262="نامعتبر"),"",LEFT($E1262,4)&amp;"/"&amp;MID($E1262,6,2))</f>
        <v/>
      </c>
      <c r="L1262">
        <f>IF(Entry!$K1262="",0,Entry!$K1262)</f>
        <v/>
      </c>
      <c r="M1262">
        <f>IF(Entry!$L1262="",0,Entry!$L1262)</f>
        <v/>
      </c>
    </row>
    <row r="1263">
      <c r="A1263">
        <f>IF(Entry!$C1263="","",Entry!$C1263)</f>
        <v/>
      </c>
      <c r="B1263">
        <f>IF($A1263="","",IF(ISNUMBER($A1263),IF(AND($A1263&gt;=10000101,$A1263&lt;=99991231),INT($A1263/10000),""),IFERROR(VALUE(TRIM(LEFT($A1263,FIND("/",$A1263)-1))),"")))</f>
        <v/>
      </c>
      <c r="C1263">
        <f>IF(OR($A1263="",$B1263=""),"",IF(ISNUMBER($A1263),INT(MOD($A1263,10000)/100),IFERROR(VALUE(TRIM(LEFT(MID($A1263,FIND("/",$A1263)+1,20),FIND("/",MID($A1263,FIND("/",$A1263)+1,20))-1))),"")))</f>
        <v/>
      </c>
      <c r="D1263">
        <f>IF(OR($A1263="",$B1263=""),"",IF(ISNUMBER($A1263),MOD($A1263,100),IFERROR(VALUE(TRIM(MID(MID($A1263,FIND("/",$A1263)+1,20),FIND("/",MID($A1263,FIND("/",$A1263)+1,20))+1,20))),"")))</f>
        <v/>
      </c>
      <c r="E1263">
        <f>IF($A1263="","",IF(OR($B1263="",$C1263="",$D1263="",$B1263&lt;1300,$B1263&gt;1500,$C1263&lt;1,$C1263&gt;12,$D1263&lt;1,$D1263&gt;31),"نامعتبر",RIGHT("0000"&amp;$B1263,4)&amp;"/"&amp;RIGHT("00"&amp;$C1263,2)&amp;"/"&amp;RIGHT("00"&amp;$D1263,2)))</f>
        <v/>
      </c>
      <c r="F1263">
        <f>IF(Entry!$D1263&lt;&gt;"",IF(AND(ISNUMBER(Entry!$D1263),Entry!$D1263&gt;=0,Entry!$D1263&lt;1),RIGHT("00"&amp;HOUR(Entry!$D1263),2)&amp;":"&amp;RIGHT("00"&amp;MINUTE(Entry!$D1263),2),IFERROR(RIGHT("00"&amp;VALUE(TRIM(LEFT(Entry!$D1263,FIND(":",Entry!$D1263)-1))),2)&amp;":"&amp;RIGHT("00"&amp;VALUE(TRIM(MID(Entry!$D1263,FIND(":",Entry!$D1263)+1,2))),2),"نامعتبر")),IF(OR($E1263="",$E1263="نامعتبر"),"","00:00"))</f>
        <v/>
      </c>
      <c r="G1263">
        <f>IF(OR($E1263="",$E1263="نامعتبر"),"",IF(Entry!$E1263="","",LEFT(UPPER(TRIM(Entry!$E1263)),6)))</f>
        <v/>
      </c>
      <c r="H1263">
        <f>IF($G1263="","",RIGHT($E1263,4)&amp;MID($E1263,6,2)&amp;RIGHT($E1263,2)&amp;IF($F1263="","0000",IF($F1263="نامعتبر","9999",LEFT($F1263,2)&amp;RIGHT($F1263,2)))&amp;"|"&amp;RIGHT("00000"&amp;1255,5))</f>
        <v/>
      </c>
      <c r="I1263">
        <f>IF($H1263="","",COUNTIFS(CalcBank,$G1263,CalcKey,"&lt;"&amp;$H1263)+1)</f>
        <v/>
      </c>
      <c r="J1263">
        <f>IF($I1263="","",$G1263&amp;"|"&amp;RIGHT("000000"&amp;$I1263,6))</f>
        <v/>
      </c>
      <c r="K1263">
        <f>IF(OR($E1263="",$E1263="نامعتبر"),"",LEFT($E1263,4)&amp;"/"&amp;MID($E1263,6,2))</f>
        <v/>
      </c>
      <c r="L1263">
        <f>IF(Entry!$K1263="",0,Entry!$K1263)</f>
        <v/>
      </c>
      <c r="M1263">
        <f>IF(Entry!$L1263="",0,Entry!$L1263)</f>
        <v/>
      </c>
    </row>
    <row r="1264">
      <c r="A1264">
        <f>IF(Entry!$C1264="","",Entry!$C1264)</f>
        <v/>
      </c>
      <c r="B1264">
        <f>IF($A1264="","",IF(ISNUMBER($A1264),IF(AND($A1264&gt;=10000101,$A1264&lt;=99991231),INT($A1264/10000),""),IFERROR(VALUE(TRIM(LEFT($A1264,FIND("/",$A1264)-1))),"")))</f>
        <v/>
      </c>
      <c r="C1264">
        <f>IF(OR($A1264="",$B1264=""),"",IF(ISNUMBER($A1264),INT(MOD($A1264,10000)/100),IFERROR(VALUE(TRIM(LEFT(MID($A1264,FIND("/",$A1264)+1,20),FIND("/",MID($A1264,FIND("/",$A1264)+1,20))-1))),"")))</f>
        <v/>
      </c>
      <c r="D1264">
        <f>IF(OR($A1264="",$B1264=""),"",IF(ISNUMBER($A1264),MOD($A1264,100),IFERROR(VALUE(TRIM(MID(MID($A1264,FIND("/",$A1264)+1,20),FIND("/",MID($A1264,FIND("/",$A1264)+1,20))+1,20))),"")))</f>
        <v/>
      </c>
      <c r="E1264">
        <f>IF($A1264="","",IF(OR($B1264="",$C1264="",$D1264="",$B1264&lt;1300,$B1264&gt;1500,$C1264&lt;1,$C1264&gt;12,$D1264&lt;1,$D1264&gt;31),"نامعتبر",RIGHT("0000"&amp;$B1264,4)&amp;"/"&amp;RIGHT("00"&amp;$C1264,2)&amp;"/"&amp;RIGHT("00"&amp;$D1264,2)))</f>
        <v/>
      </c>
      <c r="F1264">
        <f>IF(Entry!$D1264&lt;&gt;"",IF(AND(ISNUMBER(Entry!$D1264),Entry!$D1264&gt;=0,Entry!$D1264&lt;1),RIGHT("00"&amp;HOUR(Entry!$D1264),2)&amp;":"&amp;RIGHT("00"&amp;MINUTE(Entry!$D1264),2),IFERROR(RIGHT("00"&amp;VALUE(TRIM(LEFT(Entry!$D1264,FIND(":",Entry!$D1264)-1))),2)&amp;":"&amp;RIGHT("00"&amp;VALUE(TRIM(MID(Entry!$D1264,FIND(":",Entry!$D1264)+1,2))),2),"نامعتبر")),IF(OR($E1264="",$E1264="نامعتبر"),"","00:00"))</f>
        <v/>
      </c>
      <c r="G1264">
        <f>IF(OR($E1264="",$E1264="نامعتبر"),"",IF(Entry!$E1264="","",LEFT(UPPER(TRIM(Entry!$E1264)),6)))</f>
        <v/>
      </c>
      <c r="H1264">
        <f>IF($G1264="","",RIGHT($E1264,4)&amp;MID($E1264,6,2)&amp;RIGHT($E1264,2)&amp;IF($F1264="","0000",IF($F1264="نامعتبر","9999",LEFT($F1264,2)&amp;RIGHT($F1264,2)))&amp;"|"&amp;RIGHT("00000"&amp;1256,5))</f>
        <v/>
      </c>
      <c r="I1264">
        <f>IF($H1264="","",COUNTIFS(CalcBank,$G1264,CalcKey,"&lt;"&amp;$H1264)+1)</f>
        <v/>
      </c>
      <c r="J1264">
        <f>IF($I1264="","",$G1264&amp;"|"&amp;RIGHT("000000"&amp;$I1264,6))</f>
        <v/>
      </c>
      <c r="K1264">
        <f>IF(OR($E1264="",$E1264="نامعتبر"),"",LEFT($E1264,4)&amp;"/"&amp;MID($E1264,6,2))</f>
        <v/>
      </c>
      <c r="L1264">
        <f>IF(Entry!$K1264="",0,Entry!$K1264)</f>
        <v/>
      </c>
      <c r="M1264">
        <f>IF(Entry!$L1264="",0,Entry!$L1264)</f>
        <v/>
      </c>
    </row>
    <row r="1265">
      <c r="A1265">
        <f>IF(Entry!$C1265="","",Entry!$C1265)</f>
        <v/>
      </c>
      <c r="B1265">
        <f>IF($A1265="","",IF(ISNUMBER($A1265),IF(AND($A1265&gt;=10000101,$A1265&lt;=99991231),INT($A1265/10000),""),IFERROR(VALUE(TRIM(LEFT($A1265,FIND("/",$A1265)-1))),"")))</f>
        <v/>
      </c>
      <c r="C1265">
        <f>IF(OR($A1265="",$B1265=""),"",IF(ISNUMBER($A1265),INT(MOD($A1265,10000)/100),IFERROR(VALUE(TRIM(LEFT(MID($A1265,FIND("/",$A1265)+1,20),FIND("/",MID($A1265,FIND("/",$A1265)+1,20))-1))),"")))</f>
        <v/>
      </c>
      <c r="D1265">
        <f>IF(OR($A1265="",$B1265=""),"",IF(ISNUMBER($A1265),MOD($A1265,100),IFERROR(VALUE(TRIM(MID(MID($A1265,FIND("/",$A1265)+1,20),FIND("/",MID($A1265,FIND("/",$A1265)+1,20))+1,20))),"")))</f>
        <v/>
      </c>
      <c r="E1265">
        <f>IF($A1265="","",IF(OR($B1265="",$C1265="",$D1265="",$B1265&lt;1300,$B1265&gt;1500,$C1265&lt;1,$C1265&gt;12,$D1265&lt;1,$D1265&gt;31),"نامعتبر",RIGHT("0000"&amp;$B1265,4)&amp;"/"&amp;RIGHT("00"&amp;$C1265,2)&amp;"/"&amp;RIGHT("00"&amp;$D1265,2)))</f>
        <v/>
      </c>
      <c r="F1265">
        <f>IF(Entry!$D1265&lt;&gt;"",IF(AND(ISNUMBER(Entry!$D1265),Entry!$D1265&gt;=0,Entry!$D1265&lt;1),RIGHT("00"&amp;HOUR(Entry!$D1265),2)&amp;":"&amp;RIGHT("00"&amp;MINUTE(Entry!$D1265),2),IFERROR(RIGHT("00"&amp;VALUE(TRIM(LEFT(Entry!$D1265,FIND(":",Entry!$D1265)-1))),2)&amp;":"&amp;RIGHT("00"&amp;VALUE(TRIM(MID(Entry!$D1265,FIND(":",Entry!$D1265)+1,2))),2),"نامعتبر")),IF(OR($E1265="",$E1265="نامعتبر"),"","00:00"))</f>
        <v/>
      </c>
      <c r="G1265">
        <f>IF(OR($E1265="",$E1265="نامعتبر"),"",IF(Entry!$E1265="","",LEFT(UPPER(TRIM(Entry!$E1265)),6)))</f>
        <v/>
      </c>
      <c r="H1265">
        <f>IF($G1265="","",RIGHT($E1265,4)&amp;MID($E1265,6,2)&amp;RIGHT($E1265,2)&amp;IF($F1265="","0000",IF($F1265="نامعتبر","9999",LEFT($F1265,2)&amp;RIGHT($F1265,2)))&amp;"|"&amp;RIGHT("00000"&amp;1257,5))</f>
        <v/>
      </c>
      <c r="I1265">
        <f>IF($H1265="","",COUNTIFS(CalcBank,$G1265,CalcKey,"&lt;"&amp;$H1265)+1)</f>
        <v/>
      </c>
      <c r="J1265">
        <f>IF($I1265="","",$G1265&amp;"|"&amp;RIGHT("000000"&amp;$I1265,6))</f>
        <v/>
      </c>
      <c r="K1265">
        <f>IF(OR($E1265="",$E1265="نامعتبر"),"",LEFT($E1265,4)&amp;"/"&amp;MID($E1265,6,2))</f>
        <v/>
      </c>
      <c r="L1265">
        <f>IF(Entry!$K1265="",0,Entry!$K1265)</f>
        <v/>
      </c>
      <c r="M1265">
        <f>IF(Entry!$L1265="",0,Entry!$L1265)</f>
        <v/>
      </c>
    </row>
    <row r="1266">
      <c r="A1266">
        <f>IF(Entry!$C1266="","",Entry!$C1266)</f>
        <v/>
      </c>
      <c r="B1266">
        <f>IF($A1266="","",IF(ISNUMBER($A1266),IF(AND($A1266&gt;=10000101,$A1266&lt;=99991231),INT($A1266/10000),""),IFERROR(VALUE(TRIM(LEFT($A1266,FIND("/",$A1266)-1))),"")))</f>
        <v/>
      </c>
      <c r="C1266">
        <f>IF(OR($A1266="",$B1266=""),"",IF(ISNUMBER($A1266),INT(MOD($A1266,10000)/100),IFERROR(VALUE(TRIM(LEFT(MID($A1266,FIND("/",$A1266)+1,20),FIND("/",MID($A1266,FIND("/",$A1266)+1,20))-1))),"")))</f>
        <v/>
      </c>
      <c r="D1266">
        <f>IF(OR($A1266="",$B1266=""),"",IF(ISNUMBER($A1266),MOD($A1266,100),IFERROR(VALUE(TRIM(MID(MID($A1266,FIND("/",$A1266)+1,20),FIND("/",MID($A1266,FIND("/",$A1266)+1,20))+1,20))),"")))</f>
        <v/>
      </c>
      <c r="E1266">
        <f>IF($A1266="","",IF(OR($B1266="",$C1266="",$D1266="",$B1266&lt;1300,$B1266&gt;1500,$C1266&lt;1,$C1266&gt;12,$D1266&lt;1,$D1266&gt;31),"نامعتبر",RIGHT("0000"&amp;$B1266,4)&amp;"/"&amp;RIGHT("00"&amp;$C1266,2)&amp;"/"&amp;RIGHT("00"&amp;$D1266,2)))</f>
        <v/>
      </c>
      <c r="F1266">
        <f>IF(Entry!$D1266&lt;&gt;"",IF(AND(ISNUMBER(Entry!$D1266),Entry!$D1266&gt;=0,Entry!$D1266&lt;1),RIGHT("00"&amp;HOUR(Entry!$D1266),2)&amp;":"&amp;RIGHT("00"&amp;MINUTE(Entry!$D1266),2),IFERROR(RIGHT("00"&amp;VALUE(TRIM(LEFT(Entry!$D1266,FIND(":",Entry!$D1266)-1))),2)&amp;":"&amp;RIGHT("00"&amp;VALUE(TRIM(MID(Entry!$D1266,FIND(":",Entry!$D1266)+1,2))),2),"نامعتبر")),IF(OR($E1266="",$E1266="نامعتبر"),"","00:00"))</f>
        <v/>
      </c>
      <c r="G1266">
        <f>IF(OR($E1266="",$E1266="نامعتبر"),"",IF(Entry!$E1266="","",LEFT(UPPER(TRIM(Entry!$E1266)),6)))</f>
        <v/>
      </c>
      <c r="H1266">
        <f>IF($G1266="","",RIGHT($E1266,4)&amp;MID($E1266,6,2)&amp;RIGHT($E1266,2)&amp;IF($F1266="","0000",IF($F1266="نامعتبر","9999",LEFT($F1266,2)&amp;RIGHT($F1266,2)))&amp;"|"&amp;RIGHT("00000"&amp;1258,5))</f>
        <v/>
      </c>
      <c r="I1266">
        <f>IF($H1266="","",COUNTIFS(CalcBank,$G1266,CalcKey,"&lt;"&amp;$H1266)+1)</f>
        <v/>
      </c>
      <c r="J1266">
        <f>IF($I1266="","",$G1266&amp;"|"&amp;RIGHT("000000"&amp;$I1266,6))</f>
        <v/>
      </c>
      <c r="K1266">
        <f>IF(OR($E1266="",$E1266="نامعتبر"),"",LEFT($E1266,4)&amp;"/"&amp;MID($E1266,6,2))</f>
        <v/>
      </c>
      <c r="L1266">
        <f>IF(Entry!$K1266="",0,Entry!$K1266)</f>
        <v/>
      </c>
      <c r="M1266">
        <f>IF(Entry!$L1266="",0,Entry!$L1266)</f>
        <v/>
      </c>
    </row>
    <row r="1267">
      <c r="A1267">
        <f>IF(Entry!$C1267="","",Entry!$C1267)</f>
        <v/>
      </c>
      <c r="B1267">
        <f>IF($A1267="","",IF(ISNUMBER($A1267),IF(AND($A1267&gt;=10000101,$A1267&lt;=99991231),INT($A1267/10000),""),IFERROR(VALUE(TRIM(LEFT($A1267,FIND("/",$A1267)-1))),"")))</f>
        <v/>
      </c>
      <c r="C1267">
        <f>IF(OR($A1267="",$B1267=""),"",IF(ISNUMBER($A1267),INT(MOD($A1267,10000)/100),IFERROR(VALUE(TRIM(LEFT(MID($A1267,FIND("/",$A1267)+1,20),FIND("/",MID($A1267,FIND("/",$A1267)+1,20))-1))),"")))</f>
        <v/>
      </c>
      <c r="D1267">
        <f>IF(OR($A1267="",$B1267=""),"",IF(ISNUMBER($A1267),MOD($A1267,100),IFERROR(VALUE(TRIM(MID(MID($A1267,FIND("/",$A1267)+1,20),FIND("/",MID($A1267,FIND("/",$A1267)+1,20))+1,20))),"")))</f>
        <v/>
      </c>
      <c r="E1267">
        <f>IF($A1267="","",IF(OR($B1267="",$C1267="",$D1267="",$B1267&lt;1300,$B1267&gt;1500,$C1267&lt;1,$C1267&gt;12,$D1267&lt;1,$D1267&gt;31),"نامعتبر",RIGHT("0000"&amp;$B1267,4)&amp;"/"&amp;RIGHT("00"&amp;$C1267,2)&amp;"/"&amp;RIGHT("00"&amp;$D1267,2)))</f>
        <v/>
      </c>
      <c r="F1267">
        <f>IF(Entry!$D1267&lt;&gt;"",IF(AND(ISNUMBER(Entry!$D1267),Entry!$D1267&gt;=0,Entry!$D1267&lt;1),RIGHT("00"&amp;HOUR(Entry!$D1267),2)&amp;":"&amp;RIGHT("00"&amp;MINUTE(Entry!$D1267),2),IFERROR(RIGHT("00"&amp;VALUE(TRIM(LEFT(Entry!$D1267,FIND(":",Entry!$D1267)-1))),2)&amp;":"&amp;RIGHT("00"&amp;VALUE(TRIM(MID(Entry!$D1267,FIND(":",Entry!$D1267)+1,2))),2),"نامعتبر")),IF(OR($E1267="",$E1267="نامعتبر"),"","00:00"))</f>
        <v/>
      </c>
      <c r="G1267">
        <f>IF(OR($E1267="",$E1267="نامعتبر"),"",IF(Entry!$E1267="","",LEFT(UPPER(TRIM(Entry!$E1267)),6)))</f>
        <v/>
      </c>
      <c r="H1267">
        <f>IF($G1267="","",RIGHT($E1267,4)&amp;MID($E1267,6,2)&amp;RIGHT($E1267,2)&amp;IF($F1267="","0000",IF($F1267="نامعتبر","9999",LEFT($F1267,2)&amp;RIGHT($F1267,2)))&amp;"|"&amp;RIGHT("00000"&amp;1259,5))</f>
        <v/>
      </c>
      <c r="I1267">
        <f>IF($H1267="","",COUNTIFS(CalcBank,$G1267,CalcKey,"&lt;"&amp;$H1267)+1)</f>
        <v/>
      </c>
      <c r="J1267">
        <f>IF($I1267="","",$G1267&amp;"|"&amp;RIGHT("000000"&amp;$I1267,6))</f>
        <v/>
      </c>
      <c r="K1267">
        <f>IF(OR($E1267="",$E1267="نامعتبر"),"",LEFT($E1267,4)&amp;"/"&amp;MID($E1267,6,2))</f>
        <v/>
      </c>
      <c r="L1267">
        <f>IF(Entry!$K1267="",0,Entry!$K1267)</f>
        <v/>
      </c>
      <c r="M1267">
        <f>IF(Entry!$L1267="",0,Entry!$L1267)</f>
        <v/>
      </c>
    </row>
    <row r="1268">
      <c r="A1268">
        <f>IF(Entry!$C1268="","",Entry!$C1268)</f>
        <v/>
      </c>
      <c r="B1268">
        <f>IF($A1268="","",IF(ISNUMBER($A1268),IF(AND($A1268&gt;=10000101,$A1268&lt;=99991231),INT($A1268/10000),""),IFERROR(VALUE(TRIM(LEFT($A1268,FIND("/",$A1268)-1))),"")))</f>
        <v/>
      </c>
      <c r="C1268">
        <f>IF(OR($A1268="",$B1268=""),"",IF(ISNUMBER($A1268),INT(MOD($A1268,10000)/100),IFERROR(VALUE(TRIM(LEFT(MID($A1268,FIND("/",$A1268)+1,20),FIND("/",MID($A1268,FIND("/",$A1268)+1,20))-1))),"")))</f>
        <v/>
      </c>
      <c r="D1268">
        <f>IF(OR($A1268="",$B1268=""),"",IF(ISNUMBER($A1268),MOD($A1268,100),IFERROR(VALUE(TRIM(MID(MID($A1268,FIND("/",$A1268)+1,20),FIND("/",MID($A1268,FIND("/",$A1268)+1,20))+1,20))),"")))</f>
        <v/>
      </c>
      <c r="E1268">
        <f>IF($A1268="","",IF(OR($B1268="",$C1268="",$D1268="",$B1268&lt;1300,$B1268&gt;1500,$C1268&lt;1,$C1268&gt;12,$D1268&lt;1,$D1268&gt;31),"نامعتبر",RIGHT("0000"&amp;$B1268,4)&amp;"/"&amp;RIGHT("00"&amp;$C1268,2)&amp;"/"&amp;RIGHT("00"&amp;$D1268,2)))</f>
        <v/>
      </c>
      <c r="F1268">
        <f>IF(Entry!$D1268&lt;&gt;"",IF(AND(ISNUMBER(Entry!$D1268),Entry!$D1268&gt;=0,Entry!$D1268&lt;1),RIGHT("00"&amp;HOUR(Entry!$D1268),2)&amp;":"&amp;RIGHT("00"&amp;MINUTE(Entry!$D1268),2),IFERROR(RIGHT("00"&amp;VALUE(TRIM(LEFT(Entry!$D1268,FIND(":",Entry!$D1268)-1))),2)&amp;":"&amp;RIGHT("00"&amp;VALUE(TRIM(MID(Entry!$D1268,FIND(":",Entry!$D1268)+1,2))),2),"نامعتبر")),IF(OR($E1268="",$E1268="نامعتبر"),"","00:00"))</f>
        <v/>
      </c>
      <c r="G1268">
        <f>IF(OR($E1268="",$E1268="نامعتبر"),"",IF(Entry!$E1268="","",LEFT(UPPER(TRIM(Entry!$E1268)),6)))</f>
        <v/>
      </c>
      <c r="H1268">
        <f>IF($G1268="","",RIGHT($E1268,4)&amp;MID($E1268,6,2)&amp;RIGHT($E1268,2)&amp;IF($F1268="","0000",IF($F1268="نامعتبر","9999",LEFT($F1268,2)&amp;RIGHT($F1268,2)))&amp;"|"&amp;RIGHT("00000"&amp;1260,5))</f>
        <v/>
      </c>
      <c r="I1268">
        <f>IF($H1268="","",COUNTIFS(CalcBank,$G1268,CalcKey,"&lt;"&amp;$H1268)+1)</f>
        <v/>
      </c>
      <c r="J1268">
        <f>IF($I1268="","",$G1268&amp;"|"&amp;RIGHT("000000"&amp;$I1268,6))</f>
        <v/>
      </c>
      <c r="K1268">
        <f>IF(OR($E1268="",$E1268="نامعتبر"),"",LEFT($E1268,4)&amp;"/"&amp;MID($E1268,6,2))</f>
        <v/>
      </c>
      <c r="L1268">
        <f>IF(Entry!$K1268="",0,Entry!$K1268)</f>
        <v/>
      </c>
      <c r="M1268">
        <f>IF(Entry!$L1268="",0,Entry!$L1268)</f>
        <v/>
      </c>
    </row>
    <row r="1269">
      <c r="A1269">
        <f>IF(Entry!$C1269="","",Entry!$C1269)</f>
        <v/>
      </c>
      <c r="B1269">
        <f>IF($A1269="","",IF(ISNUMBER($A1269),IF(AND($A1269&gt;=10000101,$A1269&lt;=99991231),INT($A1269/10000),""),IFERROR(VALUE(TRIM(LEFT($A1269,FIND("/",$A1269)-1))),"")))</f>
        <v/>
      </c>
      <c r="C1269">
        <f>IF(OR($A1269="",$B1269=""),"",IF(ISNUMBER($A1269),INT(MOD($A1269,10000)/100),IFERROR(VALUE(TRIM(LEFT(MID($A1269,FIND("/",$A1269)+1,20),FIND("/",MID($A1269,FIND("/",$A1269)+1,20))-1))),"")))</f>
        <v/>
      </c>
      <c r="D1269">
        <f>IF(OR($A1269="",$B1269=""),"",IF(ISNUMBER($A1269),MOD($A1269,100),IFERROR(VALUE(TRIM(MID(MID($A1269,FIND("/",$A1269)+1,20),FIND("/",MID($A1269,FIND("/",$A1269)+1,20))+1,20))),"")))</f>
        <v/>
      </c>
      <c r="E1269">
        <f>IF($A1269="","",IF(OR($B1269="",$C1269="",$D1269="",$B1269&lt;1300,$B1269&gt;1500,$C1269&lt;1,$C1269&gt;12,$D1269&lt;1,$D1269&gt;31),"نامعتبر",RIGHT("0000"&amp;$B1269,4)&amp;"/"&amp;RIGHT("00"&amp;$C1269,2)&amp;"/"&amp;RIGHT("00"&amp;$D1269,2)))</f>
        <v/>
      </c>
      <c r="F1269">
        <f>IF(Entry!$D1269&lt;&gt;"",IF(AND(ISNUMBER(Entry!$D1269),Entry!$D1269&gt;=0,Entry!$D1269&lt;1),RIGHT("00"&amp;HOUR(Entry!$D1269),2)&amp;":"&amp;RIGHT("00"&amp;MINUTE(Entry!$D1269),2),IFERROR(RIGHT("00"&amp;VALUE(TRIM(LEFT(Entry!$D1269,FIND(":",Entry!$D1269)-1))),2)&amp;":"&amp;RIGHT("00"&amp;VALUE(TRIM(MID(Entry!$D1269,FIND(":",Entry!$D1269)+1,2))),2),"نامعتبر")),IF(OR($E1269="",$E1269="نامعتبر"),"","00:00"))</f>
        <v/>
      </c>
      <c r="G1269">
        <f>IF(OR($E1269="",$E1269="نامعتبر"),"",IF(Entry!$E1269="","",LEFT(UPPER(TRIM(Entry!$E1269)),6)))</f>
        <v/>
      </c>
      <c r="H1269">
        <f>IF($G1269="","",RIGHT($E1269,4)&amp;MID($E1269,6,2)&amp;RIGHT($E1269,2)&amp;IF($F1269="","0000",IF($F1269="نامعتبر","9999",LEFT($F1269,2)&amp;RIGHT($F1269,2)))&amp;"|"&amp;RIGHT("00000"&amp;1261,5))</f>
        <v/>
      </c>
      <c r="I1269">
        <f>IF($H1269="","",COUNTIFS(CalcBank,$G1269,CalcKey,"&lt;"&amp;$H1269)+1)</f>
        <v/>
      </c>
      <c r="J1269">
        <f>IF($I1269="","",$G1269&amp;"|"&amp;RIGHT("000000"&amp;$I1269,6))</f>
        <v/>
      </c>
      <c r="K1269">
        <f>IF(OR($E1269="",$E1269="نامعتبر"),"",LEFT($E1269,4)&amp;"/"&amp;MID($E1269,6,2))</f>
        <v/>
      </c>
      <c r="L1269">
        <f>IF(Entry!$K1269="",0,Entry!$K1269)</f>
        <v/>
      </c>
      <c r="M1269">
        <f>IF(Entry!$L1269="",0,Entry!$L1269)</f>
        <v/>
      </c>
    </row>
    <row r="1270">
      <c r="A1270">
        <f>IF(Entry!$C1270="","",Entry!$C1270)</f>
        <v/>
      </c>
      <c r="B1270">
        <f>IF($A1270="","",IF(ISNUMBER($A1270),IF(AND($A1270&gt;=10000101,$A1270&lt;=99991231),INT($A1270/10000),""),IFERROR(VALUE(TRIM(LEFT($A1270,FIND("/",$A1270)-1))),"")))</f>
        <v/>
      </c>
      <c r="C1270">
        <f>IF(OR($A1270="",$B1270=""),"",IF(ISNUMBER($A1270),INT(MOD($A1270,10000)/100),IFERROR(VALUE(TRIM(LEFT(MID($A1270,FIND("/",$A1270)+1,20),FIND("/",MID($A1270,FIND("/",$A1270)+1,20))-1))),"")))</f>
        <v/>
      </c>
      <c r="D1270">
        <f>IF(OR($A1270="",$B1270=""),"",IF(ISNUMBER($A1270),MOD($A1270,100),IFERROR(VALUE(TRIM(MID(MID($A1270,FIND("/",$A1270)+1,20),FIND("/",MID($A1270,FIND("/",$A1270)+1,20))+1,20))),"")))</f>
        <v/>
      </c>
      <c r="E1270">
        <f>IF($A1270="","",IF(OR($B1270="",$C1270="",$D1270="",$B1270&lt;1300,$B1270&gt;1500,$C1270&lt;1,$C1270&gt;12,$D1270&lt;1,$D1270&gt;31),"نامعتبر",RIGHT("0000"&amp;$B1270,4)&amp;"/"&amp;RIGHT("00"&amp;$C1270,2)&amp;"/"&amp;RIGHT("00"&amp;$D1270,2)))</f>
        <v/>
      </c>
      <c r="F1270">
        <f>IF(Entry!$D1270&lt;&gt;"",IF(AND(ISNUMBER(Entry!$D1270),Entry!$D1270&gt;=0,Entry!$D1270&lt;1),RIGHT("00"&amp;HOUR(Entry!$D1270),2)&amp;":"&amp;RIGHT("00"&amp;MINUTE(Entry!$D1270),2),IFERROR(RIGHT("00"&amp;VALUE(TRIM(LEFT(Entry!$D1270,FIND(":",Entry!$D1270)-1))),2)&amp;":"&amp;RIGHT("00"&amp;VALUE(TRIM(MID(Entry!$D1270,FIND(":",Entry!$D1270)+1,2))),2),"نامعتبر")),IF(OR($E1270="",$E1270="نامعتبر"),"","00:00"))</f>
        <v/>
      </c>
      <c r="G1270">
        <f>IF(OR($E1270="",$E1270="نامعتبر"),"",IF(Entry!$E1270="","",LEFT(UPPER(TRIM(Entry!$E1270)),6)))</f>
        <v/>
      </c>
      <c r="H1270">
        <f>IF($G1270="","",RIGHT($E1270,4)&amp;MID($E1270,6,2)&amp;RIGHT($E1270,2)&amp;IF($F1270="","0000",IF($F1270="نامعتبر","9999",LEFT($F1270,2)&amp;RIGHT($F1270,2)))&amp;"|"&amp;RIGHT("00000"&amp;1262,5))</f>
        <v/>
      </c>
      <c r="I1270">
        <f>IF($H1270="","",COUNTIFS(CalcBank,$G1270,CalcKey,"&lt;"&amp;$H1270)+1)</f>
        <v/>
      </c>
      <c r="J1270">
        <f>IF($I1270="","",$G1270&amp;"|"&amp;RIGHT("000000"&amp;$I1270,6))</f>
        <v/>
      </c>
      <c r="K1270">
        <f>IF(OR($E1270="",$E1270="نامعتبر"),"",LEFT($E1270,4)&amp;"/"&amp;MID($E1270,6,2))</f>
        <v/>
      </c>
      <c r="L1270">
        <f>IF(Entry!$K1270="",0,Entry!$K1270)</f>
        <v/>
      </c>
      <c r="M1270">
        <f>IF(Entry!$L1270="",0,Entry!$L1270)</f>
        <v/>
      </c>
    </row>
    <row r="1271">
      <c r="A1271">
        <f>IF(Entry!$C1271="","",Entry!$C1271)</f>
        <v/>
      </c>
      <c r="B1271">
        <f>IF($A1271="","",IF(ISNUMBER($A1271),IF(AND($A1271&gt;=10000101,$A1271&lt;=99991231),INT($A1271/10000),""),IFERROR(VALUE(TRIM(LEFT($A1271,FIND("/",$A1271)-1))),"")))</f>
        <v/>
      </c>
      <c r="C1271">
        <f>IF(OR($A1271="",$B1271=""),"",IF(ISNUMBER($A1271),INT(MOD($A1271,10000)/100),IFERROR(VALUE(TRIM(LEFT(MID($A1271,FIND("/",$A1271)+1,20),FIND("/",MID($A1271,FIND("/",$A1271)+1,20))-1))),"")))</f>
        <v/>
      </c>
      <c r="D1271">
        <f>IF(OR($A1271="",$B1271=""),"",IF(ISNUMBER($A1271),MOD($A1271,100),IFERROR(VALUE(TRIM(MID(MID($A1271,FIND("/",$A1271)+1,20),FIND("/",MID($A1271,FIND("/",$A1271)+1,20))+1,20))),"")))</f>
        <v/>
      </c>
      <c r="E1271">
        <f>IF($A1271="","",IF(OR($B1271="",$C1271="",$D1271="",$B1271&lt;1300,$B1271&gt;1500,$C1271&lt;1,$C1271&gt;12,$D1271&lt;1,$D1271&gt;31),"نامعتبر",RIGHT("0000"&amp;$B1271,4)&amp;"/"&amp;RIGHT("00"&amp;$C1271,2)&amp;"/"&amp;RIGHT("00"&amp;$D1271,2)))</f>
        <v/>
      </c>
      <c r="F1271">
        <f>IF(Entry!$D1271&lt;&gt;"",IF(AND(ISNUMBER(Entry!$D1271),Entry!$D1271&gt;=0,Entry!$D1271&lt;1),RIGHT("00"&amp;HOUR(Entry!$D1271),2)&amp;":"&amp;RIGHT("00"&amp;MINUTE(Entry!$D1271),2),IFERROR(RIGHT("00"&amp;VALUE(TRIM(LEFT(Entry!$D1271,FIND(":",Entry!$D1271)-1))),2)&amp;":"&amp;RIGHT("00"&amp;VALUE(TRIM(MID(Entry!$D1271,FIND(":",Entry!$D1271)+1,2))),2),"نامعتبر")),IF(OR($E1271="",$E1271="نامعتبر"),"","00:00"))</f>
        <v/>
      </c>
      <c r="G1271">
        <f>IF(OR($E1271="",$E1271="نامعتبر"),"",IF(Entry!$E1271="","",LEFT(UPPER(TRIM(Entry!$E1271)),6)))</f>
        <v/>
      </c>
      <c r="H1271">
        <f>IF($G1271="","",RIGHT($E1271,4)&amp;MID($E1271,6,2)&amp;RIGHT($E1271,2)&amp;IF($F1271="","0000",IF($F1271="نامعتبر","9999",LEFT($F1271,2)&amp;RIGHT($F1271,2)))&amp;"|"&amp;RIGHT("00000"&amp;1263,5))</f>
        <v/>
      </c>
      <c r="I1271">
        <f>IF($H1271="","",COUNTIFS(CalcBank,$G1271,CalcKey,"&lt;"&amp;$H1271)+1)</f>
        <v/>
      </c>
      <c r="J1271">
        <f>IF($I1271="","",$G1271&amp;"|"&amp;RIGHT("000000"&amp;$I1271,6))</f>
        <v/>
      </c>
      <c r="K1271">
        <f>IF(OR($E1271="",$E1271="نامعتبر"),"",LEFT($E1271,4)&amp;"/"&amp;MID($E1271,6,2))</f>
        <v/>
      </c>
      <c r="L1271">
        <f>IF(Entry!$K1271="",0,Entry!$K1271)</f>
        <v/>
      </c>
      <c r="M1271">
        <f>IF(Entry!$L1271="",0,Entry!$L1271)</f>
        <v/>
      </c>
    </row>
    <row r="1272">
      <c r="A1272">
        <f>IF(Entry!$C1272="","",Entry!$C1272)</f>
        <v/>
      </c>
      <c r="B1272">
        <f>IF($A1272="","",IF(ISNUMBER($A1272),IF(AND($A1272&gt;=10000101,$A1272&lt;=99991231),INT($A1272/10000),""),IFERROR(VALUE(TRIM(LEFT($A1272,FIND("/",$A1272)-1))),"")))</f>
        <v/>
      </c>
      <c r="C1272">
        <f>IF(OR($A1272="",$B1272=""),"",IF(ISNUMBER($A1272),INT(MOD($A1272,10000)/100),IFERROR(VALUE(TRIM(LEFT(MID($A1272,FIND("/",$A1272)+1,20),FIND("/",MID($A1272,FIND("/",$A1272)+1,20))-1))),"")))</f>
        <v/>
      </c>
      <c r="D1272">
        <f>IF(OR($A1272="",$B1272=""),"",IF(ISNUMBER($A1272),MOD($A1272,100),IFERROR(VALUE(TRIM(MID(MID($A1272,FIND("/",$A1272)+1,20),FIND("/",MID($A1272,FIND("/",$A1272)+1,20))+1,20))),"")))</f>
        <v/>
      </c>
      <c r="E1272">
        <f>IF($A1272="","",IF(OR($B1272="",$C1272="",$D1272="",$B1272&lt;1300,$B1272&gt;1500,$C1272&lt;1,$C1272&gt;12,$D1272&lt;1,$D1272&gt;31),"نامعتبر",RIGHT("0000"&amp;$B1272,4)&amp;"/"&amp;RIGHT("00"&amp;$C1272,2)&amp;"/"&amp;RIGHT("00"&amp;$D1272,2)))</f>
        <v/>
      </c>
      <c r="F1272">
        <f>IF(Entry!$D1272&lt;&gt;"",IF(AND(ISNUMBER(Entry!$D1272),Entry!$D1272&gt;=0,Entry!$D1272&lt;1),RIGHT("00"&amp;HOUR(Entry!$D1272),2)&amp;":"&amp;RIGHT("00"&amp;MINUTE(Entry!$D1272),2),IFERROR(RIGHT("00"&amp;VALUE(TRIM(LEFT(Entry!$D1272,FIND(":",Entry!$D1272)-1))),2)&amp;":"&amp;RIGHT("00"&amp;VALUE(TRIM(MID(Entry!$D1272,FIND(":",Entry!$D1272)+1,2))),2),"نامعتبر")),IF(OR($E1272="",$E1272="نامعتبر"),"","00:00"))</f>
        <v/>
      </c>
      <c r="G1272">
        <f>IF(OR($E1272="",$E1272="نامعتبر"),"",IF(Entry!$E1272="","",LEFT(UPPER(TRIM(Entry!$E1272)),6)))</f>
        <v/>
      </c>
      <c r="H1272">
        <f>IF($G1272="","",RIGHT($E1272,4)&amp;MID($E1272,6,2)&amp;RIGHT($E1272,2)&amp;IF($F1272="","0000",IF($F1272="نامعتبر","9999",LEFT($F1272,2)&amp;RIGHT($F1272,2)))&amp;"|"&amp;RIGHT("00000"&amp;1264,5))</f>
        <v/>
      </c>
      <c r="I1272">
        <f>IF($H1272="","",COUNTIFS(CalcBank,$G1272,CalcKey,"&lt;"&amp;$H1272)+1)</f>
        <v/>
      </c>
      <c r="J1272">
        <f>IF($I1272="","",$G1272&amp;"|"&amp;RIGHT("000000"&amp;$I1272,6))</f>
        <v/>
      </c>
      <c r="K1272">
        <f>IF(OR($E1272="",$E1272="نامعتبر"),"",LEFT($E1272,4)&amp;"/"&amp;MID($E1272,6,2))</f>
        <v/>
      </c>
      <c r="L1272">
        <f>IF(Entry!$K1272="",0,Entry!$K1272)</f>
        <v/>
      </c>
      <c r="M1272">
        <f>IF(Entry!$L1272="",0,Entry!$L1272)</f>
        <v/>
      </c>
    </row>
    <row r="1273">
      <c r="A1273">
        <f>IF(Entry!$C1273="","",Entry!$C1273)</f>
        <v/>
      </c>
      <c r="B1273">
        <f>IF($A1273="","",IF(ISNUMBER($A1273),IF(AND($A1273&gt;=10000101,$A1273&lt;=99991231),INT($A1273/10000),""),IFERROR(VALUE(TRIM(LEFT($A1273,FIND("/",$A1273)-1))),"")))</f>
        <v/>
      </c>
      <c r="C1273">
        <f>IF(OR($A1273="",$B1273=""),"",IF(ISNUMBER($A1273),INT(MOD($A1273,10000)/100),IFERROR(VALUE(TRIM(LEFT(MID($A1273,FIND("/",$A1273)+1,20),FIND("/",MID($A1273,FIND("/",$A1273)+1,20))-1))),"")))</f>
        <v/>
      </c>
      <c r="D1273">
        <f>IF(OR($A1273="",$B1273=""),"",IF(ISNUMBER($A1273),MOD($A1273,100),IFERROR(VALUE(TRIM(MID(MID($A1273,FIND("/",$A1273)+1,20),FIND("/",MID($A1273,FIND("/",$A1273)+1,20))+1,20))),"")))</f>
        <v/>
      </c>
      <c r="E1273">
        <f>IF($A1273="","",IF(OR($B1273="",$C1273="",$D1273="",$B1273&lt;1300,$B1273&gt;1500,$C1273&lt;1,$C1273&gt;12,$D1273&lt;1,$D1273&gt;31),"نامعتبر",RIGHT("0000"&amp;$B1273,4)&amp;"/"&amp;RIGHT("00"&amp;$C1273,2)&amp;"/"&amp;RIGHT("00"&amp;$D1273,2)))</f>
        <v/>
      </c>
      <c r="F1273">
        <f>IF(Entry!$D1273&lt;&gt;"",IF(AND(ISNUMBER(Entry!$D1273),Entry!$D1273&gt;=0,Entry!$D1273&lt;1),RIGHT("00"&amp;HOUR(Entry!$D1273),2)&amp;":"&amp;RIGHT("00"&amp;MINUTE(Entry!$D1273),2),IFERROR(RIGHT("00"&amp;VALUE(TRIM(LEFT(Entry!$D1273,FIND(":",Entry!$D1273)-1))),2)&amp;":"&amp;RIGHT("00"&amp;VALUE(TRIM(MID(Entry!$D1273,FIND(":",Entry!$D1273)+1,2))),2),"نامعتبر")),IF(OR($E1273="",$E1273="نامعتبر"),"","00:00"))</f>
        <v/>
      </c>
      <c r="G1273">
        <f>IF(OR($E1273="",$E1273="نامعتبر"),"",IF(Entry!$E1273="","",LEFT(UPPER(TRIM(Entry!$E1273)),6)))</f>
        <v/>
      </c>
      <c r="H1273">
        <f>IF($G1273="","",RIGHT($E1273,4)&amp;MID($E1273,6,2)&amp;RIGHT($E1273,2)&amp;IF($F1273="","0000",IF($F1273="نامعتبر","9999",LEFT($F1273,2)&amp;RIGHT($F1273,2)))&amp;"|"&amp;RIGHT("00000"&amp;1265,5))</f>
        <v/>
      </c>
      <c r="I1273">
        <f>IF($H1273="","",COUNTIFS(CalcBank,$G1273,CalcKey,"&lt;"&amp;$H1273)+1)</f>
        <v/>
      </c>
      <c r="J1273">
        <f>IF($I1273="","",$G1273&amp;"|"&amp;RIGHT("000000"&amp;$I1273,6))</f>
        <v/>
      </c>
      <c r="K1273">
        <f>IF(OR($E1273="",$E1273="نامعتبر"),"",LEFT($E1273,4)&amp;"/"&amp;MID($E1273,6,2))</f>
        <v/>
      </c>
      <c r="L1273">
        <f>IF(Entry!$K1273="",0,Entry!$K1273)</f>
        <v/>
      </c>
      <c r="M1273">
        <f>IF(Entry!$L1273="",0,Entry!$L1273)</f>
        <v/>
      </c>
    </row>
    <row r="1274">
      <c r="A1274">
        <f>IF(Entry!$C1274="","",Entry!$C1274)</f>
        <v/>
      </c>
      <c r="B1274">
        <f>IF($A1274="","",IF(ISNUMBER($A1274),IF(AND($A1274&gt;=10000101,$A1274&lt;=99991231),INT($A1274/10000),""),IFERROR(VALUE(TRIM(LEFT($A1274,FIND("/",$A1274)-1))),"")))</f>
        <v/>
      </c>
      <c r="C1274">
        <f>IF(OR($A1274="",$B1274=""),"",IF(ISNUMBER($A1274),INT(MOD($A1274,10000)/100),IFERROR(VALUE(TRIM(LEFT(MID($A1274,FIND("/",$A1274)+1,20),FIND("/",MID($A1274,FIND("/",$A1274)+1,20))-1))),"")))</f>
        <v/>
      </c>
      <c r="D1274">
        <f>IF(OR($A1274="",$B1274=""),"",IF(ISNUMBER($A1274),MOD($A1274,100),IFERROR(VALUE(TRIM(MID(MID($A1274,FIND("/",$A1274)+1,20),FIND("/",MID($A1274,FIND("/",$A1274)+1,20))+1,20))),"")))</f>
        <v/>
      </c>
      <c r="E1274">
        <f>IF($A1274="","",IF(OR($B1274="",$C1274="",$D1274="",$B1274&lt;1300,$B1274&gt;1500,$C1274&lt;1,$C1274&gt;12,$D1274&lt;1,$D1274&gt;31),"نامعتبر",RIGHT("0000"&amp;$B1274,4)&amp;"/"&amp;RIGHT("00"&amp;$C1274,2)&amp;"/"&amp;RIGHT("00"&amp;$D1274,2)))</f>
        <v/>
      </c>
      <c r="F1274">
        <f>IF(Entry!$D1274&lt;&gt;"",IF(AND(ISNUMBER(Entry!$D1274),Entry!$D1274&gt;=0,Entry!$D1274&lt;1),RIGHT("00"&amp;HOUR(Entry!$D1274),2)&amp;":"&amp;RIGHT("00"&amp;MINUTE(Entry!$D1274),2),IFERROR(RIGHT("00"&amp;VALUE(TRIM(LEFT(Entry!$D1274,FIND(":",Entry!$D1274)-1))),2)&amp;":"&amp;RIGHT("00"&amp;VALUE(TRIM(MID(Entry!$D1274,FIND(":",Entry!$D1274)+1,2))),2),"نامعتبر")),IF(OR($E1274="",$E1274="نامعتبر"),"","00:00"))</f>
        <v/>
      </c>
      <c r="G1274">
        <f>IF(OR($E1274="",$E1274="نامعتبر"),"",IF(Entry!$E1274="","",LEFT(UPPER(TRIM(Entry!$E1274)),6)))</f>
        <v/>
      </c>
      <c r="H1274">
        <f>IF($G1274="","",RIGHT($E1274,4)&amp;MID($E1274,6,2)&amp;RIGHT($E1274,2)&amp;IF($F1274="","0000",IF($F1274="نامعتبر","9999",LEFT($F1274,2)&amp;RIGHT($F1274,2)))&amp;"|"&amp;RIGHT("00000"&amp;1266,5))</f>
        <v/>
      </c>
      <c r="I1274">
        <f>IF($H1274="","",COUNTIFS(CalcBank,$G1274,CalcKey,"&lt;"&amp;$H1274)+1)</f>
        <v/>
      </c>
      <c r="J1274">
        <f>IF($I1274="","",$G1274&amp;"|"&amp;RIGHT("000000"&amp;$I1274,6))</f>
        <v/>
      </c>
      <c r="K1274">
        <f>IF(OR($E1274="",$E1274="نامعتبر"),"",LEFT($E1274,4)&amp;"/"&amp;MID($E1274,6,2))</f>
        <v/>
      </c>
      <c r="L1274">
        <f>IF(Entry!$K1274="",0,Entry!$K1274)</f>
        <v/>
      </c>
      <c r="M1274">
        <f>IF(Entry!$L1274="",0,Entry!$L1274)</f>
        <v/>
      </c>
    </row>
    <row r="1275">
      <c r="A1275">
        <f>IF(Entry!$C1275="","",Entry!$C1275)</f>
        <v/>
      </c>
      <c r="B1275">
        <f>IF($A1275="","",IF(ISNUMBER($A1275),IF(AND($A1275&gt;=10000101,$A1275&lt;=99991231),INT($A1275/10000),""),IFERROR(VALUE(TRIM(LEFT($A1275,FIND("/",$A1275)-1))),"")))</f>
        <v/>
      </c>
      <c r="C1275">
        <f>IF(OR($A1275="",$B1275=""),"",IF(ISNUMBER($A1275),INT(MOD($A1275,10000)/100),IFERROR(VALUE(TRIM(LEFT(MID($A1275,FIND("/",$A1275)+1,20),FIND("/",MID($A1275,FIND("/",$A1275)+1,20))-1))),"")))</f>
        <v/>
      </c>
      <c r="D1275">
        <f>IF(OR($A1275="",$B1275=""),"",IF(ISNUMBER($A1275),MOD($A1275,100),IFERROR(VALUE(TRIM(MID(MID($A1275,FIND("/",$A1275)+1,20),FIND("/",MID($A1275,FIND("/",$A1275)+1,20))+1,20))),"")))</f>
        <v/>
      </c>
      <c r="E1275">
        <f>IF($A1275="","",IF(OR($B1275="",$C1275="",$D1275="",$B1275&lt;1300,$B1275&gt;1500,$C1275&lt;1,$C1275&gt;12,$D1275&lt;1,$D1275&gt;31),"نامعتبر",RIGHT("0000"&amp;$B1275,4)&amp;"/"&amp;RIGHT("00"&amp;$C1275,2)&amp;"/"&amp;RIGHT("00"&amp;$D1275,2)))</f>
        <v/>
      </c>
      <c r="F1275">
        <f>IF(Entry!$D1275&lt;&gt;"",IF(AND(ISNUMBER(Entry!$D1275),Entry!$D1275&gt;=0,Entry!$D1275&lt;1),RIGHT("00"&amp;HOUR(Entry!$D1275),2)&amp;":"&amp;RIGHT("00"&amp;MINUTE(Entry!$D1275),2),IFERROR(RIGHT("00"&amp;VALUE(TRIM(LEFT(Entry!$D1275,FIND(":",Entry!$D1275)-1))),2)&amp;":"&amp;RIGHT("00"&amp;VALUE(TRIM(MID(Entry!$D1275,FIND(":",Entry!$D1275)+1,2))),2),"نامعتبر")),IF(OR($E1275="",$E1275="نامعتبر"),"","00:00"))</f>
        <v/>
      </c>
      <c r="G1275">
        <f>IF(OR($E1275="",$E1275="نامعتبر"),"",IF(Entry!$E1275="","",LEFT(UPPER(TRIM(Entry!$E1275)),6)))</f>
        <v/>
      </c>
      <c r="H1275">
        <f>IF($G1275="","",RIGHT($E1275,4)&amp;MID($E1275,6,2)&amp;RIGHT($E1275,2)&amp;IF($F1275="","0000",IF($F1275="نامعتبر","9999",LEFT($F1275,2)&amp;RIGHT($F1275,2)))&amp;"|"&amp;RIGHT("00000"&amp;1267,5))</f>
        <v/>
      </c>
      <c r="I1275">
        <f>IF($H1275="","",COUNTIFS(CalcBank,$G1275,CalcKey,"&lt;"&amp;$H1275)+1)</f>
        <v/>
      </c>
      <c r="J1275">
        <f>IF($I1275="","",$G1275&amp;"|"&amp;RIGHT("000000"&amp;$I1275,6))</f>
        <v/>
      </c>
      <c r="K1275">
        <f>IF(OR($E1275="",$E1275="نامعتبر"),"",LEFT($E1275,4)&amp;"/"&amp;MID($E1275,6,2))</f>
        <v/>
      </c>
      <c r="L1275">
        <f>IF(Entry!$K1275="",0,Entry!$K1275)</f>
        <v/>
      </c>
      <c r="M1275">
        <f>IF(Entry!$L1275="",0,Entry!$L1275)</f>
        <v/>
      </c>
    </row>
    <row r="1276">
      <c r="A1276">
        <f>IF(Entry!$C1276="","",Entry!$C1276)</f>
        <v/>
      </c>
      <c r="B1276">
        <f>IF($A1276="","",IF(ISNUMBER($A1276),IF(AND($A1276&gt;=10000101,$A1276&lt;=99991231),INT($A1276/10000),""),IFERROR(VALUE(TRIM(LEFT($A1276,FIND("/",$A1276)-1))),"")))</f>
        <v/>
      </c>
      <c r="C1276">
        <f>IF(OR($A1276="",$B1276=""),"",IF(ISNUMBER($A1276),INT(MOD($A1276,10000)/100),IFERROR(VALUE(TRIM(LEFT(MID($A1276,FIND("/",$A1276)+1,20),FIND("/",MID($A1276,FIND("/",$A1276)+1,20))-1))),"")))</f>
        <v/>
      </c>
      <c r="D1276">
        <f>IF(OR($A1276="",$B1276=""),"",IF(ISNUMBER($A1276),MOD($A1276,100),IFERROR(VALUE(TRIM(MID(MID($A1276,FIND("/",$A1276)+1,20),FIND("/",MID($A1276,FIND("/",$A1276)+1,20))+1,20))),"")))</f>
        <v/>
      </c>
      <c r="E1276">
        <f>IF($A1276="","",IF(OR($B1276="",$C1276="",$D1276="",$B1276&lt;1300,$B1276&gt;1500,$C1276&lt;1,$C1276&gt;12,$D1276&lt;1,$D1276&gt;31),"نامعتبر",RIGHT("0000"&amp;$B1276,4)&amp;"/"&amp;RIGHT("00"&amp;$C1276,2)&amp;"/"&amp;RIGHT("00"&amp;$D1276,2)))</f>
        <v/>
      </c>
      <c r="F1276">
        <f>IF(Entry!$D1276&lt;&gt;"",IF(AND(ISNUMBER(Entry!$D1276),Entry!$D1276&gt;=0,Entry!$D1276&lt;1),RIGHT("00"&amp;HOUR(Entry!$D1276),2)&amp;":"&amp;RIGHT("00"&amp;MINUTE(Entry!$D1276),2),IFERROR(RIGHT("00"&amp;VALUE(TRIM(LEFT(Entry!$D1276,FIND(":",Entry!$D1276)-1))),2)&amp;":"&amp;RIGHT("00"&amp;VALUE(TRIM(MID(Entry!$D1276,FIND(":",Entry!$D1276)+1,2))),2),"نامعتبر")),IF(OR($E1276="",$E1276="نامعتبر"),"","00:00"))</f>
        <v/>
      </c>
      <c r="G1276">
        <f>IF(OR($E1276="",$E1276="نامعتبر"),"",IF(Entry!$E1276="","",LEFT(UPPER(TRIM(Entry!$E1276)),6)))</f>
        <v/>
      </c>
      <c r="H1276">
        <f>IF($G1276="","",RIGHT($E1276,4)&amp;MID($E1276,6,2)&amp;RIGHT($E1276,2)&amp;IF($F1276="","0000",IF($F1276="نامعتبر","9999",LEFT($F1276,2)&amp;RIGHT($F1276,2)))&amp;"|"&amp;RIGHT("00000"&amp;1268,5))</f>
        <v/>
      </c>
      <c r="I1276">
        <f>IF($H1276="","",COUNTIFS(CalcBank,$G1276,CalcKey,"&lt;"&amp;$H1276)+1)</f>
        <v/>
      </c>
      <c r="J1276">
        <f>IF($I1276="","",$G1276&amp;"|"&amp;RIGHT("000000"&amp;$I1276,6))</f>
        <v/>
      </c>
      <c r="K1276">
        <f>IF(OR($E1276="",$E1276="نامعتبر"),"",LEFT($E1276,4)&amp;"/"&amp;MID($E1276,6,2))</f>
        <v/>
      </c>
      <c r="L1276">
        <f>IF(Entry!$K1276="",0,Entry!$K1276)</f>
        <v/>
      </c>
      <c r="M1276">
        <f>IF(Entry!$L1276="",0,Entry!$L1276)</f>
        <v/>
      </c>
    </row>
    <row r="1277">
      <c r="A1277">
        <f>IF(Entry!$C1277="","",Entry!$C1277)</f>
        <v/>
      </c>
      <c r="B1277">
        <f>IF($A1277="","",IF(ISNUMBER($A1277),IF(AND($A1277&gt;=10000101,$A1277&lt;=99991231),INT($A1277/10000),""),IFERROR(VALUE(TRIM(LEFT($A1277,FIND("/",$A1277)-1))),"")))</f>
        <v/>
      </c>
      <c r="C1277">
        <f>IF(OR($A1277="",$B1277=""),"",IF(ISNUMBER($A1277),INT(MOD($A1277,10000)/100),IFERROR(VALUE(TRIM(LEFT(MID($A1277,FIND("/",$A1277)+1,20),FIND("/",MID($A1277,FIND("/",$A1277)+1,20))-1))),"")))</f>
        <v/>
      </c>
      <c r="D1277">
        <f>IF(OR($A1277="",$B1277=""),"",IF(ISNUMBER($A1277),MOD($A1277,100),IFERROR(VALUE(TRIM(MID(MID($A1277,FIND("/",$A1277)+1,20),FIND("/",MID($A1277,FIND("/",$A1277)+1,20))+1,20))),"")))</f>
        <v/>
      </c>
      <c r="E1277">
        <f>IF($A1277="","",IF(OR($B1277="",$C1277="",$D1277="",$B1277&lt;1300,$B1277&gt;1500,$C1277&lt;1,$C1277&gt;12,$D1277&lt;1,$D1277&gt;31),"نامعتبر",RIGHT("0000"&amp;$B1277,4)&amp;"/"&amp;RIGHT("00"&amp;$C1277,2)&amp;"/"&amp;RIGHT("00"&amp;$D1277,2)))</f>
        <v/>
      </c>
      <c r="F1277">
        <f>IF(Entry!$D1277&lt;&gt;"",IF(AND(ISNUMBER(Entry!$D1277),Entry!$D1277&gt;=0,Entry!$D1277&lt;1),RIGHT("00"&amp;HOUR(Entry!$D1277),2)&amp;":"&amp;RIGHT("00"&amp;MINUTE(Entry!$D1277),2),IFERROR(RIGHT("00"&amp;VALUE(TRIM(LEFT(Entry!$D1277,FIND(":",Entry!$D1277)-1))),2)&amp;":"&amp;RIGHT("00"&amp;VALUE(TRIM(MID(Entry!$D1277,FIND(":",Entry!$D1277)+1,2))),2),"نامعتبر")),IF(OR($E1277="",$E1277="نامعتبر"),"","00:00"))</f>
        <v/>
      </c>
      <c r="G1277">
        <f>IF(OR($E1277="",$E1277="نامعتبر"),"",IF(Entry!$E1277="","",LEFT(UPPER(TRIM(Entry!$E1277)),6)))</f>
        <v/>
      </c>
      <c r="H1277">
        <f>IF($G1277="","",RIGHT($E1277,4)&amp;MID($E1277,6,2)&amp;RIGHT($E1277,2)&amp;IF($F1277="","0000",IF($F1277="نامعتبر","9999",LEFT($F1277,2)&amp;RIGHT($F1277,2)))&amp;"|"&amp;RIGHT("00000"&amp;1269,5))</f>
        <v/>
      </c>
      <c r="I1277">
        <f>IF($H1277="","",COUNTIFS(CalcBank,$G1277,CalcKey,"&lt;"&amp;$H1277)+1)</f>
        <v/>
      </c>
      <c r="J1277">
        <f>IF($I1277="","",$G1277&amp;"|"&amp;RIGHT("000000"&amp;$I1277,6))</f>
        <v/>
      </c>
      <c r="K1277">
        <f>IF(OR($E1277="",$E1277="نامعتبر"),"",LEFT($E1277,4)&amp;"/"&amp;MID($E1277,6,2))</f>
        <v/>
      </c>
      <c r="L1277">
        <f>IF(Entry!$K1277="",0,Entry!$K1277)</f>
        <v/>
      </c>
      <c r="M1277">
        <f>IF(Entry!$L1277="",0,Entry!$L1277)</f>
        <v/>
      </c>
    </row>
    <row r="1278">
      <c r="A1278">
        <f>IF(Entry!$C1278="","",Entry!$C1278)</f>
        <v/>
      </c>
      <c r="B1278">
        <f>IF($A1278="","",IF(ISNUMBER($A1278),IF(AND($A1278&gt;=10000101,$A1278&lt;=99991231),INT($A1278/10000),""),IFERROR(VALUE(TRIM(LEFT($A1278,FIND("/",$A1278)-1))),"")))</f>
        <v/>
      </c>
      <c r="C1278">
        <f>IF(OR($A1278="",$B1278=""),"",IF(ISNUMBER($A1278),INT(MOD($A1278,10000)/100),IFERROR(VALUE(TRIM(LEFT(MID($A1278,FIND("/",$A1278)+1,20),FIND("/",MID($A1278,FIND("/",$A1278)+1,20))-1))),"")))</f>
        <v/>
      </c>
      <c r="D1278">
        <f>IF(OR($A1278="",$B1278=""),"",IF(ISNUMBER($A1278),MOD($A1278,100),IFERROR(VALUE(TRIM(MID(MID($A1278,FIND("/",$A1278)+1,20),FIND("/",MID($A1278,FIND("/",$A1278)+1,20))+1,20))),"")))</f>
        <v/>
      </c>
      <c r="E1278">
        <f>IF($A1278="","",IF(OR($B1278="",$C1278="",$D1278="",$B1278&lt;1300,$B1278&gt;1500,$C1278&lt;1,$C1278&gt;12,$D1278&lt;1,$D1278&gt;31),"نامعتبر",RIGHT("0000"&amp;$B1278,4)&amp;"/"&amp;RIGHT("00"&amp;$C1278,2)&amp;"/"&amp;RIGHT("00"&amp;$D1278,2)))</f>
        <v/>
      </c>
      <c r="F1278">
        <f>IF(Entry!$D1278&lt;&gt;"",IF(AND(ISNUMBER(Entry!$D1278),Entry!$D1278&gt;=0,Entry!$D1278&lt;1),RIGHT("00"&amp;HOUR(Entry!$D1278),2)&amp;":"&amp;RIGHT("00"&amp;MINUTE(Entry!$D1278),2),IFERROR(RIGHT("00"&amp;VALUE(TRIM(LEFT(Entry!$D1278,FIND(":",Entry!$D1278)-1))),2)&amp;":"&amp;RIGHT("00"&amp;VALUE(TRIM(MID(Entry!$D1278,FIND(":",Entry!$D1278)+1,2))),2),"نامعتبر")),IF(OR($E1278="",$E1278="نامعتبر"),"","00:00"))</f>
        <v/>
      </c>
      <c r="G1278">
        <f>IF(OR($E1278="",$E1278="نامعتبر"),"",IF(Entry!$E1278="","",LEFT(UPPER(TRIM(Entry!$E1278)),6)))</f>
        <v/>
      </c>
      <c r="H1278">
        <f>IF($G1278="","",RIGHT($E1278,4)&amp;MID($E1278,6,2)&amp;RIGHT($E1278,2)&amp;IF($F1278="","0000",IF($F1278="نامعتبر","9999",LEFT($F1278,2)&amp;RIGHT($F1278,2)))&amp;"|"&amp;RIGHT("00000"&amp;1270,5))</f>
        <v/>
      </c>
      <c r="I1278">
        <f>IF($H1278="","",COUNTIFS(CalcBank,$G1278,CalcKey,"&lt;"&amp;$H1278)+1)</f>
        <v/>
      </c>
      <c r="J1278">
        <f>IF($I1278="","",$G1278&amp;"|"&amp;RIGHT("000000"&amp;$I1278,6))</f>
        <v/>
      </c>
      <c r="K1278">
        <f>IF(OR($E1278="",$E1278="نامعتبر"),"",LEFT($E1278,4)&amp;"/"&amp;MID($E1278,6,2))</f>
        <v/>
      </c>
      <c r="L1278">
        <f>IF(Entry!$K1278="",0,Entry!$K1278)</f>
        <v/>
      </c>
      <c r="M1278">
        <f>IF(Entry!$L1278="",0,Entry!$L1278)</f>
        <v/>
      </c>
    </row>
    <row r="1279">
      <c r="A1279">
        <f>IF(Entry!$C1279="","",Entry!$C1279)</f>
        <v/>
      </c>
      <c r="B1279">
        <f>IF($A1279="","",IF(ISNUMBER($A1279),IF(AND($A1279&gt;=10000101,$A1279&lt;=99991231),INT($A1279/10000),""),IFERROR(VALUE(TRIM(LEFT($A1279,FIND("/",$A1279)-1))),"")))</f>
        <v/>
      </c>
      <c r="C1279">
        <f>IF(OR($A1279="",$B1279=""),"",IF(ISNUMBER($A1279),INT(MOD($A1279,10000)/100),IFERROR(VALUE(TRIM(LEFT(MID($A1279,FIND("/",$A1279)+1,20),FIND("/",MID($A1279,FIND("/",$A1279)+1,20))-1))),"")))</f>
        <v/>
      </c>
      <c r="D1279">
        <f>IF(OR($A1279="",$B1279=""),"",IF(ISNUMBER($A1279),MOD($A1279,100),IFERROR(VALUE(TRIM(MID(MID($A1279,FIND("/",$A1279)+1,20),FIND("/",MID($A1279,FIND("/",$A1279)+1,20))+1,20))),"")))</f>
        <v/>
      </c>
      <c r="E1279">
        <f>IF($A1279="","",IF(OR($B1279="",$C1279="",$D1279="",$B1279&lt;1300,$B1279&gt;1500,$C1279&lt;1,$C1279&gt;12,$D1279&lt;1,$D1279&gt;31),"نامعتبر",RIGHT("0000"&amp;$B1279,4)&amp;"/"&amp;RIGHT("00"&amp;$C1279,2)&amp;"/"&amp;RIGHT("00"&amp;$D1279,2)))</f>
        <v/>
      </c>
      <c r="F1279">
        <f>IF(Entry!$D1279&lt;&gt;"",IF(AND(ISNUMBER(Entry!$D1279),Entry!$D1279&gt;=0,Entry!$D1279&lt;1),RIGHT("00"&amp;HOUR(Entry!$D1279),2)&amp;":"&amp;RIGHT("00"&amp;MINUTE(Entry!$D1279),2),IFERROR(RIGHT("00"&amp;VALUE(TRIM(LEFT(Entry!$D1279,FIND(":",Entry!$D1279)-1))),2)&amp;":"&amp;RIGHT("00"&amp;VALUE(TRIM(MID(Entry!$D1279,FIND(":",Entry!$D1279)+1,2))),2),"نامعتبر")),IF(OR($E1279="",$E1279="نامعتبر"),"","00:00"))</f>
        <v/>
      </c>
      <c r="G1279">
        <f>IF(OR($E1279="",$E1279="نامعتبر"),"",IF(Entry!$E1279="","",LEFT(UPPER(TRIM(Entry!$E1279)),6)))</f>
        <v/>
      </c>
      <c r="H1279">
        <f>IF($G1279="","",RIGHT($E1279,4)&amp;MID($E1279,6,2)&amp;RIGHT($E1279,2)&amp;IF($F1279="","0000",IF($F1279="نامعتبر","9999",LEFT($F1279,2)&amp;RIGHT($F1279,2)))&amp;"|"&amp;RIGHT("00000"&amp;1271,5))</f>
        <v/>
      </c>
      <c r="I1279">
        <f>IF($H1279="","",COUNTIFS(CalcBank,$G1279,CalcKey,"&lt;"&amp;$H1279)+1)</f>
        <v/>
      </c>
      <c r="J1279">
        <f>IF($I1279="","",$G1279&amp;"|"&amp;RIGHT("000000"&amp;$I1279,6))</f>
        <v/>
      </c>
      <c r="K1279">
        <f>IF(OR($E1279="",$E1279="نامعتبر"),"",LEFT($E1279,4)&amp;"/"&amp;MID($E1279,6,2))</f>
        <v/>
      </c>
      <c r="L1279">
        <f>IF(Entry!$K1279="",0,Entry!$K1279)</f>
        <v/>
      </c>
      <c r="M1279">
        <f>IF(Entry!$L1279="",0,Entry!$L1279)</f>
        <v/>
      </c>
    </row>
    <row r="1280">
      <c r="A1280">
        <f>IF(Entry!$C1280="","",Entry!$C1280)</f>
        <v/>
      </c>
      <c r="B1280">
        <f>IF($A1280="","",IF(ISNUMBER($A1280),IF(AND($A1280&gt;=10000101,$A1280&lt;=99991231),INT($A1280/10000),""),IFERROR(VALUE(TRIM(LEFT($A1280,FIND("/",$A1280)-1))),"")))</f>
        <v/>
      </c>
      <c r="C1280">
        <f>IF(OR($A1280="",$B1280=""),"",IF(ISNUMBER($A1280),INT(MOD($A1280,10000)/100),IFERROR(VALUE(TRIM(LEFT(MID($A1280,FIND("/",$A1280)+1,20),FIND("/",MID($A1280,FIND("/",$A1280)+1,20))-1))),"")))</f>
        <v/>
      </c>
      <c r="D1280">
        <f>IF(OR($A1280="",$B1280=""),"",IF(ISNUMBER($A1280),MOD($A1280,100),IFERROR(VALUE(TRIM(MID(MID($A1280,FIND("/",$A1280)+1,20),FIND("/",MID($A1280,FIND("/",$A1280)+1,20))+1,20))),"")))</f>
        <v/>
      </c>
      <c r="E1280">
        <f>IF($A1280="","",IF(OR($B1280="",$C1280="",$D1280="",$B1280&lt;1300,$B1280&gt;1500,$C1280&lt;1,$C1280&gt;12,$D1280&lt;1,$D1280&gt;31),"نامعتبر",RIGHT("0000"&amp;$B1280,4)&amp;"/"&amp;RIGHT("00"&amp;$C1280,2)&amp;"/"&amp;RIGHT("00"&amp;$D1280,2)))</f>
        <v/>
      </c>
      <c r="F1280">
        <f>IF(Entry!$D1280&lt;&gt;"",IF(AND(ISNUMBER(Entry!$D1280),Entry!$D1280&gt;=0,Entry!$D1280&lt;1),RIGHT("00"&amp;HOUR(Entry!$D1280),2)&amp;":"&amp;RIGHT("00"&amp;MINUTE(Entry!$D1280),2),IFERROR(RIGHT("00"&amp;VALUE(TRIM(LEFT(Entry!$D1280,FIND(":",Entry!$D1280)-1))),2)&amp;":"&amp;RIGHT("00"&amp;VALUE(TRIM(MID(Entry!$D1280,FIND(":",Entry!$D1280)+1,2))),2),"نامعتبر")),IF(OR($E1280="",$E1280="نامعتبر"),"","00:00"))</f>
        <v/>
      </c>
      <c r="G1280">
        <f>IF(OR($E1280="",$E1280="نامعتبر"),"",IF(Entry!$E1280="","",LEFT(UPPER(TRIM(Entry!$E1280)),6)))</f>
        <v/>
      </c>
      <c r="H1280">
        <f>IF($G1280="","",RIGHT($E1280,4)&amp;MID($E1280,6,2)&amp;RIGHT($E1280,2)&amp;IF($F1280="","0000",IF($F1280="نامعتبر","9999",LEFT($F1280,2)&amp;RIGHT($F1280,2)))&amp;"|"&amp;RIGHT("00000"&amp;1272,5))</f>
        <v/>
      </c>
      <c r="I1280">
        <f>IF($H1280="","",COUNTIFS(CalcBank,$G1280,CalcKey,"&lt;"&amp;$H1280)+1)</f>
        <v/>
      </c>
      <c r="J1280">
        <f>IF($I1280="","",$G1280&amp;"|"&amp;RIGHT("000000"&amp;$I1280,6))</f>
        <v/>
      </c>
      <c r="K1280">
        <f>IF(OR($E1280="",$E1280="نامعتبر"),"",LEFT($E1280,4)&amp;"/"&amp;MID($E1280,6,2))</f>
        <v/>
      </c>
      <c r="L1280">
        <f>IF(Entry!$K1280="",0,Entry!$K1280)</f>
        <v/>
      </c>
      <c r="M1280">
        <f>IF(Entry!$L1280="",0,Entry!$L1280)</f>
        <v/>
      </c>
    </row>
    <row r="1281">
      <c r="A1281">
        <f>IF(Entry!$C1281="","",Entry!$C1281)</f>
        <v/>
      </c>
      <c r="B1281">
        <f>IF($A1281="","",IF(ISNUMBER($A1281),IF(AND($A1281&gt;=10000101,$A1281&lt;=99991231),INT($A1281/10000),""),IFERROR(VALUE(TRIM(LEFT($A1281,FIND("/",$A1281)-1))),"")))</f>
        <v/>
      </c>
      <c r="C1281">
        <f>IF(OR($A1281="",$B1281=""),"",IF(ISNUMBER($A1281),INT(MOD($A1281,10000)/100),IFERROR(VALUE(TRIM(LEFT(MID($A1281,FIND("/",$A1281)+1,20),FIND("/",MID($A1281,FIND("/",$A1281)+1,20))-1))),"")))</f>
        <v/>
      </c>
      <c r="D1281">
        <f>IF(OR($A1281="",$B1281=""),"",IF(ISNUMBER($A1281),MOD($A1281,100),IFERROR(VALUE(TRIM(MID(MID($A1281,FIND("/",$A1281)+1,20),FIND("/",MID($A1281,FIND("/",$A1281)+1,20))+1,20))),"")))</f>
        <v/>
      </c>
      <c r="E1281">
        <f>IF($A1281="","",IF(OR($B1281="",$C1281="",$D1281="",$B1281&lt;1300,$B1281&gt;1500,$C1281&lt;1,$C1281&gt;12,$D1281&lt;1,$D1281&gt;31),"نامعتبر",RIGHT("0000"&amp;$B1281,4)&amp;"/"&amp;RIGHT("00"&amp;$C1281,2)&amp;"/"&amp;RIGHT("00"&amp;$D1281,2)))</f>
        <v/>
      </c>
      <c r="F1281">
        <f>IF(Entry!$D1281&lt;&gt;"",IF(AND(ISNUMBER(Entry!$D1281),Entry!$D1281&gt;=0,Entry!$D1281&lt;1),RIGHT("00"&amp;HOUR(Entry!$D1281),2)&amp;":"&amp;RIGHT("00"&amp;MINUTE(Entry!$D1281),2),IFERROR(RIGHT("00"&amp;VALUE(TRIM(LEFT(Entry!$D1281,FIND(":",Entry!$D1281)-1))),2)&amp;":"&amp;RIGHT("00"&amp;VALUE(TRIM(MID(Entry!$D1281,FIND(":",Entry!$D1281)+1,2))),2),"نامعتبر")),IF(OR($E1281="",$E1281="نامعتبر"),"","00:00"))</f>
        <v/>
      </c>
      <c r="G1281">
        <f>IF(OR($E1281="",$E1281="نامعتبر"),"",IF(Entry!$E1281="","",LEFT(UPPER(TRIM(Entry!$E1281)),6)))</f>
        <v/>
      </c>
      <c r="H1281">
        <f>IF($G1281="","",RIGHT($E1281,4)&amp;MID($E1281,6,2)&amp;RIGHT($E1281,2)&amp;IF($F1281="","0000",IF($F1281="نامعتبر","9999",LEFT($F1281,2)&amp;RIGHT($F1281,2)))&amp;"|"&amp;RIGHT("00000"&amp;1273,5))</f>
        <v/>
      </c>
      <c r="I1281">
        <f>IF($H1281="","",COUNTIFS(CalcBank,$G1281,CalcKey,"&lt;"&amp;$H1281)+1)</f>
        <v/>
      </c>
      <c r="J1281">
        <f>IF($I1281="","",$G1281&amp;"|"&amp;RIGHT("000000"&amp;$I1281,6))</f>
        <v/>
      </c>
      <c r="K1281">
        <f>IF(OR($E1281="",$E1281="نامعتبر"),"",LEFT($E1281,4)&amp;"/"&amp;MID($E1281,6,2))</f>
        <v/>
      </c>
      <c r="L1281">
        <f>IF(Entry!$K1281="",0,Entry!$K1281)</f>
        <v/>
      </c>
      <c r="M1281">
        <f>IF(Entry!$L1281="",0,Entry!$L1281)</f>
        <v/>
      </c>
    </row>
    <row r="1282">
      <c r="A1282">
        <f>IF(Entry!$C1282="","",Entry!$C1282)</f>
        <v/>
      </c>
      <c r="B1282">
        <f>IF($A1282="","",IF(ISNUMBER($A1282),IF(AND($A1282&gt;=10000101,$A1282&lt;=99991231),INT($A1282/10000),""),IFERROR(VALUE(TRIM(LEFT($A1282,FIND("/",$A1282)-1))),"")))</f>
        <v/>
      </c>
      <c r="C1282">
        <f>IF(OR($A1282="",$B1282=""),"",IF(ISNUMBER($A1282),INT(MOD($A1282,10000)/100),IFERROR(VALUE(TRIM(LEFT(MID($A1282,FIND("/",$A1282)+1,20),FIND("/",MID($A1282,FIND("/",$A1282)+1,20))-1))),"")))</f>
        <v/>
      </c>
      <c r="D1282">
        <f>IF(OR($A1282="",$B1282=""),"",IF(ISNUMBER($A1282),MOD($A1282,100),IFERROR(VALUE(TRIM(MID(MID($A1282,FIND("/",$A1282)+1,20),FIND("/",MID($A1282,FIND("/",$A1282)+1,20))+1,20))),"")))</f>
        <v/>
      </c>
      <c r="E1282">
        <f>IF($A1282="","",IF(OR($B1282="",$C1282="",$D1282="",$B1282&lt;1300,$B1282&gt;1500,$C1282&lt;1,$C1282&gt;12,$D1282&lt;1,$D1282&gt;31),"نامعتبر",RIGHT("0000"&amp;$B1282,4)&amp;"/"&amp;RIGHT("00"&amp;$C1282,2)&amp;"/"&amp;RIGHT("00"&amp;$D1282,2)))</f>
        <v/>
      </c>
      <c r="F1282">
        <f>IF(Entry!$D1282&lt;&gt;"",IF(AND(ISNUMBER(Entry!$D1282),Entry!$D1282&gt;=0,Entry!$D1282&lt;1),RIGHT("00"&amp;HOUR(Entry!$D1282),2)&amp;":"&amp;RIGHT("00"&amp;MINUTE(Entry!$D1282),2),IFERROR(RIGHT("00"&amp;VALUE(TRIM(LEFT(Entry!$D1282,FIND(":",Entry!$D1282)-1))),2)&amp;":"&amp;RIGHT("00"&amp;VALUE(TRIM(MID(Entry!$D1282,FIND(":",Entry!$D1282)+1,2))),2),"نامعتبر")),IF(OR($E1282="",$E1282="نامعتبر"),"","00:00"))</f>
        <v/>
      </c>
      <c r="G1282">
        <f>IF(OR($E1282="",$E1282="نامعتبر"),"",IF(Entry!$E1282="","",LEFT(UPPER(TRIM(Entry!$E1282)),6)))</f>
        <v/>
      </c>
      <c r="H1282">
        <f>IF($G1282="","",RIGHT($E1282,4)&amp;MID($E1282,6,2)&amp;RIGHT($E1282,2)&amp;IF($F1282="","0000",IF($F1282="نامعتبر","9999",LEFT($F1282,2)&amp;RIGHT($F1282,2)))&amp;"|"&amp;RIGHT("00000"&amp;1274,5))</f>
        <v/>
      </c>
      <c r="I1282">
        <f>IF($H1282="","",COUNTIFS(CalcBank,$G1282,CalcKey,"&lt;"&amp;$H1282)+1)</f>
        <v/>
      </c>
      <c r="J1282">
        <f>IF($I1282="","",$G1282&amp;"|"&amp;RIGHT("000000"&amp;$I1282,6))</f>
        <v/>
      </c>
      <c r="K1282">
        <f>IF(OR($E1282="",$E1282="نامعتبر"),"",LEFT($E1282,4)&amp;"/"&amp;MID($E1282,6,2))</f>
        <v/>
      </c>
      <c r="L1282">
        <f>IF(Entry!$K1282="",0,Entry!$K1282)</f>
        <v/>
      </c>
      <c r="M1282">
        <f>IF(Entry!$L1282="",0,Entry!$L1282)</f>
        <v/>
      </c>
    </row>
    <row r="1283">
      <c r="A1283">
        <f>IF(Entry!$C1283="","",Entry!$C1283)</f>
        <v/>
      </c>
      <c r="B1283">
        <f>IF($A1283="","",IF(ISNUMBER($A1283),IF(AND($A1283&gt;=10000101,$A1283&lt;=99991231),INT($A1283/10000),""),IFERROR(VALUE(TRIM(LEFT($A1283,FIND("/",$A1283)-1))),"")))</f>
        <v/>
      </c>
      <c r="C1283">
        <f>IF(OR($A1283="",$B1283=""),"",IF(ISNUMBER($A1283),INT(MOD($A1283,10000)/100),IFERROR(VALUE(TRIM(LEFT(MID($A1283,FIND("/",$A1283)+1,20),FIND("/",MID($A1283,FIND("/",$A1283)+1,20))-1))),"")))</f>
        <v/>
      </c>
      <c r="D1283">
        <f>IF(OR($A1283="",$B1283=""),"",IF(ISNUMBER($A1283),MOD($A1283,100),IFERROR(VALUE(TRIM(MID(MID($A1283,FIND("/",$A1283)+1,20),FIND("/",MID($A1283,FIND("/",$A1283)+1,20))+1,20))),"")))</f>
        <v/>
      </c>
      <c r="E1283">
        <f>IF($A1283="","",IF(OR($B1283="",$C1283="",$D1283="",$B1283&lt;1300,$B1283&gt;1500,$C1283&lt;1,$C1283&gt;12,$D1283&lt;1,$D1283&gt;31),"نامعتبر",RIGHT("0000"&amp;$B1283,4)&amp;"/"&amp;RIGHT("00"&amp;$C1283,2)&amp;"/"&amp;RIGHT("00"&amp;$D1283,2)))</f>
        <v/>
      </c>
      <c r="F1283">
        <f>IF(Entry!$D1283&lt;&gt;"",IF(AND(ISNUMBER(Entry!$D1283),Entry!$D1283&gt;=0,Entry!$D1283&lt;1),RIGHT("00"&amp;HOUR(Entry!$D1283),2)&amp;":"&amp;RIGHT("00"&amp;MINUTE(Entry!$D1283),2),IFERROR(RIGHT("00"&amp;VALUE(TRIM(LEFT(Entry!$D1283,FIND(":",Entry!$D1283)-1))),2)&amp;":"&amp;RIGHT("00"&amp;VALUE(TRIM(MID(Entry!$D1283,FIND(":",Entry!$D1283)+1,2))),2),"نامعتبر")),IF(OR($E1283="",$E1283="نامعتبر"),"","00:00"))</f>
        <v/>
      </c>
      <c r="G1283">
        <f>IF(OR($E1283="",$E1283="نامعتبر"),"",IF(Entry!$E1283="","",LEFT(UPPER(TRIM(Entry!$E1283)),6)))</f>
        <v/>
      </c>
      <c r="H1283">
        <f>IF($G1283="","",RIGHT($E1283,4)&amp;MID($E1283,6,2)&amp;RIGHT($E1283,2)&amp;IF($F1283="","0000",IF($F1283="نامعتبر","9999",LEFT($F1283,2)&amp;RIGHT($F1283,2)))&amp;"|"&amp;RIGHT("00000"&amp;1275,5))</f>
        <v/>
      </c>
      <c r="I1283">
        <f>IF($H1283="","",COUNTIFS(CalcBank,$G1283,CalcKey,"&lt;"&amp;$H1283)+1)</f>
        <v/>
      </c>
      <c r="J1283">
        <f>IF($I1283="","",$G1283&amp;"|"&amp;RIGHT("000000"&amp;$I1283,6))</f>
        <v/>
      </c>
      <c r="K1283">
        <f>IF(OR($E1283="",$E1283="نامعتبر"),"",LEFT($E1283,4)&amp;"/"&amp;MID($E1283,6,2))</f>
        <v/>
      </c>
      <c r="L1283">
        <f>IF(Entry!$K1283="",0,Entry!$K1283)</f>
        <v/>
      </c>
      <c r="M1283">
        <f>IF(Entry!$L1283="",0,Entry!$L1283)</f>
        <v/>
      </c>
    </row>
    <row r="1284">
      <c r="A1284">
        <f>IF(Entry!$C1284="","",Entry!$C1284)</f>
        <v/>
      </c>
      <c r="B1284">
        <f>IF($A1284="","",IF(ISNUMBER($A1284),IF(AND($A1284&gt;=10000101,$A1284&lt;=99991231),INT($A1284/10000),""),IFERROR(VALUE(TRIM(LEFT($A1284,FIND("/",$A1284)-1))),"")))</f>
        <v/>
      </c>
      <c r="C1284">
        <f>IF(OR($A1284="",$B1284=""),"",IF(ISNUMBER($A1284),INT(MOD($A1284,10000)/100),IFERROR(VALUE(TRIM(LEFT(MID($A1284,FIND("/",$A1284)+1,20),FIND("/",MID($A1284,FIND("/",$A1284)+1,20))-1))),"")))</f>
        <v/>
      </c>
      <c r="D1284">
        <f>IF(OR($A1284="",$B1284=""),"",IF(ISNUMBER($A1284),MOD($A1284,100),IFERROR(VALUE(TRIM(MID(MID($A1284,FIND("/",$A1284)+1,20),FIND("/",MID($A1284,FIND("/",$A1284)+1,20))+1,20))),"")))</f>
        <v/>
      </c>
      <c r="E1284">
        <f>IF($A1284="","",IF(OR($B1284="",$C1284="",$D1284="",$B1284&lt;1300,$B1284&gt;1500,$C1284&lt;1,$C1284&gt;12,$D1284&lt;1,$D1284&gt;31),"نامعتبر",RIGHT("0000"&amp;$B1284,4)&amp;"/"&amp;RIGHT("00"&amp;$C1284,2)&amp;"/"&amp;RIGHT("00"&amp;$D1284,2)))</f>
        <v/>
      </c>
      <c r="F1284">
        <f>IF(Entry!$D1284&lt;&gt;"",IF(AND(ISNUMBER(Entry!$D1284),Entry!$D1284&gt;=0,Entry!$D1284&lt;1),RIGHT("00"&amp;HOUR(Entry!$D1284),2)&amp;":"&amp;RIGHT("00"&amp;MINUTE(Entry!$D1284),2),IFERROR(RIGHT("00"&amp;VALUE(TRIM(LEFT(Entry!$D1284,FIND(":",Entry!$D1284)-1))),2)&amp;":"&amp;RIGHT("00"&amp;VALUE(TRIM(MID(Entry!$D1284,FIND(":",Entry!$D1284)+1,2))),2),"نامعتبر")),IF(OR($E1284="",$E1284="نامعتبر"),"","00:00"))</f>
        <v/>
      </c>
      <c r="G1284">
        <f>IF(OR($E1284="",$E1284="نامعتبر"),"",IF(Entry!$E1284="","",LEFT(UPPER(TRIM(Entry!$E1284)),6)))</f>
        <v/>
      </c>
      <c r="H1284">
        <f>IF($G1284="","",RIGHT($E1284,4)&amp;MID($E1284,6,2)&amp;RIGHT($E1284,2)&amp;IF($F1284="","0000",IF($F1284="نامعتبر","9999",LEFT($F1284,2)&amp;RIGHT($F1284,2)))&amp;"|"&amp;RIGHT("00000"&amp;1276,5))</f>
        <v/>
      </c>
      <c r="I1284">
        <f>IF($H1284="","",COUNTIFS(CalcBank,$G1284,CalcKey,"&lt;"&amp;$H1284)+1)</f>
        <v/>
      </c>
      <c r="J1284">
        <f>IF($I1284="","",$G1284&amp;"|"&amp;RIGHT("000000"&amp;$I1284,6))</f>
        <v/>
      </c>
      <c r="K1284">
        <f>IF(OR($E1284="",$E1284="نامعتبر"),"",LEFT($E1284,4)&amp;"/"&amp;MID($E1284,6,2))</f>
        <v/>
      </c>
      <c r="L1284">
        <f>IF(Entry!$K1284="",0,Entry!$K1284)</f>
        <v/>
      </c>
      <c r="M1284">
        <f>IF(Entry!$L1284="",0,Entry!$L1284)</f>
        <v/>
      </c>
    </row>
    <row r="1285">
      <c r="A1285">
        <f>IF(Entry!$C1285="","",Entry!$C1285)</f>
        <v/>
      </c>
      <c r="B1285">
        <f>IF($A1285="","",IF(ISNUMBER($A1285),IF(AND($A1285&gt;=10000101,$A1285&lt;=99991231),INT($A1285/10000),""),IFERROR(VALUE(TRIM(LEFT($A1285,FIND("/",$A1285)-1))),"")))</f>
        <v/>
      </c>
      <c r="C1285">
        <f>IF(OR($A1285="",$B1285=""),"",IF(ISNUMBER($A1285),INT(MOD($A1285,10000)/100),IFERROR(VALUE(TRIM(LEFT(MID($A1285,FIND("/",$A1285)+1,20),FIND("/",MID($A1285,FIND("/",$A1285)+1,20))-1))),"")))</f>
        <v/>
      </c>
      <c r="D1285">
        <f>IF(OR($A1285="",$B1285=""),"",IF(ISNUMBER($A1285),MOD($A1285,100),IFERROR(VALUE(TRIM(MID(MID($A1285,FIND("/",$A1285)+1,20),FIND("/",MID($A1285,FIND("/",$A1285)+1,20))+1,20))),"")))</f>
        <v/>
      </c>
      <c r="E1285">
        <f>IF($A1285="","",IF(OR($B1285="",$C1285="",$D1285="",$B1285&lt;1300,$B1285&gt;1500,$C1285&lt;1,$C1285&gt;12,$D1285&lt;1,$D1285&gt;31),"نامعتبر",RIGHT("0000"&amp;$B1285,4)&amp;"/"&amp;RIGHT("00"&amp;$C1285,2)&amp;"/"&amp;RIGHT("00"&amp;$D1285,2)))</f>
        <v/>
      </c>
      <c r="F1285">
        <f>IF(Entry!$D1285&lt;&gt;"",IF(AND(ISNUMBER(Entry!$D1285),Entry!$D1285&gt;=0,Entry!$D1285&lt;1),RIGHT("00"&amp;HOUR(Entry!$D1285),2)&amp;":"&amp;RIGHT("00"&amp;MINUTE(Entry!$D1285),2),IFERROR(RIGHT("00"&amp;VALUE(TRIM(LEFT(Entry!$D1285,FIND(":",Entry!$D1285)-1))),2)&amp;":"&amp;RIGHT("00"&amp;VALUE(TRIM(MID(Entry!$D1285,FIND(":",Entry!$D1285)+1,2))),2),"نامعتبر")),IF(OR($E1285="",$E1285="نامعتبر"),"","00:00"))</f>
        <v/>
      </c>
      <c r="G1285">
        <f>IF(OR($E1285="",$E1285="نامعتبر"),"",IF(Entry!$E1285="","",LEFT(UPPER(TRIM(Entry!$E1285)),6)))</f>
        <v/>
      </c>
      <c r="H1285">
        <f>IF($G1285="","",RIGHT($E1285,4)&amp;MID($E1285,6,2)&amp;RIGHT($E1285,2)&amp;IF($F1285="","0000",IF($F1285="نامعتبر","9999",LEFT($F1285,2)&amp;RIGHT($F1285,2)))&amp;"|"&amp;RIGHT("00000"&amp;1277,5))</f>
        <v/>
      </c>
      <c r="I1285">
        <f>IF($H1285="","",COUNTIFS(CalcBank,$G1285,CalcKey,"&lt;"&amp;$H1285)+1)</f>
        <v/>
      </c>
      <c r="J1285">
        <f>IF($I1285="","",$G1285&amp;"|"&amp;RIGHT("000000"&amp;$I1285,6))</f>
        <v/>
      </c>
      <c r="K1285">
        <f>IF(OR($E1285="",$E1285="نامعتبر"),"",LEFT($E1285,4)&amp;"/"&amp;MID($E1285,6,2))</f>
        <v/>
      </c>
      <c r="L1285">
        <f>IF(Entry!$K1285="",0,Entry!$K1285)</f>
        <v/>
      </c>
      <c r="M1285">
        <f>IF(Entry!$L1285="",0,Entry!$L1285)</f>
        <v/>
      </c>
    </row>
    <row r="1286">
      <c r="A1286">
        <f>IF(Entry!$C1286="","",Entry!$C1286)</f>
        <v/>
      </c>
      <c r="B1286">
        <f>IF($A1286="","",IF(ISNUMBER($A1286),IF(AND($A1286&gt;=10000101,$A1286&lt;=99991231),INT($A1286/10000),""),IFERROR(VALUE(TRIM(LEFT($A1286,FIND("/",$A1286)-1))),"")))</f>
        <v/>
      </c>
      <c r="C1286">
        <f>IF(OR($A1286="",$B1286=""),"",IF(ISNUMBER($A1286),INT(MOD($A1286,10000)/100),IFERROR(VALUE(TRIM(LEFT(MID($A1286,FIND("/",$A1286)+1,20),FIND("/",MID($A1286,FIND("/",$A1286)+1,20))-1))),"")))</f>
        <v/>
      </c>
      <c r="D1286">
        <f>IF(OR($A1286="",$B1286=""),"",IF(ISNUMBER($A1286),MOD($A1286,100),IFERROR(VALUE(TRIM(MID(MID($A1286,FIND("/",$A1286)+1,20),FIND("/",MID($A1286,FIND("/",$A1286)+1,20))+1,20))),"")))</f>
        <v/>
      </c>
      <c r="E1286">
        <f>IF($A1286="","",IF(OR($B1286="",$C1286="",$D1286="",$B1286&lt;1300,$B1286&gt;1500,$C1286&lt;1,$C1286&gt;12,$D1286&lt;1,$D1286&gt;31),"نامعتبر",RIGHT("0000"&amp;$B1286,4)&amp;"/"&amp;RIGHT("00"&amp;$C1286,2)&amp;"/"&amp;RIGHT("00"&amp;$D1286,2)))</f>
        <v/>
      </c>
      <c r="F1286">
        <f>IF(Entry!$D1286&lt;&gt;"",IF(AND(ISNUMBER(Entry!$D1286),Entry!$D1286&gt;=0,Entry!$D1286&lt;1),RIGHT("00"&amp;HOUR(Entry!$D1286),2)&amp;":"&amp;RIGHT("00"&amp;MINUTE(Entry!$D1286),2),IFERROR(RIGHT("00"&amp;VALUE(TRIM(LEFT(Entry!$D1286,FIND(":",Entry!$D1286)-1))),2)&amp;":"&amp;RIGHT("00"&amp;VALUE(TRIM(MID(Entry!$D1286,FIND(":",Entry!$D1286)+1,2))),2),"نامعتبر")),IF(OR($E1286="",$E1286="نامعتبر"),"","00:00"))</f>
        <v/>
      </c>
      <c r="G1286">
        <f>IF(OR($E1286="",$E1286="نامعتبر"),"",IF(Entry!$E1286="","",LEFT(UPPER(TRIM(Entry!$E1286)),6)))</f>
        <v/>
      </c>
      <c r="H1286">
        <f>IF($G1286="","",RIGHT($E1286,4)&amp;MID($E1286,6,2)&amp;RIGHT($E1286,2)&amp;IF($F1286="","0000",IF($F1286="نامعتبر","9999",LEFT($F1286,2)&amp;RIGHT($F1286,2)))&amp;"|"&amp;RIGHT("00000"&amp;1278,5))</f>
        <v/>
      </c>
      <c r="I1286">
        <f>IF($H1286="","",COUNTIFS(CalcBank,$G1286,CalcKey,"&lt;"&amp;$H1286)+1)</f>
        <v/>
      </c>
      <c r="J1286">
        <f>IF($I1286="","",$G1286&amp;"|"&amp;RIGHT("000000"&amp;$I1286,6))</f>
        <v/>
      </c>
      <c r="K1286">
        <f>IF(OR($E1286="",$E1286="نامعتبر"),"",LEFT($E1286,4)&amp;"/"&amp;MID($E1286,6,2))</f>
        <v/>
      </c>
      <c r="L1286">
        <f>IF(Entry!$K1286="",0,Entry!$K1286)</f>
        <v/>
      </c>
      <c r="M1286">
        <f>IF(Entry!$L1286="",0,Entry!$L1286)</f>
        <v/>
      </c>
    </row>
    <row r="1287">
      <c r="A1287">
        <f>IF(Entry!$C1287="","",Entry!$C1287)</f>
        <v/>
      </c>
      <c r="B1287">
        <f>IF($A1287="","",IF(ISNUMBER($A1287),IF(AND($A1287&gt;=10000101,$A1287&lt;=99991231),INT($A1287/10000),""),IFERROR(VALUE(TRIM(LEFT($A1287,FIND("/",$A1287)-1))),"")))</f>
        <v/>
      </c>
      <c r="C1287">
        <f>IF(OR($A1287="",$B1287=""),"",IF(ISNUMBER($A1287),INT(MOD($A1287,10000)/100),IFERROR(VALUE(TRIM(LEFT(MID($A1287,FIND("/",$A1287)+1,20),FIND("/",MID($A1287,FIND("/",$A1287)+1,20))-1))),"")))</f>
        <v/>
      </c>
      <c r="D1287">
        <f>IF(OR($A1287="",$B1287=""),"",IF(ISNUMBER($A1287),MOD($A1287,100),IFERROR(VALUE(TRIM(MID(MID($A1287,FIND("/",$A1287)+1,20),FIND("/",MID($A1287,FIND("/",$A1287)+1,20))+1,20))),"")))</f>
        <v/>
      </c>
      <c r="E1287">
        <f>IF($A1287="","",IF(OR($B1287="",$C1287="",$D1287="",$B1287&lt;1300,$B1287&gt;1500,$C1287&lt;1,$C1287&gt;12,$D1287&lt;1,$D1287&gt;31),"نامعتبر",RIGHT("0000"&amp;$B1287,4)&amp;"/"&amp;RIGHT("00"&amp;$C1287,2)&amp;"/"&amp;RIGHT("00"&amp;$D1287,2)))</f>
        <v/>
      </c>
      <c r="F1287">
        <f>IF(Entry!$D1287&lt;&gt;"",IF(AND(ISNUMBER(Entry!$D1287),Entry!$D1287&gt;=0,Entry!$D1287&lt;1),RIGHT("00"&amp;HOUR(Entry!$D1287),2)&amp;":"&amp;RIGHT("00"&amp;MINUTE(Entry!$D1287),2),IFERROR(RIGHT("00"&amp;VALUE(TRIM(LEFT(Entry!$D1287,FIND(":",Entry!$D1287)-1))),2)&amp;":"&amp;RIGHT("00"&amp;VALUE(TRIM(MID(Entry!$D1287,FIND(":",Entry!$D1287)+1,2))),2),"نامعتبر")),IF(OR($E1287="",$E1287="نامعتبر"),"","00:00"))</f>
        <v/>
      </c>
      <c r="G1287">
        <f>IF(OR($E1287="",$E1287="نامعتبر"),"",IF(Entry!$E1287="","",LEFT(UPPER(TRIM(Entry!$E1287)),6)))</f>
        <v/>
      </c>
      <c r="H1287">
        <f>IF($G1287="","",RIGHT($E1287,4)&amp;MID($E1287,6,2)&amp;RIGHT($E1287,2)&amp;IF($F1287="","0000",IF($F1287="نامعتبر","9999",LEFT($F1287,2)&amp;RIGHT($F1287,2)))&amp;"|"&amp;RIGHT("00000"&amp;1279,5))</f>
        <v/>
      </c>
      <c r="I1287">
        <f>IF($H1287="","",COUNTIFS(CalcBank,$G1287,CalcKey,"&lt;"&amp;$H1287)+1)</f>
        <v/>
      </c>
      <c r="J1287">
        <f>IF($I1287="","",$G1287&amp;"|"&amp;RIGHT("000000"&amp;$I1287,6))</f>
        <v/>
      </c>
      <c r="K1287">
        <f>IF(OR($E1287="",$E1287="نامعتبر"),"",LEFT($E1287,4)&amp;"/"&amp;MID($E1287,6,2))</f>
        <v/>
      </c>
      <c r="L1287">
        <f>IF(Entry!$K1287="",0,Entry!$K1287)</f>
        <v/>
      </c>
      <c r="M1287">
        <f>IF(Entry!$L1287="",0,Entry!$L1287)</f>
        <v/>
      </c>
    </row>
    <row r="1288">
      <c r="A1288">
        <f>IF(Entry!$C1288="","",Entry!$C1288)</f>
        <v/>
      </c>
      <c r="B1288">
        <f>IF($A1288="","",IF(ISNUMBER($A1288),IF(AND($A1288&gt;=10000101,$A1288&lt;=99991231),INT($A1288/10000),""),IFERROR(VALUE(TRIM(LEFT($A1288,FIND("/",$A1288)-1))),"")))</f>
        <v/>
      </c>
      <c r="C1288">
        <f>IF(OR($A1288="",$B1288=""),"",IF(ISNUMBER($A1288),INT(MOD($A1288,10000)/100),IFERROR(VALUE(TRIM(LEFT(MID($A1288,FIND("/",$A1288)+1,20),FIND("/",MID($A1288,FIND("/",$A1288)+1,20))-1))),"")))</f>
        <v/>
      </c>
      <c r="D1288">
        <f>IF(OR($A1288="",$B1288=""),"",IF(ISNUMBER($A1288),MOD($A1288,100),IFERROR(VALUE(TRIM(MID(MID($A1288,FIND("/",$A1288)+1,20),FIND("/",MID($A1288,FIND("/",$A1288)+1,20))+1,20))),"")))</f>
        <v/>
      </c>
      <c r="E1288">
        <f>IF($A1288="","",IF(OR($B1288="",$C1288="",$D1288="",$B1288&lt;1300,$B1288&gt;1500,$C1288&lt;1,$C1288&gt;12,$D1288&lt;1,$D1288&gt;31),"نامعتبر",RIGHT("0000"&amp;$B1288,4)&amp;"/"&amp;RIGHT("00"&amp;$C1288,2)&amp;"/"&amp;RIGHT("00"&amp;$D1288,2)))</f>
        <v/>
      </c>
      <c r="F1288">
        <f>IF(Entry!$D1288&lt;&gt;"",IF(AND(ISNUMBER(Entry!$D1288),Entry!$D1288&gt;=0,Entry!$D1288&lt;1),RIGHT("00"&amp;HOUR(Entry!$D1288),2)&amp;":"&amp;RIGHT("00"&amp;MINUTE(Entry!$D1288),2),IFERROR(RIGHT("00"&amp;VALUE(TRIM(LEFT(Entry!$D1288,FIND(":",Entry!$D1288)-1))),2)&amp;":"&amp;RIGHT("00"&amp;VALUE(TRIM(MID(Entry!$D1288,FIND(":",Entry!$D1288)+1,2))),2),"نامعتبر")),IF(OR($E1288="",$E1288="نامعتبر"),"","00:00"))</f>
        <v/>
      </c>
      <c r="G1288">
        <f>IF(OR($E1288="",$E1288="نامعتبر"),"",IF(Entry!$E1288="","",LEFT(UPPER(TRIM(Entry!$E1288)),6)))</f>
        <v/>
      </c>
      <c r="H1288">
        <f>IF($G1288="","",RIGHT($E1288,4)&amp;MID($E1288,6,2)&amp;RIGHT($E1288,2)&amp;IF($F1288="","0000",IF($F1288="نامعتبر","9999",LEFT($F1288,2)&amp;RIGHT($F1288,2)))&amp;"|"&amp;RIGHT("00000"&amp;1280,5))</f>
        <v/>
      </c>
      <c r="I1288">
        <f>IF($H1288="","",COUNTIFS(CalcBank,$G1288,CalcKey,"&lt;"&amp;$H1288)+1)</f>
        <v/>
      </c>
      <c r="J1288">
        <f>IF($I1288="","",$G1288&amp;"|"&amp;RIGHT("000000"&amp;$I1288,6))</f>
        <v/>
      </c>
      <c r="K1288">
        <f>IF(OR($E1288="",$E1288="نامعتبر"),"",LEFT($E1288,4)&amp;"/"&amp;MID($E1288,6,2))</f>
        <v/>
      </c>
      <c r="L1288">
        <f>IF(Entry!$K1288="",0,Entry!$K1288)</f>
        <v/>
      </c>
      <c r="M1288">
        <f>IF(Entry!$L1288="",0,Entry!$L1288)</f>
        <v/>
      </c>
    </row>
    <row r="1289">
      <c r="A1289">
        <f>IF(Entry!$C1289="","",Entry!$C1289)</f>
        <v/>
      </c>
      <c r="B1289">
        <f>IF($A1289="","",IF(ISNUMBER($A1289),IF(AND($A1289&gt;=10000101,$A1289&lt;=99991231),INT($A1289/10000),""),IFERROR(VALUE(TRIM(LEFT($A1289,FIND("/",$A1289)-1))),"")))</f>
        <v/>
      </c>
      <c r="C1289">
        <f>IF(OR($A1289="",$B1289=""),"",IF(ISNUMBER($A1289),INT(MOD($A1289,10000)/100),IFERROR(VALUE(TRIM(LEFT(MID($A1289,FIND("/",$A1289)+1,20),FIND("/",MID($A1289,FIND("/",$A1289)+1,20))-1))),"")))</f>
        <v/>
      </c>
      <c r="D1289">
        <f>IF(OR($A1289="",$B1289=""),"",IF(ISNUMBER($A1289),MOD($A1289,100),IFERROR(VALUE(TRIM(MID(MID($A1289,FIND("/",$A1289)+1,20),FIND("/",MID($A1289,FIND("/",$A1289)+1,20))+1,20))),"")))</f>
        <v/>
      </c>
      <c r="E1289">
        <f>IF($A1289="","",IF(OR($B1289="",$C1289="",$D1289="",$B1289&lt;1300,$B1289&gt;1500,$C1289&lt;1,$C1289&gt;12,$D1289&lt;1,$D1289&gt;31),"نامعتبر",RIGHT("0000"&amp;$B1289,4)&amp;"/"&amp;RIGHT("00"&amp;$C1289,2)&amp;"/"&amp;RIGHT("00"&amp;$D1289,2)))</f>
        <v/>
      </c>
      <c r="F1289">
        <f>IF(Entry!$D1289&lt;&gt;"",IF(AND(ISNUMBER(Entry!$D1289),Entry!$D1289&gt;=0,Entry!$D1289&lt;1),RIGHT("00"&amp;HOUR(Entry!$D1289),2)&amp;":"&amp;RIGHT("00"&amp;MINUTE(Entry!$D1289),2),IFERROR(RIGHT("00"&amp;VALUE(TRIM(LEFT(Entry!$D1289,FIND(":",Entry!$D1289)-1))),2)&amp;":"&amp;RIGHT("00"&amp;VALUE(TRIM(MID(Entry!$D1289,FIND(":",Entry!$D1289)+1,2))),2),"نامعتبر")),IF(OR($E1289="",$E1289="نامعتبر"),"","00:00"))</f>
        <v/>
      </c>
      <c r="G1289">
        <f>IF(OR($E1289="",$E1289="نامعتبر"),"",IF(Entry!$E1289="","",LEFT(UPPER(TRIM(Entry!$E1289)),6)))</f>
        <v/>
      </c>
      <c r="H1289">
        <f>IF($G1289="","",RIGHT($E1289,4)&amp;MID($E1289,6,2)&amp;RIGHT($E1289,2)&amp;IF($F1289="","0000",IF($F1289="نامعتبر","9999",LEFT($F1289,2)&amp;RIGHT($F1289,2)))&amp;"|"&amp;RIGHT("00000"&amp;1281,5))</f>
        <v/>
      </c>
      <c r="I1289">
        <f>IF($H1289="","",COUNTIFS(CalcBank,$G1289,CalcKey,"&lt;"&amp;$H1289)+1)</f>
        <v/>
      </c>
      <c r="J1289">
        <f>IF($I1289="","",$G1289&amp;"|"&amp;RIGHT("000000"&amp;$I1289,6))</f>
        <v/>
      </c>
      <c r="K1289">
        <f>IF(OR($E1289="",$E1289="نامعتبر"),"",LEFT($E1289,4)&amp;"/"&amp;MID($E1289,6,2))</f>
        <v/>
      </c>
      <c r="L1289">
        <f>IF(Entry!$K1289="",0,Entry!$K1289)</f>
        <v/>
      </c>
      <c r="M1289">
        <f>IF(Entry!$L1289="",0,Entry!$L1289)</f>
        <v/>
      </c>
    </row>
    <row r="1290">
      <c r="A1290">
        <f>IF(Entry!$C1290="","",Entry!$C1290)</f>
        <v/>
      </c>
      <c r="B1290">
        <f>IF($A1290="","",IF(ISNUMBER($A1290),IF(AND($A1290&gt;=10000101,$A1290&lt;=99991231),INT($A1290/10000),""),IFERROR(VALUE(TRIM(LEFT($A1290,FIND("/",$A1290)-1))),"")))</f>
        <v/>
      </c>
      <c r="C1290">
        <f>IF(OR($A1290="",$B1290=""),"",IF(ISNUMBER($A1290),INT(MOD($A1290,10000)/100),IFERROR(VALUE(TRIM(LEFT(MID($A1290,FIND("/",$A1290)+1,20),FIND("/",MID($A1290,FIND("/",$A1290)+1,20))-1))),"")))</f>
        <v/>
      </c>
      <c r="D1290">
        <f>IF(OR($A1290="",$B1290=""),"",IF(ISNUMBER($A1290),MOD($A1290,100),IFERROR(VALUE(TRIM(MID(MID($A1290,FIND("/",$A1290)+1,20),FIND("/",MID($A1290,FIND("/",$A1290)+1,20))+1,20))),"")))</f>
        <v/>
      </c>
      <c r="E1290">
        <f>IF($A1290="","",IF(OR($B1290="",$C1290="",$D1290="",$B1290&lt;1300,$B1290&gt;1500,$C1290&lt;1,$C1290&gt;12,$D1290&lt;1,$D1290&gt;31),"نامعتبر",RIGHT("0000"&amp;$B1290,4)&amp;"/"&amp;RIGHT("00"&amp;$C1290,2)&amp;"/"&amp;RIGHT("00"&amp;$D1290,2)))</f>
        <v/>
      </c>
      <c r="F1290">
        <f>IF(Entry!$D1290&lt;&gt;"",IF(AND(ISNUMBER(Entry!$D1290),Entry!$D1290&gt;=0,Entry!$D1290&lt;1),RIGHT("00"&amp;HOUR(Entry!$D1290),2)&amp;":"&amp;RIGHT("00"&amp;MINUTE(Entry!$D1290),2),IFERROR(RIGHT("00"&amp;VALUE(TRIM(LEFT(Entry!$D1290,FIND(":",Entry!$D1290)-1))),2)&amp;":"&amp;RIGHT("00"&amp;VALUE(TRIM(MID(Entry!$D1290,FIND(":",Entry!$D1290)+1,2))),2),"نامعتبر")),IF(OR($E1290="",$E1290="نامعتبر"),"","00:00"))</f>
        <v/>
      </c>
      <c r="G1290">
        <f>IF(OR($E1290="",$E1290="نامعتبر"),"",IF(Entry!$E1290="","",LEFT(UPPER(TRIM(Entry!$E1290)),6)))</f>
        <v/>
      </c>
      <c r="H1290">
        <f>IF($G1290="","",RIGHT($E1290,4)&amp;MID($E1290,6,2)&amp;RIGHT($E1290,2)&amp;IF($F1290="","0000",IF($F1290="نامعتبر","9999",LEFT($F1290,2)&amp;RIGHT($F1290,2)))&amp;"|"&amp;RIGHT("00000"&amp;1282,5))</f>
        <v/>
      </c>
      <c r="I1290">
        <f>IF($H1290="","",COUNTIFS(CalcBank,$G1290,CalcKey,"&lt;"&amp;$H1290)+1)</f>
        <v/>
      </c>
      <c r="J1290">
        <f>IF($I1290="","",$G1290&amp;"|"&amp;RIGHT("000000"&amp;$I1290,6))</f>
        <v/>
      </c>
      <c r="K1290">
        <f>IF(OR($E1290="",$E1290="نامعتبر"),"",LEFT($E1290,4)&amp;"/"&amp;MID($E1290,6,2))</f>
        <v/>
      </c>
      <c r="L1290">
        <f>IF(Entry!$K1290="",0,Entry!$K1290)</f>
        <v/>
      </c>
      <c r="M1290">
        <f>IF(Entry!$L1290="",0,Entry!$L1290)</f>
        <v/>
      </c>
    </row>
    <row r="1291">
      <c r="A1291">
        <f>IF(Entry!$C1291="","",Entry!$C1291)</f>
        <v/>
      </c>
      <c r="B1291">
        <f>IF($A1291="","",IF(ISNUMBER($A1291),IF(AND($A1291&gt;=10000101,$A1291&lt;=99991231),INT($A1291/10000),""),IFERROR(VALUE(TRIM(LEFT($A1291,FIND("/",$A1291)-1))),"")))</f>
        <v/>
      </c>
      <c r="C1291">
        <f>IF(OR($A1291="",$B1291=""),"",IF(ISNUMBER($A1291),INT(MOD($A1291,10000)/100),IFERROR(VALUE(TRIM(LEFT(MID($A1291,FIND("/",$A1291)+1,20),FIND("/",MID($A1291,FIND("/",$A1291)+1,20))-1))),"")))</f>
        <v/>
      </c>
      <c r="D1291">
        <f>IF(OR($A1291="",$B1291=""),"",IF(ISNUMBER($A1291),MOD($A1291,100),IFERROR(VALUE(TRIM(MID(MID($A1291,FIND("/",$A1291)+1,20),FIND("/",MID($A1291,FIND("/",$A1291)+1,20))+1,20))),"")))</f>
        <v/>
      </c>
      <c r="E1291">
        <f>IF($A1291="","",IF(OR($B1291="",$C1291="",$D1291="",$B1291&lt;1300,$B1291&gt;1500,$C1291&lt;1,$C1291&gt;12,$D1291&lt;1,$D1291&gt;31),"نامعتبر",RIGHT("0000"&amp;$B1291,4)&amp;"/"&amp;RIGHT("00"&amp;$C1291,2)&amp;"/"&amp;RIGHT("00"&amp;$D1291,2)))</f>
        <v/>
      </c>
      <c r="F1291">
        <f>IF(Entry!$D1291&lt;&gt;"",IF(AND(ISNUMBER(Entry!$D1291),Entry!$D1291&gt;=0,Entry!$D1291&lt;1),RIGHT("00"&amp;HOUR(Entry!$D1291),2)&amp;":"&amp;RIGHT("00"&amp;MINUTE(Entry!$D1291),2),IFERROR(RIGHT("00"&amp;VALUE(TRIM(LEFT(Entry!$D1291,FIND(":",Entry!$D1291)-1))),2)&amp;":"&amp;RIGHT("00"&amp;VALUE(TRIM(MID(Entry!$D1291,FIND(":",Entry!$D1291)+1,2))),2),"نامعتبر")),IF(OR($E1291="",$E1291="نامعتبر"),"","00:00"))</f>
        <v/>
      </c>
      <c r="G1291">
        <f>IF(OR($E1291="",$E1291="نامعتبر"),"",IF(Entry!$E1291="","",LEFT(UPPER(TRIM(Entry!$E1291)),6)))</f>
        <v/>
      </c>
      <c r="H1291">
        <f>IF($G1291="","",RIGHT($E1291,4)&amp;MID($E1291,6,2)&amp;RIGHT($E1291,2)&amp;IF($F1291="","0000",IF($F1291="نامعتبر","9999",LEFT($F1291,2)&amp;RIGHT($F1291,2)))&amp;"|"&amp;RIGHT("00000"&amp;1283,5))</f>
        <v/>
      </c>
      <c r="I1291">
        <f>IF($H1291="","",COUNTIFS(CalcBank,$G1291,CalcKey,"&lt;"&amp;$H1291)+1)</f>
        <v/>
      </c>
      <c r="J1291">
        <f>IF($I1291="","",$G1291&amp;"|"&amp;RIGHT("000000"&amp;$I1291,6))</f>
        <v/>
      </c>
      <c r="K1291">
        <f>IF(OR($E1291="",$E1291="نامعتبر"),"",LEFT($E1291,4)&amp;"/"&amp;MID($E1291,6,2))</f>
        <v/>
      </c>
      <c r="L1291">
        <f>IF(Entry!$K1291="",0,Entry!$K1291)</f>
        <v/>
      </c>
      <c r="M1291">
        <f>IF(Entry!$L1291="",0,Entry!$L1291)</f>
        <v/>
      </c>
    </row>
    <row r="1292">
      <c r="A1292">
        <f>IF(Entry!$C1292="","",Entry!$C1292)</f>
        <v/>
      </c>
      <c r="B1292">
        <f>IF($A1292="","",IF(ISNUMBER($A1292),IF(AND($A1292&gt;=10000101,$A1292&lt;=99991231),INT($A1292/10000),""),IFERROR(VALUE(TRIM(LEFT($A1292,FIND("/",$A1292)-1))),"")))</f>
        <v/>
      </c>
      <c r="C1292">
        <f>IF(OR($A1292="",$B1292=""),"",IF(ISNUMBER($A1292),INT(MOD($A1292,10000)/100),IFERROR(VALUE(TRIM(LEFT(MID($A1292,FIND("/",$A1292)+1,20),FIND("/",MID($A1292,FIND("/",$A1292)+1,20))-1))),"")))</f>
        <v/>
      </c>
      <c r="D1292">
        <f>IF(OR($A1292="",$B1292=""),"",IF(ISNUMBER($A1292),MOD($A1292,100),IFERROR(VALUE(TRIM(MID(MID($A1292,FIND("/",$A1292)+1,20),FIND("/",MID($A1292,FIND("/",$A1292)+1,20))+1,20))),"")))</f>
        <v/>
      </c>
      <c r="E1292">
        <f>IF($A1292="","",IF(OR($B1292="",$C1292="",$D1292="",$B1292&lt;1300,$B1292&gt;1500,$C1292&lt;1,$C1292&gt;12,$D1292&lt;1,$D1292&gt;31),"نامعتبر",RIGHT("0000"&amp;$B1292,4)&amp;"/"&amp;RIGHT("00"&amp;$C1292,2)&amp;"/"&amp;RIGHT("00"&amp;$D1292,2)))</f>
        <v/>
      </c>
      <c r="F1292">
        <f>IF(Entry!$D1292&lt;&gt;"",IF(AND(ISNUMBER(Entry!$D1292),Entry!$D1292&gt;=0,Entry!$D1292&lt;1),RIGHT("00"&amp;HOUR(Entry!$D1292),2)&amp;":"&amp;RIGHT("00"&amp;MINUTE(Entry!$D1292),2),IFERROR(RIGHT("00"&amp;VALUE(TRIM(LEFT(Entry!$D1292,FIND(":",Entry!$D1292)-1))),2)&amp;":"&amp;RIGHT("00"&amp;VALUE(TRIM(MID(Entry!$D1292,FIND(":",Entry!$D1292)+1,2))),2),"نامعتبر")),IF(OR($E1292="",$E1292="نامعتبر"),"","00:00"))</f>
        <v/>
      </c>
      <c r="G1292">
        <f>IF(OR($E1292="",$E1292="نامعتبر"),"",IF(Entry!$E1292="","",LEFT(UPPER(TRIM(Entry!$E1292)),6)))</f>
        <v/>
      </c>
      <c r="H1292">
        <f>IF($G1292="","",RIGHT($E1292,4)&amp;MID($E1292,6,2)&amp;RIGHT($E1292,2)&amp;IF($F1292="","0000",IF($F1292="نامعتبر","9999",LEFT($F1292,2)&amp;RIGHT($F1292,2)))&amp;"|"&amp;RIGHT("00000"&amp;1284,5))</f>
        <v/>
      </c>
      <c r="I1292">
        <f>IF($H1292="","",COUNTIFS(CalcBank,$G1292,CalcKey,"&lt;"&amp;$H1292)+1)</f>
        <v/>
      </c>
      <c r="J1292">
        <f>IF($I1292="","",$G1292&amp;"|"&amp;RIGHT("000000"&amp;$I1292,6))</f>
        <v/>
      </c>
      <c r="K1292">
        <f>IF(OR($E1292="",$E1292="نامعتبر"),"",LEFT($E1292,4)&amp;"/"&amp;MID($E1292,6,2))</f>
        <v/>
      </c>
      <c r="L1292">
        <f>IF(Entry!$K1292="",0,Entry!$K1292)</f>
        <v/>
      </c>
      <c r="M1292">
        <f>IF(Entry!$L1292="",0,Entry!$L1292)</f>
        <v/>
      </c>
    </row>
    <row r="1293">
      <c r="A1293">
        <f>IF(Entry!$C1293="","",Entry!$C1293)</f>
        <v/>
      </c>
      <c r="B1293">
        <f>IF($A1293="","",IF(ISNUMBER($A1293),IF(AND($A1293&gt;=10000101,$A1293&lt;=99991231),INT($A1293/10000),""),IFERROR(VALUE(TRIM(LEFT($A1293,FIND("/",$A1293)-1))),"")))</f>
        <v/>
      </c>
      <c r="C1293">
        <f>IF(OR($A1293="",$B1293=""),"",IF(ISNUMBER($A1293),INT(MOD($A1293,10000)/100),IFERROR(VALUE(TRIM(LEFT(MID($A1293,FIND("/",$A1293)+1,20),FIND("/",MID($A1293,FIND("/",$A1293)+1,20))-1))),"")))</f>
        <v/>
      </c>
      <c r="D1293">
        <f>IF(OR($A1293="",$B1293=""),"",IF(ISNUMBER($A1293),MOD($A1293,100),IFERROR(VALUE(TRIM(MID(MID($A1293,FIND("/",$A1293)+1,20),FIND("/",MID($A1293,FIND("/",$A1293)+1,20))+1,20))),"")))</f>
        <v/>
      </c>
      <c r="E1293">
        <f>IF($A1293="","",IF(OR($B1293="",$C1293="",$D1293="",$B1293&lt;1300,$B1293&gt;1500,$C1293&lt;1,$C1293&gt;12,$D1293&lt;1,$D1293&gt;31),"نامعتبر",RIGHT("0000"&amp;$B1293,4)&amp;"/"&amp;RIGHT("00"&amp;$C1293,2)&amp;"/"&amp;RIGHT("00"&amp;$D1293,2)))</f>
        <v/>
      </c>
      <c r="F1293">
        <f>IF(Entry!$D1293&lt;&gt;"",IF(AND(ISNUMBER(Entry!$D1293),Entry!$D1293&gt;=0,Entry!$D1293&lt;1),RIGHT("00"&amp;HOUR(Entry!$D1293),2)&amp;":"&amp;RIGHT("00"&amp;MINUTE(Entry!$D1293),2),IFERROR(RIGHT("00"&amp;VALUE(TRIM(LEFT(Entry!$D1293,FIND(":",Entry!$D1293)-1))),2)&amp;":"&amp;RIGHT("00"&amp;VALUE(TRIM(MID(Entry!$D1293,FIND(":",Entry!$D1293)+1,2))),2),"نامعتبر")),IF(OR($E1293="",$E1293="نامعتبر"),"","00:00"))</f>
        <v/>
      </c>
      <c r="G1293">
        <f>IF(OR($E1293="",$E1293="نامعتبر"),"",IF(Entry!$E1293="","",LEFT(UPPER(TRIM(Entry!$E1293)),6)))</f>
        <v/>
      </c>
      <c r="H1293">
        <f>IF($G1293="","",RIGHT($E1293,4)&amp;MID($E1293,6,2)&amp;RIGHT($E1293,2)&amp;IF($F1293="","0000",IF($F1293="نامعتبر","9999",LEFT($F1293,2)&amp;RIGHT($F1293,2)))&amp;"|"&amp;RIGHT("00000"&amp;1285,5))</f>
        <v/>
      </c>
      <c r="I1293">
        <f>IF($H1293="","",COUNTIFS(CalcBank,$G1293,CalcKey,"&lt;"&amp;$H1293)+1)</f>
        <v/>
      </c>
      <c r="J1293">
        <f>IF($I1293="","",$G1293&amp;"|"&amp;RIGHT("000000"&amp;$I1293,6))</f>
        <v/>
      </c>
      <c r="K1293">
        <f>IF(OR($E1293="",$E1293="نامعتبر"),"",LEFT($E1293,4)&amp;"/"&amp;MID($E1293,6,2))</f>
        <v/>
      </c>
      <c r="L1293">
        <f>IF(Entry!$K1293="",0,Entry!$K1293)</f>
        <v/>
      </c>
      <c r="M1293">
        <f>IF(Entry!$L1293="",0,Entry!$L1293)</f>
        <v/>
      </c>
    </row>
    <row r="1294">
      <c r="A1294">
        <f>IF(Entry!$C1294="","",Entry!$C1294)</f>
        <v/>
      </c>
      <c r="B1294">
        <f>IF($A1294="","",IF(ISNUMBER($A1294),IF(AND($A1294&gt;=10000101,$A1294&lt;=99991231),INT($A1294/10000),""),IFERROR(VALUE(TRIM(LEFT($A1294,FIND("/",$A1294)-1))),"")))</f>
        <v/>
      </c>
      <c r="C1294">
        <f>IF(OR($A1294="",$B1294=""),"",IF(ISNUMBER($A1294),INT(MOD($A1294,10000)/100),IFERROR(VALUE(TRIM(LEFT(MID($A1294,FIND("/",$A1294)+1,20),FIND("/",MID($A1294,FIND("/",$A1294)+1,20))-1))),"")))</f>
        <v/>
      </c>
      <c r="D1294">
        <f>IF(OR($A1294="",$B1294=""),"",IF(ISNUMBER($A1294),MOD($A1294,100),IFERROR(VALUE(TRIM(MID(MID($A1294,FIND("/",$A1294)+1,20),FIND("/",MID($A1294,FIND("/",$A1294)+1,20))+1,20))),"")))</f>
        <v/>
      </c>
      <c r="E1294">
        <f>IF($A1294="","",IF(OR($B1294="",$C1294="",$D1294="",$B1294&lt;1300,$B1294&gt;1500,$C1294&lt;1,$C1294&gt;12,$D1294&lt;1,$D1294&gt;31),"نامعتبر",RIGHT("0000"&amp;$B1294,4)&amp;"/"&amp;RIGHT("00"&amp;$C1294,2)&amp;"/"&amp;RIGHT("00"&amp;$D1294,2)))</f>
        <v/>
      </c>
      <c r="F1294">
        <f>IF(Entry!$D1294&lt;&gt;"",IF(AND(ISNUMBER(Entry!$D1294),Entry!$D1294&gt;=0,Entry!$D1294&lt;1),RIGHT("00"&amp;HOUR(Entry!$D1294),2)&amp;":"&amp;RIGHT("00"&amp;MINUTE(Entry!$D1294),2),IFERROR(RIGHT("00"&amp;VALUE(TRIM(LEFT(Entry!$D1294,FIND(":",Entry!$D1294)-1))),2)&amp;":"&amp;RIGHT("00"&amp;VALUE(TRIM(MID(Entry!$D1294,FIND(":",Entry!$D1294)+1,2))),2),"نامعتبر")),IF(OR($E1294="",$E1294="نامعتبر"),"","00:00"))</f>
        <v/>
      </c>
      <c r="G1294">
        <f>IF(OR($E1294="",$E1294="نامعتبر"),"",IF(Entry!$E1294="","",LEFT(UPPER(TRIM(Entry!$E1294)),6)))</f>
        <v/>
      </c>
      <c r="H1294">
        <f>IF($G1294="","",RIGHT($E1294,4)&amp;MID($E1294,6,2)&amp;RIGHT($E1294,2)&amp;IF($F1294="","0000",IF($F1294="نامعتبر","9999",LEFT($F1294,2)&amp;RIGHT($F1294,2)))&amp;"|"&amp;RIGHT("00000"&amp;1286,5))</f>
        <v/>
      </c>
      <c r="I1294">
        <f>IF($H1294="","",COUNTIFS(CalcBank,$G1294,CalcKey,"&lt;"&amp;$H1294)+1)</f>
        <v/>
      </c>
      <c r="J1294">
        <f>IF($I1294="","",$G1294&amp;"|"&amp;RIGHT("000000"&amp;$I1294,6))</f>
        <v/>
      </c>
      <c r="K1294">
        <f>IF(OR($E1294="",$E1294="نامعتبر"),"",LEFT($E1294,4)&amp;"/"&amp;MID($E1294,6,2))</f>
        <v/>
      </c>
      <c r="L1294">
        <f>IF(Entry!$K1294="",0,Entry!$K1294)</f>
        <v/>
      </c>
      <c r="M1294">
        <f>IF(Entry!$L1294="",0,Entry!$L1294)</f>
        <v/>
      </c>
    </row>
    <row r="1295">
      <c r="A1295">
        <f>IF(Entry!$C1295="","",Entry!$C1295)</f>
        <v/>
      </c>
      <c r="B1295">
        <f>IF($A1295="","",IF(ISNUMBER($A1295),IF(AND($A1295&gt;=10000101,$A1295&lt;=99991231),INT($A1295/10000),""),IFERROR(VALUE(TRIM(LEFT($A1295,FIND("/",$A1295)-1))),"")))</f>
        <v/>
      </c>
      <c r="C1295">
        <f>IF(OR($A1295="",$B1295=""),"",IF(ISNUMBER($A1295),INT(MOD($A1295,10000)/100),IFERROR(VALUE(TRIM(LEFT(MID($A1295,FIND("/",$A1295)+1,20),FIND("/",MID($A1295,FIND("/",$A1295)+1,20))-1))),"")))</f>
        <v/>
      </c>
      <c r="D1295">
        <f>IF(OR($A1295="",$B1295=""),"",IF(ISNUMBER($A1295),MOD($A1295,100),IFERROR(VALUE(TRIM(MID(MID($A1295,FIND("/",$A1295)+1,20),FIND("/",MID($A1295,FIND("/",$A1295)+1,20))+1,20))),"")))</f>
        <v/>
      </c>
      <c r="E1295">
        <f>IF($A1295="","",IF(OR($B1295="",$C1295="",$D1295="",$B1295&lt;1300,$B1295&gt;1500,$C1295&lt;1,$C1295&gt;12,$D1295&lt;1,$D1295&gt;31),"نامعتبر",RIGHT("0000"&amp;$B1295,4)&amp;"/"&amp;RIGHT("00"&amp;$C1295,2)&amp;"/"&amp;RIGHT("00"&amp;$D1295,2)))</f>
        <v/>
      </c>
      <c r="F1295">
        <f>IF(Entry!$D1295&lt;&gt;"",IF(AND(ISNUMBER(Entry!$D1295),Entry!$D1295&gt;=0,Entry!$D1295&lt;1),RIGHT("00"&amp;HOUR(Entry!$D1295),2)&amp;":"&amp;RIGHT("00"&amp;MINUTE(Entry!$D1295),2),IFERROR(RIGHT("00"&amp;VALUE(TRIM(LEFT(Entry!$D1295,FIND(":",Entry!$D1295)-1))),2)&amp;":"&amp;RIGHT("00"&amp;VALUE(TRIM(MID(Entry!$D1295,FIND(":",Entry!$D1295)+1,2))),2),"نامعتبر")),IF(OR($E1295="",$E1295="نامعتبر"),"","00:00"))</f>
        <v/>
      </c>
      <c r="G1295">
        <f>IF(OR($E1295="",$E1295="نامعتبر"),"",IF(Entry!$E1295="","",LEFT(UPPER(TRIM(Entry!$E1295)),6)))</f>
        <v/>
      </c>
      <c r="H1295">
        <f>IF($G1295="","",RIGHT($E1295,4)&amp;MID($E1295,6,2)&amp;RIGHT($E1295,2)&amp;IF($F1295="","0000",IF($F1295="نامعتبر","9999",LEFT($F1295,2)&amp;RIGHT($F1295,2)))&amp;"|"&amp;RIGHT("00000"&amp;1287,5))</f>
        <v/>
      </c>
      <c r="I1295">
        <f>IF($H1295="","",COUNTIFS(CalcBank,$G1295,CalcKey,"&lt;"&amp;$H1295)+1)</f>
        <v/>
      </c>
      <c r="J1295">
        <f>IF($I1295="","",$G1295&amp;"|"&amp;RIGHT("000000"&amp;$I1295,6))</f>
        <v/>
      </c>
      <c r="K1295">
        <f>IF(OR($E1295="",$E1295="نامعتبر"),"",LEFT($E1295,4)&amp;"/"&amp;MID($E1295,6,2))</f>
        <v/>
      </c>
      <c r="L1295">
        <f>IF(Entry!$K1295="",0,Entry!$K1295)</f>
        <v/>
      </c>
      <c r="M1295">
        <f>IF(Entry!$L1295="",0,Entry!$L1295)</f>
        <v/>
      </c>
    </row>
    <row r="1296">
      <c r="A1296">
        <f>IF(Entry!$C1296="","",Entry!$C1296)</f>
        <v/>
      </c>
      <c r="B1296">
        <f>IF($A1296="","",IF(ISNUMBER($A1296),IF(AND($A1296&gt;=10000101,$A1296&lt;=99991231),INT($A1296/10000),""),IFERROR(VALUE(TRIM(LEFT($A1296,FIND("/",$A1296)-1))),"")))</f>
        <v/>
      </c>
      <c r="C1296">
        <f>IF(OR($A1296="",$B1296=""),"",IF(ISNUMBER($A1296),INT(MOD($A1296,10000)/100),IFERROR(VALUE(TRIM(LEFT(MID($A1296,FIND("/",$A1296)+1,20),FIND("/",MID($A1296,FIND("/",$A1296)+1,20))-1))),"")))</f>
        <v/>
      </c>
      <c r="D1296">
        <f>IF(OR($A1296="",$B1296=""),"",IF(ISNUMBER($A1296),MOD($A1296,100),IFERROR(VALUE(TRIM(MID(MID($A1296,FIND("/",$A1296)+1,20),FIND("/",MID($A1296,FIND("/",$A1296)+1,20))+1,20))),"")))</f>
        <v/>
      </c>
      <c r="E1296">
        <f>IF($A1296="","",IF(OR($B1296="",$C1296="",$D1296="",$B1296&lt;1300,$B1296&gt;1500,$C1296&lt;1,$C1296&gt;12,$D1296&lt;1,$D1296&gt;31),"نامعتبر",RIGHT("0000"&amp;$B1296,4)&amp;"/"&amp;RIGHT("00"&amp;$C1296,2)&amp;"/"&amp;RIGHT("00"&amp;$D1296,2)))</f>
        <v/>
      </c>
      <c r="F1296">
        <f>IF(Entry!$D1296&lt;&gt;"",IF(AND(ISNUMBER(Entry!$D1296),Entry!$D1296&gt;=0,Entry!$D1296&lt;1),RIGHT("00"&amp;HOUR(Entry!$D1296),2)&amp;":"&amp;RIGHT("00"&amp;MINUTE(Entry!$D1296),2),IFERROR(RIGHT("00"&amp;VALUE(TRIM(LEFT(Entry!$D1296,FIND(":",Entry!$D1296)-1))),2)&amp;":"&amp;RIGHT("00"&amp;VALUE(TRIM(MID(Entry!$D1296,FIND(":",Entry!$D1296)+1,2))),2),"نامعتبر")),IF(OR($E1296="",$E1296="نامعتبر"),"","00:00"))</f>
        <v/>
      </c>
      <c r="G1296">
        <f>IF(OR($E1296="",$E1296="نامعتبر"),"",IF(Entry!$E1296="","",LEFT(UPPER(TRIM(Entry!$E1296)),6)))</f>
        <v/>
      </c>
      <c r="H1296">
        <f>IF($G1296="","",RIGHT($E1296,4)&amp;MID($E1296,6,2)&amp;RIGHT($E1296,2)&amp;IF($F1296="","0000",IF($F1296="نامعتبر","9999",LEFT($F1296,2)&amp;RIGHT($F1296,2)))&amp;"|"&amp;RIGHT("00000"&amp;1288,5))</f>
        <v/>
      </c>
      <c r="I1296">
        <f>IF($H1296="","",COUNTIFS(CalcBank,$G1296,CalcKey,"&lt;"&amp;$H1296)+1)</f>
        <v/>
      </c>
      <c r="J1296">
        <f>IF($I1296="","",$G1296&amp;"|"&amp;RIGHT("000000"&amp;$I1296,6))</f>
        <v/>
      </c>
      <c r="K1296">
        <f>IF(OR($E1296="",$E1296="نامعتبر"),"",LEFT($E1296,4)&amp;"/"&amp;MID($E1296,6,2))</f>
        <v/>
      </c>
      <c r="L1296">
        <f>IF(Entry!$K1296="",0,Entry!$K1296)</f>
        <v/>
      </c>
      <c r="M1296">
        <f>IF(Entry!$L1296="",0,Entry!$L1296)</f>
        <v/>
      </c>
    </row>
    <row r="1297">
      <c r="A1297">
        <f>IF(Entry!$C1297="","",Entry!$C1297)</f>
        <v/>
      </c>
      <c r="B1297">
        <f>IF($A1297="","",IF(ISNUMBER($A1297),IF(AND($A1297&gt;=10000101,$A1297&lt;=99991231),INT($A1297/10000),""),IFERROR(VALUE(TRIM(LEFT($A1297,FIND("/",$A1297)-1))),"")))</f>
        <v/>
      </c>
      <c r="C1297">
        <f>IF(OR($A1297="",$B1297=""),"",IF(ISNUMBER($A1297),INT(MOD($A1297,10000)/100),IFERROR(VALUE(TRIM(LEFT(MID($A1297,FIND("/",$A1297)+1,20),FIND("/",MID($A1297,FIND("/",$A1297)+1,20))-1))),"")))</f>
        <v/>
      </c>
      <c r="D1297">
        <f>IF(OR($A1297="",$B1297=""),"",IF(ISNUMBER($A1297),MOD($A1297,100),IFERROR(VALUE(TRIM(MID(MID($A1297,FIND("/",$A1297)+1,20),FIND("/",MID($A1297,FIND("/",$A1297)+1,20))+1,20))),"")))</f>
        <v/>
      </c>
      <c r="E1297">
        <f>IF($A1297="","",IF(OR($B1297="",$C1297="",$D1297="",$B1297&lt;1300,$B1297&gt;1500,$C1297&lt;1,$C1297&gt;12,$D1297&lt;1,$D1297&gt;31),"نامعتبر",RIGHT("0000"&amp;$B1297,4)&amp;"/"&amp;RIGHT("00"&amp;$C1297,2)&amp;"/"&amp;RIGHT("00"&amp;$D1297,2)))</f>
        <v/>
      </c>
      <c r="F1297">
        <f>IF(Entry!$D1297&lt;&gt;"",IF(AND(ISNUMBER(Entry!$D1297),Entry!$D1297&gt;=0,Entry!$D1297&lt;1),RIGHT("00"&amp;HOUR(Entry!$D1297),2)&amp;":"&amp;RIGHT("00"&amp;MINUTE(Entry!$D1297),2),IFERROR(RIGHT("00"&amp;VALUE(TRIM(LEFT(Entry!$D1297,FIND(":",Entry!$D1297)-1))),2)&amp;":"&amp;RIGHT("00"&amp;VALUE(TRIM(MID(Entry!$D1297,FIND(":",Entry!$D1297)+1,2))),2),"نامعتبر")),IF(OR($E1297="",$E1297="نامعتبر"),"","00:00"))</f>
        <v/>
      </c>
      <c r="G1297">
        <f>IF(OR($E1297="",$E1297="نامعتبر"),"",IF(Entry!$E1297="","",LEFT(UPPER(TRIM(Entry!$E1297)),6)))</f>
        <v/>
      </c>
      <c r="H1297">
        <f>IF($G1297="","",RIGHT($E1297,4)&amp;MID($E1297,6,2)&amp;RIGHT($E1297,2)&amp;IF($F1297="","0000",IF($F1297="نامعتبر","9999",LEFT($F1297,2)&amp;RIGHT($F1297,2)))&amp;"|"&amp;RIGHT("00000"&amp;1289,5))</f>
        <v/>
      </c>
      <c r="I1297">
        <f>IF($H1297="","",COUNTIFS(CalcBank,$G1297,CalcKey,"&lt;"&amp;$H1297)+1)</f>
        <v/>
      </c>
      <c r="J1297">
        <f>IF($I1297="","",$G1297&amp;"|"&amp;RIGHT("000000"&amp;$I1297,6))</f>
        <v/>
      </c>
      <c r="K1297">
        <f>IF(OR($E1297="",$E1297="نامعتبر"),"",LEFT($E1297,4)&amp;"/"&amp;MID($E1297,6,2))</f>
        <v/>
      </c>
      <c r="L1297">
        <f>IF(Entry!$K1297="",0,Entry!$K1297)</f>
        <v/>
      </c>
      <c r="M1297">
        <f>IF(Entry!$L1297="",0,Entry!$L1297)</f>
        <v/>
      </c>
    </row>
    <row r="1298">
      <c r="A1298">
        <f>IF(Entry!$C1298="","",Entry!$C1298)</f>
        <v/>
      </c>
      <c r="B1298">
        <f>IF($A1298="","",IF(ISNUMBER($A1298),IF(AND($A1298&gt;=10000101,$A1298&lt;=99991231),INT($A1298/10000),""),IFERROR(VALUE(TRIM(LEFT($A1298,FIND("/",$A1298)-1))),"")))</f>
        <v/>
      </c>
      <c r="C1298">
        <f>IF(OR($A1298="",$B1298=""),"",IF(ISNUMBER($A1298),INT(MOD($A1298,10000)/100),IFERROR(VALUE(TRIM(LEFT(MID($A1298,FIND("/",$A1298)+1,20),FIND("/",MID($A1298,FIND("/",$A1298)+1,20))-1))),"")))</f>
        <v/>
      </c>
      <c r="D1298">
        <f>IF(OR($A1298="",$B1298=""),"",IF(ISNUMBER($A1298),MOD($A1298,100),IFERROR(VALUE(TRIM(MID(MID($A1298,FIND("/",$A1298)+1,20),FIND("/",MID($A1298,FIND("/",$A1298)+1,20))+1,20))),"")))</f>
        <v/>
      </c>
      <c r="E1298">
        <f>IF($A1298="","",IF(OR($B1298="",$C1298="",$D1298="",$B1298&lt;1300,$B1298&gt;1500,$C1298&lt;1,$C1298&gt;12,$D1298&lt;1,$D1298&gt;31),"نامعتبر",RIGHT("0000"&amp;$B1298,4)&amp;"/"&amp;RIGHT("00"&amp;$C1298,2)&amp;"/"&amp;RIGHT("00"&amp;$D1298,2)))</f>
        <v/>
      </c>
      <c r="F1298">
        <f>IF(Entry!$D1298&lt;&gt;"",IF(AND(ISNUMBER(Entry!$D1298),Entry!$D1298&gt;=0,Entry!$D1298&lt;1),RIGHT("00"&amp;HOUR(Entry!$D1298),2)&amp;":"&amp;RIGHT("00"&amp;MINUTE(Entry!$D1298),2),IFERROR(RIGHT("00"&amp;VALUE(TRIM(LEFT(Entry!$D1298,FIND(":",Entry!$D1298)-1))),2)&amp;":"&amp;RIGHT("00"&amp;VALUE(TRIM(MID(Entry!$D1298,FIND(":",Entry!$D1298)+1,2))),2),"نامعتبر")),IF(OR($E1298="",$E1298="نامعتبر"),"","00:00"))</f>
        <v/>
      </c>
      <c r="G1298">
        <f>IF(OR($E1298="",$E1298="نامعتبر"),"",IF(Entry!$E1298="","",LEFT(UPPER(TRIM(Entry!$E1298)),6)))</f>
        <v/>
      </c>
      <c r="H1298">
        <f>IF($G1298="","",RIGHT($E1298,4)&amp;MID($E1298,6,2)&amp;RIGHT($E1298,2)&amp;IF($F1298="","0000",IF($F1298="نامعتبر","9999",LEFT($F1298,2)&amp;RIGHT($F1298,2)))&amp;"|"&amp;RIGHT("00000"&amp;1290,5))</f>
        <v/>
      </c>
      <c r="I1298">
        <f>IF($H1298="","",COUNTIFS(CalcBank,$G1298,CalcKey,"&lt;"&amp;$H1298)+1)</f>
        <v/>
      </c>
      <c r="J1298">
        <f>IF($I1298="","",$G1298&amp;"|"&amp;RIGHT("000000"&amp;$I1298,6))</f>
        <v/>
      </c>
      <c r="K1298">
        <f>IF(OR($E1298="",$E1298="نامعتبر"),"",LEFT($E1298,4)&amp;"/"&amp;MID($E1298,6,2))</f>
        <v/>
      </c>
      <c r="L1298">
        <f>IF(Entry!$K1298="",0,Entry!$K1298)</f>
        <v/>
      </c>
      <c r="M1298">
        <f>IF(Entry!$L1298="",0,Entry!$L1298)</f>
        <v/>
      </c>
    </row>
    <row r="1299">
      <c r="A1299">
        <f>IF(Entry!$C1299="","",Entry!$C1299)</f>
        <v/>
      </c>
      <c r="B1299">
        <f>IF($A1299="","",IF(ISNUMBER($A1299),IF(AND($A1299&gt;=10000101,$A1299&lt;=99991231),INT($A1299/10000),""),IFERROR(VALUE(TRIM(LEFT($A1299,FIND("/",$A1299)-1))),"")))</f>
        <v/>
      </c>
      <c r="C1299">
        <f>IF(OR($A1299="",$B1299=""),"",IF(ISNUMBER($A1299),INT(MOD($A1299,10000)/100),IFERROR(VALUE(TRIM(LEFT(MID($A1299,FIND("/",$A1299)+1,20),FIND("/",MID($A1299,FIND("/",$A1299)+1,20))-1))),"")))</f>
        <v/>
      </c>
      <c r="D1299">
        <f>IF(OR($A1299="",$B1299=""),"",IF(ISNUMBER($A1299),MOD($A1299,100),IFERROR(VALUE(TRIM(MID(MID($A1299,FIND("/",$A1299)+1,20),FIND("/",MID($A1299,FIND("/",$A1299)+1,20))+1,20))),"")))</f>
        <v/>
      </c>
      <c r="E1299">
        <f>IF($A1299="","",IF(OR($B1299="",$C1299="",$D1299="",$B1299&lt;1300,$B1299&gt;1500,$C1299&lt;1,$C1299&gt;12,$D1299&lt;1,$D1299&gt;31),"نامعتبر",RIGHT("0000"&amp;$B1299,4)&amp;"/"&amp;RIGHT("00"&amp;$C1299,2)&amp;"/"&amp;RIGHT("00"&amp;$D1299,2)))</f>
        <v/>
      </c>
      <c r="F1299">
        <f>IF(Entry!$D1299&lt;&gt;"",IF(AND(ISNUMBER(Entry!$D1299),Entry!$D1299&gt;=0,Entry!$D1299&lt;1),RIGHT("00"&amp;HOUR(Entry!$D1299),2)&amp;":"&amp;RIGHT("00"&amp;MINUTE(Entry!$D1299),2),IFERROR(RIGHT("00"&amp;VALUE(TRIM(LEFT(Entry!$D1299,FIND(":",Entry!$D1299)-1))),2)&amp;":"&amp;RIGHT("00"&amp;VALUE(TRIM(MID(Entry!$D1299,FIND(":",Entry!$D1299)+1,2))),2),"نامعتبر")),IF(OR($E1299="",$E1299="نامعتبر"),"","00:00"))</f>
        <v/>
      </c>
      <c r="G1299">
        <f>IF(OR($E1299="",$E1299="نامعتبر"),"",IF(Entry!$E1299="","",LEFT(UPPER(TRIM(Entry!$E1299)),6)))</f>
        <v/>
      </c>
      <c r="H1299">
        <f>IF($G1299="","",RIGHT($E1299,4)&amp;MID($E1299,6,2)&amp;RIGHT($E1299,2)&amp;IF($F1299="","0000",IF($F1299="نامعتبر","9999",LEFT($F1299,2)&amp;RIGHT($F1299,2)))&amp;"|"&amp;RIGHT("00000"&amp;1291,5))</f>
        <v/>
      </c>
      <c r="I1299">
        <f>IF($H1299="","",COUNTIFS(CalcBank,$G1299,CalcKey,"&lt;"&amp;$H1299)+1)</f>
        <v/>
      </c>
      <c r="J1299">
        <f>IF($I1299="","",$G1299&amp;"|"&amp;RIGHT("000000"&amp;$I1299,6))</f>
        <v/>
      </c>
      <c r="K1299">
        <f>IF(OR($E1299="",$E1299="نامعتبر"),"",LEFT($E1299,4)&amp;"/"&amp;MID($E1299,6,2))</f>
        <v/>
      </c>
      <c r="L1299">
        <f>IF(Entry!$K1299="",0,Entry!$K1299)</f>
        <v/>
      </c>
      <c r="M1299">
        <f>IF(Entry!$L1299="",0,Entry!$L1299)</f>
        <v/>
      </c>
    </row>
    <row r="1300">
      <c r="A1300">
        <f>IF(Entry!$C1300="","",Entry!$C1300)</f>
        <v/>
      </c>
      <c r="B1300">
        <f>IF($A1300="","",IF(ISNUMBER($A1300),IF(AND($A1300&gt;=10000101,$A1300&lt;=99991231),INT($A1300/10000),""),IFERROR(VALUE(TRIM(LEFT($A1300,FIND("/",$A1300)-1))),"")))</f>
        <v/>
      </c>
      <c r="C1300">
        <f>IF(OR($A1300="",$B1300=""),"",IF(ISNUMBER($A1300),INT(MOD($A1300,10000)/100),IFERROR(VALUE(TRIM(LEFT(MID($A1300,FIND("/",$A1300)+1,20),FIND("/",MID($A1300,FIND("/",$A1300)+1,20))-1))),"")))</f>
        <v/>
      </c>
      <c r="D1300">
        <f>IF(OR($A1300="",$B1300=""),"",IF(ISNUMBER($A1300),MOD($A1300,100),IFERROR(VALUE(TRIM(MID(MID($A1300,FIND("/",$A1300)+1,20),FIND("/",MID($A1300,FIND("/",$A1300)+1,20))+1,20))),"")))</f>
        <v/>
      </c>
      <c r="E1300">
        <f>IF($A1300="","",IF(OR($B1300="",$C1300="",$D1300="",$B1300&lt;1300,$B1300&gt;1500,$C1300&lt;1,$C1300&gt;12,$D1300&lt;1,$D1300&gt;31),"نامعتبر",RIGHT("0000"&amp;$B1300,4)&amp;"/"&amp;RIGHT("00"&amp;$C1300,2)&amp;"/"&amp;RIGHT("00"&amp;$D1300,2)))</f>
        <v/>
      </c>
      <c r="F1300">
        <f>IF(Entry!$D1300&lt;&gt;"",IF(AND(ISNUMBER(Entry!$D1300),Entry!$D1300&gt;=0,Entry!$D1300&lt;1),RIGHT("00"&amp;HOUR(Entry!$D1300),2)&amp;":"&amp;RIGHT("00"&amp;MINUTE(Entry!$D1300),2),IFERROR(RIGHT("00"&amp;VALUE(TRIM(LEFT(Entry!$D1300,FIND(":",Entry!$D1300)-1))),2)&amp;":"&amp;RIGHT("00"&amp;VALUE(TRIM(MID(Entry!$D1300,FIND(":",Entry!$D1300)+1,2))),2),"نامعتبر")),IF(OR($E1300="",$E1300="نامعتبر"),"","00:00"))</f>
        <v/>
      </c>
      <c r="G1300">
        <f>IF(OR($E1300="",$E1300="نامعتبر"),"",IF(Entry!$E1300="","",LEFT(UPPER(TRIM(Entry!$E1300)),6)))</f>
        <v/>
      </c>
      <c r="H1300">
        <f>IF($G1300="","",RIGHT($E1300,4)&amp;MID($E1300,6,2)&amp;RIGHT($E1300,2)&amp;IF($F1300="","0000",IF($F1300="نامعتبر","9999",LEFT($F1300,2)&amp;RIGHT($F1300,2)))&amp;"|"&amp;RIGHT("00000"&amp;1292,5))</f>
        <v/>
      </c>
      <c r="I1300">
        <f>IF($H1300="","",COUNTIFS(CalcBank,$G1300,CalcKey,"&lt;"&amp;$H1300)+1)</f>
        <v/>
      </c>
      <c r="J1300">
        <f>IF($I1300="","",$G1300&amp;"|"&amp;RIGHT("000000"&amp;$I1300,6))</f>
        <v/>
      </c>
      <c r="K1300">
        <f>IF(OR($E1300="",$E1300="نامعتبر"),"",LEFT($E1300,4)&amp;"/"&amp;MID($E1300,6,2))</f>
        <v/>
      </c>
      <c r="L1300">
        <f>IF(Entry!$K1300="",0,Entry!$K1300)</f>
        <v/>
      </c>
      <c r="M1300">
        <f>IF(Entry!$L1300="",0,Entry!$L1300)</f>
        <v/>
      </c>
    </row>
    <row r="1301">
      <c r="A1301">
        <f>IF(Entry!$C1301="","",Entry!$C1301)</f>
        <v/>
      </c>
      <c r="B1301">
        <f>IF($A1301="","",IF(ISNUMBER($A1301),IF(AND($A1301&gt;=10000101,$A1301&lt;=99991231),INT($A1301/10000),""),IFERROR(VALUE(TRIM(LEFT($A1301,FIND("/",$A1301)-1))),"")))</f>
        <v/>
      </c>
      <c r="C1301">
        <f>IF(OR($A1301="",$B1301=""),"",IF(ISNUMBER($A1301),INT(MOD($A1301,10000)/100),IFERROR(VALUE(TRIM(LEFT(MID($A1301,FIND("/",$A1301)+1,20),FIND("/",MID($A1301,FIND("/",$A1301)+1,20))-1))),"")))</f>
        <v/>
      </c>
      <c r="D1301">
        <f>IF(OR($A1301="",$B1301=""),"",IF(ISNUMBER($A1301),MOD($A1301,100),IFERROR(VALUE(TRIM(MID(MID($A1301,FIND("/",$A1301)+1,20),FIND("/",MID($A1301,FIND("/",$A1301)+1,20))+1,20))),"")))</f>
        <v/>
      </c>
      <c r="E1301">
        <f>IF($A1301="","",IF(OR($B1301="",$C1301="",$D1301="",$B1301&lt;1300,$B1301&gt;1500,$C1301&lt;1,$C1301&gt;12,$D1301&lt;1,$D1301&gt;31),"نامعتبر",RIGHT("0000"&amp;$B1301,4)&amp;"/"&amp;RIGHT("00"&amp;$C1301,2)&amp;"/"&amp;RIGHT("00"&amp;$D1301,2)))</f>
        <v/>
      </c>
      <c r="F1301">
        <f>IF(Entry!$D1301&lt;&gt;"",IF(AND(ISNUMBER(Entry!$D1301),Entry!$D1301&gt;=0,Entry!$D1301&lt;1),RIGHT("00"&amp;HOUR(Entry!$D1301),2)&amp;":"&amp;RIGHT("00"&amp;MINUTE(Entry!$D1301),2),IFERROR(RIGHT("00"&amp;VALUE(TRIM(LEFT(Entry!$D1301,FIND(":",Entry!$D1301)-1))),2)&amp;":"&amp;RIGHT("00"&amp;VALUE(TRIM(MID(Entry!$D1301,FIND(":",Entry!$D1301)+1,2))),2),"نامعتبر")),IF(OR($E1301="",$E1301="نامعتبر"),"","00:00"))</f>
        <v/>
      </c>
      <c r="G1301">
        <f>IF(OR($E1301="",$E1301="نامعتبر"),"",IF(Entry!$E1301="","",LEFT(UPPER(TRIM(Entry!$E1301)),6)))</f>
        <v/>
      </c>
      <c r="H1301">
        <f>IF($G1301="","",RIGHT($E1301,4)&amp;MID($E1301,6,2)&amp;RIGHT($E1301,2)&amp;IF($F1301="","0000",IF($F1301="نامعتبر","9999",LEFT($F1301,2)&amp;RIGHT($F1301,2)))&amp;"|"&amp;RIGHT("00000"&amp;1293,5))</f>
        <v/>
      </c>
      <c r="I1301">
        <f>IF($H1301="","",COUNTIFS(CalcBank,$G1301,CalcKey,"&lt;"&amp;$H1301)+1)</f>
        <v/>
      </c>
      <c r="J1301">
        <f>IF($I1301="","",$G1301&amp;"|"&amp;RIGHT("000000"&amp;$I1301,6))</f>
        <v/>
      </c>
      <c r="K1301">
        <f>IF(OR($E1301="",$E1301="نامعتبر"),"",LEFT($E1301,4)&amp;"/"&amp;MID($E1301,6,2))</f>
        <v/>
      </c>
      <c r="L1301">
        <f>IF(Entry!$K1301="",0,Entry!$K1301)</f>
        <v/>
      </c>
      <c r="M1301">
        <f>IF(Entry!$L1301="",0,Entry!$L1301)</f>
        <v/>
      </c>
    </row>
    <row r="1302">
      <c r="A1302">
        <f>IF(Entry!$C1302="","",Entry!$C1302)</f>
        <v/>
      </c>
      <c r="B1302">
        <f>IF($A1302="","",IF(ISNUMBER($A1302),IF(AND($A1302&gt;=10000101,$A1302&lt;=99991231),INT($A1302/10000),""),IFERROR(VALUE(TRIM(LEFT($A1302,FIND("/",$A1302)-1))),"")))</f>
        <v/>
      </c>
      <c r="C1302">
        <f>IF(OR($A1302="",$B1302=""),"",IF(ISNUMBER($A1302),INT(MOD($A1302,10000)/100),IFERROR(VALUE(TRIM(LEFT(MID($A1302,FIND("/",$A1302)+1,20),FIND("/",MID($A1302,FIND("/",$A1302)+1,20))-1))),"")))</f>
        <v/>
      </c>
      <c r="D1302">
        <f>IF(OR($A1302="",$B1302=""),"",IF(ISNUMBER($A1302),MOD($A1302,100),IFERROR(VALUE(TRIM(MID(MID($A1302,FIND("/",$A1302)+1,20),FIND("/",MID($A1302,FIND("/",$A1302)+1,20))+1,20))),"")))</f>
        <v/>
      </c>
      <c r="E1302">
        <f>IF($A1302="","",IF(OR($B1302="",$C1302="",$D1302="",$B1302&lt;1300,$B1302&gt;1500,$C1302&lt;1,$C1302&gt;12,$D1302&lt;1,$D1302&gt;31),"نامعتبر",RIGHT("0000"&amp;$B1302,4)&amp;"/"&amp;RIGHT("00"&amp;$C1302,2)&amp;"/"&amp;RIGHT("00"&amp;$D1302,2)))</f>
        <v/>
      </c>
      <c r="F1302">
        <f>IF(Entry!$D1302&lt;&gt;"",IF(AND(ISNUMBER(Entry!$D1302),Entry!$D1302&gt;=0,Entry!$D1302&lt;1),RIGHT("00"&amp;HOUR(Entry!$D1302),2)&amp;":"&amp;RIGHT("00"&amp;MINUTE(Entry!$D1302),2),IFERROR(RIGHT("00"&amp;VALUE(TRIM(LEFT(Entry!$D1302,FIND(":",Entry!$D1302)-1))),2)&amp;":"&amp;RIGHT("00"&amp;VALUE(TRIM(MID(Entry!$D1302,FIND(":",Entry!$D1302)+1,2))),2),"نامعتبر")),IF(OR($E1302="",$E1302="نامعتبر"),"","00:00"))</f>
        <v/>
      </c>
      <c r="G1302">
        <f>IF(OR($E1302="",$E1302="نامعتبر"),"",IF(Entry!$E1302="","",LEFT(UPPER(TRIM(Entry!$E1302)),6)))</f>
        <v/>
      </c>
      <c r="H1302">
        <f>IF($G1302="","",RIGHT($E1302,4)&amp;MID($E1302,6,2)&amp;RIGHT($E1302,2)&amp;IF($F1302="","0000",IF($F1302="نامعتبر","9999",LEFT($F1302,2)&amp;RIGHT($F1302,2)))&amp;"|"&amp;RIGHT("00000"&amp;1294,5))</f>
        <v/>
      </c>
      <c r="I1302">
        <f>IF($H1302="","",COUNTIFS(CalcBank,$G1302,CalcKey,"&lt;"&amp;$H1302)+1)</f>
        <v/>
      </c>
      <c r="J1302">
        <f>IF($I1302="","",$G1302&amp;"|"&amp;RIGHT("000000"&amp;$I1302,6))</f>
        <v/>
      </c>
      <c r="K1302">
        <f>IF(OR($E1302="",$E1302="نامعتبر"),"",LEFT($E1302,4)&amp;"/"&amp;MID($E1302,6,2))</f>
        <v/>
      </c>
      <c r="L1302">
        <f>IF(Entry!$K1302="",0,Entry!$K1302)</f>
        <v/>
      </c>
      <c r="M1302">
        <f>IF(Entry!$L1302="",0,Entry!$L1302)</f>
        <v/>
      </c>
    </row>
    <row r="1303">
      <c r="A1303">
        <f>IF(Entry!$C1303="","",Entry!$C1303)</f>
        <v/>
      </c>
      <c r="B1303">
        <f>IF($A1303="","",IF(ISNUMBER($A1303),IF(AND($A1303&gt;=10000101,$A1303&lt;=99991231),INT($A1303/10000),""),IFERROR(VALUE(TRIM(LEFT($A1303,FIND("/",$A1303)-1))),"")))</f>
        <v/>
      </c>
      <c r="C1303">
        <f>IF(OR($A1303="",$B1303=""),"",IF(ISNUMBER($A1303),INT(MOD($A1303,10000)/100),IFERROR(VALUE(TRIM(LEFT(MID($A1303,FIND("/",$A1303)+1,20),FIND("/",MID($A1303,FIND("/",$A1303)+1,20))-1))),"")))</f>
        <v/>
      </c>
      <c r="D1303">
        <f>IF(OR($A1303="",$B1303=""),"",IF(ISNUMBER($A1303),MOD($A1303,100),IFERROR(VALUE(TRIM(MID(MID($A1303,FIND("/",$A1303)+1,20),FIND("/",MID($A1303,FIND("/",$A1303)+1,20))+1,20))),"")))</f>
        <v/>
      </c>
      <c r="E1303">
        <f>IF($A1303="","",IF(OR($B1303="",$C1303="",$D1303="",$B1303&lt;1300,$B1303&gt;1500,$C1303&lt;1,$C1303&gt;12,$D1303&lt;1,$D1303&gt;31),"نامعتبر",RIGHT("0000"&amp;$B1303,4)&amp;"/"&amp;RIGHT("00"&amp;$C1303,2)&amp;"/"&amp;RIGHT("00"&amp;$D1303,2)))</f>
        <v/>
      </c>
      <c r="F1303">
        <f>IF(Entry!$D1303&lt;&gt;"",IF(AND(ISNUMBER(Entry!$D1303),Entry!$D1303&gt;=0,Entry!$D1303&lt;1),RIGHT("00"&amp;HOUR(Entry!$D1303),2)&amp;":"&amp;RIGHT("00"&amp;MINUTE(Entry!$D1303),2),IFERROR(RIGHT("00"&amp;VALUE(TRIM(LEFT(Entry!$D1303,FIND(":",Entry!$D1303)-1))),2)&amp;":"&amp;RIGHT("00"&amp;VALUE(TRIM(MID(Entry!$D1303,FIND(":",Entry!$D1303)+1,2))),2),"نامعتبر")),IF(OR($E1303="",$E1303="نامعتبر"),"","00:00"))</f>
        <v/>
      </c>
      <c r="G1303">
        <f>IF(OR($E1303="",$E1303="نامعتبر"),"",IF(Entry!$E1303="","",LEFT(UPPER(TRIM(Entry!$E1303)),6)))</f>
        <v/>
      </c>
      <c r="H1303">
        <f>IF($G1303="","",RIGHT($E1303,4)&amp;MID($E1303,6,2)&amp;RIGHT($E1303,2)&amp;IF($F1303="","0000",IF($F1303="نامعتبر","9999",LEFT($F1303,2)&amp;RIGHT($F1303,2)))&amp;"|"&amp;RIGHT("00000"&amp;1295,5))</f>
        <v/>
      </c>
      <c r="I1303">
        <f>IF($H1303="","",COUNTIFS(CalcBank,$G1303,CalcKey,"&lt;"&amp;$H1303)+1)</f>
        <v/>
      </c>
      <c r="J1303">
        <f>IF($I1303="","",$G1303&amp;"|"&amp;RIGHT("000000"&amp;$I1303,6))</f>
        <v/>
      </c>
      <c r="K1303">
        <f>IF(OR($E1303="",$E1303="نامعتبر"),"",LEFT($E1303,4)&amp;"/"&amp;MID($E1303,6,2))</f>
        <v/>
      </c>
      <c r="L1303">
        <f>IF(Entry!$K1303="",0,Entry!$K1303)</f>
        <v/>
      </c>
      <c r="M1303">
        <f>IF(Entry!$L1303="",0,Entry!$L1303)</f>
        <v/>
      </c>
    </row>
    <row r="1304">
      <c r="A1304">
        <f>IF(Entry!$C1304="","",Entry!$C1304)</f>
        <v/>
      </c>
      <c r="B1304">
        <f>IF($A1304="","",IF(ISNUMBER($A1304),IF(AND($A1304&gt;=10000101,$A1304&lt;=99991231),INT($A1304/10000),""),IFERROR(VALUE(TRIM(LEFT($A1304,FIND("/",$A1304)-1))),"")))</f>
        <v/>
      </c>
      <c r="C1304">
        <f>IF(OR($A1304="",$B1304=""),"",IF(ISNUMBER($A1304),INT(MOD($A1304,10000)/100),IFERROR(VALUE(TRIM(LEFT(MID($A1304,FIND("/",$A1304)+1,20),FIND("/",MID($A1304,FIND("/",$A1304)+1,20))-1))),"")))</f>
        <v/>
      </c>
      <c r="D1304">
        <f>IF(OR($A1304="",$B1304=""),"",IF(ISNUMBER($A1304),MOD($A1304,100),IFERROR(VALUE(TRIM(MID(MID($A1304,FIND("/",$A1304)+1,20),FIND("/",MID($A1304,FIND("/",$A1304)+1,20))+1,20))),"")))</f>
        <v/>
      </c>
      <c r="E1304">
        <f>IF($A1304="","",IF(OR($B1304="",$C1304="",$D1304="",$B1304&lt;1300,$B1304&gt;1500,$C1304&lt;1,$C1304&gt;12,$D1304&lt;1,$D1304&gt;31),"نامعتبر",RIGHT("0000"&amp;$B1304,4)&amp;"/"&amp;RIGHT("00"&amp;$C1304,2)&amp;"/"&amp;RIGHT("00"&amp;$D1304,2)))</f>
        <v/>
      </c>
      <c r="F1304">
        <f>IF(Entry!$D1304&lt;&gt;"",IF(AND(ISNUMBER(Entry!$D1304),Entry!$D1304&gt;=0,Entry!$D1304&lt;1),RIGHT("00"&amp;HOUR(Entry!$D1304),2)&amp;":"&amp;RIGHT("00"&amp;MINUTE(Entry!$D1304),2),IFERROR(RIGHT("00"&amp;VALUE(TRIM(LEFT(Entry!$D1304,FIND(":",Entry!$D1304)-1))),2)&amp;":"&amp;RIGHT("00"&amp;VALUE(TRIM(MID(Entry!$D1304,FIND(":",Entry!$D1304)+1,2))),2),"نامعتبر")),IF(OR($E1304="",$E1304="نامعتبر"),"","00:00"))</f>
        <v/>
      </c>
      <c r="G1304">
        <f>IF(OR($E1304="",$E1304="نامعتبر"),"",IF(Entry!$E1304="","",LEFT(UPPER(TRIM(Entry!$E1304)),6)))</f>
        <v/>
      </c>
      <c r="H1304">
        <f>IF($G1304="","",RIGHT($E1304,4)&amp;MID($E1304,6,2)&amp;RIGHT($E1304,2)&amp;IF($F1304="","0000",IF($F1304="نامعتبر","9999",LEFT($F1304,2)&amp;RIGHT($F1304,2)))&amp;"|"&amp;RIGHT("00000"&amp;1296,5))</f>
        <v/>
      </c>
      <c r="I1304">
        <f>IF($H1304="","",COUNTIFS(CalcBank,$G1304,CalcKey,"&lt;"&amp;$H1304)+1)</f>
        <v/>
      </c>
      <c r="J1304">
        <f>IF($I1304="","",$G1304&amp;"|"&amp;RIGHT("000000"&amp;$I1304,6))</f>
        <v/>
      </c>
      <c r="K1304">
        <f>IF(OR($E1304="",$E1304="نامعتبر"),"",LEFT($E1304,4)&amp;"/"&amp;MID($E1304,6,2))</f>
        <v/>
      </c>
      <c r="L1304">
        <f>IF(Entry!$K1304="",0,Entry!$K1304)</f>
        <v/>
      </c>
      <c r="M1304">
        <f>IF(Entry!$L1304="",0,Entry!$L1304)</f>
        <v/>
      </c>
    </row>
    <row r="1305">
      <c r="A1305">
        <f>IF(Entry!$C1305="","",Entry!$C1305)</f>
        <v/>
      </c>
      <c r="B1305">
        <f>IF($A1305="","",IF(ISNUMBER($A1305),IF(AND($A1305&gt;=10000101,$A1305&lt;=99991231),INT($A1305/10000),""),IFERROR(VALUE(TRIM(LEFT($A1305,FIND("/",$A1305)-1))),"")))</f>
        <v/>
      </c>
      <c r="C1305">
        <f>IF(OR($A1305="",$B1305=""),"",IF(ISNUMBER($A1305),INT(MOD($A1305,10000)/100),IFERROR(VALUE(TRIM(LEFT(MID($A1305,FIND("/",$A1305)+1,20),FIND("/",MID($A1305,FIND("/",$A1305)+1,20))-1))),"")))</f>
        <v/>
      </c>
      <c r="D1305">
        <f>IF(OR($A1305="",$B1305=""),"",IF(ISNUMBER($A1305),MOD($A1305,100),IFERROR(VALUE(TRIM(MID(MID($A1305,FIND("/",$A1305)+1,20),FIND("/",MID($A1305,FIND("/",$A1305)+1,20))+1,20))),"")))</f>
        <v/>
      </c>
      <c r="E1305">
        <f>IF($A1305="","",IF(OR($B1305="",$C1305="",$D1305="",$B1305&lt;1300,$B1305&gt;1500,$C1305&lt;1,$C1305&gt;12,$D1305&lt;1,$D1305&gt;31),"نامعتبر",RIGHT("0000"&amp;$B1305,4)&amp;"/"&amp;RIGHT("00"&amp;$C1305,2)&amp;"/"&amp;RIGHT("00"&amp;$D1305,2)))</f>
        <v/>
      </c>
      <c r="F1305">
        <f>IF(Entry!$D1305&lt;&gt;"",IF(AND(ISNUMBER(Entry!$D1305),Entry!$D1305&gt;=0,Entry!$D1305&lt;1),RIGHT("00"&amp;HOUR(Entry!$D1305),2)&amp;":"&amp;RIGHT("00"&amp;MINUTE(Entry!$D1305),2),IFERROR(RIGHT("00"&amp;VALUE(TRIM(LEFT(Entry!$D1305,FIND(":",Entry!$D1305)-1))),2)&amp;":"&amp;RIGHT("00"&amp;VALUE(TRIM(MID(Entry!$D1305,FIND(":",Entry!$D1305)+1,2))),2),"نامعتبر")),IF(OR($E1305="",$E1305="نامعتبر"),"","00:00"))</f>
        <v/>
      </c>
      <c r="G1305">
        <f>IF(OR($E1305="",$E1305="نامعتبر"),"",IF(Entry!$E1305="","",LEFT(UPPER(TRIM(Entry!$E1305)),6)))</f>
        <v/>
      </c>
      <c r="H1305">
        <f>IF($G1305="","",RIGHT($E1305,4)&amp;MID($E1305,6,2)&amp;RIGHT($E1305,2)&amp;IF($F1305="","0000",IF($F1305="نامعتبر","9999",LEFT($F1305,2)&amp;RIGHT($F1305,2)))&amp;"|"&amp;RIGHT("00000"&amp;1297,5))</f>
        <v/>
      </c>
      <c r="I1305">
        <f>IF($H1305="","",COUNTIFS(CalcBank,$G1305,CalcKey,"&lt;"&amp;$H1305)+1)</f>
        <v/>
      </c>
      <c r="J1305">
        <f>IF($I1305="","",$G1305&amp;"|"&amp;RIGHT("000000"&amp;$I1305,6))</f>
        <v/>
      </c>
      <c r="K1305">
        <f>IF(OR($E1305="",$E1305="نامعتبر"),"",LEFT($E1305,4)&amp;"/"&amp;MID($E1305,6,2))</f>
        <v/>
      </c>
      <c r="L1305">
        <f>IF(Entry!$K1305="",0,Entry!$K1305)</f>
        <v/>
      </c>
      <c r="M1305">
        <f>IF(Entry!$L1305="",0,Entry!$L1305)</f>
        <v/>
      </c>
    </row>
    <row r="1306">
      <c r="A1306">
        <f>IF(Entry!$C1306="","",Entry!$C1306)</f>
        <v/>
      </c>
      <c r="B1306">
        <f>IF($A1306="","",IF(ISNUMBER($A1306),IF(AND($A1306&gt;=10000101,$A1306&lt;=99991231),INT($A1306/10000),""),IFERROR(VALUE(TRIM(LEFT($A1306,FIND("/",$A1306)-1))),"")))</f>
        <v/>
      </c>
      <c r="C1306">
        <f>IF(OR($A1306="",$B1306=""),"",IF(ISNUMBER($A1306),INT(MOD($A1306,10000)/100),IFERROR(VALUE(TRIM(LEFT(MID($A1306,FIND("/",$A1306)+1,20),FIND("/",MID($A1306,FIND("/",$A1306)+1,20))-1))),"")))</f>
        <v/>
      </c>
      <c r="D1306">
        <f>IF(OR($A1306="",$B1306=""),"",IF(ISNUMBER($A1306),MOD($A1306,100),IFERROR(VALUE(TRIM(MID(MID($A1306,FIND("/",$A1306)+1,20),FIND("/",MID($A1306,FIND("/",$A1306)+1,20))+1,20))),"")))</f>
        <v/>
      </c>
      <c r="E1306">
        <f>IF($A1306="","",IF(OR($B1306="",$C1306="",$D1306="",$B1306&lt;1300,$B1306&gt;1500,$C1306&lt;1,$C1306&gt;12,$D1306&lt;1,$D1306&gt;31),"نامعتبر",RIGHT("0000"&amp;$B1306,4)&amp;"/"&amp;RIGHT("00"&amp;$C1306,2)&amp;"/"&amp;RIGHT("00"&amp;$D1306,2)))</f>
        <v/>
      </c>
      <c r="F1306">
        <f>IF(Entry!$D1306&lt;&gt;"",IF(AND(ISNUMBER(Entry!$D1306),Entry!$D1306&gt;=0,Entry!$D1306&lt;1),RIGHT("00"&amp;HOUR(Entry!$D1306),2)&amp;":"&amp;RIGHT("00"&amp;MINUTE(Entry!$D1306),2),IFERROR(RIGHT("00"&amp;VALUE(TRIM(LEFT(Entry!$D1306,FIND(":",Entry!$D1306)-1))),2)&amp;":"&amp;RIGHT("00"&amp;VALUE(TRIM(MID(Entry!$D1306,FIND(":",Entry!$D1306)+1,2))),2),"نامعتبر")),IF(OR($E1306="",$E1306="نامعتبر"),"","00:00"))</f>
        <v/>
      </c>
      <c r="G1306">
        <f>IF(OR($E1306="",$E1306="نامعتبر"),"",IF(Entry!$E1306="","",LEFT(UPPER(TRIM(Entry!$E1306)),6)))</f>
        <v/>
      </c>
      <c r="H1306">
        <f>IF($G1306="","",RIGHT($E1306,4)&amp;MID($E1306,6,2)&amp;RIGHT($E1306,2)&amp;IF($F1306="","0000",IF($F1306="نامعتبر","9999",LEFT($F1306,2)&amp;RIGHT($F1306,2)))&amp;"|"&amp;RIGHT("00000"&amp;1298,5))</f>
        <v/>
      </c>
      <c r="I1306">
        <f>IF($H1306="","",COUNTIFS(CalcBank,$G1306,CalcKey,"&lt;"&amp;$H1306)+1)</f>
        <v/>
      </c>
      <c r="J1306">
        <f>IF($I1306="","",$G1306&amp;"|"&amp;RIGHT("000000"&amp;$I1306,6))</f>
        <v/>
      </c>
      <c r="K1306">
        <f>IF(OR($E1306="",$E1306="نامعتبر"),"",LEFT($E1306,4)&amp;"/"&amp;MID($E1306,6,2))</f>
        <v/>
      </c>
      <c r="L1306">
        <f>IF(Entry!$K1306="",0,Entry!$K1306)</f>
        <v/>
      </c>
      <c r="M1306">
        <f>IF(Entry!$L1306="",0,Entry!$L1306)</f>
        <v/>
      </c>
    </row>
    <row r="1307">
      <c r="A1307">
        <f>IF(Entry!$C1307="","",Entry!$C1307)</f>
        <v/>
      </c>
      <c r="B1307">
        <f>IF($A1307="","",IF(ISNUMBER($A1307),IF(AND($A1307&gt;=10000101,$A1307&lt;=99991231),INT($A1307/10000),""),IFERROR(VALUE(TRIM(LEFT($A1307,FIND("/",$A1307)-1))),"")))</f>
        <v/>
      </c>
      <c r="C1307">
        <f>IF(OR($A1307="",$B1307=""),"",IF(ISNUMBER($A1307),INT(MOD($A1307,10000)/100),IFERROR(VALUE(TRIM(LEFT(MID($A1307,FIND("/",$A1307)+1,20),FIND("/",MID($A1307,FIND("/",$A1307)+1,20))-1))),"")))</f>
        <v/>
      </c>
      <c r="D1307">
        <f>IF(OR($A1307="",$B1307=""),"",IF(ISNUMBER($A1307),MOD($A1307,100),IFERROR(VALUE(TRIM(MID(MID($A1307,FIND("/",$A1307)+1,20),FIND("/",MID($A1307,FIND("/",$A1307)+1,20))+1,20))),"")))</f>
        <v/>
      </c>
      <c r="E1307">
        <f>IF($A1307="","",IF(OR($B1307="",$C1307="",$D1307="",$B1307&lt;1300,$B1307&gt;1500,$C1307&lt;1,$C1307&gt;12,$D1307&lt;1,$D1307&gt;31),"نامعتبر",RIGHT("0000"&amp;$B1307,4)&amp;"/"&amp;RIGHT("00"&amp;$C1307,2)&amp;"/"&amp;RIGHT("00"&amp;$D1307,2)))</f>
        <v/>
      </c>
      <c r="F1307">
        <f>IF(Entry!$D1307&lt;&gt;"",IF(AND(ISNUMBER(Entry!$D1307),Entry!$D1307&gt;=0,Entry!$D1307&lt;1),RIGHT("00"&amp;HOUR(Entry!$D1307),2)&amp;":"&amp;RIGHT("00"&amp;MINUTE(Entry!$D1307),2),IFERROR(RIGHT("00"&amp;VALUE(TRIM(LEFT(Entry!$D1307,FIND(":",Entry!$D1307)-1))),2)&amp;":"&amp;RIGHT("00"&amp;VALUE(TRIM(MID(Entry!$D1307,FIND(":",Entry!$D1307)+1,2))),2),"نامعتبر")),IF(OR($E1307="",$E1307="نامعتبر"),"","00:00"))</f>
        <v/>
      </c>
      <c r="G1307">
        <f>IF(OR($E1307="",$E1307="نامعتبر"),"",IF(Entry!$E1307="","",LEFT(UPPER(TRIM(Entry!$E1307)),6)))</f>
        <v/>
      </c>
      <c r="H1307">
        <f>IF($G1307="","",RIGHT($E1307,4)&amp;MID($E1307,6,2)&amp;RIGHT($E1307,2)&amp;IF($F1307="","0000",IF($F1307="نامعتبر","9999",LEFT($F1307,2)&amp;RIGHT($F1307,2)))&amp;"|"&amp;RIGHT("00000"&amp;1299,5))</f>
        <v/>
      </c>
      <c r="I1307">
        <f>IF($H1307="","",COUNTIFS(CalcBank,$G1307,CalcKey,"&lt;"&amp;$H1307)+1)</f>
        <v/>
      </c>
      <c r="J1307">
        <f>IF($I1307="","",$G1307&amp;"|"&amp;RIGHT("000000"&amp;$I1307,6))</f>
        <v/>
      </c>
      <c r="K1307">
        <f>IF(OR($E1307="",$E1307="نامعتبر"),"",LEFT($E1307,4)&amp;"/"&amp;MID($E1307,6,2))</f>
        <v/>
      </c>
      <c r="L1307">
        <f>IF(Entry!$K1307="",0,Entry!$K1307)</f>
        <v/>
      </c>
      <c r="M1307">
        <f>IF(Entry!$L1307="",0,Entry!$L1307)</f>
        <v/>
      </c>
    </row>
    <row r="1308">
      <c r="A1308">
        <f>IF(Entry!$C1308="","",Entry!$C1308)</f>
        <v/>
      </c>
      <c r="B1308">
        <f>IF($A1308="","",IF(ISNUMBER($A1308),IF(AND($A1308&gt;=10000101,$A1308&lt;=99991231),INT($A1308/10000),""),IFERROR(VALUE(TRIM(LEFT($A1308,FIND("/",$A1308)-1))),"")))</f>
        <v/>
      </c>
      <c r="C1308">
        <f>IF(OR($A1308="",$B1308=""),"",IF(ISNUMBER($A1308),INT(MOD($A1308,10000)/100),IFERROR(VALUE(TRIM(LEFT(MID($A1308,FIND("/",$A1308)+1,20),FIND("/",MID($A1308,FIND("/",$A1308)+1,20))-1))),"")))</f>
        <v/>
      </c>
      <c r="D1308">
        <f>IF(OR($A1308="",$B1308=""),"",IF(ISNUMBER($A1308),MOD($A1308,100),IFERROR(VALUE(TRIM(MID(MID($A1308,FIND("/",$A1308)+1,20),FIND("/",MID($A1308,FIND("/",$A1308)+1,20))+1,20))),"")))</f>
        <v/>
      </c>
      <c r="E1308">
        <f>IF($A1308="","",IF(OR($B1308="",$C1308="",$D1308="",$B1308&lt;1300,$B1308&gt;1500,$C1308&lt;1,$C1308&gt;12,$D1308&lt;1,$D1308&gt;31),"نامعتبر",RIGHT("0000"&amp;$B1308,4)&amp;"/"&amp;RIGHT("00"&amp;$C1308,2)&amp;"/"&amp;RIGHT("00"&amp;$D1308,2)))</f>
        <v/>
      </c>
      <c r="F1308">
        <f>IF(Entry!$D1308&lt;&gt;"",IF(AND(ISNUMBER(Entry!$D1308),Entry!$D1308&gt;=0,Entry!$D1308&lt;1),RIGHT("00"&amp;HOUR(Entry!$D1308),2)&amp;":"&amp;RIGHT("00"&amp;MINUTE(Entry!$D1308),2),IFERROR(RIGHT("00"&amp;VALUE(TRIM(LEFT(Entry!$D1308,FIND(":",Entry!$D1308)-1))),2)&amp;":"&amp;RIGHT("00"&amp;VALUE(TRIM(MID(Entry!$D1308,FIND(":",Entry!$D1308)+1,2))),2),"نامعتبر")),IF(OR($E1308="",$E1308="نامعتبر"),"","00:00"))</f>
        <v/>
      </c>
      <c r="G1308">
        <f>IF(OR($E1308="",$E1308="نامعتبر"),"",IF(Entry!$E1308="","",LEFT(UPPER(TRIM(Entry!$E1308)),6)))</f>
        <v/>
      </c>
      <c r="H1308">
        <f>IF($G1308="","",RIGHT($E1308,4)&amp;MID($E1308,6,2)&amp;RIGHT($E1308,2)&amp;IF($F1308="","0000",IF($F1308="نامعتبر","9999",LEFT($F1308,2)&amp;RIGHT($F1308,2)))&amp;"|"&amp;RIGHT("00000"&amp;1300,5))</f>
        <v/>
      </c>
      <c r="I1308">
        <f>IF($H1308="","",COUNTIFS(CalcBank,$G1308,CalcKey,"&lt;"&amp;$H1308)+1)</f>
        <v/>
      </c>
      <c r="J1308">
        <f>IF($I1308="","",$G1308&amp;"|"&amp;RIGHT("000000"&amp;$I1308,6))</f>
        <v/>
      </c>
      <c r="K1308">
        <f>IF(OR($E1308="",$E1308="نامعتبر"),"",LEFT($E1308,4)&amp;"/"&amp;MID($E1308,6,2))</f>
        <v/>
      </c>
      <c r="L1308">
        <f>IF(Entry!$K1308="",0,Entry!$K1308)</f>
        <v/>
      </c>
      <c r="M1308">
        <f>IF(Entry!$L1308="",0,Entry!$L1308)</f>
        <v/>
      </c>
    </row>
    <row r="1309">
      <c r="A1309">
        <f>IF(Entry!$C1309="","",Entry!$C1309)</f>
        <v/>
      </c>
      <c r="B1309">
        <f>IF($A1309="","",IF(ISNUMBER($A1309),IF(AND($A1309&gt;=10000101,$A1309&lt;=99991231),INT($A1309/10000),""),IFERROR(VALUE(TRIM(LEFT($A1309,FIND("/",$A1309)-1))),"")))</f>
        <v/>
      </c>
      <c r="C1309">
        <f>IF(OR($A1309="",$B1309=""),"",IF(ISNUMBER($A1309),INT(MOD($A1309,10000)/100),IFERROR(VALUE(TRIM(LEFT(MID($A1309,FIND("/",$A1309)+1,20),FIND("/",MID($A1309,FIND("/",$A1309)+1,20))-1))),"")))</f>
        <v/>
      </c>
      <c r="D1309">
        <f>IF(OR($A1309="",$B1309=""),"",IF(ISNUMBER($A1309),MOD($A1309,100),IFERROR(VALUE(TRIM(MID(MID($A1309,FIND("/",$A1309)+1,20),FIND("/",MID($A1309,FIND("/",$A1309)+1,20))+1,20))),"")))</f>
        <v/>
      </c>
      <c r="E1309">
        <f>IF($A1309="","",IF(OR($B1309="",$C1309="",$D1309="",$B1309&lt;1300,$B1309&gt;1500,$C1309&lt;1,$C1309&gt;12,$D1309&lt;1,$D1309&gt;31),"نامعتبر",RIGHT("0000"&amp;$B1309,4)&amp;"/"&amp;RIGHT("00"&amp;$C1309,2)&amp;"/"&amp;RIGHT("00"&amp;$D1309,2)))</f>
        <v/>
      </c>
      <c r="F1309">
        <f>IF(Entry!$D1309&lt;&gt;"",IF(AND(ISNUMBER(Entry!$D1309),Entry!$D1309&gt;=0,Entry!$D1309&lt;1),RIGHT("00"&amp;HOUR(Entry!$D1309),2)&amp;":"&amp;RIGHT("00"&amp;MINUTE(Entry!$D1309),2),IFERROR(RIGHT("00"&amp;VALUE(TRIM(LEFT(Entry!$D1309,FIND(":",Entry!$D1309)-1))),2)&amp;":"&amp;RIGHT("00"&amp;VALUE(TRIM(MID(Entry!$D1309,FIND(":",Entry!$D1309)+1,2))),2),"نامعتبر")),IF(OR($E1309="",$E1309="نامعتبر"),"","00:00"))</f>
        <v/>
      </c>
      <c r="G1309">
        <f>IF(OR($E1309="",$E1309="نامعتبر"),"",IF(Entry!$E1309="","",LEFT(UPPER(TRIM(Entry!$E1309)),6)))</f>
        <v/>
      </c>
      <c r="H1309">
        <f>IF($G1309="","",RIGHT($E1309,4)&amp;MID($E1309,6,2)&amp;RIGHT($E1309,2)&amp;IF($F1309="","0000",IF($F1309="نامعتبر","9999",LEFT($F1309,2)&amp;RIGHT($F1309,2)))&amp;"|"&amp;RIGHT("00000"&amp;1301,5))</f>
        <v/>
      </c>
      <c r="I1309">
        <f>IF($H1309="","",COUNTIFS(CalcBank,$G1309,CalcKey,"&lt;"&amp;$H1309)+1)</f>
        <v/>
      </c>
      <c r="J1309">
        <f>IF($I1309="","",$G1309&amp;"|"&amp;RIGHT("000000"&amp;$I1309,6))</f>
        <v/>
      </c>
      <c r="K1309">
        <f>IF(OR($E1309="",$E1309="نامعتبر"),"",LEFT($E1309,4)&amp;"/"&amp;MID($E1309,6,2))</f>
        <v/>
      </c>
      <c r="L1309">
        <f>IF(Entry!$K1309="",0,Entry!$K1309)</f>
        <v/>
      </c>
      <c r="M1309">
        <f>IF(Entry!$L1309="",0,Entry!$L1309)</f>
        <v/>
      </c>
    </row>
    <row r="1310">
      <c r="A1310">
        <f>IF(Entry!$C1310="","",Entry!$C1310)</f>
        <v/>
      </c>
      <c r="B1310">
        <f>IF($A1310="","",IF(ISNUMBER($A1310),IF(AND($A1310&gt;=10000101,$A1310&lt;=99991231),INT($A1310/10000),""),IFERROR(VALUE(TRIM(LEFT($A1310,FIND("/",$A1310)-1))),"")))</f>
        <v/>
      </c>
      <c r="C1310">
        <f>IF(OR($A1310="",$B1310=""),"",IF(ISNUMBER($A1310),INT(MOD($A1310,10000)/100),IFERROR(VALUE(TRIM(LEFT(MID($A1310,FIND("/",$A1310)+1,20),FIND("/",MID($A1310,FIND("/",$A1310)+1,20))-1))),"")))</f>
        <v/>
      </c>
      <c r="D1310">
        <f>IF(OR($A1310="",$B1310=""),"",IF(ISNUMBER($A1310),MOD($A1310,100),IFERROR(VALUE(TRIM(MID(MID($A1310,FIND("/",$A1310)+1,20),FIND("/",MID($A1310,FIND("/",$A1310)+1,20))+1,20))),"")))</f>
        <v/>
      </c>
      <c r="E1310">
        <f>IF($A1310="","",IF(OR($B1310="",$C1310="",$D1310="",$B1310&lt;1300,$B1310&gt;1500,$C1310&lt;1,$C1310&gt;12,$D1310&lt;1,$D1310&gt;31),"نامعتبر",RIGHT("0000"&amp;$B1310,4)&amp;"/"&amp;RIGHT("00"&amp;$C1310,2)&amp;"/"&amp;RIGHT("00"&amp;$D1310,2)))</f>
        <v/>
      </c>
      <c r="F1310">
        <f>IF(Entry!$D1310&lt;&gt;"",IF(AND(ISNUMBER(Entry!$D1310),Entry!$D1310&gt;=0,Entry!$D1310&lt;1),RIGHT("00"&amp;HOUR(Entry!$D1310),2)&amp;":"&amp;RIGHT("00"&amp;MINUTE(Entry!$D1310),2),IFERROR(RIGHT("00"&amp;VALUE(TRIM(LEFT(Entry!$D1310,FIND(":",Entry!$D1310)-1))),2)&amp;":"&amp;RIGHT("00"&amp;VALUE(TRIM(MID(Entry!$D1310,FIND(":",Entry!$D1310)+1,2))),2),"نامعتبر")),IF(OR($E1310="",$E1310="نامعتبر"),"","00:00"))</f>
        <v/>
      </c>
      <c r="G1310">
        <f>IF(OR($E1310="",$E1310="نامعتبر"),"",IF(Entry!$E1310="","",LEFT(UPPER(TRIM(Entry!$E1310)),6)))</f>
        <v/>
      </c>
      <c r="H1310">
        <f>IF($G1310="","",RIGHT($E1310,4)&amp;MID($E1310,6,2)&amp;RIGHT($E1310,2)&amp;IF($F1310="","0000",IF($F1310="نامعتبر","9999",LEFT($F1310,2)&amp;RIGHT($F1310,2)))&amp;"|"&amp;RIGHT("00000"&amp;1302,5))</f>
        <v/>
      </c>
      <c r="I1310">
        <f>IF($H1310="","",COUNTIFS(CalcBank,$G1310,CalcKey,"&lt;"&amp;$H1310)+1)</f>
        <v/>
      </c>
      <c r="J1310">
        <f>IF($I1310="","",$G1310&amp;"|"&amp;RIGHT("000000"&amp;$I1310,6))</f>
        <v/>
      </c>
      <c r="K1310">
        <f>IF(OR($E1310="",$E1310="نامعتبر"),"",LEFT($E1310,4)&amp;"/"&amp;MID($E1310,6,2))</f>
        <v/>
      </c>
      <c r="L1310">
        <f>IF(Entry!$K1310="",0,Entry!$K1310)</f>
        <v/>
      </c>
      <c r="M1310">
        <f>IF(Entry!$L1310="",0,Entry!$L1310)</f>
        <v/>
      </c>
    </row>
    <row r="1311">
      <c r="A1311">
        <f>IF(Entry!$C1311="","",Entry!$C1311)</f>
        <v/>
      </c>
      <c r="B1311">
        <f>IF($A1311="","",IF(ISNUMBER($A1311),IF(AND($A1311&gt;=10000101,$A1311&lt;=99991231),INT($A1311/10000),""),IFERROR(VALUE(TRIM(LEFT($A1311,FIND("/",$A1311)-1))),"")))</f>
        <v/>
      </c>
      <c r="C1311">
        <f>IF(OR($A1311="",$B1311=""),"",IF(ISNUMBER($A1311),INT(MOD($A1311,10000)/100),IFERROR(VALUE(TRIM(LEFT(MID($A1311,FIND("/",$A1311)+1,20),FIND("/",MID($A1311,FIND("/",$A1311)+1,20))-1))),"")))</f>
        <v/>
      </c>
      <c r="D1311">
        <f>IF(OR($A1311="",$B1311=""),"",IF(ISNUMBER($A1311),MOD($A1311,100),IFERROR(VALUE(TRIM(MID(MID($A1311,FIND("/",$A1311)+1,20),FIND("/",MID($A1311,FIND("/",$A1311)+1,20))+1,20))),"")))</f>
        <v/>
      </c>
      <c r="E1311">
        <f>IF($A1311="","",IF(OR($B1311="",$C1311="",$D1311="",$B1311&lt;1300,$B1311&gt;1500,$C1311&lt;1,$C1311&gt;12,$D1311&lt;1,$D1311&gt;31),"نامعتبر",RIGHT("0000"&amp;$B1311,4)&amp;"/"&amp;RIGHT("00"&amp;$C1311,2)&amp;"/"&amp;RIGHT("00"&amp;$D1311,2)))</f>
        <v/>
      </c>
      <c r="F1311">
        <f>IF(Entry!$D1311&lt;&gt;"",IF(AND(ISNUMBER(Entry!$D1311),Entry!$D1311&gt;=0,Entry!$D1311&lt;1),RIGHT("00"&amp;HOUR(Entry!$D1311),2)&amp;":"&amp;RIGHT("00"&amp;MINUTE(Entry!$D1311),2),IFERROR(RIGHT("00"&amp;VALUE(TRIM(LEFT(Entry!$D1311,FIND(":",Entry!$D1311)-1))),2)&amp;":"&amp;RIGHT("00"&amp;VALUE(TRIM(MID(Entry!$D1311,FIND(":",Entry!$D1311)+1,2))),2),"نامعتبر")),IF(OR($E1311="",$E1311="نامعتبر"),"","00:00"))</f>
        <v/>
      </c>
      <c r="G1311">
        <f>IF(OR($E1311="",$E1311="نامعتبر"),"",IF(Entry!$E1311="","",LEFT(UPPER(TRIM(Entry!$E1311)),6)))</f>
        <v/>
      </c>
      <c r="H1311">
        <f>IF($G1311="","",RIGHT($E1311,4)&amp;MID($E1311,6,2)&amp;RIGHT($E1311,2)&amp;IF($F1311="","0000",IF($F1311="نامعتبر","9999",LEFT($F1311,2)&amp;RIGHT($F1311,2)))&amp;"|"&amp;RIGHT("00000"&amp;1303,5))</f>
        <v/>
      </c>
      <c r="I1311">
        <f>IF($H1311="","",COUNTIFS(CalcBank,$G1311,CalcKey,"&lt;"&amp;$H1311)+1)</f>
        <v/>
      </c>
      <c r="J1311">
        <f>IF($I1311="","",$G1311&amp;"|"&amp;RIGHT("000000"&amp;$I1311,6))</f>
        <v/>
      </c>
      <c r="K1311">
        <f>IF(OR($E1311="",$E1311="نامعتبر"),"",LEFT($E1311,4)&amp;"/"&amp;MID($E1311,6,2))</f>
        <v/>
      </c>
      <c r="L1311">
        <f>IF(Entry!$K1311="",0,Entry!$K1311)</f>
        <v/>
      </c>
      <c r="M1311">
        <f>IF(Entry!$L1311="",0,Entry!$L1311)</f>
        <v/>
      </c>
    </row>
    <row r="1312">
      <c r="A1312">
        <f>IF(Entry!$C1312="","",Entry!$C1312)</f>
        <v/>
      </c>
      <c r="B1312">
        <f>IF($A1312="","",IF(ISNUMBER($A1312),IF(AND($A1312&gt;=10000101,$A1312&lt;=99991231),INT($A1312/10000),""),IFERROR(VALUE(TRIM(LEFT($A1312,FIND("/",$A1312)-1))),"")))</f>
        <v/>
      </c>
      <c r="C1312">
        <f>IF(OR($A1312="",$B1312=""),"",IF(ISNUMBER($A1312),INT(MOD($A1312,10000)/100),IFERROR(VALUE(TRIM(LEFT(MID($A1312,FIND("/",$A1312)+1,20),FIND("/",MID($A1312,FIND("/",$A1312)+1,20))-1))),"")))</f>
        <v/>
      </c>
      <c r="D1312">
        <f>IF(OR($A1312="",$B1312=""),"",IF(ISNUMBER($A1312),MOD($A1312,100),IFERROR(VALUE(TRIM(MID(MID($A1312,FIND("/",$A1312)+1,20),FIND("/",MID($A1312,FIND("/",$A1312)+1,20))+1,20))),"")))</f>
        <v/>
      </c>
      <c r="E1312">
        <f>IF($A1312="","",IF(OR($B1312="",$C1312="",$D1312="",$B1312&lt;1300,$B1312&gt;1500,$C1312&lt;1,$C1312&gt;12,$D1312&lt;1,$D1312&gt;31),"نامعتبر",RIGHT("0000"&amp;$B1312,4)&amp;"/"&amp;RIGHT("00"&amp;$C1312,2)&amp;"/"&amp;RIGHT("00"&amp;$D1312,2)))</f>
        <v/>
      </c>
      <c r="F1312">
        <f>IF(Entry!$D1312&lt;&gt;"",IF(AND(ISNUMBER(Entry!$D1312),Entry!$D1312&gt;=0,Entry!$D1312&lt;1),RIGHT("00"&amp;HOUR(Entry!$D1312),2)&amp;":"&amp;RIGHT("00"&amp;MINUTE(Entry!$D1312),2),IFERROR(RIGHT("00"&amp;VALUE(TRIM(LEFT(Entry!$D1312,FIND(":",Entry!$D1312)-1))),2)&amp;":"&amp;RIGHT("00"&amp;VALUE(TRIM(MID(Entry!$D1312,FIND(":",Entry!$D1312)+1,2))),2),"نامعتبر")),IF(OR($E1312="",$E1312="نامعتبر"),"","00:00"))</f>
        <v/>
      </c>
      <c r="G1312">
        <f>IF(OR($E1312="",$E1312="نامعتبر"),"",IF(Entry!$E1312="","",LEFT(UPPER(TRIM(Entry!$E1312)),6)))</f>
        <v/>
      </c>
      <c r="H1312">
        <f>IF($G1312="","",RIGHT($E1312,4)&amp;MID($E1312,6,2)&amp;RIGHT($E1312,2)&amp;IF($F1312="","0000",IF($F1312="نامعتبر","9999",LEFT($F1312,2)&amp;RIGHT($F1312,2)))&amp;"|"&amp;RIGHT("00000"&amp;1304,5))</f>
        <v/>
      </c>
      <c r="I1312">
        <f>IF($H1312="","",COUNTIFS(CalcBank,$G1312,CalcKey,"&lt;"&amp;$H1312)+1)</f>
        <v/>
      </c>
      <c r="J1312">
        <f>IF($I1312="","",$G1312&amp;"|"&amp;RIGHT("000000"&amp;$I1312,6))</f>
        <v/>
      </c>
      <c r="K1312">
        <f>IF(OR($E1312="",$E1312="نامعتبر"),"",LEFT($E1312,4)&amp;"/"&amp;MID($E1312,6,2))</f>
        <v/>
      </c>
      <c r="L1312">
        <f>IF(Entry!$K1312="",0,Entry!$K1312)</f>
        <v/>
      </c>
      <c r="M1312">
        <f>IF(Entry!$L1312="",0,Entry!$L1312)</f>
        <v/>
      </c>
    </row>
    <row r="1313">
      <c r="A1313">
        <f>IF(Entry!$C1313="","",Entry!$C1313)</f>
        <v/>
      </c>
      <c r="B1313">
        <f>IF($A1313="","",IF(ISNUMBER($A1313),IF(AND($A1313&gt;=10000101,$A1313&lt;=99991231),INT($A1313/10000),""),IFERROR(VALUE(TRIM(LEFT($A1313,FIND("/",$A1313)-1))),"")))</f>
        <v/>
      </c>
      <c r="C1313">
        <f>IF(OR($A1313="",$B1313=""),"",IF(ISNUMBER($A1313),INT(MOD($A1313,10000)/100),IFERROR(VALUE(TRIM(LEFT(MID($A1313,FIND("/",$A1313)+1,20),FIND("/",MID($A1313,FIND("/",$A1313)+1,20))-1))),"")))</f>
        <v/>
      </c>
      <c r="D1313">
        <f>IF(OR($A1313="",$B1313=""),"",IF(ISNUMBER($A1313),MOD($A1313,100),IFERROR(VALUE(TRIM(MID(MID($A1313,FIND("/",$A1313)+1,20),FIND("/",MID($A1313,FIND("/",$A1313)+1,20))+1,20))),"")))</f>
        <v/>
      </c>
      <c r="E1313">
        <f>IF($A1313="","",IF(OR($B1313="",$C1313="",$D1313="",$B1313&lt;1300,$B1313&gt;1500,$C1313&lt;1,$C1313&gt;12,$D1313&lt;1,$D1313&gt;31),"نامعتبر",RIGHT("0000"&amp;$B1313,4)&amp;"/"&amp;RIGHT("00"&amp;$C1313,2)&amp;"/"&amp;RIGHT("00"&amp;$D1313,2)))</f>
        <v/>
      </c>
      <c r="F1313">
        <f>IF(Entry!$D1313&lt;&gt;"",IF(AND(ISNUMBER(Entry!$D1313),Entry!$D1313&gt;=0,Entry!$D1313&lt;1),RIGHT("00"&amp;HOUR(Entry!$D1313),2)&amp;":"&amp;RIGHT("00"&amp;MINUTE(Entry!$D1313),2),IFERROR(RIGHT("00"&amp;VALUE(TRIM(LEFT(Entry!$D1313,FIND(":",Entry!$D1313)-1))),2)&amp;":"&amp;RIGHT("00"&amp;VALUE(TRIM(MID(Entry!$D1313,FIND(":",Entry!$D1313)+1,2))),2),"نامعتبر")),IF(OR($E1313="",$E1313="نامعتبر"),"","00:00"))</f>
        <v/>
      </c>
      <c r="G1313">
        <f>IF(OR($E1313="",$E1313="نامعتبر"),"",IF(Entry!$E1313="","",LEFT(UPPER(TRIM(Entry!$E1313)),6)))</f>
        <v/>
      </c>
      <c r="H1313">
        <f>IF($G1313="","",RIGHT($E1313,4)&amp;MID($E1313,6,2)&amp;RIGHT($E1313,2)&amp;IF($F1313="","0000",IF($F1313="نامعتبر","9999",LEFT($F1313,2)&amp;RIGHT($F1313,2)))&amp;"|"&amp;RIGHT("00000"&amp;1305,5))</f>
        <v/>
      </c>
      <c r="I1313">
        <f>IF($H1313="","",COUNTIFS(CalcBank,$G1313,CalcKey,"&lt;"&amp;$H1313)+1)</f>
        <v/>
      </c>
      <c r="J1313">
        <f>IF($I1313="","",$G1313&amp;"|"&amp;RIGHT("000000"&amp;$I1313,6))</f>
        <v/>
      </c>
      <c r="K1313">
        <f>IF(OR($E1313="",$E1313="نامعتبر"),"",LEFT($E1313,4)&amp;"/"&amp;MID($E1313,6,2))</f>
        <v/>
      </c>
      <c r="L1313">
        <f>IF(Entry!$K1313="",0,Entry!$K1313)</f>
        <v/>
      </c>
      <c r="M1313">
        <f>IF(Entry!$L1313="",0,Entry!$L1313)</f>
        <v/>
      </c>
    </row>
    <row r="1314">
      <c r="A1314">
        <f>IF(Entry!$C1314="","",Entry!$C1314)</f>
        <v/>
      </c>
      <c r="B1314">
        <f>IF($A1314="","",IF(ISNUMBER($A1314),IF(AND($A1314&gt;=10000101,$A1314&lt;=99991231),INT($A1314/10000),""),IFERROR(VALUE(TRIM(LEFT($A1314,FIND("/",$A1314)-1))),"")))</f>
        <v/>
      </c>
      <c r="C1314">
        <f>IF(OR($A1314="",$B1314=""),"",IF(ISNUMBER($A1314),INT(MOD($A1314,10000)/100),IFERROR(VALUE(TRIM(LEFT(MID($A1314,FIND("/",$A1314)+1,20),FIND("/",MID($A1314,FIND("/",$A1314)+1,20))-1))),"")))</f>
        <v/>
      </c>
      <c r="D1314">
        <f>IF(OR($A1314="",$B1314=""),"",IF(ISNUMBER($A1314),MOD($A1314,100),IFERROR(VALUE(TRIM(MID(MID($A1314,FIND("/",$A1314)+1,20),FIND("/",MID($A1314,FIND("/",$A1314)+1,20))+1,20))),"")))</f>
        <v/>
      </c>
      <c r="E1314">
        <f>IF($A1314="","",IF(OR($B1314="",$C1314="",$D1314="",$B1314&lt;1300,$B1314&gt;1500,$C1314&lt;1,$C1314&gt;12,$D1314&lt;1,$D1314&gt;31),"نامعتبر",RIGHT("0000"&amp;$B1314,4)&amp;"/"&amp;RIGHT("00"&amp;$C1314,2)&amp;"/"&amp;RIGHT("00"&amp;$D1314,2)))</f>
        <v/>
      </c>
      <c r="F1314">
        <f>IF(Entry!$D1314&lt;&gt;"",IF(AND(ISNUMBER(Entry!$D1314),Entry!$D1314&gt;=0,Entry!$D1314&lt;1),RIGHT("00"&amp;HOUR(Entry!$D1314),2)&amp;":"&amp;RIGHT("00"&amp;MINUTE(Entry!$D1314),2),IFERROR(RIGHT("00"&amp;VALUE(TRIM(LEFT(Entry!$D1314,FIND(":",Entry!$D1314)-1))),2)&amp;":"&amp;RIGHT("00"&amp;VALUE(TRIM(MID(Entry!$D1314,FIND(":",Entry!$D1314)+1,2))),2),"نامعتبر")),IF(OR($E1314="",$E1314="نامعتبر"),"","00:00"))</f>
        <v/>
      </c>
      <c r="G1314">
        <f>IF(OR($E1314="",$E1314="نامعتبر"),"",IF(Entry!$E1314="","",LEFT(UPPER(TRIM(Entry!$E1314)),6)))</f>
        <v/>
      </c>
      <c r="H1314">
        <f>IF($G1314="","",RIGHT($E1314,4)&amp;MID($E1314,6,2)&amp;RIGHT($E1314,2)&amp;IF($F1314="","0000",IF($F1314="نامعتبر","9999",LEFT($F1314,2)&amp;RIGHT($F1314,2)))&amp;"|"&amp;RIGHT("00000"&amp;1306,5))</f>
        <v/>
      </c>
      <c r="I1314">
        <f>IF($H1314="","",COUNTIFS(CalcBank,$G1314,CalcKey,"&lt;"&amp;$H1314)+1)</f>
        <v/>
      </c>
      <c r="J1314">
        <f>IF($I1314="","",$G1314&amp;"|"&amp;RIGHT("000000"&amp;$I1314,6))</f>
        <v/>
      </c>
      <c r="K1314">
        <f>IF(OR($E1314="",$E1314="نامعتبر"),"",LEFT($E1314,4)&amp;"/"&amp;MID($E1314,6,2))</f>
        <v/>
      </c>
      <c r="L1314">
        <f>IF(Entry!$K1314="",0,Entry!$K1314)</f>
        <v/>
      </c>
      <c r="M1314">
        <f>IF(Entry!$L1314="",0,Entry!$L1314)</f>
        <v/>
      </c>
    </row>
    <row r="1315">
      <c r="A1315">
        <f>IF(Entry!$C1315="","",Entry!$C1315)</f>
        <v/>
      </c>
      <c r="B1315">
        <f>IF($A1315="","",IF(ISNUMBER($A1315),IF(AND($A1315&gt;=10000101,$A1315&lt;=99991231),INT($A1315/10000),""),IFERROR(VALUE(TRIM(LEFT($A1315,FIND("/",$A1315)-1))),"")))</f>
        <v/>
      </c>
      <c r="C1315">
        <f>IF(OR($A1315="",$B1315=""),"",IF(ISNUMBER($A1315),INT(MOD($A1315,10000)/100),IFERROR(VALUE(TRIM(LEFT(MID($A1315,FIND("/",$A1315)+1,20),FIND("/",MID($A1315,FIND("/",$A1315)+1,20))-1))),"")))</f>
        <v/>
      </c>
      <c r="D1315">
        <f>IF(OR($A1315="",$B1315=""),"",IF(ISNUMBER($A1315),MOD($A1315,100),IFERROR(VALUE(TRIM(MID(MID($A1315,FIND("/",$A1315)+1,20),FIND("/",MID($A1315,FIND("/",$A1315)+1,20))+1,20))),"")))</f>
        <v/>
      </c>
      <c r="E1315">
        <f>IF($A1315="","",IF(OR($B1315="",$C1315="",$D1315="",$B1315&lt;1300,$B1315&gt;1500,$C1315&lt;1,$C1315&gt;12,$D1315&lt;1,$D1315&gt;31),"نامعتبر",RIGHT("0000"&amp;$B1315,4)&amp;"/"&amp;RIGHT("00"&amp;$C1315,2)&amp;"/"&amp;RIGHT("00"&amp;$D1315,2)))</f>
        <v/>
      </c>
      <c r="F1315">
        <f>IF(Entry!$D1315&lt;&gt;"",IF(AND(ISNUMBER(Entry!$D1315),Entry!$D1315&gt;=0,Entry!$D1315&lt;1),RIGHT("00"&amp;HOUR(Entry!$D1315),2)&amp;":"&amp;RIGHT("00"&amp;MINUTE(Entry!$D1315),2),IFERROR(RIGHT("00"&amp;VALUE(TRIM(LEFT(Entry!$D1315,FIND(":",Entry!$D1315)-1))),2)&amp;":"&amp;RIGHT("00"&amp;VALUE(TRIM(MID(Entry!$D1315,FIND(":",Entry!$D1315)+1,2))),2),"نامعتبر")),IF(OR($E1315="",$E1315="نامعتبر"),"","00:00"))</f>
        <v/>
      </c>
      <c r="G1315">
        <f>IF(OR($E1315="",$E1315="نامعتبر"),"",IF(Entry!$E1315="","",LEFT(UPPER(TRIM(Entry!$E1315)),6)))</f>
        <v/>
      </c>
      <c r="H1315">
        <f>IF($G1315="","",RIGHT($E1315,4)&amp;MID($E1315,6,2)&amp;RIGHT($E1315,2)&amp;IF($F1315="","0000",IF($F1315="نامعتبر","9999",LEFT($F1315,2)&amp;RIGHT($F1315,2)))&amp;"|"&amp;RIGHT("00000"&amp;1307,5))</f>
        <v/>
      </c>
      <c r="I1315">
        <f>IF($H1315="","",COUNTIFS(CalcBank,$G1315,CalcKey,"&lt;"&amp;$H1315)+1)</f>
        <v/>
      </c>
      <c r="J1315">
        <f>IF($I1315="","",$G1315&amp;"|"&amp;RIGHT("000000"&amp;$I1315,6))</f>
        <v/>
      </c>
      <c r="K1315">
        <f>IF(OR($E1315="",$E1315="نامعتبر"),"",LEFT($E1315,4)&amp;"/"&amp;MID($E1315,6,2))</f>
        <v/>
      </c>
      <c r="L1315">
        <f>IF(Entry!$K1315="",0,Entry!$K1315)</f>
        <v/>
      </c>
      <c r="M1315">
        <f>IF(Entry!$L1315="",0,Entry!$L1315)</f>
        <v/>
      </c>
    </row>
    <row r="1316">
      <c r="A1316">
        <f>IF(Entry!$C1316="","",Entry!$C1316)</f>
        <v/>
      </c>
      <c r="B1316">
        <f>IF($A1316="","",IF(ISNUMBER($A1316),IF(AND($A1316&gt;=10000101,$A1316&lt;=99991231),INT($A1316/10000),""),IFERROR(VALUE(TRIM(LEFT($A1316,FIND("/",$A1316)-1))),"")))</f>
        <v/>
      </c>
      <c r="C1316">
        <f>IF(OR($A1316="",$B1316=""),"",IF(ISNUMBER($A1316),INT(MOD($A1316,10000)/100),IFERROR(VALUE(TRIM(LEFT(MID($A1316,FIND("/",$A1316)+1,20),FIND("/",MID($A1316,FIND("/",$A1316)+1,20))-1))),"")))</f>
        <v/>
      </c>
      <c r="D1316">
        <f>IF(OR($A1316="",$B1316=""),"",IF(ISNUMBER($A1316),MOD($A1316,100),IFERROR(VALUE(TRIM(MID(MID($A1316,FIND("/",$A1316)+1,20),FIND("/",MID($A1316,FIND("/",$A1316)+1,20))+1,20))),"")))</f>
        <v/>
      </c>
      <c r="E1316">
        <f>IF($A1316="","",IF(OR($B1316="",$C1316="",$D1316="",$B1316&lt;1300,$B1316&gt;1500,$C1316&lt;1,$C1316&gt;12,$D1316&lt;1,$D1316&gt;31),"نامعتبر",RIGHT("0000"&amp;$B1316,4)&amp;"/"&amp;RIGHT("00"&amp;$C1316,2)&amp;"/"&amp;RIGHT("00"&amp;$D1316,2)))</f>
        <v/>
      </c>
      <c r="F1316">
        <f>IF(Entry!$D1316&lt;&gt;"",IF(AND(ISNUMBER(Entry!$D1316),Entry!$D1316&gt;=0,Entry!$D1316&lt;1),RIGHT("00"&amp;HOUR(Entry!$D1316),2)&amp;":"&amp;RIGHT("00"&amp;MINUTE(Entry!$D1316),2),IFERROR(RIGHT("00"&amp;VALUE(TRIM(LEFT(Entry!$D1316,FIND(":",Entry!$D1316)-1))),2)&amp;":"&amp;RIGHT("00"&amp;VALUE(TRIM(MID(Entry!$D1316,FIND(":",Entry!$D1316)+1,2))),2),"نامعتبر")),IF(OR($E1316="",$E1316="نامعتبر"),"","00:00"))</f>
        <v/>
      </c>
      <c r="G1316">
        <f>IF(OR($E1316="",$E1316="نامعتبر"),"",IF(Entry!$E1316="","",LEFT(UPPER(TRIM(Entry!$E1316)),6)))</f>
        <v/>
      </c>
      <c r="H1316">
        <f>IF($G1316="","",RIGHT($E1316,4)&amp;MID($E1316,6,2)&amp;RIGHT($E1316,2)&amp;IF($F1316="","0000",IF($F1316="نامعتبر","9999",LEFT($F1316,2)&amp;RIGHT($F1316,2)))&amp;"|"&amp;RIGHT("00000"&amp;1308,5))</f>
        <v/>
      </c>
      <c r="I1316">
        <f>IF($H1316="","",COUNTIFS(CalcBank,$G1316,CalcKey,"&lt;"&amp;$H1316)+1)</f>
        <v/>
      </c>
      <c r="J1316">
        <f>IF($I1316="","",$G1316&amp;"|"&amp;RIGHT("000000"&amp;$I1316,6))</f>
        <v/>
      </c>
      <c r="K1316">
        <f>IF(OR($E1316="",$E1316="نامعتبر"),"",LEFT($E1316,4)&amp;"/"&amp;MID($E1316,6,2))</f>
        <v/>
      </c>
      <c r="L1316">
        <f>IF(Entry!$K1316="",0,Entry!$K1316)</f>
        <v/>
      </c>
      <c r="M1316">
        <f>IF(Entry!$L1316="",0,Entry!$L1316)</f>
        <v/>
      </c>
    </row>
    <row r="1317">
      <c r="A1317">
        <f>IF(Entry!$C1317="","",Entry!$C1317)</f>
        <v/>
      </c>
      <c r="B1317">
        <f>IF($A1317="","",IF(ISNUMBER($A1317),IF(AND($A1317&gt;=10000101,$A1317&lt;=99991231),INT($A1317/10000),""),IFERROR(VALUE(TRIM(LEFT($A1317,FIND("/",$A1317)-1))),"")))</f>
        <v/>
      </c>
      <c r="C1317">
        <f>IF(OR($A1317="",$B1317=""),"",IF(ISNUMBER($A1317),INT(MOD($A1317,10000)/100),IFERROR(VALUE(TRIM(LEFT(MID($A1317,FIND("/",$A1317)+1,20),FIND("/",MID($A1317,FIND("/",$A1317)+1,20))-1))),"")))</f>
        <v/>
      </c>
      <c r="D1317">
        <f>IF(OR($A1317="",$B1317=""),"",IF(ISNUMBER($A1317),MOD($A1317,100),IFERROR(VALUE(TRIM(MID(MID($A1317,FIND("/",$A1317)+1,20),FIND("/",MID($A1317,FIND("/",$A1317)+1,20))+1,20))),"")))</f>
        <v/>
      </c>
      <c r="E1317">
        <f>IF($A1317="","",IF(OR($B1317="",$C1317="",$D1317="",$B1317&lt;1300,$B1317&gt;1500,$C1317&lt;1,$C1317&gt;12,$D1317&lt;1,$D1317&gt;31),"نامعتبر",RIGHT("0000"&amp;$B1317,4)&amp;"/"&amp;RIGHT("00"&amp;$C1317,2)&amp;"/"&amp;RIGHT("00"&amp;$D1317,2)))</f>
        <v/>
      </c>
      <c r="F1317">
        <f>IF(Entry!$D1317&lt;&gt;"",IF(AND(ISNUMBER(Entry!$D1317),Entry!$D1317&gt;=0,Entry!$D1317&lt;1),RIGHT("00"&amp;HOUR(Entry!$D1317),2)&amp;":"&amp;RIGHT("00"&amp;MINUTE(Entry!$D1317),2),IFERROR(RIGHT("00"&amp;VALUE(TRIM(LEFT(Entry!$D1317,FIND(":",Entry!$D1317)-1))),2)&amp;":"&amp;RIGHT("00"&amp;VALUE(TRIM(MID(Entry!$D1317,FIND(":",Entry!$D1317)+1,2))),2),"نامعتبر")),IF(OR($E1317="",$E1317="نامعتبر"),"","00:00"))</f>
        <v/>
      </c>
      <c r="G1317">
        <f>IF(OR($E1317="",$E1317="نامعتبر"),"",IF(Entry!$E1317="","",LEFT(UPPER(TRIM(Entry!$E1317)),6)))</f>
        <v/>
      </c>
      <c r="H1317">
        <f>IF($G1317="","",RIGHT($E1317,4)&amp;MID($E1317,6,2)&amp;RIGHT($E1317,2)&amp;IF($F1317="","0000",IF($F1317="نامعتبر","9999",LEFT($F1317,2)&amp;RIGHT($F1317,2)))&amp;"|"&amp;RIGHT("00000"&amp;1309,5))</f>
        <v/>
      </c>
      <c r="I1317">
        <f>IF($H1317="","",COUNTIFS(CalcBank,$G1317,CalcKey,"&lt;"&amp;$H1317)+1)</f>
        <v/>
      </c>
      <c r="J1317">
        <f>IF($I1317="","",$G1317&amp;"|"&amp;RIGHT("000000"&amp;$I1317,6))</f>
        <v/>
      </c>
      <c r="K1317">
        <f>IF(OR($E1317="",$E1317="نامعتبر"),"",LEFT($E1317,4)&amp;"/"&amp;MID($E1317,6,2))</f>
        <v/>
      </c>
      <c r="L1317">
        <f>IF(Entry!$K1317="",0,Entry!$K1317)</f>
        <v/>
      </c>
      <c r="M1317">
        <f>IF(Entry!$L1317="",0,Entry!$L1317)</f>
        <v/>
      </c>
    </row>
    <row r="1318">
      <c r="A1318">
        <f>IF(Entry!$C1318="","",Entry!$C1318)</f>
        <v/>
      </c>
      <c r="B1318">
        <f>IF($A1318="","",IF(ISNUMBER($A1318),IF(AND($A1318&gt;=10000101,$A1318&lt;=99991231),INT($A1318/10000),""),IFERROR(VALUE(TRIM(LEFT($A1318,FIND("/",$A1318)-1))),"")))</f>
        <v/>
      </c>
      <c r="C1318">
        <f>IF(OR($A1318="",$B1318=""),"",IF(ISNUMBER($A1318),INT(MOD($A1318,10000)/100),IFERROR(VALUE(TRIM(LEFT(MID($A1318,FIND("/",$A1318)+1,20),FIND("/",MID($A1318,FIND("/",$A1318)+1,20))-1))),"")))</f>
        <v/>
      </c>
      <c r="D1318">
        <f>IF(OR($A1318="",$B1318=""),"",IF(ISNUMBER($A1318),MOD($A1318,100),IFERROR(VALUE(TRIM(MID(MID($A1318,FIND("/",$A1318)+1,20),FIND("/",MID($A1318,FIND("/",$A1318)+1,20))+1,20))),"")))</f>
        <v/>
      </c>
      <c r="E1318">
        <f>IF($A1318="","",IF(OR($B1318="",$C1318="",$D1318="",$B1318&lt;1300,$B1318&gt;1500,$C1318&lt;1,$C1318&gt;12,$D1318&lt;1,$D1318&gt;31),"نامعتبر",RIGHT("0000"&amp;$B1318,4)&amp;"/"&amp;RIGHT("00"&amp;$C1318,2)&amp;"/"&amp;RIGHT("00"&amp;$D1318,2)))</f>
        <v/>
      </c>
      <c r="F1318">
        <f>IF(Entry!$D1318&lt;&gt;"",IF(AND(ISNUMBER(Entry!$D1318),Entry!$D1318&gt;=0,Entry!$D1318&lt;1),RIGHT("00"&amp;HOUR(Entry!$D1318),2)&amp;":"&amp;RIGHT("00"&amp;MINUTE(Entry!$D1318),2),IFERROR(RIGHT("00"&amp;VALUE(TRIM(LEFT(Entry!$D1318,FIND(":",Entry!$D1318)-1))),2)&amp;":"&amp;RIGHT("00"&amp;VALUE(TRIM(MID(Entry!$D1318,FIND(":",Entry!$D1318)+1,2))),2),"نامعتبر")),IF(OR($E1318="",$E1318="نامعتبر"),"","00:00"))</f>
        <v/>
      </c>
      <c r="G1318">
        <f>IF(OR($E1318="",$E1318="نامعتبر"),"",IF(Entry!$E1318="","",LEFT(UPPER(TRIM(Entry!$E1318)),6)))</f>
        <v/>
      </c>
      <c r="H1318">
        <f>IF($G1318="","",RIGHT($E1318,4)&amp;MID($E1318,6,2)&amp;RIGHT($E1318,2)&amp;IF($F1318="","0000",IF($F1318="نامعتبر","9999",LEFT($F1318,2)&amp;RIGHT($F1318,2)))&amp;"|"&amp;RIGHT("00000"&amp;1310,5))</f>
        <v/>
      </c>
      <c r="I1318">
        <f>IF($H1318="","",COUNTIFS(CalcBank,$G1318,CalcKey,"&lt;"&amp;$H1318)+1)</f>
        <v/>
      </c>
      <c r="J1318">
        <f>IF($I1318="","",$G1318&amp;"|"&amp;RIGHT("000000"&amp;$I1318,6))</f>
        <v/>
      </c>
      <c r="K1318">
        <f>IF(OR($E1318="",$E1318="نامعتبر"),"",LEFT($E1318,4)&amp;"/"&amp;MID($E1318,6,2))</f>
        <v/>
      </c>
      <c r="L1318">
        <f>IF(Entry!$K1318="",0,Entry!$K1318)</f>
        <v/>
      </c>
      <c r="M1318">
        <f>IF(Entry!$L1318="",0,Entry!$L1318)</f>
        <v/>
      </c>
    </row>
    <row r="1319">
      <c r="A1319">
        <f>IF(Entry!$C1319="","",Entry!$C1319)</f>
        <v/>
      </c>
      <c r="B1319">
        <f>IF($A1319="","",IF(ISNUMBER($A1319),IF(AND($A1319&gt;=10000101,$A1319&lt;=99991231),INT($A1319/10000),""),IFERROR(VALUE(TRIM(LEFT($A1319,FIND("/",$A1319)-1))),"")))</f>
        <v/>
      </c>
      <c r="C1319">
        <f>IF(OR($A1319="",$B1319=""),"",IF(ISNUMBER($A1319),INT(MOD($A1319,10000)/100),IFERROR(VALUE(TRIM(LEFT(MID($A1319,FIND("/",$A1319)+1,20),FIND("/",MID($A1319,FIND("/",$A1319)+1,20))-1))),"")))</f>
        <v/>
      </c>
      <c r="D1319">
        <f>IF(OR($A1319="",$B1319=""),"",IF(ISNUMBER($A1319),MOD($A1319,100),IFERROR(VALUE(TRIM(MID(MID($A1319,FIND("/",$A1319)+1,20),FIND("/",MID($A1319,FIND("/",$A1319)+1,20))+1,20))),"")))</f>
        <v/>
      </c>
      <c r="E1319">
        <f>IF($A1319="","",IF(OR($B1319="",$C1319="",$D1319="",$B1319&lt;1300,$B1319&gt;1500,$C1319&lt;1,$C1319&gt;12,$D1319&lt;1,$D1319&gt;31),"نامعتبر",RIGHT("0000"&amp;$B1319,4)&amp;"/"&amp;RIGHT("00"&amp;$C1319,2)&amp;"/"&amp;RIGHT("00"&amp;$D1319,2)))</f>
        <v/>
      </c>
      <c r="F1319">
        <f>IF(Entry!$D1319&lt;&gt;"",IF(AND(ISNUMBER(Entry!$D1319),Entry!$D1319&gt;=0,Entry!$D1319&lt;1),RIGHT("00"&amp;HOUR(Entry!$D1319),2)&amp;":"&amp;RIGHT("00"&amp;MINUTE(Entry!$D1319),2),IFERROR(RIGHT("00"&amp;VALUE(TRIM(LEFT(Entry!$D1319,FIND(":",Entry!$D1319)-1))),2)&amp;":"&amp;RIGHT("00"&amp;VALUE(TRIM(MID(Entry!$D1319,FIND(":",Entry!$D1319)+1,2))),2),"نامعتبر")),IF(OR($E1319="",$E1319="نامعتبر"),"","00:00"))</f>
        <v/>
      </c>
      <c r="G1319">
        <f>IF(OR($E1319="",$E1319="نامعتبر"),"",IF(Entry!$E1319="","",LEFT(UPPER(TRIM(Entry!$E1319)),6)))</f>
        <v/>
      </c>
      <c r="H1319">
        <f>IF($G1319="","",RIGHT($E1319,4)&amp;MID($E1319,6,2)&amp;RIGHT($E1319,2)&amp;IF($F1319="","0000",IF($F1319="نامعتبر","9999",LEFT($F1319,2)&amp;RIGHT($F1319,2)))&amp;"|"&amp;RIGHT("00000"&amp;1311,5))</f>
        <v/>
      </c>
      <c r="I1319">
        <f>IF($H1319="","",COUNTIFS(CalcBank,$G1319,CalcKey,"&lt;"&amp;$H1319)+1)</f>
        <v/>
      </c>
      <c r="J1319">
        <f>IF($I1319="","",$G1319&amp;"|"&amp;RIGHT("000000"&amp;$I1319,6))</f>
        <v/>
      </c>
      <c r="K1319">
        <f>IF(OR($E1319="",$E1319="نامعتبر"),"",LEFT($E1319,4)&amp;"/"&amp;MID($E1319,6,2))</f>
        <v/>
      </c>
      <c r="L1319">
        <f>IF(Entry!$K1319="",0,Entry!$K1319)</f>
        <v/>
      </c>
      <c r="M1319">
        <f>IF(Entry!$L1319="",0,Entry!$L1319)</f>
        <v/>
      </c>
    </row>
    <row r="1320">
      <c r="A1320">
        <f>IF(Entry!$C1320="","",Entry!$C1320)</f>
        <v/>
      </c>
      <c r="B1320">
        <f>IF($A1320="","",IF(ISNUMBER($A1320),IF(AND($A1320&gt;=10000101,$A1320&lt;=99991231),INT($A1320/10000),""),IFERROR(VALUE(TRIM(LEFT($A1320,FIND("/",$A1320)-1))),"")))</f>
        <v/>
      </c>
      <c r="C1320">
        <f>IF(OR($A1320="",$B1320=""),"",IF(ISNUMBER($A1320),INT(MOD($A1320,10000)/100),IFERROR(VALUE(TRIM(LEFT(MID($A1320,FIND("/",$A1320)+1,20),FIND("/",MID($A1320,FIND("/",$A1320)+1,20))-1))),"")))</f>
        <v/>
      </c>
      <c r="D1320">
        <f>IF(OR($A1320="",$B1320=""),"",IF(ISNUMBER($A1320),MOD($A1320,100),IFERROR(VALUE(TRIM(MID(MID($A1320,FIND("/",$A1320)+1,20),FIND("/",MID($A1320,FIND("/",$A1320)+1,20))+1,20))),"")))</f>
        <v/>
      </c>
      <c r="E1320">
        <f>IF($A1320="","",IF(OR($B1320="",$C1320="",$D1320="",$B1320&lt;1300,$B1320&gt;1500,$C1320&lt;1,$C1320&gt;12,$D1320&lt;1,$D1320&gt;31),"نامعتبر",RIGHT("0000"&amp;$B1320,4)&amp;"/"&amp;RIGHT("00"&amp;$C1320,2)&amp;"/"&amp;RIGHT("00"&amp;$D1320,2)))</f>
        <v/>
      </c>
      <c r="F1320">
        <f>IF(Entry!$D1320&lt;&gt;"",IF(AND(ISNUMBER(Entry!$D1320),Entry!$D1320&gt;=0,Entry!$D1320&lt;1),RIGHT("00"&amp;HOUR(Entry!$D1320),2)&amp;":"&amp;RIGHT("00"&amp;MINUTE(Entry!$D1320),2),IFERROR(RIGHT("00"&amp;VALUE(TRIM(LEFT(Entry!$D1320,FIND(":",Entry!$D1320)-1))),2)&amp;":"&amp;RIGHT("00"&amp;VALUE(TRIM(MID(Entry!$D1320,FIND(":",Entry!$D1320)+1,2))),2),"نامعتبر")),IF(OR($E1320="",$E1320="نامعتبر"),"","00:00"))</f>
        <v/>
      </c>
      <c r="G1320">
        <f>IF(OR($E1320="",$E1320="نامعتبر"),"",IF(Entry!$E1320="","",LEFT(UPPER(TRIM(Entry!$E1320)),6)))</f>
        <v/>
      </c>
      <c r="H1320">
        <f>IF($G1320="","",RIGHT($E1320,4)&amp;MID($E1320,6,2)&amp;RIGHT($E1320,2)&amp;IF($F1320="","0000",IF($F1320="نامعتبر","9999",LEFT($F1320,2)&amp;RIGHT($F1320,2)))&amp;"|"&amp;RIGHT("00000"&amp;1312,5))</f>
        <v/>
      </c>
      <c r="I1320">
        <f>IF($H1320="","",COUNTIFS(CalcBank,$G1320,CalcKey,"&lt;"&amp;$H1320)+1)</f>
        <v/>
      </c>
      <c r="J1320">
        <f>IF($I1320="","",$G1320&amp;"|"&amp;RIGHT("000000"&amp;$I1320,6))</f>
        <v/>
      </c>
      <c r="K1320">
        <f>IF(OR($E1320="",$E1320="نامعتبر"),"",LEFT($E1320,4)&amp;"/"&amp;MID($E1320,6,2))</f>
        <v/>
      </c>
      <c r="L1320">
        <f>IF(Entry!$K1320="",0,Entry!$K1320)</f>
        <v/>
      </c>
      <c r="M1320">
        <f>IF(Entry!$L1320="",0,Entry!$L1320)</f>
        <v/>
      </c>
    </row>
    <row r="1321">
      <c r="A1321">
        <f>IF(Entry!$C1321="","",Entry!$C1321)</f>
        <v/>
      </c>
      <c r="B1321">
        <f>IF($A1321="","",IF(ISNUMBER($A1321),IF(AND($A1321&gt;=10000101,$A1321&lt;=99991231),INT($A1321/10000),""),IFERROR(VALUE(TRIM(LEFT($A1321,FIND("/",$A1321)-1))),"")))</f>
        <v/>
      </c>
      <c r="C1321">
        <f>IF(OR($A1321="",$B1321=""),"",IF(ISNUMBER($A1321),INT(MOD($A1321,10000)/100),IFERROR(VALUE(TRIM(LEFT(MID($A1321,FIND("/",$A1321)+1,20),FIND("/",MID($A1321,FIND("/",$A1321)+1,20))-1))),"")))</f>
        <v/>
      </c>
      <c r="D1321">
        <f>IF(OR($A1321="",$B1321=""),"",IF(ISNUMBER($A1321),MOD($A1321,100),IFERROR(VALUE(TRIM(MID(MID($A1321,FIND("/",$A1321)+1,20),FIND("/",MID($A1321,FIND("/",$A1321)+1,20))+1,20))),"")))</f>
        <v/>
      </c>
      <c r="E1321">
        <f>IF($A1321="","",IF(OR($B1321="",$C1321="",$D1321="",$B1321&lt;1300,$B1321&gt;1500,$C1321&lt;1,$C1321&gt;12,$D1321&lt;1,$D1321&gt;31),"نامعتبر",RIGHT("0000"&amp;$B1321,4)&amp;"/"&amp;RIGHT("00"&amp;$C1321,2)&amp;"/"&amp;RIGHT("00"&amp;$D1321,2)))</f>
        <v/>
      </c>
      <c r="F1321">
        <f>IF(Entry!$D1321&lt;&gt;"",IF(AND(ISNUMBER(Entry!$D1321),Entry!$D1321&gt;=0,Entry!$D1321&lt;1),RIGHT("00"&amp;HOUR(Entry!$D1321),2)&amp;":"&amp;RIGHT("00"&amp;MINUTE(Entry!$D1321),2),IFERROR(RIGHT("00"&amp;VALUE(TRIM(LEFT(Entry!$D1321,FIND(":",Entry!$D1321)-1))),2)&amp;":"&amp;RIGHT("00"&amp;VALUE(TRIM(MID(Entry!$D1321,FIND(":",Entry!$D1321)+1,2))),2),"نامعتبر")),IF(OR($E1321="",$E1321="نامعتبر"),"","00:00"))</f>
        <v/>
      </c>
      <c r="G1321">
        <f>IF(OR($E1321="",$E1321="نامعتبر"),"",IF(Entry!$E1321="","",LEFT(UPPER(TRIM(Entry!$E1321)),6)))</f>
        <v/>
      </c>
      <c r="H1321">
        <f>IF($G1321="","",RIGHT($E1321,4)&amp;MID($E1321,6,2)&amp;RIGHT($E1321,2)&amp;IF($F1321="","0000",IF($F1321="نامعتبر","9999",LEFT($F1321,2)&amp;RIGHT($F1321,2)))&amp;"|"&amp;RIGHT("00000"&amp;1313,5))</f>
        <v/>
      </c>
      <c r="I1321">
        <f>IF($H1321="","",COUNTIFS(CalcBank,$G1321,CalcKey,"&lt;"&amp;$H1321)+1)</f>
        <v/>
      </c>
      <c r="J1321">
        <f>IF($I1321="","",$G1321&amp;"|"&amp;RIGHT("000000"&amp;$I1321,6))</f>
        <v/>
      </c>
      <c r="K1321">
        <f>IF(OR($E1321="",$E1321="نامعتبر"),"",LEFT($E1321,4)&amp;"/"&amp;MID($E1321,6,2))</f>
        <v/>
      </c>
      <c r="L1321">
        <f>IF(Entry!$K1321="",0,Entry!$K1321)</f>
        <v/>
      </c>
      <c r="M1321">
        <f>IF(Entry!$L1321="",0,Entry!$L1321)</f>
        <v/>
      </c>
    </row>
    <row r="1322">
      <c r="A1322">
        <f>IF(Entry!$C1322="","",Entry!$C1322)</f>
        <v/>
      </c>
      <c r="B1322">
        <f>IF($A1322="","",IF(ISNUMBER($A1322),IF(AND($A1322&gt;=10000101,$A1322&lt;=99991231),INT($A1322/10000),""),IFERROR(VALUE(TRIM(LEFT($A1322,FIND("/",$A1322)-1))),"")))</f>
        <v/>
      </c>
      <c r="C1322">
        <f>IF(OR($A1322="",$B1322=""),"",IF(ISNUMBER($A1322),INT(MOD($A1322,10000)/100),IFERROR(VALUE(TRIM(LEFT(MID($A1322,FIND("/",$A1322)+1,20),FIND("/",MID($A1322,FIND("/",$A1322)+1,20))-1))),"")))</f>
        <v/>
      </c>
      <c r="D1322">
        <f>IF(OR($A1322="",$B1322=""),"",IF(ISNUMBER($A1322),MOD($A1322,100),IFERROR(VALUE(TRIM(MID(MID($A1322,FIND("/",$A1322)+1,20),FIND("/",MID($A1322,FIND("/",$A1322)+1,20))+1,20))),"")))</f>
        <v/>
      </c>
      <c r="E1322">
        <f>IF($A1322="","",IF(OR($B1322="",$C1322="",$D1322="",$B1322&lt;1300,$B1322&gt;1500,$C1322&lt;1,$C1322&gt;12,$D1322&lt;1,$D1322&gt;31),"نامعتبر",RIGHT("0000"&amp;$B1322,4)&amp;"/"&amp;RIGHT("00"&amp;$C1322,2)&amp;"/"&amp;RIGHT("00"&amp;$D1322,2)))</f>
        <v/>
      </c>
      <c r="F1322">
        <f>IF(Entry!$D1322&lt;&gt;"",IF(AND(ISNUMBER(Entry!$D1322),Entry!$D1322&gt;=0,Entry!$D1322&lt;1),RIGHT("00"&amp;HOUR(Entry!$D1322),2)&amp;":"&amp;RIGHT("00"&amp;MINUTE(Entry!$D1322),2),IFERROR(RIGHT("00"&amp;VALUE(TRIM(LEFT(Entry!$D1322,FIND(":",Entry!$D1322)-1))),2)&amp;":"&amp;RIGHT("00"&amp;VALUE(TRIM(MID(Entry!$D1322,FIND(":",Entry!$D1322)+1,2))),2),"نامعتبر")),IF(OR($E1322="",$E1322="نامعتبر"),"","00:00"))</f>
        <v/>
      </c>
      <c r="G1322">
        <f>IF(OR($E1322="",$E1322="نامعتبر"),"",IF(Entry!$E1322="","",LEFT(UPPER(TRIM(Entry!$E1322)),6)))</f>
        <v/>
      </c>
      <c r="H1322">
        <f>IF($G1322="","",RIGHT($E1322,4)&amp;MID($E1322,6,2)&amp;RIGHT($E1322,2)&amp;IF($F1322="","0000",IF($F1322="نامعتبر","9999",LEFT($F1322,2)&amp;RIGHT($F1322,2)))&amp;"|"&amp;RIGHT("00000"&amp;1314,5))</f>
        <v/>
      </c>
      <c r="I1322">
        <f>IF($H1322="","",COUNTIFS(CalcBank,$G1322,CalcKey,"&lt;"&amp;$H1322)+1)</f>
        <v/>
      </c>
      <c r="J1322">
        <f>IF($I1322="","",$G1322&amp;"|"&amp;RIGHT("000000"&amp;$I1322,6))</f>
        <v/>
      </c>
      <c r="K1322">
        <f>IF(OR($E1322="",$E1322="نامعتبر"),"",LEFT($E1322,4)&amp;"/"&amp;MID($E1322,6,2))</f>
        <v/>
      </c>
      <c r="L1322">
        <f>IF(Entry!$K1322="",0,Entry!$K1322)</f>
        <v/>
      </c>
      <c r="M1322">
        <f>IF(Entry!$L1322="",0,Entry!$L1322)</f>
        <v/>
      </c>
    </row>
    <row r="1323">
      <c r="A1323">
        <f>IF(Entry!$C1323="","",Entry!$C1323)</f>
        <v/>
      </c>
      <c r="B1323">
        <f>IF($A1323="","",IF(ISNUMBER($A1323),IF(AND($A1323&gt;=10000101,$A1323&lt;=99991231),INT($A1323/10000),""),IFERROR(VALUE(TRIM(LEFT($A1323,FIND("/",$A1323)-1))),"")))</f>
        <v/>
      </c>
      <c r="C1323">
        <f>IF(OR($A1323="",$B1323=""),"",IF(ISNUMBER($A1323),INT(MOD($A1323,10000)/100),IFERROR(VALUE(TRIM(LEFT(MID($A1323,FIND("/",$A1323)+1,20),FIND("/",MID($A1323,FIND("/",$A1323)+1,20))-1))),"")))</f>
        <v/>
      </c>
      <c r="D1323">
        <f>IF(OR($A1323="",$B1323=""),"",IF(ISNUMBER($A1323),MOD($A1323,100),IFERROR(VALUE(TRIM(MID(MID($A1323,FIND("/",$A1323)+1,20),FIND("/",MID($A1323,FIND("/",$A1323)+1,20))+1,20))),"")))</f>
        <v/>
      </c>
      <c r="E1323">
        <f>IF($A1323="","",IF(OR($B1323="",$C1323="",$D1323="",$B1323&lt;1300,$B1323&gt;1500,$C1323&lt;1,$C1323&gt;12,$D1323&lt;1,$D1323&gt;31),"نامعتبر",RIGHT("0000"&amp;$B1323,4)&amp;"/"&amp;RIGHT("00"&amp;$C1323,2)&amp;"/"&amp;RIGHT("00"&amp;$D1323,2)))</f>
        <v/>
      </c>
      <c r="F1323">
        <f>IF(Entry!$D1323&lt;&gt;"",IF(AND(ISNUMBER(Entry!$D1323),Entry!$D1323&gt;=0,Entry!$D1323&lt;1),RIGHT("00"&amp;HOUR(Entry!$D1323),2)&amp;":"&amp;RIGHT("00"&amp;MINUTE(Entry!$D1323),2),IFERROR(RIGHT("00"&amp;VALUE(TRIM(LEFT(Entry!$D1323,FIND(":",Entry!$D1323)-1))),2)&amp;":"&amp;RIGHT("00"&amp;VALUE(TRIM(MID(Entry!$D1323,FIND(":",Entry!$D1323)+1,2))),2),"نامعتبر")),IF(OR($E1323="",$E1323="نامعتبر"),"","00:00"))</f>
        <v/>
      </c>
      <c r="G1323">
        <f>IF(OR($E1323="",$E1323="نامعتبر"),"",IF(Entry!$E1323="","",LEFT(UPPER(TRIM(Entry!$E1323)),6)))</f>
        <v/>
      </c>
      <c r="H1323">
        <f>IF($G1323="","",RIGHT($E1323,4)&amp;MID($E1323,6,2)&amp;RIGHT($E1323,2)&amp;IF($F1323="","0000",IF($F1323="نامعتبر","9999",LEFT($F1323,2)&amp;RIGHT($F1323,2)))&amp;"|"&amp;RIGHT("00000"&amp;1315,5))</f>
        <v/>
      </c>
      <c r="I1323">
        <f>IF($H1323="","",COUNTIFS(CalcBank,$G1323,CalcKey,"&lt;"&amp;$H1323)+1)</f>
        <v/>
      </c>
      <c r="J1323">
        <f>IF($I1323="","",$G1323&amp;"|"&amp;RIGHT("000000"&amp;$I1323,6))</f>
        <v/>
      </c>
      <c r="K1323">
        <f>IF(OR($E1323="",$E1323="نامعتبر"),"",LEFT($E1323,4)&amp;"/"&amp;MID($E1323,6,2))</f>
        <v/>
      </c>
      <c r="L1323">
        <f>IF(Entry!$K1323="",0,Entry!$K1323)</f>
        <v/>
      </c>
      <c r="M1323">
        <f>IF(Entry!$L1323="",0,Entry!$L1323)</f>
        <v/>
      </c>
    </row>
    <row r="1324">
      <c r="A1324">
        <f>IF(Entry!$C1324="","",Entry!$C1324)</f>
        <v/>
      </c>
      <c r="B1324">
        <f>IF($A1324="","",IF(ISNUMBER($A1324),IF(AND($A1324&gt;=10000101,$A1324&lt;=99991231),INT($A1324/10000),""),IFERROR(VALUE(TRIM(LEFT($A1324,FIND("/",$A1324)-1))),"")))</f>
        <v/>
      </c>
      <c r="C1324">
        <f>IF(OR($A1324="",$B1324=""),"",IF(ISNUMBER($A1324),INT(MOD($A1324,10000)/100),IFERROR(VALUE(TRIM(LEFT(MID($A1324,FIND("/",$A1324)+1,20),FIND("/",MID($A1324,FIND("/",$A1324)+1,20))-1))),"")))</f>
        <v/>
      </c>
      <c r="D1324">
        <f>IF(OR($A1324="",$B1324=""),"",IF(ISNUMBER($A1324),MOD($A1324,100),IFERROR(VALUE(TRIM(MID(MID($A1324,FIND("/",$A1324)+1,20),FIND("/",MID($A1324,FIND("/",$A1324)+1,20))+1,20))),"")))</f>
        <v/>
      </c>
      <c r="E1324">
        <f>IF($A1324="","",IF(OR($B1324="",$C1324="",$D1324="",$B1324&lt;1300,$B1324&gt;1500,$C1324&lt;1,$C1324&gt;12,$D1324&lt;1,$D1324&gt;31),"نامعتبر",RIGHT("0000"&amp;$B1324,4)&amp;"/"&amp;RIGHT("00"&amp;$C1324,2)&amp;"/"&amp;RIGHT("00"&amp;$D1324,2)))</f>
        <v/>
      </c>
      <c r="F1324">
        <f>IF(Entry!$D1324&lt;&gt;"",IF(AND(ISNUMBER(Entry!$D1324),Entry!$D1324&gt;=0,Entry!$D1324&lt;1),RIGHT("00"&amp;HOUR(Entry!$D1324),2)&amp;":"&amp;RIGHT("00"&amp;MINUTE(Entry!$D1324),2),IFERROR(RIGHT("00"&amp;VALUE(TRIM(LEFT(Entry!$D1324,FIND(":",Entry!$D1324)-1))),2)&amp;":"&amp;RIGHT("00"&amp;VALUE(TRIM(MID(Entry!$D1324,FIND(":",Entry!$D1324)+1,2))),2),"نامعتبر")),IF(OR($E1324="",$E1324="نامعتبر"),"","00:00"))</f>
        <v/>
      </c>
      <c r="G1324">
        <f>IF(OR($E1324="",$E1324="نامعتبر"),"",IF(Entry!$E1324="","",LEFT(UPPER(TRIM(Entry!$E1324)),6)))</f>
        <v/>
      </c>
      <c r="H1324">
        <f>IF($G1324="","",RIGHT($E1324,4)&amp;MID($E1324,6,2)&amp;RIGHT($E1324,2)&amp;IF($F1324="","0000",IF($F1324="نامعتبر","9999",LEFT($F1324,2)&amp;RIGHT($F1324,2)))&amp;"|"&amp;RIGHT("00000"&amp;1316,5))</f>
        <v/>
      </c>
      <c r="I1324">
        <f>IF($H1324="","",COUNTIFS(CalcBank,$G1324,CalcKey,"&lt;"&amp;$H1324)+1)</f>
        <v/>
      </c>
      <c r="J1324">
        <f>IF($I1324="","",$G1324&amp;"|"&amp;RIGHT("000000"&amp;$I1324,6))</f>
        <v/>
      </c>
      <c r="K1324">
        <f>IF(OR($E1324="",$E1324="نامعتبر"),"",LEFT($E1324,4)&amp;"/"&amp;MID($E1324,6,2))</f>
        <v/>
      </c>
      <c r="L1324">
        <f>IF(Entry!$K1324="",0,Entry!$K1324)</f>
        <v/>
      </c>
      <c r="M1324">
        <f>IF(Entry!$L1324="",0,Entry!$L1324)</f>
        <v/>
      </c>
    </row>
    <row r="1325">
      <c r="A1325">
        <f>IF(Entry!$C1325="","",Entry!$C1325)</f>
        <v/>
      </c>
      <c r="B1325">
        <f>IF($A1325="","",IF(ISNUMBER($A1325),IF(AND($A1325&gt;=10000101,$A1325&lt;=99991231),INT($A1325/10000),""),IFERROR(VALUE(TRIM(LEFT($A1325,FIND("/",$A1325)-1))),"")))</f>
        <v/>
      </c>
      <c r="C1325">
        <f>IF(OR($A1325="",$B1325=""),"",IF(ISNUMBER($A1325),INT(MOD($A1325,10000)/100),IFERROR(VALUE(TRIM(LEFT(MID($A1325,FIND("/",$A1325)+1,20),FIND("/",MID($A1325,FIND("/",$A1325)+1,20))-1))),"")))</f>
        <v/>
      </c>
      <c r="D1325">
        <f>IF(OR($A1325="",$B1325=""),"",IF(ISNUMBER($A1325),MOD($A1325,100),IFERROR(VALUE(TRIM(MID(MID($A1325,FIND("/",$A1325)+1,20),FIND("/",MID($A1325,FIND("/",$A1325)+1,20))+1,20))),"")))</f>
        <v/>
      </c>
      <c r="E1325">
        <f>IF($A1325="","",IF(OR($B1325="",$C1325="",$D1325="",$B1325&lt;1300,$B1325&gt;1500,$C1325&lt;1,$C1325&gt;12,$D1325&lt;1,$D1325&gt;31),"نامعتبر",RIGHT("0000"&amp;$B1325,4)&amp;"/"&amp;RIGHT("00"&amp;$C1325,2)&amp;"/"&amp;RIGHT("00"&amp;$D1325,2)))</f>
        <v/>
      </c>
      <c r="F1325">
        <f>IF(Entry!$D1325&lt;&gt;"",IF(AND(ISNUMBER(Entry!$D1325),Entry!$D1325&gt;=0,Entry!$D1325&lt;1),RIGHT("00"&amp;HOUR(Entry!$D1325),2)&amp;":"&amp;RIGHT("00"&amp;MINUTE(Entry!$D1325),2),IFERROR(RIGHT("00"&amp;VALUE(TRIM(LEFT(Entry!$D1325,FIND(":",Entry!$D1325)-1))),2)&amp;":"&amp;RIGHT("00"&amp;VALUE(TRIM(MID(Entry!$D1325,FIND(":",Entry!$D1325)+1,2))),2),"نامعتبر")),IF(OR($E1325="",$E1325="نامعتبر"),"","00:00"))</f>
        <v/>
      </c>
      <c r="G1325">
        <f>IF(OR($E1325="",$E1325="نامعتبر"),"",IF(Entry!$E1325="","",LEFT(UPPER(TRIM(Entry!$E1325)),6)))</f>
        <v/>
      </c>
      <c r="H1325">
        <f>IF($G1325="","",RIGHT($E1325,4)&amp;MID($E1325,6,2)&amp;RIGHT($E1325,2)&amp;IF($F1325="","0000",IF($F1325="نامعتبر","9999",LEFT($F1325,2)&amp;RIGHT($F1325,2)))&amp;"|"&amp;RIGHT("00000"&amp;1317,5))</f>
        <v/>
      </c>
      <c r="I1325">
        <f>IF($H1325="","",COUNTIFS(CalcBank,$G1325,CalcKey,"&lt;"&amp;$H1325)+1)</f>
        <v/>
      </c>
      <c r="J1325">
        <f>IF($I1325="","",$G1325&amp;"|"&amp;RIGHT("000000"&amp;$I1325,6))</f>
        <v/>
      </c>
      <c r="K1325">
        <f>IF(OR($E1325="",$E1325="نامعتبر"),"",LEFT($E1325,4)&amp;"/"&amp;MID($E1325,6,2))</f>
        <v/>
      </c>
      <c r="L1325">
        <f>IF(Entry!$K1325="",0,Entry!$K1325)</f>
        <v/>
      </c>
      <c r="M1325">
        <f>IF(Entry!$L1325="",0,Entry!$L1325)</f>
        <v/>
      </c>
    </row>
    <row r="1326">
      <c r="A1326">
        <f>IF(Entry!$C1326="","",Entry!$C1326)</f>
        <v/>
      </c>
      <c r="B1326">
        <f>IF($A1326="","",IF(ISNUMBER($A1326),IF(AND($A1326&gt;=10000101,$A1326&lt;=99991231),INT($A1326/10000),""),IFERROR(VALUE(TRIM(LEFT($A1326,FIND("/",$A1326)-1))),"")))</f>
        <v/>
      </c>
      <c r="C1326">
        <f>IF(OR($A1326="",$B1326=""),"",IF(ISNUMBER($A1326),INT(MOD($A1326,10000)/100),IFERROR(VALUE(TRIM(LEFT(MID($A1326,FIND("/",$A1326)+1,20),FIND("/",MID($A1326,FIND("/",$A1326)+1,20))-1))),"")))</f>
        <v/>
      </c>
      <c r="D1326">
        <f>IF(OR($A1326="",$B1326=""),"",IF(ISNUMBER($A1326),MOD($A1326,100),IFERROR(VALUE(TRIM(MID(MID($A1326,FIND("/",$A1326)+1,20),FIND("/",MID($A1326,FIND("/",$A1326)+1,20))+1,20))),"")))</f>
        <v/>
      </c>
      <c r="E1326">
        <f>IF($A1326="","",IF(OR($B1326="",$C1326="",$D1326="",$B1326&lt;1300,$B1326&gt;1500,$C1326&lt;1,$C1326&gt;12,$D1326&lt;1,$D1326&gt;31),"نامعتبر",RIGHT("0000"&amp;$B1326,4)&amp;"/"&amp;RIGHT("00"&amp;$C1326,2)&amp;"/"&amp;RIGHT("00"&amp;$D1326,2)))</f>
        <v/>
      </c>
      <c r="F1326">
        <f>IF(Entry!$D1326&lt;&gt;"",IF(AND(ISNUMBER(Entry!$D1326),Entry!$D1326&gt;=0,Entry!$D1326&lt;1),RIGHT("00"&amp;HOUR(Entry!$D1326),2)&amp;":"&amp;RIGHT("00"&amp;MINUTE(Entry!$D1326),2),IFERROR(RIGHT("00"&amp;VALUE(TRIM(LEFT(Entry!$D1326,FIND(":",Entry!$D1326)-1))),2)&amp;":"&amp;RIGHT("00"&amp;VALUE(TRIM(MID(Entry!$D1326,FIND(":",Entry!$D1326)+1,2))),2),"نامعتبر")),IF(OR($E1326="",$E1326="نامعتبر"),"","00:00"))</f>
        <v/>
      </c>
      <c r="G1326">
        <f>IF(OR($E1326="",$E1326="نامعتبر"),"",IF(Entry!$E1326="","",LEFT(UPPER(TRIM(Entry!$E1326)),6)))</f>
        <v/>
      </c>
      <c r="H1326">
        <f>IF($G1326="","",RIGHT($E1326,4)&amp;MID($E1326,6,2)&amp;RIGHT($E1326,2)&amp;IF($F1326="","0000",IF($F1326="نامعتبر","9999",LEFT($F1326,2)&amp;RIGHT($F1326,2)))&amp;"|"&amp;RIGHT("00000"&amp;1318,5))</f>
        <v/>
      </c>
      <c r="I1326">
        <f>IF($H1326="","",COUNTIFS(CalcBank,$G1326,CalcKey,"&lt;"&amp;$H1326)+1)</f>
        <v/>
      </c>
      <c r="J1326">
        <f>IF($I1326="","",$G1326&amp;"|"&amp;RIGHT("000000"&amp;$I1326,6))</f>
        <v/>
      </c>
      <c r="K1326">
        <f>IF(OR($E1326="",$E1326="نامعتبر"),"",LEFT($E1326,4)&amp;"/"&amp;MID($E1326,6,2))</f>
        <v/>
      </c>
      <c r="L1326">
        <f>IF(Entry!$K1326="",0,Entry!$K1326)</f>
        <v/>
      </c>
      <c r="M1326">
        <f>IF(Entry!$L1326="",0,Entry!$L1326)</f>
        <v/>
      </c>
    </row>
    <row r="1327">
      <c r="A1327">
        <f>IF(Entry!$C1327="","",Entry!$C1327)</f>
        <v/>
      </c>
      <c r="B1327">
        <f>IF($A1327="","",IF(ISNUMBER($A1327),IF(AND($A1327&gt;=10000101,$A1327&lt;=99991231),INT($A1327/10000),""),IFERROR(VALUE(TRIM(LEFT($A1327,FIND("/",$A1327)-1))),"")))</f>
        <v/>
      </c>
      <c r="C1327">
        <f>IF(OR($A1327="",$B1327=""),"",IF(ISNUMBER($A1327),INT(MOD($A1327,10000)/100),IFERROR(VALUE(TRIM(LEFT(MID($A1327,FIND("/",$A1327)+1,20),FIND("/",MID($A1327,FIND("/",$A1327)+1,20))-1))),"")))</f>
        <v/>
      </c>
      <c r="D1327">
        <f>IF(OR($A1327="",$B1327=""),"",IF(ISNUMBER($A1327),MOD($A1327,100),IFERROR(VALUE(TRIM(MID(MID($A1327,FIND("/",$A1327)+1,20),FIND("/",MID($A1327,FIND("/",$A1327)+1,20))+1,20))),"")))</f>
        <v/>
      </c>
      <c r="E1327">
        <f>IF($A1327="","",IF(OR($B1327="",$C1327="",$D1327="",$B1327&lt;1300,$B1327&gt;1500,$C1327&lt;1,$C1327&gt;12,$D1327&lt;1,$D1327&gt;31),"نامعتبر",RIGHT("0000"&amp;$B1327,4)&amp;"/"&amp;RIGHT("00"&amp;$C1327,2)&amp;"/"&amp;RIGHT("00"&amp;$D1327,2)))</f>
        <v/>
      </c>
      <c r="F1327">
        <f>IF(Entry!$D1327&lt;&gt;"",IF(AND(ISNUMBER(Entry!$D1327),Entry!$D1327&gt;=0,Entry!$D1327&lt;1),RIGHT("00"&amp;HOUR(Entry!$D1327),2)&amp;":"&amp;RIGHT("00"&amp;MINUTE(Entry!$D1327),2),IFERROR(RIGHT("00"&amp;VALUE(TRIM(LEFT(Entry!$D1327,FIND(":",Entry!$D1327)-1))),2)&amp;":"&amp;RIGHT("00"&amp;VALUE(TRIM(MID(Entry!$D1327,FIND(":",Entry!$D1327)+1,2))),2),"نامعتبر")),IF(OR($E1327="",$E1327="نامعتبر"),"","00:00"))</f>
        <v/>
      </c>
      <c r="G1327">
        <f>IF(OR($E1327="",$E1327="نامعتبر"),"",IF(Entry!$E1327="","",LEFT(UPPER(TRIM(Entry!$E1327)),6)))</f>
        <v/>
      </c>
      <c r="H1327">
        <f>IF($G1327="","",RIGHT($E1327,4)&amp;MID($E1327,6,2)&amp;RIGHT($E1327,2)&amp;IF($F1327="","0000",IF($F1327="نامعتبر","9999",LEFT($F1327,2)&amp;RIGHT($F1327,2)))&amp;"|"&amp;RIGHT("00000"&amp;1319,5))</f>
        <v/>
      </c>
      <c r="I1327">
        <f>IF($H1327="","",COUNTIFS(CalcBank,$G1327,CalcKey,"&lt;"&amp;$H1327)+1)</f>
        <v/>
      </c>
      <c r="J1327">
        <f>IF($I1327="","",$G1327&amp;"|"&amp;RIGHT("000000"&amp;$I1327,6))</f>
        <v/>
      </c>
      <c r="K1327">
        <f>IF(OR($E1327="",$E1327="نامعتبر"),"",LEFT($E1327,4)&amp;"/"&amp;MID($E1327,6,2))</f>
        <v/>
      </c>
      <c r="L1327">
        <f>IF(Entry!$K1327="",0,Entry!$K1327)</f>
        <v/>
      </c>
      <c r="M1327">
        <f>IF(Entry!$L1327="",0,Entry!$L1327)</f>
        <v/>
      </c>
    </row>
    <row r="1328">
      <c r="A1328">
        <f>IF(Entry!$C1328="","",Entry!$C1328)</f>
        <v/>
      </c>
      <c r="B1328">
        <f>IF($A1328="","",IF(ISNUMBER($A1328),IF(AND($A1328&gt;=10000101,$A1328&lt;=99991231),INT($A1328/10000),""),IFERROR(VALUE(TRIM(LEFT($A1328,FIND("/",$A1328)-1))),"")))</f>
        <v/>
      </c>
      <c r="C1328">
        <f>IF(OR($A1328="",$B1328=""),"",IF(ISNUMBER($A1328),INT(MOD($A1328,10000)/100),IFERROR(VALUE(TRIM(LEFT(MID($A1328,FIND("/",$A1328)+1,20),FIND("/",MID($A1328,FIND("/",$A1328)+1,20))-1))),"")))</f>
        <v/>
      </c>
      <c r="D1328">
        <f>IF(OR($A1328="",$B1328=""),"",IF(ISNUMBER($A1328),MOD($A1328,100),IFERROR(VALUE(TRIM(MID(MID($A1328,FIND("/",$A1328)+1,20),FIND("/",MID($A1328,FIND("/",$A1328)+1,20))+1,20))),"")))</f>
        <v/>
      </c>
      <c r="E1328">
        <f>IF($A1328="","",IF(OR($B1328="",$C1328="",$D1328="",$B1328&lt;1300,$B1328&gt;1500,$C1328&lt;1,$C1328&gt;12,$D1328&lt;1,$D1328&gt;31),"نامعتبر",RIGHT("0000"&amp;$B1328,4)&amp;"/"&amp;RIGHT("00"&amp;$C1328,2)&amp;"/"&amp;RIGHT("00"&amp;$D1328,2)))</f>
        <v/>
      </c>
      <c r="F1328">
        <f>IF(Entry!$D1328&lt;&gt;"",IF(AND(ISNUMBER(Entry!$D1328),Entry!$D1328&gt;=0,Entry!$D1328&lt;1),RIGHT("00"&amp;HOUR(Entry!$D1328),2)&amp;":"&amp;RIGHT("00"&amp;MINUTE(Entry!$D1328),2),IFERROR(RIGHT("00"&amp;VALUE(TRIM(LEFT(Entry!$D1328,FIND(":",Entry!$D1328)-1))),2)&amp;":"&amp;RIGHT("00"&amp;VALUE(TRIM(MID(Entry!$D1328,FIND(":",Entry!$D1328)+1,2))),2),"نامعتبر")),IF(OR($E1328="",$E1328="نامعتبر"),"","00:00"))</f>
        <v/>
      </c>
      <c r="G1328">
        <f>IF(OR($E1328="",$E1328="نامعتبر"),"",IF(Entry!$E1328="","",LEFT(UPPER(TRIM(Entry!$E1328)),6)))</f>
        <v/>
      </c>
      <c r="H1328">
        <f>IF($G1328="","",RIGHT($E1328,4)&amp;MID($E1328,6,2)&amp;RIGHT($E1328,2)&amp;IF($F1328="","0000",IF($F1328="نامعتبر","9999",LEFT($F1328,2)&amp;RIGHT($F1328,2)))&amp;"|"&amp;RIGHT("00000"&amp;1320,5))</f>
        <v/>
      </c>
      <c r="I1328">
        <f>IF($H1328="","",COUNTIFS(CalcBank,$G1328,CalcKey,"&lt;"&amp;$H1328)+1)</f>
        <v/>
      </c>
      <c r="J1328">
        <f>IF($I1328="","",$G1328&amp;"|"&amp;RIGHT("000000"&amp;$I1328,6))</f>
        <v/>
      </c>
      <c r="K1328">
        <f>IF(OR($E1328="",$E1328="نامعتبر"),"",LEFT($E1328,4)&amp;"/"&amp;MID($E1328,6,2))</f>
        <v/>
      </c>
      <c r="L1328">
        <f>IF(Entry!$K1328="",0,Entry!$K1328)</f>
        <v/>
      </c>
      <c r="M1328">
        <f>IF(Entry!$L1328="",0,Entry!$L1328)</f>
        <v/>
      </c>
    </row>
    <row r="1329">
      <c r="A1329">
        <f>IF(Entry!$C1329="","",Entry!$C1329)</f>
        <v/>
      </c>
      <c r="B1329">
        <f>IF($A1329="","",IF(ISNUMBER($A1329),IF(AND($A1329&gt;=10000101,$A1329&lt;=99991231),INT($A1329/10000),""),IFERROR(VALUE(TRIM(LEFT($A1329,FIND("/",$A1329)-1))),"")))</f>
        <v/>
      </c>
      <c r="C1329">
        <f>IF(OR($A1329="",$B1329=""),"",IF(ISNUMBER($A1329),INT(MOD($A1329,10000)/100),IFERROR(VALUE(TRIM(LEFT(MID($A1329,FIND("/",$A1329)+1,20),FIND("/",MID($A1329,FIND("/",$A1329)+1,20))-1))),"")))</f>
        <v/>
      </c>
      <c r="D1329">
        <f>IF(OR($A1329="",$B1329=""),"",IF(ISNUMBER($A1329),MOD($A1329,100),IFERROR(VALUE(TRIM(MID(MID($A1329,FIND("/",$A1329)+1,20),FIND("/",MID($A1329,FIND("/",$A1329)+1,20))+1,20))),"")))</f>
        <v/>
      </c>
      <c r="E1329">
        <f>IF($A1329="","",IF(OR($B1329="",$C1329="",$D1329="",$B1329&lt;1300,$B1329&gt;1500,$C1329&lt;1,$C1329&gt;12,$D1329&lt;1,$D1329&gt;31),"نامعتبر",RIGHT("0000"&amp;$B1329,4)&amp;"/"&amp;RIGHT("00"&amp;$C1329,2)&amp;"/"&amp;RIGHT("00"&amp;$D1329,2)))</f>
        <v/>
      </c>
      <c r="F1329">
        <f>IF(Entry!$D1329&lt;&gt;"",IF(AND(ISNUMBER(Entry!$D1329),Entry!$D1329&gt;=0,Entry!$D1329&lt;1),RIGHT("00"&amp;HOUR(Entry!$D1329),2)&amp;":"&amp;RIGHT("00"&amp;MINUTE(Entry!$D1329),2),IFERROR(RIGHT("00"&amp;VALUE(TRIM(LEFT(Entry!$D1329,FIND(":",Entry!$D1329)-1))),2)&amp;":"&amp;RIGHT("00"&amp;VALUE(TRIM(MID(Entry!$D1329,FIND(":",Entry!$D1329)+1,2))),2),"نامعتبر")),IF(OR($E1329="",$E1329="نامعتبر"),"","00:00"))</f>
        <v/>
      </c>
      <c r="G1329">
        <f>IF(OR($E1329="",$E1329="نامعتبر"),"",IF(Entry!$E1329="","",LEFT(UPPER(TRIM(Entry!$E1329)),6)))</f>
        <v/>
      </c>
      <c r="H1329">
        <f>IF($G1329="","",RIGHT($E1329,4)&amp;MID($E1329,6,2)&amp;RIGHT($E1329,2)&amp;IF($F1329="","0000",IF($F1329="نامعتبر","9999",LEFT($F1329,2)&amp;RIGHT($F1329,2)))&amp;"|"&amp;RIGHT("00000"&amp;1321,5))</f>
        <v/>
      </c>
      <c r="I1329">
        <f>IF($H1329="","",COUNTIFS(CalcBank,$G1329,CalcKey,"&lt;"&amp;$H1329)+1)</f>
        <v/>
      </c>
      <c r="J1329">
        <f>IF($I1329="","",$G1329&amp;"|"&amp;RIGHT("000000"&amp;$I1329,6))</f>
        <v/>
      </c>
      <c r="K1329">
        <f>IF(OR($E1329="",$E1329="نامعتبر"),"",LEFT($E1329,4)&amp;"/"&amp;MID($E1329,6,2))</f>
        <v/>
      </c>
      <c r="L1329">
        <f>IF(Entry!$K1329="",0,Entry!$K1329)</f>
        <v/>
      </c>
      <c r="M1329">
        <f>IF(Entry!$L1329="",0,Entry!$L1329)</f>
        <v/>
      </c>
    </row>
    <row r="1330">
      <c r="A1330">
        <f>IF(Entry!$C1330="","",Entry!$C1330)</f>
        <v/>
      </c>
      <c r="B1330">
        <f>IF($A1330="","",IF(ISNUMBER($A1330),IF(AND($A1330&gt;=10000101,$A1330&lt;=99991231),INT($A1330/10000),""),IFERROR(VALUE(TRIM(LEFT($A1330,FIND("/",$A1330)-1))),"")))</f>
        <v/>
      </c>
      <c r="C1330">
        <f>IF(OR($A1330="",$B1330=""),"",IF(ISNUMBER($A1330),INT(MOD($A1330,10000)/100),IFERROR(VALUE(TRIM(LEFT(MID($A1330,FIND("/",$A1330)+1,20),FIND("/",MID($A1330,FIND("/",$A1330)+1,20))-1))),"")))</f>
        <v/>
      </c>
      <c r="D1330">
        <f>IF(OR($A1330="",$B1330=""),"",IF(ISNUMBER($A1330),MOD($A1330,100),IFERROR(VALUE(TRIM(MID(MID($A1330,FIND("/",$A1330)+1,20),FIND("/",MID($A1330,FIND("/",$A1330)+1,20))+1,20))),"")))</f>
        <v/>
      </c>
      <c r="E1330">
        <f>IF($A1330="","",IF(OR($B1330="",$C1330="",$D1330="",$B1330&lt;1300,$B1330&gt;1500,$C1330&lt;1,$C1330&gt;12,$D1330&lt;1,$D1330&gt;31),"نامعتبر",RIGHT("0000"&amp;$B1330,4)&amp;"/"&amp;RIGHT("00"&amp;$C1330,2)&amp;"/"&amp;RIGHT("00"&amp;$D1330,2)))</f>
        <v/>
      </c>
      <c r="F1330">
        <f>IF(Entry!$D1330&lt;&gt;"",IF(AND(ISNUMBER(Entry!$D1330),Entry!$D1330&gt;=0,Entry!$D1330&lt;1),RIGHT("00"&amp;HOUR(Entry!$D1330),2)&amp;":"&amp;RIGHT("00"&amp;MINUTE(Entry!$D1330),2),IFERROR(RIGHT("00"&amp;VALUE(TRIM(LEFT(Entry!$D1330,FIND(":",Entry!$D1330)-1))),2)&amp;":"&amp;RIGHT("00"&amp;VALUE(TRIM(MID(Entry!$D1330,FIND(":",Entry!$D1330)+1,2))),2),"نامعتبر")),IF(OR($E1330="",$E1330="نامعتبر"),"","00:00"))</f>
        <v/>
      </c>
      <c r="G1330">
        <f>IF(OR($E1330="",$E1330="نامعتبر"),"",IF(Entry!$E1330="","",LEFT(UPPER(TRIM(Entry!$E1330)),6)))</f>
        <v/>
      </c>
      <c r="H1330">
        <f>IF($G1330="","",RIGHT($E1330,4)&amp;MID($E1330,6,2)&amp;RIGHT($E1330,2)&amp;IF($F1330="","0000",IF($F1330="نامعتبر","9999",LEFT($F1330,2)&amp;RIGHT($F1330,2)))&amp;"|"&amp;RIGHT("00000"&amp;1322,5))</f>
        <v/>
      </c>
      <c r="I1330">
        <f>IF($H1330="","",COUNTIFS(CalcBank,$G1330,CalcKey,"&lt;"&amp;$H1330)+1)</f>
        <v/>
      </c>
      <c r="J1330">
        <f>IF($I1330="","",$G1330&amp;"|"&amp;RIGHT("000000"&amp;$I1330,6))</f>
        <v/>
      </c>
      <c r="K1330">
        <f>IF(OR($E1330="",$E1330="نامعتبر"),"",LEFT($E1330,4)&amp;"/"&amp;MID($E1330,6,2))</f>
        <v/>
      </c>
      <c r="L1330">
        <f>IF(Entry!$K1330="",0,Entry!$K1330)</f>
        <v/>
      </c>
      <c r="M1330">
        <f>IF(Entry!$L1330="",0,Entry!$L1330)</f>
        <v/>
      </c>
    </row>
    <row r="1331">
      <c r="A1331">
        <f>IF(Entry!$C1331="","",Entry!$C1331)</f>
        <v/>
      </c>
      <c r="B1331">
        <f>IF($A1331="","",IF(ISNUMBER($A1331),IF(AND($A1331&gt;=10000101,$A1331&lt;=99991231),INT($A1331/10000),""),IFERROR(VALUE(TRIM(LEFT($A1331,FIND("/",$A1331)-1))),"")))</f>
        <v/>
      </c>
      <c r="C1331">
        <f>IF(OR($A1331="",$B1331=""),"",IF(ISNUMBER($A1331),INT(MOD($A1331,10000)/100),IFERROR(VALUE(TRIM(LEFT(MID($A1331,FIND("/",$A1331)+1,20),FIND("/",MID($A1331,FIND("/",$A1331)+1,20))-1))),"")))</f>
        <v/>
      </c>
      <c r="D1331">
        <f>IF(OR($A1331="",$B1331=""),"",IF(ISNUMBER($A1331),MOD($A1331,100),IFERROR(VALUE(TRIM(MID(MID($A1331,FIND("/",$A1331)+1,20),FIND("/",MID($A1331,FIND("/",$A1331)+1,20))+1,20))),"")))</f>
        <v/>
      </c>
      <c r="E1331">
        <f>IF($A1331="","",IF(OR($B1331="",$C1331="",$D1331="",$B1331&lt;1300,$B1331&gt;1500,$C1331&lt;1,$C1331&gt;12,$D1331&lt;1,$D1331&gt;31),"نامعتبر",RIGHT("0000"&amp;$B1331,4)&amp;"/"&amp;RIGHT("00"&amp;$C1331,2)&amp;"/"&amp;RIGHT("00"&amp;$D1331,2)))</f>
        <v/>
      </c>
      <c r="F1331">
        <f>IF(Entry!$D1331&lt;&gt;"",IF(AND(ISNUMBER(Entry!$D1331),Entry!$D1331&gt;=0,Entry!$D1331&lt;1),RIGHT("00"&amp;HOUR(Entry!$D1331),2)&amp;":"&amp;RIGHT("00"&amp;MINUTE(Entry!$D1331),2),IFERROR(RIGHT("00"&amp;VALUE(TRIM(LEFT(Entry!$D1331,FIND(":",Entry!$D1331)-1))),2)&amp;":"&amp;RIGHT("00"&amp;VALUE(TRIM(MID(Entry!$D1331,FIND(":",Entry!$D1331)+1,2))),2),"نامعتبر")),IF(OR($E1331="",$E1331="نامعتبر"),"","00:00"))</f>
        <v/>
      </c>
      <c r="G1331">
        <f>IF(OR($E1331="",$E1331="نامعتبر"),"",IF(Entry!$E1331="","",LEFT(UPPER(TRIM(Entry!$E1331)),6)))</f>
        <v/>
      </c>
      <c r="H1331">
        <f>IF($G1331="","",RIGHT($E1331,4)&amp;MID($E1331,6,2)&amp;RIGHT($E1331,2)&amp;IF($F1331="","0000",IF($F1331="نامعتبر","9999",LEFT($F1331,2)&amp;RIGHT($F1331,2)))&amp;"|"&amp;RIGHT("00000"&amp;1323,5))</f>
        <v/>
      </c>
      <c r="I1331">
        <f>IF($H1331="","",COUNTIFS(CalcBank,$G1331,CalcKey,"&lt;"&amp;$H1331)+1)</f>
        <v/>
      </c>
      <c r="J1331">
        <f>IF($I1331="","",$G1331&amp;"|"&amp;RIGHT("000000"&amp;$I1331,6))</f>
        <v/>
      </c>
      <c r="K1331">
        <f>IF(OR($E1331="",$E1331="نامعتبر"),"",LEFT($E1331,4)&amp;"/"&amp;MID($E1331,6,2))</f>
        <v/>
      </c>
      <c r="L1331">
        <f>IF(Entry!$K1331="",0,Entry!$K1331)</f>
        <v/>
      </c>
      <c r="M1331">
        <f>IF(Entry!$L1331="",0,Entry!$L1331)</f>
        <v/>
      </c>
    </row>
    <row r="1332">
      <c r="A1332">
        <f>IF(Entry!$C1332="","",Entry!$C1332)</f>
        <v/>
      </c>
      <c r="B1332">
        <f>IF($A1332="","",IF(ISNUMBER($A1332),IF(AND($A1332&gt;=10000101,$A1332&lt;=99991231),INT($A1332/10000),""),IFERROR(VALUE(TRIM(LEFT($A1332,FIND("/",$A1332)-1))),"")))</f>
        <v/>
      </c>
      <c r="C1332">
        <f>IF(OR($A1332="",$B1332=""),"",IF(ISNUMBER($A1332),INT(MOD($A1332,10000)/100),IFERROR(VALUE(TRIM(LEFT(MID($A1332,FIND("/",$A1332)+1,20),FIND("/",MID($A1332,FIND("/",$A1332)+1,20))-1))),"")))</f>
        <v/>
      </c>
      <c r="D1332">
        <f>IF(OR($A1332="",$B1332=""),"",IF(ISNUMBER($A1332),MOD($A1332,100),IFERROR(VALUE(TRIM(MID(MID($A1332,FIND("/",$A1332)+1,20),FIND("/",MID($A1332,FIND("/",$A1332)+1,20))+1,20))),"")))</f>
        <v/>
      </c>
      <c r="E1332">
        <f>IF($A1332="","",IF(OR($B1332="",$C1332="",$D1332="",$B1332&lt;1300,$B1332&gt;1500,$C1332&lt;1,$C1332&gt;12,$D1332&lt;1,$D1332&gt;31),"نامعتبر",RIGHT("0000"&amp;$B1332,4)&amp;"/"&amp;RIGHT("00"&amp;$C1332,2)&amp;"/"&amp;RIGHT("00"&amp;$D1332,2)))</f>
        <v/>
      </c>
      <c r="F1332">
        <f>IF(Entry!$D1332&lt;&gt;"",IF(AND(ISNUMBER(Entry!$D1332),Entry!$D1332&gt;=0,Entry!$D1332&lt;1),RIGHT("00"&amp;HOUR(Entry!$D1332),2)&amp;":"&amp;RIGHT("00"&amp;MINUTE(Entry!$D1332),2),IFERROR(RIGHT("00"&amp;VALUE(TRIM(LEFT(Entry!$D1332,FIND(":",Entry!$D1332)-1))),2)&amp;":"&amp;RIGHT("00"&amp;VALUE(TRIM(MID(Entry!$D1332,FIND(":",Entry!$D1332)+1,2))),2),"نامعتبر")),IF(OR($E1332="",$E1332="نامعتبر"),"","00:00"))</f>
        <v/>
      </c>
      <c r="G1332">
        <f>IF(OR($E1332="",$E1332="نامعتبر"),"",IF(Entry!$E1332="","",LEFT(UPPER(TRIM(Entry!$E1332)),6)))</f>
        <v/>
      </c>
      <c r="H1332">
        <f>IF($G1332="","",RIGHT($E1332,4)&amp;MID($E1332,6,2)&amp;RIGHT($E1332,2)&amp;IF($F1332="","0000",IF($F1332="نامعتبر","9999",LEFT($F1332,2)&amp;RIGHT($F1332,2)))&amp;"|"&amp;RIGHT("00000"&amp;1324,5))</f>
        <v/>
      </c>
      <c r="I1332">
        <f>IF($H1332="","",COUNTIFS(CalcBank,$G1332,CalcKey,"&lt;"&amp;$H1332)+1)</f>
        <v/>
      </c>
      <c r="J1332">
        <f>IF($I1332="","",$G1332&amp;"|"&amp;RIGHT("000000"&amp;$I1332,6))</f>
        <v/>
      </c>
      <c r="K1332">
        <f>IF(OR($E1332="",$E1332="نامعتبر"),"",LEFT($E1332,4)&amp;"/"&amp;MID($E1332,6,2))</f>
        <v/>
      </c>
      <c r="L1332">
        <f>IF(Entry!$K1332="",0,Entry!$K1332)</f>
        <v/>
      </c>
      <c r="M1332">
        <f>IF(Entry!$L1332="",0,Entry!$L1332)</f>
        <v/>
      </c>
    </row>
    <row r="1333">
      <c r="A1333">
        <f>IF(Entry!$C1333="","",Entry!$C1333)</f>
        <v/>
      </c>
      <c r="B1333">
        <f>IF($A1333="","",IF(ISNUMBER($A1333),IF(AND($A1333&gt;=10000101,$A1333&lt;=99991231),INT($A1333/10000),""),IFERROR(VALUE(TRIM(LEFT($A1333,FIND("/",$A1333)-1))),"")))</f>
        <v/>
      </c>
      <c r="C1333">
        <f>IF(OR($A1333="",$B1333=""),"",IF(ISNUMBER($A1333),INT(MOD($A1333,10000)/100),IFERROR(VALUE(TRIM(LEFT(MID($A1333,FIND("/",$A1333)+1,20),FIND("/",MID($A1333,FIND("/",$A1333)+1,20))-1))),"")))</f>
        <v/>
      </c>
      <c r="D1333">
        <f>IF(OR($A1333="",$B1333=""),"",IF(ISNUMBER($A1333),MOD($A1333,100),IFERROR(VALUE(TRIM(MID(MID($A1333,FIND("/",$A1333)+1,20),FIND("/",MID($A1333,FIND("/",$A1333)+1,20))+1,20))),"")))</f>
        <v/>
      </c>
      <c r="E1333">
        <f>IF($A1333="","",IF(OR($B1333="",$C1333="",$D1333="",$B1333&lt;1300,$B1333&gt;1500,$C1333&lt;1,$C1333&gt;12,$D1333&lt;1,$D1333&gt;31),"نامعتبر",RIGHT("0000"&amp;$B1333,4)&amp;"/"&amp;RIGHT("00"&amp;$C1333,2)&amp;"/"&amp;RIGHT("00"&amp;$D1333,2)))</f>
        <v/>
      </c>
      <c r="F1333">
        <f>IF(Entry!$D1333&lt;&gt;"",IF(AND(ISNUMBER(Entry!$D1333),Entry!$D1333&gt;=0,Entry!$D1333&lt;1),RIGHT("00"&amp;HOUR(Entry!$D1333),2)&amp;":"&amp;RIGHT("00"&amp;MINUTE(Entry!$D1333),2),IFERROR(RIGHT("00"&amp;VALUE(TRIM(LEFT(Entry!$D1333,FIND(":",Entry!$D1333)-1))),2)&amp;":"&amp;RIGHT("00"&amp;VALUE(TRIM(MID(Entry!$D1333,FIND(":",Entry!$D1333)+1,2))),2),"نامعتبر")),IF(OR($E1333="",$E1333="نامعتبر"),"","00:00"))</f>
        <v/>
      </c>
      <c r="G1333">
        <f>IF(OR($E1333="",$E1333="نامعتبر"),"",IF(Entry!$E1333="","",LEFT(UPPER(TRIM(Entry!$E1333)),6)))</f>
        <v/>
      </c>
      <c r="H1333">
        <f>IF($G1333="","",RIGHT($E1333,4)&amp;MID($E1333,6,2)&amp;RIGHT($E1333,2)&amp;IF($F1333="","0000",IF($F1333="نامعتبر","9999",LEFT($F1333,2)&amp;RIGHT($F1333,2)))&amp;"|"&amp;RIGHT("00000"&amp;1325,5))</f>
        <v/>
      </c>
      <c r="I1333">
        <f>IF($H1333="","",COUNTIFS(CalcBank,$G1333,CalcKey,"&lt;"&amp;$H1333)+1)</f>
        <v/>
      </c>
      <c r="J1333">
        <f>IF($I1333="","",$G1333&amp;"|"&amp;RIGHT("000000"&amp;$I1333,6))</f>
        <v/>
      </c>
      <c r="K1333">
        <f>IF(OR($E1333="",$E1333="نامعتبر"),"",LEFT($E1333,4)&amp;"/"&amp;MID($E1333,6,2))</f>
        <v/>
      </c>
      <c r="L1333">
        <f>IF(Entry!$K1333="",0,Entry!$K1333)</f>
        <v/>
      </c>
      <c r="M1333">
        <f>IF(Entry!$L1333="",0,Entry!$L1333)</f>
        <v/>
      </c>
    </row>
    <row r="1334">
      <c r="A1334">
        <f>IF(Entry!$C1334="","",Entry!$C1334)</f>
        <v/>
      </c>
      <c r="B1334">
        <f>IF($A1334="","",IF(ISNUMBER($A1334),IF(AND($A1334&gt;=10000101,$A1334&lt;=99991231),INT($A1334/10000),""),IFERROR(VALUE(TRIM(LEFT($A1334,FIND("/",$A1334)-1))),"")))</f>
        <v/>
      </c>
      <c r="C1334">
        <f>IF(OR($A1334="",$B1334=""),"",IF(ISNUMBER($A1334),INT(MOD($A1334,10000)/100),IFERROR(VALUE(TRIM(LEFT(MID($A1334,FIND("/",$A1334)+1,20),FIND("/",MID($A1334,FIND("/",$A1334)+1,20))-1))),"")))</f>
        <v/>
      </c>
      <c r="D1334">
        <f>IF(OR($A1334="",$B1334=""),"",IF(ISNUMBER($A1334),MOD($A1334,100),IFERROR(VALUE(TRIM(MID(MID($A1334,FIND("/",$A1334)+1,20),FIND("/",MID($A1334,FIND("/",$A1334)+1,20))+1,20))),"")))</f>
        <v/>
      </c>
      <c r="E1334">
        <f>IF($A1334="","",IF(OR($B1334="",$C1334="",$D1334="",$B1334&lt;1300,$B1334&gt;1500,$C1334&lt;1,$C1334&gt;12,$D1334&lt;1,$D1334&gt;31),"نامعتبر",RIGHT("0000"&amp;$B1334,4)&amp;"/"&amp;RIGHT("00"&amp;$C1334,2)&amp;"/"&amp;RIGHT("00"&amp;$D1334,2)))</f>
        <v/>
      </c>
      <c r="F1334">
        <f>IF(Entry!$D1334&lt;&gt;"",IF(AND(ISNUMBER(Entry!$D1334),Entry!$D1334&gt;=0,Entry!$D1334&lt;1),RIGHT("00"&amp;HOUR(Entry!$D1334),2)&amp;":"&amp;RIGHT("00"&amp;MINUTE(Entry!$D1334),2),IFERROR(RIGHT("00"&amp;VALUE(TRIM(LEFT(Entry!$D1334,FIND(":",Entry!$D1334)-1))),2)&amp;":"&amp;RIGHT("00"&amp;VALUE(TRIM(MID(Entry!$D1334,FIND(":",Entry!$D1334)+1,2))),2),"نامعتبر")),IF(OR($E1334="",$E1334="نامعتبر"),"","00:00"))</f>
        <v/>
      </c>
      <c r="G1334">
        <f>IF(OR($E1334="",$E1334="نامعتبر"),"",IF(Entry!$E1334="","",LEFT(UPPER(TRIM(Entry!$E1334)),6)))</f>
        <v/>
      </c>
      <c r="H1334">
        <f>IF($G1334="","",RIGHT($E1334,4)&amp;MID($E1334,6,2)&amp;RIGHT($E1334,2)&amp;IF($F1334="","0000",IF($F1334="نامعتبر","9999",LEFT($F1334,2)&amp;RIGHT($F1334,2)))&amp;"|"&amp;RIGHT("00000"&amp;1326,5))</f>
        <v/>
      </c>
      <c r="I1334">
        <f>IF($H1334="","",COUNTIFS(CalcBank,$G1334,CalcKey,"&lt;"&amp;$H1334)+1)</f>
        <v/>
      </c>
      <c r="J1334">
        <f>IF($I1334="","",$G1334&amp;"|"&amp;RIGHT("000000"&amp;$I1334,6))</f>
        <v/>
      </c>
      <c r="K1334">
        <f>IF(OR($E1334="",$E1334="نامعتبر"),"",LEFT($E1334,4)&amp;"/"&amp;MID($E1334,6,2))</f>
        <v/>
      </c>
      <c r="L1334">
        <f>IF(Entry!$K1334="",0,Entry!$K1334)</f>
        <v/>
      </c>
      <c r="M1334">
        <f>IF(Entry!$L1334="",0,Entry!$L1334)</f>
        <v/>
      </c>
    </row>
    <row r="1335">
      <c r="A1335">
        <f>IF(Entry!$C1335="","",Entry!$C1335)</f>
        <v/>
      </c>
      <c r="B1335">
        <f>IF($A1335="","",IF(ISNUMBER($A1335),IF(AND($A1335&gt;=10000101,$A1335&lt;=99991231),INT($A1335/10000),""),IFERROR(VALUE(TRIM(LEFT($A1335,FIND("/",$A1335)-1))),"")))</f>
        <v/>
      </c>
      <c r="C1335">
        <f>IF(OR($A1335="",$B1335=""),"",IF(ISNUMBER($A1335),INT(MOD($A1335,10000)/100),IFERROR(VALUE(TRIM(LEFT(MID($A1335,FIND("/",$A1335)+1,20),FIND("/",MID($A1335,FIND("/",$A1335)+1,20))-1))),"")))</f>
        <v/>
      </c>
      <c r="D1335">
        <f>IF(OR($A1335="",$B1335=""),"",IF(ISNUMBER($A1335),MOD($A1335,100),IFERROR(VALUE(TRIM(MID(MID($A1335,FIND("/",$A1335)+1,20),FIND("/",MID($A1335,FIND("/",$A1335)+1,20))+1,20))),"")))</f>
        <v/>
      </c>
      <c r="E1335">
        <f>IF($A1335="","",IF(OR($B1335="",$C1335="",$D1335="",$B1335&lt;1300,$B1335&gt;1500,$C1335&lt;1,$C1335&gt;12,$D1335&lt;1,$D1335&gt;31),"نامعتبر",RIGHT("0000"&amp;$B1335,4)&amp;"/"&amp;RIGHT("00"&amp;$C1335,2)&amp;"/"&amp;RIGHT("00"&amp;$D1335,2)))</f>
        <v/>
      </c>
      <c r="F1335">
        <f>IF(Entry!$D1335&lt;&gt;"",IF(AND(ISNUMBER(Entry!$D1335),Entry!$D1335&gt;=0,Entry!$D1335&lt;1),RIGHT("00"&amp;HOUR(Entry!$D1335),2)&amp;":"&amp;RIGHT("00"&amp;MINUTE(Entry!$D1335),2),IFERROR(RIGHT("00"&amp;VALUE(TRIM(LEFT(Entry!$D1335,FIND(":",Entry!$D1335)-1))),2)&amp;":"&amp;RIGHT("00"&amp;VALUE(TRIM(MID(Entry!$D1335,FIND(":",Entry!$D1335)+1,2))),2),"نامعتبر")),IF(OR($E1335="",$E1335="نامعتبر"),"","00:00"))</f>
        <v/>
      </c>
      <c r="G1335">
        <f>IF(OR($E1335="",$E1335="نامعتبر"),"",IF(Entry!$E1335="","",LEFT(UPPER(TRIM(Entry!$E1335)),6)))</f>
        <v/>
      </c>
      <c r="H1335">
        <f>IF($G1335="","",RIGHT($E1335,4)&amp;MID($E1335,6,2)&amp;RIGHT($E1335,2)&amp;IF($F1335="","0000",IF($F1335="نامعتبر","9999",LEFT($F1335,2)&amp;RIGHT($F1335,2)))&amp;"|"&amp;RIGHT("00000"&amp;1327,5))</f>
        <v/>
      </c>
      <c r="I1335">
        <f>IF($H1335="","",COUNTIFS(CalcBank,$G1335,CalcKey,"&lt;"&amp;$H1335)+1)</f>
        <v/>
      </c>
      <c r="J1335">
        <f>IF($I1335="","",$G1335&amp;"|"&amp;RIGHT("000000"&amp;$I1335,6))</f>
        <v/>
      </c>
      <c r="K1335">
        <f>IF(OR($E1335="",$E1335="نامعتبر"),"",LEFT($E1335,4)&amp;"/"&amp;MID($E1335,6,2))</f>
        <v/>
      </c>
      <c r="L1335">
        <f>IF(Entry!$K1335="",0,Entry!$K1335)</f>
        <v/>
      </c>
      <c r="M1335">
        <f>IF(Entry!$L1335="",0,Entry!$L1335)</f>
        <v/>
      </c>
    </row>
    <row r="1336">
      <c r="A1336">
        <f>IF(Entry!$C1336="","",Entry!$C1336)</f>
        <v/>
      </c>
      <c r="B1336">
        <f>IF($A1336="","",IF(ISNUMBER($A1336),IF(AND($A1336&gt;=10000101,$A1336&lt;=99991231),INT($A1336/10000),""),IFERROR(VALUE(TRIM(LEFT($A1336,FIND("/",$A1336)-1))),"")))</f>
        <v/>
      </c>
      <c r="C1336">
        <f>IF(OR($A1336="",$B1336=""),"",IF(ISNUMBER($A1336),INT(MOD($A1336,10000)/100),IFERROR(VALUE(TRIM(LEFT(MID($A1336,FIND("/",$A1336)+1,20),FIND("/",MID($A1336,FIND("/",$A1336)+1,20))-1))),"")))</f>
        <v/>
      </c>
      <c r="D1336">
        <f>IF(OR($A1336="",$B1336=""),"",IF(ISNUMBER($A1336),MOD($A1336,100),IFERROR(VALUE(TRIM(MID(MID($A1336,FIND("/",$A1336)+1,20),FIND("/",MID($A1336,FIND("/",$A1336)+1,20))+1,20))),"")))</f>
        <v/>
      </c>
      <c r="E1336">
        <f>IF($A1336="","",IF(OR($B1336="",$C1336="",$D1336="",$B1336&lt;1300,$B1336&gt;1500,$C1336&lt;1,$C1336&gt;12,$D1336&lt;1,$D1336&gt;31),"نامعتبر",RIGHT("0000"&amp;$B1336,4)&amp;"/"&amp;RIGHT("00"&amp;$C1336,2)&amp;"/"&amp;RIGHT("00"&amp;$D1336,2)))</f>
        <v/>
      </c>
      <c r="F1336">
        <f>IF(Entry!$D1336&lt;&gt;"",IF(AND(ISNUMBER(Entry!$D1336),Entry!$D1336&gt;=0,Entry!$D1336&lt;1),RIGHT("00"&amp;HOUR(Entry!$D1336),2)&amp;":"&amp;RIGHT("00"&amp;MINUTE(Entry!$D1336),2),IFERROR(RIGHT("00"&amp;VALUE(TRIM(LEFT(Entry!$D1336,FIND(":",Entry!$D1336)-1))),2)&amp;":"&amp;RIGHT("00"&amp;VALUE(TRIM(MID(Entry!$D1336,FIND(":",Entry!$D1336)+1,2))),2),"نامعتبر")),IF(OR($E1336="",$E1336="نامعتبر"),"","00:00"))</f>
        <v/>
      </c>
      <c r="G1336">
        <f>IF(OR($E1336="",$E1336="نامعتبر"),"",IF(Entry!$E1336="","",LEFT(UPPER(TRIM(Entry!$E1336)),6)))</f>
        <v/>
      </c>
      <c r="H1336">
        <f>IF($G1336="","",RIGHT($E1336,4)&amp;MID($E1336,6,2)&amp;RIGHT($E1336,2)&amp;IF($F1336="","0000",IF($F1336="نامعتبر","9999",LEFT($F1336,2)&amp;RIGHT($F1336,2)))&amp;"|"&amp;RIGHT("00000"&amp;1328,5))</f>
        <v/>
      </c>
      <c r="I1336">
        <f>IF($H1336="","",COUNTIFS(CalcBank,$G1336,CalcKey,"&lt;"&amp;$H1336)+1)</f>
        <v/>
      </c>
      <c r="J1336">
        <f>IF($I1336="","",$G1336&amp;"|"&amp;RIGHT("000000"&amp;$I1336,6))</f>
        <v/>
      </c>
      <c r="K1336">
        <f>IF(OR($E1336="",$E1336="نامعتبر"),"",LEFT($E1336,4)&amp;"/"&amp;MID($E1336,6,2))</f>
        <v/>
      </c>
      <c r="L1336">
        <f>IF(Entry!$K1336="",0,Entry!$K1336)</f>
        <v/>
      </c>
      <c r="M1336">
        <f>IF(Entry!$L1336="",0,Entry!$L1336)</f>
        <v/>
      </c>
    </row>
    <row r="1337">
      <c r="A1337">
        <f>IF(Entry!$C1337="","",Entry!$C1337)</f>
        <v/>
      </c>
      <c r="B1337">
        <f>IF($A1337="","",IF(ISNUMBER($A1337),IF(AND($A1337&gt;=10000101,$A1337&lt;=99991231),INT($A1337/10000),""),IFERROR(VALUE(TRIM(LEFT($A1337,FIND("/",$A1337)-1))),"")))</f>
        <v/>
      </c>
      <c r="C1337">
        <f>IF(OR($A1337="",$B1337=""),"",IF(ISNUMBER($A1337),INT(MOD($A1337,10000)/100),IFERROR(VALUE(TRIM(LEFT(MID($A1337,FIND("/",$A1337)+1,20),FIND("/",MID($A1337,FIND("/",$A1337)+1,20))-1))),"")))</f>
        <v/>
      </c>
      <c r="D1337">
        <f>IF(OR($A1337="",$B1337=""),"",IF(ISNUMBER($A1337),MOD($A1337,100),IFERROR(VALUE(TRIM(MID(MID($A1337,FIND("/",$A1337)+1,20),FIND("/",MID($A1337,FIND("/",$A1337)+1,20))+1,20))),"")))</f>
        <v/>
      </c>
      <c r="E1337">
        <f>IF($A1337="","",IF(OR($B1337="",$C1337="",$D1337="",$B1337&lt;1300,$B1337&gt;1500,$C1337&lt;1,$C1337&gt;12,$D1337&lt;1,$D1337&gt;31),"نامعتبر",RIGHT("0000"&amp;$B1337,4)&amp;"/"&amp;RIGHT("00"&amp;$C1337,2)&amp;"/"&amp;RIGHT("00"&amp;$D1337,2)))</f>
        <v/>
      </c>
      <c r="F1337">
        <f>IF(Entry!$D1337&lt;&gt;"",IF(AND(ISNUMBER(Entry!$D1337),Entry!$D1337&gt;=0,Entry!$D1337&lt;1),RIGHT("00"&amp;HOUR(Entry!$D1337),2)&amp;":"&amp;RIGHT("00"&amp;MINUTE(Entry!$D1337),2),IFERROR(RIGHT("00"&amp;VALUE(TRIM(LEFT(Entry!$D1337,FIND(":",Entry!$D1337)-1))),2)&amp;":"&amp;RIGHT("00"&amp;VALUE(TRIM(MID(Entry!$D1337,FIND(":",Entry!$D1337)+1,2))),2),"نامعتبر")),IF(OR($E1337="",$E1337="نامعتبر"),"","00:00"))</f>
        <v/>
      </c>
      <c r="G1337">
        <f>IF(OR($E1337="",$E1337="نامعتبر"),"",IF(Entry!$E1337="","",LEFT(UPPER(TRIM(Entry!$E1337)),6)))</f>
        <v/>
      </c>
      <c r="H1337">
        <f>IF($G1337="","",RIGHT($E1337,4)&amp;MID($E1337,6,2)&amp;RIGHT($E1337,2)&amp;IF($F1337="","0000",IF($F1337="نامعتبر","9999",LEFT($F1337,2)&amp;RIGHT($F1337,2)))&amp;"|"&amp;RIGHT("00000"&amp;1329,5))</f>
        <v/>
      </c>
      <c r="I1337">
        <f>IF($H1337="","",COUNTIFS(CalcBank,$G1337,CalcKey,"&lt;"&amp;$H1337)+1)</f>
        <v/>
      </c>
      <c r="J1337">
        <f>IF($I1337="","",$G1337&amp;"|"&amp;RIGHT("000000"&amp;$I1337,6))</f>
        <v/>
      </c>
      <c r="K1337">
        <f>IF(OR($E1337="",$E1337="نامعتبر"),"",LEFT($E1337,4)&amp;"/"&amp;MID($E1337,6,2))</f>
        <v/>
      </c>
      <c r="L1337">
        <f>IF(Entry!$K1337="",0,Entry!$K1337)</f>
        <v/>
      </c>
      <c r="M1337">
        <f>IF(Entry!$L1337="",0,Entry!$L1337)</f>
        <v/>
      </c>
    </row>
    <row r="1338">
      <c r="A1338">
        <f>IF(Entry!$C1338="","",Entry!$C1338)</f>
        <v/>
      </c>
      <c r="B1338">
        <f>IF($A1338="","",IF(ISNUMBER($A1338),IF(AND($A1338&gt;=10000101,$A1338&lt;=99991231),INT($A1338/10000),""),IFERROR(VALUE(TRIM(LEFT($A1338,FIND("/",$A1338)-1))),"")))</f>
        <v/>
      </c>
      <c r="C1338">
        <f>IF(OR($A1338="",$B1338=""),"",IF(ISNUMBER($A1338),INT(MOD($A1338,10000)/100),IFERROR(VALUE(TRIM(LEFT(MID($A1338,FIND("/",$A1338)+1,20),FIND("/",MID($A1338,FIND("/",$A1338)+1,20))-1))),"")))</f>
        <v/>
      </c>
      <c r="D1338">
        <f>IF(OR($A1338="",$B1338=""),"",IF(ISNUMBER($A1338),MOD($A1338,100),IFERROR(VALUE(TRIM(MID(MID($A1338,FIND("/",$A1338)+1,20),FIND("/",MID($A1338,FIND("/",$A1338)+1,20))+1,20))),"")))</f>
        <v/>
      </c>
      <c r="E1338">
        <f>IF($A1338="","",IF(OR($B1338="",$C1338="",$D1338="",$B1338&lt;1300,$B1338&gt;1500,$C1338&lt;1,$C1338&gt;12,$D1338&lt;1,$D1338&gt;31),"نامعتبر",RIGHT("0000"&amp;$B1338,4)&amp;"/"&amp;RIGHT("00"&amp;$C1338,2)&amp;"/"&amp;RIGHT("00"&amp;$D1338,2)))</f>
        <v/>
      </c>
      <c r="F1338">
        <f>IF(Entry!$D1338&lt;&gt;"",IF(AND(ISNUMBER(Entry!$D1338),Entry!$D1338&gt;=0,Entry!$D1338&lt;1),RIGHT("00"&amp;HOUR(Entry!$D1338),2)&amp;":"&amp;RIGHT("00"&amp;MINUTE(Entry!$D1338),2),IFERROR(RIGHT("00"&amp;VALUE(TRIM(LEFT(Entry!$D1338,FIND(":",Entry!$D1338)-1))),2)&amp;":"&amp;RIGHT("00"&amp;VALUE(TRIM(MID(Entry!$D1338,FIND(":",Entry!$D1338)+1,2))),2),"نامعتبر")),IF(OR($E1338="",$E1338="نامعتبر"),"","00:00"))</f>
        <v/>
      </c>
      <c r="G1338">
        <f>IF(OR($E1338="",$E1338="نامعتبر"),"",IF(Entry!$E1338="","",LEFT(UPPER(TRIM(Entry!$E1338)),6)))</f>
        <v/>
      </c>
      <c r="H1338">
        <f>IF($G1338="","",RIGHT($E1338,4)&amp;MID($E1338,6,2)&amp;RIGHT($E1338,2)&amp;IF($F1338="","0000",IF($F1338="نامعتبر","9999",LEFT($F1338,2)&amp;RIGHT($F1338,2)))&amp;"|"&amp;RIGHT("00000"&amp;1330,5))</f>
        <v/>
      </c>
      <c r="I1338">
        <f>IF($H1338="","",COUNTIFS(CalcBank,$G1338,CalcKey,"&lt;"&amp;$H1338)+1)</f>
        <v/>
      </c>
      <c r="J1338">
        <f>IF($I1338="","",$G1338&amp;"|"&amp;RIGHT("000000"&amp;$I1338,6))</f>
        <v/>
      </c>
      <c r="K1338">
        <f>IF(OR($E1338="",$E1338="نامعتبر"),"",LEFT($E1338,4)&amp;"/"&amp;MID($E1338,6,2))</f>
        <v/>
      </c>
      <c r="L1338">
        <f>IF(Entry!$K1338="",0,Entry!$K1338)</f>
        <v/>
      </c>
      <c r="M1338">
        <f>IF(Entry!$L1338="",0,Entry!$L1338)</f>
        <v/>
      </c>
    </row>
    <row r="1339">
      <c r="A1339">
        <f>IF(Entry!$C1339="","",Entry!$C1339)</f>
        <v/>
      </c>
      <c r="B1339">
        <f>IF($A1339="","",IF(ISNUMBER($A1339),IF(AND($A1339&gt;=10000101,$A1339&lt;=99991231),INT($A1339/10000),""),IFERROR(VALUE(TRIM(LEFT($A1339,FIND("/",$A1339)-1))),"")))</f>
        <v/>
      </c>
      <c r="C1339">
        <f>IF(OR($A1339="",$B1339=""),"",IF(ISNUMBER($A1339),INT(MOD($A1339,10000)/100),IFERROR(VALUE(TRIM(LEFT(MID($A1339,FIND("/",$A1339)+1,20),FIND("/",MID($A1339,FIND("/",$A1339)+1,20))-1))),"")))</f>
        <v/>
      </c>
      <c r="D1339">
        <f>IF(OR($A1339="",$B1339=""),"",IF(ISNUMBER($A1339),MOD($A1339,100),IFERROR(VALUE(TRIM(MID(MID($A1339,FIND("/",$A1339)+1,20),FIND("/",MID($A1339,FIND("/",$A1339)+1,20))+1,20))),"")))</f>
        <v/>
      </c>
      <c r="E1339">
        <f>IF($A1339="","",IF(OR($B1339="",$C1339="",$D1339="",$B1339&lt;1300,$B1339&gt;1500,$C1339&lt;1,$C1339&gt;12,$D1339&lt;1,$D1339&gt;31),"نامعتبر",RIGHT("0000"&amp;$B1339,4)&amp;"/"&amp;RIGHT("00"&amp;$C1339,2)&amp;"/"&amp;RIGHT("00"&amp;$D1339,2)))</f>
        <v/>
      </c>
      <c r="F1339">
        <f>IF(Entry!$D1339&lt;&gt;"",IF(AND(ISNUMBER(Entry!$D1339),Entry!$D1339&gt;=0,Entry!$D1339&lt;1),RIGHT("00"&amp;HOUR(Entry!$D1339),2)&amp;":"&amp;RIGHT("00"&amp;MINUTE(Entry!$D1339),2),IFERROR(RIGHT("00"&amp;VALUE(TRIM(LEFT(Entry!$D1339,FIND(":",Entry!$D1339)-1))),2)&amp;":"&amp;RIGHT("00"&amp;VALUE(TRIM(MID(Entry!$D1339,FIND(":",Entry!$D1339)+1,2))),2),"نامعتبر")),IF(OR($E1339="",$E1339="نامعتبر"),"","00:00"))</f>
        <v/>
      </c>
      <c r="G1339">
        <f>IF(OR($E1339="",$E1339="نامعتبر"),"",IF(Entry!$E1339="","",LEFT(UPPER(TRIM(Entry!$E1339)),6)))</f>
        <v/>
      </c>
      <c r="H1339">
        <f>IF($G1339="","",RIGHT($E1339,4)&amp;MID($E1339,6,2)&amp;RIGHT($E1339,2)&amp;IF($F1339="","0000",IF($F1339="نامعتبر","9999",LEFT($F1339,2)&amp;RIGHT($F1339,2)))&amp;"|"&amp;RIGHT("00000"&amp;1331,5))</f>
        <v/>
      </c>
      <c r="I1339">
        <f>IF($H1339="","",COUNTIFS(CalcBank,$G1339,CalcKey,"&lt;"&amp;$H1339)+1)</f>
        <v/>
      </c>
      <c r="J1339">
        <f>IF($I1339="","",$G1339&amp;"|"&amp;RIGHT("000000"&amp;$I1339,6))</f>
        <v/>
      </c>
      <c r="K1339">
        <f>IF(OR($E1339="",$E1339="نامعتبر"),"",LEFT($E1339,4)&amp;"/"&amp;MID($E1339,6,2))</f>
        <v/>
      </c>
      <c r="L1339">
        <f>IF(Entry!$K1339="",0,Entry!$K1339)</f>
        <v/>
      </c>
      <c r="M1339">
        <f>IF(Entry!$L1339="",0,Entry!$L1339)</f>
        <v/>
      </c>
    </row>
    <row r="1340">
      <c r="A1340">
        <f>IF(Entry!$C1340="","",Entry!$C1340)</f>
        <v/>
      </c>
      <c r="B1340">
        <f>IF($A1340="","",IF(ISNUMBER($A1340),IF(AND($A1340&gt;=10000101,$A1340&lt;=99991231),INT($A1340/10000),""),IFERROR(VALUE(TRIM(LEFT($A1340,FIND("/",$A1340)-1))),"")))</f>
        <v/>
      </c>
      <c r="C1340">
        <f>IF(OR($A1340="",$B1340=""),"",IF(ISNUMBER($A1340),INT(MOD($A1340,10000)/100),IFERROR(VALUE(TRIM(LEFT(MID($A1340,FIND("/",$A1340)+1,20),FIND("/",MID($A1340,FIND("/",$A1340)+1,20))-1))),"")))</f>
        <v/>
      </c>
      <c r="D1340">
        <f>IF(OR($A1340="",$B1340=""),"",IF(ISNUMBER($A1340),MOD($A1340,100),IFERROR(VALUE(TRIM(MID(MID($A1340,FIND("/",$A1340)+1,20),FIND("/",MID($A1340,FIND("/",$A1340)+1,20))+1,20))),"")))</f>
        <v/>
      </c>
      <c r="E1340">
        <f>IF($A1340="","",IF(OR($B1340="",$C1340="",$D1340="",$B1340&lt;1300,$B1340&gt;1500,$C1340&lt;1,$C1340&gt;12,$D1340&lt;1,$D1340&gt;31),"نامعتبر",RIGHT("0000"&amp;$B1340,4)&amp;"/"&amp;RIGHT("00"&amp;$C1340,2)&amp;"/"&amp;RIGHT("00"&amp;$D1340,2)))</f>
        <v/>
      </c>
      <c r="F1340">
        <f>IF(Entry!$D1340&lt;&gt;"",IF(AND(ISNUMBER(Entry!$D1340),Entry!$D1340&gt;=0,Entry!$D1340&lt;1),RIGHT("00"&amp;HOUR(Entry!$D1340),2)&amp;":"&amp;RIGHT("00"&amp;MINUTE(Entry!$D1340),2),IFERROR(RIGHT("00"&amp;VALUE(TRIM(LEFT(Entry!$D1340,FIND(":",Entry!$D1340)-1))),2)&amp;":"&amp;RIGHT("00"&amp;VALUE(TRIM(MID(Entry!$D1340,FIND(":",Entry!$D1340)+1,2))),2),"نامعتبر")),IF(OR($E1340="",$E1340="نامعتبر"),"","00:00"))</f>
        <v/>
      </c>
      <c r="G1340">
        <f>IF(OR($E1340="",$E1340="نامعتبر"),"",IF(Entry!$E1340="","",LEFT(UPPER(TRIM(Entry!$E1340)),6)))</f>
        <v/>
      </c>
      <c r="H1340">
        <f>IF($G1340="","",RIGHT($E1340,4)&amp;MID($E1340,6,2)&amp;RIGHT($E1340,2)&amp;IF($F1340="","0000",IF($F1340="نامعتبر","9999",LEFT($F1340,2)&amp;RIGHT($F1340,2)))&amp;"|"&amp;RIGHT("00000"&amp;1332,5))</f>
        <v/>
      </c>
      <c r="I1340">
        <f>IF($H1340="","",COUNTIFS(CalcBank,$G1340,CalcKey,"&lt;"&amp;$H1340)+1)</f>
        <v/>
      </c>
      <c r="J1340">
        <f>IF($I1340="","",$G1340&amp;"|"&amp;RIGHT("000000"&amp;$I1340,6))</f>
        <v/>
      </c>
      <c r="K1340">
        <f>IF(OR($E1340="",$E1340="نامعتبر"),"",LEFT($E1340,4)&amp;"/"&amp;MID($E1340,6,2))</f>
        <v/>
      </c>
      <c r="L1340">
        <f>IF(Entry!$K1340="",0,Entry!$K1340)</f>
        <v/>
      </c>
      <c r="M1340">
        <f>IF(Entry!$L1340="",0,Entry!$L1340)</f>
        <v/>
      </c>
    </row>
    <row r="1341">
      <c r="A1341">
        <f>IF(Entry!$C1341="","",Entry!$C1341)</f>
        <v/>
      </c>
      <c r="B1341">
        <f>IF($A1341="","",IF(ISNUMBER($A1341),IF(AND($A1341&gt;=10000101,$A1341&lt;=99991231),INT($A1341/10000),""),IFERROR(VALUE(TRIM(LEFT($A1341,FIND("/",$A1341)-1))),"")))</f>
        <v/>
      </c>
      <c r="C1341">
        <f>IF(OR($A1341="",$B1341=""),"",IF(ISNUMBER($A1341),INT(MOD($A1341,10000)/100),IFERROR(VALUE(TRIM(LEFT(MID($A1341,FIND("/",$A1341)+1,20),FIND("/",MID($A1341,FIND("/",$A1341)+1,20))-1))),"")))</f>
        <v/>
      </c>
      <c r="D1341">
        <f>IF(OR($A1341="",$B1341=""),"",IF(ISNUMBER($A1341),MOD($A1341,100),IFERROR(VALUE(TRIM(MID(MID($A1341,FIND("/",$A1341)+1,20),FIND("/",MID($A1341,FIND("/",$A1341)+1,20))+1,20))),"")))</f>
        <v/>
      </c>
      <c r="E1341">
        <f>IF($A1341="","",IF(OR($B1341="",$C1341="",$D1341="",$B1341&lt;1300,$B1341&gt;1500,$C1341&lt;1,$C1341&gt;12,$D1341&lt;1,$D1341&gt;31),"نامعتبر",RIGHT("0000"&amp;$B1341,4)&amp;"/"&amp;RIGHT("00"&amp;$C1341,2)&amp;"/"&amp;RIGHT("00"&amp;$D1341,2)))</f>
        <v/>
      </c>
      <c r="F1341">
        <f>IF(Entry!$D1341&lt;&gt;"",IF(AND(ISNUMBER(Entry!$D1341),Entry!$D1341&gt;=0,Entry!$D1341&lt;1),RIGHT("00"&amp;HOUR(Entry!$D1341),2)&amp;":"&amp;RIGHT("00"&amp;MINUTE(Entry!$D1341),2),IFERROR(RIGHT("00"&amp;VALUE(TRIM(LEFT(Entry!$D1341,FIND(":",Entry!$D1341)-1))),2)&amp;":"&amp;RIGHT("00"&amp;VALUE(TRIM(MID(Entry!$D1341,FIND(":",Entry!$D1341)+1,2))),2),"نامعتبر")),IF(OR($E1341="",$E1341="نامعتبر"),"","00:00"))</f>
        <v/>
      </c>
      <c r="G1341">
        <f>IF(OR($E1341="",$E1341="نامعتبر"),"",IF(Entry!$E1341="","",LEFT(UPPER(TRIM(Entry!$E1341)),6)))</f>
        <v/>
      </c>
      <c r="H1341">
        <f>IF($G1341="","",RIGHT($E1341,4)&amp;MID($E1341,6,2)&amp;RIGHT($E1341,2)&amp;IF($F1341="","0000",IF($F1341="نامعتبر","9999",LEFT($F1341,2)&amp;RIGHT($F1341,2)))&amp;"|"&amp;RIGHT("00000"&amp;1333,5))</f>
        <v/>
      </c>
      <c r="I1341">
        <f>IF($H1341="","",COUNTIFS(CalcBank,$G1341,CalcKey,"&lt;"&amp;$H1341)+1)</f>
        <v/>
      </c>
      <c r="J1341">
        <f>IF($I1341="","",$G1341&amp;"|"&amp;RIGHT("000000"&amp;$I1341,6))</f>
        <v/>
      </c>
      <c r="K1341">
        <f>IF(OR($E1341="",$E1341="نامعتبر"),"",LEFT($E1341,4)&amp;"/"&amp;MID($E1341,6,2))</f>
        <v/>
      </c>
      <c r="L1341">
        <f>IF(Entry!$K1341="",0,Entry!$K1341)</f>
        <v/>
      </c>
      <c r="M1341">
        <f>IF(Entry!$L1341="",0,Entry!$L1341)</f>
        <v/>
      </c>
    </row>
    <row r="1342">
      <c r="A1342">
        <f>IF(Entry!$C1342="","",Entry!$C1342)</f>
        <v/>
      </c>
      <c r="B1342">
        <f>IF($A1342="","",IF(ISNUMBER($A1342),IF(AND($A1342&gt;=10000101,$A1342&lt;=99991231),INT($A1342/10000),""),IFERROR(VALUE(TRIM(LEFT($A1342,FIND("/",$A1342)-1))),"")))</f>
        <v/>
      </c>
      <c r="C1342">
        <f>IF(OR($A1342="",$B1342=""),"",IF(ISNUMBER($A1342),INT(MOD($A1342,10000)/100),IFERROR(VALUE(TRIM(LEFT(MID($A1342,FIND("/",$A1342)+1,20),FIND("/",MID($A1342,FIND("/",$A1342)+1,20))-1))),"")))</f>
        <v/>
      </c>
      <c r="D1342">
        <f>IF(OR($A1342="",$B1342=""),"",IF(ISNUMBER($A1342),MOD($A1342,100),IFERROR(VALUE(TRIM(MID(MID($A1342,FIND("/",$A1342)+1,20),FIND("/",MID($A1342,FIND("/",$A1342)+1,20))+1,20))),"")))</f>
        <v/>
      </c>
      <c r="E1342">
        <f>IF($A1342="","",IF(OR($B1342="",$C1342="",$D1342="",$B1342&lt;1300,$B1342&gt;1500,$C1342&lt;1,$C1342&gt;12,$D1342&lt;1,$D1342&gt;31),"نامعتبر",RIGHT("0000"&amp;$B1342,4)&amp;"/"&amp;RIGHT("00"&amp;$C1342,2)&amp;"/"&amp;RIGHT("00"&amp;$D1342,2)))</f>
        <v/>
      </c>
      <c r="F1342">
        <f>IF(Entry!$D1342&lt;&gt;"",IF(AND(ISNUMBER(Entry!$D1342),Entry!$D1342&gt;=0,Entry!$D1342&lt;1),RIGHT("00"&amp;HOUR(Entry!$D1342),2)&amp;":"&amp;RIGHT("00"&amp;MINUTE(Entry!$D1342),2),IFERROR(RIGHT("00"&amp;VALUE(TRIM(LEFT(Entry!$D1342,FIND(":",Entry!$D1342)-1))),2)&amp;":"&amp;RIGHT("00"&amp;VALUE(TRIM(MID(Entry!$D1342,FIND(":",Entry!$D1342)+1,2))),2),"نامعتبر")),IF(OR($E1342="",$E1342="نامعتبر"),"","00:00"))</f>
        <v/>
      </c>
      <c r="G1342">
        <f>IF(OR($E1342="",$E1342="نامعتبر"),"",IF(Entry!$E1342="","",LEFT(UPPER(TRIM(Entry!$E1342)),6)))</f>
        <v/>
      </c>
      <c r="H1342">
        <f>IF($G1342="","",RIGHT($E1342,4)&amp;MID($E1342,6,2)&amp;RIGHT($E1342,2)&amp;IF($F1342="","0000",IF($F1342="نامعتبر","9999",LEFT($F1342,2)&amp;RIGHT($F1342,2)))&amp;"|"&amp;RIGHT("00000"&amp;1334,5))</f>
        <v/>
      </c>
      <c r="I1342">
        <f>IF($H1342="","",COUNTIFS(CalcBank,$G1342,CalcKey,"&lt;"&amp;$H1342)+1)</f>
        <v/>
      </c>
      <c r="J1342">
        <f>IF($I1342="","",$G1342&amp;"|"&amp;RIGHT("000000"&amp;$I1342,6))</f>
        <v/>
      </c>
      <c r="K1342">
        <f>IF(OR($E1342="",$E1342="نامعتبر"),"",LEFT($E1342,4)&amp;"/"&amp;MID($E1342,6,2))</f>
        <v/>
      </c>
      <c r="L1342">
        <f>IF(Entry!$K1342="",0,Entry!$K1342)</f>
        <v/>
      </c>
      <c r="M1342">
        <f>IF(Entry!$L1342="",0,Entry!$L1342)</f>
        <v/>
      </c>
    </row>
    <row r="1343">
      <c r="A1343">
        <f>IF(Entry!$C1343="","",Entry!$C1343)</f>
        <v/>
      </c>
      <c r="B1343">
        <f>IF($A1343="","",IF(ISNUMBER($A1343),IF(AND($A1343&gt;=10000101,$A1343&lt;=99991231),INT($A1343/10000),""),IFERROR(VALUE(TRIM(LEFT($A1343,FIND("/",$A1343)-1))),"")))</f>
        <v/>
      </c>
      <c r="C1343">
        <f>IF(OR($A1343="",$B1343=""),"",IF(ISNUMBER($A1343),INT(MOD($A1343,10000)/100),IFERROR(VALUE(TRIM(LEFT(MID($A1343,FIND("/",$A1343)+1,20),FIND("/",MID($A1343,FIND("/",$A1343)+1,20))-1))),"")))</f>
        <v/>
      </c>
      <c r="D1343">
        <f>IF(OR($A1343="",$B1343=""),"",IF(ISNUMBER($A1343),MOD($A1343,100),IFERROR(VALUE(TRIM(MID(MID($A1343,FIND("/",$A1343)+1,20),FIND("/",MID($A1343,FIND("/",$A1343)+1,20))+1,20))),"")))</f>
        <v/>
      </c>
      <c r="E1343">
        <f>IF($A1343="","",IF(OR($B1343="",$C1343="",$D1343="",$B1343&lt;1300,$B1343&gt;1500,$C1343&lt;1,$C1343&gt;12,$D1343&lt;1,$D1343&gt;31),"نامعتبر",RIGHT("0000"&amp;$B1343,4)&amp;"/"&amp;RIGHT("00"&amp;$C1343,2)&amp;"/"&amp;RIGHT("00"&amp;$D1343,2)))</f>
        <v/>
      </c>
      <c r="F1343">
        <f>IF(Entry!$D1343&lt;&gt;"",IF(AND(ISNUMBER(Entry!$D1343),Entry!$D1343&gt;=0,Entry!$D1343&lt;1),RIGHT("00"&amp;HOUR(Entry!$D1343),2)&amp;":"&amp;RIGHT("00"&amp;MINUTE(Entry!$D1343),2),IFERROR(RIGHT("00"&amp;VALUE(TRIM(LEFT(Entry!$D1343,FIND(":",Entry!$D1343)-1))),2)&amp;":"&amp;RIGHT("00"&amp;VALUE(TRIM(MID(Entry!$D1343,FIND(":",Entry!$D1343)+1,2))),2),"نامعتبر")),IF(OR($E1343="",$E1343="نامعتبر"),"","00:00"))</f>
        <v/>
      </c>
      <c r="G1343">
        <f>IF(OR($E1343="",$E1343="نامعتبر"),"",IF(Entry!$E1343="","",LEFT(UPPER(TRIM(Entry!$E1343)),6)))</f>
        <v/>
      </c>
      <c r="H1343">
        <f>IF($G1343="","",RIGHT($E1343,4)&amp;MID($E1343,6,2)&amp;RIGHT($E1343,2)&amp;IF($F1343="","0000",IF($F1343="نامعتبر","9999",LEFT($F1343,2)&amp;RIGHT($F1343,2)))&amp;"|"&amp;RIGHT("00000"&amp;1335,5))</f>
        <v/>
      </c>
      <c r="I1343">
        <f>IF($H1343="","",COUNTIFS(CalcBank,$G1343,CalcKey,"&lt;"&amp;$H1343)+1)</f>
        <v/>
      </c>
      <c r="J1343">
        <f>IF($I1343="","",$G1343&amp;"|"&amp;RIGHT("000000"&amp;$I1343,6))</f>
        <v/>
      </c>
      <c r="K1343">
        <f>IF(OR($E1343="",$E1343="نامعتبر"),"",LEFT($E1343,4)&amp;"/"&amp;MID($E1343,6,2))</f>
        <v/>
      </c>
      <c r="L1343">
        <f>IF(Entry!$K1343="",0,Entry!$K1343)</f>
        <v/>
      </c>
      <c r="M1343">
        <f>IF(Entry!$L1343="",0,Entry!$L1343)</f>
        <v/>
      </c>
    </row>
    <row r="1344">
      <c r="A1344">
        <f>IF(Entry!$C1344="","",Entry!$C1344)</f>
        <v/>
      </c>
      <c r="B1344">
        <f>IF($A1344="","",IF(ISNUMBER($A1344),IF(AND($A1344&gt;=10000101,$A1344&lt;=99991231),INT($A1344/10000),""),IFERROR(VALUE(TRIM(LEFT($A1344,FIND("/",$A1344)-1))),"")))</f>
        <v/>
      </c>
      <c r="C1344">
        <f>IF(OR($A1344="",$B1344=""),"",IF(ISNUMBER($A1344),INT(MOD($A1344,10000)/100),IFERROR(VALUE(TRIM(LEFT(MID($A1344,FIND("/",$A1344)+1,20),FIND("/",MID($A1344,FIND("/",$A1344)+1,20))-1))),"")))</f>
        <v/>
      </c>
      <c r="D1344">
        <f>IF(OR($A1344="",$B1344=""),"",IF(ISNUMBER($A1344),MOD($A1344,100),IFERROR(VALUE(TRIM(MID(MID($A1344,FIND("/",$A1344)+1,20),FIND("/",MID($A1344,FIND("/",$A1344)+1,20))+1,20))),"")))</f>
        <v/>
      </c>
      <c r="E1344">
        <f>IF($A1344="","",IF(OR($B1344="",$C1344="",$D1344="",$B1344&lt;1300,$B1344&gt;1500,$C1344&lt;1,$C1344&gt;12,$D1344&lt;1,$D1344&gt;31),"نامعتبر",RIGHT("0000"&amp;$B1344,4)&amp;"/"&amp;RIGHT("00"&amp;$C1344,2)&amp;"/"&amp;RIGHT("00"&amp;$D1344,2)))</f>
        <v/>
      </c>
      <c r="F1344">
        <f>IF(Entry!$D1344&lt;&gt;"",IF(AND(ISNUMBER(Entry!$D1344),Entry!$D1344&gt;=0,Entry!$D1344&lt;1),RIGHT("00"&amp;HOUR(Entry!$D1344),2)&amp;":"&amp;RIGHT("00"&amp;MINUTE(Entry!$D1344),2),IFERROR(RIGHT("00"&amp;VALUE(TRIM(LEFT(Entry!$D1344,FIND(":",Entry!$D1344)-1))),2)&amp;":"&amp;RIGHT("00"&amp;VALUE(TRIM(MID(Entry!$D1344,FIND(":",Entry!$D1344)+1,2))),2),"نامعتبر")),IF(OR($E1344="",$E1344="نامعتبر"),"","00:00"))</f>
        <v/>
      </c>
      <c r="G1344">
        <f>IF(OR($E1344="",$E1344="نامعتبر"),"",IF(Entry!$E1344="","",LEFT(UPPER(TRIM(Entry!$E1344)),6)))</f>
        <v/>
      </c>
      <c r="H1344">
        <f>IF($G1344="","",RIGHT($E1344,4)&amp;MID($E1344,6,2)&amp;RIGHT($E1344,2)&amp;IF($F1344="","0000",IF($F1344="نامعتبر","9999",LEFT($F1344,2)&amp;RIGHT($F1344,2)))&amp;"|"&amp;RIGHT("00000"&amp;1336,5))</f>
        <v/>
      </c>
      <c r="I1344">
        <f>IF($H1344="","",COUNTIFS(CalcBank,$G1344,CalcKey,"&lt;"&amp;$H1344)+1)</f>
        <v/>
      </c>
      <c r="J1344">
        <f>IF($I1344="","",$G1344&amp;"|"&amp;RIGHT("000000"&amp;$I1344,6))</f>
        <v/>
      </c>
      <c r="K1344">
        <f>IF(OR($E1344="",$E1344="نامعتبر"),"",LEFT($E1344,4)&amp;"/"&amp;MID($E1344,6,2))</f>
        <v/>
      </c>
      <c r="L1344">
        <f>IF(Entry!$K1344="",0,Entry!$K1344)</f>
        <v/>
      </c>
      <c r="M1344">
        <f>IF(Entry!$L1344="",0,Entry!$L1344)</f>
        <v/>
      </c>
    </row>
    <row r="1345">
      <c r="A1345">
        <f>IF(Entry!$C1345="","",Entry!$C1345)</f>
        <v/>
      </c>
      <c r="B1345">
        <f>IF($A1345="","",IF(ISNUMBER($A1345),IF(AND($A1345&gt;=10000101,$A1345&lt;=99991231),INT($A1345/10000),""),IFERROR(VALUE(TRIM(LEFT($A1345,FIND("/",$A1345)-1))),"")))</f>
        <v/>
      </c>
      <c r="C1345">
        <f>IF(OR($A1345="",$B1345=""),"",IF(ISNUMBER($A1345),INT(MOD($A1345,10000)/100),IFERROR(VALUE(TRIM(LEFT(MID($A1345,FIND("/",$A1345)+1,20),FIND("/",MID($A1345,FIND("/",$A1345)+1,20))-1))),"")))</f>
        <v/>
      </c>
      <c r="D1345">
        <f>IF(OR($A1345="",$B1345=""),"",IF(ISNUMBER($A1345),MOD($A1345,100),IFERROR(VALUE(TRIM(MID(MID($A1345,FIND("/",$A1345)+1,20),FIND("/",MID($A1345,FIND("/",$A1345)+1,20))+1,20))),"")))</f>
        <v/>
      </c>
      <c r="E1345">
        <f>IF($A1345="","",IF(OR($B1345="",$C1345="",$D1345="",$B1345&lt;1300,$B1345&gt;1500,$C1345&lt;1,$C1345&gt;12,$D1345&lt;1,$D1345&gt;31),"نامعتبر",RIGHT("0000"&amp;$B1345,4)&amp;"/"&amp;RIGHT("00"&amp;$C1345,2)&amp;"/"&amp;RIGHT("00"&amp;$D1345,2)))</f>
        <v/>
      </c>
      <c r="F1345">
        <f>IF(Entry!$D1345&lt;&gt;"",IF(AND(ISNUMBER(Entry!$D1345),Entry!$D1345&gt;=0,Entry!$D1345&lt;1),RIGHT("00"&amp;HOUR(Entry!$D1345),2)&amp;":"&amp;RIGHT("00"&amp;MINUTE(Entry!$D1345),2),IFERROR(RIGHT("00"&amp;VALUE(TRIM(LEFT(Entry!$D1345,FIND(":",Entry!$D1345)-1))),2)&amp;":"&amp;RIGHT("00"&amp;VALUE(TRIM(MID(Entry!$D1345,FIND(":",Entry!$D1345)+1,2))),2),"نامعتبر")),IF(OR($E1345="",$E1345="نامعتبر"),"","00:00"))</f>
        <v/>
      </c>
      <c r="G1345">
        <f>IF(OR($E1345="",$E1345="نامعتبر"),"",IF(Entry!$E1345="","",LEFT(UPPER(TRIM(Entry!$E1345)),6)))</f>
        <v/>
      </c>
      <c r="H1345">
        <f>IF($G1345="","",RIGHT($E1345,4)&amp;MID($E1345,6,2)&amp;RIGHT($E1345,2)&amp;IF($F1345="","0000",IF($F1345="نامعتبر","9999",LEFT($F1345,2)&amp;RIGHT($F1345,2)))&amp;"|"&amp;RIGHT("00000"&amp;1337,5))</f>
        <v/>
      </c>
      <c r="I1345">
        <f>IF($H1345="","",COUNTIFS(CalcBank,$G1345,CalcKey,"&lt;"&amp;$H1345)+1)</f>
        <v/>
      </c>
      <c r="J1345">
        <f>IF($I1345="","",$G1345&amp;"|"&amp;RIGHT("000000"&amp;$I1345,6))</f>
        <v/>
      </c>
      <c r="K1345">
        <f>IF(OR($E1345="",$E1345="نامعتبر"),"",LEFT($E1345,4)&amp;"/"&amp;MID($E1345,6,2))</f>
        <v/>
      </c>
      <c r="L1345">
        <f>IF(Entry!$K1345="",0,Entry!$K1345)</f>
        <v/>
      </c>
      <c r="M1345">
        <f>IF(Entry!$L1345="",0,Entry!$L1345)</f>
        <v/>
      </c>
    </row>
    <row r="1346">
      <c r="A1346">
        <f>IF(Entry!$C1346="","",Entry!$C1346)</f>
        <v/>
      </c>
      <c r="B1346">
        <f>IF($A1346="","",IF(ISNUMBER($A1346),IF(AND($A1346&gt;=10000101,$A1346&lt;=99991231),INT($A1346/10000),""),IFERROR(VALUE(TRIM(LEFT($A1346,FIND("/",$A1346)-1))),"")))</f>
        <v/>
      </c>
      <c r="C1346">
        <f>IF(OR($A1346="",$B1346=""),"",IF(ISNUMBER($A1346),INT(MOD($A1346,10000)/100),IFERROR(VALUE(TRIM(LEFT(MID($A1346,FIND("/",$A1346)+1,20),FIND("/",MID($A1346,FIND("/",$A1346)+1,20))-1))),"")))</f>
        <v/>
      </c>
      <c r="D1346">
        <f>IF(OR($A1346="",$B1346=""),"",IF(ISNUMBER($A1346),MOD($A1346,100),IFERROR(VALUE(TRIM(MID(MID($A1346,FIND("/",$A1346)+1,20),FIND("/",MID($A1346,FIND("/",$A1346)+1,20))+1,20))),"")))</f>
        <v/>
      </c>
      <c r="E1346">
        <f>IF($A1346="","",IF(OR($B1346="",$C1346="",$D1346="",$B1346&lt;1300,$B1346&gt;1500,$C1346&lt;1,$C1346&gt;12,$D1346&lt;1,$D1346&gt;31),"نامعتبر",RIGHT("0000"&amp;$B1346,4)&amp;"/"&amp;RIGHT("00"&amp;$C1346,2)&amp;"/"&amp;RIGHT("00"&amp;$D1346,2)))</f>
        <v/>
      </c>
      <c r="F1346">
        <f>IF(Entry!$D1346&lt;&gt;"",IF(AND(ISNUMBER(Entry!$D1346),Entry!$D1346&gt;=0,Entry!$D1346&lt;1),RIGHT("00"&amp;HOUR(Entry!$D1346),2)&amp;":"&amp;RIGHT("00"&amp;MINUTE(Entry!$D1346),2),IFERROR(RIGHT("00"&amp;VALUE(TRIM(LEFT(Entry!$D1346,FIND(":",Entry!$D1346)-1))),2)&amp;":"&amp;RIGHT("00"&amp;VALUE(TRIM(MID(Entry!$D1346,FIND(":",Entry!$D1346)+1,2))),2),"نامعتبر")),IF(OR($E1346="",$E1346="نامعتبر"),"","00:00"))</f>
        <v/>
      </c>
      <c r="G1346">
        <f>IF(OR($E1346="",$E1346="نامعتبر"),"",IF(Entry!$E1346="","",LEFT(UPPER(TRIM(Entry!$E1346)),6)))</f>
        <v/>
      </c>
      <c r="H1346">
        <f>IF($G1346="","",RIGHT($E1346,4)&amp;MID($E1346,6,2)&amp;RIGHT($E1346,2)&amp;IF($F1346="","0000",IF($F1346="نامعتبر","9999",LEFT($F1346,2)&amp;RIGHT($F1346,2)))&amp;"|"&amp;RIGHT("00000"&amp;1338,5))</f>
        <v/>
      </c>
      <c r="I1346">
        <f>IF($H1346="","",COUNTIFS(CalcBank,$G1346,CalcKey,"&lt;"&amp;$H1346)+1)</f>
        <v/>
      </c>
      <c r="J1346">
        <f>IF($I1346="","",$G1346&amp;"|"&amp;RIGHT("000000"&amp;$I1346,6))</f>
        <v/>
      </c>
      <c r="K1346">
        <f>IF(OR($E1346="",$E1346="نامعتبر"),"",LEFT($E1346,4)&amp;"/"&amp;MID($E1346,6,2))</f>
        <v/>
      </c>
      <c r="L1346">
        <f>IF(Entry!$K1346="",0,Entry!$K1346)</f>
        <v/>
      </c>
      <c r="M1346">
        <f>IF(Entry!$L1346="",0,Entry!$L1346)</f>
        <v/>
      </c>
    </row>
    <row r="1347">
      <c r="A1347">
        <f>IF(Entry!$C1347="","",Entry!$C1347)</f>
        <v/>
      </c>
      <c r="B1347">
        <f>IF($A1347="","",IF(ISNUMBER($A1347),IF(AND($A1347&gt;=10000101,$A1347&lt;=99991231),INT($A1347/10000),""),IFERROR(VALUE(TRIM(LEFT($A1347,FIND("/",$A1347)-1))),"")))</f>
        <v/>
      </c>
      <c r="C1347">
        <f>IF(OR($A1347="",$B1347=""),"",IF(ISNUMBER($A1347),INT(MOD($A1347,10000)/100),IFERROR(VALUE(TRIM(LEFT(MID($A1347,FIND("/",$A1347)+1,20),FIND("/",MID($A1347,FIND("/",$A1347)+1,20))-1))),"")))</f>
        <v/>
      </c>
      <c r="D1347">
        <f>IF(OR($A1347="",$B1347=""),"",IF(ISNUMBER($A1347),MOD($A1347,100),IFERROR(VALUE(TRIM(MID(MID($A1347,FIND("/",$A1347)+1,20),FIND("/",MID($A1347,FIND("/",$A1347)+1,20))+1,20))),"")))</f>
        <v/>
      </c>
      <c r="E1347">
        <f>IF($A1347="","",IF(OR($B1347="",$C1347="",$D1347="",$B1347&lt;1300,$B1347&gt;1500,$C1347&lt;1,$C1347&gt;12,$D1347&lt;1,$D1347&gt;31),"نامعتبر",RIGHT("0000"&amp;$B1347,4)&amp;"/"&amp;RIGHT("00"&amp;$C1347,2)&amp;"/"&amp;RIGHT("00"&amp;$D1347,2)))</f>
        <v/>
      </c>
      <c r="F1347">
        <f>IF(Entry!$D1347&lt;&gt;"",IF(AND(ISNUMBER(Entry!$D1347),Entry!$D1347&gt;=0,Entry!$D1347&lt;1),RIGHT("00"&amp;HOUR(Entry!$D1347),2)&amp;":"&amp;RIGHT("00"&amp;MINUTE(Entry!$D1347),2),IFERROR(RIGHT("00"&amp;VALUE(TRIM(LEFT(Entry!$D1347,FIND(":",Entry!$D1347)-1))),2)&amp;":"&amp;RIGHT("00"&amp;VALUE(TRIM(MID(Entry!$D1347,FIND(":",Entry!$D1347)+1,2))),2),"نامعتبر")),IF(OR($E1347="",$E1347="نامعتبر"),"","00:00"))</f>
        <v/>
      </c>
      <c r="G1347">
        <f>IF(OR($E1347="",$E1347="نامعتبر"),"",IF(Entry!$E1347="","",LEFT(UPPER(TRIM(Entry!$E1347)),6)))</f>
        <v/>
      </c>
      <c r="H1347">
        <f>IF($G1347="","",RIGHT($E1347,4)&amp;MID($E1347,6,2)&amp;RIGHT($E1347,2)&amp;IF($F1347="","0000",IF($F1347="نامعتبر","9999",LEFT($F1347,2)&amp;RIGHT($F1347,2)))&amp;"|"&amp;RIGHT("00000"&amp;1339,5))</f>
        <v/>
      </c>
      <c r="I1347">
        <f>IF($H1347="","",COUNTIFS(CalcBank,$G1347,CalcKey,"&lt;"&amp;$H1347)+1)</f>
        <v/>
      </c>
      <c r="J1347">
        <f>IF($I1347="","",$G1347&amp;"|"&amp;RIGHT("000000"&amp;$I1347,6))</f>
        <v/>
      </c>
      <c r="K1347">
        <f>IF(OR($E1347="",$E1347="نامعتبر"),"",LEFT($E1347,4)&amp;"/"&amp;MID($E1347,6,2))</f>
        <v/>
      </c>
      <c r="L1347">
        <f>IF(Entry!$K1347="",0,Entry!$K1347)</f>
        <v/>
      </c>
      <c r="M1347">
        <f>IF(Entry!$L1347="",0,Entry!$L1347)</f>
        <v/>
      </c>
    </row>
    <row r="1348">
      <c r="A1348">
        <f>IF(Entry!$C1348="","",Entry!$C1348)</f>
        <v/>
      </c>
      <c r="B1348">
        <f>IF($A1348="","",IF(ISNUMBER($A1348),IF(AND($A1348&gt;=10000101,$A1348&lt;=99991231),INT($A1348/10000),""),IFERROR(VALUE(TRIM(LEFT($A1348,FIND("/",$A1348)-1))),"")))</f>
        <v/>
      </c>
      <c r="C1348">
        <f>IF(OR($A1348="",$B1348=""),"",IF(ISNUMBER($A1348),INT(MOD($A1348,10000)/100),IFERROR(VALUE(TRIM(LEFT(MID($A1348,FIND("/",$A1348)+1,20),FIND("/",MID($A1348,FIND("/",$A1348)+1,20))-1))),"")))</f>
        <v/>
      </c>
      <c r="D1348">
        <f>IF(OR($A1348="",$B1348=""),"",IF(ISNUMBER($A1348),MOD($A1348,100),IFERROR(VALUE(TRIM(MID(MID($A1348,FIND("/",$A1348)+1,20),FIND("/",MID($A1348,FIND("/",$A1348)+1,20))+1,20))),"")))</f>
        <v/>
      </c>
      <c r="E1348">
        <f>IF($A1348="","",IF(OR($B1348="",$C1348="",$D1348="",$B1348&lt;1300,$B1348&gt;1500,$C1348&lt;1,$C1348&gt;12,$D1348&lt;1,$D1348&gt;31),"نامعتبر",RIGHT("0000"&amp;$B1348,4)&amp;"/"&amp;RIGHT("00"&amp;$C1348,2)&amp;"/"&amp;RIGHT("00"&amp;$D1348,2)))</f>
        <v/>
      </c>
      <c r="F1348">
        <f>IF(Entry!$D1348&lt;&gt;"",IF(AND(ISNUMBER(Entry!$D1348),Entry!$D1348&gt;=0,Entry!$D1348&lt;1),RIGHT("00"&amp;HOUR(Entry!$D1348),2)&amp;":"&amp;RIGHT("00"&amp;MINUTE(Entry!$D1348),2),IFERROR(RIGHT("00"&amp;VALUE(TRIM(LEFT(Entry!$D1348,FIND(":",Entry!$D1348)-1))),2)&amp;":"&amp;RIGHT("00"&amp;VALUE(TRIM(MID(Entry!$D1348,FIND(":",Entry!$D1348)+1,2))),2),"نامعتبر")),IF(OR($E1348="",$E1348="نامعتبر"),"","00:00"))</f>
        <v/>
      </c>
      <c r="G1348">
        <f>IF(OR($E1348="",$E1348="نامعتبر"),"",IF(Entry!$E1348="","",LEFT(UPPER(TRIM(Entry!$E1348)),6)))</f>
        <v/>
      </c>
      <c r="H1348">
        <f>IF($G1348="","",RIGHT($E1348,4)&amp;MID($E1348,6,2)&amp;RIGHT($E1348,2)&amp;IF($F1348="","0000",IF($F1348="نامعتبر","9999",LEFT($F1348,2)&amp;RIGHT($F1348,2)))&amp;"|"&amp;RIGHT("00000"&amp;1340,5))</f>
        <v/>
      </c>
      <c r="I1348">
        <f>IF($H1348="","",COUNTIFS(CalcBank,$G1348,CalcKey,"&lt;"&amp;$H1348)+1)</f>
        <v/>
      </c>
      <c r="J1348">
        <f>IF($I1348="","",$G1348&amp;"|"&amp;RIGHT("000000"&amp;$I1348,6))</f>
        <v/>
      </c>
      <c r="K1348">
        <f>IF(OR($E1348="",$E1348="نامعتبر"),"",LEFT($E1348,4)&amp;"/"&amp;MID($E1348,6,2))</f>
        <v/>
      </c>
      <c r="L1348">
        <f>IF(Entry!$K1348="",0,Entry!$K1348)</f>
        <v/>
      </c>
      <c r="M1348">
        <f>IF(Entry!$L1348="",0,Entry!$L1348)</f>
        <v/>
      </c>
    </row>
    <row r="1349">
      <c r="A1349">
        <f>IF(Entry!$C1349="","",Entry!$C1349)</f>
        <v/>
      </c>
      <c r="B1349">
        <f>IF($A1349="","",IF(ISNUMBER($A1349),IF(AND($A1349&gt;=10000101,$A1349&lt;=99991231),INT($A1349/10000),""),IFERROR(VALUE(TRIM(LEFT($A1349,FIND("/",$A1349)-1))),"")))</f>
        <v/>
      </c>
      <c r="C1349">
        <f>IF(OR($A1349="",$B1349=""),"",IF(ISNUMBER($A1349),INT(MOD($A1349,10000)/100),IFERROR(VALUE(TRIM(LEFT(MID($A1349,FIND("/",$A1349)+1,20),FIND("/",MID($A1349,FIND("/",$A1349)+1,20))-1))),"")))</f>
        <v/>
      </c>
      <c r="D1349">
        <f>IF(OR($A1349="",$B1349=""),"",IF(ISNUMBER($A1349),MOD($A1349,100),IFERROR(VALUE(TRIM(MID(MID($A1349,FIND("/",$A1349)+1,20),FIND("/",MID($A1349,FIND("/",$A1349)+1,20))+1,20))),"")))</f>
        <v/>
      </c>
      <c r="E1349">
        <f>IF($A1349="","",IF(OR($B1349="",$C1349="",$D1349="",$B1349&lt;1300,$B1349&gt;1500,$C1349&lt;1,$C1349&gt;12,$D1349&lt;1,$D1349&gt;31),"نامعتبر",RIGHT("0000"&amp;$B1349,4)&amp;"/"&amp;RIGHT("00"&amp;$C1349,2)&amp;"/"&amp;RIGHT("00"&amp;$D1349,2)))</f>
        <v/>
      </c>
      <c r="F1349">
        <f>IF(Entry!$D1349&lt;&gt;"",IF(AND(ISNUMBER(Entry!$D1349),Entry!$D1349&gt;=0,Entry!$D1349&lt;1),RIGHT("00"&amp;HOUR(Entry!$D1349),2)&amp;":"&amp;RIGHT("00"&amp;MINUTE(Entry!$D1349),2),IFERROR(RIGHT("00"&amp;VALUE(TRIM(LEFT(Entry!$D1349,FIND(":",Entry!$D1349)-1))),2)&amp;":"&amp;RIGHT("00"&amp;VALUE(TRIM(MID(Entry!$D1349,FIND(":",Entry!$D1349)+1,2))),2),"نامعتبر")),IF(OR($E1349="",$E1349="نامعتبر"),"","00:00"))</f>
        <v/>
      </c>
      <c r="G1349">
        <f>IF(OR($E1349="",$E1349="نامعتبر"),"",IF(Entry!$E1349="","",LEFT(UPPER(TRIM(Entry!$E1349)),6)))</f>
        <v/>
      </c>
      <c r="H1349">
        <f>IF($G1349="","",RIGHT($E1349,4)&amp;MID($E1349,6,2)&amp;RIGHT($E1349,2)&amp;IF($F1349="","0000",IF($F1349="نامعتبر","9999",LEFT($F1349,2)&amp;RIGHT($F1349,2)))&amp;"|"&amp;RIGHT("00000"&amp;1341,5))</f>
        <v/>
      </c>
      <c r="I1349">
        <f>IF($H1349="","",COUNTIFS(CalcBank,$G1349,CalcKey,"&lt;"&amp;$H1349)+1)</f>
        <v/>
      </c>
      <c r="J1349">
        <f>IF($I1349="","",$G1349&amp;"|"&amp;RIGHT("000000"&amp;$I1349,6))</f>
        <v/>
      </c>
      <c r="K1349">
        <f>IF(OR($E1349="",$E1349="نامعتبر"),"",LEFT($E1349,4)&amp;"/"&amp;MID($E1349,6,2))</f>
        <v/>
      </c>
      <c r="L1349">
        <f>IF(Entry!$K1349="",0,Entry!$K1349)</f>
        <v/>
      </c>
      <c r="M1349">
        <f>IF(Entry!$L1349="",0,Entry!$L1349)</f>
        <v/>
      </c>
    </row>
    <row r="1350">
      <c r="A1350">
        <f>IF(Entry!$C1350="","",Entry!$C1350)</f>
        <v/>
      </c>
      <c r="B1350">
        <f>IF($A1350="","",IF(ISNUMBER($A1350),IF(AND($A1350&gt;=10000101,$A1350&lt;=99991231),INT($A1350/10000),""),IFERROR(VALUE(TRIM(LEFT($A1350,FIND("/",$A1350)-1))),"")))</f>
        <v/>
      </c>
      <c r="C1350">
        <f>IF(OR($A1350="",$B1350=""),"",IF(ISNUMBER($A1350),INT(MOD($A1350,10000)/100),IFERROR(VALUE(TRIM(LEFT(MID($A1350,FIND("/",$A1350)+1,20),FIND("/",MID($A1350,FIND("/",$A1350)+1,20))-1))),"")))</f>
        <v/>
      </c>
      <c r="D1350">
        <f>IF(OR($A1350="",$B1350=""),"",IF(ISNUMBER($A1350),MOD($A1350,100),IFERROR(VALUE(TRIM(MID(MID($A1350,FIND("/",$A1350)+1,20),FIND("/",MID($A1350,FIND("/",$A1350)+1,20))+1,20))),"")))</f>
        <v/>
      </c>
      <c r="E1350">
        <f>IF($A1350="","",IF(OR($B1350="",$C1350="",$D1350="",$B1350&lt;1300,$B1350&gt;1500,$C1350&lt;1,$C1350&gt;12,$D1350&lt;1,$D1350&gt;31),"نامعتبر",RIGHT("0000"&amp;$B1350,4)&amp;"/"&amp;RIGHT("00"&amp;$C1350,2)&amp;"/"&amp;RIGHT("00"&amp;$D1350,2)))</f>
        <v/>
      </c>
      <c r="F1350">
        <f>IF(Entry!$D1350&lt;&gt;"",IF(AND(ISNUMBER(Entry!$D1350),Entry!$D1350&gt;=0,Entry!$D1350&lt;1),RIGHT("00"&amp;HOUR(Entry!$D1350),2)&amp;":"&amp;RIGHT("00"&amp;MINUTE(Entry!$D1350),2),IFERROR(RIGHT("00"&amp;VALUE(TRIM(LEFT(Entry!$D1350,FIND(":",Entry!$D1350)-1))),2)&amp;":"&amp;RIGHT("00"&amp;VALUE(TRIM(MID(Entry!$D1350,FIND(":",Entry!$D1350)+1,2))),2),"نامعتبر")),IF(OR($E1350="",$E1350="نامعتبر"),"","00:00"))</f>
        <v/>
      </c>
      <c r="G1350">
        <f>IF(OR($E1350="",$E1350="نامعتبر"),"",IF(Entry!$E1350="","",LEFT(UPPER(TRIM(Entry!$E1350)),6)))</f>
        <v/>
      </c>
      <c r="H1350">
        <f>IF($G1350="","",RIGHT($E1350,4)&amp;MID($E1350,6,2)&amp;RIGHT($E1350,2)&amp;IF($F1350="","0000",IF($F1350="نامعتبر","9999",LEFT($F1350,2)&amp;RIGHT($F1350,2)))&amp;"|"&amp;RIGHT("00000"&amp;1342,5))</f>
        <v/>
      </c>
      <c r="I1350">
        <f>IF($H1350="","",COUNTIFS(CalcBank,$G1350,CalcKey,"&lt;"&amp;$H1350)+1)</f>
        <v/>
      </c>
      <c r="J1350">
        <f>IF($I1350="","",$G1350&amp;"|"&amp;RIGHT("000000"&amp;$I1350,6))</f>
        <v/>
      </c>
      <c r="K1350">
        <f>IF(OR($E1350="",$E1350="نامعتبر"),"",LEFT($E1350,4)&amp;"/"&amp;MID($E1350,6,2))</f>
        <v/>
      </c>
      <c r="L1350">
        <f>IF(Entry!$K1350="",0,Entry!$K1350)</f>
        <v/>
      </c>
      <c r="M1350">
        <f>IF(Entry!$L1350="",0,Entry!$L1350)</f>
        <v/>
      </c>
    </row>
    <row r="1351">
      <c r="A1351">
        <f>IF(Entry!$C1351="","",Entry!$C1351)</f>
        <v/>
      </c>
      <c r="B1351">
        <f>IF($A1351="","",IF(ISNUMBER($A1351),IF(AND($A1351&gt;=10000101,$A1351&lt;=99991231),INT($A1351/10000),""),IFERROR(VALUE(TRIM(LEFT($A1351,FIND("/",$A1351)-1))),"")))</f>
        <v/>
      </c>
      <c r="C1351">
        <f>IF(OR($A1351="",$B1351=""),"",IF(ISNUMBER($A1351),INT(MOD($A1351,10000)/100),IFERROR(VALUE(TRIM(LEFT(MID($A1351,FIND("/",$A1351)+1,20),FIND("/",MID($A1351,FIND("/",$A1351)+1,20))-1))),"")))</f>
        <v/>
      </c>
      <c r="D1351">
        <f>IF(OR($A1351="",$B1351=""),"",IF(ISNUMBER($A1351),MOD($A1351,100),IFERROR(VALUE(TRIM(MID(MID($A1351,FIND("/",$A1351)+1,20),FIND("/",MID($A1351,FIND("/",$A1351)+1,20))+1,20))),"")))</f>
        <v/>
      </c>
      <c r="E1351">
        <f>IF($A1351="","",IF(OR($B1351="",$C1351="",$D1351="",$B1351&lt;1300,$B1351&gt;1500,$C1351&lt;1,$C1351&gt;12,$D1351&lt;1,$D1351&gt;31),"نامعتبر",RIGHT("0000"&amp;$B1351,4)&amp;"/"&amp;RIGHT("00"&amp;$C1351,2)&amp;"/"&amp;RIGHT("00"&amp;$D1351,2)))</f>
        <v/>
      </c>
      <c r="F1351">
        <f>IF(Entry!$D1351&lt;&gt;"",IF(AND(ISNUMBER(Entry!$D1351),Entry!$D1351&gt;=0,Entry!$D1351&lt;1),RIGHT("00"&amp;HOUR(Entry!$D1351),2)&amp;":"&amp;RIGHT("00"&amp;MINUTE(Entry!$D1351),2),IFERROR(RIGHT("00"&amp;VALUE(TRIM(LEFT(Entry!$D1351,FIND(":",Entry!$D1351)-1))),2)&amp;":"&amp;RIGHT("00"&amp;VALUE(TRIM(MID(Entry!$D1351,FIND(":",Entry!$D1351)+1,2))),2),"نامعتبر")),IF(OR($E1351="",$E1351="نامعتبر"),"","00:00"))</f>
        <v/>
      </c>
      <c r="G1351">
        <f>IF(OR($E1351="",$E1351="نامعتبر"),"",IF(Entry!$E1351="","",LEFT(UPPER(TRIM(Entry!$E1351)),6)))</f>
        <v/>
      </c>
      <c r="H1351">
        <f>IF($G1351="","",RIGHT($E1351,4)&amp;MID($E1351,6,2)&amp;RIGHT($E1351,2)&amp;IF($F1351="","0000",IF($F1351="نامعتبر","9999",LEFT($F1351,2)&amp;RIGHT($F1351,2)))&amp;"|"&amp;RIGHT("00000"&amp;1343,5))</f>
        <v/>
      </c>
      <c r="I1351">
        <f>IF($H1351="","",COUNTIFS(CalcBank,$G1351,CalcKey,"&lt;"&amp;$H1351)+1)</f>
        <v/>
      </c>
      <c r="J1351">
        <f>IF($I1351="","",$G1351&amp;"|"&amp;RIGHT("000000"&amp;$I1351,6))</f>
        <v/>
      </c>
      <c r="K1351">
        <f>IF(OR($E1351="",$E1351="نامعتبر"),"",LEFT($E1351,4)&amp;"/"&amp;MID($E1351,6,2))</f>
        <v/>
      </c>
      <c r="L1351">
        <f>IF(Entry!$K1351="",0,Entry!$K1351)</f>
        <v/>
      </c>
      <c r="M1351">
        <f>IF(Entry!$L1351="",0,Entry!$L1351)</f>
        <v/>
      </c>
    </row>
    <row r="1352">
      <c r="A1352">
        <f>IF(Entry!$C1352="","",Entry!$C1352)</f>
        <v/>
      </c>
      <c r="B1352">
        <f>IF($A1352="","",IF(ISNUMBER($A1352),IF(AND($A1352&gt;=10000101,$A1352&lt;=99991231),INT($A1352/10000),""),IFERROR(VALUE(TRIM(LEFT($A1352,FIND("/",$A1352)-1))),"")))</f>
        <v/>
      </c>
      <c r="C1352">
        <f>IF(OR($A1352="",$B1352=""),"",IF(ISNUMBER($A1352),INT(MOD($A1352,10000)/100),IFERROR(VALUE(TRIM(LEFT(MID($A1352,FIND("/",$A1352)+1,20),FIND("/",MID($A1352,FIND("/",$A1352)+1,20))-1))),"")))</f>
        <v/>
      </c>
      <c r="D1352">
        <f>IF(OR($A1352="",$B1352=""),"",IF(ISNUMBER($A1352),MOD($A1352,100),IFERROR(VALUE(TRIM(MID(MID($A1352,FIND("/",$A1352)+1,20),FIND("/",MID($A1352,FIND("/",$A1352)+1,20))+1,20))),"")))</f>
        <v/>
      </c>
      <c r="E1352">
        <f>IF($A1352="","",IF(OR($B1352="",$C1352="",$D1352="",$B1352&lt;1300,$B1352&gt;1500,$C1352&lt;1,$C1352&gt;12,$D1352&lt;1,$D1352&gt;31),"نامعتبر",RIGHT("0000"&amp;$B1352,4)&amp;"/"&amp;RIGHT("00"&amp;$C1352,2)&amp;"/"&amp;RIGHT("00"&amp;$D1352,2)))</f>
        <v/>
      </c>
      <c r="F1352">
        <f>IF(Entry!$D1352&lt;&gt;"",IF(AND(ISNUMBER(Entry!$D1352),Entry!$D1352&gt;=0,Entry!$D1352&lt;1),RIGHT("00"&amp;HOUR(Entry!$D1352),2)&amp;":"&amp;RIGHT("00"&amp;MINUTE(Entry!$D1352),2),IFERROR(RIGHT("00"&amp;VALUE(TRIM(LEFT(Entry!$D1352,FIND(":",Entry!$D1352)-1))),2)&amp;":"&amp;RIGHT("00"&amp;VALUE(TRIM(MID(Entry!$D1352,FIND(":",Entry!$D1352)+1,2))),2),"نامعتبر")),IF(OR($E1352="",$E1352="نامعتبر"),"","00:00"))</f>
        <v/>
      </c>
      <c r="G1352">
        <f>IF(OR($E1352="",$E1352="نامعتبر"),"",IF(Entry!$E1352="","",LEFT(UPPER(TRIM(Entry!$E1352)),6)))</f>
        <v/>
      </c>
      <c r="H1352">
        <f>IF($G1352="","",RIGHT($E1352,4)&amp;MID($E1352,6,2)&amp;RIGHT($E1352,2)&amp;IF($F1352="","0000",IF($F1352="نامعتبر","9999",LEFT($F1352,2)&amp;RIGHT($F1352,2)))&amp;"|"&amp;RIGHT("00000"&amp;1344,5))</f>
        <v/>
      </c>
      <c r="I1352">
        <f>IF($H1352="","",COUNTIFS(CalcBank,$G1352,CalcKey,"&lt;"&amp;$H1352)+1)</f>
        <v/>
      </c>
      <c r="J1352">
        <f>IF($I1352="","",$G1352&amp;"|"&amp;RIGHT("000000"&amp;$I1352,6))</f>
        <v/>
      </c>
      <c r="K1352">
        <f>IF(OR($E1352="",$E1352="نامعتبر"),"",LEFT($E1352,4)&amp;"/"&amp;MID($E1352,6,2))</f>
        <v/>
      </c>
      <c r="L1352">
        <f>IF(Entry!$K1352="",0,Entry!$K1352)</f>
        <v/>
      </c>
      <c r="M1352">
        <f>IF(Entry!$L1352="",0,Entry!$L1352)</f>
        <v/>
      </c>
    </row>
    <row r="1353">
      <c r="A1353">
        <f>IF(Entry!$C1353="","",Entry!$C1353)</f>
        <v/>
      </c>
      <c r="B1353">
        <f>IF($A1353="","",IF(ISNUMBER($A1353),IF(AND($A1353&gt;=10000101,$A1353&lt;=99991231),INT($A1353/10000),""),IFERROR(VALUE(TRIM(LEFT($A1353,FIND("/",$A1353)-1))),"")))</f>
        <v/>
      </c>
      <c r="C1353">
        <f>IF(OR($A1353="",$B1353=""),"",IF(ISNUMBER($A1353),INT(MOD($A1353,10000)/100),IFERROR(VALUE(TRIM(LEFT(MID($A1353,FIND("/",$A1353)+1,20),FIND("/",MID($A1353,FIND("/",$A1353)+1,20))-1))),"")))</f>
        <v/>
      </c>
      <c r="D1353">
        <f>IF(OR($A1353="",$B1353=""),"",IF(ISNUMBER($A1353),MOD($A1353,100),IFERROR(VALUE(TRIM(MID(MID($A1353,FIND("/",$A1353)+1,20),FIND("/",MID($A1353,FIND("/",$A1353)+1,20))+1,20))),"")))</f>
        <v/>
      </c>
      <c r="E1353">
        <f>IF($A1353="","",IF(OR($B1353="",$C1353="",$D1353="",$B1353&lt;1300,$B1353&gt;1500,$C1353&lt;1,$C1353&gt;12,$D1353&lt;1,$D1353&gt;31),"نامعتبر",RIGHT("0000"&amp;$B1353,4)&amp;"/"&amp;RIGHT("00"&amp;$C1353,2)&amp;"/"&amp;RIGHT("00"&amp;$D1353,2)))</f>
        <v/>
      </c>
      <c r="F1353">
        <f>IF(Entry!$D1353&lt;&gt;"",IF(AND(ISNUMBER(Entry!$D1353),Entry!$D1353&gt;=0,Entry!$D1353&lt;1),RIGHT("00"&amp;HOUR(Entry!$D1353),2)&amp;":"&amp;RIGHT("00"&amp;MINUTE(Entry!$D1353),2),IFERROR(RIGHT("00"&amp;VALUE(TRIM(LEFT(Entry!$D1353,FIND(":",Entry!$D1353)-1))),2)&amp;":"&amp;RIGHT("00"&amp;VALUE(TRIM(MID(Entry!$D1353,FIND(":",Entry!$D1353)+1,2))),2),"نامعتبر")),IF(OR($E1353="",$E1353="نامعتبر"),"","00:00"))</f>
        <v/>
      </c>
      <c r="G1353">
        <f>IF(OR($E1353="",$E1353="نامعتبر"),"",IF(Entry!$E1353="","",LEFT(UPPER(TRIM(Entry!$E1353)),6)))</f>
        <v/>
      </c>
      <c r="H1353">
        <f>IF($G1353="","",RIGHT($E1353,4)&amp;MID($E1353,6,2)&amp;RIGHT($E1353,2)&amp;IF($F1353="","0000",IF($F1353="نامعتبر","9999",LEFT($F1353,2)&amp;RIGHT($F1353,2)))&amp;"|"&amp;RIGHT("00000"&amp;1345,5))</f>
        <v/>
      </c>
      <c r="I1353">
        <f>IF($H1353="","",COUNTIFS(CalcBank,$G1353,CalcKey,"&lt;"&amp;$H1353)+1)</f>
        <v/>
      </c>
      <c r="J1353">
        <f>IF($I1353="","",$G1353&amp;"|"&amp;RIGHT("000000"&amp;$I1353,6))</f>
        <v/>
      </c>
      <c r="K1353">
        <f>IF(OR($E1353="",$E1353="نامعتبر"),"",LEFT($E1353,4)&amp;"/"&amp;MID($E1353,6,2))</f>
        <v/>
      </c>
      <c r="L1353">
        <f>IF(Entry!$K1353="",0,Entry!$K1353)</f>
        <v/>
      </c>
      <c r="M1353">
        <f>IF(Entry!$L1353="",0,Entry!$L1353)</f>
        <v/>
      </c>
    </row>
    <row r="1354">
      <c r="A1354">
        <f>IF(Entry!$C1354="","",Entry!$C1354)</f>
        <v/>
      </c>
      <c r="B1354">
        <f>IF($A1354="","",IF(ISNUMBER($A1354),IF(AND($A1354&gt;=10000101,$A1354&lt;=99991231),INT($A1354/10000),""),IFERROR(VALUE(TRIM(LEFT($A1354,FIND("/",$A1354)-1))),"")))</f>
        <v/>
      </c>
      <c r="C1354">
        <f>IF(OR($A1354="",$B1354=""),"",IF(ISNUMBER($A1354),INT(MOD($A1354,10000)/100),IFERROR(VALUE(TRIM(LEFT(MID($A1354,FIND("/",$A1354)+1,20),FIND("/",MID($A1354,FIND("/",$A1354)+1,20))-1))),"")))</f>
        <v/>
      </c>
      <c r="D1354">
        <f>IF(OR($A1354="",$B1354=""),"",IF(ISNUMBER($A1354),MOD($A1354,100),IFERROR(VALUE(TRIM(MID(MID($A1354,FIND("/",$A1354)+1,20),FIND("/",MID($A1354,FIND("/",$A1354)+1,20))+1,20))),"")))</f>
        <v/>
      </c>
      <c r="E1354">
        <f>IF($A1354="","",IF(OR($B1354="",$C1354="",$D1354="",$B1354&lt;1300,$B1354&gt;1500,$C1354&lt;1,$C1354&gt;12,$D1354&lt;1,$D1354&gt;31),"نامعتبر",RIGHT("0000"&amp;$B1354,4)&amp;"/"&amp;RIGHT("00"&amp;$C1354,2)&amp;"/"&amp;RIGHT("00"&amp;$D1354,2)))</f>
        <v/>
      </c>
      <c r="F1354">
        <f>IF(Entry!$D1354&lt;&gt;"",IF(AND(ISNUMBER(Entry!$D1354),Entry!$D1354&gt;=0,Entry!$D1354&lt;1),RIGHT("00"&amp;HOUR(Entry!$D1354),2)&amp;":"&amp;RIGHT("00"&amp;MINUTE(Entry!$D1354),2),IFERROR(RIGHT("00"&amp;VALUE(TRIM(LEFT(Entry!$D1354,FIND(":",Entry!$D1354)-1))),2)&amp;":"&amp;RIGHT("00"&amp;VALUE(TRIM(MID(Entry!$D1354,FIND(":",Entry!$D1354)+1,2))),2),"نامعتبر")),IF(OR($E1354="",$E1354="نامعتبر"),"","00:00"))</f>
        <v/>
      </c>
      <c r="G1354">
        <f>IF(OR($E1354="",$E1354="نامعتبر"),"",IF(Entry!$E1354="","",LEFT(UPPER(TRIM(Entry!$E1354)),6)))</f>
        <v/>
      </c>
      <c r="H1354">
        <f>IF($G1354="","",RIGHT($E1354,4)&amp;MID($E1354,6,2)&amp;RIGHT($E1354,2)&amp;IF($F1354="","0000",IF($F1354="نامعتبر","9999",LEFT($F1354,2)&amp;RIGHT($F1354,2)))&amp;"|"&amp;RIGHT("00000"&amp;1346,5))</f>
        <v/>
      </c>
      <c r="I1354">
        <f>IF($H1354="","",COUNTIFS(CalcBank,$G1354,CalcKey,"&lt;"&amp;$H1354)+1)</f>
        <v/>
      </c>
      <c r="J1354">
        <f>IF($I1354="","",$G1354&amp;"|"&amp;RIGHT("000000"&amp;$I1354,6))</f>
        <v/>
      </c>
      <c r="K1354">
        <f>IF(OR($E1354="",$E1354="نامعتبر"),"",LEFT($E1354,4)&amp;"/"&amp;MID($E1354,6,2))</f>
        <v/>
      </c>
      <c r="L1354">
        <f>IF(Entry!$K1354="",0,Entry!$K1354)</f>
        <v/>
      </c>
      <c r="M1354">
        <f>IF(Entry!$L1354="",0,Entry!$L1354)</f>
        <v/>
      </c>
    </row>
    <row r="1355">
      <c r="A1355">
        <f>IF(Entry!$C1355="","",Entry!$C1355)</f>
        <v/>
      </c>
      <c r="B1355">
        <f>IF($A1355="","",IF(ISNUMBER($A1355),IF(AND($A1355&gt;=10000101,$A1355&lt;=99991231),INT($A1355/10000),""),IFERROR(VALUE(TRIM(LEFT($A1355,FIND("/",$A1355)-1))),"")))</f>
        <v/>
      </c>
      <c r="C1355">
        <f>IF(OR($A1355="",$B1355=""),"",IF(ISNUMBER($A1355),INT(MOD($A1355,10000)/100),IFERROR(VALUE(TRIM(LEFT(MID($A1355,FIND("/",$A1355)+1,20),FIND("/",MID($A1355,FIND("/",$A1355)+1,20))-1))),"")))</f>
        <v/>
      </c>
      <c r="D1355">
        <f>IF(OR($A1355="",$B1355=""),"",IF(ISNUMBER($A1355),MOD($A1355,100),IFERROR(VALUE(TRIM(MID(MID($A1355,FIND("/",$A1355)+1,20),FIND("/",MID($A1355,FIND("/",$A1355)+1,20))+1,20))),"")))</f>
        <v/>
      </c>
      <c r="E1355">
        <f>IF($A1355="","",IF(OR($B1355="",$C1355="",$D1355="",$B1355&lt;1300,$B1355&gt;1500,$C1355&lt;1,$C1355&gt;12,$D1355&lt;1,$D1355&gt;31),"نامعتبر",RIGHT("0000"&amp;$B1355,4)&amp;"/"&amp;RIGHT("00"&amp;$C1355,2)&amp;"/"&amp;RIGHT("00"&amp;$D1355,2)))</f>
        <v/>
      </c>
      <c r="F1355">
        <f>IF(Entry!$D1355&lt;&gt;"",IF(AND(ISNUMBER(Entry!$D1355),Entry!$D1355&gt;=0,Entry!$D1355&lt;1),RIGHT("00"&amp;HOUR(Entry!$D1355),2)&amp;":"&amp;RIGHT("00"&amp;MINUTE(Entry!$D1355),2),IFERROR(RIGHT("00"&amp;VALUE(TRIM(LEFT(Entry!$D1355,FIND(":",Entry!$D1355)-1))),2)&amp;":"&amp;RIGHT("00"&amp;VALUE(TRIM(MID(Entry!$D1355,FIND(":",Entry!$D1355)+1,2))),2),"نامعتبر")),IF(OR($E1355="",$E1355="نامعتبر"),"","00:00"))</f>
        <v/>
      </c>
      <c r="G1355">
        <f>IF(OR($E1355="",$E1355="نامعتبر"),"",IF(Entry!$E1355="","",LEFT(UPPER(TRIM(Entry!$E1355)),6)))</f>
        <v/>
      </c>
      <c r="H1355">
        <f>IF($G1355="","",RIGHT($E1355,4)&amp;MID($E1355,6,2)&amp;RIGHT($E1355,2)&amp;IF($F1355="","0000",IF($F1355="نامعتبر","9999",LEFT($F1355,2)&amp;RIGHT($F1355,2)))&amp;"|"&amp;RIGHT("00000"&amp;1347,5))</f>
        <v/>
      </c>
      <c r="I1355">
        <f>IF($H1355="","",COUNTIFS(CalcBank,$G1355,CalcKey,"&lt;"&amp;$H1355)+1)</f>
        <v/>
      </c>
      <c r="J1355">
        <f>IF($I1355="","",$G1355&amp;"|"&amp;RIGHT("000000"&amp;$I1355,6))</f>
        <v/>
      </c>
      <c r="K1355">
        <f>IF(OR($E1355="",$E1355="نامعتبر"),"",LEFT($E1355,4)&amp;"/"&amp;MID($E1355,6,2))</f>
        <v/>
      </c>
      <c r="L1355">
        <f>IF(Entry!$K1355="",0,Entry!$K1355)</f>
        <v/>
      </c>
      <c r="M1355">
        <f>IF(Entry!$L1355="",0,Entry!$L1355)</f>
        <v/>
      </c>
    </row>
    <row r="1356">
      <c r="A1356">
        <f>IF(Entry!$C1356="","",Entry!$C1356)</f>
        <v/>
      </c>
      <c r="B1356">
        <f>IF($A1356="","",IF(ISNUMBER($A1356),IF(AND($A1356&gt;=10000101,$A1356&lt;=99991231),INT($A1356/10000),""),IFERROR(VALUE(TRIM(LEFT($A1356,FIND("/",$A1356)-1))),"")))</f>
        <v/>
      </c>
      <c r="C1356">
        <f>IF(OR($A1356="",$B1356=""),"",IF(ISNUMBER($A1356),INT(MOD($A1356,10000)/100),IFERROR(VALUE(TRIM(LEFT(MID($A1356,FIND("/",$A1356)+1,20),FIND("/",MID($A1356,FIND("/",$A1356)+1,20))-1))),"")))</f>
        <v/>
      </c>
      <c r="D1356">
        <f>IF(OR($A1356="",$B1356=""),"",IF(ISNUMBER($A1356),MOD($A1356,100),IFERROR(VALUE(TRIM(MID(MID($A1356,FIND("/",$A1356)+1,20),FIND("/",MID($A1356,FIND("/",$A1356)+1,20))+1,20))),"")))</f>
        <v/>
      </c>
      <c r="E1356">
        <f>IF($A1356="","",IF(OR($B1356="",$C1356="",$D1356="",$B1356&lt;1300,$B1356&gt;1500,$C1356&lt;1,$C1356&gt;12,$D1356&lt;1,$D1356&gt;31),"نامعتبر",RIGHT("0000"&amp;$B1356,4)&amp;"/"&amp;RIGHT("00"&amp;$C1356,2)&amp;"/"&amp;RIGHT("00"&amp;$D1356,2)))</f>
        <v/>
      </c>
      <c r="F1356">
        <f>IF(Entry!$D1356&lt;&gt;"",IF(AND(ISNUMBER(Entry!$D1356),Entry!$D1356&gt;=0,Entry!$D1356&lt;1),RIGHT("00"&amp;HOUR(Entry!$D1356),2)&amp;":"&amp;RIGHT("00"&amp;MINUTE(Entry!$D1356),2),IFERROR(RIGHT("00"&amp;VALUE(TRIM(LEFT(Entry!$D1356,FIND(":",Entry!$D1356)-1))),2)&amp;":"&amp;RIGHT("00"&amp;VALUE(TRIM(MID(Entry!$D1356,FIND(":",Entry!$D1356)+1,2))),2),"نامعتبر")),IF(OR($E1356="",$E1356="نامعتبر"),"","00:00"))</f>
        <v/>
      </c>
      <c r="G1356">
        <f>IF(OR($E1356="",$E1356="نامعتبر"),"",IF(Entry!$E1356="","",LEFT(UPPER(TRIM(Entry!$E1356)),6)))</f>
        <v/>
      </c>
      <c r="H1356">
        <f>IF($G1356="","",RIGHT($E1356,4)&amp;MID($E1356,6,2)&amp;RIGHT($E1356,2)&amp;IF($F1356="","0000",IF($F1356="نامعتبر","9999",LEFT($F1356,2)&amp;RIGHT($F1356,2)))&amp;"|"&amp;RIGHT("00000"&amp;1348,5))</f>
        <v/>
      </c>
      <c r="I1356">
        <f>IF($H1356="","",COUNTIFS(CalcBank,$G1356,CalcKey,"&lt;"&amp;$H1356)+1)</f>
        <v/>
      </c>
      <c r="J1356">
        <f>IF($I1356="","",$G1356&amp;"|"&amp;RIGHT("000000"&amp;$I1356,6))</f>
        <v/>
      </c>
      <c r="K1356">
        <f>IF(OR($E1356="",$E1356="نامعتبر"),"",LEFT($E1356,4)&amp;"/"&amp;MID($E1356,6,2))</f>
        <v/>
      </c>
      <c r="L1356">
        <f>IF(Entry!$K1356="",0,Entry!$K1356)</f>
        <v/>
      </c>
      <c r="M1356">
        <f>IF(Entry!$L1356="",0,Entry!$L1356)</f>
        <v/>
      </c>
    </row>
    <row r="1357">
      <c r="A1357">
        <f>IF(Entry!$C1357="","",Entry!$C1357)</f>
        <v/>
      </c>
      <c r="B1357">
        <f>IF($A1357="","",IF(ISNUMBER($A1357),IF(AND($A1357&gt;=10000101,$A1357&lt;=99991231),INT($A1357/10000),""),IFERROR(VALUE(TRIM(LEFT($A1357,FIND("/",$A1357)-1))),"")))</f>
        <v/>
      </c>
      <c r="C1357">
        <f>IF(OR($A1357="",$B1357=""),"",IF(ISNUMBER($A1357),INT(MOD($A1357,10000)/100),IFERROR(VALUE(TRIM(LEFT(MID($A1357,FIND("/",$A1357)+1,20),FIND("/",MID($A1357,FIND("/",$A1357)+1,20))-1))),"")))</f>
        <v/>
      </c>
      <c r="D1357">
        <f>IF(OR($A1357="",$B1357=""),"",IF(ISNUMBER($A1357),MOD($A1357,100),IFERROR(VALUE(TRIM(MID(MID($A1357,FIND("/",$A1357)+1,20),FIND("/",MID($A1357,FIND("/",$A1357)+1,20))+1,20))),"")))</f>
        <v/>
      </c>
      <c r="E1357">
        <f>IF($A1357="","",IF(OR($B1357="",$C1357="",$D1357="",$B1357&lt;1300,$B1357&gt;1500,$C1357&lt;1,$C1357&gt;12,$D1357&lt;1,$D1357&gt;31),"نامعتبر",RIGHT("0000"&amp;$B1357,4)&amp;"/"&amp;RIGHT("00"&amp;$C1357,2)&amp;"/"&amp;RIGHT("00"&amp;$D1357,2)))</f>
        <v/>
      </c>
      <c r="F1357">
        <f>IF(Entry!$D1357&lt;&gt;"",IF(AND(ISNUMBER(Entry!$D1357),Entry!$D1357&gt;=0,Entry!$D1357&lt;1),RIGHT("00"&amp;HOUR(Entry!$D1357),2)&amp;":"&amp;RIGHT("00"&amp;MINUTE(Entry!$D1357),2),IFERROR(RIGHT("00"&amp;VALUE(TRIM(LEFT(Entry!$D1357,FIND(":",Entry!$D1357)-1))),2)&amp;":"&amp;RIGHT("00"&amp;VALUE(TRIM(MID(Entry!$D1357,FIND(":",Entry!$D1357)+1,2))),2),"نامعتبر")),IF(OR($E1357="",$E1357="نامعتبر"),"","00:00"))</f>
        <v/>
      </c>
      <c r="G1357">
        <f>IF(OR($E1357="",$E1357="نامعتبر"),"",IF(Entry!$E1357="","",LEFT(UPPER(TRIM(Entry!$E1357)),6)))</f>
        <v/>
      </c>
      <c r="H1357">
        <f>IF($G1357="","",RIGHT($E1357,4)&amp;MID($E1357,6,2)&amp;RIGHT($E1357,2)&amp;IF($F1357="","0000",IF($F1357="نامعتبر","9999",LEFT($F1357,2)&amp;RIGHT($F1357,2)))&amp;"|"&amp;RIGHT("00000"&amp;1349,5))</f>
        <v/>
      </c>
      <c r="I1357">
        <f>IF($H1357="","",COUNTIFS(CalcBank,$G1357,CalcKey,"&lt;"&amp;$H1357)+1)</f>
        <v/>
      </c>
      <c r="J1357">
        <f>IF($I1357="","",$G1357&amp;"|"&amp;RIGHT("000000"&amp;$I1357,6))</f>
        <v/>
      </c>
      <c r="K1357">
        <f>IF(OR($E1357="",$E1357="نامعتبر"),"",LEFT($E1357,4)&amp;"/"&amp;MID($E1357,6,2))</f>
        <v/>
      </c>
      <c r="L1357">
        <f>IF(Entry!$K1357="",0,Entry!$K1357)</f>
        <v/>
      </c>
      <c r="M1357">
        <f>IF(Entry!$L1357="",0,Entry!$L1357)</f>
        <v/>
      </c>
    </row>
    <row r="1358">
      <c r="A1358">
        <f>IF(Entry!$C1358="","",Entry!$C1358)</f>
        <v/>
      </c>
      <c r="B1358">
        <f>IF($A1358="","",IF(ISNUMBER($A1358),IF(AND($A1358&gt;=10000101,$A1358&lt;=99991231),INT($A1358/10000),""),IFERROR(VALUE(TRIM(LEFT($A1358,FIND("/",$A1358)-1))),"")))</f>
        <v/>
      </c>
      <c r="C1358">
        <f>IF(OR($A1358="",$B1358=""),"",IF(ISNUMBER($A1358),INT(MOD($A1358,10000)/100),IFERROR(VALUE(TRIM(LEFT(MID($A1358,FIND("/",$A1358)+1,20),FIND("/",MID($A1358,FIND("/",$A1358)+1,20))-1))),"")))</f>
        <v/>
      </c>
      <c r="D1358">
        <f>IF(OR($A1358="",$B1358=""),"",IF(ISNUMBER($A1358),MOD($A1358,100),IFERROR(VALUE(TRIM(MID(MID($A1358,FIND("/",$A1358)+1,20),FIND("/",MID($A1358,FIND("/",$A1358)+1,20))+1,20))),"")))</f>
        <v/>
      </c>
      <c r="E1358">
        <f>IF($A1358="","",IF(OR($B1358="",$C1358="",$D1358="",$B1358&lt;1300,$B1358&gt;1500,$C1358&lt;1,$C1358&gt;12,$D1358&lt;1,$D1358&gt;31),"نامعتبر",RIGHT("0000"&amp;$B1358,4)&amp;"/"&amp;RIGHT("00"&amp;$C1358,2)&amp;"/"&amp;RIGHT("00"&amp;$D1358,2)))</f>
        <v/>
      </c>
      <c r="F1358">
        <f>IF(Entry!$D1358&lt;&gt;"",IF(AND(ISNUMBER(Entry!$D1358),Entry!$D1358&gt;=0,Entry!$D1358&lt;1),RIGHT("00"&amp;HOUR(Entry!$D1358),2)&amp;":"&amp;RIGHT("00"&amp;MINUTE(Entry!$D1358),2),IFERROR(RIGHT("00"&amp;VALUE(TRIM(LEFT(Entry!$D1358,FIND(":",Entry!$D1358)-1))),2)&amp;":"&amp;RIGHT("00"&amp;VALUE(TRIM(MID(Entry!$D1358,FIND(":",Entry!$D1358)+1,2))),2),"نامعتبر")),IF(OR($E1358="",$E1358="نامعتبر"),"","00:00"))</f>
        <v/>
      </c>
      <c r="G1358">
        <f>IF(OR($E1358="",$E1358="نامعتبر"),"",IF(Entry!$E1358="","",LEFT(UPPER(TRIM(Entry!$E1358)),6)))</f>
        <v/>
      </c>
      <c r="H1358">
        <f>IF($G1358="","",RIGHT($E1358,4)&amp;MID($E1358,6,2)&amp;RIGHT($E1358,2)&amp;IF($F1358="","0000",IF($F1358="نامعتبر","9999",LEFT($F1358,2)&amp;RIGHT($F1358,2)))&amp;"|"&amp;RIGHT("00000"&amp;1350,5))</f>
        <v/>
      </c>
      <c r="I1358">
        <f>IF($H1358="","",COUNTIFS(CalcBank,$G1358,CalcKey,"&lt;"&amp;$H1358)+1)</f>
        <v/>
      </c>
      <c r="J1358">
        <f>IF($I1358="","",$G1358&amp;"|"&amp;RIGHT("000000"&amp;$I1358,6))</f>
        <v/>
      </c>
      <c r="K1358">
        <f>IF(OR($E1358="",$E1358="نامعتبر"),"",LEFT($E1358,4)&amp;"/"&amp;MID($E1358,6,2))</f>
        <v/>
      </c>
      <c r="L1358">
        <f>IF(Entry!$K1358="",0,Entry!$K1358)</f>
        <v/>
      </c>
      <c r="M1358">
        <f>IF(Entry!$L1358="",0,Entry!$L1358)</f>
        <v/>
      </c>
    </row>
    <row r="1359">
      <c r="A1359">
        <f>IF(Entry!$C1359="","",Entry!$C1359)</f>
        <v/>
      </c>
      <c r="B1359">
        <f>IF($A1359="","",IF(ISNUMBER($A1359),IF(AND($A1359&gt;=10000101,$A1359&lt;=99991231),INT($A1359/10000),""),IFERROR(VALUE(TRIM(LEFT($A1359,FIND("/",$A1359)-1))),"")))</f>
        <v/>
      </c>
      <c r="C1359">
        <f>IF(OR($A1359="",$B1359=""),"",IF(ISNUMBER($A1359),INT(MOD($A1359,10000)/100),IFERROR(VALUE(TRIM(LEFT(MID($A1359,FIND("/",$A1359)+1,20),FIND("/",MID($A1359,FIND("/",$A1359)+1,20))-1))),"")))</f>
        <v/>
      </c>
      <c r="D1359">
        <f>IF(OR($A1359="",$B1359=""),"",IF(ISNUMBER($A1359),MOD($A1359,100),IFERROR(VALUE(TRIM(MID(MID($A1359,FIND("/",$A1359)+1,20),FIND("/",MID($A1359,FIND("/",$A1359)+1,20))+1,20))),"")))</f>
        <v/>
      </c>
      <c r="E1359">
        <f>IF($A1359="","",IF(OR($B1359="",$C1359="",$D1359="",$B1359&lt;1300,$B1359&gt;1500,$C1359&lt;1,$C1359&gt;12,$D1359&lt;1,$D1359&gt;31),"نامعتبر",RIGHT("0000"&amp;$B1359,4)&amp;"/"&amp;RIGHT("00"&amp;$C1359,2)&amp;"/"&amp;RIGHT("00"&amp;$D1359,2)))</f>
        <v/>
      </c>
      <c r="F1359">
        <f>IF(Entry!$D1359&lt;&gt;"",IF(AND(ISNUMBER(Entry!$D1359),Entry!$D1359&gt;=0,Entry!$D1359&lt;1),RIGHT("00"&amp;HOUR(Entry!$D1359),2)&amp;":"&amp;RIGHT("00"&amp;MINUTE(Entry!$D1359),2),IFERROR(RIGHT("00"&amp;VALUE(TRIM(LEFT(Entry!$D1359,FIND(":",Entry!$D1359)-1))),2)&amp;":"&amp;RIGHT("00"&amp;VALUE(TRIM(MID(Entry!$D1359,FIND(":",Entry!$D1359)+1,2))),2),"نامعتبر")),IF(OR($E1359="",$E1359="نامعتبر"),"","00:00"))</f>
        <v/>
      </c>
      <c r="G1359">
        <f>IF(OR($E1359="",$E1359="نامعتبر"),"",IF(Entry!$E1359="","",LEFT(UPPER(TRIM(Entry!$E1359)),6)))</f>
        <v/>
      </c>
      <c r="H1359">
        <f>IF($G1359="","",RIGHT($E1359,4)&amp;MID($E1359,6,2)&amp;RIGHT($E1359,2)&amp;IF($F1359="","0000",IF($F1359="نامعتبر","9999",LEFT($F1359,2)&amp;RIGHT($F1359,2)))&amp;"|"&amp;RIGHT("00000"&amp;1351,5))</f>
        <v/>
      </c>
      <c r="I1359">
        <f>IF($H1359="","",COUNTIFS(CalcBank,$G1359,CalcKey,"&lt;"&amp;$H1359)+1)</f>
        <v/>
      </c>
      <c r="J1359">
        <f>IF($I1359="","",$G1359&amp;"|"&amp;RIGHT("000000"&amp;$I1359,6))</f>
        <v/>
      </c>
      <c r="K1359">
        <f>IF(OR($E1359="",$E1359="نامعتبر"),"",LEFT($E1359,4)&amp;"/"&amp;MID($E1359,6,2))</f>
        <v/>
      </c>
      <c r="L1359">
        <f>IF(Entry!$K1359="",0,Entry!$K1359)</f>
        <v/>
      </c>
      <c r="M1359">
        <f>IF(Entry!$L1359="",0,Entry!$L1359)</f>
        <v/>
      </c>
    </row>
    <row r="1360">
      <c r="A1360">
        <f>IF(Entry!$C1360="","",Entry!$C1360)</f>
        <v/>
      </c>
      <c r="B1360">
        <f>IF($A1360="","",IF(ISNUMBER($A1360),IF(AND($A1360&gt;=10000101,$A1360&lt;=99991231),INT($A1360/10000),""),IFERROR(VALUE(TRIM(LEFT($A1360,FIND("/",$A1360)-1))),"")))</f>
        <v/>
      </c>
      <c r="C1360">
        <f>IF(OR($A1360="",$B1360=""),"",IF(ISNUMBER($A1360),INT(MOD($A1360,10000)/100),IFERROR(VALUE(TRIM(LEFT(MID($A1360,FIND("/",$A1360)+1,20),FIND("/",MID($A1360,FIND("/",$A1360)+1,20))-1))),"")))</f>
        <v/>
      </c>
      <c r="D1360">
        <f>IF(OR($A1360="",$B1360=""),"",IF(ISNUMBER($A1360),MOD($A1360,100),IFERROR(VALUE(TRIM(MID(MID($A1360,FIND("/",$A1360)+1,20),FIND("/",MID($A1360,FIND("/",$A1360)+1,20))+1,20))),"")))</f>
        <v/>
      </c>
      <c r="E1360">
        <f>IF($A1360="","",IF(OR($B1360="",$C1360="",$D1360="",$B1360&lt;1300,$B1360&gt;1500,$C1360&lt;1,$C1360&gt;12,$D1360&lt;1,$D1360&gt;31),"نامعتبر",RIGHT("0000"&amp;$B1360,4)&amp;"/"&amp;RIGHT("00"&amp;$C1360,2)&amp;"/"&amp;RIGHT("00"&amp;$D1360,2)))</f>
        <v/>
      </c>
      <c r="F1360">
        <f>IF(Entry!$D1360&lt;&gt;"",IF(AND(ISNUMBER(Entry!$D1360),Entry!$D1360&gt;=0,Entry!$D1360&lt;1),RIGHT("00"&amp;HOUR(Entry!$D1360),2)&amp;":"&amp;RIGHT("00"&amp;MINUTE(Entry!$D1360),2),IFERROR(RIGHT("00"&amp;VALUE(TRIM(LEFT(Entry!$D1360,FIND(":",Entry!$D1360)-1))),2)&amp;":"&amp;RIGHT("00"&amp;VALUE(TRIM(MID(Entry!$D1360,FIND(":",Entry!$D1360)+1,2))),2),"نامعتبر")),IF(OR($E1360="",$E1360="نامعتبر"),"","00:00"))</f>
        <v/>
      </c>
      <c r="G1360">
        <f>IF(OR($E1360="",$E1360="نامعتبر"),"",IF(Entry!$E1360="","",LEFT(UPPER(TRIM(Entry!$E1360)),6)))</f>
        <v/>
      </c>
      <c r="H1360">
        <f>IF($G1360="","",RIGHT($E1360,4)&amp;MID($E1360,6,2)&amp;RIGHT($E1360,2)&amp;IF($F1360="","0000",IF($F1360="نامعتبر","9999",LEFT($F1360,2)&amp;RIGHT($F1360,2)))&amp;"|"&amp;RIGHT("00000"&amp;1352,5))</f>
        <v/>
      </c>
      <c r="I1360">
        <f>IF($H1360="","",COUNTIFS(CalcBank,$G1360,CalcKey,"&lt;"&amp;$H1360)+1)</f>
        <v/>
      </c>
      <c r="J1360">
        <f>IF($I1360="","",$G1360&amp;"|"&amp;RIGHT("000000"&amp;$I1360,6))</f>
        <v/>
      </c>
      <c r="K1360">
        <f>IF(OR($E1360="",$E1360="نامعتبر"),"",LEFT($E1360,4)&amp;"/"&amp;MID($E1360,6,2))</f>
        <v/>
      </c>
      <c r="L1360">
        <f>IF(Entry!$K1360="",0,Entry!$K1360)</f>
        <v/>
      </c>
      <c r="M1360">
        <f>IF(Entry!$L1360="",0,Entry!$L1360)</f>
        <v/>
      </c>
    </row>
    <row r="1361">
      <c r="A1361">
        <f>IF(Entry!$C1361="","",Entry!$C1361)</f>
        <v/>
      </c>
      <c r="B1361">
        <f>IF($A1361="","",IF(ISNUMBER($A1361),IF(AND($A1361&gt;=10000101,$A1361&lt;=99991231),INT($A1361/10000),""),IFERROR(VALUE(TRIM(LEFT($A1361,FIND("/",$A1361)-1))),"")))</f>
        <v/>
      </c>
      <c r="C1361">
        <f>IF(OR($A1361="",$B1361=""),"",IF(ISNUMBER($A1361),INT(MOD($A1361,10000)/100),IFERROR(VALUE(TRIM(LEFT(MID($A1361,FIND("/",$A1361)+1,20),FIND("/",MID($A1361,FIND("/",$A1361)+1,20))-1))),"")))</f>
        <v/>
      </c>
      <c r="D1361">
        <f>IF(OR($A1361="",$B1361=""),"",IF(ISNUMBER($A1361),MOD($A1361,100),IFERROR(VALUE(TRIM(MID(MID($A1361,FIND("/",$A1361)+1,20),FIND("/",MID($A1361,FIND("/",$A1361)+1,20))+1,20))),"")))</f>
        <v/>
      </c>
      <c r="E1361">
        <f>IF($A1361="","",IF(OR($B1361="",$C1361="",$D1361="",$B1361&lt;1300,$B1361&gt;1500,$C1361&lt;1,$C1361&gt;12,$D1361&lt;1,$D1361&gt;31),"نامعتبر",RIGHT("0000"&amp;$B1361,4)&amp;"/"&amp;RIGHT("00"&amp;$C1361,2)&amp;"/"&amp;RIGHT("00"&amp;$D1361,2)))</f>
        <v/>
      </c>
      <c r="F1361">
        <f>IF(Entry!$D1361&lt;&gt;"",IF(AND(ISNUMBER(Entry!$D1361),Entry!$D1361&gt;=0,Entry!$D1361&lt;1),RIGHT("00"&amp;HOUR(Entry!$D1361),2)&amp;":"&amp;RIGHT("00"&amp;MINUTE(Entry!$D1361),2),IFERROR(RIGHT("00"&amp;VALUE(TRIM(LEFT(Entry!$D1361,FIND(":",Entry!$D1361)-1))),2)&amp;":"&amp;RIGHT("00"&amp;VALUE(TRIM(MID(Entry!$D1361,FIND(":",Entry!$D1361)+1,2))),2),"نامعتبر")),IF(OR($E1361="",$E1361="نامعتبر"),"","00:00"))</f>
        <v/>
      </c>
      <c r="G1361">
        <f>IF(OR($E1361="",$E1361="نامعتبر"),"",IF(Entry!$E1361="","",LEFT(UPPER(TRIM(Entry!$E1361)),6)))</f>
        <v/>
      </c>
      <c r="H1361">
        <f>IF($G1361="","",RIGHT($E1361,4)&amp;MID($E1361,6,2)&amp;RIGHT($E1361,2)&amp;IF($F1361="","0000",IF($F1361="نامعتبر","9999",LEFT($F1361,2)&amp;RIGHT($F1361,2)))&amp;"|"&amp;RIGHT("00000"&amp;1353,5))</f>
        <v/>
      </c>
      <c r="I1361">
        <f>IF($H1361="","",COUNTIFS(CalcBank,$G1361,CalcKey,"&lt;"&amp;$H1361)+1)</f>
        <v/>
      </c>
      <c r="J1361">
        <f>IF($I1361="","",$G1361&amp;"|"&amp;RIGHT("000000"&amp;$I1361,6))</f>
        <v/>
      </c>
      <c r="K1361">
        <f>IF(OR($E1361="",$E1361="نامعتبر"),"",LEFT($E1361,4)&amp;"/"&amp;MID($E1361,6,2))</f>
        <v/>
      </c>
      <c r="L1361">
        <f>IF(Entry!$K1361="",0,Entry!$K1361)</f>
        <v/>
      </c>
      <c r="M1361">
        <f>IF(Entry!$L1361="",0,Entry!$L1361)</f>
        <v/>
      </c>
    </row>
    <row r="1362">
      <c r="A1362">
        <f>IF(Entry!$C1362="","",Entry!$C1362)</f>
        <v/>
      </c>
      <c r="B1362">
        <f>IF($A1362="","",IF(ISNUMBER($A1362),IF(AND($A1362&gt;=10000101,$A1362&lt;=99991231),INT($A1362/10000),""),IFERROR(VALUE(TRIM(LEFT($A1362,FIND("/",$A1362)-1))),"")))</f>
        <v/>
      </c>
      <c r="C1362">
        <f>IF(OR($A1362="",$B1362=""),"",IF(ISNUMBER($A1362),INT(MOD($A1362,10000)/100),IFERROR(VALUE(TRIM(LEFT(MID($A1362,FIND("/",$A1362)+1,20),FIND("/",MID($A1362,FIND("/",$A1362)+1,20))-1))),"")))</f>
        <v/>
      </c>
      <c r="D1362">
        <f>IF(OR($A1362="",$B1362=""),"",IF(ISNUMBER($A1362),MOD($A1362,100),IFERROR(VALUE(TRIM(MID(MID($A1362,FIND("/",$A1362)+1,20),FIND("/",MID($A1362,FIND("/",$A1362)+1,20))+1,20))),"")))</f>
        <v/>
      </c>
      <c r="E1362">
        <f>IF($A1362="","",IF(OR($B1362="",$C1362="",$D1362="",$B1362&lt;1300,$B1362&gt;1500,$C1362&lt;1,$C1362&gt;12,$D1362&lt;1,$D1362&gt;31),"نامعتبر",RIGHT("0000"&amp;$B1362,4)&amp;"/"&amp;RIGHT("00"&amp;$C1362,2)&amp;"/"&amp;RIGHT("00"&amp;$D1362,2)))</f>
        <v/>
      </c>
      <c r="F1362">
        <f>IF(Entry!$D1362&lt;&gt;"",IF(AND(ISNUMBER(Entry!$D1362),Entry!$D1362&gt;=0,Entry!$D1362&lt;1),RIGHT("00"&amp;HOUR(Entry!$D1362),2)&amp;":"&amp;RIGHT("00"&amp;MINUTE(Entry!$D1362),2),IFERROR(RIGHT("00"&amp;VALUE(TRIM(LEFT(Entry!$D1362,FIND(":",Entry!$D1362)-1))),2)&amp;":"&amp;RIGHT("00"&amp;VALUE(TRIM(MID(Entry!$D1362,FIND(":",Entry!$D1362)+1,2))),2),"نامعتبر")),IF(OR($E1362="",$E1362="نامعتبر"),"","00:00"))</f>
        <v/>
      </c>
      <c r="G1362">
        <f>IF(OR($E1362="",$E1362="نامعتبر"),"",IF(Entry!$E1362="","",LEFT(UPPER(TRIM(Entry!$E1362)),6)))</f>
        <v/>
      </c>
      <c r="H1362">
        <f>IF($G1362="","",RIGHT($E1362,4)&amp;MID($E1362,6,2)&amp;RIGHT($E1362,2)&amp;IF($F1362="","0000",IF($F1362="نامعتبر","9999",LEFT($F1362,2)&amp;RIGHT($F1362,2)))&amp;"|"&amp;RIGHT("00000"&amp;1354,5))</f>
        <v/>
      </c>
      <c r="I1362">
        <f>IF($H1362="","",COUNTIFS(CalcBank,$G1362,CalcKey,"&lt;"&amp;$H1362)+1)</f>
        <v/>
      </c>
      <c r="J1362">
        <f>IF($I1362="","",$G1362&amp;"|"&amp;RIGHT("000000"&amp;$I1362,6))</f>
        <v/>
      </c>
      <c r="K1362">
        <f>IF(OR($E1362="",$E1362="نامعتبر"),"",LEFT($E1362,4)&amp;"/"&amp;MID($E1362,6,2))</f>
        <v/>
      </c>
      <c r="L1362">
        <f>IF(Entry!$K1362="",0,Entry!$K1362)</f>
        <v/>
      </c>
      <c r="M1362">
        <f>IF(Entry!$L1362="",0,Entry!$L1362)</f>
        <v/>
      </c>
    </row>
    <row r="1363">
      <c r="A1363">
        <f>IF(Entry!$C1363="","",Entry!$C1363)</f>
        <v/>
      </c>
      <c r="B1363">
        <f>IF($A1363="","",IF(ISNUMBER($A1363),IF(AND($A1363&gt;=10000101,$A1363&lt;=99991231),INT($A1363/10000),""),IFERROR(VALUE(TRIM(LEFT($A1363,FIND("/",$A1363)-1))),"")))</f>
        <v/>
      </c>
      <c r="C1363">
        <f>IF(OR($A1363="",$B1363=""),"",IF(ISNUMBER($A1363),INT(MOD($A1363,10000)/100),IFERROR(VALUE(TRIM(LEFT(MID($A1363,FIND("/",$A1363)+1,20),FIND("/",MID($A1363,FIND("/",$A1363)+1,20))-1))),"")))</f>
        <v/>
      </c>
      <c r="D1363">
        <f>IF(OR($A1363="",$B1363=""),"",IF(ISNUMBER($A1363),MOD($A1363,100),IFERROR(VALUE(TRIM(MID(MID($A1363,FIND("/",$A1363)+1,20),FIND("/",MID($A1363,FIND("/",$A1363)+1,20))+1,20))),"")))</f>
        <v/>
      </c>
      <c r="E1363">
        <f>IF($A1363="","",IF(OR($B1363="",$C1363="",$D1363="",$B1363&lt;1300,$B1363&gt;1500,$C1363&lt;1,$C1363&gt;12,$D1363&lt;1,$D1363&gt;31),"نامعتبر",RIGHT("0000"&amp;$B1363,4)&amp;"/"&amp;RIGHT("00"&amp;$C1363,2)&amp;"/"&amp;RIGHT("00"&amp;$D1363,2)))</f>
        <v/>
      </c>
      <c r="F1363">
        <f>IF(Entry!$D1363&lt;&gt;"",IF(AND(ISNUMBER(Entry!$D1363),Entry!$D1363&gt;=0,Entry!$D1363&lt;1),RIGHT("00"&amp;HOUR(Entry!$D1363),2)&amp;":"&amp;RIGHT("00"&amp;MINUTE(Entry!$D1363),2),IFERROR(RIGHT("00"&amp;VALUE(TRIM(LEFT(Entry!$D1363,FIND(":",Entry!$D1363)-1))),2)&amp;":"&amp;RIGHT("00"&amp;VALUE(TRIM(MID(Entry!$D1363,FIND(":",Entry!$D1363)+1,2))),2),"نامعتبر")),IF(OR($E1363="",$E1363="نامعتبر"),"","00:00"))</f>
        <v/>
      </c>
      <c r="G1363">
        <f>IF(OR($E1363="",$E1363="نامعتبر"),"",IF(Entry!$E1363="","",LEFT(UPPER(TRIM(Entry!$E1363)),6)))</f>
        <v/>
      </c>
      <c r="H1363">
        <f>IF($G1363="","",RIGHT($E1363,4)&amp;MID($E1363,6,2)&amp;RIGHT($E1363,2)&amp;IF($F1363="","0000",IF($F1363="نامعتبر","9999",LEFT($F1363,2)&amp;RIGHT($F1363,2)))&amp;"|"&amp;RIGHT("00000"&amp;1355,5))</f>
        <v/>
      </c>
      <c r="I1363">
        <f>IF($H1363="","",COUNTIFS(CalcBank,$G1363,CalcKey,"&lt;"&amp;$H1363)+1)</f>
        <v/>
      </c>
      <c r="J1363">
        <f>IF($I1363="","",$G1363&amp;"|"&amp;RIGHT("000000"&amp;$I1363,6))</f>
        <v/>
      </c>
      <c r="K1363">
        <f>IF(OR($E1363="",$E1363="نامعتبر"),"",LEFT($E1363,4)&amp;"/"&amp;MID($E1363,6,2))</f>
        <v/>
      </c>
      <c r="L1363">
        <f>IF(Entry!$K1363="",0,Entry!$K1363)</f>
        <v/>
      </c>
      <c r="M1363">
        <f>IF(Entry!$L1363="",0,Entry!$L1363)</f>
        <v/>
      </c>
    </row>
    <row r="1364">
      <c r="A1364">
        <f>IF(Entry!$C1364="","",Entry!$C1364)</f>
        <v/>
      </c>
      <c r="B1364">
        <f>IF($A1364="","",IF(ISNUMBER($A1364),IF(AND($A1364&gt;=10000101,$A1364&lt;=99991231),INT($A1364/10000),""),IFERROR(VALUE(TRIM(LEFT($A1364,FIND("/",$A1364)-1))),"")))</f>
        <v/>
      </c>
      <c r="C1364">
        <f>IF(OR($A1364="",$B1364=""),"",IF(ISNUMBER($A1364),INT(MOD($A1364,10000)/100),IFERROR(VALUE(TRIM(LEFT(MID($A1364,FIND("/",$A1364)+1,20),FIND("/",MID($A1364,FIND("/",$A1364)+1,20))-1))),"")))</f>
        <v/>
      </c>
      <c r="D1364">
        <f>IF(OR($A1364="",$B1364=""),"",IF(ISNUMBER($A1364),MOD($A1364,100),IFERROR(VALUE(TRIM(MID(MID($A1364,FIND("/",$A1364)+1,20),FIND("/",MID($A1364,FIND("/",$A1364)+1,20))+1,20))),"")))</f>
        <v/>
      </c>
      <c r="E1364">
        <f>IF($A1364="","",IF(OR($B1364="",$C1364="",$D1364="",$B1364&lt;1300,$B1364&gt;1500,$C1364&lt;1,$C1364&gt;12,$D1364&lt;1,$D1364&gt;31),"نامعتبر",RIGHT("0000"&amp;$B1364,4)&amp;"/"&amp;RIGHT("00"&amp;$C1364,2)&amp;"/"&amp;RIGHT("00"&amp;$D1364,2)))</f>
        <v/>
      </c>
      <c r="F1364">
        <f>IF(Entry!$D1364&lt;&gt;"",IF(AND(ISNUMBER(Entry!$D1364),Entry!$D1364&gt;=0,Entry!$D1364&lt;1),RIGHT("00"&amp;HOUR(Entry!$D1364),2)&amp;":"&amp;RIGHT("00"&amp;MINUTE(Entry!$D1364),2),IFERROR(RIGHT("00"&amp;VALUE(TRIM(LEFT(Entry!$D1364,FIND(":",Entry!$D1364)-1))),2)&amp;":"&amp;RIGHT("00"&amp;VALUE(TRIM(MID(Entry!$D1364,FIND(":",Entry!$D1364)+1,2))),2),"نامعتبر")),IF(OR($E1364="",$E1364="نامعتبر"),"","00:00"))</f>
        <v/>
      </c>
      <c r="G1364">
        <f>IF(OR($E1364="",$E1364="نامعتبر"),"",IF(Entry!$E1364="","",LEFT(UPPER(TRIM(Entry!$E1364)),6)))</f>
        <v/>
      </c>
      <c r="H1364">
        <f>IF($G1364="","",RIGHT($E1364,4)&amp;MID($E1364,6,2)&amp;RIGHT($E1364,2)&amp;IF($F1364="","0000",IF($F1364="نامعتبر","9999",LEFT($F1364,2)&amp;RIGHT($F1364,2)))&amp;"|"&amp;RIGHT("00000"&amp;1356,5))</f>
        <v/>
      </c>
      <c r="I1364">
        <f>IF($H1364="","",COUNTIFS(CalcBank,$G1364,CalcKey,"&lt;"&amp;$H1364)+1)</f>
        <v/>
      </c>
      <c r="J1364">
        <f>IF($I1364="","",$G1364&amp;"|"&amp;RIGHT("000000"&amp;$I1364,6))</f>
        <v/>
      </c>
      <c r="K1364">
        <f>IF(OR($E1364="",$E1364="نامعتبر"),"",LEFT($E1364,4)&amp;"/"&amp;MID($E1364,6,2))</f>
        <v/>
      </c>
      <c r="L1364">
        <f>IF(Entry!$K1364="",0,Entry!$K1364)</f>
        <v/>
      </c>
      <c r="M1364">
        <f>IF(Entry!$L1364="",0,Entry!$L1364)</f>
        <v/>
      </c>
    </row>
    <row r="1365">
      <c r="A1365">
        <f>IF(Entry!$C1365="","",Entry!$C1365)</f>
        <v/>
      </c>
      <c r="B1365">
        <f>IF($A1365="","",IF(ISNUMBER($A1365),IF(AND($A1365&gt;=10000101,$A1365&lt;=99991231),INT($A1365/10000),""),IFERROR(VALUE(TRIM(LEFT($A1365,FIND("/",$A1365)-1))),"")))</f>
        <v/>
      </c>
      <c r="C1365">
        <f>IF(OR($A1365="",$B1365=""),"",IF(ISNUMBER($A1365),INT(MOD($A1365,10000)/100),IFERROR(VALUE(TRIM(LEFT(MID($A1365,FIND("/",$A1365)+1,20),FIND("/",MID($A1365,FIND("/",$A1365)+1,20))-1))),"")))</f>
        <v/>
      </c>
      <c r="D1365">
        <f>IF(OR($A1365="",$B1365=""),"",IF(ISNUMBER($A1365),MOD($A1365,100),IFERROR(VALUE(TRIM(MID(MID($A1365,FIND("/",$A1365)+1,20),FIND("/",MID($A1365,FIND("/",$A1365)+1,20))+1,20))),"")))</f>
        <v/>
      </c>
      <c r="E1365">
        <f>IF($A1365="","",IF(OR($B1365="",$C1365="",$D1365="",$B1365&lt;1300,$B1365&gt;1500,$C1365&lt;1,$C1365&gt;12,$D1365&lt;1,$D1365&gt;31),"نامعتبر",RIGHT("0000"&amp;$B1365,4)&amp;"/"&amp;RIGHT("00"&amp;$C1365,2)&amp;"/"&amp;RIGHT("00"&amp;$D1365,2)))</f>
        <v/>
      </c>
      <c r="F1365">
        <f>IF(Entry!$D1365&lt;&gt;"",IF(AND(ISNUMBER(Entry!$D1365),Entry!$D1365&gt;=0,Entry!$D1365&lt;1),RIGHT("00"&amp;HOUR(Entry!$D1365),2)&amp;":"&amp;RIGHT("00"&amp;MINUTE(Entry!$D1365),2),IFERROR(RIGHT("00"&amp;VALUE(TRIM(LEFT(Entry!$D1365,FIND(":",Entry!$D1365)-1))),2)&amp;":"&amp;RIGHT("00"&amp;VALUE(TRIM(MID(Entry!$D1365,FIND(":",Entry!$D1365)+1,2))),2),"نامعتبر")),IF(OR($E1365="",$E1365="نامعتبر"),"","00:00"))</f>
        <v/>
      </c>
      <c r="G1365">
        <f>IF(OR($E1365="",$E1365="نامعتبر"),"",IF(Entry!$E1365="","",LEFT(UPPER(TRIM(Entry!$E1365)),6)))</f>
        <v/>
      </c>
      <c r="H1365">
        <f>IF($G1365="","",RIGHT($E1365,4)&amp;MID($E1365,6,2)&amp;RIGHT($E1365,2)&amp;IF($F1365="","0000",IF($F1365="نامعتبر","9999",LEFT($F1365,2)&amp;RIGHT($F1365,2)))&amp;"|"&amp;RIGHT("00000"&amp;1357,5))</f>
        <v/>
      </c>
      <c r="I1365">
        <f>IF($H1365="","",COUNTIFS(CalcBank,$G1365,CalcKey,"&lt;"&amp;$H1365)+1)</f>
        <v/>
      </c>
      <c r="J1365">
        <f>IF($I1365="","",$G1365&amp;"|"&amp;RIGHT("000000"&amp;$I1365,6))</f>
        <v/>
      </c>
      <c r="K1365">
        <f>IF(OR($E1365="",$E1365="نامعتبر"),"",LEFT($E1365,4)&amp;"/"&amp;MID($E1365,6,2))</f>
        <v/>
      </c>
      <c r="L1365">
        <f>IF(Entry!$K1365="",0,Entry!$K1365)</f>
        <v/>
      </c>
      <c r="M1365">
        <f>IF(Entry!$L1365="",0,Entry!$L1365)</f>
        <v/>
      </c>
    </row>
    <row r="1366">
      <c r="A1366">
        <f>IF(Entry!$C1366="","",Entry!$C1366)</f>
        <v/>
      </c>
      <c r="B1366">
        <f>IF($A1366="","",IF(ISNUMBER($A1366),IF(AND($A1366&gt;=10000101,$A1366&lt;=99991231),INT($A1366/10000),""),IFERROR(VALUE(TRIM(LEFT($A1366,FIND("/",$A1366)-1))),"")))</f>
        <v/>
      </c>
      <c r="C1366">
        <f>IF(OR($A1366="",$B1366=""),"",IF(ISNUMBER($A1366),INT(MOD($A1366,10000)/100),IFERROR(VALUE(TRIM(LEFT(MID($A1366,FIND("/",$A1366)+1,20),FIND("/",MID($A1366,FIND("/",$A1366)+1,20))-1))),"")))</f>
        <v/>
      </c>
      <c r="D1366">
        <f>IF(OR($A1366="",$B1366=""),"",IF(ISNUMBER($A1366),MOD($A1366,100),IFERROR(VALUE(TRIM(MID(MID($A1366,FIND("/",$A1366)+1,20),FIND("/",MID($A1366,FIND("/",$A1366)+1,20))+1,20))),"")))</f>
        <v/>
      </c>
      <c r="E1366">
        <f>IF($A1366="","",IF(OR($B1366="",$C1366="",$D1366="",$B1366&lt;1300,$B1366&gt;1500,$C1366&lt;1,$C1366&gt;12,$D1366&lt;1,$D1366&gt;31),"نامعتبر",RIGHT("0000"&amp;$B1366,4)&amp;"/"&amp;RIGHT("00"&amp;$C1366,2)&amp;"/"&amp;RIGHT("00"&amp;$D1366,2)))</f>
        <v/>
      </c>
      <c r="F1366">
        <f>IF(Entry!$D1366&lt;&gt;"",IF(AND(ISNUMBER(Entry!$D1366),Entry!$D1366&gt;=0,Entry!$D1366&lt;1),RIGHT("00"&amp;HOUR(Entry!$D1366),2)&amp;":"&amp;RIGHT("00"&amp;MINUTE(Entry!$D1366),2),IFERROR(RIGHT("00"&amp;VALUE(TRIM(LEFT(Entry!$D1366,FIND(":",Entry!$D1366)-1))),2)&amp;":"&amp;RIGHT("00"&amp;VALUE(TRIM(MID(Entry!$D1366,FIND(":",Entry!$D1366)+1,2))),2),"نامعتبر")),IF(OR($E1366="",$E1366="نامعتبر"),"","00:00"))</f>
        <v/>
      </c>
      <c r="G1366">
        <f>IF(OR($E1366="",$E1366="نامعتبر"),"",IF(Entry!$E1366="","",LEFT(UPPER(TRIM(Entry!$E1366)),6)))</f>
        <v/>
      </c>
      <c r="H1366">
        <f>IF($G1366="","",RIGHT($E1366,4)&amp;MID($E1366,6,2)&amp;RIGHT($E1366,2)&amp;IF($F1366="","0000",IF($F1366="نامعتبر","9999",LEFT($F1366,2)&amp;RIGHT($F1366,2)))&amp;"|"&amp;RIGHT("00000"&amp;1358,5))</f>
        <v/>
      </c>
      <c r="I1366">
        <f>IF($H1366="","",COUNTIFS(CalcBank,$G1366,CalcKey,"&lt;"&amp;$H1366)+1)</f>
        <v/>
      </c>
      <c r="J1366">
        <f>IF($I1366="","",$G1366&amp;"|"&amp;RIGHT("000000"&amp;$I1366,6))</f>
        <v/>
      </c>
      <c r="K1366">
        <f>IF(OR($E1366="",$E1366="نامعتبر"),"",LEFT($E1366,4)&amp;"/"&amp;MID($E1366,6,2))</f>
        <v/>
      </c>
      <c r="L1366">
        <f>IF(Entry!$K1366="",0,Entry!$K1366)</f>
        <v/>
      </c>
      <c r="M1366">
        <f>IF(Entry!$L1366="",0,Entry!$L1366)</f>
        <v/>
      </c>
    </row>
    <row r="1367">
      <c r="A1367">
        <f>IF(Entry!$C1367="","",Entry!$C1367)</f>
        <v/>
      </c>
      <c r="B1367">
        <f>IF($A1367="","",IF(ISNUMBER($A1367),IF(AND($A1367&gt;=10000101,$A1367&lt;=99991231),INT($A1367/10000),""),IFERROR(VALUE(TRIM(LEFT($A1367,FIND("/",$A1367)-1))),"")))</f>
        <v/>
      </c>
      <c r="C1367">
        <f>IF(OR($A1367="",$B1367=""),"",IF(ISNUMBER($A1367),INT(MOD($A1367,10000)/100),IFERROR(VALUE(TRIM(LEFT(MID($A1367,FIND("/",$A1367)+1,20),FIND("/",MID($A1367,FIND("/",$A1367)+1,20))-1))),"")))</f>
        <v/>
      </c>
      <c r="D1367">
        <f>IF(OR($A1367="",$B1367=""),"",IF(ISNUMBER($A1367),MOD($A1367,100),IFERROR(VALUE(TRIM(MID(MID($A1367,FIND("/",$A1367)+1,20),FIND("/",MID($A1367,FIND("/",$A1367)+1,20))+1,20))),"")))</f>
        <v/>
      </c>
      <c r="E1367">
        <f>IF($A1367="","",IF(OR($B1367="",$C1367="",$D1367="",$B1367&lt;1300,$B1367&gt;1500,$C1367&lt;1,$C1367&gt;12,$D1367&lt;1,$D1367&gt;31),"نامعتبر",RIGHT("0000"&amp;$B1367,4)&amp;"/"&amp;RIGHT("00"&amp;$C1367,2)&amp;"/"&amp;RIGHT("00"&amp;$D1367,2)))</f>
        <v/>
      </c>
      <c r="F1367">
        <f>IF(Entry!$D1367&lt;&gt;"",IF(AND(ISNUMBER(Entry!$D1367),Entry!$D1367&gt;=0,Entry!$D1367&lt;1),RIGHT("00"&amp;HOUR(Entry!$D1367),2)&amp;":"&amp;RIGHT("00"&amp;MINUTE(Entry!$D1367),2),IFERROR(RIGHT("00"&amp;VALUE(TRIM(LEFT(Entry!$D1367,FIND(":",Entry!$D1367)-1))),2)&amp;":"&amp;RIGHT("00"&amp;VALUE(TRIM(MID(Entry!$D1367,FIND(":",Entry!$D1367)+1,2))),2),"نامعتبر")),IF(OR($E1367="",$E1367="نامعتبر"),"","00:00"))</f>
        <v/>
      </c>
      <c r="G1367">
        <f>IF(OR($E1367="",$E1367="نامعتبر"),"",IF(Entry!$E1367="","",LEFT(UPPER(TRIM(Entry!$E1367)),6)))</f>
        <v/>
      </c>
      <c r="H1367">
        <f>IF($G1367="","",RIGHT($E1367,4)&amp;MID($E1367,6,2)&amp;RIGHT($E1367,2)&amp;IF($F1367="","0000",IF($F1367="نامعتبر","9999",LEFT($F1367,2)&amp;RIGHT($F1367,2)))&amp;"|"&amp;RIGHT("00000"&amp;1359,5))</f>
        <v/>
      </c>
      <c r="I1367">
        <f>IF($H1367="","",COUNTIFS(CalcBank,$G1367,CalcKey,"&lt;"&amp;$H1367)+1)</f>
        <v/>
      </c>
      <c r="J1367">
        <f>IF($I1367="","",$G1367&amp;"|"&amp;RIGHT("000000"&amp;$I1367,6))</f>
        <v/>
      </c>
      <c r="K1367">
        <f>IF(OR($E1367="",$E1367="نامعتبر"),"",LEFT($E1367,4)&amp;"/"&amp;MID($E1367,6,2))</f>
        <v/>
      </c>
      <c r="L1367">
        <f>IF(Entry!$K1367="",0,Entry!$K1367)</f>
        <v/>
      </c>
      <c r="M1367">
        <f>IF(Entry!$L1367="",0,Entry!$L1367)</f>
        <v/>
      </c>
    </row>
    <row r="1368">
      <c r="A1368">
        <f>IF(Entry!$C1368="","",Entry!$C1368)</f>
        <v/>
      </c>
      <c r="B1368">
        <f>IF($A1368="","",IF(ISNUMBER($A1368),IF(AND($A1368&gt;=10000101,$A1368&lt;=99991231),INT($A1368/10000),""),IFERROR(VALUE(TRIM(LEFT($A1368,FIND("/",$A1368)-1))),"")))</f>
        <v/>
      </c>
      <c r="C1368">
        <f>IF(OR($A1368="",$B1368=""),"",IF(ISNUMBER($A1368),INT(MOD($A1368,10000)/100),IFERROR(VALUE(TRIM(LEFT(MID($A1368,FIND("/",$A1368)+1,20),FIND("/",MID($A1368,FIND("/",$A1368)+1,20))-1))),"")))</f>
        <v/>
      </c>
      <c r="D1368">
        <f>IF(OR($A1368="",$B1368=""),"",IF(ISNUMBER($A1368),MOD($A1368,100),IFERROR(VALUE(TRIM(MID(MID($A1368,FIND("/",$A1368)+1,20),FIND("/",MID($A1368,FIND("/",$A1368)+1,20))+1,20))),"")))</f>
        <v/>
      </c>
      <c r="E1368">
        <f>IF($A1368="","",IF(OR($B1368="",$C1368="",$D1368="",$B1368&lt;1300,$B1368&gt;1500,$C1368&lt;1,$C1368&gt;12,$D1368&lt;1,$D1368&gt;31),"نامعتبر",RIGHT("0000"&amp;$B1368,4)&amp;"/"&amp;RIGHT("00"&amp;$C1368,2)&amp;"/"&amp;RIGHT("00"&amp;$D1368,2)))</f>
        <v/>
      </c>
      <c r="F1368">
        <f>IF(Entry!$D1368&lt;&gt;"",IF(AND(ISNUMBER(Entry!$D1368),Entry!$D1368&gt;=0,Entry!$D1368&lt;1),RIGHT("00"&amp;HOUR(Entry!$D1368),2)&amp;":"&amp;RIGHT("00"&amp;MINUTE(Entry!$D1368),2),IFERROR(RIGHT("00"&amp;VALUE(TRIM(LEFT(Entry!$D1368,FIND(":",Entry!$D1368)-1))),2)&amp;":"&amp;RIGHT("00"&amp;VALUE(TRIM(MID(Entry!$D1368,FIND(":",Entry!$D1368)+1,2))),2),"نامعتبر")),IF(OR($E1368="",$E1368="نامعتبر"),"","00:00"))</f>
        <v/>
      </c>
      <c r="G1368">
        <f>IF(OR($E1368="",$E1368="نامعتبر"),"",IF(Entry!$E1368="","",LEFT(UPPER(TRIM(Entry!$E1368)),6)))</f>
        <v/>
      </c>
      <c r="H1368">
        <f>IF($G1368="","",RIGHT($E1368,4)&amp;MID($E1368,6,2)&amp;RIGHT($E1368,2)&amp;IF($F1368="","0000",IF($F1368="نامعتبر","9999",LEFT($F1368,2)&amp;RIGHT($F1368,2)))&amp;"|"&amp;RIGHT("00000"&amp;1360,5))</f>
        <v/>
      </c>
      <c r="I1368">
        <f>IF($H1368="","",COUNTIFS(CalcBank,$G1368,CalcKey,"&lt;"&amp;$H1368)+1)</f>
        <v/>
      </c>
      <c r="J1368">
        <f>IF($I1368="","",$G1368&amp;"|"&amp;RIGHT("000000"&amp;$I1368,6))</f>
        <v/>
      </c>
      <c r="K1368">
        <f>IF(OR($E1368="",$E1368="نامعتبر"),"",LEFT($E1368,4)&amp;"/"&amp;MID($E1368,6,2))</f>
        <v/>
      </c>
      <c r="L1368">
        <f>IF(Entry!$K1368="",0,Entry!$K1368)</f>
        <v/>
      </c>
      <c r="M1368">
        <f>IF(Entry!$L1368="",0,Entry!$L1368)</f>
        <v/>
      </c>
    </row>
    <row r="1369">
      <c r="A1369">
        <f>IF(Entry!$C1369="","",Entry!$C1369)</f>
        <v/>
      </c>
      <c r="B1369">
        <f>IF($A1369="","",IF(ISNUMBER($A1369),IF(AND($A1369&gt;=10000101,$A1369&lt;=99991231),INT($A1369/10000),""),IFERROR(VALUE(TRIM(LEFT($A1369,FIND("/",$A1369)-1))),"")))</f>
        <v/>
      </c>
      <c r="C1369">
        <f>IF(OR($A1369="",$B1369=""),"",IF(ISNUMBER($A1369),INT(MOD($A1369,10000)/100),IFERROR(VALUE(TRIM(LEFT(MID($A1369,FIND("/",$A1369)+1,20),FIND("/",MID($A1369,FIND("/",$A1369)+1,20))-1))),"")))</f>
        <v/>
      </c>
      <c r="D1369">
        <f>IF(OR($A1369="",$B1369=""),"",IF(ISNUMBER($A1369),MOD($A1369,100),IFERROR(VALUE(TRIM(MID(MID($A1369,FIND("/",$A1369)+1,20),FIND("/",MID($A1369,FIND("/",$A1369)+1,20))+1,20))),"")))</f>
        <v/>
      </c>
      <c r="E1369">
        <f>IF($A1369="","",IF(OR($B1369="",$C1369="",$D1369="",$B1369&lt;1300,$B1369&gt;1500,$C1369&lt;1,$C1369&gt;12,$D1369&lt;1,$D1369&gt;31),"نامعتبر",RIGHT("0000"&amp;$B1369,4)&amp;"/"&amp;RIGHT("00"&amp;$C1369,2)&amp;"/"&amp;RIGHT("00"&amp;$D1369,2)))</f>
        <v/>
      </c>
      <c r="F1369">
        <f>IF(Entry!$D1369&lt;&gt;"",IF(AND(ISNUMBER(Entry!$D1369),Entry!$D1369&gt;=0,Entry!$D1369&lt;1),RIGHT("00"&amp;HOUR(Entry!$D1369),2)&amp;":"&amp;RIGHT("00"&amp;MINUTE(Entry!$D1369),2),IFERROR(RIGHT("00"&amp;VALUE(TRIM(LEFT(Entry!$D1369,FIND(":",Entry!$D1369)-1))),2)&amp;":"&amp;RIGHT("00"&amp;VALUE(TRIM(MID(Entry!$D1369,FIND(":",Entry!$D1369)+1,2))),2),"نامعتبر")),IF(OR($E1369="",$E1369="نامعتبر"),"","00:00"))</f>
        <v/>
      </c>
      <c r="G1369">
        <f>IF(OR($E1369="",$E1369="نامعتبر"),"",IF(Entry!$E1369="","",LEFT(UPPER(TRIM(Entry!$E1369)),6)))</f>
        <v/>
      </c>
      <c r="H1369">
        <f>IF($G1369="","",RIGHT($E1369,4)&amp;MID($E1369,6,2)&amp;RIGHT($E1369,2)&amp;IF($F1369="","0000",IF($F1369="نامعتبر","9999",LEFT($F1369,2)&amp;RIGHT($F1369,2)))&amp;"|"&amp;RIGHT("00000"&amp;1361,5))</f>
        <v/>
      </c>
      <c r="I1369">
        <f>IF($H1369="","",COUNTIFS(CalcBank,$G1369,CalcKey,"&lt;"&amp;$H1369)+1)</f>
        <v/>
      </c>
      <c r="J1369">
        <f>IF($I1369="","",$G1369&amp;"|"&amp;RIGHT("000000"&amp;$I1369,6))</f>
        <v/>
      </c>
      <c r="K1369">
        <f>IF(OR($E1369="",$E1369="نامعتبر"),"",LEFT($E1369,4)&amp;"/"&amp;MID($E1369,6,2))</f>
        <v/>
      </c>
      <c r="L1369">
        <f>IF(Entry!$K1369="",0,Entry!$K1369)</f>
        <v/>
      </c>
      <c r="M1369">
        <f>IF(Entry!$L1369="",0,Entry!$L1369)</f>
        <v/>
      </c>
    </row>
    <row r="1370">
      <c r="A1370">
        <f>IF(Entry!$C1370="","",Entry!$C1370)</f>
        <v/>
      </c>
      <c r="B1370">
        <f>IF($A1370="","",IF(ISNUMBER($A1370),IF(AND($A1370&gt;=10000101,$A1370&lt;=99991231),INT($A1370/10000),""),IFERROR(VALUE(TRIM(LEFT($A1370,FIND("/",$A1370)-1))),"")))</f>
        <v/>
      </c>
      <c r="C1370">
        <f>IF(OR($A1370="",$B1370=""),"",IF(ISNUMBER($A1370),INT(MOD($A1370,10000)/100),IFERROR(VALUE(TRIM(LEFT(MID($A1370,FIND("/",$A1370)+1,20),FIND("/",MID($A1370,FIND("/",$A1370)+1,20))-1))),"")))</f>
        <v/>
      </c>
      <c r="D1370">
        <f>IF(OR($A1370="",$B1370=""),"",IF(ISNUMBER($A1370),MOD($A1370,100),IFERROR(VALUE(TRIM(MID(MID($A1370,FIND("/",$A1370)+1,20),FIND("/",MID($A1370,FIND("/",$A1370)+1,20))+1,20))),"")))</f>
        <v/>
      </c>
      <c r="E1370">
        <f>IF($A1370="","",IF(OR($B1370="",$C1370="",$D1370="",$B1370&lt;1300,$B1370&gt;1500,$C1370&lt;1,$C1370&gt;12,$D1370&lt;1,$D1370&gt;31),"نامعتبر",RIGHT("0000"&amp;$B1370,4)&amp;"/"&amp;RIGHT("00"&amp;$C1370,2)&amp;"/"&amp;RIGHT("00"&amp;$D1370,2)))</f>
        <v/>
      </c>
      <c r="F1370">
        <f>IF(Entry!$D1370&lt;&gt;"",IF(AND(ISNUMBER(Entry!$D1370),Entry!$D1370&gt;=0,Entry!$D1370&lt;1),RIGHT("00"&amp;HOUR(Entry!$D1370),2)&amp;":"&amp;RIGHT("00"&amp;MINUTE(Entry!$D1370),2),IFERROR(RIGHT("00"&amp;VALUE(TRIM(LEFT(Entry!$D1370,FIND(":",Entry!$D1370)-1))),2)&amp;":"&amp;RIGHT("00"&amp;VALUE(TRIM(MID(Entry!$D1370,FIND(":",Entry!$D1370)+1,2))),2),"نامعتبر")),IF(OR($E1370="",$E1370="نامعتبر"),"","00:00"))</f>
        <v/>
      </c>
      <c r="G1370">
        <f>IF(OR($E1370="",$E1370="نامعتبر"),"",IF(Entry!$E1370="","",LEFT(UPPER(TRIM(Entry!$E1370)),6)))</f>
        <v/>
      </c>
      <c r="H1370">
        <f>IF($G1370="","",RIGHT($E1370,4)&amp;MID($E1370,6,2)&amp;RIGHT($E1370,2)&amp;IF($F1370="","0000",IF($F1370="نامعتبر","9999",LEFT($F1370,2)&amp;RIGHT($F1370,2)))&amp;"|"&amp;RIGHT("00000"&amp;1362,5))</f>
        <v/>
      </c>
      <c r="I1370">
        <f>IF($H1370="","",COUNTIFS(CalcBank,$G1370,CalcKey,"&lt;"&amp;$H1370)+1)</f>
        <v/>
      </c>
      <c r="J1370">
        <f>IF($I1370="","",$G1370&amp;"|"&amp;RIGHT("000000"&amp;$I1370,6))</f>
        <v/>
      </c>
      <c r="K1370">
        <f>IF(OR($E1370="",$E1370="نامعتبر"),"",LEFT($E1370,4)&amp;"/"&amp;MID($E1370,6,2))</f>
        <v/>
      </c>
      <c r="L1370">
        <f>IF(Entry!$K1370="",0,Entry!$K1370)</f>
        <v/>
      </c>
      <c r="M1370">
        <f>IF(Entry!$L1370="",0,Entry!$L1370)</f>
        <v/>
      </c>
    </row>
    <row r="1371">
      <c r="A1371">
        <f>IF(Entry!$C1371="","",Entry!$C1371)</f>
        <v/>
      </c>
      <c r="B1371">
        <f>IF($A1371="","",IF(ISNUMBER($A1371),IF(AND($A1371&gt;=10000101,$A1371&lt;=99991231),INT($A1371/10000),""),IFERROR(VALUE(TRIM(LEFT($A1371,FIND("/",$A1371)-1))),"")))</f>
        <v/>
      </c>
      <c r="C1371">
        <f>IF(OR($A1371="",$B1371=""),"",IF(ISNUMBER($A1371),INT(MOD($A1371,10000)/100),IFERROR(VALUE(TRIM(LEFT(MID($A1371,FIND("/",$A1371)+1,20),FIND("/",MID($A1371,FIND("/",$A1371)+1,20))-1))),"")))</f>
        <v/>
      </c>
      <c r="D1371">
        <f>IF(OR($A1371="",$B1371=""),"",IF(ISNUMBER($A1371),MOD($A1371,100),IFERROR(VALUE(TRIM(MID(MID($A1371,FIND("/",$A1371)+1,20),FIND("/",MID($A1371,FIND("/",$A1371)+1,20))+1,20))),"")))</f>
        <v/>
      </c>
      <c r="E1371">
        <f>IF($A1371="","",IF(OR($B1371="",$C1371="",$D1371="",$B1371&lt;1300,$B1371&gt;1500,$C1371&lt;1,$C1371&gt;12,$D1371&lt;1,$D1371&gt;31),"نامعتبر",RIGHT("0000"&amp;$B1371,4)&amp;"/"&amp;RIGHT("00"&amp;$C1371,2)&amp;"/"&amp;RIGHT("00"&amp;$D1371,2)))</f>
        <v/>
      </c>
      <c r="F1371">
        <f>IF(Entry!$D1371&lt;&gt;"",IF(AND(ISNUMBER(Entry!$D1371),Entry!$D1371&gt;=0,Entry!$D1371&lt;1),RIGHT("00"&amp;HOUR(Entry!$D1371),2)&amp;":"&amp;RIGHT("00"&amp;MINUTE(Entry!$D1371),2),IFERROR(RIGHT("00"&amp;VALUE(TRIM(LEFT(Entry!$D1371,FIND(":",Entry!$D1371)-1))),2)&amp;":"&amp;RIGHT("00"&amp;VALUE(TRIM(MID(Entry!$D1371,FIND(":",Entry!$D1371)+1,2))),2),"نامعتبر")),IF(OR($E1371="",$E1371="نامعتبر"),"","00:00"))</f>
        <v/>
      </c>
      <c r="G1371">
        <f>IF(OR($E1371="",$E1371="نامعتبر"),"",IF(Entry!$E1371="","",LEFT(UPPER(TRIM(Entry!$E1371)),6)))</f>
        <v/>
      </c>
      <c r="H1371">
        <f>IF($G1371="","",RIGHT($E1371,4)&amp;MID($E1371,6,2)&amp;RIGHT($E1371,2)&amp;IF($F1371="","0000",IF($F1371="نامعتبر","9999",LEFT($F1371,2)&amp;RIGHT($F1371,2)))&amp;"|"&amp;RIGHT("00000"&amp;1363,5))</f>
        <v/>
      </c>
      <c r="I1371">
        <f>IF($H1371="","",COUNTIFS(CalcBank,$G1371,CalcKey,"&lt;"&amp;$H1371)+1)</f>
        <v/>
      </c>
      <c r="J1371">
        <f>IF($I1371="","",$G1371&amp;"|"&amp;RIGHT("000000"&amp;$I1371,6))</f>
        <v/>
      </c>
      <c r="K1371">
        <f>IF(OR($E1371="",$E1371="نامعتبر"),"",LEFT($E1371,4)&amp;"/"&amp;MID($E1371,6,2))</f>
        <v/>
      </c>
      <c r="L1371">
        <f>IF(Entry!$K1371="",0,Entry!$K1371)</f>
        <v/>
      </c>
      <c r="M1371">
        <f>IF(Entry!$L1371="",0,Entry!$L1371)</f>
        <v/>
      </c>
    </row>
    <row r="1372">
      <c r="A1372">
        <f>IF(Entry!$C1372="","",Entry!$C1372)</f>
        <v/>
      </c>
      <c r="B1372">
        <f>IF($A1372="","",IF(ISNUMBER($A1372),IF(AND($A1372&gt;=10000101,$A1372&lt;=99991231),INT($A1372/10000),""),IFERROR(VALUE(TRIM(LEFT($A1372,FIND("/",$A1372)-1))),"")))</f>
        <v/>
      </c>
      <c r="C1372">
        <f>IF(OR($A1372="",$B1372=""),"",IF(ISNUMBER($A1372),INT(MOD($A1372,10000)/100),IFERROR(VALUE(TRIM(LEFT(MID($A1372,FIND("/",$A1372)+1,20),FIND("/",MID($A1372,FIND("/",$A1372)+1,20))-1))),"")))</f>
        <v/>
      </c>
      <c r="D1372">
        <f>IF(OR($A1372="",$B1372=""),"",IF(ISNUMBER($A1372),MOD($A1372,100),IFERROR(VALUE(TRIM(MID(MID($A1372,FIND("/",$A1372)+1,20),FIND("/",MID($A1372,FIND("/",$A1372)+1,20))+1,20))),"")))</f>
        <v/>
      </c>
      <c r="E1372">
        <f>IF($A1372="","",IF(OR($B1372="",$C1372="",$D1372="",$B1372&lt;1300,$B1372&gt;1500,$C1372&lt;1,$C1372&gt;12,$D1372&lt;1,$D1372&gt;31),"نامعتبر",RIGHT("0000"&amp;$B1372,4)&amp;"/"&amp;RIGHT("00"&amp;$C1372,2)&amp;"/"&amp;RIGHT("00"&amp;$D1372,2)))</f>
        <v/>
      </c>
      <c r="F1372">
        <f>IF(Entry!$D1372&lt;&gt;"",IF(AND(ISNUMBER(Entry!$D1372),Entry!$D1372&gt;=0,Entry!$D1372&lt;1),RIGHT("00"&amp;HOUR(Entry!$D1372),2)&amp;":"&amp;RIGHT("00"&amp;MINUTE(Entry!$D1372),2),IFERROR(RIGHT("00"&amp;VALUE(TRIM(LEFT(Entry!$D1372,FIND(":",Entry!$D1372)-1))),2)&amp;":"&amp;RIGHT("00"&amp;VALUE(TRIM(MID(Entry!$D1372,FIND(":",Entry!$D1372)+1,2))),2),"نامعتبر")),IF(OR($E1372="",$E1372="نامعتبر"),"","00:00"))</f>
        <v/>
      </c>
      <c r="G1372">
        <f>IF(OR($E1372="",$E1372="نامعتبر"),"",IF(Entry!$E1372="","",LEFT(UPPER(TRIM(Entry!$E1372)),6)))</f>
        <v/>
      </c>
      <c r="H1372">
        <f>IF($G1372="","",RIGHT($E1372,4)&amp;MID($E1372,6,2)&amp;RIGHT($E1372,2)&amp;IF($F1372="","0000",IF($F1372="نامعتبر","9999",LEFT($F1372,2)&amp;RIGHT($F1372,2)))&amp;"|"&amp;RIGHT("00000"&amp;1364,5))</f>
        <v/>
      </c>
      <c r="I1372">
        <f>IF($H1372="","",COUNTIFS(CalcBank,$G1372,CalcKey,"&lt;"&amp;$H1372)+1)</f>
        <v/>
      </c>
      <c r="J1372">
        <f>IF($I1372="","",$G1372&amp;"|"&amp;RIGHT("000000"&amp;$I1372,6))</f>
        <v/>
      </c>
      <c r="K1372">
        <f>IF(OR($E1372="",$E1372="نامعتبر"),"",LEFT($E1372,4)&amp;"/"&amp;MID($E1372,6,2))</f>
        <v/>
      </c>
      <c r="L1372">
        <f>IF(Entry!$K1372="",0,Entry!$K1372)</f>
        <v/>
      </c>
      <c r="M1372">
        <f>IF(Entry!$L1372="",0,Entry!$L1372)</f>
        <v/>
      </c>
    </row>
    <row r="1373">
      <c r="A1373">
        <f>IF(Entry!$C1373="","",Entry!$C1373)</f>
        <v/>
      </c>
      <c r="B1373">
        <f>IF($A1373="","",IF(ISNUMBER($A1373),IF(AND($A1373&gt;=10000101,$A1373&lt;=99991231),INT($A1373/10000),""),IFERROR(VALUE(TRIM(LEFT($A1373,FIND("/",$A1373)-1))),"")))</f>
        <v/>
      </c>
      <c r="C1373">
        <f>IF(OR($A1373="",$B1373=""),"",IF(ISNUMBER($A1373),INT(MOD($A1373,10000)/100),IFERROR(VALUE(TRIM(LEFT(MID($A1373,FIND("/",$A1373)+1,20),FIND("/",MID($A1373,FIND("/",$A1373)+1,20))-1))),"")))</f>
        <v/>
      </c>
      <c r="D1373">
        <f>IF(OR($A1373="",$B1373=""),"",IF(ISNUMBER($A1373),MOD($A1373,100),IFERROR(VALUE(TRIM(MID(MID($A1373,FIND("/",$A1373)+1,20),FIND("/",MID($A1373,FIND("/",$A1373)+1,20))+1,20))),"")))</f>
        <v/>
      </c>
      <c r="E1373">
        <f>IF($A1373="","",IF(OR($B1373="",$C1373="",$D1373="",$B1373&lt;1300,$B1373&gt;1500,$C1373&lt;1,$C1373&gt;12,$D1373&lt;1,$D1373&gt;31),"نامعتبر",RIGHT("0000"&amp;$B1373,4)&amp;"/"&amp;RIGHT("00"&amp;$C1373,2)&amp;"/"&amp;RIGHT("00"&amp;$D1373,2)))</f>
        <v/>
      </c>
      <c r="F1373">
        <f>IF(Entry!$D1373&lt;&gt;"",IF(AND(ISNUMBER(Entry!$D1373),Entry!$D1373&gt;=0,Entry!$D1373&lt;1),RIGHT("00"&amp;HOUR(Entry!$D1373),2)&amp;":"&amp;RIGHT("00"&amp;MINUTE(Entry!$D1373),2),IFERROR(RIGHT("00"&amp;VALUE(TRIM(LEFT(Entry!$D1373,FIND(":",Entry!$D1373)-1))),2)&amp;":"&amp;RIGHT("00"&amp;VALUE(TRIM(MID(Entry!$D1373,FIND(":",Entry!$D1373)+1,2))),2),"نامعتبر")),IF(OR($E1373="",$E1373="نامعتبر"),"","00:00"))</f>
        <v/>
      </c>
      <c r="G1373">
        <f>IF(OR($E1373="",$E1373="نامعتبر"),"",IF(Entry!$E1373="","",LEFT(UPPER(TRIM(Entry!$E1373)),6)))</f>
        <v/>
      </c>
      <c r="H1373">
        <f>IF($G1373="","",RIGHT($E1373,4)&amp;MID($E1373,6,2)&amp;RIGHT($E1373,2)&amp;IF($F1373="","0000",IF($F1373="نامعتبر","9999",LEFT($F1373,2)&amp;RIGHT($F1373,2)))&amp;"|"&amp;RIGHT("00000"&amp;1365,5))</f>
        <v/>
      </c>
      <c r="I1373">
        <f>IF($H1373="","",COUNTIFS(CalcBank,$G1373,CalcKey,"&lt;"&amp;$H1373)+1)</f>
        <v/>
      </c>
      <c r="J1373">
        <f>IF($I1373="","",$G1373&amp;"|"&amp;RIGHT("000000"&amp;$I1373,6))</f>
        <v/>
      </c>
      <c r="K1373">
        <f>IF(OR($E1373="",$E1373="نامعتبر"),"",LEFT($E1373,4)&amp;"/"&amp;MID($E1373,6,2))</f>
        <v/>
      </c>
      <c r="L1373">
        <f>IF(Entry!$K1373="",0,Entry!$K1373)</f>
        <v/>
      </c>
      <c r="M1373">
        <f>IF(Entry!$L1373="",0,Entry!$L1373)</f>
        <v/>
      </c>
    </row>
    <row r="1374">
      <c r="A1374">
        <f>IF(Entry!$C1374="","",Entry!$C1374)</f>
        <v/>
      </c>
      <c r="B1374">
        <f>IF($A1374="","",IF(ISNUMBER($A1374),IF(AND($A1374&gt;=10000101,$A1374&lt;=99991231),INT($A1374/10000),""),IFERROR(VALUE(TRIM(LEFT($A1374,FIND("/",$A1374)-1))),"")))</f>
        <v/>
      </c>
      <c r="C1374">
        <f>IF(OR($A1374="",$B1374=""),"",IF(ISNUMBER($A1374),INT(MOD($A1374,10000)/100),IFERROR(VALUE(TRIM(LEFT(MID($A1374,FIND("/",$A1374)+1,20),FIND("/",MID($A1374,FIND("/",$A1374)+1,20))-1))),"")))</f>
        <v/>
      </c>
      <c r="D1374">
        <f>IF(OR($A1374="",$B1374=""),"",IF(ISNUMBER($A1374),MOD($A1374,100),IFERROR(VALUE(TRIM(MID(MID($A1374,FIND("/",$A1374)+1,20),FIND("/",MID($A1374,FIND("/",$A1374)+1,20))+1,20))),"")))</f>
        <v/>
      </c>
      <c r="E1374">
        <f>IF($A1374="","",IF(OR($B1374="",$C1374="",$D1374="",$B1374&lt;1300,$B1374&gt;1500,$C1374&lt;1,$C1374&gt;12,$D1374&lt;1,$D1374&gt;31),"نامعتبر",RIGHT("0000"&amp;$B1374,4)&amp;"/"&amp;RIGHT("00"&amp;$C1374,2)&amp;"/"&amp;RIGHT("00"&amp;$D1374,2)))</f>
        <v/>
      </c>
      <c r="F1374">
        <f>IF(Entry!$D1374&lt;&gt;"",IF(AND(ISNUMBER(Entry!$D1374),Entry!$D1374&gt;=0,Entry!$D1374&lt;1),RIGHT("00"&amp;HOUR(Entry!$D1374),2)&amp;":"&amp;RIGHT("00"&amp;MINUTE(Entry!$D1374),2),IFERROR(RIGHT("00"&amp;VALUE(TRIM(LEFT(Entry!$D1374,FIND(":",Entry!$D1374)-1))),2)&amp;":"&amp;RIGHT("00"&amp;VALUE(TRIM(MID(Entry!$D1374,FIND(":",Entry!$D1374)+1,2))),2),"نامعتبر")),IF(OR($E1374="",$E1374="نامعتبر"),"","00:00"))</f>
        <v/>
      </c>
      <c r="G1374">
        <f>IF(OR($E1374="",$E1374="نامعتبر"),"",IF(Entry!$E1374="","",LEFT(UPPER(TRIM(Entry!$E1374)),6)))</f>
        <v/>
      </c>
      <c r="H1374">
        <f>IF($G1374="","",RIGHT($E1374,4)&amp;MID($E1374,6,2)&amp;RIGHT($E1374,2)&amp;IF($F1374="","0000",IF($F1374="نامعتبر","9999",LEFT($F1374,2)&amp;RIGHT($F1374,2)))&amp;"|"&amp;RIGHT("00000"&amp;1366,5))</f>
        <v/>
      </c>
      <c r="I1374">
        <f>IF($H1374="","",COUNTIFS(CalcBank,$G1374,CalcKey,"&lt;"&amp;$H1374)+1)</f>
        <v/>
      </c>
      <c r="J1374">
        <f>IF($I1374="","",$G1374&amp;"|"&amp;RIGHT("000000"&amp;$I1374,6))</f>
        <v/>
      </c>
      <c r="K1374">
        <f>IF(OR($E1374="",$E1374="نامعتبر"),"",LEFT($E1374,4)&amp;"/"&amp;MID($E1374,6,2))</f>
        <v/>
      </c>
      <c r="L1374">
        <f>IF(Entry!$K1374="",0,Entry!$K1374)</f>
        <v/>
      </c>
      <c r="M1374">
        <f>IF(Entry!$L1374="",0,Entry!$L1374)</f>
        <v/>
      </c>
    </row>
    <row r="1375">
      <c r="A1375">
        <f>IF(Entry!$C1375="","",Entry!$C1375)</f>
        <v/>
      </c>
      <c r="B1375">
        <f>IF($A1375="","",IF(ISNUMBER($A1375),IF(AND($A1375&gt;=10000101,$A1375&lt;=99991231),INT($A1375/10000),""),IFERROR(VALUE(TRIM(LEFT($A1375,FIND("/",$A1375)-1))),"")))</f>
        <v/>
      </c>
      <c r="C1375">
        <f>IF(OR($A1375="",$B1375=""),"",IF(ISNUMBER($A1375),INT(MOD($A1375,10000)/100),IFERROR(VALUE(TRIM(LEFT(MID($A1375,FIND("/",$A1375)+1,20),FIND("/",MID($A1375,FIND("/",$A1375)+1,20))-1))),"")))</f>
        <v/>
      </c>
      <c r="D1375">
        <f>IF(OR($A1375="",$B1375=""),"",IF(ISNUMBER($A1375),MOD($A1375,100),IFERROR(VALUE(TRIM(MID(MID($A1375,FIND("/",$A1375)+1,20),FIND("/",MID($A1375,FIND("/",$A1375)+1,20))+1,20))),"")))</f>
        <v/>
      </c>
      <c r="E1375">
        <f>IF($A1375="","",IF(OR($B1375="",$C1375="",$D1375="",$B1375&lt;1300,$B1375&gt;1500,$C1375&lt;1,$C1375&gt;12,$D1375&lt;1,$D1375&gt;31),"نامعتبر",RIGHT("0000"&amp;$B1375,4)&amp;"/"&amp;RIGHT("00"&amp;$C1375,2)&amp;"/"&amp;RIGHT("00"&amp;$D1375,2)))</f>
        <v/>
      </c>
      <c r="F1375">
        <f>IF(Entry!$D1375&lt;&gt;"",IF(AND(ISNUMBER(Entry!$D1375),Entry!$D1375&gt;=0,Entry!$D1375&lt;1),RIGHT("00"&amp;HOUR(Entry!$D1375),2)&amp;":"&amp;RIGHT("00"&amp;MINUTE(Entry!$D1375),2),IFERROR(RIGHT("00"&amp;VALUE(TRIM(LEFT(Entry!$D1375,FIND(":",Entry!$D1375)-1))),2)&amp;":"&amp;RIGHT("00"&amp;VALUE(TRIM(MID(Entry!$D1375,FIND(":",Entry!$D1375)+1,2))),2),"نامعتبر")),IF(OR($E1375="",$E1375="نامعتبر"),"","00:00"))</f>
        <v/>
      </c>
      <c r="G1375">
        <f>IF(OR($E1375="",$E1375="نامعتبر"),"",IF(Entry!$E1375="","",LEFT(UPPER(TRIM(Entry!$E1375)),6)))</f>
        <v/>
      </c>
      <c r="H1375">
        <f>IF($G1375="","",RIGHT($E1375,4)&amp;MID($E1375,6,2)&amp;RIGHT($E1375,2)&amp;IF($F1375="","0000",IF($F1375="نامعتبر","9999",LEFT($F1375,2)&amp;RIGHT($F1375,2)))&amp;"|"&amp;RIGHT("00000"&amp;1367,5))</f>
        <v/>
      </c>
      <c r="I1375">
        <f>IF($H1375="","",COUNTIFS(CalcBank,$G1375,CalcKey,"&lt;"&amp;$H1375)+1)</f>
        <v/>
      </c>
      <c r="J1375">
        <f>IF($I1375="","",$G1375&amp;"|"&amp;RIGHT("000000"&amp;$I1375,6))</f>
        <v/>
      </c>
      <c r="K1375">
        <f>IF(OR($E1375="",$E1375="نامعتبر"),"",LEFT($E1375,4)&amp;"/"&amp;MID($E1375,6,2))</f>
        <v/>
      </c>
      <c r="L1375">
        <f>IF(Entry!$K1375="",0,Entry!$K1375)</f>
        <v/>
      </c>
      <c r="M1375">
        <f>IF(Entry!$L1375="",0,Entry!$L1375)</f>
        <v/>
      </c>
    </row>
    <row r="1376">
      <c r="A1376">
        <f>IF(Entry!$C1376="","",Entry!$C1376)</f>
        <v/>
      </c>
      <c r="B1376">
        <f>IF($A1376="","",IF(ISNUMBER($A1376),IF(AND($A1376&gt;=10000101,$A1376&lt;=99991231),INT($A1376/10000),""),IFERROR(VALUE(TRIM(LEFT($A1376,FIND("/",$A1376)-1))),"")))</f>
        <v/>
      </c>
      <c r="C1376">
        <f>IF(OR($A1376="",$B1376=""),"",IF(ISNUMBER($A1376),INT(MOD($A1376,10000)/100),IFERROR(VALUE(TRIM(LEFT(MID($A1376,FIND("/",$A1376)+1,20),FIND("/",MID($A1376,FIND("/",$A1376)+1,20))-1))),"")))</f>
        <v/>
      </c>
      <c r="D1376">
        <f>IF(OR($A1376="",$B1376=""),"",IF(ISNUMBER($A1376),MOD($A1376,100),IFERROR(VALUE(TRIM(MID(MID($A1376,FIND("/",$A1376)+1,20),FIND("/",MID($A1376,FIND("/",$A1376)+1,20))+1,20))),"")))</f>
        <v/>
      </c>
      <c r="E1376">
        <f>IF($A1376="","",IF(OR($B1376="",$C1376="",$D1376="",$B1376&lt;1300,$B1376&gt;1500,$C1376&lt;1,$C1376&gt;12,$D1376&lt;1,$D1376&gt;31),"نامعتبر",RIGHT("0000"&amp;$B1376,4)&amp;"/"&amp;RIGHT("00"&amp;$C1376,2)&amp;"/"&amp;RIGHT("00"&amp;$D1376,2)))</f>
        <v/>
      </c>
      <c r="F1376">
        <f>IF(Entry!$D1376&lt;&gt;"",IF(AND(ISNUMBER(Entry!$D1376),Entry!$D1376&gt;=0,Entry!$D1376&lt;1),RIGHT("00"&amp;HOUR(Entry!$D1376),2)&amp;":"&amp;RIGHT("00"&amp;MINUTE(Entry!$D1376),2),IFERROR(RIGHT("00"&amp;VALUE(TRIM(LEFT(Entry!$D1376,FIND(":",Entry!$D1376)-1))),2)&amp;":"&amp;RIGHT("00"&amp;VALUE(TRIM(MID(Entry!$D1376,FIND(":",Entry!$D1376)+1,2))),2),"نامعتبر")),IF(OR($E1376="",$E1376="نامعتبر"),"","00:00"))</f>
        <v/>
      </c>
      <c r="G1376">
        <f>IF(OR($E1376="",$E1376="نامعتبر"),"",IF(Entry!$E1376="","",LEFT(UPPER(TRIM(Entry!$E1376)),6)))</f>
        <v/>
      </c>
      <c r="H1376">
        <f>IF($G1376="","",RIGHT($E1376,4)&amp;MID($E1376,6,2)&amp;RIGHT($E1376,2)&amp;IF($F1376="","0000",IF($F1376="نامعتبر","9999",LEFT($F1376,2)&amp;RIGHT($F1376,2)))&amp;"|"&amp;RIGHT("00000"&amp;1368,5))</f>
        <v/>
      </c>
      <c r="I1376">
        <f>IF($H1376="","",COUNTIFS(CalcBank,$G1376,CalcKey,"&lt;"&amp;$H1376)+1)</f>
        <v/>
      </c>
      <c r="J1376">
        <f>IF($I1376="","",$G1376&amp;"|"&amp;RIGHT("000000"&amp;$I1376,6))</f>
        <v/>
      </c>
      <c r="K1376">
        <f>IF(OR($E1376="",$E1376="نامعتبر"),"",LEFT($E1376,4)&amp;"/"&amp;MID($E1376,6,2))</f>
        <v/>
      </c>
      <c r="L1376">
        <f>IF(Entry!$K1376="",0,Entry!$K1376)</f>
        <v/>
      </c>
      <c r="M1376">
        <f>IF(Entry!$L1376="",0,Entry!$L1376)</f>
        <v/>
      </c>
    </row>
    <row r="1377">
      <c r="A1377">
        <f>IF(Entry!$C1377="","",Entry!$C1377)</f>
        <v/>
      </c>
      <c r="B1377">
        <f>IF($A1377="","",IF(ISNUMBER($A1377),IF(AND($A1377&gt;=10000101,$A1377&lt;=99991231),INT($A1377/10000),""),IFERROR(VALUE(TRIM(LEFT($A1377,FIND("/",$A1377)-1))),"")))</f>
        <v/>
      </c>
      <c r="C1377">
        <f>IF(OR($A1377="",$B1377=""),"",IF(ISNUMBER($A1377),INT(MOD($A1377,10000)/100),IFERROR(VALUE(TRIM(LEFT(MID($A1377,FIND("/",$A1377)+1,20),FIND("/",MID($A1377,FIND("/",$A1377)+1,20))-1))),"")))</f>
        <v/>
      </c>
      <c r="D1377">
        <f>IF(OR($A1377="",$B1377=""),"",IF(ISNUMBER($A1377),MOD($A1377,100),IFERROR(VALUE(TRIM(MID(MID($A1377,FIND("/",$A1377)+1,20),FIND("/",MID($A1377,FIND("/",$A1377)+1,20))+1,20))),"")))</f>
        <v/>
      </c>
      <c r="E1377">
        <f>IF($A1377="","",IF(OR($B1377="",$C1377="",$D1377="",$B1377&lt;1300,$B1377&gt;1500,$C1377&lt;1,$C1377&gt;12,$D1377&lt;1,$D1377&gt;31),"نامعتبر",RIGHT("0000"&amp;$B1377,4)&amp;"/"&amp;RIGHT("00"&amp;$C1377,2)&amp;"/"&amp;RIGHT("00"&amp;$D1377,2)))</f>
        <v/>
      </c>
      <c r="F1377">
        <f>IF(Entry!$D1377&lt;&gt;"",IF(AND(ISNUMBER(Entry!$D1377),Entry!$D1377&gt;=0,Entry!$D1377&lt;1),RIGHT("00"&amp;HOUR(Entry!$D1377),2)&amp;":"&amp;RIGHT("00"&amp;MINUTE(Entry!$D1377),2),IFERROR(RIGHT("00"&amp;VALUE(TRIM(LEFT(Entry!$D1377,FIND(":",Entry!$D1377)-1))),2)&amp;":"&amp;RIGHT("00"&amp;VALUE(TRIM(MID(Entry!$D1377,FIND(":",Entry!$D1377)+1,2))),2),"نامعتبر")),IF(OR($E1377="",$E1377="نامعتبر"),"","00:00"))</f>
        <v/>
      </c>
      <c r="G1377">
        <f>IF(OR($E1377="",$E1377="نامعتبر"),"",IF(Entry!$E1377="","",LEFT(UPPER(TRIM(Entry!$E1377)),6)))</f>
        <v/>
      </c>
      <c r="H1377">
        <f>IF($G1377="","",RIGHT($E1377,4)&amp;MID($E1377,6,2)&amp;RIGHT($E1377,2)&amp;IF($F1377="","0000",IF($F1377="نامعتبر","9999",LEFT($F1377,2)&amp;RIGHT($F1377,2)))&amp;"|"&amp;RIGHT("00000"&amp;1369,5))</f>
        <v/>
      </c>
      <c r="I1377">
        <f>IF($H1377="","",COUNTIFS(CalcBank,$G1377,CalcKey,"&lt;"&amp;$H1377)+1)</f>
        <v/>
      </c>
      <c r="J1377">
        <f>IF($I1377="","",$G1377&amp;"|"&amp;RIGHT("000000"&amp;$I1377,6))</f>
        <v/>
      </c>
      <c r="K1377">
        <f>IF(OR($E1377="",$E1377="نامعتبر"),"",LEFT($E1377,4)&amp;"/"&amp;MID($E1377,6,2))</f>
        <v/>
      </c>
      <c r="L1377">
        <f>IF(Entry!$K1377="",0,Entry!$K1377)</f>
        <v/>
      </c>
      <c r="M1377">
        <f>IF(Entry!$L1377="",0,Entry!$L1377)</f>
        <v/>
      </c>
    </row>
    <row r="1378">
      <c r="A1378">
        <f>IF(Entry!$C1378="","",Entry!$C1378)</f>
        <v/>
      </c>
      <c r="B1378">
        <f>IF($A1378="","",IF(ISNUMBER($A1378),IF(AND($A1378&gt;=10000101,$A1378&lt;=99991231),INT($A1378/10000),""),IFERROR(VALUE(TRIM(LEFT($A1378,FIND("/",$A1378)-1))),"")))</f>
        <v/>
      </c>
      <c r="C1378">
        <f>IF(OR($A1378="",$B1378=""),"",IF(ISNUMBER($A1378),INT(MOD($A1378,10000)/100),IFERROR(VALUE(TRIM(LEFT(MID($A1378,FIND("/",$A1378)+1,20),FIND("/",MID($A1378,FIND("/",$A1378)+1,20))-1))),"")))</f>
        <v/>
      </c>
      <c r="D1378">
        <f>IF(OR($A1378="",$B1378=""),"",IF(ISNUMBER($A1378),MOD($A1378,100),IFERROR(VALUE(TRIM(MID(MID($A1378,FIND("/",$A1378)+1,20),FIND("/",MID($A1378,FIND("/",$A1378)+1,20))+1,20))),"")))</f>
        <v/>
      </c>
      <c r="E1378">
        <f>IF($A1378="","",IF(OR($B1378="",$C1378="",$D1378="",$B1378&lt;1300,$B1378&gt;1500,$C1378&lt;1,$C1378&gt;12,$D1378&lt;1,$D1378&gt;31),"نامعتبر",RIGHT("0000"&amp;$B1378,4)&amp;"/"&amp;RIGHT("00"&amp;$C1378,2)&amp;"/"&amp;RIGHT("00"&amp;$D1378,2)))</f>
        <v/>
      </c>
      <c r="F1378">
        <f>IF(Entry!$D1378&lt;&gt;"",IF(AND(ISNUMBER(Entry!$D1378),Entry!$D1378&gt;=0,Entry!$D1378&lt;1),RIGHT("00"&amp;HOUR(Entry!$D1378),2)&amp;":"&amp;RIGHT("00"&amp;MINUTE(Entry!$D1378),2),IFERROR(RIGHT("00"&amp;VALUE(TRIM(LEFT(Entry!$D1378,FIND(":",Entry!$D1378)-1))),2)&amp;":"&amp;RIGHT("00"&amp;VALUE(TRIM(MID(Entry!$D1378,FIND(":",Entry!$D1378)+1,2))),2),"نامعتبر")),IF(OR($E1378="",$E1378="نامعتبر"),"","00:00"))</f>
        <v/>
      </c>
      <c r="G1378">
        <f>IF(OR($E1378="",$E1378="نامعتبر"),"",IF(Entry!$E1378="","",LEFT(UPPER(TRIM(Entry!$E1378)),6)))</f>
        <v/>
      </c>
      <c r="H1378">
        <f>IF($G1378="","",RIGHT($E1378,4)&amp;MID($E1378,6,2)&amp;RIGHT($E1378,2)&amp;IF($F1378="","0000",IF($F1378="نامعتبر","9999",LEFT($F1378,2)&amp;RIGHT($F1378,2)))&amp;"|"&amp;RIGHT("00000"&amp;1370,5))</f>
        <v/>
      </c>
      <c r="I1378">
        <f>IF($H1378="","",COUNTIFS(CalcBank,$G1378,CalcKey,"&lt;"&amp;$H1378)+1)</f>
        <v/>
      </c>
      <c r="J1378">
        <f>IF($I1378="","",$G1378&amp;"|"&amp;RIGHT("000000"&amp;$I1378,6))</f>
        <v/>
      </c>
      <c r="K1378">
        <f>IF(OR($E1378="",$E1378="نامعتبر"),"",LEFT($E1378,4)&amp;"/"&amp;MID($E1378,6,2))</f>
        <v/>
      </c>
      <c r="L1378">
        <f>IF(Entry!$K1378="",0,Entry!$K1378)</f>
        <v/>
      </c>
      <c r="M1378">
        <f>IF(Entry!$L1378="",0,Entry!$L1378)</f>
        <v/>
      </c>
    </row>
    <row r="1379">
      <c r="A1379">
        <f>IF(Entry!$C1379="","",Entry!$C1379)</f>
        <v/>
      </c>
      <c r="B1379">
        <f>IF($A1379="","",IF(ISNUMBER($A1379),IF(AND($A1379&gt;=10000101,$A1379&lt;=99991231),INT($A1379/10000),""),IFERROR(VALUE(TRIM(LEFT($A1379,FIND("/",$A1379)-1))),"")))</f>
        <v/>
      </c>
      <c r="C1379">
        <f>IF(OR($A1379="",$B1379=""),"",IF(ISNUMBER($A1379),INT(MOD($A1379,10000)/100),IFERROR(VALUE(TRIM(LEFT(MID($A1379,FIND("/",$A1379)+1,20),FIND("/",MID($A1379,FIND("/",$A1379)+1,20))-1))),"")))</f>
        <v/>
      </c>
      <c r="D1379">
        <f>IF(OR($A1379="",$B1379=""),"",IF(ISNUMBER($A1379),MOD($A1379,100),IFERROR(VALUE(TRIM(MID(MID($A1379,FIND("/",$A1379)+1,20),FIND("/",MID($A1379,FIND("/",$A1379)+1,20))+1,20))),"")))</f>
        <v/>
      </c>
      <c r="E1379">
        <f>IF($A1379="","",IF(OR($B1379="",$C1379="",$D1379="",$B1379&lt;1300,$B1379&gt;1500,$C1379&lt;1,$C1379&gt;12,$D1379&lt;1,$D1379&gt;31),"نامعتبر",RIGHT("0000"&amp;$B1379,4)&amp;"/"&amp;RIGHT("00"&amp;$C1379,2)&amp;"/"&amp;RIGHT("00"&amp;$D1379,2)))</f>
        <v/>
      </c>
      <c r="F1379">
        <f>IF(Entry!$D1379&lt;&gt;"",IF(AND(ISNUMBER(Entry!$D1379),Entry!$D1379&gt;=0,Entry!$D1379&lt;1),RIGHT("00"&amp;HOUR(Entry!$D1379),2)&amp;":"&amp;RIGHT("00"&amp;MINUTE(Entry!$D1379),2),IFERROR(RIGHT("00"&amp;VALUE(TRIM(LEFT(Entry!$D1379,FIND(":",Entry!$D1379)-1))),2)&amp;":"&amp;RIGHT("00"&amp;VALUE(TRIM(MID(Entry!$D1379,FIND(":",Entry!$D1379)+1,2))),2),"نامعتبر")),IF(OR($E1379="",$E1379="نامعتبر"),"","00:00"))</f>
        <v/>
      </c>
      <c r="G1379">
        <f>IF(OR($E1379="",$E1379="نامعتبر"),"",IF(Entry!$E1379="","",LEFT(UPPER(TRIM(Entry!$E1379)),6)))</f>
        <v/>
      </c>
      <c r="H1379">
        <f>IF($G1379="","",RIGHT($E1379,4)&amp;MID($E1379,6,2)&amp;RIGHT($E1379,2)&amp;IF($F1379="","0000",IF($F1379="نامعتبر","9999",LEFT($F1379,2)&amp;RIGHT($F1379,2)))&amp;"|"&amp;RIGHT("00000"&amp;1371,5))</f>
        <v/>
      </c>
      <c r="I1379">
        <f>IF($H1379="","",COUNTIFS(CalcBank,$G1379,CalcKey,"&lt;"&amp;$H1379)+1)</f>
        <v/>
      </c>
      <c r="J1379">
        <f>IF($I1379="","",$G1379&amp;"|"&amp;RIGHT("000000"&amp;$I1379,6))</f>
        <v/>
      </c>
      <c r="K1379">
        <f>IF(OR($E1379="",$E1379="نامعتبر"),"",LEFT($E1379,4)&amp;"/"&amp;MID($E1379,6,2))</f>
        <v/>
      </c>
      <c r="L1379">
        <f>IF(Entry!$K1379="",0,Entry!$K1379)</f>
        <v/>
      </c>
      <c r="M1379">
        <f>IF(Entry!$L1379="",0,Entry!$L1379)</f>
        <v/>
      </c>
    </row>
    <row r="1380">
      <c r="A1380">
        <f>IF(Entry!$C1380="","",Entry!$C1380)</f>
        <v/>
      </c>
      <c r="B1380">
        <f>IF($A1380="","",IF(ISNUMBER($A1380),IF(AND($A1380&gt;=10000101,$A1380&lt;=99991231),INT($A1380/10000),""),IFERROR(VALUE(TRIM(LEFT($A1380,FIND("/",$A1380)-1))),"")))</f>
        <v/>
      </c>
      <c r="C1380">
        <f>IF(OR($A1380="",$B1380=""),"",IF(ISNUMBER($A1380),INT(MOD($A1380,10000)/100),IFERROR(VALUE(TRIM(LEFT(MID($A1380,FIND("/",$A1380)+1,20),FIND("/",MID($A1380,FIND("/",$A1380)+1,20))-1))),"")))</f>
        <v/>
      </c>
      <c r="D1380">
        <f>IF(OR($A1380="",$B1380=""),"",IF(ISNUMBER($A1380),MOD($A1380,100),IFERROR(VALUE(TRIM(MID(MID($A1380,FIND("/",$A1380)+1,20),FIND("/",MID($A1380,FIND("/",$A1380)+1,20))+1,20))),"")))</f>
        <v/>
      </c>
      <c r="E1380">
        <f>IF($A1380="","",IF(OR($B1380="",$C1380="",$D1380="",$B1380&lt;1300,$B1380&gt;1500,$C1380&lt;1,$C1380&gt;12,$D1380&lt;1,$D1380&gt;31),"نامعتبر",RIGHT("0000"&amp;$B1380,4)&amp;"/"&amp;RIGHT("00"&amp;$C1380,2)&amp;"/"&amp;RIGHT("00"&amp;$D1380,2)))</f>
        <v/>
      </c>
      <c r="F1380">
        <f>IF(Entry!$D1380&lt;&gt;"",IF(AND(ISNUMBER(Entry!$D1380),Entry!$D1380&gt;=0,Entry!$D1380&lt;1),RIGHT("00"&amp;HOUR(Entry!$D1380),2)&amp;":"&amp;RIGHT("00"&amp;MINUTE(Entry!$D1380),2),IFERROR(RIGHT("00"&amp;VALUE(TRIM(LEFT(Entry!$D1380,FIND(":",Entry!$D1380)-1))),2)&amp;":"&amp;RIGHT("00"&amp;VALUE(TRIM(MID(Entry!$D1380,FIND(":",Entry!$D1380)+1,2))),2),"نامعتبر")),IF(OR($E1380="",$E1380="نامعتبر"),"","00:00"))</f>
        <v/>
      </c>
      <c r="G1380">
        <f>IF(OR($E1380="",$E1380="نامعتبر"),"",IF(Entry!$E1380="","",LEFT(UPPER(TRIM(Entry!$E1380)),6)))</f>
        <v/>
      </c>
      <c r="H1380">
        <f>IF($G1380="","",RIGHT($E1380,4)&amp;MID($E1380,6,2)&amp;RIGHT($E1380,2)&amp;IF($F1380="","0000",IF($F1380="نامعتبر","9999",LEFT($F1380,2)&amp;RIGHT($F1380,2)))&amp;"|"&amp;RIGHT("00000"&amp;1372,5))</f>
        <v/>
      </c>
      <c r="I1380">
        <f>IF($H1380="","",COUNTIFS(CalcBank,$G1380,CalcKey,"&lt;"&amp;$H1380)+1)</f>
        <v/>
      </c>
      <c r="J1380">
        <f>IF($I1380="","",$G1380&amp;"|"&amp;RIGHT("000000"&amp;$I1380,6))</f>
        <v/>
      </c>
      <c r="K1380">
        <f>IF(OR($E1380="",$E1380="نامعتبر"),"",LEFT($E1380,4)&amp;"/"&amp;MID($E1380,6,2))</f>
        <v/>
      </c>
      <c r="L1380">
        <f>IF(Entry!$K1380="",0,Entry!$K1380)</f>
        <v/>
      </c>
      <c r="M1380">
        <f>IF(Entry!$L1380="",0,Entry!$L1380)</f>
        <v/>
      </c>
    </row>
    <row r="1381">
      <c r="A1381">
        <f>IF(Entry!$C1381="","",Entry!$C1381)</f>
        <v/>
      </c>
      <c r="B1381">
        <f>IF($A1381="","",IF(ISNUMBER($A1381),IF(AND($A1381&gt;=10000101,$A1381&lt;=99991231),INT($A1381/10000),""),IFERROR(VALUE(TRIM(LEFT($A1381,FIND("/",$A1381)-1))),"")))</f>
        <v/>
      </c>
      <c r="C1381">
        <f>IF(OR($A1381="",$B1381=""),"",IF(ISNUMBER($A1381),INT(MOD($A1381,10000)/100),IFERROR(VALUE(TRIM(LEFT(MID($A1381,FIND("/",$A1381)+1,20),FIND("/",MID($A1381,FIND("/",$A1381)+1,20))-1))),"")))</f>
        <v/>
      </c>
      <c r="D1381">
        <f>IF(OR($A1381="",$B1381=""),"",IF(ISNUMBER($A1381),MOD($A1381,100),IFERROR(VALUE(TRIM(MID(MID($A1381,FIND("/",$A1381)+1,20),FIND("/",MID($A1381,FIND("/",$A1381)+1,20))+1,20))),"")))</f>
        <v/>
      </c>
      <c r="E1381">
        <f>IF($A1381="","",IF(OR($B1381="",$C1381="",$D1381="",$B1381&lt;1300,$B1381&gt;1500,$C1381&lt;1,$C1381&gt;12,$D1381&lt;1,$D1381&gt;31),"نامعتبر",RIGHT("0000"&amp;$B1381,4)&amp;"/"&amp;RIGHT("00"&amp;$C1381,2)&amp;"/"&amp;RIGHT("00"&amp;$D1381,2)))</f>
        <v/>
      </c>
      <c r="F1381">
        <f>IF(Entry!$D1381&lt;&gt;"",IF(AND(ISNUMBER(Entry!$D1381),Entry!$D1381&gt;=0,Entry!$D1381&lt;1),RIGHT("00"&amp;HOUR(Entry!$D1381),2)&amp;":"&amp;RIGHT("00"&amp;MINUTE(Entry!$D1381),2),IFERROR(RIGHT("00"&amp;VALUE(TRIM(LEFT(Entry!$D1381,FIND(":",Entry!$D1381)-1))),2)&amp;":"&amp;RIGHT("00"&amp;VALUE(TRIM(MID(Entry!$D1381,FIND(":",Entry!$D1381)+1,2))),2),"نامعتبر")),IF(OR($E1381="",$E1381="نامعتبر"),"","00:00"))</f>
        <v/>
      </c>
      <c r="G1381">
        <f>IF(OR($E1381="",$E1381="نامعتبر"),"",IF(Entry!$E1381="","",LEFT(UPPER(TRIM(Entry!$E1381)),6)))</f>
        <v/>
      </c>
      <c r="H1381">
        <f>IF($G1381="","",RIGHT($E1381,4)&amp;MID($E1381,6,2)&amp;RIGHT($E1381,2)&amp;IF($F1381="","0000",IF($F1381="نامعتبر","9999",LEFT($F1381,2)&amp;RIGHT($F1381,2)))&amp;"|"&amp;RIGHT("00000"&amp;1373,5))</f>
        <v/>
      </c>
      <c r="I1381">
        <f>IF($H1381="","",COUNTIFS(CalcBank,$G1381,CalcKey,"&lt;"&amp;$H1381)+1)</f>
        <v/>
      </c>
      <c r="J1381">
        <f>IF($I1381="","",$G1381&amp;"|"&amp;RIGHT("000000"&amp;$I1381,6))</f>
        <v/>
      </c>
      <c r="K1381">
        <f>IF(OR($E1381="",$E1381="نامعتبر"),"",LEFT($E1381,4)&amp;"/"&amp;MID($E1381,6,2))</f>
        <v/>
      </c>
      <c r="L1381">
        <f>IF(Entry!$K1381="",0,Entry!$K1381)</f>
        <v/>
      </c>
      <c r="M1381">
        <f>IF(Entry!$L1381="",0,Entry!$L1381)</f>
        <v/>
      </c>
    </row>
    <row r="1382">
      <c r="A1382">
        <f>IF(Entry!$C1382="","",Entry!$C1382)</f>
        <v/>
      </c>
      <c r="B1382">
        <f>IF($A1382="","",IF(ISNUMBER($A1382),IF(AND($A1382&gt;=10000101,$A1382&lt;=99991231),INT($A1382/10000),""),IFERROR(VALUE(TRIM(LEFT($A1382,FIND("/",$A1382)-1))),"")))</f>
        <v/>
      </c>
      <c r="C1382">
        <f>IF(OR($A1382="",$B1382=""),"",IF(ISNUMBER($A1382),INT(MOD($A1382,10000)/100),IFERROR(VALUE(TRIM(LEFT(MID($A1382,FIND("/",$A1382)+1,20),FIND("/",MID($A1382,FIND("/",$A1382)+1,20))-1))),"")))</f>
        <v/>
      </c>
      <c r="D1382">
        <f>IF(OR($A1382="",$B1382=""),"",IF(ISNUMBER($A1382),MOD($A1382,100),IFERROR(VALUE(TRIM(MID(MID($A1382,FIND("/",$A1382)+1,20),FIND("/",MID($A1382,FIND("/",$A1382)+1,20))+1,20))),"")))</f>
        <v/>
      </c>
      <c r="E1382">
        <f>IF($A1382="","",IF(OR($B1382="",$C1382="",$D1382="",$B1382&lt;1300,$B1382&gt;1500,$C1382&lt;1,$C1382&gt;12,$D1382&lt;1,$D1382&gt;31),"نامعتبر",RIGHT("0000"&amp;$B1382,4)&amp;"/"&amp;RIGHT("00"&amp;$C1382,2)&amp;"/"&amp;RIGHT("00"&amp;$D1382,2)))</f>
        <v/>
      </c>
      <c r="F1382">
        <f>IF(Entry!$D1382&lt;&gt;"",IF(AND(ISNUMBER(Entry!$D1382),Entry!$D1382&gt;=0,Entry!$D1382&lt;1),RIGHT("00"&amp;HOUR(Entry!$D1382),2)&amp;":"&amp;RIGHT("00"&amp;MINUTE(Entry!$D1382),2),IFERROR(RIGHT("00"&amp;VALUE(TRIM(LEFT(Entry!$D1382,FIND(":",Entry!$D1382)-1))),2)&amp;":"&amp;RIGHT("00"&amp;VALUE(TRIM(MID(Entry!$D1382,FIND(":",Entry!$D1382)+1,2))),2),"نامعتبر")),IF(OR($E1382="",$E1382="نامعتبر"),"","00:00"))</f>
        <v/>
      </c>
      <c r="G1382">
        <f>IF(OR($E1382="",$E1382="نامعتبر"),"",IF(Entry!$E1382="","",LEFT(UPPER(TRIM(Entry!$E1382)),6)))</f>
        <v/>
      </c>
      <c r="H1382">
        <f>IF($G1382="","",RIGHT($E1382,4)&amp;MID($E1382,6,2)&amp;RIGHT($E1382,2)&amp;IF($F1382="","0000",IF($F1382="نامعتبر","9999",LEFT($F1382,2)&amp;RIGHT($F1382,2)))&amp;"|"&amp;RIGHT("00000"&amp;1374,5))</f>
        <v/>
      </c>
      <c r="I1382">
        <f>IF($H1382="","",COUNTIFS(CalcBank,$G1382,CalcKey,"&lt;"&amp;$H1382)+1)</f>
        <v/>
      </c>
      <c r="J1382">
        <f>IF($I1382="","",$G1382&amp;"|"&amp;RIGHT("000000"&amp;$I1382,6))</f>
        <v/>
      </c>
      <c r="K1382">
        <f>IF(OR($E1382="",$E1382="نامعتبر"),"",LEFT($E1382,4)&amp;"/"&amp;MID($E1382,6,2))</f>
        <v/>
      </c>
      <c r="L1382">
        <f>IF(Entry!$K1382="",0,Entry!$K1382)</f>
        <v/>
      </c>
      <c r="M1382">
        <f>IF(Entry!$L1382="",0,Entry!$L1382)</f>
        <v/>
      </c>
    </row>
    <row r="1383">
      <c r="A1383">
        <f>IF(Entry!$C1383="","",Entry!$C1383)</f>
        <v/>
      </c>
      <c r="B1383">
        <f>IF($A1383="","",IF(ISNUMBER($A1383),IF(AND($A1383&gt;=10000101,$A1383&lt;=99991231),INT($A1383/10000),""),IFERROR(VALUE(TRIM(LEFT($A1383,FIND("/",$A1383)-1))),"")))</f>
        <v/>
      </c>
      <c r="C1383">
        <f>IF(OR($A1383="",$B1383=""),"",IF(ISNUMBER($A1383),INT(MOD($A1383,10000)/100),IFERROR(VALUE(TRIM(LEFT(MID($A1383,FIND("/",$A1383)+1,20),FIND("/",MID($A1383,FIND("/",$A1383)+1,20))-1))),"")))</f>
        <v/>
      </c>
      <c r="D1383">
        <f>IF(OR($A1383="",$B1383=""),"",IF(ISNUMBER($A1383),MOD($A1383,100),IFERROR(VALUE(TRIM(MID(MID($A1383,FIND("/",$A1383)+1,20),FIND("/",MID($A1383,FIND("/",$A1383)+1,20))+1,20))),"")))</f>
        <v/>
      </c>
      <c r="E1383">
        <f>IF($A1383="","",IF(OR($B1383="",$C1383="",$D1383="",$B1383&lt;1300,$B1383&gt;1500,$C1383&lt;1,$C1383&gt;12,$D1383&lt;1,$D1383&gt;31),"نامعتبر",RIGHT("0000"&amp;$B1383,4)&amp;"/"&amp;RIGHT("00"&amp;$C1383,2)&amp;"/"&amp;RIGHT("00"&amp;$D1383,2)))</f>
        <v/>
      </c>
      <c r="F1383">
        <f>IF(Entry!$D1383&lt;&gt;"",IF(AND(ISNUMBER(Entry!$D1383),Entry!$D1383&gt;=0,Entry!$D1383&lt;1),RIGHT("00"&amp;HOUR(Entry!$D1383),2)&amp;":"&amp;RIGHT("00"&amp;MINUTE(Entry!$D1383),2),IFERROR(RIGHT("00"&amp;VALUE(TRIM(LEFT(Entry!$D1383,FIND(":",Entry!$D1383)-1))),2)&amp;":"&amp;RIGHT("00"&amp;VALUE(TRIM(MID(Entry!$D1383,FIND(":",Entry!$D1383)+1,2))),2),"نامعتبر")),IF(OR($E1383="",$E1383="نامعتبر"),"","00:00"))</f>
        <v/>
      </c>
      <c r="G1383">
        <f>IF(OR($E1383="",$E1383="نامعتبر"),"",IF(Entry!$E1383="","",LEFT(UPPER(TRIM(Entry!$E1383)),6)))</f>
        <v/>
      </c>
      <c r="H1383">
        <f>IF($G1383="","",RIGHT($E1383,4)&amp;MID($E1383,6,2)&amp;RIGHT($E1383,2)&amp;IF($F1383="","0000",IF($F1383="نامعتبر","9999",LEFT($F1383,2)&amp;RIGHT($F1383,2)))&amp;"|"&amp;RIGHT("00000"&amp;1375,5))</f>
        <v/>
      </c>
      <c r="I1383">
        <f>IF($H1383="","",COUNTIFS(CalcBank,$G1383,CalcKey,"&lt;"&amp;$H1383)+1)</f>
        <v/>
      </c>
      <c r="J1383">
        <f>IF($I1383="","",$G1383&amp;"|"&amp;RIGHT("000000"&amp;$I1383,6))</f>
        <v/>
      </c>
      <c r="K1383">
        <f>IF(OR($E1383="",$E1383="نامعتبر"),"",LEFT($E1383,4)&amp;"/"&amp;MID($E1383,6,2))</f>
        <v/>
      </c>
      <c r="L1383">
        <f>IF(Entry!$K1383="",0,Entry!$K1383)</f>
        <v/>
      </c>
      <c r="M1383">
        <f>IF(Entry!$L1383="",0,Entry!$L1383)</f>
        <v/>
      </c>
    </row>
    <row r="1384">
      <c r="A1384">
        <f>IF(Entry!$C1384="","",Entry!$C1384)</f>
        <v/>
      </c>
      <c r="B1384">
        <f>IF($A1384="","",IF(ISNUMBER($A1384),IF(AND($A1384&gt;=10000101,$A1384&lt;=99991231),INT($A1384/10000),""),IFERROR(VALUE(TRIM(LEFT($A1384,FIND("/",$A1384)-1))),"")))</f>
        <v/>
      </c>
      <c r="C1384">
        <f>IF(OR($A1384="",$B1384=""),"",IF(ISNUMBER($A1384),INT(MOD($A1384,10000)/100),IFERROR(VALUE(TRIM(LEFT(MID($A1384,FIND("/",$A1384)+1,20),FIND("/",MID($A1384,FIND("/",$A1384)+1,20))-1))),"")))</f>
        <v/>
      </c>
      <c r="D1384">
        <f>IF(OR($A1384="",$B1384=""),"",IF(ISNUMBER($A1384),MOD($A1384,100),IFERROR(VALUE(TRIM(MID(MID($A1384,FIND("/",$A1384)+1,20),FIND("/",MID($A1384,FIND("/",$A1384)+1,20))+1,20))),"")))</f>
        <v/>
      </c>
      <c r="E1384">
        <f>IF($A1384="","",IF(OR($B1384="",$C1384="",$D1384="",$B1384&lt;1300,$B1384&gt;1500,$C1384&lt;1,$C1384&gt;12,$D1384&lt;1,$D1384&gt;31),"نامعتبر",RIGHT("0000"&amp;$B1384,4)&amp;"/"&amp;RIGHT("00"&amp;$C1384,2)&amp;"/"&amp;RIGHT("00"&amp;$D1384,2)))</f>
        <v/>
      </c>
      <c r="F1384">
        <f>IF(Entry!$D1384&lt;&gt;"",IF(AND(ISNUMBER(Entry!$D1384),Entry!$D1384&gt;=0,Entry!$D1384&lt;1),RIGHT("00"&amp;HOUR(Entry!$D1384),2)&amp;":"&amp;RIGHT("00"&amp;MINUTE(Entry!$D1384),2),IFERROR(RIGHT("00"&amp;VALUE(TRIM(LEFT(Entry!$D1384,FIND(":",Entry!$D1384)-1))),2)&amp;":"&amp;RIGHT("00"&amp;VALUE(TRIM(MID(Entry!$D1384,FIND(":",Entry!$D1384)+1,2))),2),"نامعتبر")),IF(OR($E1384="",$E1384="نامعتبر"),"","00:00"))</f>
        <v/>
      </c>
      <c r="G1384">
        <f>IF(OR($E1384="",$E1384="نامعتبر"),"",IF(Entry!$E1384="","",LEFT(UPPER(TRIM(Entry!$E1384)),6)))</f>
        <v/>
      </c>
      <c r="H1384">
        <f>IF($G1384="","",RIGHT($E1384,4)&amp;MID($E1384,6,2)&amp;RIGHT($E1384,2)&amp;IF($F1384="","0000",IF($F1384="نامعتبر","9999",LEFT($F1384,2)&amp;RIGHT($F1384,2)))&amp;"|"&amp;RIGHT("00000"&amp;1376,5))</f>
        <v/>
      </c>
      <c r="I1384">
        <f>IF($H1384="","",COUNTIFS(CalcBank,$G1384,CalcKey,"&lt;"&amp;$H1384)+1)</f>
        <v/>
      </c>
      <c r="J1384">
        <f>IF($I1384="","",$G1384&amp;"|"&amp;RIGHT("000000"&amp;$I1384,6))</f>
        <v/>
      </c>
      <c r="K1384">
        <f>IF(OR($E1384="",$E1384="نامعتبر"),"",LEFT($E1384,4)&amp;"/"&amp;MID($E1384,6,2))</f>
        <v/>
      </c>
      <c r="L1384">
        <f>IF(Entry!$K1384="",0,Entry!$K1384)</f>
        <v/>
      </c>
      <c r="M1384">
        <f>IF(Entry!$L1384="",0,Entry!$L1384)</f>
        <v/>
      </c>
    </row>
    <row r="1385">
      <c r="A1385">
        <f>IF(Entry!$C1385="","",Entry!$C1385)</f>
        <v/>
      </c>
      <c r="B1385">
        <f>IF($A1385="","",IF(ISNUMBER($A1385),IF(AND($A1385&gt;=10000101,$A1385&lt;=99991231),INT($A1385/10000),""),IFERROR(VALUE(TRIM(LEFT($A1385,FIND("/",$A1385)-1))),"")))</f>
        <v/>
      </c>
      <c r="C1385">
        <f>IF(OR($A1385="",$B1385=""),"",IF(ISNUMBER($A1385),INT(MOD($A1385,10000)/100),IFERROR(VALUE(TRIM(LEFT(MID($A1385,FIND("/",$A1385)+1,20),FIND("/",MID($A1385,FIND("/",$A1385)+1,20))-1))),"")))</f>
        <v/>
      </c>
      <c r="D1385">
        <f>IF(OR($A1385="",$B1385=""),"",IF(ISNUMBER($A1385),MOD($A1385,100),IFERROR(VALUE(TRIM(MID(MID($A1385,FIND("/",$A1385)+1,20),FIND("/",MID($A1385,FIND("/",$A1385)+1,20))+1,20))),"")))</f>
        <v/>
      </c>
      <c r="E1385">
        <f>IF($A1385="","",IF(OR($B1385="",$C1385="",$D1385="",$B1385&lt;1300,$B1385&gt;1500,$C1385&lt;1,$C1385&gt;12,$D1385&lt;1,$D1385&gt;31),"نامعتبر",RIGHT("0000"&amp;$B1385,4)&amp;"/"&amp;RIGHT("00"&amp;$C1385,2)&amp;"/"&amp;RIGHT("00"&amp;$D1385,2)))</f>
        <v/>
      </c>
      <c r="F1385">
        <f>IF(Entry!$D1385&lt;&gt;"",IF(AND(ISNUMBER(Entry!$D1385),Entry!$D1385&gt;=0,Entry!$D1385&lt;1),RIGHT("00"&amp;HOUR(Entry!$D1385),2)&amp;":"&amp;RIGHT("00"&amp;MINUTE(Entry!$D1385),2),IFERROR(RIGHT("00"&amp;VALUE(TRIM(LEFT(Entry!$D1385,FIND(":",Entry!$D1385)-1))),2)&amp;":"&amp;RIGHT("00"&amp;VALUE(TRIM(MID(Entry!$D1385,FIND(":",Entry!$D1385)+1,2))),2),"نامعتبر")),IF(OR($E1385="",$E1385="نامعتبر"),"","00:00"))</f>
        <v/>
      </c>
      <c r="G1385">
        <f>IF(OR($E1385="",$E1385="نامعتبر"),"",IF(Entry!$E1385="","",LEFT(UPPER(TRIM(Entry!$E1385)),6)))</f>
        <v/>
      </c>
      <c r="H1385">
        <f>IF($G1385="","",RIGHT($E1385,4)&amp;MID($E1385,6,2)&amp;RIGHT($E1385,2)&amp;IF($F1385="","0000",IF($F1385="نامعتبر","9999",LEFT($F1385,2)&amp;RIGHT($F1385,2)))&amp;"|"&amp;RIGHT("00000"&amp;1377,5))</f>
        <v/>
      </c>
      <c r="I1385">
        <f>IF($H1385="","",COUNTIFS(CalcBank,$G1385,CalcKey,"&lt;"&amp;$H1385)+1)</f>
        <v/>
      </c>
      <c r="J1385">
        <f>IF($I1385="","",$G1385&amp;"|"&amp;RIGHT("000000"&amp;$I1385,6))</f>
        <v/>
      </c>
      <c r="K1385">
        <f>IF(OR($E1385="",$E1385="نامعتبر"),"",LEFT($E1385,4)&amp;"/"&amp;MID($E1385,6,2))</f>
        <v/>
      </c>
      <c r="L1385">
        <f>IF(Entry!$K1385="",0,Entry!$K1385)</f>
        <v/>
      </c>
      <c r="M1385">
        <f>IF(Entry!$L1385="",0,Entry!$L1385)</f>
        <v/>
      </c>
    </row>
    <row r="1386">
      <c r="A1386">
        <f>IF(Entry!$C1386="","",Entry!$C1386)</f>
        <v/>
      </c>
      <c r="B1386">
        <f>IF($A1386="","",IF(ISNUMBER($A1386),IF(AND($A1386&gt;=10000101,$A1386&lt;=99991231),INT($A1386/10000),""),IFERROR(VALUE(TRIM(LEFT($A1386,FIND("/",$A1386)-1))),"")))</f>
        <v/>
      </c>
      <c r="C1386">
        <f>IF(OR($A1386="",$B1386=""),"",IF(ISNUMBER($A1386),INT(MOD($A1386,10000)/100),IFERROR(VALUE(TRIM(LEFT(MID($A1386,FIND("/",$A1386)+1,20),FIND("/",MID($A1386,FIND("/",$A1386)+1,20))-1))),"")))</f>
        <v/>
      </c>
      <c r="D1386">
        <f>IF(OR($A1386="",$B1386=""),"",IF(ISNUMBER($A1386),MOD($A1386,100),IFERROR(VALUE(TRIM(MID(MID($A1386,FIND("/",$A1386)+1,20),FIND("/",MID($A1386,FIND("/",$A1386)+1,20))+1,20))),"")))</f>
        <v/>
      </c>
      <c r="E1386">
        <f>IF($A1386="","",IF(OR($B1386="",$C1386="",$D1386="",$B1386&lt;1300,$B1386&gt;1500,$C1386&lt;1,$C1386&gt;12,$D1386&lt;1,$D1386&gt;31),"نامعتبر",RIGHT("0000"&amp;$B1386,4)&amp;"/"&amp;RIGHT("00"&amp;$C1386,2)&amp;"/"&amp;RIGHT("00"&amp;$D1386,2)))</f>
        <v/>
      </c>
      <c r="F1386">
        <f>IF(Entry!$D1386&lt;&gt;"",IF(AND(ISNUMBER(Entry!$D1386),Entry!$D1386&gt;=0,Entry!$D1386&lt;1),RIGHT("00"&amp;HOUR(Entry!$D1386),2)&amp;":"&amp;RIGHT("00"&amp;MINUTE(Entry!$D1386),2),IFERROR(RIGHT("00"&amp;VALUE(TRIM(LEFT(Entry!$D1386,FIND(":",Entry!$D1386)-1))),2)&amp;":"&amp;RIGHT("00"&amp;VALUE(TRIM(MID(Entry!$D1386,FIND(":",Entry!$D1386)+1,2))),2),"نامعتبر")),IF(OR($E1386="",$E1386="نامعتبر"),"","00:00"))</f>
        <v/>
      </c>
      <c r="G1386">
        <f>IF(OR($E1386="",$E1386="نامعتبر"),"",IF(Entry!$E1386="","",LEFT(UPPER(TRIM(Entry!$E1386)),6)))</f>
        <v/>
      </c>
      <c r="H1386">
        <f>IF($G1386="","",RIGHT($E1386,4)&amp;MID($E1386,6,2)&amp;RIGHT($E1386,2)&amp;IF($F1386="","0000",IF($F1386="نامعتبر","9999",LEFT($F1386,2)&amp;RIGHT($F1386,2)))&amp;"|"&amp;RIGHT("00000"&amp;1378,5))</f>
        <v/>
      </c>
      <c r="I1386">
        <f>IF($H1386="","",COUNTIFS(CalcBank,$G1386,CalcKey,"&lt;"&amp;$H1386)+1)</f>
        <v/>
      </c>
      <c r="J1386">
        <f>IF($I1386="","",$G1386&amp;"|"&amp;RIGHT("000000"&amp;$I1386,6))</f>
        <v/>
      </c>
      <c r="K1386">
        <f>IF(OR($E1386="",$E1386="نامعتبر"),"",LEFT($E1386,4)&amp;"/"&amp;MID($E1386,6,2))</f>
        <v/>
      </c>
      <c r="L1386">
        <f>IF(Entry!$K1386="",0,Entry!$K1386)</f>
        <v/>
      </c>
      <c r="M1386">
        <f>IF(Entry!$L1386="",0,Entry!$L1386)</f>
        <v/>
      </c>
    </row>
    <row r="1387">
      <c r="A1387">
        <f>IF(Entry!$C1387="","",Entry!$C1387)</f>
        <v/>
      </c>
      <c r="B1387">
        <f>IF($A1387="","",IF(ISNUMBER($A1387),IF(AND($A1387&gt;=10000101,$A1387&lt;=99991231),INT($A1387/10000),""),IFERROR(VALUE(TRIM(LEFT($A1387,FIND("/",$A1387)-1))),"")))</f>
        <v/>
      </c>
      <c r="C1387">
        <f>IF(OR($A1387="",$B1387=""),"",IF(ISNUMBER($A1387),INT(MOD($A1387,10000)/100),IFERROR(VALUE(TRIM(LEFT(MID($A1387,FIND("/",$A1387)+1,20),FIND("/",MID($A1387,FIND("/",$A1387)+1,20))-1))),"")))</f>
        <v/>
      </c>
      <c r="D1387">
        <f>IF(OR($A1387="",$B1387=""),"",IF(ISNUMBER($A1387),MOD($A1387,100),IFERROR(VALUE(TRIM(MID(MID($A1387,FIND("/",$A1387)+1,20),FIND("/",MID($A1387,FIND("/",$A1387)+1,20))+1,20))),"")))</f>
        <v/>
      </c>
      <c r="E1387">
        <f>IF($A1387="","",IF(OR($B1387="",$C1387="",$D1387="",$B1387&lt;1300,$B1387&gt;1500,$C1387&lt;1,$C1387&gt;12,$D1387&lt;1,$D1387&gt;31),"نامعتبر",RIGHT("0000"&amp;$B1387,4)&amp;"/"&amp;RIGHT("00"&amp;$C1387,2)&amp;"/"&amp;RIGHT("00"&amp;$D1387,2)))</f>
        <v/>
      </c>
      <c r="F1387">
        <f>IF(Entry!$D1387&lt;&gt;"",IF(AND(ISNUMBER(Entry!$D1387),Entry!$D1387&gt;=0,Entry!$D1387&lt;1),RIGHT("00"&amp;HOUR(Entry!$D1387),2)&amp;":"&amp;RIGHT("00"&amp;MINUTE(Entry!$D1387),2),IFERROR(RIGHT("00"&amp;VALUE(TRIM(LEFT(Entry!$D1387,FIND(":",Entry!$D1387)-1))),2)&amp;":"&amp;RIGHT("00"&amp;VALUE(TRIM(MID(Entry!$D1387,FIND(":",Entry!$D1387)+1,2))),2),"نامعتبر")),IF(OR($E1387="",$E1387="نامعتبر"),"","00:00"))</f>
        <v/>
      </c>
      <c r="G1387">
        <f>IF(OR($E1387="",$E1387="نامعتبر"),"",IF(Entry!$E1387="","",LEFT(UPPER(TRIM(Entry!$E1387)),6)))</f>
        <v/>
      </c>
      <c r="H1387">
        <f>IF($G1387="","",RIGHT($E1387,4)&amp;MID($E1387,6,2)&amp;RIGHT($E1387,2)&amp;IF($F1387="","0000",IF($F1387="نامعتبر","9999",LEFT($F1387,2)&amp;RIGHT($F1387,2)))&amp;"|"&amp;RIGHT("00000"&amp;1379,5))</f>
        <v/>
      </c>
      <c r="I1387">
        <f>IF($H1387="","",COUNTIFS(CalcBank,$G1387,CalcKey,"&lt;"&amp;$H1387)+1)</f>
        <v/>
      </c>
      <c r="J1387">
        <f>IF($I1387="","",$G1387&amp;"|"&amp;RIGHT("000000"&amp;$I1387,6))</f>
        <v/>
      </c>
      <c r="K1387">
        <f>IF(OR($E1387="",$E1387="نامعتبر"),"",LEFT($E1387,4)&amp;"/"&amp;MID($E1387,6,2))</f>
        <v/>
      </c>
      <c r="L1387">
        <f>IF(Entry!$K1387="",0,Entry!$K1387)</f>
        <v/>
      </c>
      <c r="M1387">
        <f>IF(Entry!$L1387="",0,Entry!$L1387)</f>
        <v/>
      </c>
    </row>
    <row r="1388">
      <c r="A1388">
        <f>IF(Entry!$C1388="","",Entry!$C1388)</f>
        <v/>
      </c>
      <c r="B1388">
        <f>IF($A1388="","",IF(ISNUMBER($A1388),IF(AND($A1388&gt;=10000101,$A1388&lt;=99991231),INT($A1388/10000),""),IFERROR(VALUE(TRIM(LEFT($A1388,FIND("/",$A1388)-1))),"")))</f>
        <v/>
      </c>
      <c r="C1388">
        <f>IF(OR($A1388="",$B1388=""),"",IF(ISNUMBER($A1388),INT(MOD($A1388,10000)/100),IFERROR(VALUE(TRIM(LEFT(MID($A1388,FIND("/",$A1388)+1,20),FIND("/",MID($A1388,FIND("/",$A1388)+1,20))-1))),"")))</f>
        <v/>
      </c>
      <c r="D1388">
        <f>IF(OR($A1388="",$B1388=""),"",IF(ISNUMBER($A1388),MOD($A1388,100),IFERROR(VALUE(TRIM(MID(MID($A1388,FIND("/",$A1388)+1,20),FIND("/",MID($A1388,FIND("/",$A1388)+1,20))+1,20))),"")))</f>
        <v/>
      </c>
      <c r="E1388">
        <f>IF($A1388="","",IF(OR($B1388="",$C1388="",$D1388="",$B1388&lt;1300,$B1388&gt;1500,$C1388&lt;1,$C1388&gt;12,$D1388&lt;1,$D1388&gt;31),"نامعتبر",RIGHT("0000"&amp;$B1388,4)&amp;"/"&amp;RIGHT("00"&amp;$C1388,2)&amp;"/"&amp;RIGHT("00"&amp;$D1388,2)))</f>
        <v/>
      </c>
      <c r="F1388">
        <f>IF(Entry!$D1388&lt;&gt;"",IF(AND(ISNUMBER(Entry!$D1388),Entry!$D1388&gt;=0,Entry!$D1388&lt;1),RIGHT("00"&amp;HOUR(Entry!$D1388),2)&amp;":"&amp;RIGHT("00"&amp;MINUTE(Entry!$D1388),2),IFERROR(RIGHT("00"&amp;VALUE(TRIM(LEFT(Entry!$D1388,FIND(":",Entry!$D1388)-1))),2)&amp;":"&amp;RIGHT("00"&amp;VALUE(TRIM(MID(Entry!$D1388,FIND(":",Entry!$D1388)+1,2))),2),"نامعتبر")),IF(OR($E1388="",$E1388="نامعتبر"),"","00:00"))</f>
        <v/>
      </c>
      <c r="G1388">
        <f>IF(OR($E1388="",$E1388="نامعتبر"),"",IF(Entry!$E1388="","",LEFT(UPPER(TRIM(Entry!$E1388)),6)))</f>
        <v/>
      </c>
      <c r="H1388">
        <f>IF($G1388="","",RIGHT($E1388,4)&amp;MID($E1388,6,2)&amp;RIGHT($E1388,2)&amp;IF($F1388="","0000",IF($F1388="نامعتبر","9999",LEFT($F1388,2)&amp;RIGHT($F1388,2)))&amp;"|"&amp;RIGHT("00000"&amp;1380,5))</f>
        <v/>
      </c>
      <c r="I1388">
        <f>IF($H1388="","",COUNTIFS(CalcBank,$G1388,CalcKey,"&lt;"&amp;$H1388)+1)</f>
        <v/>
      </c>
      <c r="J1388">
        <f>IF($I1388="","",$G1388&amp;"|"&amp;RIGHT("000000"&amp;$I1388,6))</f>
        <v/>
      </c>
      <c r="K1388">
        <f>IF(OR($E1388="",$E1388="نامعتبر"),"",LEFT($E1388,4)&amp;"/"&amp;MID($E1388,6,2))</f>
        <v/>
      </c>
      <c r="L1388">
        <f>IF(Entry!$K1388="",0,Entry!$K1388)</f>
        <v/>
      </c>
      <c r="M1388">
        <f>IF(Entry!$L1388="",0,Entry!$L1388)</f>
        <v/>
      </c>
    </row>
    <row r="1389">
      <c r="A1389">
        <f>IF(Entry!$C1389="","",Entry!$C1389)</f>
        <v/>
      </c>
      <c r="B1389">
        <f>IF($A1389="","",IF(ISNUMBER($A1389),IF(AND($A1389&gt;=10000101,$A1389&lt;=99991231),INT($A1389/10000),""),IFERROR(VALUE(TRIM(LEFT($A1389,FIND("/",$A1389)-1))),"")))</f>
        <v/>
      </c>
      <c r="C1389">
        <f>IF(OR($A1389="",$B1389=""),"",IF(ISNUMBER($A1389),INT(MOD($A1389,10000)/100),IFERROR(VALUE(TRIM(LEFT(MID($A1389,FIND("/",$A1389)+1,20),FIND("/",MID($A1389,FIND("/",$A1389)+1,20))-1))),"")))</f>
        <v/>
      </c>
      <c r="D1389">
        <f>IF(OR($A1389="",$B1389=""),"",IF(ISNUMBER($A1389),MOD($A1389,100),IFERROR(VALUE(TRIM(MID(MID($A1389,FIND("/",$A1389)+1,20),FIND("/",MID($A1389,FIND("/",$A1389)+1,20))+1,20))),"")))</f>
        <v/>
      </c>
      <c r="E1389">
        <f>IF($A1389="","",IF(OR($B1389="",$C1389="",$D1389="",$B1389&lt;1300,$B1389&gt;1500,$C1389&lt;1,$C1389&gt;12,$D1389&lt;1,$D1389&gt;31),"نامعتبر",RIGHT("0000"&amp;$B1389,4)&amp;"/"&amp;RIGHT("00"&amp;$C1389,2)&amp;"/"&amp;RIGHT("00"&amp;$D1389,2)))</f>
        <v/>
      </c>
      <c r="F1389">
        <f>IF(Entry!$D1389&lt;&gt;"",IF(AND(ISNUMBER(Entry!$D1389),Entry!$D1389&gt;=0,Entry!$D1389&lt;1),RIGHT("00"&amp;HOUR(Entry!$D1389),2)&amp;":"&amp;RIGHT("00"&amp;MINUTE(Entry!$D1389),2),IFERROR(RIGHT("00"&amp;VALUE(TRIM(LEFT(Entry!$D1389,FIND(":",Entry!$D1389)-1))),2)&amp;":"&amp;RIGHT("00"&amp;VALUE(TRIM(MID(Entry!$D1389,FIND(":",Entry!$D1389)+1,2))),2),"نامعتبر")),IF(OR($E1389="",$E1389="نامعتبر"),"","00:00"))</f>
        <v/>
      </c>
      <c r="G1389">
        <f>IF(OR($E1389="",$E1389="نامعتبر"),"",IF(Entry!$E1389="","",LEFT(UPPER(TRIM(Entry!$E1389)),6)))</f>
        <v/>
      </c>
      <c r="H1389">
        <f>IF($G1389="","",RIGHT($E1389,4)&amp;MID($E1389,6,2)&amp;RIGHT($E1389,2)&amp;IF($F1389="","0000",IF($F1389="نامعتبر","9999",LEFT($F1389,2)&amp;RIGHT($F1389,2)))&amp;"|"&amp;RIGHT("00000"&amp;1381,5))</f>
        <v/>
      </c>
      <c r="I1389">
        <f>IF($H1389="","",COUNTIFS(CalcBank,$G1389,CalcKey,"&lt;"&amp;$H1389)+1)</f>
        <v/>
      </c>
      <c r="J1389">
        <f>IF($I1389="","",$G1389&amp;"|"&amp;RIGHT("000000"&amp;$I1389,6))</f>
        <v/>
      </c>
      <c r="K1389">
        <f>IF(OR($E1389="",$E1389="نامعتبر"),"",LEFT($E1389,4)&amp;"/"&amp;MID($E1389,6,2))</f>
        <v/>
      </c>
      <c r="L1389">
        <f>IF(Entry!$K1389="",0,Entry!$K1389)</f>
        <v/>
      </c>
      <c r="M1389">
        <f>IF(Entry!$L1389="",0,Entry!$L1389)</f>
        <v/>
      </c>
    </row>
    <row r="1390">
      <c r="A1390">
        <f>IF(Entry!$C1390="","",Entry!$C1390)</f>
        <v/>
      </c>
      <c r="B1390">
        <f>IF($A1390="","",IF(ISNUMBER($A1390),IF(AND($A1390&gt;=10000101,$A1390&lt;=99991231),INT($A1390/10000),""),IFERROR(VALUE(TRIM(LEFT($A1390,FIND("/",$A1390)-1))),"")))</f>
        <v/>
      </c>
      <c r="C1390">
        <f>IF(OR($A1390="",$B1390=""),"",IF(ISNUMBER($A1390),INT(MOD($A1390,10000)/100),IFERROR(VALUE(TRIM(LEFT(MID($A1390,FIND("/",$A1390)+1,20),FIND("/",MID($A1390,FIND("/",$A1390)+1,20))-1))),"")))</f>
        <v/>
      </c>
      <c r="D1390">
        <f>IF(OR($A1390="",$B1390=""),"",IF(ISNUMBER($A1390),MOD($A1390,100),IFERROR(VALUE(TRIM(MID(MID($A1390,FIND("/",$A1390)+1,20),FIND("/",MID($A1390,FIND("/",$A1390)+1,20))+1,20))),"")))</f>
        <v/>
      </c>
      <c r="E1390">
        <f>IF($A1390="","",IF(OR($B1390="",$C1390="",$D1390="",$B1390&lt;1300,$B1390&gt;1500,$C1390&lt;1,$C1390&gt;12,$D1390&lt;1,$D1390&gt;31),"نامعتبر",RIGHT("0000"&amp;$B1390,4)&amp;"/"&amp;RIGHT("00"&amp;$C1390,2)&amp;"/"&amp;RIGHT("00"&amp;$D1390,2)))</f>
        <v/>
      </c>
      <c r="F1390">
        <f>IF(Entry!$D1390&lt;&gt;"",IF(AND(ISNUMBER(Entry!$D1390),Entry!$D1390&gt;=0,Entry!$D1390&lt;1),RIGHT("00"&amp;HOUR(Entry!$D1390),2)&amp;":"&amp;RIGHT("00"&amp;MINUTE(Entry!$D1390),2),IFERROR(RIGHT("00"&amp;VALUE(TRIM(LEFT(Entry!$D1390,FIND(":",Entry!$D1390)-1))),2)&amp;":"&amp;RIGHT("00"&amp;VALUE(TRIM(MID(Entry!$D1390,FIND(":",Entry!$D1390)+1,2))),2),"نامعتبر")),IF(OR($E1390="",$E1390="نامعتبر"),"","00:00"))</f>
        <v/>
      </c>
      <c r="G1390">
        <f>IF(OR($E1390="",$E1390="نامعتبر"),"",IF(Entry!$E1390="","",LEFT(UPPER(TRIM(Entry!$E1390)),6)))</f>
        <v/>
      </c>
      <c r="H1390">
        <f>IF($G1390="","",RIGHT($E1390,4)&amp;MID($E1390,6,2)&amp;RIGHT($E1390,2)&amp;IF($F1390="","0000",IF($F1390="نامعتبر","9999",LEFT($F1390,2)&amp;RIGHT($F1390,2)))&amp;"|"&amp;RIGHT("00000"&amp;1382,5))</f>
        <v/>
      </c>
      <c r="I1390">
        <f>IF($H1390="","",COUNTIFS(CalcBank,$G1390,CalcKey,"&lt;"&amp;$H1390)+1)</f>
        <v/>
      </c>
      <c r="J1390">
        <f>IF($I1390="","",$G1390&amp;"|"&amp;RIGHT("000000"&amp;$I1390,6))</f>
        <v/>
      </c>
      <c r="K1390">
        <f>IF(OR($E1390="",$E1390="نامعتبر"),"",LEFT($E1390,4)&amp;"/"&amp;MID($E1390,6,2))</f>
        <v/>
      </c>
      <c r="L1390">
        <f>IF(Entry!$K1390="",0,Entry!$K1390)</f>
        <v/>
      </c>
      <c r="M1390">
        <f>IF(Entry!$L1390="",0,Entry!$L1390)</f>
        <v/>
      </c>
    </row>
    <row r="1391">
      <c r="A1391">
        <f>IF(Entry!$C1391="","",Entry!$C1391)</f>
        <v/>
      </c>
      <c r="B1391">
        <f>IF($A1391="","",IF(ISNUMBER($A1391),IF(AND($A1391&gt;=10000101,$A1391&lt;=99991231),INT($A1391/10000),""),IFERROR(VALUE(TRIM(LEFT($A1391,FIND("/",$A1391)-1))),"")))</f>
        <v/>
      </c>
      <c r="C1391">
        <f>IF(OR($A1391="",$B1391=""),"",IF(ISNUMBER($A1391),INT(MOD($A1391,10000)/100),IFERROR(VALUE(TRIM(LEFT(MID($A1391,FIND("/",$A1391)+1,20),FIND("/",MID($A1391,FIND("/",$A1391)+1,20))-1))),"")))</f>
        <v/>
      </c>
      <c r="D1391">
        <f>IF(OR($A1391="",$B1391=""),"",IF(ISNUMBER($A1391),MOD($A1391,100),IFERROR(VALUE(TRIM(MID(MID($A1391,FIND("/",$A1391)+1,20),FIND("/",MID($A1391,FIND("/",$A1391)+1,20))+1,20))),"")))</f>
        <v/>
      </c>
      <c r="E1391">
        <f>IF($A1391="","",IF(OR($B1391="",$C1391="",$D1391="",$B1391&lt;1300,$B1391&gt;1500,$C1391&lt;1,$C1391&gt;12,$D1391&lt;1,$D1391&gt;31),"نامعتبر",RIGHT("0000"&amp;$B1391,4)&amp;"/"&amp;RIGHT("00"&amp;$C1391,2)&amp;"/"&amp;RIGHT("00"&amp;$D1391,2)))</f>
        <v/>
      </c>
      <c r="F1391">
        <f>IF(Entry!$D1391&lt;&gt;"",IF(AND(ISNUMBER(Entry!$D1391),Entry!$D1391&gt;=0,Entry!$D1391&lt;1),RIGHT("00"&amp;HOUR(Entry!$D1391),2)&amp;":"&amp;RIGHT("00"&amp;MINUTE(Entry!$D1391),2),IFERROR(RIGHT("00"&amp;VALUE(TRIM(LEFT(Entry!$D1391,FIND(":",Entry!$D1391)-1))),2)&amp;":"&amp;RIGHT("00"&amp;VALUE(TRIM(MID(Entry!$D1391,FIND(":",Entry!$D1391)+1,2))),2),"نامعتبر")),IF(OR($E1391="",$E1391="نامعتبر"),"","00:00"))</f>
        <v/>
      </c>
      <c r="G1391">
        <f>IF(OR($E1391="",$E1391="نامعتبر"),"",IF(Entry!$E1391="","",LEFT(UPPER(TRIM(Entry!$E1391)),6)))</f>
        <v/>
      </c>
      <c r="H1391">
        <f>IF($G1391="","",RIGHT($E1391,4)&amp;MID($E1391,6,2)&amp;RIGHT($E1391,2)&amp;IF($F1391="","0000",IF($F1391="نامعتبر","9999",LEFT($F1391,2)&amp;RIGHT($F1391,2)))&amp;"|"&amp;RIGHT("00000"&amp;1383,5))</f>
        <v/>
      </c>
      <c r="I1391">
        <f>IF($H1391="","",COUNTIFS(CalcBank,$G1391,CalcKey,"&lt;"&amp;$H1391)+1)</f>
        <v/>
      </c>
      <c r="J1391">
        <f>IF($I1391="","",$G1391&amp;"|"&amp;RIGHT("000000"&amp;$I1391,6))</f>
        <v/>
      </c>
      <c r="K1391">
        <f>IF(OR($E1391="",$E1391="نامعتبر"),"",LEFT($E1391,4)&amp;"/"&amp;MID($E1391,6,2))</f>
        <v/>
      </c>
      <c r="L1391">
        <f>IF(Entry!$K1391="",0,Entry!$K1391)</f>
        <v/>
      </c>
      <c r="M1391">
        <f>IF(Entry!$L1391="",0,Entry!$L1391)</f>
        <v/>
      </c>
    </row>
    <row r="1392">
      <c r="A1392">
        <f>IF(Entry!$C1392="","",Entry!$C1392)</f>
        <v/>
      </c>
      <c r="B1392">
        <f>IF($A1392="","",IF(ISNUMBER($A1392),IF(AND($A1392&gt;=10000101,$A1392&lt;=99991231),INT($A1392/10000),""),IFERROR(VALUE(TRIM(LEFT($A1392,FIND("/",$A1392)-1))),"")))</f>
        <v/>
      </c>
      <c r="C1392">
        <f>IF(OR($A1392="",$B1392=""),"",IF(ISNUMBER($A1392),INT(MOD($A1392,10000)/100),IFERROR(VALUE(TRIM(LEFT(MID($A1392,FIND("/",$A1392)+1,20),FIND("/",MID($A1392,FIND("/",$A1392)+1,20))-1))),"")))</f>
        <v/>
      </c>
      <c r="D1392">
        <f>IF(OR($A1392="",$B1392=""),"",IF(ISNUMBER($A1392),MOD($A1392,100),IFERROR(VALUE(TRIM(MID(MID($A1392,FIND("/",$A1392)+1,20),FIND("/",MID($A1392,FIND("/",$A1392)+1,20))+1,20))),"")))</f>
        <v/>
      </c>
      <c r="E1392">
        <f>IF($A1392="","",IF(OR($B1392="",$C1392="",$D1392="",$B1392&lt;1300,$B1392&gt;1500,$C1392&lt;1,$C1392&gt;12,$D1392&lt;1,$D1392&gt;31),"نامعتبر",RIGHT("0000"&amp;$B1392,4)&amp;"/"&amp;RIGHT("00"&amp;$C1392,2)&amp;"/"&amp;RIGHT("00"&amp;$D1392,2)))</f>
        <v/>
      </c>
      <c r="F1392">
        <f>IF(Entry!$D1392&lt;&gt;"",IF(AND(ISNUMBER(Entry!$D1392),Entry!$D1392&gt;=0,Entry!$D1392&lt;1),RIGHT("00"&amp;HOUR(Entry!$D1392),2)&amp;":"&amp;RIGHT("00"&amp;MINUTE(Entry!$D1392),2),IFERROR(RIGHT("00"&amp;VALUE(TRIM(LEFT(Entry!$D1392,FIND(":",Entry!$D1392)-1))),2)&amp;":"&amp;RIGHT("00"&amp;VALUE(TRIM(MID(Entry!$D1392,FIND(":",Entry!$D1392)+1,2))),2),"نامعتبر")),IF(OR($E1392="",$E1392="نامعتبر"),"","00:00"))</f>
        <v/>
      </c>
      <c r="G1392">
        <f>IF(OR($E1392="",$E1392="نامعتبر"),"",IF(Entry!$E1392="","",LEFT(UPPER(TRIM(Entry!$E1392)),6)))</f>
        <v/>
      </c>
      <c r="H1392">
        <f>IF($G1392="","",RIGHT($E1392,4)&amp;MID($E1392,6,2)&amp;RIGHT($E1392,2)&amp;IF($F1392="","0000",IF($F1392="نامعتبر","9999",LEFT($F1392,2)&amp;RIGHT($F1392,2)))&amp;"|"&amp;RIGHT("00000"&amp;1384,5))</f>
        <v/>
      </c>
      <c r="I1392">
        <f>IF($H1392="","",COUNTIFS(CalcBank,$G1392,CalcKey,"&lt;"&amp;$H1392)+1)</f>
        <v/>
      </c>
      <c r="J1392">
        <f>IF($I1392="","",$G1392&amp;"|"&amp;RIGHT("000000"&amp;$I1392,6))</f>
        <v/>
      </c>
      <c r="K1392">
        <f>IF(OR($E1392="",$E1392="نامعتبر"),"",LEFT($E1392,4)&amp;"/"&amp;MID($E1392,6,2))</f>
        <v/>
      </c>
      <c r="L1392">
        <f>IF(Entry!$K1392="",0,Entry!$K1392)</f>
        <v/>
      </c>
      <c r="M1392">
        <f>IF(Entry!$L1392="",0,Entry!$L1392)</f>
        <v/>
      </c>
    </row>
    <row r="1393">
      <c r="A1393">
        <f>IF(Entry!$C1393="","",Entry!$C1393)</f>
        <v/>
      </c>
      <c r="B1393">
        <f>IF($A1393="","",IF(ISNUMBER($A1393),IF(AND($A1393&gt;=10000101,$A1393&lt;=99991231),INT($A1393/10000),""),IFERROR(VALUE(TRIM(LEFT($A1393,FIND("/",$A1393)-1))),"")))</f>
        <v/>
      </c>
      <c r="C1393">
        <f>IF(OR($A1393="",$B1393=""),"",IF(ISNUMBER($A1393),INT(MOD($A1393,10000)/100),IFERROR(VALUE(TRIM(LEFT(MID($A1393,FIND("/",$A1393)+1,20),FIND("/",MID($A1393,FIND("/",$A1393)+1,20))-1))),"")))</f>
        <v/>
      </c>
      <c r="D1393">
        <f>IF(OR($A1393="",$B1393=""),"",IF(ISNUMBER($A1393),MOD($A1393,100),IFERROR(VALUE(TRIM(MID(MID($A1393,FIND("/",$A1393)+1,20),FIND("/",MID($A1393,FIND("/",$A1393)+1,20))+1,20))),"")))</f>
        <v/>
      </c>
      <c r="E1393">
        <f>IF($A1393="","",IF(OR($B1393="",$C1393="",$D1393="",$B1393&lt;1300,$B1393&gt;1500,$C1393&lt;1,$C1393&gt;12,$D1393&lt;1,$D1393&gt;31),"نامعتبر",RIGHT("0000"&amp;$B1393,4)&amp;"/"&amp;RIGHT("00"&amp;$C1393,2)&amp;"/"&amp;RIGHT("00"&amp;$D1393,2)))</f>
        <v/>
      </c>
      <c r="F1393">
        <f>IF(Entry!$D1393&lt;&gt;"",IF(AND(ISNUMBER(Entry!$D1393),Entry!$D1393&gt;=0,Entry!$D1393&lt;1),RIGHT("00"&amp;HOUR(Entry!$D1393),2)&amp;":"&amp;RIGHT("00"&amp;MINUTE(Entry!$D1393),2),IFERROR(RIGHT("00"&amp;VALUE(TRIM(LEFT(Entry!$D1393,FIND(":",Entry!$D1393)-1))),2)&amp;":"&amp;RIGHT("00"&amp;VALUE(TRIM(MID(Entry!$D1393,FIND(":",Entry!$D1393)+1,2))),2),"نامعتبر")),IF(OR($E1393="",$E1393="نامعتبر"),"","00:00"))</f>
        <v/>
      </c>
      <c r="G1393">
        <f>IF(OR($E1393="",$E1393="نامعتبر"),"",IF(Entry!$E1393="","",LEFT(UPPER(TRIM(Entry!$E1393)),6)))</f>
        <v/>
      </c>
      <c r="H1393">
        <f>IF($G1393="","",RIGHT($E1393,4)&amp;MID($E1393,6,2)&amp;RIGHT($E1393,2)&amp;IF($F1393="","0000",IF($F1393="نامعتبر","9999",LEFT($F1393,2)&amp;RIGHT($F1393,2)))&amp;"|"&amp;RIGHT("00000"&amp;1385,5))</f>
        <v/>
      </c>
      <c r="I1393">
        <f>IF($H1393="","",COUNTIFS(CalcBank,$G1393,CalcKey,"&lt;"&amp;$H1393)+1)</f>
        <v/>
      </c>
      <c r="J1393">
        <f>IF($I1393="","",$G1393&amp;"|"&amp;RIGHT("000000"&amp;$I1393,6))</f>
        <v/>
      </c>
      <c r="K1393">
        <f>IF(OR($E1393="",$E1393="نامعتبر"),"",LEFT($E1393,4)&amp;"/"&amp;MID($E1393,6,2))</f>
        <v/>
      </c>
      <c r="L1393">
        <f>IF(Entry!$K1393="",0,Entry!$K1393)</f>
        <v/>
      </c>
      <c r="M1393">
        <f>IF(Entry!$L1393="",0,Entry!$L1393)</f>
        <v/>
      </c>
    </row>
    <row r="1394">
      <c r="A1394">
        <f>IF(Entry!$C1394="","",Entry!$C1394)</f>
        <v/>
      </c>
      <c r="B1394">
        <f>IF($A1394="","",IF(ISNUMBER($A1394),IF(AND($A1394&gt;=10000101,$A1394&lt;=99991231),INT($A1394/10000),""),IFERROR(VALUE(TRIM(LEFT($A1394,FIND("/",$A1394)-1))),"")))</f>
        <v/>
      </c>
      <c r="C1394">
        <f>IF(OR($A1394="",$B1394=""),"",IF(ISNUMBER($A1394),INT(MOD($A1394,10000)/100),IFERROR(VALUE(TRIM(LEFT(MID($A1394,FIND("/",$A1394)+1,20),FIND("/",MID($A1394,FIND("/",$A1394)+1,20))-1))),"")))</f>
        <v/>
      </c>
      <c r="D1394">
        <f>IF(OR($A1394="",$B1394=""),"",IF(ISNUMBER($A1394),MOD($A1394,100),IFERROR(VALUE(TRIM(MID(MID($A1394,FIND("/",$A1394)+1,20),FIND("/",MID($A1394,FIND("/",$A1394)+1,20))+1,20))),"")))</f>
        <v/>
      </c>
      <c r="E1394">
        <f>IF($A1394="","",IF(OR($B1394="",$C1394="",$D1394="",$B1394&lt;1300,$B1394&gt;1500,$C1394&lt;1,$C1394&gt;12,$D1394&lt;1,$D1394&gt;31),"نامعتبر",RIGHT("0000"&amp;$B1394,4)&amp;"/"&amp;RIGHT("00"&amp;$C1394,2)&amp;"/"&amp;RIGHT("00"&amp;$D1394,2)))</f>
        <v/>
      </c>
      <c r="F1394">
        <f>IF(Entry!$D1394&lt;&gt;"",IF(AND(ISNUMBER(Entry!$D1394),Entry!$D1394&gt;=0,Entry!$D1394&lt;1),RIGHT("00"&amp;HOUR(Entry!$D1394),2)&amp;":"&amp;RIGHT("00"&amp;MINUTE(Entry!$D1394),2),IFERROR(RIGHT("00"&amp;VALUE(TRIM(LEFT(Entry!$D1394,FIND(":",Entry!$D1394)-1))),2)&amp;":"&amp;RIGHT("00"&amp;VALUE(TRIM(MID(Entry!$D1394,FIND(":",Entry!$D1394)+1,2))),2),"نامعتبر")),IF(OR($E1394="",$E1394="نامعتبر"),"","00:00"))</f>
        <v/>
      </c>
      <c r="G1394">
        <f>IF(OR($E1394="",$E1394="نامعتبر"),"",IF(Entry!$E1394="","",LEFT(UPPER(TRIM(Entry!$E1394)),6)))</f>
        <v/>
      </c>
      <c r="H1394">
        <f>IF($G1394="","",RIGHT($E1394,4)&amp;MID($E1394,6,2)&amp;RIGHT($E1394,2)&amp;IF($F1394="","0000",IF($F1394="نامعتبر","9999",LEFT($F1394,2)&amp;RIGHT($F1394,2)))&amp;"|"&amp;RIGHT("00000"&amp;1386,5))</f>
        <v/>
      </c>
      <c r="I1394">
        <f>IF($H1394="","",COUNTIFS(CalcBank,$G1394,CalcKey,"&lt;"&amp;$H1394)+1)</f>
        <v/>
      </c>
      <c r="J1394">
        <f>IF($I1394="","",$G1394&amp;"|"&amp;RIGHT("000000"&amp;$I1394,6))</f>
        <v/>
      </c>
      <c r="K1394">
        <f>IF(OR($E1394="",$E1394="نامعتبر"),"",LEFT($E1394,4)&amp;"/"&amp;MID($E1394,6,2))</f>
        <v/>
      </c>
      <c r="L1394">
        <f>IF(Entry!$K1394="",0,Entry!$K1394)</f>
        <v/>
      </c>
      <c r="M1394">
        <f>IF(Entry!$L1394="",0,Entry!$L1394)</f>
        <v/>
      </c>
    </row>
    <row r="1395">
      <c r="A1395">
        <f>IF(Entry!$C1395="","",Entry!$C1395)</f>
        <v/>
      </c>
      <c r="B1395">
        <f>IF($A1395="","",IF(ISNUMBER($A1395),IF(AND($A1395&gt;=10000101,$A1395&lt;=99991231),INT($A1395/10000),""),IFERROR(VALUE(TRIM(LEFT($A1395,FIND("/",$A1395)-1))),"")))</f>
        <v/>
      </c>
      <c r="C1395">
        <f>IF(OR($A1395="",$B1395=""),"",IF(ISNUMBER($A1395),INT(MOD($A1395,10000)/100),IFERROR(VALUE(TRIM(LEFT(MID($A1395,FIND("/",$A1395)+1,20),FIND("/",MID($A1395,FIND("/",$A1395)+1,20))-1))),"")))</f>
        <v/>
      </c>
      <c r="D1395">
        <f>IF(OR($A1395="",$B1395=""),"",IF(ISNUMBER($A1395),MOD($A1395,100),IFERROR(VALUE(TRIM(MID(MID($A1395,FIND("/",$A1395)+1,20),FIND("/",MID($A1395,FIND("/",$A1395)+1,20))+1,20))),"")))</f>
        <v/>
      </c>
      <c r="E1395">
        <f>IF($A1395="","",IF(OR($B1395="",$C1395="",$D1395="",$B1395&lt;1300,$B1395&gt;1500,$C1395&lt;1,$C1395&gt;12,$D1395&lt;1,$D1395&gt;31),"نامعتبر",RIGHT("0000"&amp;$B1395,4)&amp;"/"&amp;RIGHT("00"&amp;$C1395,2)&amp;"/"&amp;RIGHT("00"&amp;$D1395,2)))</f>
        <v/>
      </c>
      <c r="F1395">
        <f>IF(Entry!$D1395&lt;&gt;"",IF(AND(ISNUMBER(Entry!$D1395),Entry!$D1395&gt;=0,Entry!$D1395&lt;1),RIGHT("00"&amp;HOUR(Entry!$D1395),2)&amp;":"&amp;RIGHT("00"&amp;MINUTE(Entry!$D1395),2),IFERROR(RIGHT("00"&amp;VALUE(TRIM(LEFT(Entry!$D1395,FIND(":",Entry!$D1395)-1))),2)&amp;":"&amp;RIGHT("00"&amp;VALUE(TRIM(MID(Entry!$D1395,FIND(":",Entry!$D1395)+1,2))),2),"نامعتبر")),IF(OR($E1395="",$E1395="نامعتبر"),"","00:00"))</f>
        <v/>
      </c>
      <c r="G1395">
        <f>IF(OR($E1395="",$E1395="نامعتبر"),"",IF(Entry!$E1395="","",LEFT(UPPER(TRIM(Entry!$E1395)),6)))</f>
        <v/>
      </c>
      <c r="H1395">
        <f>IF($G1395="","",RIGHT($E1395,4)&amp;MID($E1395,6,2)&amp;RIGHT($E1395,2)&amp;IF($F1395="","0000",IF($F1395="نامعتبر","9999",LEFT($F1395,2)&amp;RIGHT($F1395,2)))&amp;"|"&amp;RIGHT("00000"&amp;1387,5))</f>
        <v/>
      </c>
      <c r="I1395">
        <f>IF($H1395="","",COUNTIFS(CalcBank,$G1395,CalcKey,"&lt;"&amp;$H1395)+1)</f>
        <v/>
      </c>
      <c r="J1395">
        <f>IF($I1395="","",$G1395&amp;"|"&amp;RIGHT("000000"&amp;$I1395,6))</f>
        <v/>
      </c>
      <c r="K1395">
        <f>IF(OR($E1395="",$E1395="نامعتبر"),"",LEFT($E1395,4)&amp;"/"&amp;MID($E1395,6,2))</f>
        <v/>
      </c>
      <c r="L1395">
        <f>IF(Entry!$K1395="",0,Entry!$K1395)</f>
        <v/>
      </c>
      <c r="M1395">
        <f>IF(Entry!$L1395="",0,Entry!$L1395)</f>
        <v/>
      </c>
    </row>
    <row r="1396">
      <c r="A1396">
        <f>IF(Entry!$C1396="","",Entry!$C1396)</f>
        <v/>
      </c>
      <c r="B1396">
        <f>IF($A1396="","",IF(ISNUMBER($A1396),IF(AND($A1396&gt;=10000101,$A1396&lt;=99991231),INT($A1396/10000),""),IFERROR(VALUE(TRIM(LEFT($A1396,FIND("/",$A1396)-1))),"")))</f>
        <v/>
      </c>
      <c r="C1396">
        <f>IF(OR($A1396="",$B1396=""),"",IF(ISNUMBER($A1396),INT(MOD($A1396,10000)/100),IFERROR(VALUE(TRIM(LEFT(MID($A1396,FIND("/",$A1396)+1,20),FIND("/",MID($A1396,FIND("/",$A1396)+1,20))-1))),"")))</f>
        <v/>
      </c>
      <c r="D1396">
        <f>IF(OR($A1396="",$B1396=""),"",IF(ISNUMBER($A1396),MOD($A1396,100),IFERROR(VALUE(TRIM(MID(MID($A1396,FIND("/",$A1396)+1,20),FIND("/",MID($A1396,FIND("/",$A1396)+1,20))+1,20))),"")))</f>
        <v/>
      </c>
      <c r="E1396">
        <f>IF($A1396="","",IF(OR($B1396="",$C1396="",$D1396="",$B1396&lt;1300,$B1396&gt;1500,$C1396&lt;1,$C1396&gt;12,$D1396&lt;1,$D1396&gt;31),"نامعتبر",RIGHT("0000"&amp;$B1396,4)&amp;"/"&amp;RIGHT("00"&amp;$C1396,2)&amp;"/"&amp;RIGHT("00"&amp;$D1396,2)))</f>
        <v/>
      </c>
      <c r="F1396">
        <f>IF(Entry!$D1396&lt;&gt;"",IF(AND(ISNUMBER(Entry!$D1396),Entry!$D1396&gt;=0,Entry!$D1396&lt;1),RIGHT("00"&amp;HOUR(Entry!$D1396),2)&amp;":"&amp;RIGHT("00"&amp;MINUTE(Entry!$D1396),2),IFERROR(RIGHT("00"&amp;VALUE(TRIM(LEFT(Entry!$D1396,FIND(":",Entry!$D1396)-1))),2)&amp;":"&amp;RIGHT("00"&amp;VALUE(TRIM(MID(Entry!$D1396,FIND(":",Entry!$D1396)+1,2))),2),"نامعتبر")),IF(OR($E1396="",$E1396="نامعتبر"),"","00:00"))</f>
        <v/>
      </c>
      <c r="G1396">
        <f>IF(OR($E1396="",$E1396="نامعتبر"),"",IF(Entry!$E1396="","",LEFT(UPPER(TRIM(Entry!$E1396)),6)))</f>
        <v/>
      </c>
      <c r="H1396">
        <f>IF($G1396="","",RIGHT($E1396,4)&amp;MID($E1396,6,2)&amp;RIGHT($E1396,2)&amp;IF($F1396="","0000",IF($F1396="نامعتبر","9999",LEFT($F1396,2)&amp;RIGHT($F1396,2)))&amp;"|"&amp;RIGHT("00000"&amp;1388,5))</f>
        <v/>
      </c>
      <c r="I1396">
        <f>IF($H1396="","",COUNTIFS(CalcBank,$G1396,CalcKey,"&lt;"&amp;$H1396)+1)</f>
        <v/>
      </c>
      <c r="J1396">
        <f>IF($I1396="","",$G1396&amp;"|"&amp;RIGHT("000000"&amp;$I1396,6))</f>
        <v/>
      </c>
      <c r="K1396">
        <f>IF(OR($E1396="",$E1396="نامعتبر"),"",LEFT($E1396,4)&amp;"/"&amp;MID($E1396,6,2))</f>
        <v/>
      </c>
      <c r="L1396">
        <f>IF(Entry!$K1396="",0,Entry!$K1396)</f>
        <v/>
      </c>
      <c r="M1396">
        <f>IF(Entry!$L1396="",0,Entry!$L1396)</f>
        <v/>
      </c>
    </row>
    <row r="1397">
      <c r="A1397">
        <f>IF(Entry!$C1397="","",Entry!$C1397)</f>
        <v/>
      </c>
      <c r="B1397">
        <f>IF($A1397="","",IF(ISNUMBER($A1397),IF(AND($A1397&gt;=10000101,$A1397&lt;=99991231),INT($A1397/10000),""),IFERROR(VALUE(TRIM(LEFT($A1397,FIND("/",$A1397)-1))),"")))</f>
        <v/>
      </c>
      <c r="C1397">
        <f>IF(OR($A1397="",$B1397=""),"",IF(ISNUMBER($A1397),INT(MOD($A1397,10000)/100),IFERROR(VALUE(TRIM(LEFT(MID($A1397,FIND("/",$A1397)+1,20),FIND("/",MID($A1397,FIND("/",$A1397)+1,20))-1))),"")))</f>
        <v/>
      </c>
      <c r="D1397">
        <f>IF(OR($A1397="",$B1397=""),"",IF(ISNUMBER($A1397),MOD($A1397,100),IFERROR(VALUE(TRIM(MID(MID($A1397,FIND("/",$A1397)+1,20),FIND("/",MID($A1397,FIND("/",$A1397)+1,20))+1,20))),"")))</f>
        <v/>
      </c>
      <c r="E1397">
        <f>IF($A1397="","",IF(OR($B1397="",$C1397="",$D1397="",$B1397&lt;1300,$B1397&gt;1500,$C1397&lt;1,$C1397&gt;12,$D1397&lt;1,$D1397&gt;31),"نامعتبر",RIGHT("0000"&amp;$B1397,4)&amp;"/"&amp;RIGHT("00"&amp;$C1397,2)&amp;"/"&amp;RIGHT("00"&amp;$D1397,2)))</f>
        <v/>
      </c>
      <c r="F1397">
        <f>IF(Entry!$D1397&lt;&gt;"",IF(AND(ISNUMBER(Entry!$D1397),Entry!$D1397&gt;=0,Entry!$D1397&lt;1),RIGHT("00"&amp;HOUR(Entry!$D1397),2)&amp;":"&amp;RIGHT("00"&amp;MINUTE(Entry!$D1397),2),IFERROR(RIGHT("00"&amp;VALUE(TRIM(LEFT(Entry!$D1397,FIND(":",Entry!$D1397)-1))),2)&amp;":"&amp;RIGHT("00"&amp;VALUE(TRIM(MID(Entry!$D1397,FIND(":",Entry!$D1397)+1,2))),2),"نامعتبر")),IF(OR($E1397="",$E1397="نامعتبر"),"","00:00"))</f>
        <v/>
      </c>
      <c r="G1397">
        <f>IF(OR($E1397="",$E1397="نامعتبر"),"",IF(Entry!$E1397="","",LEFT(UPPER(TRIM(Entry!$E1397)),6)))</f>
        <v/>
      </c>
      <c r="H1397">
        <f>IF($G1397="","",RIGHT($E1397,4)&amp;MID($E1397,6,2)&amp;RIGHT($E1397,2)&amp;IF($F1397="","0000",IF($F1397="نامعتبر","9999",LEFT($F1397,2)&amp;RIGHT($F1397,2)))&amp;"|"&amp;RIGHT("00000"&amp;1389,5))</f>
        <v/>
      </c>
      <c r="I1397">
        <f>IF($H1397="","",COUNTIFS(CalcBank,$G1397,CalcKey,"&lt;"&amp;$H1397)+1)</f>
        <v/>
      </c>
      <c r="J1397">
        <f>IF($I1397="","",$G1397&amp;"|"&amp;RIGHT("000000"&amp;$I1397,6))</f>
        <v/>
      </c>
      <c r="K1397">
        <f>IF(OR($E1397="",$E1397="نامعتبر"),"",LEFT($E1397,4)&amp;"/"&amp;MID($E1397,6,2))</f>
        <v/>
      </c>
      <c r="L1397">
        <f>IF(Entry!$K1397="",0,Entry!$K1397)</f>
        <v/>
      </c>
      <c r="M1397">
        <f>IF(Entry!$L1397="",0,Entry!$L1397)</f>
        <v/>
      </c>
    </row>
    <row r="1398">
      <c r="A1398">
        <f>IF(Entry!$C1398="","",Entry!$C1398)</f>
        <v/>
      </c>
      <c r="B1398">
        <f>IF($A1398="","",IF(ISNUMBER($A1398),IF(AND($A1398&gt;=10000101,$A1398&lt;=99991231),INT($A1398/10000),""),IFERROR(VALUE(TRIM(LEFT($A1398,FIND("/",$A1398)-1))),"")))</f>
        <v/>
      </c>
      <c r="C1398">
        <f>IF(OR($A1398="",$B1398=""),"",IF(ISNUMBER($A1398),INT(MOD($A1398,10000)/100),IFERROR(VALUE(TRIM(LEFT(MID($A1398,FIND("/",$A1398)+1,20),FIND("/",MID($A1398,FIND("/",$A1398)+1,20))-1))),"")))</f>
        <v/>
      </c>
      <c r="D1398">
        <f>IF(OR($A1398="",$B1398=""),"",IF(ISNUMBER($A1398),MOD($A1398,100),IFERROR(VALUE(TRIM(MID(MID($A1398,FIND("/",$A1398)+1,20),FIND("/",MID($A1398,FIND("/",$A1398)+1,20))+1,20))),"")))</f>
        <v/>
      </c>
      <c r="E1398">
        <f>IF($A1398="","",IF(OR($B1398="",$C1398="",$D1398="",$B1398&lt;1300,$B1398&gt;1500,$C1398&lt;1,$C1398&gt;12,$D1398&lt;1,$D1398&gt;31),"نامعتبر",RIGHT("0000"&amp;$B1398,4)&amp;"/"&amp;RIGHT("00"&amp;$C1398,2)&amp;"/"&amp;RIGHT("00"&amp;$D1398,2)))</f>
        <v/>
      </c>
      <c r="F1398">
        <f>IF(Entry!$D1398&lt;&gt;"",IF(AND(ISNUMBER(Entry!$D1398),Entry!$D1398&gt;=0,Entry!$D1398&lt;1),RIGHT("00"&amp;HOUR(Entry!$D1398),2)&amp;":"&amp;RIGHT("00"&amp;MINUTE(Entry!$D1398),2),IFERROR(RIGHT("00"&amp;VALUE(TRIM(LEFT(Entry!$D1398,FIND(":",Entry!$D1398)-1))),2)&amp;":"&amp;RIGHT("00"&amp;VALUE(TRIM(MID(Entry!$D1398,FIND(":",Entry!$D1398)+1,2))),2),"نامعتبر")),IF(OR($E1398="",$E1398="نامعتبر"),"","00:00"))</f>
        <v/>
      </c>
      <c r="G1398">
        <f>IF(OR($E1398="",$E1398="نامعتبر"),"",IF(Entry!$E1398="","",LEFT(UPPER(TRIM(Entry!$E1398)),6)))</f>
        <v/>
      </c>
      <c r="H1398">
        <f>IF($G1398="","",RIGHT($E1398,4)&amp;MID($E1398,6,2)&amp;RIGHT($E1398,2)&amp;IF($F1398="","0000",IF($F1398="نامعتبر","9999",LEFT($F1398,2)&amp;RIGHT($F1398,2)))&amp;"|"&amp;RIGHT("00000"&amp;1390,5))</f>
        <v/>
      </c>
      <c r="I1398">
        <f>IF($H1398="","",COUNTIFS(CalcBank,$G1398,CalcKey,"&lt;"&amp;$H1398)+1)</f>
        <v/>
      </c>
      <c r="J1398">
        <f>IF($I1398="","",$G1398&amp;"|"&amp;RIGHT("000000"&amp;$I1398,6))</f>
        <v/>
      </c>
      <c r="K1398">
        <f>IF(OR($E1398="",$E1398="نامعتبر"),"",LEFT($E1398,4)&amp;"/"&amp;MID($E1398,6,2))</f>
        <v/>
      </c>
      <c r="L1398">
        <f>IF(Entry!$K1398="",0,Entry!$K1398)</f>
        <v/>
      </c>
      <c r="M1398">
        <f>IF(Entry!$L1398="",0,Entry!$L1398)</f>
        <v/>
      </c>
    </row>
    <row r="1399">
      <c r="A1399">
        <f>IF(Entry!$C1399="","",Entry!$C1399)</f>
        <v/>
      </c>
      <c r="B1399">
        <f>IF($A1399="","",IF(ISNUMBER($A1399),IF(AND($A1399&gt;=10000101,$A1399&lt;=99991231),INT($A1399/10000),""),IFERROR(VALUE(TRIM(LEFT($A1399,FIND("/",$A1399)-1))),"")))</f>
        <v/>
      </c>
      <c r="C1399">
        <f>IF(OR($A1399="",$B1399=""),"",IF(ISNUMBER($A1399),INT(MOD($A1399,10000)/100),IFERROR(VALUE(TRIM(LEFT(MID($A1399,FIND("/",$A1399)+1,20),FIND("/",MID($A1399,FIND("/",$A1399)+1,20))-1))),"")))</f>
        <v/>
      </c>
      <c r="D1399">
        <f>IF(OR($A1399="",$B1399=""),"",IF(ISNUMBER($A1399),MOD($A1399,100),IFERROR(VALUE(TRIM(MID(MID($A1399,FIND("/",$A1399)+1,20),FIND("/",MID($A1399,FIND("/",$A1399)+1,20))+1,20))),"")))</f>
        <v/>
      </c>
      <c r="E1399">
        <f>IF($A1399="","",IF(OR($B1399="",$C1399="",$D1399="",$B1399&lt;1300,$B1399&gt;1500,$C1399&lt;1,$C1399&gt;12,$D1399&lt;1,$D1399&gt;31),"نامعتبر",RIGHT("0000"&amp;$B1399,4)&amp;"/"&amp;RIGHT("00"&amp;$C1399,2)&amp;"/"&amp;RIGHT("00"&amp;$D1399,2)))</f>
        <v/>
      </c>
      <c r="F1399">
        <f>IF(Entry!$D1399&lt;&gt;"",IF(AND(ISNUMBER(Entry!$D1399),Entry!$D1399&gt;=0,Entry!$D1399&lt;1),RIGHT("00"&amp;HOUR(Entry!$D1399),2)&amp;":"&amp;RIGHT("00"&amp;MINUTE(Entry!$D1399),2),IFERROR(RIGHT("00"&amp;VALUE(TRIM(LEFT(Entry!$D1399,FIND(":",Entry!$D1399)-1))),2)&amp;":"&amp;RIGHT("00"&amp;VALUE(TRIM(MID(Entry!$D1399,FIND(":",Entry!$D1399)+1,2))),2),"نامعتبر")),IF(OR($E1399="",$E1399="نامعتبر"),"","00:00"))</f>
        <v/>
      </c>
      <c r="G1399">
        <f>IF(OR($E1399="",$E1399="نامعتبر"),"",IF(Entry!$E1399="","",LEFT(UPPER(TRIM(Entry!$E1399)),6)))</f>
        <v/>
      </c>
      <c r="H1399">
        <f>IF($G1399="","",RIGHT($E1399,4)&amp;MID($E1399,6,2)&amp;RIGHT($E1399,2)&amp;IF($F1399="","0000",IF($F1399="نامعتبر","9999",LEFT($F1399,2)&amp;RIGHT($F1399,2)))&amp;"|"&amp;RIGHT("00000"&amp;1391,5))</f>
        <v/>
      </c>
      <c r="I1399">
        <f>IF($H1399="","",COUNTIFS(CalcBank,$G1399,CalcKey,"&lt;"&amp;$H1399)+1)</f>
        <v/>
      </c>
      <c r="J1399">
        <f>IF($I1399="","",$G1399&amp;"|"&amp;RIGHT("000000"&amp;$I1399,6))</f>
        <v/>
      </c>
      <c r="K1399">
        <f>IF(OR($E1399="",$E1399="نامعتبر"),"",LEFT($E1399,4)&amp;"/"&amp;MID($E1399,6,2))</f>
        <v/>
      </c>
      <c r="L1399">
        <f>IF(Entry!$K1399="",0,Entry!$K1399)</f>
        <v/>
      </c>
      <c r="M1399">
        <f>IF(Entry!$L1399="",0,Entry!$L1399)</f>
        <v/>
      </c>
    </row>
    <row r="1400">
      <c r="A1400">
        <f>IF(Entry!$C1400="","",Entry!$C1400)</f>
        <v/>
      </c>
      <c r="B1400">
        <f>IF($A1400="","",IF(ISNUMBER($A1400),IF(AND($A1400&gt;=10000101,$A1400&lt;=99991231),INT($A1400/10000),""),IFERROR(VALUE(TRIM(LEFT($A1400,FIND("/",$A1400)-1))),"")))</f>
        <v/>
      </c>
      <c r="C1400">
        <f>IF(OR($A1400="",$B1400=""),"",IF(ISNUMBER($A1400),INT(MOD($A1400,10000)/100),IFERROR(VALUE(TRIM(LEFT(MID($A1400,FIND("/",$A1400)+1,20),FIND("/",MID($A1400,FIND("/",$A1400)+1,20))-1))),"")))</f>
        <v/>
      </c>
      <c r="D1400">
        <f>IF(OR($A1400="",$B1400=""),"",IF(ISNUMBER($A1400),MOD($A1400,100),IFERROR(VALUE(TRIM(MID(MID($A1400,FIND("/",$A1400)+1,20),FIND("/",MID($A1400,FIND("/",$A1400)+1,20))+1,20))),"")))</f>
        <v/>
      </c>
      <c r="E1400">
        <f>IF($A1400="","",IF(OR($B1400="",$C1400="",$D1400="",$B1400&lt;1300,$B1400&gt;1500,$C1400&lt;1,$C1400&gt;12,$D1400&lt;1,$D1400&gt;31),"نامعتبر",RIGHT("0000"&amp;$B1400,4)&amp;"/"&amp;RIGHT("00"&amp;$C1400,2)&amp;"/"&amp;RIGHT("00"&amp;$D1400,2)))</f>
        <v/>
      </c>
      <c r="F1400">
        <f>IF(Entry!$D1400&lt;&gt;"",IF(AND(ISNUMBER(Entry!$D1400),Entry!$D1400&gt;=0,Entry!$D1400&lt;1),RIGHT("00"&amp;HOUR(Entry!$D1400),2)&amp;":"&amp;RIGHT("00"&amp;MINUTE(Entry!$D1400),2),IFERROR(RIGHT("00"&amp;VALUE(TRIM(LEFT(Entry!$D1400,FIND(":",Entry!$D1400)-1))),2)&amp;":"&amp;RIGHT("00"&amp;VALUE(TRIM(MID(Entry!$D1400,FIND(":",Entry!$D1400)+1,2))),2),"نامعتبر")),IF(OR($E1400="",$E1400="نامعتبر"),"","00:00"))</f>
        <v/>
      </c>
      <c r="G1400">
        <f>IF(OR($E1400="",$E1400="نامعتبر"),"",IF(Entry!$E1400="","",LEFT(UPPER(TRIM(Entry!$E1400)),6)))</f>
        <v/>
      </c>
      <c r="H1400">
        <f>IF($G1400="","",RIGHT($E1400,4)&amp;MID($E1400,6,2)&amp;RIGHT($E1400,2)&amp;IF($F1400="","0000",IF($F1400="نامعتبر","9999",LEFT($F1400,2)&amp;RIGHT($F1400,2)))&amp;"|"&amp;RIGHT("00000"&amp;1392,5))</f>
        <v/>
      </c>
      <c r="I1400">
        <f>IF($H1400="","",COUNTIFS(CalcBank,$G1400,CalcKey,"&lt;"&amp;$H1400)+1)</f>
        <v/>
      </c>
      <c r="J1400">
        <f>IF($I1400="","",$G1400&amp;"|"&amp;RIGHT("000000"&amp;$I1400,6))</f>
        <v/>
      </c>
      <c r="K1400">
        <f>IF(OR($E1400="",$E1400="نامعتبر"),"",LEFT($E1400,4)&amp;"/"&amp;MID($E1400,6,2))</f>
        <v/>
      </c>
      <c r="L1400">
        <f>IF(Entry!$K1400="",0,Entry!$K1400)</f>
        <v/>
      </c>
      <c r="M1400">
        <f>IF(Entry!$L1400="",0,Entry!$L1400)</f>
        <v/>
      </c>
    </row>
    <row r="1401">
      <c r="A1401">
        <f>IF(Entry!$C1401="","",Entry!$C1401)</f>
        <v/>
      </c>
      <c r="B1401">
        <f>IF($A1401="","",IF(ISNUMBER($A1401),IF(AND($A1401&gt;=10000101,$A1401&lt;=99991231),INT($A1401/10000),""),IFERROR(VALUE(TRIM(LEFT($A1401,FIND("/",$A1401)-1))),"")))</f>
        <v/>
      </c>
      <c r="C1401">
        <f>IF(OR($A1401="",$B1401=""),"",IF(ISNUMBER($A1401),INT(MOD($A1401,10000)/100),IFERROR(VALUE(TRIM(LEFT(MID($A1401,FIND("/",$A1401)+1,20),FIND("/",MID($A1401,FIND("/",$A1401)+1,20))-1))),"")))</f>
        <v/>
      </c>
      <c r="D1401">
        <f>IF(OR($A1401="",$B1401=""),"",IF(ISNUMBER($A1401),MOD($A1401,100),IFERROR(VALUE(TRIM(MID(MID($A1401,FIND("/",$A1401)+1,20),FIND("/",MID($A1401,FIND("/",$A1401)+1,20))+1,20))),"")))</f>
        <v/>
      </c>
      <c r="E1401">
        <f>IF($A1401="","",IF(OR($B1401="",$C1401="",$D1401="",$B1401&lt;1300,$B1401&gt;1500,$C1401&lt;1,$C1401&gt;12,$D1401&lt;1,$D1401&gt;31),"نامعتبر",RIGHT("0000"&amp;$B1401,4)&amp;"/"&amp;RIGHT("00"&amp;$C1401,2)&amp;"/"&amp;RIGHT("00"&amp;$D1401,2)))</f>
        <v/>
      </c>
      <c r="F1401">
        <f>IF(Entry!$D1401&lt;&gt;"",IF(AND(ISNUMBER(Entry!$D1401),Entry!$D1401&gt;=0,Entry!$D1401&lt;1),RIGHT("00"&amp;HOUR(Entry!$D1401),2)&amp;":"&amp;RIGHT("00"&amp;MINUTE(Entry!$D1401),2),IFERROR(RIGHT("00"&amp;VALUE(TRIM(LEFT(Entry!$D1401,FIND(":",Entry!$D1401)-1))),2)&amp;":"&amp;RIGHT("00"&amp;VALUE(TRIM(MID(Entry!$D1401,FIND(":",Entry!$D1401)+1,2))),2),"نامعتبر")),IF(OR($E1401="",$E1401="نامعتبر"),"","00:00"))</f>
        <v/>
      </c>
      <c r="G1401">
        <f>IF(OR($E1401="",$E1401="نامعتبر"),"",IF(Entry!$E1401="","",LEFT(UPPER(TRIM(Entry!$E1401)),6)))</f>
        <v/>
      </c>
      <c r="H1401">
        <f>IF($G1401="","",RIGHT($E1401,4)&amp;MID($E1401,6,2)&amp;RIGHT($E1401,2)&amp;IF($F1401="","0000",IF($F1401="نامعتبر","9999",LEFT($F1401,2)&amp;RIGHT($F1401,2)))&amp;"|"&amp;RIGHT("00000"&amp;1393,5))</f>
        <v/>
      </c>
      <c r="I1401">
        <f>IF($H1401="","",COUNTIFS(CalcBank,$G1401,CalcKey,"&lt;"&amp;$H1401)+1)</f>
        <v/>
      </c>
      <c r="J1401">
        <f>IF($I1401="","",$G1401&amp;"|"&amp;RIGHT("000000"&amp;$I1401,6))</f>
        <v/>
      </c>
      <c r="K1401">
        <f>IF(OR($E1401="",$E1401="نامعتبر"),"",LEFT($E1401,4)&amp;"/"&amp;MID($E1401,6,2))</f>
        <v/>
      </c>
      <c r="L1401">
        <f>IF(Entry!$K1401="",0,Entry!$K1401)</f>
        <v/>
      </c>
      <c r="M1401">
        <f>IF(Entry!$L1401="",0,Entry!$L1401)</f>
        <v/>
      </c>
    </row>
    <row r="1402">
      <c r="A1402">
        <f>IF(Entry!$C1402="","",Entry!$C1402)</f>
        <v/>
      </c>
      <c r="B1402">
        <f>IF($A1402="","",IF(ISNUMBER($A1402),IF(AND($A1402&gt;=10000101,$A1402&lt;=99991231),INT($A1402/10000),""),IFERROR(VALUE(TRIM(LEFT($A1402,FIND("/",$A1402)-1))),"")))</f>
        <v/>
      </c>
      <c r="C1402">
        <f>IF(OR($A1402="",$B1402=""),"",IF(ISNUMBER($A1402),INT(MOD($A1402,10000)/100),IFERROR(VALUE(TRIM(LEFT(MID($A1402,FIND("/",$A1402)+1,20),FIND("/",MID($A1402,FIND("/",$A1402)+1,20))-1))),"")))</f>
        <v/>
      </c>
      <c r="D1402">
        <f>IF(OR($A1402="",$B1402=""),"",IF(ISNUMBER($A1402),MOD($A1402,100),IFERROR(VALUE(TRIM(MID(MID($A1402,FIND("/",$A1402)+1,20),FIND("/",MID($A1402,FIND("/",$A1402)+1,20))+1,20))),"")))</f>
        <v/>
      </c>
      <c r="E1402">
        <f>IF($A1402="","",IF(OR($B1402="",$C1402="",$D1402="",$B1402&lt;1300,$B1402&gt;1500,$C1402&lt;1,$C1402&gt;12,$D1402&lt;1,$D1402&gt;31),"نامعتبر",RIGHT("0000"&amp;$B1402,4)&amp;"/"&amp;RIGHT("00"&amp;$C1402,2)&amp;"/"&amp;RIGHT("00"&amp;$D1402,2)))</f>
        <v/>
      </c>
      <c r="F1402">
        <f>IF(Entry!$D1402&lt;&gt;"",IF(AND(ISNUMBER(Entry!$D1402),Entry!$D1402&gt;=0,Entry!$D1402&lt;1),RIGHT("00"&amp;HOUR(Entry!$D1402),2)&amp;":"&amp;RIGHT("00"&amp;MINUTE(Entry!$D1402),2),IFERROR(RIGHT("00"&amp;VALUE(TRIM(LEFT(Entry!$D1402,FIND(":",Entry!$D1402)-1))),2)&amp;":"&amp;RIGHT("00"&amp;VALUE(TRIM(MID(Entry!$D1402,FIND(":",Entry!$D1402)+1,2))),2),"نامعتبر")),IF(OR($E1402="",$E1402="نامعتبر"),"","00:00"))</f>
        <v/>
      </c>
      <c r="G1402">
        <f>IF(OR($E1402="",$E1402="نامعتبر"),"",IF(Entry!$E1402="","",LEFT(UPPER(TRIM(Entry!$E1402)),6)))</f>
        <v/>
      </c>
      <c r="H1402">
        <f>IF($G1402="","",RIGHT($E1402,4)&amp;MID($E1402,6,2)&amp;RIGHT($E1402,2)&amp;IF($F1402="","0000",IF($F1402="نامعتبر","9999",LEFT($F1402,2)&amp;RIGHT($F1402,2)))&amp;"|"&amp;RIGHT("00000"&amp;1394,5))</f>
        <v/>
      </c>
      <c r="I1402">
        <f>IF($H1402="","",COUNTIFS(CalcBank,$G1402,CalcKey,"&lt;"&amp;$H1402)+1)</f>
        <v/>
      </c>
      <c r="J1402">
        <f>IF($I1402="","",$G1402&amp;"|"&amp;RIGHT("000000"&amp;$I1402,6))</f>
        <v/>
      </c>
      <c r="K1402">
        <f>IF(OR($E1402="",$E1402="نامعتبر"),"",LEFT($E1402,4)&amp;"/"&amp;MID($E1402,6,2))</f>
        <v/>
      </c>
      <c r="L1402">
        <f>IF(Entry!$K1402="",0,Entry!$K1402)</f>
        <v/>
      </c>
      <c r="M1402">
        <f>IF(Entry!$L1402="",0,Entry!$L1402)</f>
        <v/>
      </c>
    </row>
    <row r="1403">
      <c r="A1403">
        <f>IF(Entry!$C1403="","",Entry!$C1403)</f>
        <v/>
      </c>
      <c r="B1403">
        <f>IF($A1403="","",IF(ISNUMBER($A1403),IF(AND($A1403&gt;=10000101,$A1403&lt;=99991231),INT($A1403/10000),""),IFERROR(VALUE(TRIM(LEFT($A1403,FIND("/",$A1403)-1))),"")))</f>
        <v/>
      </c>
      <c r="C1403">
        <f>IF(OR($A1403="",$B1403=""),"",IF(ISNUMBER($A1403),INT(MOD($A1403,10000)/100),IFERROR(VALUE(TRIM(LEFT(MID($A1403,FIND("/",$A1403)+1,20),FIND("/",MID($A1403,FIND("/",$A1403)+1,20))-1))),"")))</f>
        <v/>
      </c>
      <c r="D1403">
        <f>IF(OR($A1403="",$B1403=""),"",IF(ISNUMBER($A1403),MOD($A1403,100),IFERROR(VALUE(TRIM(MID(MID($A1403,FIND("/",$A1403)+1,20),FIND("/",MID($A1403,FIND("/",$A1403)+1,20))+1,20))),"")))</f>
        <v/>
      </c>
      <c r="E1403">
        <f>IF($A1403="","",IF(OR($B1403="",$C1403="",$D1403="",$B1403&lt;1300,$B1403&gt;1500,$C1403&lt;1,$C1403&gt;12,$D1403&lt;1,$D1403&gt;31),"نامعتبر",RIGHT("0000"&amp;$B1403,4)&amp;"/"&amp;RIGHT("00"&amp;$C1403,2)&amp;"/"&amp;RIGHT("00"&amp;$D1403,2)))</f>
        <v/>
      </c>
      <c r="F1403">
        <f>IF(Entry!$D1403&lt;&gt;"",IF(AND(ISNUMBER(Entry!$D1403),Entry!$D1403&gt;=0,Entry!$D1403&lt;1),RIGHT("00"&amp;HOUR(Entry!$D1403),2)&amp;":"&amp;RIGHT("00"&amp;MINUTE(Entry!$D1403),2),IFERROR(RIGHT("00"&amp;VALUE(TRIM(LEFT(Entry!$D1403,FIND(":",Entry!$D1403)-1))),2)&amp;":"&amp;RIGHT("00"&amp;VALUE(TRIM(MID(Entry!$D1403,FIND(":",Entry!$D1403)+1,2))),2),"نامعتبر")),IF(OR($E1403="",$E1403="نامعتبر"),"","00:00"))</f>
        <v/>
      </c>
      <c r="G1403">
        <f>IF(OR($E1403="",$E1403="نامعتبر"),"",IF(Entry!$E1403="","",LEFT(UPPER(TRIM(Entry!$E1403)),6)))</f>
        <v/>
      </c>
      <c r="H1403">
        <f>IF($G1403="","",RIGHT($E1403,4)&amp;MID($E1403,6,2)&amp;RIGHT($E1403,2)&amp;IF($F1403="","0000",IF($F1403="نامعتبر","9999",LEFT($F1403,2)&amp;RIGHT($F1403,2)))&amp;"|"&amp;RIGHT("00000"&amp;1395,5))</f>
        <v/>
      </c>
      <c r="I1403">
        <f>IF($H1403="","",COUNTIFS(CalcBank,$G1403,CalcKey,"&lt;"&amp;$H1403)+1)</f>
        <v/>
      </c>
      <c r="J1403">
        <f>IF($I1403="","",$G1403&amp;"|"&amp;RIGHT("000000"&amp;$I1403,6))</f>
        <v/>
      </c>
      <c r="K1403">
        <f>IF(OR($E1403="",$E1403="نامعتبر"),"",LEFT($E1403,4)&amp;"/"&amp;MID($E1403,6,2))</f>
        <v/>
      </c>
      <c r="L1403">
        <f>IF(Entry!$K1403="",0,Entry!$K1403)</f>
        <v/>
      </c>
      <c r="M1403">
        <f>IF(Entry!$L1403="",0,Entry!$L1403)</f>
        <v/>
      </c>
    </row>
    <row r="1404">
      <c r="A1404">
        <f>IF(Entry!$C1404="","",Entry!$C1404)</f>
        <v/>
      </c>
      <c r="B1404">
        <f>IF($A1404="","",IF(ISNUMBER($A1404),IF(AND($A1404&gt;=10000101,$A1404&lt;=99991231),INT($A1404/10000),""),IFERROR(VALUE(TRIM(LEFT($A1404,FIND("/",$A1404)-1))),"")))</f>
        <v/>
      </c>
      <c r="C1404">
        <f>IF(OR($A1404="",$B1404=""),"",IF(ISNUMBER($A1404),INT(MOD($A1404,10000)/100),IFERROR(VALUE(TRIM(LEFT(MID($A1404,FIND("/",$A1404)+1,20),FIND("/",MID($A1404,FIND("/",$A1404)+1,20))-1))),"")))</f>
        <v/>
      </c>
      <c r="D1404">
        <f>IF(OR($A1404="",$B1404=""),"",IF(ISNUMBER($A1404),MOD($A1404,100),IFERROR(VALUE(TRIM(MID(MID($A1404,FIND("/",$A1404)+1,20),FIND("/",MID($A1404,FIND("/",$A1404)+1,20))+1,20))),"")))</f>
        <v/>
      </c>
      <c r="E1404">
        <f>IF($A1404="","",IF(OR($B1404="",$C1404="",$D1404="",$B1404&lt;1300,$B1404&gt;1500,$C1404&lt;1,$C1404&gt;12,$D1404&lt;1,$D1404&gt;31),"نامعتبر",RIGHT("0000"&amp;$B1404,4)&amp;"/"&amp;RIGHT("00"&amp;$C1404,2)&amp;"/"&amp;RIGHT("00"&amp;$D1404,2)))</f>
        <v/>
      </c>
      <c r="F1404">
        <f>IF(Entry!$D1404&lt;&gt;"",IF(AND(ISNUMBER(Entry!$D1404),Entry!$D1404&gt;=0,Entry!$D1404&lt;1),RIGHT("00"&amp;HOUR(Entry!$D1404),2)&amp;":"&amp;RIGHT("00"&amp;MINUTE(Entry!$D1404),2),IFERROR(RIGHT("00"&amp;VALUE(TRIM(LEFT(Entry!$D1404,FIND(":",Entry!$D1404)-1))),2)&amp;":"&amp;RIGHT("00"&amp;VALUE(TRIM(MID(Entry!$D1404,FIND(":",Entry!$D1404)+1,2))),2),"نامعتبر")),IF(OR($E1404="",$E1404="نامعتبر"),"","00:00"))</f>
        <v/>
      </c>
      <c r="G1404">
        <f>IF(OR($E1404="",$E1404="نامعتبر"),"",IF(Entry!$E1404="","",LEFT(UPPER(TRIM(Entry!$E1404)),6)))</f>
        <v/>
      </c>
      <c r="H1404">
        <f>IF($G1404="","",RIGHT($E1404,4)&amp;MID($E1404,6,2)&amp;RIGHT($E1404,2)&amp;IF($F1404="","0000",IF($F1404="نامعتبر","9999",LEFT($F1404,2)&amp;RIGHT($F1404,2)))&amp;"|"&amp;RIGHT("00000"&amp;1396,5))</f>
        <v/>
      </c>
      <c r="I1404">
        <f>IF($H1404="","",COUNTIFS(CalcBank,$G1404,CalcKey,"&lt;"&amp;$H1404)+1)</f>
        <v/>
      </c>
      <c r="J1404">
        <f>IF($I1404="","",$G1404&amp;"|"&amp;RIGHT("000000"&amp;$I1404,6))</f>
        <v/>
      </c>
      <c r="K1404">
        <f>IF(OR($E1404="",$E1404="نامعتبر"),"",LEFT($E1404,4)&amp;"/"&amp;MID($E1404,6,2))</f>
        <v/>
      </c>
      <c r="L1404">
        <f>IF(Entry!$K1404="",0,Entry!$K1404)</f>
        <v/>
      </c>
      <c r="M1404">
        <f>IF(Entry!$L1404="",0,Entry!$L1404)</f>
        <v/>
      </c>
    </row>
    <row r="1405">
      <c r="A1405">
        <f>IF(Entry!$C1405="","",Entry!$C1405)</f>
        <v/>
      </c>
      <c r="B1405">
        <f>IF($A1405="","",IF(ISNUMBER($A1405),IF(AND($A1405&gt;=10000101,$A1405&lt;=99991231),INT($A1405/10000),""),IFERROR(VALUE(TRIM(LEFT($A1405,FIND("/",$A1405)-1))),"")))</f>
        <v/>
      </c>
      <c r="C1405">
        <f>IF(OR($A1405="",$B1405=""),"",IF(ISNUMBER($A1405),INT(MOD($A1405,10000)/100),IFERROR(VALUE(TRIM(LEFT(MID($A1405,FIND("/",$A1405)+1,20),FIND("/",MID($A1405,FIND("/",$A1405)+1,20))-1))),"")))</f>
        <v/>
      </c>
      <c r="D1405">
        <f>IF(OR($A1405="",$B1405=""),"",IF(ISNUMBER($A1405),MOD($A1405,100),IFERROR(VALUE(TRIM(MID(MID($A1405,FIND("/",$A1405)+1,20),FIND("/",MID($A1405,FIND("/",$A1405)+1,20))+1,20))),"")))</f>
        <v/>
      </c>
      <c r="E1405">
        <f>IF($A1405="","",IF(OR($B1405="",$C1405="",$D1405="",$B1405&lt;1300,$B1405&gt;1500,$C1405&lt;1,$C1405&gt;12,$D1405&lt;1,$D1405&gt;31),"نامعتبر",RIGHT("0000"&amp;$B1405,4)&amp;"/"&amp;RIGHT("00"&amp;$C1405,2)&amp;"/"&amp;RIGHT("00"&amp;$D1405,2)))</f>
        <v/>
      </c>
      <c r="F1405">
        <f>IF(Entry!$D1405&lt;&gt;"",IF(AND(ISNUMBER(Entry!$D1405),Entry!$D1405&gt;=0,Entry!$D1405&lt;1),RIGHT("00"&amp;HOUR(Entry!$D1405),2)&amp;":"&amp;RIGHT("00"&amp;MINUTE(Entry!$D1405),2),IFERROR(RIGHT("00"&amp;VALUE(TRIM(LEFT(Entry!$D1405,FIND(":",Entry!$D1405)-1))),2)&amp;":"&amp;RIGHT("00"&amp;VALUE(TRIM(MID(Entry!$D1405,FIND(":",Entry!$D1405)+1,2))),2),"نامعتبر")),IF(OR($E1405="",$E1405="نامعتبر"),"","00:00"))</f>
        <v/>
      </c>
      <c r="G1405">
        <f>IF(OR($E1405="",$E1405="نامعتبر"),"",IF(Entry!$E1405="","",LEFT(UPPER(TRIM(Entry!$E1405)),6)))</f>
        <v/>
      </c>
      <c r="H1405">
        <f>IF($G1405="","",RIGHT($E1405,4)&amp;MID($E1405,6,2)&amp;RIGHT($E1405,2)&amp;IF($F1405="","0000",IF($F1405="نامعتبر","9999",LEFT($F1405,2)&amp;RIGHT($F1405,2)))&amp;"|"&amp;RIGHT("00000"&amp;1397,5))</f>
        <v/>
      </c>
      <c r="I1405">
        <f>IF($H1405="","",COUNTIFS(CalcBank,$G1405,CalcKey,"&lt;"&amp;$H1405)+1)</f>
        <v/>
      </c>
      <c r="J1405">
        <f>IF($I1405="","",$G1405&amp;"|"&amp;RIGHT("000000"&amp;$I1405,6))</f>
        <v/>
      </c>
      <c r="K1405">
        <f>IF(OR($E1405="",$E1405="نامعتبر"),"",LEFT($E1405,4)&amp;"/"&amp;MID($E1405,6,2))</f>
        <v/>
      </c>
      <c r="L1405">
        <f>IF(Entry!$K1405="",0,Entry!$K1405)</f>
        <v/>
      </c>
      <c r="M1405">
        <f>IF(Entry!$L1405="",0,Entry!$L1405)</f>
        <v/>
      </c>
    </row>
    <row r="1406">
      <c r="A1406">
        <f>IF(Entry!$C1406="","",Entry!$C1406)</f>
        <v/>
      </c>
      <c r="B1406">
        <f>IF($A1406="","",IF(ISNUMBER($A1406),IF(AND($A1406&gt;=10000101,$A1406&lt;=99991231),INT($A1406/10000),""),IFERROR(VALUE(TRIM(LEFT($A1406,FIND("/",$A1406)-1))),"")))</f>
        <v/>
      </c>
      <c r="C1406">
        <f>IF(OR($A1406="",$B1406=""),"",IF(ISNUMBER($A1406),INT(MOD($A1406,10000)/100),IFERROR(VALUE(TRIM(LEFT(MID($A1406,FIND("/",$A1406)+1,20),FIND("/",MID($A1406,FIND("/",$A1406)+1,20))-1))),"")))</f>
        <v/>
      </c>
      <c r="D1406">
        <f>IF(OR($A1406="",$B1406=""),"",IF(ISNUMBER($A1406),MOD($A1406,100),IFERROR(VALUE(TRIM(MID(MID($A1406,FIND("/",$A1406)+1,20),FIND("/",MID($A1406,FIND("/",$A1406)+1,20))+1,20))),"")))</f>
        <v/>
      </c>
      <c r="E1406">
        <f>IF($A1406="","",IF(OR($B1406="",$C1406="",$D1406="",$B1406&lt;1300,$B1406&gt;1500,$C1406&lt;1,$C1406&gt;12,$D1406&lt;1,$D1406&gt;31),"نامعتبر",RIGHT("0000"&amp;$B1406,4)&amp;"/"&amp;RIGHT("00"&amp;$C1406,2)&amp;"/"&amp;RIGHT("00"&amp;$D1406,2)))</f>
        <v/>
      </c>
      <c r="F1406">
        <f>IF(Entry!$D1406&lt;&gt;"",IF(AND(ISNUMBER(Entry!$D1406),Entry!$D1406&gt;=0,Entry!$D1406&lt;1),RIGHT("00"&amp;HOUR(Entry!$D1406),2)&amp;":"&amp;RIGHT("00"&amp;MINUTE(Entry!$D1406),2),IFERROR(RIGHT("00"&amp;VALUE(TRIM(LEFT(Entry!$D1406,FIND(":",Entry!$D1406)-1))),2)&amp;":"&amp;RIGHT("00"&amp;VALUE(TRIM(MID(Entry!$D1406,FIND(":",Entry!$D1406)+1,2))),2),"نامعتبر")),IF(OR($E1406="",$E1406="نامعتبر"),"","00:00"))</f>
        <v/>
      </c>
      <c r="G1406">
        <f>IF(OR($E1406="",$E1406="نامعتبر"),"",IF(Entry!$E1406="","",LEFT(UPPER(TRIM(Entry!$E1406)),6)))</f>
        <v/>
      </c>
      <c r="H1406">
        <f>IF($G1406="","",RIGHT($E1406,4)&amp;MID($E1406,6,2)&amp;RIGHT($E1406,2)&amp;IF($F1406="","0000",IF($F1406="نامعتبر","9999",LEFT($F1406,2)&amp;RIGHT($F1406,2)))&amp;"|"&amp;RIGHT("00000"&amp;1398,5))</f>
        <v/>
      </c>
      <c r="I1406">
        <f>IF($H1406="","",COUNTIFS(CalcBank,$G1406,CalcKey,"&lt;"&amp;$H1406)+1)</f>
        <v/>
      </c>
      <c r="J1406">
        <f>IF($I1406="","",$G1406&amp;"|"&amp;RIGHT("000000"&amp;$I1406,6))</f>
        <v/>
      </c>
      <c r="K1406">
        <f>IF(OR($E1406="",$E1406="نامعتبر"),"",LEFT($E1406,4)&amp;"/"&amp;MID($E1406,6,2))</f>
        <v/>
      </c>
      <c r="L1406">
        <f>IF(Entry!$K1406="",0,Entry!$K1406)</f>
        <v/>
      </c>
      <c r="M1406">
        <f>IF(Entry!$L1406="",0,Entry!$L1406)</f>
        <v/>
      </c>
    </row>
    <row r="1407">
      <c r="A1407">
        <f>IF(Entry!$C1407="","",Entry!$C1407)</f>
        <v/>
      </c>
      <c r="B1407">
        <f>IF($A1407="","",IF(ISNUMBER($A1407),IF(AND($A1407&gt;=10000101,$A1407&lt;=99991231),INT($A1407/10000),""),IFERROR(VALUE(TRIM(LEFT($A1407,FIND("/",$A1407)-1))),"")))</f>
        <v/>
      </c>
      <c r="C1407">
        <f>IF(OR($A1407="",$B1407=""),"",IF(ISNUMBER($A1407),INT(MOD($A1407,10000)/100),IFERROR(VALUE(TRIM(LEFT(MID($A1407,FIND("/",$A1407)+1,20),FIND("/",MID($A1407,FIND("/",$A1407)+1,20))-1))),"")))</f>
        <v/>
      </c>
      <c r="D1407">
        <f>IF(OR($A1407="",$B1407=""),"",IF(ISNUMBER($A1407),MOD($A1407,100),IFERROR(VALUE(TRIM(MID(MID($A1407,FIND("/",$A1407)+1,20),FIND("/",MID($A1407,FIND("/",$A1407)+1,20))+1,20))),"")))</f>
        <v/>
      </c>
      <c r="E1407">
        <f>IF($A1407="","",IF(OR($B1407="",$C1407="",$D1407="",$B1407&lt;1300,$B1407&gt;1500,$C1407&lt;1,$C1407&gt;12,$D1407&lt;1,$D1407&gt;31),"نامعتبر",RIGHT("0000"&amp;$B1407,4)&amp;"/"&amp;RIGHT("00"&amp;$C1407,2)&amp;"/"&amp;RIGHT("00"&amp;$D1407,2)))</f>
        <v/>
      </c>
      <c r="F1407">
        <f>IF(Entry!$D1407&lt;&gt;"",IF(AND(ISNUMBER(Entry!$D1407),Entry!$D1407&gt;=0,Entry!$D1407&lt;1),RIGHT("00"&amp;HOUR(Entry!$D1407),2)&amp;":"&amp;RIGHT("00"&amp;MINUTE(Entry!$D1407),2),IFERROR(RIGHT("00"&amp;VALUE(TRIM(LEFT(Entry!$D1407,FIND(":",Entry!$D1407)-1))),2)&amp;":"&amp;RIGHT("00"&amp;VALUE(TRIM(MID(Entry!$D1407,FIND(":",Entry!$D1407)+1,2))),2),"نامعتبر")),IF(OR($E1407="",$E1407="نامعتبر"),"","00:00"))</f>
        <v/>
      </c>
      <c r="G1407">
        <f>IF(OR($E1407="",$E1407="نامعتبر"),"",IF(Entry!$E1407="","",LEFT(UPPER(TRIM(Entry!$E1407)),6)))</f>
        <v/>
      </c>
      <c r="H1407">
        <f>IF($G1407="","",RIGHT($E1407,4)&amp;MID($E1407,6,2)&amp;RIGHT($E1407,2)&amp;IF($F1407="","0000",IF($F1407="نامعتبر","9999",LEFT($F1407,2)&amp;RIGHT($F1407,2)))&amp;"|"&amp;RIGHT("00000"&amp;1399,5))</f>
        <v/>
      </c>
      <c r="I1407">
        <f>IF($H1407="","",COUNTIFS(CalcBank,$G1407,CalcKey,"&lt;"&amp;$H1407)+1)</f>
        <v/>
      </c>
      <c r="J1407">
        <f>IF($I1407="","",$G1407&amp;"|"&amp;RIGHT("000000"&amp;$I1407,6))</f>
        <v/>
      </c>
      <c r="K1407">
        <f>IF(OR($E1407="",$E1407="نامعتبر"),"",LEFT($E1407,4)&amp;"/"&amp;MID($E1407,6,2))</f>
        <v/>
      </c>
      <c r="L1407">
        <f>IF(Entry!$K1407="",0,Entry!$K1407)</f>
        <v/>
      </c>
      <c r="M1407">
        <f>IF(Entry!$L1407="",0,Entry!$L1407)</f>
        <v/>
      </c>
    </row>
    <row r="1408">
      <c r="A1408">
        <f>IF(Entry!$C1408="","",Entry!$C1408)</f>
        <v/>
      </c>
      <c r="B1408">
        <f>IF($A1408="","",IF(ISNUMBER($A1408),IF(AND($A1408&gt;=10000101,$A1408&lt;=99991231),INT($A1408/10000),""),IFERROR(VALUE(TRIM(LEFT($A1408,FIND("/",$A1408)-1))),"")))</f>
        <v/>
      </c>
      <c r="C1408">
        <f>IF(OR($A1408="",$B1408=""),"",IF(ISNUMBER($A1408),INT(MOD($A1408,10000)/100),IFERROR(VALUE(TRIM(LEFT(MID($A1408,FIND("/",$A1408)+1,20),FIND("/",MID($A1408,FIND("/",$A1408)+1,20))-1))),"")))</f>
        <v/>
      </c>
      <c r="D1408">
        <f>IF(OR($A1408="",$B1408=""),"",IF(ISNUMBER($A1408),MOD($A1408,100),IFERROR(VALUE(TRIM(MID(MID($A1408,FIND("/",$A1408)+1,20),FIND("/",MID($A1408,FIND("/",$A1408)+1,20))+1,20))),"")))</f>
        <v/>
      </c>
      <c r="E1408">
        <f>IF($A1408="","",IF(OR($B1408="",$C1408="",$D1408="",$B1408&lt;1300,$B1408&gt;1500,$C1408&lt;1,$C1408&gt;12,$D1408&lt;1,$D1408&gt;31),"نامعتبر",RIGHT("0000"&amp;$B1408,4)&amp;"/"&amp;RIGHT("00"&amp;$C1408,2)&amp;"/"&amp;RIGHT("00"&amp;$D1408,2)))</f>
        <v/>
      </c>
      <c r="F1408">
        <f>IF(Entry!$D1408&lt;&gt;"",IF(AND(ISNUMBER(Entry!$D1408),Entry!$D1408&gt;=0,Entry!$D1408&lt;1),RIGHT("00"&amp;HOUR(Entry!$D1408),2)&amp;":"&amp;RIGHT("00"&amp;MINUTE(Entry!$D1408),2),IFERROR(RIGHT("00"&amp;VALUE(TRIM(LEFT(Entry!$D1408,FIND(":",Entry!$D1408)-1))),2)&amp;":"&amp;RIGHT("00"&amp;VALUE(TRIM(MID(Entry!$D1408,FIND(":",Entry!$D1408)+1,2))),2),"نامعتبر")),IF(OR($E1408="",$E1408="نامعتبر"),"","00:00"))</f>
        <v/>
      </c>
      <c r="G1408">
        <f>IF(OR($E1408="",$E1408="نامعتبر"),"",IF(Entry!$E1408="","",LEFT(UPPER(TRIM(Entry!$E1408)),6)))</f>
        <v/>
      </c>
      <c r="H1408">
        <f>IF($G1408="","",RIGHT($E1408,4)&amp;MID($E1408,6,2)&amp;RIGHT($E1408,2)&amp;IF($F1408="","0000",IF($F1408="نامعتبر","9999",LEFT($F1408,2)&amp;RIGHT($F1408,2)))&amp;"|"&amp;RIGHT("00000"&amp;1400,5))</f>
        <v/>
      </c>
      <c r="I1408">
        <f>IF($H1408="","",COUNTIFS(CalcBank,$G1408,CalcKey,"&lt;"&amp;$H1408)+1)</f>
        <v/>
      </c>
      <c r="J1408">
        <f>IF($I1408="","",$G1408&amp;"|"&amp;RIGHT("000000"&amp;$I1408,6))</f>
        <v/>
      </c>
      <c r="K1408">
        <f>IF(OR($E1408="",$E1408="نامعتبر"),"",LEFT($E1408,4)&amp;"/"&amp;MID($E1408,6,2))</f>
        <v/>
      </c>
      <c r="L1408">
        <f>IF(Entry!$K1408="",0,Entry!$K1408)</f>
        <v/>
      </c>
      <c r="M1408">
        <f>IF(Entry!$L1408="",0,Entry!$L1408)</f>
        <v/>
      </c>
    </row>
    <row r="1409">
      <c r="A1409">
        <f>IF(Entry!$C1409="","",Entry!$C1409)</f>
        <v/>
      </c>
      <c r="B1409">
        <f>IF($A1409="","",IF(ISNUMBER($A1409),IF(AND($A1409&gt;=10000101,$A1409&lt;=99991231),INT($A1409/10000),""),IFERROR(VALUE(TRIM(LEFT($A1409,FIND("/",$A1409)-1))),"")))</f>
        <v/>
      </c>
      <c r="C1409">
        <f>IF(OR($A1409="",$B1409=""),"",IF(ISNUMBER($A1409),INT(MOD($A1409,10000)/100),IFERROR(VALUE(TRIM(LEFT(MID($A1409,FIND("/",$A1409)+1,20),FIND("/",MID($A1409,FIND("/",$A1409)+1,20))-1))),"")))</f>
        <v/>
      </c>
      <c r="D1409">
        <f>IF(OR($A1409="",$B1409=""),"",IF(ISNUMBER($A1409),MOD($A1409,100),IFERROR(VALUE(TRIM(MID(MID($A1409,FIND("/",$A1409)+1,20),FIND("/",MID($A1409,FIND("/",$A1409)+1,20))+1,20))),"")))</f>
        <v/>
      </c>
      <c r="E1409">
        <f>IF($A1409="","",IF(OR($B1409="",$C1409="",$D1409="",$B1409&lt;1300,$B1409&gt;1500,$C1409&lt;1,$C1409&gt;12,$D1409&lt;1,$D1409&gt;31),"نامعتبر",RIGHT("0000"&amp;$B1409,4)&amp;"/"&amp;RIGHT("00"&amp;$C1409,2)&amp;"/"&amp;RIGHT("00"&amp;$D1409,2)))</f>
        <v/>
      </c>
      <c r="F1409">
        <f>IF(Entry!$D1409&lt;&gt;"",IF(AND(ISNUMBER(Entry!$D1409),Entry!$D1409&gt;=0,Entry!$D1409&lt;1),RIGHT("00"&amp;HOUR(Entry!$D1409),2)&amp;":"&amp;RIGHT("00"&amp;MINUTE(Entry!$D1409),2),IFERROR(RIGHT("00"&amp;VALUE(TRIM(LEFT(Entry!$D1409,FIND(":",Entry!$D1409)-1))),2)&amp;":"&amp;RIGHT("00"&amp;VALUE(TRIM(MID(Entry!$D1409,FIND(":",Entry!$D1409)+1,2))),2),"نامعتبر")),IF(OR($E1409="",$E1409="نامعتبر"),"","00:00"))</f>
        <v/>
      </c>
      <c r="G1409">
        <f>IF(OR($E1409="",$E1409="نامعتبر"),"",IF(Entry!$E1409="","",LEFT(UPPER(TRIM(Entry!$E1409)),6)))</f>
        <v/>
      </c>
      <c r="H1409">
        <f>IF($G1409="","",RIGHT($E1409,4)&amp;MID($E1409,6,2)&amp;RIGHT($E1409,2)&amp;IF($F1409="","0000",IF($F1409="نامعتبر","9999",LEFT($F1409,2)&amp;RIGHT($F1409,2)))&amp;"|"&amp;RIGHT("00000"&amp;1401,5))</f>
        <v/>
      </c>
      <c r="I1409">
        <f>IF($H1409="","",COUNTIFS(CalcBank,$G1409,CalcKey,"&lt;"&amp;$H1409)+1)</f>
        <v/>
      </c>
      <c r="J1409">
        <f>IF($I1409="","",$G1409&amp;"|"&amp;RIGHT("000000"&amp;$I1409,6))</f>
        <v/>
      </c>
      <c r="K1409">
        <f>IF(OR($E1409="",$E1409="نامعتبر"),"",LEFT($E1409,4)&amp;"/"&amp;MID($E1409,6,2))</f>
        <v/>
      </c>
      <c r="L1409">
        <f>IF(Entry!$K1409="",0,Entry!$K1409)</f>
        <v/>
      </c>
      <c r="M1409">
        <f>IF(Entry!$L1409="",0,Entry!$L1409)</f>
        <v/>
      </c>
    </row>
    <row r="1410">
      <c r="A1410">
        <f>IF(Entry!$C1410="","",Entry!$C1410)</f>
        <v/>
      </c>
      <c r="B1410">
        <f>IF($A1410="","",IF(ISNUMBER($A1410),IF(AND($A1410&gt;=10000101,$A1410&lt;=99991231),INT($A1410/10000),""),IFERROR(VALUE(TRIM(LEFT($A1410,FIND("/",$A1410)-1))),"")))</f>
        <v/>
      </c>
      <c r="C1410">
        <f>IF(OR($A1410="",$B1410=""),"",IF(ISNUMBER($A1410),INT(MOD($A1410,10000)/100),IFERROR(VALUE(TRIM(LEFT(MID($A1410,FIND("/",$A1410)+1,20),FIND("/",MID($A1410,FIND("/",$A1410)+1,20))-1))),"")))</f>
        <v/>
      </c>
      <c r="D1410">
        <f>IF(OR($A1410="",$B1410=""),"",IF(ISNUMBER($A1410),MOD($A1410,100),IFERROR(VALUE(TRIM(MID(MID($A1410,FIND("/",$A1410)+1,20),FIND("/",MID($A1410,FIND("/",$A1410)+1,20))+1,20))),"")))</f>
        <v/>
      </c>
      <c r="E1410">
        <f>IF($A1410="","",IF(OR($B1410="",$C1410="",$D1410="",$B1410&lt;1300,$B1410&gt;1500,$C1410&lt;1,$C1410&gt;12,$D1410&lt;1,$D1410&gt;31),"نامعتبر",RIGHT("0000"&amp;$B1410,4)&amp;"/"&amp;RIGHT("00"&amp;$C1410,2)&amp;"/"&amp;RIGHT("00"&amp;$D1410,2)))</f>
        <v/>
      </c>
      <c r="F1410">
        <f>IF(Entry!$D1410&lt;&gt;"",IF(AND(ISNUMBER(Entry!$D1410),Entry!$D1410&gt;=0,Entry!$D1410&lt;1),RIGHT("00"&amp;HOUR(Entry!$D1410),2)&amp;":"&amp;RIGHT("00"&amp;MINUTE(Entry!$D1410),2),IFERROR(RIGHT("00"&amp;VALUE(TRIM(LEFT(Entry!$D1410,FIND(":",Entry!$D1410)-1))),2)&amp;":"&amp;RIGHT("00"&amp;VALUE(TRIM(MID(Entry!$D1410,FIND(":",Entry!$D1410)+1,2))),2),"نامعتبر")),IF(OR($E1410="",$E1410="نامعتبر"),"","00:00"))</f>
        <v/>
      </c>
      <c r="G1410">
        <f>IF(OR($E1410="",$E1410="نامعتبر"),"",IF(Entry!$E1410="","",LEFT(UPPER(TRIM(Entry!$E1410)),6)))</f>
        <v/>
      </c>
      <c r="H1410">
        <f>IF($G1410="","",RIGHT($E1410,4)&amp;MID($E1410,6,2)&amp;RIGHT($E1410,2)&amp;IF($F1410="","0000",IF($F1410="نامعتبر","9999",LEFT($F1410,2)&amp;RIGHT($F1410,2)))&amp;"|"&amp;RIGHT("00000"&amp;1402,5))</f>
        <v/>
      </c>
      <c r="I1410">
        <f>IF($H1410="","",COUNTIFS(CalcBank,$G1410,CalcKey,"&lt;"&amp;$H1410)+1)</f>
        <v/>
      </c>
      <c r="J1410">
        <f>IF($I1410="","",$G1410&amp;"|"&amp;RIGHT("000000"&amp;$I1410,6))</f>
        <v/>
      </c>
      <c r="K1410">
        <f>IF(OR($E1410="",$E1410="نامعتبر"),"",LEFT($E1410,4)&amp;"/"&amp;MID($E1410,6,2))</f>
        <v/>
      </c>
      <c r="L1410">
        <f>IF(Entry!$K1410="",0,Entry!$K1410)</f>
        <v/>
      </c>
      <c r="M1410">
        <f>IF(Entry!$L1410="",0,Entry!$L1410)</f>
        <v/>
      </c>
    </row>
    <row r="1411">
      <c r="A1411">
        <f>IF(Entry!$C1411="","",Entry!$C1411)</f>
        <v/>
      </c>
      <c r="B1411">
        <f>IF($A1411="","",IF(ISNUMBER($A1411),IF(AND($A1411&gt;=10000101,$A1411&lt;=99991231),INT($A1411/10000),""),IFERROR(VALUE(TRIM(LEFT($A1411,FIND("/",$A1411)-1))),"")))</f>
        <v/>
      </c>
      <c r="C1411">
        <f>IF(OR($A1411="",$B1411=""),"",IF(ISNUMBER($A1411),INT(MOD($A1411,10000)/100),IFERROR(VALUE(TRIM(LEFT(MID($A1411,FIND("/",$A1411)+1,20),FIND("/",MID($A1411,FIND("/",$A1411)+1,20))-1))),"")))</f>
        <v/>
      </c>
      <c r="D1411">
        <f>IF(OR($A1411="",$B1411=""),"",IF(ISNUMBER($A1411),MOD($A1411,100),IFERROR(VALUE(TRIM(MID(MID($A1411,FIND("/",$A1411)+1,20),FIND("/",MID($A1411,FIND("/",$A1411)+1,20))+1,20))),"")))</f>
        <v/>
      </c>
      <c r="E1411">
        <f>IF($A1411="","",IF(OR($B1411="",$C1411="",$D1411="",$B1411&lt;1300,$B1411&gt;1500,$C1411&lt;1,$C1411&gt;12,$D1411&lt;1,$D1411&gt;31),"نامعتبر",RIGHT("0000"&amp;$B1411,4)&amp;"/"&amp;RIGHT("00"&amp;$C1411,2)&amp;"/"&amp;RIGHT("00"&amp;$D1411,2)))</f>
        <v/>
      </c>
      <c r="F1411">
        <f>IF(Entry!$D1411&lt;&gt;"",IF(AND(ISNUMBER(Entry!$D1411),Entry!$D1411&gt;=0,Entry!$D1411&lt;1),RIGHT("00"&amp;HOUR(Entry!$D1411),2)&amp;":"&amp;RIGHT("00"&amp;MINUTE(Entry!$D1411),2),IFERROR(RIGHT("00"&amp;VALUE(TRIM(LEFT(Entry!$D1411,FIND(":",Entry!$D1411)-1))),2)&amp;":"&amp;RIGHT("00"&amp;VALUE(TRIM(MID(Entry!$D1411,FIND(":",Entry!$D1411)+1,2))),2),"نامعتبر")),IF(OR($E1411="",$E1411="نامعتبر"),"","00:00"))</f>
        <v/>
      </c>
      <c r="G1411">
        <f>IF(OR($E1411="",$E1411="نامعتبر"),"",IF(Entry!$E1411="","",LEFT(UPPER(TRIM(Entry!$E1411)),6)))</f>
        <v/>
      </c>
      <c r="H1411">
        <f>IF($G1411="","",RIGHT($E1411,4)&amp;MID($E1411,6,2)&amp;RIGHT($E1411,2)&amp;IF($F1411="","0000",IF($F1411="نامعتبر","9999",LEFT($F1411,2)&amp;RIGHT($F1411,2)))&amp;"|"&amp;RIGHT("00000"&amp;1403,5))</f>
        <v/>
      </c>
      <c r="I1411">
        <f>IF($H1411="","",COUNTIFS(CalcBank,$G1411,CalcKey,"&lt;"&amp;$H1411)+1)</f>
        <v/>
      </c>
      <c r="J1411">
        <f>IF($I1411="","",$G1411&amp;"|"&amp;RIGHT("000000"&amp;$I1411,6))</f>
        <v/>
      </c>
      <c r="K1411">
        <f>IF(OR($E1411="",$E1411="نامعتبر"),"",LEFT($E1411,4)&amp;"/"&amp;MID($E1411,6,2))</f>
        <v/>
      </c>
      <c r="L1411">
        <f>IF(Entry!$K1411="",0,Entry!$K1411)</f>
        <v/>
      </c>
      <c r="M1411">
        <f>IF(Entry!$L1411="",0,Entry!$L1411)</f>
        <v/>
      </c>
    </row>
    <row r="1412">
      <c r="A1412">
        <f>IF(Entry!$C1412="","",Entry!$C1412)</f>
        <v/>
      </c>
      <c r="B1412">
        <f>IF($A1412="","",IF(ISNUMBER($A1412),IF(AND($A1412&gt;=10000101,$A1412&lt;=99991231),INT($A1412/10000),""),IFERROR(VALUE(TRIM(LEFT($A1412,FIND("/",$A1412)-1))),"")))</f>
        <v/>
      </c>
      <c r="C1412">
        <f>IF(OR($A1412="",$B1412=""),"",IF(ISNUMBER($A1412),INT(MOD($A1412,10000)/100),IFERROR(VALUE(TRIM(LEFT(MID($A1412,FIND("/",$A1412)+1,20),FIND("/",MID($A1412,FIND("/",$A1412)+1,20))-1))),"")))</f>
        <v/>
      </c>
      <c r="D1412">
        <f>IF(OR($A1412="",$B1412=""),"",IF(ISNUMBER($A1412),MOD($A1412,100),IFERROR(VALUE(TRIM(MID(MID($A1412,FIND("/",$A1412)+1,20),FIND("/",MID($A1412,FIND("/",$A1412)+1,20))+1,20))),"")))</f>
        <v/>
      </c>
      <c r="E1412">
        <f>IF($A1412="","",IF(OR($B1412="",$C1412="",$D1412="",$B1412&lt;1300,$B1412&gt;1500,$C1412&lt;1,$C1412&gt;12,$D1412&lt;1,$D1412&gt;31),"نامعتبر",RIGHT("0000"&amp;$B1412,4)&amp;"/"&amp;RIGHT("00"&amp;$C1412,2)&amp;"/"&amp;RIGHT("00"&amp;$D1412,2)))</f>
        <v/>
      </c>
      <c r="F1412">
        <f>IF(Entry!$D1412&lt;&gt;"",IF(AND(ISNUMBER(Entry!$D1412),Entry!$D1412&gt;=0,Entry!$D1412&lt;1),RIGHT("00"&amp;HOUR(Entry!$D1412),2)&amp;":"&amp;RIGHT("00"&amp;MINUTE(Entry!$D1412),2),IFERROR(RIGHT("00"&amp;VALUE(TRIM(LEFT(Entry!$D1412,FIND(":",Entry!$D1412)-1))),2)&amp;":"&amp;RIGHT("00"&amp;VALUE(TRIM(MID(Entry!$D1412,FIND(":",Entry!$D1412)+1,2))),2),"نامعتبر")),IF(OR($E1412="",$E1412="نامعتبر"),"","00:00"))</f>
        <v/>
      </c>
      <c r="G1412">
        <f>IF(OR($E1412="",$E1412="نامعتبر"),"",IF(Entry!$E1412="","",LEFT(UPPER(TRIM(Entry!$E1412)),6)))</f>
        <v/>
      </c>
      <c r="H1412">
        <f>IF($G1412="","",RIGHT($E1412,4)&amp;MID($E1412,6,2)&amp;RIGHT($E1412,2)&amp;IF($F1412="","0000",IF($F1412="نامعتبر","9999",LEFT($F1412,2)&amp;RIGHT($F1412,2)))&amp;"|"&amp;RIGHT("00000"&amp;1404,5))</f>
        <v/>
      </c>
      <c r="I1412">
        <f>IF($H1412="","",COUNTIFS(CalcBank,$G1412,CalcKey,"&lt;"&amp;$H1412)+1)</f>
        <v/>
      </c>
      <c r="J1412">
        <f>IF($I1412="","",$G1412&amp;"|"&amp;RIGHT("000000"&amp;$I1412,6))</f>
        <v/>
      </c>
      <c r="K1412">
        <f>IF(OR($E1412="",$E1412="نامعتبر"),"",LEFT($E1412,4)&amp;"/"&amp;MID($E1412,6,2))</f>
        <v/>
      </c>
      <c r="L1412">
        <f>IF(Entry!$K1412="",0,Entry!$K1412)</f>
        <v/>
      </c>
      <c r="M1412">
        <f>IF(Entry!$L1412="",0,Entry!$L1412)</f>
        <v/>
      </c>
    </row>
    <row r="1413">
      <c r="A1413">
        <f>IF(Entry!$C1413="","",Entry!$C1413)</f>
        <v/>
      </c>
      <c r="B1413">
        <f>IF($A1413="","",IF(ISNUMBER($A1413),IF(AND($A1413&gt;=10000101,$A1413&lt;=99991231),INT($A1413/10000),""),IFERROR(VALUE(TRIM(LEFT($A1413,FIND("/",$A1413)-1))),"")))</f>
        <v/>
      </c>
      <c r="C1413">
        <f>IF(OR($A1413="",$B1413=""),"",IF(ISNUMBER($A1413),INT(MOD($A1413,10000)/100),IFERROR(VALUE(TRIM(LEFT(MID($A1413,FIND("/",$A1413)+1,20),FIND("/",MID($A1413,FIND("/",$A1413)+1,20))-1))),"")))</f>
        <v/>
      </c>
      <c r="D1413">
        <f>IF(OR($A1413="",$B1413=""),"",IF(ISNUMBER($A1413),MOD($A1413,100),IFERROR(VALUE(TRIM(MID(MID($A1413,FIND("/",$A1413)+1,20),FIND("/",MID($A1413,FIND("/",$A1413)+1,20))+1,20))),"")))</f>
        <v/>
      </c>
      <c r="E1413">
        <f>IF($A1413="","",IF(OR($B1413="",$C1413="",$D1413="",$B1413&lt;1300,$B1413&gt;1500,$C1413&lt;1,$C1413&gt;12,$D1413&lt;1,$D1413&gt;31),"نامعتبر",RIGHT("0000"&amp;$B1413,4)&amp;"/"&amp;RIGHT("00"&amp;$C1413,2)&amp;"/"&amp;RIGHT("00"&amp;$D1413,2)))</f>
        <v/>
      </c>
      <c r="F1413">
        <f>IF(Entry!$D1413&lt;&gt;"",IF(AND(ISNUMBER(Entry!$D1413),Entry!$D1413&gt;=0,Entry!$D1413&lt;1),RIGHT("00"&amp;HOUR(Entry!$D1413),2)&amp;":"&amp;RIGHT("00"&amp;MINUTE(Entry!$D1413),2),IFERROR(RIGHT("00"&amp;VALUE(TRIM(LEFT(Entry!$D1413,FIND(":",Entry!$D1413)-1))),2)&amp;":"&amp;RIGHT("00"&amp;VALUE(TRIM(MID(Entry!$D1413,FIND(":",Entry!$D1413)+1,2))),2),"نامعتبر")),IF(OR($E1413="",$E1413="نامعتبر"),"","00:00"))</f>
        <v/>
      </c>
      <c r="G1413">
        <f>IF(OR($E1413="",$E1413="نامعتبر"),"",IF(Entry!$E1413="","",LEFT(UPPER(TRIM(Entry!$E1413)),6)))</f>
        <v/>
      </c>
      <c r="H1413">
        <f>IF($G1413="","",RIGHT($E1413,4)&amp;MID($E1413,6,2)&amp;RIGHT($E1413,2)&amp;IF($F1413="","0000",IF($F1413="نامعتبر","9999",LEFT($F1413,2)&amp;RIGHT($F1413,2)))&amp;"|"&amp;RIGHT("00000"&amp;1405,5))</f>
        <v/>
      </c>
      <c r="I1413">
        <f>IF($H1413="","",COUNTIFS(CalcBank,$G1413,CalcKey,"&lt;"&amp;$H1413)+1)</f>
        <v/>
      </c>
      <c r="J1413">
        <f>IF($I1413="","",$G1413&amp;"|"&amp;RIGHT("000000"&amp;$I1413,6))</f>
        <v/>
      </c>
      <c r="K1413">
        <f>IF(OR($E1413="",$E1413="نامعتبر"),"",LEFT($E1413,4)&amp;"/"&amp;MID($E1413,6,2))</f>
        <v/>
      </c>
      <c r="L1413">
        <f>IF(Entry!$K1413="",0,Entry!$K1413)</f>
        <v/>
      </c>
      <c r="M1413">
        <f>IF(Entry!$L1413="",0,Entry!$L1413)</f>
        <v/>
      </c>
    </row>
    <row r="1414">
      <c r="A1414">
        <f>IF(Entry!$C1414="","",Entry!$C1414)</f>
        <v/>
      </c>
      <c r="B1414">
        <f>IF($A1414="","",IF(ISNUMBER($A1414),IF(AND($A1414&gt;=10000101,$A1414&lt;=99991231),INT($A1414/10000),""),IFERROR(VALUE(TRIM(LEFT($A1414,FIND("/",$A1414)-1))),"")))</f>
        <v/>
      </c>
      <c r="C1414">
        <f>IF(OR($A1414="",$B1414=""),"",IF(ISNUMBER($A1414),INT(MOD($A1414,10000)/100),IFERROR(VALUE(TRIM(LEFT(MID($A1414,FIND("/",$A1414)+1,20),FIND("/",MID($A1414,FIND("/",$A1414)+1,20))-1))),"")))</f>
        <v/>
      </c>
      <c r="D1414">
        <f>IF(OR($A1414="",$B1414=""),"",IF(ISNUMBER($A1414),MOD($A1414,100),IFERROR(VALUE(TRIM(MID(MID($A1414,FIND("/",$A1414)+1,20),FIND("/",MID($A1414,FIND("/",$A1414)+1,20))+1,20))),"")))</f>
        <v/>
      </c>
      <c r="E1414">
        <f>IF($A1414="","",IF(OR($B1414="",$C1414="",$D1414="",$B1414&lt;1300,$B1414&gt;1500,$C1414&lt;1,$C1414&gt;12,$D1414&lt;1,$D1414&gt;31),"نامعتبر",RIGHT("0000"&amp;$B1414,4)&amp;"/"&amp;RIGHT("00"&amp;$C1414,2)&amp;"/"&amp;RIGHT("00"&amp;$D1414,2)))</f>
        <v/>
      </c>
      <c r="F1414">
        <f>IF(Entry!$D1414&lt;&gt;"",IF(AND(ISNUMBER(Entry!$D1414),Entry!$D1414&gt;=0,Entry!$D1414&lt;1),RIGHT("00"&amp;HOUR(Entry!$D1414),2)&amp;":"&amp;RIGHT("00"&amp;MINUTE(Entry!$D1414),2),IFERROR(RIGHT("00"&amp;VALUE(TRIM(LEFT(Entry!$D1414,FIND(":",Entry!$D1414)-1))),2)&amp;":"&amp;RIGHT("00"&amp;VALUE(TRIM(MID(Entry!$D1414,FIND(":",Entry!$D1414)+1,2))),2),"نامعتبر")),IF(OR($E1414="",$E1414="نامعتبر"),"","00:00"))</f>
        <v/>
      </c>
      <c r="G1414">
        <f>IF(OR($E1414="",$E1414="نامعتبر"),"",IF(Entry!$E1414="","",LEFT(UPPER(TRIM(Entry!$E1414)),6)))</f>
        <v/>
      </c>
      <c r="H1414">
        <f>IF($G1414="","",RIGHT($E1414,4)&amp;MID($E1414,6,2)&amp;RIGHT($E1414,2)&amp;IF($F1414="","0000",IF($F1414="نامعتبر","9999",LEFT($F1414,2)&amp;RIGHT($F1414,2)))&amp;"|"&amp;RIGHT("00000"&amp;1406,5))</f>
        <v/>
      </c>
      <c r="I1414">
        <f>IF($H1414="","",COUNTIFS(CalcBank,$G1414,CalcKey,"&lt;"&amp;$H1414)+1)</f>
        <v/>
      </c>
      <c r="J1414">
        <f>IF($I1414="","",$G1414&amp;"|"&amp;RIGHT("000000"&amp;$I1414,6))</f>
        <v/>
      </c>
      <c r="K1414">
        <f>IF(OR($E1414="",$E1414="نامعتبر"),"",LEFT($E1414,4)&amp;"/"&amp;MID($E1414,6,2))</f>
        <v/>
      </c>
      <c r="L1414">
        <f>IF(Entry!$K1414="",0,Entry!$K1414)</f>
        <v/>
      </c>
      <c r="M1414">
        <f>IF(Entry!$L1414="",0,Entry!$L1414)</f>
        <v/>
      </c>
    </row>
    <row r="1415">
      <c r="A1415">
        <f>IF(Entry!$C1415="","",Entry!$C1415)</f>
        <v/>
      </c>
      <c r="B1415">
        <f>IF($A1415="","",IF(ISNUMBER($A1415),IF(AND($A1415&gt;=10000101,$A1415&lt;=99991231),INT($A1415/10000),""),IFERROR(VALUE(TRIM(LEFT($A1415,FIND("/",$A1415)-1))),"")))</f>
        <v/>
      </c>
      <c r="C1415">
        <f>IF(OR($A1415="",$B1415=""),"",IF(ISNUMBER($A1415),INT(MOD($A1415,10000)/100),IFERROR(VALUE(TRIM(LEFT(MID($A1415,FIND("/",$A1415)+1,20),FIND("/",MID($A1415,FIND("/",$A1415)+1,20))-1))),"")))</f>
        <v/>
      </c>
      <c r="D1415">
        <f>IF(OR($A1415="",$B1415=""),"",IF(ISNUMBER($A1415),MOD($A1415,100),IFERROR(VALUE(TRIM(MID(MID($A1415,FIND("/",$A1415)+1,20),FIND("/",MID($A1415,FIND("/",$A1415)+1,20))+1,20))),"")))</f>
        <v/>
      </c>
      <c r="E1415">
        <f>IF($A1415="","",IF(OR($B1415="",$C1415="",$D1415="",$B1415&lt;1300,$B1415&gt;1500,$C1415&lt;1,$C1415&gt;12,$D1415&lt;1,$D1415&gt;31),"نامعتبر",RIGHT("0000"&amp;$B1415,4)&amp;"/"&amp;RIGHT("00"&amp;$C1415,2)&amp;"/"&amp;RIGHT("00"&amp;$D1415,2)))</f>
        <v/>
      </c>
      <c r="F1415">
        <f>IF(Entry!$D1415&lt;&gt;"",IF(AND(ISNUMBER(Entry!$D1415),Entry!$D1415&gt;=0,Entry!$D1415&lt;1),RIGHT("00"&amp;HOUR(Entry!$D1415),2)&amp;":"&amp;RIGHT("00"&amp;MINUTE(Entry!$D1415),2),IFERROR(RIGHT("00"&amp;VALUE(TRIM(LEFT(Entry!$D1415,FIND(":",Entry!$D1415)-1))),2)&amp;":"&amp;RIGHT("00"&amp;VALUE(TRIM(MID(Entry!$D1415,FIND(":",Entry!$D1415)+1,2))),2),"نامعتبر")),IF(OR($E1415="",$E1415="نامعتبر"),"","00:00"))</f>
        <v/>
      </c>
      <c r="G1415">
        <f>IF(OR($E1415="",$E1415="نامعتبر"),"",IF(Entry!$E1415="","",LEFT(UPPER(TRIM(Entry!$E1415)),6)))</f>
        <v/>
      </c>
      <c r="H1415">
        <f>IF($G1415="","",RIGHT($E1415,4)&amp;MID($E1415,6,2)&amp;RIGHT($E1415,2)&amp;IF($F1415="","0000",IF($F1415="نامعتبر","9999",LEFT($F1415,2)&amp;RIGHT($F1415,2)))&amp;"|"&amp;RIGHT("00000"&amp;1407,5))</f>
        <v/>
      </c>
      <c r="I1415">
        <f>IF($H1415="","",COUNTIFS(CalcBank,$G1415,CalcKey,"&lt;"&amp;$H1415)+1)</f>
        <v/>
      </c>
      <c r="J1415">
        <f>IF($I1415="","",$G1415&amp;"|"&amp;RIGHT("000000"&amp;$I1415,6))</f>
        <v/>
      </c>
      <c r="K1415">
        <f>IF(OR($E1415="",$E1415="نامعتبر"),"",LEFT($E1415,4)&amp;"/"&amp;MID($E1415,6,2))</f>
        <v/>
      </c>
      <c r="L1415">
        <f>IF(Entry!$K1415="",0,Entry!$K1415)</f>
        <v/>
      </c>
      <c r="M1415">
        <f>IF(Entry!$L1415="",0,Entry!$L1415)</f>
        <v/>
      </c>
    </row>
    <row r="1416">
      <c r="A1416">
        <f>IF(Entry!$C1416="","",Entry!$C1416)</f>
        <v/>
      </c>
      <c r="B1416">
        <f>IF($A1416="","",IF(ISNUMBER($A1416),IF(AND($A1416&gt;=10000101,$A1416&lt;=99991231),INT($A1416/10000),""),IFERROR(VALUE(TRIM(LEFT($A1416,FIND("/",$A1416)-1))),"")))</f>
        <v/>
      </c>
      <c r="C1416">
        <f>IF(OR($A1416="",$B1416=""),"",IF(ISNUMBER($A1416),INT(MOD($A1416,10000)/100),IFERROR(VALUE(TRIM(LEFT(MID($A1416,FIND("/",$A1416)+1,20),FIND("/",MID($A1416,FIND("/",$A1416)+1,20))-1))),"")))</f>
        <v/>
      </c>
      <c r="D1416">
        <f>IF(OR($A1416="",$B1416=""),"",IF(ISNUMBER($A1416),MOD($A1416,100),IFERROR(VALUE(TRIM(MID(MID($A1416,FIND("/",$A1416)+1,20),FIND("/",MID($A1416,FIND("/",$A1416)+1,20))+1,20))),"")))</f>
        <v/>
      </c>
      <c r="E1416">
        <f>IF($A1416="","",IF(OR($B1416="",$C1416="",$D1416="",$B1416&lt;1300,$B1416&gt;1500,$C1416&lt;1,$C1416&gt;12,$D1416&lt;1,$D1416&gt;31),"نامعتبر",RIGHT("0000"&amp;$B1416,4)&amp;"/"&amp;RIGHT("00"&amp;$C1416,2)&amp;"/"&amp;RIGHT("00"&amp;$D1416,2)))</f>
        <v/>
      </c>
      <c r="F1416">
        <f>IF(Entry!$D1416&lt;&gt;"",IF(AND(ISNUMBER(Entry!$D1416),Entry!$D1416&gt;=0,Entry!$D1416&lt;1),RIGHT("00"&amp;HOUR(Entry!$D1416),2)&amp;":"&amp;RIGHT("00"&amp;MINUTE(Entry!$D1416),2),IFERROR(RIGHT("00"&amp;VALUE(TRIM(LEFT(Entry!$D1416,FIND(":",Entry!$D1416)-1))),2)&amp;":"&amp;RIGHT("00"&amp;VALUE(TRIM(MID(Entry!$D1416,FIND(":",Entry!$D1416)+1,2))),2),"نامعتبر")),IF(OR($E1416="",$E1416="نامعتبر"),"","00:00"))</f>
        <v/>
      </c>
      <c r="G1416">
        <f>IF(OR($E1416="",$E1416="نامعتبر"),"",IF(Entry!$E1416="","",LEFT(UPPER(TRIM(Entry!$E1416)),6)))</f>
        <v/>
      </c>
      <c r="H1416">
        <f>IF($G1416="","",RIGHT($E1416,4)&amp;MID($E1416,6,2)&amp;RIGHT($E1416,2)&amp;IF($F1416="","0000",IF($F1416="نامعتبر","9999",LEFT($F1416,2)&amp;RIGHT($F1416,2)))&amp;"|"&amp;RIGHT("00000"&amp;1408,5))</f>
        <v/>
      </c>
      <c r="I1416">
        <f>IF($H1416="","",COUNTIFS(CalcBank,$G1416,CalcKey,"&lt;"&amp;$H1416)+1)</f>
        <v/>
      </c>
      <c r="J1416">
        <f>IF($I1416="","",$G1416&amp;"|"&amp;RIGHT("000000"&amp;$I1416,6))</f>
        <v/>
      </c>
      <c r="K1416">
        <f>IF(OR($E1416="",$E1416="نامعتبر"),"",LEFT($E1416,4)&amp;"/"&amp;MID($E1416,6,2))</f>
        <v/>
      </c>
      <c r="L1416">
        <f>IF(Entry!$K1416="",0,Entry!$K1416)</f>
        <v/>
      </c>
      <c r="M1416">
        <f>IF(Entry!$L1416="",0,Entry!$L1416)</f>
        <v/>
      </c>
    </row>
    <row r="1417">
      <c r="A1417">
        <f>IF(Entry!$C1417="","",Entry!$C1417)</f>
        <v/>
      </c>
      <c r="B1417">
        <f>IF($A1417="","",IF(ISNUMBER($A1417),IF(AND($A1417&gt;=10000101,$A1417&lt;=99991231),INT($A1417/10000),""),IFERROR(VALUE(TRIM(LEFT($A1417,FIND("/",$A1417)-1))),"")))</f>
        <v/>
      </c>
      <c r="C1417">
        <f>IF(OR($A1417="",$B1417=""),"",IF(ISNUMBER($A1417),INT(MOD($A1417,10000)/100),IFERROR(VALUE(TRIM(LEFT(MID($A1417,FIND("/",$A1417)+1,20),FIND("/",MID($A1417,FIND("/",$A1417)+1,20))-1))),"")))</f>
        <v/>
      </c>
      <c r="D1417">
        <f>IF(OR($A1417="",$B1417=""),"",IF(ISNUMBER($A1417),MOD($A1417,100),IFERROR(VALUE(TRIM(MID(MID($A1417,FIND("/",$A1417)+1,20),FIND("/",MID($A1417,FIND("/",$A1417)+1,20))+1,20))),"")))</f>
        <v/>
      </c>
      <c r="E1417">
        <f>IF($A1417="","",IF(OR($B1417="",$C1417="",$D1417="",$B1417&lt;1300,$B1417&gt;1500,$C1417&lt;1,$C1417&gt;12,$D1417&lt;1,$D1417&gt;31),"نامعتبر",RIGHT("0000"&amp;$B1417,4)&amp;"/"&amp;RIGHT("00"&amp;$C1417,2)&amp;"/"&amp;RIGHT("00"&amp;$D1417,2)))</f>
        <v/>
      </c>
      <c r="F1417">
        <f>IF(Entry!$D1417&lt;&gt;"",IF(AND(ISNUMBER(Entry!$D1417),Entry!$D1417&gt;=0,Entry!$D1417&lt;1),RIGHT("00"&amp;HOUR(Entry!$D1417),2)&amp;":"&amp;RIGHT("00"&amp;MINUTE(Entry!$D1417),2),IFERROR(RIGHT("00"&amp;VALUE(TRIM(LEFT(Entry!$D1417,FIND(":",Entry!$D1417)-1))),2)&amp;":"&amp;RIGHT("00"&amp;VALUE(TRIM(MID(Entry!$D1417,FIND(":",Entry!$D1417)+1,2))),2),"نامعتبر")),IF(OR($E1417="",$E1417="نامعتبر"),"","00:00"))</f>
        <v/>
      </c>
      <c r="G1417">
        <f>IF(OR($E1417="",$E1417="نامعتبر"),"",IF(Entry!$E1417="","",LEFT(UPPER(TRIM(Entry!$E1417)),6)))</f>
        <v/>
      </c>
      <c r="H1417">
        <f>IF($G1417="","",RIGHT($E1417,4)&amp;MID($E1417,6,2)&amp;RIGHT($E1417,2)&amp;IF($F1417="","0000",IF($F1417="نامعتبر","9999",LEFT($F1417,2)&amp;RIGHT($F1417,2)))&amp;"|"&amp;RIGHT("00000"&amp;1409,5))</f>
        <v/>
      </c>
      <c r="I1417">
        <f>IF($H1417="","",COUNTIFS(CalcBank,$G1417,CalcKey,"&lt;"&amp;$H1417)+1)</f>
        <v/>
      </c>
      <c r="J1417">
        <f>IF($I1417="","",$G1417&amp;"|"&amp;RIGHT("000000"&amp;$I1417,6))</f>
        <v/>
      </c>
      <c r="K1417">
        <f>IF(OR($E1417="",$E1417="نامعتبر"),"",LEFT($E1417,4)&amp;"/"&amp;MID($E1417,6,2))</f>
        <v/>
      </c>
      <c r="L1417">
        <f>IF(Entry!$K1417="",0,Entry!$K1417)</f>
        <v/>
      </c>
      <c r="M1417">
        <f>IF(Entry!$L1417="",0,Entry!$L1417)</f>
        <v/>
      </c>
    </row>
    <row r="1418">
      <c r="A1418">
        <f>IF(Entry!$C1418="","",Entry!$C1418)</f>
        <v/>
      </c>
      <c r="B1418">
        <f>IF($A1418="","",IF(ISNUMBER($A1418),IF(AND($A1418&gt;=10000101,$A1418&lt;=99991231),INT($A1418/10000),""),IFERROR(VALUE(TRIM(LEFT($A1418,FIND("/",$A1418)-1))),"")))</f>
        <v/>
      </c>
      <c r="C1418">
        <f>IF(OR($A1418="",$B1418=""),"",IF(ISNUMBER($A1418),INT(MOD($A1418,10000)/100),IFERROR(VALUE(TRIM(LEFT(MID($A1418,FIND("/",$A1418)+1,20),FIND("/",MID($A1418,FIND("/",$A1418)+1,20))-1))),"")))</f>
        <v/>
      </c>
      <c r="D1418">
        <f>IF(OR($A1418="",$B1418=""),"",IF(ISNUMBER($A1418),MOD($A1418,100),IFERROR(VALUE(TRIM(MID(MID($A1418,FIND("/",$A1418)+1,20),FIND("/",MID($A1418,FIND("/",$A1418)+1,20))+1,20))),"")))</f>
        <v/>
      </c>
      <c r="E1418">
        <f>IF($A1418="","",IF(OR($B1418="",$C1418="",$D1418="",$B1418&lt;1300,$B1418&gt;1500,$C1418&lt;1,$C1418&gt;12,$D1418&lt;1,$D1418&gt;31),"نامعتبر",RIGHT("0000"&amp;$B1418,4)&amp;"/"&amp;RIGHT("00"&amp;$C1418,2)&amp;"/"&amp;RIGHT("00"&amp;$D1418,2)))</f>
        <v/>
      </c>
      <c r="F1418">
        <f>IF(Entry!$D1418&lt;&gt;"",IF(AND(ISNUMBER(Entry!$D1418),Entry!$D1418&gt;=0,Entry!$D1418&lt;1),RIGHT("00"&amp;HOUR(Entry!$D1418),2)&amp;":"&amp;RIGHT("00"&amp;MINUTE(Entry!$D1418),2),IFERROR(RIGHT("00"&amp;VALUE(TRIM(LEFT(Entry!$D1418,FIND(":",Entry!$D1418)-1))),2)&amp;":"&amp;RIGHT("00"&amp;VALUE(TRIM(MID(Entry!$D1418,FIND(":",Entry!$D1418)+1,2))),2),"نامعتبر")),IF(OR($E1418="",$E1418="نامعتبر"),"","00:00"))</f>
        <v/>
      </c>
      <c r="G1418">
        <f>IF(OR($E1418="",$E1418="نامعتبر"),"",IF(Entry!$E1418="","",LEFT(UPPER(TRIM(Entry!$E1418)),6)))</f>
        <v/>
      </c>
      <c r="H1418">
        <f>IF($G1418="","",RIGHT($E1418,4)&amp;MID($E1418,6,2)&amp;RIGHT($E1418,2)&amp;IF($F1418="","0000",IF($F1418="نامعتبر","9999",LEFT($F1418,2)&amp;RIGHT($F1418,2)))&amp;"|"&amp;RIGHT("00000"&amp;1410,5))</f>
        <v/>
      </c>
      <c r="I1418">
        <f>IF($H1418="","",COUNTIFS(CalcBank,$G1418,CalcKey,"&lt;"&amp;$H1418)+1)</f>
        <v/>
      </c>
      <c r="J1418">
        <f>IF($I1418="","",$G1418&amp;"|"&amp;RIGHT("000000"&amp;$I1418,6))</f>
        <v/>
      </c>
      <c r="K1418">
        <f>IF(OR($E1418="",$E1418="نامعتبر"),"",LEFT($E1418,4)&amp;"/"&amp;MID($E1418,6,2))</f>
        <v/>
      </c>
      <c r="L1418">
        <f>IF(Entry!$K1418="",0,Entry!$K1418)</f>
        <v/>
      </c>
      <c r="M1418">
        <f>IF(Entry!$L1418="",0,Entry!$L1418)</f>
        <v/>
      </c>
    </row>
    <row r="1419">
      <c r="A1419">
        <f>IF(Entry!$C1419="","",Entry!$C1419)</f>
        <v/>
      </c>
      <c r="B1419">
        <f>IF($A1419="","",IF(ISNUMBER($A1419),IF(AND($A1419&gt;=10000101,$A1419&lt;=99991231),INT($A1419/10000),""),IFERROR(VALUE(TRIM(LEFT($A1419,FIND("/",$A1419)-1))),"")))</f>
        <v/>
      </c>
      <c r="C1419">
        <f>IF(OR($A1419="",$B1419=""),"",IF(ISNUMBER($A1419),INT(MOD($A1419,10000)/100),IFERROR(VALUE(TRIM(LEFT(MID($A1419,FIND("/",$A1419)+1,20),FIND("/",MID($A1419,FIND("/",$A1419)+1,20))-1))),"")))</f>
        <v/>
      </c>
      <c r="D1419">
        <f>IF(OR($A1419="",$B1419=""),"",IF(ISNUMBER($A1419),MOD($A1419,100),IFERROR(VALUE(TRIM(MID(MID($A1419,FIND("/",$A1419)+1,20),FIND("/",MID($A1419,FIND("/",$A1419)+1,20))+1,20))),"")))</f>
        <v/>
      </c>
      <c r="E1419">
        <f>IF($A1419="","",IF(OR($B1419="",$C1419="",$D1419="",$B1419&lt;1300,$B1419&gt;1500,$C1419&lt;1,$C1419&gt;12,$D1419&lt;1,$D1419&gt;31),"نامعتبر",RIGHT("0000"&amp;$B1419,4)&amp;"/"&amp;RIGHT("00"&amp;$C1419,2)&amp;"/"&amp;RIGHT("00"&amp;$D1419,2)))</f>
        <v/>
      </c>
      <c r="F1419">
        <f>IF(Entry!$D1419&lt;&gt;"",IF(AND(ISNUMBER(Entry!$D1419),Entry!$D1419&gt;=0,Entry!$D1419&lt;1),RIGHT("00"&amp;HOUR(Entry!$D1419),2)&amp;":"&amp;RIGHT("00"&amp;MINUTE(Entry!$D1419),2),IFERROR(RIGHT("00"&amp;VALUE(TRIM(LEFT(Entry!$D1419,FIND(":",Entry!$D1419)-1))),2)&amp;":"&amp;RIGHT("00"&amp;VALUE(TRIM(MID(Entry!$D1419,FIND(":",Entry!$D1419)+1,2))),2),"نامعتبر")),IF(OR($E1419="",$E1419="نامعتبر"),"","00:00"))</f>
        <v/>
      </c>
      <c r="G1419">
        <f>IF(OR($E1419="",$E1419="نامعتبر"),"",IF(Entry!$E1419="","",LEFT(UPPER(TRIM(Entry!$E1419)),6)))</f>
        <v/>
      </c>
      <c r="H1419">
        <f>IF($G1419="","",RIGHT($E1419,4)&amp;MID($E1419,6,2)&amp;RIGHT($E1419,2)&amp;IF($F1419="","0000",IF($F1419="نامعتبر","9999",LEFT($F1419,2)&amp;RIGHT($F1419,2)))&amp;"|"&amp;RIGHT("00000"&amp;1411,5))</f>
        <v/>
      </c>
      <c r="I1419">
        <f>IF($H1419="","",COUNTIFS(CalcBank,$G1419,CalcKey,"&lt;"&amp;$H1419)+1)</f>
        <v/>
      </c>
      <c r="J1419">
        <f>IF($I1419="","",$G1419&amp;"|"&amp;RIGHT("000000"&amp;$I1419,6))</f>
        <v/>
      </c>
      <c r="K1419">
        <f>IF(OR($E1419="",$E1419="نامعتبر"),"",LEFT($E1419,4)&amp;"/"&amp;MID($E1419,6,2))</f>
        <v/>
      </c>
      <c r="L1419">
        <f>IF(Entry!$K1419="",0,Entry!$K1419)</f>
        <v/>
      </c>
      <c r="M1419">
        <f>IF(Entry!$L1419="",0,Entry!$L1419)</f>
        <v/>
      </c>
    </row>
    <row r="1420">
      <c r="A1420">
        <f>IF(Entry!$C1420="","",Entry!$C1420)</f>
        <v/>
      </c>
      <c r="B1420">
        <f>IF($A1420="","",IF(ISNUMBER($A1420),IF(AND($A1420&gt;=10000101,$A1420&lt;=99991231),INT($A1420/10000),""),IFERROR(VALUE(TRIM(LEFT($A1420,FIND("/",$A1420)-1))),"")))</f>
        <v/>
      </c>
      <c r="C1420">
        <f>IF(OR($A1420="",$B1420=""),"",IF(ISNUMBER($A1420),INT(MOD($A1420,10000)/100),IFERROR(VALUE(TRIM(LEFT(MID($A1420,FIND("/",$A1420)+1,20),FIND("/",MID($A1420,FIND("/",$A1420)+1,20))-1))),"")))</f>
        <v/>
      </c>
      <c r="D1420">
        <f>IF(OR($A1420="",$B1420=""),"",IF(ISNUMBER($A1420),MOD($A1420,100),IFERROR(VALUE(TRIM(MID(MID($A1420,FIND("/",$A1420)+1,20),FIND("/",MID($A1420,FIND("/",$A1420)+1,20))+1,20))),"")))</f>
        <v/>
      </c>
      <c r="E1420">
        <f>IF($A1420="","",IF(OR($B1420="",$C1420="",$D1420="",$B1420&lt;1300,$B1420&gt;1500,$C1420&lt;1,$C1420&gt;12,$D1420&lt;1,$D1420&gt;31),"نامعتبر",RIGHT("0000"&amp;$B1420,4)&amp;"/"&amp;RIGHT("00"&amp;$C1420,2)&amp;"/"&amp;RIGHT("00"&amp;$D1420,2)))</f>
        <v/>
      </c>
      <c r="F1420">
        <f>IF(Entry!$D1420&lt;&gt;"",IF(AND(ISNUMBER(Entry!$D1420),Entry!$D1420&gt;=0,Entry!$D1420&lt;1),RIGHT("00"&amp;HOUR(Entry!$D1420),2)&amp;":"&amp;RIGHT("00"&amp;MINUTE(Entry!$D1420),2),IFERROR(RIGHT("00"&amp;VALUE(TRIM(LEFT(Entry!$D1420,FIND(":",Entry!$D1420)-1))),2)&amp;":"&amp;RIGHT("00"&amp;VALUE(TRIM(MID(Entry!$D1420,FIND(":",Entry!$D1420)+1,2))),2),"نامعتبر")),IF(OR($E1420="",$E1420="نامعتبر"),"","00:00"))</f>
        <v/>
      </c>
      <c r="G1420">
        <f>IF(OR($E1420="",$E1420="نامعتبر"),"",IF(Entry!$E1420="","",LEFT(UPPER(TRIM(Entry!$E1420)),6)))</f>
        <v/>
      </c>
      <c r="H1420">
        <f>IF($G1420="","",RIGHT($E1420,4)&amp;MID($E1420,6,2)&amp;RIGHT($E1420,2)&amp;IF($F1420="","0000",IF($F1420="نامعتبر","9999",LEFT($F1420,2)&amp;RIGHT($F1420,2)))&amp;"|"&amp;RIGHT("00000"&amp;1412,5))</f>
        <v/>
      </c>
      <c r="I1420">
        <f>IF($H1420="","",COUNTIFS(CalcBank,$G1420,CalcKey,"&lt;"&amp;$H1420)+1)</f>
        <v/>
      </c>
      <c r="J1420">
        <f>IF($I1420="","",$G1420&amp;"|"&amp;RIGHT("000000"&amp;$I1420,6))</f>
        <v/>
      </c>
      <c r="K1420">
        <f>IF(OR($E1420="",$E1420="نامعتبر"),"",LEFT($E1420,4)&amp;"/"&amp;MID($E1420,6,2))</f>
        <v/>
      </c>
      <c r="L1420">
        <f>IF(Entry!$K1420="",0,Entry!$K1420)</f>
        <v/>
      </c>
      <c r="M1420">
        <f>IF(Entry!$L1420="",0,Entry!$L1420)</f>
        <v/>
      </c>
    </row>
    <row r="1421">
      <c r="A1421">
        <f>IF(Entry!$C1421="","",Entry!$C1421)</f>
        <v/>
      </c>
      <c r="B1421">
        <f>IF($A1421="","",IF(ISNUMBER($A1421),IF(AND($A1421&gt;=10000101,$A1421&lt;=99991231),INT($A1421/10000),""),IFERROR(VALUE(TRIM(LEFT($A1421,FIND("/",$A1421)-1))),"")))</f>
        <v/>
      </c>
      <c r="C1421">
        <f>IF(OR($A1421="",$B1421=""),"",IF(ISNUMBER($A1421),INT(MOD($A1421,10000)/100),IFERROR(VALUE(TRIM(LEFT(MID($A1421,FIND("/",$A1421)+1,20),FIND("/",MID($A1421,FIND("/",$A1421)+1,20))-1))),"")))</f>
        <v/>
      </c>
      <c r="D1421">
        <f>IF(OR($A1421="",$B1421=""),"",IF(ISNUMBER($A1421),MOD($A1421,100),IFERROR(VALUE(TRIM(MID(MID($A1421,FIND("/",$A1421)+1,20),FIND("/",MID($A1421,FIND("/",$A1421)+1,20))+1,20))),"")))</f>
        <v/>
      </c>
      <c r="E1421">
        <f>IF($A1421="","",IF(OR($B1421="",$C1421="",$D1421="",$B1421&lt;1300,$B1421&gt;1500,$C1421&lt;1,$C1421&gt;12,$D1421&lt;1,$D1421&gt;31),"نامعتبر",RIGHT("0000"&amp;$B1421,4)&amp;"/"&amp;RIGHT("00"&amp;$C1421,2)&amp;"/"&amp;RIGHT("00"&amp;$D1421,2)))</f>
        <v/>
      </c>
      <c r="F1421">
        <f>IF(Entry!$D1421&lt;&gt;"",IF(AND(ISNUMBER(Entry!$D1421),Entry!$D1421&gt;=0,Entry!$D1421&lt;1),RIGHT("00"&amp;HOUR(Entry!$D1421),2)&amp;":"&amp;RIGHT("00"&amp;MINUTE(Entry!$D1421),2),IFERROR(RIGHT("00"&amp;VALUE(TRIM(LEFT(Entry!$D1421,FIND(":",Entry!$D1421)-1))),2)&amp;":"&amp;RIGHT("00"&amp;VALUE(TRIM(MID(Entry!$D1421,FIND(":",Entry!$D1421)+1,2))),2),"نامعتبر")),IF(OR($E1421="",$E1421="نامعتبر"),"","00:00"))</f>
        <v/>
      </c>
      <c r="G1421">
        <f>IF(OR($E1421="",$E1421="نامعتبر"),"",IF(Entry!$E1421="","",LEFT(UPPER(TRIM(Entry!$E1421)),6)))</f>
        <v/>
      </c>
      <c r="H1421">
        <f>IF($G1421="","",RIGHT($E1421,4)&amp;MID($E1421,6,2)&amp;RIGHT($E1421,2)&amp;IF($F1421="","0000",IF($F1421="نامعتبر","9999",LEFT($F1421,2)&amp;RIGHT($F1421,2)))&amp;"|"&amp;RIGHT("00000"&amp;1413,5))</f>
        <v/>
      </c>
      <c r="I1421">
        <f>IF($H1421="","",COUNTIFS(CalcBank,$G1421,CalcKey,"&lt;"&amp;$H1421)+1)</f>
        <v/>
      </c>
      <c r="J1421">
        <f>IF($I1421="","",$G1421&amp;"|"&amp;RIGHT("000000"&amp;$I1421,6))</f>
        <v/>
      </c>
      <c r="K1421">
        <f>IF(OR($E1421="",$E1421="نامعتبر"),"",LEFT($E1421,4)&amp;"/"&amp;MID($E1421,6,2))</f>
        <v/>
      </c>
      <c r="L1421">
        <f>IF(Entry!$K1421="",0,Entry!$K1421)</f>
        <v/>
      </c>
      <c r="M1421">
        <f>IF(Entry!$L1421="",0,Entry!$L1421)</f>
        <v/>
      </c>
    </row>
    <row r="1422">
      <c r="A1422">
        <f>IF(Entry!$C1422="","",Entry!$C1422)</f>
        <v/>
      </c>
      <c r="B1422">
        <f>IF($A1422="","",IF(ISNUMBER($A1422),IF(AND($A1422&gt;=10000101,$A1422&lt;=99991231),INT($A1422/10000),""),IFERROR(VALUE(TRIM(LEFT($A1422,FIND("/",$A1422)-1))),"")))</f>
        <v/>
      </c>
      <c r="C1422">
        <f>IF(OR($A1422="",$B1422=""),"",IF(ISNUMBER($A1422),INT(MOD($A1422,10000)/100),IFERROR(VALUE(TRIM(LEFT(MID($A1422,FIND("/",$A1422)+1,20),FIND("/",MID($A1422,FIND("/",$A1422)+1,20))-1))),"")))</f>
        <v/>
      </c>
      <c r="D1422">
        <f>IF(OR($A1422="",$B1422=""),"",IF(ISNUMBER($A1422),MOD($A1422,100),IFERROR(VALUE(TRIM(MID(MID($A1422,FIND("/",$A1422)+1,20),FIND("/",MID($A1422,FIND("/",$A1422)+1,20))+1,20))),"")))</f>
        <v/>
      </c>
      <c r="E1422">
        <f>IF($A1422="","",IF(OR($B1422="",$C1422="",$D1422="",$B1422&lt;1300,$B1422&gt;1500,$C1422&lt;1,$C1422&gt;12,$D1422&lt;1,$D1422&gt;31),"نامعتبر",RIGHT("0000"&amp;$B1422,4)&amp;"/"&amp;RIGHT("00"&amp;$C1422,2)&amp;"/"&amp;RIGHT("00"&amp;$D1422,2)))</f>
        <v/>
      </c>
      <c r="F1422">
        <f>IF(Entry!$D1422&lt;&gt;"",IF(AND(ISNUMBER(Entry!$D1422),Entry!$D1422&gt;=0,Entry!$D1422&lt;1),RIGHT("00"&amp;HOUR(Entry!$D1422),2)&amp;":"&amp;RIGHT("00"&amp;MINUTE(Entry!$D1422),2),IFERROR(RIGHT("00"&amp;VALUE(TRIM(LEFT(Entry!$D1422,FIND(":",Entry!$D1422)-1))),2)&amp;":"&amp;RIGHT("00"&amp;VALUE(TRIM(MID(Entry!$D1422,FIND(":",Entry!$D1422)+1,2))),2),"نامعتبر")),IF(OR($E1422="",$E1422="نامعتبر"),"","00:00"))</f>
        <v/>
      </c>
      <c r="G1422">
        <f>IF(OR($E1422="",$E1422="نامعتبر"),"",IF(Entry!$E1422="","",LEFT(UPPER(TRIM(Entry!$E1422)),6)))</f>
        <v/>
      </c>
      <c r="H1422">
        <f>IF($G1422="","",RIGHT($E1422,4)&amp;MID($E1422,6,2)&amp;RIGHT($E1422,2)&amp;IF($F1422="","0000",IF($F1422="نامعتبر","9999",LEFT($F1422,2)&amp;RIGHT($F1422,2)))&amp;"|"&amp;RIGHT("00000"&amp;1414,5))</f>
        <v/>
      </c>
      <c r="I1422">
        <f>IF($H1422="","",COUNTIFS(CalcBank,$G1422,CalcKey,"&lt;"&amp;$H1422)+1)</f>
        <v/>
      </c>
      <c r="J1422">
        <f>IF($I1422="","",$G1422&amp;"|"&amp;RIGHT("000000"&amp;$I1422,6))</f>
        <v/>
      </c>
      <c r="K1422">
        <f>IF(OR($E1422="",$E1422="نامعتبر"),"",LEFT($E1422,4)&amp;"/"&amp;MID($E1422,6,2))</f>
        <v/>
      </c>
      <c r="L1422">
        <f>IF(Entry!$K1422="",0,Entry!$K1422)</f>
        <v/>
      </c>
      <c r="M1422">
        <f>IF(Entry!$L1422="",0,Entry!$L1422)</f>
        <v/>
      </c>
    </row>
    <row r="1423">
      <c r="A1423">
        <f>IF(Entry!$C1423="","",Entry!$C1423)</f>
        <v/>
      </c>
      <c r="B1423">
        <f>IF($A1423="","",IF(ISNUMBER($A1423),IF(AND($A1423&gt;=10000101,$A1423&lt;=99991231),INT($A1423/10000),""),IFERROR(VALUE(TRIM(LEFT($A1423,FIND("/",$A1423)-1))),"")))</f>
        <v/>
      </c>
      <c r="C1423">
        <f>IF(OR($A1423="",$B1423=""),"",IF(ISNUMBER($A1423),INT(MOD($A1423,10000)/100),IFERROR(VALUE(TRIM(LEFT(MID($A1423,FIND("/",$A1423)+1,20),FIND("/",MID($A1423,FIND("/",$A1423)+1,20))-1))),"")))</f>
        <v/>
      </c>
      <c r="D1423">
        <f>IF(OR($A1423="",$B1423=""),"",IF(ISNUMBER($A1423),MOD($A1423,100),IFERROR(VALUE(TRIM(MID(MID($A1423,FIND("/",$A1423)+1,20),FIND("/",MID($A1423,FIND("/",$A1423)+1,20))+1,20))),"")))</f>
        <v/>
      </c>
      <c r="E1423">
        <f>IF($A1423="","",IF(OR($B1423="",$C1423="",$D1423="",$B1423&lt;1300,$B1423&gt;1500,$C1423&lt;1,$C1423&gt;12,$D1423&lt;1,$D1423&gt;31),"نامعتبر",RIGHT("0000"&amp;$B1423,4)&amp;"/"&amp;RIGHT("00"&amp;$C1423,2)&amp;"/"&amp;RIGHT("00"&amp;$D1423,2)))</f>
        <v/>
      </c>
      <c r="F1423">
        <f>IF(Entry!$D1423&lt;&gt;"",IF(AND(ISNUMBER(Entry!$D1423),Entry!$D1423&gt;=0,Entry!$D1423&lt;1),RIGHT("00"&amp;HOUR(Entry!$D1423),2)&amp;":"&amp;RIGHT("00"&amp;MINUTE(Entry!$D1423),2),IFERROR(RIGHT("00"&amp;VALUE(TRIM(LEFT(Entry!$D1423,FIND(":",Entry!$D1423)-1))),2)&amp;":"&amp;RIGHT("00"&amp;VALUE(TRIM(MID(Entry!$D1423,FIND(":",Entry!$D1423)+1,2))),2),"نامعتبر")),IF(OR($E1423="",$E1423="نامعتبر"),"","00:00"))</f>
        <v/>
      </c>
      <c r="G1423">
        <f>IF(OR($E1423="",$E1423="نامعتبر"),"",IF(Entry!$E1423="","",LEFT(UPPER(TRIM(Entry!$E1423)),6)))</f>
        <v/>
      </c>
      <c r="H1423">
        <f>IF($G1423="","",RIGHT($E1423,4)&amp;MID($E1423,6,2)&amp;RIGHT($E1423,2)&amp;IF($F1423="","0000",IF($F1423="نامعتبر","9999",LEFT($F1423,2)&amp;RIGHT($F1423,2)))&amp;"|"&amp;RIGHT("00000"&amp;1415,5))</f>
        <v/>
      </c>
      <c r="I1423">
        <f>IF($H1423="","",COUNTIFS(CalcBank,$G1423,CalcKey,"&lt;"&amp;$H1423)+1)</f>
        <v/>
      </c>
      <c r="J1423">
        <f>IF($I1423="","",$G1423&amp;"|"&amp;RIGHT("000000"&amp;$I1423,6))</f>
        <v/>
      </c>
      <c r="K1423">
        <f>IF(OR($E1423="",$E1423="نامعتبر"),"",LEFT($E1423,4)&amp;"/"&amp;MID($E1423,6,2))</f>
        <v/>
      </c>
      <c r="L1423">
        <f>IF(Entry!$K1423="",0,Entry!$K1423)</f>
        <v/>
      </c>
      <c r="M1423">
        <f>IF(Entry!$L1423="",0,Entry!$L1423)</f>
        <v/>
      </c>
    </row>
    <row r="1424">
      <c r="A1424">
        <f>IF(Entry!$C1424="","",Entry!$C1424)</f>
        <v/>
      </c>
      <c r="B1424">
        <f>IF($A1424="","",IF(ISNUMBER($A1424),IF(AND($A1424&gt;=10000101,$A1424&lt;=99991231),INT($A1424/10000),""),IFERROR(VALUE(TRIM(LEFT($A1424,FIND("/",$A1424)-1))),"")))</f>
        <v/>
      </c>
      <c r="C1424">
        <f>IF(OR($A1424="",$B1424=""),"",IF(ISNUMBER($A1424),INT(MOD($A1424,10000)/100),IFERROR(VALUE(TRIM(LEFT(MID($A1424,FIND("/",$A1424)+1,20),FIND("/",MID($A1424,FIND("/",$A1424)+1,20))-1))),"")))</f>
        <v/>
      </c>
      <c r="D1424">
        <f>IF(OR($A1424="",$B1424=""),"",IF(ISNUMBER($A1424),MOD($A1424,100),IFERROR(VALUE(TRIM(MID(MID($A1424,FIND("/",$A1424)+1,20),FIND("/",MID($A1424,FIND("/",$A1424)+1,20))+1,20))),"")))</f>
        <v/>
      </c>
      <c r="E1424">
        <f>IF($A1424="","",IF(OR($B1424="",$C1424="",$D1424="",$B1424&lt;1300,$B1424&gt;1500,$C1424&lt;1,$C1424&gt;12,$D1424&lt;1,$D1424&gt;31),"نامعتبر",RIGHT("0000"&amp;$B1424,4)&amp;"/"&amp;RIGHT("00"&amp;$C1424,2)&amp;"/"&amp;RIGHT("00"&amp;$D1424,2)))</f>
        <v/>
      </c>
      <c r="F1424">
        <f>IF(Entry!$D1424&lt;&gt;"",IF(AND(ISNUMBER(Entry!$D1424),Entry!$D1424&gt;=0,Entry!$D1424&lt;1),RIGHT("00"&amp;HOUR(Entry!$D1424),2)&amp;":"&amp;RIGHT("00"&amp;MINUTE(Entry!$D1424),2),IFERROR(RIGHT("00"&amp;VALUE(TRIM(LEFT(Entry!$D1424,FIND(":",Entry!$D1424)-1))),2)&amp;":"&amp;RIGHT("00"&amp;VALUE(TRIM(MID(Entry!$D1424,FIND(":",Entry!$D1424)+1,2))),2),"نامعتبر")),IF(OR($E1424="",$E1424="نامعتبر"),"","00:00"))</f>
        <v/>
      </c>
      <c r="G1424">
        <f>IF(OR($E1424="",$E1424="نامعتبر"),"",IF(Entry!$E1424="","",LEFT(UPPER(TRIM(Entry!$E1424)),6)))</f>
        <v/>
      </c>
      <c r="H1424">
        <f>IF($G1424="","",RIGHT($E1424,4)&amp;MID($E1424,6,2)&amp;RIGHT($E1424,2)&amp;IF($F1424="","0000",IF($F1424="نامعتبر","9999",LEFT($F1424,2)&amp;RIGHT($F1424,2)))&amp;"|"&amp;RIGHT("00000"&amp;1416,5))</f>
        <v/>
      </c>
      <c r="I1424">
        <f>IF($H1424="","",COUNTIFS(CalcBank,$G1424,CalcKey,"&lt;"&amp;$H1424)+1)</f>
        <v/>
      </c>
      <c r="J1424">
        <f>IF($I1424="","",$G1424&amp;"|"&amp;RIGHT("000000"&amp;$I1424,6))</f>
        <v/>
      </c>
      <c r="K1424">
        <f>IF(OR($E1424="",$E1424="نامعتبر"),"",LEFT($E1424,4)&amp;"/"&amp;MID($E1424,6,2))</f>
        <v/>
      </c>
      <c r="L1424">
        <f>IF(Entry!$K1424="",0,Entry!$K1424)</f>
        <v/>
      </c>
      <c r="M1424">
        <f>IF(Entry!$L1424="",0,Entry!$L1424)</f>
        <v/>
      </c>
    </row>
    <row r="1425">
      <c r="A1425">
        <f>IF(Entry!$C1425="","",Entry!$C1425)</f>
        <v/>
      </c>
      <c r="B1425">
        <f>IF($A1425="","",IF(ISNUMBER($A1425),IF(AND($A1425&gt;=10000101,$A1425&lt;=99991231),INT($A1425/10000),""),IFERROR(VALUE(TRIM(LEFT($A1425,FIND("/",$A1425)-1))),"")))</f>
        <v/>
      </c>
      <c r="C1425">
        <f>IF(OR($A1425="",$B1425=""),"",IF(ISNUMBER($A1425),INT(MOD($A1425,10000)/100),IFERROR(VALUE(TRIM(LEFT(MID($A1425,FIND("/",$A1425)+1,20),FIND("/",MID($A1425,FIND("/",$A1425)+1,20))-1))),"")))</f>
        <v/>
      </c>
      <c r="D1425">
        <f>IF(OR($A1425="",$B1425=""),"",IF(ISNUMBER($A1425),MOD($A1425,100),IFERROR(VALUE(TRIM(MID(MID($A1425,FIND("/",$A1425)+1,20),FIND("/",MID($A1425,FIND("/",$A1425)+1,20))+1,20))),"")))</f>
        <v/>
      </c>
      <c r="E1425">
        <f>IF($A1425="","",IF(OR($B1425="",$C1425="",$D1425="",$B1425&lt;1300,$B1425&gt;1500,$C1425&lt;1,$C1425&gt;12,$D1425&lt;1,$D1425&gt;31),"نامعتبر",RIGHT("0000"&amp;$B1425,4)&amp;"/"&amp;RIGHT("00"&amp;$C1425,2)&amp;"/"&amp;RIGHT("00"&amp;$D1425,2)))</f>
        <v/>
      </c>
      <c r="F1425">
        <f>IF(Entry!$D1425&lt;&gt;"",IF(AND(ISNUMBER(Entry!$D1425),Entry!$D1425&gt;=0,Entry!$D1425&lt;1),RIGHT("00"&amp;HOUR(Entry!$D1425),2)&amp;":"&amp;RIGHT("00"&amp;MINUTE(Entry!$D1425),2),IFERROR(RIGHT("00"&amp;VALUE(TRIM(LEFT(Entry!$D1425,FIND(":",Entry!$D1425)-1))),2)&amp;":"&amp;RIGHT("00"&amp;VALUE(TRIM(MID(Entry!$D1425,FIND(":",Entry!$D1425)+1,2))),2),"نامعتبر")),IF(OR($E1425="",$E1425="نامعتبر"),"","00:00"))</f>
        <v/>
      </c>
      <c r="G1425">
        <f>IF(OR($E1425="",$E1425="نامعتبر"),"",IF(Entry!$E1425="","",LEFT(UPPER(TRIM(Entry!$E1425)),6)))</f>
        <v/>
      </c>
      <c r="H1425">
        <f>IF($G1425="","",RIGHT($E1425,4)&amp;MID($E1425,6,2)&amp;RIGHT($E1425,2)&amp;IF($F1425="","0000",IF($F1425="نامعتبر","9999",LEFT($F1425,2)&amp;RIGHT($F1425,2)))&amp;"|"&amp;RIGHT("00000"&amp;1417,5))</f>
        <v/>
      </c>
      <c r="I1425">
        <f>IF($H1425="","",COUNTIFS(CalcBank,$G1425,CalcKey,"&lt;"&amp;$H1425)+1)</f>
        <v/>
      </c>
      <c r="J1425">
        <f>IF($I1425="","",$G1425&amp;"|"&amp;RIGHT("000000"&amp;$I1425,6))</f>
        <v/>
      </c>
      <c r="K1425">
        <f>IF(OR($E1425="",$E1425="نامعتبر"),"",LEFT($E1425,4)&amp;"/"&amp;MID($E1425,6,2))</f>
        <v/>
      </c>
      <c r="L1425">
        <f>IF(Entry!$K1425="",0,Entry!$K1425)</f>
        <v/>
      </c>
      <c r="M1425">
        <f>IF(Entry!$L1425="",0,Entry!$L1425)</f>
        <v/>
      </c>
    </row>
    <row r="1426">
      <c r="A1426">
        <f>IF(Entry!$C1426="","",Entry!$C1426)</f>
        <v/>
      </c>
      <c r="B1426">
        <f>IF($A1426="","",IF(ISNUMBER($A1426),IF(AND($A1426&gt;=10000101,$A1426&lt;=99991231),INT($A1426/10000),""),IFERROR(VALUE(TRIM(LEFT($A1426,FIND("/",$A1426)-1))),"")))</f>
        <v/>
      </c>
      <c r="C1426">
        <f>IF(OR($A1426="",$B1426=""),"",IF(ISNUMBER($A1426),INT(MOD($A1426,10000)/100),IFERROR(VALUE(TRIM(LEFT(MID($A1426,FIND("/",$A1426)+1,20),FIND("/",MID($A1426,FIND("/",$A1426)+1,20))-1))),"")))</f>
        <v/>
      </c>
      <c r="D1426">
        <f>IF(OR($A1426="",$B1426=""),"",IF(ISNUMBER($A1426),MOD($A1426,100),IFERROR(VALUE(TRIM(MID(MID($A1426,FIND("/",$A1426)+1,20),FIND("/",MID($A1426,FIND("/",$A1426)+1,20))+1,20))),"")))</f>
        <v/>
      </c>
      <c r="E1426">
        <f>IF($A1426="","",IF(OR($B1426="",$C1426="",$D1426="",$B1426&lt;1300,$B1426&gt;1500,$C1426&lt;1,$C1426&gt;12,$D1426&lt;1,$D1426&gt;31),"نامعتبر",RIGHT("0000"&amp;$B1426,4)&amp;"/"&amp;RIGHT("00"&amp;$C1426,2)&amp;"/"&amp;RIGHT("00"&amp;$D1426,2)))</f>
        <v/>
      </c>
      <c r="F1426">
        <f>IF(Entry!$D1426&lt;&gt;"",IF(AND(ISNUMBER(Entry!$D1426),Entry!$D1426&gt;=0,Entry!$D1426&lt;1),RIGHT("00"&amp;HOUR(Entry!$D1426),2)&amp;":"&amp;RIGHT("00"&amp;MINUTE(Entry!$D1426),2),IFERROR(RIGHT("00"&amp;VALUE(TRIM(LEFT(Entry!$D1426,FIND(":",Entry!$D1426)-1))),2)&amp;":"&amp;RIGHT("00"&amp;VALUE(TRIM(MID(Entry!$D1426,FIND(":",Entry!$D1426)+1,2))),2),"نامعتبر")),IF(OR($E1426="",$E1426="نامعتبر"),"","00:00"))</f>
        <v/>
      </c>
      <c r="G1426">
        <f>IF(OR($E1426="",$E1426="نامعتبر"),"",IF(Entry!$E1426="","",LEFT(UPPER(TRIM(Entry!$E1426)),6)))</f>
        <v/>
      </c>
      <c r="H1426">
        <f>IF($G1426="","",RIGHT($E1426,4)&amp;MID($E1426,6,2)&amp;RIGHT($E1426,2)&amp;IF($F1426="","0000",IF($F1426="نامعتبر","9999",LEFT($F1426,2)&amp;RIGHT($F1426,2)))&amp;"|"&amp;RIGHT("00000"&amp;1418,5))</f>
        <v/>
      </c>
      <c r="I1426">
        <f>IF($H1426="","",COUNTIFS(CalcBank,$G1426,CalcKey,"&lt;"&amp;$H1426)+1)</f>
        <v/>
      </c>
      <c r="J1426">
        <f>IF($I1426="","",$G1426&amp;"|"&amp;RIGHT("000000"&amp;$I1426,6))</f>
        <v/>
      </c>
      <c r="K1426">
        <f>IF(OR($E1426="",$E1426="نامعتبر"),"",LEFT($E1426,4)&amp;"/"&amp;MID($E1426,6,2))</f>
        <v/>
      </c>
      <c r="L1426">
        <f>IF(Entry!$K1426="",0,Entry!$K1426)</f>
        <v/>
      </c>
      <c r="M1426">
        <f>IF(Entry!$L1426="",0,Entry!$L1426)</f>
        <v/>
      </c>
    </row>
    <row r="1427">
      <c r="A1427">
        <f>IF(Entry!$C1427="","",Entry!$C1427)</f>
        <v/>
      </c>
      <c r="B1427">
        <f>IF($A1427="","",IF(ISNUMBER($A1427),IF(AND($A1427&gt;=10000101,$A1427&lt;=99991231),INT($A1427/10000),""),IFERROR(VALUE(TRIM(LEFT($A1427,FIND("/",$A1427)-1))),"")))</f>
        <v/>
      </c>
      <c r="C1427">
        <f>IF(OR($A1427="",$B1427=""),"",IF(ISNUMBER($A1427),INT(MOD($A1427,10000)/100),IFERROR(VALUE(TRIM(LEFT(MID($A1427,FIND("/",$A1427)+1,20),FIND("/",MID($A1427,FIND("/",$A1427)+1,20))-1))),"")))</f>
        <v/>
      </c>
      <c r="D1427">
        <f>IF(OR($A1427="",$B1427=""),"",IF(ISNUMBER($A1427),MOD($A1427,100),IFERROR(VALUE(TRIM(MID(MID($A1427,FIND("/",$A1427)+1,20),FIND("/",MID($A1427,FIND("/",$A1427)+1,20))+1,20))),"")))</f>
        <v/>
      </c>
      <c r="E1427">
        <f>IF($A1427="","",IF(OR($B1427="",$C1427="",$D1427="",$B1427&lt;1300,$B1427&gt;1500,$C1427&lt;1,$C1427&gt;12,$D1427&lt;1,$D1427&gt;31),"نامعتبر",RIGHT("0000"&amp;$B1427,4)&amp;"/"&amp;RIGHT("00"&amp;$C1427,2)&amp;"/"&amp;RIGHT("00"&amp;$D1427,2)))</f>
        <v/>
      </c>
      <c r="F1427">
        <f>IF(Entry!$D1427&lt;&gt;"",IF(AND(ISNUMBER(Entry!$D1427),Entry!$D1427&gt;=0,Entry!$D1427&lt;1),RIGHT("00"&amp;HOUR(Entry!$D1427),2)&amp;":"&amp;RIGHT("00"&amp;MINUTE(Entry!$D1427),2),IFERROR(RIGHT("00"&amp;VALUE(TRIM(LEFT(Entry!$D1427,FIND(":",Entry!$D1427)-1))),2)&amp;":"&amp;RIGHT("00"&amp;VALUE(TRIM(MID(Entry!$D1427,FIND(":",Entry!$D1427)+1,2))),2),"نامعتبر")),IF(OR($E1427="",$E1427="نامعتبر"),"","00:00"))</f>
        <v/>
      </c>
      <c r="G1427">
        <f>IF(OR($E1427="",$E1427="نامعتبر"),"",IF(Entry!$E1427="","",LEFT(UPPER(TRIM(Entry!$E1427)),6)))</f>
        <v/>
      </c>
      <c r="H1427">
        <f>IF($G1427="","",RIGHT($E1427,4)&amp;MID($E1427,6,2)&amp;RIGHT($E1427,2)&amp;IF($F1427="","0000",IF($F1427="نامعتبر","9999",LEFT($F1427,2)&amp;RIGHT($F1427,2)))&amp;"|"&amp;RIGHT("00000"&amp;1419,5))</f>
        <v/>
      </c>
      <c r="I1427">
        <f>IF($H1427="","",COUNTIFS(CalcBank,$G1427,CalcKey,"&lt;"&amp;$H1427)+1)</f>
        <v/>
      </c>
      <c r="J1427">
        <f>IF($I1427="","",$G1427&amp;"|"&amp;RIGHT("000000"&amp;$I1427,6))</f>
        <v/>
      </c>
      <c r="K1427">
        <f>IF(OR($E1427="",$E1427="نامعتبر"),"",LEFT($E1427,4)&amp;"/"&amp;MID($E1427,6,2))</f>
        <v/>
      </c>
      <c r="L1427">
        <f>IF(Entry!$K1427="",0,Entry!$K1427)</f>
        <v/>
      </c>
      <c r="M1427">
        <f>IF(Entry!$L1427="",0,Entry!$L1427)</f>
        <v/>
      </c>
    </row>
    <row r="1428">
      <c r="A1428">
        <f>IF(Entry!$C1428="","",Entry!$C1428)</f>
        <v/>
      </c>
      <c r="B1428">
        <f>IF($A1428="","",IF(ISNUMBER($A1428),IF(AND($A1428&gt;=10000101,$A1428&lt;=99991231),INT($A1428/10000),""),IFERROR(VALUE(TRIM(LEFT($A1428,FIND("/",$A1428)-1))),"")))</f>
        <v/>
      </c>
      <c r="C1428">
        <f>IF(OR($A1428="",$B1428=""),"",IF(ISNUMBER($A1428),INT(MOD($A1428,10000)/100),IFERROR(VALUE(TRIM(LEFT(MID($A1428,FIND("/",$A1428)+1,20),FIND("/",MID($A1428,FIND("/",$A1428)+1,20))-1))),"")))</f>
        <v/>
      </c>
      <c r="D1428">
        <f>IF(OR($A1428="",$B1428=""),"",IF(ISNUMBER($A1428),MOD($A1428,100),IFERROR(VALUE(TRIM(MID(MID($A1428,FIND("/",$A1428)+1,20),FIND("/",MID($A1428,FIND("/",$A1428)+1,20))+1,20))),"")))</f>
        <v/>
      </c>
      <c r="E1428">
        <f>IF($A1428="","",IF(OR($B1428="",$C1428="",$D1428="",$B1428&lt;1300,$B1428&gt;1500,$C1428&lt;1,$C1428&gt;12,$D1428&lt;1,$D1428&gt;31),"نامعتبر",RIGHT("0000"&amp;$B1428,4)&amp;"/"&amp;RIGHT("00"&amp;$C1428,2)&amp;"/"&amp;RIGHT("00"&amp;$D1428,2)))</f>
        <v/>
      </c>
      <c r="F1428">
        <f>IF(Entry!$D1428&lt;&gt;"",IF(AND(ISNUMBER(Entry!$D1428),Entry!$D1428&gt;=0,Entry!$D1428&lt;1),RIGHT("00"&amp;HOUR(Entry!$D1428),2)&amp;":"&amp;RIGHT("00"&amp;MINUTE(Entry!$D1428),2),IFERROR(RIGHT("00"&amp;VALUE(TRIM(LEFT(Entry!$D1428,FIND(":",Entry!$D1428)-1))),2)&amp;":"&amp;RIGHT("00"&amp;VALUE(TRIM(MID(Entry!$D1428,FIND(":",Entry!$D1428)+1,2))),2),"نامعتبر")),IF(OR($E1428="",$E1428="نامعتبر"),"","00:00"))</f>
        <v/>
      </c>
      <c r="G1428">
        <f>IF(OR($E1428="",$E1428="نامعتبر"),"",IF(Entry!$E1428="","",LEFT(UPPER(TRIM(Entry!$E1428)),6)))</f>
        <v/>
      </c>
      <c r="H1428">
        <f>IF($G1428="","",RIGHT($E1428,4)&amp;MID($E1428,6,2)&amp;RIGHT($E1428,2)&amp;IF($F1428="","0000",IF($F1428="نامعتبر","9999",LEFT($F1428,2)&amp;RIGHT($F1428,2)))&amp;"|"&amp;RIGHT("00000"&amp;1420,5))</f>
        <v/>
      </c>
      <c r="I1428">
        <f>IF($H1428="","",COUNTIFS(CalcBank,$G1428,CalcKey,"&lt;"&amp;$H1428)+1)</f>
        <v/>
      </c>
      <c r="J1428">
        <f>IF($I1428="","",$G1428&amp;"|"&amp;RIGHT("000000"&amp;$I1428,6))</f>
        <v/>
      </c>
      <c r="K1428">
        <f>IF(OR($E1428="",$E1428="نامعتبر"),"",LEFT($E1428,4)&amp;"/"&amp;MID($E1428,6,2))</f>
        <v/>
      </c>
      <c r="L1428">
        <f>IF(Entry!$K1428="",0,Entry!$K1428)</f>
        <v/>
      </c>
      <c r="M1428">
        <f>IF(Entry!$L1428="",0,Entry!$L1428)</f>
        <v/>
      </c>
    </row>
    <row r="1429">
      <c r="A1429">
        <f>IF(Entry!$C1429="","",Entry!$C1429)</f>
        <v/>
      </c>
      <c r="B1429">
        <f>IF($A1429="","",IF(ISNUMBER($A1429),IF(AND($A1429&gt;=10000101,$A1429&lt;=99991231),INT($A1429/10000),""),IFERROR(VALUE(TRIM(LEFT($A1429,FIND("/",$A1429)-1))),"")))</f>
        <v/>
      </c>
      <c r="C1429">
        <f>IF(OR($A1429="",$B1429=""),"",IF(ISNUMBER($A1429),INT(MOD($A1429,10000)/100),IFERROR(VALUE(TRIM(LEFT(MID($A1429,FIND("/",$A1429)+1,20),FIND("/",MID($A1429,FIND("/",$A1429)+1,20))-1))),"")))</f>
        <v/>
      </c>
      <c r="D1429">
        <f>IF(OR($A1429="",$B1429=""),"",IF(ISNUMBER($A1429),MOD($A1429,100),IFERROR(VALUE(TRIM(MID(MID($A1429,FIND("/",$A1429)+1,20),FIND("/",MID($A1429,FIND("/",$A1429)+1,20))+1,20))),"")))</f>
        <v/>
      </c>
      <c r="E1429">
        <f>IF($A1429="","",IF(OR($B1429="",$C1429="",$D1429="",$B1429&lt;1300,$B1429&gt;1500,$C1429&lt;1,$C1429&gt;12,$D1429&lt;1,$D1429&gt;31),"نامعتبر",RIGHT("0000"&amp;$B1429,4)&amp;"/"&amp;RIGHT("00"&amp;$C1429,2)&amp;"/"&amp;RIGHT("00"&amp;$D1429,2)))</f>
        <v/>
      </c>
      <c r="F1429">
        <f>IF(Entry!$D1429&lt;&gt;"",IF(AND(ISNUMBER(Entry!$D1429),Entry!$D1429&gt;=0,Entry!$D1429&lt;1),RIGHT("00"&amp;HOUR(Entry!$D1429),2)&amp;":"&amp;RIGHT("00"&amp;MINUTE(Entry!$D1429),2),IFERROR(RIGHT("00"&amp;VALUE(TRIM(LEFT(Entry!$D1429,FIND(":",Entry!$D1429)-1))),2)&amp;":"&amp;RIGHT("00"&amp;VALUE(TRIM(MID(Entry!$D1429,FIND(":",Entry!$D1429)+1,2))),2),"نامعتبر")),IF(OR($E1429="",$E1429="نامعتبر"),"","00:00"))</f>
        <v/>
      </c>
      <c r="G1429">
        <f>IF(OR($E1429="",$E1429="نامعتبر"),"",IF(Entry!$E1429="","",LEFT(UPPER(TRIM(Entry!$E1429)),6)))</f>
        <v/>
      </c>
      <c r="H1429">
        <f>IF($G1429="","",RIGHT($E1429,4)&amp;MID($E1429,6,2)&amp;RIGHT($E1429,2)&amp;IF($F1429="","0000",IF($F1429="نامعتبر","9999",LEFT($F1429,2)&amp;RIGHT($F1429,2)))&amp;"|"&amp;RIGHT("00000"&amp;1421,5))</f>
        <v/>
      </c>
      <c r="I1429">
        <f>IF($H1429="","",COUNTIFS(CalcBank,$G1429,CalcKey,"&lt;"&amp;$H1429)+1)</f>
        <v/>
      </c>
      <c r="J1429">
        <f>IF($I1429="","",$G1429&amp;"|"&amp;RIGHT("000000"&amp;$I1429,6))</f>
        <v/>
      </c>
      <c r="K1429">
        <f>IF(OR($E1429="",$E1429="نامعتبر"),"",LEFT($E1429,4)&amp;"/"&amp;MID($E1429,6,2))</f>
        <v/>
      </c>
      <c r="L1429">
        <f>IF(Entry!$K1429="",0,Entry!$K1429)</f>
        <v/>
      </c>
      <c r="M1429">
        <f>IF(Entry!$L1429="",0,Entry!$L1429)</f>
        <v/>
      </c>
    </row>
    <row r="1430">
      <c r="A1430">
        <f>IF(Entry!$C1430="","",Entry!$C1430)</f>
        <v/>
      </c>
      <c r="B1430">
        <f>IF($A1430="","",IF(ISNUMBER($A1430),IF(AND($A1430&gt;=10000101,$A1430&lt;=99991231),INT($A1430/10000),""),IFERROR(VALUE(TRIM(LEFT($A1430,FIND("/",$A1430)-1))),"")))</f>
        <v/>
      </c>
      <c r="C1430">
        <f>IF(OR($A1430="",$B1430=""),"",IF(ISNUMBER($A1430),INT(MOD($A1430,10000)/100),IFERROR(VALUE(TRIM(LEFT(MID($A1430,FIND("/",$A1430)+1,20),FIND("/",MID($A1430,FIND("/",$A1430)+1,20))-1))),"")))</f>
        <v/>
      </c>
      <c r="D1430">
        <f>IF(OR($A1430="",$B1430=""),"",IF(ISNUMBER($A1430),MOD($A1430,100),IFERROR(VALUE(TRIM(MID(MID($A1430,FIND("/",$A1430)+1,20),FIND("/",MID($A1430,FIND("/",$A1430)+1,20))+1,20))),"")))</f>
        <v/>
      </c>
      <c r="E1430">
        <f>IF($A1430="","",IF(OR($B1430="",$C1430="",$D1430="",$B1430&lt;1300,$B1430&gt;1500,$C1430&lt;1,$C1430&gt;12,$D1430&lt;1,$D1430&gt;31),"نامعتبر",RIGHT("0000"&amp;$B1430,4)&amp;"/"&amp;RIGHT("00"&amp;$C1430,2)&amp;"/"&amp;RIGHT("00"&amp;$D1430,2)))</f>
        <v/>
      </c>
      <c r="F1430">
        <f>IF(Entry!$D1430&lt;&gt;"",IF(AND(ISNUMBER(Entry!$D1430),Entry!$D1430&gt;=0,Entry!$D1430&lt;1),RIGHT("00"&amp;HOUR(Entry!$D1430),2)&amp;":"&amp;RIGHT("00"&amp;MINUTE(Entry!$D1430),2),IFERROR(RIGHT("00"&amp;VALUE(TRIM(LEFT(Entry!$D1430,FIND(":",Entry!$D1430)-1))),2)&amp;":"&amp;RIGHT("00"&amp;VALUE(TRIM(MID(Entry!$D1430,FIND(":",Entry!$D1430)+1,2))),2),"نامعتبر")),IF(OR($E1430="",$E1430="نامعتبر"),"","00:00"))</f>
        <v/>
      </c>
      <c r="G1430">
        <f>IF(OR($E1430="",$E1430="نامعتبر"),"",IF(Entry!$E1430="","",LEFT(UPPER(TRIM(Entry!$E1430)),6)))</f>
        <v/>
      </c>
      <c r="H1430">
        <f>IF($G1430="","",RIGHT($E1430,4)&amp;MID($E1430,6,2)&amp;RIGHT($E1430,2)&amp;IF($F1430="","0000",IF($F1430="نامعتبر","9999",LEFT($F1430,2)&amp;RIGHT($F1430,2)))&amp;"|"&amp;RIGHT("00000"&amp;1422,5))</f>
        <v/>
      </c>
      <c r="I1430">
        <f>IF($H1430="","",COUNTIFS(CalcBank,$G1430,CalcKey,"&lt;"&amp;$H1430)+1)</f>
        <v/>
      </c>
      <c r="J1430">
        <f>IF($I1430="","",$G1430&amp;"|"&amp;RIGHT("000000"&amp;$I1430,6))</f>
        <v/>
      </c>
      <c r="K1430">
        <f>IF(OR($E1430="",$E1430="نامعتبر"),"",LEFT($E1430,4)&amp;"/"&amp;MID($E1430,6,2))</f>
        <v/>
      </c>
      <c r="L1430">
        <f>IF(Entry!$K1430="",0,Entry!$K1430)</f>
        <v/>
      </c>
      <c r="M1430">
        <f>IF(Entry!$L1430="",0,Entry!$L1430)</f>
        <v/>
      </c>
    </row>
    <row r="1431">
      <c r="A1431">
        <f>IF(Entry!$C1431="","",Entry!$C1431)</f>
        <v/>
      </c>
      <c r="B1431">
        <f>IF($A1431="","",IF(ISNUMBER($A1431),IF(AND($A1431&gt;=10000101,$A1431&lt;=99991231),INT($A1431/10000),""),IFERROR(VALUE(TRIM(LEFT($A1431,FIND("/",$A1431)-1))),"")))</f>
        <v/>
      </c>
      <c r="C1431">
        <f>IF(OR($A1431="",$B1431=""),"",IF(ISNUMBER($A1431),INT(MOD($A1431,10000)/100),IFERROR(VALUE(TRIM(LEFT(MID($A1431,FIND("/",$A1431)+1,20),FIND("/",MID($A1431,FIND("/",$A1431)+1,20))-1))),"")))</f>
        <v/>
      </c>
      <c r="D1431">
        <f>IF(OR($A1431="",$B1431=""),"",IF(ISNUMBER($A1431),MOD($A1431,100),IFERROR(VALUE(TRIM(MID(MID($A1431,FIND("/",$A1431)+1,20),FIND("/",MID($A1431,FIND("/",$A1431)+1,20))+1,20))),"")))</f>
        <v/>
      </c>
      <c r="E1431">
        <f>IF($A1431="","",IF(OR($B1431="",$C1431="",$D1431="",$B1431&lt;1300,$B1431&gt;1500,$C1431&lt;1,$C1431&gt;12,$D1431&lt;1,$D1431&gt;31),"نامعتبر",RIGHT("0000"&amp;$B1431,4)&amp;"/"&amp;RIGHT("00"&amp;$C1431,2)&amp;"/"&amp;RIGHT("00"&amp;$D1431,2)))</f>
        <v/>
      </c>
      <c r="F1431">
        <f>IF(Entry!$D1431&lt;&gt;"",IF(AND(ISNUMBER(Entry!$D1431),Entry!$D1431&gt;=0,Entry!$D1431&lt;1),RIGHT("00"&amp;HOUR(Entry!$D1431),2)&amp;":"&amp;RIGHT("00"&amp;MINUTE(Entry!$D1431),2),IFERROR(RIGHT("00"&amp;VALUE(TRIM(LEFT(Entry!$D1431,FIND(":",Entry!$D1431)-1))),2)&amp;":"&amp;RIGHT("00"&amp;VALUE(TRIM(MID(Entry!$D1431,FIND(":",Entry!$D1431)+1,2))),2),"نامعتبر")),IF(OR($E1431="",$E1431="نامعتبر"),"","00:00"))</f>
        <v/>
      </c>
      <c r="G1431">
        <f>IF(OR($E1431="",$E1431="نامعتبر"),"",IF(Entry!$E1431="","",LEFT(UPPER(TRIM(Entry!$E1431)),6)))</f>
        <v/>
      </c>
      <c r="H1431">
        <f>IF($G1431="","",RIGHT($E1431,4)&amp;MID($E1431,6,2)&amp;RIGHT($E1431,2)&amp;IF($F1431="","0000",IF($F1431="نامعتبر","9999",LEFT($F1431,2)&amp;RIGHT($F1431,2)))&amp;"|"&amp;RIGHT("00000"&amp;1423,5))</f>
        <v/>
      </c>
      <c r="I1431">
        <f>IF($H1431="","",COUNTIFS(CalcBank,$G1431,CalcKey,"&lt;"&amp;$H1431)+1)</f>
        <v/>
      </c>
      <c r="J1431">
        <f>IF($I1431="","",$G1431&amp;"|"&amp;RIGHT("000000"&amp;$I1431,6))</f>
        <v/>
      </c>
      <c r="K1431">
        <f>IF(OR($E1431="",$E1431="نامعتبر"),"",LEFT($E1431,4)&amp;"/"&amp;MID($E1431,6,2))</f>
        <v/>
      </c>
      <c r="L1431">
        <f>IF(Entry!$K1431="",0,Entry!$K1431)</f>
        <v/>
      </c>
      <c r="M1431">
        <f>IF(Entry!$L1431="",0,Entry!$L1431)</f>
        <v/>
      </c>
    </row>
    <row r="1432">
      <c r="A1432">
        <f>IF(Entry!$C1432="","",Entry!$C1432)</f>
        <v/>
      </c>
      <c r="B1432">
        <f>IF($A1432="","",IF(ISNUMBER($A1432),IF(AND($A1432&gt;=10000101,$A1432&lt;=99991231),INT($A1432/10000),""),IFERROR(VALUE(TRIM(LEFT($A1432,FIND("/",$A1432)-1))),"")))</f>
        <v/>
      </c>
      <c r="C1432">
        <f>IF(OR($A1432="",$B1432=""),"",IF(ISNUMBER($A1432),INT(MOD($A1432,10000)/100),IFERROR(VALUE(TRIM(LEFT(MID($A1432,FIND("/",$A1432)+1,20),FIND("/",MID($A1432,FIND("/",$A1432)+1,20))-1))),"")))</f>
        <v/>
      </c>
      <c r="D1432">
        <f>IF(OR($A1432="",$B1432=""),"",IF(ISNUMBER($A1432),MOD($A1432,100),IFERROR(VALUE(TRIM(MID(MID($A1432,FIND("/",$A1432)+1,20),FIND("/",MID($A1432,FIND("/",$A1432)+1,20))+1,20))),"")))</f>
        <v/>
      </c>
      <c r="E1432">
        <f>IF($A1432="","",IF(OR($B1432="",$C1432="",$D1432="",$B1432&lt;1300,$B1432&gt;1500,$C1432&lt;1,$C1432&gt;12,$D1432&lt;1,$D1432&gt;31),"نامعتبر",RIGHT("0000"&amp;$B1432,4)&amp;"/"&amp;RIGHT("00"&amp;$C1432,2)&amp;"/"&amp;RIGHT("00"&amp;$D1432,2)))</f>
        <v/>
      </c>
      <c r="F1432">
        <f>IF(Entry!$D1432&lt;&gt;"",IF(AND(ISNUMBER(Entry!$D1432),Entry!$D1432&gt;=0,Entry!$D1432&lt;1),RIGHT("00"&amp;HOUR(Entry!$D1432),2)&amp;":"&amp;RIGHT("00"&amp;MINUTE(Entry!$D1432),2),IFERROR(RIGHT("00"&amp;VALUE(TRIM(LEFT(Entry!$D1432,FIND(":",Entry!$D1432)-1))),2)&amp;":"&amp;RIGHT("00"&amp;VALUE(TRIM(MID(Entry!$D1432,FIND(":",Entry!$D1432)+1,2))),2),"نامعتبر")),IF(OR($E1432="",$E1432="نامعتبر"),"","00:00"))</f>
        <v/>
      </c>
      <c r="G1432">
        <f>IF(OR($E1432="",$E1432="نامعتبر"),"",IF(Entry!$E1432="","",LEFT(UPPER(TRIM(Entry!$E1432)),6)))</f>
        <v/>
      </c>
      <c r="H1432">
        <f>IF($G1432="","",RIGHT($E1432,4)&amp;MID($E1432,6,2)&amp;RIGHT($E1432,2)&amp;IF($F1432="","0000",IF($F1432="نامعتبر","9999",LEFT($F1432,2)&amp;RIGHT($F1432,2)))&amp;"|"&amp;RIGHT("00000"&amp;1424,5))</f>
        <v/>
      </c>
      <c r="I1432">
        <f>IF($H1432="","",COUNTIFS(CalcBank,$G1432,CalcKey,"&lt;"&amp;$H1432)+1)</f>
        <v/>
      </c>
      <c r="J1432">
        <f>IF($I1432="","",$G1432&amp;"|"&amp;RIGHT("000000"&amp;$I1432,6))</f>
        <v/>
      </c>
      <c r="K1432">
        <f>IF(OR($E1432="",$E1432="نامعتبر"),"",LEFT($E1432,4)&amp;"/"&amp;MID($E1432,6,2))</f>
        <v/>
      </c>
      <c r="L1432">
        <f>IF(Entry!$K1432="",0,Entry!$K1432)</f>
        <v/>
      </c>
      <c r="M1432">
        <f>IF(Entry!$L1432="",0,Entry!$L1432)</f>
        <v/>
      </c>
    </row>
    <row r="1433">
      <c r="A1433">
        <f>IF(Entry!$C1433="","",Entry!$C1433)</f>
        <v/>
      </c>
      <c r="B1433">
        <f>IF($A1433="","",IF(ISNUMBER($A1433),IF(AND($A1433&gt;=10000101,$A1433&lt;=99991231),INT($A1433/10000),""),IFERROR(VALUE(TRIM(LEFT($A1433,FIND("/",$A1433)-1))),"")))</f>
        <v/>
      </c>
      <c r="C1433">
        <f>IF(OR($A1433="",$B1433=""),"",IF(ISNUMBER($A1433),INT(MOD($A1433,10000)/100),IFERROR(VALUE(TRIM(LEFT(MID($A1433,FIND("/",$A1433)+1,20),FIND("/",MID($A1433,FIND("/",$A1433)+1,20))-1))),"")))</f>
        <v/>
      </c>
      <c r="D1433">
        <f>IF(OR($A1433="",$B1433=""),"",IF(ISNUMBER($A1433),MOD($A1433,100),IFERROR(VALUE(TRIM(MID(MID($A1433,FIND("/",$A1433)+1,20),FIND("/",MID($A1433,FIND("/",$A1433)+1,20))+1,20))),"")))</f>
        <v/>
      </c>
      <c r="E1433">
        <f>IF($A1433="","",IF(OR($B1433="",$C1433="",$D1433="",$B1433&lt;1300,$B1433&gt;1500,$C1433&lt;1,$C1433&gt;12,$D1433&lt;1,$D1433&gt;31),"نامعتبر",RIGHT("0000"&amp;$B1433,4)&amp;"/"&amp;RIGHT("00"&amp;$C1433,2)&amp;"/"&amp;RIGHT("00"&amp;$D1433,2)))</f>
        <v/>
      </c>
      <c r="F1433">
        <f>IF(Entry!$D1433&lt;&gt;"",IF(AND(ISNUMBER(Entry!$D1433),Entry!$D1433&gt;=0,Entry!$D1433&lt;1),RIGHT("00"&amp;HOUR(Entry!$D1433),2)&amp;":"&amp;RIGHT("00"&amp;MINUTE(Entry!$D1433),2),IFERROR(RIGHT("00"&amp;VALUE(TRIM(LEFT(Entry!$D1433,FIND(":",Entry!$D1433)-1))),2)&amp;":"&amp;RIGHT("00"&amp;VALUE(TRIM(MID(Entry!$D1433,FIND(":",Entry!$D1433)+1,2))),2),"نامعتبر")),IF(OR($E1433="",$E1433="نامعتبر"),"","00:00"))</f>
        <v/>
      </c>
      <c r="G1433">
        <f>IF(OR($E1433="",$E1433="نامعتبر"),"",IF(Entry!$E1433="","",LEFT(UPPER(TRIM(Entry!$E1433)),6)))</f>
        <v/>
      </c>
      <c r="H1433">
        <f>IF($G1433="","",RIGHT($E1433,4)&amp;MID($E1433,6,2)&amp;RIGHT($E1433,2)&amp;IF($F1433="","0000",IF($F1433="نامعتبر","9999",LEFT($F1433,2)&amp;RIGHT($F1433,2)))&amp;"|"&amp;RIGHT("00000"&amp;1425,5))</f>
        <v/>
      </c>
      <c r="I1433">
        <f>IF($H1433="","",COUNTIFS(CalcBank,$G1433,CalcKey,"&lt;"&amp;$H1433)+1)</f>
        <v/>
      </c>
      <c r="J1433">
        <f>IF($I1433="","",$G1433&amp;"|"&amp;RIGHT("000000"&amp;$I1433,6))</f>
        <v/>
      </c>
      <c r="K1433">
        <f>IF(OR($E1433="",$E1433="نامعتبر"),"",LEFT($E1433,4)&amp;"/"&amp;MID($E1433,6,2))</f>
        <v/>
      </c>
      <c r="L1433">
        <f>IF(Entry!$K1433="",0,Entry!$K1433)</f>
        <v/>
      </c>
      <c r="M1433">
        <f>IF(Entry!$L1433="",0,Entry!$L1433)</f>
        <v/>
      </c>
    </row>
    <row r="1434">
      <c r="A1434">
        <f>IF(Entry!$C1434="","",Entry!$C1434)</f>
        <v/>
      </c>
      <c r="B1434">
        <f>IF($A1434="","",IF(ISNUMBER($A1434),IF(AND($A1434&gt;=10000101,$A1434&lt;=99991231),INT($A1434/10000),""),IFERROR(VALUE(TRIM(LEFT($A1434,FIND("/",$A1434)-1))),"")))</f>
        <v/>
      </c>
      <c r="C1434">
        <f>IF(OR($A1434="",$B1434=""),"",IF(ISNUMBER($A1434),INT(MOD($A1434,10000)/100),IFERROR(VALUE(TRIM(LEFT(MID($A1434,FIND("/",$A1434)+1,20),FIND("/",MID($A1434,FIND("/",$A1434)+1,20))-1))),"")))</f>
        <v/>
      </c>
      <c r="D1434">
        <f>IF(OR($A1434="",$B1434=""),"",IF(ISNUMBER($A1434),MOD($A1434,100),IFERROR(VALUE(TRIM(MID(MID($A1434,FIND("/",$A1434)+1,20),FIND("/",MID($A1434,FIND("/",$A1434)+1,20))+1,20))),"")))</f>
        <v/>
      </c>
      <c r="E1434">
        <f>IF($A1434="","",IF(OR($B1434="",$C1434="",$D1434="",$B1434&lt;1300,$B1434&gt;1500,$C1434&lt;1,$C1434&gt;12,$D1434&lt;1,$D1434&gt;31),"نامعتبر",RIGHT("0000"&amp;$B1434,4)&amp;"/"&amp;RIGHT("00"&amp;$C1434,2)&amp;"/"&amp;RIGHT("00"&amp;$D1434,2)))</f>
        <v/>
      </c>
      <c r="F1434">
        <f>IF(Entry!$D1434&lt;&gt;"",IF(AND(ISNUMBER(Entry!$D1434),Entry!$D1434&gt;=0,Entry!$D1434&lt;1),RIGHT("00"&amp;HOUR(Entry!$D1434),2)&amp;":"&amp;RIGHT("00"&amp;MINUTE(Entry!$D1434),2),IFERROR(RIGHT("00"&amp;VALUE(TRIM(LEFT(Entry!$D1434,FIND(":",Entry!$D1434)-1))),2)&amp;":"&amp;RIGHT("00"&amp;VALUE(TRIM(MID(Entry!$D1434,FIND(":",Entry!$D1434)+1,2))),2),"نامعتبر")),IF(OR($E1434="",$E1434="نامعتبر"),"","00:00"))</f>
        <v/>
      </c>
      <c r="G1434">
        <f>IF(OR($E1434="",$E1434="نامعتبر"),"",IF(Entry!$E1434="","",LEFT(UPPER(TRIM(Entry!$E1434)),6)))</f>
        <v/>
      </c>
      <c r="H1434">
        <f>IF($G1434="","",RIGHT($E1434,4)&amp;MID($E1434,6,2)&amp;RIGHT($E1434,2)&amp;IF($F1434="","0000",IF($F1434="نامعتبر","9999",LEFT($F1434,2)&amp;RIGHT($F1434,2)))&amp;"|"&amp;RIGHT("00000"&amp;1426,5))</f>
        <v/>
      </c>
      <c r="I1434">
        <f>IF($H1434="","",COUNTIFS(CalcBank,$G1434,CalcKey,"&lt;"&amp;$H1434)+1)</f>
        <v/>
      </c>
      <c r="J1434">
        <f>IF($I1434="","",$G1434&amp;"|"&amp;RIGHT("000000"&amp;$I1434,6))</f>
        <v/>
      </c>
      <c r="K1434">
        <f>IF(OR($E1434="",$E1434="نامعتبر"),"",LEFT($E1434,4)&amp;"/"&amp;MID($E1434,6,2))</f>
        <v/>
      </c>
      <c r="L1434">
        <f>IF(Entry!$K1434="",0,Entry!$K1434)</f>
        <v/>
      </c>
      <c r="M1434">
        <f>IF(Entry!$L1434="",0,Entry!$L1434)</f>
        <v/>
      </c>
    </row>
    <row r="1435">
      <c r="A1435">
        <f>IF(Entry!$C1435="","",Entry!$C1435)</f>
        <v/>
      </c>
      <c r="B1435">
        <f>IF($A1435="","",IF(ISNUMBER($A1435),IF(AND($A1435&gt;=10000101,$A1435&lt;=99991231),INT($A1435/10000),""),IFERROR(VALUE(TRIM(LEFT($A1435,FIND("/",$A1435)-1))),"")))</f>
        <v/>
      </c>
      <c r="C1435">
        <f>IF(OR($A1435="",$B1435=""),"",IF(ISNUMBER($A1435),INT(MOD($A1435,10000)/100),IFERROR(VALUE(TRIM(LEFT(MID($A1435,FIND("/",$A1435)+1,20),FIND("/",MID($A1435,FIND("/",$A1435)+1,20))-1))),"")))</f>
        <v/>
      </c>
      <c r="D1435">
        <f>IF(OR($A1435="",$B1435=""),"",IF(ISNUMBER($A1435),MOD($A1435,100),IFERROR(VALUE(TRIM(MID(MID($A1435,FIND("/",$A1435)+1,20),FIND("/",MID($A1435,FIND("/",$A1435)+1,20))+1,20))),"")))</f>
        <v/>
      </c>
      <c r="E1435">
        <f>IF($A1435="","",IF(OR($B1435="",$C1435="",$D1435="",$B1435&lt;1300,$B1435&gt;1500,$C1435&lt;1,$C1435&gt;12,$D1435&lt;1,$D1435&gt;31),"نامعتبر",RIGHT("0000"&amp;$B1435,4)&amp;"/"&amp;RIGHT("00"&amp;$C1435,2)&amp;"/"&amp;RIGHT("00"&amp;$D1435,2)))</f>
        <v/>
      </c>
      <c r="F1435">
        <f>IF(Entry!$D1435&lt;&gt;"",IF(AND(ISNUMBER(Entry!$D1435),Entry!$D1435&gt;=0,Entry!$D1435&lt;1),RIGHT("00"&amp;HOUR(Entry!$D1435),2)&amp;":"&amp;RIGHT("00"&amp;MINUTE(Entry!$D1435),2),IFERROR(RIGHT("00"&amp;VALUE(TRIM(LEFT(Entry!$D1435,FIND(":",Entry!$D1435)-1))),2)&amp;":"&amp;RIGHT("00"&amp;VALUE(TRIM(MID(Entry!$D1435,FIND(":",Entry!$D1435)+1,2))),2),"نامعتبر")),IF(OR($E1435="",$E1435="نامعتبر"),"","00:00"))</f>
        <v/>
      </c>
      <c r="G1435">
        <f>IF(OR($E1435="",$E1435="نامعتبر"),"",IF(Entry!$E1435="","",LEFT(UPPER(TRIM(Entry!$E1435)),6)))</f>
        <v/>
      </c>
      <c r="H1435">
        <f>IF($G1435="","",RIGHT($E1435,4)&amp;MID($E1435,6,2)&amp;RIGHT($E1435,2)&amp;IF($F1435="","0000",IF($F1435="نامعتبر","9999",LEFT($F1435,2)&amp;RIGHT($F1435,2)))&amp;"|"&amp;RIGHT("00000"&amp;1427,5))</f>
        <v/>
      </c>
      <c r="I1435">
        <f>IF($H1435="","",COUNTIFS(CalcBank,$G1435,CalcKey,"&lt;"&amp;$H1435)+1)</f>
        <v/>
      </c>
      <c r="J1435">
        <f>IF($I1435="","",$G1435&amp;"|"&amp;RIGHT("000000"&amp;$I1435,6))</f>
        <v/>
      </c>
      <c r="K1435">
        <f>IF(OR($E1435="",$E1435="نامعتبر"),"",LEFT($E1435,4)&amp;"/"&amp;MID($E1435,6,2))</f>
        <v/>
      </c>
      <c r="L1435">
        <f>IF(Entry!$K1435="",0,Entry!$K1435)</f>
        <v/>
      </c>
      <c r="M1435">
        <f>IF(Entry!$L1435="",0,Entry!$L1435)</f>
        <v/>
      </c>
    </row>
    <row r="1436">
      <c r="A1436">
        <f>IF(Entry!$C1436="","",Entry!$C1436)</f>
        <v/>
      </c>
      <c r="B1436">
        <f>IF($A1436="","",IF(ISNUMBER($A1436),IF(AND($A1436&gt;=10000101,$A1436&lt;=99991231),INT($A1436/10000),""),IFERROR(VALUE(TRIM(LEFT($A1436,FIND("/",$A1436)-1))),"")))</f>
        <v/>
      </c>
      <c r="C1436">
        <f>IF(OR($A1436="",$B1436=""),"",IF(ISNUMBER($A1436),INT(MOD($A1436,10000)/100),IFERROR(VALUE(TRIM(LEFT(MID($A1436,FIND("/",$A1436)+1,20),FIND("/",MID($A1436,FIND("/",$A1436)+1,20))-1))),"")))</f>
        <v/>
      </c>
      <c r="D1436">
        <f>IF(OR($A1436="",$B1436=""),"",IF(ISNUMBER($A1436),MOD($A1436,100),IFERROR(VALUE(TRIM(MID(MID($A1436,FIND("/",$A1436)+1,20),FIND("/",MID($A1436,FIND("/",$A1436)+1,20))+1,20))),"")))</f>
        <v/>
      </c>
      <c r="E1436">
        <f>IF($A1436="","",IF(OR($B1436="",$C1436="",$D1436="",$B1436&lt;1300,$B1436&gt;1500,$C1436&lt;1,$C1436&gt;12,$D1436&lt;1,$D1436&gt;31),"نامعتبر",RIGHT("0000"&amp;$B1436,4)&amp;"/"&amp;RIGHT("00"&amp;$C1436,2)&amp;"/"&amp;RIGHT("00"&amp;$D1436,2)))</f>
        <v/>
      </c>
      <c r="F1436">
        <f>IF(Entry!$D1436&lt;&gt;"",IF(AND(ISNUMBER(Entry!$D1436),Entry!$D1436&gt;=0,Entry!$D1436&lt;1),RIGHT("00"&amp;HOUR(Entry!$D1436),2)&amp;":"&amp;RIGHT("00"&amp;MINUTE(Entry!$D1436),2),IFERROR(RIGHT("00"&amp;VALUE(TRIM(LEFT(Entry!$D1436,FIND(":",Entry!$D1436)-1))),2)&amp;":"&amp;RIGHT("00"&amp;VALUE(TRIM(MID(Entry!$D1436,FIND(":",Entry!$D1436)+1,2))),2),"نامعتبر")),IF(OR($E1436="",$E1436="نامعتبر"),"","00:00"))</f>
        <v/>
      </c>
      <c r="G1436">
        <f>IF(OR($E1436="",$E1436="نامعتبر"),"",IF(Entry!$E1436="","",LEFT(UPPER(TRIM(Entry!$E1436)),6)))</f>
        <v/>
      </c>
      <c r="H1436">
        <f>IF($G1436="","",RIGHT($E1436,4)&amp;MID($E1436,6,2)&amp;RIGHT($E1436,2)&amp;IF($F1436="","0000",IF($F1436="نامعتبر","9999",LEFT($F1436,2)&amp;RIGHT($F1436,2)))&amp;"|"&amp;RIGHT("00000"&amp;1428,5))</f>
        <v/>
      </c>
      <c r="I1436">
        <f>IF($H1436="","",COUNTIFS(CalcBank,$G1436,CalcKey,"&lt;"&amp;$H1436)+1)</f>
        <v/>
      </c>
      <c r="J1436">
        <f>IF($I1436="","",$G1436&amp;"|"&amp;RIGHT("000000"&amp;$I1436,6))</f>
        <v/>
      </c>
      <c r="K1436">
        <f>IF(OR($E1436="",$E1436="نامعتبر"),"",LEFT($E1436,4)&amp;"/"&amp;MID($E1436,6,2))</f>
        <v/>
      </c>
      <c r="L1436">
        <f>IF(Entry!$K1436="",0,Entry!$K1436)</f>
        <v/>
      </c>
      <c r="M1436">
        <f>IF(Entry!$L1436="",0,Entry!$L1436)</f>
        <v/>
      </c>
    </row>
    <row r="1437">
      <c r="A1437">
        <f>IF(Entry!$C1437="","",Entry!$C1437)</f>
        <v/>
      </c>
      <c r="B1437">
        <f>IF($A1437="","",IF(ISNUMBER($A1437),IF(AND($A1437&gt;=10000101,$A1437&lt;=99991231),INT($A1437/10000),""),IFERROR(VALUE(TRIM(LEFT($A1437,FIND("/",$A1437)-1))),"")))</f>
        <v/>
      </c>
      <c r="C1437">
        <f>IF(OR($A1437="",$B1437=""),"",IF(ISNUMBER($A1437),INT(MOD($A1437,10000)/100),IFERROR(VALUE(TRIM(LEFT(MID($A1437,FIND("/",$A1437)+1,20),FIND("/",MID($A1437,FIND("/",$A1437)+1,20))-1))),"")))</f>
        <v/>
      </c>
      <c r="D1437">
        <f>IF(OR($A1437="",$B1437=""),"",IF(ISNUMBER($A1437),MOD($A1437,100),IFERROR(VALUE(TRIM(MID(MID($A1437,FIND("/",$A1437)+1,20),FIND("/",MID($A1437,FIND("/",$A1437)+1,20))+1,20))),"")))</f>
        <v/>
      </c>
      <c r="E1437">
        <f>IF($A1437="","",IF(OR($B1437="",$C1437="",$D1437="",$B1437&lt;1300,$B1437&gt;1500,$C1437&lt;1,$C1437&gt;12,$D1437&lt;1,$D1437&gt;31),"نامعتبر",RIGHT("0000"&amp;$B1437,4)&amp;"/"&amp;RIGHT("00"&amp;$C1437,2)&amp;"/"&amp;RIGHT("00"&amp;$D1437,2)))</f>
        <v/>
      </c>
      <c r="F1437">
        <f>IF(Entry!$D1437&lt;&gt;"",IF(AND(ISNUMBER(Entry!$D1437),Entry!$D1437&gt;=0,Entry!$D1437&lt;1),RIGHT("00"&amp;HOUR(Entry!$D1437),2)&amp;":"&amp;RIGHT("00"&amp;MINUTE(Entry!$D1437),2),IFERROR(RIGHT("00"&amp;VALUE(TRIM(LEFT(Entry!$D1437,FIND(":",Entry!$D1437)-1))),2)&amp;":"&amp;RIGHT("00"&amp;VALUE(TRIM(MID(Entry!$D1437,FIND(":",Entry!$D1437)+1,2))),2),"نامعتبر")),IF(OR($E1437="",$E1437="نامعتبر"),"","00:00"))</f>
        <v/>
      </c>
      <c r="G1437">
        <f>IF(OR($E1437="",$E1437="نامعتبر"),"",IF(Entry!$E1437="","",LEFT(UPPER(TRIM(Entry!$E1437)),6)))</f>
        <v/>
      </c>
      <c r="H1437">
        <f>IF($G1437="","",RIGHT($E1437,4)&amp;MID($E1437,6,2)&amp;RIGHT($E1437,2)&amp;IF($F1437="","0000",IF($F1437="نامعتبر","9999",LEFT($F1437,2)&amp;RIGHT($F1437,2)))&amp;"|"&amp;RIGHT("00000"&amp;1429,5))</f>
        <v/>
      </c>
      <c r="I1437">
        <f>IF($H1437="","",COUNTIFS(CalcBank,$G1437,CalcKey,"&lt;"&amp;$H1437)+1)</f>
        <v/>
      </c>
      <c r="J1437">
        <f>IF($I1437="","",$G1437&amp;"|"&amp;RIGHT("000000"&amp;$I1437,6))</f>
        <v/>
      </c>
      <c r="K1437">
        <f>IF(OR($E1437="",$E1437="نامعتبر"),"",LEFT($E1437,4)&amp;"/"&amp;MID($E1437,6,2))</f>
        <v/>
      </c>
      <c r="L1437">
        <f>IF(Entry!$K1437="",0,Entry!$K1437)</f>
        <v/>
      </c>
      <c r="M1437">
        <f>IF(Entry!$L1437="",0,Entry!$L1437)</f>
        <v/>
      </c>
    </row>
    <row r="1438">
      <c r="A1438">
        <f>IF(Entry!$C1438="","",Entry!$C1438)</f>
        <v/>
      </c>
      <c r="B1438">
        <f>IF($A1438="","",IF(ISNUMBER($A1438),IF(AND($A1438&gt;=10000101,$A1438&lt;=99991231),INT($A1438/10000),""),IFERROR(VALUE(TRIM(LEFT($A1438,FIND("/",$A1438)-1))),"")))</f>
        <v/>
      </c>
      <c r="C1438">
        <f>IF(OR($A1438="",$B1438=""),"",IF(ISNUMBER($A1438),INT(MOD($A1438,10000)/100),IFERROR(VALUE(TRIM(LEFT(MID($A1438,FIND("/",$A1438)+1,20),FIND("/",MID($A1438,FIND("/",$A1438)+1,20))-1))),"")))</f>
        <v/>
      </c>
      <c r="D1438">
        <f>IF(OR($A1438="",$B1438=""),"",IF(ISNUMBER($A1438),MOD($A1438,100),IFERROR(VALUE(TRIM(MID(MID($A1438,FIND("/",$A1438)+1,20),FIND("/",MID($A1438,FIND("/",$A1438)+1,20))+1,20))),"")))</f>
        <v/>
      </c>
      <c r="E1438">
        <f>IF($A1438="","",IF(OR($B1438="",$C1438="",$D1438="",$B1438&lt;1300,$B1438&gt;1500,$C1438&lt;1,$C1438&gt;12,$D1438&lt;1,$D1438&gt;31),"نامعتبر",RIGHT("0000"&amp;$B1438,4)&amp;"/"&amp;RIGHT("00"&amp;$C1438,2)&amp;"/"&amp;RIGHT("00"&amp;$D1438,2)))</f>
        <v/>
      </c>
      <c r="F1438">
        <f>IF(Entry!$D1438&lt;&gt;"",IF(AND(ISNUMBER(Entry!$D1438),Entry!$D1438&gt;=0,Entry!$D1438&lt;1),RIGHT("00"&amp;HOUR(Entry!$D1438),2)&amp;":"&amp;RIGHT("00"&amp;MINUTE(Entry!$D1438),2),IFERROR(RIGHT("00"&amp;VALUE(TRIM(LEFT(Entry!$D1438,FIND(":",Entry!$D1438)-1))),2)&amp;":"&amp;RIGHT("00"&amp;VALUE(TRIM(MID(Entry!$D1438,FIND(":",Entry!$D1438)+1,2))),2),"نامعتبر")),IF(OR($E1438="",$E1438="نامعتبر"),"","00:00"))</f>
        <v/>
      </c>
      <c r="G1438">
        <f>IF(OR($E1438="",$E1438="نامعتبر"),"",IF(Entry!$E1438="","",LEFT(UPPER(TRIM(Entry!$E1438)),6)))</f>
        <v/>
      </c>
      <c r="H1438">
        <f>IF($G1438="","",RIGHT($E1438,4)&amp;MID($E1438,6,2)&amp;RIGHT($E1438,2)&amp;IF($F1438="","0000",IF($F1438="نامعتبر","9999",LEFT($F1438,2)&amp;RIGHT($F1438,2)))&amp;"|"&amp;RIGHT("00000"&amp;1430,5))</f>
        <v/>
      </c>
      <c r="I1438">
        <f>IF($H1438="","",COUNTIFS(CalcBank,$G1438,CalcKey,"&lt;"&amp;$H1438)+1)</f>
        <v/>
      </c>
      <c r="J1438">
        <f>IF($I1438="","",$G1438&amp;"|"&amp;RIGHT("000000"&amp;$I1438,6))</f>
        <v/>
      </c>
      <c r="K1438">
        <f>IF(OR($E1438="",$E1438="نامعتبر"),"",LEFT($E1438,4)&amp;"/"&amp;MID($E1438,6,2))</f>
        <v/>
      </c>
      <c r="L1438">
        <f>IF(Entry!$K1438="",0,Entry!$K1438)</f>
        <v/>
      </c>
      <c r="M1438">
        <f>IF(Entry!$L1438="",0,Entry!$L1438)</f>
        <v/>
      </c>
    </row>
    <row r="1439">
      <c r="A1439">
        <f>IF(Entry!$C1439="","",Entry!$C1439)</f>
        <v/>
      </c>
      <c r="B1439">
        <f>IF($A1439="","",IF(ISNUMBER($A1439),IF(AND($A1439&gt;=10000101,$A1439&lt;=99991231),INT($A1439/10000),""),IFERROR(VALUE(TRIM(LEFT($A1439,FIND("/",$A1439)-1))),"")))</f>
        <v/>
      </c>
      <c r="C1439">
        <f>IF(OR($A1439="",$B1439=""),"",IF(ISNUMBER($A1439),INT(MOD($A1439,10000)/100),IFERROR(VALUE(TRIM(LEFT(MID($A1439,FIND("/",$A1439)+1,20),FIND("/",MID($A1439,FIND("/",$A1439)+1,20))-1))),"")))</f>
        <v/>
      </c>
      <c r="D1439">
        <f>IF(OR($A1439="",$B1439=""),"",IF(ISNUMBER($A1439),MOD($A1439,100),IFERROR(VALUE(TRIM(MID(MID($A1439,FIND("/",$A1439)+1,20),FIND("/",MID($A1439,FIND("/",$A1439)+1,20))+1,20))),"")))</f>
        <v/>
      </c>
      <c r="E1439">
        <f>IF($A1439="","",IF(OR($B1439="",$C1439="",$D1439="",$B1439&lt;1300,$B1439&gt;1500,$C1439&lt;1,$C1439&gt;12,$D1439&lt;1,$D1439&gt;31),"نامعتبر",RIGHT("0000"&amp;$B1439,4)&amp;"/"&amp;RIGHT("00"&amp;$C1439,2)&amp;"/"&amp;RIGHT("00"&amp;$D1439,2)))</f>
        <v/>
      </c>
      <c r="F1439">
        <f>IF(Entry!$D1439&lt;&gt;"",IF(AND(ISNUMBER(Entry!$D1439),Entry!$D1439&gt;=0,Entry!$D1439&lt;1),RIGHT("00"&amp;HOUR(Entry!$D1439),2)&amp;":"&amp;RIGHT("00"&amp;MINUTE(Entry!$D1439),2),IFERROR(RIGHT("00"&amp;VALUE(TRIM(LEFT(Entry!$D1439,FIND(":",Entry!$D1439)-1))),2)&amp;":"&amp;RIGHT("00"&amp;VALUE(TRIM(MID(Entry!$D1439,FIND(":",Entry!$D1439)+1,2))),2),"نامعتبر")),IF(OR($E1439="",$E1439="نامعتبر"),"","00:00"))</f>
        <v/>
      </c>
      <c r="G1439">
        <f>IF(OR($E1439="",$E1439="نامعتبر"),"",IF(Entry!$E1439="","",LEFT(UPPER(TRIM(Entry!$E1439)),6)))</f>
        <v/>
      </c>
      <c r="H1439">
        <f>IF($G1439="","",RIGHT($E1439,4)&amp;MID($E1439,6,2)&amp;RIGHT($E1439,2)&amp;IF($F1439="","0000",IF($F1439="نامعتبر","9999",LEFT($F1439,2)&amp;RIGHT($F1439,2)))&amp;"|"&amp;RIGHT("00000"&amp;1431,5))</f>
        <v/>
      </c>
      <c r="I1439">
        <f>IF($H1439="","",COUNTIFS(CalcBank,$G1439,CalcKey,"&lt;"&amp;$H1439)+1)</f>
        <v/>
      </c>
      <c r="J1439">
        <f>IF($I1439="","",$G1439&amp;"|"&amp;RIGHT("000000"&amp;$I1439,6))</f>
        <v/>
      </c>
      <c r="K1439">
        <f>IF(OR($E1439="",$E1439="نامعتبر"),"",LEFT($E1439,4)&amp;"/"&amp;MID($E1439,6,2))</f>
        <v/>
      </c>
      <c r="L1439">
        <f>IF(Entry!$K1439="",0,Entry!$K1439)</f>
        <v/>
      </c>
      <c r="M1439">
        <f>IF(Entry!$L1439="",0,Entry!$L1439)</f>
        <v/>
      </c>
    </row>
    <row r="1440">
      <c r="A1440">
        <f>IF(Entry!$C1440="","",Entry!$C1440)</f>
        <v/>
      </c>
      <c r="B1440">
        <f>IF($A1440="","",IF(ISNUMBER($A1440),IF(AND($A1440&gt;=10000101,$A1440&lt;=99991231),INT($A1440/10000),""),IFERROR(VALUE(TRIM(LEFT($A1440,FIND("/",$A1440)-1))),"")))</f>
        <v/>
      </c>
      <c r="C1440">
        <f>IF(OR($A1440="",$B1440=""),"",IF(ISNUMBER($A1440),INT(MOD($A1440,10000)/100),IFERROR(VALUE(TRIM(LEFT(MID($A1440,FIND("/",$A1440)+1,20),FIND("/",MID($A1440,FIND("/",$A1440)+1,20))-1))),"")))</f>
        <v/>
      </c>
      <c r="D1440">
        <f>IF(OR($A1440="",$B1440=""),"",IF(ISNUMBER($A1440),MOD($A1440,100),IFERROR(VALUE(TRIM(MID(MID($A1440,FIND("/",$A1440)+1,20),FIND("/",MID($A1440,FIND("/",$A1440)+1,20))+1,20))),"")))</f>
        <v/>
      </c>
      <c r="E1440">
        <f>IF($A1440="","",IF(OR($B1440="",$C1440="",$D1440="",$B1440&lt;1300,$B1440&gt;1500,$C1440&lt;1,$C1440&gt;12,$D1440&lt;1,$D1440&gt;31),"نامعتبر",RIGHT("0000"&amp;$B1440,4)&amp;"/"&amp;RIGHT("00"&amp;$C1440,2)&amp;"/"&amp;RIGHT("00"&amp;$D1440,2)))</f>
        <v/>
      </c>
      <c r="F1440">
        <f>IF(Entry!$D1440&lt;&gt;"",IF(AND(ISNUMBER(Entry!$D1440),Entry!$D1440&gt;=0,Entry!$D1440&lt;1),RIGHT("00"&amp;HOUR(Entry!$D1440),2)&amp;":"&amp;RIGHT("00"&amp;MINUTE(Entry!$D1440),2),IFERROR(RIGHT("00"&amp;VALUE(TRIM(LEFT(Entry!$D1440,FIND(":",Entry!$D1440)-1))),2)&amp;":"&amp;RIGHT("00"&amp;VALUE(TRIM(MID(Entry!$D1440,FIND(":",Entry!$D1440)+1,2))),2),"نامعتبر")),IF(OR($E1440="",$E1440="نامعتبر"),"","00:00"))</f>
        <v/>
      </c>
      <c r="G1440">
        <f>IF(OR($E1440="",$E1440="نامعتبر"),"",IF(Entry!$E1440="","",LEFT(UPPER(TRIM(Entry!$E1440)),6)))</f>
        <v/>
      </c>
      <c r="H1440">
        <f>IF($G1440="","",RIGHT($E1440,4)&amp;MID($E1440,6,2)&amp;RIGHT($E1440,2)&amp;IF($F1440="","0000",IF($F1440="نامعتبر","9999",LEFT($F1440,2)&amp;RIGHT($F1440,2)))&amp;"|"&amp;RIGHT("00000"&amp;1432,5))</f>
        <v/>
      </c>
      <c r="I1440">
        <f>IF($H1440="","",COUNTIFS(CalcBank,$G1440,CalcKey,"&lt;"&amp;$H1440)+1)</f>
        <v/>
      </c>
      <c r="J1440">
        <f>IF($I1440="","",$G1440&amp;"|"&amp;RIGHT("000000"&amp;$I1440,6))</f>
        <v/>
      </c>
      <c r="K1440">
        <f>IF(OR($E1440="",$E1440="نامعتبر"),"",LEFT($E1440,4)&amp;"/"&amp;MID($E1440,6,2))</f>
        <v/>
      </c>
      <c r="L1440">
        <f>IF(Entry!$K1440="",0,Entry!$K1440)</f>
        <v/>
      </c>
      <c r="M1440">
        <f>IF(Entry!$L1440="",0,Entry!$L1440)</f>
        <v/>
      </c>
    </row>
    <row r="1441">
      <c r="A1441">
        <f>IF(Entry!$C1441="","",Entry!$C1441)</f>
        <v/>
      </c>
      <c r="B1441">
        <f>IF($A1441="","",IF(ISNUMBER($A1441),IF(AND($A1441&gt;=10000101,$A1441&lt;=99991231),INT($A1441/10000),""),IFERROR(VALUE(TRIM(LEFT($A1441,FIND("/",$A1441)-1))),"")))</f>
        <v/>
      </c>
      <c r="C1441">
        <f>IF(OR($A1441="",$B1441=""),"",IF(ISNUMBER($A1441),INT(MOD($A1441,10000)/100),IFERROR(VALUE(TRIM(LEFT(MID($A1441,FIND("/",$A1441)+1,20),FIND("/",MID($A1441,FIND("/",$A1441)+1,20))-1))),"")))</f>
        <v/>
      </c>
      <c r="D1441">
        <f>IF(OR($A1441="",$B1441=""),"",IF(ISNUMBER($A1441),MOD($A1441,100),IFERROR(VALUE(TRIM(MID(MID($A1441,FIND("/",$A1441)+1,20),FIND("/",MID($A1441,FIND("/",$A1441)+1,20))+1,20))),"")))</f>
        <v/>
      </c>
      <c r="E1441">
        <f>IF($A1441="","",IF(OR($B1441="",$C1441="",$D1441="",$B1441&lt;1300,$B1441&gt;1500,$C1441&lt;1,$C1441&gt;12,$D1441&lt;1,$D1441&gt;31),"نامعتبر",RIGHT("0000"&amp;$B1441,4)&amp;"/"&amp;RIGHT("00"&amp;$C1441,2)&amp;"/"&amp;RIGHT("00"&amp;$D1441,2)))</f>
        <v/>
      </c>
      <c r="F1441">
        <f>IF(Entry!$D1441&lt;&gt;"",IF(AND(ISNUMBER(Entry!$D1441),Entry!$D1441&gt;=0,Entry!$D1441&lt;1),RIGHT("00"&amp;HOUR(Entry!$D1441),2)&amp;":"&amp;RIGHT("00"&amp;MINUTE(Entry!$D1441),2),IFERROR(RIGHT("00"&amp;VALUE(TRIM(LEFT(Entry!$D1441,FIND(":",Entry!$D1441)-1))),2)&amp;":"&amp;RIGHT("00"&amp;VALUE(TRIM(MID(Entry!$D1441,FIND(":",Entry!$D1441)+1,2))),2),"نامعتبر")),IF(OR($E1441="",$E1441="نامعتبر"),"","00:00"))</f>
        <v/>
      </c>
      <c r="G1441">
        <f>IF(OR($E1441="",$E1441="نامعتبر"),"",IF(Entry!$E1441="","",LEFT(UPPER(TRIM(Entry!$E1441)),6)))</f>
        <v/>
      </c>
      <c r="H1441">
        <f>IF($G1441="","",RIGHT($E1441,4)&amp;MID($E1441,6,2)&amp;RIGHT($E1441,2)&amp;IF($F1441="","0000",IF($F1441="نامعتبر","9999",LEFT($F1441,2)&amp;RIGHT($F1441,2)))&amp;"|"&amp;RIGHT("00000"&amp;1433,5))</f>
        <v/>
      </c>
      <c r="I1441">
        <f>IF($H1441="","",COUNTIFS(CalcBank,$G1441,CalcKey,"&lt;"&amp;$H1441)+1)</f>
        <v/>
      </c>
      <c r="J1441">
        <f>IF($I1441="","",$G1441&amp;"|"&amp;RIGHT("000000"&amp;$I1441,6))</f>
        <v/>
      </c>
      <c r="K1441">
        <f>IF(OR($E1441="",$E1441="نامعتبر"),"",LEFT($E1441,4)&amp;"/"&amp;MID($E1441,6,2))</f>
        <v/>
      </c>
      <c r="L1441">
        <f>IF(Entry!$K1441="",0,Entry!$K1441)</f>
        <v/>
      </c>
      <c r="M1441">
        <f>IF(Entry!$L1441="",0,Entry!$L1441)</f>
        <v/>
      </c>
    </row>
    <row r="1442">
      <c r="A1442">
        <f>IF(Entry!$C1442="","",Entry!$C1442)</f>
        <v/>
      </c>
      <c r="B1442">
        <f>IF($A1442="","",IF(ISNUMBER($A1442),IF(AND($A1442&gt;=10000101,$A1442&lt;=99991231),INT($A1442/10000),""),IFERROR(VALUE(TRIM(LEFT($A1442,FIND("/",$A1442)-1))),"")))</f>
        <v/>
      </c>
      <c r="C1442">
        <f>IF(OR($A1442="",$B1442=""),"",IF(ISNUMBER($A1442),INT(MOD($A1442,10000)/100),IFERROR(VALUE(TRIM(LEFT(MID($A1442,FIND("/",$A1442)+1,20),FIND("/",MID($A1442,FIND("/",$A1442)+1,20))-1))),"")))</f>
        <v/>
      </c>
      <c r="D1442">
        <f>IF(OR($A1442="",$B1442=""),"",IF(ISNUMBER($A1442),MOD($A1442,100),IFERROR(VALUE(TRIM(MID(MID($A1442,FIND("/",$A1442)+1,20),FIND("/",MID($A1442,FIND("/",$A1442)+1,20))+1,20))),"")))</f>
        <v/>
      </c>
      <c r="E1442">
        <f>IF($A1442="","",IF(OR($B1442="",$C1442="",$D1442="",$B1442&lt;1300,$B1442&gt;1500,$C1442&lt;1,$C1442&gt;12,$D1442&lt;1,$D1442&gt;31),"نامعتبر",RIGHT("0000"&amp;$B1442,4)&amp;"/"&amp;RIGHT("00"&amp;$C1442,2)&amp;"/"&amp;RIGHT("00"&amp;$D1442,2)))</f>
        <v/>
      </c>
      <c r="F1442">
        <f>IF(Entry!$D1442&lt;&gt;"",IF(AND(ISNUMBER(Entry!$D1442),Entry!$D1442&gt;=0,Entry!$D1442&lt;1),RIGHT("00"&amp;HOUR(Entry!$D1442),2)&amp;":"&amp;RIGHT("00"&amp;MINUTE(Entry!$D1442),2),IFERROR(RIGHT("00"&amp;VALUE(TRIM(LEFT(Entry!$D1442,FIND(":",Entry!$D1442)-1))),2)&amp;":"&amp;RIGHT("00"&amp;VALUE(TRIM(MID(Entry!$D1442,FIND(":",Entry!$D1442)+1,2))),2),"نامعتبر")),IF(OR($E1442="",$E1442="نامعتبر"),"","00:00"))</f>
        <v/>
      </c>
      <c r="G1442">
        <f>IF(OR($E1442="",$E1442="نامعتبر"),"",IF(Entry!$E1442="","",LEFT(UPPER(TRIM(Entry!$E1442)),6)))</f>
        <v/>
      </c>
      <c r="H1442">
        <f>IF($G1442="","",RIGHT($E1442,4)&amp;MID($E1442,6,2)&amp;RIGHT($E1442,2)&amp;IF($F1442="","0000",IF($F1442="نامعتبر","9999",LEFT($F1442,2)&amp;RIGHT($F1442,2)))&amp;"|"&amp;RIGHT("00000"&amp;1434,5))</f>
        <v/>
      </c>
      <c r="I1442">
        <f>IF($H1442="","",COUNTIFS(CalcBank,$G1442,CalcKey,"&lt;"&amp;$H1442)+1)</f>
        <v/>
      </c>
      <c r="J1442">
        <f>IF($I1442="","",$G1442&amp;"|"&amp;RIGHT("000000"&amp;$I1442,6))</f>
        <v/>
      </c>
      <c r="K1442">
        <f>IF(OR($E1442="",$E1442="نامعتبر"),"",LEFT($E1442,4)&amp;"/"&amp;MID($E1442,6,2))</f>
        <v/>
      </c>
      <c r="L1442">
        <f>IF(Entry!$K1442="",0,Entry!$K1442)</f>
        <v/>
      </c>
      <c r="M1442">
        <f>IF(Entry!$L1442="",0,Entry!$L1442)</f>
        <v/>
      </c>
    </row>
    <row r="1443">
      <c r="A1443">
        <f>IF(Entry!$C1443="","",Entry!$C1443)</f>
        <v/>
      </c>
      <c r="B1443">
        <f>IF($A1443="","",IF(ISNUMBER($A1443),IF(AND($A1443&gt;=10000101,$A1443&lt;=99991231),INT($A1443/10000),""),IFERROR(VALUE(TRIM(LEFT($A1443,FIND("/",$A1443)-1))),"")))</f>
        <v/>
      </c>
      <c r="C1443">
        <f>IF(OR($A1443="",$B1443=""),"",IF(ISNUMBER($A1443),INT(MOD($A1443,10000)/100),IFERROR(VALUE(TRIM(LEFT(MID($A1443,FIND("/",$A1443)+1,20),FIND("/",MID($A1443,FIND("/",$A1443)+1,20))-1))),"")))</f>
        <v/>
      </c>
      <c r="D1443">
        <f>IF(OR($A1443="",$B1443=""),"",IF(ISNUMBER($A1443),MOD($A1443,100),IFERROR(VALUE(TRIM(MID(MID($A1443,FIND("/",$A1443)+1,20),FIND("/",MID($A1443,FIND("/",$A1443)+1,20))+1,20))),"")))</f>
        <v/>
      </c>
      <c r="E1443">
        <f>IF($A1443="","",IF(OR($B1443="",$C1443="",$D1443="",$B1443&lt;1300,$B1443&gt;1500,$C1443&lt;1,$C1443&gt;12,$D1443&lt;1,$D1443&gt;31),"نامعتبر",RIGHT("0000"&amp;$B1443,4)&amp;"/"&amp;RIGHT("00"&amp;$C1443,2)&amp;"/"&amp;RIGHT("00"&amp;$D1443,2)))</f>
        <v/>
      </c>
      <c r="F1443">
        <f>IF(Entry!$D1443&lt;&gt;"",IF(AND(ISNUMBER(Entry!$D1443),Entry!$D1443&gt;=0,Entry!$D1443&lt;1),RIGHT("00"&amp;HOUR(Entry!$D1443),2)&amp;":"&amp;RIGHT("00"&amp;MINUTE(Entry!$D1443),2),IFERROR(RIGHT("00"&amp;VALUE(TRIM(LEFT(Entry!$D1443,FIND(":",Entry!$D1443)-1))),2)&amp;":"&amp;RIGHT("00"&amp;VALUE(TRIM(MID(Entry!$D1443,FIND(":",Entry!$D1443)+1,2))),2),"نامعتبر")),IF(OR($E1443="",$E1443="نامعتبر"),"","00:00"))</f>
        <v/>
      </c>
      <c r="G1443">
        <f>IF(OR($E1443="",$E1443="نامعتبر"),"",IF(Entry!$E1443="","",LEFT(UPPER(TRIM(Entry!$E1443)),6)))</f>
        <v/>
      </c>
      <c r="H1443">
        <f>IF($G1443="","",RIGHT($E1443,4)&amp;MID($E1443,6,2)&amp;RIGHT($E1443,2)&amp;IF($F1443="","0000",IF($F1443="نامعتبر","9999",LEFT($F1443,2)&amp;RIGHT($F1443,2)))&amp;"|"&amp;RIGHT("00000"&amp;1435,5))</f>
        <v/>
      </c>
      <c r="I1443">
        <f>IF($H1443="","",COUNTIFS(CalcBank,$G1443,CalcKey,"&lt;"&amp;$H1443)+1)</f>
        <v/>
      </c>
      <c r="J1443">
        <f>IF($I1443="","",$G1443&amp;"|"&amp;RIGHT("000000"&amp;$I1443,6))</f>
        <v/>
      </c>
      <c r="K1443">
        <f>IF(OR($E1443="",$E1443="نامعتبر"),"",LEFT($E1443,4)&amp;"/"&amp;MID($E1443,6,2))</f>
        <v/>
      </c>
      <c r="L1443">
        <f>IF(Entry!$K1443="",0,Entry!$K1443)</f>
        <v/>
      </c>
      <c r="M1443">
        <f>IF(Entry!$L1443="",0,Entry!$L1443)</f>
        <v/>
      </c>
    </row>
    <row r="1444">
      <c r="A1444">
        <f>IF(Entry!$C1444="","",Entry!$C1444)</f>
        <v/>
      </c>
      <c r="B1444">
        <f>IF($A1444="","",IF(ISNUMBER($A1444),IF(AND($A1444&gt;=10000101,$A1444&lt;=99991231),INT($A1444/10000),""),IFERROR(VALUE(TRIM(LEFT($A1444,FIND("/",$A1444)-1))),"")))</f>
        <v/>
      </c>
      <c r="C1444">
        <f>IF(OR($A1444="",$B1444=""),"",IF(ISNUMBER($A1444),INT(MOD($A1444,10000)/100),IFERROR(VALUE(TRIM(LEFT(MID($A1444,FIND("/",$A1444)+1,20),FIND("/",MID($A1444,FIND("/",$A1444)+1,20))-1))),"")))</f>
        <v/>
      </c>
      <c r="D1444">
        <f>IF(OR($A1444="",$B1444=""),"",IF(ISNUMBER($A1444),MOD($A1444,100),IFERROR(VALUE(TRIM(MID(MID($A1444,FIND("/",$A1444)+1,20),FIND("/",MID($A1444,FIND("/",$A1444)+1,20))+1,20))),"")))</f>
        <v/>
      </c>
      <c r="E1444">
        <f>IF($A1444="","",IF(OR($B1444="",$C1444="",$D1444="",$B1444&lt;1300,$B1444&gt;1500,$C1444&lt;1,$C1444&gt;12,$D1444&lt;1,$D1444&gt;31),"نامعتبر",RIGHT("0000"&amp;$B1444,4)&amp;"/"&amp;RIGHT("00"&amp;$C1444,2)&amp;"/"&amp;RIGHT("00"&amp;$D1444,2)))</f>
        <v/>
      </c>
      <c r="F1444">
        <f>IF(Entry!$D1444&lt;&gt;"",IF(AND(ISNUMBER(Entry!$D1444),Entry!$D1444&gt;=0,Entry!$D1444&lt;1),RIGHT("00"&amp;HOUR(Entry!$D1444),2)&amp;":"&amp;RIGHT("00"&amp;MINUTE(Entry!$D1444),2),IFERROR(RIGHT("00"&amp;VALUE(TRIM(LEFT(Entry!$D1444,FIND(":",Entry!$D1444)-1))),2)&amp;":"&amp;RIGHT("00"&amp;VALUE(TRIM(MID(Entry!$D1444,FIND(":",Entry!$D1444)+1,2))),2),"نامعتبر")),IF(OR($E1444="",$E1444="نامعتبر"),"","00:00"))</f>
        <v/>
      </c>
      <c r="G1444">
        <f>IF(OR($E1444="",$E1444="نامعتبر"),"",IF(Entry!$E1444="","",LEFT(UPPER(TRIM(Entry!$E1444)),6)))</f>
        <v/>
      </c>
      <c r="H1444">
        <f>IF($G1444="","",RIGHT($E1444,4)&amp;MID($E1444,6,2)&amp;RIGHT($E1444,2)&amp;IF($F1444="","0000",IF($F1444="نامعتبر","9999",LEFT($F1444,2)&amp;RIGHT($F1444,2)))&amp;"|"&amp;RIGHT("00000"&amp;1436,5))</f>
        <v/>
      </c>
      <c r="I1444">
        <f>IF($H1444="","",COUNTIFS(CalcBank,$G1444,CalcKey,"&lt;"&amp;$H1444)+1)</f>
        <v/>
      </c>
      <c r="J1444">
        <f>IF($I1444="","",$G1444&amp;"|"&amp;RIGHT("000000"&amp;$I1444,6))</f>
        <v/>
      </c>
      <c r="K1444">
        <f>IF(OR($E1444="",$E1444="نامعتبر"),"",LEFT($E1444,4)&amp;"/"&amp;MID($E1444,6,2))</f>
        <v/>
      </c>
      <c r="L1444">
        <f>IF(Entry!$K1444="",0,Entry!$K1444)</f>
        <v/>
      </c>
      <c r="M1444">
        <f>IF(Entry!$L1444="",0,Entry!$L1444)</f>
        <v/>
      </c>
    </row>
    <row r="1445">
      <c r="A1445">
        <f>IF(Entry!$C1445="","",Entry!$C1445)</f>
        <v/>
      </c>
      <c r="B1445">
        <f>IF($A1445="","",IF(ISNUMBER($A1445),IF(AND($A1445&gt;=10000101,$A1445&lt;=99991231),INT($A1445/10000),""),IFERROR(VALUE(TRIM(LEFT($A1445,FIND("/",$A1445)-1))),"")))</f>
        <v/>
      </c>
      <c r="C1445">
        <f>IF(OR($A1445="",$B1445=""),"",IF(ISNUMBER($A1445),INT(MOD($A1445,10000)/100),IFERROR(VALUE(TRIM(LEFT(MID($A1445,FIND("/",$A1445)+1,20),FIND("/",MID($A1445,FIND("/",$A1445)+1,20))-1))),"")))</f>
        <v/>
      </c>
      <c r="D1445">
        <f>IF(OR($A1445="",$B1445=""),"",IF(ISNUMBER($A1445),MOD($A1445,100),IFERROR(VALUE(TRIM(MID(MID($A1445,FIND("/",$A1445)+1,20),FIND("/",MID($A1445,FIND("/",$A1445)+1,20))+1,20))),"")))</f>
        <v/>
      </c>
      <c r="E1445">
        <f>IF($A1445="","",IF(OR($B1445="",$C1445="",$D1445="",$B1445&lt;1300,$B1445&gt;1500,$C1445&lt;1,$C1445&gt;12,$D1445&lt;1,$D1445&gt;31),"نامعتبر",RIGHT("0000"&amp;$B1445,4)&amp;"/"&amp;RIGHT("00"&amp;$C1445,2)&amp;"/"&amp;RIGHT("00"&amp;$D1445,2)))</f>
        <v/>
      </c>
      <c r="F1445">
        <f>IF(Entry!$D1445&lt;&gt;"",IF(AND(ISNUMBER(Entry!$D1445),Entry!$D1445&gt;=0,Entry!$D1445&lt;1),RIGHT("00"&amp;HOUR(Entry!$D1445),2)&amp;":"&amp;RIGHT("00"&amp;MINUTE(Entry!$D1445),2),IFERROR(RIGHT("00"&amp;VALUE(TRIM(LEFT(Entry!$D1445,FIND(":",Entry!$D1445)-1))),2)&amp;":"&amp;RIGHT("00"&amp;VALUE(TRIM(MID(Entry!$D1445,FIND(":",Entry!$D1445)+1,2))),2),"نامعتبر")),IF(OR($E1445="",$E1445="نامعتبر"),"","00:00"))</f>
        <v/>
      </c>
      <c r="G1445">
        <f>IF(OR($E1445="",$E1445="نامعتبر"),"",IF(Entry!$E1445="","",LEFT(UPPER(TRIM(Entry!$E1445)),6)))</f>
        <v/>
      </c>
      <c r="H1445">
        <f>IF($G1445="","",RIGHT($E1445,4)&amp;MID($E1445,6,2)&amp;RIGHT($E1445,2)&amp;IF($F1445="","0000",IF($F1445="نامعتبر","9999",LEFT($F1445,2)&amp;RIGHT($F1445,2)))&amp;"|"&amp;RIGHT("00000"&amp;1437,5))</f>
        <v/>
      </c>
      <c r="I1445">
        <f>IF($H1445="","",COUNTIFS(CalcBank,$G1445,CalcKey,"&lt;"&amp;$H1445)+1)</f>
        <v/>
      </c>
      <c r="J1445">
        <f>IF($I1445="","",$G1445&amp;"|"&amp;RIGHT("000000"&amp;$I1445,6))</f>
        <v/>
      </c>
      <c r="K1445">
        <f>IF(OR($E1445="",$E1445="نامعتبر"),"",LEFT($E1445,4)&amp;"/"&amp;MID($E1445,6,2))</f>
        <v/>
      </c>
      <c r="L1445">
        <f>IF(Entry!$K1445="",0,Entry!$K1445)</f>
        <v/>
      </c>
      <c r="M1445">
        <f>IF(Entry!$L1445="",0,Entry!$L1445)</f>
        <v/>
      </c>
    </row>
    <row r="1446">
      <c r="A1446">
        <f>IF(Entry!$C1446="","",Entry!$C1446)</f>
        <v/>
      </c>
      <c r="B1446">
        <f>IF($A1446="","",IF(ISNUMBER($A1446),IF(AND($A1446&gt;=10000101,$A1446&lt;=99991231),INT($A1446/10000),""),IFERROR(VALUE(TRIM(LEFT($A1446,FIND("/",$A1446)-1))),"")))</f>
        <v/>
      </c>
      <c r="C1446">
        <f>IF(OR($A1446="",$B1446=""),"",IF(ISNUMBER($A1446),INT(MOD($A1446,10000)/100),IFERROR(VALUE(TRIM(LEFT(MID($A1446,FIND("/",$A1446)+1,20),FIND("/",MID($A1446,FIND("/",$A1446)+1,20))-1))),"")))</f>
        <v/>
      </c>
      <c r="D1446">
        <f>IF(OR($A1446="",$B1446=""),"",IF(ISNUMBER($A1446),MOD($A1446,100),IFERROR(VALUE(TRIM(MID(MID($A1446,FIND("/",$A1446)+1,20),FIND("/",MID($A1446,FIND("/",$A1446)+1,20))+1,20))),"")))</f>
        <v/>
      </c>
      <c r="E1446">
        <f>IF($A1446="","",IF(OR($B1446="",$C1446="",$D1446="",$B1446&lt;1300,$B1446&gt;1500,$C1446&lt;1,$C1446&gt;12,$D1446&lt;1,$D1446&gt;31),"نامعتبر",RIGHT("0000"&amp;$B1446,4)&amp;"/"&amp;RIGHT("00"&amp;$C1446,2)&amp;"/"&amp;RIGHT("00"&amp;$D1446,2)))</f>
        <v/>
      </c>
      <c r="F1446">
        <f>IF(Entry!$D1446&lt;&gt;"",IF(AND(ISNUMBER(Entry!$D1446),Entry!$D1446&gt;=0,Entry!$D1446&lt;1),RIGHT("00"&amp;HOUR(Entry!$D1446),2)&amp;":"&amp;RIGHT("00"&amp;MINUTE(Entry!$D1446),2),IFERROR(RIGHT("00"&amp;VALUE(TRIM(LEFT(Entry!$D1446,FIND(":",Entry!$D1446)-1))),2)&amp;":"&amp;RIGHT("00"&amp;VALUE(TRIM(MID(Entry!$D1446,FIND(":",Entry!$D1446)+1,2))),2),"نامعتبر")),IF(OR($E1446="",$E1446="نامعتبر"),"","00:00"))</f>
        <v/>
      </c>
      <c r="G1446">
        <f>IF(OR($E1446="",$E1446="نامعتبر"),"",IF(Entry!$E1446="","",LEFT(UPPER(TRIM(Entry!$E1446)),6)))</f>
        <v/>
      </c>
      <c r="H1446">
        <f>IF($G1446="","",RIGHT($E1446,4)&amp;MID($E1446,6,2)&amp;RIGHT($E1446,2)&amp;IF($F1446="","0000",IF($F1446="نامعتبر","9999",LEFT($F1446,2)&amp;RIGHT($F1446,2)))&amp;"|"&amp;RIGHT("00000"&amp;1438,5))</f>
        <v/>
      </c>
      <c r="I1446">
        <f>IF($H1446="","",COUNTIFS(CalcBank,$G1446,CalcKey,"&lt;"&amp;$H1446)+1)</f>
        <v/>
      </c>
      <c r="J1446">
        <f>IF($I1446="","",$G1446&amp;"|"&amp;RIGHT("000000"&amp;$I1446,6))</f>
        <v/>
      </c>
      <c r="K1446">
        <f>IF(OR($E1446="",$E1446="نامعتبر"),"",LEFT($E1446,4)&amp;"/"&amp;MID($E1446,6,2))</f>
        <v/>
      </c>
      <c r="L1446">
        <f>IF(Entry!$K1446="",0,Entry!$K1446)</f>
        <v/>
      </c>
      <c r="M1446">
        <f>IF(Entry!$L1446="",0,Entry!$L1446)</f>
        <v/>
      </c>
    </row>
    <row r="1447">
      <c r="A1447">
        <f>IF(Entry!$C1447="","",Entry!$C1447)</f>
        <v/>
      </c>
      <c r="B1447">
        <f>IF($A1447="","",IF(ISNUMBER($A1447),IF(AND($A1447&gt;=10000101,$A1447&lt;=99991231),INT($A1447/10000),""),IFERROR(VALUE(TRIM(LEFT($A1447,FIND("/",$A1447)-1))),"")))</f>
        <v/>
      </c>
      <c r="C1447">
        <f>IF(OR($A1447="",$B1447=""),"",IF(ISNUMBER($A1447),INT(MOD($A1447,10000)/100),IFERROR(VALUE(TRIM(LEFT(MID($A1447,FIND("/",$A1447)+1,20),FIND("/",MID($A1447,FIND("/",$A1447)+1,20))-1))),"")))</f>
        <v/>
      </c>
      <c r="D1447">
        <f>IF(OR($A1447="",$B1447=""),"",IF(ISNUMBER($A1447),MOD($A1447,100),IFERROR(VALUE(TRIM(MID(MID($A1447,FIND("/",$A1447)+1,20),FIND("/",MID($A1447,FIND("/",$A1447)+1,20))+1,20))),"")))</f>
        <v/>
      </c>
      <c r="E1447">
        <f>IF($A1447="","",IF(OR($B1447="",$C1447="",$D1447="",$B1447&lt;1300,$B1447&gt;1500,$C1447&lt;1,$C1447&gt;12,$D1447&lt;1,$D1447&gt;31),"نامعتبر",RIGHT("0000"&amp;$B1447,4)&amp;"/"&amp;RIGHT("00"&amp;$C1447,2)&amp;"/"&amp;RIGHT("00"&amp;$D1447,2)))</f>
        <v/>
      </c>
      <c r="F1447">
        <f>IF(Entry!$D1447&lt;&gt;"",IF(AND(ISNUMBER(Entry!$D1447),Entry!$D1447&gt;=0,Entry!$D1447&lt;1),RIGHT("00"&amp;HOUR(Entry!$D1447),2)&amp;":"&amp;RIGHT("00"&amp;MINUTE(Entry!$D1447),2),IFERROR(RIGHT("00"&amp;VALUE(TRIM(LEFT(Entry!$D1447,FIND(":",Entry!$D1447)-1))),2)&amp;":"&amp;RIGHT("00"&amp;VALUE(TRIM(MID(Entry!$D1447,FIND(":",Entry!$D1447)+1,2))),2),"نامعتبر")),IF(OR($E1447="",$E1447="نامعتبر"),"","00:00"))</f>
        <v/>
      </c>
      <c r="G1447">
        <f>IF(OR($E1447="",$E1447="نامعتبر"),"",IF(Entry!$E1447="","",LEFT(UPPER(TRIM(Entry!$E1447)),6)))</f>
        <v/>
      </c>
      <c r="H1447">
        <f>IF($G1447="","",RIGHT($E1447,4)&amp;MID($E1447,6,2)&amp;RIGHT($E1447,2)&amp;IF($F1447="","0000",IF($F1447="نامعتبر","9999",LEFT($F1447,2)&amp;RIGHT($F1447,2)))&amp;"|"&amp;RIGHT("00000"&amp;1439,5))</f>
        <v/>
      </c>
      <c r="I1447">
        <f>IF($H1447="","",COUNTIFS(CalcBank,$G1447,CalcKey,"&lt;"&amp;$H1447)+1)</f>
        <v/>
      </c>
      <c r="J1447">
        <f>IF($I1447="","",$G1447&amp;"|"&amp;RIGHT("000000"&amp;$I1447,6))</f>
        <v/>
      </c>
      <c r="K1447">
        <f>IF(OR($E1447="",$E1447="نامعتبر"),"",LEFT($E1447,4)&amp;"/"&amp;MID($E1447,6,2))</f>
        <v/>
      </c>
      <c r="L1447">
        <f>IF(Entry!$K1447="",0,Entry!$K1447)</f>
        <v/>
      </c>
      <c r="M1447">
        <f>IF(Entry!$L1447="",0,Entry!$L1447)</f>
        <v/>
      </c>
    </row>
    <row r="1448">
      <c r="A1448">
        <f>IF(Entry!$C1448="","",Entry!$C1448)</f>
        <v/>
      </c>
      <c r="B1448">
        <f>IF($A1448="","",IF(ISNUMBER($A1448),IF(AND($A1448&gt;=10000101,$A1448&lt;=99991231),INT($A1448/10000),""),IFERROR(VALUE(TRIM(LEFT($A1448,FIND("/",$A1448)-1))),"")))</f>
        <v/>
      </c>
      <c r="C1448">
        <f>IF(OR($A1448="",$B1448=""),"",IF(ISNUMBER($A1448),INT(MOD($A1448,10000)/100),IFERROR(VALUE(TRIM(LEFT(MID($A1448,FIND("/",$A1448)+1,20),FIND("/",MID($A1448,FIND("/",$A1448)+1,20))-1))),"")))</f>
        <v/>
      </c>
      <c r="D1448">
        <f>IF(OR($A1448="",$B1448=""),"",IF(ISNUMBER($A1448),MOD($A1448,100),IFERROR(VALUE(TRIM(MID(MID($A1448,FIND("/",$A1448)+1,20),FIND("/",MID($A1448,FIND("/",$A1448)+1,20))+1,20))),"")))</f>
        <v/>
      </c>
      <c r="E1448">
        <f>IF($A1448="","",IF(OR($B1448="",$C1448="",$D1448="",$B1448&lt;1300,$B1448&gt;1500,$C1448&lt;1,$C1448&gt;12,$D1448&lt;1,$D1448&gt;31),"نامعتبر",RIGHT("0000"&amp;$B1448,4)&amp;"/"&amp;RIGHT("00"&amp;$C1448,2)&amp;"/"&amp;RIGHT("00"&amp;$D1448,2)))</f>
        <v/>
      </c>
      <c r="F1448">
        <f>IF(Entry!$D1448&lt;&gt;"",IF(AND(ISNUMBER(Entry!$D1448),Entry!$D1448&gt;=0,Entry!$D1448&lt;1),RIGHT("00"&amp;HOUR(Entry!$D1448),2)&amp;":"&amp;RIGHT("00"&amp;MINUTE(Entry!$D1448),2),IFERROR(RIGHT("00"&amp;VALUE(TRIM(LEFT(Entry!$D1448,FIND(":",Entry!$D1448)-1))),2)&amp;":"&amp;RIGHT("00"&amp;VALUE(TRIM(MID(Entry!$D1448,FIND(":",Entry!$D1448)+1,2))),2),"نامعتبر")),IF(OR($E1448="",$E1448="نامعتبر"),"","00:00"))</f>
        <v/>
      </c>
      <c r="G1448">
        <f>IF(OR($E1448="",$E1448="نامعتبر"),"",IF(Entry!$E1448="","",LEFT(UPPER(TRIM(Entry!$E1448)),6)))</f>
        <v/>
      </c>
      <c r="H1448">
        <f>IF($G1448="","",RIGHT($E1448,4)&amp;MID($E1448,6,2)&amp;RIGHT($E1448,2)&amp;IF($F1448="","0000",IF($F1448="نامعتبر","9999",LEFT($F1448,2)&amp;RIGHT($F1448,2)))&amp;"|"&amp;RIGHT("00000"&amp;1440,5))</f>
        <v/>
      </c>
      <c r="I1448">
        <f>IF($H1448="","",COUNTIFS(CalcBank,$G1448,CalcKey,"&lt;"&amp;$H1448)+1)</f>
        <v/>
      </c>
      <c r="J1448">
        <f>IF($I1448="","",$G1448&amp;"|"&amp;RIGHT("000000"&amp;$I1448,6))</f>
        <v/>
      </c>
      <c r="K1448">
        <f>IF(OR($E1448="",$E1448="نامعتبر"),"",LEFT($E1448,4)&amp;"/"&amp;MID($E1448,6,2))</f>
        <v/>
      </c>
      <c r="L1448">
        <f>IF(Entry!$K1448="",0,Entry!$K1448)</f>
        <v/>
      </c>
      <c r="M1448">
        <f>IF(Entry!$L1448="",0,Entry!$L1448)</f>
        <v/>
      </c>
    </row>
    <row r="1449">
      <c r="A1449">
        <f>IF(Entry!$C1449="","",Entry!$C1449)</f>
        <v/>
      </c>
      <c r="B1449">
        <f>IF($A1449="","",IF(ISNUMBER($A1449),IF(AND($A1449&gt;=10000101,$A1449&lt;=99991231),INT($A1449/10000),""),IFERROR(VALUE(TRIM(LEFT($A1449,FIND("/",$A1449)-1))),"")))</f>
        <v/>
      </c>
      <c r="C1449">
        <f>IF(OR($A1449="",$B1449=""),"",IF(ISNUMBER($A1449),INT(MOD($A1449,10000)/100),IFERROR(VALUE(TRIM(LEFT(MID($A1449,FIND("/",$A1449)+1,20),FIND("/",MID($A1449,FIND("/",$A1449)+1,20))-1))),"")))</f>
        <v/>
      </c>
      <c r="D1449">
        <f>IF(OR($A1449="",$B1449=""),"",IF(ISNUMBER($A1449),MOD($A1449,100),IFERROR(VALUE(TRIM(MID(MID($A1449,FIND("/",$A1449)+1,20),FIND("/",MID($A1449,FIND("/",$A1449)+1,20))+1,20))),"")))</f>
        <v/>
      </c>
      <c r="E1449">
        <f>IF($A1449="","",IF(OR($B1449="",$C1449="",$D1449="",$B1449&lt;1300,$B1449&gt;1500,$C1449&lt;1,$C1449&gt;12,$D1449&lt;1,$D1449&gt;31),"نامعتبر",RIGHT("0000"&amp;$B1449,4)&amp;"/"&amp;RIGHT("00"&amp;$C1449,2)&amp;"/"&amp;RIGHT("00"&amp;$D1449,2)))</f>
        <v/>
      </c>
      <c r="F1449">
        <f>IF(Entry!$D1449&lt;&gt;"",IF(AND(ISNUMBER(Entry!$D1449),Entry!$D1449&gt;=0,Entry!$D1449&lt;1),RIGHT("00"&amp;HOUR(Entry!$D1449),2)&amp;":"&amp;RIGHT("00"&amp;MINUTE(Entry!$D1449),2),IFERROR(RIGHT("00"&amp;VALUE(TRIM(LEFT(Entry!$D1449,FIND(":",Entry!$D1449)-1))),2)&amp;":"&amp;RIGHT("00"&amp;VALUE(TRIM(MID(Entry!$D1449,FIND(":",Entry!$D1449)+1,2))),2),"نامعتبر")),IF(OR($E1449="",$E1449="نامعتبر"),"","00:00"))</f>
        <v/>
      </c>
      <c r="G1449">
        <f>IF(OR($E1449="",$E1449="نامعتبر"),"",IF(Entry!$E1449="","",LEFT(UPPER(TRIM(Entry!$E1449)),6)))</f>
        <v/>
      </c>
      <c r="H1449">
        <f>IF($G1449="","",RIGHT($E1449,4)&amp;MID($E1449,6,2)&amp;RIGHT($E1449,2)&amp;IF($F1449="","0000",IF($F1449="نامعتبر","9999",LEFT($F1449,2)&amp;RIGHT($F1449,2)))&amp;"|"&amp;RIGHT("00000"&amp;1441,5))</f>
        <v/>
      </c>
      <c r="I1449">
        <f>IF($H1449="","",COUNTIFS(CalcBank,$G1449,CalcKey,"&lt;"&amp;$H1449)+1)</f>
        <v/>
      </c>
      <c r="J1449">
        <f>IF($I1449="","",$G1449&amp;"|"&amp;RIGHT("000000"&amp;$I1449,6))</f>
        <v/>
      </c>
      <c r="K1449">
        <f>IF(OR($E1449="",$E1449="نامعتبر"),"",LEFT($E1449,4)&amp;"/"&amp;MID($E1449,6,2))</f>
        <v/>
      </c>
      <c r="L1449">
        <f>IF(Entry!$K1449="",0,Entry!$K1449)</f>
        <v/>
      </c>
      <c r="M1449">
        <f>IF(Entry!$L1449="",0,Entry!$L1449)</f>
        <v/>
      </c>
    </row>
    <row r="1450">
      <c r="A1450">
        <f>IF(Entry!$C1450="","",Entry!$C1450)</f>
        <v/>
      </c>
      <c r="B1450">
        <f>IF($A1450="","",IF(ISNUMBER($A1450),IF(AND($A1450&gt;=10000101,$A1450&lt;=99991231),INT($A1450/10000),""),IFERROR(VALUE(TRIM(LEFT($A1450,FIND("/",$A1450)-1))),"")))</f>
        <v/>
      </c>
      <c r="C1450">
        <f>IF(OR($A1450="",$B1450=""),"",IF(ISNUMBER($A1450),INT(MOD($A1450,10000)/100),IFERROR(VALUE(TRIM(LEFT(MID($A1450,FIND("/",$A1450)+1,20),FIND("/",MID($A1450,FIND("/",$A1450)+1,20))-1))),"")))</f>
        <v/>
      </c>
      <c r="D1450">
        <f>IF(OR($A1450="",$B1450=""),"",IF(ISNUMBER($A1450),MOD($A1450,100),IFERROR(VALUE(TRIM(MID(MID($A1450,FIND("/",$A1450)+1,20),FIND("/",MID($A1450,FIND("/",$A1450)+1,20))+1,20))),"")))</f>
        <v/>
      </c>
      <c r="E1450">
        <f>IF($A1450="","",IF(OR($B1450="",$C1450="",$D1450="",$B1450&lt;1300,$B1450&gt;1500,$C1450&lt;1,$C1450&gt;12,$D1450&lt;1,$D1450&gt;31),"نامعتبر",RIGHT("0000"&amp;$B1450,4)&amp;"/"&amp;RIGHT("00"&amp;$C1450,2)&amp;"/"&amp;RIGHT("00"&amp;$D1450,2)))</f>
        <v/>
      </c>
      <c r="F1450">
        <f>IF(Entry!$D1450&lt;&gt;"",IF(AND(ISNUMBER(Entry!$D1450),Entry!$D1450&gt;=0,Entry!$D1450&lt;1),RIGHT("00"&amp;HOUR(Entry!$D1450),2)&amp;":"&amp;RIGHT("00"&amp;MINUTE(Entry!$D1450),2),IFERROR(RIGHT("00"&amp;VALUE(TRIM(LEFT(Entry!$D1450,FIND(":",Entry!$D1450)-1))),2)&amp;":"&amp;RIGHT("00"&amp;VALUE(TRIM(MID(Entry!$D1450,FIND(":",Entry!$D1450)+1,2))),2),"نامعتبر")),IF(OR($E1450="",$E1450="نامعتبر"),"","00:00"))</f>
        <v/>
      </c>
      <c r="G1450">
        <f>IF(OR($E1450="",$E1450="نامعتبر"),"",IF(Entry!$E1450="","",LEFT(UPPER(TRIM(Entry!$E1450)),6)))</f>
        <v/>
      </c>
      <c r="H1450">
        <f>IF($G1450="","",RIGHT($E1450,4)&amp;MID($E1450,6,2)&amp;RIGHT($E1450,2)&amp;IF($F1450="","0000",IF($F1450="نامعتبر","9999",LEFT($F1450,2)&amp;RIGHT($F1450,2)))&amp;"|"&amp;RIGHT("00000"&amp;1442,5))</f>
        <v/>
      </c>
      <c r="I1450">
        <f>IF($H1450="","",COUNTIFS(CalcBank,$G1450,CalcKey,"&lt;"&amp;$H1450)+1)</f>
        <v/>
      </c>
      <c r="J1450">
        <f>IF($I1450="","",$G1450&amp;"|"&amp;RIGHT("000000"&amp;$I1450,6))</f>
        <v/>
      </c>
      <c r="K1450">
        <f>IF(OR($E1450="",$E1450="نامعتبر"),"",LEFT($E1450,4)&amp;"/"&amp;MID($E1450,6,2))</f>
        <v/>
      </c>
      <c r="L1450">
        <f>IF(Entry!$K1450="",0,Entry!$K1450)</f>
        <v/>
      </c>
      <c r="M1450">
        <f>IF(Entry!$L1450="",0,Entry!$L1450)</f>
        <v/>
      </c>
    </row>
    <row r="1451">
      <c r="A1451">
        <f>IF(Entry!$C1451="","",Entry!$C1451)</f>
        <v/>
      </c>
      <c r="B1451">
        <f>IF($A1451="","",IF(ISNUMBER($A1451),IF(AND($A1451&gt;=10000101,$A1451&lt;=99991231),INT($A1451/10000),""),IFERROR(VALUE(TRIM(LEFT($A1451,FIND("/",$A1451)-1))),"")))</f>
        <v/>
      </c>
      <c r="C1451">
        <f>IF(OR($A1451="",$B1451=""),"",IF(ISNUMBER($A1451),INT(MOD($A1451,10000)/100),IFERROR(VALUE(TRIM(LEFT(MID($A1451,FIND("/",$A1451)+1,20),FIND("/",MID($A1451,FIND("/",$A1451)+1,20))-1))),"")))</f>
        <v/>
      </c>
      <c r="D1451">
        <f>IF(OR($A1451="",$B1451=""),"",IF(ISNUMBER($A1451),MOD($A1451,100),IFERROR(VALUE(TRIM(MID(MID($A1451,FIND("/",$A1451)+1,20),FIND("/",MID($A1451,FIND("/",$A1451)+1,20))+1,20))),"")))</f>
        <v/>
      </c>
      <c r="E1451">
        <f>IF($A1451="","",IF(OR($B1451="",$C1451="",$D1451="",$B1451&lt;1300,$B1451&gt;1500,$C1451&lt;1,$C1451&gt;12,$D1451&lt;1,$D1451&gt;31),"نامعتبر",RIGHT("0000"&amp;$B1451,4)&amp;"/"&amp;RIGHT("00"&amp;$C1451,2)&amp;"/"&amp;RIGHT("00"&amp;$D1451,2)))</f>
        <v/>
      </c>
      <c r="F1451">
        <f>IF(Entry!$D1451&lt;&gt;"",IF(AND(ISNUMBER(Entry!$D1451),Entry!$D1451&gt;=0,Entry!$D1451&lt;1),RIGHT("00"&amp;HOUR(Entry!$D1451),2)&amp;":"&amp;RIGHT("00"&amp;MINUTE(Entry!$D1451),2),IFERROR(RIGHT("00"&amp;VALUE(TRIM(LEFT(Entry!$D1451,FIND(":",Entry!$D1451)-1))),2)&amp;":"&amp;RIGHT("00"&amp;VALUE(TRIM(MID(Entry!$D1451,FIND(":",Entry!$D1451)+1,2))),2),"نامعتبر")),IF(OR($E1451="",$E1451="نامعتبر"),"","00:00"))</f>
        <v/>
      </c>
      <c r="G1451">
        <f>IF(OR($E1451="",$E1451="نامعتبر"),"",IF(Entry!$E1451="","",LEFT(UPPER(TRIM(Entry!$E1451)),6)))</f>
        <v/>
      </c>
      <c r="H1451">
        <f>IF($G1451="","",RIGHT($E1451,4)&amp;MID($E1451,6,2)&amp;RIGHT($E1451,2)&amp;IF($F1451="","0000",IF($F1451="نامعتبر","9999",LEFT($F1451,2)&amp;RIGHT($F1451,2)))&amp;"|"&amp;RIGHT("00000"&amp;1443,5))</f>
        <v/>
      </c>
      <c r="I1451">
        <f>IF($H1451="","",COUNTIFS(CalcBank,$G1451,CalcKey,"&lt;"&amp;$H1451)+1)</f>
        <v/>
      </c>
      <c r="J1451">
        <f>IF($I1451="","",$G1451&amp;"|"&amp;RIGHT("000000"&amp;$I1451,6))</f>
        <v/>
      </c>
      <c r="K1451">
        <f>IF(OR($E1451="",$E1451="نامعتبر"),"",LEFT($E1451,4)&amp;"/"&amp;MID($E1451,6,2))</f>
        <v/>
      </c>
      <c r="L1451">
        <f>IF(Entry!$K1451="",0,Entry!$K1451)</f>
        <v/>
      </c>
      <c r="M1451">
        <f>IF(Entry!$L1451="",0,Entry!$L1451)</f>
        <v/>
      </c>
    </row>
    <row r="1452">
      <c r="A1452">
        <f>IF(Entry!$C1452="","",Entry!$C1452)</f>
        <v/>
      </c>
      <c r="B1452">
        <f>IF($A1452="","",IF(ISNUMBER($A1452),IF(AND($A1452&gt;=10000101,$A1452&lt;=99991231),INT($A1452/10000),""),IFERROR(VALUE(TRIM(LEFT($A1452,FIND("/",$A1452)-1))),"")))</f>
        <v/>
      </c>
      <c r="C1452">
        <f>IF(OR($A1452="",$B1452=""),"",IF(ISNUMBER($A1452),INT(MOD($A1452,10000)/100),IFERROR(VALUE(TRIM(LEFT(MID($A1452,FIND("/",$A1452)+1,20),FIND("/",MID($A1452,FIND("/",$A1452)+1,20))-1))),"")))</f>
        <v/>
      </c>
      <c r="D1452">
        <f>IF(OR($A1452="",$B1452=""),"",IF(ISNUMBER($A1452),MOD($A1452,100),IFERROR(VALUE(TRIM(MID(MID($A1452,FIND("/",$A1452)+1,20),FIND("/",MID($A1452,FIND("/",$A1452)+1,20))+1,20))),"")))</f>
        <v/>
      </c>
      <c r="E1452">
        <f>IF($A1452="","",IF(OR($B1452="",$C1452="",$D1452="",$B1452&lt;1300,$B1452&gt;1500,$C1452&lt;1,$C1452&gt;12,$D1452&lt;1,$D1452&gt;31),"نامعتبر",RIGHT("0000"&amp;$B1452,4)&amp;"/"&amp;RIGHT("00"&amp;$C1452,2)&amp;"/"&amp;RIGHT("00"&amp;$D1452,2)))</f>
        <v/>
      </c>
      <c r="F1452">
        <f>IF(Entry!$D1452&lt;&gt;"",IF(AND(ISNUMBER(Entry!$D1452),Entry!$D1452&gt;=0,Entry!$D1452&lt;1),RIGHT("00"&amp;HOUR(Entry!$D1452),2)&amp;":"&amp;RIGHT("00"&amp;MINUTE(Entry!$D1452),2),IFERROR(RIGHT("00"&amp;VALUE(TRIM(LEFT(Entry!$D1452,FIND(":",Entry!$D1452)-1))),2)&amp;":"&amp;RIGHT("00"&amp;VALUE(TRIM(MID(Entry!$D1452,FIND(":",Entry!$D1452)+1,2))),2),"نامعتبر")),IF(OR($E1452="",$E1452="نامعتبر"),"","00:00"))</f>
        <v/>
      </c>
      <c r="G1452">
        <f>IF(OR($E1452="",$E1452="نامعتبر"),"",IF(Entry!$E1452="","",LEFT(UPPER(TRIM(Entry!$E1452)),6)))</f>
        <v/>
      </c>
      <c r="H1452">
        <f>IF($G1452="","",RIGHT($E1452,4)&amp;MID($E1452,6,2)&amp;RIGHT($E1452,2)&amp;IF($F1452="","0000",IF($F1452="نامعتبر","9999",LEFT($F1452,2)&amp;RIGHT($F1452,2)))&amp;"|"&amp;RIGHT("00000"&amp;1444,5))</f>
        <v/>
      </c>
      <c r="I1452">
        <f>IF($H1452="","",COUNTIFS(CalcBank,$G1452,CalcKey,"&lt;"&amp;$H1452)+1)</f>
        <v/>
      </c>
      <c r="J1452">
        <f>IF($I1452="","",$G1452&amp;"|"&amp;RIGHT("000000"&amp;$I1452,6))</f>
        <v/>
      </c>
      <c r="K1452">
        <f>IF(OR($E1452="",$E1452="نامعتبر"),"",LEFT($E1452,4)&amp;"/"&amp;MID($E1452,6,2))</f>
        <v/>
      </c>
      <c r="L1452">
        <f>IF(Entry!$K1452="",0,Entry!$K1452)</f>
        <v/>
      </c>
      <c r="M1452">
        <f>IF(Entry!$L1452="",0,Entry!$L1452)</f>
        <v/>
      </c>
    </row>
    <row r="1453">
      <c r="A1453">
        <f>IF(Entry!$C1453="","",Entry!$C1453)</f>
        <v/>
      </c>
      <c r="B1453">
        <f>IF($A1453="","",IF(ISNUMBER($A1453),IF(AND($A1453&gt;=10000101,$A1453&lt;=99991231),INT($A1453/10000),""),IFERROR(VALUE(TRIM(LEFT($A1453,FIND("/",$A1453)-1))),"")))</f>
        <v/>
      </c>
      <c r="C1453">
        <f>IF(OR($A1453="",$B1453=""),"",IF(ISNUMBER($A1453),INT(MOD($A1453,10000)/100),IFERROR(VALUE(TRIM(LEFT(MID($A1453,FIND("/",$A1453)+1,20),FIND("/",MID($A1453,FIND("/",$A1453)+1,20))-1))),"")))</f>
        <v/>
      </c>
      <c r="D1453">
        <f>IF(OR($A1453="",$B1453=""),"",IF(ISNUMBER($A1453),MOD($A1453,100),IFERROR(VALUE(TRIM(MID(MID($A1453,FIND("/",$A1453)+1,20),FIND("/",MID($A1453,FIND("/",$A1453)+1,20))+1,20))),"")))</f>
        <v/>
      </c>
      <c r="E1453">
        <f>IF($A1453="","",IF(OR($B1453="",$C1453="",$D1453="",$B1453&lt;1300,$B1453&gt;1500,$C1453&lt;1,$C1453&gt;12,$D1453&lt;1,$D1453&gt;31),"نامعتبر",RIGHT("0000"&amp;$B1453,4)&amp;"/"&amp;RIGHT("00"&amp;$C1453,2)&amp;"/"&amp;RIGHT("00"&amp;$D1453,2)))</f>
        <v/>
      </c>
      <c r="F1453">
        <f>IF(Entry!$D1453&lt;&gt;"",IF(AND(ISNUMBER(Entry!$D1453),Entry!$D1453&gt;=0,Entry!$D1453&lt;1),RIGHT("00"&amp;HOUR(Entry!$D1453),2)&amp;":"&amp;RIGHT("00"&amp;MINUTE(Entry!$D1453),2),IFERROR(RIGHT("00"&amp;VALUE(TRIM(LEFT(Entry!$D1453,FIND(":",Entry!$D1453)-1))),2)&amp;":"&amp;RIGHT("00"&amp;VALUE(TRIM(MID(Entry!$D1453,FIND(":",Entry!$D1453)+1,2))),2),"نامعتبر")),IF(OR($E1453="",$E1453="نامعتبر"),"","00:00"))</f>
        <v/>
      </c>
      <c r="G1453">
        <f>IF(OR($E1453="",$E1453="نامعتبر"),"",IF(Entry!$E1453="","",LEFT(UPPER(TRIM(Entry!$E1453)),6)))</f>
        <v/>
      </c>
      <c r="H1453">
        <f>IF($G1453="","",RIGHT($E1453,4)&amp;MID($E1453,6,2)&amp;RIGHT($E1453,2)&amp;IF($F1453="","0000",IF($F1453="نامعتبر","9999",LEFT($F1453,2)&amp;RIGHT($F1453,2)))&amp;"|"&amp;RIGHT("00000"&amp;1445,5))</f>
        <v/>
      </c>
      <c r="I1453">
        <f>IF($H1453="","",COUNTIFS(CalcBank,$G1453,CalcKey,"&lt;"&amp;$H1453)+1)</f>
        <v/>
      </c>
      <c r="J1453">
        <f>IF($I1453="","",$G1453&amp;"|"&amp;RIGHT("000000"&amp;$I1453,6))</f>
        <v/>
      </c>
      <c r="K1453">
        <f>IF(OR($E1453="",$E1453="نامعتبر"),"",LEFT($E1453,4)&amp;"/"&amp;MID($E1453,6,2))</f>
        <v/>
      </c>
      <c r="L1453">
        <f>IF(Entry!$K1453="",0,Entry!$K1453)</f>
        <v/>
      </c>
      <c r="M1453">
        <f>IF(Entry!$L1453="",0,Entry!$L1453)</f>
        <v/>
      </c>
    </row>
    <row r="1454">
      <c r="A1454">
        <f>IF(Entry!$C1454="","",Entry!$C1454)</f>
        <v/>
      </c>
      <c r="B1454">
        <f>IF($A1454="","",IF(ISNUMBER($A1454),IF(AND($A1454&gt;=10000101,$A1454&lt;=99991231),INT($A1454/10000),""),IFERROR(VALUE(TRIM(LEFT($A1454,FIND("/",$A1454)-1))),"")))</f>
        <v/>
      </c>
      <c r="C1454">
        <f>IF(OR($A1454="",$B1454=""),"",IF(ISNUMBER($A1454),INT(MOD($A1454,10000)/100),IFERROR(VALUE(TRIM(LEFT(MID($A1454,FIND("/",$A1454)+1,20),FIND("/",MID($A1454,FIND("/",$A1454)+1,20))-1))),"")))</f>
        <v/>
      </c>
      <c r="D1454">
        <f>IF(OR($A1454="",$B1454=""),"",IF(ISNUMBER($A1454),MOD($A1454,100),IFERROR(VALUE(TRIM(MID(MID($A1454,FIND("/",$A1454)+1,20),FIND("/",MID($A1454,FIND("/",$A1454)+1,20))+1,20))),"")))</f>
        <v/>
      </c>
      <c r="E1454">
        <f>IF($A1454="","",IF(OR($B1454="",$C1454="",$D1454="",$B1454&lt;1300,$B1454&gt;1500,$C1454&lt;1,$C1454&gt;12,$D1454&lt;1,$D1454&gt;31),"نامعتبر",RIGHT("0000"&amp;$B1454,4)&amp;"/"&amp;RIGHT("00"&amp;$C1454,2)&amp;"/"&amp;RIGHT("00"&amp;$D1454,2)))</f>
        <v/>
      </c>
      <c r="F1454">
        <f>IF(Entry!$D1454&lt;&gt;"",IF(AND(ISNUMBER(Entry!$D1454),Entry!$D1454&gt;=0,Entry!$D1454&lt;1),RIGHT("00"&amp;HOUR(Entry!$D1454),2)&amp;":"&amp;RIGHT("00"&amp;MINUTE(Entry!$D1454),2),IFERROR(RIGHT("00"&amp;VALUE(TRIM(LEFT(Entry!$D1454,FIND(":",Entry!$D1454)-1))),2)&amp;":"&amp;RIGHT("00"&amp;VALUE(TRIM(MID(Entry!$D1454,FIND(":",Entry!$D1454)+1,2))),2),"نامعتبر")),IF(OR($E1454="",$E1454="نامعتبر"),"","00:00"))</f>
        <v/>
      </c>
      <c r="G1454">
        <f>IF(OR($E1454="",$E1454="نامعتبر"),"",IF(Entry!$E1454="","",LEFT(UPPER(TRIM(Entry!$E1454)),6)))</f>
        <v/>
      </c>
      <c r="H1454">
        <f>IF($G1454="","",RIGHT($E1454,4)&amp;MID($E1454,6,2)&amp;RIGHT($E1454,2)&amp;IF($F1454="","0000",IF($F1454="نامعتبر","9999",LEFT($F1454,2)&amp;RIGHT($F1454,2)))&amp;"|"&amp;RIGHT("00000"&amp;1446,5))</f>
        <v/>
      </c>
      <c r="I1454">
        <f>IF($H1454="","",COUNTIFS(CalcBank,$G1454,CalcKey,"&lt;"&amp;$H1454)+1)</f>
        <v/>
      </c>
      <c r="J1454">
        <f>IF($I1454="","",$G1454&amp;"|"&amp;RIGHT("000000"&amp;$I1454,6))</f>
        <v/>
      </c>
      <c r="K1454">
        <f>IF(OR($E1454="",$E1454="نامعتبر"),"",LEFT($E1454,4)&amp;"/"&amp;MID($E1454,6,2))</f>
        <v/>
      </c>
      <c r="L1454">
        <f>IF(Entry!$K1454="",0,Entry!$K1454)</f>
        <v/>
      </c>
      <c r="M1454">
        <f>IF(Entry!$L1454="",0,Entry!$L1454)</f>
        <v/>
      </c>
    </row>
    <row r="1455">
      <c r="A1455">
        <f>IF(Entry!$C1455="","",Entry!$C1455)</f>
        <v/>
      </c>
      <c r="B1455">
        <f>IF($A1455="","",IF(ISNUMBER($A1455),IF(AND($A1455&gt;=10000101,$A1455&lt;=99991231),INT($A1455/10000),""),IFERROR(VALUE(TRIM(LEFT($A1455,FIND("/",$A1455)-1))),"")))</f>
        <v/>
      </c>
      <c r="C1455">
        <f>IF(OR($A1455="",$B1455=""),"",IF(ISNUMBER($A1455),INT(MOD($A1455,10000)/100),IFERROR(VALUE(TRIM(LEFT(MID($A1455,FIND("/",$A1455)+1,20),FIND("/",MID($A1455,FIND("/",$A1455)+1,20))-1))),"")))</f>
        <v/>
      </c>
      <c r="D1455">
        <f>IF(OR($A1455="",$B1455=""),"",IF(ISNUMBER($A1455),MOD($A1455,100),IFERROR(VALUE(TRIM(MID(MID($A1455,FIND("/",$A1455)+1,20),FIND("/",MID($A1455,FIND("/",$A1455)+1,20))+1,20))),"")))</f>
        <v/>
      </c>
      <c r="E1455">
        <f>IF($A1455="","",IF(OR($B1455="",$C1455="",$D1455="",$B1455&lt;1300,$B1455&gt;1500,$C1455&lt;1,$C1455&gt;12,$D1455&lt;1,$D1455&gt;31),"نامعتبر",RIGHT("0000"&amp;$B1455,4)&amp;"/"&amp;RIGHT("00"&amp;$C1455,2)&amp;"/"&amp;RIGHT("00"&amp;$D1455,2)))</f>
        <v/>
      </c>
      <c r="F1455">
        <f>IF(Entry!$D1455&lt;&gt;"",IF(AND(ISNUMBER(Entry!$D1455),Entry!$D1455&gt;=0,Entry!$D1455&lt;1),RIGHT("00"&amp;HOUR(Entry!$D1455),2)&amp;":"&amp;RIGHT("00"&amp;MINUTE(Entry!$D1455),2),IFERROR(RIGHT("00"&amp;VALUE(TRIM(LEFT(Entry!$D1455,FIND(":",Entry!$D1455)-1))),2)&amp;":"&amp;RIGHT("00"&amp;VALUE(TRIM(MID(Entry!$D1455,FIND(":",Entry!$D1455)+1,2))),2),"نامعتبر")),IF(OR($E1455="",$E1455="نامعتبر"),"","00:00"))</f>
        <v/>
      </c>
      <c r="G1455">
        <f>IF(OR($E1455="",$E1455="نامعتبر"),"",IF(Entry!$E1455="","",LEFT(UPPER(TRIM(Entry!$E1455)),6)))</f>
        <v/>
      </c>
      <c r="H1455">
        <f>IF($G1455="","",RIGHT($E1455,4)&amp;MID($E1455,6,2)&amp;RIGHT($E1455,2)&amp;IF($F1455="","0000",IF($F1455="نامعتبر","9999",LEFT($F1455,2)&amp;RIGHT($F1455,2)))&amp;"|"&amp;RIGHT("00000"&amp;1447,5))</f>
        <v/>
      </c>
      <c r="I1455">
        <f>IF($H1455="","",COUNTIFS(CalcBank,$G1455,CalcKey,"&lt;"&amp;$H1455)+1)</f>
        <v/>
      </c>
      <c r="J1455">
        <f>IF($I1455="","",$G1455&amp;"|"&amp;RIGHT("000000"&amp;$I1455,6))</f>
        <v/>
      </c>
      <c r="K1455">
        <f>IF(OR($E1455="",$E1455="نامعتبر"),"",LEFT($E1455,4)&amp;"/"&amp;MID($E1455,6,2))</f>
        <v/>
      </c>
      <c r="L1455">
        <f>IF(Entry!$K1455="",0,Entry!$K1455)</f>
        <v/>
      </c>
      <c r="M1455">
        <f>IF(Entry!$L1455="",0,Entry!$L1455)</f>
        <v/>
      </c>
    </row>
    <row r="1456">
      <c r="A1456">
        <f>IF(Entry!$C1456="","",Entry!$C1456)</f>
        <v/>
      </c>
      <c r="B1456">
        <f>IF($A1456="","",IF(ISNUMBER($A1456),IF(AND($A1456&gt;=10000101,$A1456&lt;=99991231),INT($A1456/10000),""),IFERROR(VALUE(TRIM(LEFT($A1456,FIND("/",$A1456)-1))),"")))</f>
        <v/>
      </c>
      <c r="C1456">
        <f>IF(OR($A1456="",$B1456=""),"",IF(ISNUMBER($A1456),INT(MOD($A1456,10000)/100),IFERROR(VALUE(TRIM(LEFT(MID($A1456,FIND("/",$A1456)+1,20),FIND("/",MID($A1456,FIND("/",$A1456)+1,20))-1))),"")))</f>
        <v/>
      </c>
      <c r="D1456">
        <f>IF(OR($A1456="",$B1456=""),"",IF(ISNUMBER($A1456),MOD($A1456,100),IFERROR(VALUE(TRIM(MID(MID($A1456,FIND("/",$A1456)+1,20),FIND("/",MID($A1456,FIND("/",$A1456)+1,20))+1,20))),"")))</f>
        <v/>
      </c>
      <c r="E1456">
        <f>IF($A1456="","",IF(OR($B1456="",$C1456="",$D1456="",$B1456&lt;1300,$B1456&gt;1500,$C1456&lt;1,$C1456&gt;12,$D1456&lt;1,$D1456&gt;31),"نامعتبر",RIGHT("0000"&amp;$B1456,4)&amp;"/"&amp;RIGHT("00"&amp;$C1456,2)&amp;"/"&amp;RIGHT("00"&amp;$D1456,2)))</f>
        <v/>
      </c>
      <c r="F1456">
        <f>IF(Entry!$D1456&lt;&gt;"",IF(AND(ISNUMBER(Entry!$D1456),Entry!$D1456&gt;=0,Entry!$D1456&lt;1),RIGHT("00"&amp;HOUR(Entry!$D1456),2)&amp;":"&amp;RIGHT("00"&amp;MINUTE(Entry!$D1456),2),IFERROR(RIGHT("00"&amp;VALUE(TRIM(LEFT(Entry!$D1456,FIND(":",Entry!$D1456)-1))),2)&amp;":"&amp;RIGHT("00"&amp;VALUE(TRIM(MID(Entry!$D1456,FIND(":",Entry!$D1456)+1,2))),2),"نامعتبر")),IF(OR($E1456="",$E1456="نامعتبر"),"","00:00"))</f>
        <v/>
      </c>
      <c r="G1456">
        <f>IF(OR($E1456="",$E1456="نامعتبر"),"",IF(Entry!$E1456="","",LEFT(UPPER(TRIM(Entry!$E1456)),6)))</f>
        <v/>
      </c>
      <c r="H1456">
        <f>IF($G1456="","",RIGHT($E1456,4)&amp;MID($E1456,6,2)&amp;RIGHT($E1456,2)&amp;IF($F1456="","0000",IF($F1456="نامعتبر","9999",LEFT($F1456,2)&amp;RIGHT($F1456,2)))&amp;"|"&amp;RIGHT("00000"&amp;1448,5))</f>
        <v/>
      </c>
      <c r="I1456">
        <f>IF($H1456="","",COUNTIFS(CalcBank,$G1456,CalcKey,"&lt;"&amp;$H1456)+1)</f>
        <v/>
      </c>
      <c r="J1456">
        <f>IF($I1456="","",$G1456&amp;"|"&amp;RIGHT("000000"&amp;$I1456,6))</f>
        <v/>
      </c>
      <c r="K1456">
        <f>IF(OR($E1456="",$E1456="نامعتبر"),"",LEFT($E1456,4)&amp;"/"&amp;MID($E1456,6,2))</f>
        <v/>
      </c>
      <c r="L1456">
        <f>IF(Entry!$K1456="",0,Entry!$K1456)</f>
        <v/>
      </c>
      <c r="M1456">
        <f>IF(Entry!$L1456="",0,Entry!$L1456)</f>
        <v/>
      </c>
    </row>
    <row r="1457">
      <c r="A1457">
        <f>IF(Entry!$C1457="","",Entry!$C1457)</f>
        <v/>
      </c>
      <c r="B1457">
        <f>IF($A1457="","",IF(ISNUMBER($A1457),IF(AND($A1457&gt;=10000101,$A1457&lt;=99991231),INT($A1457/10000),""),IFERROR(VALUE(TRIM(LEFT($A1457,FIND("/",$A1457)-1))),"")))</f>
        <v/>
      </c>
      <c r="C1457">
        <f>IF(OR($A1457="",$B1457=""),"",IF(ISNUMBER($A1457),INT(MOD($A1457,10000)/100),IFERROR(VALUE(TRIM(LEFT(MID($A1457,FIND("/",$A1457)+1,20),FIND("/",MID($A1457,FIND("/",$A1457)+1,20))-1))),"")))</f>
        <v/>
      </c>
      <c r="D1457">
        <f>IF(OR($A1457="",$B1457=""),"",IF(ISNUMBER($A1457),MOD($A1457,100),IFERROR(VALUE(TRIM(MID(MID($A1457,FIND("/",$A1457)+1,20),FIND("/",MID($A1457,FIND("/",$A1457)+1,20))+1,20))),"")))</f>
        <v/>
      </c>
      <c r="E1457">
        <f>IF($A1457="","",IF(OR($B1457="",$C1457="",$D1457="",$B1457&lt;1300,$B1457&gt;1500,$C1457&lt;1,$C1457&gt;12,$D1457&lt;1,$D1457&gt;31),"نامعتبر",RIGHT("0000"&amp;$B1457,4)&amp;"/"&amp;RIGHT("00"&amp;$C1457,2)&amp;"/"&amp;RIGHT("00"&amp;$D1457,2)))</f>
        <v/>
      </c>
      <c r="F1457">
        <f>IF(Entry!$D1457&lt;&gt;"",IF(AND(ISNUMBER(Entry!$D1457),Entry!$D1457&gt;=0,Entry!$D1457&lt;1),RIGHT("00"&amp;HOUR(Entry!$D1457),2)&amp;":"&amp;RIGHT("00"&amp;MINUTE(Entry!$D1457),2),IFERROR(RIGHT("00"&amp;VALUE(TRIM(LEFT(Entry!$D1457,FIND(":",Entry!$D1457)-1))),2)&amp;":"&amp;RIGHT("00"&amp;VALUE(TRIM(MID(Entry!$D1457,FIND(":",Entry!$D1457)+1,2))),2),"نامعتبر")),IF(OR($E1457="",$E1457="نامعتبر"),"","00:00"))</f>
        <v/>
      </c>
      <c r="G1457">
        <f>IF(OR($E1457="",$E1457="نامعتبر"),"",IF(Entry!$E1457="","",LEFT(UPPER(TRIM(Entry!$E1457)),6)))</f>
        <v/>
      </c>
      <c r="H1457">
        <f>IF($G1457="","",RIGHT($E1457,4)&amp;MID($E1457,6,2)&amp;RIGHT($E1457,2)&amp;IF($F1457="","0000",IF($F1457="نامعتبر","9999",LEFT($F1457,2)&amp;RIGHT($F1457,2)))&amp;"|"&amp;RIGHT("00000"&amp;1449,5))</f>
        <v/>
      </c>
      <c r="I1457">
        <f>IF($H1457="","",COUNTIFS(CalcBank,$G1457,CalcKey,"&lt;"&amp;$H1457)+1)</f>
        <v/>
      </c>
      <c r="J1457">
        <f>IF($I1457="","",$G1457&amp;"|"&amp;RIGHT("000000"&amp;$I1457,6))</f>
        <v/>
      </c>
      <c r="K1457">
        <f>IF(OR($E1457="",$E1457="نامعتبر"),"",LEFT($E1457,4)&amp;"/"&amp;MID($E1457,6,2))</f>
        <v/>
      </c>
      <c r="L1457">
        <f>IF(Entry!$K1457="",0,Entry!$K1457)</f>
        <v/>
      </c>
      <c r="M1457">
        <f>IF(Entry!$L1457="",0,Entry!$L1457)</f>
        <v/>
      </c>
    </row>
    <row r="1458">
      <c r="A1458">
        <f>IF(Entry!$C1458="","",Entry!$C1458)</f>
        <v/>
      </c>
      <c r="B1458">
        <f>IF($A1458="","",IF(ISNUMBER($A1458),IF(AND($A1458&gt;=10000101,$A1458&lt;=99991231),INT($A1458/10000),""),IFERROR(VALUE(TRIM(LEFT($A1458,FIND("/",$A1458)-1))),"")))</f>
        <v/>
      </c>
      <c r="C1458">
        <f>IF(OR($A1458="",$B1458=""),"",IF(ISNUMBER($A1458),INT(MOD($A1458,10000)/100),IFERROR(VALUE(TRIM(LEFT(MID($A1458,FIND("/",$A1458)+1,20),FIND("/",MID($A1458,FIND("/",$A1458)+1,20))-1))),"")))</f>
        <v/>
      </c>
      <c r="D1458">
        <f>IF(OR($A1458="",$B1458=""),"",IF(ISNUMBER($A1458),MOD($A1458,100),IFERROR(VALUE(TRIM(MID(MID($A1458,FIND("/",$A1458)+1,20),FIND("/",MID($A1458,FIND("/",$A1458)+1,20))+1,20))),"")))</f>
        <v/>
      </c>
      <c r="E1458">
        <f>IF($A1458="","",IF(OR($B1458="",$C1458="",$D1458="",$B1458&lt;1300,$B1458&gt;1500,$C1458&lt;1,$C1458&gt;12,$D1458&lt;1,$D1458&gt;31),"نامعتبر",RIGHT("0000"&amp;$B1458,4)&amp;"/"&amp;RIGHT("00"&amp;$C1458,2)&amp;"/"&amp;RIGHT("00"&amp;$D1458,2)))</f>
        <v/>
      </c>
      <c r="F1458">
        <f>IF(Entry!$D1458&lt;&gt;"",IF(AND(ISNUMBER(Entry!$D1458),Entry!$D1458&gt;=0,Entry!$D1458&lt;1),RIGHT("00"&amp;HOUR(Entry!$D1458),2)&amp;":"&amp;RIGHT("00"&amp;MINUTE(Entry!$D1458),2),IFERROR(RIGHT("00"&amp;VALUE(TRIM(LEFT(Entry!$D1458,FIND(":",Entry!$D1458)-1))),2)&amp;":"&amp;RIGHT("00"&amp;VALUE(TRIM(MID(Entry!$D1458,FIND(":",Entry!$D1458)+1,2))),2),"نامعتبر")),IF(OR($E1458="",$E1458="نامعتبر"),"","00:00"))</f>
        <v/>
      </c>
      <c r="G1458">
        <f>IF(OR($E1458="",$E1458="نامعتبر"),"",IF(Entry!$E1458="","",LEFT(UPPER(TRIM(Entry!$E1458)),6)))</f>
        <v/>
      </c>
      <c r="H1458">
        <f>IF($G1458="","",RIGHT($E1458,4)&amp;MID($E1458,6,2)&amp;RIGHT($E1458,2)&amp;IF($F1458="","0000",IF($F1458="نامعتبر","9999",LEFT($F1458,2)&amp;RIGHT($F1458,2)))&amp;"|"&amp;RIGHT("00000"&amp;1450,5))</f>
        <v/>
      </c>
      <c r="I1458">
        <f>IF($H1458="","",COUNTIFS(CalcBank,$G1458,CalcKey,"&lt;"&amp;$H1458)+1)</f>
        <v/>
      </c>
      <c r="J1458">
        <f>IF($I1458="","",$G1458&amp;"|"&amp;RIGHT("000000"&amp;$I1458,6))</f>
        <v/>
      </c>
      <c r="K1458">
        <f>IF(OR($E1458="",$E1458="نامعتبر"),"",LEFT($E1458,4)&amp;"/"&amp;MID($E1458,6,2))</f>
        <v/>
      </c>
      <c r="L1458">
        <f>IF(Entry!$K1458="",0,Entry!$K1458)</f>
        <v/>
      </c>
      <c r="M1458">
        <f>IF(Entry!$L1458="",0,Entry!$L1458)</f>
        <v/>
      </c>
    </row>
    <row r="1459">
      <c r="A1459">
        <f>IF(Entry!$C1459="","",Entry!$C1459)</f>
        <v/>
      </c>
      <c r="B1459">
        <f>IF($A1459="","",IF(ISNUMBER($A1459),IF(AND($A1459&gt;=10000101,$A1459&lt;=99991231),INT($A1459/10000),""),IFERROR(VALUE(TRIM(LEFT($A1459,FIND("/",$A1459)-1))),"")))</f>
        <v/>
      </c>
      <c r="C1459">
        <f>IF(OR($A1459="",$B1459=""),"",IF(ISNUMBER($A1459),INT(MOD($A1459,10000)/100),IFERROR(VALUE(TRIM(LEFT(MID($A1459,FIND("/",$A1459)+1,20),FIND("/",MID($A1459,FIND("/",$A1459)+1,20))-1))),"")))</f>
        <v/>
      </c>
      <c r="D1459">
        <f>IF(OR($A1459="",$B1459=""),"",IF(ISNUMBER($A1459),MOD($A1459,100),IFERROR(VALUE(TRIM(MID(MID($A1459,FIND("/",$A1459)+1,20),FIND("/",MID($A1459,FIND("/",$A1459)+1,20))+1,20))),"")))</f>
        <v/>
      </c>
      <c r="E1459">
        <f>IF($A1459="","",IF(OR($B1459="",$C1459="",$D1459="",$B1459&lt;1300,$B1459&gt;1500,$C1459&lt;1,$C1459&gt;12,$D1459&lt;1,$D1459&gt;31),"نامعتبر",RIGHT("0000"&amp;$B1459,4)&amp;"/"&amp;RIGHT("00"&amp;$C1459,2)&amp;"/"&amp;RIGHT("00"&amp;$D1459,2)))</f>
        <v/>
      </c>
      <c r="F1459">
        <f>IF(Entry!$D1459&lt;&gt;"",IF(AND(ISNUMBER(Entry!$D1459),Entry!$D1459&gt;=0,Entry!$D1459&lt;1),RIGHT("00"&amp;HOUR(Entry!$D1459),2)&amp;":"&amp;RIGHT("00"&amp;MINUTE(Entry!$D1459),2),IFERROR(RIGHT("00"&amp;VALUE(TRIM(LEFT(Entry!$D1459,FIND(":",Entry!$D1459)-1))),2)&amp;":"&amp;RIGHT("00"&amp;VALUE(TRIM(MID(Entry!$D1459,FIND(":",Entry!$D1459)+1,2))),2),"نامعتبر")),IF(OR($E1459="",$E1459="نامعتبر"),"","00:00"))</f>
        <v/>
      </c>
      <c r="G1459">
        <f>IF(OR($E1459="",$E1459="نامعتبر"),"",IF(Entry!$E1459="","",LEFT(UPPER(TRIM(Entry!$E1459)),6)))</f>
        <v/>
      </c>
      <c r="H1459">
        <f>IF($G1459="","",RIGHT($E1459,4)&amp;MID($E1459,6,2)&amp;RIGHT($E1459,2)&amp;IF($F1459="","0000",IF($F1459="نامعتبر","9999",LEFT($F1459,2)&amp;RIGHT($F1459,2)))&amp;"|"&amp;RIGHT("00000"&amp;1451,5))</f>
        <v/>
      </c>
      <c r="I1459">
        <f>IF($H1459="","",COUNTIFS(CalcBank,$G1459,CalcKey,"&lt;"&amp;$H1459)+1)</f>
        <v/>
      </c>
      <c r="J1459">
        <f>IF($I1459="","",$G1459&amp;"|"&amp;RIGHT("000000"&amp;$I1459,6))</f>
        <v/>
      </c>
      <c r="K1459">
        <f>IF(OR($E1459="",$E1459="نامعتبر"),"",LEFT($E1459,4)&amp;"/"&amp;MID($E1459,6,2))</f>
        <v/>
      </c>
      <c r="L1459">
        <f>IF(Entry!$K1459="",0,Entry!$K1459)</f>
        <v/>
      </c>
      <c r="M1459">
        <f>IF(Entry!$L1459="",0,Entry!$L1459)</f>
        <v/>
      </c>
    </row>
    <row r="1460">
      <c r="A1460">
        <f>IF(Entry!$C1460="","",Entry!$C1460)</f>
        <v/>
      </c>
      <c r="B1460">
        <f>IF($A1460="","",IF(ISNUMBER($A1460),IF(AND($A1460&gt;=10000101,$A1460&lt;=99991231),INT($A1460/10000),""),IFERROR(VALUE(TRIM(LEFT($A1460,FIND("/",$A1460)-1))),"")))</f>
        <v/>
      </c>
      <c r="C1460">
        <f>IF(OR($A1460="",$B1460=""),"",IF(ISNUMBER($A1460),INT(MOD($A1460,10000)/100),IFERROR(VALUE(TRIM(LEFT(MID($A1460,FIND("/",$A1460)+1,20),FIND("/",MID($A1460,FIND("/",$A1460)+1,20))-1))),"")))</f>
        <v/>
      </c>
      <c r="D1460">
        <f>IF(OR($A1460="",$B1460=""),"",IF(ISNUMBER($A1460),MOD($A1460,100),IFERROR(VALUE(TRIM(MID(MID($A1460,FIND("/",$A1460)+1,20),FIND("/",MID($A1460,FIND("/",$A1460)+1,20))+1,20))),"")))</f>
        <v/>
      </c>
      <c r="E1460">
        <f>IF($A1460="","",IF(OR($B1460="",$C1460="",$D1460="",$B1460&lt;1300,$B1460&gt;1500,$C1460&lt;1,$C1460&gt;12,$D1460&lt;1,$D1460&gt;31),"نامعتبر",RIGHT("0000"&amp;$B1460,4)&amp;"/"&amp;RIGHT("00"&amp;$C1460,2)&amp;"/"&amp;RIGHT("00"&amp;$D1460,2)))</f>
        <v/>
      </c>
      <c r="F1460">
        <f>IF(Entry!$D1460&lt;&gt;"",IF(AND(ISNUMBER(Entry!$D1460),Entry!$D1460&gt;=0,Entry!$D1460&lt;1),RIGHT("00"&amp;HOUR(Entry!$D1460),2)&amp;":"&amp;RIGHT("00"&amp;MINUTE(Entry!$D1460),2),IFERROR(RIGHT("00"&amp;VALUE(TRIM(LEFT(Entry!$D1460,FIND(":",Entry!$D1460)-1))),2)&amp;":"&amp;RIGHT("00"&amp;VALUE(TRIM(MID(Entry!$D1460,FIND(":",Entry!$D1460)+1,2))),2),"نامعتبر")),IF(OR($E1460="",$E1460="نامعتبر"),"","00:00"))</f>
        <v/>
      </c>
      <c r="G1460">
        <f>IF(OR($E1460="",$E1460="نامعتبر"),"",IF(Entry!$E1460="","",LEFT(UPPER(TRIM(Entry!$E1460)),6)))</f>
        <v/>
      </c>
      <c r="H1460">
        <f>IF($G1460="","",RIGHT($E1460,4)&amp;MID($E1460,6,2)&amp;RIGHT($E1460,2)&amp;IF($F1460="","0000",IF($F1460="نامعتبر","9999",LEFT($F1460,2)&amp;RIGHT($F1460,2)))&amp;"|"&amp;RIGHT("00000"&amp;1452,5))</f>
        <v/>
      </c>
      <c r="I1460">
        <f>IF($H1460="","",COUNTIFS(CalcBank,$G1460,CalcKey,"&lt;"&amp;$H1460)+1)</f>
        <v/>
      </c>
      <c r="J1460">
        <f>IF($I1460="","",$G1460&amp;"|"&amp;RIGHT("000000"&amp;$I1460,6))</f>
        <v/>
      </c>
      <c r="K1460">
        <f>IF(OR($E1460="",$E1460="نامعتبر"),"",LEFT($E1460,4)&amp;"/"&amp;MID($E1460,6,2))</f>
        <v/>
      </c>
      <c r="L1460">
        <f>IF(Entry!$K1460="",0,Entry!$K1460)</f>
        <v/>
      </c>
      <c r="M1460">
        <f>IF(Entry!$L1460="",0,Entry!$L1460)</f>
        <v/>
      </c>
    </row>
    <row r="1461">
      <c r="A1461">
        <f>IF(Entry!$C1461="","",Entry!$C1461)</f>
        <v/>
      </c>
      <c r="B1461">
        <f>IF($A1461="","",IF(ISNUMBER($A1461),IF(AND($A1461&gt;=10000101,$A1461&lt;=99991231),INT($A1461/10000),""),IFERROR(VALUE(TRIM(LEFT($A1461,FIND("/",$A1461)-1))),"")))</f>
        <v/>
      </c>
      <c r="C1461">
        <f>IF(OR($A1461="",$B1461=""),"",IF(ISNUMBER($A1461),INT(MOD($A1461,10000)/100),IFERROR(VALUE(TRIM(LEFT(MID($A1461,FIND("/",$A1461)+1,20),FIND("/",MID($A1461,FIND("/",$A1461)+1,20))-1))),"")))</f>
        <v/>
      </c>
      <c r="D1461">
        <f>IF(OR($A1461="",$B1461=""),"",IF(ISNUMBER($A1461),MOD($A1461,100),IFERROR(VALUE(TRIM(MID(MID($A1461,FIND("/",$A1461)+1,20),FIND("/",MID($A1461,FIND("/",$A1461)+1,20))+1,20))),"")))</f>
        <v/>
      </c>
      <c r="E1461">
        <f>IF($A1461="","",IF(OR($B1461="",$C1461="",$D1461="",$B1461&lt;1300,$B1461&gt;1500,$C1461&lt;1,$C1461&gt;12,$D1461&lt;1,$D1461&gt;31),"نامعتبر",RIGHT("0000"&amp;$B1461,4)&amp;"/"&amp;RIGHT("00"&amp;$C1461,2)&amp;"/"&amp;RIGHT("00"&amp;$D1461,2)))</f>
        <v/>
      </c>
      <c r="F1461">
        <f>IF(Entry!$D1461&lt;&gt;"",IF(AND(ISNUMBER(Entry!$D1461),Entry!$D1461&gt;=0,Entry!$D1461&lt;1),RIGHT("00"&amp;HOUR(Entry!$D1461),2)&amp;":"&amp;RIGHT("00"&amp;MINUTE(Entry!$D1461),2),IFERROR(RIGHT("00"&amp;VALUE(TRIM(LEFT(Entry!$D1461,FIND(":",Entry!$D1461)-1))),2)&amp;":"&amp;RIGHT("00"&amp;VALUE(TRIM(MID(Entry!$D1461,FIND(":",Entry!$D1461)+1,2))),2),"نامعتبر")),IF(OR($E1461="",$E1461="نامعتبر"),"","00:00"))</f>
        <v/>
      </c>
      <c r="G1461">
        <f>IF(OR($E1461="",$E1461="نامعتبر"),"",IF(Entry!$E1461="","",LEFT(UPPER(TRIM(Entry!$E1461)),6)))</f>
        <v/>
      </c>
      <c r="H1461">
        <f>IF($G1461="","",RIGHT($E1461,4)&amp;MID($E1461,6,2)&amp;RIGHT($E1461,2)&amp;IF($F1461="","0000",IF($F1461="نامعتبر","9999",LEFT($F1461,2)&amp;RIGHT($F1461,2)))&amp;"|"&amp;RIGHT("00000"&amp;1453,5))</f>
        <v/>
      </c>
      <c r="I1461">
        <f>IF($H1461="","",COUNTIFS(CalcBank,$G1461,CalcKey,"&lt;"&amp;$H1461)+1)</f>
        <v/>
      </c>
      <c r="J1461">
        <f>IF($I1461="","",$G1461&amp;"|"&amp;RIGHT("000000"&amp;$I1461,6))</f>
        <v/>
      </c>
      <c r="K1461">
        <f>IF(OR($E1461="",$E1461="نامعتبر"),"",LEFT($E1461,4)&amp;"/"&amp;MID($E1461,6,2))</f>
        <v/>
      </c>
      <c r="L1461">
        <f>IF(Entry!$K1461="",0,Entry!$K1461)</f>
        <v/>
      </c>
      <c r="M1461">
        <f>IF(Entry!$L1461="",0,Entry!$L1461)</f>
        <v/>
      </c>
    </row>
    <row r="1462">
      <c r="A1462">
        <f>IF(Entry!$C1462="","",Entry!$C1462)</f>
        <v/>
      </c>
      <c r="B1462">
        <f>IF($A1462="","",IF(ISNUMBER($A1462),IF(AND($A1462&gt;=10000101,$A1462&lt;=99991231),INT($A1462/10000),""),IFERROR(VALUE(TRIM(LEFT($A1462,FIND("/",$A1462)-1))),"")))</f>
        <v/>
      </c>
      <c r="C1462">
        <f>IF(OR($A1462="",$B1462=""),"",IF(ISNUMBER($A1462),INT(MOD($A1462,10000)/100),IFERROR(VALUE(TRIM(LEFT(MID($A1462,FIND("/",$A1462)+1,20),FIND("/",MID($A1462,FIND("/",$A1462)+1,20))-1))),"")))</f>
        <v/>
      </c>
      <c r="D1462">
        <f>IF(OR($A1462="",$B1462=""),"",IF(ISNUMBER($A1462),MOD($A1462,100),IFERROR(VALUE(TRIM(MID(MID($A1462,FIND("/",$A1462)+1,20),FIND("/",MID($A1462,FIND("/",$A1462)+1,20))+1,20))),"")))</f>
        <v/>
      </c>
      <c r="E1462">
        <f>IF($A1462="","",IF(OR($B1462="",$C1462="",$D1462="",$B1462&lt;1300,$B1462&gt;1500,$C1462&lt;1,$C1462&gt;12,$D1462&lt;1,$D1462&gt;31),"نامعتبر",RIGHT("0000"&amp;$B1462,4)&amp;"/"&amp;RIGHT("00"&amp;$C1462,2)&amp;"/"&amp;RIGHT("00"&amp;$D1462,2)))</f>
        <v/>
      </c>
      <c r="F1462">
        <f>IF(Entry!$D1462&lt;&gt;"",IF(AND(ISNUMBER(Entry!$D1462),Entry!$D1462&gt;=0,Entry!$D1462&lt;1),RIGHT("00"&amp;HOUR(Entry!$D1462),2)&amp;":"&amp;RIGHT("00"&amp;MINUTE(Entry!$D1462),2),IFERROR(RIGHT("00"&amp;VALUE(TRIM(LEFT(Entry!$D1462,FIND(":",Entry!$D1462)-1))),2)&amp;":"&amp;RIGHT("00"&amp;VALUE(TRIM(MID(Entry!$D1462,FIND(":",Entry!$D1462)+1,2))),2),"نامعتبر")),IF(OR($E1462="",$E1462="نامعتبر"),"","00:00"))</f>
        <v/>
      </c>
      <c r="G1462">
        <f>IF(OR($E1462="",$E1462="نامعتبر"),"",IF(Entry!$E1462="","",LEFT(UPPER(TRIM(Entry!$E1462)),6)))</f>
        <v/>
      </c>
      <c r="H1462">
        <f>IF($G1462="","",RIGHT($E1462,4)&amp;MID($E1462,6,2)&amp;RIGHT($E1462,2)&amp;IF($F1462="","0000",IF($F1462="نامعتبر","9999",LEFT($F1462,2)&amp;RIGHT($F1462,2)))&amp;"|"&amp;RIGHT("00000"&amp;1454,5))</f>
        <v/>
      </c>
      <c r="I1462">
        <f>IF($H1462="","",COUNTIFS(CalcBank,$G1462,CalcKey,"&lt;"&amp;$H1462)+1)</f>
        <v/>
      </c>
      <c r="J1462">
        <f>IF($I1462="","",$G1462&amp;"|"&amp;RIGHT("000000"&amp;$I1462,6))</f>
        <v/>
      </c>
      <c r="K1462">
        <f>IF(OR($E1462="",$E1462="نامعتبر"),"",LEFT($E1462,4)&amp;"/"&amp;MID($E1462,6,2))</f>
        <v/>
      </c>
      <c r="L1462">
        <f>IF(Entry!$K1462="",0,Entry!$K1462)</f>
        <v/>
      </c>
      <c r="M1462">
        <f>IF(Entry!$L1462="",0,Entry!$L1462)</f>
        <v/>
      </c>
    </row>
    <row r="1463">
      <c r="A1463">
        <f>IF(Entry!$C1463="","",Entry!$C1463)</f>
        <v/>
      </c>
      <c r="B1463">
        <f>IF($A1463="","",IF(ISNUMBER($A1463),IF(AND($A1463&gt;=10000101,$A1463&lt;=99991231),INT($A1463/10000),""),IFERROR(VALUE(TRIM(LEFT($A1463,FIND("/",$A1463)-1))),"")))</f>
        <v/>
      </c>
      <c r="C1463">
        <f>IF(OR($A1463="",$B1463=""),"",IF(ISNUMBER($A1463),INT(MOD($A1463,10000)/100),IFERROR(VALUE(TRIM(LEFT(MID($A1463,FIND("/",$A1463)+1,20),FIND("/",MID($A1463,FIND("/",$A1463)+1,20))-1))),"")))</f>
        <v/>
      </c>
      <c r="D1463">
        <f>IF(OR($A1463="",$B1463=""),"",IF(ISNUMBER($A1463),MOD($A1463,100),IFERROR(VALUE(TRIM(MID(MID($A1463,FIND("/",$A1463)+1,20),FIND("/",MID($A1463,FIND("/",$A1463)+1,20))+1,20))),"")))</f>
        <v/>
      </c>
      <c r="E1463">
        <f>IF($A1463="","",IF(OR($B1463="",$C1463="",$D1463="",$B1463&lt;1300,$B1463&gt;1500,$C1463&lt;1,$C1463&gt;12,$D1463&lt;1,$D1463&gt;31),"نامعتبر",RIGHT("0000"&amp;$B1463,4)&amp;"/"&amp;RIGHT("00"&amp;$C1463,2)&amp;"/"&amp;RIGHT("00"&amp;$D1463,2)))</f>
        <v/>
      </c>
      <c r="F1463">
        <f>IF(Entry!$D1463&lt;&gt;"",IF(AND(ISNUMBER(Entry!$D1463),Entry!$D1463&gt;=0,Entry!$D1463&lt;1),RIGHT("00"&amp;HOUR(Entry!$D1463),2)&amp;":"&amp;RIGHT("00"&amp;MINUTE(Entry!$D1463),2),IFERROR(RIGHT("00"&amp;VALUE(TRIM(LEFT(Entry!$D1463,FIND(":",Entry!$D1463)-1))),2)&amp;":"&amp;RIGHT("00"&amp;VALUE(TRIM(MID(Entry!$D1463,FIND(":",Entry!$D1463)+1,2))),2),"نامعتبر")),IF(OR($E1463="",$E1463="نامعتبر"),"","00:00"))</f>
        <v/>
      </c>
      <c r="G1463">
        <f>IF(OR($E1463="",$E1463="نامعتبر"),"",IF(Entry!$E1463="","",LEFT(UPPER(TRIM(Entry!$E1463)),6)))</f>
        <v/>
      </c>
      <c r="H1463">
        <f>IF($G1463="","",RIGHT($E1463,4)&amp;MID($E1463,6,2)&amp;RIGHT($E1463,2)&amp;IF($F1463="","0000",IF($F1463="نامعتبر","9999",LEFT($F1463,2)&amp;RIGHT($F1463,2)))&amp;"|"&amp;RIGHT("00000"&amp;1455,5))</f>
        <v/>
      </c>
      <c r="I1463">
        <f>IF($H1463="","",COUNTIFS(CalcBank,$G1463,CalcKey,"&lt;"&amp;$H1463)+1)</f>
        <v/>
      </c>
      <c r="J1463">
        <f>IF($I1463="","",$G1463&amp;"|"&amp;RIGHT("000000"&amp;$I1463,6))</f>
        <v/>
      </c>
      <c r="K1463">
        <f>IF(OR($E1463="",$E1463="نامعتبر"),"",LEFT($E1463,4)&amp;"/"&amp;MID($E1463,6,2))</f>
        <v/>
      </c>
      <c r="L1463">
        <f>IF(Entry!$K1463="",0,Entry!$K1463)</f>
        <v/>
      </c>
      <c r="M1463">
        <f>IF(Entry!$L1463="",0,Entry!$L1463)</f>
        <v/>
      </c>
    </row>
    <row r="1464">
      <c r="A1464">
        <f>IF(Entry!$C1464="","",Entry!$C1464)</f>
        <v/>
      </c>
      <c r="B1464">
        <f>IF($A1464="","",IF(ISNUMBER($A1464),IF(AND($A1464&gt;=10000101,$A1464&lt;=99991231),INT($A1464/10000),""),IFERROR(VALUE(TRIM(LEFT($A1464,FIND("/",$A1464)-1))),"")))</f>
        <v/>
      </c>
      <c r="C1464">
        <f>IF(OR($A1464="",$B1464=""),"",IF(ISNUMBER($A1464),INT(MOD($A1464,10000)/100),IFERROR(VALUE(TRIM(LEFT(MID($A1464,FIND("/",$A1464)+1,20),FIND("/",MID($A1464,FIND("/",$A1464)+1,20))-1))),"")))</f>
        <v/>
      </c>
      <c r="D1464">
        <f>IF(OR($A1464="",$B1464=""),"",IF(ISNUMBER($A1464),MOD($A1464,100),IFERROR(VALUE(TRIM(MID(MID($A1464,FIND("/",$A1464)+1,20),FIND("/",MID($A1464,FIND("/",$A1464)+1,20))+1,20))),"")))</f>
        <v/>
      </c>
      <c r="E1464">
        <f>IF($A1464="","",IF(OR($B1464="",$C1464="",$D1464="",$B1464&lt;1300,$B1464&gt;1500,$C1464&lt;1,$C1464&gt;12,$D1464&lt;1,$D1464&gt;31),"نامعتبر",RIGHT("0000"&amp;$B1464,4)&amp;"/"&amp;RIGHT("00"&amp;$C1464,2)&amp;"/"&amp;RIGHT("00"&amp;$D1464,2)))</f>
        <v/>
      </c>
      <c r="F1464">
        <f>IF(Entry!$D1464&lt;&gt;"",IF(AND(ISNUMBER(Entry!$D1464),Entry!$D1464&gt;=0,Entry!$D1464&lt;1),RIGHT("00"&amp;HOUR(Entry!$D1464),2)&amp;":"&amp;RIGHT("00"&amp;MINUTE(Entry!$D1464),2),IFERROR(RIGHT("00"&amp;VALUE(TRIM(LEFT(Entry!$D1464,FIND(":",Entry!$D1464)-1))),2)&amp;":"&amp;RIGHT("00"&amp;VALUE(TRIM(MID(Entry!$D1464,FIND(":",Entry!$D1464)+1,2))),2),"نامعتبر")),IF(OR($E1464="",$E1464="نامعتبر"),"","00:00"))</f>
        <v/>
      </c>
      <c r="G1464">
        <f>IF(OR($E1464="",$E1464="نامعتبر"),"",IF(Entry!$E1464="","",LEFT(UPPER(TRIM(Entry!$E1464)),6)))</f>
        <v/>
      </c>
      <c r="H1464">
        <f>IF($G1464="","",RIGHT($E1464,4)&amp;MID($E1464,6,2)&amp;RIGHT($E1464,2)&amp;IF($F1464="","0000",IF($F1464="نامعتبر","9999",LEFT($F1464,2)&amp;RIGHT($F1464,2)))&amp;"|"&amp;RIGHT("00000"&amp;1456,5))</f>
        <v/>
      </c>
      <c r="I1464">
        <f>IF($H1464="","",COUNTIFS(CalcBank,$G1464,CalcKey,"&lt;"&amp;$H1464)+1)</f>
        <v/>
      </c>
      <c r="J1464">
        <f>IF($I1464="","",$G1464&amp;"|"&amp;RIGHT("000000"&amp;$I1464,6))</f>
        <v/>
      </c>
      <c r="K1464">
        <f>IF(OR($E1464="",$E1464="نامعتبر"),"",LEFT($E1464,4)&amp;"/"&amp;MID($E1464,6,2))</f>
        <v/>
      </c>
      <c r="L1464">
        <f>IF(Entry!$K1464="",0,Entry!$K1464)</f>
        <v/>
      </c>
      <c r="M1464">
        <f>IF(Entry!$L1464="",0,Entry!$L1464)</f>
        <v/>
      </c>
    </row>
    <row r="1465">
      <c r="A1465">
        <f>IF(Entry!$C1465="","",Entry!$C1465)</f>
        <v/>
      </c>
      <c r="B1465">
        <f>IF($A1465="","",IF(ISNUMBER($A1465),IF(AND($A1465&gt;=10000101,$A1465&lt;=99991231),INT($A1465/10000),""),IFERROR(VALUE(TRIM(LEFT($A1465,FIND("/",$A1465)-1))),"")))</f>
        <v/>
      </c>
      <c r="C1465">
        <f>IF(OR($A1465="",$B1465=""),"",IF(ISNUMBER($A1465),INT(MOD($A1465,10000)/100),IFERROR(VALUE(TRIM(LEFT(MID($A1465,FIND("/",$A1465)+1,20),FIND("/",MID($A1465,FIND("/",$A1465)+1,20))-1))),"")))</f>
        <v/>
      </c>
      <c r="D1465">
        <f>IF(OR($A1465="",$B1465=""),"",IF(ISNUMBER($A1465),MOD($A1465,100),IFERROR(VALUE(TRIM(MID(MID($A1465,FIND("/",$A1465)+1,20),FIND("/",MID($A1465,FIND("/",$A1465)+1,20))+1,20))),"")))</f>
        <v/>
      </c>
      <c r="E1465">
        <f>IF($A1465="","",IF(OR($B1465="",$C1465="",$D1465="",$B1465&lt;1300,$B1465&gt;1500,$C1465&lt;1,$C1465&gt;12,$D1465&lt;1,$D1465&gt;31),"نامعتبر",RIGHT("0000"&amp;$B1465,4)&amp;"/"&amp;RIGHT("00"&amp;$C1465,2)&amp;"/"&amp;RIGHT("00"&amp;$D1465,2)))</f>
        <v/>
      </c>
      <c r="F1465">
        <f>IF(Entry!$D1465&lt;&gt;"",IF(AND(ISNUMBER(Entry!$D1465),Entry!$D1465&gt;=0,Entry!$D1465&lt;1),RIGHT("00"&amp;HOUR(Entry!$D1465),2)&amp;":"&amp;RIGHT("00"&amp;MINUTE(Entry!$D1465),2),IFERROR(RIGHT("00"&amp;VALUE(TRIM(LEFT(Entry!$D1465,FIND(":",Entry!$D1465)-1))),2)&amp;":"&amp;RIGHT("00"&amp;VALUE(TRIM(MID(Entry!$D1465,FIND(":",Entry!$D1465)+1,2))),2),"نامعتبر")),IF(OR($E1465="",$E1465="نامعتبر"),"","00:00"))</f>
        <v/>
      </c>
      <c r="G1465">
        <f>IF(OR($E1465="",$E1465="نامعتبر"),"",IF(Entry!$E1465="","",LEFT(UPPER(TRIM(Entry!$E1465)),6)))</f>
        <v/>
      </c>
      <c r="H1465">
        <f>IF($G1465="","",RIGHT($E1465,4)&amp;MID($E1465,6,2)&amp;RIGHT($E1465,2)&amp;IF($F1465="","0000",IF($F1465="نامعتبر","9999",LEFT($F1465,2)&amp;RIGHT($F1465,2)))&amp;"|"&amp;RIGHT("00000"&amp;1457,5))</f>
        <v/>
      </c>
      <c r="I1465">
        <f>IF($H1465="","",COUNTIFS(CalcBank,$G1465,CalcKey,"&lt;"&amp;$H1465)+1)</f>
        <v/>
      </c>
      <c r="J1465">
        <f>IF($I1465="","",$G1465&amp;"|"&amp;RIGHT("000000"&amp;$I1465,6))</f>
        <v/>
      </c>
      <c r="K1465">
        <f>IF(OR($E1465="",$E1465="نامعتبر"),"",LEFT($E1465,4)&amp;"/"&amp;MID($E1465,6,2))</f>
        <v/>
      </c>
      <c r="L1465">
        <f>IF(Entry!$K1465="",0,Entry!$K1465)</f>
        <v/>
      </c>
      <c r="M1465">
        <f>IF(Entry!$L1465="",0,Entry!$L1465)</f>
        <v/>
      </c>
    </row>
    <row r="1466">
      <c r="A1466">
        <f>IF(Entry!$C1466="","",Entry!$C1466)</f>
        <v/>
      </c>
      <c r="B1466">
        <f>IF($A1466="","",IF(ISNUMBER($A1466),IF(AND($A1466&gt;=10000101,$A1466&lt;=99991231),INT($A1466/10000),""),IFERROR(VALUE(TRIM(LEFT($A1466,FIND("/",$A1466)-1))),"")))</f>
        <v/>
      </c>
      <c r="C1466">
        <f>IF(OR($A1466="",$B1466=""),"",IF(ISNUMBER($A1466),INT(MOD($A1466,10000)/100),IFERROR(VALUE(TRIM(LEFT(MID($A1466,FIND("/",$A1466)+1,20),FIND("/",MID($A1466,FIND("/",$A1466)+1,20))-1))),"")))</f>
        <v/>
      </c>
      <c r="D1466">
        <f>IF(OR($A1466="",$B1466=""),"",IF(ISNUMBER($A1466),MOD($A1466,100),IFERROR(VALUE(TRIM(MID(MID($A1466,FIND("/",$A1466)+1,20),FIND("/",MID($A1466,FIND("/",$A1466)+1,20))+1,20))),"")))</f>
        <v/>
      </c>
      <c r="E1466">
        <f>IF($A1466="","",IF(OR($B1466="",$C1466="",$D1466="",$B1466&lt;1300,$B1466&gt;1500,$C1466&lt;1,$C1466&gt;12,$D1466&lt;1,$D1466&gt;31),"نامعتبر",RIGHT("0000"&amp;$B1466,4)&amp;"/"&amp;RIGHT("00"&amp;$C1466,2)&amp;"/"&amp;RIGHT("00"&amp;$D1466,2)))</f>
        <v/>
      </c>
      <c r="F1466">
        <f>IF(Entry!$D1466&lt;&gt;"",IF(AND(ISNUMBER(Entry!$D1466),Entry!$D1466&gt;=0,Entry!$D1466&lt;1),RIGHT("00"&amp;HOUR(Entry!$D1466),2)&amp;":"&amp;RIGHT("00"&amp;MINUTE(Entry!$D1466),2),IFERROR(RIGHT("00"&amp;VALUE(TRIM(LEFT(Entry!$D1466,FIND(":",Entry!$D1466)-1))),2)&amp;":"&amp;RIGHT("00"&amp;VALUE(TRIM(MID(Entry!$D1466,FIND(":",Entry!$D1466)+1,2))),2),"نامعتبر")),IF(OR($E1466="",$E1466="نامعتبر"),"","00:00"))</f>
        <v/>
      </c>
      <c r="G1466">
        <f>IF(OR($E1466="",$E1466="نامعتبر"),"",IF(Entry!$E1466="","",LEFT(UPPER(TRIM(Entry!$E1466)),6)))</f>
        <v/>
      </c>
      <c r="H1466">
        <f>IF($G1466="","",RIGHT($E1466,4)&amp;MID($E1466,6,2)&amp;RIGHT($E1466,2)&amp;IF($F1466="","0000",IF($F1466="نامعتبر","9999",LEFT($F1466,2)&amp;RIGHT($F1466,2)))&amp;"|"&amp;RIGHT("00000"&amp;1458,5))</f>
        <v/>
      </c>
      <c r="I1466">
        <f>IF($H1466="","",COUNTIFS(CalcBank,$G1466,CalcKey,"&lt;"&amp;$H1466)+1)</f>
        <v/>
      </c>
      <c r="J1466">
        <f>IF($I1466="","",$G1466&amp;"|"&amp;RIGHT("000000"&amp;$I1466,6))</f>
        <v/>
      </c>
      <c r="K1466">
        <f>IF(OR($E1466="",$E1466="نامعتبر"),"",LEFT($E1466,4)&amp;"/"&amp;MID($E1466,6,2))</f>
        <v/>
      </c>
      <c r="L1466">
        <f>IF(Entry!$K1466="",0,Entry!$K1466)</f>
        <v/>
      </c>
      <c r="M1466">
        <f>IF(Entry!$L1466="",0,Entry!$L1466)</f>
        <v/>
      </c>
    </row>
    <row r="1467">
      <c r="A1467">
        <f>IF(Entry!$C1467="","",Entry!$C1467)</f>
        <v/>
      </c>
      <c r="B1467">
        <f>IF($A1467="","",IF(ISNUMBER($A1467),IF(AND($A1467&gt;=10000101,$A1467&lt;=99991231),INT($A1467/10000),""),IFERROR(VALUE(TRIM(LEFT($A1467,FIND("/",$A1467)-1))),"")))</f>
        <v/>
      </c>
      <c r="C1467">
        <f>IF(OR($A1467="",$B1467=""),"",IF(ISNUMBER($A1467),INT(MOD($A1467,10000)/100),IFERROR(VALUE(TRIM(LEFT(MID($A1467,FIND("/",$A1467)+1,20),FIND("/",MID($A1467,FIND("/",$A1467)+1,20))-1))),"")))</f>
        <v/>
      </c>
      <c r="D1467">
        <f>IF(OR($A1467="",$B1467=""),"",IF(ISNUMBER($A1467),MOD($A1467,100),IFERROR(VALUE(TRIM(MID(MID($A1467,FIND("/",$A1467)+1,20),FIND("/",MID($A1467,FIND("/",$A1467)+1,20))+1,20))),"")))</f>
        <v/>
      </c>
      <c r="E1467">
        <f>IF($A1467="","",IF(OR($B1467="",$C1467="",$D1467="",$B1467&lt;1300,$B1467&gt;1500,$C1467&lt;1,$C1467&gt;12,$D1467&lt;1,$D1467&gt;31),"نامعتبر",RIGHT("0000"&amp;$B1467,4)&amp;"/"&amp;RIGHT("00"&amp;$C1467,2)&amp;"/"&amp;RIGHT("00"&amp;$D1467,2)))</f>
        <v/>
      </c>
      <c r="F1467">
        <f>IF(Entry!$D1467&lt;&gt;"",IF(AND(ISNUMBER(Entry!$D1467),Entry!$D1467&gt;=0,Entry!$D1467&lt;1),RIGHT("00"&amp;HOUR(Entry!$D1467),2)&amp;":"&amp;RIGHT("00"&amp;MINUTE(Entry!$D1467),2),IFERROR(RIGHT("00"&amp;VALUE(TRIM(LEFT(Entry!$D1467,FIND(":",Entry!$D1467)-1))),2)&amp;":"&amp;RIGHT("00"&amp;VALUE(TRIM(MID(Entry!$D1467,FIND(":",Entry!$D1467)+1,2))),2),"نامعتبر")),IF(OR($E1467="",$E1467="نامعتبر"),"","00:00"))</f>
        <v/>
      </c>
      <c r="G1467">
        <f>IF(OR($E1467="",$E1467="نامعتبر"),"",IF(Entry!$E1467="","",LEFT(UPPER(TRIM(Entry!$E1467)),6)))</f>
        <v/>
      </c>
      <c r="H1467">
        <f>IF($G1467="","",RIGHT($E1467,4)&amp;MID($E1467,6,2)&amp;RIGHT($E1467,2)&amp;IF($F1467="","0000",IF($F1467="نامعتبر","9999",LEFT($F1467,2)&amp;RIGHT($F1467,2)))&amp;"|"&amp;RIGHT("00000"&amp;1459,5))</f>
        <v/>
      </c>
      <c r="I1467">
        <f>IF($H1467="","",COUNTIFS(CalcBank,$G1467,CalcKey,"&lt;"&amp;$H1467)+1)</f>
        <v/>
      </c>
      <c r="J1467">
        <f>IF($I1467="","",$G1467&amp;"|"&amp;RIGHT("000000"&amp;$I1467,6))</f>
        <v/>
      </c>
      <c r="K1467">
        <f>IF(OR($E1467="",$E1467="نامعتبر"),"",LEFT($E1467,4)&amp;"/"&amp;MID($E1467,6,2))</f>
        <v/>
      </c>
      <c r="L1467">
        <f>IF(Entry!$K1467="",0,Entry!$K1467)</f>
        <v/>
      </c>
      <c r="M1467">
        <f>IF(Entry!$L1467="",0,Entry!$L1467)</f>
        <v/>
      </c>
    </row>
    <row r="1468">
      <c r="A1468">
        <f>IF(Entry!$C1468="","",Entry!$C1468)</f>
        <v/>
      </c>
      <c r="B1468">
        <f>IF($A1468="","",IF(ISNUMBER($A1468),IF(AND($A1468&gt;=10000101,$A1468&lt;=99991231),INT($A1468/10000),""),IFERROR(VALUE(TRIM(LEFT($A1468,FIND("/",$A1468)-1))),"")))</f>
        <v/>
      </c>
      <c r="C1468">
        <f>IF(OR($A1468="",$B1468=""),"",IF(ISNUMBER($A1468),INT(MOD($A1468,10000)/100),IFERROR(VALUE(TRIM(LEFT(MID($A1468,FIND("/",$A1468)+1,20),FIND("/",MID($A1468,FIND("/",$A1468)+1,20))-1))),"")))</f>
        <v/>
      </c>
      <c r="D1468">
        <f>IF(OR($A1468="",$B1468=""),"",IF(ISNUMBER($A1468),MOD($A1468,100),IFERROR(VALUE(TRIM(MID(MID($A1468,FIND("/",$A1468)+1,20),FIND("/",MID($A1468,FIND("/",$A1468)+1,20))+1,20))),"")))</f>
        <v/>
      </c>
      <c r="E1468">
        <f>IF($A1468="","",IF(OR($B1468="",$C1468="",$D1468="",$B1468&lt;1300,$B1468&gt;1500,$C1468&lt;1,$C1468&gt;12,$D1468&lt;1,$D1468&gt;31),"نامعتبر",RIGHT("0000"&amp;$B1468,4)&amp;"/"&amp;RIGHT("00"&amp;$C1468,2)&amp;"/"&amp;RIGHT("00"&amp;$D1468,2)))</f>
        <v/>
      </c>
      <c r="F1468">
        <f>IF(Entry!$D1468&lt;&gt;"",IF(AND(ISNUMBER(Entry!$D1468),Entry!$D1468&gt;=0,Entry!$D1468&lt;1),RIGHT("00"&amp;HOUR(Entry!$D1468),2)&amp;":"&amp;RIGHT("00"&amp;MINUTE(Entry!$D1468),2),IFERROR(RIGHT("00"&amp;VALUE(TRIM(LEFT(Entry!$D1468,FIND(":",Entry!$D1468)-1))),2)&amp;":"&amp;RIGHT("00"&amp;VALUE(TRIM(MID(Entry!$D1468,FIND(":",Entry!$D1468)+1,2))),2),"نامعتبر")),IF(OR($E1468="",$E1468="نامعتبر"),"","00:00"))</f>
        <v/>
      </c>
      <c r="G1468">
        <f>IF(OR($E1468="",$E1468="نامعتبر"),"",IF(Entry!$E1468="","",LEFT(UPPER(TRIM(Entry!$E1468)),6)))</f>
        <v/>
      </c>
      <c r="H1468">
        <f>IF($G1468="","",RIGHT($E1468,4)&amp;MID($E1468,6,2)&amp;RIGHT($E1468,2)&amp;IF($F1468="","0000",IF($F1468="نامعتبر","9999",LEFT($F1468,2)&amp;RIGHT($F1468,2)))&amp;"|"&amp;RIGHT("00000"&amp;1460,5))</f>
        <v/>
      </c>
      <c r="I1468">
        <f>IF($H1468="","",COUNTIFS(CalcBank,$G1468,CalcKey,"&lt;"&amp;$H1468)+1)</f>
        <v/>
      </c>
      <c r="J1468">
        <f>IF($I1468="","",$G1468&amp;"|"&amp;RIGHT("000000"&amp;$I1468,6))</f>
        <v/>
      </c>
      <c r="K1468">
        <f>IF(OR($E1468="",$E1468="نامعتبر"),"",LEFT($E1468,4)&amp;"/"&amp;MID($E1468,6,2))</f>
        <v/>
      </c>
      <c r="L1468">
        <f>IF(Entry!$K1468="",0,Entry!$K1468)</f>
        <v/>
      </c>
      <c r="M1468">
        <f>IF(Entry!$L1468="",0,Entry!$L1468)</f>
        <v/>
      </c>
    </row>
    <row r="1469">
      <c r="A1469">
        <f>IF(Entry!$C1469="","",Entry!$C1469)</f>
        <v/>
      </c>
      <c r="B1469">
        <f>IF($A1469="","",IF(ISNUMBER($A1469),IF(AND($A1469&gt;=10000101,$A1469&lt;=99991231),INT($A1469/10000),""),IFERROR(VALUE(TRIM(LEFT($A1469,FIND("/",$A1469)-1))),"")))</f>
        <v/>
      </c>
      <c r="C1469">
        <f>IF(OR($A1469="",$B1469=""),"",IF(ISNUMBER($A1469),INT(MOD($A1469,10000)/100),IFERROR(VALUE(TRIM(LEFT(MID($A1469,FIND("/",$A1469)+1,20),FIND("/",MID($A1469,FIND("/",$A1469)+1,20))-1))),"")))</f>
        <v/>
      </c>
      <c r="D1469">
        <f>IF(OR($A1469="",$B1469=""),"",IF(ISNUMBER($A1469),MOD($A1469,100),IFERROR(VALUE(TRIM(MID(MID($A1469,FIND("/",$A1469)+1,20),FIND("/",MID($A1469,FIND("/",$A1469)+1,20))+1,20))),"")))</f>
        <v/>
      </c>
      <c r="E1469">
        <f>IF($A1469="","",IF(OR($B1469="",$C1469="",$D1469="",$B1469&lt;1300,$B1469&gt;1500,$C1469&lt;1,$C1469&gt;12,$D1469&lt;1,$D1469&gt;31),"نامعتبر",RIGHT("0000"&amp;$B1469,4)&amp;"/"&amp;RIGHT("00"&amp;$C1469,2)&amp;"/"&amp;RIGHT("00"&amp;$D1469,2)))</f>
        <v/>
      </c>
      <c r="F1469">
        <f>IF(Entry!$D1469&lt;&gt;"",IF(AND(ISNUMBER(Entry!$D1469),Entry!$D1469&gt;=0,Entry!$D1469&lt;1),RIGHT("00"&amp;HOUR(Entry!$D1469),2)&amp;":"&amp;RIGHT("00"&amp;MINUTE(Entry!$D1469),2),IFERROR(RIGHT("00"&amp;VALUE(TRIM(LEFT(Entry!$D1469,FIND(":",Entry!$D1469)-1))),2)&amp;":"&amp;RIGHT("00"&amp;VALUE(TRIM(MID(Entry!$D1469,FIND(":",Entry!$D1469)+1,2))),2),"نامعتبر")),IF(OR($E1469="",$E1469="نامعتبر"),"","00:00"))</f>
        <v/>
      </c>
      <c r="G1469">
        <f>IF(OR($E1469="",$E1469="نامعتبر"),"",IF(Entry!$E1469="","",LEFT(UPPER(TRIM(Entry!$E1469)),6)))</f>
        <v/>
      </c>
      <c r="H1469">
        <f>IF($G1469="","",RIGHT($E1469,4)&amp;MID($E1469,6,2)&amp;RIGHT($E1469,2)&amp;IF($F1469="","0000",IF($F1469="نامعتبر","9999",LEFT($F1469,2)&amp;RIGHT($F1469,2)))&amp;"|"&amp;RIGHT("00000"&amp;1461,5))</f>
        <v/>
      </c>
      <c r="I1469">
        <f>IF($H1469="","",COUNTIFS(CalcBank,$G1469,CalcKey,"&lt;"&amp;$H1469)+1)</f>
        <v/>
      </c>
      <c r="J1469">
        <f>IF($I1469="","",$G1469&amp;"|"&amp;RIGHT("000000"&amp;$I1469,6))</f>
        <v/>
      </c>
      <c r="K1469">
        <f>IF(OR($E1469="",$E1469="نامعتبر"),"",LEFT($E1469,4)&amp;"/"&amp;MID($E1469,6,2))</f>
        <v/>
      </c>
      <c r="L1469">
        <f>IF(Entry!$K1469="",0,Entry!$K1469)</f>
        <v/>
      </c>
      <c r="M1469">
        <f>IF(Entry!$L1469="",0,Entry!$L1469)</f>
        <v/>
      </c>
    </row>
    <row r="1470">
      <c r="A1470">
        <f>IF(Entry!$C1470="","",Entry!$C1470)</f>
        <v/>
      </c>
      <c r="B1470">
        <f>IF($A1470="","",IF(ISNUMBER($A1470),IF(AND($A1470&gt;=10000101,$A1470&lt;=99991231),INT($A1470/10000),""),IFERROR(VALUE(TRIM(LEFT($A1470,FIND("/",$A1470)-1))),"")))</f>
        <v/>
      </c>
      <c r="C1470">
        <f>IF(OR($A1470="",$B1470=""),"",IF(ISNUMBER($A1470),INT(MOD($A1470,10000)/100),IFERROR(VALUE(TRIM(LEFT(MID($A1470,FIND("/",$A1470)+1,20),FIND("/",MID($A1470,FIND("/",$A1470)+1,20))-1))),"")))</f>
        <v/>
      </c>
      <c r="D1470">
        <f>IF(OR($A1470="",$B1470=""),"",IF(ISNUMBER($A1470),MOD($A1470,100),IFERROR(VALUE(TRIM(MID(MID($A1470,FIND("/",$A1470)+1,20),FIND("/",MID($A1470,FIND("/",$A1470)+1,20))+1,20))),"")))</f>
        <v/>
      </c>
      <c r="E1470">
        <f>IF($A1470="","",IF(OR($B1470="",$C1470="",$D1470="",$B1470&lt;1300,$B1470&gt;1500,$C1470&lt;1,$C1470&gt;12,$D1470&lt;1,$D1470&gt;31),"نامعتبر",RIGHT("0000"&amp;$B1470,4)&amp;"/"&amp;RIGHT("00"&amp;$C1470,2)&amp;"/"&amp;RIGHT("00"&amp;$D1470,2)))</f>
        <v/>
      </c>
      <c r="F1470">
        <f>IF(Entry!$D1470&lt;&gt;"",IF(AND(ISNUMBER(Entry!$D1470),Entry!$D1470&gt;=0,Entry!$D1470&lt;1),RIGHT("00"&amp;HOUR(Entry!$D1470),2)&amp;":"&amp;RIGHT("00"&amp;MINUTE(Entry!$D1470),2),IFERROR(RIGHT("00"&amp;VALUE(TRIM(LEFT(Entry!$D1470,FIND(":",Entry!$D1470)-1))),2)&amp;":"&amp;RIGHT("00"&amp;VALUE(TRIM(MID(Entry!$D1470,FIND(":",Entry!$D1470)+1,2))),2),"نامعتبر")),IF(OR($E1470="",$E1470="نامعتبر"),"","00:00"))</f>
        <v/>
      </c>
      <c r="G1470">
        <f>IF(OR($E1470="",$E1470="نامعتبر"),"",IF(Entry!$E1470="","",LEFT(UPPER(TRIM(Entry!$E1470)),6)))</f>
        <v/>
      </c>
      <c r="H1470">
        <f>IF($G1470="","",RIGHT($E1470,4)&amp;MID($E1470,6,2)&amp;RIGHT($E1470,2)&amp;IF($F1470="","0000",IF($F1470="نامعتبر","9999",LEFT($F1470,2)&amp;RIGHT($F1470,2)))&amp;"|"&amp;RIGHT("00000"&amp;1462,5))</f>
        <v/>
      </c>
      <c r="I1470">
        <f>IF($H1470="","",COUNTIFS(CalcBank,$G1470,CalcKey,"&lt;"&amp;$H1470)+1)</f>
        <v/>
      </c>
      <c r="J1470">
        <f>IF($I1470="","",$G1470&amp;"|"&amp;RIGHT("000000"&amp;$I1470,6))</f>
        <v/>
      </c>
      <c r="K1470">
        <f>IF(OR($E1470="",$E1470="نامعتبر"),"",LEFT($E1470,4)&amp;"/"&amp;MID($E1470,6,2))</f>
        <v/>
      </c>
      <c r="L1470">
        <f>IF(Entry!$K1470="",0,Entry!$K1470)</f>
        <v/>
      </c>
      <c r="M1470">
        <f>IF(Entry!$L1470="",0,Entry!$L1470)</f>
        <v/>
      </c>
    </row>
    <row r="1471">
      <c r="A1471">
        <f>IF(Entry!$C1471="","",Entry!$C1471)</f>
        <v/>
      </c>
      <c r="B1471">
        <f>IF($A1471="","",IF(ISNUMBER($A1471),IF(AND($A1471&gt;=10000101,$A1471&lt;=99991231),INT($A1471/10000),""),IFERROR(VALUE(TRIM(LEFT($A1471,FIND("/",$A1471)-1))),"")))</f>
        <v/>
      </c>
      <c r="C1471">
        <f>IF(OR($A1471="",$B1471=""),"",IF(ISNUMBER($A1471),INT(MOD($A1471,10000)/100),IFERROR(VALUE(TRIM(LEFT(MID($A1471,FIND("/",$A1471)+1,20),FIND("/",MID($A1471,FIND("/",$A1471)+1,20))-1))),"")))</f>
        <v/>
      </c>
      <c r="D1471">
        <f>IF(OR($A1471="",$B1471=""),"",IF(ISNUMBER($A1471),MOD($A1471,100),IFERROR(VALUE(TRIM(MID(MID($A1471,FIND("/",$A1471)+1,20),FIND("/",MID($A1471,FIND("/",$A1471)+1,20))+1,20))),"")))</f>
        <v/>
      </c>
      <c r="E1471">
        <f>IF($A1471="","",IF(OR($B1471="",$C1471="",$D1471="",$B1471&lt;1300,$B1471&gt;1500,$C1471&lt;1,$C1471&gt;12,$D1471&lt;1,$D1471&gt;31),"نامعتبر",RIGHT("0000"&amp;$B1471,4)&amp;"/"&amp;RIGHT("00"&amp;$C1471,2)&amp;"/"&amp;RIGHT("00"&amp;$D1471,2)))</f>
        <v/>
      </c>
      <c r="F1471">
        <f>IF(Entry!$D1471&lt;&gt;"",IF(AND(ISNUMBER(Entry!$D1471),Entry!$D1471&gt;=0,Entry!$D1471&lt;1),RIGHT("00"&amp;HOUR(Entry!$D1471),2)&amp;":"&amp;RIGHT("00"&amp;MINUTE(Entry!$D1471),2),IFERROR(RIGHT("00"&amp;VALUE(TRIM(LEFT(Entry!$D1471,FIND(":",Entry!$D1471)-1))),2)&amp;":"&amp;RIGHT("00"&amp;VALUE(TRIM(MID(Entry!$D1471,FIND(":",Entry!$D1471)+1,2))),2),"نامعتبر")),IF(OR($E1471="",$E1471="نامعتبر"),"","00:00"))</f>
        <v/>
      </c>
      <c r="G1471">
        <f>IF(OR($E1471="",$E1471="نامعتبر"),"",IF(Entry!$E1471="","",LEFT(UPPER(TRIM(Entry!$E1471)),6)))</f>
        <v/>
      </c>
      <c r="H1471">
        <f>IF($G1471="","",RIGHT($E1471,4)&amp;MID($E1471,6,2)&amp;RIGHT($E1471,2)&amp;IF($F1471="","0000",IF($F1471="نامعتبر","9999",LEFT($F1471,2)&amp;RIGHT($F1471,2)))&amp;"|"&amp;RIGHT("00000"&amp;1463,5))</f>
        <v/>
      </c>
      <c r="I1471">
        <f>IF($H1471="","",COUNTIFS(CalcBank,$G1471,CalcKey,"&lt;"&amp;$H1471)+1)</f>
        <v/>
      </c>
      <c r="J1471">
        <f>IF($I1471="","",$G1471&amp;"|"&amp;RIGHT("000000"&amp;$I1471,6))</f>
        <v/>
      </c>
      <c r="K1471">
        <f>IF(OR($E1471="",$E1471="نامعتبر"),"",LEFT($E1471,4)&amp;"/"&amp;MID($E1471,6,2))</f>
        <v/>
      </c>
      <c r="L1471">
        <f>IF(Entry!$K1471="",0,Entry!$K1471)</f>
        <v/>
      </c>
      <c r="M1471">
        <f>IF(Entry!$L1471="",0,Entry!$L1471)</f>
        <v/>
      </c>
    </row>
    <row r="1472">
      <c r="A1472">
        <f>IF(Entry!$C1472="","",Entry!$C1472)</f>
        <v/>
      </c>
      <c r="B1472">
        <f>IF($A1472="","",IF(ISNUMBER($A1472),IF(AND($A1472&gt;=10000101,$A1472&lt;=99991231),INT($A1472/10000),""),IFERROR(VALUE(TRIM(LEFT($A1472,FIND("/",$A1472)-1))),"")))</f>
        <v/>
      </c>
      <c r="C1472">
        <f>IF(OR($A1472="",$B1472=""),"",IF(ISNUMBER($A1472),INT(MOD($A1472,10000)/100),IFERROR(VALUE(TRIM(LEFT(MID($A1472,FIND("/",$A1472)+1,20),FIND("/",MID($A1472,FIND("/",$A1472)+1,20))-1))),"")))</f>
        <v/>
      </c>
      <c r="D1472">
        <f>IF(OR($A1472="",$B1472=""),"",IF(ISNUMBER($A1472),MOD($A1472,100),IFERROR(VALUE(TRIM(MID(MID($A1472,FIND("/",$A1472)+1,20),FIND("/",MID($A1472,FIND("/",$A1472)+1,20))+1,20))),"")))</f>
        <v/>
      </c>
      <c r="E1472">
        <f>IF($A1472="","",IF(OR($B1472="",$C1472="",$D1472="",$B1472&lt;1300,$B1472&gt;1500,$C1472&lt;1,$C1472&gt;12,$D1472&lt;1,$D1472&gt;31),"نامعتبر",RIGHT("0000"&amp;$B1472,4)&amp;"/"&amp;RIGHT("00"&amp;$C1472,2)&amp;"/"&amp;RIGHT("00"&amp;$D1472,2)))</f>
        <v/>
      </c>
      <c r="F1472">
        <f>IF(Entry!$D1472&lt;&gt;"",IF(AND(ISNUMBER(Entry!$D1472),Entry!$D1472&gt;=0,Entry!$D1472&lt;1),RIGHT("00"&amp;HOUR(Entry!$D1472),2)&amp;":"&amp;RIGHT("00"&amp;MINUTE(Entry!$D1472),2),IFERROR(RIGHT("00"&amp;VALUE(TRIM(LEFT(Entry!$D1472,FIND(":",Entry!$D1472)-1))),2)&amp;":"&amp;RIGHT("00"&amp;VALUE(TRIM(MID(Entry!$D1472,FIND(":",Entry!$D1472)+1,2))),2),"نامعتبر")),IF(OR($E1472="",$E1472="نامعتبر"),"","00:00"))</f>
        <v/>
      </c>
      <c r="G1472">
        <f>IF(OR($E1472="",$E1472="نامعتبر"),"",IF(Entry!$E1472="","",LEFT(UPPER(TRIM(Entry!$E1472)),6)))</f>
        <v/>
      </c>
      <c r="H1472">
        <f>IF($G1472="","",RIGHT($E1472,4)&amp;MID($E1472,6,2)&amp;RIGHT($E1472,2)&amp;IF($F1472="","0000",IF($F1472="نامعتبر","9999",LEFT($F1472,2)&amp;RIGHT($F1472,2)))&amp;"|"&amp;RIGHT("00000"&amp;1464,5))</f>
        <v/>
      </c>
      <c r="I1472">
        <f>IF($H1472="","",COUNTIFS(CalcBank,$G1472,CalcKey,"&lt;"&amp;$H1472)+1)</f>
        <v/>
      </c>
      <c r="J1472">
        <f>IF($I1472="","",$G1472&amp;"|"&amp;RIGHT("000000"&amp;$I1472,6))</f>
        <v/>
      </c>
      <c r="K1472">
        <f>IF(OR($E1472="",$E1472="نامعتبر"),"",LEFT($E1472,4)&amp;"/"&amp;MID($E1472,6,2))</f>
        <v/>
      </c>
      <c r="L1472">
        <f>IF(Entry!$K1472="",0,Entry!$K1472)</f>
        <v/>
      </c>
      <c r="M1472">
        <f>IF(Entry!$L1472="",0,Entry!$L1472)</f>
        <v/>
      </c>
    </row>
    <row r="1473">
      <c r="A1473">
        <f>IF(Entry!$C1473="","",Entry!$C1473)</f>
        <v/>
      </c>
      <c r="B1473">
        <f>IF($A1473="","",IF(ISNUMBER($A1473),IF(AND($A1473&gt;=10000101,$A1473&lt;=99991231),INT($A1473/10000),""),IFERROR(VALUE(TRIM(LEFT($A1473,FIND("/",$A1473)-1))),"")))</f>
        <v/>
      </c>
      <c r="C1473">
        <f>IF(OR($A1473="",$B1473=""),"",IF(ISNUMBER($A1473),INT(MOD($A1473,10000)/100),IFERROR(VALUE(TRIM(LEFT(MID($A1473,FIND("/",$A1473)+1,20),FIND("/",MID($A1473,FIND("/",$A1473)+1,20))-1))),"")))</f>
        <v/>
      </c>
      <c r="D1473">
        <f>IF(OR($A1473="",$B1473=""),"",IF(ISNUMBER($A1473),MOD($A1473,100),IFERROR(VALUE(TRIM(MID(MID($A1473,FIND("/",$A1473)+1,20),FIND("/",MID($A1473,FIND("/",$A1473)+1,20))+1,20))),"")))</f>
        <v/>
      </c>
      <c r="E1473">
        <f>IF($A1473="","",IF(OR($B1473="",$C1473="",$D1473="",$B1473&lt;1300,$B1473&gt;1500,$C1473&lt;1,$C1473&gt;12,$D1473&lt;1,$D1473&gt;31),"نامعتبر",RIGHT("0000"&amp;$B1473,4)&amp;"/"&amp;RIGHT("00"&amp;$C1473,2)&amp;"/"&amp;RIGHT("00"&amp;$D1473,2)))</f>
        <v/>
      </c>
      <c r="F1473">
        <f>IF(Entry!$D1473&lt;&gt;"",IF(AND(ISNUMBER(Entry!$D1473),Entry!$D1473&gt;=0,Entry!$D1473&lt;1),RIGHT("00"&amp;HOUR(Entry!$D1473),2)&amp;":"&amp;RIGHT("00"&amp;MINUTE(Entry!$D1473),2),IFERROR(RIGHT("00"&amp;VALUE(TRIM(LEFT(Entry!$D1473,FIND(":",Entry!$D1473)-1))),2)&amp;":"&amp;RIGHT("00"&amp;VALUE(TRIM(MID(Entry!$D1473,FIND(":",Entry!$D1473)+1,2))),2),"نامعتبر")),IF(OR($E1473="",$E1473="نامعتبر"),"","00:00"))</f>
        <v/>
      </c>
      <c r="G1473">
        <f>IF(OR($E1473="",$E1473="نامعتبر"),"",IF(Entry!$E1473="","",LEFT(UPPER(TRIM(Entry!$E1473)),6)))</f>
        <v/>
      </c>
      <c r="H1473">
        <f>IF($G1473="","",RIGHT($E1473,4)&amp;MID($E1473,6,2)&amp;RIGHT($E1473,2)&amp;IF($F1473="","0000",IF($F1473="نامعتبر","9999",LEFT($F1473,2)&amp;RIGHT($F1473,2)))&amp;"|"&amp;RIGHT("00000"&amp;1465,5))</f>
        <v/>
      </c>
      <c r="I1473">
        <f>IF($H1473="","",COUNTIFS(CalcBank,$G1473,CalcKey,"&lt;"&amp;$H1473)+1)</f>
        <v/>
      </c>
      <c r="J1473">
        <f>IF($I1473="","",$G1473&amp;"|"&amp;RIGHT("000000"&amp;$I1473,6))</f>
        <v/>
      </c>
      <c r="K1473">
        <f>IF(OR($E1473="",$E1473="نامعتبر"),"",LEFT($E1473,4)&amp;"/"&amp;MID($E1473,6,2))</f>
        <v/>
      </c>
      <c r="L1473">
        <f>IF(Entry!$K1473="",0,Entry!$K1473)</f>
        <v/>
      </c>
      <c r="M1473">
        <f>IF(Entry!$L1473="",0,Entry!$L1473)</f>
        <v/>
      </c>
    </row>
    <row r="1474">
      <c r="A1474">
        <f>IF(Entry!$C1474="","",Entry!$C1474)</f>
        <v/>
      </c>
      <c r="B1474">
        <f>IF($A1474="","",IF(ISNUMBER($A1474),IF(AND($A1474&gt;=10000101,$A1474&lt;=99991231),INT($A1474/10000),""),IFERROR(VALUE(TRIM(LEFT($A1474,FIND("/",$A1474)-1))),"")))</f>
        <v/>
      </c>
      <c r="C1474">
        <f>IF(OR($A1474="",$B1474=""),"",IF(ISNUMBER($A1474),INT(MOD($A1474,10000)/100),IFERROR(VALUE(TRIM(LEFT(MID($A1474,FIND("/",$A1474)+1,20),FIND("/",MID($A1474,FIND("/",$A1474)+1,20))-1))),"")))</f>
        <v/>
      </c>
      <c r="D1474">
        <f>IF(OR($A1474="",$B1474=""),"",IF(ISNUMBER($A1474),MOD($A1474,100),IFERROR(VALUE(TRIM(MID(MID($A1474,FIND("/",$A1474)+1,20),FIND("/",MID($A1474,FIND("/",$A1474)+1,20))+1,20))),"")))</f>
        <v/>
      </c>
      <c r="E1474">
        <f>IF($A1474="","",IF(OR($B1474="",$C1474="",$D1474="",$B1474&lt;1300,$B1474&gt;1500,$C1474&lt;1,$C1474&gt;12,$D1474&lt;1,$D1474&gt;31),"نامعتبر",RIGHT("0000"&amp;$B1474,4)&amp;"/"&amp;RIGHT("00"&amp;$C1474,2)&amp;"/"&amp;RIGHT("00"&amp;$D1474,2)))</f>
        <v/>
      </c>
      <c r="F1474">
        <f>IF(Entry!$D1474&lt;&gt;"",IF(AND(ISNUMBER(Entry!$D1474),Entry!$D1474&gt;=0,Entry!$D1474&lt;1),RIGHT("00"&amp;HOUR(Entry!$D1474),2)&amp;":"&amp;RIGHT("00"&amp;MINUTE(Entry!$D1474),2),IFERROR(RIGHT("00"&amp;VALUE(TRIM(LEFT(Entry!$D1474,FIND(":",Entry!$D1474)-1))),2)&amp;":"&amp;RIGHT("00"&amp;VALUE(TRIM(MID(Entry!$D1474,FIND(":",Entry!$D1474)+1,2))),2),"نامعتبر")),IF(OR($E1474="",$E1474="نامعتبر"),"","00:00"))</f>
        <v/>
      </c>
      <c r="G1474">
        <f>IF(OR($E1474="",$E1474="نامعتبر"),"",IF(Entry!$E1474="","",LEFT(UPPER(TRIM(Entry!$E1474)),6)))</f>
        <v/>
      </c>
      <c r="H1474">
        <f>IF($G1474="","",RIGHT($E1474,4)&amp;MID($E1474,6,2)&amp;RIGHT($E1474,2)&amp;IF($F1474="","0000",IF($F1474="نامعتبر","9999",LEFT($F1474,2)&amp;RIGHT($F1474,2)))&amp;"|"&amp;RIGHT("00000"&amp;1466,5))</f>
        <v/>
      </c>
      <c r="I1474">
        <f>IF($H1474="","",COUNTIFS(CalcBank,$G1474,CalcKey,"&lt;"&amp;$H1474)+1)</f>
        <v/>
      </c>
      <c r="J1474">
        <f>IF($I1474="","",$G1474&amp;"|"&amp;RIGHT("000000"&amp;$I1474,6))</f>
        <v/>
      </c>
      <c r="K1474">
        <f>IF(OR($E1474="",$E1474="نامعتبر"),"",LEFT($E1474,4)&amp;"/"&amp;MID($E1474,6,2))</f>
        <v/>
      </c>
      <c r="L1474">
        <f>IF(Entry!$K1474="",0,Entry!$K1474)</f>
        <v/>
      </c>
      <c r="M1474">
        <f>IF(Entry!$L1474="",0,Entry!$L1474)</f>
        <v/>
      </c>
    </row>
    <row r="1475">
      <c r="A1475">
        <f>IF(Entry!$C1475="","",Entry!$C1475)</f>
        <v/>
      </c>
      <c r="B1475">
        <f>IF($A1475="","",IF(ISNUMBER($A1475),IF(AND($A1475&gt;=10000101,$A1475&lt;=99991231),INT($A1475/10000),""),IFERROR(VALUE(TRIM(LEFT($A1475,FIND("/",$A1475)-1))),"")))</f>
        <v/>
      </c>
      <c r="C1475">
        <f>IF(OR($A1475="",$B1475=""),"",IF(ISNUMBER($A1475),INT(MOD($A1475,10000)/100),IFERROR(VALUE(TRIM(LEFT(MID($A1475,FIND("/",$A1475)+1,20),FIND("/",MID($A1475,FIND("/",$A1475)+1,20))-1))),"")))</f>
        <v/>
      </c>
      <c r="D1475">
        <f>IF(OR($A1475="",$B1475=""),"",IF(ISNUMBER($A1475),MOD($A1475,100),IFERROR(VALUE(TRIM(MID(MID($A1475,FIND("/",$A1475)+1,20),FIND("/",MID($A1475,FIND("/",$A1475)+1,20))+1,20))),"")))</f>
        <v/>
      </c>
      <c r="E1475">
        <f>IF($A1475="","",IF(OR($B1475="",$C1475="",$D1475="",$B1475&lt;1300,$B1475&gt;1500,$C1475&lt;1,$C1475&gt;12,$D1475&lt;1,$D1475&gt;31),"نامعتبر",RIGHT("0000"&amp;$B1475,4)&amp;"/"&amp;RIGHT("00"&amp;$C1475,2)&amp;"/"&amp;RIGHT("00"&amp;$D1475,2)))</f>
        <v/>
      </c>
      <c r="F1475">
        <f>IF(Entry!$D1475&lt;&gt;"",IF(AND(ISNUMBER(Entry!$D1475),Entry!$D1475&gt;=0,Entry!$D1475&lt;1),RIGHT("00"&amp;HOUR(Entry!$D1475),2)&amp;":"&amp;RIGHT("00"&amp;MINUTE(Entry!$D1475),2),IFERROR(RIGHT("00"&amp;VALUE(TRIM(LEFT(Entry!$D1475,FIND(":",Entry!$D1475)-1))),2)&amp;":"&amp;RIGHT("00"&amp;VALUE(TRIM(MID(Entry!$D1475,FIND(":",Entry!$D1475)+1,2))),2),"نامعتبر")),IF(OR($E1475="",$E1475="نامعتبر"),"","00:00"))</f>
        <v/>
      </c>
      <c r="G1475">
        <f>IF(OR($E1475="",$E1475="نامعتبر"),"",IF(Entry!$E1475="","",LEFT(UPPER(TRIM(Entry!$E1475)),6)))</f>
        <v/>
      </c>
      <c r="H1475">
        <f>IF($G1475="","",RIGHT($E1475,4)&amp;MID($E1475,6,2)&amp;RIGHT($E1475,2)&amp;IF($F1475="","0000",IF($F1475="نامعتبر","9999",LEFT($F1475,2)&amp;RIGHT($F1475,2)))&amp;"|"&amp;RIGHT("00000"&amp;1467,5))</f>
        <v/>
      </c>
      <c r="I1475">
        <f>IF($H1475="","",COUNTIFS(CalcBank,$G1475,CalcKey,"&lt;"&amp;$H1475)+1)</f>
        <v/>
      </c>
      <c r="J1475">
        <f>IF($I1475="","",$G1475&amp;"|"&amp;RIGHT("000000"&amp;$I1475,6))</f>
        <v/>
      </c>
      <c r="K1475">
        <f>IF(OR($E1475="",$E1475="نامعتبر"),"",LEFT($E1475,4)&amp;"/"&amp;MID($E1475,6,2))</f>
        <v/>
      </c>
      <c r="L1475">
        <f>IF(Entry!$K1475="",0,Entry!$K1475)</f>
        <v/>
      </c>
      <c r="M1475">
        <f>IF(Entry!$L1475="",0,Entry!$L1475)</f>
        <v/>
      </c>
    </row>
    <row r="1476">
      <c r="A1476">
        <f>IF(Entry!$C1476="","",Entry!$C1476)</f>
        <v/>
      </c>
      <c r="B1476">
        <f>IF($A1476="","",IF(ISNUMBER($A1476),IF(AND($A1476&gt;=10000101,$A1476&lt;=99991231),INT($A1476/10000),""),IFERROR(VALUE(TRIM(LEFT($A1476,FIND("/",$A1476)-1))),"")))</f>
        <v/>
      </c>
      <c r="C1476">
        <f>IF(OR($A1476="",$B1476=""),"",IF(ISNUMBER($A1476),INT(MOD($A1476,10000)/100),IFERROR(VALUE(TRIM(LEFT(MID($A1476,FIND("/",$A1476)+1,20),FIND("/",MID($A1476,FIND("/",$A1476)+1,20))-1))),"")))</f>
        <v/>
      </c>
      <c r="D1476">
        <f>IF(OR($A1476="",$B1476=""),"",IF(ISNUMBER($A1476),MOD($A1476,100),IFERROR(VALUE(TRIM(MID(MID($A1476,FIND("/",$A1476)+1,20),FIND("/",MID($A1476,FIND("/",$A1476)+1,20))+1,20))),"")))</f>
        <v/>
      </c>
      <c r="E1476">
        <f>IF($A1476="","",IF(OR($B1476="",$C1476="",$D1476="",$B1476&lt;1300,$B1476&gt;1500,$C1476&lt;1,$C1476&gt;12,$D1476&lt;1,$D1476&gt;31),"نامعتبر",RIGHT("0000"&amp;$B1476,4)&amp;"/"&amp;RIGHT("00"&amp;$C1476,2)&amp;"/"&amp;RIGHT("00"&amp;$D1476,2)))</f>
        <v/>
      </c>
      <c r="F1476">
        <f>IF(Entry!$D1476&lt;&gt;"",IF(AND(ISNUMBER(Entry!$D1476),Entry!$D1476&gt;=0,Entry!$D1476&lt;1),RIGHT("00"&amp;HOUR(Entry!$D1476),2)&amp;":"&amp;RIGHT("00"&amp;MINUTE(Entry!$D1476),2),IFERROR(RIGHT("00"&amp;VALUE(TRIM(LEFT(Entry!$D1476,FIND(":",Entry!$D1476)-1))),2)&amp;":"&amp;RIGHT("00"&amp;VALUE(TRIM(MID(Entry!$D1476,FIND(":",Entry!$D1476)+1,2))),2),"نامعتبر")),IF(OR($E1476="",$E1476="نامعتبر"),"","00:00"))</f>
        <v/>
      </c>
      <c r="G1476">
        <f>IF(OR($E1476="",$E1476="نامعتبر"),"",IF(Entry!$E1476="","",LEFT(UPPER(TRIM(Entry!$E1476)),6)))</f>
        <v/>
      </c>
      <c r="H1476">
        <f>IF($G1476="","",RIGHT($E1476,4)&amp;MID($E1476,6,2)&amp;RIGHT($E1476,2)&amp;IF($F1476="","0000",IF($F1476="نامعتبر","9999",LEFT($F1476,2)&amp;RIGHT($F1476,2)))&amp;"|"&amp;RIGHT("00000"&amp;1468,5))</f>
        <v/>
      </c>
      <c r="I1476">
        <f>IF($H1476="","",COUNTIFS(CalcBank,$G1476,CalcKey,"&lt;"&amp;$H1476)+1)</f>
        <v/>
      </c>
      <c r="J1476">
        <f>IF($I1476="","",$G1476&amp;"|"&amp;RIGHT("000000"&amp;$I1476,6))</f>
        <v/>
      </c>
      <c r="K1476">
        <f>IF(OR($E1476="",$E1476="نامعتبر"),"",LEFT($E1476,4)&amp;"/"&amp;MID($E1476,6,2))</f>
        <v/>
      </c>
      <c r="L1476">
        <f>IF(Entry!$K1476="",0,Entry!$K1476)</f>
        <v/>
      </c>
      <c r="M1476">
        <f>IF(Entry!$L1476="",0,Entry!$L1476)</f>
        <v/>
      </c>
    </row>
    <row r="1477">
      <c r="A1477">
        <f>IF(Entry!$C1477="","",Entry!$C1477)</f>
        <v/>
      </c>
      <c r="B1477">
        <f>IF($A1477="","",IF(ISNUMBER($A1477),IF(AND($A1477&gt;=10000101,$A1477&lt;=99991231),INT($A1477/10000),""),IFERROR(VALUE(TRIM(LEFT($A1477,FIND("/",$A1477)-1))),"")))</f>
        <v/>
      </c>
      <c r="C1477">
        <f>IF(OR($A1477="",$B1477=""),"",IF(ISNUMBER($A1477),INT(MOD($A1477,10000)/100),IFERROR(VALUE(TRIM(LEFT(MID($A1477,FIND("/",$A1477)+1,20),FIND("/",MID($A1477,FIND("/",$A1477)+1,20))-1))),"")))</f>
        <v/>
      </c>
      <c r="D1477">
        <f>IF(OR($A1477="",$B1477=""),"",IF(ISNUMBER($A1477),MOD($A1477,100),IFERROR(VALUE(TRIM(MID(MID($A1477,FIND("/",$A1477)+1,20),FIND("/",MID($A1477,FIND("/",$A1477)+1,20))+1,20))),"")))</f>
        <v/>
      </c>
      <c r="E1477">
        <f>IF($A1477="","",IF(OR($B1477="",$C1477="",$D1477="",$B1477&lt;1300,$B1477&gt;1500,$C1477&lt;1,$C1477&gt;12,$D1477&lt;1,$D1477&gt;31),"نامعتبر",RIGHT("0000"&amp;$B1477,4)&amp;"/"&amp;RIGHT("00"&amp;$C1477,2)&amp;"/"&amp;RIGHT("00"&amp;$D1477,2)))</f>
        <v/>
      </c>
      <c r="F1477">
        <f>IF(Entry!$D1477&lt;&gt;"",IF(AND(ISNUMBER(Entry!$D1477),Entry!$D1477&gt;=0,Entry!$D1477&lt;1),RIGHT("00"&amp;HOUR(Entry!$D1477),2)&amp;":"&amp;RIGHT("00"&amp;MINUTE(Entry!$D1477),2),IFERROR(RIGHT("00"&amp;VALUE(TRIM(LEFT(Entry!$D1477,FIND(":",Entry!$D1477)-1))),2)&amp;":"&amp;RIGHT("00"&amp;VALUE(TRIM(MID(Entry!$D1477,FIND(":",Entry!$D1477)+1,2))),2),"نامعتبر")),IF(OR($E1477="",$E1477="نامعتبر"),"","00:00"))</f>
        <v/>
      </c>
      <c r="G1477">
        <f>IF(OR($E1477="",$E1477="نامعتبر"),"",IF(Entry!$E1477="","",LEFT(UPPER(TRIM(Entry!$E1477)),6)))</f>
        <v/>
      </c>
      <c r="H1477">
        <f>IF($G1477="","",RIGHT($E1477,4)&amp;MID($E1477,6,2)&amp;RIGHT($E1477,2)&amp;IF($F1477="","0000",IF($F1477="نامعتبر","9999",LEFT($F1477,2)&amp;RIGHT($F1477,2)))&amp;"|"&amp;RIGHT("00000"&amp;1469,5))</f>
        <v/>
      </c>
      <c r="I1477">
        <f>IF($H1477="","",COUNTIFS(CalcBank,$G1477,CalcKey,"&lt;"&amp;$H1477)+1)</f>
        <v/>
      </c>
      <c r="J1477">
        <f>IF($I1477="","",$G1477&amp;"|"&amp;RIGHT("000000"&amp;$I1477,6))</f>
        <v/>
      </c>
      <c r="K1477">
        <f>IF(OR($E1477="",$E1477="نامعتبر"),"",LEFT($E1477,4)&amp;"/"&amp;MID($E1477,6,2))</f>
        <v/>
      </c>
      <c r="L1477">
        <f>IF(Entry!$K1477="",0,Entry!$K1477)</f>
        <v/>
      </c>
      <c r="M1477">
        <f>IF(Entry!$L1477="",0,Entry!$L1477)</f>
        <v/>
      </c>
    </row>
    <row r="1478">
      <c r="A1478">
        <f>IF(Entry!$C1478="","",Entry!$C1478)</f>
        <v/>
      </c>
      <c r="B1478">
        <f>IF($A1478="","",IF(ISNUMBER($A1478),IF(AND($A1478&gt;=10000101,$A1478&lt;=99991231),INT($A1478/10000),""),IFERROR(VALUE(TRIM(LEFT($A1478,FIND("/",$A1478)-1))),"")))</f>
        <v/>
      </c>
      <c r="C1478">
        <f>IF(OR($A1478="",$B1478=""),"",IF(ISNUMBER($A1478),INT(MOD($A1478,10000)/100),IFERROR(VALUE(TRIM(LEFT(MID($A1478,FIND("/",$A1478)+1,20),FIND("/",MID($A1478,FIND("/",$A1478)+1,20))-1))),"")))</f>
        <v/>
      </c>
      <c r="D1478">
        <f>IF(OR($A1478="",$B1478=""),"",IF(ISNUMBER($A1478),MOD($A1478,100),IFERROR(VALUE(TRIM(MID(MID($A1478,FIND("/",$A1478)+1,20),FIND("/",MID($A1478,FIND("/",$A1478)+1,20))+1,20))),"")))</f>
        <v/>
      </c>
      <c r="E1478">
        <f>IF($A1478="","",IF(OR($B1478="",$C1478="",$D1478="",$B1478&lt;1300,$B1478&gt;1500,$C1478&lt;1,$C1478&gt;12,$D1478&lt;1,$D1478&gt;31),"نامعتبر",RIGHT("0000"&amp;$B1478,4)&amp;"/"&amp;RIGHT("00"&amp;$C1478,2)&amp;"/"&amp;RIGHT("00"&amp;$D1478,2)))</f>
        <v/>
      </c>
      <c r="F1478">
        <f>IF(Entry!$D1478&lt;&gt;"",IF(AND(ISNUMBER(Entry!$D1478),Entry!$D1478&gt;=0,Entry!$D1478&lt;1),RIGHT("00"&amp;HOUR(Entry!$D1478),2)&amp;":"&amp;RIGHT("00"&amp;MINUTE(Entry!$D1478),2),IFERROR(RIGHT("00"&amp;VALUE(TRIM(LEFT(Entry!$D1478,FIND(":",Entry!$D1478)-1))),2)&amp;":"&amp;RIGHT("00"&amp;VALUE(TRIM(MID(Entry!$D1478,FIND(":",Entry!$D1478)+1,2))),2),"نامعتبر")),IF(OR($E1478="",$E1478="نامعتبر"),"","00:00"))</f>
        <v/>
      </c>
      <c r="G1478">
        <f>IF(OR($E1478="",$E1478="نامعتبر"),"",IF(Entry!$E1478="","",LEFT(UPPER(TRIM(Entry!$E1478)),6)))</f>
        <v/>
      </c>
      <c r="H1478">
        <f>IF($G1478="","",RIGHT($E1478,4)&amp;MID($E1478,6,2)&amp;RIGHT($E1478,2)&amp;IF($F1478="","0000",IF($F1478="نامعتبر","9999",LEFT($F1478,2)&amp;RIGHT($F1478,2)))&amp;"|"&amp;RIGHT("00000"&amp;1470,5))</f>
        <v/>
      </c>
      <c r="I1478">
        <f>IF($H1478="","",COUNTIFS(CalcBank,$G1478,CalcKey,"&lt;"&amp;$H1478)+1)</f>
        <v/>
      </c>
      <c r="J1478">
        <f>IF($I1478="","",$G1478&amp;"|"&amp;RIGHT("000000"&amp;$I1478,6))</f>
        <v/>
      </c>
      <c r="K1478">
        <f>IF(OR($E1478="",$E1478="نامعتبر"),"",LEFT($E1478,4)&amp;"/"&amp;MID($E1478,6,2))</f>
        <v/>
      </c>
      <c r="L1478">
        <f>IF(Entry!$K1478="",0,Entry!$K1478)</f>
        <v/>
      </c>
      <c r="M1478">
        <f>IF(Entry!$L1478="",0,Entry!$L1478)</f>
        <v/>
      </c>
    </row>
    <row r="1479">
      <c r="A1479">
        <f>IF(Entry!$C1479="","",Entry!$C1479)</f>
        <v/>
      </c>
      <c r="B1479">
        <f>IF($A1479="","",IF(ISNUMBER($A1479),IF(AND($A1479&gt;=10000101,$A1479&lt;=99991231),INT($A1479/10000),""),IFERROR(VALUE(TRIM(LEFT($A1479,FIND("/",$A1479)-1))),"")))</f>
        <v/>
      </c>
      <c r="C1479">
        <f>IF(OR($A1479="",$B1479=""),"",IF(ISNUMBER($A1479),INT(MOD($A1479,10000)/100),IFERROR(VALUE(TRIM(LEFT(MID($A1479,FIND("/",$A1479)+1,20),FIND("/",MID($A1479,FIND("/",$A1479)+1,20))-1))),"")))</f>
        <v/>
      </c>
      <c r="D1479">
        <f>IF(OR($A1479="",$B1479=""),"",IF(ISNUMBER($A1479),MOD($A1479,100),IFERROR(VALUE(TRIM(MID(MID($A1479,FIND("/",$A1479)+1,20),FIND("/",MID($A1479,FIND("/",$A1479)+1,20))+1,20))),"")))</f>
        <v/>
      </c>
      <c r="E1479">
        <f>IF($A1479="","",IF(OR($B1479="",$C1479="",$D1479="",$B1479&lt;1300,$B1479&gt;1500,$C1479&lt;1,$C1479&gt;12,$D1479&lt;1,$D1479&gt;31),"نامعتبر",RIGHT("0000"&amp;$B1479,4)&amp;"/"&amp;RIGHT("00"&amp;$C1479,2)&amp;"/"&amp;RIGHT("00"&amp;$D1479,2)))</f>
        <v/>
      </c>
      <c r="F1479">
        <f>IF(Entry!$D1479&lt;&gt;"",IF(AND(ISNUMBER(Entry!$D1479),Entry!$D1479&gt;=0,Entry!$D1479&lt;1),RIGHT("00"&amp;HOUR(Entry!$D1479),2)&amp;":"&amp;RIGHT("00"&amp;MINUTE(Entry!$D1479),2),IFERROR(RIGHT("00"&amp;VALUE(TRIM(LEFT(Entry!$D1479,FIND(":",Entry!$D1479)-1))),2)&amp;":"&amp;RIGHT("00"&amp;VALUE(TRIM(MID(Entry!$D1479,FIND(":",Entry!$D1479)+1,2))),2),"نامعتبر")),IF(OR($E1479="",$E1479="نامعتبر"),"","00:00"))</f>
        <v/>
      </c>
      <c r="G1479">
        <f>IF(OR($E1479="",$E1479="نامعتبر"),"",IF(Entry!$E1479="","",LEFT(UPPER(TRIM(Entry!$E1479)),6)))</f>
        <v/>
      </c>
      <c r="H1479">
        <f>IF($G1479="","",RIGHT($E1479,4)&amp;MID($E1479,6,2)&amp;RIGHT($E1479,2)&amp;IF($F1479="","0000",IF($F1479="نامعتبر","9999",LEFT($F1479,2)&amp;RIGHT($F1479,2)))&amp;"|"&amp;RIGHT("00000"&amp;1471,5))</f>
        <v/>
      </c>
      <c r="I1479">
        <f>IF($H1479="","",COUNTIFS(CalcBank,$G1479,CalcKey,"&lt;"&amp;$H1479)+1)</f>
        <v/>
      </c>
      <c r="J1479">
        <f>IF($I1479="","",$G1479&amp;"|"&amp;RIGHT("000000"&amp;$I1479,6))</f>
        <v/>
      </c>
      <c r="K1479">
        <f>IF(OR($E1479="",$E1479="نامعتبر"),"",LEFT($E1479,4)&amp;"/"&amp;MID($E1479,6,2))</f>
        <v/>
      </c>
      <c r="L1479">
        <f>IF(Entry!$K1479="",0,Entry!$K1479)</f>
        <v/>
      </c>
      <c r="M1479">
        <f>IF(Entry!$L1479="",0,Entry!$L1479)</f>
        <v/>
      </c>
    </row>
    <row r="1480">
      <c r="A1480">
        <f>IF(Entry!$C1480="","",Entry!$C1480)</f>
        <v/>
      </c>
      <c r="B1480">
        <f>IF($A1480="","",IF(ISNUMBER($A1480),IF(AND($A1480&gt;=10000101,$A1480&lt;=99991231),INT($A1480/10000),""),IFERROR(VALUE(TRIM(LEFT($A1480,FIND("/",$A1480)-1))),"")))</f>
        <v/>
      </c>
      <c r="C1480">
        <f>IF(OR($A1480="",$B1480=""),"",IF(ISNUMBER($A1480),INT(MOD($A1480,10000)/100),IFERROR(VALUE(TRIM(LEFT(MID($A1480,FIND("/",$A1480)+1,20),FIND("/",MID($A1480,FIND("/",$A1480)+1,20))-1))),"")))</f>
        <v/>
      </c>
      <c r="D1480">
        <f>IF(OR($A1480="",$B1480=""),"",IF(ISNUMBER($A1480),MOD($A1480,100),IFERROR(VALUE(TRIM(MID(MID($A1480,FIND("/",$A1480)+1,20),FIND("/",MID($A1480,FIND("/",$A1480)+1,20))+1,20))),"")))</f>
        <v/>
      </c>
      <c r="E1480">
        <f>IF($A1480="","",IF(OR($B1480="",$C1480="",$D1480="",$B1480&lt;1300,$B1480&gt;1500,$C1480&lt;1,$C1480&gt;12,$D1480&lt;1,$D1480&gt;31),"نامعتبر",RIGHT("0000"&amp;$B1480,4)&amp;"/"&amp;RIGHT("00"&amp;$C1480,2)&amp;"/"&amp;RIGHT("00"&amp;$D1480,2)))</f>
        <v/>
      </c>
      <c r="F1480">
        <f>IF(Entry!$D1480&lt;&gt;"",IF(AND(ISNUMBER(Entry!$D1480),Entry!$D1480&gt;=0,Entry!$D1480&lt;1),RIGHT("00"&amp;HOUR(Entry!$D1480),2)&amp;":"&amp;RIGHT("00"&amp;MINUTE(Entry!$D1480),2),IFERROR(RIGHT("00"&amp;VALUE(TRIM(LEFT(Entry!$D1480,FIND(":",Entry!$D1480)-1))),2)&amp;":"&amp;RIGHT("00"&amp;VALUE(TRIM(MID(Entry!$D1480,FIND(":",Entry!$D1480)+1,2))),2),"نامعتبر")),IF(OR($E1480="",$E1480="نامعتبر"),"","00:00"))</f>
        <v/>
      </c>
      <c r="G1480">
        <f>IF(OR($E1480="",$E1480="نامعتبر"),"",IF(Entry!$E1480="","",LEFT(UPPER(TRIM(Entry!$E1480)),6)))</f>
        <v/>
      </c>
      <c r="H1480">
        <f>IF($G1480="","",RIGHT($E1480,4)&amp;MID($E1480,6,2)&amp;RIGHT($E1480,2)&amp;IF($F1480="","0000",IF($F1480="نامعتبر","9999",LEFT($F1480,2)&amp;RIGHT($F1480,2)))&amp;"|"&amp;RIGHT("00000"&amp;1472,5))</f>
        <v/>
      </c>
      <c r="I1480">
        <f>IF($H1480="","",COUNTIFS(CalcBank,$G1480,CalcKey,"&lt;"&amp;$H1480)+1)</f>
        <v/>
      </c>
      <c r="J1480">
        <f>IF($I1480="","",$G1480&amp;"|"&amp;RIGHT("000000"&amp;$I1480,6))</f>
        <v/>
      </c>
      <c r="K1480">
        <f>IF(OR($E1480="",$E1480="نامعتبر"),"",LEFT($E1480,4)&amp;"/"&amp;MID($E1480,6,2))</f>
        <v/>
      </c>
      <c r="L1480">
        <f>IF(Entry!$K1480="",0,Entry!$K1480)</f>
        <v/>
      </c>
      <c r="M1480">
        <f>IF(Entry!$L1480="",0,Entry!$L1480)</f>
        <v/>
      </c>
    </row>
    <row r="1481">
      <c r="A1481">
        <f>IF(Entry!$C1481="","",Entry!$C1481)</f>
        <v/>
      </c>
      <c r="B1481">
        <f>IF($A1481="","",IF(ISNUMBER($A1481),IF(AND($A1481&gt;=10000101,$A1481&lt;=99991231),INT($A1481/10000),""),IFERROR(VALUE(TRIM(LEFT($A1481,FIND("/",$A1481)-1))),"")))</f>
        <v/>
      </c>
      <c r="C1481">
        <f>IF(OR($A1481="",$B1481=""),"",IF(ISNUMBER($A1481),INT(MOD($A1481,10000)/100),IFERROR(VALUE(TRIM(LEFT(MID($A1481,FIND("/",$A1481)+1,20),FIND("/",MID($A1481,FIND("/",$A1481)+1,20))-1))),"")))</f>
        <v/>
      </c>
      <c r="D1481">
        <f>IF(OR($A1481="",$B1481=""),"",IF(ISNUMBER($A1481),MOD($A1481,100),IFERROR(VALUE(TRIM(MID(MID($A1481,FIND("/",$A1481)+1,20),FIND("/",MID($A1481,FIND("/",$A1481)+1,20))+1,20))),"")))</f>
        <v/>
      </c>
      <c r="E1481">
        <f>IF($A1481="","",IF(OR($B1481="",$C1481="",$D1481="",$B1481&lt;1300,$B1481&gt;1500,$C1481&lt;1,$C1481&gt;12,$D1481&lt;1,$D1481&gt;31),"نامعتبر",RIGHT("0000"&amp;$B1481,4)&amp;"/"&amp;RIGHT("00"&amp;$C1481,2)&amp;"/"&amp;RIGHT("00"&amp;$D1481,2)))</f>
        <v/>
      </c>
      <c r="F1481">
        <f>IF(Entry!$D1481&lt;&gt;"",IF(AND(ISNUMBER(Entry!$D1481),Entry!$D1481&gt;=0,Entry!$D1481&lt;1),RIGHT("00"&amp;HOUR(Entry!$D1481),2)&amp;":"&amp;RIGHT("00"&amp;MINUTE(Entry!$D1481),2),IFERROR(RIGHT("00"&amp;VALUE(TRIM(LEFT(Entry!$D1481,FIND(":",Entry!$D1481)-1))),2)&amp;":"&amp;RIGHT("00"&amp;VALUE(TRIM(MID(Entry!$D1481,FIND(":",Entry!$D1481)+1,2))),2),"نامعتبر")),IF(OR($E1481="",$E1481="نامعتبر"),"","00:00"))</f>
        <v/>
      </c>
      <c r="G1481">
        <f>IF(OR($E1481="",$E1481="نامعتبر"),"",IF(Entry!$E1481="","",LEFT(UPPER(TRIM(Entry!$E1481)),6)))</f>
        <v/>
      </c>
      <c r="H1481">
        <f>IF($G1481="","",RIGHT($E1481,4)&amp;MID($E1481,6,2)&amp;RIGHT($E1481,2)&amp;IF($F1481="","0000",IF($F1481="نامعتبر","9999",LEFT($F1481,2)&amp;RIGHT($F1481,2)))&amp;"|"&amp;RIGHT("00000"&amp;1473,5))</f>
        <v/>
      </c>
      <c r="I1481">
        <f>IF($H1481="","",COUNTIFS(CalcBank,$G1481,CalcKey,"&lt;"&amp;$H1481)+1)</f>
        <v/>
      </c>
      <c r="J1481">
        <f>IF($I1481="","",$G1481&amp;"|"&amp;RIGHT("000000"&amp;$I1481,6))</f>
        <v/>
      </c>
      <c r="K1481">
        <f>IF(OR($E1481="",$E1481="نامعتبر"),"",LEFT($E1481,4)&amp;"/"&amp;MID($E1481,6,2))</f>
        <v/>
      </c>
      <c r="L1481">
        <f>IF(Entry!$K1481="",0,Entry!$K1481)</f>
        <v/>
      </c>
      <c r="M1481">
        <f>IF(Entry!$L1481="",0,Entry!$L1481)</f>
        <v/>
      </c>
    </row>
    <row r="1482">
      <c r="A1482">
        <f>IF(Entry!$C1482="","",Entry!$C1482)</f>
        <v/>
      </c>
      <c r="B1482">
        <f>IF($A1482="","",IF(ISNUMBER($A1482),IF(AND($A1482&gt;=10000101,$A1482&lt;=99991231),INT($A1482/10000),""),IFERROR(VALUE(TRIM(LEFT($A1482,FIND("/",$A1482)-1))),"")))</f>
        <v/>
      </c>
      <c r="C1482">
        <f>IF(OR($A1482="",$B1482=""),"",IF(ISNUMBER($A1482),INT(MOD($A1482,10000)/100),IFERROR(VALUE(TRIM(LEFT(MID($A1482,FIND("/",$A1482)+1,20),FIND("/",MID($A1482,FIND("/",$A1482)+1,20))-1))),"")))</f>
        <v/>
      </c>
      <c r="D1482">
        <f>IF(OR($A1482="",$B1482=""),"",IF(ISNUMBER($A1482),MOD($A1482,100),IFERROR(VALUE(TRIM(MID(MID($A1482,FIND("/",$A1482)+1,20),FIND("/",MID($A1482,FIND("/",$A1482)+1,20))+1,20))),"")))</f>
        <v/>
      </c>
      <c r="E1482">
        <f>IF($A1482="","",IF(OR($B1482="",$C1482="",$D1482="",$B1482&lt;1300,$B1482&gt;1500,$C1482&lt;1,$C1482&gt;12,$D1482&lt;1,$D1482&gt;31),"نامعتبر",RIGHT("0000"&amp;$B1482,4)&amp;"/"&amp;RIGHT("00"&amp;$C1482,2)&amp;"/"&amp;RIGHT("00"&amp;$D1482,2)))</f>
        <v/>
      </c>
      <c r="F1482">
        <f>IF(Entry!$D1482&lt;&gt;"",IF(AND(ISNUMBER(Entry!$D1482),Entry!$D1482&gt;=0,Entry!$D1482&lt;1),RIGHT("00"&amp;HOUR(Entry!$D1482),2)&amp;":"&amp;RIGHT("00"&amp;MINUTE(Entry!$D1482),2),IFERROR(RIGHT("00"&amp;VALUE(TRIM(LEFT(Entry!$D1482,FIND(":",Entry!$D1482)-1))),2)&amp;":"&amp;RIGHT("00"&amp;VALUE(TRIM(MID(Entry!$D1482,FIND(":",Entry!$D1482)+1,2))),2),"نامعتبر")),IF(OR($E1482="",$E1482="نامعتبر"),"","00:00"))</f>
        <v/>
      </c>
      <c r="G1482">
        <f>IF(OR($E1482="",$E1482="نامعتبر"),"",IF(Entry!$E1482="","",LEFT(UPPER(TRIM(Entry!$E1482)),6)))</f>
        <v/>
      </c>
      <c r="H1482">
        <f>IF($G1482="","",RIGHT($E1482,4)&amp;MID($E1482,6,2)&amp;RIGHT($E1482,2)&amp;IF($F1482="","0000",IF($F1482="نامعتبر","9999",LEFT($F1482,2)&amp;RIGHT($F1482,2)))&amp;"|"&amp;RIGHT("00000"&amp;1474,5))</f>
        <v/>
      </c>
      <c r="I1482">
        <f>IF($H1482="","",COUNTIFS(CalcBank,$G1482,CalcKey,"&lt;"&amp;$H1482)+1)</f>
        <v/>
      </c>
      <c r="J1482">
        <f>IF($I1482="","",$G1482&amp;"|"&amp;RIGHT("000000"&amp;$I1482,6))</f>
        <v/>
      </c>
      <c r="K1482">
        <f>IF(OR($E1482="",$E1482="نامعتبر"),"",LEFT($E1482,4)&amp;"/"&amp;MID($E1482,6,2))</f>
        <v/>
      </c>
      <c r="L1482">
        <f>IF(Entry!$K1482="",0,Entry!$K1482)</f>
        <v/>
      </c>
      <c r="M1482">
        <f>IF(Entry!$L1482="",0,Entry!$L1482)</f>
        <v/>
      </c>
    </row>
    <row r="1483">
      <c r="A1483">
        <f>IF(Entry!$C1483="","",Entry!$C1483)</f>
        <v/>
      </c>
      <c r="B1483">
        <f>IF($A1483="","",IF(ISNUMBER($A1483),IF(AND($A1483&gt;=10000101,$A1483&lt;=99991231),INT($A1483/10000),""),IFERROR(VALUE(TRIM(LEFT($A1483,FIND("/",$A1483)-1))),"")))</f>
        <v/>
      </c>
      <c r="C1483">
        <f>IF(OR($A1483="",$B1483=""),"",IF(ISNUMBER($A1483),INT(MOD($A1483,10000)/100),IFERROR(VALUE(TRIM(LEFT(MID($A1483,FIND("/",$A1483)+1,20),FIND("/",MID($A1483,FIND("/",$A1483)+1,20))-1))),"")))</f>
        <v/>
      </c>
      <c r="D1483">
        <f>IF(OR($A1483="",$B1483=""),"",IF(ISNUMBER($A1483),MOD($A1483,100),IFERROR(VALUE(TRIM(MID(MID($A1483,FIND("/",$A1483)+1,20),FIND("/",MID($A1483,FIND("/",$A1483)+1,20))+1,20))),"")))</f>
        <v/>
      </c>
      <c r="E1483">
        <f>IF($A1483="","",IF(OR($B1483="",$C1483="",$D1483="",$B1483&lt;1300,$B1483&gt;1500,$C1483&lt;1,$C1483&gt;12,$D1483&lt;1,$D1483&gt;31),"نامعتبر",RIGHT("0000"&amp;$B1483,4)&amp;"/"&amp;RIGHT("00"&amp;$C1483,2)&amp;"/"&amp;RIGHT("00"&amp;$D1483,2)))</f>
        <v/>
      </c>
      <c r="F1483">
        <f>IF(Entry!$D1483&lt;&gt;"",IF(AND(ISNUMBER(Entry!$D1483),Entry!$D1483&gt;=0,Entry!$D1483&lt;1),RIGHT("00"&amp;HOUR(Entry!$D1483),2)&amp;":"&amp;RIGHT("00"&amp;MINUTE(Entry!$D1483),2),IFERROR(RIGHT("00"&amp;VALUE(TRIM(LEFT(Entry!$D1483,FIND(":",Entry!$D1483)-1))),2)&amp;":"&amp;RIGHT("00"&amp;VALUE(TRIM(MID(Entry!$D1483,FIND(":",Entry!$D1483)+1,2))),2),"نامعتبر")),IF(OR($E1483="",$E1483="نامعتبر"),"","00:00"))</f>
        <v/>
      </c>
      <c r="G1483">
        <f>IF(OR($E1483="",$E1483="نامعتبر"),"",IF(Entry!$E1483="","",LEFT(UPPER(TRIM(Entry!$E1483)),6)))</f>
        <v/>
      </c>
      <c r="H1483">
        <f>IF($G1483="","",RIGHT($E1483,4)&amp;MID($E1483,6,2)&amp;RIGHT($E1483,2)&amp;IF($F1483="","0000",IF($F1483="نامعتبر","9999",LEFT($F1483,2)&amp;RIGHT($F1483,2)))&amp;"|"&amp;RIGHT("00000"&amp;1475,5))</f>
        <v/>
      </c>
      <c r="I1483">
        <f>IF($H1483="","",COUNTIFS(CalcBank,$G1483,CalcKey,"&lt;"&amp;$H1483)+1)</f>
        <v/>
      </c>
      <c r="J1483">
        <f>IF($I1483="","",$G1483&amp;"|"&amp;RIGHT("000000"&amp;$I1483,6))</f>
        <v/>
      </c>
      <c r="K1483">
        <f>IF(OR($E1483="",$E1483="نامعتبر"),"",LEFT($E1483,4)&amp;"/"&amp;MID($E1483,6,2))</f>
        <v/>
      </c>
      <c r="L1483">
        <f>IF(Entry!$K1483="",0,Entry!$K1483)</f>
        <v/>
      </c>
      <c r="M1483">
        <f>IF(Entry!$L1483="",0,Entry!$L1483)</f>
        <v/>
      </c>
    </row>
    <row r="1484">
      <c r="A1484">
        <f>IF(Entry!$C1484="","",Entry!$C1484)</f>
        <v/>
      </c>
      <c r="B1484">
        <f>IF($A1484="","",IF(ISNUMBER($A1484),IF(AND($A1484&gt;=10000101,$A1484&lt;=99991231),INT($A1484/10000),""),IFERROR(VALUE(TRIM(LEFT($A1484,FIND("/",$A1484)-1))),"")))</f>
        <v/>
      </c>
      <c r="C1484">
        <f>IF(OR($A1484="",$B1484=""),"",IF(ISNUMBER($A1484),INT(MOD($A1484,10000)/100),IFERROR(VALUE(TRIM(LEFT(MID($A1484,FIND("/",$A1484)+1,20),FIND("/",MID($A1484,FIND("/",$A1484)+1,20))-1))),"")))</f>
        <v/>
      </c>
      <c r="D1484">
        <f>IF(OR($A1484="",$B1484=""),"",IF(ISNUMBER($A1484),MOD($A1484,100),IFERROR(VALUE(TRIM(MID(MID($A1484,FIND("/",$A1484)+1,20),FIND("/",MID($A1484,FIND("/",$A1484)+1,20))+1,20))),"")))</f>
        <v/>
      </c>
      <c r="E1484">
        <f>IF($A1484="","",IF(OR($B1484="",$C1484="",$D1484="",$B1484&lt;1300,$B1484&gt;1500,$C1484&lt;1,$C1484&gt;12,$D1484&lt;1,$D1484&gt;31),"نامعتبر",RIGHT("0000"&amp;$B1484,4)&amp;"/"&amp;RIGHT("00"&amp;$C1484,2)&amp;"/"&amp;RIGHT("00"&amp;$D1484,2)))</f>
        <v/>
      </c>
      <c r="F1484">
        <f>IF(Entry!$D1484&lt;&gt;"",IF(AND(ISNUMBER(Entry!$D1484),Entry!$D1484&gt;=0,Entry!$D1484&lt;1),RIGHT("00"&amp;HOUR(Entry!$D1484),2)&amp;":"&amp;RIGHT("00"&amp;MINUTE(Entry!$D1484),2),IFERROR(RIGHT("00"&amp;VALUE(TRIM(LEFT(Entry!$D1484,FIND(":",Entry!$D1484)-1))),2)&amp;":"&amp;RIGHT("00"&amp;VALUE(TRIM(MID(Entry!$D1484,FIND(":",Entry!$D1484)+1,2))),2),"نامعتبر")),IF(OR($E1484="",$E1484="نامعتبر"),"","00:00"))</f>
        <v/>
      </c>
      <c r="G1484">
        <f>IF(OR($E1484="",$E1484="نامعتبر"),"",IF(Entry!$E1484="","",LEFT(UPPER(TRIM(Entry!$E1484)),6)))</f>
        <v/>
      </c>
      <c r="H1484">
        <f>IF($G1484="","",RIGHT($E1484,4)&amp;MID($E1484,6,2)&amp;RIGHT($E1484,2)&amp;IF($F1484="","0000",IF($F1484="نامعتبر","9999",LEFT($F1484,2)&amp;RIGHT($F1484,2)))&amp;"|"&amp;RIGHT("00000"&amp;1476,5))</f>
        <v/>
      </c>
      <c r="I1484">
        <f>IF($H1484="","",COUNTIFS(CalcBank,$G1484,CalcKey,"&lt;"&amp;$H1484)+1)</f>
        <v/>
      </c>
      <c r="J1484">
        <f>IF($I1484="","",$G1484&amp;"|"&amp;RIGHT("000000"&amp;$I1484,6))</f>
        <v/>
      </c>
      <c r="K1484">
        <f>IF(OR($E1484="",$E1484="نامعتبر"),"",LEFT($E1484,4)&amp;"/"&amp;MID($E1484,6,2))</f>
        <v/>
      </c>
      <c r="L1484">
        <f>IF(Entry!$K1484="",0,Entry!$K1484)</f>
        <v/>
      </c>
      <c r="M1484">
        <f>IF(Entry!$L1484="",0,Entry!$L1484)</f>
        <v/>
      </c>
    </row>
    <row r="1485">
      <c r="A1485">
        <f>IF(Entry!$C1485="","",Entry!$C1485)</f>
        <v/>
      </c>
      <c r="B1485">
        <f>IF($A1485="","",IF(ISNUMBER($A1485),IF(AND($A1485&gt;=10000101,$A1485&lt;=99991231),INT($A1485/10000),""),IFERROR(VALUE(TRIM(LEFT($A1485,FIND("/",$A1485)-1))),"")))</f>
        <v/>
      </c>
      <c r="C1485">
        <f>IF(OR($A1485="",$B1485=""),"",IF(ISNUMBER($A1485),INT(MOD($A1485,10000)/100),IFERROR(VALUE(TRIM(LEFT(MID($A1485,FIND("/",$A1485)+1,20),FIND("/",MID($A1485,FIND("/",$A1485)+1,20))-1))),"")))</f>
        <v/>
      </c>
      <c r="D1485">
        <f>IF(OR($A1485="",$B1485=""),"",IF(ISNUMBER($A1485),MOD($A1485,100),IFERROR(VALUE(TRIM(MID(MID($A1485,FIND("/",$A1485)+1,20),FIND("/",MID($A1485,FIND("/",$A1485)+1,20))+1,20))),"")))</f>
        <v/>
      </c>
      <c r="E1485">
        <f>IF($A1485="","",IF(OR($B1485="",$C1485="",$D1485="",$B1485&lt;1300,$B1485&gt;1500,$C1485&lt;1,$C1485&gt;12,$D1485&lt;1,$D1485&gt;31),"نامعتبر",RIGHT("0000"&amp;$B1485,4)&amp;"/"&amp;RIGHT("00"&amp;$C1485,2)&amp;"/"&amp;RIGHT("00"&amp;$D1485,2)))</f>
        <v/>
      </c>
      <c r="F1485">
        <f>IF(Entry!$D1485&lt;&gt;"",IF(AND(ISNUMBER(Entry!$D1485),Entry!$D1485&gt;=0,Entry!$D1485&lt;1),RIGHT("00"&amp;HOUR(Entry!$D1485),2)&amp;":"&amp;RIGHT("00"&amp;MINUTE(Entry!$D1485),2),IFERROR(RIGHT("00"&amp;VALUE(TRIM(LEFT(Entry!$D1485,FIND(":",Entry!$D1485)-1))),2)&amp;":"&amp;RIGHT("00"&amp;VALUE(TRIM(MID(Entry!$D1485,FIND(":",Entry!$D1485)+1,2))),2),"نامعتبر")),IF(OR($E1485="",$E1485="نامعتبر"),"","00:00"))</f>
        <v/>
      </c>
      <c r="G1485">
        <f>IF(OR($E1485="",$E1485="نامعتبر"),"",IF(Entry!$E1485="","",LEFT(UPPER(TRIM(Entry!$E1485)),6)))</f>
        <v/>
      </c>
      <c r="H1485">
        <f>IF($G1485="","",RIGHT($E1485,4)&amp;MID($E1485,6,2)&amp;RIGHT($E1485,2)&amp;IF($F1485="","0000",IF($F1485="نامعتبر","9999",LEFT($F1485,2)&amp;RIGHT($F1485,2)))&amp;"|"&amp;RIGHT("00000"&amp;1477,5))</f>
        <v/>
      </c>
      <c r="I1485">
        <f>IF($H1485="","",COUNTIFS(CalcBank,$G1485,CalcKey,"&lt;"&amp;$H1485)+1)</f>
        <v/>
      </c>
      <c r="J1485">
        <f>IF($I1485="","",$G1485&amp;"|"&amp;RIGHT("000000"&amp;$I1485,6))</f>
        <v/>
      </c>
      <c r="K1485">
        <f>IF(OR($E1485="",$E1485="نامعتبر"),"",LEFT($E1485,4)&amp;"/"&amp;MID($E1485,6,2))</f>
        <v/>
      </c>
      <c r="L1485">
        <f>IF(Entry!$K1485="",0,Entry!$K1485)</f>
        <v/>
      </c>
      <c r="M1485">
        <f>IF(Entry!$L1485="",0,Entry!$L1485)</f>
        <v/>
      </c>
    </row>
    <row r="1486">
      <c r="A1486">
        <f>IF(Entry!$C1486="","",Entry!$C1486)</f>
        <v/>
      </c>
      <c r="B1486">
        <f>IF($A1486="","",IF(ISNUMBER($A1486),IF(AND($A1486&gt;=10000101,$A1486&lt;=99991231),INT($A1486/10000),""),IFERROR(VALUE(TRIM(LEFT($A1486,FIND("/",$A1486)-1))),"")))</f>
        <v/>
      </c>
      <c r="C1486">
        <f>IF(OR($A1486="",$B1486=""),"",IF(ISNUMBER($A1486),INT(MOD($A1486,10000)/100),IFERROR(VALUE(TRIM(LEFT(MID($A1486,FIND("/",$A1486)+1,20),FIND("/",MID($A1486,FIND("/",$A1486)+1,20))-1))),"")))</f>
        <v/>
      </c>
      <c r="D1486">
        <f>IF(OR($A1486="",$B1486=""),"",IF(ISNUMBER($A1486),MOD($A1486,100),IFERROR(VALUE(TRIM(MID(MID($A1486,FIND("/",$A1486)+1,20),FIND("/",MID($A1486,FIND("/",$A1486)+1,20))+1,20))),"")))</f>
        <v/>
      </c>
      <c r="E1486">
        <f>IF($A1486="","",IF(OR($B1486="",$C1486="",$D1486="",$B1486&lt;1300,$B1486&gt;1500,$C1486&lt;1,$C1486&gt;12,$D1486&lt;1,$D1486&gt;31),"نامعتبر",RIGHT("0000"&amp;$B1486,4)&amp;"/"&amp;RIGHT("00"&amp;$C1486,2)&amp;"/"&amp;RIGHT("00"&amp;$D1486,2)))</f>
        <v/>
      </c>
      <c r="F1486">
        <f>IF(Entry!$D1486&lt;&gt;"",IF(AND(ISNUMBER(Entry!$D1486),Entry!$D1486&gt;=0,Entry!$D1486&lt;1),RIGHT("00"&amp;HOUR(Entry!$D1486),2)&amp;":"&amp;RIGHT("00"&amp;MINUTE(Entry!$D1486),2),IFERROR(RIGHT("00"&amp;VALUE(TRIM(LEFT(Entry!$D1486,FIND(":",Entry!$D1486)-1))),2)&amp;":"&amp;RIGHT("00"&amp;VALUE(TRIM(MID(Entry!$D1486,FIND(":",Entry!$D1486)+1,2))),2),"نامعتبر")),IF(OR($E1486="",$E1486="نامعتبر"),"","00:00"))</f>
        <v/>
      </c>
      <c r="G1486">
        <f>IF(OR($E1486="",$E1486="نامعتبر"),"",IF(Entry!$E1486="","",LEFT(UPPER(TRIM(Entry!$E1486)),6)))</f>
        <v/>
      </c>
      <c r="H1486">
        <f>IF($G1486="","",RIGHT($E1486,4)&amp;MID($E1486,6,2)&amp;RIGHT($E1486,2)&amp;IF($F1486="","0000",IF($F1486="نامعتبر","9999",LEFT($F1486,2)&amp;RIGHT($F1486,2)))&amp;"|"&amp;RIGHT("00000"&amp;1478,5))</f>
        <v/>
      </c>
      <c r="I1486">
        <f>IF($H1486="","",COUNTIFS(CalcBank,$G1486,CalcKey,"&lt;"&amp;$H1486)+1)</f>
        <v/>
      </c>
      <c r="J1486">
        <f>IF($I1486="","",$G1486&amp;"|"&amp;RIGHT("000000"&amp;$I1486,6))</f>
        <v/>
      </c>
      <c r="K1486">
        <f>IF(OR($E1486="",$E1486="نامعتبر"),"",LEFT($E1486,4)&amp;"/"&amp;MID($E1486,6,2))</f>
        <v/>
      </c>
      <c r="L1486">
        <f>IF(Entry!$K1486="",0,Entry!$K1486)</f>
        <v/>
      </c>
      <c r="M1486">
        <f>IF(Entry!$L1486="",0,Entry!$L1486)</f>
        <v/>
      </c>
    </row>
    <row r="1487">
      <c r="A1487">
        <f>IF(Entry!$C1487="","",Entry!$C1487)</f>
        <v/>
      </c>
      <c r="B1487">
        <f>IF($A1487="","",IF(ISNUMBER($A1487),IF(AND($A1487&gt;=10000101,$A1487&lt;=99991231),INT($A1487/10000),""),IFERROR(VALUE(TRIM(LEFT($A1487,FIND("/",$A1487)-1))),"")))</f>
        <v/>
      </c>
      <c r="C1487">
        <f>IF(OR($A1487="",$B1487=""),"",IF(ISNUMBER($A1487),INT(MOD($A1487,10000)/100),IFERROR(VALUE(TRIM(LEFT(MID($A1487,FIND("/",$A1487)+1,20),FIND("/",MID($A1487,FIND("/",$A1487)+1,20))-1))),"")))</f>
        <v/>
      </c>
      <c r="D1487">
        <f>IF(OR($A1487="",$B1487=""),"",IF(ISNUMBER($A1487),MOD($A1487,100),IFERROR(VALUE(TRIM(MID(MID($A1487,FIND("/",$A1487)+1,20),FIND("/",MID($A1487,FIND("/",$A1487)+1,20))+1,20))),"")))</f>
        <v/>
      </c>
      <c r="E1487">
        <f>IF($A1487="","",IF(OR($B1487="",$C1487="",$D1487="",$B1487&lt;1300,$B1487&gt;1500,$C1487&lt;1,$C1487&gt;12,$D1487&lt;1,$D1487&gt;31),"نامعتبر",RIGHT("0000"&amp;$B1487,4)&amp;"/"&amp;RIGHT("00"&amp;$C1487,2)&amp;"/"&amp;RIGHT("00"&amp;$D1487,2)))</f>
        <v/>
      </c>
      <c r="F1487">
        <f>IF(Entry!$D1487&lt;&gt;"",IF(AND(ISNUMBER(Entry!$D1487),Entry!$D1487&gt;=0,Entry!$D1487&lt;1),RIGHT("00"&amp;HOUR(Entry!$D1487),2)&amp;":"&amp;RIGHT("00"&amp;MINUTE(Entry!$D1487),2),IFERROR(RIGHT("00"&amp;VALUE(TRIM(LEFT(Entry!$D1487,FIND(":",Entry!$D1487)-1))),2)&amp;":"&amp;RIGHT("00"&amp;VALUE(TRIM(MID(Entry!$D1487,FIND(":",Entry!$D1487)+1,2))),2),"نامعتبر")),IF(OR($E1487="",$E1487="نامعتبر"),"","00:00"))</f>
        <v/>
      </c>
      <c r="G1487">
        <f>IF(OR($E1487="",$E1487="نامعتبر"),"",IF(Entry!$E1487="","",LEFT(UPPER(TRIM(Entry!$E1487)),6)))</f>
        <v/>
      </c>
      <c r="H1487">
        <f>IF($G1487="","",RIGHT($E1487,4)&amp;MID($E1487,6,2)&amp;RIGHT($E1487,2)&amp;IF($F1487="","0000",IF($F1487="نامعتبر","9999",LEFT($F1487,2)&amp;RIGHT($F1487,2)))&amp;"|"&amp;RIGHT("00000"&amp;1479,5))</f>
        <v/>
      </c>
      <c r="I1487">
        <f>IF($H1487="","",COUNTIFS(CalcBank,$G1487,CalcKey,"&lt;"&amp;$H1487)+1)</f>
        <v/>
      </c>
      <c r="J1487">
        <f>IF($I1487="","",$G1487&amp;"|"&amp;RIGHT("000000"&amp;$I1487,6))</f>
        <v/>
      </c>
      <c r="K1487">
        <f>IF(OR($E1487="",$E1487="نامعتبر"),"",LEFT($E1487,4)&amp;"/"&amp;MID($E1487,6,2))</f>
        <v/>
      </c>
      <c r="L1487">
        <f>IF(Entry!$K1487="",0,Entry!$K1487)</f>
        <v/>
      </c>
      <c r="M1487">
        <f>IF(Entry!$L1487="",0,Entry!$L1487)</f>
        <v/>
      </c>
    </row>
    <row r="1488">
      <c r="A1488">
        <f>IF(Entry!$C1488="","",Entry!$C1488)</f>
        <v/>
      </c>
      <c r="B1488">
        <f>IF($A1488="","",IF(ISNUMBER($A1488),IF(AND($A1488&gt;=10000101,$A1488&lt;=99991231),INT($A1488/10000),""),IFERROR(VALUE(TRIM(LEFT($A1488,FIND("/",$A1488)-1))),"")))</f>
        <v/>
      </c>
      <c r="C1488">
        <f>IF(OR($A1488="",$B1488=""),"",IF(ISNUMBER($A1488),INT(MOD($A1488,10000)/100),IFERROR(VALUE(TRIM(LEFT(MID($A1488,FIND("/",$A1488)+1,20),FIND("/",MID($A1488,FIND("/",$A1488)+1,20))-1))),"")))</f>
        <v/>
      </c>
      <c r="D1488">
        <f>IF(OR($A1488="",$B1488=""),"",IF(ISNUMBER($A1488),MOD($A1488,100),IFERROR(VALUE(TRIM(MID(MID($A1488,FIND("/",$A1488)+1,20),FIND("/",MID($A1488,FIND("/",$A1488)+1,20))+1,20))),"")))</f>
        <v/>
      </c>
      <c r="E1488">
        <f>IF($A1488="","",IF(OR($B1488="",$C1488="",$D1488="",$B1488&lt;1300,$B1488&gt;1500,$C1488&lt;1,$C1488&gt;12,$D1488&lt;1,$D1488&gt;31),"نامعتبر",RIGHT("0000"&amp;$B1488,4)&amp;"/"&amp;RIGHT("00"&amp;$C1488,2)&amp;"/"&amp;RIGHT("00"&amp;$D1488,2)))</f>
        <v/>
      </c>
      <c r="F1488">
        <f>IF(Entry!$D1488&lt;&gt;"",IF(AND(ISNUMBER(Entry!$D1488),Entry!$D1488&gt;=0,Entry!$D1488&lt;1),RIGHT("00"&amp;HOUR(Entry!$D1488),2)&amp;":"&amp;RIGHT("00"&amp;MINUTE(Entry!$D1488),2),IFERROR(RIGHT("00"&amp;VALUE(TRIM(LEFT(Entry!$D1488,FIND(":",Entry!$D1488)-1))),2)&amp;":"&amp;RIGHT("00"&amp;VALUE(TRIM(MID(Entry!$D1488,FIND(":",Entry!$D1488)+1,2))),2),"نامعتبر")),IF(OR($E1488="",$E1488="نامعتبر"),"","00:00"))</f>
        <v/>
      </c>
      <c r="G1488">
        <f>IF(OR($E1488="",$E1488="نامعتبر"),"",IF(Entry!$E1488="","",LEFT(UPPER(TRIM(Entry!$E1488)),6)))</f>
        <v/>
      </c>
      <c r="H1488">
        <f>IF($G1488="","",RIGHT($E1488,4)&amp;MID($E1488,6,2)&amp;RIGHT($E1488,2)&amp;IF($F1488="","0000",IF($F1488="نامعتبر","9999",LEFT($F1488,2)&amp;RIGHT($F1488,2)))&amp;"|"&amp;RIGHT("00000"&amp;1480,5))</f>
        <v/>
      </c>
      <c r="I1488">
        <f>IF($H1488="","",COUNTIFS(CalcBank,$G1488,CalcKey,"&lt;"&amp;$H1488)+1)</f>
        <v/>
      </c>
      <c r="J1488">
        <f>IF($I1488="","",$G1488&amp;"|"&amp;RIGHT("000000"&amp;$I1488,6))</f>
        <v/>
      </c>
      <c r="K1488">
        <f>IF(OR($E1488="",$E1488="نامعتبر"),"",LEFT($E1488,4)&amp;"/"&amp;MID($E1488,6,2))</f>
        <v/>
      </c>
      <c r="L1488">
        <f>IF(Entry!$K1488="",0,Entry!$K1488)</f>
        <v/>
      </c>
      <c r="M1488">
        <f>IF(Entry!$L1488="",0,Entry!$L1488)</f>
        <v/>
      </c>
    </row>
    <row r="1489">
      <c r="A1489">
        <f>IF(Entry!$C1489="","",Entry!$C1489)</f>
        <v/>
      </c>
      <c r="B1489">
        <f>IF($A1489="","",IF(ISNUMBER($A1489),IF(AND($A1489&gt;=10000101,$A1489&lt;=99991231),INT($A1489/10000),""),IFERROR(VALUE(TRIM(LEFT($A1489,FIND("/",$A1489)-1))),"")))</f>
        <v/>
      </c>
      <c r="C1489">
        <f>IF(OR($A1489="",$B1489=""),"",IF(ISNUMBER($A1489),INT(MOD($A1489,10000)/100),IFERROR(VALUE(TRIM(LEFT(MID($A1489,FIND("/",$A1489)+1,20),FIND("/",MID($A1489,FIND("/",$A1489)+1,20))-1))),"")))</f>
        <v/>
      </c>
      <c r="D1489">
        <f>IF(OR($A1489="",$B1489=""),"",IF(ISNUMBER($A1489),MOD($A1489,100),IFERROR(VALUE(TRIM(MID(MID($A1489,FIND("/",$A1489)+1,20),FIND("/",MID($A1489,FIND("/",$A1489)+1,20))+1,20))),"")))</f>
        <v/>
      </c>
      <c r="E1489">
        <f>IF($A1489="","",IF(OR($B1489="",$C1489="",$D1489="",$B1489&lt;1300,$B1489&gt;1500,$C1489&lt;1,$C1489&gt;12,$D1489&lt;1,$D1489&gt;31),"نامعتبر",RIGHT("0000"&amp;$B1489,4)&amp;"/"&amp;RIGHT("00"&amp;$C1489,2)&amp;"/"&amp;RIGHT("00"&amp;$D1489,2)))</f>
        <v/>
      </c>
      <c r="F1489">
        <f>IF(Entry!$D1489&lt;&gt;"",IF(AND(ISNUMBER(Entry!$D1489),Entry!$D1489&gt;=0,Entry!$D1489&lt;1),RIGHT("00"&amp;HOUR(Entry!$D1489),2)&amp;":"&amp;RIGHT("00"&amp;MINUTE(Entry!$D1489),2),IFERROR(RIGHT("00"&amp;VALUE(TRIM(LEFT(Entry!$D1489,FIND(":",Entry!$D1489)-1))),2)&amp;":"&amp;RIGHT("00"&amp;VALUE(TRIM(MID(Entry!$D1489,FIND(":",Entry!$D1489)+1,2))),2),"نامعتبر")),IF(OR($E1489="",$E1489="نامعتبر"),"","00:00"))</f>
        <v/>
      </c>
      <c r="G1489">
        <f>IF(OR($E1489="",$E1489="نامعتبر"),"",IF(Entry!$E1489="","",LEFT(UPPER(TRIM(Entry!$E1489)),6)))</f>
        <v/>
      </c>
      <c r="H1489">
        <f>IF($G1489="","",RIGHT($E1489,4)&amp;MID($E1489,6,2)&amp;RIGHT($E1489,2)&amp;IF($F1489="","0000",IF($F1489="نامعتبر","9999",LEFT($F1489,2)&amp;RIGHT($F1489,2)))&amp;"|"&amp;RIGHT("00000"&amp;1481,5))</f>
        <v/>
      </c>
      <c r="I1489">
        <f>IF($H1489="","",COUNTIFS(CalcBank,$G1489,CalcKey,"&lt;"&amp;$H1489)+1)</f>
        <v/>
      </c>
      <c r="J1489">
        <f>IF($I1489="","",$G1489&amp;"|"&amp;RIGHT("000000"&amp;$I1489,6))</f>
        <v/>
      </c>
      <c r="K1489">
        <f>IF(OR($E1489="",$E1489="نامعتبر"),"",LEFT($E1489,4)&amp;"/"&amp;MID($E1489,6,2))</f>
        <v/>
      </c>
      <c r="L1489">
        <f>IF(Entry!$K1489="",0,Entry!$K1489)</f>
        <v/>
      </c>
      <c r="M1489">
        <f>IF(Entry!$L1489="",0,Entry!$L1489)</f>
        <v/>
      </c>
    </row>
    <row r="1490">
      <c r="A1490">
        <f>IF(Entry!$C1490="","",Entry!$C1490)</f>
        <v/>
      </c>
      <c r="B1490">
        <f>IF($A1490="","",IF(ISNUMBER($A1490),IF(AND($A1490&gt;=10000101,$A1490&lt;=99991231),INT($A1490/10000),""),IFERROR(VALUE(TRIM(LEFT($A1490,FIND("/",$A1490)-1))),"")))</f>
        <v/>
      </c>
      <c r="C1490">
        <f>IF(OR($A1490="",$B1490=""),"",IF(ISNUMBER($A1490),INT(MOD($A1490,10000)/100),IFERROR(VALUE(TRIM(LEFT(MID($A1490,FIND("/",$A1490)+1,20),FIND("/",MID($A1490,FIND("/",$A1490)+1,20))-1))),"")))</f>
        <v/>
      </c>
      <c r="D1490">
        <f>IF(OR($A1490="",$B1490=""),"",IF(ISNUMBER($A1490),MOD($A1490,100),IFERROR(VALUE(TRIM(MID(MID($A1490,FIND("/",$A1490)+1,20),FIND("/",MID($A1490,FIND("/",$A1490)+1,20))+1,20))),"")))</f>
        <v/>
      </c>
      <c r="E1490">
        <f>IF($A1490="","",IF(OR($B1490="",$C1490="",$D1490="",$B1490&lt;1300,$B1490&gt;1500,$C1490&lt;1,$C1490&gt;12,$D1490&lt;1,$D1490&gt;31),"نامعتبر",RIGHT("0000"&amp;$B1490,4)&amp;"/"&amp;RIGHT("00"&amp;$C1490,2)&amp;"/"&amp;RIGHT("00"&amp;$D1490,2)))</f>
        <v/>
      </c>
      <c r="F1490">
        <f>IF(Entry!$D1490&lt;&gt;"",IF(AND(ISNUMBER(Entry!$D1490),Entry!$D1490&gt;=0,Entry!$D1490&lt;1),RIGHT("00"&amp;HOUR(Entry!$D1490),2)&amp;":"&amp;RIGHT("00"&amp;MINUTE(Entry!$D1490),2),IFERROR(RIGHT("00"&amp;VALUE(TRIM(LEFT(Entry!$D1490,FIND(":",Entry!$D1490)-1))),2)&amp;":"&amp;RIGHT("00"&amp;VALUE(TRIM(MID(Entry!$D1490,FIND(":",Entry!$D1490)+1,2))),2),"نامعتبر")),IF(OR($E1490="",$E1490="نامعتبر"),"","00:00"))</f>
        <v/>
      </c>
      <c r="G1490">
        <f>IF(OR($E1490="",$E1490="نامعتبر"),"",IF(Entry!$E1490="","",LEFT(UPPER(TRIM(Entry!$E1490)),6)))</f>
        <v/>
      </c>
      <c r="H1490">
        <f>IF($G1490="","",RIGHT($E1490,4)&amp;MID($E1490,6,2)&amp;RIGHT($E1490,2)&amp;IF($F1490="","0000",IF($F1490="نامعتبر","9999",LEFT($F1490,2)&amp;RIGHT($F1490,2)))&amp;"|"&amp;RIGHT("00000"&amp;1482,5))</f>
        <v/>
      </c>
      <c r="I1490">
        <f>IF($H1490="","",COUNTIFS(CalcBank,$G1490,CalcKey,"&lt;"&amp;$H1490)+1)</f>
        <v/>
      </c>
      <c r="J1490">
        <f>IF($I1490="","",$G1490&amp;"|"&amp;RIGHT("000000"&amp;$I1490,6))</f>
        <v/>
      </c>
      <c r="K1490">
        <f>IF(OR($E1490="",$E1490="نامعتبر"),"",LEFT($E1490,4)&amp;"/"&amp;MID($E1490,6,2))</f>
        <v/>
      </c>
      <c r="L1490">
        <f>IF(Entry!$K1490="",0,Entry!$K1490)</f>
        <v/>
      </c>
      <c r="M1490">
        <f>IF(Entry!$L1490="",0,Entry!$L1490)</f>
        <v/>
      </c>
    </row>
    <row r="1491">
      <c r="A1491">
        <f>IF(Entry!$C1491="","",Entry!$C1491)</f>
        <v/>
      </c>
      <c r="B1491">
        <f>IF($A1491="","",IF(ISNUMBER($A1491),IF(AND($A1491&gt;=10000101,$A1491&lt;=99991231),INT($A1491/10000),""),IFERROR(VALUE(TRIM(LEFT($A1491,FIND("/",$A1491)-1))),"")))</f>
        <v/>
      </c>
      <c r="C1491">
        <f>IF(OR($A1491="",$B1491=""),"",IF(ISNUMBER($A1491),INT(MOD($A1491,10000)/100),IFERROR(VALUE(TRIM(LEFT(MID($A1491,FIND("/",$A1491)+1,20),FIND("/",MID($A1491,FIND("/",$A1491)+1,20))-1))),"")))</f>
        <v/>
      </c>
      <c r="D1491">
        <f>IF(OR($A1491="",$B1491=""),"",IF(ISNUMBER($A1491),MOD($A1491,100),IFERROR(VALUE(TRIM(MID(MID($A1491,FIND("/",$A1491)+1,20),FIND("/",MID($A1491,FIND("/",$A1491)+1,20))+1,20))),"")))</f>
        <v/>
      </c>
      <c r="E1491">
        <f>IF($A1491="","",IF(OR($B1491="",$C1491="",$D1491="",$B1491&lt;1300,$B1491&gt;1500,$C1491&lt;1,$C1491&gt;12,$D1491&lt;1,$D1491&gt;31),"نامعتبر",RIGHT("0000"&amp;$B1491,4)&amp;"/"&amp;RIGHT("00"&amp;$C1491,2)&amp;"/"&amp;RIGHT("00"&amp;$D1491,2)))</f>
        <v/>
      </c>
      <c r="F1491">
        <f>IF(Entry!$D1491&lt;&gt;"",IF(AND(ISNUMBER(Entry!$D1491),Entry!$D1491&gt;=0,Entry!$D1491&lt;1),RIGHT("00"&amp;HOUR(Entry!$D1491),2)&amp;":"&amp;RIGHT("00"&amp;MINUTE(Entry!$D1491),2),IFERROR(RIGHT("00"&amp;VALUE(TRIM(LEFT(Entry!$D1491,FIND(":",Entry!$D1491)-1))),2)&amp;":"&amp;RIGHT("00"&amp;VALUE(TRIM(MID(Entry!$D1491,FIND(":",Entry!$D1491)+1,2))),2),"نامعتبر")),IF(OR($E1491="",$E1491="نامعتبر"),"","00:00"))</f>
        <v/>
      </c>
      <c r="G1491">
        <f>IF(OR($E1491="",$E1491="نامعتبر"),"",IF(Entry!$E1491="","",LEFT(UPPER(TRIM(Entry!$E1491)),6)))</f>
        <v/>
      </c>
      <c r="H1491">
        <f>IF($G1491="","",RIGHT($E1491,4)&amp;MID($E1491,6,2)&amp;RIGHT($E1491,2)&amp;IF($F1491="","0000",IF($F1491="نامعتبر","9999",LEFT($F1491,2)&amp;RIGHT($F1491,2)))&amp;"|"&amp;RIGHT("00000"&amp;1483,5))</f>
        <v/>
      </c>
      <c r="I1491">
        <f>IF($H1491="","",COUNTIFS(CalcBank,$G1491,CalcKey,"&lt;"&amp;$H1491)+1)</f>
        <v/>
      </c>
      <c r="J1491">
        <f>IF($I1491="","",$G1491&amp;"|"&amp;RIGHT("000000"&amp;$I1491,6))</f>
        <v/>
      </c>
      <c r="K1491">
        <f>IF(OR($E1491="",$E1491="نامعتبر"),"",LEFT($E1491,4)&amp;"/"&amp;MID($E1491,6,2))</f>
        <v/>
      </c>
      <c r="L1491">
        <f>IF(Entry!$K1491="",0,Entry!$K1491)</f>
        <v/>
      </c>
      <c r="M1491">
        <f>IF(Entry!$L1491="",0,Entry!$L1491)</f>
        <v/>
      </c>
    </row>
    <row r="1492">
      <c r="A1492">
        <f>IF(Entry!$C1492="","",Entry!$C1492)</f>
        <v/>
      </c>
      <c r="B1492">
        <f>IF($A1492="","",IF(ISNUMBER($A1492),IF(AND($A1492&gt;=10000101,$A1492&lt;=99991231),INT($A1492/10000),""),IFERROR(VALUE(TRIM(LEFT($A1492,FIND("/",$A1492)-1))),"")))</f>
        <v/>
      </c>
      <c r="C1492">
        <f>IF(OR($A1492="",$B1492=""),"",IF(ISNUMBER($A1492),INT(MOD($A1492,10000)/100),IFERROR(VALUE(TRIM(LEFT(MID($A1492,FIND("/",$A1492)+1,20),FIND("/",MID($A1492,FIND("/",$A1492)+1,20))-1))),"")))</f>
        <v/>
      </c>
      <c r="D1492">
        <f>IF(OR($A1492="",$B1492=""),"",IF(ISNUMBER($A1492),MOD($A1492,100),IFERROR(VALUE(TRIM(MID(MID($A1492,FIND("/",$A1492)+1,20),FIND("/",MID($A1492,FIND("/",$A1492)+1,20))+1,20))),"")))</f>
        <v/>
      </c>
      <c r="E1492">
        <f>IF($A1492="","",IF(OR($B1492="",$C1492="",$D1492="",$B1492&lt;1300,$B1492&gt;1500,$C1492&lt;1,$C1492&gt;12,$D1492&lt;1,$D1492&gt;31),"نامعتبر",RIGHT("0000"&amp;$B1492,4)&amp;"/"&amp;RIGHT("00"&amp;$C1492,2)&amp;"/"&amp;RIGHT("00"&amp;$D1492,2)))</f>
        <v/>
      </c>
      <c r="F1492">
        <f>IF(Entry!$D1492&lt;&gt;"",IF(AND(ISNUMBER(Entry!$D1492),Entry!$D1492&gt;=0,Entry!$D1492&lt;1),RIGHT("00"&amp;HOUR(Entry!$D1492),2)&amp;":"&amp;RIGHT("00"&amp;MINUTE(Entry!$D1492),2),IFERROR(RIGHT("00"&amp;VALUE(TRIM(LEFT(Entry!$D1492,FIND(":",Entry!$D1492)-1))),2)&amp;":"&amp;RIGHT("00"&amp;VALUE(TRIM(MID(Entry!$D1492,FIND(":",Entry!$D1492)+1,2))),2),"نامعتبر")),IF(OR($E1492="",$E1492="نامعتبر"),"","00:00"))</f>
        <v/>
      </c>
      <c r="G1492">
        <f>IF(OR($E1492="",$E1492="نامعتبر"),"",IF(Entry!$E1492="","",LEFT(UPPER(TRIM(Entry!$E1492)),6)))</f>
        <v/>
      </c>
      <c r="H1492">
        <f>IF($G1492="","",RIGHT($E1492,4)&amp;MID($E1492,6,2)&amp;RIGHT($E1492,2)&amp;IF($F1492="","0000",IF($F1492="نامعتبر","9999",LEFT($F1492,2)&amp;RIGHT($F1492,2)))&amp;"|"&amp;RIGHT("00000"&amp;1484,5))</f>
        <v/>
      </c>
      <c r="I1492">
        <f>IF($H1492="","",COUNTIFS(CalcBank,$G1492,CalcKey,"&lt;"&amp;$H1492)+1)</f>
        <v/>
      </c>
      <c r="J1492">
        <f>IF($I1492="","",$G1492&amp;"|"&amp;RIGHT("000000"&amp;$I1492,6))</f>
        <v/>
      </c>
      <c r="K1492">
        <f>IF(OR($E1492="",$E1492="نامعتبر"),"",LEFT($E1492,4)&amp;"/"&amp;MID($E1492,6,2))</f>
        <v/>
      </c>
      <c r="L1492">
        <f>IF(Entry!$K1492="",0,Entry!$K1492)</f>
        <v/>
      </c>
      <c r="M1492">
        <f>IF(Entry!$L1492="",0,Entry!$L1492)</f>
        <v/>
      </c>
    </row>
    <row r="1493">
      <c r="A1493">
        <f>IF(Entry!$C1493="","",Entry!$C1493)</f>
        <v/>
      </c>
      <c r="B1493">
        <f>IF($A1493="","",IF(ISNUMBER($A1493),IF(AND($A1493&gt;=10000101,$A1493&lt;=99991231),INT($A1493/10000),""),IFERROR(VALUE(TRIM(LEFT($A1493,FIND("/",$A1493)-1))),"")))</f>
        <v/>
      </c>
      <c r="C1493">
        <f>IF(OR($A1493="",$B1493=""),"",IF(ISNUMBER($A1493),INT(MOD($A1493,10000)/100),IFERROR(VALUE(TRIM(LEFT(MID($A1493,FIND("/",$A1493)+1,20),FIND("/",MID($A1493,FIND("/",$A1493)+1,20))-1))),"")))</f>
        <v/>
      </c>
      <c r="D1493">
        <f>IF(OR($A1493="",$B1493=""),"",IF(ISNUMBER($A1493),MOD($A1493,100),IFERROR(VALUE(TRIM(MID(MID($A1493,FIND("/",$A1493)+1,20),FIND("/",MID($A1493,FIND("/",$A1493)+1,20))+1,20))),"")))</f>
        <v/>
      </c>
      <c r="E1493">
        <f>IF($A1493="","",IF(OR($B1493="",$C1493="",$D1493="",$B1493&lt;1300,$B1493&gt;1500,$C1493&lt;1,$C1493&gt;12,$D1493&lt;1,$D1493&gt;31),"نامعتبر",RIGHT("0000"&amp;$B1493,4)&amp;"/"&amp;RIGHT("00"&amp;$C1493,2)&amp;"/"&amp;RIGHT("00"&amp;$D1493,2)))</f>
        <v/>
      </c>
      <c r="F1493">
        <f>IF(Entry!$D1493&lt;&gt;"",IF(AND(ISNUMBER(Entry!$D1493),Entry!$D1493&gt;=0,Entry!$D1493&lt;1),RIGHT("00"&amp;HOUR(Entry!$D1493),2)&amp;":"&amp;RIGHT("00"&amp;MINUTE(Entry!$D1493),2),IFERROR(RIGHT("00"&amp;VALUE(TRIM(LEFT(Entry!$D1493,FIND(":",Entry!$D1493)-1))),2)&amp;":"&amp;RIGHT("00"&amp;VALUE(TRIM(MID(Entry!$D1493,FIND(":",Entry!$D1493)+1,2))),2),"نامعتبر")),IF(OR($E1493="",$E1493="نامعتبر"),"","00:00"))</f>
        <v/>
      </c>
      <c r="G1493">
        <f>IF(OR($E1493="",$E1493="نامعتبر"),"",IF(Entry!$E1493="","",LEFT(UPPER(TRIM(Entry!$E1493)),6)))</f>
        <v/>
      </c>
      <c r="H1493">
        <f>IF($G1493="","",RIGHT($E1493,4)&amp;MID($E1493,6,2)&amp;RIGHT($E1493,2)&amp;IF($F1493="","0000",IF($F1493="نامعتبر","9999",LEFT($F1493,2)&amp;RIGHT($F1493,2)))&amp;"|"&amp;RIGHT("00000"&amp;1485,5))</f>
        <v/>
      </c>
      <c r="I1493">
        <f>IF($H1493="","",COUNTIFS(CalcBank,$G1493,CalcKey,"&lt;"&amp;$H1493)+1)</f>
        <v/>
      </c>
      <c r="J1493">
        <f>IF($I1493="","",$G1493&amp;"|"&amp;RIGHT("000000"&amp;$I1493,6))</f>
        <v/>
      </c>
      <c r="K1493">
        <f>IF(OR($E1493="",$E1493="نامعتبر"),"",LEFT($E1493,4)&amp;"/"&amp;MID($E1493,6,2))</f>
        <v/>
      </c>
      <c r="L1493">
        <f>IF(Entry!$K1493="",0,Entry!$K1493)</f>
        <v/>
      </c>
      <c r="M1493">
        <f>IF(Entry!$L1493="",0,Entry!$L1493)</f>
        <v/>
      </c>
    </row>
    <row r="1494">
      <c r="A1494">
        <f>IF(Entry!$C1494="","",Entry!$C1494)</f>
        <v/>
      </c>
      <c r="B1494">
        <f>IF($A1494="","",IF(ISNUMBER($A1494),IF(AND($A1494&gt;=10000101,$A1494&lt;=99991231),INT($A1494/10000),""),IFERROR(VALUE(TRIM(LEFT($A1494,FIND("/",$A1494)-1))),"")))</f>
        <v/>
      </c>
      <c r="C1494">
        <f>IF(OR($A1494="",$B1494=""),"",IF(ISNUMBER($A1494),INT(MOD($A1494,10000)/100),IFERROR(VALUE(TRIM(LEFT(MID($A1494,FIND("/",$A1494)+1,20),FIND("/",MID($A1494,FIND("/",$A1494)+1,20))-1))),"")))</f>
        <v/>
      </c>
      <c r="D1494">
        <f>IF(OR($A1494="",$B1494=""),"",IF(ISNUMBER($A1494),MOD($A1494,100),IFERROR(VALUE(TRIM(MID(MID($A1494,FIND("/",$A1494)+1,20),FIND("/",MID($A1494,FIND("/",$A1494)+1,20))+1,20))),"")))</f>
        <v/>
      </c>
      <c r="E1494">
        <f>IF($A1494="","",IF(OR($B1494="",$C1494="",$D1494="",$B1494&lt;1300,$B1494&gt;1500,$C1494&lt;1,$C1494&gt;12,$D1494&lt;1,$D1494&gt;31),"نامعتبر",RIGHT("0000"&amp;$B1494,4)&amp;"/"&amp;RIGHT("00"&amp;$C1494,2)&amp;"/"&amp;RIGHT("00"&amp;$D1494,2)))</f>
        <v/>
      </c>
      <c r="F1494">
        <f>IF(Entry!$D1494&lt;&gt;"",IF(AND(ISNUMBER(Entry!$D1494),Entry!$D1494&gt;=0,Entry!$D1494&lt;1),RIGHT("00"&amp;HOUR(Entry!$D1494),2)&amp;":"&amp;RIGHT("00"&amp;MINUTE(Entry!$D1494),2),IFERROR(RIGHT("00"&amp;VALUE(TRIM(LEFT(Entry!$D1494,FIND(":",Entry!$D1494)-1))),2)&amp;":"&amp;RIGHT("00"&amp;VALUE(TRIM(MID(Entry!$D1494,FIND(":",Entry!$D1494)+1,2))),2),"نامعتبر")),IF(OR($E1494="",$E1494="نامعتبر"),"","00:00"))</f>
        <v/>
      </c>
      <c r="G1494">
        <f>IF(OR($E1494="",$E1494="نامعتبر"),"",IF(Entry!$E1494="","",LEFT(UPPER(TRIM(Entry!$E1494)),6)))</f>
        <v/>
      </c>
      <c r="H1494">
        <f>IF($G1494="","",RIGHT($E1494,4)&amp;MID($E1494,6,2)&amp;RIGHT($E1494,2)&amp;IF($F1494="","0000",IF($F1494="نامعتبر","9999",LEFT($F1494,2)&amp;RIGHT($F1494,2)))&amp;"|"&amp;RIGHT("00000"&amp;1486,5))</f>
        <v/>
      </c>
      <c r="I1494">
        <f>IF($H1494="","",COUNTIFS(CalcBank,$G1494,CalcKey,"&lt;"&amp;$H1494)+1)</f>
        <v/>
      </c>
      <c r="J1494">
        <f>IF($I1494="","",$G1494&amp;"|"&amp;RIGHT("000000"&amp;$I1494,6))</f>
        <v/>
      </c>
      <c r="K1494">
        <f>IF(OR($E1494="",$E1494="نامعتبر"),"",LEFT($E1494,4)&amp;"/"&amp;MID($E1494,6,2))</f>
        <v/>
      </c>
      <c r="L1494">
        <f>IF(Entry!$K1494="",0,Entry!$K1494)</f>
        <v/>
      </c>
      <c r="M1494">
        <f>IF(Entry!$L1494="",0,Entry!$L1494)</f>
        <v/>
      </c>
    </row>
    <row r="1495">
      <c r="A1495">
        <f>IF(Entry!$C1495="","",Entry!$C1495)</f>
        <v/>
      </c>
      <c r="B1495">
        <f>IF($A1495="","",IF(ISNUMBER($A1495),IF(AND($A1495&gt;=10000101,$A1495&lt;=99991231),INT($A1495/10000),""),IFERROR(VALUE(TRIM(LEFT($A1495,FIND("/",$A1495)-1))),"")))</f>
        <v/>
      </c>
      <c r="C1495">
        <f>IF(OR($A1495="",$B1495=""),"",IF(ISNUMBER($A1495),INT(MOD($A1495,10000)/100),IFERROR(VALUE(TRIM(LEFT(MID($A1495,FIND("/",$A1495)+1,20),FIND("/",MID($A1495,FIND("/",$A1495)+1,20))-1))),"")))</f>
        <v/>
      </c>
      <c r="D1495">
        <f>IF(OR($A1495="",$B1495=""),"",IF(ISNUMBER($A1495),MOD($A1495,100),IFERROR(VALUE(TRIM(MID(MID($A1495,FIND("/",$A1495)+1,20),FIND("/",MID($A1495,FIND("/",$A1495)+1,20))+1,20))),"")))</f>
        <v/>
      </c>
      <c r="E1495">
        <f>IF($A1495="","",IF(OR($B1495="",$C1495="",$D1495="",$B1495&lt;1300,$B1495&gt;1500,$C1495&lt;1,$C1495&gt;12,$D1495&lt;1,$D1495&gt;31),"نامعتبر",RIGHT("0000"&amp;$B1495,4)&amp;"/"&amp;RIGHT("00"&amp;$C1495,2)&amp;"/"&amp;RIGHT("00"&amp;$D1495,2)))</f>
        <v/>
      </c>
      <c r="F1495">
        <f>IF(Entry!$D1495&lt;&gt;"",IF(AND(ISNUMBER(Entry!$D1495),Entry!$D1495&gt;=0,Entry!$D1495&lt;1),RIGHT("00"&amp;HOUR(Entry!$D1495),2)&amp;":"&amp;RIGHT("00"&amp;MINUTE(Entry!$D1495),2),IFERROR(RIGHT("00"&amp;VALUE(TRIM(LEFT(Entry!$D1495,FIND(":",Entry!$D1495)-1))),2)&amp;":"&amp;RIGHT("00"&amp;VALUE(TRIM(MID(Entry!$D1495,FIND(":",Entry!$D1495)+1,2))),2),"نامعتبر")),IF(OR($E1495="",$E1495="نامعتبر"),"","00:00"))</f>
        <v/>
      </c>
      <c r="G1495">
        <f>IF(OR($E1495="",$E1495="نامعتبر"),"",IF(Entry!$E1495="","",LEFT(UPPER(TRIM(Entry!$E1495)),6)))</f>
        <v/>
      </c>
      <c r="H1495">
        <f>IF($G1495="","",RIGHT($E1495,4)&amp;MID($E1495,6,2)&amp;RIGHT($E1495,2)&amp;IF($F1495="","0000",IF($F1495="نامعتبر","9999",LEFT($F1495,2)&amp;RIGHT($F1495,2)))&amp;"|"&amp;RIGHT("00000"&amp;1487,5))</f>
        <v/>
      </c>
      <c r="I1495">
        <f>IF($H1495="","",COUNTIFS(CalcBank,$G1495,CalcKey,"&lt;"&amp;$H1495)+1)</f>
        <v/>
      </c>
      <c r="J1495">
        <f>IF($I1495="","",$G1495&amp;"|"&amp;RIGHT("000000"&amp;$I1495,6))</f>
        <v/>
      </c>
      <c r="K1495">
        <f>IF(OR($E1495="",$E1495="نامعتبر"),"",LEFT($E1495,4)&amp;"/"&amp;MID($E1495,6,2))</f>
        <v/>
      </c>
      <c r="L1495">
        <f>IF(Entry!$K1495="",0,Entry!$K1495)</f>
        <v/>
      </c>
      <c r="M1495">
        <f>IF(Entry!$L1495="",0,Entry!$L1495)</f>
        <v/>
      </c>
    </row>
    <row r="1496">
      <c r="A1496">
        <f>IF(Entry!$C1496="","",Entry!$C1496)</f>
        <v/>
      </c>
      <c r="B1496">
        <f>IF($A1496="","",IF(ISNUMBER($A1496),IF(AND($A1496&gt;=10000101,$A1496&lt;=99991231),INT($A1496/10000),""),IFERROR(VALUE(TRIM(LEFT($A1496,FIND("/",$A1496)-1))),"")))</f>
        <v/>
      </c>
      <c r="C1496">
        <f>IF(OR($A1496="",$B1496=""),"",IF(ISNUMBER($A1496),INT(MOD($A1496,10000)/100),IFERROR(VALUE(TRIM(LEFT(MID($A1496,FIND("/",$A1496)+1,20),FIND("/",MID($A1496,FIND("/",$A1496)+1,20))-1))),"")))</f>
        <v/>
      </c>
      <c r="D1496">
        <f>IF(OR($A1496="",$B1496=""),"",IF(ISNUMBER($A1496),MOD($A1496,100),IFERROR(VALUE(TRIM(MID(MID($A1496,FIND("/",$A1496)+1,20),FIND("/",MID($A1496,FIND("/",$A1496)+1,20))+1,20))),"")))</f>
        <v/>
      </c>
      <c r="E1496">
        <f>IF($A1496="","",IF(OR($B1496="",$C1496="",$D1496="",$B1496&lt;1300,$B1496&gt;1500,$C1496&lt;1,$C1496&gt;12,$D1496&lt;1,$D1496&gt;31),"نامعتبر",RIGHT("0000"&amp;$B1496,4)&amp;"/"&amp;RIGHT("00"&amp;$C1496,2)&amp;"/"&amp;RIGHT("00"&amp;$D1496,2)))</f>
        <v/>
      </c>
      <c r="F1496">
        <f>IF(Entry!$D1496&lt;&gt;"",IF(AND(ISNUMBER(Entry!$D1496),Entry!$D1496&gt;=0,Entry!$D1496&lt;1),RIGHT("00"&amp;HOUR(Entry!$D1496),2)&amp;":"&amp;RIGHT("00"&amp;MINUTE(Entry!$D1496),2),IFERROR(RIGHT("00"&amp;VALUE(TRIM(LEFT(Entry!$D1496,FIND(":",Entry!$D1496)-1))),2)&amp;":"&amp;RIGHT("00"&amp;VALUE(TRIM(MID(Entry!$D1496,FIND(":",Entry!$D1496)+1,2))),2),"نامعتبر")),IF(OR($E1496="",$E1496="نامعتبر"),"","00:00"))</f>
        <v/>
      </c>
      <c r="G1496">
        <f>IF(OR($E1496="",$E1496="نامعتبر"),"",IF(Entry!$E1496="","",LEFT(UPPER(TRIM(Entry!$E1496)),6)))</f>
        <v/>
      </c>
      <c r="H1496">
        <f>IF($G1496="","",RIGHT($E1496,4)&amp;MID($E1496,6,2)&amp;RIGHT($E1496,2)&amp;IF($F1496="","0000",IF($F1496="نامعتبر","9999",LEFT($F1496,2)&amp;RIGHT($F1496,2)))&amp;"|"&amp;RIGHT("00000"&amp;1488,5))</f>
        <v/>
      </c>
      <c r="I1496">
        <f>IF($H1496="","",COUNTIFS(CalcBank,$G1496,CalcKey,"&lt;"&amp;$H1496)+1)</f>
        <v/>
      </c>
      <c r="J1496">
        <f>IF($I1496="","",$G1496&amp;"|"&amp;RIGHT("000000"&amp;$I1496,6))</f>
        <v/>
      </c>
      <c r="K1496">
        <f>IF(OR($E1496="",$E1496="نامعتبر"),"",LEFT($E1496,4)&amp;"/"&amp;MID($E1496,6,2))</f>
        <v/>
      </c>
      <c r="L1496">
        <f>IF(Entry!$K1496="",0,Entry!$K1496)</f>
        <v/>
      </c>
      <c r="M1496">
        <f>IF(Entry!$L1496="",0,Entry!$L1496)</f>
        <v/>
      </c>
    </row>
    <row r="1497">
      <c r="A1497">
        <f>IF(Entry!$C1497="","",Entry!$C1497)</f>
        <v/>
      </c>
      <c r="B1497">
        <f>IF($A1497="","",IF(ISNUMBER($A1497),IF(AND($A1497&gt;=10000101,$A1497&lt;=99991231),INT($A1497/10000),""),IFERROR(VALUE(TRIM(LEFT($A1497,FIND("/",$A1497)-1))),"")))</f>
        <v/>
      </c>
      <c r="C1497">
        <f>IF(OR($A1497="",$B1497=""),"",IF(ISNUMBER($A1497),INT(MOD($A1497,10000)/100),IFERROR(VALUE(TRIM(LEFT(MID($A1497,FIND("/",$A1497)+1,20),FIND("/",MID($A1497,FIND("/",$A1497)+1,20))-1))),"")))</f>
        <v/>
      </c>
      <c r="D1497">
        <f>IF(OR($A1497="",$B1497=""),"",IF(ISNUMBER($A1497),MOD($A1497,100),IFERROR(VALUE(TRIM(MID(MID($A1497,FIND("/",$A1497)+1,20),FIND("/",MID($A1497,FIND("/",$A1497)+1,20))+1,20))),"")))</f>
        <v/>
      </c>
      <c r="E1497">
        <f>IF($A1497="","",IF(OR($B1497="",$C1497="",$D1497="",$B1497&lt;1300,$B1497&gt;1500,$C1497&lt;1,$C1497&gt;12,$D1497&lt;1,$D1497&gt;31),"نامعتبر",RIGHT("0000"&amp;$B1497,4)&amp;"/"&amp;RIGHT("00"&amp;$C1497,2)&amp;"/"&amp;RIGHT("00"&amp;$D1497,2)))</f>
        <v/>
      </c>
      <c r="F1497">
        <f>IF(Entry!$D1497&lt;&gt;"",IF(AND(ISNUMBER(Entry!$D1497),Entry!$D1497&gt;=0,Entry!$D1497&lt;1),RIGHT("00"&amp;HOUR(Entry!$D1497),2)&amp;":"&amp;RIGHT("00"&amp;MINUTE(Entry!$D1497),2),IFERROR(RIGHT("00"&amp;VALUE(TRIM(LEFT(Entry!$D1497,FIND(":",Entry!$D1497)-1))),2)&amp;":"&amp;RIGHT("00"&amp;VALUE(TRIM(MID(Entry!$D1497,FIND(":",Entry!$D1497)+1,2))),2),"نامعتبر")),IF(OR($E1497="",$E1497="نامعتبر"),"","00:00"))</f>
        <v/>
      </c>
      <c r="G1497">
        <f>IF(OR($E1497="",$E1497="نامعتبر"),"",IF(Entry!$E1497="","",LEFT(UPPER(TRIM(Entry!$E1497)),6)))</f>
        <v/>
      </c>
      <c r="H1497">
        <f>IF($G1497="","",RIGHT($E1497,4)&amp;MID($E1497,6,2)&amp;RIGHT($E1497,2)&amp;IF($F1497="","0000",IF($F1497="نامعتبر","9999",LEFT($F1497,2)&amp;RIGHT($F1497,2)))&amp;"|"&amp;RIGHT("00000"&amp;1489,5))</f>
        <v/>
      </c>
      <c r="I1497">
        <f>IF($H1497="","",COUNTIFS(CalcBank,$G1497,CalcKey,"&lt;"&amp;$H1497)+1)</f>
        <v/>
      </c>
      <c r="J1497">
        <f>IF($I1497="","",$G1497&amp;"|"&amp;RIGHT("000000"&amp;$I1497,6))</f>
        <v/>
      </c>
      <c r="K1497">
        <f>IF(OR($E1497="",$E1497="نامعتبر"),"",LEFT($E1497,4)&amp;"/"&amp;MID($E1497,6,2))</f>
        <v/>
      </c>
      <c r="L1497">
        <f>IF(Entry!$K1497="",0,Entry!$K1497)</f>
        <v/>
      </c>
      <c r="M1497">
        <f>IF(Entry!$L1497="",0,Entry!$L1497)</f>
        <v/>
      </c>
    </row>
    <row r="1498">
      <c r="A1498">
        <f>IF(Entry!$C1498="","",Entry!$C1498)</f>
        <v/>
      </c>
      <c r="B1498">
        <f>IF($A1498="","",IF(ISNUMBER($A1498),IF(AND($A1498&gt;=10000101,$A1498&lt;=99991231),INT($A1498/10000),""),IFERROR(VALUE(TRIM(LEFT($A1498,FIND("/",$A1498)-1))),"")))</f>
        <v/>
      </c>
      <c r="C1498">
        <f>IF(OR($A1498="",$B1498=""),"",IF(ISNUMBER($A1498),INT(MOD($A1498,10000)/100),IFERROR(VALUE(TRIM(LEFT(MID($A1498,FIND("/",$A1498)+1,20),FIND("/",MID($A1498,FIND("/",$A1498)+1,20))-1))),"")))</f>
        <v/>
      </c>
      <c r="D1498">
        <f>IF(OR($A1498="",$B1498=""),"",IF(ISNUMBER($A1498),MOD($A1498,100),IFERROR(VALUE(TRIM(MID(MID($A1498,FIND("/",$A1498)+1,20),FIND("/",MID($A1498,FIND("/",$A1498)+1,20))+1,20))),"")))</f>
        <v/>
      </c>
      <c r="E1498">
        <f>IF($A1498="","",IF(OR($B1498="",$C1498="",$D1498="",$B1498&lt;1300,$B1498&gt;1500,$C1498&lt;1,$C1498&gt;12,$D1498&lt;1,$D1498&gt;31),"نامعتبر",RIGHT("0000"&amp;$B1498,4)&amp;"/"&amp;RIGHT("00"&amp;$C1498,2)&amp;"/"&amp;RIGHT("00"&amp;$D1498,2)))</f>
        <v/>
      </c>
      <c r="F1498">
        <f>IF(Entry!$D1498&lt;&gt;"",IF(AND(ISNUMBER(Entry!$D1498),Entry!$D1498&gt;=0,Entry!$D1498&lt;1),RIGHT("00"&amp;HOUR(Entry!$D1498),2)&amp;":"&amp;RIGHT("00"&amp;MINUTE(Entry!$D1498),2),IFERROR(RIGHT("00"&amp;VALUE(TRIM(LEFT(Entry!$D1498,FIND(":",Entry!$D1498)-1))),2)&amp;":"&amp;RIGHT("00"&amp;VALUE(TRIM(MID(Entry!$D1498,FIND(":",Entry!$D1498)+1,2))),2),"نامعتبر")),IF(OR($E1498="",$E1498="نامعتبر"),"","00:00"))</f>
        <v/>
      </c>
      <c r="G1498">
        <f>IF(OR($E1498="",$E1498="نامعتبر"),"",IF(Entry!$E1498="","",LEFT(UPPER(TRIM(Entry!$E1498)),6)))</f>
        <v/>
      </c>
      <c r="H1498">
        <f>IF($G1498="","",RIGHT($E1498,4)&amp;MID($E1498,6,2)&amp;RIGHT($E1498,2)&amp;IF($F1498="","0000",IF($F1498="نامعتبر","9999",LEFT($F1498,2)&amp;RIGHT($F1498,2)))&amp;"|"&amp;RIGHT("00000"&amp;1490,5))</f>
        <v/>
      </c>
      <c r="I1498">
        <f>IF($H1498="","",COUNTIFS(CalcBank,$G1498,CalcKey,"&lt;"&amp;$H1498)+1)</f>
        <v/>
      </c>
      <c r="J1498">
        <f>IF($I1498="","",$G1498&amp;"|"&amp;RIGHT("000000"&amp;$I1498,6))</f>
        <v/>
      </c>
      <c r="K1498">
        <f>IF(OR($E1498="",$E1498="نامعتبر"),"",LEFT($E1498,4)&amp;"/"&amp;MID($E1498,6,2))</f>
        <v/>
      </c>
      <c r="L1498">
        <f>IF(Entry!$K1498="",0,Entry!$K1498)</f>
        <v/>
      </c>
      <c r="M1498">
        <f>IF(Entry!$L1498="",0,Entry!$L1498)</f>
        <v/>
      </c>
    </row>
    <row r="1499">
      <c r="A1499">
        <f>IF(Entry!$C1499="","",Entry!$C1499)</f>
        <v/>
      </c>
      <c r="B1499">
        <f>IF($A1499="","",IF(ISNUMBER($A1499),IF(AND($A1499&gt;=10000101,$A1499&lt;=99991231),INT($A1499/10000),""),IFERROR(VALUE(TRIM(LEFT($A1499,FIND("/",$A1499)-1))),"")))</f>
        <v/>
      </c>
      <c r="C1499">
        <f>IF(OR($A1499="",$B1499=""),"",IF(ISNUMBER($A1499),INT(MOD($A1499,10000)/100),IFERROR(VALUE(TRIM(LEFT(MID($A1499,FIND("/",$A1499)+1,20),FIND("/",MID($A1499,FIND("/",$A1499)+1,20))-1))),"")))</f>
        <v/>
      </c>
      <c r="D1499">
        <f>IF(OR($A1499="",$B1499=""),"",IF(ISNUMBER($A1499),MOD($A1499,100),IFERROR(VALUE(TRIM(MID(MID($A1499,FIND("/",$A1499)+1,20),FIND("/",MID($A1499,FIND("/",$A1499)+1,20))+1,20))),"")))</f>
        <v/>
      </c>
      <c r="E1499">
        <f>IF($A1499="","",IF(OR($B1499="",$C1499="",$D1499="",$B1499&lt;1300,$B1499&gt;1500,$C1499&lt;1,$C1499&gt;12,$D1499&lt;1,$D1499&gt;31),"نامعتبر",RIGHT("0000"&amp;$B1499,4)&amp;"/"&amp;RIGHT("00"&amp;$C1499,2)&amp;"/"&amp;RIGHT("00"&amp;$D1499,2)))</f>
        <v/>
      </c>
      <c r="F1499">
        <f>IF(Entry!$D1499&lt;&gt;"",IF(AND(ISNUMBER(Entry!$D1499),Entry!$D1499&gt;=0,Entry!$D1499&lt;1),RIGHT("00"&amp;HOUR(Entry!$D1499),2)&amp;":"&amp;RIGHT("00"&amp;MINUTE(Entry!$D1499),2),IFERROR(RIGHT("00"&amp;VALUE(TRIM(LEFT(Entry!$D1499,FIND(":",Entry!$D1499)-1))),2)&amp;":"&amp;RIGHT("00"&amp;VALUE(TRIM(MID(Entry!$D1499,FIND(":",Entry!$D1499)+1,2))),2),"نامعتبر")),IF(OR($E1499="",$E1499="نامعتبر"),"","00:00"))</f>
        <v/>
      </c>
      <c r="G1499">
        <f>IF(OR($E1499="",$E1499="نامعتبر"),"",IF(Entry!$E1499="","",LEFT(UPPER(TRIM(Entry!$E1499)),6)))</f>
        <v/>
      </c>
      <c r="H1499">
        <f>IF($G1499="","",RIGHT($E1499,4)&amp;MID($E1499,6,2)&amp;RIGHT($E1499,2)&amp;IF($F1499="","0000",IF($F1499="نامعتبر","9999",LEFT($F1499,2)&amp;RIGHT($F1499,2)))&amp;"|"&amp;RIGHT("00000"&amp;1491,5))</f>
        <v/>
      </c>
      <c r="I1499">
        <f>IF($H1499="","",COUNTIFS(CalcBank,$G1499,CalcKey,"&lt;"&amp;$H1499)+1)</f>
        <v/>
      </c>
      <c r="J1499">
        <f>IF($I1499="","",$G1499&amp;"|"&amp;RIGHT("000000"&amp;$I1499,6))</f>
        <v/>
      </c>
      <c r="K1499">
        <f>IF(OR($E1499="",$E1499="نامعتبر"),"",LEFT($E1499,4)&amp;"/"&amp;MID($E1499,6,2))</f>
        <v/>
      </c>
      <c r="L1499">
        <f>IF(Entry!$K1499="",0,Entry!$K1499)</f>
        <v/>
      </c>
      <c r="M1499">
        <f>IF(Entry!$L1499="",0,Entry!$L1499)</f>
        <v/>
      </c>
    </row>
    <row r="1500">
      <c r="A1500">
        <f>IF(Entry!$C1500="","",Entry!$C1500)</f>
        <v/>
      </c>
      <c r="B1500">
        <f>IF($A1500="","",IF(ISNUMBER($A1500),IF(AND($A1500&gt;=10000101,$A1500&lt;=99991231),INT($A1500/10000),""),IFERROR(VALUE(TRIM(LEFT($A1500,FIND("/",$A1500)-1))),"")))</f>
        <v/>
      </c>
      <c r="C1500">
        <f>IF(OR($A1500="",$B1500=""),"",IF(ISNUMBER($A1500),INT(MOD($A1500,10000)/100),IFERROR(VALUE(TRIM(LEFT(MID($A1500,FIND("/",$A1500)+1,20),FIND("/",MID($A1500,FIND("/",$A1500)+1,20))-1))),"")))</f>
        <v/>
      </c>
      <c r="D1500">
        <f>IF(OR($A1500="",$B1500=""),"",IF(ISNUMBER($A1500),MOD($A1500,100),IFERROR(VALUE(TRIM(MID(MID($A1500,FIND("/",$A1500)+1,20),FIND("/",MID($A1500,FIND("/",$A1500)+1,20))+1,20))),"")))</f>
        <v/>
      </c>
      <c r="E1500">
        <f>IF($A1500="","",IF(OR($B1500="",$C1500="",$D1500="",$B1500&lt;1300,$B1500&gt;1500,$C1500&lt;1,$C1500&gt;12,$D1500&lt;1,$D1500&gt;31),"نامعتبر",RIGHT("0000"&amp;$B1500,4)&amp;"/"&amp;RIGHT("00"&amp;$C1500,2)&amp;"/"&amp;RIGHT("00"&amp;$D1500,2)))</f>
        <v/>
      </c>
      <c r="F1500">
        <f>IF(Entry!$D1500&lt;&gt;"",IF(AND(ISNUMBER(Entry!$D1500),Entry!$D1500&gt;=0,Entry!$D1500&lt;1),RIGHT("00"&amp;HOUR(Entry!$D1500),2)&amp;":"&amp;RIGHT("00"&amp;MINUTE(Entry!$D1500),2),IFERROR(RIGHT("00"&amp;VALUE(TRIM(LEFT(Entry!$D1500,FIND(":",Entry!$D1500)-1))),2)&amp;":"&amp;RIGHT("00"&amp;VALUE(TRIM(MID(Entry!$D1500,FIND(":",Entry!$D1500)+1,2))),2),"نامعتبر")),IF(OR($E1500="",$E1500="نامعتبر"),"","00:00"))</f>
        <v/>
      </c>
      <c r="G1500">
        <f>IF(OR($E1500="",$E1500="نامعتبر"),"",IF(Entry!$E1500="","",LEFT(UPPER(TRIM(Entry!$E1500)),6)))</f>
        <v/>
      </c>
      <c r="H1500">
        <f>IF($G1500="","",RIGHT($E1500,4)&amp;MID($E1500,6,2)&amp;RIGHT($E1500,2)&amp;IF($F1500="","0000",IF($F1500="نامعتبر","9999",LEFT($F1500,2)&amp;RIGHT($F1500,2)))&amp;"|"&amp;RIGHT("00000"&amp;1492,5))</f>
        <v/>
      </c>
      <c r="I1500">
        <f>IF($H1500="","",COUNTIFS(CalcBank,$G1500,CalcKey,"&lt;"&amp;$H1500)+1)</f>
        <v/>
      </c>
      <c r="J1500">
        <f>IF($I1500="","",$G1500&amp;"|"&amp;RIGHT("000000"&amp;$I1500,6))</f>
        <v/>
      </c>
      <c r="K1500">
        <f>IF(OR($E1500="",$E1500="نامعتبر"),"",LEFT($E1500,4)&amp;"/"&amp;MID($E1500,6,2))</f>
        <v/>
      </c>
      <c r="L1500">
        <f>IF(Entry!$K1500="",0,Entry!$K1500)</f>
        <v/>
      </c>
      <c r="M1500">
        <f>IF(Entry!$L1500="",0,Entry!$L1500)</f>
        <v/>
      </c>
    </row>
    <row r="1501">
      <c r="A1501">
        <f>IF(Entry!$C1501="","",Entry!$C1501)</f>
        <v/>
      </c>
      <c r="B1501">
        <f>IF($A1501="","",IF(ISNUMBER($A1501),IF(AND($A1501&gt;=10000101,$A1501&lt;=99991231),INT($A1501/10000),""),IFERROR(VALUE(TRIM(LEFT($A1501,FIND("/",$A1501)-1))),"")))</f>
        <v/>
      </c>
      <c r="C1501">
        <f>IF(OR($A1501="",$B1501=""),"",IF(ISNUMBER($A1501),INT(MOD($A1501,10000)/100),IFERROR(VALUE(TRIM(LEFT(MID($A1501,FIND("/",$A1501)+1,20),FIND("/",MID($A1501,FIND("/",$A1501)+1,20))-1))),"")))</f>
        <v/>
      </c>
      <c r="D1501">
        <f>IF(OR($A1501="",$B1501=""),"",IF(ISNUMBER($A1501),MOD($A1501,100),IFERROR(VALUE(TRIM(MID(MID($A1501,FIND("/",$A1501)+1,20),FIND("/",MID($A1501,FIND("/",$A1501)+1,20))+1,20))),"")))</f>
        <v/>
      </c>
      <c r="E1501">
        <f>IF($A1501="","",IF(OR($B1501="",$C1501="",$D1501="",$B1501&lt;1300,$B1501&gt;1500,$C1501&lt;1,$C1501&gt;12,$D1501&lt;1,$D1501&gt;31),"نامعتبر",RIGHT("0000"&amp;$B1501,4)&amp;"/"&amp;RIGHT("00"&amp;$C1501,2)&amp;"/"&amp;RIGHT("00"&amp;$D1501,2)))</f>
        <v/>
      </c>
      <c r="F1501">
        <f>IF(Entry!$D1501&lt;&gt;"",IF(AND(ISNUMBER(Entry!$D1501),Entry!$D1501&gt;=0,Entry!$D1501&lt;1),RIGHT("00"&amp;HOUR(Entry!$D1501),2)&amp;":"&amp;RIGHT("00"&amp;MINUTE(Entry!$D1501),2),IFERROR(RIGHT("00"&amp;VALUE(TRIM(LEFT(Entry!$D1501,FIND(":",Entry!$D1501)-1))),2)&amp;":"&amp;RIGHT("00"&amp;VALUE(TRIM(MID(Entry!$D1501,FIND(":",Entry!$D1501)+1,2))),2),"نامعتبر")),IF(OR($E1501="",$E1501="نامعتبر"),"","00:00"))</f>
        <v/>
      </c>
      <c r="G1501">
        <f>IF(OR($E1501="",$E1501="نامعتبر"),"",IF(Entry!$E1501="","",LEFT(UPPER(TRIM(Entry!$E1501)),6)))</f>
        <v/>
      </c>
      <c r="H1501">
        <f>IF($G1501="","",RIGHT($E1501,4)&amp;MID($E1501,6,2)&amp;RIGHT($E1501,2)&amp;IF($F1501="","0000",IF($F1501="نامعتبر","9999",LEFT($F1501,2)&amp;RIGHT($F1501,2)))&amp;"|"&amp;RIGHT("00000"&amp;1493,5))</f>
        <v/>
      </c>
      <c r="I1501">
        <f>IF($H1501="","",COUNTIFS(CalcBank,$G1501,CalcKey,"&lt;"&amp;$H1501)+1)</f>
        <v/>
      </c>
      <c r="J1501">
        <f>IF($I1501="","",$G1501&amp;"|"&amp;RIGHT("000000"&amp;$I1501,6))</f>
        <v/>
      </c>
      <c r="K1501">
        <f>IF(OR($E1501="",$E1501="نامعتبر"),"",LEFT($E1501,4)&amp;"/"&amp;MID($E1501,6,2))</f>
        <v/>
      </c>
      <c r="L1501">
        <f>IF(Entry!$K1501="",0,Entry!$K1501)</f>
        <v/>
      </c>
      <c r="M1501">
        <f>IF(Entry!$L1501="",0,Entry!$L1501)</f>
        <v/>
      </c>
    </row>
    <row r="1502">
      <c r="A1502">
        <f>IF(Entry!$C1502="","",Entry!$C1502)</f>
        <v/>
      </c>
      <c r="B1502">
        <f>IF($A1502="","",IF(ISNUMBER($A1502),IF(AND($A1502&gt;=10000101,$A1502&lt;=99991231),INT($A1502/10000),""),IFERROR(VALUE(TRIM(LEFT($A1502,FIND("/",$A1502)-1))),"")))</f>
        <v/>
      </c>
      <c r="C1502">
        <f>IF(OR($A1502="",$B1502=""),"",IF(ISNUMBER($A1502),INT(MOD($A1502,10000)/100),IFERROR(VALUE(TRIM(LEFT(MID($A1502,FIND("/",$A1502)+1,20),FIND("/",MID($A1502,FIND("/",$A1502)+1,20))-1))),"")))</f>
        <v/>
      </c>
      <c r="D1502">
        <f>IF(OR($A1502="",$B1502=""),"",IF(ISNUMBER($A1502),MOD($A1502,100),IFERROR(VALUE(TRIM(MID(MID($A1502,FIND("/",$A1502)+1,20),FIND("/",MID($A1502,FIND("/",$A1502)+1,20))+1,20))),"")))</f>
        <v/>
      </c>
      <c r="E1502">
        <f>IF($A1502="","",IF(OR($B1502="",$C1502="",$D1502="",$B1502&lt;1300,$B1502&gt;1500,$C1502&lt;1,$C1502&gt;12,$D1502&lt;1,$D1502&gt;31),"نامعتبر",RIGHT("0000"&amp;$B1502,4)&amp;"/"&amp;RIGHT("00"&amp;$C1502,2)&amp;"/"&amp;RIGHT("00"&amp;$D1502,2)))</f>
        <v/>
      </c>
      <c r="F1502">
        <f>IF(Entry!$D1502&lt;&gt;"",IF(AND(ISNUMBER(Entry!$D1502),Entry!$D1502&gt;=0,Entry!$D1502&lt;1),RIGHT("00"&amp;HOUR(Entry!$D1502),2)&amp;":"&amp;RIGHT("00"&amp;MINUTE(Entry!$D1502),2),IFERROR(RIGHT("00"&amp;VALUE(TRIM(LEFT(Entry!$D1502,FIND(":",Entry!$D1502)-1))),2)&amp;":"&amp;RIGHT("00"&amp;VALUE(TRIM(MID(Entry!$D1502,FIND(":",Entry!$D1502)+1,2))),2),"نامعتبر")),IF(OR($E1502="",$E1502="نامعتبر"),"","00:00"))</f>
        <v/>
      </c>
      <c r="G1502">
        <f>IF(OR($E1502="",$E1502="نامعتبر"),"",IF(Entry!$E1502="","",LEFT(UPPER(TRIM(Entry!$E1502)),6)))</f>
        <v/>
      </c>
      <c r="H1502">
        <f>IF($G1502="","",RIGHT($E1502,4)&amp;MID($E1502,6,2)&amp;RIGHT($E1502,2)&amp;IF($F1502="","0000",IF($F1502="نامعتبر","9999",LEFT($F1502,2)&amp;RIGHT($F1502,2)))&amp;"|"&amp;RIGHT("00000"&amp;1494,5))</f>
        <v/>
      </c>
      <c r="I1502">
        <f>IF($H1502="","",COUNTIFS(CalcBank,$G1502,CalcKey,"&lt;"&amp;$H1502)+1)</f>
        <v/>
      </c>
      <c r="J1502">
        <f>IF($I1502="","",$G1502&amp;"|"&amp;RIGHT("000000"&amp;$I1502,6))</f>
        <v/>
      </c>
      <c r="K1502">
        <f>IF(OR($E1502="",$E1502="نامعتبر"),"",LEFT($E1502,4)&amp;"/"&amp;MID($E1502,6,2))</f>
        <v/>
      </c>
      <c r="L1502">
        <f>IF(Entry!$K1502="",0,Entry!$K1502)</f>
        <v/>
      </c>
      <c r="M1502">
        <f>IF(Entry!$L1502="",0,Entry!$L1502)</f>
        <v/>
      </c>
    </row>
    <row r="1503">
      <c r="A1503">
        <f>IF(Entry!$C1503="","",Entry!$C1503)</f>
        <v/>
      </c>
      <c r="B1503">
        <f>IF($A1503="","",IF(ISNUMBER($A1503),IF(AND($A1503&gt;=10000101,$A1503&lt;=99991231),INT($A1503/10000),""),IFERROR(VALUE(TRIM(LEFT($A1503,FIND("/",$A1503)-1))),"")))</f>
        <v/>
      </c>
      <c r="C1503">
        <f>IF(OR($A1503="",$B1503=""),"",IF(ISNUMBER($A1503),INT(MOD($A1503,10000)/100),IFERROR(VALUE(TRIM(LEFT(MID($A1503,FIND("/",$A1503)+1,20),FIND("/",MID($A1503,FIND("/",$A1503)+1,20))-1))),"")))</f>
        <v/>
      </c>
      <c r="D1503">
        <f>IF(OR($A1503="",$B1503=""),"",IF(ISNUMBER($A1503),MOD($A1503,100),IFERROR(VALUE(TRIM(MID(MID($A1503,FIND("/",$A1503)+1,20),FIND("/",MID($A1503,FIND("/",$A1503)+1,20))+1,20))),"")))</f>
        <v/>
      </c>
      <c r="E1503">
        <f>IF($A1503="","",IF(OR($B1503="",$C1503="",$D1503="",$B1503&lt;1300,$B1503&gt;1500,$C1503&lt;1,$C1503&gt;12,$D1503&lt;1,$D1503&gt;31),"نامعتبر",RIGHT("0000"&amp;$B1503,4)&amp;"/"&amp;RIGHT("00"&amp;$C1503,2)&amp;"/"&amp;RIGHT("00"&amp;$D1503,2)))</f>
        <v/>
      </c>
      <c r="F1503">
        <f>IF(Entry!$D1503&lt;&gt;"",IF(AND(ISNUMBER(Entry!$D1503),Entry!$D1503&gt;=0,Entry!$D1503&lt;1),RIGHT("00"&amp;HOUR(Entry!$D1503),2)&amp;":"&amp;RIGHT("00"&amp;MINUTE(Entry!$D1503),2),IFERROR(RIGHT("00"&amp;VALUE(TRIM(LEFT(Entry!$D1503,FIND(":",Entry!$D1503)-1))),2)&amp;":"&amp;RIGHT("00"&amp;VALUE(TRIM(MID(Entry!$D1503,FIND(":",Entry!$D1503)+1,2))),2),"نامعتبر")),IF(OR($E1503="",$E1503="نامعتبر"),"","00:00"))</f>
        <v/>
      </c>
      <c r="G1503">
        <f>IF(OR($E1503="",$E1503="نامعتبر"),"",IF(Entry!$E1503="","",LEFT(UPPER(TRIM(Entry!$E1503)),6)))</f>
        <v/>
      </c>
      <c r="H1503">
        <f>IF($G1503="","",RIGHT($E1503,4)&amp;MID($E1503,6,2)&amp;RIGHT($E1503,2)&amp;IF($F1503="","0000",IF($F1503="نامعتبر","9999",LEFT($F1503,2)&amp;RIGHT($F1503,2)))&amp;"|"&amp;RIGHT("00000"&amp;1495,5))</f>
        <v/>
      </c>
      <c r="I1503">
        <f>IF($H1503="","",COUNTIFS(CalcBank,$G1503,CalcKey,"&lt;"&amp;$H1503)+1)</f>
        <v/>
      </c>
      <c r="J1503">
        <f>IF($I1503="","",$G1503&amp;"|"&amp;RIGHT("000000"&amp;$I1503,6))</f>
        <v/>
      </c>
      <c r="K1503">
        <f>IF(OR($E1503="",$E1503="نامعتبر"),"",LEFT($E1503,4)&amp;"/"&amp;MID($E1503,6,2))</f>
        <v/>
      </c>
      <c r="L1503">
        <f>IF(Entry!$K1503="",0,Entry!$K1503)</f>
        <v/>
      </c>
      <c r="M1503">
        <f>IF(Entry!$L1503="",0,Entry!$L1503)</f>
        <v/>
      </c>
    </row>
    <row r="1504">
      <c r="A1504">
        <f>IF(Entry!$C1504="","",Entry!$C1504)</f>
        <v/>
      </c>
      <c r="B1504">
        <f>IF($A1504="","",IF(ISNUMBER($A1504),IF(AND($A1504&gt;=10000101,$A1504&lt;=99991231),INT($A1504/10000),""),IFERROR(VALUE(TRIM(LEFT($A1504,FIND("/",$A1504)-1))),"")))</f>
        <v/>
      </c>
      <c r="C1504">
        <f>IF(OR($A1504="",$B1504=""),"",IF(ISNUMBER($A1504),INT(MOD($A1504,10000)/100),IFERROR(VALUE(TRIM(LEFT(MID($A1504,FIND("/",$A1504)+1,20),FIND("/",MID($A1504,FIND("/",$A1504)+1,20))-1))),"")))</f>
        <v/>
      </c>
      <c r="D1504">
        <f>IF(OR($A1504="",$B1504=""),"",IF(ISNUMBER($A1504),MOD($A1504,100),IFERROR(VALUE(TRIM(MID(MID($A1504,FIND("/",$A1504)+1,20),FIND("/",MID($A1504,FIND("/",$A1504)+1,20))+1,20))),"")))</f>
        <v/>
      </c>
      <c r="E1504">
        <f>IF($A1504="","",IF(OR($B1504="",$C1504="",$D1504="",$B1504&lt;1300,$B1504&gt;1500,$C1504&lt;1,$C1504&gt;12,$D1504&lt;1,$D1504&gt;31),"نامعتبر",RIGHT("0000"&amp;$B1504,4)&amp;"/"&amp;RIGHT("00"&amp;$C1504,2)&amp;"/"&amp;RIGHT("00"&amp;$D1504,2)))</f>
        <v/>
      </c>
      <c r="F1504">
        <f>IF(Entry!$D1504&lt;&gt;"",IF(AND(ISNUMBER(Entry!$D1504),Entry!$D1504&gt;=0,Entry!$D1504&lt;1),RIGHT("00"&amp;HOUR(Entry!$D1504),2)&amp;":"&amp;RIGHT("00"&amp;MINUTE(Entry!$D1504),2),IFERROR(RIGHT("00"&amp;VALUE(TRIM(LEFT(Entry!$D1504,FIND(":",Entry!$D1504)-1))),2)&amp;":"&amp;RIGHT("00"&amp;VALUE(TRIM(MID(Entry!$D1504,FIND(":",Entry!$D1504)+1,2))),2),"نامعتبر")),IF(OR($E1504="",$E1504="نامعتبر"),"","00:00"))</f>
        <v/>
      </c>
      <c r="G1504">
        <f>IF(OR($E1504="",$E1504="نامعتبر"),"",IF(Entry!$E1504="","",LEFT(UPPER(TRIM(Entry!$E1504)),6)))</f>
        <v/>
      </c>
      <c r="H1504">
        <f>IF($G1504="","",RIGHT($E1504,4)&amp;MID($E1504,6,2)&amp;RIGHT($E1504,2)&amp;IF($F1504="","0000",IF($F1504="نامعتبر","9999",LEFT($F1504,2)&amp;RIGHT($F1504,2)))&amp;"|"&amp;RIGHT("00000"&amp;1496,5))</f>
        <v/>
      </c>
      <c r="I1504">
        <f>IF($H1504="","",COUNTIFS(CalcBank,$G1504,CalcKey,"&lt;"&amp;$H1504)+1)</f>
        <v/>
      </c>
      <c r="J1504">
        <f>IF($I1504="","",$G1504&amp;"|"&amp;RIGHT("000000"&amp;$I1504,6))</f>
        <v/>
      </c>
      <c r="K1504">
        <f>IF(OR($E1504="",$E1504="نامعتبر"),"",LEFT($E1504,4)&amp;"/"&amp;MID($E1504,6,2))</f>
        <v/>
      </c>
      <c r="L1504">
        <f>IF(Entry!$K1504="",0,Entry!$K1504)</f>
        <v/>
      </c>
      <c r="M1504">
        <f>IF(Entry!$L1504="",0,Entry!$L1504)</f>
        <v/>
      </c>
    </row>
    <row r="1505">
      <c r="A1505">
        <f>IF(Entry!$C1505="","",Entry!$C1505)</f>
        <v/>
      </c>
      <c r="B1505">
        <f>IF($A1505="","",IF(ISNUMBER($A1505),IF(AND($A1505&gt;=10000101,$A1505&lt;=99991231),INT($A1505/10000),""),IFERROR(VALUE(TRIM(LEFT($A1505,FIND("/",$A1505)-1))),"")))</f>
        <v/>
      </c>
      <c r="C1505">
        <f>IF(OR($A1505="",$B1505=""),"",IF(ISNUMBER($A1505),INT(MOD($A1505,10000)/100),IFERROR(VALUE(TRIM(LEFT(MID($A1505,FIND("/",$A1505)+1,20),FIND("/",MID($A1505,FIND("/",$A1505)+1,20))-1))),"")))</f>
        <v/>
      </c>
      <c r="D1505">
        <f>IF(OR($A1505="",$B1505=""),"",IF(ISNUMBER($A1505),MOD($A1505,100),IFERROR(VALUE(TRIM(MID(MID($A1505,FIND("/",$A1505)+1,20),FIND("/",MID($A1505,FIND("/",$A1505)+1,20))+1,20))),"")))</f>
        <v/>
      </c>
      <c r="E1505">
        <f>IF($A1505="","",IF(OR($B1505="",$C1505="",$D1505="",$B1505&lt;1300,$B1505&gt;1500,$C1505&lt;1,$C1505&gt;12,$D1505&lt;1,$D1505&gt;31),"نامعتبر",RIGHT("0000"&amp;$B1505,4)&amp;"/"&amp;RIGHT("00"&amp;$C1505,2)&amp;"/"&amp;RIGHT("00"&amp;$D1505,2)))</f>
        <v/>
      </c>
      <c r="F1505">
        <f>IF(Entry!$D1505&lt;&gt;"",IF(AND(ISNUMBER(Entry!$D1505),Entry!$D1505&gt;=0,Entry!$D1505&lt;1),RIGHT("00"&amp;HOUR(Entry!$D1505),2)&amp;":"&amp;RIGHT("00"&amp;MINUTE(Entry!$D1505),2),IFERROR(RIGHT("00"&amp;VALUE(TRIM(LEFT(Entry!$D1505,FIND(":",Entry!$D1505)-1))),2)&amp;":"&amp;RIGHT("00"&amp;VALUE(TRIM(MID(Entry!$D1505,FIND(":",Entry!$D1505)+1,2))),2),"نامعتبر")),IF(OR($E1505="",$E1505="نامعتبر"),"","00:00"))</f>
        <v/>
      </c>
      <c r="G1505">
        <f>IF(OR($E1505="",$E1505="نامعتبر"),"",IF(Entry!$E1505="","",LEFT(UPPER(TRIM(Entry!$E1505)),6)))</f>
        <v/>
      </c>
      <c r="H1505">
        <f>IF($G1505="","",RIGHT($E1505,4)&amp;MID($E1505,6,2)&amp;RIGHT($E1505,2)&amp;IF($F1505="","0000",IF($F1505="نامعتبر","9999",LEFT($F1505,2)&amp;RIGHT($F1505,2)))&amp;"|"&amp;RIGHT("00000"&amp;1497,5))</f>
        <v/>
      </c>
      <c r="I1505">
        <f>IF($H1505="","",COUNTIFS(CalcBank,$G1505,CalcKey,"&lt;"&amp;$H1505)+1)</f>
        <v/>
      </c>
      <c r="J1505">
        <f>IF($I1505="","",$G1505&amp;"|"&amp;RIGHT("000000"&amp;$I1505,6))</f>
        <v/>
      </c>
      <c r="K1505">
        <f>IF(OR($E1505="",$E1505="نامعتبر"),"",LEFT($E1505,4)&amp;"/"&amp;MID($E1505,6,2))</f>
        <v/>
      </c>
      <c r="L1505">
        <f>IF(Entry!$K1505="",0,Entry!$K1505)</f>
        <v/>
      </c>
      <c r="M1505">
        <f>IF(Entry!$L1505="",0,Entry!$L1505)</f>
        <v/>
      </c>
    </row>
    <row r="1506">
      <c r="A1506">
        <f>IF(Entry!$C1506="","",Entry!$C1506)</f>
        <v/>
      </c>
      <c r="B1506">
        <f>IF($A1506="","",IF(ISNUMBER($A1506),IF(AND($A1506&gt;=10000101,$A1506&lt;=99991231),INT($A1506/10000),""),IFERROR(VALUE(TRIM(LEFT($A1506,FIND("/",$A1506)-1))),"")))</f>
        <v/>
      </c>
      <c r="C1506">
        <f>IF(OR($A1506="",$B1506=""),"",IF(ISNUMBER($A1506),INT(MOD($A1506,10000)/100),IFERROR(VALUE(TRIM(LEFT(MID($A1506,FIND("/",$A1506)+1,20),FIND("/",MID($A1506,FIND("/",$A1506)+1,20))-1))),"")))</f>
        <v/>
      </c>
      <c r="D1506">
        <f>IF(OR($A1506="",$B1506=""),"",IF(ISNUMBER($A1506),MOD($A1506,100),IFERROR(VALUE(TRIM(MID(MID($A1506,FIND("/",$A1506)+1,20),FIND("/",MID($A1506,FIND("/",$A1506)+1,20))+1,20))),"")))</f>
        <v/>
      </c>
      <c r="E1506">
        <f>IF($A1506="","",IF(OR($B1506="",$C1506="",$D1506="",$B1506&lt;1300,$B1506&gt;1500,$C1506&lt;1,$C1506&gt;12,$D1506&lt;1,$D1506&gt;31),"نامعتبر",RIGHT("0000"&amp;$B1506,4)&amp;"/"&amp;RIGHT("00"&amp;$C1506,2)&amp;"/"&amp;RIGHT("00"&amp;$D1506,2)))</f>
        <v/>
      </c>
      <c r="F1506">
        <f>IF(Entry!$D1506&lt;&gt;"",IF(AND(ISNUMBER(Entry!$D1506),Entry!$D1506&gt;=0,Entry!$D1506&lt;1),RIGHT("00"&amp;HOUR(Entry!$D1506),2)&amp;":"&amp;RIGHT("00"&amp;MINUTE(Entry!$D1506),2),IFERROR(RIGHT("00"&amp;VALUE(TRIM(LEFT(Entry!$D1506,FIND(":",Entry!$D1506)-1))),2)&amp;":"&amp;RIGHT("00"&amp;VALUE(TRIM(MID(Entry!$D1506,FIND(":",Entry!$D1506)+1,2))),2),"نامعتبر")),IF(OR($E1506="",$E1506="نامعتبر"),"","00:00"))</f>
        <v/>
      </c>
      <c r="G1506">
        <f>IF(OR($E1506="",$E1506="نامعتبر"),"",IF(Entry!$E1506="","",LEFT(UPPER(TRIM(Entry!$E1506)),6)))</f>
        <v/>
      </c>
      <c r="H1506">
        <f>IF($G1506="","",RIGHT($E1506,4)&amp;MID($E1506,6,2)&amp;RIGHT($E1506,2)&amp;IF($F1506="","0000",IF($F1506="نامعتبر","9999",LEFT($F1506,2)&amp;RIGHT($F1506,2)))&amp;"|"&amp;RIGHT("00000"&amp;1498,5))</f>
        <v/>
      </c>
      <c r="I1506">
        <f>IF($H1506="","",COUNTIFS(CalcBank,$G1506,CalcKey,"&lt;"&amp;$H1506)+1)</f>
        <v/>
      </c>
      <c r="J1506">
        <f>IF($I1506="","",$G1506&amp;"|"&amp;RIGHT("000000"&amp;$I1506,6))</f>
        <v/>
      </c>
      <c r="K1506">
        <f>IF(OR($E1506="",$E1506="نامعتبر"),"",LEFT($E1506,4)&amp;"/"&amp;MID($E1506,6,2))</f>
        <v/>
      </c>
      <c r="L1506">
        <f>IF(Entry!$K1506="",0,Entry!$K1506)</f>
        <v/>
      </c>
      <c r="M1506">
        <f>IF(Entry!$L1506="",0,Entry!$L1506)</f>
        <v/>
      </c>
    </row>
    <row r="1507">
      <c r="A1507">
        <f>IF(Entry!$C1507="","",Entry!$C1507)</f>
        <v/>
      </c>
      <c r="B1507">
        <f>IF($A1507="","",IF(ISNUMBER($A1507),IF(AND($A1507&gt;=10000101,$A1507&lt;=99991231),INT($A1507/10000),""),IFERROR(VALUE(TRIM(LEFT($A1507,FIND("/",$A1507)-1))),"")))</f>
        <v/>
      </c>
      <c r="C1507">
        <f>IF(OR($A1507="",$B1507=""),"",IF(ISNUMBER($A1507),INT(MOD($A1507,10000)/100),IFERROR(VALUE(TRIM(LEFT(MID($A1507,FIND("/",$A1507)+1,20),FIND("/",MID($A1507,FIND("/",$A1507)+1,20))-1))),"")))</f>
        <v/>
      </c>
      <c r="D1507">
        <f>IF(OR($A1507="",$B1507=""),"",IF(ISNUMBER($A1507),MOD($A1507,100),IFERROR(VALUE(TRIM(MID(MID($A1507,FIND("/",$A1507)+1,20),FIND("/",MID($A1507,FIND("/",$A1507)+1,20))+1,20))),"")))</f>
        <v/>
      </c>
      <c r="E1507">
        <f>IF($A1507="","",IF(OR($B1507="",$C1507="",$D1507="",$B1507&lt;1300,$B1507&gt;1500,$C1507&lt;1,$C1507&gt;12,$D1507&lt;1,$D1507&gt;31),"نامعتبر",RIGHT("0000"&amp;$B1507,4)&amp;"/"&amp;RIGHT("00"&amp;$C1507,2)&amp;"/"&amp;RIGHT("00"&amp;$D1507,2)))</f>
        <v/>
      </c>
      <c r="F1507">
        <f>IF(Entry!$D1507&lt;&gt;"",IF(AND(ISNUMBER(Entry!$D1507),Entry!$D1507&gt;=0,Entry!$D1507&lt;1),RIGHT("00"&amp;HOUR(Entry!$D1507),2)&amp;":"&amp;RIGHT("00"&amp;MINUTE(Entry!$D1507),2),IFERROR(RIGHT("00"&amp;VALUE(TRIM(LEFT(Entry!$D1507,FIND(":",Entry!$D1507)-1))),2)&amp;":"&amp;RIGHT("00"&amp;VALUE(TRIM(MID(Entry!$D1507,FIND(":",Entry!$D1507)+1,2))),2),"نامعتبر")),IF(OR($E1507="",$E1507="نامعتبر"),"","00:00"))</f>
        <v/>
      </c>
      <c r="G1507">
        <f>IF(OR($E1507="",$E1507="نامعتبر"),"",IF(Entry!$E1507="","",LEFT(UPPER(TRIM(Entry!$E1507)),6)))</f>
        <v/>
      </c>
      <c r="H1507">
        <f>IF($G1507="","",RIGHT($E1507,4)&amp;MID($E1507,6,2)&amp;RIGHT($E1507,2)&amp;IF($F1507="","0000",IF($F1507="نامعتبر","9999",LEFT($F1507,2)&amp;RIGHT($F1507,2)))&amp;"|"&amp;RIGHT("00000"&amp;1499,5))</f>
        <v/>
      </c>
      <c r="I1507">
        <f>IF($H1507="","",COUNTIFS(CalcBank,$G1507,CalcKey,"&lt;"&amp;$H1507)+1)</f>
        <v/>
      </c>
      <c r="J1507">
        <f>IF($I1507="","",$G1507&amp;"|"&amp;RIGHT("000000"&amp;$I1507,6))</f>
        <v/>
      </c>
      <c r="K1507">
        <f>IF(OR($E1507="",$E1507="نامعتبر"),"",LEFT($E1507,4)&amp;"/"&amp;MID($E1507,6,2))</f>
        <v/>
      </c>
      <c r="L1507">
        <f>IF(Entry!$K1507="",0,Entry!$K1507)</f>
        <v/>
      </c>
      <c r="M1507">
        <f>IF(Entry!$L1507="",0,Entry!$L1507)</f>
        <v/>
      </c>
    </row>
    <row r="1508">
      <c r="A1508">
        <f>IF(Entry!$C1508="","",Entry!$C1508)</f>
        <v/>
      </c>
      <c r="B1508">
        <f>IF($A1508="","",IF(ISNUMBER($A1508),IF(AND($A1508&gt;=10000101,$A1508&lt;=99991231),INT($A1508/10000),""),IFERROR(VALUE(TRIM(LEFT($A1508,FIND("/",$A1508)-1))),"")))</f>
        <v/>
      </c>
      <c r="C1508">
        <f>IF(OR($A1508="",$B1508=""),"",IF(ISNUMBER($A1508),INT(MOD($A1508,10000)/100),IFERROR(VALUE(TRIM(LEFT(MID($A1508,FIND("/",$A1508)+1,20),FIND("/",MID($A1508,FIND("/",$A1508)+1,20))-1))),"")))</f>
        <v/>
      </c>
      <c r="D1508">
        <f>IF(OR($A1508="",$B1508=""),"",IF(ISNUMBER($A1508),MOD($A1508,100),IFERROR(VALUE(TRIM(MID(MID($A1508,FIND("/",$A1508)+1,20),FIND("/",MID($A1508,FIND("/",$A1508)+1,20))+1,20))),"")))</f>
        <v/>
      </c>
      <c r="E1508">
        <f>IF($A1508="","",IF(OR($B1508="",$C1508="",$D1508="",$B1508&lt;1300,$B1508&gt;1500,$C1508&lt;1,$C1508&gt;12,$D1508&lt;1,$D1508&gt;31),"نامعتبر",RIGHT("0000"&amp;$B1508,4)&amp;"/"&amp;RIGHT("00"&amp;$C1508,2)&amp;"/"&amp;RIGHT("00"&amp;$D1508,2)))</f>
        <v/>
      </c>
      <c r="F1508">
        <f>IF(Entry!$D1508&lt;&gt;"",IF(AND(ISNUMBER(Entry!$D1508),Entry!$D1508&gt;=0,Entry!$D1508&lt;1),RIGHT("00"&amp;HOUR(Entry!$D1508),2)&amp;":"&amp;RIGHT("00"&amp;MINUTE(Entry!$D1508),2),IFERROR(RIGHT("00"&amp;VALUE(TRIM(LEFT(Entry!$D1508,FIND(":",Entry!$D1508)-1))),2)&amp;":"&amp;RIGHT("00"&amp;VALUE(TRIM(MID(Entry!$D1508,FIND(":",Entry!$D1508)+1,2))),2),"نامعتبر")),IF(OR($E1508="",$E1508="نامعتبر"),"","00:00"))</f>
        <v/>
      </c>
      <c r="G1508">
        <f>IF(OR($E1508="",$E1508="نامعتبر"),"",IF(Entry!$E1508="","",LEFT(UPPER(TRIM(Entry!$E1508)),6)))</f>
        <v/>
      </c>
      <c r="H1508">
        <f>IF($G1508="","",RIGHT($E1508,4)&amp;MID($E1508,6,2)&amp;RIGHT($E1508,2)&amp;IF($F1508="","0000",IF($F1508="نامعتبر","9999",LEFT($F1508,2)&amp;RIGHT($F1508,2)))&amp;"|"&amp;RIGHT("00000"&amp;1500,5))</f>
        <v/>
      </c>
      <c r="I1508">
        <f>IF($H1508="","",COUNTIFS(CalcBank,$G1508,CalcKey,"&lt;"&amp;$H1508)+1)</f>
        <v/>
      </c>
      <c r="J1508">
        <f>IF($I1508="","",$G1508&amp;"|"&amp;RIGHT("000000"&amp;$I1508,6))</f>
        <v/>
      </c>
      <c r="K1508">
        <f>IF(OR($E1508="",$E1508="نامعتبر"),"",LEFT($E1508,4)&amp;"/"&amp;MID($E1508,6,2))</f>
        <v/>
      </c>
      <c r="L1508">
        <f>IF(Entry!$K1508="",0,Entry!$K1508)</f>
        <v/>
      </c>
      <c r="M1508">
        <f>IF(Entry!$L1508="",0,Entry!$L1508)</f>
        <v/>
      </c>
    </row>
    <row r="1509">
      <c r="A1509">
        <f>IF(Entry!$C1509="","",Entry!$C1509)</f>
        <v/>
      </c>
      <c r="B1509">
        <f>IF($A1509="","",IF(ISNUMBER($A1509),IF(AND($A1509&gt;=10000101,$A1509&lt;=99991231),INT($A1509/10000),""),IFERROR(VALUE(TRIM(LEFT($A1509,FIND("/",$A1509)-1))),"")))</f>
        <v/>
      </c>
      <c r="C1509">
        <f>IF(OR($A1509="",$B1509=""),"",IF(ISNUMBER($A1509),INT(MOD($A1509,10000)/100),IFERROR(VALUE(TRIM(LEFT(MID($A1509,FIND("/",$A1509)+1,20),FIND("/",MID($A1509,FIND("/",$A1509)+1,20))-1))),"")))</f>
        <v/>
      </c>
      <c r="D1509">
        <f>IF(OR($A1509="",$B1509=""),"",IF(ISNUMBER($A1509),MOD($A1509,100),IFERROR(VALUE(TRIM(MID(MID($A1509,FIND("/",$A1509)+1,20),FIND("/",MID($A1509,FIND("/",$A1509)+1,20))+1,20))),"")))</f>
        <v/>
      </c>
      <c r="E1509">
        <f>IF($A1509="","",IF(OR($B1509="",$C1509="",$D1509="",$B1509&lt;1300,$B1509&gt;1500,$C1509&lt;1,$C1509&gt;12,$D1509&lt;1,$D1509&gt;31),"نامعتبر",RIGHT("0000"&amp;$B1509,4)&amp;"/"&amp;RIGHT("00"&amp;$C1509,2)&amp;"/"&amp;RIGHT("00"&amp;$D1509,2)))</f>
        <v/>
      </c>
      <c r="F1509">
        <f>IF(Entry!$D1509&lt;&gt;"",IF(AND(ISNUMBER(Entry!$D1509),Entry!$D1509&gt;=0,Entry!$D1509&lt;1),RIGHT("00"&amp;HOUR(Entry!$D1509),2)&amp;":"&amp;RIGHT("00"&amp;MINUTE(Entry!$D1509),2),IFERROR(RIGHT("00"&amp;VALUE(TRIM(LEFT(Entry!$D1509,FIND(":",Entry!$D1509)-1))),2)&amp;":"&amp;RIGHT("00"&amp;VALUE(TRIM(MID(Entry!$D1509,FIND(":",Entry!$D1509)+1,2))),2),"نامعتبر")),IF(OR($E1509="",$E1509="نامعتبر"),"","00:00"))</f>
        <v/>
      </c>
      <c r="G1509">
        <f>IF(OR($E1509="",$E1509="نامعتبر"),"",IF(Entry!$E1509="","",LEFT(UPPER(TRIM(Entry!$E1509)),6)))</f>
        <v/>
      </c>
      <c r="H1509">
        <f>IF($G1509="","",RIGHT($E1509,4)&amp;MID($E1509,6,2)&amp;RIGHT($E1509,2)&amp;IF($F1509="","0000",IF($F1509="نامعتبر","9999",LEFT($F1509,2)&amp;RIGHT($F1509,2)))&amp;"|"&amp;RIGHT("00000"&amp;1501,5))</f>
        <v/>
      </c>
      <c r="I1509">
        <f>IF($H1509="","",COUNTIFS(CalcBank,$G1509,CalcKey,"&lt;"&amp;$H1509)+1)</f>
        <v/>
      </c>
      <c r="J1509">
        <f>IF($I1509="","",$G1509&amp;"|"&amp;RIGHT("000000"&amp;$I1509,6))</f>
        <v/>
      </c>
      <c r="K1509">
        <f>IF(OR($E1509="",$E1509="نامعتبر"),"",LEFT($E1509,4)&amp;"/"&amp;MID($E1509,6,2))</f>
        <v/>
      </c>
      <c r="L1509">
        <f>IF(Entry!$K1509="",0,Entry!$K1509)</f>
        <v/>
      </c>
      <c r="M1509">
        <f>IF(Entry!$L1509="",0,Entry!$L1509)</f>
        <v/>
      </c>
    </row>
    <row r="1510">
      <c r="A1510">
        <f>IF(Entry!$C1510="","",Entry!$C1510)</f>
        <v/>
      </c>
      <c r="B1510">
        <f>IF($A1510="","",IF(ISNUMBER($A1510),IF(AND($A1510&gt;=10000101,$A1510&lt;=99991231),INT($A1510/10000),""),IFERROR(VALUE(TRIM(LEFT($A1510,FIND("/",$A1510)-1))),"")))</f>
        <v/>
      </c>
      <c r="C1510">
        <f>IF(OR($A1510="",$B1510=""),"",IF(ISNUMBER($A1510),INT(MOD($A1510,10000)/100),IFERROR(VALUE(TRIM(LEFT(MID($A1510,FIND("/",$A1510)+1,20),FIND("/",MID($A1510,FIND("/",$A1510)+1,20))-1))),"")))</f>
        <v/>
      </c>
      <c r="D1510">
        <f>IF(OR($A1510="",$B1510=""),"",IF(ISNUMBER($A1510),MOD($A1510,100),IFERROR(VALUE(TRIM(MID(MID($A1510,FIND("/",$A1510)+1,20),FIND("/",MID($A1510,FIND("/",$A1510)+1,20))+1,20))),"")))</f>
        <v/>
      </c>
      <c r="E1510">
        <f>IF($A1510="","",IF(OR($B1510="",$C1510="",$D1510="",$B1510&lt;1300,$B1510&gt;1500,$C1510&lt;1,$C1510&gt;12,$D1510&lt;1,$D1510&gt;31),"نامعتبر",RIGHT("0000"&amp;$B1510,4)&amp;"/"&amp;RIGHT("00"&amp;$C1510,2)&amp;"/"&amp;RIGHT("00"&amp;$D1510,2)))</f>
        <v/>
      </c>
      <c r="F1510">
        <f>IF(Entry!$D1510&lt;&gt;"",IF(AND(ISNUMBER(Entry!$D1510),Entry!$D1510&gt;=0,Entry!$D1510&lt;1),RIGHT("00"&amp;HOUR(Entry!$D1510),2)&amp;":"&amp;RIGHT("00"&amp;MINUTE(Entry!$D1510),2),IFERROR(RIGHT("00"&amp;VALUE(TRIM(LEFT(Entry!$D1510,FIND(":",Entry!$D1510)-1))),2)&amp;":"&amp;RIGHT("00"&amp;VALUE(TRIM(MID(Entry!$D1510,FIND(":",Entry!$D1510)+1,2))),2),"نامعتبر")),IF(OR($E1510="",$E1510="نامعتبر"),"","00:00"))</f>
        <v/>
      </c>
      <c r="G1510">
        <f>IF(OR($E1510="",$E1510="نامعتبر"),"",IF(Entry!$E1510="","",LEFT(UPPER(TRIM(Entry!$E1510)),6)))</f>
        <v/>
      </c>
      <c r="H1510">
        <f>IF($G1510="","",RIGHT($E1510,4)&amp;MID($E1510,6,2)&amp;RIGHT($E1510,2)&amp;IF($F1510="","0000",IF($F1510="نامعتبر","9999",LEFT($F1510,2)&amp;RIGHT($F1510,2)))&amp;"|"&amp;RIGHT("00000"&amp;1502,5))</f>
        <v/>
      </c>
      <c r="I1510">
        <f>IF($H1510="","",COUNTIFS(CalcBank,$G1510,CalcKey,"&lt;"&amp;$H1510)+1)</f>
        <v/>
      </c>
      <c r="J1510">
        <f>IF($I1510="","",$G1510&amp;"|"&amp;RIGHT("000000"&amp;$I1510,6))</f>
        <v/>
      </c>
      <c r="K1510">
        <f>IF(OR($E1510="",$E1510="نامعتبر"),"",LEFT($E1510,4)&amp;"/"&amp;MID($E1510,6,2))</f>
        <v/>
      </c>
      <c r="L1510">
        <f>IF(Entry!$K1510="",0,Entry!$K1510)</f>
        <v/>
      </c>
      <c r="M1510">
        <f>IF(Entry!$L1510="",0,Entry!$L1510)</f>
        <v/>
      </c>
    </row>
    <row r="1511">
      <c r="A1511">
        <f>IF(Entry!$C1511="","",Entry!$C1511)</f>
        <v/>
      </c>
      <c r="B1511">
        <f>IF($A1511="","",IF(ISNUMBER($A1511),IF(AND($A1511&gt;=10000101,$A1511&lt;=99991231),INT($A1511/10000),""),IFERROR(VALUE(TRIM(LEFT($A1511,FIND("/",$A1511)-1))),"")))</f>
        <v/>
      </c>
      <c r="C1511">
        <f>IF(OR($A1511="",$B1511=""),"",IF(ISNUMBER($A1511),INT(MOD($A1511,10000)/100),IFERROR(VALUE(TRIM(LEFT(MID($A1511,FIND("/",$A1511)+1,20),FIND("/",MID($A1511,FIND("/",$A1511)+1,20))-1))),"")))</f>
        <v/>
      </c>
      <c r="D1511">
        <f>IF(OR($A1511="",$B1511=""),"",IF(ISNUMBER($A1511),MOD($A1511,100),IFERROR(VALUE(TRIM(MID(MID($A1511,FIND("/",$A1511)+1,20),FIND("/",MID($A1511,FIND("/",$A1511)+1,20))+1,20))),"")))</f>
        <v/>
      </c>
      <c r="E1511">
        <f>IF($A1511="","",IF(OR($B1511="",$C1511="",$D1511="",$B1511&lt;1300,$B1511&gt;1500,$C1511&lt;1,$C1511&gt;12,$D1511&lt;1,$D1511&gt;31),"نامعتبر",RIGHT("0000"&amp;$B1511,4)&amp;"/"&amp;RIGHT("00"&amp;$C1511,2)&amp;"/"&amp;RIGHT("00"&amp;$D1511,2)))</f>
        <v/>
      </c>
      <c r="F1511">
        <f>IF(Entry!$D1511&lt;&gt;"",IF(AND(ISNUMBER(Entry!$D1511),Entry!$D1511&gt;=0,Entry!$D1511&lt;1),RIGHT("00"&amp;HOUR(Entry!$D1511),2)&amp;":"&amp;RIGHT("00"&amp;MINUTE(Entry!$D1511),2),IFERROR(RIGHT("00"&amp;VALUE(TRIM(LEFT(Entry!$D1511,FIND(":",Entry!$D1511)-1))),2)&amp;":"&amp;RIGHT("00"&amp;VALUE(TRIM(MID(Entry!$D1511,FIND(":",Entry!$D1511)+1,2))),2),"نامعتبر")),IF(OR($E1511="",$E1511="نامعتبر"),"","00:00"))</f>
        <v/>
      </c>
      <c r="G1511">
        <f>IF(OR($E1511="",$E1511="نامعتبر"),"",IF(Entry!$E1511="","",LEFT(UPPER(TRIM(Entry!$E1511)),6)))</f>
        <v/>
      </c>
      <c r="H1511">
        <f>IF($G1511="","",RIGHT($E1511,4)&amp;MID($E1511,6,2)&amp;RIGHT($E1511,2)&amp;IF($F1511="","0000",IF($F1511="نامعتبر","9999",LEFT($F1511,2)&amp;RIGHT($F1511,2)))&amp;"|"&amp;RIGHT("00000"&amp;1503,5))</f>
        <v/>
      </c>
      <c r="I1511">
        <f>IF($H1511="","",COUNTIFS(CalcBank,$G1511,CalcKey,"&lt;"&amp;$H1511)+1)</f>
        <v/>
      </c>
      <c r="J1511">
        <f>IF($I1511="","",$G1511&amp;"|"&amp;RIGHT("000000"&amp;$I1511,6))</f>
        <v/>
      </c>
      <c r="K1511">
        <f>IF(OR($E1511="",$E1511="نامعتبر"),"",LEFT($E1511,4)&amp;"/"&amp;MID($E1511,6,2))</f>
        <v/>
      </c>
      <c r="L1511">
        <f>IF(Entry!$K1511="",0,Entry!$K1511)</f>
        <v/>
      </c>
      <c r="M1511">
        <f>IF(Entry!$L1511="",0,Entry!$L1511)</f>
        <v/>
      </c>
    </row>
    <row r="1512">
      <c r="A1512">
        <f>IF(Entry!$C1512="","",Entry!$C1512)</f>
        <v/>
      </c>
      <c r="B1512">
        <f>IF($A1512="","",IF(ISNUMBER($A1512),IF(AND($A1512&gt;=10000101,$A1512&lt;=99991231),INT($A1512/10000),""),IFERROR(VALUE(TRIM(LEFT($A1512,FIND("/",$A1512)-1))),"")))</f>
        <v/>
      </c>
      <c r="C1512">
        <f>IF(OR($A1512="",$B1512=""),"",IF(ISNUMBER($A1512),INT(MOD($A1512,10000)/100),IFERROR(VALUE(TRIM(LEFT(MID($A1512,FIND("/",$A1512)+1,20),FIND("/",MID($A1512,FIND("/",$A1512)+1,20))-1))),"")))</f>
        <v/>
      </c>
      <c r="D1512">
        <f>IF(OR($A1512="",$B1512=""),"",IF(ISNUMBER($A1512),MOD($A1512,100),IFERROR(VALUE(TRIM(MID(MID($A1512,FIND("/",$A1512)+1,20),FIND("/",MID($A1512,FIND("/",$A1512)+1,20))+1,20))),"")))</f>
        <v/>
      </c>
      <c r="E1512">
        <f>IF($A1512="","",IF(OR($B1512="",$C1512="",$D1512="",$B1512&lt;1300,$B1512&gt;1500,$C1512&lt;1,$C1512&gt;12,$D1512&lt;1,$D1512&gt;31),"نامعتبر",RIGHT("0000"&amp;$B1512,4)&amp;"/"&amp;RIGHT("00"&amp;$C1512,2)&amp;"/"&amp;RIGHT("00"&amp;$D1512,2)))</f>
        <v/>
      </c>
      <c r="F1512">
        <f>IF(Entry!$D1512&lt;&gt;"",IF(AND(ISNUMBER(Entry!$D1512),Entry!$D1512&gt;=0,Entry!$D1512&lt;1),RIGHT("00"&amp;HOUR(Entry!$D1512),2)&amp;":"&amp;RIGHT("00"&amp;MINUTE(Entry!$D1512),2),IFERROR(RIGHT("00"&amp;VALUE(TRIM(LEFT(Entry!$D1512,FIND(":",Entry!$D1512)-1))),2)&amp;":"&amp;RIGHT("00"&amp;VALUE(TRIM(MID(Entry!$D1512,FIND(":",Entry!$D1512)+1,2))),2),"نامعتبر")),IF(OR($E1512="",$E1512="نامعتبر"),"","00:00"))</f>
        <v/>
      </c>
      <c r="G1512">
        <f>IF(OR($E1512="",$E1512="نامعتبر"),"",IF(Entry!$E1512="","",LEFT(UPPER(TRIM(Entry!$E1512)),6)))</f>
        <v/>
      </c>
      <c r="H1512">
        <f>IF($G1512="","",RIGHT($E1512,4)&amp;MID($E1512,6,2)&amp;RIGHT($E1512,2)&amp;IF($F1512="","0000",IF($F1512="نامعتبر","9999",LEFT($F1512,2)&amp;RIGHT($F1512,2)))&amp;"|"&amp;RIGHT("00000"&amp;1504,5))</f>
        <v/>
      </c>
      <c r="I1512">
        <f>IF($H1512="","",COUNTIFS(CalcBank,$G1512,CalcKey,"&lt;"&amp;$H1512)+1)</f>
        <v/>
      </c>
      <c r="J1512">
        <f>IF($I1512="","",$G1512&amp;"|"&amp;RIGHT("000000"&amp;$I1512,6))</f>
        <v/>
      </c>
      <c r="K1512">
        <f>IF(OR($E1512="",$E1512="نامعتبر"),"",LEFT($E1512,4)&amp;"/"&amp;MID($E1512,6,2))</f>
        <v/>
      </c>
      <c r="L1512">
        <f>IF(Entry!$K1512="",0,Entry!$K1512)</f>
        <v/>
      </c>
      <c r="M1512">
        <f>IF(Entry!$L1512="",0,Entry!$L1512)</f>
        <v/>
      </c>
    </row>
    <row r="1513">
      <c r="A1513">
        <f>IF(Entry!$C1513="","",Entry!$C1513)</f>
        <v/>
      </c>
      <c r="B1513">
        <f>IF($A1513="","",IF(ISNUMBER($A1513),IF(AND($A1513&gt;=10000101,$A1513&lt;=99991231),INT($A1513/10000),""),IFERROR(VALUE(TRIM(LEFT($A1513,FIND("/",$A1513)-1))),"")))</f>
        <v/>
      </c>
      <c r="C1513">
        <f>IF(OR($A1513="",$B1513=""),"",IF(ISNUMBER($A1513),INT(MOD($A1513,10000)/100),IFERROR(VALUE(TRIM(LEFT(MID($A1513,FIND("/",$A1513)+1,20),FIND("/",MID($A1513,FIND("/",$A1513)+1,20))-1))),"")))</f>
        <v/>
      </c>
      <c r="D1513">
        <f>IF(OR($A1513="",$B1513=""),"",IF(ISNUMBER($A1513),MOD($A1513,100),IFERROR(VALUE(TRIM(MID(MID($A1513,FIND("/",$A1513)+1,20),FIND("/",MID($A1513,FIND("/",$A1513)+1,20))+1,20))),"")))</f>
        <v/>
      </c>
      <c r="E1513">
        <f>IF($A1513="","",IF(OR($B1513="",$C1513="",$D1513="",$B1513&lt;1300,$B1513&gt;1500,$C1513&lt;1,$C1513&gt;12,$D1513&lt;1,$D1513&gt;31),"نامعتبر",RIGHT("0000"&amp;$B1513,4)&amp;"/"&amp;RIGHT("00"&amp;$C1513,2)&amp;"/"&amp;RIGHT("00"&amp;$D1513,2)))</f>
        <v/>
      </c>
      <c r="F1513">
        <f>IF(Entry!$D1513&lt;&gt;"",IF(AND(ISNUMBER(Entry!$D1513),Entry!$D1513&gt;=0,Entry!$D1513&lt;1),RIGHT("00"&amp;HOUR(Entry!$D1513),2)&amp;":"&amp;RIGHT("00"&amp;MINUTE(Entry!$D1513),2),IFERROR(RIGHT("00"&amp;VALUE(TRIM(LEFT(Entry!$D1513,FIND(":",Entry!$D1513)-1))),2)&amp;":"&amp;RIGHT("00"&amp;VALUE(TRIM(MID(Entry!$D1513,FIND(":",Entry!$D1513)+1,2))),2),"نامعتبر")),IF(OR($E1513="",$E1513="نامعتبر"),"","00:00"))</f>
        <v/>
      </c>
      <c r="G1513">
        <f>IF(OR($E1513="",$E1513="نامعتبر"),"",IF(Entry!$E1513="","",LEFT(UPPER(TRIM(Entry!$E1513)),6)))</f>
        <v/>
      </c>
      <c r="H1513">
        <f>IF($G1513="","",RIGHT($E1513,4)&amp;MID($E1513,6,2)&amp;RIGHT($E1513,2)&amp;IF($F1513="","0000",IF($F1513="نامعتبر","9999",LEFT($F1513,2)&amp;RIGHT($F1513,2)))&amp;"|"&amp;RIGHT("00000"&amp;1505,5))</f>
        <v/>
      </c>
      <c r="I1513">
        <f>IF($H1513="","",COUNTIFS(CalcBank,$G1513,CalcKey,"&lt;"&amp;$H1513)+1)</f>
        <v/>
      </c>
      <c r="J1513">
        <f>IF($I1513="","",$G1513&amp;"|"&amp;RIGHT("000000"&amp;$I1513,6))</f>
        <v/>
      </c>
      <c r="K1513">
        <f>IF(OR($E1513="",$E1513="نامعتبر"),"",LEFT($E1513,4)&amp;"/"&amp;MID($E1513,6,2))</f>
        <v/>
      </c>
      <c r="L1513">
        <f>IF(Entry!$K1513="",0,Entry!$K1513)</f>
        <v/>
      </c>
      <c r="M1513">
        <f>IF(Entry!$L1513="",0,Entry!$L1513)</f>
        <v/>
      </c>
    </row>
    <row r="1514">
      <c r="A1514">
        <f>IF(Entry!$C1514="","",Entry!$C1514)</f>
        <v/>
      </c>
      <c r="B1514">
        <f>IF($A1514="","",IF(ISNUMBER($A1514),IF(AND($A1514&gt;=10000101,$A1514&lt;=99991231),INT($A1514/10000),""),IFERROR(VALUE(TRIM(LEFT($A1514,FIND("/",$A1514)-1))),"")))</f>
        <v/>
      </c>
      <c r="C1514">
        <f>IF(OR($A1514="",$B1514=""),"",IF(ISNUMBER($A1514),INT(MOD($A1514,10000)/100),IFERROR(VALUE(TRIM(LEFT(MID($A1514,FIND("/",$A1514)+1,20),FIND("/",MID($A1514,FIND("/",$A1514)+1,20))-1))),"")))</f>
        <v/>
      </c>
      <c r="D1514">
        <f>IF(OR($A1514="",$B1514=""),"",IF(ISNUMBER($A1514),MOD($A1514,100),IFERROR(VALUE(TRIM(MID(MID($A1514,FIND("/",$A1514)+1,20),FIND("/",MID($A1514,FIND("/",$A1514)+1,20))+1,20))),"")))</f>
        <v/>
      </c>
      <c r="E1514">
        <f>IF($A1514="","",IF(OR($B1514="",$C1514="",$D1514="",$B1514&lt;1300,$B1514&gt;1500,$C1514&lt;1,$C1514&gt;12,$D1514&lt;1,$D1514&gt;31),"نامعتبر",RIGHT("0000"&amp;$B1514,4)&amp;"/"&amp;RIGHT("00"&amp;$C1514,2)&amp;"/"&amp;RIGHT("00"&amp;$D1514,2)))</f>
        <v/>
      </c>
      <c r="F1514">
        <f>IF(Entry!$D1514&lt;&gt;"",IF(AND(ISNUMBER(Entry!$D1514),Entry!$D1514&gt;=0,Entry!$D1514&lt;1),RIGHT("00"&amp;HOUR(Entry!$D1514),2)&amp;":"&amp;RIGHT("00"&amp;MINUTE(Entry!$D1514),2),IFERROR(RIGHT("00"&amp;VALUE(TRIM(LEFT(Entry!$D1514,FIND(":",Entry!$D1514)-1))),2)&amp;":"&amp;RIGHT("00"&amp;VALUE(TRIM(MID(Entry!$D1514,FIND(":",Entry!$D1514)+1,2))),2),"نامعتبر")),IF(OR($E1514="",$E1514="نامعتبر"),"","00:00"))</f>
        <v/>
      </c>
      <c r="G1514">
        <f>IF(OR($E1514="",$E1514="نامعتبر"),"",IF(Entry!$E1514="","",LEFT(UPPER(TRIM(Entry!$E1514)),6)))</f>
        <v/>
      </c>
      <c r="H1514">
        <f>IF($G1514="","",RIGHT($E1514,4)&amp;MID($E1514,6,2)&amp;RIGHT($E1514,2)&amp;IF($F1514="","0000",IF($F1514="نامعتبر","9999",LEFT($F1514,2)&amp;RIGHT($F1514,2)))&amp;"|"&amp;RIGHT("00000"&amp;1506,5))</f>
        <v/>
      </c>
      <c r="I1514">
        <f>IF($H1514="","",COUNTIFS(CalcBank,$G1514,CalcKey,"&lt;"&amp;$H1514)+1)</f>
        <v/>
      </c>
      <c r="J1514">
        <f>IF($I1514="","",$G1514&amp;"|"&amp;RIGHT("000000"&amp;$I1514,6))</f>
        <v/>
      </c>
      <c r="K1514">
        <f>IF(OR($E1514="",$E1514="نامعتبر"),"",LEFT($E1514,4)&amp;"/"&amp;MID($E1514,6,2))</f>
        <v/>
      </c>
      <c r="L1514">
        <f>IF(Entry!$K1514="",0,Entry!$K1514)</f>
        <v/>
      </c>
      <c r="M1514">
        <f>IF(Entry!$L1514="",0,Entry!$L1514)</f>
        <v/>
      </c>
    </row>
    <row r="1515">
      <c r="A1515">
        <f>IF(Entry!$C1515="","",Entry!$C1515)</f>
        <v/>
      </c>
      <c r="B1515">
        <f>IF($A1515="","",IF(ISNUMBER($A1515),IF(AND($A1515&gt;=10000101,$A1515&lt;=99991231),INT($A1515/10000),""),IFERROR(VALUE(TRIM(LEFT($A1515,FIND("/",$A1515)-1))),"")))</f>
        <v/>
      </c>
      <c r="C1515">
        <f>IF(OR($A1515="",$B1515=""),"",IF(ISNUMBER($A1515),INT(MOD($A1515,10000)/100),IFERROR(VALUE(TRIM(LEFT(MID($A1515,FIND("/",$A1515)+1,20),FIND("/",MID($A1515,FIND("/",$A1515)+1,20))-1))),"")))</f>
        <v/>
      </c>
      <c r="D1515">
        <f>IF(OR($A1515="",$B1515=""),"",IF(ISNUMBER($A1515),MOD($A1515,100),IFERROR(VALUE(TRIM(MID(MID($A1515,FIND("/",$A1515)+1,20),FIND("/",MID($A1515,FIND("/",$A1515)+1,20))+1,20))),"")))</f>
        <v/>
      </c>
      <c r="E1515">
        <f>IF($A1515="","",IF(OR($B1515="",$C1515="",$D1515="",$B1515&lt;1300,$B1515&gt;1500,$C1515&lt;1,$C1515&gt;12,$D1515&lt;1,$D1515&gt;31),"نامعتبر",RIGHT("0000"&amp;$B1515,4)&amp;"/"&amp;RIGHT("00"&amp;$C1515,2)&amp;"/"&amp;RIGHT("00"&amp;$D1515,2)))</f>
        <v/>
      </c>
      <c r="F1515">
        <f>IF(Entry!$D1515&lt;&gt;"",IF(AND(ISNUMBER(Entry!$D1515),Entry!$D1515&gt;=0,Entry!$D1515&lt;1),RIGHT("00"&amp;HOUR(Entry!$D1515),2)&amp;":"&amp;RIGHT("00"&amp;MINUTE(Entry!$D1515),2),IFERROR(RIGHT("00"&amp;VALUE(TRIM(LEFT(Entry!$D1515,FIND(":",Entry!$D1515)-1))),2)&amp;":"&amp;RIGHT("00"&amp;VALUE(TRIM(MID(Entry!$D1515,FIND(":",Entry!$D1515)+1,2))),2),"نامعتبر")),IF(OR($E1515="",$E1515="نامعتبر"),"","00:00"))</f>
        <v/>
      </c>
      <c r="G1515">
        <f>IF(OR($E1515="",$E1515="نامعتبر"),"",IF(Entry!$E1515="","",LEFT(UPPER(TRIM(Entry!$E1515)),6)))</f>
        <v/>
      </c>
      <c r="H1515">
        <f>IF($G1515="","",RIGHT($E1515,4)&amp;MID($E1515,6,2)&amp;RIGHT($E1515,2)&amp;IF($F1515="","0000",IF($F1515="نامعتبر","9999",LEFT($F1515,2)&amp;RIGHT($F1515,2)))&amp;"|"&amp;RIGHT("00000"&amp;1507,5))</f>
        <v/>
      </c>
      <c r="I1515">
        <f>IF($H1515="","",COUNTIFS(CalcBank,$G1515,CalcKey,"&lt;"&amp;$H1515)+1)</f>
        <v/>
      </c>
      <c r="J1515">
        <f>IF($I1515="","",$G1515&amp;"|"&amp;RIGHT("000000"&amp;$I1515,6))</f>
        <v/>
      </c>
      <c r="K1515">
        <f>IF(OR($E1515="",$E1515="نامعتبر"),"",LEFT($E1515,4)&amp;"/"&amp;MID($E1515,6,2))</f>
        <v/>
      </c>
      <c r="L1515">
        <f>IF(Entry!$K1515="",0,Entry!$K1515)</f>
        <v/>
      </c>
      <c r="M1515">
        <f>IF(Entry!$L1515="",0,Entry!$L1515)</f>
        <v/>
      </c>
    </row>
    <row r="1516">
      <c r="A1516">
        <f>IF(Entry!$C1516="","",Entry!$C1516)</f>
        <v/>
      </c>
      <c r="B1516">
        <f>IF($A1516="","",IF(ISNUMBER($A1516),IF(AND($A1516&gt;=10000101,$A1516&lt;=99991231),INT($A1516/10000),""),IFERROR(VALUE(TRIM(LEFT($A1516,FIND("/",$A1516)-1))),"")))</f>
        <v/>
      </c>
      <c r="C1516">
        <f>IF(OR($A1516="",$B1516=""),"",IF(ISNUMBER($A1516),INT(MOD($A1516,10000)/100),IFERROR(VALUE(TRIM(LEFT(MID($A1516,FIND("/",$A1516)+1,20),FIND("/",MID($A1516,FIND("/",$A1516)+1,20))-1))),"")))</f>
        <v/>
      </c>
      <c r="D1516">
        <f>IF(OR($A1516="",$B1516=""),"",IF(ISNUMBER($A1516),MOD($A1516,100),IFERROR(VALUE(TRIM(MID(MID($A1516,FIND("/",$A1516)+1,20),FIND("/",MID($A1516,FIND("/",$A1516)+1,20))+1,20))),"")))</f>
        <v/>
      </c>
      <c r="E1516">
        <f>IF($A1516="","",IF(OR($B1516="",$C1516="",$D1516="",$B1516&lt;1300,$B1516&gt;1500,$C1516&lt;1,$C1516&gt;12,$D1516&lt;1,$D1516&gt;31),"نامعتبر",RIGHT("0000"&amp;$B1516,4)&amp;"/"&amp;RIGHT("00"&amp;$C1516,2)&amp;"/"&amp;RIGHT("00"&amp;$D1516,2)))</f>
        <v/>
      </c>
      <c r="F1516">
        <f>IF(Entry!$D1516&lt;&gt;"",IF(AND(ISNUMBER(Entry!$D1516),Entry!$D1516&gt;=0,Entry!$D1516&lt;1),RIGHT("00"&amp;HOUR(Entry!$D1516),2)&amp;":"&amp;RIGHT("00"&amp;MINUTE(Entry!$D1516),2),IFERROR(RIGHT("00"&amp;VALUE(TRIM(LEFT(Entry!$D1516,FIND(":",Entry!$D1516)-1))),2)&amp;":"&amp;RIGHT("00"&amp;VALUE(TRIM(MID(Entry!$D1516,FIND(":",Entry!$D1516)+1,2))),2),"نامعتبر")),IF(OR($E1516="",$E1516="نامعتبر"),"","00:00"))</f>
        <v/>
      </c>
      <c r="G1516">
        <f>IF(OR($E1516="",$E1516="نامعتبر"),"",IF(Entry!$E1516="","",LEFT(UPPER(TRIM(Entry!$E1516)),6)))</f>
        <v/>
      </c>
      <c r="H1516">
        <f>IF($G1516="","",RIGHT($E1516,4)&amp;MID($E1516,6,2)&amp;RIGHT($E1516,2)&amp;IF($F1516="","0000",IF($F1516="نامعتبر","9999",LEFT($F1516,2)&amp;RIGHT($F1516,2)))&amp;"|"&amp;RIGHT("00000"&amp;1508,5))</f>
        <v/>
      </c>
      <c r="I1516">
        <f>IF($H1516="","",COUNTIFS(CalcBank,$G1516,CalcKey,"&lt;"&amp;$H1516)+1)</f>
        <v/>
      </c>
      <c r="J1516">
        <f>IF($I1516="","",$G1516&amp;"|"&amp;RIGHT("000000"&amp;$I1516,6))</f>
        <v/>
      </c>
      <c r="K1516">
        <f>IF(OR($E1516="",$E1516="نامعتبر"),"",LEFT($E1516,4)&amp;"/"&amp;MID($E1516,6,2))</f>
        <v/>
      </c>
      <c r="L1516">
        <f>IF(Entry!$K1516="",0,Entry!$K1516)</f>
        <v/>
      </c>
      <c r="M1516">
        <f>IF(Entry!$L1516="",0,Entry!$L1516)</f>
        <v/>
      </c>
    </row>
    <row r="1517">
      <c r="A1517">
        <f>IF(Entry!$C1517="","",Entry!$C1517)</f>
        <v/>
      </c>
      <c r="B1517">
        <f>IF($A1517="","",IF(ISNUMBER($A1517),IF(AND($A1517&gt;=10000101,$A1517&lt;=99991231),INT($A1517/10000),""),IFERROR(VALUE(TRIM(LEFT($A1517,FIND("/",$A1517)-1))),"")))</f>
        <v/>
      </c>
      <c r="C1517">
        <f>IF(OR($A1517="",$B1517=""),"",IF(ISNUMBER($A1517),INT(MOD($A1517,10000)/100),IFERROR(VALUE(TRIM(LEFT(MID($A1517,FIND("/",$A1517)+1,20),FIND("/",MID($A1517,FIND("/",$A1517)+1,20))-1))),"")))</f>
        <v/>
      </c>
      <c r="D1517">
        <f>IF(OR($A1517="",$B1517=""),"",IF(ISNUMBER($A1517),MOD($A1517,100),IFERROR(VALUE(TRIM(MID(MID($A1517,FIND("/",$A1517)+1,20),FIND("/",MID($A1517,FIND("/",$A1517)+1,20))+1,20))),"")))</f>
        <v/>
      </c>
      <c r="E1517">
        <f>IF($A1517="","",IF(OR($B1517="",$C1517="",$D1517="",$B1517&lt;1300,$B1517&gt;1500,$C1517&lt;1,$C1517&gt;12,$D1517&lt;1,$D1517&gt;31),"نامعتبر",RIGHT("0000"&amp;$B1517,4)&amp;"/"&amp;RIGHT("00"&amp;$C1517,2)&amp;"/"&amp;RIGHT("00"&amp;$D1517,2)))</f>
        <v/>
      </c>
      <c r="F1517">
        <f>IF(Entry!$D1517&lt;&gt;"",IF(AND(ISNUMBER(Entry!$D1517),Entry!$D1517&gt;=0,Entry!$D1517&lt;1),RIGHT("00"&amp;HOUR(Entry!$D1517),2)&amp;":"&amp;RIGHT("00"&amp;MINUTE(Entry!$D1517),2),IFERROR(RIGHT("00"&amp;VALUE(TRIM(LEFT(Entry!$D1517,FIND(":",Entry!$D1517)-1))),2)&amp;":"&amp;RIGHT("00"&amp;VALUE(TRIM(MID(Entry!$D1517,FIND(":",Entry!$D1517)+1,2))),2),"نامعتبر")),IF(OR($E1517="",$E1517="نامعتبر"),"","00:00"))</f>
        <v/>
      </c>
      <c r="G1517">
        <f>IF(OR($E1517="",$E1517="نامعتبر"),"",IF(Entry!$E1517="","",LEFT(UPPER(TRIM(Entry!$E1517)),6)))</f>
        <v/>
      </c>
      <c r="H1517">
        <f>IF($G1517="","",RIGHT($E1517,4)&amp;MID($E1517,6,2)&amp;RIGHT($E1517,2)&amp;IF($F1517="","0000",IF($F1517="نامعتبر","9999",LEFT($F1517,2)&amp;RIGHT($F1517,2)))&amp;"|"&amp;RIGHT("00000"&amp;1509,5))</f>
        <v/>
      </c>
      <c r="I1517">
        <f>IF($H1517="","",COUNTIFS(CalcBank,$G1517,CalcKey,"&lt;"&amp;$H1517)+1)</f>
        <v/>
      </c>
      <c r="J1517">
        <f>IF($I1517="","",$G1517&amp;"|"&amp;RIGHT("000000"&amp;$I1517,6))</f>
        <v/>
      </c>
      <c r="K1517">
        <f>IF(OR($E1517="",$E1517="نامعتبر"),"",LEFT($E1517,4)&amp;"/"&amp;MID($E1517,6,2))</f>
        <v/>
      </c>
      <c r="L1517">
        <f>IF(Entry!$K1517="",0,Entry!$K1517)</f>
        <v/>
      </c>
      <c r="M1517">
        <f>IF(Entry!$L1517="",0,Entry!$L1517)</f>
        <v/>
      </c>
    </row>
    <row r="1518">
      <c r="A1518">
        <f>IF(Entry!$C1518="","",Entry!$C1518)</f>
        <v/>
      </c>
      <c r="B1518">
        <f>IF($A1518="","",IF(ISNUMBER($A1518),IF(AND($A1518&gt;=10000101,$A1518&lt;=99991231),INT($A1518/10000),""),IFERROR(VALUE(TRIM(LEFT($A1518,FIND("/",$A1518)-1))),"")))</f>
        <v/>
      </c>
      <c r="C1518">
        <f>IF(OR($A1518="",$B1518=""),"",IF(ISNUMBER($A1518),INT(MOD($A1518,10000)/100),IFERROR(VALUE(TRIM(LEFT(MID($A1518,FIND("/",$A1518)+1,20),FIND("/",MID($A1518,FIND("/",$A1518)+1,20))-1))),"")))</f>
        <v/>
      </c>
      <c r="D1518">
        <f>IF(OR($A1518="",$B1518=""),"",IF(ISNUMBER($A1518),MOD($A1518,100),IFERROR(VALUE(TRIM(MID(MID($A1518,FIND("/",$A1518)+1,20),FIND("/",MID($A1518,FIND("/",$A1518)+1,20))+1,20))),"")))</f>
        <v/>
      </c>
      <c r="E1518">
        <f>IF($A1518="","",IF(OR($B1518="",$C1518="",$D1518="",$B1518&lt;1300,$B1518&gt;1500,$C1518&lt;1,$C1518&gt;12,$D1518&lt;1,$D1518&gt;31),"نامعتبر",RIGHT("0000"&amp;$B1518,4)&amp;"/"&amp;RIGHT("00"&amp;$C1518,2)&amp;"/"&amp;RIGHT("00"&amp;$D1518,2)))</f>
        <v/>
      </c>
      <c r="F1518">
        <f>IF(Entry!$D1518&lt;&gt;"",IF(AND(ISNUMBER(Entry!$D1518),Entry!$D1518&gt;=0,Entry!$D1518&lt;1),RIGHT("00"&amp;HOUR(Entry!$D1518),2)&amp;":"&amp;RIGHT("00"&amp;MINUTE(Entry!$D1518),2),IFERROR(RIGHT("00"&amp;VALUE(TRIM(LEFT(Entry!$D1518,FIND(":",Entry!$D1518)-1))),2)&amp;":"&amp;RIGHT("00"&amp;VALUE(TRIM(MID(Entry!$D1518,FIND(":",Entry!$D1518)+1,2))),2),"نامعتبر")),IF(OR($E1518="",$E1518="نامعتبر"),"","00:00"))</f>
        <v/>
      </c>
      <c r="G1518">
        <f>IF(OR($E1518="",$E1518="نامعتبر"),"",IF(Entry!$E1518="","",LEFT(UPPER(TRIM(Entry!$E1518)),6)))</f>
        <v/>
      </c>
      <c r="H1518">
        <f>IF($G1518="","",RIGHT($E1518,4)&amp;MID($E1518,6,2)&amp;RIGHT($E1518,2)&amp;IF($F1518="","0000",IF($F1518="نامعتبر","9999",LEFT($F1518,2)&amp;RIGHT($F1518,2)))&amp;"|"&amp;RIGHT("00000"&amp;1510,5))</f>
        <v/>
      </c>
      <c r="I1518">
        <f>IF($H1518="","",COUNTIFS(CalcBank,$G1518,CalcKey,"&lt;"&amp;$H1518)+1)</f>
        <v/>
      </c>
      <c r="J1518">
        <f>IF($I1518="","",$G1518&amp;"|"&amp;RIGHT("000000"&amp;$I1518,6))</f>
        <v/>
      </c>
      <c r="K1518">
        <f>IF(OR($E1518="",$E1518="نامعتبر"),"",LEFT($E1518,4)&amp;"/"&amp;MID($E1518,6,2))</f>
        <v/>
      </c>
      <c r="L1518">
        <f>IF(Entry!$K1518="",0,Entry!$K1518)</f>
        <v/>
      </c>
      <c r="M1518">
        <f>IF(Entry!$L1518="",0,Entry!$L1518)</f>
        <v/>
      </c>
    </row>
    <row r="1519">
      <c r="A1519">
        <f>IF(Entry!$C1519="","",Entry!$C1519)</f>
        <v/>
      </c>
      <c r="B1519">
        <f>IF($A1519="","",IF(ISNUMBER($A1519),IF(AND($A1519&gt;=10000101,$A1519&lt;=99991231),INT($A1519/10000),""),IFERROR(VALUE(TRIM(LEFT($A1519,FIND("/",$A1519)-1))),"")))</f>
        <v/>
      </c>
      <c r="C1519">
        <f>IF(OR($A1519="",$B1519=""),"",IF(ISNUMBER($A1519),INT(MOD($A1519,10000)/100),IFERROR(VALUE(TRIM(LEFT(MID($A1519,FIND("/",$A1519)+1,20),FIND("/",MID($A1519,FIND("/",$A1519)+1,20))-1))),"")))</f>
        <v/>
      </c>
      <c r="D1519">
        <f>IF(OR($A1519="",$B1519=""),"",IF(ISNUMBER($A1519),MOD($A1519,100),IFERROR(VALUE(TRIM(MID(MID($A1519,FIND("/",$A1519)+1,20),FIND("/",MID($A1519,FIND("/",$A1519)+1,20))+1,20))),"")))</f>
        <v/>
      </c>
      <c r="E1519">
        <f>IF($A1519="","",IF(OR($B1519="",$C1519="",$D1519="",$B1519&lt;1300,$B1519&gt;1500,$C1519&lt;1,$C1519&gt;12,$D1519&lt;1,$D1519&gt;31),"نامعتبر",RIGHT("0000"&amp;$B1519,4)&amp;"/"&amp;RIGHT("00"&amp;$C1519,2)&amp;"/"&amp;RIGHT("00"&amp;$D1519,2)))</f>
        <v/>
      </c>
      <c r="F1519">
        <f>IF(Entry!$D1519&lt;&gt;"",IF(AND(ISNUMBER(Entry!$D1519),Entry!$D1519&gt;=0,Entry!$D1519&lt;1),RIGHT("00"&amp;HOUR(Entry!$D1519),2)&amp;":"&amp;RIGHT("00"&amp;MINUTE(Entry!$D1519),2),IFERROR(RIGHT("00"&amp;VALUE(TRIM(LEFT(Entry!$D1519,FIND(":",Entry!$D1519)-1))),2)&amp;":"&amp;RIGHT("00"&amp;VALUE(TRIM(MID(Entry!$D1519,FIND(":",Entry!$D1519)+1,2))),2),"نامعتبر")),IF(OR($E1519="",$E1519="نامعتبر"),"","00:00"))</f>
        <v/>
      </c>
      <c r="G1519">
        <f>IF(OR($E1519="",$E1519="نامعتبر"),"",IF(Entry!$E1519="","",LEFT(UPPER(TRIM(Entry!$E1519)),6)))</f>
        <v/>
      </c>
      <c r="H1519">
        <f>IF($G1519="","",RIGHT($E1519,4)&amp;MID($E1519,6,2)&amp;RIGHT($E1519,2)&amp;IF($F1519="","0000",IF($F1519="نامعتبر","9999",LEFT($F1519,2)&amp;RIGHT($F1519,2)))&amp;"|"&amp;RIGHT("00000"&amp;1511,5))</f>
        <v/>
      </c>
      <c r="I1519">
        <f>IF($H1519="","",COUNTIFS(CalcBank,$G1519,CalcKey,"&lt;"&amp;$H1519)+1)</f>
        <v/>
      </c>
      <c r="J1519">
        <f>IF($I1519="","",$G1519&amp;"|"&amp;RIGHT("000000"&amp;$I1519,6))</f>
        <v/>
      </c>
      <c r="K1519">
        <f>IF(OR($E1519="",$E1519="نامعتبر"),"",LEFT($E1519,4)&amp;"/"&amp;MID($E1519,6,2))</f>
        <v/>
      </c>
      <c r="L1519">
        <f>IF(Entry!$K1519="",0,Entry!$K1519)</f>
        <v/>
      </c>
      <c r="M1519">
        <f>IF(Entry!$L1519="",0,Entry!$L1519)</f>
        <v/>
      </c>
    </row>
    <row r="1520">
      <c r="A1520">
        <f>IF(Entry!$C1520="","",Entry!$C1520)</f>
        <v/>
      </c>
      <c r="B1520">
        <f>IF($A1520="","",IF(ISNUMBER($A1520),IF(AND($A1520&gt;=10000101,$A1520&lt;=99991231),INT($A1520/10000),""),IFERROR(VALUE(TRIM(LEFT($A1520,FIND("/",$A1520)-1))),"")))</f>
        <v/>
      </c>
      <c r="C1520">
        <f>IF(OR($A1520="",$B1520=""),"",IF(ISNUMBER($A1520),INT(MOD($A1520,10000)/100),IFERROR(VALUE(TRIM(LEFT(MID($A1520,FIND("/",$A1520)+1,20),FIND("/",MID($A1520,FIND("/",$A1520)+1,20))-1))),"")))</f>
        <v/>
      </c>
      <c r="D1520">
        <f>IF(OR($A1520="",$B1520=""),"",IF(ISNUMBER($A1520),MOD($A1520,100),IFERROR(VALUE(TRIM(MID(MID($A1520,FIND("/",$A1520)+1,20),FIND("/",MID($A1520,FIND("/",$A1520)+1,20))+1,20))),"")))</f>
        <v/>
      </c>
      <c r="E1520">
        <f>IF($A1520="","",IF(OR($B1520="",$C1520="",$D1520="",$B1520&lt;1300,$B1520&gt;1500,$C1520&lt;1,$C1520&gt;12,$D1520&lt;1,$D1520&gt;31),"نامعتبر",RIGHT("0000"&amp;$B1520,4)&amp;"/"&amp;RIGHT("00"&amp;$C1520,2)&amp;"/"&amp;RIGHT("00"&amp;$D1520,2)))</f>
        <v/>
      </c>
      <c r="F1520">
        <f>IF(Entry!$D1520&lt;&gt;"",IF(AND(ISNUMBER(Entry!$D1520),Entry!$D1520&gt;=0,Entry!$D1520&lt;1),RIGHT("00"&amp;HOUR(Entry!$D1520),2)&amp;":"&amp;RIGHT("00"&amp;MINUTE(Entry!$D1520),2),IFERROR(RIGHT("00"&amp;VALUE(TRIM(LEFT(Entry!$D1520,FIND(":",Entry!$D1520)-1))),2)&amp;":"&amp;RIGHT("00"&amp;VALUE(TRIM(MID(Entry!$D1520,FIND(":",Entry!$D1520)+1,2))),2),"نامعتبر")),IF(OR($E1520="",$E1520="نامعتبر"),"","00:00"))</f>
        <v/>
      </c>
      <c r="G1520">
        <f>IF(OR($E1520="",$E1520="نامعتبر"),"",IF(Entry!$E1520="","",LEFT(UPPER(TRIM(Entry!$E1520)),6)))</f>
        <v/>
      </c>
      <c r="H1520">
        <f>IF($G1520="","",RIGHT($E1520,4)&amp;MID($E1520,6,2)&amp;RIGHT($E1520,2)&amp;IF($F1520="","0000",IF($F1520="نامعتبر","9999",LEFT($F1520,2)&amp;RIGHT($F1520,2)))&amp;"|"&amp;RIGHT("00000"&amp;1512,5))</f>
        <v/>
      </c>
      <c r="I1520">
        <f>IF($H1520="","",COUNTIFS(CalcBank,$G1520,CalcKey,"&lt;"&amp;$H1520)+1)</f>
        <v/>
      </c>
      <c r="J1520">
        <f>IF($I1520="","",$G1520&amp;"|"&amp;RIGHT("000000"&amp;$I1520,6))</f>
        <v/>
      </c>
      <c r="K1520">
        <f>IF(OR($E1520="",$E1520="نامعتبر"),"",LEFT($E1520,4)&amp;"/"&amp;MID($E1520,6,2))</f>
        <v/>
      </c>
      <c r="L1520">
        <f>IF(Entry!$K1520="",0,Entry!$K1520)</f>
        <v/>
      </c>
      <c r="M1520">
        <f>IF(Entry!$L1520="",0,Entry!$L1520)</f>
        <v/>
      </c>
    </row>
    <row r="1521">
      <c r="A1521">
        <f>IF(Entry!$C1521="","",Entry!$C1521)</f>
        <v/>
      </c>
      <c r="B1521">
        <f>IF($A1521="","",IF(ISNUMBER($A1521),IF(AND($A1521&gt;=10000101,$A1521&lt;=99991231),INT($A1521/10000),""),IFERROR(VALUE(TRIM(LEFT($A1521,FIND("/",$A1521)-1))),"")))</f>
        <v/>
      </c>
      <c r="C1521">
        <f>IF(OR($A1521="",$B1521=""),"",IF(ISNUMBER($A1521),INT(MOD($A1521,10000)/100),IFERROR(VALUE(TRIM(LEFT(MID($A1521,FIND("/",$A1521)+1,20),FIND("/",MID($A1521,FIND("/",$A1521)+1,20))-1))),"")))</f>
        <v/>
      </c>
      <c r="D1521">
        <f>IF(OR($A1521="",$B1521=""),"",IF(ISNUMBER($A1521),MOD($A1521,100),IFERROR(VALUE(TRIM(MID(MID($A1521,FIND("/",$A1521)+1,20),FIND("/",MID($A1521,FIND("/",$A1521)+1,20))+1,20))),"")))</f>
        <v/>
      </c>
      <c r="E1521">
        <f>IF($A1521="","",IF(OR($B1521="",$C1521="",$D1521="",$B1521&lt;1300,$B1521&gt;1500,$C1521&lt;1,$C1521&gt;12,$D1521&lt;1,$D1521&gt;31),"نامعتبر",RIGHT("0000"&amp;$B1521,4)&amp;"/"&amp;RIGHT("00"&amp;$C1521,2)&amp;"/"&amp;RIGHT("00"&amp;$D1521,2)))</f>
        <v/>
      </c>
      <c r="F1521">
        <f>IF(Entry!$D1521&lt;&gt;"",IF(AND(ISNUMBER(Entry!$D1521),Entry!$D1521&gt;=0,Entry!$D1521&lt;1),RIGHT("00"&amp;HOUR(Entry!$D1521),2)&amp;":"&amp;RIGHT("00"&amp;MINUTE(Entry!$D1521),2),IFERROR(RIGHT("00"&amp;VALUE(TRIM(LEFT(Entry!$D1521,FIND(":",Entry!$D1521)-1))),2)&amp;":"&amp;RIGHT("00"&amp;VALUE(TRIM(MID(Entry!$D1521,FIND(":",Entry!$D1521)+1,2))),2),"نامعتبر")),IF(OR($E1521="",$E1521="نامعتبر"),"","00:00"))</f>
        <v/>
      </c>
      <c r="G1521">
        <f>IF(OR($E1521="",$E1521="نامعتبر"),"",IF(Entry!$E1521="","",LEFT(UPPER(TRIM(Entry!$E1521)),6)))</f>
        <v/>
      </c>
      <c r="H1521">
        <f>IF($G1521="","",RIGHT($E1521,4)&amp;MID($E1521,6,2)&amp;RIGHT($E1521,2)&amp;IF($F1521="","0000",IF($F1521="نامعتبر","9999",LEFT($F1521,2)&amp;RIGHT($F1521,2)))&amp;"|"&amp;RIGHT("00000"&amp;1513,5))</f>
        <v/>
      </c>
      <c r="I1521">
        <f>IF($H1521="","",COUNTIFS(CalcBank,$G1521,CalcKey,"&lt;"&amp;$H1521)+1)</f>
        <v/>
      </c>
      <c r="J1521">
        <f>IF($I1521="","",$G1521&amp;"|"&amp;RIGHT("000000"&amp;$I1521,6))</f>
        <v/>
      </c>
      <c r="K1521">
        <f>IF(OR($E1521="",$E1521="نامعتبر"),"",LEFT($E1521,4)&amp;"/"&amp;MID($E1521,6,2))</f>
        <v/>
      </c>
      <c r="L1521">
        <f>IF(Entry!$K1521="",0,Entry!$K1521)</f>
        <v/>
      </c>
      <c r="M1521">
        <f>IF(Entry!$L1521="",0,Entry!$L1521)</f>
        <v/>
      </c>
    </row>
    <row r="1522">
      <c r="A1522">
        <f>IF(Entry!$C1522="","",Entry!$C1522)</f>
        <v/>
      </c>
      <c r="B1522">
        <f>IF($A1522="","",IF(ISNUMBER($A1522),IF(AND($A1522&gt;=10000101,$A1522&lt;=99991231),INT($A1522/10000),""),IFERROR(VALUE(TRIM(LEFT($A1522,FIND("/",$A1522)-1))),"")))</f>
        <v/>
      </c>
      <c r="C1522">
        <f>IF(OR($A1522="",$B1522=""),"",IF(ISNUMBER($A1522),INT(MOD($A1522,10000)/100),IFERROR(VALUE(TRIM(LEFT(MID($A1522,FIND("/",$A1522)+1,20),FIND("/",MID($A1522,FIND("/",$A1522)+1,20))-1))),"")))</f>
        <v/>
      </c>
      <c r="D1522">
        <f>IF(OR($A1522="",$B1522=""),"",IF(ISNUMBER($A1522),MOD($A1522,100),IFERROR(VALUE(TRIM(MID(MID($A1522,FIND("/",$A1522)+1,20),FIND("/",MID($A1522,FIND("/",$A1522)+1,20))+1,20))),"")))</f>
        <v/>
      </c>
      <c r="E1522">
        <f>IF($A1522="","",IF(OR($B1522="",$C1522="",$D1522="",$B1522&lt;1300,$B1522&gt;1500,$C1522&lt;1,$C1522&gt;12,$D1522&lt;1,$D1522&gt;31),"نامعتبر",RIGHT("0000"&amp;$B1522,4)&amp;"/"&amp;RIGHT("00"&amp;$C1522,2)&amp;"/"&amp;RIGHT("00"&amp;$D1522,2)))</f>
        <v/>
      </c>
      <c r="F1522">
        <f>IF(Entry!$D1522&lt;&gt;"",IF(AND(ISNUMBER(Entry!$D1522),Entry!$D1522&gt;=0,Entry!$D1522&lt;1),RIGHT("00"&amp;HOUR(Entry!$D1522),2)&amp;":"&amp;RIGHT("00"&amp;MINUTE(Entry!$D1522),2),IFERROR(RIGHT("00"&amp;VALUE(TRIM(LEFT(Entry!$D1522,FIND(":",Entry!$D1522)-1))),2)&amp;":"&amp;RIGHT("00"&amp;VALUE(TRIM(MID(Entry!$D1522,FIND(":",Entry!$D1522)+1,2))),2),"نامعتبر")),IF(OR($E1522="",$E1522="نامعتبر"),"","00:00"))</f>
        <v/>
      </c>
      <c r="G1522">
        <f>IF(OR($E1522="",$E1522="نامعتبر"),"",IF(Entry!$E1522="","",LEFT(UPPER(TRIM(Entry!$E1522)),6)))</f>
        <v/>
      </c>
      <c r="H1522">
        <f>IF($G1522="","",RIGHT($E1522,4)&amp;MID($E1522,6,2)&amp;RIGHT($E1522,2)&amp;IF($F1522="","0000",IF($F1522="نامعتبر","9999",LEFT($F1522,2)&amp;RIGHT($F1522,2)))&amp;"|"&amp;RIGHT("00000"&amp;1514,5))</f>
        <v/>
      </c>
      <c r="I1522">
        <f>IF($H1522="","",COUNTIFS(CalcBank,$G1522,CalcKey,"&lt;"&amp;$H1522)+1)</f>
        <v/>
      </c>
      <c r="J1522">
        <f>IF($I1522="","",$G1522&amp;"|"&amp;RIGHT("000000"&amp;$I1522,6))</f>
        <v/>
      </c>
      <c r="K1522">
        <f>IF(OR($E1522="",$E1522="نامعتبر"),"",LEFT($E1522,4)&amp;"/"&amp;MID($E1522,6,2))</f>
        <v/>
      </c>
      <c r="L1522">
        <f>IF(Entry!$K1522="",0,Entry!$K1522)</f>
        <v/>
      </c>
      <c r="M1522">
        <f>IF(Entry!$L1522="",0,Entry!$L1522)</f>
        <v/>
      </c>
    </row>
    <row r="1523">
      <c r="A1523">
        <f>IF(Entry!$C1523="","",Entry!$C1523)</f>
        <v/>
      </c>
      <c r="B1523">
        <f>IF($A1523="","",IF(ISNUMBER($A1523),IF(AND($A1523&gt;=10000101,$A1523&lt;=99991231),INT($A1523/10000),""),IFERROR(VALUE(TRIM(LEFT($A1523,FIND("/",$A1523)-1))),"")))</f>
        <v/>
      </c>
      <c r="C1523">
        <f>IF(OR($A1523="",$B1523=""),"",IF(ISNUMBER($A1523),INT(MOD($A1523,10000)/100),IFERROR(VALUE(TRIM(LEFT(MID($A1523,FIND("/",$A1523)+1,20),FIND("/",MID($A1523,FIND("/",$A1523)+1,20))-1))),"")))</f>
        <v/>
      </c>
      <c r="D1523">
        <f>IF(OR($A1523="",$B1523=""),"",IF(ISNUMBER($A1523),MOD($A1523,100),IFERROR(VALUE(TRIM(MID(MID($A1523,FIND("/",$A1523)+1,20),FIND("/",MID($A1523,FIND("/",$A1523)+1,20))+1,20))),"")))</f>
        <v/>
      </c>
      <c r="E1523">
        <f>IF($A1523="","",IF(OR($B1523="",$C1523="",$D1523="",$B1523&lt;1300,$B1523&gt;1500,$C1523&lt;1,$C1523&gt;12,$D1523&lt;1,$D1523&gt;31),"نامعتبر",RIGHT("0000"&amp;$B1523,4)&amp;"/"&amp;RIGHT("00"&amp;$C1523,2)&amp;"/"&amp;RIGHT("00"&amp;$D1523,2)))</f>
        <v/>
      </c>
      <c r="F1523">
        <f>IF(Entry!$D1523&lt;&gt;"",IF(AND(ISNUMBER(Entry!$D1523),Entry!$D1523&gt;=0,Entry!$D1523&lt;1),RIGHT("00"&amp;HOUR(Entry!$D1523),2)&amp;":"&amp;RIGHT("00"&amp;MINUTE(Entry!$D1523),2),IFERROR(RIGHT("00"&amp;VALUE(TRIM(LEFT(Entry!$D1523,FIND(":",Entry!$D1523)-1))),2)&amp;":"&amp;RIGHT("00"&amp;VALUE(TRIM(MID(Entry!$D1523,FIND(":",Entry!$D1523)+1,2))),2),"نامعتبر")),IF(OR($E1523="",$E1523="نامعتبر"),"","00:00"))</f>
        <v/>
      </c>
      <c r="G1523">
        <f>IF(OR($E1523="",$E1523="نامعتبر"),"",IF(Entry!$E1523="","",LEFT(UPPER(TRIM(Entry!$E1523)),6)))</f>
        <v/>
      </c>
      <c r="H1523">
        <f>IF($G1523="","",RIGHT($E1523,4)&amp;MID($E1523,6,2)&amp;RIGHT($E1523,2)&amp;IF($F1523="","0000",IF($F1523="نامعتبر","9999",LEFT($F1523,2)&amp;RIGHT($F1523,2)))&amp;"|"&amp;RIGHT("00000"&amp;1515,5))</f>
        <v/>
      </c>
      <c r="I1523">
        <f>IF($H1523="","",COUNTIFS(CalcBank,$G1523,CalcKey,"&lt;"&amp;$H1523)+1)</f>
        <v/>
      </c>
      <c r="J1523">
        <f>IF($I1523="","",$G1523&amp;"|"&amp;RIGHT("000000"&amp;$I1523,6))</f>
        <v/>
      </c>
      <c r="K1523">
        <f>IF(OR($E1523="",$E1523="نامعتبر"),"",LEFT($E1523,4)&amp;"/"&amp;MID($E1523,6,2))</f>
        <v/>
      </c>
      <c r="L1523">
        <f>IF(Entry!$K1523="",0,Entry!$K1523)</f>
        <v/>
      </c>
      <c r="M1523">
        <f>IF(Entry!$L1523="",0,Entry!$L1523)</f>
        <v/>
      </c>
    </row>
    <row r="1524">
      <c r="A1524">
        <f>IF(Entry!$C1524="","",Entry!$C1524)</f>
        <v/>
      </c>
      <c r="B1524">
        <f>IF($A1524="","",IF(ISNUMBER($A1524),IF(AND($A1524&gt;=10000101,$A1524&lt;=99991231),INT($A1524/10000),""),IFERROR(VALUE(TRIM(LEFT($A1524,FIND("/",$A1524)-1))),"")))</f>
        <v/>
      </c>
      <c r="C1524">
        <f>IF(OR($A1524="",$B1524=""),"",IF(ISNUMBER($A1524),INT(MOD($A1524,10000)/100),IFERROR(VALUE(TRIM(LEFT(MID($A1524,FIND("/",$A1524)+1,20),FIND("/",MID($A1524,FIND("/",$A1524)+1,20))-1))),"")))</f>
        <v/>
      </c>
      <c r="D1524">
        <f>IF(OR($A1524="",$B1524=""),"",IF(ISNUMBER($A1524),MOD($A1524,100),IFERROR(VALUE(TRIM(MID(MID($A1524,FIND("/",$A1524)+1,20),FIND("/",MID($A1524,FIND("/",$A1524)+1,20))+1,20))),"")))</f>
        <v/>
      </c>
      <c r="E1524">
        <f>IF($A1524="","",IF(OR($B1524="",$C1524="",$D1524="",$B1524&lt;1300,$B1524&gt;1500,$C1524&lt;1,$C1524&gt;12,$D1524&lt;1,$D1524&gt;31),"نامعتبر",RIGHT("0000"&amp;$B1524,4)&amp;"/"&amp;RIGHT("00"&amp;$C1524,2)&amp;"/"&amp;RIGHT("00"&amp;$D1524,2)))</f>
        <v/>
      </c>
      <c r="F1524">
        <f>IF(Entry!$D1524&lt;&gt;"",IF(AND(ISNUMBER(Entry!$D1524),Entry!$D1524&gt;=0,Entry!$D1524&lt;1),RIGHT("00"&amp;HOUR(Entry!$D1524),2)&amp;":"&amp;RIGHT("00"&amp;MINUTE(Entry!$D1524),2),IFERROR(RIGHT("00"&amp;VALUE(TRIM(LEFT(Entry!$D1524,FIND(":",Entry!$D1524)-1))),2)&amp;":"&amp;RIGHT("00"&amp;VALUE(TRIM(MID(Entry!$D1524,FIND(":",Entry!$D1524)+1,2))),2),"نامعتبر")),IF(OR($E1524="",$E1524="نامعتبر"),"","00:00"))</f>
        <v/>
      </c>
      <c r="G1524">
        <f>IF(OR($E1524="",$E1524="نامعتبر"),"",IF(Entry!$E1524="","",LEFT(UPPER(TRIM(Entry!$E1524)),6)))</f>
        <v/>
      </c>
      <c r="H1524">
        <f>IF($G1524="","",RIGHT($E1524,4)&amp;MID($E1524,6,2)&amp;RIGHT($E1524,2)&amp;IF($F1524="","0000",IF($F1524="نامعتبر","9999",LEFT($F1524,2)&amp;RIGHT($F1524,2)))&amp;"|"&amp;RIGHT("00000"&amp;1516,5))</f>
        <v/>
      </c>
      <c r="I1524">
        <f>IF($H1524="","",COUNTIFS(CalcBank,$G1524,CalcKey,"&lt;"&amp;$H1524)+1)</f>
        <v/>
      </c>
      <c r="J1524">
        <f>IF($I1524="","",$G1524&amp;"|"&amp;RIGHT("000000"&amp;$I1524,6))</f>
        <v/>
      </c>
      <c r="K1524">
        <f>IF(OR($E1524="",$E1524="نامعتبر"),"",LEFT($E1524,4)&amp;"/"&amp;MID($E1524,6,2))</f>
        <v/>
      </c>
      <c r="L1524">
        <f>IF(Entry!$K1524="",0,Entry!$K1524)</f>
        <v/>
      </c>
      <c r="M1524">
        <f>IF(Entry!$L1524="",0,Entry!$L1524)</f>
        <v/>
      </c>
    </row>
    <row r="1525">
      <c r="A1525">
        <f>IF(Entry!$C1525="","",Entry!$C1525)</f>
        <v/>
      </c>
      <c r="B1525">
        <f>IF($A1525="","",IF(ISNUMBER($A1525),IF(AND($A1525&gt;=10000101,$A1525&lt;=99991231),INT($A1525/10000),""),IFERROR(VALUE(TRIM(LEFT($A1525,FIND("/",$A1525)-1))),"")))</f>
        <v/>
      </c>
      <c r="C1525">
        <f>IF(OR($A1525="",$B1525=""),"",IF(ISNUMBER($A1525),INT(MOD($A1525,10000)/100),IFERROR(VALUE(TRIM(LEFT(MID($A1525,FIND("/",$A1525)+1,20),FIND("/",MID($A1525,FIND("/",$A1525)+1,20))-1))),"")))</f>
        <v/>
      </c>
      <c r="D1525">
        <f>IF(OR($A1525="",$B1525=""),"",IF(ISNUMBER($A1525),MOD($A1525,100),IFERROR(VALUE(TRIM(MID(MID($A1525,FIND("/",$A1525)+1,20),FIND("/",MID($A1525,FIND("/",$A1525)+1,20))+1,20))),"")))</f>
        <v/>
      </c>
      <c r="E1525">
        <f>IF($A1525="","",IF(OR($B1525="",$C1525="",$D1525="",$B1525&lt;1300,$B1525&gt;1500,$C1525&lt;1,$C1525&gt;12,$D1525&lt;1,$D1525&gt;31),"نامعتبر",RIGHT("0000"&amp;$B1525,4)&amp;"/"&amp;RIGHT("00"&amp;$C1525,2)&amp;"/"&amp;RIGHT("00"&amp;$D1525,2)))</f>
        <v/>
      </c>
      <c r="F1525">
        <f>IF(Entry!$D1525&lt;&gt;"",IF(AND(ISNUMBER(Entry!$D1525),Entry!$D1525&gt;=0,Entry!$D1525&lt;1),RIGHT("00"&amp;HOUR(Entry!$D1525),2)&amp;":"&amp;RIGHT("00"&amp;MINUTE(Entry!$D1525),2),IFERROR(RIGHT("00"&amp;VALUE(TRIM(LEFT(Entry!$D1525,FIND(":",Entry!$D1525)-1))),2)&amp;":"&amp;RIGHT("00"&amp;VALUE(TRIM(MID(Entry!$D1525,FIND(":",Entry!$D1525)+1,2))),2),"نامعتبر")),IF(OR($E1525="",$E1525="نامعتبر"),"","00:00"))</f>
        <v/>
      </c>
      <c r="G1525">
        <f>IF(OR($E1525="",$E1525="نامعتبر"),"",IF(Entry!$E1525="","",LEFT(UPPER(TRIM(Entry!$E1525)),6)))</f>
        <v/>
      </c>
      <c r="H1525">
        <f>IF($G1525="","",RIGHT($E1525,4)&amp;MID($E1525,6,2)&amp;RIGHT($E1525,2)&amp;IF($F1525="","0000",IF($F1525="نامعتبر","9999",LEFT($F1525,2)&amp;RIGHT($F1525,2)))&amp;"|"&amp;RIGHT("00000"&amp;1517,5))</f>
        <v/>
      </c>
      <c r="I1525">
        <f>IF($H1525="","",COUNTIFS(CalcBank,$G1525,CalcKey,"&lt;"&amp;$H1525)+1)</f>
        <v/>
      </c>
      <c r="J1525">
        <f>IF($I1525="","",$G1525&amp;"|"&amp;RIGHT("000000"&amp;$I1525,6))</f>
        <v/>
      </c>
      <c r="K1525">
        <f>IF(OR($E1525="",$E1525="نامعتبر"),"",LEFT($E1525,4)&amp;"/"&amp;MID($E1525,6,2))</f>
        <v/>
      </c>
      <c r="L1525">
        <f>IF(Entry!$K1525="",0,Entry!$K1525)</f>
        <v/>
      </c>
      <c r="M1525">
        <f>IF(Entry!$L1525="",0,Entry!$L1525)</f>
        <v/>
      </c>
    </row>
    <row r="1526">
      <c r="A1526">
        <f>IF(Entry!$C1526="","",Entry!$C1526)</f>
        <v/>
      </c>
      <c r="B1526">
        <f>IF($A1526="","",IF(ISNUMBER($A1526),IF(AND($A1526&gt;=10000101,$A1526&lt;=99991231),INT($A1526/10000),""),IFERROR(VALUE(TRIM(LEFT($A1526,FIND("/",$A1526)-1))),"")))</f>
        <v/>
      </c>
      <c r="C1526">
        <f>IF(OR($A1526="",$B1526=""),"",IF(ISNUMBER($A1526),INT(MOD($A1526,10000)/100),IFERROR(VALUE(TRIM(LEFT(MID($A1526,FIND("/",$A1526)+1,20),FIND("/",MID($A1526,FIND("/",$A1526)+1,20))-1))),"")))</f>
        <v/>
      </c>
      <c r="D1526">
        <f>IF(OR($A1526="",$B1526=""),"",IF(ISNUMBER($A1526),MOD($A1526,100),IFERROR(VALUE(TRIM(MID(MID($A1526,FIND("/",$A1526)+1,20),FIND("/",MID($A1526,FIND("/",$A1526)+1,20))+1,20))),"")))</f>
        <v/>
      </c>
      <c r="E1526">
        <f>IF($A1526="","",IF(OR($B1526="",$C1526="",$D1526="",$B1526&lt;1300,$B1526&gt;1500,$C1526&lt;1,$C1526&gt;12,$D1526&lt;1,$D1526&gt;31),"نامعتبر",RIGHT("0000"&amp;$B1526,4)&amp;"/"&amp;RIGHT("00"&amp;$C1526,2)&amp;"/"&amp;RIGHT("00"&amp;$D1526,2)))</f>
        <v/>
      </c>
      <c r="F1526">
        <f>IF(Entry!$D1526&lt;&gt;"",IF(AND(ISNUMBER(Entry!$D1526),Entry!$D1526&gt;=0,Entry!$D1526&lt;1),RIGHT("00"&amp;HOUR(Entry!$D1526),2)&amp;":"&amp;RIGHT("00"&amp;MINUTE(Entry!$D1526),2),IFERROR(RIGHT("00"&amp;VALUE(TRIM(LEFT(Entry!$D1526,FIND(":",Entry!$D1526)-1))),2)&amp;":"&amp;RIGHT("00"&amp;VALUE(TRIM(MID(Entry!$D1526,FIND(":",Entry!$D1526)+1,2))),2),"نامعتبر")),IF(OR($E1526="",$E1526="نامعتبر"),"","00:00"))</f>
        <v/>
      </c>
      <c r="G1526">
        <f>IF(OR($E1526="",$E1526="نامعتبر"),"",IF(Entry!$E1526="","",LEFT(UPPER(TRIM(Entry!$E1526)),6)))</f>
        <v/>
      </c>
      <c r="H1526">
        <f>IF($G1526="","",RIGHT($E1526,4)&amp;MID($E1526,6,2)&amp;RIGHT($E1526,2)&amp;IF($F1526="","0000",IF($F1526="نامعتبر","9999",LEFT($F1526,2)&amp;RIGHT($F1526,2)))&amp;"|"&amp;RIGHT("00000"&amp;1518,5))</f>
        <v/>
      </c>
      <c r="I1526">
        <f>IF($H1526="","",COUNTIFS(CalcBank,$G1526,CalcKey,"&lt;"&amp;$H1526)+1)</f>
        <v/>
      </c>
      <c r="J1526">
        <f>IF($I1526="","",$G1526&amp;"|"&amp;RIGHT("000000"&amp;$I1526,6))</f>
        <v/>
      </c>
      <c r="K1526">
        <f>IF(OR($E1526="",$E1526="نامعتبر"),"",LEFT($E1526,4)&amp;"/"&amp;MID($E1526,6,2))</f>
        <v/>
      </c>
      <c r="L1526">
        <f>IF(Entry!$K1526="",0,Entry!$K1526)</f>
        <v/>
      </c>
      <c r="M1526">
        <f>IF(Entry!$L1526="",0,Entry!$L1526)</f>
        <v/>
      </c>
    </row>
    <row r="1527">
      <c r="A1527">
        <f>IF(Entry!$C1527="","",Entry!$C1527)</f>
        <v/>
      </c>
      <c r="B1527">
        <f>IF($A1527="","",IF(ISNUMBER($A1527),IF(AND($A1527&gt;=10000101,$A1527&lt;=99991231),INT($A1527/10000),""),IFERROR(VALUE(TRIM(LEFT($A1527,FIND("/",$A1527)-1))),"")))</f>
        <v/>
      </c>
      <c r="C1527">
        <f>IF(OR($A1527="",$B1527=""),"",IF(ISNUMBER($A1527),INT(MOD($A1527,10000)/100),IFERROR(VALUE(TRIM(LEFT(MID($A1527,FIND("/",$A1527)+1,20),FIND("/",MID($A1527,FIND("/",$A1527)+1,20))-1))),"")))</f>
        <v/>
      </c>
      <c r="D1527">
        <f>IF(OR($A1527="",$B1527=""),"",IF(ISNUMBER($A1527),MOD($A1527,100),IFERROR(VALUE(TRIM(MID(MID($A1527,FIND("/",$A1527)+1,20),FIND("/",MID($A1527,FIND("/",$A1527)+1,20))+1,20))),"")))</f>
        <v/>
      </c>
      <c r="E1527">
        <f>IF($A1527="","",IF(OR($B1527="",$C1527="",$D1527="",$B1527&lt;1300,$B1527&gt;1500,$C1527&lt;1,$C1527&gt;12,$D1527&lt;1,$D1527&gt;31),"نامعتبر",RIGHT("0000"&amp;$B1527,4)&amp;"/"&amp;RIGHT("00"&amp;$C1527,2)&amp;"/"&amp;RIGHT("00"&amp;$D1527,2)))</f>
        <v/>
      </c>
      <c r="F1527">
        <f>IF(Entry!$D1527&lt;&gt;"",IF(AND(ISNUMBER(Entry!$D1527),Entry!$D1527&gt;=0,Entry!$D1527&lt;1),RIGHT("00"&amp;HOUR(Entry!$D1527),2)&amp;":"&amp;RIGHT("00"&amp;MINUTE(Entry!$D1527),2),IFERROR(RIGHT("00"&amp;VALUE(TRIM(LEFT(Entry!$D1527,FIND(":",Entry!$D1527)-1))),2)&amp;":"&amp;RIGHT("00"&amp;VALUE(TRIM(MID(Entry!$D1527,FIND(":",Entry!$D1527)+1,2))),2),"نامعتبر")),IF(OR($E1527="",$E1527="نامعتبر"),"","00:00"))</f>
        <v/>
      </c>
      <c r="G1527">
        <f>IF(OR($E1527="",$E1527="نامعتبر"),"",IF(Entry!$E1527="","",LEFT(UPPER(TRIM(Entry!$E1527)),6)))</f>
        <v/>
      </c>
      <c r="H1527">
        <f>IF($G1527="","",RIGHT($E1527,4)&amp;MID($E1527,6,2)&amp;RIGHT($E1527,2)&amp;IF($F1527="","0000",IF($F1527="نامعتبر","9999",LEFT($F1527,2)&amp;RIGHT($F1527,2)))&amp;"|"&amp;RIGHT("00000"&amp;1519,5))</f>
        <v/>
      </c>
      <c r="I1527">
        <f>IF($H1527="","",COUNTIFS(CalcBank,$G1527,CalcKey,"&lt;"&amp;$H1527)+1)</f>
        <v/>
      </c>
      <c r="J1527">
        <f>IF($I1527="","",$G1527&amp;"|"&amp;RIGHT("000000"&amp;$I1527,6))</f>
        <v/>
      </c>
      <c r="K1527">
        <f>IF(OR($E1527="",$E1527="نامعتبر"),"",LEFT($E1527,4)&amp;"/"&amp;MID($E1527,6,2))</f>
        <v/>
      </c>
      <c r="L1527">
        <f>IF(Entry!$K1527="",0,Entry!$K1527)</f>
        <v/>
      </c>
      <c r="M1527">
        <f>IF(Entry!$L1527="",0,Entry!$L1527)</f>
        <v/>
      </c>
    </row>
    <row r="1528">
      <c r="A1528">
        <f>IF(Entry!$C1528="","",Entry!$C1528)</f>
        <v/>
      </c>
      <c r="B1528">
        <f>IF($A1528="","",IF(ISNUMBER($A1528),IF(AND($A1528&gt;=10000101,$A1528&lt;=99991231),INT($A1528/10000),""),IFERROR(VALUE(TRIM(LEFT($A1528,FIND("/",$A1528)-1))),"")))</f>
        <v/>
      </c>
      <c r="C1528">
        <f>IF(OR($A1528="",$B1528=""),"",IF(ISNUMBER($A1528),INT(MOD($A1528,10000)/100),IFERROR(VALUE(TRIM(LEFT(MID($A1528,FIND("/",$A1528)+1,20),FIND("/",MID($A1528,FIND("/",$A1528)+1,20))-1))),"")))</f>
        <v/>
      </c>
      <c r="D1528">
        <f>IF(OR($A1528="",$B1528=""),"",IF(ISNUMBER($A1528),MOD($A1528,100),IFERROR(VALUE(TRIM(MID(MID($A1528,FIND("/",$A1528)+1,20),FIND("/",MID($A1528,FIND("/",$A1528)+1,20))+1,20))),"")))</f>
        <v/>
      </c>
      <c r="E1528">
        <f>IF($A1528="","",IF(OR($B1528="",$C1528="",$D1528="",$B1528&lt;1300,$B1528&gt;1500,$C1528&lt;1,$C1528&gt;12,$D1528&lt;1,$D1528&gt;31),"نامعتبر",RIGHT("0000"&amp;$B1528,4)&amp;"/"&amp;RIGHT("00"&amp;$C1528,2)&amp;"/"&amp;RIGHT("00"&amp;$D1528,2)))</f>
        <v/>
      </c>
      <c r="F1528">
        <f>IF(Entry!$D1528&lt;&gt;"",IF(AND(ISNUMBER(Entry!$D1528),Entry!$D1528&gt;=0,Entry!$D1528&lt;1),RIGHT("00"&amp;HOUR(Entry!$D1528),2)&amp;":"&amp;RIGHT("00"&amp;MINUTE(Entry!$D1528),2),IFERROR(RIGHT("00"&amp;VALUE(TRIM(LEFT(Entry!$D1528,FIND(":",Entry!$D1528)-1))),2)&amp;":"&amp;RIGHT("00"&amp;VALUE(TRIM(MID(Entry!$D1528,FIND(":",Entry!$D1528)+1,2))),2),"نامعتبر")),IF(OR($E1528="",$E1528="نامعتبر"),"","00:00"))</f>
        <v/>
      </c>
      <c r="G1528">
        <f>IF(OR($E1528="",$E1528="نامعتبر"),"",IF(Entry!$E1528="","",LEFT(UPPER(TRIM(Entry!$E1528)),6)))</f>
        <v/>
      </c>
      <c r="H1528">
        <f>IF($G1528="","",RIGHT($E1528,4)&amp;MID($E1528,6,2)&amp;RIGHT($E1528,2)&amp;IF($F1528="","0000",IF($F1528="نامعتبر","9999",LEFT($F1528,2)&amp;RIGHT($F1528,2)))&amp;"|"&amp;RIGHT("00000"&amp;1520,5))</f>
        <v/>
      </c>
      <c r="I1528">
        <f>IF($H1528="","",COUNTIFS(CalcBank,$G1528,CalcKey,"&lt;"&amp;$H1528)+1)</f>
        <v/>
      </c>
      <c r="J1528">
        <f>IF($I1528="","",$G1528&amp;"|"&amp;RIGHT("000000"&amp;$I1528,6))</f>
        <v/>
      </c>
      <c r="K1528">
        <f>IF(OR($E1528="",$E1528="نامعتبر"),"",LEFT($E1528,4)&amp;"/"&amp;MID($E1528,6,2))</f>
        <v/>
      </c>
      <c r="L1528">
        <f>IF(Entry!$K1528="",0,Entry!$K1528)</f>
        <v/>
      </c>
      <c r="M1528">
        <f>IF(Entry!$L1528="",0,Entry!$L1528)</f>
        <v/>
      </c>
    </row>
    <row r="1529">
      <c r="A1529">
        <f>IF(Entry!$C1529="","",Entry!$C1529)</f>
        <v/>
      </c>
      <c r="B1529">
        <f>IF($A1529="","",IF(ISNUMBER($A1529),IF(AND($A1529&gt;=10000101,$A1529&lt;=99991231),INT($A1529/10000),""),IFERROR(VALUE(TRIM(LEFT($A1529,FIND("/",$A1529)-1))),"")))</f>
        <v/>
      </c>
      <c r="C1529">
        <f>IF(OR($A1529="",$B1529=""),"",IF(ISNUMBER($A1529),INT(MOD($A1529,10000)/100),IFERROR(VALUE(TRIM(LEFT(MID($A1529,FIND("/",$A1529)+1,20),FIND("/",MID($A1529,FIND("/",$A1529)+1,20))-1))),"")))</f>
        <v/>
      </c>
      <c r="D1529">
        <f>IF(OR($A1529="",$B1529=""),"",IF(ISNUMBER($A1529),MOD($A1529,100),IFERROR(VALUE(TRIM(MID(MID($A1529,FIND("/",$A1529)+1,20),FIND("/",MID($A1529,FIND("/",$A1529)+1,20))+1,20))),"")))</f>
        <v/>
      </c>
      <c r="E1529">
        <f>IF($A1529="","",IF(OR($B1529="",$C1529="",$D1529="",$B1529&lt;1300,$B1529&gt;1500,$C1529&lt;1,$C1529&gt;12,$D1529&lt;1,$D1529&gt;31),"نامعتبر",RIGHT("0000"&amp;$B1529,4)&amp;"/"&amp;RIGHT("00"&amp;$C1529,2)&amp;"/"&amp;RIGHT("00"&amp;$D1529,2)))</f>
        <v/>
      </c>
      <c r="F1529">
        <f>IF(Entry!$D1529&lt;&gt;"",IF(AND(ISNUMBER(Entry!$D1529),Entry!$D1529&gt;=0,Entry!$D1529&lt;1),RIGHT("00"&amp;HOUR(Entry!$D1529),2)&amp;":"&amp;RIGHT("00"&amp;MINUTE(Entry!$D1529),2),IFERROR(RIGHT("00"&amp;VALUE(TRIM(LEFT(Entry!$D1529,FIND(":",Entry!$D1529)-1))),2)&amp;":"&amp;RIGHT("00"&amp;VALUE(TRIM(MID(Entry!$D1529,FIND(":",Entry!$D1529)+1,2))),2),"نامعتبر")),IF(OR($E1529="",$E1529="نامعتبر"),"","00:00"))</f>
        <v/>
      </c>
      <c r="G1529">
        <f>IF(OR($E1529="",$E1529="نامعتبر"),"",IF(Entry!$E1529="","",LEFT(UPPER(TRIM(Entry!$E1529)),6)))</f>
        <v/>
      </c>
      <c r="H1529">
        <f>IF($G1529="","",RIGHT($E1529,4)&amp;MID($E1529,6,2)&amp;RIGHT($E1529,2)&amp;IF($F1529="","0000",IF($F1529="نامعتبر","9999",LEFT($F1529,2)&amp;RIGHT($F1529,2)))&amp;"|"&amp;RIGHT("00000"&amp;1521,5))</f>
        <v/>
      </c>
      <c r="I1529">
        <f>IF($H1529="","",COUNTIFS(CalcBank,$G1529,CalcKey,"&lt;"&amp;$H1529)+1)</f>
        <v/>
      </c>
      <c r="J1529">
        <f>IF($I1529="","",$G1529&amp;"|"&amp;RIGHT("000000"&amp;$I1529,6))</f>
        <v/>
      </c>
      <c r="K1529">
        <f>IF(OR($E1529="",$E1529="نامعتبر"),"",LEFT($E1529,4)&amp;"/"&amp;MID($E1529,6,2))</f>
        <v/>
      </c>
      <c r="L1529">
        <f>IF(Entry!$K1529="",0,Entry!$K1529)</f>
        <v/>
      </c>
      <c r="M1529">
        <f>IF(Entry!$L1529="",0,Entry!$L1529)</f>
        <v/>
      </c>
    </row>
    <row r="1530">
      <c r="A1530">
        <f>IF(Entry!$C1530="","",Entry!$C1530)</f>
        <v/>
      </c>
      <c r="B1530">
        <f>IF($A1530="","",IF(ISNUMBER($A1530),IF(AND($A1530&gt;=10000101,$A1530&lt;=99991231),INT($A1530/10000),""),IFERROR(VALUE(TRIM(LEFT($A1530,FIND("/",$A1530)-1))),"")))</f>
        <v/>
      </c>
      <c r="C1530">
        <f>IF(OR($A1530="",$B1530=""),"",IF(ISNUMBER($A1530),INT(MOD($A1530,10000)/100),IFERROR(VALUE(TRIM(LEFT(MID($A1530,FIND("/",$A1530)+1,20),FIND("/",MID($A1530,FIND("/",$A1530)+1,20))-1))),"")))</f>
        <v/>
      </c>
      <c r="D1530">
        <f>IF(OR($A1530="",$B1530=""),"",IF(ISNUMBER($A1530),MOD($A1530,100),IFERROR(VALUE(TRIM(MID(MID($A1530,FIND("/",$A1530)+1,20),FIND("/",MID($A1530,FIND("/",$A1530)+1,20))+1,20))),"")))</f>
        <v/>
      </c>
      <c r="E1530">
        <f>IF($A1530="","",IF(OR($B1530="",$C1530="",$D1530="",$B1530&lt;1300,$B1530&gt;1500,$C1530&lt;1,$C1530&gt;12,$D1530&lt;1,$D1530&gt;31),"نامعتبر",RIGHT("0000"&amp;$B1530,4)&amp;"/"&amp;RIGHT("00"&amp;$C1530,2)&amp;"/"&amp;RIGHT("00"&amp;$D1530,2)))</f>
        <v/>
      </c>
      <c r="F1530">
        <f>IF(Entry!$D1530&lt;&gt;"",IF(AND(ISNUMBER(Entry!$D1530),Entry!$D1530&gt;=0,Entry!$D1530&lt;1),RIGHT("00"&amp;HOUR(Entry!$D1530),2)&amp;":"&amp;RIGHT("00"&amp;MINUTE(Entry!$D1530),2),IFERROR(RIGHT("00"&amp;VALUE(TRIM(LEFT(Entry!$D1530,FIND(":",Entry!$D1530)-1))),2)&amp;":"&amp;RIGHT("00"&amp;VALUE(TRIM(MID(Entry!$D1530,FIND(":",Entry!$D1530)+1,2))),2),"نامعتبر")),IF(OR($E1530="",$E1530="نامعتبر"),"","00:00"))</f>
        <v/>
      </c>
      <c r="G1530">
        <f>IF(OR($E1530="",$E1530="نامعتبر"),"",IF(Entry!$E1530="","",LEFT(UPPER(TRIM(Entry!$E1530)),6)))</f>
        <v/>
      </c>
      <c r="H1530">
        <f>IF($G1530="","",RIGHT($E1530,4)&amp;MID($E1530,6,2)&amp;RIGHT($E1530,2)&amp;IF($F1530="","0000",IF($F1530="نامعتبر","9999",LEFT($F1530,2)&amp;RIGHT($F1530,2)))&amp;"|"&amp;RIGHT("00000"&amp;1522,5))</f>
        <v/>
      </c>
      <c r="I1530">
        <f>IF($H1530="","",COUNTIFS(CalcBank,$G1530,CalcKey,"&lt;"&amp;$H1530)+1)</f>
        <v/>
      </c>
      <c r="J1530">
        <f>IF($I1530="","",$G1530&amp;"|"&amp;RIGHT("000000"&amp;$I1530,6))</f>
        <v/>
      </c>
      <c r="K1530">
        <f>IF(OR($E1530="",$E1530="نامعتبر"),"",LEFT($E1530,4)&amp;"/"&amp;MID($E1530,6,2))</f>
        <v/>
      </c>
      <c r="L1530">
        <f>IF(Entry!$K1530="",0,Entry!$K1530)</f>
        <v/>
      </c>
      <c r="M1530">
        <f>IF(Entry!$L1530="",0,Entry!$L1530)</f>
        <v/>
      </c>
    </row>
    <row r="1531">
      <c r="A1531">
        <f>IF(Entry!$C1531="","",Entry!$C1531)</f>
        <v/>
      </c>
      <c r="B1531">
        <f>IF($A1531="","",IF(ISNUMBER($A1531),IF(AND($A1531&gt;=10000101,$A1531&lt;=99991231),INT($A1531/10000),""),IFERROR(VALUE(TRIM(LEFT($A1531,FIND("/",$A1531)-1))),"")))</f>
        <v/>
      </c>
      <c r="C1531">
        <f>IF(OR($A1531="",$B1531=""),"",IF(ISNUMBER($A1531),INT(MOD($A1531,10000)/100),IFERROR(VALUE(TRIM(LEFT(MID($A1531,FIND("/",$A1531)+1,20),FIND("/",MID($A1531,FIND("/",$A1531)+1,20))-1))),"")))</f>
        <v/>
      </c>
      <c r="D1531">
        <f>IF(OR($A1531="",$B1531=""),"",IF(ISNUMBER($A1531),MOD($A1531,100),IFERROR(VALUE(TRIM(MID(MID($A1531,FIND("/",$A1531)+1,20),FIND("/",MID($A1531,FIND("/",$A1531)+1,20))+1,20))),"")))</f>
        <v/>
      </c>
      <c r="E1531">
        <f>IF($A1531="","",IF(OR($B1531="",$C1531="",$D1531="",$B1531&lt;1300,$B1531&gt;1500,$C1531&lt;1,$C1531&gt;12,$D1531&lt;1,$D1531&gt;31),"نامعتبر",RIGHT("0000"&amp;$B1531,4)&amp;"/"&amp;RIGHT("00"&amp;$C1531,2)&amp;"/"&amp;RIGHT("00"&amp;$D1531,2)))</f>
        <v/>
      </c>
      <c r="F1531">
        <f>IF(Entry!$D1531&lt;&gt;"",IF(AND(ISNUMBER(Entry!$D1531),Entry!$D1531&gt;=0,Entry!$D1531&lt;1),RIGHT("00"&amp;HOUR(Entry!$D1531),2)&amp;":"&amp;RIGHT("00"&amp;MINUTE(Entry!$D1531),2),IFERROR(RIGHT("00"&amp;VALUE(TRIM(LEFT(Entry!$D1531,FIND(":",Entry!$D1531)-1))),2)&amp;":"&amp;RIGHT("00"&amp;VALUE(TRIM(MID(Entry!$D1531,FIND(":",Entry!$D1531)+1,2))),2),"نامعتبر")),IF(OR($E1531="",$E1531="نامعتبر"),"","00:00"))</f>
        <v/>
      </c>
      <c r="G1531">
        <f>IF(OR($E1531="",$E1531="نامعتبر"),"",IF(Entry!$E1531="","",LEFT(UPPER(TRIM(Entry!$E1531)),6)))</f>
        <v/>
      </c>
      <c r="H1531">
        <f>IF($G1531="","",RIGHT($E1531,4)&amp;MID($E1531,6,2)&amp;RIGHT($E1531,2)&amp;IF($F1531="","0000",IF($F1531="نامعتبر","9999",LEFT($F1531,2)&amp;RIGHT($F1531,2)))&amp;"|"&amp;RIGHT("00000"&amp;1523,5))</f>
        <v/>
      </c>
      <c r="I1531">
        <f>IF($H1531="","",COUNTIFS(CalcBank,$G1531,CalcKey,"&lt;"&amp;$H1531)+1)</f>
        <v/>
      </c>
      <c r="J1531">
        <f>IF($I1531="","",$G1531&amp;"|"&amp;RIGHT("000000"&amp;$I1531,6))</f>
        <v/>
      </c>
      <c r="K1531">
        <f>IF(OR($E1531="",$E1531="نامعتبر"),"",LEFT($E1531,4)&amp;"/"&amp;MID($E1531,6,2))</f>
        <v/>
      </c>
      <c r="L1531">
        <f>IF(Entry!$K1531="",0,Entry!$K1531)</f>
        <v/>
      </c>
      <c r="M1531">
        <f>IF(Entry!$L1531="",0,Entry!$L1531)</f>
        <v/>
      </c>
    </row>
    <row r="1532">
      <c r="A1532">
        <f>IF(Entry!$C1532="","",Entry!$C1532)</f>
        <v/>
      </c>
      <c r="B1532">
        <f>IF($A1532="","",IF(ISNUMBER($A1532),IF(AND($A1532&gt;=10000101,$A1532&lt;=99991231),INT($A1532/10000),""),IFERROR(VALUE(TRIM(LEFT($A1532,FIND("/",$A1532)-1))),"")))</f>
        <v/>
      </c>
      <c r="C1532">
        <f>IF(OR($A1532="",$B1532=""),"",IF(ISNUMBER($A1532),INT(MOD($A1532,10000)/100),IFERROR(VALUE(TRIM(LEFT(MID($A1532,FIND("/",$A1532)+1,20),FIND("/",MID($A1532,FIND("/",$A1532)+1,20))-1))),"")))</f>
        <v/>
      </c>
      <c r="D1532">
        <f>IF(OR($A1532="",$B1532=""),"",IF(ISNUMBER($A1532),MOD($A1532,100),IFERROR(VALUE(TRIM(MID(MID($A1532,FIND("/",$A1532)+1,20),FIND("/",MID($A1532,FIND("/",$A1532)+1,20))+1,20))),"")))</f>
        <v/>
      </c>
      <c r="E1532">
        <f>IF($A1532="","",IF(OR($B1532="",$C1532="",$D1532="",$B1532&lt;1300,$B1532&gt;1500,$C1532&lt;1,$C1532&gt;12,$D1532&lt;1,$D1532&gt;31),"نامعتبر",RIGHT("0000"&amp;$B1532,4)&amp;"/"&amp;RIGHT("00"&amp;$C1532,2)&amp;"/"&amp;RIGHT("00"&amp;$D1532,2)))</f>
        <v/>
      </c>
      <c r="F1532">
        <f>IF(Entry!$D1532&lt;&gt;"",IF(AND(ISNUMBER(Entry!$D1532),Entry!$D1532&gt;=0,Entry!$D1532&lt;1),RIGHT("00"&amp;HOUR(Entry!$D1532),2)&amp;":"&amp;RIGHT("00"&amp;MINUTE(Entry!$D1532),2),IFERROR(RIGHT("00"&amp;VALUE(TRIM(LEFT(Entry!$D1532,FIND(":",Entry!$D1532)-1))),2)&amp;":"&amp;RIGHT("00"&amp;VALUE(TRIM(MID(Entry!$D1532,FIND(":",Entry!$D1532)+1,2))),2),"نامعتبر")),IF(OR($E1532="",$E1532="نامعتبر"),"","00:00"))</f>
        <v/>
      </c>
      <c r="G1532">
        <f>IF(OR($E1532="",$E1532="نامعتبر"),"",IF(Entry!$E1532="","",LEFT(UPPER(TRIM(Entry!$E1532)),6)))</f>
        <v/>
      </c>
      <c r="H1532">
        <f>IF($G1532="","",RIGHT($E1532,4)&amp;MID($E1532,6,2)&amp;RIGHT($E1532,2)&amp;IF($F1532="","0000",IF($F1532="نامعتبر","9999",LEFT($F1532,2)&amp;RIGHT($F1532,2)))&amp;"|"&amp;RIGHT("00000"&amp;1524,5))</f>
        <v/>
      </c>
      <c r="I1532">
        <f>IF($H1532="","",COUNTIFS(CalcBank,$G1532,CalcKey,"&lt;"&amp;$H1532)+1)</f>
        <v/>
      </c>
      <c r="J1532">
        <f>IF($I1532="","",$G1532&amp;"|"&amp;RIGHT("000000"&amp;$I1532,6))</f>
        <v/>
      </c>
      <c r="K1532">
        <f>IF(OR($E1532="",$E1532="نامعتبر"),"",LEFT($E1532,4)&amp;"/"&amp;MID($E1532,6,2))</f>
        <v/>
      </c>
      <c r="L1532">
        <f>IF(Entry!$K1532="",0,Entry!$K1532)</f>
        <v/>
      </c>
      <c r="M1532">
        <f>IF(Entry!$L1532="",0,Entry!$L1532)</f>
        <v/>
      </c>
    </row>
    <row r="1533">
      <c r="A1533">
        <f>IF(Entry!$C1533="","",Entry!$C1533)</f>
        <v/>
      </c>
      <c r="B1533">
        <f>IF($A1533="","",IF(ISNUMBER($A1533),IF(AND($A1533&gt;=10000101,$A1533&lt;=99991231),INT($A1533/10000),""),IFERROR(VALUE(TRIM(LEFT($A1533,FIND("/",$A1533)-1))),"")))</f>
        <v/>
      </c>
      <c r="C1533">
        <f>IF(OR($A1533="",$B1533=""),"",IF(ISNUMBER($A1533),INT(MOD($A1533,10000)/100),IFERROR(VALUE(TRIM(LEFT(MID($A1533,FIND("/",$A1533)+1,20),FIND("/",MID($A1533,FIND("/",$A1533)+1,20))-1))),"")))</f>
        <v/>
      </c>
      <c r="D1533">
        <f>IF(OR($A1533="",$B1533=""),"",IF(ISNUMBER($A1533),MOD($A1533,100),IFERROR(VALUE(TRIM(MID(MID($A1533,FIND("/",$A1533)+1,20),FIND("/",MID($A1533,FIND("/",$A1533)+1,20))+1,20))),"")))</f>
        <v/>
      </c>
      <c r="E1533">
        <f>IF($A1533="","",IF(OR($B1533="",$C1533="",$D1533="",$B1533&lt;1300,$B1533&gt;1500,$C1533&lt;1,$C1533&gt;12,$D1533&lt;1,$D1533&gt;31),"نامعتبر",RIGHT("0000"&amp;$B1533,4)&amp;"/"&amp;RIGHT("00"&amp;$C1533,2)&amp;"/"&amp;RIGHT("00"&amp;$D1533,2)))</f>
        <v/>
      </c>
      <c r="F1533">
        <f>IF(Entry!$D1533&lt;&gt;"",IF(AND(ISNUMBER(Entry!$D1533),Entry!$D1533&gt;=0,Entry!$D1533&lt;1),RIGHT("00"&amp;HOUR(Entry!$D1533),2)&amp;":"&amp;RIGHT("00"&amp;MINUTE(Entry!$D1533),2),IFERROR(RIGHT("00"&amp;VALUE(TRIM(LEFT(Entry!$D1533,FIND(":",Entry!$D1533)-1))),2)&amp;":"&amp;RIGHT("00"&amp;VALUE(TRIM(MID(Entry!$D1533,FIND(":",Entry!$D1533)+1,2))),2),"نامعتبر")),IF(OR($E1533="",$E1533="نامعتبر"),"","00:00"))</f>
        <v/>
      </c>
      <c r="G1533">
        <f>IF(OR($E1533="",$E1533="نامعتبر"),"",IF(Entry!$E1533="","",LEFT(UPPER(TRIM(Entry!$E1533)),6)))</f>
        <v/>
      </c>
      <c r="H1533">
        <f>IF($G1533="","",RIGHT($E1533,4)&amp;MID($E1533,6,2)&amp;RIGHT($E1533,2)&amp;IF($F1533="","0000",IF($F1533="نامعتبر","9999",LEFT($F1533,2)&amp;RIGHT($F1533,2)))&amp;"|"&amp;RIGHT("00000"&amp;1525,5))</f>
        <v/>
      </c>
      <c r="I1533">
        <f>IF($H1533="","",COUNTIFS(CalcBank,$G1533,CalcKey,"&lt;"&amp;$H1533)+1)</f>
        <v/>
      </c>
      <c r="J1533">
        <f>IF($I1533="","",$G1533&amp;"|"&amp;RIGHT("000000"&amp;$I1533,6))</f>
        <v/>
      </c>
      <c r="K1533">
        <f>IF(OR($E1533="",$E1533="نامعتبر"),"",LEFT($E1533,4)&amp;"/"&amp;MID($E1533,6,2))</f>
        <v/>
      </c>
      <c r="L1533">
        <f>IF(Entry!$K1533="",0,Entry!$K1533)</f>
        <v/>
      </c>
      <c r="M1533">
        <f>IF(Entry!$L1533="",0,Entry!$L1533)</f>
        <v/>
      </c>
    </row>
    <row r="1534">
      <c r="A1534">
        <f>IF(Entry!$C1534="","",Entry!$C1534)</f>
        <v/>
      </c>
      <c r="B1534">
        <f>IF($A1534="","",IF(ISNUMBER($A1534),IF(AND($A1534&gt;=10000101,$A1534&lt;=99991231),INT($A1534/10000),""),IFERROR(VALUE(TRIM(LEFT($A1534,FIND("/",$A1534)-1))),"")))</f>
        <v/>
      </c>
      <c r="C1534">
        <f>IF(OR($A1534="",$B1534=""),"",IF(ISNUMBER($A1534),INT(MOD($A1534,10000)/100),IFERROR(VALUE(TRIM(LEFT(MID($A1534,FIND("/",$A1534)+1,20),FIND("/",MID($A1534,FIND("/",$A1534)+1,20))-1))),"")))</f>
        <v/>
      </c>
      <c r="D1534">
        <f>IF(OR($A1534="",$B1534=""),"",IF(ISNUMBER($A1534),MOD($A1534,100),IFERROR(VALUE(TRIM(MID(MID($A1534,FIND("/",$A1534)+1,20),FIND("/",MID($A1534,FIND("/",$A1534)+1,20))+1,20))),"")))</f>
        <v/>
      </c>
      <c r="E1534">
        <f>IF($A1534="","",IF(OR($B1534="",$C1534="",$D1534="",$B1534&lt;1300,$B1534&gt;1500,$C1534&lt;1,$C1534&gt;12,$D1534&lt;1,$D1534&gt;31),"نامعتبر",RIGHT("0000"&amp;$B1534,4)&amp;"/"&amp;RIGHT("00"&amp;$C1534,2)&amp;"/"&amp;RIGHT("00"&amp;$D1534,2)))</f>
        <v/>
      </c>
      <c r="F1534">
        <f>IF(Entry!$D1534&lt;&gt;"",IF(AND(ISNUMBER(Entry!$D1534),Entry!$D1534&gt;=0,Entry!$D1534&lt;1),RIGHT("00"&amp;HOUR(Entry!$D1534),2)&amp;":"&amp;RIGHT("00"&amp;MINUTE(Entry!$D1534),2),IFERROR(RIGHT("00"&amp;VALUE(TRIM(LEFT(Entry!$D1534,FIND(":",Entry!$D1534)-1))),2)&amp;":"&amp;RIGHT("00"&amp;VALUE(TRIM(MID(Entry!$D1534,FIND(":",Entry!$D1534)+1,2))),2),"نامعتبر")),IF(OR($E1534="",$E1534="نامعتبر"),"","00:00"))</f>
        <v/>
      </c>
      <c r="G1534">
        <f>IF(OR($E1534="",$E1534="نامعتبر"),"",IF(Entry!$E1534="","",LEFT(UPPER(TRIM(Entry!$E1534)),6)))</f>
        <v/>
      </c>
      <c r="H1534">
        <f>IF($G1534="","",RIGHT($E1534,4)&amp;MID($E1534,6,2)&amp;RIGHT($E1534,2)&amp;IF($F1534="","0000",IF($F1534="نامعتبر","9999",LEFT($F1534,2)&amp;RIGHT($F1534,2)))&amp;"|"&amp;RIGHT("00000"&amp;1526,5))</f>
        <v/>
      </c>
      <c r="I1534">
        <f>IF($H1534="","",COUNTIFS(CalcBank,$G1534,CalcKey,"&lt;"&amp;$H1534)+1)</f>
        <v/>
      </c>
      <c r="J1534">
        <f>IF($I1534="","",$G1534&amp;"|"&amp;RIGHT("000000"&amp;$I1534,6))</f>
        <v/>
      </c>
      <c r="K1534">
        <f>IF(OR($E1534="",$E1534="نامعتبر"),"",LEFT($E1534,4)&amp;"/"&amp;MID($E1534,6,2))</f>
        <v/>
      </c>
      <c r="L1534">
        <f>IF(Entry!$K1534="",0,Entry!$K1534)</f>
        <v/>
      </c>
      <c r="M1534">
        <f>IF(Entry!$L1534="",0,Entry!$L1534)</f>
        <v/>
      </c>
    </row>
    <row r="1535">
      <c r="A1535">
        <f>IF(Entry!$C1535="","",Entry!$C1535)</f>
        <v/>
      </c>
      <c r="B1535">
        <f>IF($A1535="","",IF(ISNUMBER($A1535),IF(AND($A1535&gt;=10000101,$A1535&lt;=99991231),INT($A1535/10000),""),IFERROR(VALUE(TRIM(LEFT($A1535,FIND("/",$A1535)-1))),"")))</f>
        <v/>
      </c>
      <c r="C1535">
        <f>IF(OR($A1535="",$B1535=""),"",IF(ISNUMBER($A1535),INT(MOD($A1535,10000)/100),IFERROR(VALUE(TRIM(LEFT(MID($A1535,FIND("/",$A1535)+1,20),FIND("/",MID($A1535,FIND("/",$A1535)+1,20))-1))),"")))</f>
        <v/>
      </c>
      <c r="D1535">
        <f>IF(OR($A1535="",$B1535=""),"",IF(ISNUMBER($A1535),MOD($A1535,100),IFERROR(VALUE(TRIM(MID(MID($A1535,FIND("/",$A1535)+1,20),FIND("/",MID($A1535,FIND("/",$A1535)+1,20))+1,20))),"")))</f>
        <v/>
      </c>
      <c r="E1535">
        <f>IF($A1535="","",IF(OR($B1535="",$C1535="",$D1535="",$B1535&lt;1300,$B1535&gt;1500,$C1535&lt;1,$C1535&gt;12,$D1535&lt;1,$D1535&gt;31),"نامعتبر",RIGHT("0000"&amp;$B1535,4)&amp;"/"&amp;RIGHT("00"&amp;$C1535,2)&amp;"/"&amp;RIGHT("00"&amp;$D1535,2)))</f>
        <v/>
      </c>
      <c r="F1535">
        <f>IF(Entry!$D1535&lt;&gt;"",IF(AND(ISNUMBER(Entry!$D1535),Entry!$D1535&gt;=0,Entry!$D1535&lt;1),RIGHT("00"&amp;HOUR(Entry!$D1535),2)&amp;":"&amp;RIGHT("00"&amp;MINUTE(Entry!$D1535),2),IFERROR(RIGHT("00"&amp;VALUE(TRIM(LEFT(Entry!$D1535,FIND(":",Entry!$D1535)-1))),2)&amp;":"&amp;RIGHT("00"&amp;VALUE(TRIM(MID(Entry!$D1535,FIND(":",Entry!$D1535)+1,2))),2),"نامعتبر")),IF(OR($E1535="",$E1535="نامعتبر"),"","00:00"))</f>
        <v/>
      </c>
      <c r="G1535">
        <f>IF(OR($E1535="",$E1535="نامعتبر"),"",IF(Entry!$E1535="","",LEFT(UPPER(TRIM(Entry!$E1535)),6)))</f>
        <v/>
      </c>
      <c r="H1535">
        <f>IF($G1535="","",RIGHT($E1535,4)&amp;MID($E1535,6,2)&amp;RIGHT($E1535,2)&amp;IF($F1535="","0000",IF($F1535="نامعتبر","9999",LEFT($F1535,2)&amp;RIGHT($F1535,2)))&amp;"|"&amp;RIGHT("00000"&amp;1527,5))</f>
        <v/>
      </c>
      <c r="I1535">
        <f>IF($H1535="","",COUNTIFS(CalcBank,$G1535,CalcKey,"&lt;"&amp;$H1535)+1)</f>
        <v/>
      </c>
      <c r="J1535">
        <f>IF($I1535="","",$G1535&amp;"|"&amp;RIGHT("000000"&amp;$I1535,6))</f>
        <v/>
      </c>
      <c r="K1535">
        <f>IF(OR($E1535="",$E1535="نامعتبر"),"",LEFT($E1535,4)&amp;"/"&amp;MID($E1535,6,2))</f>
        <v/>
      </c>
      <c r="L1535">
        <f>IF(Entry!$K1535="",0,Entry!$K1535)</f>
        <v/>
      </c>
      <c r="M1535">
        <f>IF(Entry!$L1535="",0,Entry!$L1535)</f>
        <v/>
      </c>
    </row>
    <row r="1536">
      <c r="A1536">
        <f>IF(Entry!$C1536="","",Entry!$C1536)</f>
        <v/>
      </c>
      <c r="B1536">
        <f>IF($A1536="","",IF(ISNUMBER($A1536),IF(AND($A1536&gt;=10000101,$A1536&lt;=99991231),INT($A1536/10000),""),IFERROR(VALUE(TRIM(LEFT($A1536,FIND("/",$A1536)-1))),"")))</f>
        <v/>
      </c>
      <c r="C1536">
        <f>IF(OR($A1536="",$B1536=""),"",IF(ISNUMBER($A1536),INT(MOD($A1536,10000)/100),IFERROR(VALUE(TRIM(LEFT(MID($A1536,FIND("/",$A1536)+1,20),FIND("/",MID($A1536,FIND("/",$A1536)+1,20))-1))),"")))</f>
        <v/>
      </c>
      <c r="D1536">
        <f>IF(OR($A1536="",$B1536=""),"",IF(ISNUMBER($A1536),MOD($A1536,100),IFERROR(VALUE(TRIM(MID(MID($A1536,FIND("/",$A1536)+1,20),FIND("/",MID($A1536,FIND("/",$A1536)+1,20))+1,20))),"")))</f>
        <v/>
      </c>
      <c r="E1536">
        <f>IF($A1536="","",IF(OR($B1536="",$C1536="",$D1536="",$B1536&lt;1300,$B1536&gt;1500,$C1536&lt;1,$C1536&gt;12,$D1536&lt;1,$D1536&gt;31),"نامعتبر",RIGHT("0000"&amp;$B1536,4)&amp;"/"&amp;RIGHT("00"&amp;$C1536,2)&amp;"/"&amp;RIGHT("00"&amp;$D1536,2)))</f>
        <v/>
      </c>
      <c r="F1536">
        <f>IF(Entry!$D1536&lt;&gt;"",IF(AND(ISNUMBER(Entry!$D1536),Entry!$D1536&gt;=0,Entry!$D1536&lt;1),RIGHT("00"&amp;HOUR(Entry!$D1536),2)&amp;":"&amp;RIGHT("00"&amp;MINUTE(Entry!$D1536),2),IFERROR(RIGHT("00"&amp;VALUE(TRIM(LEFT(Entry!$D1536,FIND(":",Entry!$D1536)-1))),2)&amp;":"&amp;RIGHT("00"&amp;VALUE(TRIM(MID(Entry!$D1536,FIND(":",Entry!$D1536)+1,2))),2),"نامعتبر")),IF(OR($E1536="",$E1536="نامعتبر"),"","00:00"))</f>
        <v/>
      </c>
      <c r="G1536">
        <f>IF(OR($E1536="",$E1536="نامعتبر"),"",IF(Entry!$E1536="","",LEFT(UPPER(TRIM(Entry!$E1536)),6)))</f>
        <v/>
      </c>
      <c r="H1536">
        <f>IF($G1536="","",RIGHT($E1536,4)&amp;MID($E1536,6,2)&amp;RIGHT($E1536,2)&amp;IF($F1536="","0000",IF($F1536="نامعتبر","9999",LEFT($F1536,2)&amp;RIGHT($F1536,2)))&amp;"|"&amp;RIGHT("00000"&amp;1528,5))</f>
        <v/>
      </c>
      <c r="I1536">
        <f>IF($H1536="","",COUNTIFS(CalcBank,$G1536,CalcKey,"&lt;"&amp;$H1536)+1)</f>
        <v/>
      </c>
      <c r="J1536">
        <f>IF($I1536="","",$G1536&amp;"|"&amp;RIGHT("000000"&amp;$I1536,6))</f>
        <v/>
      </c>
      <c r="K1536">
        <f>IF(OR($E1536="",$E1536="نامعتبر"),"",LEFT($E1536,4)&amp;"/"&amp;MID($E1536,6,2))</f>
        <v/>
      </c>
      <c r="L1536">
        <f>IF(Entry!$K1536="",0,Entry!$K1536)</f>
        <v/>
      </c>
      <c r="M1536">
        <f>IF(Entry!$L1536="",0,Entry!$L1536)</f>
        <v/>
      </c>
    </row>
    <row r="1537">
      <c r="A1537">
        <f>IF(Entry!$C1537="","",Entry!$C1537)</f>
        <v/>
      </c>
      <c r="B1537">
        <f>IF($A1537="","",IF(ISNUMBER($A1537),IF(AND($A1537&gt;=10000101,$A1537&lt;=99991231),INT($A1537/10000),""),IFERROR(VALUE(TRIM(LEFT($A1537,FIND("/",$A1537)-1))),"")))</f>
        <v/>
      </c>
      <c r="C1537">
        <f>IF(OR($A1537="",$B1537=""),"",IF(ISNUMBER($A1537),INT(MOD($A1537,10000)/100),IFERROR(VALUE(TRIM(LEFT(MID($A1537,FIND("/",$A1537)+1,20),FIND("/",MID($A1537,FIND("/",$A1537)+1,20))-1))),"")))</f>
        <v/>
      </c>
      <c r="D1537">
        <f>IF(OR($A1537="",$B1537=""),"",IF(ISNUMBER($A1537),MOD($A1537,100),IFERROR(VALUE(TRIM(MID(MID($A1537,FIND("/",$A1537)+1,20),FIND("/",MID($A1537,FIND("/",$A1537)+1,20))+1,20))),"")))</f>
        <v/>
      </c>
      <c r="E1537">
        <f>IF($A1537="","",IF(OR($B1537="",$C1537="",$D1537="",$B1537&lt;1300,$B1537&gt;1500,$C1537&lt;1,$C1537&gt;12,$D1537&lt;1,$D1537&gt;31),"نامعتبر",RIGHT("0000"&amp;$B1537,4)&amp;"/"&amp;RIGHT("00"&amp;$C1537,2)&amp;"/"&amp;RIGHT("00"&amp;$D1537,2)))</f>
        <v/>
      </c>
      <c r="F1537">
        <f>IF(Entry!$D1537&lt;&gt;"",IF(AND(ISNUMBER(Entry!$D1537),Entry!$D1537&gt;=0,Entry!$D1537&lt;1),RIGHT("00"&amp;HOUR(Entry!$D1537),2)&amp;":"&amp;RIGHT("00"&amp;MINUTE(Entry!$D1537),2),IFERROR(RIGHT("00"&amp;VALUE(TRIM(LEFT(Entry!$D1537,FIND(":",Entry!$D1537)-1))),2)&amp;":"&amp;RIGHT("00"&amp;VALUE(TRIM(MID(Entry!$D1537,FIND(":",Entry!$D1537)+1,2))),2),"نامعتبر")),IF(OR($E1537="",$E1537="نامعتبر"),"","00:00"))</f>
        <v/>
      </c>
      <c r="G1537">
        <f>IF(OR($E1537="",$E1537="نامعتبر"),"",IF(Entry!$E1537="","",LEFT(UPPER(TRIM(Entry!$E1537)),6)))</f>
        <v/>
      </c>
      <c r="H1537">
        <f>IF($G1537="","",RIGHT($E1537,4)&amp;MID($E1537,6,2)&amp;RIGHT($E1537,2)&amp;IF($F1537="","0000",IF($F1537="نامعتبر","9999",LEFT($F1537,2)&amp;RIGHT($F1537,2)))&amp;"|"&amp;RIGHT("00000"&amp;1529,5))</f>
        <v/>
      </c>
      <c r="I1537">
        <f>IF($H1537="","",COUNTIFS(CalcBank,$G1537,CalcKey,"&lt;"&amp;$H1537)+1)</f>
        <v/>
      </c>
      <c r="J1537">
        <f>IF($I1537="","",$G1537&amp;"|"&amp;RIGHT("000000"&amp;$I1537,6))</f>
        <v/>
      </c>
      <c r="K1537">
        <f>IF(OR($E1537="",$E1537="نامعتبر"),"",LEFT($E1537,4)&amp;"/"&amp;MID($E1537,6,2))</f>
        <v/>
      </c>
      <c r="L1537">
        <f>IF(Entry!$K1537="",0,Entry!$K1537)</f>
        <v/>
      </c>
      <c r="M1537">
        <f>IF(Entry!$L1537="",0,Entry!$L1537)</f>
        <v/>
      </c>
    </row>
    <row r="1538">
      <c r="A1538">
        <f>IF(Entry!$C1538="","",Entry!$C1538)</f>
        <v/>
      </c>
      <c r="B1538">
        <f>IF($A1538="","",IF(ISNUMBER($A1538),IF(AND($A1538&gt;=10000101,$A1538&lt;=99991231),INT($A1538/10000),""),IFERROR(VALUE(TRIM(LEFT($A1538,FIND("/",$A1538)-1))),"")))</f>
        <v/>
      </c>
      <c r="C1538">
        <f>IF(OR($A1538="",$B1538=""),"",IF(ISNUMBER($A1538),INT(MOD($A1538,10000)/100),IFERROR(VALUE(TRIM(LEFT(MID($A1538,FIND("/",$A1538)+1,20),FIND("/",MID($A1538,FIND("/",$A1538)+1,20))-1))),"")))</f>
        <v/>
      </c>
      <c r="D1538">
        <f>IF(OR($A1538="",$B1538=""),"",IF(ISNUMBER($A1538),MOD($A1538,100),IFERROR(VALUE(TRIM(MID(MID($A1538,FIND("/",$A1538)+1,20),FIND("/",MID($A1538,FIND("/",$A1538)+1,20))+1,20))),"")))</f>
        <v/>
      </c>
      <c r="E1538">
        <f>IF($A1538="","",IF(OR($B1538="",$C1538="",$D1538="",$B1538&lt;1300,$B1538&gt;1500,$C1538&lt;1,$C1538&gt;12,$D1538&lt;1,$D1538&gt;31),"نامعتبر",RIGHT("0000"&amp;$B1538,4)&amp;"/"&amp;RIGHT("00"&amp;$C1538,2)&amp;"/"&amp;RIGHT("00"&amp;$D1538,2)))</f>
        <v/>
      </c>
      <c r="F1538">
        <f>IF(Entry!$D1538&lt;&gt;"",IF(AND(ISNUMBER(Entry!$D1538),Entry!$D1538&gt;=0,Entry!$D1538&lt;1),RIGHT("00"&amp;HOUR(Entry!$D1538),2)&amp;":"&amp;RIGHT("00"&amp;MINUTE(Entry!$D1538),2),IFERROR(RIGHT("00"&amp;VALUE(TRIM(LEFT(Entry!$D1538,FIND(":",Entry!$D1538)-1))),2)&amp;":"&amp;RIGHT("00"&amp;VALUE(TRIM(MID(Entry!$D1538,FIND(":",Entry!$D1538)+1,2))),2),"نامعتبر")),IF(OR($E1538="",$E1538="نامعتبر"),"","00:00"))</f>
        <v/>
      </c>
      <c r="G1538">
        <f>IF(OR($E1538="",$E1538="نامعتبر"),"",IF(Entry!$E1538="","",LEFT(UPPER(TRIM(Entry!$E1538)),6)))</f>
        <v/>
      </c>
      <c r="H1538">
        <f>IF($G1538="","",RIGHT($E1538,4)&amp;MID($E1538,6,2)&amp;RIGHT($E1538,2)&amp;IF($F1538="","0000",IF($F1538="نامعتبر","9999",LEFT($F1538,2)&amp;RIGHT($F1538,2)))&amp;"|"&amp;RIGHT("00000"&amp;1530,5))</f>
        <v/>
      </c>
      <c r="I1538">
        <f>IF($H1538="","",COUNTIFS(CalcBank,$G1538,CalcKey,"&lt;"&amp;$H1538)+1)</f>
        <v/>
      </c>
      <c r="J1538">
        <f>IF($I1538="","",$G1538&amp;"|"&amp;RIGHT("000000"&amp;$I1538,6))</f>
        <v/>
      </c>
      <c r="K1538">
        <f>IF(OR($E1538="",$E1538="نامعتبر"),"",LEFT($E1538,4)&amp;"/"&amp;MID($E1538,6,2))</f>
        <v/>
      </c>
      <c r="L1538">
        <f>IF(Entry!$K1538="",0,Entry!$K1538)</f>
        <v/>
      </c>
      <c r="M1538">
        <f>IF(Entry!$L1538="",0,Entry!$L1538)</f>
        <v/>
      </c>
    </row>
    <row r="1539">
      <c r="A1539">
        <f>IF(Entry!$C1539="","",Entry!$C1539)</f>
        <v/>
      </c>
      <c r="B1539">
        <f>IF($A1539="","",IF(ISNUMBER($A1539),IF(AND($A1539&gt;=10000101,$A1539&lt;=99991231),INT($A1539/10000),""),IFERROR(VALUE(TRIM(LEFT($A1539,FIND("/",$A1539)-1))),"")))</f>
        <v/>
      </c>
      <c r="C1539">
        <f>IF(OR($A1539="",$B1539=""),"",IF(ISNUMBER($A1539),INT(MOD($A1539,10000)/100),IFERROR(VALUE(TRIM(LEFT(MID($A1539,FIND("/",$A1539)+1,20),FIND("/",MID($A1539,FIND("/",$A1539)+1,20))-1))),"")))</f>
        <v/>
      </c>
      <c r="D1539">
        <f>IF(OR($A1539="",$B1539=""),"",IF(ISNUMBER($A1539),MOD($A1539,100),IFERROR(VALUE(TRIM(MID(MID($A1539,FIND("/",$A1539)+1,20),FIND("/",MID($A1539,FIND("/",$A1539)+1,20))+1,20))),"")))</f>
        <v/>
      </c>
      <c r="E1539">
        <f>IF($A1539="","",IF(OR($B1539="",$C1539="",$D1539="",$B1539&lt;1300,$B1539&gt;1500,$C1539&lt;1,$C1539&gt;12,$D1539&lt;1,$D1539&gt;31),"نامعتبر",RIGHT("0000"&amp;$B1539,4)&amp;"/"&amp;RIGHT("00"&amp;$C1539,2)&amp;"/"&amp;RIGHT("00"&amp;$D1539,2)))</f>
        <v/>
      </c>
      <c r="F1539">
        <f>IF(Entry!$D1539&lt;&gt;"",IF(AND(ISNUMBER(Entry!$D1539),Entry!$D1539&gt;=0,Entry!$D1539&lt;1),RIGHT("00"&amp;HOUR(Entry!$D1539),2)&amp;":"&amp;RIGHT("00"&amp;MINUTE(Entry!$D1539),2),IFERROR(RIGHT("00"&amp;VALUE(TRIM(LEFT(Entry!$D1539,FIND(":",Entry!$D1539)-1))),2)&amp;":"&amp;RIGHT("00"&amp;VALUE(TRIM(MID(Entry!$D1539,FIND(":",Entry!$D1539)+1,2))),2),"نامعتبر")),IF(OR($E1539="",$E1539="نامعتبر"),"","00:00"))</f>
        <v/>
      </c>
      <c r="G1539">
        <f>IF(OR($E1539="",$E1539="نامعتبر"),"",IF(Entry!$E1539="","",LEFT(UPPER(TRIM(Entry!$E1539)),6)))</f>
        <v/>
      </c>
      <c r="H1539">
        <f>IF($G1539="","",RIGHT($E1539,4)&amp;MID($E1539,6,2)&amp;RIGHT($E1539,2)&amp;IF($F1539="","0000",IF($F1539="نامعتبر","9999",LEFT($F1539,2)&amp;RIGHT($F1539,2)))&amp;"|"&amp;RIGHT("00000"&amp;1531,5))</f>
        <v/>
      </c>
      <c r="I1539">
        <f>IF($H1539="","",COUNTIFS(CalcBank,$G1539,CalcKey,"&lt;"&amp;$H1539)+1)</f>
        <v/>
      </c>
      <c r="J1539">
        <f>IF($I1539="","",$G1539&amp;"|"&amp;RIGHT("000000"&amp;$I1539,6))</f>
        <v/>
      </c>
      <c r="K1539">
        <f>IF(OR($E1539="",$E1539="نامعتبر"),"",LEFT($E1539,4)&amp;"/"&amp;MID($E1539,6,2))</f>
        <v/>
      </c>
      <c r="L1539">
        <f>IF(Entry!$K1539="",0,Entry!$K1539)</f>
        <v/>
      </c>
      <c r="M1539">
        <f>IF(Entry!$L1539="",0,Entry!$L1539)</f>
        <v/>
      </c>
    </row>
    <row r="1540">
      <c r="A1540">
        <f>IF(Entry!$C1540="","",Entry!$C1540)</f>
        <v/>
      </c>
      <c r="B1540">
        <f>IF($A1540="","",IF(ISNUMBER($A1540),IF(AND($A1540&gt;=10000101,$A1540&lt;=99991231),INT($A1540/10000),""),IFERROR(VALUE(TRIM(LEFT($A1540,FIND("/",$A1540)-1))),"")))</f>
        <v/>
      </c>
      <c r="C1540">
        <f>IF(OR($A1540="",$B1540=""),"",IF(ISNUMBER($A1540),INT(MOD($A1540,10000)/100),IFERROR(VALUE(TRIM(LEFT(MID($A1540,FIND("/",$A1540)+1,20),FIND("/",MID($A1540,FIND("/",$A1540)+1,20))-1))),"")))</f>
        <v/>
      </c>
      <c r="D1540">
        <f>IF(OR($A1540="",$B1540=""),"",IF(ISNUMBER($A1540),MOD($A1540,100),IFERROR(VALUE(TRIM(MID(MID($A1540,FIND("/",$A1540)+1,20),FIND("/",MID($A1540,FIND("/",$A1540)+1,20))+1,20))),"")))</f>
        <v/>
      </c>
      <c r="E1540">
        <f>IF($A1540="","",IF(OR($B1540="",$C1540="",$D1540="",$B1540&lt;1300,$B1540&gt;1500,$C1540&lt;1,$C1540&gt;12,$D1540&lt;1,$D1540&gt;31),"نامعتبر",RIGHT("0000"&amp;$B1540,4)&amp;"/"&amp;RIGHT("00"&amp;$C1540,2)&amp;"/"&amp;RIGHT("00"&amp;$D1540,2)))</f>
        <v/>
      </c>
      <c r="F1540">
        <f>IF(Entry!$D1540&lt;&gt;"",IF(AND(ISNUMBER(Entry!$D1540),Entry!$D1540&gt;=0,Entry!$D1540&lt;1),RIGHT("00"&amp;HOUR(Entry!$D1540),2)&amp;":"&amp;RIGHT("00"&amp;MINUTE(Entry!$D1540),2),IFERROR(RIGHT("00"&amp;VALUE(TRIM(LEFT(Entry!$D1540,FIND(":",Entry!$D1540)-1))),2)&amp;":"&amp;RIGHT("00"&amp;VALUE(TRIM(MID(Entry!$D1540,FIND(":",Entry!$D1540)+1,2))),2),"نامعتبر")),IF(OR($E1540="",$E1540="نامعتبر"),"","00:00"))</f>
        <v/>
      </c>
      <c r="G1540">
        <f>IF(OR($E1540="",$E1540="نامعتبر"),"",IF(Entry!$E1540="","",LEFT(UPPER(TRIM(Entry!$E1540)),6)))</f>
        <v/>
      </c>
      <c r="H1540">
        <f>IF($G1540="","",RIGHT($E1540,4)&amp;MID($E1540,6,2)&amp;RIGHT($E1540,2)&amp;IF($F1540="","0000",IF($F1540="نامعتبر","9999",LEFT($F1540,2)&amp;RIGHT($F1540,2)))&amp;"|"&amp;RIGHT("00000"&amp;1532,5))</f>
        <v/>
      </c>
      <c r="I1540">
        <f>IF($H1540="","",COUNTIFS(CalcBank,$G1540,CalcKey,"&lt;"&amp;$H1540)+1)</f>
        <v/>
      </c>
      <c r="J1540">
        <f>IF($I1540="","",$G1540&amp;"|"&amp;RIGHT("000000"&amp;$I1540,6))</f>
        <v/>
      </c>
      <c r="K1540">
        <f>IF(OR($E1540="",$E1540="نامعتبر"),"",LEFT($E1540,4)&amp;"/"&amp;MID($E1540,6,2))</f>
        <v/>
      </c>
      <c r="L1540">
        <f>IF(Entry!$K1540="",0,Entry!$K1540)</f>
        <v/>
      </c>
      <c r="M1540">
        <f>IF(Entry!$L1540="",0,Entry!$L1540)</f>
        <v/>
      </c>
    </row>
    <row r="1541">
      <c r="A1541">
        <f>IF(Entry!$C1541="","",Entry!$C1541)</f>
        <v/>
      </c>
      <c r="B1541">
        <f>IF($A1541="","",IF(ISNUMBER($A1541),IF(AND($A1541&gt;=10000101,$A1541&lt;=99991231),INT($A1541/10000),""),IFERROR(VALUE(TRIM(LEFT($A1541,FIND("/",$A1541)-1))),"")))</f>
        <v/>
      </c>
      <c r="C1541">
        <f>IF(OR($A1541="",$B1541=""),"",IF(ISNUMBER($A1541),INT(MOD($A1541,10000)/100),IFERROR(VALUE(TRIM(LEFT(MID($A1541,FIND("/",$A1541)+1,20),FIND("/",MID($A1541,FIND("/",$A1541)+1,20))-1))),"")))</f>
        <v/>
      </c>
      <c r="D1541">
        <f>IF(OR($A1541="",$B1541=""),"",IF(ISNUMBER($A1541),MOD($A1541,100),IFERROR(VALUE(TRIM(MID(MID($A1541,FIND("/",$A1541)+1,20),FIND("/",MID($A1541,FIND("/",$A1541)+1,20))+1,20))),"")))</f>
        <v/>
      </c>
      <c r="E1541">
        <f>IF($A1541="","",IF(OR($B1541="",$C1541="",$D1541="",$B1541&lt;1300,$B1541&gt;1500,$C1541&lt;1,$C1541&gt;12,$D1541&lt;1,$D1541&gt;31),"نامعتبر",RIGHT("0000"&amp;$B1541,4)&amp;"/"&amp;RIGHT("00"&amp;$C1541,2)&amp;"/"&amp;RIGHT("00"&amp;$D1541,2)))</f>
        <v/>
      </c>
      <c r="F1541">
        <f>IF(Entry!$D1541&lt;&gt;"",IF(AND(ISNUMBER(Entry!$D1541),Entry!$D1541&gt;=0,Entry!$D1541&lt;1),RIGHT("00"&amp;HOUR(Entry!$D1541),2)&amp;":"&amp;RIGHT("00"&amp;MINUTE(Entry!$D1541),2),IFERROR(RIGHT("00"&amp;VALUE(TRIM(LEFT(Entry!$D1541,FIND(":",Entry!$D1541)-1))),2)&amp;":"&amp;RIGHT("00"&amp;VALUE(TRIM(MID(Entry!$D1541,FIND(":",Entry!$D1541)+1,2))),2),"نامعتبر")),IF(OR($E1541="",$E1541="نامعتبر"),"","00:00"))</f>
        <v/>
      </c>
      <c r="G1541">
        <f>IF(OR($E1541="",$E1541="نامعتبر"),"",IF(Entry!$E1541="","",LEFT(UPPER(TRIM(Entry!$E1541)),6)))</f>
        <v/>
      </c>
      <c r="H1541">
        <f>IF($G1541="","",RIGHT($E1541,4)&amp;MID($E1541,6,2)&amp;RIGHT($E1541,2)&amp;IF($F1541="","0000",IF($F1541="نامعتبر","9999",LEFT($F1541,2)&amp;RIGHT($F1541,2)))&amp;"|"&amp;RIGHT("00000"&amp;1533,5))</f>
        <v/>
      </c>
      <c r="I1541">
        <f>IF($H1541="","",COUNTIFS(CalcBank,$G1541,CalcKey,"&lt;"&amp;$H1541)+1)</f>
        <v/>
      </c>
      <c r="J1541">
        <f>IF($I1541="","",$G1541&amp;"|"&amp;RIGHT("000000"&amp;$I1541,6))</f>
        <v/>
      </c>
      <c r="K1541">
        <f>IF(OR($E1541="",$E1541="نامعتبر"),"",LEFT($E1541,4)&amp;"/"&amp;MID($E1541,6,2))</f>
        <v/>
      </c>
      <c r="L1541">
        <f>IF(Entry!$K1541="",0,Entry!$K1541)</f>
        <v/>
      </c>
      <c r="M1541">
        <f>IF(Entry!$L1541="",0,Entry!$L1541)</f>
        <v/>
      </c>
    </row>
    <row r="1542">
      <c r="A1542">
        <f>IF(Entry!$C1542="","",Entry!$C1542)</f>
        <v/>
      </c>
      <c r="B1542">
        <f>IF($A1542="","",IF(ISNUMBER($A1542),IF(AND($A1542&gt;=10000101,$A1542&lt;=99991231),INT($A1542/10000),""),IFERROR(VALUE(TRIM(LEFT($A1542,FIND("/",$A1542)-1))),"")))</f>
        <v/>
      </c>
      <c r="C1542">
        <f>IF(OR($A1542="",$B1542=""),"",IF(ISNUMBER($A1542),INT(MOD($A1542,10000)/100),IFERROR(VALUE(TRIM(LEFT(MID($A1542,FIND("/",$A1542)+1,20),FIND("/",MID($A1542,FIND("/",$A1542)+1,20))-1))),"")))</f>
        <v/>
      </c>
      <c r="D1542">
        <f>IF(OR($A1542="",$B1542=""),"",IF(ISNUMBER($A1542),MOD($A1542,100),IFERROR(VALUE(TRIM(MID(MID($A1542,FIND("/",$A1542)+1,20),FIND("/",MID($A1542,FIND("/",$A1542)+1,20))+1,20))),"")))</f>
        <v/>
      </c>
      <c r="E1542">
        <f>IF($A1542="","",IF(OR($B1542="",$C1542="",$D1542="",$B1542&lt;1300,$B1542&gt;1500,$C1542&lt;1,$C1542&gt;12,$D1542&lt;1,$D1542&gt;31),"نامعتبر",RIGHT("0000"&amp;$B1542,4)&amp;"/"&amp;RIGHT("00"&amp;$C1542,2)&amp;"/"&amp;RIGHT("00"&amp;$D1542,2)))</f>
        <v/>
      </c>
      <c r="F1542">
        <f>IF(Entry!$D1542&lt;&gt;"",IF(AND(ISNUMBER(Entry!$D1542),Entry!$D1542&gt;=0,Entry!$D1542&lt;1),RIGHT("00"&amp;HOUR(Entry!$D1542),2)&amp;":"&amp;RIGHT("00"&amp;MINUTE(Entry!$D1542),2),IFERROR(RIGHT("00"&amp;VALUE(TRIM(LEFT(Entry!$D1542,FIND(":",Entry!$D1542)-1))),2)&amp;":"&amp;RIGHT("00"&amp;VALUE(TRIM(MID(Entry!$D1542,FIND(":",Entry!$D1542)+1,2))),2),"نامعتبر")),IF(OR($E1542="",$E1542="نامعتبر"),"","00:00"))</f>
        <v/>
      </c>
      <c r="G1542">
        <f>IF(OR($E1542="",$E1542="نامعتبر"),"",IF(Entry!$E1542="","",LEFT(UPPER(TRIM(Entry!$E1542)),6)))</f>
        <v/>
      </c>
      <c r="H1542">
        <f>IF($G1542="","",RIGHT($E1542,4)&amp;MID($E1542,6,2)&amp;RIGHT($E1542,2)&amp;IF($F1542="","0000",IF($F1542="نامعتبر","9999",LEFT($F1542,2)&amp;RIGHT($F1542,2)))&amp;"|"&amp;RIGHT("00000"&amp;1534,5))</f>
        <v/>
      </c>
      <c r="I1542">
        <f>IF($H1542="","",COUNTIFS(CalcBank,$G1542,CalcKey,"&lt;"&amp;$H1542)+1)</f>
        <v/>
      </c>
      <c r="J1542">
        <f>IF($I1542="","",$G1542&amp;"|"&amp;RIGHT("000000"&amp;$I1542,6))</f>
        <v/>
      </c>
      <c r="K1542">
        <f>IF(OR($E1542="",$E1542="نامعتبر"),"",LEFT($E1542,4)&amp;"/"&amp;MID($E1542,6,2))</f>
        <v/>
      </c>
      <c r="L1542">
        <f>IF(Entry!$K1542="",0,Entry!$K1542)</f>
        <v/>
      </c>
      <c r="M1542">
        <f>IF(Entry!$L1542="",0,Entry!$L1542)</f>
        <v/>
      </c>
    </row>
    <row r="1543">
      <c r="A1543">
        <f>IF(Entry!$C1543="","",Entry!$C1543)</f>
        <v/>
      </c>
      <c r="B1543">
        <f>IF($A1543="","",IF(ISNUMBER($A1543),IF(AND($A1543&gt;=10000101,$A1543&lt;=99991231),INT($A1543/10000),""),IFERROR(VALUE(TRIM(LEFT($A1543,FIND("/",$A1543)-1))),"")))</f>
        <v/>
      </c>
      <c r="C1543">
        <f>IF(OR($A1543="",$B1543=""),"",IF(ISNUMBER($A1543),INT(MOD($A1543,10000)/100),IFERROR(VALUE(TRIM(LEFT(MID($A1543,FIND("/",$A1543)+1,20),FIND("/",MID($A1543,FIND("/",$A1543)+1,20))-1))),"")))</f>
        <v/>
      </c>
      <c r="D1543">
        <f>IF(OR($A1543="",$B1543=""),"",IF(ISNUMBER($A1543),MOD($A1543,100),IFERROR(VALUE(TRIM(MID(MID($A1543,FIND("/",$A1543)+1,20),FIND("/",MID($A1543,FIND("/",$A1543)+1,20))+1,20))),"")))</f>
        <v/>
      </c>
      <c r="E1543">
        <f>IF($A1543="","",IF(OR($B1543="",$C1543="",$D1543="",$B1543&lt;1300,$B1543&gt;1500,$C1543&lt;1,$C1543&gt;12,$D1543&lt;1,$D1543&gt;31),"نامعتبر",RIGHT("0000"&amp;$B1543,4)&amp;"/"&amp;RIGHT("00"&amp;$C1543,2)&amp;"/"&amp;RIGHT("00"&amp;$D1543,2)))</f>
        <v/>
      </c>
      <c r="F1543">
        <f>IF(Entry!$D1543&lt;&gt;"",IF(AND(ISNUMBER(Entry!$D1543),Entry!$D1543&gt;=0,Entry!$D1543&lt;1),RIGHT("00"&amp;HOUR(Entry!$D1543),2)&amp;":"&amp;RIGHT("00"&amp;MINUTE(Entry!$D1543),2),IFERROR(RIGHT("00"&amp;VALUE(TRIM(LEFT(Entry!$D1543,FIND(":",Entry!$D1543)-1))),2)&amp;":"&amp;RIGHT("00"&amp;VALUE(TRIM(MID(Entry!$D1543,FIND(":",Entry!$D1543)+1,2))),2),"نامعتبر")),IF(OR($E1543="",$E1543="نامعتبر"),"","00:00"))</f>
        <v/>
      </c>
      <c r="G1543">
        <f>IF(OR($E1543="",$E1543="نامعتبر"),"",IF(Entry!$E1543="","",LEFT(UPPER(TRIM(Entry!$E1543)),6)))</f>
        <v/>
      </c>
      <c r="H1543">
        <f>IF($G1543="","",RIGHT($E1543,4)&amp;MID($E1543,6,2)&amp;RIGHT($E1543,2)&amp;IF($F1543="","0000",IF($F1543="نامعتبر","9999",LEFT($F1543,2)&amp;RIGHT($F1543,2)))&amp;"|"&amp;RIGHT("00000"&amp;1535,5))</f>
        <v/>
      </c>
      <c r="I1543">
        <f>IF($H1543="","",COUNTIFS(CalcBank,$G1543,CalcKey,"&lt;"&amp;$H1543)+1)</f>
        <v/>
      </c>
      <c r="J1543">
        <f>IF($I1543="","",$G1543&amp;"|"&amp;RIGHT("000000"&amp;$I1543,6))</f>
        <v/>
      </c>
      <c r="K1543">
        <f>IF(OR($E1543="",$E1543="نامعتبر"),"",LEFT($E1543,4)&amp;"/"&amp;MID($E1543,6,2))</f>
        <v/>
      </c>
      <c r="L1543">
        <f>IF(Entry!$K1543="",0,Entry!$K1543)</f>
        <v/>
      </c>
      <c r="M1543">
        <f>IF(Entry!$L1543="",0,Entry!$L1543)</f>
        <v/>
      </c>
    </row>
    <row r="1544">
      <c r="A1544">
        <f>IF(Entry!$C1544="","",Entry!$C1544)</f>
        <v/>
      </c>
      <c r="B1544">
        <f>IF($A1544="","",IF(ISNUMBER($A1544),IF(AND($A1544&gt;=10000101,$A1544&lt;=99991231),INT($A1544/10000),""),IFERROR(VALUE(TRIM(LEFT($A1544,FIND("/",$A1544)-1))),"")))</f>
        <v/>
      </c>
      <c r="C1544">
        <f>IF(OR($A1544="",$B1544=""),"",IF(ISNUMBER($A1544),INT(MOD($A1544,10000)/100),IFERROR(VALUE(TRIM(LEFT(MID($A1544,FIND("/",$A1544)+1,20),FIND("/",MID($A1544,FIND("/",$A1544)+1,20))-1))),"")))</f>
        <v/>
      </c>
      <c r="D1544">
        <f>IF(OR($A1544="",$B1544=""),"",IF(ISNUMBER($A1544),MOD($A1544,100),IFERROR(VALUE(TRIM(MID(MID($A1544,FIND("/",$A1544)+1,20),FIND("/",MID($A1544,FIND("/",$A1544)+1,20))+1,20))),"")))</f>
        <v/>
      </c>
      <c r="E1544">
        <f>IF($A1544="","",IF(OR($B1544="",$C1544="",$D1544="",$B1544&lt;1300,$B1544&gt;1500,$C1544&lt;1,$C1544&gt;12,$D1544&lt;1,$D1544&gt;31),"نامعتبر",RIGHT("0000"&amp;$B1544,4)&amp;"/"&amp;RIGHT("00"&amp;$C1544,2)&amp;"/"&amp;RIGHT("00"&amp;$D1544,2)))</f>
        <v/>
      </c>
      <c r="F1544">
        <f>IF(Entry!$D1544&lt;&gt;"",IF(AND(ISNUMBER(Entry!$D1544),Entry!$D1544&gt;=0,Entry!$D1544&lt;1),RIGHT("00"&amp;HOUR(Entry!$D1544),2)&amp;":"&amp;RIGHT("00"&amp;MINUTE(Entry!$D1544),2),IFERROR(RIGHT("00"&amp;VALUE(TRIM(LEFT(Entry!$D1544,FIND(":",Entry!$D1544)-1))),2)&amp;":"&amp;RIGHT("00"&amp;VALUE(TRIM(MID(Entry!$D1544,FIND(":",Entry!$D1544)+1,2))),2),"نامعتبر")),IF(OR($E1544="",$E1544="نامعتبر"),"","00:00"))</f>
        <v/>
      </c>
      <c r="G1544">
        <f>IF(OR($E1544="",$E1544="نامعتبر"),"",IF(Entry!$E1544="","",LEFT(UPPER(TRIM(Entry!$E1544)),6)))</f>
        <v/>
      </c>
      <c r="H1544">
        <f>IF($G1544="","",RIGHT($E1544,4)&amp;MID($E1544,6,2)&amp;RIGHT($E1544,2)&amp;IF($F1544="","0000",IF($F1544="نامعتبر","9999",LEFT($F1544,2)&amp;RIGHT($F1544,2)))&amp;"|"&amp;RIGHT("00000"&amp;1536,5))</f>
        <v/>
      </c>
      <c r="I1544">
        <f>IF($H1544="","",COUNTIFS(CalcBank,$G1544,CalcKey,"&lt;"&amp;$H1544)+1)</f>
        <v/>
      </c>
      <c r="J1544">
        <f>IF($I1544="","",$G1544&amp;"|"&amp;RIGHT("000000"&amp;$I1544,6))</f>
        <v/>
      </c>
      <c r="K1544">
        <f>IF(OR($E1544="",$E1544="نامعتبر"),"",LEFT($E1544,4)&amp;"/"&amp;MID($E1544,6,2))</f>
        <v/>
      </c>
      <c r="L1544">
        <f>IF(Entry!$K1544="",0,Entry!$K1544)</f>
        <v/>
      </c>
      <c r="M1544">
        <f>IF(Entry!$L1544="",0,Entry!$L1544)</f>
        <v/>
      </c>
    </row>
    <row r="1545">
      <c r="A1545">
        <f>IF(Entry!$C1545="","",Entry!$C1545)</f>
        <v/>
      </c>
      <c r="B1545">
        <f>IF($A1545="","",IF(ISNUMBER($A1545),IF(AND($A1545&gt;=10000101,$A1545&lt;=99991231),INT($A1545/10000),""),IFERROR(VALUE(TRIM(LEFT($A1545,FIND("/",$A1545)-1))),"")))</f>
        <v/>
      </c>
      <c r="C1545">
        <f>IF(OR($A1545="",$B1545=""),"",IF(ISNUMBER($A1545),INT(MOD($A1545,10000)/100),IFERROR(VALUE(TRIM(LEFT(MID($A1545,FIND("/",$A1545)+1,20),FIND("/",MID($A1545,FIND("/",$A1545)+1,20))-1))),"")))</f>
        <v/>
      </c>
      <c r="D1545">
        <f>IF(OR($A1545="",$B1545=""),"",IF(ISNUMBER($A1545),MOD($A1545,100),IFERROR(VALUE(TRIM(MID(MID($A1545,FIND("/",$A1545)+1,20),FIND("/",MID($A1545,FIND("/",$A1545)+1,20))+1,20))),"")))</f>
        <v/>
      </c>
      <c r="E1545">
        <f>IF($A1545="","",IF(OR($B1545="",$C1545="",$D1545="",$B1545&lt;1300,$B1545&gt;1500,$C1545&lt;1,$C1545&gt;12,$D1545&lt;1,$D1545&gt;31),"نامعتبر",RIGHT("0000"&amp;$B1545,4)&amp;"/"&amp;RIGHT("00"&amp;$C1545,2)&amp;"/"&amp;RIGHT("00"&amp;$D1545,2)))</f>
        <v/>
      </c>
      <c r="F1545">
        <f>IF(Entry!$D1545&lt;&gt;"",IF(AND(ISNUMBER(Entry!$D1545),Entry!$D1545&gt;=0,Entry!$D1545&lt;1),RIGHT("00"&amp;HOUR(Entry!$D1545),2)&amp;":"&amp;RIGHT("00"&amp;MINUTE(Entry!$D1545),2),IFERROR(RIGHT("00"&amp;VALUE(TRIM(LEFT(Entry!$D1545,FIND(":",Entry!$D1545)-1))),2)&amp;":"&amp;RIGHT("00"&amp;VALUE(TRIM(MID(Entry!$D1545,FIND(":",Entry!$D1545)+1,2))),2),"نامعتبر")),IF(OR($E1545="",$E1545="نامعتبر"),"","00:00"))</f>
        <v/>
      </c>
      <c r="G1545">
        <f>IF(OR($E1545="",$E1545="نامعتبر"),"",IF(Entry!$E1545="","",LEFT(UPPER(TRIM(Entry!$E1545)),6)))</f>
        <v/>
      </c>
      <c r="H1545">
        <f>IF($G1545="","",RIGHT($E1545,4)&amp;MID($E1545,6,2)&amp;RIGHT($E1545,2)&amp;IF($F1545="","0000",IF($F1545="نامعتبر","9999",LEFT($F1545,2)&amp;RIGHT($F1545,2)))&amp;"|"&amp;RIGHT("00000"&amp;1537,5))</f>
        <v/>
      </c>
      <c r="I1545">
        <f>IF($H1545="","",COUNTIFS(CalcBank,$G1545,CalcKey,"&lt;"&amp;$H1545)+1)</f>
        <v/>
      </c>
      <c r="J1545">
        <f>IF($I1545="","",$G1545&amp;"|"&amp;RIGHT("000000"&amp;$I1545,6))</f>
        <v/>
      </c>
      <c r="K1545">
        <f>IF(OR($E1545="",$E1545="نامعتبر"),"",LEFT($E1545,4)&amp;"/"&amp;MID($E1545,6,2))</f>
        <v/>
      </c>
      <c r="L1545">
        <f>IF(Entry!$K1545="",0,Entry!$K1545)</f>
        <v/>
      </c>
      <c r="M1545">
        <f>IF(Entry!$L1545="",0,Entry!$L1545)</f>
        <v/>
      </c>
    </row>
    <row r="1546">
      <c r="A1546">
        <f>IF(Entry!$C1546="","",Entry!$C1546)</f>
        <v/>
      </c>
      <c r="B1546">
        <f>IF($A1546="","",IF(ISNUMBER($A1546),IF(AND($A1546&gt;=10000101,$A1546&lt;=99991231),INT($A1546/10000),""),IFERROR(VALUE(TRIM(LEFT($A1546,FIND("/",$A1546)-1))),"")))</f>
        <v/>
      </c>
      <c r="C1546">
        <f>IF(OR($A1546="",$B1546=""),"",IF(ISNUMBER($A1546),INT(MOD($A1546,10000)/100),IFERROR(VALUE(TRIM(LEFT(MID($A1546,FIND("/",$A1546)+1,20),FIND("/",MID($A1546,FIND("/",$A1546)+1,20))-1))),"")))</f>
        <v/>
      </c>
      <c r="D1546">
        <f>IF(OR($A1546="",$B1546=""),"",IF(ISNUMBER($A1546),MOD($A1546,100),IFERROR(VALUE(TRIM(MID(MID($A1546,FIND("/",$A1546)+1,20),FIND("/",MID($A1546,FIND("/",$A1546)+1,20))+1,20))),"")))</f>
        <v/>
      </c>
      <c r="E1546">
        <f>IF($A1546="","",IF(OR($B1546="",$C1546="",$D1546="",$B1546&lt;1300,$B1546&gt;1500,$C1546&lt;1,$C1546&gt;12,$D1546&lt;1,$D1546&gt;31),"نامعتبر",RIGHT("0000"&amp;$B1546,4)&amp;"/"&amp;RIGHT("00"&amp;$C1546,2)&amp;"/"&amp;RIGHT("00"&amp;$D1546,2)))</f>
        <v/>
      </c>
      <c r="F1546">
        <f>IF(Entry!$D1546&lt;&gt;"",IF(AND(ISNUMBER(Entry!$D1546),Entry!$D1546&gt;=0,Entry!$D1546&lt;1),RIGHT("00"&amp;HOUR(Entry!$D1546),2)&amp;":"&amp;RIGHT("00"&amp;MINUTE(Entry!$D1546),2),IFERROR(RIGHT("00"&amp;VALUE(TRIM(LEFT(Entry!$D1546,FIND(":",Entry!$D1546)-1))),2)&amp;":"&amp;RIGHT("00"&amp;VALUE(TRIM(MID(Entry!$D1546,FIND(":",Entry!$D1546)+1,2))),2),"نامعتبر")),IF(OR($E1546="",$E1546="نامعتبر"),"","00:00"))</f>
        <v/>
      </c>
      <c r="G1546">
        <f>IF(OR($E1546="",$E1546="نامعتبر"),"",IF(Entry!$E1546="","",LEFT(UPPER(TRIM(Entry!$E1546)),6)))</f>
        <v/>
      </c>
      <c r="H1546">
        <f>IF($G1546="","",RIGHT($E1546,4)&amp;MID($E1546,6,2)&amp;RIGHT($E1546,2)&amp;IF($F1546="","0000",IF($F1546="نامعتبر","9999",LEFT($F1546,2)&amp;RIGHT($F1546,2)))&amp;"|"&amp;RIGHT("00000"&amp;1538,5))</f>
        <v/>
      </c>
      <c r="I1546">
        <f>IF($H1546="","",COUNTIFS(CalcBank,$G1546,CalcKey,"&lt;"&amp;$H1546)+1)</f>
        <v/>
      </c>
      <c r="J1546">
        <f>IF($I1546="","",$G1546&amp;"|"&amp;RIGHT("000000"&amp;$I1546,6))</f>
        <v/>
      </c>
      <c r="K1546">
        <f>IF(OR($E1546="",$E1546="نامعتبر"),"",LEFT($E1546,4)&amp;"/"&amp;MID($E1546,6,2))</f>
        <v/>
      </c>
      <c r="L1546">
        <f>IF(Entry!$K1546="",0,Entry!$K1546)</f>
        <v/>
      </c>
      <c r="M1546">
        <f>IF(Entry!$L1546="",0,Entry!$L1546)</f>
        <v/>
      </c>
    </row>
    <row r="1547">
      <c r="A1547">
        <f>IF(Entry!$C1547="","",Entry!$C1547)</f>
        <v/>
      </c>
      <c r="B1547">
        <f>IF($A1547="","",IF(ISNUMBER($A1547),IF(AND($A1547&gt;=10000101,$A1547&lt;=99991231),INT($A1547/10000),""),IFERROR(VALUE(TRIM(LEFT($A1547,FIND("/",$A1547)-1))),"")))</f>
        <v/>
      </c>
      <c r="C1547">
        <f>IF(OR($A1547="",$B1547=""),"",IF(ISNUMBER($A1547),INT(MOD($A1547,10000)/100),IFERROR(VALUE(TRIM(LEFT(MID($A1547,FIND("/",$A1547)+1,20),FIND("/",MID($A1547,FIND("/",$A1547)+1,20))-1))),"")))</f>
        <v/>
      </c>
      <c r="D1547">
        <f>IF(OR($A1547="",$B1547=""),"",IF(ISNUMBER($A1547),MOD($A1547,100),IFERROR(VALUE(TRIM(MID(MID($A1547,FIND("/",$A1547)+1,20),FIND("/",MID($A1547,FIND("/",$A1547)+1,20))+1,20))),"")))</f>
        <v/>
      </c>
      <c r="E1547">
        <f>IF($A1547="","",IF(OR($B1547="",$C1547="",$D1547="",$B1547&lt;1300,$B1547&gt;1500,$C1547&lt;1,$C1547&gt;12,$D1547&lt;1,$D1547&gt;31),"نامعتبر",RIGHT("0000"&amp;$B1547,4)&amp;"/"&amp;RIGHT("00"&amp;$C1547,2)&amp;"/"&amp;RIGHT("00"&amp;$D1547,2)))</f>
        <v/>
      </c>
      <c r="F1547">
        <f>IF(Entry!$D1547&lt;&gt;"",IF(AND(ISNUMBER(Entry!$D1547),Entry!$D1547&gt;=0,Entry!$D1547&lt;1),RIGHT("00"&amp;HOUR(Entry!$D1547),2)&amp;":"&amp;RIGHT("00"&amp;MINUTE(Entry!$D1547),2),IFERROR(RIGHT("00"&amp;VALUE(TRIM(LEFT(Entry!$D1547,FIND(":",Entry!$D1547)-1))),2)&amp;":"&amp;RIGHT("00"&amp;VALUE(TRIM(MID(Entry!$D1547,FIND(":",Entry!$D1547)+1,2))),2),"نامعتبر")),IF(OR($E1547="",$E1547="نامعتبر"),"","00:00"))</f>
        <v/>
      </c>
      <c r="G1547">
        <f>IF(OR($E1547="",$E1547="نامعتبر"),"",IF(Entry!$E1547="","",LEFT(UPPER(TRIM(Entry!$E1547)),6)))</f>
        <v/>
      </c>
      <c r="H1547">
        <f>IF($G1547="","",RIGHT($E1547,4)&amp;MID($E1547,6,2)&amp;RIGHT($E1547,2)&amp;IF($F1547="","0000",IF($F1547="نامعتبر","9999",LEFT($F1547,2)&amp;RIGHT($F1547,2)))&amp;"|"&amp;RIGHT("00000"&amp;1539,5))</f>
        <v/>
      </c>
      <c r="I1547">
        <f>IF($H1547="","",COUNTIFS(CalcBank,$G1547,CalcKey,"&lt;"&amp;$H1547)+1)</f>
        <v/>
      </c>
      <c r="J1547">
        <f>IF($I1547="","",$G1547&amp;"|"&amp;RIGHT("000000"&amp;$I1547,6))</f>
        <v/>
      </c>
      <c r="K1547">
        <f>IF(OR($E1547="",$E1547="نامعتبر"),"",LEFT($E1547,4)&amp;"/"&amp;MID($E1547,6,2))</f>
        <v/>
      </c>
      <c r="L1547">
        <f>IF(Entry!$K1547="",0,Entry!$K1547)</f>
        <v/>
      </c>
      <c r="M1547">
        <f>IF(Entry!$L1547="",0,Entry!$L1547)</f>
        <v/>
      </c>
    </row>
    <row r="1548">
      <c r="A1548">
        <f>IF(Entry!$C1548="","",Entry!$C1548)</f>
        <v/>
      </c>
      <c r="B1548">
        <f>IF($A1548="","",IF(ISNUMBER($A1548),IF(AND($A1548&gt;=10000101,$A1548&lt;=99991231),INT($A1548/10000),""),IFERROR(VALUE(TRIM(LEFT($A1548,FIND("/",$A1548)-1))),"")))</f>
        <v/>
      </c>
      <c r="C1548">
        <f>IF(OR($A1548="",$B1548=""),"",IF(ISNUMBER($A1548),INT(MOD($A1548,10000)/100),IFERROR(VALUE(TRIM(LEFT(MID($A1548,FIND("/",$A1548)+1,20),FIND("/",MID($A1548,FIND("/",$A1548)+1,20))-1))),"")))</f>
        <v/>
      </c>
      <c r="D1548">
        <f>IF(OR($A1548="",$B1548=""),"",IF(ISNUMBER($A1548),MOD($A1548,100),IFERROR(VALUE(TRIM(MID(MID($A1548,FIND("/",$A1548)+1,20),FIND("/",MID($A1548,FIND("/",$A1548)+1,20))+1,20))),"")))</f>
        <v/>
      </c>
      <c r="E1548">
        <f>IF($A1548="","",IF(OR($B1548="",$C1548="",$D1548="",$B1548&lt;1300,$B1548&gt;1500,$C1548&lt;1,$C1548&gt;12,$D1548&lt;1,$D1548&gt;31),"نامعتبر",RIGHT("0000"&amp;$B1548,4)&amp;"/"&amp;RIGHT("00"&amp;$C1548,2)&amp;"/"&amp;RIGHT("00"&amp;$D1548,2)))</f>
        <v/>
      </c>
      <c r="F1548">
        <f>IF(Entry!$D1548&lt;&gt;"",IF(AND(ISNUMBER(Entry!$D1548),Entry!$D1548&gt;=0,Entry!$D1548&lt;1),RIGHT("00"&amp;HOUR(Entry!$D1548),2)&amp;":"&amp;RIGHT("00"&amp;MINUTE(Entry!$D1548),2),IFERROR(RIGHT("00"&amp;VALUE(TRIM(LEFT(Entry!$D1548,FIND(":",Entry!$D1548)-1))),2)&amp;":"&amp;RIGHT("00"&amp;VALUE(TRIM(MID(Entry!$D1548,FIND(":",Entry!$D1548)+1,2))),2),"نامعتبر")),IF(OR($E1548="",$E1548="نامعتبر"),"","00:00"))</f>
        <v/>
      </c>
      <c r="G1548">
        <f>IF(OR($E1548="",$E1548="نامعتبر"),"",IF(Entry!$E1548="","",LEFT(UPPER(TRIM(Entry!$E1548)),6)))</f>
        <v/>
      </c>
      <c r="H1548">
        <f>IF($G1548="","",RIGHT($E1548,4)&amp;MID($E1548,6,2)&amp;RIGHT($E1548,2)&amp;IF($F1548="","0000",IF($F1548="نامعتبر","9999",LEFT($F1548,2)&amp;RIGHT($F1548,2)))&amp;"|"&amp;RIGHT("00000"&amp;1540,5))</f>
        <v/>
      </c>
      <c r="I1548">
        <f>IF($H1548="","",COUNTIFS(CalcBank,$G1548,CalcKey,"&lt;"&amp;$H1548)+1)</f>
        <v/>
      </c>
      <c r="J1548">
        <f>IF($I1548="","",$G1548&amp;"|"&amp;RIGHT("000000"&amp;$I1548,6))</f>
        <v/>
      </c>
      <c r="K1548">
        <f>IF(OR($E1548="",$E1548="نامعتبر"),"",LEFT($E1548,4)&amp;"/"&amp;MID($E1548,6,2))</f>
        <v/>
      </c>
      <c r="L1548">
        <f>IF(Entry!$K1548="",0,Entry!$K1548)</f>
        <v/>
      </c>
      <c r="M1548">
        <f>IF(Entry!$L1548="",0,Entry!$L1548)</f>
        <v/>
      </c>
    </row>
    <row r="1549">
      <c r="A1549">
        <f>IF(Entry!$C1549="","",Entry!$C1549)</f>
        <v/>
      </c>
      <c r="B1549">
        <f>IF($A1549="","",IF(ISNUMBER($A1549),IF(AND($A1549&gt;=10000101,$A1549&lt;=99991231),INT($A1549/10000),""),IFERROR(VALUE(TRIM(LEFT($A1549,FIND("/",$A1549)-1))),"")))</f>
        <v/>
      </c>
      <c r="C1549">
        <f>IF(OR($A1549="",$B1549=""),"",IF(ISNUMBER($A1549),INT(MOD($A1549,10000)/100),IFERROR(VALUE(TRIM(LEFT(MID($A1549,FIND("/",$A1549)+1,20),FIND("/",MID($A1549,FIND("/",$A1549)+1,20))-1))),"")))</f>
        <v/>
      </c>
      <c r="D1549">
        <f>IF(OR($A1549="",$B1549=""),"",IF(ISNUMBER($A1549),MOD($A1549,100),IFERROR(VALUE(TRIM(MID(MID($A1549,FIND("/",$A1549)+1,20),FIND("/",MID($A1549,FIND("/",$A1549)+1,20))+1,20))),"")))</f>
        <v/>
      </c>
      <c r="E1549">
        <f>IF($A1549="","",IF(OR($B1549="",$C1549="",$D1549="",$B1549&lt;1300,$B1549&gt;1500,$C1549&lt;1,$C1549&gt;12,$D1549&lt;1,$D1549&gt;31),"نامعتبر",RIGHT("0000"&amp;$B1549,4)&amp;"/"&amp;RIGHT("00"&amp;$C1549,2)&amp;"/"&amp;RIGHT("00"&amp;$D1549,2)))</f>
        <v/>
      </c>
      <c r="F1549">
        <f>IF(Entry!$D1549&lt;&gt;"",IF(AND(ISNUMBER(Entry!$D1549),Entry!$D1549&gt;=0,Entry!$D1549&lt;1),RIGHT("00"&amp;HOUR(Entry!$D1549),2)&amp;":"&amp;RIGHT("00"&amp;MINUTE(Entry!$D1549),2),IFERROR(RIGHT("00"&amp;VALUE(TRIM(LEFT(Entry!$D1549,FIND(":",Entry!$D1549)-1))),2)&amp;":"&amp;RIGHT("00"&amp;VALUE(TRIM(MID(Entry!$D1549,FIND(":",Entry!$D1549)+1,2))),2),"نامعتبر")),IF(OR($E1549="",$E1549="نامعتبر"),"","00:00"))</f>
        <v/>
      </c>
      <c r="G1549">
        <f>IF(OR($E1549="",$E1549="نامعتبر"),"",IF(Entry!$E1549="","",LEFT(UPPER(TRIM(Entry!$E1549)),6)))</f>
        <v/>
      </c>
      <c r="H1549">
        <f>IF($G1549="","",RIGHT($E1549,4)&amp;MID($E1549,6,2)&amp;RIGHT($E1549,2)&amp;IF($F1549="","0000",IF($F1549="نامعتبر","9999",LEFT($F1549,2)&amp;RIGHT($F1549,2)))&amp;"|"&amp;RIGHT("00000"&amp;1541,5))</f>
        <v/>
      </c>
      <c r="I1549">
        <f>IF($H1549="","",COUNTIFS(CalcBank,$G1549,CalcKey,"&lt;"&amp;$H1549)+1)</f>
        <v/>
      </c>
      <c r="J1549">
        <f>IF($I1549="","",$G1549&amp;"|"&amp;RIGHT("000000"&amp;$I1549,6))</f>
        <v/>
      </c>
      <c r="K1549">
        <f>IF(OR($E1549="",$E1549="نامعتبر"),"",LEFT($E1549,4)&amp;"/"&amp;MID($E1549,6,2))</f>
        <v/>
      </c>
      <c r="L1549">
        <f>IF(Entry!$K1549="",0,Entry!$K1549)</f>
        <v/>
      </c>
      <c r="M1549">
        <f>IF(Entry!$L1549="",0,Entry!$L1549)</f>
        <v/>
      </c>
    </row>
    <row r="1550">
      <c r="A1550">
        <f>IF(Entry!$C1550="","",Entry!$C1550)</f>
        <v/>
      </c>
      <c r="B1550">
        <f>IF($A1550="","",IF(ISNUMBER($A1550),IF(AND($A1550&gt;=10000101,$A1550&lt;=99991231),INT($A1550/10000),""),IFERROR(VALUE(TRIM(LEFT($A1550,FIND("/",$A1550)-1))),"")))</f>
        <v/>
      </c>
      <c r="C1550">
        <f>IF(OR($A1550="",$B1550=""),"",IF(ISNUMBER($A1550),INT(MOD($A1550,10000)/100),IFERROR(VALUE(TRIM(LEFT(MID($A1550,FIND("/",$A1550)+1,20),FIND("/",MID($A1550,FIND("/",$A1550)+1,20))-1))),"")))</f>
        <v/>
      </c>
      <c r="D1550">
        <f>IF(OR($A1550="",$B1550=""),"",IF(ISNUMBER($A1550),MOD($A1550,100),IFERROR(VALUE(TRIM(MID(MID($A1550,FIND("/",$A1550)+1,20),FIND("/",MID($A1550,FIND("/",$A1550)+1,20))+1,20))),"")))</f>
        <v/>
      </c>
      <c r="E1550">
        <f>IF($A1550="","",IF(OR($B1550="",$C1550="",$D1550="",$B1550&lt;1300,$B1550&gt;1500,$C1550&lt;1,$C1550&gt;12,$D1550&lt;1,$D1550&gt;31),"نامعتبر",RIGHT("0000"&amp;$B1550,4)&amp;"/"&amp;RIGHT("00"&amp;$C1550,2)&amp;"/"&amp;RIGHT("00"&amp;$D1550,2)))</f>
        <v/>
      </c>
      <c r="F1550">
        <f>IF(Entry!$D1550&lt;&gt;"",IF(AND(ISNUMBER(Entry!$D1550),Entry!$D1550&gt;=0,Entry!$D1550&lt;1),RIGHT("00"&amp;HOUR(Entry!$D1550),2)&amp;":"&amp;RIGHT("00"&amp;MINUTE(Entry!$D1550),2),IFERROR(RIGHT("00"&amp;VALUE(TRIM(LEFT(Entry!$D1550,FIND(":",Entry!$D1550)-1))),2)&amp;":"&amp;RIGHT("00"&amp;VALUE(TRIM(MID(Entry!$D1550,FIND(":",Entry!$D1550)+1,2))),2),"نامعتبر")),IF(OR($E1550="",$E1550="نامعتبر"),"","00:00"))</f>
        <v/>
      </c>
      <c r="G1550">
        <f>IF(OR($E1550="",$E1550="نامعتبر"),"",IF(Entry!$E1550="","",LEFT(UPPER(TRIM(Entry!$E1550)),6)))</f>
        <v/>
      </c>
      <c r="H1550">
        <f>IF($G1550="","",RIGHT($E1550,4)&amp;MID($E1550,6,2)&amp;RIGHT($E1550,2)&amp;IF($F1550="","0000",IF($F1550="نامعتبر","9999",LEFT($F1550,2)&amp;RIGHT($F1550,2)))&amp;"|"&amp;RIGHT("00000"&amp;1542,5))</f>
        <v/>
      </c>
      <c r="I1550">
        <f>IF($H1550="","",COUNTIFS(CalcBank,$G1550,CalcKey,"&lt;"&amp;$H1550)+1)</f>
        <v/>
      </c>
      <c r="J1550">
        <f>IF($I1550="","",$G1550&amp;"|"&amp;RIGHT("000000"&amp;$I1550,6))</f>
        <v/>
      </c>
      <c r="K1550">
        <f>IF(OR($E1550="",$E1550="نامعتبر"),"",LEFT($E1550,4)&amp;"/"&amp;MID($E1550,6,2))</f>
        <v/>
      </c>
      <c r="L1550">
        <f>IF(Entry!$K1550="",0,Entry!$K1550)</f>
        <v/>
      </c>
      <c r="M1550">
        <f>IF(Entry!$L1550="",0,Entry!$L1550)</f>
        <v/>
      </c>
    </row>
    <row r="1551">
      <c r="A1551">
        <f>IF(Entry!$C1551="","",Entry!$C1551)</f>
        <v/>
      </c>
      <c r="B1551">
        <f>IF($A1551="","",IF(ISNUMBER($A1551),IF(AND($A1551&gt;=10000101,$A1551&lt;=99991231),INT($A1551/10000),""),IFERROR(VALUE(TRIM(LEFT($A1551,FIND("/",$A1551)-1))),"")))</f>
        <v/>
      </c>
      <c r="C1551">
        <f>IF(OR($A1551="",$B1551=""),"",IF(ISNUMBER($A1551),INT(MOD($A1551,10000)/100),IFERROR(VALUE(TRIM(LEFT(MID($A1551,FIND("/",$A1551)+1,20),FIND("/",MID($A1551,FIND("/",$A1551)+1,20))-1))),"")))</f>
        <v/>
      </c>
      <c r="D1551">
        <f>IF(OR($A1551="",$B1551=""),"",IF(ISNUMBER($A1551),MOD($A1551,100),IFERROR(VALUE(TRIM(MID(MID($A1551,FIND("/",$A1551)+1,20),FIND("/",MID($A1551,FIND("/",$A1551)+1,20))+1,20))),"")))</f>
        <v/>
      </c>
      <c r="E1551">
        <f>IF($A1551="","",IF(OR($B1551="",$C1551="",$D1551="",$B1551&lt;1300,$B1551&gt;1500,$C1551&lt;1,$C1551&gt;12,$D1551&lt;1,$D1551&gt;31),"نامعتبر",RIGHT("0000"&amp;$B1551,4)&amp;"/"&amp;RIGHT("00"&amp;$C1551,2)&amp;"/"&amp;RIGHT("00"&amp;$D1551,2)))</f>
        <v/>
      </c>
      <c r="F1551">
        <f>IF(Entry!$D1551&lt;&gt;"",IF(AND(ISNUMBER(Entry!$D1551),Entry!$D1551&gt;=0,Entry!$D1551&lt;1),RIGHT("00"&amp;HOUR(Entry!$D1551),2)&amp;":"&amp;RIGHT("00"&amp;MINUTE(Entry!$D1551),2),IFERROR(RIGHT("00"&amp;VALUE(TRIM(LEFT(Entry!$D1551,FIND(":",Entry!$D1551)-1))),2)&amp;":"&amp;RIGHT("00"&amp;VALUE(TRIM(MID(Entry!$D1551,FIND(":",Entry!$D1551)+1,2))),2),"نامعتبر")),IF(OR($E1551="",$E1551="نامعتبر"),"","00:00"))</f>
        <v/>
      </c>
      <c r="G1551">
        <f>IF(OR($E1551="",$E1551="نامعتبر"),"",IF(Entry!$E1551="","",LEFT(UPPER(TRIM(Entry!$E1551)),6)))</f>
        <v/>
      </c>
      <c r="H1551">
        <f>IF($G1551="","",RIGHT($E1551,4)&amp;MID($E1551,6,2)&amp;RIGHT($E1551,2)&amp;IF($F1551="","0000",IF($F1551="نامعتبر","9999",LEFT($F1551,2)&amp;RIGHT($F1551,2)))&amp;"|"&amp;RIGHT("00000"&amp;1543,5))</f>
        <v/>
      </c>
      <c r="I1551">
        <f>IF($H1551="","",COUNTIFS(CalcBank,$G1551,CalcKey,"&lt;"&amp;$H1551)+1)</f>
        <v/>
      </c>
      <c r="J1551">
        <f>IF($I1551="","",$G1551&amp;"|"&amp;RIGHT("000000"&amp;$I1551,6))</f>
        <v/>
      </c>
      <c r="K1551">
        <f>IF(OR($E1551="",$E1551="نامعتبر"),"",LEFT($E1551,4)&amp;"/"&amp;MID($E1551,6,2))</f>
        <v/>
      </c>
      <c r="L1551">
        <f>IF(Entry!$K1551="",0,Entry!$K1551)</f>
        <v/>
      </c>
      <c r="M1551">
        <f>IF(Entry!$L1551="",0,Entry!$L1551)</f>
        <v/>
      </c>
    </row>
    <row r="1552">
      <c r="A1552">
        <f>IF(Entry!$C1552="","",Entry!$C1552)</f>
        <v/>
      </c>
      <c r="B1552">
        <f>IF($A1552="","",IF(ISNUMBER($A1552),IF(AND($A1552&gt;=10000101,$A1552&lt;=99991231),INT($A1552/10000),""),IFERROR(VALUE(TRIM(LEFT($A1552,FIND("/",$A1552)-1))),"")))</f>
        <v/>
      </c>
      <c r="C1552">
        <f>IF(OR($A1552="",$B1552=""),"",IF(ISNUMBER($A1552),INT(MOD($A1552,10000)/100),IFERROR(VALUE(TRIM(LEFT(MID($A1552,FIND("/",$A1552)+1,20),FIND("/",MID($A1552,FIND("/",$A1552)+1,20))-1))),"")))</f>
        <v/>
      </c>
      <c r="D1552">
        <f>IF(OR($A1552="",$B1552=""),"",IF(ISNUMBER($A1552),MOD($A1552,100),IFERROR(VALUE(TRIM(MID(MID($A1552,FIND("/",$A1552)+1,20),FIND("/",MID($A1552,FIND("/",$A1552)+1,20))+1,20))),"")))</f>
        <v/>
      </c>
      <c r="E1552">
        <f>IF($A1552="","",IF(OR($B1552="",$C1552="",$D1552="",$B1552&lt;1300,$B1552&gt;1500,$C1552&lt;1,$C1552&gt;12,$D1552&lt;1,$D1552&gt;31),"نامعتبر",RIGHT("0000"&amp;$B1552,4)&amp;"/"&amp;RIGHT("00"&amp;$C1552,2)&amp;"/"&amp;RIGHT("00"&amp;$D1552,2)))</f>
        <v/>
      </c>
      <c r="F1552">
        <f>IF(Entry!$D1552&lt;&gt;"",IF(AND(ISNUMBER(Entry!$D1552),Entry!$D1552&gt;=0,Entry!$D1552&lt;1),RIGHT("00"&amp;HOUR(Entry!$D1552),2)&amp;":"&amp;RIGHT("00"&amp;MINUTE(Entry!$D1552),2),IFERROR(RIGHT("00"&amp;VALUE(TRIM(LEFT(Entry!$D1552,FIND(":",Entry!$D1552)-1))),2)&amp;":"&amp;RIGHT("00"&amp;VALUE(TRIM(MID(Entry!$D1552,FIND(":",Entry!$D1552)+1,2))),2),"نامعتبر")),IF(OR($E1552="",$E1552="نامعتبر"),"","00:00"))</f>
        <v/>
      </c>
      <c r="G1552">
        <f>IF(OR($E1552="",$E1552="نامعتبر"),"",IF(Entry!$E1552="","",LEFT(UPPER(TRIM(Entry!$E1552)),6)))</f>
        <v/>
      </c>
      <c r="H1552">
        <f>IF($G1552="","",RIGHT($E1552,4)&amp;MID($E1552,6,2)&amp;RIGHT($E1552,2)&amp;IF($F1552="","0000",IF($F1552="نامعتبر","9999",LEFT($F1552,2)&amp;RIGHT($F1552,2)))&amp;"|"&amp;RIGHT("00000"&amp;1544,5))</f>
        <v/>
      </c>
      <c r="I1552">
        <f>IF($H1552="","",COUNTIFS(CalcBank,$G1552,CalcKey,"&lt;"&amp;$H1552)+1)</f>
        <v/>
      </c>
      <c r="J1552">
        <f>IF($I1552="","",$G1552&amp;"|"&amp;RIGHT("000000"&amp;$I1552,6))</f>
        <v/>
      </c>
      <c r="K1552">
        <f>IF(OR($E1552="",$E1552="نامعتبر"),"",LEFT($E1552,4)&amp;"/"&amp;MID($E1552,6,2))</f>
        <v/>
      </c>
      <c r="L1552">
        <f>IF(Entry!$K1552="",0,Entry!$K1552)</f>
        <v/>
      </c>
      <c r="M1552">
        <f>IF(Entry!$L1552="",0,Entry!$L1552)</f>
        <v/>
      </c>
    </row>
    <row r="1553">
      <c r="A1553">
        <f>IF(Entry!$C1553="","",Entry!$C1553)</f>
        <v/>
      </c>
      <c r="B1553">
        <f>IF($A1553="","",IF(ISNUMBER($A1553),IF(AND($A1553&gt;=10000101,$A1553&lt;=99991231),INT($A1553/10000),""),IFERROR(VALUE(TRIM(LEFT($A1553,FIND("/",$A1553)-1))),"")))</f>
        <v/>
      </c>
      <c r="C1553">
        <f>IF(OR($A1553="",$B1553=""),"",IF(ISNUMBER($A1553),INT(MOD($A1553,10000)/100),IFERROR(VALUE(TRIM(LEFT(MID($A1553,FIND("/",$A1553)+1,20),FIND("/",MID($A1553,FIND("/",$A1553)+1,20))-1))),"")))</f>
        <v/>
      </c>
      <c r="D1553">
        <f>IF(OR($A1553="",$B1553=""),"",IF(ISNUMBER($A1553),MOD($A1553,100),IFERROR(VALUE(TRIM(MID(MID($A1553,FIND("/",$A1553)+1,20),FIND("/",MID($A1553,FIND("/",$A1553)+1,20))+1,20))),"")))</f>
        <v/>
      </c>
      <c r="E1553">
        <f>IF($A1553="","",IF(OR($B1553="",$C1553="",$D1553="",$B1553&lt;1300,$B1553&gt;1500,$C1553&lt;1,$C1553&gt;12,$D1553&lt;1,$D1553&gt;31),"نامعتبر",RIGHT("0000"&amp;$B1553,4)&amp;"/"&amp;RIGHT("00"&amp;$C1553,2)&amp;"/"&amp;RIGHT("00"&amp;$D1553,2)))</f>
        <v/>
      </c>
      <c r="F1553">
        <f>IF(Entry!$D1553&lt;&gt;"",IF(AND(ISNUMBER(Entry!$D1553),Entry!$D1553&gt;=0,Entry!$D1553&lt;1),RIGHT("00"&amp;HOUR(Entry!$D1553),2)&amp;":"&amp;RIGHT("00"&amp;MINUTE(Entry!$D1553),2),IFERROR(RIGHT("00"&amp;VALUE(TRIM(LEFT(Entry!$D1553,FIND(":",Entry!$D1553)-1))),2)&amp;":"&amp;RIGHT("00"&amp;VALUE(TRIM(MID(Entry!$D1553,FIND(":",Entry!$D1553)+1,2))),2),"نامعتبر")),IF(OR($E1553="",$E1553="نامعتبر"),"","00:00"))</f>
        <v/>
      </c>
      <c r="G1553">
        <f>IF(OR($E1553="",$E1553="نامعتبر"),"",IF(Entry!$E1553="","",LEFT(UPPER(TRIM(Entry!$E1553)),6)))</f>
        <v/>
      </c>
      <c r="H1553">
        <f>IF($G1553="","",RIGHT($E1553,4)&amp;MID($E1553,6,2)&amp;RIGHT($E1553,2)&amp;IF($F1553="","0000",IF($F1553="نامعتبر","9999",LEFT($F1553,2)&amp;RIGHT($F1553,2)))&amp;"|"&amp;RIGHT("00000"&amp;1545,5))</f>
        <v/>
      </c>
      <c r="I1553">
        <f>IF($H1553="","",COUNTIFS(CalcBank,$G1553,CalcKey,"&lt;"&amp;$H1553)+1)</f>
        <v/>
      </c>
      <c r="J1553">
        <f>IF($I1553="","",$G1553&amp;"|"&amp;RIGHT("000000"&amp;$I1553,6))</f>
        <v/>
      </c>
      <c r="K1553">
        <f>IF(OR($E1553="",$E1553="نامعتبر"),"",LEFT($E1553,4)&amp;"/"&amp;MID($E1553,6,2))</f>
        <v/>
      </c>
      <c r="L1553">
        <f>IF(Entry!$K1553="",0,Entry!$K1553)</f>
        <v/>
      </c>
      <c r="M1553">
        <f>IF(Entry!$L1553="",0,Entry!$L1553)</f>
        <v/>
      </c>
    </row>
    <row r="1554">
      <c r="A1554">
        <f>IF(Entry!$C1554="","",Entry!$C1554)</f>
        <v/>
      </c>
      <c r="B1554">
        <f>IF($A1554="","",IF(ISNUMBER($A1554),IF(AND($A1554&gt;=10000101,$A1554&lt;=99991231),INT($A1554/10000),""),IFERROR(VALUE(TRIM(LEFT($A1554,FIND("/",$A1554)-1))),"")))</f>
        <v/>
      </c>
      <c r="C1554">
        <f>IF(OR($A1554="",$B1554=""),"",IF(ISNUMBER($A1554),INT(MOD($A1554,10000)/100),IFERROR(VALUE(TRIM(LEFT(MID($A1554,FIND("/",$A1554)+1,20),FIND("/",MID($A1554,FIND("/",$A1554)+1,20))-1))),"")))</f>
        <v/>
      </c>
      <c r="D1554">
        <f>IF(OR($A1554="",$B1554=""),"",IF(ISNUMBER($A1554),MOD($A1554,100),IFERROR(VALUE(TRIM(MID(MID($A1554,FIND("/",$A1554)+1,20),FIND("/",MID($A1554,FIND("/",$A1554)+1,20))+1,20))),"")))</f>
        <v/>
      </c>
      <c r="E1554">
        <f>IF($A1554="","",IF(OR($B1554="",$C1554="",$D1554="",$B1554&lt;1300,$B1554&gt;1500,$C1554&lt;1,$C1554&gt;12,$D1554&lt;1,$D1554&gt;31),"نامعتبر",RIGHT("0000"&amp;$B1554,4)&amp;"/"&amp;RIGHT("00"&amp;$C1554,2)&amp;"/"&amp;RIGHT("00"&amp;$D1554,2)))</f>
        <v/>
      </c>
      <c r="F1554">
        <f>IF(Entry!$D1554&lt;&gt;"",IF(AND(ISNUMBER(Entry!$D1554),Entry!$D1554&gt;=0,Entry!$D1554&lt;1),RIGHT("00"&amp;HOUR(Entry!$D1554),2)&amp;":"&amp;RIGHT("00"&amp;MINUTE(Entry!$D1554),2),IFERROR(RIGHT("00"&amp;VALUE(TRIM(LEFT(Entry!$D1554,FIND(":",Entry!$D1554)-1))),2)&amp;":"&amp;RIGHT("00"&amp;VALUE(TRIM(MID(Entry!$D1554,FIND(":",Entry!$D1554)+1,2))),2),"نامعتبر")),IF(OR($E1554="",$E1554="نامعتبر"),"","00:00"))</f>
        <v/>
      </c>
      <c r="G1554">
        <f>IF(OR($E1554="",$E1554="نامعتبر"),"",IF(Entry!$E1554="","",LEFT(UPPER(TRIM(Entry!$E1554)),6)))</f>
        <v/>
      </c>
      <c r="H1554">
        <f>IF($G1554="","",RIGHT($E1554,4)&amp;MID($E1554,6,2)&amp;RIGHT($E1554,2)&amp;IF($F1554="","0000",IF($F1554="نامعتبر","9999",LEFT($F1554,2)&amp;RIGHT($F1554,2)))&amp;"|"&amp;RIGHT("00000"&amp;1546,5))</f>
        <v/>
      </c>
      <c r="I1554">
        <f>IF($H1554="","",COUNTIFS(CalcBank,$G1554,CalcKey,"&lt;"&amp;$H1554)+1)</f>
        <v/>
      </c>
      <c r="J1554">
        <f>IF($I1554="","",$G1554&amp;"|"&amp;RIGHT("000000"&amp;$I1554,6))</f>
        <v/>
      </c>
      <c r="K1554">
        <f>IF(OR($E1554="",$E1554="نامعتبر"),"",LEFT($E1554,4)&amp;"/"&amp;MID($E1554,6,2))</f>
        <v/>
      </c>
      <c r="L1554">
        <f>IF(Entry!$K1554="",0,Entry!$K1554)</f>
        <v/>
      </c>
      <c r="M1554">
        <f>IF(Entry!$L1554="",0,Entry!$L1554)</f>
        <v/>
      </c>
    </row>
    <row r="1555">
      <c r="A1555">
        <f>IF(Entry!$C1555="","",Entry!$C1555)</f>
        <v/>
      </c>
      <c r="B1555">
        <f>IF($A1555="","",IF(ISNUMBER($A1555),IF(AND($A1555&gt;=10000101,$A1555&lt;=99991231),INT($A1555/10000),""),IFERROR(VALUE(TRIM(LEFT($A1555,FIND("/",$A1555)-1))),"")))</f>
        <v/>
      </c>
      <c r="C1555">
        <f>IF(OR($A1555="",$B1555=""),"",IF(ISNUMBER($A1555),INT(MOD($A1555,10000)/100),IFERROR(VALUE(TRIM(LEFT(MID($A1555,FIND("/",$A1555)+1,20),FIND("/",MID($A1555,FIND("/",$A1555)+1,20))-1))),"")))</f>
        <v/>
      </c>
      <c r="D1555">
        <f>IF(OR($A1555="",$B1555=""),"",IF(ISNUMBER($A1555),MOD($A1555,100),IFERROR(VALUE(TRIM(MID(MID($A1555,FIND("/",$A1555)+1,20),FIND("/",MID($A1555,FIND("/",$A1555)+1,20))+1,20))),"")))</f>
        <v/>
      </c>
      <c r="E1555">
        <f>IF($A1555="","",IF(OR($B1555="",$C1555="",$D1555="",$B1555&lt;1300,$B1555&gt;1500,$C1555&lt;1,$C1555&gt;12,$D1555&lt;1,$D1555&gt;31),"نامعتبر",RIGHT("0000"&amp;$B1555,4)&amp;"/"&amp;RIGHT("00"&amp;$C1555,2)&amp;"/"&amp;RIGHT("00"&amp;$D1555,2)))</f>
        <v/>
      </c>
      <c r="F1555">
        <f>IF(Entry!$D1555&lt;&gt;"",IF(AND(ISNUMBER(Entry!$D1555),Entry!$D1555&gt;=0,Entry!$D1555&lt;1),RIGHT("00"&amp;HOUR(Entry!$D1555),2)&amp;":"&amp;RIGHT("00"&amp;MINUTE(Entry!$D1555),2),IFERROR(RIGHT("00"&amp;VALUE(TRIM(LEFT(Entry!$D1555,FIND(":",Entry!$D1555)-1))),2)&amp;":"&amp;RIGHT("00"&amp;VALUE(TRIM(MID(Entry!$D1555,FIND(":",Entry!$D1555)+1,2))),2),"نامعتبر")),IF(OR($E1555="",$E1555="نامعتبر"),"","00:00"))</f>
        <v/>
      </c>
      <c r="G1555">
        <f>IF(OR($E1555="",$E1555="نامعتبر"),"",IF(Entry!$E1555="","",LEFT(UPPER(TRIM(Entry!$E1555)),6)))</f>
        <v/>
      </c>
      <c r="H1555">
        <f>IF($G1555="","",RIGHT($E1555,4)&amp;MID($E1555,6,2)&amp;RIGHT($E1555,2)&amp;IF($F1555="","0000",IF($F1555="نامعتبر","9999",LEFT($F1555,2)&amp;RIGHT($F1555,2)))&amp;"|"&amp;RIGHT("00000"&amp;1547,5))</f>
        <v/>
      </c>
      <c r="I1555">
        <f>IF($H1555="","",COUNTIFS(CalcBank,$G1555,CalcKey,"&lt;"&amp;$H1555)+1)</f>
        <v/>
      </c>
      <c r="J1555">
        <f>IF($I1555="","",$G1555&amp;"|"&amp;RIGHT("000000"&amp;$I1555,6))</f>
        <v/>
      </c>
      <c r="K1555">
        <f>IF(OR($E1555="",$E1555="نامعتبر"),"",LEFT($E1555,4)&amp;"/"&amp;MID($E1555,6,2))</f>
        <v/>
      </c>
      <c r="L1555">
        <f>IF(Entry!$K1555="",0,Entry!$K1555)</f>
        <v/>
      </c>
      <c r="M1555">
        <f>IF(Entry!$L1555="",0,Entry!$L1555)</f>
        <v/>
      </c>
    </row>
    <row r="1556">
      <c r="A1556">
        <f>IF(Entry!$C1556="","",Entry!$C1556)</f>
        <v/>
      </c>
      <c r="B1556">
        <f>IF($A1556="","",IF(ISNUMBER($A1556),IF(AND($A1556&gt;=10000101,$A1556&lt;=99991231),INT($A1556/10000),""),IFERROR(VALUE(TRIM(LEFT($A1556,FIND("/",$A1556)-1))),"")))</f>
        <v/>
      </c>
      <c r="C1556">
        <f>IF(OR($A1556="",$B1556=""),"",IF(ISNUMBER($A1556),INT(MOD($A1556,10000)/100),IFERROR(VALUE(TRIM(LEFT(MID($A1556,FIND("/",$A1556)+1,20),FIND("/",MID($A1556,FIND("/",$A1556)+1,20))-1))),"")))</f>
        <v/>
      </c>
      <c r="D1556">
        <f>IF(OR($A1556="",$B1556=""),"",IF(ISNUMBER($A1556),MOD($A1556,100),IFERROR(VALUE(TRIM(MID(MID($A1556,FIND("/",$A1556)+1,20),FIND("/",MID($A1556,FIND("/",$A1556)+1,20))+1,20))),"")))</f>
        <v/>
      </c>
      <c r="E1556">
        <f>IF($A1556="","",IF(OR($B1556="",$C1556="",$D1556="",$B1556&lt;1300,$B1556&gt;1500,$C1556&lt;1,$C1556&gt;12,$D1556&lt;1,$D1556&gt;31),"نامعتبر",RIGHT("0000"&amp;$B1556,4)&amp;"/"&amp;RIGHT("00"&amp;$C1556,2)&amp;"/"&amp;RIGHT("00"&amp;$D1556,2)))</f>
        <v/>
      </c>
      <c r="F1556">
        <f>IF(Entry!$D1556&lt;&gt;"",IF(AND(ISNUMBER(Entry!$D1556),Entry!$D1556&gt;=0,Entry!$D1556&lt;1),RIGHT("00"&amp;HOUR(Entry!$D1556),2)&amp;":"&amp;RIGHT("00"&amp;MINUTE(Entry!$D1556),2),IFERROR(RIGHT("00"&amp;VALUE(TRIM(LEFT(Entry!$D1556,FIND(":",Entry!$D1556)-1))),2)&amp;":"&amp;RIGHT("00"&amp;VALUE(TRIM(MID(Entry!$D1556,FIND(":",Entry!$D1556)+1,2))),2),"نامعتبر")),IF(OR($E1556="",$E1556="نامعتبر"),"","00:00"))</f>
        <v/>
      </c>
      <c r="G1556">
        <f>IF(OR($E1556="",$E1556="نامعتبر"),"",IF(Entry!$E1556="","",LEFT(UPPER(TRIM(Entry!$E1556)),6)))</f>
        <v/>
      </c>
      <c r="H1556">
        <f>IF($G1556="","",RIGHT($E1556,4)&amp;MID($E1556,6,2)&amp;RIGHT($E1556,2)&amp;IF($F1556="","0000",IF($F1556="نامعتبر","9999",LEFT($F1556,2)&amp;RIGHT($F1556,2)))&amp;"|"&amp;RIGHT("00000"&amp;1548,5))</f>
        <v/>
      </c>
      <c r="I1556">
        <f>IF($H1556="","",COUNTIFS(CalcBank,$G1556,CalcKey,"&lt;"&amp;$H1556)+1)</f>
        <v/>
      </c>
      <c r="J1556">
        <f>IF($I1556="","",$G1556&amp;"|"&amp;RIGHT("000000"&amp;$I1556,6))</f>
        <v/>
      </c>
      <c r="K1556">
        <f>IF(OR($E1556="",$E1556="نامعتبر"),"",LEFT($E1556,4)&amp;"/"&amp;MID($E1556,6,2))</f>
        <v/>
      </c>
      <c r="L1556">
        <f>IF(Entry!$K1556="",0,Entry!$K1556)</f>
        <v/>
      </c>
      <c r="M1556">
        <f>IF(Entry!$L1556="",0,Entry!$L1556)</f>
        <v/>
      </c>
    </row>
    <row r="1557">
      <c r="A1557">
        <f>IF(Entry!$C1557="","",Entry!$C1557)</f>
        <v/>
      </c>
      <c r="B1557">
        <f>IF($A1557="","",IF(ISNUMBER($A1557),IF(AND($A1557&gt;=10000101,$A1557&lt;=99991231),INT($A1557/10000),""),IFERROR(VALUE(TRIM(LEFT($A1557,FIND("/",$A1557)-1))),"")))</f>
        <v/>
      </c>
      <c r="C1557">
        <f>IF(OR($A1557="",$B1557=""),"",IF(ISNUMBER($A1557),INT(MOD($A1557,10000)/100),IFERROR(VALUE(TRIM(LEFT(MID($A1557,FIND("/",$A1557)+1,20),FIND("/",MID($A1557,FIND("/",$A1557)+1,20))-1))),"")))</f>
        <v/>
      </c>
      <c r="D1557">
        <f>IF(OR($A1557="",$B1557=""),"",IF(ISNUMBER($A1557),MOD($A1557,100),IFERROR(VALUE(TRIM(MID(MID($A1557,FIND("/",$A1557)+1,20),FIND("/",MID($A1557,FIND("/",$A1557)+1,20))+1,20))),"")))</f>
        <v/>
      </c>
      <c r="E1557">
        <f>IF($A1557="","",IF(OR($B1557="",$C1557="",$D1557="",$B1557&lt;1300,$B1557&gt;1500,$C1557&lt;1,$C1557&gt;12,$D1557&lt;1,$D1557&gt;31),"نامعتبر",RIGHT("0000"&amp;$B1557,4)&amp;"/"&amp;RIGHT("00"&amp;$C1557,2)&amp;"/"&amp;RIGHT("00"&amp;$D1557,2)))</f>
        <v/>
      </c>
      <c r="F1557">
        <f>IF(Entry!$D1557&lt;&gt;"",IF(AND(ISNUMBER(Entry!$D1557),Entry!$D1557&gt;=0,Entry!$D1557&lt;1),RIGHT("00"&amp;HOUR(Entry!$D1557),2)&amp;":"&amp;RIGHT("00"&amp;MINUTE(Entry!$D1557),2),IFERROR(RIGHT("00"&amp;VALUE(TRIM(LEFT(Entry!$D1557,FIND(":",Entry!$D1557)-1))),2)&amp;":"&amp;RIGHT("00"&amp;VALUE(TRIM(MID(Entry!$D1557,FIND(":",Entry!$D1557)+1,2))),2),"نامعتبر")),IF(OR($E1557="",$E1557="نامعتبر"),"","00:00"))</f>
        <v/>
      </c>
      <c r="G1557">
        <f>IF(OR($E1557="",$E1557="نامعتبر"),"",IF(Entry!$E1557="","",LEFT(UPPER(TRIM(Entry!$E1557)),6)))</f>
        <v/>
      </c>
      <c r="H1557">
        <f>IF($G1557="","",RIGHT($E1557,4)&amp;MID($E1557,6,2)&amp;RIGHT($E1557,2)&amp;IF($F1557="","0000",IF($F1557="نامعتبر","9999",LEFT($F1557,2)&amp;RIGHT($F1557,2)))&amp;"|"&amp;RIGHT("00000"&amp;1549,5))</f>
        <v/>
      </c>
      <c r="I1557">
        <f>IF($H1557="","",COUNTIFS(CalcBank,$G1557,CalcKey,"&lt;"&amp;$H1557)+1)</f>
        <v/>
      </c>
      <c r="J1557">
        <f>IF($I1557="","",$G1557&amp;"|"&amp;RIGHT("000000"&amp;$I1557,6))</f>
        <v/>
      </c>
      <c r="K1557">
        <f>IF(OR($E1557="",$E1557="نامعتبر"),"",LEFT($E1557,4)&amp;"/"&amp;MID($E1557,6,2))</f>
        <v/>
      </c>
      <c r="L1557">
        <f>IF(Entry!$K1557="",0,Entry!$K1557)</f>
        <v/>
      </c>
      <c r="M1557">
        <f>IF(Entry!$L1557="",0,Entry!$L1557)</f>
        <v/>
      </c>
    </row>
    <row r="1558">
      <c r="A1558">
        <f>IF(Entry!$C1558="","",Entry!$C1558)</f>
        <v/>
      </c>
      <c r="B1558">
        <f>IF($A1558="","",IF(ISNUMBER($A1558),IF(AND($A1558&gt;=10000101,$A1558&lt;=99991231),INT($A1558/10000),""),IFERROR(VALUE(TRIM(LEFT($A1558,FIND("/",$A1558)-1))),"")))</f>
        <v/>
      </c>
      <c r="C1558">
        <f>IF(OR($A1558="",$B1558=""),"",IF(ISNUMBER($A1558),INT(MOD($A1558,10000)/100),IFERROR(VALUE(TRIM(LEFT(MID($A1558,FIND("/",$A1558)+1,20),FIND("/",MID($A1558,FIND("/",$A1558)+1,20))-1))),"")))</f>
        <v/>
      </c>
      <c r="D1558">
        <f>IF(OR($A1558="",$B1558=""),"",IF(ISNUMBER($A1558),MOD($A1558,100),IFERROR(VALUE(TRIM(MID(MID($A1558,FIND("/",$A1558)+1,20),FIND("/",MID($A1558,FIND("/",$A1558)+1,20))+1,20))),"")))</f>
        <v/>
      </c>
      <c r="E1558">
        <f>IF($A1558="","",IF(OR($B1558="",$C1558="",$D1558="",$B1558&lt;1300,$B1558&gt;1500,$C1558&lt;1,$C1558&gt;12,$D1558&lt;1,$D1558&gt;31),"نامعتبر",RIGHT("0000"&amp;$B1558,4)&amp;"/"&amp;RIGHT("00"&amp;$C1558,2)&amp;"/"&amp;RIGHT("00"&amp;$D1558,2)))</f>
        <v/>
      </c>
      <c r="F1558">
        <f>IF(Entry!$D1558&lt;&gt;"",IF(AND(ISNUMBER(Entry!$D1558),Entry!$D1558&gt;=0,Entry!$D1558&lt;1),RIGHT("00"&amp;HOUR(Entry!$D1558),2)&amp;":"&amp;RIGHT("00"&amp;MINUTE(Entry!$D1558),2),IFERROR(RIGHT("00"&amp;VALUE(TRIM(LEFT(Entry!$D1558,FIND(":",Entry!$D1558)-1))),2)&amp;":"&amp;RIGHT("00"&amp;VALUE(TRIM(MID(Entry!$D1558,FIND(":",Entry!$D1558)+1,2))),2),"نامعتبر")),IF(OR($E1558="",$E1558="نامعتبر"),"","00:00"))</f>
        <v/>
      </c>
      <c r="G1558">
        <f>IF(OR($E1558="",$E1558="نامعتبر"),"",IF(Entry!$E1558="","",LEFT(UPPER(TRIM(Entry!$E1558)),6)))</f>
        <v/>
      </c>
      <c r="H1558">
        <f>IF($G1558="","",RIGHT($E1558,4)&amp;MID($E1558,6,2)&amp;RIGHT($E1558,2)&amp;IF($F1558="","0000",IF($F1558="نامعتبر","9999",LEFT($F1558,2)&amp;RIGHT($F1558,2)))&amp;"|"&amp;RIGHT("00000"&amp;1550,5))</f>
        <v/>
      </c>
      <c r="I1558">
        <f>IF($H1558="","",COUNTIFS(CalcBank,$G1558,CalcKey,"&lt;"&amp;$H1558)+1)</f>
        <v/>
      </c>
      <c r="J1558">
        <f>IF($I1558="","",$G1558&amp;"|"&amp;RIGHT("000000"&amp;$I1558,6))</f>
        <v/>
      </c>
      <c r="K1558">
        <f>IF(OR($E1558="",$E1558="نامعتبر"),"",LEFT($E1558,4)&amp;"/"&amp;MID($E1558,6,2))</f>
        <v/>
      </c>
      <c r="L1558">
        <f>IF(Entry!$K1558="",0,Entry!$K1558)</f>
        <v/>
      </c>
      <c r="M1558">
        <f>IF(Entry!$L1558="",0,Entry!$L1558)</f>
        <v/>
      </c>
    </row>
    <row r="1559">
      <c r="A1559">
        <f>IF(Entry!$C1559="","",Entry!$C1559)</f>
        <v/>
      </c>
      <c r="B1559">
        <f>IF($A1559="","",IF(ISNUMBER($A1559),IF(AND($A1559&gt;=10000101,$A1559&lt;=99991231),INT($A1559/10000),""),IFERROR(VALUE(TRIM(LEFT($A1559,FIND("/",$A1559)-1))),"")))</f>
        <v/>
      </c>
      <c r="C1559">
        <f>IF(OR($A1559="",$B1559=""),"",IF(ISNUMBER($A1559),INT(MOD($A1559,10000)/100),IFERROR(VALUE(TRIM(LEFT(MID($A1559,FIND("/",$A1559)+1,20),FIND("/",MID($A1559,FIND("/",$A1559)+1,20))-1))),"")))</f>
        <v/>
      </c>
      <c r="D1559">
        <f>IF(OR($A1559="",$B1559=""),"",IF(ISNUMBER($A1559),MOD($A1559,100),IFERROR(VALUE(TRIM(MID(MID($A1559,FIND("/",$A1559)+1,20),FIND("/",MID($A1559,FIND("/",$A1559)+1,20))+1,20))),"")))</f>
        <v/>
      </c>
      <c r="E1559">
        <f>IF($A1559="","",IF(OR($B1559="",$C1559="",$D1559="",$B1559&lt;1300,$B1559&gt;1500,$C1559&lt;1,$C1559&gt;12,$D1559&lt;1,$D1559&gt;31),"نامعتبر",RIGHT("0000"&amp;$B1559,4)&amp;"/"&amp;RIGHT("00"&amp;$C1559,2)&amp;"/"&amp;RIGHT("00"&amp;$D1559,2)))</f>
        <v/>
      </c>
      <c r="F1559">
        <f>IF(Entry!$D1559&lt;&gt;"",IF(AND(ISNUMBER(Entry!$D1559),Entry!$D1559&gt;=0,Entry!$D1559&lt;1),RIGHT("00"&amp;HOUR(Entry!$D1559),2)&amp;":"&amp;RIGHT("00"&amp;MINUTE(Entry!$D1559),2),IFERROR(RIGHT("00"&amp;VALUE(TRIM(LEFT(Entry!$D1559,FIND(":",Entry!$D1559)-1))),2)&amp;":"&amp;RIGHT("00"&amp;VALUE(TRIM(MID(Entry!$D1559,FIND(":",Entry!$D1559)+1,2))),2),"نامعتبر")),IF(OR($E1559="",$E1559="نامعتبر"),"","00:00"))</f>
        <v/>
      </c>
      <c r="G1559">
        <f>IF(OR($E1559="",$E1559="نامعتبر"),"",IF(Entry!$E1559="","",LEFT(UPPER(TRIM(Entry!$E1559)),6)))</f>
        <v/>
      </c>
      <c r="H1559">
        <f>IF($G1559="","",RIGHT($E1559,4)&amp;MID($E1559,6,2)&amp;RIGHT($E1559,2)&amp;IF($F1559="","0000",IF($F1559="نامعتبر","9999",LEFT($F1559,2)&amp;RIGHT($F1559,2)))&amp;"|"&amp;RIGHT("00000"&amp;1551,5))</f>
        <v/>
      </c>
      <c r="I1559">
        <f>IF($H1559="","",COUNTIFS(CalcBank,$G1559,CalcKey,"&lt;"&amp;$H1559)+1)</f>
        <v/>
      </c>
      <c r="J1559">
        <f>IF($I1559="","",$G1559&amp;"|"&amp;RIGHT("000000"&amp;$I1559,6))</f>
        <v/>
      </c>
      <c r="K1559">
        <f>IF(OR($E1559="",$E1559="نامعتبر"),"",LEFT($E1559,4)&amp;"/"&amp;MID($E1559,6,2))</f>
        <v/>
      </c>
      <c r="L1559">
        <f>IF(Entry!$K1559="",0,Entry!$K1559)</f>
        <v/>
      </c>
      <c r="M1559">
        <f>IF(Entry!$L1559="",0,Entry!$L1559)</f>
        <v/>
      </c>
    </row>
    <row r="1560">
      <c r="A1560">
        <f>IF(Entry!$C1560="","",Entry!$C1560)</f>
        <v/>
      </c>
      <c r="B1560">
        <f>IF($A1560="","",IF(ISNUMBER($A1560),IF(AND($A1560&gt;=10000101,$A1560&lt;=99991231),INT($A1560/10000),""),IFERROR(VALUE(TRIM(LEFT($A1560,FIND("/",$A1560)-1))),"")))</f>
        <v/>
      </c>
      <c r="C1560">
        <f>IF(OR($A1560="",$B1560=""),"",IF(ISNUMBER($A1560),INT(MOD($A1560,10000)/100),IFERROR(VALUE(TRIM(LEFT(MID($A1560,FIND("/",$A1560)+1,20),FIND("/",MID($A1560,FIND("/",$A1560)+1,20))-1))),"")))</f>
        <v/>
      </c>
      <c r="D1560">
        <f>IF(OR($A1560="",$B1560=""),"",IF(ISNUMBER($A1560),MOD($A1560,100),IFERROR(VALUE(TRIM(MID(MID($A1560,FIND("/",$A1560)+1,20),FIND("/",MID($A1560,FIND("/",$A1560)+1,20))+1,20))),"")))</f>
        <v/>
      </c>
      <c r="E1560">
        <f>IF($A1560="","",IF(OR($B1560="",$C1560="",$D1560="",$B1560&lt;1300,$B1560&gt;1500,$C1560&lt;1,$C1560&gt;12,$D1560&lt;1,$D1560&gt;31),"نامعتبر",RIGHT("0000"&amp;$B1560,4)&amp;"/"&amp;RIGHT("00"&amp;$C1560,2)&amp;"/"&amp;RIGHT("00"&amp;$D1560,2)))</f>
        <v/>
      </c>
      <c r="F1560">
        <f>IF(Entry!$D1560&lt;&gt;"",IF(AND(ISNUMBER(Entry!$D1560),Entry!$D1560&gt;=0,Entry!$D1560&lt;1),RIGHT("00"&amp;HOUR(Entry!$D1560),2)&amp;":"&amp;RIGHT("00"&amp;MINUTE(Entry!$D1560),2),IFERROR(RIGHT("00"&amp;VALUE(TRIM(LEFT(Entry!$D1560,FIND(":",Entry!$D1560)-1))),2)&amp;":"&amp;RIGHT("00"&amp;VALUE(TRIM(MID(Entry!$D1560,FIND(":",Entry!$D1560)+1,2))),2),"نامعتبر")),IF(OR($E1560="",$E1560="نامعتبر"),"","00:00"))</f>
        <v/>
      </c>
      <c r="G1560">
        <f>IF(OR($E1560="",$E1560="نامعتبر"),"",IF(Entry!$E1560="","",LEFT(UPPER(TRIM(Entry!$E1560)),6)))</f>
        <v/>
      </c>
      <c r="H1560">
        <f>IF($G1560="","",RIGHT($E1560,4)&amp;MID($E1560,6,2)&amp;RIGHT($E1560,2)&amp;IF($F1560="","0000",IF($F1560="نامعتبر","9999",LEFT($F1560,2)&amp;RIGHT($F1560,2)))&amp;"|"&amp;RIGHT("00000"&amp;1552,5))</f>
        <v/>
      </c>
      <c r="I1560">
        <f>IF($H1560="","",COUNTIFS(CalcBank,$G1560,CalcKey,"&lt;"&amp;$H1560)+1)</f>
        <v/>
      </c>
      <c r="J1560">
        <f>IF($I1560="","",$G1560&amp;"|"&amp;RIGHT("000000"&amp;$I1560,6))</f>
        <v/>
      </c>
      <c r="K1560">
        <f>IF(OR($E1560="",$E1560="نامعتبر"),"",LEFT($E1560,4)&amp;"/"&amp;MID($E1560,6,2))</f>
        <v/>
      </c>
      <c r="L1560">
        <f>IF(Entry!$K1560="",0,Entry!$K1560)</f>
        <v/>
      </c>
      <c r="M1560">
        <f>IF(Entry!$L1560="",0,Entry!$L1560)</f>
        <v/>
      </c>
    </row>
    <row r="1561">
      <c r="A1561">
        <f>IF(Entry!$C1561="","",Entry!$C1561)</f>
        <v/>
      </c>
      <c r="B1561">
        <f>IF($A1561="","",IF(ISNUMBER($A1561),IF(AND($A1561&gt;=10000101,$A1561&lt;=99991231),INT($A1561/10000),""),IFERROR(VALUE(TRIM(LEFT($A1561,FIND("/",$A1561)-1))),"")))</f>
        <v/>
      </c>
      <c r="C1561">
        <f>IF(OR($A1561="",$B1561=""),"",IF(ISNUMBER($A1561),INT(MOD($A1561,10000)/100),IFERROR(VALUE(TRIM(LEFT(MID($A1561,FIND("/",$A1561)+1,20),FIND("/",MID($A1561,FIND("/",$A1561)+1,20))-1))),"")))</f>
        <v/>
      </c>
      <c r="D1561">
        <f>IF(OR($A1561="",$B1561=""),"",IF(ISNUMBER($A1561),MOD($A1561,100),IFERROR(VALUE(TRIM(MID(MID($A1561,FIND("/",$A1561)+1,20),FIND("/",MID($A1561,FIND("/",$A1561)+1,20))+1,20))),"")))</f>
        <v/>
      </c>
      <c r="E1561">
        <f>IF($A1561="","",IF(OR($B1561="",$C1561="",$D1561="",$B1561&lt;1300,$B1561&gt;1500,$C1561&lt;1,$C1561&gt;12,$D1561&lt;1,$D1561&gt;31),"نامعتبر",RIGHT("0000"&amp;$B1561,4)&amp;"/"&amp;RIGHT("00"&amp;$C1561,2)&amp;"/"&amp;RIGHT("00"&amp;$D1561,2)))</f>
        <v/>
      </c>
      <c r="F1561">
        <f>IF(Entry!$D1561&lt;&gt;"",IF(AND(ISNUMBER(Entry!$D1561),Entry!$D1561&gt;=0,Entry!$D1561&lt;1),RIGHT("00"&amp;HOUR(Entry!$D1561),2)&amp;":"&amp;RIGHT("00"&amp;MINUTE(Entry!$D1561),2),IFERROR(RIGHT("00"&amp;VALUE(TRIM(LEFT(Entry!$D1561,FIND(":",Entry!$D1561)-1))),2)&amp;":"&amp;RIGHT("00"&amp;VALUE(TRIM(MID(Entry!$D1561,FIND(":",Entry!$D1561)+1,2))),2),"نامعتبر")),IF(OR($E1561="",$E1561="نامعتبر"),"","00:00"))</f>
        <v/>
      </c>
      <c r="G1561">
        <f>IF(OR($E1561="",$E1561="نامعتبر"),"",IF(Entry!$E1561="","",LEFT(UPPER(TRIM(Entry!$E1561)),6)))</f>
        <v/>
      </c>
      <c r="H1561">
        <f>IF($G1561="","",RIGHT($E1561,4)&amp;MID($E1561,6,2)&amp;RIGHT($E1561,2)&amp;IF($F1561="","0000",IF($F1561="نامعتبر","9999",LEFT($F1561,2)&amp;RIGHT($F1561,2)))&amp;"|"&amp;RIGHT("00000"&amp;1553,5))</f>
        <v/>
      </c>
      <c r="I1561">
        <f>IF($H1561="","",COUNTIFS(CalcBank,$G1561,CalcKey,"&lt;"&amp;$H1561)+1)</f>
        <v/>
      </c>
      <c r="J1561">
        <f>IF($I1561="","",$G1561&amp;"|"&amp;RIGHT("000000"&amp;$I1561,6))</f>
        <v/>
      </c>
      <c r="K1561">
        <f>IF(OR($E1561="",$E1561="نامعتبر"),"",LEFT($E1561,4)&amp;"/"&amp;MID($E1561,6,2))</f>
        <v/>
      </c>
      <c r="L1561">
        <f>IF(Entry!$K1561="",0,Entry!$K1561)</f>
        <v/>
      </c>
      <c r="M1561">
        <f>IF(Entry!$L1561="",0,Entry!$L1561)</f>
        <v/>
      </c>
    </row>
    <row r="1562">
      <c r="A1562">
        <f>IF(Entry!$C1562="","",Entry!$C1562)</f>
        <v/>
      </c>
      <c r="B1562">
        <f>IF($A1562="","",IF(ISNUMBER($A1562),IF(AND($A1562&gt;=10000101,$A1562&lt;=99991231),INT($A1562/10000),""),IFERROR(VALUE(TRIM(LEFT($A1562,FIND("/",$A1562)-1))),"")))</f>
        <v/>
      </c>
      <c r="C1562">
        <f>IF(OR($A1562="",$B1562=""),"",IF(ISNUMBER($A1562),INT(MOD($A1562,10000)/100),IFERROR(VALUE(TRIM(LEFT(MID($A1562,FIND("/",$A1562)+1,20),FIND("/",MID($A1562,FIND("/",$A1562)+1,20))-1))),"")))</f>
        <v/>
      </c>
      <c r="D1562">
        <f>IF(OR($A1562="",$B1562=""),"",IF(ISNUMBER($A1562),MOD($A1562,100),IFERROR(VALUE(TRIM(MID(MID($A1562,FIND("/",$A1562)+1,20),FIND("/",MID($A1562,FIND("/",$A1562)+1,20))+1,20))),"")))</f>
        <v/>
      </c>
      <c r="E1562">
        <f>IF($A1562="","",IF(OR($B1562="",$C1562="",$D1562="",$B1562&lt;1300,$B1562&gt;1500,$C1562&lt;1,$C1562&gt;12,$D1562&lt;1,$D1562&gt;31),"نامعتبر",RIGHT("0000"&amp;$B1562,4)&amp;"/"&amp;RIGHT("00"&amp;$C1562,2)&amp;"/"&amp;RIGHT("00"&amp;$D1562,2)))</f>
        <v/>
      </c>
      <c r="F1562">
        <f>IF(Entry!$D1562&lt;&gt;"",IF(AND(ISNUMBER(Entry!$D1562),Entry!$D1562&gt;=0,Entry!$D1562&lt;1),RIGHT("00"&amp;HOUR(Entry!$D1562),2)&amp;":"&amp;RIGHT("00"&amp;MINUTE(Entry!$D1562),2),IFERROR(RIGHT("00"&amp;VALUE(TRIM(LEFT(Entry!$D1562,FIND(":",Entry!$D1562)-1))),2)&amp;":"&amp;RIGHT("00"&amp;VALUE(TRIM(MID(Entry!$D1562,FIND(":",Entry!$D1562)+1,2))),2),"نامعتبر")),IF(OR($E1562="",$E1562="نامعتبر"),"","00:00"))</f>
        <v/>
      </c>
      <c r="G1562">
        <f>IF(OR($E1562="",$E1562="نامعتبر"),"",IF(Entry!$E1562="","",LEFT(UPPER(TRIM(Entry!$E1562)),6)))</f>
        <v/>
      </c>
      <c r="H1562">
        <f>IF($G1562="","",RIGHT($E1562,4)&amp;MID($E1562,6,2)&amp;RIGHT($E1562,2)&amp;IF($F1562="","0000",IF($F1562="نامعتبر","9999",LEFT($F1562,2)&amp;RIGHT($F1562,2)))&amp;"|"&amp;RIGHT("00000"&amp;1554,5))</f>
        <v/>
      </c>
      <c r="I1562">
        <f>IF($H1562="","",COUNTIFS(CalcBank,$G1562,CalcKey,"&lt;"&amp;$H1562)+1)</f>
        <v/>
      </c>
      <c r="J1562">
        <f>IF($I1562="","",$G1562&amp;"|"&amp;RIGHT("000000"&amp;$I1562,6))</f>
        <v/>
      </c>
      <c r="K1562">
        <f>IF(OR($E1562="",$E1562="نامعتبر"),"",LEFT($E1562,4)&amp;"/"&amp;MID($E1562,6,2))</f>
        <v/>
      </c>
      <c r="L1562">
        <f>IF(Entry!$K1562="",0,Entry!$K1562)</f>
        <v/>
      </c>
      <c r="M1562">
        <f>IF(Entry!$L1562="",0,Entry!$L1562)</f>
        <v/>
      </c>
    </row>
    <row r="1563">
      <c r="A1563">
        <f>IF(Entry!$C1563="","",Entry!$C1563)</f>
        <v/>
      </c>
      <c r="B1563">
        <f>IF($A1563="","",IF(ISNUMBER($A1563),IF(AND($A1563&gt;=10000101,$A1563&lt;=99991231),INT($A1563/10000),""),IFERROR(VALUE(TRIM(LEFT($A1563,FIND("/",$A1563)-1))),"")))</f>
        <v/>
      </c>
      <c r="C1563">
        <f>IF(OR($A1563="",$B1563=""),"",IF(ISNUMBER($A1563),INT(MOD($A1563,10000)/100),IFERROR(VALUE(TRIM(LEFT(MID($A1563,FIND("/",$A1563)+1,20),FIND("/",MID($A1563,FIND("/",$A1563)+1,20))-1))),"")))</f>
        <v/>
      </c>
      <c r="D1563">
        <f>IF(OR($A1563="",$B1563=""),"",IF(ISNUMBER($A1563),MOD($A1563,100),IFERROR(VALUE(TRIM(MID(MID($A1563,FIND("/",$A1563)+1,20),FIND("/",MID($A1563,FIND("/",$A1563)+1,20))+1,20))),"")))</f>
        <v/>
      </c>
      <c r="E1563">
        <f>IF($A1563="","",IF(OR($B1563="",$C1563="",$D1563="",$B1563&lt;1300,$B1563&gt;1500,$C1563&lt;1,$C1563&gt;12,$D1563&lt;1,$D1563&gt;31),"نامعتبر",RIGHT("0000"&amp;$B1563,4)&amp;"/"&amp;RIGHT("00"&amp;$C1563,2)&amp;"/"&amp;RIGHT("00"&amp;$D1563,2)))</f>
        <v/>
      </c>
      <c r="F1563">
        <f>IF(Entry!$D1563&lt;&gt;"",IF(AND(ISNUMBER(Entry!$D1563),Entry!$D1563&gt;=0,Entry!$D1563&lt;1),RIGHT("00"&amp;HOUR(Entry!$D1563),2)&amp;":"&amp;RIGHT("00"&amp;MINUTE(Entry!$D1563),2),IFERROR(RIGHT("00"&amp;VALUE(TRIM(LEFT(Entry!$D1563,FIND(":",Entry!$D1563)-1))),2)&amp;":"&amp;RIGHT("00"&amp;VALUE(TRIM(MID(Entry!$D1563,FIND(":",Entry!$D1563)+1,2))),2),"نامعتبر")),IF(OR($E1563="",$E1563="نامعتبر"),"","00:00"))</f>
        <v/>
      </c>
      <c r="G1563">
        <f>IF(OR($E1563="",$E1563="نامعتبر"),"",IF(Entry!$E1563="","",LEFT(UPPER(TRIM(Entry!$E1563)),6)))</f>
        <v/>
      </c>
      <c r="H1563">
        <f>IF($G1563="","",RIGHT($E1563,4)&amp;MID($E1563,6,2)&amp;RIGHT($E1563,2)&amp;IF($F1563="","0000",IF($F1563="نامعتبر","9999",LEFT($F1563,2)&amp;RIGHT($F1563,2)))&amp;"|"&amp;RIGHT("00000"&amp;1555,5))</f>
        <v/>
      </c>
      <c r="I1563">
        <f>IF($H1563="","",COUNTIFS(CalcBank,$G1563,CalcKey,"&lt;"&amp;$H1563)+1)</f>
        <v/>
      </c>
      <c r="J1563">
        <f>IF($I1563="","",$G1563&amp;"|"&amp;RIGHT("000000"&amp;$I1563,6))</f>
        <v/>
      </c>
      <c r="K1563">
        <f>IF(OR($E1563="",$E1563="نامعتبر"),"",LEFT($E1563,4)&amp;"/"&amp;MID($E1563,6,2))</f>
        <v/>
      </c>
      <c r="L1563">
        <f>IF(Entry!$K1563="",0,Entry!$K1563)</f>
        <v/>
      </c>
      <c r="M1563">
        <f>IF(Entry!$L1563="",0,Entry!$L1563)</f>
        <v/>
      </c>
    </row>
    <row r="1564">
      <c r="A1564">
        <f>IF(Entry!$C1564="","",Entry!$C1564)</f>
        <v/>
      </c>
      <c r="B1564">
        <f>IF($A1564="","",IF(ISNUMBER($A1564),IF(AND($A1564&gt;=10000101,$A1564&lt;=99991231),INT($A1564/10000),""),IFERROR(VALUE(TRIM(LEFT($A1564,FIND("/",$A1564)-1))),"")))</f>
        <v/>
      </c>
      <c r="C1564">
        <f>IF(OR($A1564="",$B1564=""),"",IF(ISNUMBER($A1564),INT(MOD($A1564,10000)/100),IFERROR(VALUE(TRIM(LEFT(MID($A1564,FIND("/",$A1564)+1,20),FIND("/",MID($A1564,FIND("/",$A1564)+1,20))-1))),"")))</f>
        <v/>
      </c>
      <c r="D1564">
        <f>IF(OR($A1564="",$B1564=""),"",IF(ISNUMBER($A1564),MOD($A1564,100),IFERROR(VALUE(TRIM(MID(MID($A1564,FIND("/",$A1564)+1,20),FIND("/",MID($A1564,FIND("/",$A1564)+1,20))+1,20))),"")))</f>
        <v/>
      </c>
      <c r="E1564">
        <f>IF($A1564="","",IF(OR($B1564="",$C1564="",$D1564="",$B1564&lt;1300,$B1564&gt;1500,$C1564&lt;1,$C1564&gt;12,$D1564&lt;1,$D1564&gt;31),"نامعتبر",RIGHT("0000"&amp;$B1564,4)&amp;"/"&amp;RIGHT("00"&amp;$C1564,2)&amp;"/"&amp;RIGHT("00"&amp;$D1564,2)))</f>
        <v/>
      </c>
      <c r="F1564">
        <f>IF(Entry!$D1564&lt;&gt;"",IF(AND(ISNUMBER(Entry!$D1564),Entry!$D1564&gt;=0,Entry!$D1564&lt;1),RIGHT("00"&amp;HOUR(Entry!$D1564),2)&amp;":"&amp;RIGHT("00"&amp;MINUTE(Entry!$D1564),2),IFERROR(RIGHT("00"&amp;VALUE(TRIM(LEFT(Entry!$D1564,FIND(":",Entry!$D1564)-1))),2)&amp;":"&amp;RIGHT("00"&amp;VALUE(TRIM(MID(Entry!$D1564,FIND(":",Entry!$D1564)+1,2))),2),"نامعتبر")),IF(OR($E1564="",$E1564="نامعتبر"),"","00:00"))</f>
        <v/>
      </c>
      <c r="G1564">
        <f>IF(OR($E1564="",$E1564="نامعتبر"),"",IF(Entry!$E1564="","",LEFT(UPPER(TRIM(Entry!$E1564)),6)))</f>
        <v/>
      </c>
      <c r="H1564">
        <f>IF($G1564="","",RIGHT($E1564,4)&amp;MID($E1564,6,2)&amp;RIGHT($E1564,2)&amp;IF($F1564="","0000",IF($F1564="نامعتبر","9999",LEFT($F1564,2)&amp;RIGHT($F1564,2)))&amp;"|"&amp;RIGHT("00000"&amp;1556,5))</f>
        <v/>
      </c>
      <c r="I1564">
        <f>IF($H1564="","",COUNTIFS(CalcBank,$G1564,CalcKey,"&lt;"&amp;$H1564)+1)</f>
        <v/>
      </c>
      <c r="J1564">
        <f>IF($I1564="","",$G1564&amp;"|"&amp;RIGHT("000000"&amp;$I1564,6))</f>
        <v/>
      </c>
      <c r="K1564">
        <f>IF(OR($E1564="",$E1564="نامعتبر"),"",LEFT($E1564,4)&amp;"/"&amp;MID($E1564,6,2))</f>
        <v/>
      </c>
      <c r="L1564">
        <f>IF(Entry!$K1564="",0,Entry!$K1564)</f>
        <v/>
      </c>
      <c r="M1564">
        <f>IF(Entry!$L1564="",0,Entry!$L1564)</f>
        <v/>
      </c>
    </row>
    <row r="1565">
      <c r="A1565">
        <f>IF(Entry!$C1565="","",Entry!$C1565)</f>
        <v/>
      </c>
      <c r="B1565">
        <f>IF($A1565="","",IF(ISNUMBER($A1565),IF(AND($A1565&gt;=10000101,$A1565&lt;=99991231),INT($A1565/10000),""),IFERROR(VALUE(TRIM(LEFT($A1565,FIND("/",$A1565)-1))),"")))</f>
        <v/>
      </c>
      <c r="C1565">
        <f>IF(OR($A1565="",$B1565=""),"",IF(ISNUMBER($A1565),INT(MOD($A1565,10000)/100),IFERROR(VALUE(TRIM(LEFT(MID($A1565,FIND("/",$A1565)+1,20),FIND("/",MID($A1565,FIND("/",$A1565)+1,20))-1))),"")))</f>
        <v/>
      </c>
      <c r="D1565">
        <f>IF(OR($A1565="",$B1565=""),"",IF(ISNUMBER($A1565),MOD($A1565,100),IFERROR(VALUE(TRIM(MID(MID($A1565,FIND("/",$A1565)+1,20),FIND("/",MID($A1565,FIND("/",$A1565)+1,20))+1,20))),"")))</f>
        <v/>
      </c>
      <c r="E1565">
        <f>IF($A1565="","",IF(OR($B1565="",$C1565="",$D1565="",$B1565&lt;1300,$B1565&gt;1500,$C1565&lt;1,$C1565&gt;12,$D1565&lt;1,$D1565&gt;31),"نامعتبر",RIGHT("0000"&amp;$B1565,4)&amp;"/"&amp;RIGHT("00"&amp;$C1565,2)&amp;"/"&amp;RIGHT("00"&amp;$D1565,2)))</f>
        <v/>
      </c>
      <c r="F1565">
        <f>IF(Entry!$D1565&lt;&gt;"",IF(AND(ISNUMBER(Entry!$D1565),Entry!$D1565&gt;=0,Entry!$D1565&lt;1),RIGHT("00"&amp;HOUR(Entry!$D1565),2)&amp;":"&amp;RIGHT("00"&amp;MINUTE(Entry!$D1565),2),IFERROR(RIGHT("00"&amp;VALUE(TRIM(LEFT(Entry!$D1565,FIND(":",Entry!$D1565)-1))),2)&amp;":"&amp;RIGHT("00"&amp;VALUE(TRIM(MID(Entry!$D1565,FIND(":",Entry!$D1565)+1,2))),2),"نامعتبر")),IF(OR($E1565="",$E1565="نامعتبر"),"","00:00"))</f>
        <v/>
      </c>
      <c r="G1565">
        <f>IF(OR($E1565="",$E1565="نامعتبر"),"",IF(Entry!$E1565="","",LEFT(UPPER(TRIM(Entry!$E1565)),6)))</f>
        <v/>
      </c>
      <c r="H1565">
        <f>IF($G1565="","",RIGHT($E1565,4)&amp;MID($E1565,6,2)&amp;RIGHT($E1565,2)&amp;IF($F1565="","0000",IF($F1565="نامعتبر","9999",LEFT($F1565,2)&amp;RIGHT($F1565,2)))&amp;"|"&amp;RIGHT("00000"&amp;1557,5))</f>
        <v/>
      </c>
      <c r="I1565">
        <f>IF($H1565="","",COUNTIFS(CalcBank,$G1565,CalcKey,"&lt;"&amp;$H1565)+1)</f>
        <v/>
      </c>
      <c r="J1565">
        <f>IF($I1565="","",$G1565&amp;"|"&amp;RIGHT("000000"&amp;$I1565,6))</f>
        <v/>
      </c>
      <c r="K1565">
        <f>IF(OR($E1565="",$E1565="نامعتبر"),"",LEFT($E1565,4)&amp;"/"&amp;MID($E1565,6,2))</f>
        <v/>
      </c>
      <c r="L1565">
        <f>IF(Entry!$K1565="",0,Entry!$K1565)</f>
        <v/>
      </c>
      <c r="M1565">
        <f>IF(Entry!$L1565="",0,Entry!$L1565)</f>
        <v/>
      </c>
    </row>
    <row r="1566">
      <c r="A1566">
        <f>IF(Entry!$C1566="","",Entry!$C1566)</f>
        <v/>
      </c>
      <c r="B1566">
        <f>IF($A1566="","",IF(ISNUMBER($A1566),IF(AND($A1566&gt;=10000101,$A1566&lt;=99991231),INT($A1566/10000),""),IFERROR(VALUE(TRIM(LEFT($A1566,FIND("/",$A1566)-1))),"")))</f>
        <v/>
      </c>
      <c r="C1566">
        <f>IF(OR($A1566="",$B1566=""),"",IF(ISNUMBER($A1566),INT(MOD($A1566,10000)/100),IFERROR(VALUE(TRIM(LEFT(MID($A1566,FIND("/",$A1566)+1,20),FIND("/",MID($A1566,FIND("/",$A1566)+1,20))-1))),"")))</f>
        <v/>
      </c>
      <c r="D1566">
        <f>IF(OR($A1566="",$B1566=""),"",IF(ISNUMBER($A1566),MOD($A1566,100),IFERROR(VALUE(TRIM(MID(MID($A1566,FIND("/",$A1566)+1,20),FIND("/",MID($A1566,FIND("/",$A1566)+1,20))+1,20))),"")))</f>
        <v/>
      </c>
      <c r="E1566">
        <f>IF($A1566="","",IF(OR($B1566="",$C1566="",$D1566="",$B1566&lt;1300,$B1566&gt;1500,$C1566&lt;1,$C1566&gt;12,$D1566&lt;1,$D1566&gt;31),"نامعتبر",RIGHT("0000"&amp;$B1566,4)&amp;"/"&amp;RIGHT("00"&amp;$C1566,2)&amp;"/"&amp;RIGHT("00"&amp;$D1566,2)))</f>
        <v/>
      </c>
      <c r="F1566">
        <f>IF(Entry!$D1566&lt;&gt;"",IF(AND(ISNUMBER(Entry!$D1566),Entry!$D1566&gt;=0,Entry!$D1566&lt;1),RIGHT("00"&amp;HOUR(Entry!$D1566),2)&amp;":"&amp;RIGHT("00"&amp;MINUTE(Entry!$D1566),2),IFERROR(RIGHT("00"&amp;VALUE(TRIM(LEFT(Entry!$D1566,FIND(":",Entry!$D1566)-1))),2)&amp;":"&amp;RIGHT("00"&amp;VALUE(TRIM(MID(Entry!$D1566,FIND(":",Entry!$D1566)+1,2))),2),"نامعتبر")),IF(OR($E1566="",$E1566="نامعتبر"),"","00:00"))</f>
        <v/>
      </c>
      <c r="G1566">
        <f>IF(OR($E1566="",$E1566="نامعتبر"),"",IF(Entry!$E1566="","",LEFT(UPPER(TRIM(Entry!$E1566)),6)))</f>
        <v/>
      </c>
      <c r="H1566">
        <f>IF($G1566="","",RIGHT($E1566,4)&amp;MID($E1566,6,2)&amp;RIGHT($E1566,2)&amp;IF($F1566="","0000",IF($F1566="نامعتبر","9999",LEFT($F1566,2)&amp;RIGHT($F1566,2)))&amp;"|"&amp;RIGHT("00000"&amp;1558,5))</f>
        <v/>
      </c>
      <c r="I1566">
        <f>IF($H1566="","",COUNTIFS(CalcBank,$G1566,CalcKey,"&lt;"&amp;$H1566)+1)</f>
        <v/>
      </c>
      <c r="J1566">
        <f>IF($I1566="","",$G1566&amp;"|"&amp;RIGHT("000000"&amp;$I1566,6))</f>
        <v/>
      </c>
      <c r="K1566">
        <f>IF(OR($E1566="",$E1566="نامعتبر"),"",LEFT($E1566,4)&amp;"/"&amp;MID($E1566,6,2))</f>
        <v/>
      </c>
      <c r="L1566">
        <f>IF(Entry!$K1566="",0,Entry!$K1566)</f>
        <v/>
      </c>
      <c r="M1566">
        <f>IF(Entry!$L1566="",0,Entry!$L1566)</f>
        <v/>
      </c>
    </row>
    <row r="1567">
      <c r="A1567">
        <f>IF(Entry!$C1567="","",Entry!$C1567)</f>
        <v/>
      </c>
      <c r="B1567">
        <f>IF($A1567="","",IF(ISNUMBER($A1567),IF(AND($A1567&gt;=10000101,$A1567&lt;=99991231),INT($A1567/10000),""),IFERROR(VALUE(TRIM(LEFT($A1567,FIND("/",$A1567)-1))),"")))</f>
        <v/>
      </c>
      <c r="C1567">
        <f>IF(OR($A1567="",$B1567=""),"",IF(ISNUMBER($A1567),INT(MOD($A1567,10000)/100),IFERROR(VALUE(TRIM(LEFT(MID($A1567,FIND("/",$A1567)+1,20),FIND("/",MID($A1567,FIND("/",$A1567)+1,20))-1))),"")))</f>
        <v/>
      </c>
      <c r="D1567">
        <f>IF(OR($A1567="",$B1567=""),"",IF(ISNUMBER($A1567),MOD($A1567,100),IFERROR(VALUE(TRIM(MID(MID($A1567,FIND("/",$A1567)+1,20),FIND("/",MID($A1567,FIND("/",$A1567)+1,20))+1,20))),"")))</f>
        <v/>
      </c>
      <c r="E1567">
        <f>IF($A1567="","",IF(OR($B1567="",$C1567="",$D1567="",$B1567&lt;1300,$B1567&gt;1500,$C1567&lt;1,$C1567&gt;12,$D1567&lt;1,$D1567&gt;31),"نامعتبر",RIGHT("0000"&amp;$B1567,4)&amp;"/"&amp;RIGHT("00"&amp;$C1567,2)&amp;"/"&amp;RIGHT("00"&amp;$D1567,2)))</f>
        <v/>
      </c>
      <c r="F1567">
        <f>IF(Entry!$D1567&lt;&gt;"",IF(AND(ISNUMBER(Entry!$D1567),Entry!$D1567&gt;=0,Entry!$D1567&lt;1),RIGHT("00"&amp;HOUR(Entry!$D1567),2)&amp;":"&amp;RIGHT("00"&amp;MINUTE(Entry!$D1567),2),IFERROR(RIGHT("00"&amp;VALUE(TRIM(LEFT(Entry!$D1567,FIND(":",Entry!$D1567)-1))),2)&amp;":"&amp;RIGHT("00"&amp;VALUE(TRIM(MID(Entry!$D1567,FIND(":",Entry!$D1567)+1,2))),2),"نامعتبر")),IF(OR($E1567="",$E1567="نامعتبر"),"","00:00"))</f>
        <v/>
      </c>
      <c r="G1567">
        <f>IF(OR($E1567="",$E1567="نامعتبر"),"",IF(Entry!$E1567="","",LEFT(UPPER(TRIM(Entry!$E1567)),6)))</f>
        <v/>
      </c>
      <c r="H1567">
        <f>IF($G1567="","",RIGHT($E1567,4)&amp;MID($E1567,6,2)&amp;RIGHT($E1567,2)&amp;IF($F1567="","0000",IF($F1567="نامعتبر","9999",LEFT($F1567,2)&amp;RIGHT($F1567,2)))&amp;"|"&amp;RIGHT("00000"&amp;1559,5))</f>
        <v/>
      </c>
      <c r="I1567">
        <f>IF($H1567="","",COUNTIFS(CalcBank,$G1567,CalcKey,"&lt;"&amp;$H1567)+1)</f>
        <v/>
      </c>
      <c r="J1567">
        <f>IF($I1567="","",$G1567&amp;"|"&amp;RIGHT("000000"&amp;$I1567,6))</f>
        <v/>
      </c>
      <c r="K1567">
        <f>IF(OR($E1567="",$E1567="نامعتبر"),"",LEFT($E1567,4)&amp;"/"&amp;MID($E1567,6,2))</f>
        <v/>
      </c>
      <c r="L1567">
        <f>IF(Entry!$K1567="",0,Entry!$K1567)</f>
        <v/>
      </c>
      <c r="M1567">
        <f>IF(Entry!$L1567="",0,Entry!$L1567)</f>
        <v/>
      </c>
    </row>
    <row r="1568">
      <c r="A1568">
        <f>IF(Entry!$C1568="","",Entry!$C1568)</f>
        <v/>
      </c>
      <c r="B1568">
        <f>IF($A1568="","",IF(ISNUMBER($A1568),IF(AND($A1568&gt;=10000101,$A1568&lt;=99991231),INT($A1568/10000),""),IFERROR(VALUE(TRIM(LEFT($A1568,FIND("/",$A1568)-1))),"")))</f>
        <v/>
      </c>
      <c r="C1568">
        <f>IF(OR($A1568="",$B1568=""),"",IF(ISNUMBER($A1568),INT(MOD($A1568,10000)/100),IFERROR(VALUE(TRIM(LEFT(MID($A1568,FIND("/",$A1568)+1,20),FIND("/",MID($A1568,FIND("/",$A1568)+1,20))-1))),"")))</f>
        <v/>
      </c>
      <c r="D1568">
        <f>IF(OR($A1568="",$B1568=""),"",IF(ISNUMBER($A1568),MOD($A1568,100),IFERROR(VALUE(TRIM(MID(MID($A1568,FIND("/",$A1568)+1,20),FIND("/",MID($A1568,FIND("/",$A1568)+1,20))+1,20))),"")))</f>
        <v/>
      </c>
      <c r="E1568">
        <f>IF($A1568="","",IF(OR($B1568="",$C1568="",$D1568="",$B1568&lt;1300,$B1568&gt;1500,$C1568&lt;1,$C1568&gt;12,$D1568&lt;1,$D1568&gt;31),"نامعتبر",RIGHT("0000"&amp;$B1568,4)&amp;"/"&amp;RIGHT("00"&amp;$C1568,2)&amp;"/"&amp;RIGHT("00"&amp;$D1568,2)))</f>
        <v/>
      </c>
      <c r="F1568">
        <f>IF(Entry!$D1568&lt;&gt;"",IF(AND(ISNUMBER(Entry!$D1568),Entry!$D1568&gt;=0,Entry!$D1568&lt;1),RIGHT("00"&amp;HOUR(Entry!$D1568),2)&amp;":"&amp;RIGHT("00"&amp;MINUTE(Entry!$D1568),2),IFERROR(RIGHT("00"&amp;VALUE(TRIM(LEFT(Entry!$D1568,FIND(":",Entry!$D1568)-1))),2)&amp;":"&amp;RIGHT("00"&amp;VALUE(TRIM(MID(Entry!$D1568,FIND(":",Entry!$D1568)+1,2))),2),"نامعتبر")),IF(OR($E1568="",$E1568="نامعتبر"),"","00:00"))</f>
        <v/>
      </c>
      <c r="G1568">
        <f>IF(OR($E1568="",$E1568="نامعتبر"),"",IF(Entry!$E1568="","",LEFT(UPPER(TRIM(Entry!$E1568)),6)))</f>
        <v/>
      </c>
      <c r="H1568">
        <f>IF($G1568="","",RIGHT($E1568,4)&amp;MID($E1568,6,2)&amp;RIGHT($E1568,2)&amp;IF($F1568="","0000",IF($F1568="نامعتبر","9999",LEFT($F1568,2)&amp;RIGHT($F1568,2)))&amp;"|"&amp;RIGHT("00000"&amp;1560,5))</f>
        <v/>
      </c>
      <c r="I1568">
        <f>IF($H1568="","",COUNTIFS(CalcBank,$G1568,CalcKey,"&lt;"&amp;$H1568)+1)</f>
        <v/>
      </c>
      <c r="J1568">
        <f>IF($I1568="","",$G1568&amp;"|"&amp;RIGHT("000000"&amp;$I1568,6))</f>
        <v/>
      </c>
      <c r="K1568">
        <f>IF(OR($E1568="",$E1568="نامعتبر"),"",LEFT($E1568,4)&amp;"/"&amp;MID($E1568,6,2))</f>
        <v/>
      </c>
      <c r="L1568">
        <f>IF(Entry!$K1568="",0,Entry!$K1568)</f>
        <v/>
      </c>
      <c r="M1568">
        <f>IF(Entry!$L1568="",0,Entry!$L1568)</f>
        <v/>
      </c>
    </row>
    <row r="1569">
      <c r="A1569">
        <f>IF(Entry!$C1569="","",Entry!$C1569)</f>
        <v/>
      </c>
      <c r="B1569">
        <f>IF($A1569="","",IF(ISNUMBER($A1569),IF(AND($A1569&gt;=10000101,$A1569&lt;=99991231),INT($A1569/10000),""),IFERROR(VALUE(TRIM(LEFT($A1569,FIND("/",$A1569)-1))),"")))</f>
        <v/>
      </c>
      <c r="C1569">
        <f>IF(OR($A1569="",$B1569=""),"",IF(ISNUMBER($A1569),INT(MOD($A1569,10000)/100),IFERROR(VALUE(TRIM(LEFT(MID($A1569,FIND("/",$A1569)+1,20),FIND("/",MID($A1569,FIND("/",$A1569)+1,20))-1))),"")))</f>
        <v/>
      </c>
      <c r="D1569">
        <f>IF(OR($A1569="",$B1569=""),"",IF(ISNUMBER($A1569),MOD($A1569,100),IFERROR(VALUE(TRIM(MID(MID($A1569,FIND("/",$A1569)+1,20),FIND("/",MID($A1569,FIND("/",$A1569)+1,20))+1,20))),"")))</f>
        <v/>
      </c>
      <c r="E1569">
        <f>IF($A1569="","",IF(OR($B1569="",$C1569="",$D1569="",$B1569&lt;1300,$B1569&gt;1500,$C1569&lt;1,$C1569&gt;12,$D1569&lt;1,$D1569&gt;31),"نامعتبر",RIGHT("0000"&amp;$B1569,4)&amp;"/"&amp;RIGHT("00"&amp;$C1569,2)&amp;"/"&amp;RIGHT("00"&amp;$D1569,2)))</f>
        <v/>
      </c>
      <c r="F1569">
        <f>IF(Entry!$D1569&lt;&gt;"",IF(AND(ISNUMBER(Entry!$D1569),Entry!$D1569&gt;=0,Entry!$D1569&lt;1),RIGHT("00"&amp;HOUR(Entry!$D1569),2)&amp;":"&amp;RIGHT("00"&amp;MINUTE(Entry!$D1569),2),IFERROR(RIGHT("00"&amp;VALUE(TRIM(LEFT(Entry!$D1569,FIND(":",Entry!$D1569)-1))),2)&amp;":"&amp;RIGHT("00"&amp;VALUE(TRIM(MID(Entry!$D1569,FIND(":",Entry!$D1569)+1,2))),2),"نامعتبر")),IF(OR($E1569="",$E1569="نامعتبر"),"","00:00"))</f>
        <v/>
      </c>
      <c r="G1569">
        <f>IF(OR($E1569="",$E1569="نامعتبر"),"",IF(Entry!$E1569="","",LEFT(UPPER(TRIM(Entry!$E1569)),6)))</f>
        <v/>
      </c>
      <c r="H1569">
        <f>IF($G1569="","",RIGHT($E1569,4)&amp;MID($E1569,6,2)&amp;RIGHT($E1569,2)&amp;IF($F1569="","0000",IF($F1569="نامعتبر","9999",LEFT($F1569,2)&amp;RIGHT($F1569,2)))&amp;"|"&amp;RIGHT("00000"&amp;1561,5))</f>
        <v/>
      </c>
      <c r="I1569">
        <f>IF($H1569="","",COUNTIFS(CalcBank,$G1569,CalcKey,"&lt;"&amp;$H1569)+1)</f>
        <v/>
      </c>
      <c r="J1569">
        <f>IF($I1569="","",$G1569&amp;"|"&amp;RIGHT("000000"&amp;$I1569,6))</f>
        <v/>
      </c>
      <c r="K1569">
        <f>IF(OR($E1569="",$E1569="نامعتبر"),"",LEFT($E1569,4)&amp;"/"&amp;MID($E1569,6,2))</f>
        <v/>
      </c>
      <c r="L1569">
        <f>IF(Entry!$K1569="",0,Entry!$K1569)</f>
        <v/>
      </c>
      <c r="M1569">
        <f>IF(Entry!$L1569="",0,Entry!$L1569)</f>
        <v/>
      </c>
    </row>
    <row r="1570">
      <c r="A1570">
        <f>IF(Entry!$C1570="","",Entry!$C1570)</f>
        <v/>
      </c>
      <c r="B1570">
        <f>IF($A1570="","",IF(ISNUMBER($A1570),IF(AND($A1570&gt;=10000101,$A1570&lt;=99991231),INT($A1570/10000),""),IFERROR(VALUE(TRIM(LEFT($A1570,FIND("/",$A1570)-1))),"")))</f>
        <v/>
      </c>
      <c r="C1570">
        <f>IF(OR($A1570="",$B1570=""),"",IF(ISNUMBER($A1570),INT(MOD($A1570,10000)/100),IFERROR(VALUE(TRIM(LEFT(MID($A1570,FIND("/",$A1570)+1,20),FIND("/",MID($A1570,FIND("/",$A1570)+1,20))-1))),"")))</f>
        <v/>
      </c>
      <c r="D1570">
        <f>IF(OR($A1570="",$B1570=""),"",IF(ISNUMBER($A1570),MOD($A1570,100),IFERROR(VALUE(TRIM(MID(MID($A1570,FIND("/",$A1570)+1,20),FIND("/",MID($A1570,FIND("/",$A1570)+1,20))+1,20))),"")))</f>
        <v/>
      </c>
      <c r="E1570">
        <f>IF($A1570="","",IF(OR($B1570="",$C1570="",$D1570="",$B1570&lt;1300,$B1570&gt;1500,$C1570&lt;1,$C1570&gt;12,$D1570&lt;1,$D1570&gt;31),"نامعتبر",RIGHT("0000"&amp;$B1570,4)&amp;"/"&amp;RIGHT("00"&amp;$C1570,2)&amp;"/"&amp;RIGHT("00"&amp;$D1570,2)))</f>
        <v/>
      </c>
      <c r="F1570">
        <f>IF(Entry!$D1570&lt;&gt;"",IF(AND(ISNUMBER(Entry!$D1570),Entry!$D1570&gt;=0,Entry!$D1570&lt;1),RIGHT("00"&amp;HOUR(Entry!$D1570),2)&amp;":"&amp;RIGHT("00"&amp;MINUTE(Entry!$D1570),2),IFERROR(RIGHT("00"&amp;VALUE(TRIM(LEFT(Entry!$D1570,FIND(":",Entry!$D1570)-1))),2)&amp;":"&amp;RIGHT("00"&amp;VALUE(TRIM(MID(Entry!$D1570,FIND(":",Entry!$D1570)+1,2))),2),"نامعتبر")),IF(OR($E1570="",$E1570="نامعتبر"),"","00:00"))</f>
        <v/>
      </c>
      <c r="G1570">
        <f>IF(OR($E1570="",$E1570="نامعتبر"),"",IF(Entry!$E1570="","",LEFT(UPPER(TRIM(Entry!$E1570)),6)))</f>
        <v/>
      </c>
      <c r="H1570">
        <f>IF($G1570="","",RIGHT($E1570,4)&amp;MID($E1570,6,2)&amp;RIGHT($E1570,2)&amp;IF($F1570="","0000",IF($F1570="نامعتبر","9999",LEFT($F1570,2)&amp;RIGHT($F1570,2)))&amp;"|"&amp;RIGHT("00000"&amp;1562,5))</f>
        <v/>
      </c>
      <c r="I1570">
        <f>IF($H1570="","",COUNTIFS(CalcBank,$G1570,CalcKey,"&lt;"&amp;$H1570)+1)</f>
        <v/>
      </c>
      <c r="J1570">
        <f>IF($I1570="","",$G1570&amp;"|"&amp;RIGHT("000000"&amp;$I1570,6))</f>
        <v/>
      </c>
      <c r="K1570">
        <f>IF(OR($E1570="",$E1570="نامعتبر"),"",LEFT($E1570,4)&amp;"/"&amp;MID($E1570,6,2))</f>
        <v/>
      </c>
      <c r="L1570">
        <f>IF(Entry!$K1570="",0,Entry!$K1570)</f>
        <v/>
      </c>
      <c r="M1570">
        <f>IF(Entry!$L1570="",0,Entry!$L1570)</f>
        <v/>
      </c>
    </row>
    <row r="1571">
      <c r="A1571">
        <f>IF(Entry!$C1571="","",Entry!$C1571)</f>
        <v/>
      </c>
      <c r="B1571">
        <f>IF($A1571="","",IF(ISNUMBER($A1571),IF(AND($A1571&gt;=10000101,$A1571&lt;=99991231),INT($A1571/10000),""),IFERROR(VALUE(TRIM(LEFT($A1571,FIND("/",$A1571)-1))),"")))</f>
        <v/>
      </c>
      <c r="C1571">
        <f>IF(OR($A1571="",$B1571=""),"",IF(ISNUMBER($A1571),INT(MOD($A1571,10000)/100),IFERROR(VALUE(TRIM(LEFT(MID($A1571,FIND("/",$A1571)+1,20),FIND("/",MID($A1571,FIND("/",$A1571)+1,20))-1))),"")))</f>
        <v/>
      </c>
      <c r="D1571">
        <f>IF(OR($A1571="",$B1571=""),"",IF(ISNUMBER($A1571),MOD($A1571,100),IFERROR(VALUE(TRIM(MID(MID($A1571,FIND("/",$A1571)+1,20),FIND("/",MID($A1571,FIND("/",$A1571)+1,20))+1,20))),"")))</f>
        <v/>
      </c>
      <c r="E1571">
        <f>IF($A1571="","",IF(OR($B1571="",$C1571="",$D1571="",$B1571&lt;1300,$B1571&gt;1500,$C1571&lt;1,$C1571&gt;12,$D1571&lt;1,$D1571&gt;31),"نامعتبر",RIGHT("0000"&amp;$B1571,4)&amp;"/"&amp;RIGHT("00"&amp;$C1571,2)&amp;"/"&amp;RIGHT("00"&amp;$D1571,2)))</f>
        <v/>
      </c>
      <c r="F1571">
        <f>IF(Entry!$D1571&lt;&gt;"",IF(AND(ISNUMBER(Entry!$D1571),Entry!$D1571&gt;=0,Entry!$D1571&lt;1),RIGHT("00"&amp;HOUR(Entry!$D1571),2)&amp;":"&amp;RIGHT("00"&amp;MINUTE(Entry!$D1571),2),IFERROR(RIGHT("00"&amp;VALUE(TRIM(LEFT(Entry!$D1571,FIND(":",Entry!$D1571)-1))),2)&amp;":"&amp;RIGHT("00"&amp;VALUE(TRIM(MID(Entry!$D1571,FIND(":",Entry!$D1571)+1,2))),2),"نامعتبر")),IF(OR($E1571="",$E1571="نامعتبر"),"","00:00"))</f>
        <v/>
      </c>
      <c r="G1571">
        <f>IF(OR($E1571="",$E1571="نامعتبر"),"",IF(Entry!$E1571="","",LEFT(UPPER(TRIM(Entry!$E1571)),6)))</f>
        <v/>
      </c>
      <c r="H1571">
        <f>IF($G1571="","",RIGHT($E1571,4)&amp;MID($E1571,6,2)&amp;RIGHT($E1571,2)&amp;IF($F1571="","0000",IF($F1571="نامعتبر","9999",LEFT($F1571,2)&amp;RIGHT($F1571,2)))&amp;"|"&amp;RIGHT("00000"&amp;1563,5))</f>
        <v/>
      </c>
      <c r="I1571">
        <f>IF($H1571="","",COUNTIFS(CalcBank,$G1571,CalcKey,"&lt;"&amp;$H1571)+1)</f>
        <v/>
      </c>
      <c r="J1571">
        <f>IF($I1571="","",$G1571&amp;"|"&amp;RIGHT("000000"&amp;$I1571,6))</f>
        <v/>
      </c>
      <c r="K1571">
        <f>IF(OR($E1571="",$E1571="نامعتبر"),"",LEFT($E1571,4)&amp;"/"&amp;MID($E1571,6,2))</f>
        <v/>
      </c>
      <c r="L1571">
        <f>IF(Entry!$K1571="",0,Entry!$K1571)</f>
        <v/>
      </c>
      <c r="M1571">
        <f>IF(Entry!$L1571="",0,Entry!$L1571)</f>
        <v/>
      </c>
    </row>
    <row r="1572">
      <c r="A1572">
        <f>IF(Entry!$C1572="","",Entry!$C1572)</f>
        <v/>
      </c>
      <c r="B1572">
        <f>IF($A1572="","",IF(ISNUMBER($A1572),IF(AND($A1572&gt;=10000101,$A1572&lt;=99991231),INT($A1572/10000),""),IFERROR(VALUE(TRIM(LEFT($A1572,FIND("/",$A1572)-1))),"")))</f>
        <v/>
      </c>
      <c r="C1572">
        <f>IF(OR($A1572="",$B1572=""),"",IF(ISNUMBER($A1572),INT(MOD($A1572,10000)/100),IFERROR(VALUE(TRIM(LEFT(MID($A1572,FIND("/",$A1572)+1,20),FIND("/",MID($A1572,FIND("/",$A1572)+1,20))-1))),"")))</f>
        <v/>
      </c>
      <c r="D1572">
        <f>IF(OR($A1572="",$B1572=""),"",IF(ISNUMBER($A1572),MOD($A1572,100),IFERROR(VALUE(TRIM(MID(MID($A1572,FIND("/",$A1572)+1,20),FIND("/",MID($A1572,FIND("/",$A1572)+1,20))+1,20))),"")))</f>
        <v/>
      </c>
      <c r="E1572">
        <f>IF($A1572="","",IF(OR($B1572="",$C1572="",$D1572="",$B1572&lt;1300,$B1572&gt;1500,$C1572&lt;1,$C1572&gt;12,$D1572&lt;1,$D1572&gt;31),"نامعتبر",RIGHT("0000"&amp;$B1572,4)&amp;"/"&amp;RIGHT("00"&amp;$C1572,2)&amp;"/"&amp;RIGHT("00"&amp;$D1572,2)))</f>
        <v/>
      </c>
      <c r="F1572">
        <f>IF(Entry!$D1572&lt;&gt;"",IF(AND(ISNUMBER(Entry!$D1572),Entry!$D1572&gt;=0,Entry!$D1572&lt;1),RIGHT("00"&amp;HOUR(Entry!$D1572),2)&amp;":"&amp;RIGHT("00"&amp;MINUTE(Entry!$D1572),2),IFERROR(RIGHT("00"&amp;VALUE(TRIM(LEFT(Entry!$D1572,FIND(":",Entry!$D1572)-1))),2)&amp;":"&amp;RIGHT("00"&amp;VALUE(TRIM(MID(Entry!$D1572,FIND(":",Entry!$D1572)+1,2))),2),"نامعتبر")),IF(OR($E1572="",$E1572="نامعتبر"),"","00:00"))</f>
        <v/>
      </c>
      <c r="G1572">
        <f>IF(OR($E1572="",$E1572="نامعتبر"),"",IF(Entry!$E1572="","",LEFT(UPPER(TRIM(Entry!$E1572)),6)))</f>
        <v/>
      </c>
      <c r="H1572">
        <f>IF($G1572="","",RIGHT($E1572,4)&amp;MID($E1572,6,2)&amp;RIGHT($E1572,2)&amp;IF($F1572="","0000",IF($F1572="نامعتبر","9999",LEFT($F1572,2)&amp;RIGHT($F1572,2)))&amp;"|"&amp;RIGHT("00000"&amp;1564,5))</f>
        <v/>
      </c>
      <c r="I1572">
        <f>IF($H1572="","",COUNTIFS(CalcBank,$G1572,CalcKey,"&lt;"&amp;$H1572)+1)</f>
        <v/>
      </c>
      <c r="J1572">
        <f>IF($I1572="","",$G1572&amp;"|"&amp;RIGHT("000000"&amp;$I1572,6))</f>
        <v/>
      </c>
      <c r="K1572">
        <f>IF(OR($E1572="",$E1572="نامعتبر"),"",LEFT($E1572,4)&amp;"/"&amp;MID($E1572,6,2))</f>
        <v/>
      </c>
      <c r="L1572">
        <f>IF(Entry!$K1572="",0,Entry!$K1572)</f>
        <v/>
      </c>
      <c r="M1572">
        <f>IF(Entry!$L1572="",0,Entry!$L1572)</f>
        <v/>
      </c>
    </row>
    <row r="1573">
      <c r="A1573">
        <f>IF(Entry!$C1573="","",Entry!$C1573)</f>
        <v/>
      </c>
      <c r="B1573">
        <f>IF($A1573="","",IF(ISNUMBER($A1573),IF(AND($A1573&gt;=10000101,$A1573&lt;=99991231),INT($A1573/10000),""),IFERROR(VALUE(TRIM(LEFT($A1573,FIND("/",$A1573)-1))),"")))</f>
        <v/>
      </c>
      <c r="C1573">
        <f>IF(OR($A1573="",$B1573=""),"",IF(ISNUMBER($A1573),INT(MOD($A1573,10000)/100),IFERROR(VALUE(TRIM(LEFT(MID($A1573,FIND("/",$A1573)+1,20),FIND("/",MID($A1573,FIND("/",$A1573)+1,20))-1))),"")))</f>
        <v/>
      </c>
      <c r="D1573">
        <f>IF(OR($A1573="",$B1573=""),"",IF(ISNUMBER($A1573),MOD($A1573,100),IFERROR(VALUE(TRIM(MID(MID($A1573,FIND("/",$A1573)+1,20),FIND("/",MID($A1573,FIND("/",$A1573)+1,20))+1,20))),"")))</f>
        <v/>
      </c>
      <c r="E1573">
        <f>IF($A1573="","",IF(OR($B1573="",$C1573="",$D1573="",$B1573&lt;1300,$B1573&gt;1500,$C1573&lt;1,$C1573&gt;12,$D1573&lt;1,$D1573&gt;31),"نامعتبر",RIGHT("0000"&amp;$B1573,4)&amp;"/"&amp;RIGHT("00"&amp;$C1573,2)&amp;"/"&amp;RIGHT("00"&amp;$D1573,2)))</f>
        <v/>
      </c>
      <c r="F1573">
        <f>IF(Entry!$D1573&lt;&gt;"",IF(AND(ISNUMBER(Entry!$D1573),Entry!$D1573&gt;=0,Entry!$D1573&lt;1),RIGHT("00"&amp;HOUR(Entry!$D1573),2)&amp;":"&amp;RIGHT("00"&amp;MINUTE(Entry!$D1573),2),IFERROR(RIGHT("00"&amp;VALUE(TRIM(LEFT(Entry!$D1573,FIND(":",Entry!$D1573)-1))),2)&amp;":"&amp;RIGHT("00"&amp;VALUE(TRIM(MID(Entry!$D1573,FIND(":",Entry!$D1573)+1,2))),2),"نامعتبر")),IF(OR($E1573="",$E1573="نامعتبر"),"","00:00"))</f>
        <v/>
      </c>
      <c r="G1573">
        <f>IF(OR($E1573="",$E1573="نامعتبر"),"",IF(Entry!$E1573="","",LEFT(UPPER(TRIM(Entry!$E1573)),6)))</f>
        <v/>
      </c>
      <c r="H1573">
        <f>IF($G1573="","",RIGHT($E1573,4)&amp;MID($E1573,6,2)&amp;RIGHT($E1573,2)&amp;IF($F1573="","0000",IF($F1573="نامعتبر","9999",LEFT($F1573,2)&amp;RIGHT($F1573,2)))&amp;"|"&amp;RIGHT("00000"&amp;1565,5))</f>
        <v/>
      </c>
      <c r="I1573">
        <f>IF($H1573="","",COUNTIFS(CalcBank,$G1573,CalcKey,"&lt;"&amp;$H1573)+1)</f>
        <v/>
      </c>
      <c r="J1573">
        <f>IF($I1573="","",$G1573&amp;"|"&amp;RIGHT("000000"&amp;$I1573,6))</f>
        <v/>
      </c>
      <c r="K1573">
        <f>IF(OR($E1573="",$E1573="نامعتبر"),"",LEFT($E1573,4)&amp;"/"&amp;MID($E1573,6,2))</f>
        <v/>
      </c>
      <c r="L1573">
        <f>IF(Entry!$K1573="",0,Entry!$K1573)</f>
        <v/>
      </c>
      <c r="M1573">
        <f>IF(Entry!$L1573="",0,Entry!$L1573)</f>
        <v/>
      </c>
    </row>
    <row r="1574">
      <c r="A1574">
        <f>IF(Entry!$C1574="","",Entry!$C1574)</f>
        <v/>
      </c>
      <c r="B1574">
        <f>IF($A1574="","",IF(ISNUMBER($A1574),IF(AND($A1574&gt;=10000101,$A1574&lt;=99991231),INT($A1574/10000),""),IFERROR(VALUE(TRIM(LEFT($A1574,FIND("/",$A1574)-1))),"")))</f>
        <v/>
      </c>
      <c r="C1574">
        <f>IF(OR($A1574="",$B1574=""),"",IF(ISNUMBER($A1574),INT(MOD($A1574,10000)/100),IFERROR(VALUE(TRIM(LEFT(MID($A1574,FIND("/",$A1574)+1,20),FIND("/",MID($A1574,FIND("/",$A1574)+1,20))-1))),"")))</f>
        <v/>
      </c>
      <c r="D1574">
        <f>IF(OR($A1574="",$B1574=""),"",IF(ISNUMBER($A1574),MOD($A1574,100),IFERROR(VALUE(TRIM(MID(MID($A1574,FIND("/",$A1574)+1,20),FIND("/",MID($A1574,FIND("/",$A1574)+1,20))+1,20))),"")))</f>
        <v/>
      </c>
      <c r="E1574">
        <f>IF($A1574="","",IF(OR($B1574="",$C1574="",$D1574="",$B1574&lt;1300,$B1574&gt;1500,$C1574&lt;1,$C1574&gt;12,$D1574&lt;1,$D1574&gt;31),"نامعتبر",RIGHT("0000"&amp;$B1574,4)&amp;"/"&amp;RIGHT("00"&amp;$C1574,2)&amp;"/"&amp;RIGHT("00"&amp;$D1574,2)))</f>
        <v/>
      </c>
      <c r="F1574">
        <f>IF(Entry!$D1574&lt;&gt;"",IF(AND(ISNUMBER(Entry!$D1574),Entry!$D1574&gt;=0,Entry!$D1574&lt;1),RIGHT("00"&amp;HOUR(Entry!$D1574),2)&amp;":"&amp;RIGHT("00"&amp;MINUTE(Entry!$D1574),2),IFERROR(RIGHT("00"&amp;VALUE(TRIM(LEFT(Entry!$D1574,FIND(":",Entry!$D1574)-1))),2)&amp;":"&amp;RIGHT("00"&amp;VALUE(TRIM(MID(Entry!$D1574,FIND(":",Entry!$D1574)+1,2))),2),"نامعتبر")),IF(OR($E1574="",$E1574="نامعتبر"),"","00:00"))</f>
        <v/>
      </c>
      <c r="G1574">
        <f>IF(OR($E1574="",$E1574="نامعتبر"),"",IF(Entry!$E1574="","",LEFT(UPPER(TRIM(Entry!$E1574)),6)))</f>
        <v/>
      </c>
      <c r="H1574">
        <f>IF($G1574="","",RIGHT($E1574,4)&amp;MID($E1574,6,2)&amp;RIGHT($E1574,2)&amp;IF($F1574="","0000",IF($F1574="نامعتبر","9999",LEFT($F1574,2)&amp;RIGHT($F1574,2)))&amp;"|"&amp;RIGHT("00000"&amp;1566,5))</f>
        <v/>
      </c>
      <c r="I1574">
        <f>IF($H1574="","",COUNTIFS(CalcBank,$G1574,CalcKey,"&lt;"&amp;$H1574)+1)</f>
        <v/>
      </c>
      <c r="J1574">
        <f>IF($I1574="","",$G1574&amp;"|"&amp;RIGHT("000000"&amp;$I1574,6))</f>
        <v/>
      </c>
      <c r="K1574">
        <f>IF(OR($E1574="",$E1574="نامعتبر"),"",LEFT($E1574,4)&amp;"/"&amp;MID($E1574,6,2))</f>
        <v/>
      </c>
      <c r="L1574">
        <f>IF(Entry!$K1574="",0,Entry!$K1574)</f>
        <v/>
      </c>
      <c r="M1574">
        <f>IF(Entry!$L1574="",0,Entry!$L1574)</f>
        <v/>
      </c>
    </row>
    <row r="1575">
      <c r="A1575">
        <f>IF(Entry!$C1575="","",Entry!$C1575)</f>
        <v/>
      </c>
      <c r="B1575">
        <f>IF($A1575="","",IF(ISNUMBER($A1575),IF(AND($A1575&gt;=10000101,$A1575&lt;=99991231),INT($A1575/10000),""),IFERROR(VALUE(TRIM(LEFT($A1575,FIND("/",$A1575)-1))),"")))</f>
        <v/>
      </c>
      <c r="C1575">
        <f>IF(OR($A1575="",$B1575=""),"",IF(ISNUMBER($A1575),INT(MOD($A1575,10000)/100),IFERROR(VALUE(TRIM(LEFT(MID($A1575,FIND("/",$A1575)+1,20),FIND("/",MID($A1575,FIND("/",$A1575)+1,20))-1))),"")))</f>
        <v/>
      </c>
      <c r="D1575">
        <f>IF(OR($A1575="",$B1575=""),"",IF(ISNUMBER($A1575),MOD($A1575,100),IFERROR(VALUE(TRIM(MID(MID($A1575,FIND("/",$A1575)+1,20),FIND("/",MID($A1575,FIND("/",$A1575)+1,20))+1,20))),"")))</f>
        <v/>
      </c>
      <c r="E1575">
        <f>IF($A1575="","",IF(OR($B1575="",$C1575="",$D1575="",$B1575&lt;1300,$B1575&gt;1500,$C1575&lt;1,$C1575&gt;12,$D1575&lt;1,$D1575&gt;31),"نامعتبر",RIGHT("0000"&amp;$B1575,4)&amp;"/"&amp;RIGHT("00"&amp;$C1575,2)&amp;"/"&amp;RIGHT("00"&amp;$D1575,2)))</f>
        <v/>
      </c>
      <c r="F1575">
        <f>IF(Entry!$D1575&lt;&gt;"",IF(AND(ISNUMBER(Entry!$D1575),Entry!$D1575&gt;=0,Entry!$D1575&lt;1),RIGHT("00"&amp;HOUR(Entry!$D1575),2)&amp;":"&amp;RIGHT("00"&amp;MINUTE(Entry!$D1575),2),IFERROR(RIGHT("00"&amp;VALUE(TRIM(LEFT(Entry!$D1575,FIND(":",Entry!$D1575)-1))),2)&amp;":"&amp;RIGHT("00"&amp;VALUE(TRIM(MID(Entry!$D1575,FIND(":",Entry!$D1575)+1,2))),2),"نامعتبر")),IF(OR($E1575="",$E1575="نامعتبر"),"","00:00"))</f>
        <v/>
      </c>
      <c r="G1575">
        <f>IF(OR($E1575="",$E1575="نامعتبر"),"",IF(Entry!$E1575="","",LEFT(UPPER(TRIM(Entry!$E1575)),6)))</f>
        <v/>
      </c>
      <c r="H1575">
        <f>IF($G1575="","",RIGHT($E1575,4)&amp;MID($E1575,6,2)&amp;RIGHT($E1575,2)&amp;IF($F1575="","0000",IF($F1575="نامعتبر","9999",LEFT($F1575,2)&amp;RIGHT($F1575,2)))&amp;"|"&amp;RIGHT("00000"&amp;1567,5))</f>
        <v/>
      </c>
      <c r="I1575">
        <f>IF($H1575="","",COUNTIFS(CalcBank,$G1575,CalcKey,"&lt;"&amp;$H1575)+1)</f>
        <v/>
      </c>
      <c r="J1575">
        <f>IF($I1575="","",$G1575&amp;"|"&amp;RIGHT("000000"&amp;$I1575,6))</f>
        <v/>
      </c>
      <c r="K1575">
        <f>IF(OR($E1575="",$E1575="نامعتبر"),"",LEFT($E1575,4)&amp;"/"&amp;MID($E1575,6,2))</f>
        <v/>
      </c>
      <c r="L1575">
        <f>IF(Entry!$K1575="",0,Entry!$K1575)</f>
        <v/>
      </c>
      <c r="M1575">
        <f>IF(Entry!$L1575="",0,Entry!$L1575)</f>
        <v/>
      </c>
    </row>
    <row r="1576">
      <c r="A1576">
        <f>IF(Entry!$C1576="","",Entry!$C1576)</f>
        <v/>
      </c>
      <c r="B1576">
        <f>IF($A1576="","",IF(ISNUMBER($A1576),IF(AND($A1576&gt;=10000101,$A1576&lt;=99991231),INT($A1576/10000),""),IFERROR(VALUE(TRIM(LEFT($A1576,FIND("/",$A1576)-1))),"")))</f>
        <v/>
      </c>
      <c r="C1576">
        <f>IF(OR($A1576="",$B1576=""),"",IF(ISNUMBER($A1576),INT(MOD($A1576,10000)/100),IFERROR(VALUE(TRIM(LEFT(MID($A1576,FIND("/",$A1576)+1,20),FIND("/",MID($A1576,FIND("/",$A1576)+1,20))-1))),"")))</f>
        <v/>
      </c>
      <c r="D1576">
        <f>IF(OR($A1576="",$B1576=""),"",IF(ISNUMBER($A1576),MOD($A1576,100),IFERROR(VALUE(TRIM(MID(MID($A1576,FIND("/",$A1576)+1,20),FIND("/",MID($A1576,FIND("/",$A1576)+1,20))+1,20))),"")))</f>
        <v/>
      </c>
      <c r="E1576">
        <f>IF($A1576="","",IF(OR($B1576="",$C1576="",$D1576="",$B1576&lt;1300,$B1576&gt;1500,$C1576&lt;1,$C1576&gt;12,$D1576&lt;1,$D1576&gt;31),"نامعتبر",RIGHT("0000"&amp;$B1576,4)&amp;"/"&amp;RIGHT("00"&amp;$C1576,2)&amp;"/"&amp;RIGHT("00"&amp;$D1576,2)))</f>
        <v/>
      </c>
      <c r="F1576">
        <f>IF(Entry!$D1576&lt;&gt;"",IF(AND(ISNUMBER(Entry!$D1576),Entry!$D1576&gt;=0,Entry!$D1576&lt;1),RIGHT("00"&amp;HOUR(Entry!$D1576),2)&amp;":"&amp;RIGHT("00"&amp;MINUTE(Entry!$D1576),2),IFERROR(RIGHT("00"&amp;VALUE(TRIM(LEFT(Entry!$D1576,FIND(":",Entry!$D1576)-1))),2)&amp;":"&amp;RIGHT("00"&amp;VALUE(TRIM(MID(Entry!$D1576,FIND(":",Entry!$D1576)+1,2))),2),"نامعتبر")),IF(OR($E1576="",$E1576="نامعتبر"),"","00:00"))</f>
        <v/>
      </c>
      <c r="G1576">
        <f>IF(OR($E1576="",$E1576="نامعتبر"),"",IF(Entry!$E1576="","",LEFT(UPPER(TRIM(Entry!$E1576)),6)))</f>
        <v/>
      </c>
      <c r="H1576">
        <f>IF($G1576="","",RIGHT($E1576,4)&amp;MID($E1576,6,2)&amp;RIGHT($E1576,2)&amp;IF($F1576="","0000",IF($F1576="نامعتبر","9999",LEFT($F1576,2)&amp;RIGHT($F1576,2)))&amp;"|"&amp;RIGHT("00000"&amp;1568,5))</f>
        <v/>
      </c>
      <c r="I1576">
        <f>IF($H1576="","",COUNTIFS(CalcBank,$G1576,CalcKey,"&lt;"&amp;$H1576)+1)</f>
        <v/>
      </c>
      <c r="J1576">
        <f>IF($I1576="","",$G1576&amp;"|"&amp;RIGHT("000000"&amp;$I1576,6))</f>
        <v/>
      </c>
      <c r="K1576">
        <f>IF(OR($E1576="",$E1576="نامعتبر"),"",LEFT($E1576,4)&amp;"/"&amp;MID($E1576,6,2))</f>
        <v/>
      </c>
      <c r="L1576">
        <f>IF(Entry!$K1576="",0,Entry!$K1576)</f>
        <v/>
      </c>
      <c r="M1576">
        <f>IF(Entry!$L1576="",0,Entry!$L1576)</f>
        <v/>
      </c>
    </row>
    <row r="1577">
      <c r="A1577">
        <f>IF(Entry!$C1577="","",Entry!$C1577)</f>
        <v/>
      </c>
      <c r="B1577">
        <f>IF($A1577="","",IF(ISNUMBER($A1577),IF(AND($A1577&gt;=10000101,$A1577&lt;=99991231),INT($A1577/10000),""),IFERROR(VALUE(TRIM(LEFT($A1577,FIND("/",$A1577)-1))),"")))</f>
        <v/>
      </c>
      <c r="C1577">
        <f>IF(OR($A1577="",$B1577=""),"",IF(ISNUMBER($A1577),INT(MOD($A1577,10000)/100),IFERROR(VALUE(TRIM(LEFT(MID($A1577,FIND("/",$A1577)+1,20),FIND("/",MID($A1577,FIND("/",$A1577)+1,20))-1))),"")))</f>
        <v/>
      </c>
      <c r="D1577">
        <f>IF(OR($A1577="",$B1577=""),"",IF(ISNUMBER($A1577),MOD($A1577,100),IFERROR(VALUE(TRIM(MID(MID($A1577,FIND("/",$A1577)+1,20),FIND("/",MID($A1577,FIND("/",$A1577)+1,20))+1,20))),"")))</f>
        <v/>
      </c>
      <c r="E1577">
        <f>IF($A1577="","",IF(OR($B1577="",$C1577="",$D1577="",$B1577&lt;1300,$B1577&gt;1500,$C1577&lt;1,$C1577&gt;12,$D1577&lt;1,$D1577&gt;31),"نامعتبر",RIGHT("0000"&amp;$B1577,4)&amp;"/"&amp;RIGHT("00"&amp;$C1577,2)&amp;"/"&amp;RIGHT("00"&amp;$D1577,2)))</f>
        <v/>
      </c>
      <c r="F1577">
        <f>IF(Entry!$D1577&lt;&gt;"",IF(AND(ISNUMBER(Entry!$D1577),Entry!$D1577&gt;=0,Entry!$D1577&lt;1),RIGHT("00"&amp;HOUR(Entry!$D1577),2)&amp;":"&amp;RIGHT("00"&amp;MINUTE(Entry!$D1577),2),IFERROR(RIGHT("00"&amp;VALUE(TRIM(LEFT(Entry!$D1577,FIND(":",Entry!$D1577)-1))),2)&amp;":"&amp;RIGHT("00"&amp;VALUE(TRIM(MID(Entry!$D1577,FIND(":",Entry!$D1577)+1,2))),2),"نامعتبر")),IF(OR($E1577="",$E1577="نامعتبر"),"","00:00"))</f>
        <v/>
      </c>
      <c r="G1577">
        <f>IF(OR($E1577="",$E1577="نامعتبر"),"",IF(Entry!$E1577="","",LEFT(UPPER(TRIM(Entry!$E1577)),6)))</f>
        <v/>
      </c>
      <c r="H1577">
        <f>IF($G1577="","",RIGHT($E1577,4)&amp;MID($E1577,6,2)&amp;RIGHT($E1577,2)&amp;IF($F1577="","0000",IF($F1577="نامعتبر","9999",LEFT($F1577,2)&amp;RIGHT($F1577,2)))&amp;"|"&amp;RIGHT("00000"&amp;1569,5))</f>
        <v/>
      </c>
      <c r="I1577">
        <f>IF($H1577="","",COUNTIFS(CalcBank,$G1577,CalcKey,"&lt;"&amp;$H1577)+1)</f>
        <v/>
      </c>
      <c r="J1577">
        <f>IF($I1577="","",$G1577&amp;"|"&amp;RIGHT("000000"&amp;$I1577,6))</f>
        <v/>
      </c>
      <c r="K1577">
        <f>IF(OR($E1577="",$E1577="نامعتبر"),"",LEFT($E1577,4)&amp;"/"&amp;MID($E1577,6,2))</f>
        <v/>
      </c>
      <c r="L1577">
        <f>IF(Entry!$K1577="",0,Entry!$K1577)</f>
        <v/>
      </c>
      <c r="M1577">
        <f>IF(Entry!$L1577="",0,Entry!$L1577)</f>
        <v/>
      </c>
    </row>
    <row r="1578">
      <c r="A1578">
        <f>IF(Entry!$C1578="","",Entry!$C1578)</f>
        <v/>
      </c>
      <c r="B1578">
        <f>IF($A1578="","",IF(ISNUMBER($A1578),IF(AND($A1578&gt;=10000101,$A1578&lt;=99991231),INT($A1578/10000),""),IFERROR(VALUE(TRIM(LEFT($A1578,FIND("/",$A1578)-1))),"")))</f>
        <v/>
      </c>
      <c r="C1578">
        <f>IF(OR($A1578="",$B1578=""),"",IF(ISNUMBER($A1578),INT(MOD($A1578,10000)/100),IFERROR(VALUE(TRIM(LEFT(MID($A1578,FIND("/",$A1578)+1,20),FIND("/",MID($A1578,FIND("/",$A1578)+1,20))-1))),"")))</f>
        <v/>
      </c>
      <c r="D1578">
        <f>IF(OR($A1578="",$B1578=""),"",IF(ISNUMBER($A1578),MOD($A1578,100),IFERROR(VALUE(TRIM(MID(MID($A1578,FIND("/",$A1578)+1,20),FIND("/",MID($A1578,FIND("/",$A1578)+1,20))+1,20))),"")))</f>
        <v/>
      </c>
      <c r="E1578">
        <f>IF($A1578="","",IF(OR($B1578="",$C1578="",$D1578="",$B1578&lt;1300,$B1578&gt;1500,$C1578&lt;1,$C1578&gt;12,$D1578&lt;1,$D1578&gt;31),"نامعتبر",RIGHT("0000"&amp;$B1578,4)&amp;"/"&amp;RIGHT("00"&amp;$C1578,2)&amp;"/"&amp;RIGHT("00"&amp;$D1578,2)))</f>
        <v/>
      </c>
      <c r="F1578">
        <f>IF(Entry!$D1578&lt;&gt;"",IF(AND(ISNUMBER(Entry!$D1578),Entry!$D1578&gt;=0,Entry!$D1578&lt;1),RIGHT("00"&amp;HOUR(Entry!$D1578),2)&amp;":"&amp;RIGHT("00"&amp;MINUTE(Entry!$D1578),2),IFERROR(RIGHT("00"&amp;VALUE(TRIM(LEFT(Entry!$D1578,FIND(":",Entry!$D1578)-1))),2)&amp;":"&amp;RIGHT("00"&amp;VALUE(TRIM(MID(Entry!$D1578,FIND(":",Entry!$D1578)+1,2))),2),"نامعتبر")),IF(OR($E1578="",$E1578="نامعتبر"),"","00:00"))</f>
        <v/>
      </c>
      <c r="G1578">
        <f>IF(OR($E1578="",$E1578="نامعتبر"),"",IF(Entry!$E1578="","",LEFT(UPPER(TRIM(Entry!$E1578)),6)))</f>
        <v/>
      </c>
      <c r="H1578">
        <f>IF($G1578="","",RIGHT($E1578,4)&amp;MID($E1578,6,2)&amp;RIGHT($E1578,2)&amp;IF($F1578="","0000",IF($F1578="نامعتبر","9999",LEFT($F1578,2)&amp;RIGHT($F1578,2)))&amp;"|"&amp;RIGHT("00000"&amp;1570,5))</f>
        <v/>
      </c>
      <c r="I1578">
        <f>IF($H1578="","",COUNTIFS(CalcBank,$G1578,CalcKey,"&lt;"&amp;$H1578)+1)</f>
        <v/>
      </c>
      <c r="J1578">
        <f>IF($I1578="","",$G1578&amp;"|"&amp;RIGHT("000000"&amp;$I1578,6))</f>
        <v/>
      </c>
      <c r="K1578">
        <f>IF(OR($E1578="",$E1578="نامعتبر"),"",LEFT($E1578,4)&amp;"/"&amp;MID($E1578,6,2))</f>
        <v/>
      </c>
      <c r="L1578">
        <f>IF(Entry!$K1578="",0,Entry!$K1578)</f>
        <v/>
      </c>
      <c r="M1578">
        <f>IF(Entry!$L1578="",0,Entry!$L1578)</f>
        <v/>
      </c>
    </row>
    <row r="1579">
      <c r="A1579">
        <f>IF(Entry!$C1579="","",Entry!$C1579)</f>
        <v/>
      </c>
      <c r="B1579">
        <f>IF($A1579="","",IF(ISNUMBER($A1579),IF(AND($A1579&gt;=10000101,$A1579&lt;=99991231),INT($A1579/10000),""),IFERROR(VALUE(TRIM(LEFT($A1579,FIND("/",$A1579)-1))),"")))</f>
        <v/>
      </c>
      <c r="C1579">
        <f>IF(OR($A1579="",$B1579=""),"",IF(ISNUMBER($A1579),INT(MOD($A1579,10000)/100),IFERROR(VALUE(TRIM(LEFT(MID($A1579,FIND("/",$A1579)+1,20),FIND("/",MID($A1579,FIND("/",$A1579)+1,20))-1))),"")))</f>
        <v/>
      </c>
      <c r="D1579">
        <f>IF(OR($A1579="",$B1579=""),"",IF(ISNUMBER($A1579),MOD($A1579,100),IFERROR(VALUE(TRIM(MID(MID($A1579,FIND("/",$A1579)+1,20),FIND("/",MID($A1579,FIND("/",$A1579)+1,20))+1,20))),"")))</f>
        <v/>
      </c>
      <c r="E1579">
        <f>IF($A1579="","",IF(OR($B1579="",$C1579="",$D1579="",$B1579&lt;1300,$B1579&gt;1500,$C1579&lt;1,$C1579&gt;12,$D1579&lt;1,$D1579&gt;31),"نامعتبر",RIGHT("0000"&amp;$B1579,4)&amp;"/"&amp;RIGHT("00"&amp;$C1579,2)&amp;"/"&amp;RIGHT("00"&amp;$D1579,2)))</f>
        <v/>
      </c>
      <c r="F1579">
        <f>IF(Entry!$D1579&lt;&gt;"",IF(AND(ISNUMBER(Entry!$D1579),Entry!$D1579&gt;=0,Entry!$D1579&lt;1),RIGHT("00"&amp;HOUR(Entry!$D1579),2)&amp;":"&amp;RIGHT("00"&amp;MINUTE(Entry!$D1579),2),IFERROR(RIGHT("00"&amp;VALUE(TRIM(LEFT(Entry!$D1579,FIND(":",Entry!$D1579)-1))),2)&amp;":"&amp;RIGHT("00"&amp;VALUE(TRIM(MID(Entry!$D1579,FIND(":",Entry!$D1579)+1,2))),2),"نامعتبر")),IF(OR($E1579="",$E1579="نامعتبر"),"","00:00"))</f>
        <v/>
      </c>
      <c r="G1579">
        <f>IF(OR($E1579="",$E1579="نامعتبر"),"",IF(Entry!$E1579="","",LEFT(UPPER(TRIM(Entry!$E1579)),6)))</f>
        <v/>
      </c>
      <c r="H1579">
        <f>IF($G1579="","",RIGHT($E1579,4)&amp;MID($E1579,6,2)&amp;RIGHT($E1579,2)&amp;IF($F1579="","0000",IF($F1579="نامعتبر","9999",LEFT($F1579,2)&amp;RIGHT($F1579,2)))&amp;"|"&amp;RIGHT("00000"&amp;1571,5))</f>
        <v/>
      </c>
      <c r="I1579">
        <f>IF($H1579="","",COUNTIFS(CalcBank,$G1579,CalcKey,"&lt;"&amp;$H1579)+1)</f>
        <v/>
      </c>
      <c r="J1579">
        <f>IF($I1579="","",$G1579&amp;"|"&amp;RIGHT("000000"&amp;$I1579,6))</f>
        <v/>
      </c>
      <c r="K1579">
        <f>IF(OR($E1579="",$E1579="نامعتبر"),"",LEFT($E1579,4)&amp;"/"&amp;MID($E1579,6,2))</f>
        <v/>
      </c>
      <c r="L1579">
        <f>IF(Entry!$K1579="",0,Entry!$K1579)</f>
        <v/>
      </c>
      <c r="M1579">
        <f>IF(Entry!$L1579="",0,Entry!$L1579)</f>
        <v/>
      </c>
    </row>
    <row r="1580">
      <c r="A1580">
        <f>IF(Entry!$C1580="","",Entry!$C1580)</f>
        <v/>
      </c>
      <c r="B1580">
        <f>IF($A1580="","",IF(ISNUMBER($A1580),IF(AND($A1580&gt;=10000101,$A1580&lt;=99991231),INT($A1580/10000),""),IFERROR(VALUE(TRIM(LEFT($A1580,FIND("/",$A1580)-1))),"")))</f>
        <v/>
      </c>
      <c r="C1580">
        <f>IF(OR($A1580="",$B1580=""),"",IF(ISNUMBER($A1580),INT(MOD($A1580,10000)/100),IFERROR(VALUE(TRIM(LEFT(MID($A1580,FIND("/",$A1580)+1,20),FIND("/",MID($A1580,FIND("/",$A1580)+1,20))-1))),"")))</f>
        <v/>
      </c>
      <c r="D1580">
        <f>IF(OR($A1580="",$B1580=""),"",IF(ISNUMBER($A1580),MOD($A1580,100),IFERROR(VALUE(TRIM(MID(MID($A1580,FIND("/",$A1580)+1,20),FIND("/",MID($A1580,FIND("/",$A1580)+1,20))+1,20))),"")))</f>
        <v/>
      </c>
      <c r="E1580">
        <f>IF($A1580="","",IF(OR($B1580="",$C1580="",$D1580="",$B1580&lt;1300,$B1580&gt;1500,$C1580&lt;1,$C1580&gt;12,$D1580&lt;1,$D1580&gt;31),"نامعتبر",RIGHT("0000"&amp;$B1580,4)&amp;"/"&amp;RIGHT("00"&amp;$C1580,2)&amp;"/"&amp;RIGHT("00"&amp;$D1580,2)))</f>
        <v/>
      </c>
      <c r="F1580">
        <f>IF(Entry!$D1580&lt;&gt;"",IF(AND(ISNUMBER(Entry!$D1580),Entry!$D1580&gt;=0,Entry!$D1580&lt;1),RIGHT("00"&amp;HOUR(Entry!$D1580),2)&amp;":"&amp;RIGHT("00"&amp;MINUTE(Entry!$D1580),2),IFERROR(RIGHT("00"&amp;VALUE(TRIM(LEFT(Entry!$D1580,FIND(":",Entry!$D1580)-1))),2)&amp;":"&amp;RIGHT("00"&amp;VALUE(TRIM(MID(Entry!$D1580,FIND(":",Entry!$D1580)+1,2))),2),"نامعتبر")),IF(OR($E1580="",$E1580="نامعتبر"),"","00:00"))</f>
        <v/>
      </c>
      <c r="G1580">
        <f>IF(OR($E1580="",$E1580="نامعتبر"),"",IF(Entry!$E1580="","",LEFT(UPPER(TRIM(Entry!$E1580)),6)))</f>
        <v/>
      </c>
      <c r="H1580">
        <f>IF($G1580="","",RIGHT($E1580,4)&amp;MID($E1580,6,2)&amp;RIGHT($E1580,2)&amp;IF($F1580="","0000",IF($F1580="نامعتبر","9999",LEFT($F1580,2)&amp;RIGHT($F1580,2)))&amp;"|"&amp;RIGHT("00000"&amp;1572,5))</f>
        <v/>
      </c>
      <c r="I1580">
        <f>IF($H1580="","",COUNTIFS(CalcBank,$G1580,CalcKey,"&lt;"&amp;$H1580)+1)</f>
        <v/>
      </c>
      <c r="J1580">
        <f>IF($I1580="","",$G1580&amp;"|"&amp;RIGHT("000000"&amp;$I1580,6))</f>
        <v/>
      </c>
      <c r="K1580">
        <f>IF(OR($E1580="",$E1580="نامعتبر"),"",LEFT($E1580,4)&amp;"/"&amp;MID($E1580,6,2))</f>
        <v/>
      </c>
      <c r="L1580">
        <f>IF(Entry!$K1580="",0,Entry!$K1580)</f>
        <v/>
      </c>
      <c r="M1580">
        <f>IF(Entry!$L1580="",0,Entry!$L1580)</f>
        <v/>
      </c>
    </row>
    <row r="1581">
      <c r="A1581">
        <f>IF(Entry!$C1581="","",Entry!$C1581)</f>
        <v/>
      </c>
      <c r="B1581">
        <f>IF($A1581="","",IF(ISNUMBER($A1581),IF(AND($A1581&gt;=10000101,$A1581&lt;=99991231),INT($A1581/10000),""),IFERROR(VALUE(TRIM(LEFT($A1581,FIND("/",$A1581)-1))),"")))</f>
        <v/>
      </c>
      <c r="C1581">
        <f>IF(OR($A1581="",$B1581=""),"",IF(ISNUMBER($A1581),INT(MOD($A1581,10000)/100),IFERROR(VALUE(TRIM(LEFT(MID($A1581,FIND("/",$A1581)+1,20),FIND("/",MID($A1581,FIND("/",$A1581)+1,20))-1))),"")))</f>
        <v/>
      </c>
      <c r="D1581">
        <f>IF(OR($A1581="",$B1581=""),"",IF(ISNUMBER($A1581),MOD($A1581,100),IFERROR(VALUE(TRIM(MID(MID($A1581,FIND("/",$A1581)+1,20),FIND("/",MID($A1581,FIND("/",$A1581)+1,20))+1,20))),"")))</f>
        <v/>
      </c>
      <c r="E1581">
        <f>IF($A1581="","",IF(OR($B1581="",$C1581="",$D1581="",$B1581&lt;1300,$B1581&gt;1500,$C1581&lt;1,$C1581&gt;12,$D1581&lt;1,$D1581&gt;31),"نامعتبر",RIGHT("0000"&amp;$B1581,4)&amp;"/"&amp;RIGHT("00"&amp;$C1581,2)&amp;"/"&amp;RIGHT("00"&amp;$D1581,2)))</f>
        <v/>
      </c>
      <c r="F1581">
        <f>IF(Entry!$D1581&lt;&gt;"",IF(AND(ISNUMBER(Entry!$D1581),Entry!$D1581&gt;=0,Entry!$D1581&lt;1),RIGHT("00"&amp;HOUR(Entry!$D1581),2)&amp;":"&amp;RIGHT("00"&amp;MINUTE(Entry!$D1581),2),IFERROR(RIGHT("00"&amp;VALUE(TRIM(LEFT(Entry!$D1581,FIND(":",Entry!$D1581)-1))),2)&amp;":"&amp;RIGHT("00"&amp;VALUE(TRIM(MID(Entry!$D1581,FIND(":",Entry!$D1581)+1,2))),2),"نامعتبر")),IF(OR($E1581="",$E1581="نامعتبر"),"","00:00"))</f>
        <v/>
      </c>
      <c r="G1581">
        <f>IF(OR($E1581="",$E1581="نامعتبر"),"",IF(Entry!$E1581="","",LEFT(UPPER(TRIM(Entry!$E1581)),6)))</f>
        <v/>
      </c>
      <c r="H1581">
        <f>IF($G1581="","",RIGHT($E1581,4)&amp;MID($E1581,6,2)&amp;RIGHT($E1581,2)&amp;IF($F1581="","0000",IF($F1581="نامعتبر","9999",LEFT($F1581,2)&amp;RIGHT($F1581,2)))&amp;"|"&amp;RIGHT("00000"&amp;1573,5))</f>
        <v/>
      </c>
      <c r="I1581">
        <f>IF($H1581="","",COUNTIFS(CalcBank,$G1581,CalcKey,"&lt;"&amp;$H1581)+1)</f>
        <v/>
      </c>
      <c r="J1581">
        <f>IF($I1581="","",$G1581&amp;"|"&amp;RIGHT("000000"&amp;$I1581,6))</f>
        <v/>
      </c>
      <c r="K1581">
        <f>IF(OR($E1581="",$E1581="نامعتبر"),"",LEFT($E1581,4)&amp;"/"&amp;MID($E1581,6,2))</f>
        <v/>
      </c>
      <c r="L1581">
        <f>IF(Entry!$K1581="",0,Entry!$K1581)</f>
        <v/>
      </c>
      <c r="M1581">
        <f>IF(Entry!$L1581="",0,Entry!$L1581)</f>
        <v/>
      </c>
    </row>
    <row r="1582">
      <c r="A1582">
        <f>IF(Entry!$C1582="","",Entry!$C1582)</f>
        <v/>
      </c>
      <c r="B1582">
        <f>IF($A1582="","",IF(ISNUMBER($A1582),IF(AND($A1582&gt;=10000101,$A1582&lt;=99991231),INT($A1582/10000),""),IFERROR(VALUE(TRIM(LEFT($A1582,FIND("/",$A1582)-1))),"")))</f>
        <v/>
      </c>
      <c r="C1582">
        <f>IF(OR($A1582="",$B1582=""),"",IF(ISNUMBER($A1582),INT(MOD($A1582,10000)/100),IFERROR(VALUE(TRIM(LEFT(MID($A1582,FIND("/",$A1582)+1,20),FIND("/",MID($A1582,FIND("/",$A1582)+1,20))-1))),"")))</f>
        <v/>
      </c>
      <c r="D1582">
        <f>IF(OR($A1582="",$B1582=""),"",IF(ISNUMBER($A1582),MOD($A1582,100),IFERROR(VALUE(TRIM(MID(MID($A1582,FIND("/",$A1582)+1,20),FIND("/",MID($A1582,FIND("/",$A1582)+1,20))+1,20))),"")))</f>
        <v/>
      </c>
      <c r="E1582">
        <f>IF($A1582="","",IF(OR($B1582="",$C1582="",$D1582="",$B1582&lt;1300,$B1582&gt;1500,$C1582&lt;1,$C1582&gt;12,$D1582&lt;1,$D1582&gt;31),"نامعتبر",RIGHT("0000"&amp;$B1582,4)&amp;"/"&amp;RIGHT("00"&amp;$C1582,2)&amp;"/"&amp;RIGHT("00"&amp;$D1582,2)))</f>
        <v/>
      </c>
      <c r="F1582">
        <f>IF(Entry!$D1582&lt;&gt;"",IF(AND(ISNUMBER(Entry!$D1582),Entry!$D1582&gt;=0,Entry!$D1582&lt;1),RIGHT("00"&amp;HOUR(Entry!$D1582),2)&amp;":"&amp;RIGHT("00"&amp;MINUTE(Entry!$D1582),2),IFERROR(RIGHT("00"&amp;VALUE(TRIM(LEFT(Entry!$D1582,FIND(":",Entry!$D1582)-1))),2)&amp;":"&amp;RIGHT("00"&amp;VALUE(TRIM(MID(Entry!$D1582,FIND(":",Entry!$D1582)+1,2))),2),"نامعتبر")),IF(OR($E1582="",$E1582="نامعتبر"),"","00:00"))</f>
        <v/>
      </c>
      <c r="G1582">
        <f>IF(OR($E1582="",$E1582="نامعتبر"),"",IF(Entry!$E1582="","",LEFT(UPPER(TRIM(Entry!$E1582)),6)))</f>
        <v/>
      </c>
      <c r="H1582">
        <f>IF($G1582="","",RIGHT($E1582,4)&amp;MID($E1582,6,2)&amp;RIGHT($E1582,2)&amp;IF($F1582="","0000",IF($F1582="نامعتبر","9999",LEFT($F1582,2)&amp;RIGHT($F1582,2)))&amp;"|"&amp;RIGHT("00000"&amp;1574,5))</f>
        <v/>
      </c>
      <c r="I1582">
        <f>IF($H1582="","",COUNTIFS(CalcBank,$G1582,CalcKey,"&lt;"&amp;$H1582)+1)</f>
        <v/>
      </c>
      <c r="J1582">
        <f>IF($I1582="","",$G1582&amp;"|"&amp;RIGHT("000000"&amp;$I1582,6))</f>
        <v/>
      </c>
      <c r="K1582">
        <f>IF(OR($E1582="",$E1582="نامعتبر"),"",LEFT($E1582,4)&amp;"/"&amp;MID($E1582,6,2))</f>
        <v/>
      </c>
      <c r="L1582">
        <f>IF(Entry!$K1582="",0,Entry!$K1582)</f>
        <v/>
      </c>
      <c r="M1582">
        <f>IF(Entry!$L1582="",0,Entry!$L1582)</f>
        <v/>
      </c>
    </row>
    <row r="1583">
      <c r="A1583">
        <f>IF(Entry!$C1583="","",Entry!$C1583)</f>
        <v/>
      </c>
      <c r="B1583">
        <f>IF($A1583="","",IF(ISNUMBER($A1583),IF(AND($A1583&gt;=10000101,$A1583&lt;=99991231),INT($A1583/10000),""),IFERROR(VALUE(TRIM(LEFT($A1583,FIND("/",$A1583)-1))),"")))</f>
        <v/>
      </c>
      <c r="C1583">
        <f>IF(OR($A1583="",$B1583=""),"",IF(ISNUMBER($A1583),INT(MOD($A1583,10000)/100),IFERROR(VALUE(TRIM(LEFT(MID($A1583,FIND("/",$A1583)+1,20),FIND("/",MID($A1583,FIND("/",$A1583)+1,20))-1))),"")))</f>
        <v/>
      </c>
      <c r="D1583">
        <f>IF(OR($A1583="",$B1583=""),"",IF(ISNUMBER($A1583),MOD($A1583,100),IFERROR(VALUE(TRIM(MID(MID($A1583,FIND("/",$A1583)+1,20),FIND("/",MID($A1583,FIND("/",$A1583)+1,20))+1,20))),"")))</f>
        <v/>
      </c>
      <c r="E1583">
        <f>IF($A1583="","",IF(OR($B1583="",$C1583="",$D1583="",$B1583&lt;1300,$B1583&gt;1500,$C1583&lt;1,$C1583&gt;12,$D1583&lt;1,$D1583&gt;31),"نامعتبر",RIGHT("0000"&amp;$B1583,4)&amp;"/"&amp;RIGHT("00"&amp;$C1583,2)&amp;"/"&amp;RIGHT("00"&amp;$D1583,2)))</f>
        <v/>
      </c>
      <c r="F1583">
        <f>IF(Entry!$D1583&lt;&gt;"",IF(AND(ISNUMBER(Entry!$D1583),Entry!$D1583&gt;=0,Entry!$D1583&lt;1),RIGHT("00"&amp;HOUR(Entry!$D1583),2)&amp;":"&amp;RIGHT("00"&amp;MINUTE(Entry!$D1583),2),IFERROR(RIGHT("00"&amp;VALUE(TRIM(LEFT(Entry!$D1583,FIND(":",Entry!$D1583)-1))),2)&amp;":"&amp;RIGHT("00"&amp;VALUE(TRIM(MID(Entry!$D1583,FIND(":",Entry!$D1583)+1,2))),2),"نامعتبر")),IF(OR($E1583="",$E1583="نامعتبر"),"","00:00"))</f>
        <v/>
      </c>
      <c r="G1583">
        <f>IF(OR($E1583="",$E1583="نامعتبر"),"",IF(Entry!$E1583="","",LEFT(UPPER(TRIM(Entry!$E1583)),6)))</f>
        <v/>
      </c>
      <c r="H1583">
        <f>IF($G1583="","",RIGHT($E1583,4)&amp;MID($E1583,6,2)&amp;RIGHT($E1583,2)&amp;IF($F1583="","0000",IF($F1583="نامعتبر","9999",LEFT($F1583,2)&amp;RIGHT($F1583,2)))&amp;"|"&amp;RIGHT("00000"&amp;1575,5))</f>
        <v/>
      </c>
      <c r="I1583">
        <f>IF($H1583="","",COUNTIFS(CalcBank,$G1583,CalcKey,"&lt;"&amp;$H1583)+1)</f>
        <v/>
      </c>
      <c r="J1583">
        <f>IF($I1583="","",$G1583&amp;"|"&amp;RIGHT("000000"&amp;$I1583,6))</f>
        <v/>
      </c>
      <c r="K1583">
        <f>IF(OR($E1583="",$E1583="نامعتبر"),"",LEFT($E1583,4)&amp;"/"&amp;MID($E1583,6,2))</f>
        <v/>
      </c>
      <c r="L1583">
        <f>IF(Entry!$K1583="",0,Entry!$K1583)</f>
        <v/>
      </c>
      <c r="M1583">
        <f>IF(Entry!$L1583="",0,Entry!$L1583)</f>
        <v/>
      </c>
    </row>
    <row r="1584">
      <c r="A1584">
        <f>IF(Entry!$C1584="","",Entry!$C1584)</f>
        <v/>
      </c>
      <c r="B1584">
        <f>IF($A1584="","",IF(ISNUMBER($A1584),IF(AND($A1584&gt;=10000101,$A1584&lt;=99991231),INT($A1584/10000),""),IFERROR(VALUE(TRIM(LEFT($A1584,FIND("/",$A1584)-1))),"")))</f>
        <v/>
      </c>
      <c r="C1584">
        <f>IF(OR($A1584="",$B1584=""),"",IF(ISNUMBER($A1584),INT(MOD($A1584,10000)/100),IFERROR(VALUE(TRIM(LEFT(MID($A1584,FIND("/",$A1584)+1,20),FIND("/",MID($A1584,FIND("/",$A1584)+1,20))-1))),"")))</f>
        <v/>
      </c>
      <c r="D1584">
        <f>IF(OR($A1584="",$B1584=""),"",IF(ISNUMBER($A1584),MOD($A1584,100),IFERROR(VALUE(TRIM(MID(MID($A1584,FIND("/",$A1584)+1,20),FIND("/",MID($A1584,FIND("/",$A1584)+1,20))+1,20))),"")))</f>
        <v/>
      </c>
      <c r="E1584">
        <f>IF($A1584="","",IF(OR($B1584="",$C1584="",$D1584="",$B1584&lt;1300,$B1584&gt;1500,$C1584&lt;1,$C1584&gt;12,$D1584&lt;1,$D1584&gt;31),"نامعتبر",RIGHT("0000"&amp;$B1584,4)&amp;"/"&amp;RIGHT("00"&amp;$C1584,2)&amp;"/"&amp;RIGHT("00"&amp;$D1584,2)))</f>
        <v/>
      </c>
      <c r="F1584">
        <f>IF(Entry!$D1584&lt;&gt;"",IF(AND(ISNUMBER(Entry!$D1584),Entry!$D1584&gt;=0,Entry!$D1584&lt;1),RIGHT("00"&amp;HOUR(Entry!$D1584),2)&amp;":"&amp;RIGHT("00"&amp;MINUTE(Entry!$D1584),2),IFERROR(RIGHT("00"&amp;VALUE(TRIM(LEFT(Entry!$D1584,FIND(":",Entry!$D1584)-1))),2)&amp;":"&amp;RIGHT("00"&amp;VALUE(TRIM(MID(Entry!$D1584,FIND(":",Entry!$D1584)+1,2))),2),"نامعتبر")),IF(OR($E1584="",$E1584="نامعتبر"),"","00:00"))</f>
        <v/>
      </c>
      <c r="G1584">
        <f>IF(OR($E1584="",$E1584="نامعتبر"),"",IF(Entry!$E1584="","",LEFT(UPPER(TRIM(Entry!$E1584)),6)))</f>
        <v/>
      </c>
      <c r="H1584">
        <f>IF($G1584="","",RIGHT($E1584,4)&amp;MID($E1584,6,2)&amp;RIGHT($E1584,2)&amp;IF($F1584="","0000",IF($F1584="نامعتبر","9999",LEFT($F1584,2)&amp;RIGHT($F1584,2)))&amp;"|"&amp;RIGHT("00000"&amp;1576,5))</f>
        <v/>
      </c>
      <c r="I1584">
        <f>IF($H1584="","",COUNTIFS(CalcBank,$G1584,CalcKey,"&lt;"&amp;$H1584)+1)</f>
        <v/>
      </c>
      <c r="J1584">
        <f>IF($I1584="","",$G1584&amp;"|"&amp;RIGHT("000000"&amp;$I1584,6))</f>
        <v/>
      </c>
      <c r="K1584">
        <f>IF(OR($E1584="",$E1584="نامعتبر"),"",LEFT($E1584,4)&amp;"/"&amp;MID($E1584,6,2))</f>
        <v/>
      </c>
      <c r="L1584">
        <f>IF(Entry!$K1584="",0,Entry!$K1584)</f>
        <v/>
      </c>
      <c r="M1584">
        <f>IF(Entry!$L1584="",0,Entry!$L1584)</f>
        <v/>
      </c>
    </row>
    <row r="1585">
      <c r="A1585">
        <f>IF(Entry!$C1585="","",Entry!$C1585)</f>
        <v/>
      </c>
      <c r="B1585">
        <f>IF($A1585="","",IF(ISNUMBER($A1585),IF(AND($A1585&gt;=10000101,$A1585&lt;=99991231),INT($A1585/10000),""),IFERROR(VALUE(TRIM(LEFT($A1585,FIND("/",$A1585)-1))),"")))</f>
        <v/>
      </c>
      <c r="C1585">
        <f>IF(OR($A1585="",$B1585=""),"",IF(ISNUMBER($A1585),INT(MOD($A1585,10000)/100),IFERROR(VALUE(TRIM(LEFT(MID($A1585,FIND("/",$A1585)+1,20),FIND("/",MID($A1585,FIND("/",$A1585)+1,20))-1))),"")))</f>
        <v/>
      </c>
      <c r="D1585">
        <f>IF(OR($A1585="",$B1585=""),"",IF(ISNUMBER($A1585),MOD($A1585,100),IFERROR(VALUE(TRIM(MID(MID($A1585,FIND("/",$A1585)+1,20),FIND("/",MID($A1585,FIND("/",$A1585)+1,20))+1,20))),"")))</f>
        <v/>
      </c>
      <c r="E1585">
        <f>IF($A1585="","",IF(OR($B1585="",$C1585="",$D1585="",$B1585&lt;1300,$B1585&gt;1500,$C1585&lt;1,$C1585&gt;12,$D1585&lt;1,$D1585&gt;31),"نامعتبر",RIGHT("0000"&amp;$B1585,4)&amp;"/"&amp;RIGHT("00"&amp;$C1585,2)&amp;"/"&amp;RIGHT("00"&amp;$D1585,2)))</f>
        <v/>
      </c>
      <c r="F1585">
        <f>IF(Entry!$D1585&lt;&gt;"",IF(AND(ISNUMBER(Entry!$D1585),Entry!$D1585&gt;=0,Entry!$D1585&lt;1),RIGHT("00"&amp;HOUR(Entry!$D1585),2)&amp;":"&amp;RIGHT("00"&amp;MINUTE(Entry!$D1585),2),IFERROR(RIGHT("00"&amp;VALUE(TRIM(LEFT(Entry!$D1585,FIND(":",Entry!$D1585)-1))),2)&amp;":"&amp;RIGHT("00"&amp;VALUE(TRIM(MID(Entry!$D1585,FIND(":",Entry!$D1585)+1,2))),2),"نامعتبر")),IF(OR($E1585="",$E1585="نامعتبر"),"","00:00"))</f>
        <v/>
      </c>
      <c r="G1585">
        <f>IF(OR($E1585="",$E1585="نامعتبر"),"",IF(Entry!$E1585="","",LEFT(UPPER(TRIM(Entry!$E1585)),6)))</f>
        <v/>
      </c>
      <c r="H1585">
        <f>IF($G1585="","",RIGHT($E1585,4)&amp;MID($E1585,6,2)&amp;RIGHT($E1585,2)&amp;IF($F1585="","0000",IF($F1585="نامعتبر","9999",LEFT($F1585,2)&amp;RIGHT($F1585,2)))&amp;"|"&amp;RIGHT("00000"&amp;1577,5))</f>
        <v/>
      </c>
      <c r="I1585">
        <f>IF($H1585="","",COUNTIFS(CalcBank,$G1585,CalcKey,"&lt;"&amp;$H1585)+1)</f>
        <v/>
      </c>
      <c r="J1585">
        <f>IF($I1585="","",$G1585&amp;"|"&amp;RIGHT("000000"&amp;$I1585,6))</f>
        <v/>
      </c>
      <c r="K1585">
        <f>IF(OR($E1585="",$E1585="نامعتبر"),"",LEFT($E1585,4)&amp;"/"&amp;MID($E1585,6,2))</f>
        <v/>
      </c>
      <c r="L1585">
        <f>IF(Entry!$K1585="",0,Entry!$K1585)</f>
        <v/>
      </c>
      <c r="M1585">
        <f>IF(Entry!$L1585="",0,Entry!$L1585)</f>
        <v/>
      </c>
    </row>
    <row r="1586">
      <c r="A1586">
        <f>IF(Entry!$C1586="","",Entry!$C1586)</f>
        <v/>
      </c>
      <c r="B1586">
        <f>IF($A1586="","",IF(ISNUMBER($A1586),IF(AND($A1586&gt;=10000101,$A1586&lt;=99991231),INT($A1586/10000),""),IFERROR(VALUE(TRIM(LEFT($A1586,FIND("/",$A1586)-1))),"")))</f>
        <v/>
      </c>
      <c r="C1586">
        <f>IF(OR($A1586="",$B1586=""),"",IF(ISNUMBER($A1586),INT(MOD($A1586,10000)/100),IFERROR(VALUE(TRIM(LEFT(MID($A1586,FIND("/",$A1586)+1,20),FIND("/",MID($A1586,FIND("/",$A1586)+1,20))-1))),"")))</f>
        <v/>
      </c>
      <c r="D1586">
        <f>IF(OR($A1586="",$B1586=""),"",IF(ISNUMBER($A1586),MOD($A1586,100),IFERROR(VALUE(TRIM(MID(MID($A1586,FIND("/",$A1586)+1,20),FIND("/",MID($A1586,FIND("/",$A1586)+1,20))+1,20))),"")))</f>
        <v/>
      </c>
      <c r="E1586">
        <f>IF($A1586="","",IF(OR($B1586="",$C1586="",$D1586="",$B1586&lt;1300,$B1586&gt;1500,$C1586&lt;1,$C1586&gt;12,$D1586&lt;1,$D1586&gt;31),"نامعتبر",RIGHT("0000"&amp;$B1586,4)&amp;"/"&amp;RIGHT("00"&amp;$C1586,2)&amp;"/"&amp;RIGHT("00"&amp;$D1586,2)))</f>
        <v/>
      </c>
      <c r="F1586">
        <f>IF(Entry!$D1586&lt;&gt;"",IF(AND(ISNUMBER(Entry!$D1586),Entry!$D1586&gt;=0,Entry!$D1586&lt;1),RIGHT("00"&amp;HOUR(Entry!$D1586),2)&amp;":"&amp;RIGHT("00"&amp;MINUTE(Entry!$D1586),2),IFERROR(RIGHT("00"&amp;VALUE(TRIM(LEFT(Entry!$D1586,FIND(":",Entry!$D1586)-1))),2)&amp;":"&amp;RIGHT("00"&amp;VALUE(TRIM(MID(Entry!$D1586,FIND(":",Entry!$D1586)+1,2))),2),"نامعتبر")),IF(OR($E1586="",$E1586="نامعتبر"),"","00:00"))</f>
        <v/>
      </c>
      <c r="G1586">
        <f>IF(OR($E1586="",$E1586="نامعتبر"),"",IF(Entry!$E1586="","",LEFT(UPPER(TRIM(Entry!$E1586)),6)))</f>
        <v/>
      </c>
      <c r="H1586">
        <f>IF($G1586="","",RIGHT($E1586,4)&amp;MID($E1586,6,2)&amp;RIGHT($E1586,2)&amp;IF($F1586="","0000",IF($F1586="نامعتبر","9999",LEFT($F1586,2)&amp;RIGHT($F1586,2)))&amp;"|"&amp;RIGHT("00000"&amp;1578,5))</f>
        <v/>
      </c>
      <c r="I1586">
        <f>IF($H1586="","",COUNTIFS(CalcBank,$G1586,CalcKey,"&lt;"&amp;$H1586)+1)</f>
        <v/>
      </c>
      <c r="J1586">
        <f>IF($I1586="","",$G1586&amp;"|"&amp;RIGHT("000000"&amp;$I1586,6))</f>
        <v/>
      </c>
      <c r="K1586">
        <f>IF(OR($E1586="",$E1586="نامعتبر"),"",LEFT($E1586,4)&amp;"/"&amp;MID($E1586,6,2))</f>
        <v/>
      </c>
      <c r="L1586">
        <f>IF(Entry!$K1586="",0,Entry!$K1586)</f>
        <v/>
      </c>
      <c r="M1586">
        <f>IF(Entry!$L1586="",0,Entry!$L1586)</f>
        <v/>
      </c>
    </row>
    <row r="1587">
      <c r="A1587">
        <f>IF(Entry!$C1587="","",Entry!$C1587)</f>
        <v/>
      </c>
      <c r="B1587">
        <f>IF($A1587="","",IF(ISNUMBER($A1587),IF(AND($A1587&gt;=10000101,$A1587&lt;=99991231),INT($A1587/10000),""),IFERROR(VALUE(TRIM(LEFT($A1587,FIND("/",$A1587)-1))),"")))</f>
        <v/>
      </c>
      <c r="C1587">
        <f>IF(OR($A1587="",$B1587=""),"",IF(ISNUMBER($A1587),INT(MOD($A1587,10000)/100),IFERROR(VALUE(TRIM(LEFT(MID($A1587,FIND("/",$A1587)+1,20),FIND("/",MID($A1587,FIND("/",$A1587)+1,20))-1))),"")))</f>
        <v/>
      </c>
      <c r="D1587">
        <f>IF(OR($A1587="",$B1587=""),"",IF(ISNUMBER($A1587),MOD($A1587,100),IFERROR(VALUE(TRIM(MID(MID($A1587,FIND("/",$A1587)+1,20),FIND("/",MID($A1587,FIND("/",$A1587)+1,20))+1,20))),"")))</f>
        <v/>
      </c>
      <c r="E1587">
        <f>IF($A1587="","",IF(OR($B1587="",$C1587="",$D1587="",$B1587&lt;1300,$B1587&gt;1500,$C1587&lt;1,$C1587&gt;12,$D1587&lt;1,$D1587&gt;31),"نامعتبر",RIGHT("0000"&amp;$B1587,4)&amp;"/"&amp;RIGHT("00"&amp;$C1587,2)&amp;"/"&amp;RIGHT("00"&amp;$D1587,2)))</f>
        <v/>
      </c>
      <c r="F1587">
        <f>IF(Entry!$D1587&lt;&gt;"",IF(AND(ISNUMBER(Entry!$D1587),Entry!$D1587&gt;=0,Entry!$D1587&lt;1),RIGHT("00"&amp;HOUR(Entry!$D1587),2)&amp;":"&amp;RIGHT("00"&amp;MINUTE(Entry!$D1587),2),IFERROR(RIGHT("00"&amp;VALUE(TRIM(LEFT(Entry!$D1587,FIND(":",Entry!$D1587)-1))),2)&amp;":"&amp;RIGHT("00"&amp;VALUE(TRIM(MID(Entry!$D1587,FIND(":",Entry!$D1587)+1,2))),2),"نامعتبر")),IF(OR($E1587="",$E1587="نامعتبر"),"","00:00"))</f>
        <v/>
      </c>
      <c r="G1587">
        <f>IF(OR($E1587="",$E1587="نامعتبر"),"",IF(Entry!$E1587="","",LEFT(UPPER(TRIM(Entry!$E1587)),6)))</f>
        <v/>
      </c>
      <c r="H1587">
        <f>IF($G1587="","",RIGHT($E1587,4)&amp;MID($E1587,6,2)&amp;RIGHT($E1587,2)&amp;IF($F1587="","0000",IF($F1587="نامعتبر","9999",LEFT($F1587,2)&amp;RIGHT($F1587,2)))&amp;"|"&amp;RIGHT("00000"&amp;1579,5))</f>
        <v/>
      </c>
      <c r="I1587">
        <f>IF($H1587="","",COUNTIFS(CalcBank,$G1587,CalcKey,"&lt;"&amp;$H1587)+1)</f>
        <v/>
      </c>
      <c r="J1587">
        <f>IF($I1587="","",$G1587&amp;"|"&amp;RIGHT("000000"&amp;$I1587,6))</f>
        <v/>
      </c>
      <c r="K1587">
        <f>IF(OR($E1587="",$E1587="نامعتبر"),"",LEFT($E1587,4)&amp;"/"&amp;MID($E1587,6,2))</f>
        <v/>
      </c>
      <c r="L1587">
        <f>IF(Entry!$K1587="",0,Entry!$K1587)</f>
        <v/>
      </c>
      <c r="M1587">
        <f>IF(Entry!$L1587="",0,Entry!$L1587)</f>
        <v/>
      </c>
    </row>
    <row r="1588">
      <c r="A1588">
        <f>IF(Entry!$C1588="","",Entry!$C1588)</f>
        <v/>
      </c>
      <c r="B1588">
        <f>IF($A1588="","",IF(ISNUMBER($A1588),IF(AND($A1588&gt;=10000101,$A1588&lt;=99991231),INT($A1588/10000),""),IFERROR(VALUE(TRIM(LEFT($A1588,FIND("/",$A1588)-1))),"")))</f>
        <v/>
      </c>
      <c r="C1588">
        <f>IF(OR($A1588="",$B1588=""),"",IF(ISNUMBER($A1588),INT(MOD($A1588,10000)/100),IFERROR(VALUE(TRIM(LEFT(MID($A1588,FIND("/",$A1588)+1,20),FIND("/",MID($A1588,FIND("/",$A1588)+1,20))-1))),"")))</f>
        <v/>
      </c>
      <c r="D1588">
        <f>IF(OR($A1588="",$B1588=""),"",IF(ISNUMBER($A1588),MOD($A1588,100),IFERROR(VALUE(TRIM(MID(MID($A1588,FIND("/",$A1588)+1,20),FIND("/",MID($A1588,FIND("/",$A1588)+1,20))+1,20))),"")))</f>
        <v/>
      </c>
      <c r="E1588">
        <f>IF($A1588="","",IF(OR($B1588="",$C1588="",$D1588="",$B1588&lt;1300,$B1588&gt;1500,$C1588&lt;1,$C1588&gt;12,$D1588&lt;1,$D1588&gt;31),"نامعتبر",RIGHT("0000"&amp;$B1588,4)&amp;"/"&amp;RIGHT("00"&amp;$C1588,2)&amp;"/"&amp;RIGHT("00"&amp;$D1588,2)))</f>
        <v/>
      </c>
      <c r="F1588">
        <f>IF(Entry!$D1588&lt;&gt;"",IF(AND(ISNUMBER(Entry!$D1588),Entry!$D1588&gt;=0,Entry!$D1588&lt;1),RIGHT("00"&amp;HOUR(Entry!$D1588),2)&amp;":"&amp;RIGHT("00"&amp;MINUTE(Entry!$D1588),2),IFERROR(RIGHT("00"&amp;VALUE(TRIM(LEFT(Entry!$D1588,FIND(":",Entry!$D1588)-1))),2)&amp;":"&amp;RIGHT("00"&amp;VALUE(TRIM(MID(Entry!$D1588,FIND(":",Entry!$D1588)+1,2))),2),"نامعتبر")),IF(OR($E1588="",$E1588="نامعتبر"),"","00:00"))</f>
        <v/>
      </c>
      <c r="G1588">
        <f>IF(OR($E1588="",$E1588="نامعتبر"),"",IF(Entry!$E1588="","",LEFT(UPPER(TRIM(Entry!$E1588)),6)))</f>
        <v/>
      </c>
      <c r="H1588">
        <f>IF($G1588="","",RIGHT($E1588,4)&amp;MID($E1588,6,2)&amp;RIGHT($E1588,2)&amp;IF($F1588="","0000",IF($F1588="نامعتبر","9999",LEFT($F1588,2)&amp;RIGHT($F1588,2)))&amp;"|"&amp;RIGHT("00000"&amp;1580,5))</f>
        <v/>
      </c>
      <c r="I1588">
        <f>IF($H1588="","",COUNTIFS(CalcBank,$G1588,CalcKey,"&lt;"&amp;$H1588)+1)</f>
        <v/>
      </c>
      <c r="J1588">
        <f>IF($I1588="","",$G1588&amp;"|"&amp;RIGHT("000000"&amp;$I1588,6))</f>
        <v/>
      </c>
      <c r="K1588">
        <f>IF(OR($E1588="",$E1588="نامعتبر"),"",LEFT($E1588,4)&amp;"/"&amp;MID($E1588,6,2))</f>
        <v/>
      </c>
      <c r="L1588">
        <f>IF(Entry!$K1588="",0,Entry!$K1588)</f>
        <v/>
      </c>
      <c r="M1588">
        <f>IF(Entry!$L1588="",0,Entry!$L1588)</f>
        <v/>
      </c>
    </row>
    <row r="1589">
      <c r="A1589">
        <f>IF(Entry!$C1589="","",Entry!$C1589)</f>
        <v/>
      </c>
      <c r="B1589">
        <f>IF($A1589="","",IF(ISNUMBER($A1589),IF(AND($A1589&gt;=10000101,$A1589&lt;=99991231),INT($A1589/10000),""),IFERROR(VALUE(TRIM(LEFT($A1589,FIND("/",$A1589)-1))),"")))</f>
        <v/>
      </c>
      <c r="C1589">
        <f>IF(OR($A1589="",$B1589=""),"",IF(ISNUMBER($A1589),INT(MOD($A1589,10000)/100),IFERROR(VALUE(TRIM(LEFT(MID($A1589,FIND("/",$A1589)+1,20),FIND("/",MID($A1589,FIND("/",$A1589)+1,20))-1))),"")))</f>
        <v/>
      </c>
      <c r="D1589">
        <f>IF(OR($A1589="",$B1589=""),"",IF(ISNUMBER($A1589),MOD($A1589,100),IFERROR(VALUE(TRIM(MID(MID($A1589,FIND("/",$A1589)+1,20),FIND("/",MID($A1589,FIND("/",$A1589)+1,20))+1,20))),"")))</f>
        <v/>
      </c>
      <c r="E1589">
        <f>IF($A1589="","",IF(OR($B1589="",$C1589="",$D1589="",$B1589&lt;1300,$B1589&gt;1500,$C1589&lt;1,$C1589&gt;12,$D1589&lt;1,$D1589&gt;31),"نامعتبر",RIGHT("0000"&amp;$B1589,4)&amp;"/"&amp;RIGHT("00"&amp;$C1589,2)&amp;"/"&amp;RIGHT("00"&amp;$D1589,2)))</f>
        <v/>
      </c>
      <c r="F1589">
        <f>IF(Entry!$D1589&lt;&gt;"",IF(AND(ISNUMBER(Entry!$D1589),Entry!$D1589&gt;=0,Entry!$D1589&lt;1),RIGHT("00"&amp;HOUR(Entry!$D1589),2)&amp;":"&amp;RIGHT("00"&amp;MINUTE(Entry!$D1589),2),IFERROR(RIGHT("00"&amp;VALUE(TRIM(LEFT(Entry!$D1589,FIND(":",Entry!$D1589)-1))),2)&amp;":"&amp;RIGHT("00"&amp;VALUE(TRIM(MID(Entry!$D1589,FIND(":",Entry!$D1589)+1,2))),2),"نامعتبر")),IF(OR($E1589="",$E1589="نامعتبر"),"","00:00"))</f>
        <v/>
      </c>
      <c r="G1589">
        <f>IF(OR($E1589="",$E1589="نامعتبر"),"",IF(Entry!$E1589="","",LEFT(UPPER(TRIM(Entry!$E1589)),6)))</f>
        <v/>
      </c>
      <c r="H1589">
        <f>IF($G1589="","",RIGHT($E1589,4)&amp;MID($E1589,6,2)&amp;RIGHT($E1589,2)&amp;IF($F1589="","0000",IF($F1589="نامعتبر","9999",LEFT($F1589,2)&amp;RIGHT($F1589,2)))&amp;"|"&amp;RIGHT("00000"&amp;1581,5))</f>
        <v/>
      </c>
      <c r="I1589">
        <f>IF($H1589="","",COUNTIFS(CalcBank,$G1589,CalcKey,"&lt;"&amp;$H1589)+1)</f>
        <v/>
      </c>
      <c r="J1589">
        <f>IF($I1589="","",$G1589&amp;"|"&amp;RIGHT("000000"&amp;$I1589,6))</f>
        <v/>
      </c>
      <c r="K1589">
        <f>IF(OR($E1589="",$E1589="نامعتبر"),"",LEFT($E1589,4)&amp;"/"&amp;MID($E1589,6,2))</f>
        <v/>
      </c>
      <c r="L1589">
        <f>IF(Entry!$K1589="",0,Entry!$K1589)</f>
        <v/>
      </c>
      <c r="M1589">
        <f>IF(Entry!$L1589="",0,Entry!$L1589)</f>
        <v/>
      </c>
    </row>
    <row r="1590">
      <c r="A1590">
        <f>IF(Entry!$C1590="","",Entry!$C1590)</f>
        <v/>
      </c>
      <c r="B1590">
        <f>IF($A1590="","",IF(ISNUMBER($A1590),IF(AND($A1590&gt;=10000101,$A1590&lt;=99991231),INT($A1590/10000),""),IFERROR(VALUE(TRIM(LEFT($A1590,FIND("/",$A1590)-1))),"")))</f>
        <v/>
      </c>
      <c r="C1590">
        <f>IF(OR($A1590="",$B1590=""),"",IF(ISNUMBER($A1590),INT(MOD($A1590,10000)/100),IFERROR(VALUE(TRIM(LEFT(MID($A1590,FIND("/",$A1590)+1,20),FIND("/",MID($A1590,FIND("/",$A1590)+1,20))-1))),"")))</f>
        <v/>
      </c>
      <c r="D1590">
        <f>IF(OR($A1590="",$B1590=""),"",IF(ISNUMBER($A1590),MOD($A1590,100),IFERROR(VALUE(TRIM(MID(MID($A1590,FIND("/",$A1590)+1,20),FIND("/",MID($A1590,FIND("/",$A1590)+1,20))+1,20))),"")))</f>
        <v/>
      </c>
      <c r="E1590">
        <f>IF($A1590="","",IF(OR($B1590="",$C1590="",$D1590="",$B1590&lt;1300,$B1590&gt;1500,$C1590&lt;1,$C1590&gt;12,$D1590&lt;1,$D1590&gt;31),"نامعتبر",RIGHT("0000"&amp;$B1590,4)&amp;"/"&amp;RIGHT("00"&amp;$C1590,2)&amp;"/"&amp;RIGHT("00"&amp;$D1590,2)))</f>
        <v/>
      </c>
      <c r="F1590">
        <f>IF(Entry!$D1590&lt;&gt;"",IF(AND(ISNUMBER(Entry!$D1590),Entry!$D1590&gt;=0,Entry!$D1590&lt;1),RIGHT("00"&amp;HOUR(Entry!$D1590),2)&amp;":"&amp;RIGHT("00"&amp;MINUTE(Entry!$D1590),2),IFERROR(RIGHT("00"&amp;VALUE(TRIM(LEFT(Entry!$D1590,FIND(":",Entry!$D1590)-1))),2)&amp;":"&amp;RIGHT("00"&amp;VALUE(TRIM(MID(Entry!$D1590,FIND(":",Entry!$D1590)+1,2))),2),"نامعتبر")),IF(OR($E1590="",$E1590="نامعتبر"),"","00:00"))</f>
        <v/>
      </c>
      <c r="G1590">
        <f>IF(OR($E1590="",$E1590="نامعتبر"),"",IF(Entry!$E1590="","",LEFT(UPPER(TRIM(Entry!$E1590)),6)))</f>
        <v/>
      </c>
      <c r="H1590">
        <f>IF($G1590="","",RIGHT($E1590,4)&amp;MID($E1590,6,2)&amp;RIGHT($E1590,2)&amp;IF($F1590="","0000",IF($F1590="نامعتبر","9999",LEFT($F1590,2)&amp;RIGHT($F1590,2)))&amp;"|"&amp;RIGHT("00000"&amp;1582,5))</f>
        <v/>
      </c>
      <c r="I1590">
        <f>IF($H1590="","",COUNTIFS(CalcBank,$G1590,CalcKey,"&lt;"&amp;$H1590)+1)</f>
        <v/>
      </c>
      <c r="J1590">
        <f>IF($I1590="","",$G1590&amp;"|"&amp;RIGHT("000000"&amp;$I1590,6))</f>
        <v/>
      </c>
      <c r="K1590">
        <f>IF(OR($E1590="",$E1590="نامعتبر"),"",LEFT($E1590,4)&amp;"/"&amp;MID($E1590,6,2))</f>
        <v/>
      </c>
      <c r="L1590">
        <f>IF(Entry!$K1590="",0,Entry!$K1590)</f>
        <v/>
      </c>
      <c r="M1590">
        <f>IF(Entry!$L1590="",0,Entry!$L1590)</f>
        <v/>
      </c>
    </row>
    <row r="1591">
      <c r="A1591">
        <f>IF(Entry!$C1591="","",Entry!$C1591)</f>
        <v/>
      </c>
      <c r="B1591">
        <f>IF($A1591="","",IF(ISNUMBER($A1591),IF(AND($A1591&gt;=10000101,$A1591&lt;=99991231),INT($A1591/10000),""),IFERROR(VALUE(TRIM(LEFT($A1591,FIND("/",$A1591)-1))),"")))</f>
        <v/>
      </c>
      <c r="C1591">
        <f>IF(OR($A1591="",$B1591=""),"",IF(ISNUMBER($A1591),INT(MOD($A1591,10000)/100),IFERROR(VALUE(TRIM(LEFT(MID($A1591,FIND("/",$A1591)+1,20),FIND("/",MID($A1591,FIND("/",$A1591)+1,20))-1))),"")))</f>
        <v/>
      </c>
      <c r="D1591">
        <f>IF(OR($A1591="",$B1591=""),"",IF(ISNUMBER($A1591),MOD($A1591,100),IFERROR(VALUE(TRIM(MID(MID($A1591,FIND("/",$A1591)+1,20),FIND("/",MID($A1591,FIND("/",$A1591)+1,20))+1,20))),"")))</f>
        <v/>
      </c>
      <c r="E1591">
        <f>IF($A1591="","",IF(OR($B1591="",$C1591="",$D1591="",$B1591&lt;1300,$B1591&gt;1500,$C1591&lt;1,$C1591&gt;12,$D1591&lt;1,$D1591&gt;31),"نامعتبر",RIGHT("0000"&amp;$B1591,4)&amp;"/"&amp;RIGHT("00"&amp;$C1591,2)&amp;"/"&amp;RIGHT("00"&amp;$D1591,2)))</f>
        <v/>
      </c>
      <c r="F1591">
        <f>IF(Entry!$D1591&lt;&gt;"",IF(AND(ISNUMBER(Entry!$D1591),Entry!$D1591&gt;=0,Entry!$D1591&lt;1),RIGHT("00"&amp;HOUR(Entry!$D1591),2)&amp;":"&amp;RIGHT("00"&amp;MINUTE(Entry!$D1591),2),IFERROR(RIGHT("00"&amp;VALUE(TRIM(LEFT(Entry!$D1591,FIND(":",Entry!$D1591)-1))),2)&amp;":"&amp;RIGHT("00"&amp;VALUE(TRIM(MID(Entry!$D1591,FIND(":",Entry!$D1591)+1,2))),2),"نامعتبر")),IF(OR($E1591="",$E1591="نامعتبر"),"","00:00"))</f>
        <v/>
      </c>
      <c r="G1591">
        <f>IF(OR($E1591="",$E1591="نامعتبر"),"",IF(Entry!$E1591="","",LEFT(UPPER(TRIM(Entry!$E1591)),6)))</f>
        <v/>
      </c>
      <c r="H1591">
        <f>IF($G1591="","",RIGHT($E1591,4)&amp;MID($E1591,6,2)&amp;RIGHT($E1591,2)&amp;IF($F1591="","0000",IF($F1591="نامعتبر","9999",LEFT($F1591,2)&amp;RIGHT($F1591,2)))&amp;"|"&amp;RIGHT("00000"&amp;1583,5))</f>
        <v/>
      </c>
      <c r="I1591">
        <f>IF($H1591="","",COUNTIFS(CalcBank,$G1591,CalcKey,"&lt;"&amp;$H1591)+1)</f>
        <v/>
      </c>
      <c r="J1591">
        <f>IF($I1591="","",$G1591&amp;"|"&amp;RIGHT("000000"&amp;$I1591,6))</f>
        <v/>
      </c>
      <c r="K1591">
        <f>IF(OR($E1591="",$E1591="نامعتبر"),"",LEFT($E1591,4)&amp;"/"&amp;MID($E1591,6,2))</f>
        <v/>
      </c>
      <c r="L1591">
        <f>IF(Entry!$K1591="",0,Entry!$K1591)</f>
        <v/>
      </c>
      <c r="M1591">
        <f>IF(Entry!$L1591="",0,Entry!$L1591)</f>
        <v/>
      </c>
    </row>
    <row r="1592">
      <c r="A1592">
        <f>IF(Entry!$C1592="","",Entry!$C1592)</f>
        <v/>
      </c>
      <c r="B1592">
        <f>IF($A1592="","",IF(ISNUMBER($A1592),IF(AND($A1592&gt;=10000101,$A1592&lt;=99991231),INT($A1592/10000),""),IFERROR(VALUE(TRIM(LEFT($A1592,FIND("/",$A1592)-1))),"")))</f>
        <v/>
      </c>
      <c r="C1592">
        <f>IF(OR($A1592="",$B1592=""),"",IF(ISNUMBER($A1592),INT(MOD($A1592,10000)/100),IFERROR(VALUE(TRIM(LEFT(MID($A1592,FIND("/",$A1592)+1,20),FIND("/",MID($A1592,FIND("/",$A1592)+1,20))-1))),"")))</f>
        <v/>
      </c>
      <c r="D1592">
        <f>IF(OR($A1592="",$B1592=""),"",IF(ISNUMBER($A1592),MOD($A1592,100),IFERROR(VALUE(TRIM(MID(MID($A1592,FIND("/",$A1592)+1,20),FIND("/",MID($A1592,FIND("/",$A1592)+1,20))+1,20))),"")))</f>
        <v/>
      </c>
      <c r="E1592">
        <f>IF($A1592="","",IF(OR($B1592="",$C1592="",$D1592="",$B1592&lt;1300,$B1592&gt;1500,$C1592&lt;1,$C1592&gt;12,$D1592&lt;1,$D1592&gt;31),"نامعتبر",RIGHT("0000"&amp;$B1592,4)&amp;"/"&amp;RIGHT("00"&amp;$C1592,2)&amp;"/"&amp;RIGHT("00"&amp;$D1592,2)))</f>
        <v/>
      </c>
      <c r="F1592">
        <f>IF(Entry!$D1592&lt;&gt;"",IF(AND(ISNUMBER(Entry!$D1592),Entry!$D1592&gt;=0,Entry!$D1592&lt;1),RIGHT("00"&amp;HOUR(Entry!$D1592),2)&amp;":"&amp;RIGHT("00"&amp;MINUTE(Entry!$D1592),2),IFERROR(RIGHT("00"&amp;VALUE(TRIM(LEFT(Entry!$D1592,FIND(":",Entry!$D1592)-1))),2)&amp;":"&amp;RIGHT("00"&amp;VALUE(TRIM(MID(Entry!$D1592,FIND(":",Entry!$D1592)+1,2))),2),"نامعتبر")),IF(OR($E1592="",$E1592="نامعتبر"),"","00:00"))</f>
        <v/>
      </c>
      <c r="G1592">
        <f>IF(OR($E1592="",$E1592="نامعتبر"),"",IF(Entry!$E1592="","",LEFT(UPPER(TRIM(Entry!$E1592)),6)))</f>
        <v/>
      </c>
      <c r="H1592">
        <f>IF($G1592="","",RIGHT($E1592,4)&amp;MID($E1592,6,2)&amp;RIGHT($E1592,2)&amp;IF($F1592="","0000",IF($F1592="نامعتبر","9999",LEFT($F1592,2)&amp;RIGHT($F1592,2)))&amp;"|"&amp;RIGHT("00000"&amp;1584,5))</f>
        <v/>
      </c>
      <c r="I1592">
        <f>IF($H1592="","",COUNTIFS(CalcBank,$G1592,CalcKey,"&lt;"&amp;$H1592)+1)</f>
        <v/>
      </c>
      <c r="J1592">
        <f>IF($I1592="","",$G1592&amp;"|"&amp;RIGHT("000000"&amp;$I1592,6))</f>
        <v/>
      </c>
      <c r="K1592">
        <f>IF(OR($E1592="",$E1592="نامعتبر"),"",LEFT($E1592,4)&amp;"/"&amp;MID($E1592,6,2))</f>
        <v/>
      </c>
      <c r="L1592">
        <f>IF(Entry!$K1592="",0,Entry!$K1592)</f>
        <v/>
      </c>
      <c r="M1592">
        <f>IF(Entry!$L1592="",0,Entry!$L1592)</f>
        <v/>
      </c>
    </row>
    <row r="1593">
      <c r="A1593">
        <f>IF(Entry!$C1593="","",Entry!$C1593)</f>
        <v/>
      </c>
      <c r="B1593">
        <f>IF($A1593="","",IF(ISNUMBER($A1593),IF(AND($A1593&gt;=10000101,$A1593&lt;=99991231),INT($A1593/10000),""),IFERROR(VALUE(TRIM(LEFT($A1593,FIND("/",$A1593)-1))),"")))</f>
        <v/>
      </c>
      <c r="C1593">
        <f>IF(OR($A1593="",$B1593=""),"",IF(ISNUMBER($A1593),INT(MOD($A1593,10000)/100),IFERROR(VALUE(TRIM(LEFT(MID($A1593,FIND("/",$A1593)+1,20),FIND("/",MID($A1593,FIND("/",$A1593)+1,20))-1))),"")))</f>
        <v/>
      </c>
      <c r="D1593">
        <f>IF(OR($A1593="",$B1593=""),"",IF(ISNUMBER($A1593),MOD($A1593,100),IFERROR(VALUE(TRIM(MID(MID($A1593,FIND("/",$A1593)+1,20),FIND("/",MID($A1593,FIND("/",$A1593)+1,20))+1,20))),"")))</f>
        <v/>
      </c>
      <c r="E1593">
        <f>IF($A1593="","",IF(OR($B1593="",$C1593="",$D1593="",$B1593&lt;1300,$B1593&gt;1500,$C1593&lt;1,$C1593&gt;12,$D1593&lt;1,$D1593&gt;31),"نامعتبر",RIGHT("0000"&amp;$B1593,4)&amp;"/"&amp;RIGHT("00"&amp;$C1593,2)&amp;"/"&amp;RIGHT("00"&amp;$D1593,2)))</f>
        <v/>
      </c>
      <c r="F1593">
        <f>IF(Entry!$D1593&lt;&gt;"",IF(AND(ISNUMBER(Entry!$D1593),Entry!$D1593&gt;=0,Entry!$D1593&lt;1),RIGHT("00"&amp;HOUR(Entry!$D1593),2)&amp;":"&amp;RIGHT("00"&amp;MINUTE(Entry!$D1593),2),IFERROR(RIGHT("00"&amp;VALUE(TRIM(LEFT(Entry!$D1593,FIND(":",Entry!$D1593)-1))),2)&amp;":"&amp;RIGHT("00"&amp;VALUE(TRIM(MID(Entry!$D1593,FIND(":",Entry!$D1593)+1,2))),2),"نامعتبر")),IF(OR($E1593="",$E1593="نامعتبر"),"","00:00"))</f>
        <v/>
      </c>
      <c r="G1593">
        <f>IF(OR($E1593="",$E1593="نامعتبر"),"",IF(Entry!$E1593="","",LEFT(UPPER(TRIM(Entry!$E1593)),6)))</f>
        <v/>
      </c>
      <c r="H1593">
        <f>IF($G1593="","",RIGHT($E1593,4)&amp;MID($E1593,6,2)&amp;RIGHT($E1593,2)&amp;IF($F1593="","0000",IF($F1593="نامعتبر","9999",LEFT($F1593,2)&amp;RIGHT($F1593,2)))&amp;"|"&amp;RIGHT("00000"&amp;1585,5))</f>
        <v/>
      </c>
      <c r="I1593">
        <f>IF($H1593="","",COUNTIFS(CalcBank,$G1593,CalcKey,"&lt;"&amp;$H1593)+1)</f>
        <v/>
      </c>
      <c r="J1593">
        <f>IF($I1593="","",$G1593&amp;"|"&amp;RIGHT("000000"&amp;$I1593,6))</f>
        <v/>
      </c>
      <c r="K1593">
        <f>IF(OR($E1593="",$E1593="نامعتبر"),"",LEFT($E1593,4)&amp;"/"&amp;MID($E1593,6,2))</f>
        <v/>
      </c>
      <c r="L1593">
        <f>IF(Entry!$K1593="",0,Entry!$K1593)</f>
        <v/>
      </c>
      <c r="M1593">
        <f>IF(Entry!$L1593="",0,Entry!$L1593)</f>
        <v/>
      </c>
    </row>
    <row r="1594">
      <c r="A1594">
        <f>IF(Entry!$C1594="","",Entry!$C1594)</f>
        <v/>
      </c>
      <c r="B1594">
        <f>IF($A1594="","",IF(ISNUMBER($A1594),IF(AND($A1594&gt;=10000101,$A1594&lt;=99991231),INT($A1594/10000),""),IFERROR(VALUE(TRIM(LEFT($A1594,FIND("/",$A1594)-1))),"")))</f>
        <v/>
      </c>
      <c r="C1594">
        <f>IF(OR($A1594="",$B1594=""),"",IF(ISNUMBER($A1594),INT(MOD($A1594,10000)/100),IFERROR(VALUE(TRIM(LEFT(MID($A1594,FIND("/",$A1594)+1,20),FIND("/",MID($A1594,FIND("/",$A1594)+1,20))-1))),"")))</f>
        <v/>
      </c>
      <c r="D1594">
        <f>IF(OR($A1594="",$B1594=""),"",IF(ISNUMBER($A1594),MOD($A1594,100),IFERROR(VALUE(TRIM(MID(MID($A1594,FIND("/",$A1594)+1,20),FIND("/",MID($A1594,FIND("/",$A1594)+1,20))+1,20))),"")))</f>
        <v/>
      </c>
      <c r="E1594">
        <f>IF($A1594="","",IF(OR($B1594="",$C1594="",$D1594="",$B1594&lt;1300,$B1594&gt;1500,$C1594&lt;1,$C1594&gt;12,$D1594&lt;1,$D1594&gt;31),"نامعتبر",RIGHT("0000"&amp;$B1594,4)&amp;"/"&amp;RIGHT("00"&amp;$C1594,2)&amp;"/"&amp;RIGHT("00"&amp;$D1594,2)))</f>
        <v/>
      </c>
      <c r="F1594">
        <f>IF(Entry!$D1594&lt;&gt;"",IF(AND(ISNUMBER(Entry!$D1594),Entry!$D1594&gt;=0,Entry!$D1594&lt;1),RIGHT("00"&amp;HOUR(Entry!$D1594),2)&amp;":"&amp;RIGHT("00"&amp;MINUTE(Entry!$D1594),2),IFERROR(RIGHT("00"&amp;VALUE(TRIM(LEFT(Entry!$D1594,FIND(":",Entry!$D1594)-1))),2)&amp;":"&amp;RIGHT("00"&amp;VALUE(TRIM(MID(Entry!$D1594,FIND(":",Entry!$D1594)+1,2))),2),"نامعتبر")),IF(OR($E1594="",$E1594="نامعتبر"),"","00:00"))</f>
        <v/>
      </c>
      <c r="G1594">
        <f>IF(OR($E1594="",$E1594="نامعتبر"),"",IF(Entry!$E1594="","",LEFT(UPPER(TRIM(Entry!$E1594)),6)))</f>
        <v/>
      </c>
      <c r="H1594">
        <f>IF($G1594="","",RIGHT($E1594,4)&amp;MID($E1594,6,2)&amp;RIGHT($E1594,2)&amp;IF($F1594="","0000",IF($F1594="نامعتبر","9999",LEFT($F1594,2)&amp;RIGHT($F1594,2)))&amp;"|"&amp;RIGHT("00000"&amp;1586,5))</f>
        <v/>
      </c>
      <c r="I1594">
        <f>IF($H1594="","",COUNTIFS(CalcBank,$G1594,CalcKey,"&lt;"&amp;$H1594)+1)</f>
        <v/>
      </c>
      <c r="J1594">
        <f>IF($I1594="","",$G1594&amp;"|"&amp;RIGHT("000000"&amp;$I1594,6))</f>
        <v/>
      </c>
      <c r="K1594">
        <f>IF(OR($E1594="",$E1594="نامعتبر"),"",LEFT($E1594,4)&amp;"/"&amp;MID($E1594,6,2))</f>
        <v/>
      </c>
      <c r="L1594">
        <f>IF(Entry!$K1594="",0,Entry!$K1594)</f>
        <v/>
      </c>
      <c r="M1594">
        <f>IF(Entry!$L1594="",0,Entry!$L1594)</f>
        <v/>
      </c>
    </row>
    <row r="1595">
      <c r="A1595">
        <f>IF(Entry!$C1595="","",Entry!$C1595)</f>
        <v/>
      </c>
      <c r="B1595">
        <f>IF($A1595="","",IF(ISNUMBER($A1595),IF(AND($A1595&gt;=10000101,$A1595&lt;=99991231),INT($A1595/10000),""),IFERROR(VALUE(TRIM(LEFT($A1595,FIND("/",$A1595)-1))),"")))</f>
        <v/>
      </c>
      <c r="C1595">
        <f>IF(OR($A1595="",$B1595=""),"",IF(ISNUMBER($A1595),INT(MOD($A1595,10000)/100),IFERROR(VALUE(TRIM(LEFT(MID($A1595,FIND("/",$A1595)+1,20),FIND("/",MID($A1595,FIND("/",$A1595)+1,20))-1))),"")))</f>
        <v/>
      </c>
      <c r="D1595">
        <f>IF(OR($A1595="",$B1595=""),"",IF(ISNUMBER($A1595),MOD($A1595,100),IFERROR(VALUE(TRIM(MID(MID($A1595,FIND("/",$A1595)+1,20),FIND("/",MID($A1595,FIND("/",$A1595)+1,20))+1,20))),"")))</f>
        <v/>
      </c>
      <c r="E1595">
        <f>IF($A1595="","",IF(OR($B1595="",$C1595="",$D1595="",$B1595&lt;1300,$B1595&gt;1500,$C1595&lt;1,$C1595&gt;12,$D1595&lt;1,$D1595&gt;31),"نامعتبر",RIGHT("0000"&amp;$B1595,4)&amp;"/"&amp;RIGHT("00"&amp;$C1595,2)&amp;"/"&amp;RIGHT("00"&amp;$D1595,2)))</f>
        <v/>
      </c>
      <c r="F1595">
        <f>IF(Entry!$D1595&lt;&gt;"",IF(AND(ISNUMBER(Entry!$D1595),Entry!$D1595&gt;=0,Entry!$D1595&lt;1),RIGHT("00"&amp;HOUR(Entry!$D1595),2)&amp;":"&amp;RIGHT("00"&amp;MINUTE(Entry!$D1595),2),IFERROR(RIGHT("00"&amp;VALUE(TRIM(LEFT(Entry!$D1595,FIND(":",Entry!$D1595)-1))),2)&amp;":"&amp;RIGHT("00"&amp;VALUE(TRIM(MID(Entry!$D1595,FIND(":",Entry!$D1595)+1,2))),2),"نامعتبر")),IF(OR($E1595="",$E1595="نامعتبر"),"","00:00"))</f>
        <v/>
      </c>
      <c r="G1595">
        <f>IF(OR($E1595="",$E1595="نامعتبر"),"",IF(Entry!$E1595="","",LEFT(UPPER(TRIM(Entry!$E1595)),6)))</f>
        <v/>
      </c>
      <c r="H1595">
        <f>IF($G1595="","",RIGHT($E1595,4)&amp;MID($E1595,6,2)&amp;RIGHT($E1595,2)&amp;IF($F1595="","0000",IF($F1595="نامعتبر","9999",LEFT($F1595,2)&amp;RIGHT($F1595,2)))&amp;"|"&amp;RIGHT("00000"&amp;1587,5))</f>
        <v/>
      </c>
      <c r="I1595">
        <f>IF($H1595="","",COUNTIFS(CalcBank,$G1595,CalcKey,"&lt;"&amp;$H1595)+1)</f>
        <v/>
      </c>
      <c r="J1595">
        <f>IF($I1595="","",$G1595&amp;"|"&amp;RIGHT("000000"&amp;$I1595,6))</f>
        <v/>
      </c>
      <c r="K1595">
        <f>IF(OR($E1595="",$E1595="نامعتبر"),"",LEFT($E1595,4)&amp;"/"&amp;MID($E1595,6,2))</f>
        <v/>
      </c>
      <c r="L1595">
        <f>IF(Entry!$K1595="",0,Entry!$K1595)</f>
        <v/>
      </c>
      <c r="M1595">
        <f>IF(Entry!$L1595="",0,Entry!$L1595)</f>
        <v/>
      </c>
    </row>
    <row r="1596">
      <c r="A1596">
        <f>IF(Entry!$C1596="","",Entry!$C1596)</f>
        <v/>
      </c>
      <c r="B1596">
        <f>IF($A1596="","",IF(ISNUMBER($A1596),IF(AND($A1596&gt;=10000101,$A1596&lt;=99991231),INT($A1596/10000),""),IFERROR(VALUE(TRIM(LEFT($A1596,FIND("/",$A1596)-1))),"")))</f>
        <v/>
      </c>
      <c r="C1596">
        <f>IF(OR($A1596="",$B1596=""),"",IF(ISNUMBER($A1596),INT(MOD($A1596,10000)/100),IFERROR(VALUE(TRIM(LEFT(MID($A1596,FIND("/",$A1596)+1,20),FIND("/",MID($A1596,FIND("/",$A1596)+1,20))-1))),"")))</f>
        <v/>
      </c>
      <c r="D1596">
        <f>IF(OR($A1596="",$B1596=""),"",IF(ISNUMBER($A1596),MOD($A1596,100),IFERROR(VALUE(TRIM(MID(MID($A1596,FIND("/",$A1596)+1,20),FIND("/",MID($A1596,FIND("/",$A1596)+1,20))+1,20))),"")))</f>
        <v/>
      </c>
      <c r="E1596">
        <f>IF($A1596="","",IF(OR($B1596="",$C1596="",$D1596="",$B1596&lt;1300,$B1596&gt;1500,$C1596&lt;1,$C1596&gt;12,$D1596&lt;1,$D1596&gt;31),"نامعتبر",RIGHT("0000"&amp;$B1596,4)&amp;"/"&amp;RIGHT("00"&amp;$C1596,2)&amp;"/"&amp;RIGHT("00"&amp;$D1596,2)))</f>
        <v/>
      </c>
      <c r="F1596">
        <f>IF(Entry!$D1596&lt;&gt;"",IF(AND(ISNUMBER(Entry!$D1596),Entry!$D1596&gt;=0,Entry!$D1596&lt;1),RIGHT("00"&amp;HOUR(Entry!$D1596),2)&amp;":"&amp;RIGHT("00"&amp;MINUTE(Entry!$D1596),2),IFERROR(RIGHT("00"&amp;VALUE(TRIM(LEFT(Entry!$D1596,FIND(":",Entry!$D1596)-1))),2)&amp;":"&amp;RIGHT("00"&amp;VALUE(TRIM(MID(Entry!$D1596,FIND(":",Entry!$D1596)+1,2))),2),"نامعتبر")),IF(OR($E1596="",$E1596="نامعتبر"),"","00:00"))</f>
        <v/>
      </c>
      <c r="G1596">
        <f>IF(OR($E1596="",$E1596="نامعتبر"),"",IF(Entry!$E1596="","",LEFT(UPPER(TRIM(Entry!$E1596)),6)))</f>
        <v/>
      </c>
      <c r="H1596">
        <f>IF($G1596="","",RIGHT($E1596,4)&amp;MID($E1596,6,2)&amp;RIGHT($E1596,2)&amp;IF($F1596="","0000",IF($F1596="نامعتبر","9999",LEFT($F1596,2)&amp;RIGHT($F1596,2)))&amp;"|"&amp;RIGHT("00000"&amp;1588,5))</f>
        <v/>
      </c>
      <c r="I1596">
        <f>IF($H1596="","",COUNTIFS(CalcBank,$G1596,CalcKey,"&lt;"&amp;$H1596)+1)</f>
        <v/>
      </c>
      <c r="J1596">
        <f>IF($I1596="","",$G1596&amp;"|"&amp;RIGHT("000000"&amp;$I1596,6))</f>
        <v/>
      </c>
      <c r="K1596">
        <f>IF(OR($E1596="",$E1596="نامعتبر"),"",LEFT($E1596,4)&amp;"/"&amp;MID($E1596,6,2))</f>
        <v/>
      </c>
      <c r="L1596">
        <f>IF(Entry!$K1596="",0,Entry!$K1596)</f>
        <v/>
      </c>
      <c r="M1596">
        <f>IF(Entry!$L1596="",0,Entry!$L1596)</f>
        <v/>
      </c>
    </row>
    <row r="1597">
      <c r="A1597">
        <f>IF(Entry!$C1597="","",Entry!$C1597)</f>
        <v/>
      </c>
      <c r="B1597">
        <f>IF($A1597="","",IF(ISNUMBER($A1597),IF(AND($A1597&gt;=10000101,$A1597&lt;=99991231),INT($A1597/10000),""),IFERROR(VALUE(TRIM(LEFT($A1597,FIND("/",$A1597)-1))),"")))</f>
        <v/>
      </c>
      <c r="C1597">
        <f>IF(OR($A1597="",$B1597=""),"",IF(ISNUMBER($A1597),INT(MOD($A1597,10000)/100),IFERROR(VALUE(TRIM(LEFT(MID($A1597,FIND("/",$A1597)+1,20),FIND("/",MID($A1597,FIND("/",$A1597)+1,20))-1))),"")))</f>
        <v/>
      </c>
      <c r="D1597">
        <f>IF(OR($A1597="",$B1597=""),"",IF(ISNUMBER($A1597),MOD($A1597,100),IFERROR(VALUE(TRIM(MID(MID($A1597,FIND("/",$A1597)+1,20),FIND("/",MID($A1597,FIND("/",$A1597)+1,20))+1,20))),"")))</f>
        <v/>
      </c>
      <c r="E1597">
        <f>IF($A1597="","",IF(OR($B1597="",$C1597="",$D1597="",$B1597&lt;1300,$B1597&gt;1500,$C1597&lt;1,$C1597&gt;12,$D1597&lt;1,$D1597&gt;31),"نامعتبر",RIGHT("0000"&amp;$B1597,4)&amp;"/"&amp;RIGHT("00"&amp;$C1597,2)&amp;"/"&amp;RIGHT("00"&amp;$D1597,2)))</f>
        <v/>
      </c>
      <c r="F1597">
        <f>IF(Entry!$D1597&lt;&gt;"",IF(AND(ISNUMBER(Entry!$D1597),Entry!$D1597&gt;=0,Entry!$D1597&lt;1),RIGHT("00"&amp;HOUR(Entry!$D1597),2)&amp;":"&amp;RIGHT("00"&amp;MINUTE(Entry!$D1597),2),IFERROR(RIGHT("00"&amp;VALUE(TRIM(LEFT(Entry!$D1597,FIND(":",Entry!$D1597)-1))),2)&amp;":"&amp;RIGHT("00"&amp;VALUE(TRIM(MID(Entry!$D1597,FIND(":",Entry!$D1597)+1,2))),2),"نامعتبر")),IF(OR($E1597="",$E1597="نامعتبر"),"","00:00"))</f>
        <v/>
      </c>
      <c r="G1597">
        <f>IF(OR($E1597="",$E1597="نامعتبر"),"",IF(Entry!$E1597="","",LEFT(UPPER(TRIM(Entry!$E1597)),6)))</f>
        <v/>
      </c>
      <c r="H1597">
        <f>IF($G1597="","",RIGHT($E1597,4)&amp;MID($E1597,6,2)&amp;RIGHT($E1597,2)&amp;IF($F1597="","0000",IF($F1597="نامعتبر","9999",LEFT($F1597,2)&amp;RIGHT($F1597,2)))&amp;"|"&amp;RIGHT("00000"&amp;1589,5))</f>
        <v/>
      </c>
      <c r="I1597">
        <f>IF($H1597="","",COUNTIFS(CalcBank,$G1597,CalcKey,"&lt;"&amp;$H1597)+1)</f>
        <v/>
      </c>
      <c r="J1597">
        <f>IF($I1597="","",$G1597&amp;"|"&amp;RIGHT("000000"&amp;$I1597,6))</f>
        <v/>
      </c>
      <c r="K1597">
        <f>IF(OR($E1597="",$E1597="نامعتبر"),"",LEFT($E1597,4)&amp;"/"&amp;MID($E1597,6,2))</f>
        <v/>
      </c>
      <c r="L1597">
        <f>IF(Entry!$K1597="",0,Entry!$K1597)</f>
        <v/>
      </c>
      <c r="M1597">
        <f>IF(Entry!$L1597="",0,Entry!$L1597)</f>
        <v/>
      </c>
    </row>
    <row r="1598">
      <c r="A1598">
        <f>IF(Entry!$C1598="","",Entry!$C1598)</f>
        <v/>
      </c>
      <c r="B1598">
        <f>IF($A1598="","",IF(ISNUMBER($A1598),IF(AND($A1598&gt;=10000101,$A1598&lt;=99991231),INT($A1598/10000),""),IFERROR(VALUE(TRIM(LEFT($A1598,FIND("/",$A1598)-1))),"")))</f>
        <v/>
      </c>
      <c r="C1598">
        <f>IF(OR($A1598="",$B1598=""),"",IF(ISNUMBER($A1598),INT(MOD($A1598,10000)/100),IFERROR(VALUE(TRIM(LEFT(MID($A1598,FIND("/",$A1598)+1,20),FIND("/",MID($A1598,FIND("/",$A1598)+1,20))-1))),"")))</f>
        <v/>
      </c>
      <c r="D1598">
        <f>IF(OR($A1598="",$B1598=""),"",IF(ISNUMBER($A1598),MOD($A1598,100),IFERROR(VALUE(TRIM(MID(MID($A1598,FIND("/",$A1598)+1,20),FIND("/",MID($A1598,FIND("/",$A1598)+1,20))+1,20))),"")))</f>
        <v/>
      </c>
      <c r="E1598">
        <f>IF($A1598="","",IF(OR($B1598="",$C1598="",$D1598="",$B1598&lt;1300,$B1598&gt;1500,$C1598&lt;1,$C1598&gt;12,$D1598&lt;1,$D1598&gt;31),"نامعتبر",RIGHT("0000"&amp;$B1598,4)&amp;"/"&amp;RIGHT("00"&amp;$C1598,2)&amp;"/"&amp;RIGHT("00"&amp;$D1598,2)))</f>
        <v/>
      </c>
      <c r="F1598">
        <f>IF(Entry!$D1598&lt;&gt;"",IF(AND(ISNUMBER(Entry!$D1598),Entry!$D1598&gt;=0,Entry!$D1598&lt;1),RIGHT("00"&amp;HOUR(Entry!$D1598),2)&amp;":"&amp;RIGHT("00"&amp;MINUTE(Entry!$D1598),2),IFERROR(RIGHT("00"&amp;VALUE(TRIM(LEFT(Entry!$D1598,FIND(":",Entry!$D1598)-1))),2)&amp;":"&amp;RIGHT("00"&amp;VALUE(TRIM(MID(Entry!$D1598,FIND(":",Entry!$D1598)+1,2))),2),"نامعتبر")),IF(OR($E1598="",$E1598="نامعتبر"),"","00:00"))</f>
        <v/>
      </c>
      <c r="G1598">
        <f>IF(OR($E1598="",$E1598="نامعتبر"),"",IF(Entry!$E1598="","",LEFT(UPPER(TRIM(Entry!$E1598)),6)))</f>
        <v/>
      </c>
      <c r="H1598">
        <f>IF($G1598="","",RIGHT($E1598,4)&amp;MID($E1598,6,2)&amp;RIGHT($E1598,2)&amp;IF($F1598="","0000",IF($F1598="نامعتبر","9999",LEFT($F1598,2)&amp;RIGHT($F1598,2)))&amp;"|"&amp;RIGHT("00000"&amp;1590,5))</f>
        <v/>
      </c>
      <c r="I1598">
        <f>IF($H1598="","",COUNTIFS(CalcBank,$G1598,CalcKey,"&lt;"&amp;$H1598)+1)</f>
        <v/>
      </c>
      <c r="J1598">
        <f>IF($I1598="","",$G1598&amp;"|"&amp;RIGHT("000000"&amp;$I1598,6))</f>
        <v/>
      </c>
      <c r="K1598">
        <f>IF(OR($E1598="",$E1598="نامعتبر"),"",LEFT($E1598,4)&amp;"/"&amp;MID($E1598,6,2))</f>
        <v/>
      </c>
      <c r="L1598">
        <f>IF(Entry!$K1598="",0,Entry!$K1598)</f>
        <v/>
      </c>
      <c r="M1598">
        <f>IF(Entry!$L1598="",0,Entry!$L1598)</f>
        <v/>
      </c>
    </row>
    <row r="1599">
      <c r="A1599">
        <f>IF(Entry!$C1599="","",Entry!$C1599)</f>
        <v/>
      </c>
      <c r="B1599">
        <f>IF($A1599="","",IF(ISNUMBER($A1599),IF(AND($A1599&gt;=10000101,$A1599&lt;=99991231),INT($A1599/10000),""),IFERROR(VALUE(TRIM(LEFT($A1599,FIND("/",$A1599)-1))),"")))</f>
        <v/>
      </c>
      <c r="C1599">
        <f>IF(OR($A1599="",$B1599=""),"",IF(ISNUMBER($A1599),INT(MOD($A1599,10000)/100),IFERROR(VALUE(TRIM(LEFT(MID($A1599,FIND("/",$A1599)+1,20),FIND("/",MID($A1599,FIND("/",$A1599)+1,20))-1))),"")))</f>
        <v/>
      </c>
      <c r="D1599">
        <f>IF(OR($A1599="",$B1599=""),"",IF(ISNUMBER($A1599),MOD($A1599,100),IFERROR(VALUE(TRIM(MID(MID($A1599,FIND("/",$A1599)+1,20),FIND("/",MID($A1599,FIND("/",$A1599)+1,20))+1,20))),"")))</f>
        <v/>
      </c>
      <c r="E1599">
        <f>IF($A1599="","",IF(OR($B1599="",$C1599="",$D1599="",$B1599&lt;1300,$B1599&gt;1500,$C1599&lt;1,$C1599&gt;12,$D1599&lt;1,$D1599&gt;31),"نامعتبر",RIGHT("0000"&amp;$B1599,4)&amp;"/"&amp;RIGHT("00"&amp;$C1599,2)&amp;"/"&amp;RIGHT("00"&amp;$D1599,2)))</f>
        <v/>
      </c>
      <c r="F1599">
        <f>IF(Entry!$D1599&lt;&gt;"",IF(AND(ISNUMBER(Entry!$D1599),Entry!$D1599&gt;=0,Entry!$D1599&lt;1),RIGHT("00"&amp;HOUR(Entry!$D1599),2)&amp;":"&amp;RIGHT("00"&amp;MINUTE(Entry!$D1599),2),IFERROR(RIGHT("00"&amp;VALUE(TRIM(LEFT(Entry!$D1599,FIND(":",Entry!$D1599)-1))),2)&amp;":"&amp;RIGHT("00"&amp;VALUE(TRIM(MID(Entry!$D1599,FIND(":",Entry!$D1599)+1,2))),2),"نامعتبر")),IF(OR($E1599="",$E1599="نامعتبر"),"","00:00"))</f>
        <v/>
      </c>
      <c r="G1599">
        <f>IF(OR($E1599="",$E1599="نامعتبر"),"",IF(Entry!$E1599="","",LEFT(UPPER(TRIM(Entry!$E1599)),6)))</f>
        <v/>
      </c>
      <c r="H1599">
        <f>IF($G1599="","",RIGHT($E1599,4)&amp;MID($E1599,6,2)&amp;RIGHT($E1599,2)&amp;IF($F1599="","0000",IF($F1599="نامعتبر","9999",LEFT($F1599,2)&amp;RIGHT($F1599,2)))&amp;"|"&amp;RIGHT("00000"&amp;1591,5))</f>
        <v/>
      </c>
      <c r="I1599">
        <f>IF($H1599="","",COUNTIFS(CalcBank,$G1599,CalcKey,"&lt;"&amp;$H1599)+1)</f>
        <v/>
      </c>
      <c r="J1599">
        <f>IF($I1599="","",$G1599&amp;"|"&amp;RIGHT("000000"&amp;$I1599,6))</f>
        <v/>
      </c>
      <c r="K1599">
        <f>IF(OR($E1599="",$E1599="نامعتبر"),"",LEFT($E1599,4)&amp;"/"&amp;MID($E1599,6,2))</f>
        <v/>
      </c>
      <c r="L1599">
        <f>IF(Entry!$K1599="",0,Entry!$K1599)</f>
        <v/>
      </c>
      <c r="M1599">
        <f>IF(Entry!$L1599="",0,Entry!$L1599)</f>
        <v/>
      </c>
    </row>
    <row r="1600">
      <c r="A1600">
        <f>IF(Entry!$C1600="","",Entry!$C1600)</f>
        <v/>
      </c>
      <c r="B1600">
        <f>IF($A1600="","",IF(ISNUMBER($A1600),IF(AND($A1600&gt;=10000101,$A1600&lt;=99991231),INT($A1600/10000),""),IFERROR(VALUE(TRIM(LEFT($A1600,FIND("/",$A1600)-1))),"")))</f>
        <v/>
      </c>
      <c r="C1600">
        <f>IF(OR($A1600="",$B1600=""),"",IF(ISNUMBER($A1600),INT(MOD($A1600,10000)/100),IFERROR(VALUE(TRIM(LEFT(MID($A1600,FIND("/",$A1600)+1,20),FIND("/",MID($A1600,FIND("/",$A1600)+1,20))-1))),"")))</f>
        <v/>
      </c>
      <c r="D1600">
        <f>IF(OR($A1600="",$B1600=""),"",IF(ISNUMBER($A1600),MOD($A1600,100),IFERROR(VALUE(TRIM(MID(MID($A1600,FIND("/",$A1600)+1,20),FIND("/",MID($A1600,FIND("/",$A1600)+1,20))+1,20))),"")))</f>
        <v/>
      </c>
      <c r="E1600">
        <f>IF($A1600="","",IF(OR($B1600="",$C1600="",$D1600="",$B1600&lt;1300,$B1600&gt;1500,$C1600&lt;1,$C1600&gt;12,$D1600&lt;1,$D1600&gt;31),"نامعتبر",RIGHT("0000"&amp;$B1600,4)&amp;"/"&amp;RIGHT("00"&amp;$C1600,2)&amp;"/"&amp;RIGHT("00"&amp;$D1600,2)))</f>
        <v/>
      </c>
      <c r="F1600">
        <f>IF(Entry!$D1600&lt;&gt;"",IF(AND(ISNUMBER(Entry!$D1600),Entry!$D1600&gt;=0,Entry!$D1600&lt;1),RIGHT("00"&amp;HOUR(Entry!$D1600),2)&amp;":"&amp;RIGHT("00"&amp;MINUTE(Entry!$D1600),2),IFERROR(RIGHT("00"&amp;VALUE(TRIM(LEFT(Entry!$D1600,FIND(":",Entry!$D1600)-1))),2)&amp;":"&amp;RIGHT("00"&amp;VALUE(TRIM(MID(Entry!$D1600,FIND(":",Entry!$D1600)+1,2))),2),"نامعتبر")),IF(OR($E1600="",$E1600="نامعتبر"),"","00:00"))</f>
        <v/>
      </c>
      <c r="G1600">
        <f>IF(OR($E1600="",$E1600="نامعتبر"),"",IF(Entry!$E1600="","",LEFT(UPPER(TRIM(Entry!$E1600)),6)))</f>
        <v/>
      </c>
      <c r="H1600">
        <f>IF($G1600="","",RIGHT($E1600,4)&amp;MID($E1600,6,2)&amp;RIGHT($E1600,2)&amp;IF($F1600="","0000",IF($F1600="نامعتبر","9999",LEFT($F1600,2)&amp;RIGHT($F1600,2)))&amp;"|"&amp;RIGHT("00000"&amp;1592,5))</f>
        <v/>
      </c>
      <c r="I1600">
        <f>IF($H1600="","",COUNTIFS(CalcBank,$G1600,CalcKey,"&lt;"&amp;$H1600)+1)</f>
        <v/>
      </c>
      <c r="J1600">
        <f>IF($I1600="","",$G1600&amp;"|"&amp;RIGHT("000000"&amp;$I1600,6))</f>
        <v/>
      </c>
      <c r="K1600">
        <f>IF(OR($E1600="",$E1600="نامعتبر"),"",LEFT($E1600,4)&amp;"/"&amp;MID($E1600,6,2))</f>
        <v/>
      </c>
      <c r="L1600">
        <f>IF(Entry!$K1600="",0,Entry!$K1600)</f>
        <v/>
      </c>
      <c r="M1600">
        <f>IF(Entry!$L1600="",0,Entry!$L1600)</f>
        <v/>
      </c>
    </row>
    <row r="1601">
      <c r="A1601">
        <f>IF(Entry!$C1601="","",Entry!$C1601)</f>
        <v/>
      </c>
      <c r="B1601">
        <f>IF($A1601="","",IF(ISNUMBER($A1601),IF(AND($A1601&gt;=10000101,$A1601&lt;=99991231),INT($A1601/10000),""),IFERROR(VALUE(TRIM(LEFT($A1601,FIND("/",$A1601)-1))),"")))</f>
        <v/>
      </c>
      <c r="C1601">
        <f>IF(OR($A1601="",$B1601=""),"",IF(ISNUMBER($A1601),INT(MOD($A1601,10000)/100),IFERROR(VALUE(TRIM(LEFT(MID($A1601,FIND("/",$A1601)+1,20),FIND("/",MID($A1601,FIND("/",$A1601)+1,20))-1))),"")))</f>
        <v/>
      </c>
      <c r="D1601">
        <f>IF(OR($A1601="",$B1601=""),"",IF(ISNUMBER($A1601),MOD($A1601,100),IFERROR(VALUE(TRIM(MID(MID($A1601,FIND("/",$A1601)+1,20),FIND("/",MID($A1601,FIND("/",$A1601)+1,20))+1,20))),"")))</f>
        <v/>
      </c>
      <c r="E1601">
        <f>IF($A1601="","",IF(OR($B1601="",$C1601="",$D1601="",$B1601&lt;1300,$B1601&gt;1500,$C1601&lt;1,$C1601&gt;12,$D1601&lt;1,$D1601&gt;31),"نامعتبر",RIGHT("0000"&amp;$B1601,4)&amp;"/"&amp;RIGHT("00"&amp;$C1601,2)&amp;"/"&amp;RIGHT("00"&amp;$D1601,2)))</f>
        <v/>
      </c>
      <c r="F1601">
        <f>IF(Entry!$D1601&lt;&gt;"",IF(AND(ISNUMBER(Entry!$D1601),Entry!$D1601&gt;=0,Entry!$D1601&lt;1),RIGHT("00"&amp;HOUR(Entry!$D1601),2)&amp;":"&amp;RIGHT("00"&amp;MINUTE(Entry!$D1601),2),IFERROR(RIGHT("00"&amp;VALUE(TRIM(LEFT(Entry!$D1601,FIND(":",Entry!$D1601)-1))),2)&amp;":"&amp;RIGHT("00"&amp;VALUE(TRIM(MID(Entry!$D1601,FIND(":",Entry!$D1601)+1,2))),2),"نامعتبر")),IF(OR($E1601="",$E1601="نامعتبر"),"","00:00"))</f>
        <v/>
      </c>
      <c r="G1601">
        <f>IF(OR($E1601="",$E1601="نامعتبر"),"",IF(Entry!$E1601="","",LEFT(UPPER(TRIM(Entry!$E1601)),6)))</f>
        <v/>
      </c>
      <c r="H1601">
        <f>IF($G1601="","",RIGHT($E1601,4)&amp;MID($E1601,6,2)&amp;RIGHT($E1601,2)&amp;IF($F1601="","0000",IF($F1601="نامعتبر","9999",LEFT($F1601,2)&amp;RIGHT($F1601,2)))&amp;"|"&amp;RIGHT("00000"&amp;1593,5))</f>
        <v/>
      </c>
      <c r="I1601">
        <f>IF($H1601="","",COUNTIFS(CalcBank,$G1601,CalcKey,"&lt;"&amp;$H1601)+1)</f>
        <v/>
      </c>
      <c r="J1601">
        <f>IF($I1601="","",$G1601&amp;"|"&amp;RIGHT("000000"&amp;$I1601,6))</f>
        <v/>
      </c>
      <c r="K1601">
        <f>IF(OR($E1601="",$E1601="نامعتبر"),"",LEFT($E1601,4)&amp;"/"&amp;MID($E1601,6,2))</f>
        <v/>
      </c>
      <c r="L1601">
        <f>IF(Entry!$K1601="",0,Entry!$K1601)</f>
        <v/>
      </c>
      <c r="M1601">
        <f>IF(Entry!$L1601="",0,Entry!$L1601)</f>
        <v/>
      </c>
    </row>
    <row r="1602">
      <c r="A1602">
        <f>IF(Entry!$C1602="","",Entry!$C1602)</f>
        <v/>
      </c>
      <c r="B1602">
        <f>IF($A1602="","",IF(ISNUMBER($A1602),IF(AND($A1602&gt;=10000101,$A1602&lt;=99991231),INT($A1602/10000),""),IFERROR(VALUE(TRIM(LEFT($A1602,FIND("/",$A1602)-1))),"")))</f>
        <v/>
      </c>
      <c r="C1602">
        <f>IF(OR($A1602="",$B1602=""),"",IF(ISNUMBER($A1602),INT(MOD($A1602,10000)/100),IFERROR(VALUE(TRIM(LEFT(MID($A1602,FIND("/",$A1602)+1,20),FIND("/",MID($A1602,FIND("/",$A1602)+1,20))-1))),"")))</f>
        <v/>
      </c>
      <c r="D1602">
        <f>IF(OR($A1602="",$B1602=""),"",IF(ISNUMBER($A1602),MOD($A1602,100),IFERROR(VALUE(TRIM(MID(MID($A1602,FIND("/",$A1602)+1,20),FIND("/",MID($A1602,FIND("/",$A1602)+1,20))+1,20))),"")))</f>
        <v/>
      </c>
      <c r="E1602">
        <f>IF($A1602="","",IF(OR($B1602="",$C1602="",$D1602="",$B1602&lt;1300,$B1602&gt;1500,$C1602&lt;1,$C1602&gt;12,$D1602&lt;1,$D1602&gt;31),"نامعتبر",RIGHT("0000"&amp;$B1602,4)&amp;"/"&amp;RIGHT("00"&amp;$C1602,2)&amp;"/"&amp;RIGHT("00"&amp;$D1602,2)))</f>
        <v/>
      </c>
      <c r="F1602">
        <f>IF(Entry!$D1602&lt;&gt;"",IF(AND(ISNUMBER(Entry!$D1602),Entry!$D1602&gt;=0,Entry!$D1602&lt;1),RIGHT("00"&amp;HOUR(Entry!$D1602),2)&amp;":"&amp;RIGHT("00"&amp;MINUTE(Entry!$D1602),2),IFERROR(RIGHT("00"&amp;VALUE(TRIM(LEFT(Entry!$D1602,FIND(":",Entry!$D1602)-1))),2)&amp;":"&amp;RIGHT("00"&amp;VALUE(TRIM(MID(Entry!$D1602,FIND(":",Entry!$D1602)+1,2))),2),"نامعتبر")),IF(OR($E1602="",$E1602="نامعتبر"),"","00:00"))</f>
        <v/>
      </c>
      <c r="G1602">
        <f>IF(OR($E1602="",$E1602="نامعتبر"),"",IF(Entry!$E1602="","",LEFT(UPPER(TRIM(Entry!$E1602)),6)))</f>
        <v/>
      </c>
      <c r="H1602">
        <f>IF($G1602="","",RIGHT($E1602,4)&amp;MID($E1602,6,2)&amp;RIGHT($E1602,2)&amp;IF($F1602="","0000",IF($F1602="نامعتبر","9999",LEFT($F1602,2)&amp;RIGHT($F1602,2)))&amp;"|"&amp;RIGHT("00000"&amp;1594,5))</f>
        <v/>
      </c>
      <c r="I1602">
        <f>IF($H1602="","",COUNTIFS(CalcBank,$G1602,CalcKey,"&lt;"&amp;$H1602)+1)</f>
        <v/>
      </c>
      <c r="J1602">
        <f>IF($I1602="","",$G1602&amp;"|"&amp;RIGHT("000000"&amp;$I1602,6))</f>
        <v/>
      </c>
      <c r="K1602">
        <f>IF(OR($E1602="",$E1602="نامعتبر"),"",LEFT($E1602,4)&amp;"/"&amp;MID($E1602,6,2))</f>
        <v/>
      </c>
      <c r="L1602">
        <f>IF(Entry!$K1602="",0,Entry!$K1602)</f>
        <v/>
      </c>
      <c r="M1602">
        <f>IF(Entry!$L1602="",0,Entry!$L1602)</f>
        <v/>
      </c>
    </row>
    <row r="1603">
      <c r="A1603">
        <f>IF(Entry!$C1603="","",Entry!$C1603)</f>
        <v/>
      </c>
      <c r="B1603">
        <f>IF($A1603="","",IF(ISNUMBER($A1603),IF(AND($A1603&gt;=10000101,$A1603&lt;=99991231),INT($A1603/10000),""),IFERROR(VALUE(TRIM(LEFT($A1603,FIND("/",$A1603)-1))),"")))</f>
        <v/>
      </c>
      <c r="C1603">
        <f>IF(OR($A1603="",$B1603=""),"",IF(ISNUMBER($A1603),INT(MOD($A1603,10000)/100),IFERROR(VALUE(TRIM(LEFT(MID($A1603,FIND("/",$A1603)+1,20),FIND("/",MID($A1603,FIND("/",$A1603)+1,20))-1))),"")))</f>
        <v/>
      </c>
      <c r="D1603">
        <f>IF(OR($A1603="",$B1603=""),"",IF(ISNUMBER($A1603),MOD($A1603,100),IFERROR(VALUE(TRIM(MID(MID($A1603,FIND("/",$A1603)+1,20),FIND("/",MID($A1603,FIND("/",$A1603)+1,20))+1,20))),"")))</f>
        <v/>
      </c>
      <c r="E1603">
        <f>IF($A1603="","",IF(OR($B1603="",$C1603="",$D1603="",$B1603&lt;1300,$B1603&gt;1500,$C1603&lt;1,$C1603&gt;12,$D1603&lt;1,$D1603&gt;31),"نامعتبر",RIGHT("0000"&amp;$B1603,4)&amp;"/"&amp;RIGHT("00"&amp;$C1603,2)&amp;"/"&amp;RIGHT("00"&amp;$D1603,2)))</f>
        <v/>
      </c>
      <c r="F1603">
        <f>IF(Entry!$D1603&lt;&gt;"",IF(AND(ISNUMBER(Entry!$D1603),Entry!$D1603&gt;=0,Entry!$D1603&lt;1),RIGHT("00"&amp;HOUR(Entry!$D1603),2)&amp;":"&amp;RIGHT("00"&amp;MINUTE(Entry!$D1603),2),IFERROR(RIGHT("00"&amp;VALUE(TRIM(LEFT(Entry!$D1603,FIND(":",Entry!$D1603)-1))),2)&amp;":"&amp;RIGHT("00"&amp;VALUE(TRIM(MID(Entry!$D1603,FIND(":",Entry!$D1603)+1,2))),2),"نامعتبر")),IF(OR($E1603="",$E1603="نامعتبر"),"","00:00"))</f>
        <v/>
      </c>
      <c r="G1603">
        <f>IF(OR($E1603="",$E1603="نامعتبر"),"",IF(Entry!$E1603="","",LEFT(UPPER(TRIM(Entry!$E1603)),6)))</f>
        <v/>
      </c>
      <c r="H1603">
        <f>IF($G1603="","",RIGHT($E1603,4)&amp;MID($E1603,6,2)&amp;RIGHT($E1603,2)&amp;IF($F1603="","0000",IF($F1603="نامعتبر","9999",LEFT($F1603,2)&amp;RIGHT($F1603,2)))&amp;"|"&amp;RIGHT("00000"&amp;1595,5))</f>
        <v/>
      </c>
      <c r="I1603">
        <f>IF($H1603="","",COUNTIFS(CalcBank,$G1603,CalcKey,"&lt;"&amp;$H1603)+1)</f>
        <v/>
      </c>
      <c r="J1603">
        <f>IF($I1603="","",$G1603&amp;"|"&amp;RIGHT("000000"&amp;$I1603,6))</f>
        <v/>
      </c>
      <c r="K1603">
        <f>IF(OR($E1603="",$E1603="نامعتبر"),"",LEFT($E1603,4)&amp;"/"&amp;MID($E1603,6,2))</f>
        <v/>
      </c>
      <c r="L1603">
        <f>IF(Entry!$K1603="",0,Entry!$K1603)</f>
        <v/>
      </c>
      <c r="M1603">
        <f>IF(Entry!$L1603="",0,Entry!$L1603)</f>
        <v/>
      </c>
    </row>
    <row r="1604">
      <c r="A1604">
        <f>IF(Entry!$C1604="","",Entry!$C1604)</f>
        <v/>
      </c>
      <c r="B1604">
        <f>IF($A1604="","",IF(ISNUMBER($A1604),IF(AND($A1604&gt;=10000101,$A1604&lt;=99991231),INT($A1604/10000),""),IFERROR(VALUE(TRIM(LEFT($A1604,FIND("/",$A1604)-1))),"")))</f>
        <v/>
      </c>
      <c r="C1604">
        <f>IF(OR($A1604="",$B1604=""),"",IF(ISNUMBER($A1604),INT(MOD($A1604,10000)/100),IFERROR(VALUE(TRIM(LEFT(MID($A1604,FIND("/",$A1604)+1,20),FIND("/",MID($A1604,FIND("/",$A1604)+1,20))-1))),"")))</f>
        <v/>
      </c>
      <c r="D1604">
        <f>IF(OR($A1604="",$B1604=""),"",IF(ISNUMBER($A1604),MOD($A1604,100),IFERROR(VALUE(TRIM(MID(MID($A1604,FIND("/",$A1604)+1,20),FIND("/",MID($A1604,FIND("/",$A1604)+1,20))+1,20))),"")))</f>
        <v/>
      </c>
      <c r="E1604">
        <f>IF($A1604="","",IF(OR($B1604="",$C1604="",$D1604="",$B1604&lt;1300,$B1604&gt;1500,$C1604&lt;1,$C1604&gt;12,$D1604&lt;1,$D1604&gt;31),"نامعتبر",RIGHT("0000"&amp;$B1604,4)&amp;"/"&amp;RIGHT("00"&amp;$C1604,2)&amp;"/"&amp;RIGHT("00"&amp;$D1604,2)))</f>
        <v/>
      </c>
      <c r="F1604">
        <f>IF(Entry!$D1604&lt;&gt;"",IF(AND(ISNUMBER(Entry!$D1604),Entry!$D1604&gt;=0,Entry!$D1604&lt;1),RIGHT("00"&amp;HOUR(Entry!$D1604),2)&amp;":"&amp;RIGHT("00"&amp;MINUTE(Entry!$D1604),2),IFERROR(RIGHT("00"&amp;VALUE(TRIM(LEFT(Entry!$D1604,FIND(":",Entry!$D1604)-1))),2)&amp;":"&amp;RIGHT("00"&amp;VALUE(TRIM(MID(Entry!$D1604,FIND(":",Entry!$D1604)+1,2))),2),"نامعتبر")),IF(OR($E1604="",$E1604="نامعتبر"),"","00:00"))</f>
        <v/>
      </c>
      <c r="G1604">
        <f>IF(OR($E1604="",$E1604="نامعتبر"),"",IF(Entry!$E1604="","",LEFT(UPPER(TRIM(Entry!$E1604)),6)))</f>
        <v/>
      </c>
      <c r="H1604">
        <f>IF($G1604="","",RIGHT($E1604,4)&amp;MID($E1604,6,2)&amp;RIGHT($E1604,2)&amp;IF($F1604="","0000",IF($F1604="نامعتبر","9999",LEFT($F1604,2)&amp;RIGHT($F1604,2)))&amp;"|"&amp;RIGHT("00000"&amp;1596,5))</f>
        <v/>
      </c>
      <c r="I1604">
        <f>IF($H1604="","",COUNTIFS(CalcBank,$G1604,CalcKey,"&lt;"&amp;$H1604)+1)</f>
        <v/>
      </c>
      <c r="J1604">
        <f>IF($I1604="","",$G1604&amp;"|"&amp;RIGHT("000000"&amp;$I1604,6))</f>
        <v/>
      </c>
      <c r="K1604">
        <f>IF(OR($E1604="",$E1604="نامعتبر"),"",LEFT($E1604,4)&amp;"/"&amp;MID($E1604,6,2))</f>
        <v/>
      </c>
      <c r="L1604">
        <f>IF(Entry!$K1604="",0,Entry!$K1604)</f>
        <v/>
      </c>
      <c r="M1604">
        <f>IF(Entry!$L1604="",0,Entry!$L1604)</f>
        <v/>
      </c>
    </row>
    <row r="1605">
      <c r="A1605">
        <f>IF(Entry!$C1605="","",Entry!$C1605)</f>
        <v/>
      </c>
      <c r="B1605">
        <f>IF($A1605="","",IF(ISNUMBER($A1605),IF(AND($A1605&gt;=10000101,$A1605&lt;=99991231),INT($A1605/10000),""),IFERROR(VALUE(TRIM(LEFT($A1605,FIND("/",$A1605)-1))),"")))</f>
        <v/>
      </c>
      <c r="C1605">
        <f>IF(OR($A1605="",$B1605=""),"",IF(ISNUMBER($A1605),INT(MOD($A1605,10000)/100),IFERROR(VALUE(TRIM(LEFT(MID($A1605,FIND("/",$A1605)+1,20),FIND("/",MID($A1605,FIND("/",$A1605)+1,20))-1))),"")))</f>
        <v/>
      </c>
      <c r="D1605">
        <f>IF(OR($A1605="",$B1605=""),"",IF(ISNUMBER($A1605),MOD($A1605,100),IFERROR(VALUE(TRIM(MID(MID($A1605,FIND("/",$A1605)+1,20),FIND("/",MID($A1605,FIND("/",$A1605)+1,20))+1,20))),"")))</f>
        <v/>
      </c>
      <c r="E1605">
        <f>IF($A1605="","",IF(OR($B1605="",$C1605="",$D1605="",$B1605&lt;1300,$B1605&gt;1500,$C1605&lt;1,$C1605&gt;12,$D1605&lt;1,$D1605&gt;31),"نامعتبر",RIGHT("0000"&amp;$B1605,4)&amp;"/"&amp;RIGHT("00"&amp;$C1605,2)&amp;"/"&amp;RIGHT("00"&amp;$D1605,2)))</f>
        <v/>
      </c>
      <c r="F1605">
        <f>IF(Entry!$D1605&lt;&gt;"",IF(AND(ISNUMBER(Entry!$D1605),Entry!$D1605&gt;=0,Entry!$D1605&lt;1),RIGHT("00"&amp;HOUR(Entry!$D1605),2)&amp;":"&amp;RIGHT("00"&amp;MINUTE(Entry!$D1605),2),IFERROR(RIGHT("00"&amp;VALUE(TRIM(LEFT(Entry!$D1605,FIND(":",Entry!$D1605)-1))),2)&amp;":"&amp;RIGHT("00"&amp;VALUE(TRIM(MID(Entry!$D1605,FIND(":",Entry!$D1605)+1,2))),2),"نامعتبر")),IF(OR($E1605="",$E1605="نامعتبر"),"","00:00"))</f>
        <v/>
      </c>
      <c r="G1605">
        <f>IF(OR($E1605="",$E1605="نامعتبر"),"",IF(Entry!$E1605="","",LEFT(UPPER(TRIM(Entry!$E1605)),6)))</f>
        <v/>
      </c>
      <c r="H1605">
        <f>IF($G1605="","",RIGHT($E1605,4)&amp;MID($E1605,6,2)&amp;RIGHT($E1605,2)&amp;IF($F1605="","0000",IF($F1605="نامعتبر","9999",LEFT($F1605,2)&amp;RIGHT($F1605,2)))&amp;"|"&amp;RIGHT("00000"&amp;1597,5))</f>
        <v/>
      </c>
      <c r="I1605">
        <f>IF($H1605="","",COUNTIFS(CalcBank,$G1605,CalcKey,"&lt;"&amp;$H1605)+1)</f>
        <v/>
      </c>
      <c r="J1605">
        <f>IF($I1605="","",$G1605&amp;"|"&amp;RIGHT("000000"&amp;$I1605,6))</f>
        <v/>
      </c>
      <c r="K1605">
        <f>IF(OR($E1605="",$E1605="نامعتبر"),"",LEFT($E1605,4)&amp;"/"&amp;MID($E1605,6,2))</f>
        <v/>
      </c>
      <c r="L1605">
        <f>IF(Entry!$K1605="",0,Entry!$K1605)</f>
        <v/>
      </c>
      <c r="M1605">
        <f>IF(Entry!$L1605="",0,Entry!$L1605)</f>
        <v/>
      </c>
    </row>
    <row r="1606">
      <c r="A1606">
        <f>IF(Entry!$C1606="","",Entry!$C1606)</f>
        <v/>
      </c>
      <c r="B1606">
        <f>IF($A1606="","",IF(ISNUMBER($A1606),IF(AND($A1606&gt;=10000101,$A1606&lt;=99991231),INT($A1606/10000),""),IFERROR(VALUE(TRIM(LEFT($A1606,FIND("/",$A1606)-1))),"")))</f>
        <v/>
      </c>
      <c r="C1606">
        <f>IF(OR($A1606="",$B1606=""),"",IF(ISNUMBER($A1606),INT(MOD($A1606,10000)/100),IFERROR(VALUE(TRIM(LEFT(MID($A1606,FIND("/",$A1606)+1,20),FIND("/",MID($A1606,FIND("/",$A1606)+1,20))-1))),"")))</f>
        <v/>
      </c>
      <c r="D1606">
        <f>IF(OR($A1606="",$B1606=""),"",IF(ISNUMBER($A1606),MOD($A1606,100),IFERROR(VALUE(TRIM(MID(MID($A1606,FIND("/",$A1606)+1,20),FIND("/",MID($A1606,FIND("/",$A1606)+1,20))+1,20))),"")))</f>
        <v/>
      </c>
      <c r="E1606">
        <f>IF($A1606="","",IF(OR($B1606="",$C1606="",$D1606="",$B1606&lt;1300,$B1606&gt;1500,$C1606&lt;1,$C1606&gt;12,$D1606&lt;1,$D1606&gt;31),"نامعتبر",RIGHT("0000"&amp;$B1606,4)&amp;"/"&amp;RIGHT("00"&amp;$C1606,2)&amp;"/"&amp;RIGHT("00"&amp;$D1606,2)))</f>
        <v/>
      </c>
      <c r="F1606">
        <f>IF(Entry!$D1606&lt;&gt;"",IF(AND(ISNUMBER(Entry!$D1606),Entry!$D1606&gt;=0,Entry!$D1606&lt;1),RIGHT("00"&amp;HOUR(Entry!$D1606),2)&amp;":"&amp;RIGHT("00"&amp;MINUTE(Entry!$D1606),2),IFERROR(RIGHT("00"&amp;VALUE(TRIM(LEFT(Entry!$D1606,FIND(":",Entry!$D1606)-1))),2)&amp;":"&amp;RIGHT("00"&amp;VALUE(TRIM(MID(Entry!$D1606,FIND(":",Entry!$D1606)+1,2))),2),"نامعتبر")),IF(OR($E1606="",$E1606="نامعتبر"),"","00:00"))</f>
        <v/>
      </c>
      <c r="G1606">
        <f>IF(OR($E1606="",$E1606="نامعتبر"),"",IF(Entry!$E1606="","",LEFT(UPPER(TRIM(Entry!$E1606)),6)))</f>
        <v/>
      </c>
      <c r="H1606">
        <f>IF($G1606="","",RIGHT($E1606,4)&amp;MID($E1606,6,2)&amp;RIGHT($E1606,2)&amp;IF($F1606="","0000",IF($F1606="نامعتبر","9999",LEFT($F1606,2)&amp;RIGHT($F1606,2)))&amp;"|"&amp;RIGHT("00000"&amp;1598,5))</f>
        <v/>
      </c>
      <c r="I1606">
        <f>IF($H1606="","",COUNTIFS(CalcBank,$G1606,CalcKey,"&lt;"&amp;$H1606)+1)</f>
        <v/>
      </c>
      <c r="J1606">
        <f>IF($I1606="","",$G1606&amp;"|"&amp;RIGHT("000000"&amp;$I1606,6))</f>
        <v/>
      </c>
      <c r="K1606">
        <f>IF(OR($E1606="",$E1606="نامعتبر"),"",LEFT($E1606,4)&amp;"/"&amp;MID($E1606,6,2))</f>
        <v/>
      </c>
      <c r="L1606">
        <f>IF(Entry!$K1606="",0,Entry!$K1606)</f>
        <v/>
      </c>
      <c r="M1606">
        <f>IF(Entry!$L1606="",0,Entry!$L1606)</f>
        <v/>
      </c>
    </row>
    <row r="1607">
      <c r="A1607">
        <f>IF(Entry!$C1607="","",Entry!$C1607)</f>
        <v/>
      </c>
      <c r="B1607">
        <f>IF($A1607="","",IF(ISNUMBER($A1607),IF(AND($A1607&gt;=10000101,$A1607&lt;=99991231),INT($A1607/10000),""),IFERROR(VALUE(TRIM(LEFT($A1607,FIND("/",$A1607)-1))),"")))</f>
        <v/>
      </c>
      <c r="C1607">
        <f>IF(OR($A1607="",$B1607=""),"",IF(ISNUMBER($A1607),INT(MOD($A1607,10000)/100),IFERROR(VALUE(TRIM(LEFT(MID($A1607,FIND("/",$A1607)+1,20),FIND("/",MID($A1607,FIND("/",$A1607)+1,20))-1))),"")))</f>
        <v/>
      </c>
      <c r="D1607">
        <f>IF(OR($A1607="",$B1607=""),"",IF(ISNUMBER($A1607),MOD($A1607,100),IFERROR(VALUE(TRIM(MID(MID($A1607,FIND("/",$A1607)+1,20),FIND("/",MID($A1607,FIND("/",$A1607)+1,20))+1,20))),"")))</f>
        <v/>
      </c>
      <c r="E1607">
        <f>IF($A1607="","",IF(OR($B1607="",$C1607="",$D1607="",$B1607&lt;1300,$B1607&gt;1500,$C1607&lt;1,$C1607&gt;12,$D1607&lt;1,$D1607&gt;31),"نامعتبر",RIGHT("0000"&amp;$B1607,4)&amp;"/"&amp;RIGHT("00"&amp;$C1607,2)&amp;"/"&amp;RIGHT("00"&amp;$D1607,2)))</f>
        <v/>
      </c>
      <c r="F1607">
        <f>IF(Entry!$D1607&lt;&gt;"",IF(AND(ISNUMBER(Entry!$D1607),Entry!$D1607&gt;=0,Entry!$D1607&lt;1),RIGHT("00"&amp;HOUR(Entry!$D1607),2)&amp;":"&amp;RIGHT("00"&amp;MINUTE(Entry!$D1607),2),IFERROR(RIGHT("00"&amp;VALUE(TRIM(LEFT(Entry!$D1607,FIND(":",Entry!$D1607)-1))),2)&amp;":"&amp;RIGHT("00"&amp;VALUE(TRIM(MID(Entry!$D1607,FIND(":",Entry!$D1607)+1,2))),2),"نامعتبر")),IF(OR($E1607="",$E1607="نامعتبر"),"","00:00"))</f>
        <v/>
      </c>
      <c r="G1607">
        <f>IF(OR($E1607="",$E1607="نامعتبر"),"",IF(Entry!$E1607="","",LEFT(UPPER(TRIM(Entry!$E1607)),6)))</f>
        <v/>
      </c>
      <c r="H1607">
        <f>IF($G1607="","",RIGHT($E1607,4)&amp;MID($E1607,6,2)&amp;RIGHT($E1607,2)&amp;IF($F1607="","0000",IF($F1607="نامعتبر","9999",LEFT($F1607,2)&amp;RIGHT($F1607,2)))&amp;"|"&amp;RIGHT("00000"&amp;1599,5))</f>
        <v/>
      </c>
      <c r="I1607">
        <f>IF($H1607="","",COUNTIFS(CalcBank,$G1607,CalcKey,"&lt;"&amp;$H1607)+1)</f>
        <v/>
      </c>
      <c r="J1607">
        <f>IF($I1607="","",$G1607&amp;"|"&amp;RIGHT("000000"&amp;$I1607,6))</f>
        <v/>
      </c>
      <c r="K1607">
        <f>IF(OR($E1607="",$E1607="نامعتبر"),"",LEFT($E1607,4)&amp;"/"&amp;MID($E1607,6,2))</f>
        <v/>
      </c>
      <c r="L1607">
        <f>IF(Entry!$K1607="",0,Entry!$K1607)</f>
        <v/>
      </c>
      <c r="M1607">
        <f>IF(Entry!$L1607="",0,Entry!$L1607)</f>
        <v/>
      </c>
    </row>
    <row r="1608">
      <c r="A1608">
        <f>IF(Entry!$C1608="","",Entry!$C1608)</f>
        <v/>
      </c>
      <c r="B1608">
        <f>IF($A1608="","",IF(ISNUMBER($A1608),IF(AND($A1608&gt;=10000101,$A1608&lt;=99991231),INT($A1608/10000),""),IFERROR(VALUE(TRIM(LEFT($A1608,FIND("/",$A1608)-1))),"")))</f>
        <v/>
      </c>
      <c r="C1608">
        <f>IF(OR($A1608="",$B1608=""),"",IF(ISNUMBER($A1608),INT(MOD($A1608,10000)/100),IFERROR(VALUE(TRIM(LEFT(MID($A1608,FIND("/",$A1608)+1,20),FIND("/",MID($A1608,FIND("/",$A1608)+1,20))-1))),"")))</f>
        <v/>
      </c>
      <c r="D1608">
        <f>IF(OR($A1608="",$B1608=""),"",IF(ISNUMBER($A1608),MOD($A1608,100),IFERROR(VALUE(TRIM(MID(MID($A1608,FIND("/",$A1608)+1,20),FIND("/",MID($A1608,FIND("/",$A1608)+1,20))+1,20))),"")))</f>
        <v/>
      </c>
      <c r="E1608">
        <f>IF($A1608="","",IF(OR($B1608="",$C1608="",$D1608="",$B1608&lt;1300,$B1608&gt;1500,$C1608&lt;1,$C1608&gt;12,$D1608&lt;1,$D1608&gt;31),"نامعتبر",RIGHT("0000"&amp;$B1608,4)&amp;"/"&amp;RIGHT("00"&amp;$C1608,2)&amp;"/"&amp;RIGHT("00"&amp;$D1608,2)))</f>
        <v/>
      </c>
      <c r="F1608">
        <f>IF(Entry!$D1608&lt;&gt;"",IF(AND(ISNUMBER(Entry!$D1608),Entry!$D1608&gt;=0,Entry!$D1608&lt;1),RIGHT("00"&amp;HOUR(Entry!$D1608),2)&amp;":"&amp;RIGHT("00"&amp;MINUTE(Entry!$D1608),2),IFERROR(RIGHT("00"&amp;VALUE(TRIM(LEFT(Entry!$D1608,FIND(":",Entry!$D1608)-1))),2)&amp;":"&amp;RIGHT("00"&amp;VALUE(TRIM(MID(Entry!$D1608,FIND(":",Entry!$D1608)+1,2))),2),"نامعتبر")),IF(OR($E1608="",$E1608="نامعتبر"),"","00:00"))</f>
        <v/>
      </c>
      <c r="G1608">
        <f>IF(OR($E1608="",$E1608="نامعتبر"),"",IF(Entry!$E1608="","",LEFT(UPPER(TRIM(Entry!$E1608)),6)))</f>
        <v/>
      </c>
      <c r="H1608">
        <f>IF($G1608="","",RIGHT($E1608,4)&amp;MID($E1608,6,2)&amp;RIGHT($E1608,2)&amp;IF($F1608="","0000",IF($F1608="نامعتبر","9999",LEFT($F1608,2)&amp;RIGHT($F1608,2)))&amp;"|"&amp;RIGHT("00000"&amp;1600,5))</f>
        <v/>
      </c>
      <c r="I1608">
        <f>IF($H1608="","",COUNTIFS(CalcBank,$G1608,CalcKey,"&lt;"&amp;$H1608)+1)</f>
        <v/>
      </c>
      <c r="J1608">
        <f>IF($I1608="","",$G1608&amp;"|"&amp;RIGHT("000000"&amp;$I1608,6))</f>
        <v/>
      </c>
      <c r="K1608">
        <f>IF(OR($E1608="",$E1608="نامعتبر"),"",LEFT($E1608,4)&amp;"/"&amp;MID($E1608,6,2))</f>
        <v/>
      </c>
      <c r="L1608">
        <f>IF(Entry!$K1608="",0,Entry!$K1608)</f>
        <v/>
      </c>
      <c r="M1608">
        <f>IF(Entry!$L1608="",0,Entry!$L1608)</f>
        <v/>
      </c>
    </row>
    <row r="1609">
      <c r="A1609">
        <f>IF(Entry!$C1609="","",Entry!$C1609)</f>
        <v/>
      </c>
      <c r="B1609">
        <f>IF($A1609="","",IF(ISNUMBER($A1609),IF(AND($A1609&gt;=10000101,$A1609&lt;=99991231),INT($A1609/10000),""),IFERROR(VALUE(TRIM(LEFT($A1609,FIND("/",$A1609)-1))),"")))</f>
        <v/>
      </c>
      <c r="C1609">
        <f>IF(OR($A1609="",$B1609=""),"",IF(ISNUMBER($A1609),INT(MOD($A1609,10000)/100),IFERROR(VALUE(TRIM(LEFT(MID($A1609,FIND("/",$A1609)+1,20),FIND("/",MID($A1609,FIND("/",$A1609)+1,20))-1))),"")))</f>
        <v/>
      </c>
      <c r="D1609">
        <f>IF(OR($A1609="",$B1609=""),"",IF(ISNUMBER($A1609),MOD($A1609,100),IFERROR(VALUE(TRIM(MID(MID($A1609,FIND("/",$A1609)+1,20),FIND("/",MID($A1609,FIND("/",$A1609)+1,20))+1,20))),"")))</f>
        <v/>
      </c>
      <c r="E1609">
        <f>IF($A1609="","",IF(OR($B1609="",$C1609="",$D1609="",$B1609&lt;1300,$B1609&gt;1500,$C1609&lt;1,$C1609&gt;12,$D1609&lt;1,$D1609&gt;31),"نامعتبر",RIGHT("0000"&amp;$B1609,4)&amp;"/"&amp;RIGHT("00"&amp;$C1609,2)&amp;"/"&amp;RIGHT("00"&amp;$D1609,2)))</f>
        <v/>
      </c>
      <c r="F1609">
        <f>IF(Entry!$D1609&lt;&gt;"",IF(AND(ISNUMBER(Entry!$D1609),Entry!$D1609&gt;=0,Entry!$D1609&lt;1),RIGHT("00"&amp;HOUR(Entry!$D1609),2)&amp;":"&amp;RIGHT("00"&amp;MINUTE(Entry!$D1609),2),IFERROR(RIGHT("00"&amp;VALUE(TRIM(LEFT(Entry!$D1609,FIND(":",Entry!$D1609)-1))),2)&amp;":"&amp;RIGHT("00"&amp;VALUE(TRIM(MID(Entry!$D1609,FIND(":",Entry!$D1609)+1,2))),2),"نامعتبر")),IF(OR($E1609="",$E1609="نامعتبر"),"","00:00"))</f>
        <v/>
      </c>
      <c r="G1609">
        <f>IF(OR($E1609="",$E1609="نامعتبر"),"",IF(Entry!$E1609="","",LEFT(UPPER(TRIM(Entry!$E1609)),6)))</f>
        <v/>
      </c>
      <c r="H1609">
        <f>IF($G1609="","",RIGHT($E1609,4)&amp;MID($E1609,6,2)&amp;RIGHT($E1609,2)&amp;IF($F1609="","0000",IF($F1609="نامعتبر","9999",LEFT($F1609,2)&amp;RIGHT($F1609,2)))&amp;"|"&amp;RIGHT("00000"&amp;1601,5))</f>
        <v/>
      </c>
      <c r="I1609">
        <f>IF($H1609="","",COUNTIFS(CalcBank,$G1609,CalcKey,"&lt;"&amp;$H1609)+1)</f>
        <v/>
      </c>
      <c r="J1609">
        <f>IF($I1609="","",$G1609&amp;"|"&amp;RIGHT("000000"&amp;$I1609,6))</f>
        <v/>
      </c>
      <c r="K1609">
        <f>IF(OR($E1609="",$E1609="نامعتبر"),"",LEFT($E1609,4)&amp;"/"&amp;MID($E1609,6,2))</f>
        <v/>
      </c>
      <c r="L1609">
        <f>IF(Entry!$K1609="",0,Entry!$K1609)</f>
        <v/>
      </c>
      <c r="M1609">
        <f>IF(Entry!$L1609="",0,Entry!$L1609)</f>
        <v/>
      </c>
    </row>
    <row r="1610">
      <c r="A1610">
        <f>IF(Entry!$C1610="","",Entry!$C1610)</f>
        <v/>
      </c>
      <c r="B1610">
        <f>IF($A1610="","",IF(ISNUMBER($A1610),IF(AND($A1610&gt;=10000101,$A1610&lt;=99991231),INT($A1610/10000),""),IFERROR(VALUE(TRIM(LEFT($A1610,FIND("/",$A1610)-1))),"")))</f>
        <v/>
      </c>
      <c r="C1610">
        <f>IF(OR($A1610="",$B1610=""),"",IF(ISNUMBER($A1610),INT(MOD($A1610,10000)/100),IFERROR(VALUE(TRIM(LEFT(MID($A1610,FIND("/",$A1610)+1,20),FIND("/",MID($A1610,FIND("/",$A1610)+1,20))-1))),"")))</f>
        <v/>
      </c>
      <c r="D1610">
        <f>IF(OR($A1610="",$B1610=""),"",IF(ISNUMBER($A1610),MOD($A1610,100),IFERROR(VALUE(TRIM(MID(MID($A1610,FIND("/",$A1610)+1,20),FIND("/",MID($A1610,FIND("/",$A1610)+1,20))+1,20))),"")))</f>
        <v/>
      </c>
      <c r="E1610">
        <f>IF($A1610="","",IF(OR($B1610="",$C1610="",$D1610="",$B1610&lt;1300,$B1610&gt;1500,$C1610&lt;1,$C1610&gt;12,$D1610&lt;1,$D1610&gt;31),"نامعتبر",RIGHT("0000"&amp;$B1610,4)&amp;"/"&amp;RIGHT("00"&amp;$C1610,2)&amp;"/"&amp;RIGHT("00"&amp;$D1610,2)))</f>
        <v/>
      </c>
      <c r="F1610">
        <f>IF(Entry!$D1610&lt;&gt;"",IF(AND(ISNUMBER(Entry!$D1610),Entry!$D1610&gt;=0,Entry!$D1610&lt;1),RIGHT("00"&amp;HOUR(Entry!$D1610),2)&amp;":"&amp;RIGHT("00"&amp;MINUTE(Entry!$D1610),2),IFERROR(RIGHT("00"&amp;VALUE(TRIM(LEFT(Entry!$D1610,FIND(":",Entry!$D1610)-1))),2)&amp;":"&amp;RIGHT("00"&amp;VALUE(TRIM(MID(Entry!$D1610,FIND(":",Entry!$D1610)+1,2))),2),"نامعتبر")),IF(OR($E1610="",$E1610="نامعتبر"),"","00:00"))</f>
        <v/>
      </c>
      <c r="G1610">
        <f>IF(OR($E1610="",$E1610="نامعتبر"),"",IF(Entry!$E1610="","",LEFT(UPPER(TRIM(Entry!$E1610)),6)))</f>
        <v/>
      </c>
      <c r="H1610">
        <f>IF($G1610="","",RIGHT($E1610,4)&amp;MID($E1610,6,2)&amp;RIGHT($E1610,2)&amp;IF($F1610="","0000",IF($F1610="نامعتبر","9999",LEFT($F1610,2)&amp;RIGHT($F1610,2)))&amp;"|"&amp;RIGHT("00000"&amp;1602,5))</f>
        <v/>
      </c>
      <c r="I1610">
        <f>IF($H1610="","",COUNTIFS(CalcBank,$G1610,CalcKey,"&lt;"&amp;$H1610)+1)</f>
        <v/>
      </c>
      <c r="J1610">
        <f>IF($I1610="","",$G1610&amp;"|"&amp;RIGHT("000000"&amp;$I1610,6))</f>
        <v/>
      </c>
      <c r="K1610">
        <f>IF(OR($E1610="",$E1610="نامعتبر"),"",LEFT($E1610,4)&amp;"/"&amp;MID($E1610,6,2))</f>
        <v/>
      </c>
      <c r="L1610">
        <f>IF(Entry!$K1610="",0,Entry!$K1610)</f>
        <v/>
      </c>
      <c r="M1610">
        <f>IF(Entry!$L1610="",0,Entry!$L1610)</f>
        <v/>
      </c>
    </row>
    <row r="1611">
      <c r="A1611">
        <f>IF(Entry!$C1611="","",Entry!$C1611)</f>
        <v/>
      </c>
      <c r="B1611">
        <f>IF($A1611="","",IF(ISNUMBER($A1611),IF(AND($A1611&gt;=10000101,$A1611&lt;=99991231),INT($A1611/10000),""),IFERROR(VALUE(TRIM(LEFT($A1611,FIND("/",$A1611)-1))),"")))</f>
        <v/>
      </c>
      <c r="C1611">
        <f>IF(OR($A1611="",$B1611=""),"",IF(ISNUMBER($A1611),INT(MOD($A1611,10000)/100),IFERROR(VALUE(TRIM(LEFT(MID($A1611,FIND("/",$A1611)+1,20),FIND("/",MID($A1611,FIND("/",$A1611)+1,20))-1))),"")))</f>
        <v/>
      </c>
      <c r="D1611">
        <f>IF(OR($A1611="",$B1611=""),"",IF(ISNUMBER($A1611),MOD($A1611,100),IFERROR(VALUE(TRIM(MID(MID($A1611,FIND("/",$A1611)+1,20),FIND("/",MID($A1611,FIND("/",$A1611)+1,20))+1,20))),"")))</f>
        <v/>
      </c>
      <c r="E1611">
        <f>IF($A1611="","",IF(OR($B1611="",$C1611="",$D1611="",$B1611&lt;1300,$B1611&gt;1500,$C1611&lt;1,$C1611&gt;12,$D1611&lt;1,$D1611&gt;31),"نامعتبر",RIGHT("0000"&amp;$B1611,4)&amp;"/"&amp;RIGHT("00"&amp;$C1611,2)&amp;"/"&amp;RIGHT("00"&amp;$D1611,2)))</f>
        <v/>
      </c>
      <c r="F1611">
        <f>IF(Entry!$D1611&lt;&gt;"",IF(AND(ISNUMBER(Entry!$D1611),Entry!$D1611&gt;=0,Entry!$D1611&lt;1),RIGHT("00"&amp;HOUR(Entry!$D1611),2)&amp;":"&amp;RIGHT("00"&amp;MINUTE(Entry!$D1611),2),IFERROR(RIGHT("00"&amp;VALUE(TRIM(LEFT(Entry!$D1611,FIND(":",Entry!$D1611)-1))),2)&amp;":"&amp;RIGHT("00"&amp;VALUE(TRIM(MID(Entry!$D1611,FIND(":",Entry!$D1611)+1,2))),2),"نامعتبر")),IF(OR($E1611="",$E1611="نامعتبر"),"","00:00"))</f>
        <v/>
      </c>
      <c r="G1611">
        <f>IF(OR($E1611="",$E1611="نامعتبر"),"",IF(Entry!$E1611="","",LEFT(UPPER(TRIM(Entry!$E1611)),6)))</f>
        <v/>
      </c>
      <c r="H1611">
        <f>IF($G1611="","",RIGHT($E1611,4)&amp;MID($E1611,6,2)&amp;RIGHT($E1611,2)&amp;IF($F1611="","0000",IF($F1611="نامعتبر","9999",LEFT($F1611,2)&amp;RIGHT($F1611,2)))&amp;"|"&amp;RIGHT("00000"&amp;1603,5))</f>
        <v/>
      </c>
      <c r="I1611">
        <f>IF($H1611="","",COUNTIFS(CalcBank,$G1611,CalcKey,"&lt;"&amp;$H1611)+1)</f>
        <v/>
      </c>
      <c r="J1611">
        <f>IF($I1611="","",$G1611&amp;"|"&amp;RIGHT("000000"&amp;$I1611,6))</f>
        <v/>
      </c>
      <c r="K1611">
        <f>IF(OR($E1611="",$E1611="نامعتبر"),"",LEFT($E1611,4)&amp;"/"&amp;MID($E1611,6,2))</f>
        <v/>
      </c>
      <c r="L1611">
        <f>IF(Entry!$K1611="",0,Entry!$K1611)</f>
        <v/>
      </c>
      <c r="M1611">
        <f>IF(Entry!$L1611="",0,Entry!$L1611)</f>
        <v/>
      </c>
    </row>
    <row r="1612">
      <c r="A1612">
        <f>IF(Entry!$C1612="","",Entry!$C1612)</f>
        <v/>
      </c>
      <c r="B1612">
        <f>IF($A1612="","",IF(ISNUMBER($A1612),IF(AND($A1612&gt;=10000101,$A1612&lt;=99991231),INT($A1612/10000),""),IFERROR(VALUE(TRIM(LEFT($A1612,FIND("/",$A1612)-1))),"")))</f>
        <v/>
      </c>
      <c r="C1612">
        <f>IF(OR($A1612="",$B1612=""),"",IF(ISNUMBER($A1612),INT(MOD($A1612,10000)/100),IFERROR(VALUE(TRIM(LEFT(MID($A1612,FIND("/",$A1612)+1,20),FIND("/",MID($A1612,FIND("/",$A1612)+1,20))-1))),"")))</f>
        <v/>
      </c>
      <c r="D1612">
        <f>IF(OR($A1612="",$B1612=""),"",IF(ISNUMBER($A1612),MOD($A1612,100),IFERROR(VALUE(TRIM(MID(MID($A1612,FIND("/",$A1612)+1,20),FIND("/",MID($A1612,FIND("/",$A1612)+1,20))+1,20))),"")))</f>
        <v/>
      </c>
      <c r="E1612">
        <f>IF($A1612="","",IF(OR($B1612="",$C1612="",$D1612="",$B1612&lt;1300,$B1612&gt;1500,$C1612&lt;1,$C1612&gt;12,$D1612&lt;1,$D1612&gt;31),"نامعتبر",RIGHT("0000"&amp;$B1612,4)&amp;"/"&amp;RIGHT("00"&amp;$C1612,2)&amp;"/"&amp;RIGHT("00"&amp;$D1612,2)))</f>
        <v/>
      </c>
      <c r="F1612">
        <f>IF(Entry!$D1612&lt;&gt;"",IF(AND(ISNUMBER(Entry!$D1612),Entry!$D1612&gt;=0,Entry!$D1612&lt;1),RIGHT("00"&amp;HOUR(Entry!$D1612),2)&amp;":"&amp;RIGHT("00"&amp;MINUTE(Entry!$D1612),2),IFERROR(RIGHT("00"&amp;VALUE(TRIM(LEFT(Entry!$D1612,FIND(":",Entry!$D1612)-1))),2)&amp;":"&amp;RIGHT("00"&amp;VALUE(TRIM(MID(Entry!$D1612,FIND(":",Entry!$D1612)+1,2))),2),"نامعتبر")),IF(OR($E1612="",$E1612="نامعتبر"),"","00:00"))</f>
        <v/>
      </c>
      <c r="G1612">
        <f>IF(OR($E1612="",$E1612="نامعتبر"),"",IF(Entry!$E1612="","",LEFT(UPPER(TRIM(Entry!$E1612)),6)))</f>
        <v/>
      </c>
      <c r="H1612">
        <f>IF($G1612="","",RIGHT($E1612,4)&amp;MID($E1612,6,2)&amp;RIGHT($E1612,2)&amp;IF($F1612="","0000",IF($F1612="نامعتبر","9999",LEFT($F1612,2)&amp;RIGHT($F1612,2)))&amp;"|"&amp;RIGHT("00000"&amp;1604,5))</f>
        <v/>
      </c>
      <c r="I1612">
        <f>IF($H1612="","",COUNTIFS(CalcBank,$G1612,CalcKey,"&lt;"&amp;$H1612)+1)</f>
        <v/>
      </c>
      <c r="J1612">
        <f>IF($I1612="","",$G1612&amp;"|"&amp;RIGHT("000000"&amp;$I1612,6))</f>
        <v/>
      </c>
      <c r="K1612">
        <f>IF(OR($E1612="",$E1612="نامعتبر"),"",LEFT($E1612,4)&amp;"/"&amp;MID($E1612,6,2))</f>
        <v/>
      </c>
      <c r="L1612">
        <f>IF(Entry!$K1612="",0,Entry!$K1612)</f>
        <v/>
      </c>
      <c r="M1612">
        <f>IF(Entry!$L1612="",0,Entry!$L1612)</f>
        <v/>
      </c>
    </row>
    <row r="1613">
      <c r="A1613">
        <f>IF(Entry!$C1613="","",Entry!$C1613)</f>
        <v/>
      </c>
      <c r="B1613">
        <f>IF($A1613="","",IF(ISNUMBER($A1613),IF(AND($A1613&gt;=10000101,$A1613&lt;=99991231),INT($A1613/10000),""),IFERROR(VALUE(TRIM(LEFT($A1613,FIND("/",$A1613)-1))),"")))</f>
        <v/>
      </c>
      <c r="C1613">
        <f>IF(OR($A1613="",$B1613=""),"",IF(ISNUMBER($A1613),INT(MOD($A1613,10000)/100),IFERROR(VALUE(TRIM(LEFT(MID($A1613,FIND("/",$A1613)+1,20),FIND("/",MID($A1613,FIND("/",$A1613)+1,20))-1))),"")))</f>
        <v/>
      </c>
      <c r="D1613">
        <f>IF(OR($A1613="",$B1613=""),"",IF(ISNUMBER($A1613),MOD($A1613,100),IFERROR(VALUE(TRIM(MID(MID($A1613,FIND("/",$A1613)+1,20),FIND("/",MID($A1613,FIND("/",$A1613)+1,20))+1,20))),"")))</f>
        <v/>
      </c>
      <c r="E1613">
        <f>IF($A1613="","",IF(OR($B1613="",$C1613="",$D1613="",$B1613&lt;1300,$B1613&gt;1500,$C1613&lt;1,$C1613&gt;12,$D1613&lt;1,$D1613&gt;31),"نامعتبر",RIGHT("0000"&amp;$B1613,4)&amp;"/"&amp;RIGHT("00"&amp;$C1613,2)&amp;"/"&amp;RIGHT("00"&amp;$D1613,2)))</f>
        <v/>
      </c>
      <c r="F1613">
        <f>IF(Entry!$D1613&lt;&gt;"",IF(AND(ISNUMBER(Entry!$D1613),Entry!$D1613&gt;=0,Entry!$D1613&lt;1),RIGHT("00"&amp;HOUR(Entry!$D1613),2)&amp;":"&amp;RIGHT("00"&amp;MINUTE(Entry!$D1613),2),IFERROR(RIGHT("00"&amp;VALUE(TRIM(LEFT(Entry!$D1613,FIND(":",Entry!$D1613)-1))),2)&amp;":"&amp;RIGHT("00"&amp;VALUE(TRIM(MID(Entry!$D1613,FIND(":",Entry!$D1613)+1,2))),2),"نامعتبر")),IF(OR($E1613="",$E1613="نامعتبر"),"","00:00"))</f>
        <v/>
      </c>
      <c r="G1613">
        <f>IF(OR($E1613="",$E1613="نامعتبر"),"",IF(Entry!$E1613="","",LEFT(UPPER(TRIM(Entry!$E1613)),6)))</f>
        <v/>
      </c>
      <c r="H1613">
        <f>IF($G1613="","",RIGHT($E1613,4)&amp;MID($E1613,6,2)&amp;RIGHT($E1613,2)&amp;IF($F1613="","0000",IF($F1613="نامعتبر","9999",LEFT($F1613,2)&amp;RIGHT($F1613,2)))&amp;"|"&amp;RIGHT("00000"&amp;1605,5))</f>
        <v/>
      </c>
      <c r="I1613">
        <f>IF($H1613="","",COUNTIFS(CalcBank,$G1613,CalcKey,"&lt;"&amp;$H1613)+1)</f>
        <v/>
      </c>
      <c r="J1613">
        <f>IF($I1613="","",$G1613&amp;"|"&amp;RIGHT("000000"&amp;$I1613,6))</f>
        <v/>
      </c>
      <c r="K1613">
        <f>IF(OR($E1613="",$E1613="نامعتبر"),"",LEFT($E1613,4)&amp;"/"&amp;MID($E1613,6,2))</f>
        <v/>
      </c>
      <c r="L1613">
        <f>IF(Entry!$K1613="",0,Entry!$K1613)</f>
        <v/>
      </c>
      <c r="M1613">
        <f>IF(Entry!$L1613="",0,Entry!$L1613)</f>
        <v/>
      </c>
    </row>
    <row r="1614">
      <c r="A1614">
        <f>IF(Entry!$C1614="","",Entry!$C1614)</f>
        <v/>
      </c>
      <c r="B1614">
        <f>IF($A1614="","",IF(ISNUMBER($A1614),IF(AND($A1614&gt;=10000101,$A1614&lt;=99991231),INT($A1614/10000),""),IFERROR(VALUE(TRIM(LEFT($A1614,FIND("/",$A1614)-1))),"")))</f>
        <v/>
      </c>
      <c r="C1614">
        <f>IF(OR($A1614="",$B1614=""),"",IF(ISNUMBER($A1614),INT(MOD($A1614,10000)/100),IFERROR(VALUE(TRIM(LEFT(MID($A1614,FIND("/",$A1614)+1,20),FIND("/",MID($A1614,FIND("/",$A1614)+1,20))-1))),"")))</f>
        <v/>
      </c>
      <c r="D1614">
        <f>IF(OR($A1614="",$B1614=""),"",IF(ISNUMBER($A1614),MOD($A1614,100),IFERROR(VALUE(TRIM(MID(MID($A1614,FIND("/",$A1614)+1,20),FIND("/",MID($A1614,FIND("/",$A1614)+1,20))+1,20))),"")))</f>
        <v/>
      </c>
      <c r="E1614">
        <f>IF($A1614="","",IF(OR($B1614="",$C1614="",$D1614="",$B1614&lt;1300,$B1614&gt;1500,$C1614&lt;1,$C1614&gt;12,$D1614&lt;1,$D1614&gt;31),"نامعتبر",RIGHT("0000"&amp;$B1614,4)&amp;"/"&amp;RIGHT("00"&amp;$C1614,2)&amp;"/"&amp;RIGHT("00"&amp;$D1614,2)))</f>
        <v/>
      </c>
      <c r="F1614">
        <f>IF(Entry!$D1614&lt;&gt;"",IF(AND(ISNUMBER(Entry!$D1614),Entry!$D1614&gt;=0,Entry!$D1614&lt;1),RIGHT("00"&amp;HOUR(Entry!$D1614),2)&amp;":"&amp;RIGHT("00"&amp;MINUTE(Entry!$D1614),2),IFERROR(RIGHT("00"&amp;VALUE(TRIM(LEFT(Entry!$D1614,FIND(":",Entry!$D1614)-1))),2)&amp;":"&amp;RIGHT("00"&amp;VALUE(TRIM(MID(Entry!$D1614,FIND(":",Entry!$D1614)+1,2))),2),"نامعتبر")),IF(OR($E1614="",$E1614="نامعتبر"),"","00:00"))</f>
        <v/>
      </c>
      <c r="G1614">
        <f>IF(OR($E1614="",$E1614="نامعتبر"),"",IF(Entry!$E1614="","",LEFT(UPPER(TRIM(Entry!$E1614)),6)))</f>
        <v/>
      </c>
      <c r="H1614">
        <f>IF($G1614="","",RIGHT($E1614,4)&amp;MID($E1614,6,2)&amp;RIGHT($E1614,2)&amp;IF($F1614="","0000",IF($F1614="نامعتبر","9999",LEFT($F1614,2)&amp;RIGHT($F1614,2)))&amp;"|"&amp;RIGHT("00000"&amp;1606,5))</f>
        <v/>
      </c>
      <c r="I1614">
        <f>IF($H1614="","",COUNTIFS(CalcBank,$G1614,CalcKey,"&lt;"&amp;$H1614)+1)</f>
        <v/>
      </c>
      <c r="J1614">
        <f>IF($I1614="","",$G1614&amp;"|"&amp;RIGHT("000000"&amp;$I1614,6))</f>
        <v/>
      </c>
      <c r="K1614">
        <f>IF(OR($E1614="",$E1614="نامعتبر"),"",LEFT($E1614,4)&amp;"/"&amp;MID($E1614,6,2))</f>
        <v/>
      </c>
      <c r="L1614">
        <f>IF(Entry!$K1614="",0,Entry!$K1614)</f>
        <v/>
      </c>
      <c r="M1614">
        <f>IF(Entry!$L1614="",0,Entry!$L1614)</f>
        <v/>
      </c>
    </row>
    <row r="1615">
      <c r="A1615">
        <f>IF(Entry!$C1615="","",Entry!$C1615)</f>
        <v/>
      </c>
      <c r="B1615">
        <f>IF($A1615="","",IF(ISNUMBER($A1615),IF(AND($A1615&gt;=10000101,$A1615&lt;=99991231),INT($A1615/10000),""),IFERROR(VALUE(TRIM(LEFT($A1615,FIND("/",$A1615)-1))),"")))</f>
        <v/>
      </c>
      <c r="C1615">
        <f>IF(OR($A1615="",$B1615=""),"",IF(ISNUMBER($A1615),INT(MOD($A1615,10000)/100),IFERROR(VALUE(TRIM(LEFT(MID($A1615,FIND("/",$A1615)+1,20),FIND("/",MID($A1615,FIND("/",$A1615)+1,20))-1))),"")))</f>
        <v/>
      </c>
      <c r="D1615">
        <f>IF(OR($A1615="",$B1615=""),"",IF(ISNUMBER($A1615),MOD($A1615,100),IFERROR(VALUE(TRIM(MID(MID($A1615,FIND("/",$A1615)+1,20),FIND("/",MID($A1615,FIND("/",$A1615)+1,20))+1,20))),"")))</f>
        <v/>
      </c>
      <c r="E1615">
        <f>IF($A1615="","",IF(OR($B1615="",$C1615="",$D1615="",$B1615&lt;1300,$B1615&gt;1500,$C1615&lt;1,$C1615&gt;12,$D1615&lt;1,$D1615&gt;31),"نامعتبر",RIGHT("0000"&amp;$B1615,4)&amp;"/"&amp;RIGHT("00"&amp;$C1615,2)&amp;"/"&amp;RIGHT("00"&amp;$D1615,2)))</f>
        <v/>
      </c>
      <c r="F1615">
        <f>IF(Entry!$D1615&lt;&gt;"",IF(AND(ISNUMBER(Entry!$D1615),Entry!$D1615&gt;=0,Entry!$D1615&lt;1),RIGHT("00"&amp;HOUR(Entry!$D1615),2)&amp;":"&amp;RIGHT("00"&amp;MINUTE(Entry!$D1615),2),IFERROR(RIGHT("00"&amp;VALUE(TRIM(LEFT(Entry!$D1615,FIND(":",Entry!$D1615)-1))),2)&amp;":"&amp;RIGHT("00"&amp;VALUE(TRIM(MID(Entry!$D1615,FIND(":",Entry!$D1615)+1,2))),2),"نامعتبر")),IF(OR($E1615="",$E1615="نامعتبر"),"","00:00"))</f>
        <v/>
      </c>
      <c r="G1615">
        <f>IF(OR($E1615="",$E1615="نامعتبر"),"",IF(Entry!$E1615="","",LEFT(UPPER(TRIM(Entry!$E1615)),6)))</f>
        <v/>
      </c>
      <c r="H1615">
        <f>IF($G1615="","",RIGHT($E1615,4)&amp;MID($E1615,6,2)&amp;RIGHT($E1615,2)&amp;IF($F1615="","0000",IF($F1615="نامعتبر","9999",LEFT($F1615,2)&amp;RIGHT($F1615,2)))&amp;"|"&amp;RIGHT("00000"&amp;1607,5))</f>
        <v/>
      </c>
      <c r="I1615">
        <f>IF($H1615="","",COUNTIFS(CalcBank,$G1615,CalcKey,"&lt;"&amp;$H1615)+1)</f>
        <v/>
      </c>
      <c r="J1615">
        <f>IF($I1615="","",$G1615&amp;"|"&amp;RIGHT("000000"&amp;$I1615,6))</f>
        <v/>
      </c>
      <c r="K1615">
        <f>IF(OR($E1615="",$E1615="نامعتبر"),"",LEFT($E1615,4)&amp;"/"&amp;MID($E1615,6,2))</f>
        <v/>
      </c>
      <c r="L1615">
        <f>IF(Entry!$K1615="",0,Entry!$K1615)</f>
        <v/>
      </c>
      <c r="M1615">
        <f>IF(Entry!$L1615="",0,Entry!$L1615)</f>
        <v/>
      </c>
    </row>
    <row r="1616">
      <c r="A1616">
        <f>IF(Entry!$C1616="","",Entry!$C1616)</f>
        <v/>
      </c>
      <c r="B1616">
        <f>IF($A1616="","",IF(ISNUMBER($A1616),IF(AND($A1616&gt;=10000101,$A1616&lt;=99991231),INT($A1616/10000),""),IFERROR(VALUE(TRIM(LEFT($A1616,FIND("/",$A1616)-1))),"")))</f>
        <v/>
      </c>
      <c r="C1616">
        <f>IF(OR($A1616="",$B1616=""),"",IF(ISNUMBER($A1616),INT(MOD($A1616,10000)/100),IFERROR(VALUE(TRIM(LEFT(MID($A1616,FIND("/",$A1616)+1,20),FIND("/",MID($A1616,FIND("/",$A1616)+1,20))-1))),"")))</f>
        <v/>
      </c>
      <c r="D1616">
        <f>IF(OR($A1616="",$B1616=""),"",IF(ISNUMBER($A1616),MOD($A1616,100),IFERROR(VALUE(TRIM(MID(MID($A1616,FIND("/",$A1616)+1,20),FIND("/",MID($A1616,FIND("/",$A1616)+1,20))+1,20))),"")))</f>
        <v/>
      </c>
      <c r="E1616">
        <f>IF($A1616="","",IF(OR($B1616="",$C1616="",$D1616="",$B1616&lt;1300,$B1616&gt;1500,$C1616&lt;1,$C1616&gt;12,$D1616&lt;1,$D1616&gt;31),"نامعتبر",RIGHT("0000"&amp;$B1616,4)&amp;"/"&amp;RIGHT("00"&amp;$C1616,2)&amp;"/"&amp;RIGHT("00"&amp;$D1616,2)))</f>
        <v/>
      </c>
      <c r="F1616">
        <f>IF(Entry!$D1616&lt;&gt;"",IF(AND(ISNUMBER(Entry!$D1616),Entry!$D1616&gt;=0,Entry!$D1616&lt;1),RIGHT("00"&amp;HOUR(Entry!$D1616),2)&amp;":"&amp;RIGHT("00"&amp;MINUTE(Entry!$D1616),2),IFERROR(RIGHT("00"&amp;VALUE(TRIM(LEFT(Entry!$D1616,FIND(":",Entry!$D1616)-1))),2)&amp;":"&amp;RIGHT("00"&amp;VALUE(TRIM(MID(Entry!$D1616,FIND(":",Entry!$D1616)+1,2))),2),"نامعتبر")),IF(OR($E1616="",$E1616="نامعتبر"),"","00:00"))</f>
        <v/>
      </c>
      <c r="G1616">
        <f>IF(OR($E1616="",$E1616="نامعتبر"),"",IF(Entry!$E1616="","",LEFT(UPPER(TRIM(Entry!$E1616)),6)))</f>
        <v/>
      </c>
      <c r="H1616">
        <f>IF($G1616="","",RIGHT($E1616,4)&amp;MID($E1616,6,2)&amp;RIGHT($E1616,2)&amp;IF($F1616="","0000",IF($F1616="نامعتبر","9999",LEFT($F1616,2)&amp;RIGHT($F1616,2)))&amp;"|"&amp;RIGHT("00000"&amp;1608,5))</f>
        <v/>
      </c>
      <c r="I1616">
        <f>IF($H1616="","",COUNTIFS(CalcBank,$G1616,CalcKey,"&lt;"&amp;$H1616)+1)</f>
        <v/>
      </c>
      <c r="J1616">
        <f>IF($I1616="","",$G1616&amp;"|"&amp;RIGHT("000000"&amp;$I1616,6))</f>
        <v/>
      </c>
      <c r="K1616">
        <f>IF(OR($E1616="",$E1616="نامعتبر"),"",LEFT($E1616,4)&amp;"/"&amp;MID($E1616,6,2))</f>
        <v/>
      </c>
      <c r="L1616">
        <f>IF(Entry!$K1616="",0,Entry!$K1616)</f>
        <v/>
      </c>
      <c r="M1616">
        <f>IF(Entry!$L1616="",0,Entry!$L1616)</f>
        <v/>
      </c>
    </row>
    <row r="1617">
      <c r="A1617">
        <f>IF(Entry!$C1617="","",Entry!$C1617)</f>
        <v/>
      </c>
      <c r="B1617">
        <f>IF($A1617="","",IF(ISNUMBER($A1617),IF(AND($A1617&gt;=10000101,$A1617&lt;=99991231),INT($A1617/10000),""),IFERROR(VALUE(TRIM(LEFT($A1617,FIND("/",$A1617)-1))),"")))</f>
        <v/>
      </c>
      <c r="C1617">
        <f>IF(OR($A1617="",$B1617=""),"",IF(ISNUMBER($A1617),INT(MOD($A1617,10000)/100),IFERROR(VALUE(TRIM(LEFT(MID($A1617,FIND("/",$A1617)+1,20),FIND("/",MID($A1617,FIND("/",$A1617)+1,20))-1))),"")))</f>
        <v/>
      </c>
      <c r="D1617">
        <f>IF(OR($A1617="",$B1617=""),"",IF(ISNUMBER($A1617),MOD($A1617,100),IFERROR(VALUE(TRIM(MID(MID($A1617,FIND("/",$A1617)+1,20),FIND("/",MID($A1617,FIND("/",$A1617)+1,20))+1,20))),"")))</f>
        <v/>
      </c>
      <c r="E1617">
        <f>IF($A1617="","",IF(OR($B1617="",$C1617="",$D1617="",$B1617&lt;1300,$B1617&gt;1500,$C1617&lt;1,$C1617&gt;12,$D1617&lt;1,$D1617&gt;31),"نامعتبر",RIGHT("0000"&amp;$B1617,4)&amp;"/"&amp;RIGHT("00"&amp;$C1617,2)&amp;"/"&amp;RIGHT("00"&amp;$D1617,2)))</f>
        <v/>
      </c>
      <c r="F1617">
        <f>IF(Entry!$D1617&lt;&gt;"",IF(AND(ISNUMBER(Entry!$D1617),Entry!$D1617&gt;=0,Entry!$D1617&lt;1),RIGHT("00"&amp;HOUR(Entry!$D1617),2)&amp;":"&amp;RIGHT("00"&amp;MINUTE(Entry!$D1617),2),IFERROR(RIGHT("00"&amp;VALUE(TRIM(LEFT(Entry!$D1617,FIND(":",Entry!$D1617)-1))),2)&amp;":"&amp;RIGHT("00"&amp;VALUE(TRIM(MID(Entry!$D1617,FIND(":",Entry!$D1617)+1,2))),2),"نامعتبر")),IF(OR($E1617="",$E1617="نامعتبر"),"","00:00"))</f>
        <v/>
      </c>
      <c r="G1617">
        <f>IF(OR($E1617="",$E1617="نامعتبر"),"",IF(Entry!$E1617="","",LEFT(UPPER(TRIM(Entry!$E1617)),6)))</f>
        <v/>
      </c>
      <c r="H1617">
        <f>IF($G1617="","",RIGHT($E1617,4)&amp;MID($E1617,6,2)&amp;RIGHT($E1617,2)&amp;IF($F1617="","0000",IF($F1617="نامعتبر","9999",LEFT($F1617,2)&amp;RIGHT($F1617,2)))&amp;"|"&amp;RIGHT("00000"&amp;1609,5))</f>
        <v/>
      </c>
      <c r="I1617">
        <f>IF($H1617="","",COUNTIFS(CalcBank,$G1617,CalcKey,"&lt;"&amp;$H1617)+1)</f>
        <v/>
      </c>
      <c r="J1617">
        <f>IF($I1617="","",$G1617&amp;"|"&amp;RIGHT("000000"&amp;$I1617,6))</f>
        <v/>
      </c>
      <c r="K1617">
        <f>IF(OR($E1617="",$E1617="نامعتبر"),"",LEFT($E1617,4)&amp;"/"&amp;MID($E1617,6,2))</f>
        <v/>
      </c>
      <c r="L1617">
        <f>IF(Entry!$K1617="",0,Entry!$K1617)</f>
        <v/>
      </c>
      <c r="M1617">
        <f>IF(Entry!$L1617="",0,Entry!$L1617)</f>
        <v/>
      </c>
    </row>
    <row r="1618">
      <c r="A1618">
        <f>IF(Entry!$C1618="","",Entry!$C1618)</f>
        <v/>
      </c>
      <c r="B1618">
        <f>IF($A1618="","",IF(ISNUMBER($A1618),IF(AND($A1618&gt;=10000101,$A1618&lt;=99991231),INT($A1618/10000),""),IFERROR(VALUE(TRIM(LEFT($A1618,FIND("/",$A1618)-1))),"")))</f>
        <v/>
      </c>
      <c r="C1618">
        <f>IF(OR($A1618="",$B1618=""),"",IF(ISNUMBER($A1618),INT(MOD($A1618,10000)/100),IFERROR(VALUE(TRIM(LEFT(MID($A1618,FIND("/",$A1618)+1,20),FIND("/",MID($A1618,FIND("/",$A1618)+1,20))-1))),"")))</f>
        <v/>
      </c>
      <c r="D1618">
        <f>IF(OR($A1618="",$B1618=""),"",IF(ISNUMBER($A1618),MOD($A1618,100),IFERROR(VALUE(TRIM(MID(MID($A1618,FIND("/",$A1618)+1,20),FIND("/",MID($A1618,FIND("/",$A1618)+1,20))+1,20))),"")))</f>
        <v/>
      </c>
      <c r="E1618">
        <f>IF($A1618="","",IF(OR($B1618="",$C1618="",$D1618="",$B1618&lt;1300,$B1618&gt;1500,$C1618&lt;1,$C1618&gt;12,$D1618&lt;1,$D1618&gt;31),"نامعتبر",RIGHT("0000"&amp;$B1618,4)&amp;"/"&amp;RIGHT("00"&amp;$C1618,2)&amp;"/"&amp;RIGHT("00"&amp;$D1618,2)))</f>
        <v/>
      </c>
      <c r="F1618">
        <f>IF(Entry!$D1618&lt;&gt;"",IF(AND(ISNUMBER(Entry!$D1618),Entry!$D1618&gt;=0,Entry!$D1618&lt;1),RIGHT("00"&amp;HOUR(Entry!$D1618),2)&amp;":"&amp;RIGHT("00"&amp;MINUTE(Entry!$D1618),2),IFERROR(RIGHT("00"&amp;VALUE(TRIM(LEFT(Entry!$D1618,FIND(":",Entry!$D1618)-1))),2)&amp;":"&amp;RIGHT("00"&amp;VALUE(TRIM(MID(Entry!$D1618,FIND(":",Entry!$D1618)+1,2))),2),"نامعتبر")),IF(OR($E1618="",$E1618="نامعتبر"),"","00:00"))</f>
        <v/>
      </c>
      <c r="G1618">
        <f>IF(OR($E1618="",$E1618="نامعتبر"),"",IF(Entry!$E1618="","",LEFT(UPPER(TRIM(Entry!$E1618)),6)))</f>
        <v/>
      </c>
      <c r="H1618">
        <f>IF($G1618="","",RIGHT($E1618,4)&amp;MID($E1618,6,2)&amp;RIGHT($E1618,2)&amp;IF($F1618="","0000",IF($F1618="نامعتبر","9999",LEFT($F1618,2)&amp;RIGHT($F1618,2)))&amp;"|"&amp;RIGHT("00000"&amp;1610,5))</f>
        <v/>
      </c>
      <c r="I1618">
        <f>IF($H1618="","",COUNTIFS(CalcBank,$G1618,CalcKey,"&lt;"&amp;$H1618)+1)</f>
        <v/>
      </c>
      <c r="J1618">
        <f>IF($I1618="","",$G1618&amp;"|"&amp;RIGHT("000000"&amp;$I1618,6))</f>
        <v/>
      </c>
      <c r="K1618">
        <f>IF(OR($E1618="",$E1618="نامعتبر"),"",LEFT($E1618,4)&amp;"/"&amp;MID($E1618,6,2))</f>
        <v/>
      </c>
      <c r="L1618">
        <f>IF(Entry!$K1618="",0,Entry!$K1618)</f>
        <v/>
      </c>
      <c r="M1618">
        <f>IF(Entry!$L1618="",0,Entry!$L1618)</f>
        <v/>
      </c>
    </row>
    <row r="1619">
      <c r="A1619">
        <f>IF(Entry!$C1619="","",Entry!$C1619)</f>
        <v/>
      </c>
      <c r="B1619">
        <f>IF($A1619="","",IF(ISNUMBER($A1619),IF(AND($A1619&gt;=10000101,$A1619&lt;=99991231),INT($A1619/10000),""),IFERROR(VALUE(TRIM(LEFT($A1619,FIND("/",$A1619)-1))),"")))</f>
        <v/>
      </c>
      <c r="C1619">
        <f>IF(OR($A1619="",$B1619=""),"",IF(ISNUMBER($A1619),INT(MOD($A1619,10000)/100),IFERROR(VALUE(TRIM(LEFT(MID($A1619,FIND("/",$A1619)+1,20),FIND("/",MID($A1619,FIND("/",$A1619)+1,20))-1))),"")))</f>
        <v/>
      </c>
      <c r="D1619">
        <f>IF(OR($A1619="",$B1619=""),"",IF(ISNUMBER($A1619),MOD($A1619,100),IFERROR(VALUE(TRIM(MID(MID($A1619,FIND("/",$A1619)+1,20),FIND("/",MID($A1619,FIND("/",$A1619)+1,20))+1,20))),"")))</f>
        <v/>
      </c>
      <c r="E1619">
        <f>IF($A1619="","",IF(OR($B1619="",$C1619="",$D1619="",$B1619&lt;1300,$B1619&gt;1500,$C1619&lt;1,$C1619&gt;12,$D1619&lt;1,$D1619&gt;31),"نامعتبر",RIGHT("0000"&amp;$B1619,4)&amp;"/"&amp;RIGHT("00"&amp;$C1619,2)&amp;"/"&amp;RIGHT("00"&amp;$D1619,2)))</f>
        <v/>
      </c>
      <c r="F1619">
        <f>IF(Entry!$D1619&lt;&gt;"",IF(AND(ISNUMBER(Entry!$D1619),Entry!$D1619&gt;=0,Entry!$D1619&lt;1),RIGHT("00"&amp;HOUR(Entry!$D1619),2)&amp;":"&amp;RIGHT("00"&amp;MINUTE(Entry!$D1619),2),IFERROR(RIGHT("00"&amp;VALUE(TRIM(LEFT(Entry!$D1619,FIND(":",Entry!$D1619)-1))),2)&amp;":"&amp;RIGHT("00"&amp;VALUE(TRIM(MID(Entry!$D1619,FIND(":",Entry!$D1619)+1,2))),2),"نامعتبر")),IF(OR($E1619="",$E1619="نامعتبر"),"","00:00"))</f>
        <v/>
      </c>
      <c r="G1619">
        <f>IF(OR($E1619="",$E1619="نامعتبر"),"",IF(Entry!$E1619="","",LEFT(UPPER(TRIM(Entry!$E1619)),6)))</f>
        <v/>
      </c>
      <c r="H1619">
        <f>IF($G1619="","",RIGHT($E1619,4)&amp;MID($E1619,6,2)&amp;RIGHT($E1619,2)&amp;IF($F1619="","0000",IF($F1619="نامعتبر","9999",LEFT($F1619,2)&amp;RIGHT($F1619,2)))&amp;"|"&amp;RIGHT("00000"&amp;1611,5))</f>
        <v/>
      </c>
      <c r="I1619">
        <f>IF($H1619="","",COUNTIFS(CalcBank,$G1619,CalcKey,"&lt;"&amp;$H1619)+1)</f>
        <v/>
      </c>
      <c r="J1619">
        <f>IF($I1619="","",$G1619&amp;"|"&amp;RIGHT("000000"&amp;$I1619,6))</f>
        <v/>
      </c>
      <c r="K1619">
        <f>IF(OR($E1619="",$E1619="نامعتبر"),"",LEFT($E1619,4)&amp;"/"&amp;MID($E1619,6,2))</f>
        <v/>
      </c>
      <c r="L1619">
        <f>IF(Entry!$K1619="",0,Entry!$K1619)</f>
        <v/>
      </c>
      <c r="M1619">
        <f>IF(Entry!$L1619="",0,Entry!$L1619)</f>
        <v/>
      </c>
    </row>
    <row r="1620">
      <c r="A1620">
        <f>IF(Entry!$C1620="","",Entry!$C1620)</f>
        <v/>
      </c>
      <c r="B1620">
        <f>IF($A1620="","",IF(ISNUMBER($A1620),IF(AND($A1620&gt;=10000101,$A1620&lt;=99991231),INT($A1620/10000),""),IFERROR(VALUE(TRIM(LEFT($A1620,FIND("/",$A1620)-1))),"")))</f>
        <v/>
      </c>
      <c r="C1620">
        <f>IF(OR($A1620="",$B1620=""),"",IF(ISNUMBER($A1620),INT(MOD($A1620,10000)/100),IFERROR(VALUE(TRIM(LEFT(MID($A1620,FIND("/",$A1620)+1,20),FIND("/",MID($A1620,FIND("/",$A1620)+1,20))-1))),"")))</f>
        <v/>
      </c>
      <c r="D1620">
        <f>IF(OR($A1620="",$B1620=""),"",IF(ISNUMBER($A1620),MOD($A1620,100),IFERROR(VALUE(TRIM(MID(MID($A1620,FIND("/",$A1620)+1,20),FIND("/",MID($A1620,FIND("/",$A1620)+1,20))+1,20))),"")))</f>
        <v/>
      </c>
      <c r="E1620">
        <f>IF($A1620="","",IF(OR($B1620="",$C1620="",$D1620="",$B1620&lt;1300,$B1620&gt;1500,$C1620&lt;1,$C1620&gt;12,$D1620&lt;1,$D1620&gt;31),"نامعتبر",RIGHT("0000"&amp;$B1620,4)&amp;"/"&amp;RIGHT("00"&amp;$C1620,2)&amp;"/"&amp;RIGHT("00"&amp;$D1620,2)))</f>
        <v/>
      </c>
      <c r="F1620">
        <f>IF(Entry!$D1620&lt;&gt;"",IF(AND(ISNUMBER(Entry!$D1620),Entry!$D1620&gt;=0,Entry!$D1620&lt;1),RIGHT("00"&amp;HOUR(Entry!$D1620),2)&amp;":"&amp;RIGHT("00"&amp;MINUTE(Entry!$D1620),2),IFERROR(RIGHT("00"&amp;VALUE(TRIM(LEFT(Entry!$D1620,FIND(":",Entry!$D1620)-1))),2)&amp;":"&amp;RIGHT("00"&amp;VALUE(TRIM(MID(Entry!$D1620,FIND(":",Entry!$D1620)+1,2))),2),"نامعتبر")),IF(OR($E1620="",$E1620="نامعتبر"),"","00:00"))</f>
        <v/>
      </c>
      <c r="G1620">
        <f>IF(OR($E1620="",$E1620="نامعتبر"),"",IF(Entry!$E1620="","",LEFT(UPPER(TRIM(Entry!$E1620)),6)))</f>
        <v/>
      </c>
      <c r="H1620">
        <f>IF($G1620="","",RIGHT($E1620,4)&amp;MID($E1620,6,2)&amp;RIGHT($E1620,2)&amp;IF($F1620="","0000",IF($F1620="نامعتبر","9999",LEFT($F1620,2)&amp;RIGHT($F1620,2)))&amp;"|"&amp;RIGHT("00000"&amp;1612,5))</f>
        <v/>
      </c>
      <c r="I1620">
        <f>IF($H1620="","",COUNTIFS(CalcBank,$G1620,CalcKey,"&lt;"&amp;$H1620)+1)</f>
        <v/>
      </c>
      <c r="J1620">
        <f>IF($I1620="","",$G1620&amp;"|"&amp;RIGHT("000000"&amp;$I1620,6))</f>
        <v/>
      </c>
      <c r="K1620">
        <f>IF(OR($E1620="",$E1620="نامعتبر"),"",LEFT($E1620,4)&amp;"/"&amp;MID($E1620,6,2))</f>
        <v/>
      </c>
      <c r="L1620">
        <f>IF(Entry!$K1620="",0,Entry!$K1620)</f>
        <v/>
      </c>
      <c r="M1620">
        <f>IF(Entry!$L1620="",0,Entry!$L1620)</f>
        <v/>
      </c>
    </row>
    <row r="1621">
      <c r="A1621">
        <f>IF(Entry!$C1621="","",Entry!$C1621)</f>
        <v/>
      </c>
      <c r="B1621">
        <f>IF($A1621="","",IF(ISNUMBER($A1621),IF(AND($A1621&gt;=10000101,$A1621&lt;=99991231),INT($A1621/10000),""),IFERROR(VALUE(TRIM(LEFT($A1621,FIND("/",$A1621)-1))),"")))</f>
        <v/>
      </c>
      <c r="C1621">
        <f>IF(OR($A1621="",$B1621=""),"",IF(ISNUMBER($A1621),INT(MOD($A1621,10000)/100),IFERROR(VALUE(TRIM(LEFT(MID($A1621,FIND("/",$A1621)+1,20),FIND("/",MID($A1621,FIND("/",$A1621)+1,20))-1))),"")))</f>
        <v/>
      </c>
      <c r="D1621">
        <f>IF(OR($A1621="",$B1621=""),"",IF(ISNUMBER($A1621),MOD($A1621,100),IFERROR(VALUE(TRIM(MID(MID($A1621,FIND("/",$A1621)+1,20),FIND("/",MID($A1621,FIND("/",$A1621)+1,20))+1,20))),"")))</f>
        <v/>
      </c>
      <c r="E1621">
        <f>IF($A1621="","",IF(OR($B1621="",$C1621="",$D1621="",$B1621&lt;1300,$B1621&gt;1500,$C1621&lt;1,$C1621&gt;12,$D1621&lt;1,$D1621&gt;31),"نامعتبر",RIGHT("0000"&amp;$B1621,4)&amp;"/"&amp;RIGHT("00"&amp;$C1621,2)&amp;"/"&amp;RIGHT("00"&amp;$D1621,2)))</f>
        <v/>
      </c>
      <c r="F1621">
        <f>IF(Entry!$D1621&lt;&gt;"",IF(AND(ISNUMBER(Entry!$D1621),Entry!$D1621&gt;=0,Entry!$D1621&lt;1),RIGHT("00"&amp;HOUR(Entry!$D1621),2)&amp;":"&amp;RIGHT("00"&amp;MINUTE(Entry!$D1621),2),IFERROR(RIGHT("00"&amp;VALUE(TRIM(LEFT(Entry!$D1621,FIND(":",Entry!$D1621)-1))),2)&amp;":"&amp;RIGHT("00"&amp;VALUE(TRIM(MID(Entry!$D1621,FIND(":",Entry!$D1621)+1,2))),2),"نامعتبر")),IF(OR($E1621="",$E1621="نامعتبر"),"","00:00"))</f>
        <v/>
      </c>
      <c r="G1621">
        <f>IF(OR($E1621="",$E1621="نامعتبر"),"",IF(Entry!$E1621="","",LEFT(UPPER(TRIM(Entry!$E1621)),6)))</f>
        <v/>
      </c>
      <c r="H1621">
        <f>IF($G1621="","",RIGHT($E1621,4)&amp;MID($E1621,6,2)&amp;RIGHT($E1621,2)&amp;IF($F1621="","0000",IF($F1621="نامعتبر","9999",LEFT($F1621,2)&amp;RIGHT($F1621,2)))&amp;"|"&amp;RIGHT("00000"&amp;1613,5))</f>
        <v/>
      </c>
      <c r="I1621">
        <f>IF($H1621="","",COUNTIFS(CalcBank,$G1621,CalcKey,"&lt;"&amp;$H1621)+1)</f>
        <v/>
      </c>
      <c r="J1621">
        <f>IF($I1621="","",$G1621&amp;"|"&amp;RIGHT("000000"&amp;$I1621,6))</f>
        <v/>
      </c>
      <c r="K1621">
        <f>IF(OR($E1621="",$E1621="نامعتبر"),"",LEFT($E1621,4)&amp;"/"&amp;MID($E1621,6,2))</f>
        <v/>
      </c>
      <c r="L1621">
        <f>IF(Entry!$K1621="",0,Entry!$K1621)</f>
        <v/>
      </c>
      <c r="M1621">
        <f>IF(Entry!$L1621="",0,Entry!$L1621)</f>
        <v/>
      </c>
    </row>
    <row r="1622">
      <c r="A1622">
        <f>IF(Entry!$C1622="","",Entry!$C1622)</f>
        <v/>
      </c>
      <c r="B1622">
        <f>IF($A1622="","",IF(ISNUMBER($A1622),IF(AND($A1622&gt;=10000101,$A1622&lt;=99991231),INT($A1622/10000),""),IFERROR(VALUE(TRIM(LEFT($A1622,FIND("/",$A1622)-1))),"")))</f>
        <v/>
      </c>
      <c r="C1622">
        <f>IF(OR($A1622="",$B1622=""),"",IF(ISNUMBER($A1622),INT(MOD($A1622,10000)/100),IFERROR(VALUE(TRIM(LEFT(MID($A1622,FIND("/",$A1622)+1,20),FIND("/",MID($A1622,FIND("/",$A1622)+1,20))-1))),"")))</f>
        <v/>
      </c>
      <c r="D1622">
        <f>IF(OR($A1622="",$B1622=""),"",IF(ISNUMBER($A1622),MOD($A1622,100),IFERROR(VALUE(TRIM(MID(MID($A1622,FIND("/",$A1622)+1,20),FIND("/",MID($A1622,FIND("/",$A1622)+1,20))+1,20))),"")))</f>
        <v/>
      </c>
      <c r="E1622">
        <f>IF($A1622="","",IF(OR($B1622="",$C1622="",$D1622="",$B1622&lt;1300,$B1622&gt;1500,$C1622&lt;1,$C1622&gt;12,$D1622&lt;1,$D1622&gt;31),"نامعتبر",RIGHT("0000"&amp;$B1622,4)&amp;"/"&amp;RIGHT("00"&amp;$C1622,2)&amp;"/"&amp;RIGHT("00"&amp;$D1622,2)))</f>
        <v/>
      </c>
      <c r="F1622">
        <f>IF(Entry!$D1622&lt;&gt;"",IF(AND(ISNUMBER(Entry!$D1622),Entry!$D1622&gt;=0,Entry!$D1622&lt;1),RIGHT("00"&amp;HOUR(Entry!$D1622),2)&amp;":"&amp;RIGHT("00"&amp;MINUTE(Entry!$D1622),2),IFERROR(RIGHT("00"&amp;VALUE(TRIM(LEFT(Entry!$D1622,FIND(":",Entry!$D1622)-1))),2)&amp;":"&amp;RIGHT("00"&amp;VALUE(TRIM(MID(Entry!$D1622,FIND(":",Entry!$D1622)+1,2))),2),"نامعتبر")),IF(OR($E1622="",$E1622="نامعتبر"),"","00:00"))</f>
        <v/>
      </c>
      <c r="G1622">
        <f>IF(OR($E1622="",$E1622="نامعتبر"),"",IF(Entry!$E1622="","",LEFT(UPPER(TRIM(Entry!$E1622)),6)))</f>
        <v/>
      </c>
      <c r="H1622">
        <f>IF($G1622="","",RIGHT($E1622,4)&amp;MID($E1622,6,2)&amp;RIGHT($E1622,2)&amp;IF($F1622="","0000",IF($F1622="نامعتبر","9999",LEFT($F1622,2)&amp;RIGHT($F1622,2)))&amp;"|"&amp;RIGHT("00000"&amp;1614,5))</f>
        <v/>
      </c>
      <c r="I1622">
        <f>IF($H1622="","",COUNTIFS(CalcBank,$G1622,CalcKey,"&lt;"&amp;$H1622)+1)</f>
        <v/>
      </c>
      <c r="J1622">
        <f>IF($I1622="","",$G1622&amp;"|"&amp;RIGHT("000000"&amp;$I1622,6))</f>
        <v/>
      </c>
      <c r="K1622">
        <f>IF(OR($E1622="",$E1622="نامعتبر"),"",LEFT($E1622,4)&amp;"/"&amp;MID($E1622,6,2))</f>
        <v/>
      </c>
      <c r="L1622">
        <f>IF(Entry!$K1622="",0,Entry!$K1622)</f>
        <v/>
      </c>
      <c r="M1622">
        <f>IF(Entry!$L1622="",0,Entry!$L1622)</f>
        <v/>
      </c>
    </row>
    <row r="1623">
      <c r="A1623">
        <f>IF(Entry!$C1623="","",Entry!$C1623)</f>
        <v/>
      </c>
      <c r="B1623">
        <f>IF($A1623="","",IF(ISNUMBER($A1623),IF(AND($A1623&gt;=10000101,$A1623&lt;=99991231),INT($A1623/10000),""),IFERROR(VALUE(TRIM(LEFT($A1623,FIND("/",$A1623)-1))),"")))</f>
        <v/>
      </c>
      <c r="C1623">
        <f>IF(OR($A1623="",$B1623=""),"",IF(ISNUMBER($A1623),INT(MOD($A1623,10000)/100),IFERROR(VALUE(TRIM(LEFT(MID($A1623,FIND("/",$A1623)+1,20),FIND("/",MID($A1623,FIND("/",$A1623)+1,20))-1))),"")))</f>
        <v/>
      </c>
      <c r="D1623">
        <f>IF(OR($A1623="",$B1623=""),"",IF(ISNUMBER($A1623),MOD($A1623,100),IFERROR(VALUE(TRIM(MID(MID($A1623,FIND("/",$A1623)+1,20),FIND("/",MID($A1623,FIND("/",$A1623)+1,20))+1,20))),"")))</f>
        <v/>
      </c>
      <c r="E1623">
        <f>IF($A1623="","",IF(OR($B1623="",$C1623="",$D1623="",$B1623&lt;1300,$B1623&gt;1500,$C1623&lt;1,$C1623&gt;12,$D1623&lt;1,$D1623&gt;31),"نامعتبر",RIGHT("0000"&amp;$B1623,4)&amp;"/"&amp;RIGHT("00"&amp;$C1623,2)&amp;"/"&amp;RIGHT("00"&amp;$D1623,2)))</f>
        <v/>
      </c>
      <c r="F1623">
        <f>IF(Entry!$D1623&lt;&gt;"",IF(AND(ISNUMBER(Entry!$D1623),Entry!$D1623&gt;=0,Entry!$D1623&lt;1),RIGHT("00"&amp;HOUR(Entry!$D1623),2)&amp;":"&amp;RIGHT("00"&amp;MINUTE(Entry!$D1623),2),IFERROR(RIGHT("00"&amp;VALUE(TRIM(LEFT(Entry!$D1623,FIND(":",Entry!$D1623)-1))),2)&amp;":"&amp;RIGHT("00"&amp;VALUE(TRIM(MID(Entry!$D1623,FIND(":",Entry!$D1623)+1,2))),2),"نامعتبر")),IF(OR($E1623="",$E1623="نامعتبر"),"","00:00"))</f>
        <v/>
      </c>
      <c r="G1623">
        <f>IF(OR($E1623="",$E1623="نامعتبر"),"",IF(Entry!$E1623="","",LEFT(UPPER(TRIM(Entry!$E1623)),6)))</f>
        <v/>
      </c>
      <c r="H1623">
        <f>IF($G1623="","",RIGHT($E1623,4)&amp;MID($E1623,6,2)&amp;RIGHT($E1623,2)&amp;IF($F1623="","0000",IF($F1623="نامعتبر","9999",LEFT($F1623,2)&amp;RIGHT($F1623,2)))&amp;"|"&amp;RIGHT("00000"&amp;1615,5))</f>
        <v/>
      </c>
      <c r="I1623">
        <f>IF($H1623="","",COUNTIFS(CalcBank,$G1623,CalcKey,"&lt;"&amp;$H1623)+1)</f>
        <v/>
      </c>
      <c r="J1623">
        <f>IF($I1623="","",$G1623&amp;"|"&amp;RIGHT("000000"&amp;$I1623,6))</f>
        <v/>
      </c>
      <c r="K1623">
        <f>IF(OR($E1623="",$E1623="نامعتبر"),"",LEFT($E1623,4)&amp;"/"&amp;MID($E1623,6,2))</f>
        <v/>
      </c>
      <c r="L1623">
        <f>IF(Entry!$K1623="",0,Entry!$K1623)</f>
        <v/>
      </c>
      <c r="M1623">
        <f>IF(Entry!$L1623="",0,Entry!$L1623)</f>
        <v/>
      </c>
    </row>
    <row r="1624">
      <c r="A1624">
        <f>IF(Entry!$C1624="","",Entry!$C1624)</f>
        <v/>
      </c>
      <c r="B1624">
        <f>IF($A1624="","",IF(ISNUMBER($A1624),IF(AND($A1624&gt;=10000101,$A1624&lt;=99991231),INT($A1624/10000),""),IFERROR(VALUE(TRIM(LEFT($A1624,FIND("/",$A1624)-1))),"")))</f>
        <v/>
      </c>
      <c r="C1624">
        <f>IF(OR($A1624="",$B1624=""),"",IF(ISNUMBER($A1624),INT(MOD($A1624,10000)/100),IFERROR(VALUE(TRIM(LEFT(MID($A1624,FIND("/",$A1624)+1,20),FIND("/",MID($A1624,FIND("/",$A1624)+1,20))-1))),"")))</f>
        <v/>
      </c>
      <c r="D1624">
        <f>IF(OR($A1624="",$B1624=""),"",IF(ISNUMBER($A1624),MOD($A1624,100),IFERROR(VALUE(TRIM(MID(MID($A1624,FIND("/",$A1624)+1,20),FIND("/",MID($A1624,FIND("/",$A1624)+1,20))+1,20))),"")))</f>
        <v/>
      </c>
      <c r="E1624">
        <f>IF($A1624="","",IF(OR($B1624="",$C1624="",$D1624="",$B1624&lt;1300,$B1624&gt;1500,$C1624&lt;1,$C1624&gt;12,$D1624&lt;1,$D1624&gt;31),"نامعتبر",RIGHT("0000"&amp;$B1624,4)&amp;"/"&amp;RIGHT("00"&amp;$C1624,2)&amp;"/"&amp;RIGHT("00"&amp;$D1624,2)))</f>
        <v/>
      </c>
      <c r="F1624">
        <f>IF(Entry!$D1624&lt;&gt;"",IF(AND(ISNUMBER(Entry!$D1624),Entry!$D1624&gt;=0,Entry!$D1624&lt;1),RIGHT("00"&amp;HOUR(Entry!$D1624),2)&amp;":"&amp;RIGHT("00"&amp;MINUTE(Entry!$D1624),2),IFERROR(RIGHT("00"&amp;VALUE(TRIM(LEFT(Entry!$D1624,FIND(":",Entry!$D1624)-1))),2)&amp;":"&amp;RIGHT("00"&amp;VALUE(TRIM(MID(Entry!$D1624,FIND(":",Entry!$D1624)+1,2))),2),"نامعتبر")),IF(OR($E1624="",$E1624="نامعتبر"),"","00:00"))</f>
        <v/>
      </c>
      <c r="G1624">
        <f>IF(OR($E1624="",$E1624="نامعتبر"),"",IF(Entry!$E1624="","",LEFT(UPPER(TRIM(Entry!$E1624)),6)))</f>
        <v/>
      </c>
      <c r="H1624">
        <f>IF($G1624="","",RIGHT($E1624,4)&amp;MID($E1624,6,2)&amp;RIGHT($E1624,2)&amp;IF($F1624="","0000",IF($F1624="نامعتبر","9999",LEFT($F1624,2)&amp;RIGHT($F1624,2)))&amp;"|"&amp;RIGHT("00000"&amp;1616,5))</f>
        <v/>
      </c>
      <c r="I1624">
        <f>IF($H1624="","",COUNTIFS(CalcBank,$G1624,CalcKey,"&lt;"&amp;$H1624)+1)</f>
        <v/>
      </c>
      <c r="J1624">
        <f>IF($I1624="","",$G1624&amp;"|"&amp;RIGHT("000000"&amp;$I1624,6))</f>
        <v/>
      </c>
      <c r="K1624">
        <f>IF(OR($E1624="",$E1624="نامعتبر"),"",LEFT($E1624,4)&amp;"/"&amp;MID($E1624,6,2))</f>
        <v/>
      </c>
      <c r="L1624">
        <f>IF(Entry!$K1624="",0,Entry!$K1624)</f>
        <v/>
      </c>
      <c r="M1624">
        <f>IF(Entry!$L1624="",0,Entry!$L1624)</f>
        <v/>
      </c>
    </row>
    <row r="1625">
      <c r="A1625">
        <f>IF(Entry!$C1625="","",Entry!$C1625)</f>
        <v/>
      </c>
      <c r="B1625">
        <f>IF($A1625="","",IF(ISNUMBER($A1625),IF(AND($A1625&gt;=10000101,$A1625&lt;=99991231),INT($A1625/10000),""),IFERROR(VALUE(TRIM(LEFT($A1625,FIND("/",$A1625)-1))),"")))</f>
        <v/>
      </c>
      <c r="C1625">
        <f>IF(OR($A1625="",$B1625=""),"",IF(ISNUMBER($A1625),INT(MOD($A1625,10000)/100),IFERROR(VALUE(TRIM(LEFT(MID($A1625,FIND("/",$A1625)+1,20),FIND("/",MID($A1625,FIND("/",$A1625)+1,20))-1))),"")))</f>
        <v/>
      </c>
      <c r="D1625">
        <f>IF(OR($A1625="",$B1625=""),"",IF(ISNUMBER($A1625),MOD($A1625,100),IFERROR(VALUE(TRIM(MID(MID($A1625,FIND("/",$A1625)+1,20),FIND("/",MID($A1625,FIND("/",$A1625)+1,20))+1,20))),"")))</f>
        <v/>
      </c>
      <c r="E1625">
        <f>IF($A1625="","",IF(OR($B1625="",$C1625="",$D1625="",$B1625&lt;1300,$B1625&gt;1500,$C1625&lt;1,$C1625&gt;12,$D1625&lt;1,$D1625&gt;31),"نامعتبر",RIGHT("0000"&amp;$B1625,4)&amp;"/"&amp;RIGHT("00"&amp;$C1625,2)&amp;"/"&amp;RIGHT("00"&amp;$D1625,2)))</f>
        <v/>
      </c>
      <c r="F1625">
        <f>IF(Entry!$D1625&lt;&gt;"",IF(AND(ISNUMBER(Entry!$D1625),Entry!$D1625&gt;=0,Entry!$D1625&lt;1),RIGHT("00"&amp;HOUR(Entry!$D1625),2)&amp;":"&amp;RIGHT("00"&amp;MINUTE(Entry!$D1625),2),IFERROR(RIGHT("00"&amp;VALUE(TRIM(LEFT(Entry!$D1625,FIND(":",Entry!$D1625)-1))),2)&amp;":"&amp;RIGHT("00"&amp;VALUE(TRIM(MID(Entry!$D1625,FIND(":",Entry!$D1625)+1,2))),2),"نامعتبر")),IF(OR($E1625="",$E1625="نامعتبر"),"","00:00"))</f>
        <v/>
      </c>
      <c r="G1625">
        <f>IF(OR($E1625="",$E1625="نامعتبر"),"",IF(Entry!$E1625="","",LEFT(UPPER(TRIM(Entry!$E1625)),6)))</f>
        <v/>
      </c>
      <c r="H1625">
        <f>IF($G1625="","",RIGHT($E1625,4)&amp;MID($E1625,6,2)&amp;RIGHT($E1625,2)&amp;IF($F1625="","0000",IF($F1625="نامعتبر","9999",LEFT($F1625,2)&amp;RIGHT($F1625,2)))&amp;"|"&amp;RIGHT("00000"&amp;1617,5))</f>
        <v/>
      </c>
      <c r="I1625">
        <f>IF($H1625="","",COUNTIFS(CalcBank,$G1625,CalcKey,"&lt;"&amp;$H1625)+1)</f>
        <v/>
      </c>
      <c r="J1625">
        <f>IF($I1625="","",$G1625&amp;"|"&amp;RIGHT("000000"&amp;$I1625,6))</f>
        <v/>
      </c>
      <c r="K1625">
        <f>IF(OR($E1625="",$E1625="نامعتبر"),"",LEFT($E1625,4)&amp;"/"&amp;MID($E1625,6,2))</f>
        <v/>
      </c>
      <c r="L1625">
        <f>IF(Entry!$K1625="",0,Entry!$K1625)</f>
        <v/>
      </c>
      <c r="M1625">
        <f>IF(Entry!$L1625="",0,Entry!$L1625)</f>
        <v/>
      </c>
    </row>
    <row r="1626">
      <c r="A1626">
        <f>IF(Entry!$C1626="","",Entry!$C1626)</f>
        <v/>
      </c>
      <c r="B1626">
        <f>IF($A1626="","",IF(ISNUMBER($A1626),IF(AND($A1626&gt;=10000101,$A1626&lt;=99991231),INT($A1626/10000),""),IFERROR(VALUE(TRIM(LEFT($A1626,FIND("/",$A1626)-1))),"")))</f>
        <v/>
      </c>
      <c r="C1626">
        <f>IF(OR($A1626="",$B1626=""),"",IF(ISNUMBER($A1626),INT(MOD($A1626,10000)/100),IFERROR(VALUE(TRIM(LEFT(MID($A1626,FIND("/",$A1626)+1,20),FIND("/",MID($A1626,FIND("/",$A1626)+1,20))-1))),"")))</f>
        <v/>
      </c>
      <c r="D1626">
        <f>IF(OR($A1626="",$B1626=""),"",IF(ISNUMBER($A1626),MOD($A1626,100),IFERROR(VALUE(TRIM(MID(MID($A1626,FIND("/",$A1626)+1,20),FIND("/",MID($A1626,FIND("/",$A1626)+1,20))+1,20))),"")))</f>
        <v/>
      </c>
      <c r="E1626">
        <f>IF($A1626="","",IF(OR($B1626="",$C1626="",$D1626="",$B1626&lt;1300,$B1626&gt;1500,$C1626&lt;1,$C1626&gt;12,$D1626&lt;1,$D1626&gt;31),"نامعتبر",RIGHT("0000"&amp;$B1626,4)&amp;"/"&amp;RIGHT("00"&amp;$C1626,2)&amp;"/"&amp;RIGHT("00"&amp;$D1626,2)))</f>
        <v/>
      </c>
      <c r="F1626">
        <f>IF(Entry!$D1626&lt;&gt;"",IF(AND(ISNUMBER(Entry!$D1626),Entry!$D1626&gt;=0,Entry!$D1626&lt;1),RIGHT("00"&amp;HOUR(Entry!$D1626),2)&amp;":"&amp;RIGHT("00"&amp;MINUTE(Entry!$D1626),2),IFERROR(RIGHT("00"&amp;VALUE(TRIM(LEFT(Entry!$D1626,FIND(":",Entry!$D1626)-1))),2)&amp;":"&amp;RIGHT("00"&amp;VALUE(TRIM(MID(Entry!$D1626,FIND(":",Entry!$D1626)+1,2))),2),"نامعتبر")),IF(OR($E1626="",$E1626="نامعتبر"),"","00:00"))</f>
        <v/>
      </c>
      <c r="G1626">
        <f>IF(OR($E1626="",$E1626="نامعتبر"),"",IF(Entry!$E1626="","",LEFT(UPPER(TRIM(Entry!$E1626)),6)))</f>
        <v/>
      </c>
      <c r="H1626">
        <f>IF($G1626="","",RIGHT($E1626,4)&amp;MID($E1626,6,2)&amp;RIGHT($E1626,2)&amp;IF($F1626="","0000",IF($F1626="نامعتبر","9999",LEFT($F1626,2)&amp;RIGHT($F1626,2)))&amp;"|"&amp;RIGHT("00000"&amp;1618,5))</f>
        <v/>
      </c>
      <c r="I1626">
        <f>IF($H1626="","",COUNTIFS(CalcBank,$G1626,CalcKey,"&lt;"&amp;$H1626)+1)</f>
        <v/>
      </c>
      <c r="J1626">
        <f>IF($I1626="","",$G1626&amp;"|"&amp;RIGHT("000000"&amp;$I1626,6))</f>
        <v/>
      </c>
      <c r="K1626">
        <f>IF(OR($E1626="",$E1626="نامعتبر"),"",LEFT($E1626,4)&amp;"/"&amp;MID($E1626,6,2))</f>
        <v/>
      </c>
      <c r="L1626">
        <f>IF(Entry!$K1626="",0,Entry!$K1626)</f>
        <v/>
      </c>
      <c r="M1626">
        <f>IF(Entry!$L1626="",0,Entry!$L1626)</f>
        <v/>
      </c>
    </row>
    <row r="1627">
      <c r="A1627">
        <f>IF(Entry!$C1627="","",Entry!$C1627)</f>
        <v/>
      </c>
      <c r="B1627">
        <f>IF($A1627="","",IF(ISNUMBER($A1627),IF(AND($A1627&gt;=10000101,$A1627&lt;=99991231),INT($A1627/10000),""),IFERROR(VALUE(TRIM(LEFT($A1627,FIND("/",$A1627)-1))),"")))</f>
        <v/>
      </c>
      <c r="C1627">
        <f>IF(OR($A1627="",$B1627=""),"",IF(ISNUMBER($A1627),INT(MOD($A1627,10000)/100),IFERROR(VALUE(TRIM(LEFT(MID($A1627,FIND("/",$A1627)+1,20),FIND("/",MID($A1627,FIND("/",$A1627)+1,20))-1))),"")))</f>
        <v/>
      </c>
      <c r="D1627">
        <f>IF(OR($A1627="",$B1627=""),"",IF(ISNUMBER($A1627),MOD($A1627,100),IFERROR(VALUE(TRIM(MID(MID($A1627,FIND("/",$A1627)+1,20),FIND("/",MID($A1627,FIND("/",$A1627)+1,20))+1,20))),"")))</f>
        <v/>
      </c>
      <c r="E1627">
        <f>IF($A1627="","",IF(OR($B1627="",$C1627="",$D1627="",$B1627&lt;1300,$B1627&gt;1500,$C1627&lt;1,$C1627&gt;12,$D1627&lt;1,$D1627&gt;31),"نامعتبر",RIGHT("0000"&amp;$B1627,4)&amp;"/"&amp;RIGHT("00"&amp;$C1627,2)&amp;"/"&amp;RIGHT("00"&amp;$D1627,2)))</f>
        <v/>
      </c>
      <c r="F1627">
        <f>IF(Entry!$D1627&lt;&gt;"",IF(AND(ISNUMBER(Entry!$D1627),Entry!$D1627&gt;=0,Entry!$D1627&lt;1),RIGHT("00"&amp;HOUR(Entry!$D1627),2)&amp;":"&amp;RIGHT("00"&amp;MINUTE(Entry!$D1627),2),IFERROR(RIGHT("00"&amp;VALUE(TRIM(LEFT(Entry!$D1627,FIND(":",Entry!$D1627)-1))),2)&amp;":"&amp;RIGHT("00"&amp;VALUE(TRIM(MID(Entry!$D1627,FIND(":",Entry!$D1627)+1,2))),2),"نامعتبر")),IF(OR($E1627="",$E1627="نامعتبر"),"","00:00"))</f>
        <v/>
      </c>
      <c r="G1627">
        <f>IF(OR($E1627="",$E1627="نامعتبر"),"",IF(Entry!$E1627="","",LEFT(UPPER(TRIM(Entry!$E1627)),6)))</f>
        <v/>
      </c>
      <c r="H1627">
        <f>IF($G1627="","",RIGHT($E1627,4)&amp;MID($E1627,6,2)&amp;RIGHT($E1627,2)&amp;IF($F1627="","0000",IF($F1627="نامعتبر","9999",LEFT($F1627,2)&amp;RIGHT($F1627,2)))&amp;"|"&amp;RIGHT("00000"&amp;1619,5))</f>
        <v/>
      </c>
      <c r="I1627">
        <f>IF($H1627="","",COUNTIFS(CalcBank,$G1627,CalcKey,"&lt;"&amp;$H1627)+1)</f>
        <v/>
      </c>
      <c r="J1627">
        <f>IF($I1627="","",$G1627&amp;"|"&amp;RIGHT("000000"&amp;$I1627,6))</f>
        <v/>
      </c>
      <c r="K1627">
        <f>IF(OR($E1627="",$E1627="نامعتبر"),"",LEFT($E1627,4)&amp;"/"&amp;MID($E1627,6,2))</f>
        <v/>
      </c>
      <c r="L1627">
        <f>IF(Entry!$K1627="",0,Entry!$K1627)</f>
        <v/>
      </c>
      <c r="M1627">
        <f>IF(Entry!$L1627="",0,Entry!$L1627)</f>
        <v/>
      </c>
    </row>
    <row r="1628">
      <c r="A1628">
        <f>IF(Entry!$C1628="","",Entry!$C1628)</f>
        <v/>
      </c>
      <c r="B1628">
        <f>IF($A1628="","",IF(ISNUMBER($A1628),IF(AND($A1628&gt;=10000101,$A1628&lt;=99991231),INT($A1628/10000),""),IFERROR(VALUE(TRIM(LEFT($A1628,FIND("/",$A1628)-1))),"")))</f>
        <v/>
      </c>
      <c r="C1628">
        <f>IF(OR($A1628="",$B1628=""),"",IF(ISNUMBER($A1628),INT(MOD($A1628,10000)/100),IFERROR(VALUE(TRIM(LEFT(MID($A1628,FIND("/",$A1628)+1,20),FIND("/",MID($A1628,FIND("/",$A1628)+1,20))-1))),"")))</f>
        <v/>
      </c>
      <c r="D1628">
        <f>IF(OR($A1628="",$B1628=""),"",IF(ISNUMBER($A1628),MOD($A1628,100),IFERROR(VALUE(TRIM(MID(MID($A1628,FIND("/",$A1628)+1,20),FIND("/",MID($A1628,FIND("/",$A1628)+1,20))+1,20))),"")))</f>
        <v/>
      </c>
      <c r="E1628">
        <f>IF($A1628="","",IF(OR($B1628="",$C1628="",$D1628="",$B1628&lt;1300,$B1628&gt;1500,$C1628&lt;1,$C1628&gt;12,$D1628&lt;1,$D1628&gt;31),"نامعتبر",RIGHT("0000"&amp;$B1628,4)&amp;"/"&amp;RIGHT("00"&amp;$C1628,2)&amp;"/"&amp;RIGHT("00"&amp;$D1628,2)))</f>
        <v/>
      </c>
      <c r="F1628">
        <f>IF(Entry!$D1628&lt;&gt;"",IF(AND(ISNUMBER(Entry!$D1628),Entry!$D1628&gt;=0,Entry!$D1628&lt;1),RIGHT("00"&amp;HOUR(Entry!$D1628),2)&amp;":"&amp;RIGHT("00"&amp;MINUTE(Entry!$D1628),2),IFERROR(RIGHT("00"&amp;VALUE(TRIM(LEFT(Entry!$D1628,FIND(":",Entry!$D1628)-1))),2)&amp;":"&amp;RIGHT("00"&amp;VALUE(TRIM(MID(Entry!$D1628,FIND(":",Entry!$D1628)+1,2))),2),"نامعتبر")),IF(OR($E1628="",$E1628="نامعتبر"),"","00:00"))</f>
        <v/>
      </c>
      <c r="G1628">
        <f>IF(OR($E1628="",$E1628="نامعتبر"),"",IF(Entry!$E1628="","",LEFT(UPPER(TRIM(Entry!$E1628)),6)))</f>
        <v/>
      </c>
      <c r="H1628">
        <f>IF($G1628="","",RIGHT($E1628,4)&amp;MID($E1628,6,2)&amp;RIGHT($E1628,2)&amp;IF($F1628="","0000",IF($F1628="نامعتبر","9999",LEFT($F1628,2)&amp;RIGHT($F1628,2)))&amp;"|"&amp;RIGHT("00000"&amp;1620,5))</f>
        <v/>
      </c>
      <c r="I1628">
        <f>IF($H1628="","",COUNTIFS(CalcBank,$G1628,CalcKey,"&lt;"&amp;$H1628)+1)</f>
        <v/>
      </c>
      <c r="J1628">
        <f>IF($I1628="","",$G1628&amp;"|"&amp;RIGHT("000000"&amp;$I1628,6))</f>
        <v/>
      </c>
      <c r="K1628">
        <f>IF(OR($E1628="",$E1628="نامعتبر"),"",LEFT($E1628,4)&amp;"/"&amp;MID($E1628,6,2))</f>
        <v/>
      </c>
      <c r="L1628">
        <f>IF(Entry!$K1628="",0,Entry!$K1628)</f>
        <v/>
      </c>
      <c r="M1628">
        <f>IF(Entry!$L1628="",0,Entry!$L1628)</f>
        <v/>
      </c>
    </row>
    <row r="1629">
      <c r="A1629">
        <f>IF(Entry!$C1629="","",Entry!$C1629)</f>
        <v/>
      </c>
      <c r="B1629">
        <f>IF($A1629="","",IF(ISNUMBER($A1629),IF(AND($A1629&gt;=10000101,$A1629&lt;=99991231),INT($A1629/10000),""),IFERROR(VALUE(TRIM(LEFT($A1629,FIND("/",$A1629)-1))),"")))</f>
        <v/>
      </c>
      <c r="C1629">
        <f>IF(OR($A1629="",$B1629=""),"",IF(ISNUMBER($A1629),INT(MOD($A1629,10000)/100),IFERROR(VALUE(TRIM(LEFT(MID($A1629,FIND("/",$A1629)+1,20),FIND("/",MID($A1629,FIND("/",$A1629)+1,20))-1))),"")))</f>
        <v/>
      </c>
      <c r="D1629">
        <f>IF(OR($A1629="",$B1629=""),"",IF(ISNUMBER($A1629),MOD($A1629,100),IFERROR(VALUE(TRIM(MID(MID($A1629,FIND("/",$A1629)+1,20),FIND("/",MID($A1629,FIND("/",$A1629)+1,20))+1,20))),"")))</f>
        <v/>
      </c>
      <c r="E1629">
        <f>IF($A1629="","",IF(OR($B1629="",$C1629="",$D1629="",$B1629&lt;1300,$B1629&gt;1500,$C1629&lt;1,$C1629&gt;12,$D1629&lt;1,$D1629&gt;31),"نامعتبر",RIGHT("0000"&amp;$B1629,4)&amp;"/"&amp;RIGHT("00"&amp;$C1629,2)&amp;"/"&amp;RIGHT("00"&amp;$D1629,2)))</f>
        <v/>
      </c>
      <c r="F1629">
        <f>IF(Entry!$D1629&lt;&gt;"",IF(AND(ISNUMBER(Entry!$D1629),Entry!$D1629&gt;=0,Entry!$D1629&lt;1),RIGHT("00"&amp;HOUR(Entry!$D1629),2)&amp;":"&amp;RIGHT("00"&amp;MINUTE(Entry!$D1629),2),IFERROR(RIGHT("00"&amp;VALUE(TRIM(LEFT(Entry!$D1629,FIND(":",Entry!$D1629)-1))),2)&amp;":"&amp;RIGHT("00"&amp;VALUE(TRIM(MID(Entry!$D1629,FIND(":",Entry!$D1629)+1,2))),2),"نامعتبر")),IF(OR($E1629="",$E1629="نامعتبر"),"","00:00"))</f>
        <v/>
      </c>
      <c r="G1629">
        <f>IF(OR($E1629="",$E1629="نامعتبر"),"",IF(Entry!$E1629="","",LEFT(UPPER(TRIM(Entry!$E1629)),6)))</f>
        <v/>
      </c>
      <c r="H1629">
        <f>IF($G1629="","",RIGHT($E1629,4)&amp;MID($E1629,6,2)&amp;RIGHT($E1629,2)&amp;IF($F1629="","0000",IF($F1629="نامعتبر","9999",LEFT($F1629,2)&amp;RIGHT($F1629,2)))&amp;"|"&amp;RIGHT("00000"&amp;1621,5))</f>
        <v/>
      </c>
      <c r="I1629">
        <f>IF($H1629="","",COUNTIFS(CalcBank,$G1629,CalcKey,"&lt;"&amp;$H1629)+1)</f>
        <v/>
      </c>
      <c r="J1629">
        <f>IF($I1629="","",$G1629&amp;"|"&amp;RIGHT("000000"&amp;$I1629,6))</f>
        <v/>
      </c>
      <c r="K1629">
        <f>IF(OR($E1629="",$E1629="نامعتبر"),"",LEFT($E1629,4)&amp;"/"&amp;MID($E1629,6,2))</f>
        <v/>
      </c>
      <c r="L1629">
        <f>IF(Entry!$K1629="",0,Entry!$K1629)</f>
        <v/>
      </c>
      <c r="M1629">
        <f>IF(Entry!$L1629="",0,Entry!$L1629)</f>
        <v/>
      </c>
    </row>
    <row r="1630">
      <c r="A1630">
        <f>IF(Entry!$C1630="","",Entry!$C1630)</f>
        <v/>
      </c>
      <c r="B1630">
        <f>IF($A1630="","",IF(ISNUMBER($A1630),IF(AND($A1630&gt;=10000101,$A1630&lt;=99991231),INT($A1630/10000),""),IFERROR(VALUE(TRIM(LEFT($A1630,FIND("/",$A1630)-1))),"")))</f>
        <v/>
      </c>
      <c r="C1630">
        <f>IF(OR($A1630="",$B1630=""),"",IF(ISNUMBER($A1630),INT(MOD($A1630,10000)/100),IFERROR(VALUE(TRIM(LEFT(MID($A1630,FIND("/",$A1630)+1,20),FIND("/",MID($A1630,FIND("/",$A1630)+1,20))-1))),"")))</f>
        <v/>
      </c>
      <c r="D1630">
        <f>IF(OR($A1630="",$B1630=""),"",IF(ISNUMBER($A1630),MOD($A1630,100),IFERROR(VALUE(TRIM(MID(MID($A1630,FIND("/",$A1630)+1,20),FIND("/",MID($A1630,FIND("/",$A1630)+1,20))+1,20))),"")))</f>
        <v/>
      </c>
      <c r="E1630">
        <f>IF($A1630="","",IF(OR($B1630="",$C1630="",$D1630="",$B1630&lt;1300,$B1630&gt;1500,$C1630&lt;1,$C1630&gt;12,$D1630&lt;1,$D1630&gt;31),"نامعتبر",RIGHT("0000"&amp;$B1630,4)&amp;"/"&amp;RIGHT("00"&amp;$C1630,2)&amp;"/"&amp;RIGHT("00"&amp;$D1630,2)))</f>
        <v/>
      </c>
      <c r="F1630">
        <f>IF(Entry!$D1630&lt;&gt;"",IF(AND(ISNUMBER(Entry!$D1630),Entry!$D1630&gt;=0,Entry!$D1630&lt;1),RIGHT("00"&amp;HOUR(Entry!$D1630),2)&amp;":"&amp;RIGHT("00"&amp;MINUTE(Entry!$D1630),2),IFERROR(RIGHT("00"&amp;VALUE(TRIM(LEFT(Entry!$D1630,FIND(":",Entry!$D1630)-1))),2)&amp;":"&amp;RIGHT("00"&amp;VALUE(TRIM(MID(Entry!$D1630,FIND(":",Entry!$D1630)+1,2))),2),"نامعتبر")),IF(OR($E1630="",$E1630="نامعتبر"),"","00:00"))</f>
        <v/>
      </c>
      <c r="G1630">
        <f>IF(OR($E1630="",$E1630="نامعتبر"),"",IF(Entry!$E1630="","",LEFT(UPPER(TRIM(Entry!$E1630)),6)))</f>
        <v/>
      </c>
      <c r="H1630">
        <f>IF($G1630="","",RIGHT($E1630,4)&amp;MID($E1630,6,2)&amp;RIGHT($E1630,2)&amp;IF($F1630="","0000",IF($F1630="نامعتبر","9999",LEFT($F1630,2)&amp;RIGHT($F1630,2)))&amp;"|"&amp;RIGHT("00000"&amp;1622,5))</f>
        <v/>
      </c>
      <c r="I1630">
        <f>IF($H1630="","",COUNTIFS(CalcBank,$G1630,CalcKey,"&lt;"&amp;$H1630)+1)</f>
        <v/>
      </c>
      <c r="J1630">
        <f>IF($I1630="","",$G1630&amp;"|"&amp;RIGHT("000000"&amp;$I1630,6))</f>
        <v/>
      </c>
      <c r="K1630">
        <f>IF(OR($E1630="",$E1630="نامعتبر"),"",LEFT($E1630,4)&amp;"/"&amp;MID($E1630,6,2))</f>
        <v/>
      </c>
      <c r="L1630">
        <f>IF(Entry!$K1630="",0,Entry!$K1630)</f>
        <v/>
      </c>
      <c r="M1630">
        <f>IF(Entry!$L1630="",0,Entry!$L1630)</f>
        <v/>
      </c>
    </row>
    <row r="1631">
      <c r="A1631">
        <f>IF(Entry!$C1631="","",Entry!$C1631)</f>
        <v/>
      </c>
      <c r="B1631">
        <f>IF($A1631="","",IF(ISNUMBER($A1631),IF(AND($A1631&gt;=10000101,$A1631&lt;=99991231),INT($A1631/10000),""),IFERROR(VALUE(TRIM(LEFT($A1631,FIND("/",$A1631)-1))),"")))</f>
        <v/>
      </c>
      <c r="C1631">
        <f>IF(OR($A1631="",$B1631=""),"",IF(ISNUMBER($A1631),INT(MOD($A1631,10000)/100),IFERROR(VALUE(TRIM(LEFT(MID($A1631,FIND("/",$A1631)+1,20),FIND("/",MID($A1631,FIND("/",$A1631)+1,20))-1))),"")))</f>
        <v/>
      </c>
      <c r="D1631">
        <f>IF(OR($A1631="",$B1631=""),"",IF(ISNUMBER($A1631),MOD($A1631,100),IFERROR(VALUE(TRIM(MID(MID($A1631,FIND("/",$A1631)+1,20),FIND("/",MID($A1631,FIND("/",$A1631)+1,20))+1,20))),"")))</f>
        <v/>
      </c>
      <c r="E1631">
        <f>IF($A1631="","",IF(OR($B1631="",$C1631="",$D1631="",$B1631&lt;1300,$B1631&gt;1500,$C1631&lt;1,$C1631&gt;12,$D1631&lt;1,$D1631&gt;31),"نامعتبر",RIGHT("0000"&amp;$B1631,4)&amp;"/"&amp;RIGHT("00"&amp;$C1631,2)&amp;"/"&amp;RIGHT("00"&amp;$D1631,2)))</f>
        <v/>
      </c>
      <c r="F1631">
        <f>IF(Entry!$D1631&lt;&gt;"",IF(AND(ISNUMBER(Entry!$D1631),Entry!$D1631&gt;=0,Entry!$D1631&lt;1),RIGHT("00"&amp;HOUR(Entry!$D1631),2)&amp;":"&amp;RIGHT("00"&amp;MINUTE(Entry!$D1631),2),IFERROR(RIGHT("00"&amp;VALUE(TRIM(LEFT(Entry!$D1631,FIND(":",Entry!$D1631)-1))),2)&amp;":"&amp;RIGHT("00"&amp;VALUE(TRIM(MID(Entry!$D1631,FIND(":",Entry!$D1631)+1,2))),2),"نامعتبر")),IF(OR($E1631="",$E1631="نامعتبر"),"","00:00"))</f>
        <v/>
      </c>
      <c r="G1631">
        <f>IF(OR($E1631="",$E1631="نامعتبر"),"",IF(Entry!$E1631="","",LEFT(UPPER(TRIM(Entry!$E1631)),6)))</f>
        <v/>
      </c>
      <c r="H1631">
        <f>IF($G1631="","",RIGHT($E1631,4)&amp;MID($E1631,6,2)&amp;RIGHT($E1631,2)&amp;IF($F1631="","0000",IF($F1631="نامعتبر","9999",LEFT($F1631,2)&amp;RIGHT($F1631,2)))&amp;"|"&amp;RIGHT("00000"&amp;1623,5))</f>
        <v/>
      </c>
      <c r="I1631">
        <f>IF($H1631="","",COUNTIFS(CalcBank,$G1631,CalcKey,"&lt;"&amp;$H1631)+1)</f>
        <v/>
      </c>
      <c r="J1631">
        <f>IF($I1631="","",$G1631&amp;"|"&amp;RIGHT("000000"&amp;$I1631,6))</f>
        <v/>
      </c>
      <c r="K1631">
        <f>IF(OR($E1631="",$E1631="نامعتبر"),"",LEFT($E1631,4)&amp;"/"&amp;MID($E1631,6,2))</f>
        <v/>
      </c>
      <c r="L1631">
        <f>IF(Entry!$K1631="",0,Entry!$K1631)</f>
        <v/>
      </c>
      <c r="M1631">
        <f>IF(Entry!$L1631="",0,Entry!$L1631)</f>
        <v/>
      </c>
    </row>
    <row r="1632">
      <c r="A1632">
        <f>IF(Entry!$C1632="","",Entry!$C1632)</f>
        <v/>
      </c>
      <c r="B1632">
        <f>IF($A1632="","",IF(ISNUMBER($A1632),IF(AND($A1632&gt;=10000101,$A1632&lt;=99991231),INT($A1632/10000),""),IFERROR(VALUE(TRIM(LEFT($A1632,FIND("/",$A1632)-1))),"")))</f>
        <v/>
      </c>
      <c r="C1632">
        <f>IF(OR($A1632="",$B1632=""),"",IF(ISNUMBER($A1632),INT(MOD($A1632,10000)/100),IFERROR(VALUE(TRIM(LEFT(MID($A1632,FIND("/",$A1632)+1,20),FIND("/",MID($A1632,FIND("/",$A1632)+1,20))-1))),"")))</f>
        <v/>
      </c>
      <c r="D1632">
        <f>IF(OR($A1632="",$B1632=""),"",IF(ISNUMBER($A1632),MOD($A1632,100),IFERROR(VALUE(TRIM(MID(MID($A1632,FIND("/",$A1632)+1,20),FIND("/",MID($A1632,FIND("/",$A1632)+1,20))+1,20))),"")))</f>
        <v/>
      </c>
      <c r="E1632">
        <f>IF($A1632="","",IF(OR($B1632="",$C1632="",$D1632="",$B1632&lt;1300,$B1632&gt;1500,$C1632&lt;1,$C1632&gt;12,$D1632&lt;1,$D1632&gt;31),"نامعتبر",RIGHT("0000"&amp;$B1632,4)&amp;"/"&amp;RIGHT("00"&amp;$C1632,2)&amp;"/"&amp;RIGHT("00"&amp;$D1632,2)))</f>
        <v/>
      </c>
      <c r="F1632">
        <f>IF(Entry!$D1632&lt;&gt;"",IF(AND(ISNUMBER(Entry!$D1632),Entry!$D1632&gt;=0,Entry!$D1632&lt;1),RIGHT("00"&amp;HOUR(Entry!$D1632),2)&amp;":"&amp;RIGHT("00"&amp;MINUTE(Entry!$D1632),2),IFERROR(RIGHT("00"&amp;VALUE(TRIM(LEFT(Entry!$D1632,FIND(":",Entry!$D1632)-1))),2)&amp;":"&amp;RIGHT("00"&amp;VALUE(TRIM(MID(Entry!$D1632,FIND(":",Entry!$D1632)+1,2))),2),"نامعتبر")),IF(OR($E1632="",$E1632="نامعتبر"),"","00:00"))</f>
        <v/>
      </c>
      <c r="G1632">
        <f>IF(OR($E1632="",$E1632="نامعتبر"),"",IF(Entry!$E1632="","",LEFT(UPPER(TRIM(Entry!$E1632)),6)))</f>
        <v/>
      </c>
      <c r="H1632">
        <f>IF($G1632="","",RIGHT($E1632,4)&amp;MID($E1632,6,2)&amp;RIGHT($E1632,2)&amp;IF($F1632="","0000",IF($F1632="نامعتبر","9999",LEFT($F1632,2)&amp;RIGHT($F1632,2)))&amp;"|"&amp;RIGHT("00000"&amp;1624,5))</f>
        <v/>
      </c>
      <c r="I1632">
        <f>IF($H1632="","",COUNTIFS(CalcBank,$G1632,CalcKey,"&lt;"&amp;$H1632)+1)</f>
        <v/>
      </c>
      <c r="J1632">
        <f>IF($I1632="","",$G1632&amp;"|"&amp;RIGHT("000000"&amp;$I1632,6))</f>
        <v/>
      </c>
      <c r="K1632">
        <f>IF(OR($E1632="",$E1632="نامعتبر"),"",LEFT($E1632,4)&amp;"/"&amp;MID($E1632,6,2))</f>
        <v/>
      </c>
      <c r="L1632">
        <f>IF(Entry!$K1632="",0,Entry!$K1632)</f>
        <v/>
      </c>
      <c r="M1632">
        <f>IF(Entry!$L1632="",0,Entry!$L1632)</f>
        <v/>
      </c>
    </row>
    <row r="1633">
      <c r="A1633">
        <f>IF(Entry!$C1633="","",Entry!$C1633)</f>
        <v/>
      </c>
      <c r="B1633">
        <f>IF($A1633="","",IF(ISNUMBER($A1633),IF(AND($A1633&gt;=10000101,$A1633&lt;=99991231),INT($A1633/10000),""),IFERROR(VALUE(TRIM(LEFT($A1633,FIND("/",$A1633)-1))),"")))</f>
        <v/>
      </c>
      <c r="C1633">
        <f>IF(OR($A1633="",$B1633=""),"",IF(ISNUMBER($A1633),INT(MOD($A1633,10000)/100),IFERROR(VALUE(TRIM(LEFT(MID($A1633,FIND("/",$A1633)+1,20),FIND("/",MID($A1633,FIND("/",$A1633)+1,20))-1))),"")))</f>
        <v/>
      </c>
      <c r="D1633">
        <f>IF(OR($A1633="",$B1633=""),"",IF(ISNUMBER($A1633),MOD($A1633,100),IFERROR(VALUE(TRIM(MID(MID($A1633,FIND("/",$A1633)+1,20),FIND("/",MID($A1633,FIND("/",$A1633)+1,20))+1,20))),"")))</f>
        <v/>
      </c>
      <c r="E1633">
        <f>IF($A1633="","",IF(OR($B1633="",$C1633="",$D1633="",$B1633&lt;1300,$B1633&gt;1500,$C1633&lt;1,$C1633&gt;12,$D1633&lt;1,$D1633&gt;31),"نامعتبر",RIGHT("0000"&amp;$B1633,4)&amp;"/"&amp;RIGHT("00"&amp;$C1633,2)&amp;"/"&amp;RIGHT("00"&amp;$D1633,2)))</f>
        <v/>
      </c>
      <c r="F1633">
        <f>IF(Entry!$D1633&lt;&gt;"",IF(AND(ISNUMBER(Entry!$D1633),Entry!$D1633&gt;=0,Entry!$D1633&lt;1),RIGHT("00"&amp;HOUR(Entry!$D1633),2)&amp;":"&amp;RIGHT("00"&amp;MINUTE(Entry!$D1633),2),IFERROR(RIGHT("00"&amp;VALUE(TRIM(LEFT(Entry!$D1633,FIND(":",Entry!$D1633)-1))),2)&amp;":"&amp;RIGHT("00"&amp;VALUE(TRIM(MID(Entry!$D1633,FIND(":",Entry!$D1633)+1,2))),2),"نامعتبر")),IF(OR($E1633="",$E1633="نامعتبر"),"","00:00"))</f>
        <v/>
      </c>
      <c r="G1633">
        <f>IF(OR($E1633="",$E1633="نامعتبر"),"",IF(Entry!$E1633="","",LEFT(UPPER(TRIM(Entry!$E1633)),6)))</f>
        <v/>
      </c>
      <c r="H1633">
        <f>IF($G1633="","",RIGHT($E1633,4)&amp;MID($E1633,6,2)&amp;RIGHT($E1633,2)&amp;IF($F1633="","0000",IF($F1633="نامعتبر","9999",LEFT($F1633,2)&amp;RIGHT($F1633,2)))&amp;"|"&amp;RIGHT("00000"&amp;1625,5))</f>
        <v/>
      </c>
      <c r="I1633">
        <f>IF($H1633="","",COUNTIFS(CalcBank,$G1633,CalcKey,"&lt;"&amp;$H1633)+1)</f>
        <v/>
      </c>
      <c r="J1633">
        <f>IF($I1633="","",$G1633&amp;"|"&amp;RIGHT("000000"&amp;$I1633,6))</f>
        <v/>
      </c>
      <c r="K1633">
        <f>IF(OR($E1633="",$E1633="نامعتبر"),"",LEFT($E1633,4)&amp;"/"&amp;MID($E1633,6,2))</f>
        <v/>
      </c>
      <c r="L1633">
        <f>IF(Entry!$K1633="",0,Entry!$K1633)</f>
        <v/>
      </c>
      <c r="M1633">
        <f>IF(Entry!$L1633="",0,Entry!$L1633)</f>
        <v/>
      </c>
    </row>
    <row r="1634">
      <c r="A1634">
        <f>IF(Entry!$C1634="","",Entry!$C1634)</f>
        <v/>
      </c>
      <c r="B1634">
        <f>IF($A1634="","",IF(ISNUMBER($A1634),IF(AND($A1634&gt;=10000101,$A1634&lt;=99991231),INT($A1634/10000),""),IFERROR(VALUE(TRIM(LEFT($A1634,FIND("/",$A1634)-1))),"")))</f>
        <v/>
      </c>
      <c r="C1634">
        <f>IF(OR($A1634="",$B1634=""),"",IF(ISNUMBER($A1634),INT(MOD($A1634,10000)/100),IFERROR(VALUE(TRIM(LEFT(MID($A1634,FIND("/",$A1634)+1,20),FIND("/",MID($A1634,FIND("/",$A1634)+1,20))-1))),"")))</f>
        <v/>
      </c>
      <c r="D1634">
        <f>IF(OR($A1634="",$B1634=""),"",IF(ISNUMBER($A1634),MOD($A1634,100),IFERROR(VALUE(TRIM(MID(MID($A1634,FIND("/",$A1634)+1,20),FIND("/",MID($A1634,FIND("/",$A1634)+1,20))+1,20))),"")))</f>
        <v/>
      </c>
      <c r="E1634">
        <f>IF($A1634="","",IF(OR($B1634="",$C1634="",$D1634="",$B1634&lt;1300,$B1634&gt;1500,$C1634&lt;1,$C1634&gt;12,$D1634&lt;1,$D1634&gt;31),"نامعتبر",RIGHT("0000"&amp;$B1634,4)&amp;"/"&amp;RIGHT("00"&amp;$C1634,2)&amp;"/"&amp;RIGHT("00"&amp;$D1634,2)))</f>
        <v/>
      </c>
      <c r="F1634">
        <f>IF(Entry!$D1634&lt;&gt;"",IF(AND(ISNUMBER(Entry!$D1634),Entry!$D1634&gt;=0,Entry!$D1634&lt;1),RIGHT("00"&amp;HOUR(Entry!$D1634),2)&amp;":"&amp;RIGHT("00"&amp;MINUTE(Entry!$D1634),2),IFERROR(RIGHT("00"&amp;VALUE(TRIM(LEFT(Entry!$D1634,FIND(":",Entry!$D1634)-1))),2)&amp;":"&amp;RIGHT("00"&amp;VALUE(TRIM(MID(Entry!$D1634,FIND(":",Entry!$D1634)+1,2))),2),"نامعتبر")),IF(OR($E1634="",$E1634="نامعتبر"),"","00:00"))</f>
        <v/>
      </c>
      <c r="G1634">
        <f>IF(OR($E1634="",$E1634="نامعتبر"),"",IF(Entry!$E1634="","",LEFT(UPPER(TRIM(Entry!$E1634)),6)))</f>
        <v/>
      </c>
      <c r="H1634">
        <f>IF($G1634="","",RIGHT($E1634,4)&amp;MID($E1634,6,2)&amp;RIGHT($E1634,2)&amp;IF($F1634="","0000",IF($F1634="نامعتبر","9999",LEFT($F1634,2)&amp;RIGHT($F1634,2)))&amp;"|"&amp;RIGHT("00000"&amp;1626,5))</f>
        <v/>
      </c>
      <c r="I1634">
        <f>IF($H1634="","",COUNTIFS(CalcBank,$G1634,CalcKey,"&lt;"&amp;$H1634)+1)</f>
        <v/>
      </c>
      <c r="J1634">
        <f>IF($I1634="","",$G1634&amp;"|"&amp;RIGHT("000000"&amp;$I1634,6))</f>
        <v/>
      </c>
      <c r="K1634">
        <f>IF(OR($E1634="",$E1634="نامعتبر"),"",LEFT($E1634,4)&amp;"/"&amp;MID($E1634,6,2))</f>
        <v/>
      </c>
      <c r="L1634">
        <f>IF(Entry!$K1634="",0,Entry!$K1634)</f>
        <v/>
      </c>
      <c r="M1634">
        <f>IF(Entry!$L1634="",0,Entry!$L1634)</f>
        <v/>
      </c>
    </row>
    <row r="1635">
      <c r="A1635">
        <f>IF(Entry!$C1635="","",Entry!$C1635)</f>
        <v/>
      </c>
      <c r="B1635">
        <f>IF($A1635="","",IF(ISNUMBER($A1635),IF(AND($A1635&gt;=10000101,$A1635&lt;=99991231),INT($A1635/10000),""),IFERROR(VALUE(TRIM(LEFT($A1635,FIND("/",$A1635)-1))),"")))</f>
        <v/>
      </c>
      <c r="C1635">
        <f>IF(OR($A1635="",$B1635=""),"",IF(ISNUMBER($A1635),INT(MOD($A1635,10000)/100),IFERROR(VALUE(TRIM(LEFT(MID($A1635,FIND("/",$A1635)+1,20),FIND("/",MID($A1635,FIND("/",$A1635)+1,20))-1))),"")))</f>
        <v/>
      </c>
      <c r="D1635">
        <f>IF(OR($A1635="",$B1635=""),"",IF(ISNUMBER($A1635),MOD($A1635,100),IFERROR(VALUE(TRIM(MID(MID($A1635,FIND("/",$A1635)+1,20),FIND("/",MID($A1635,FIND("/",$A1635)+1,20))+1,20))),"")))</f>
        <v/>
      </c>
      <c r="E1635">
        <f>IF($A1635="","",IF(OR($B1635="",$C1635="",$D1635="",$B1635&lt;1300,$B1635&gt;1500,$C1635&lt;1,$C1635&gt;12,$D1635&lt;1,$D1635&gt;31),"نامعتبر",RIGHT("0000"&amp;$B1635,4)&amp;"/"&amp;RIGHT("00"&amp;$C1635,2)&amp;"/"&amp;RIGHT("00"&amp;$D1635,2)))</f>
        <v/>
      </c>
      <c r="F1635">
        <f>IF(Entry!$D1635&lt;&gt;"",IF(AND(ISNUMBER(Entry!$D1635),Entry!$D1635&gt;=0,Entry!$D1635&lt;1),RIGHT("00"&amp;HOUR(Entry!$D1635),2)&amp;":"&amp;RIGHT("00"&amp;MINUTE(Entry!$D1635),2),IFERROR(RIGHT("00"&amp;VALUE(TRIM(LEFT(Entry!$D1635,FIND(":",Entry!$D1635)-1))),2)&amp;":"&amp;RIGHT("00"&amp;VALUE(TRIM(MID(Entry!$D1635,FIND(":",Entry!$D1635)+1,2))),2),"نامعتبر")),IF(OR($E1635="",$E1635="نامعتبر"),"","00:00"))</f>
        <v/>
      </c>
      <c r="G1635">
        <f>IF(OR($E1635="",$E1635="نامعتبر"),"",IF(Entry!$E1635="","",LEFT(UPPER(TRIM(Entry!$E1635)),6)))</f>
        <v/>
      </c>
      <c r="H1635">
        <f>IF($G1635="","",RIGHT($E1635,4)&amp;MID($E1635,6,2)&amp;RIGHT($E1635,2)&amp;IF($F1635="","0000",IF($F1635="نامعتبر","9999",LEFT($F1635,2)&amp;RIGHT($F1635,2)))&amp;"|"&amp;RIGHT("00000"&amp;1627,5))</f>
        <v/>
      </c>
      <c r="I1635">
        <f>IF($H1635="","",COUNTIFS(CalcBank,$G1635,CalcKey,"&lt;"&amp;$H1635)+1)</f>
        <v/>
      </c>
      <c r="J1635">
        <f>IF($I1635="","",$G1635&amp;"|"&amp;RIGHT("000000"&amp;$I1635,6))</f>
        <v/>
      </c>
      <c r="K1635">
        <f>IF(OR($E1635="",$E1635="نامعتبر"),"",LEFT($E1635,4)&amp;"/"&amp;MID($E1635,6,2))</f>
        <v/>
      </c>
      <c r="L1635">
        <f>IF(Entry!$K1635="",0,Entry!$K1635)</f>
        <v/>
      </c>
      <c r="M1635">
        <f>IF(Entry!$L1635="",0,Entry!$L1635)</f>
        <v/>
      </c>
    </row>
    <row r="1636">
      <c r="A1636">
        <f>IF(Entry!$C1636="","",Entry!$C1636)</f>
        <v/>
      </c>
      <c r="B1636">
        <f>IF($A1636="","",IF(ISNUMBER($A1636),IF(AND($A1636&gt;=10000101,$A1636&lt;=99991231),INT($A1636/10000),""),IFERROR(VALUE(TRIM(LEFT($A1636,FIND("/",$A1636)-1))),"")))</f>
        <v/>
      </c>
      <c r="C1636">
        <f>IF(OR($A1636="",$B1636=""),"",IF(ISNUMBER($A1636),INT(MOD($A1636,10000)/100),IFERROR(VALUE(TRIM(LEFT(MID($A1636,FIND("/",$A1636)+1,20),FIND("/",MID($A1636,FIND("/",$A1636)+1,20))-1))),"")))</f>
        <v/>
      </c>
      <c r="D1636">
        <f>IF(OR($A1636="",$B1636=""),"",IF(ISNUMBER($A1636),MOD($A1636,100),IFERROR(VALUE(TRIM(MID(MID($A1636,FIND("/",$A1636)+1,20),FIND("/",MID($A1636,FIND("/",$A1636)+1,20))+1,20))),"")))</f>
        <v/>
      </c>
      <c r="E1636">
        <f>IF($A1636="","",IF(OR($B1636="",$C1636="",$D1636="",$B1636&lt;1300,$B1636&gt;1500,$C1636&lt;1,$C1636&gt;12,$D1636&lt;1,$D1636&gt;31),"نامعتبر",RIGHT("0000"&amp;$B1636,4)&amp;"/"&amp;RIGHT("00"&amp;$C1636,2)&amp;"/"&amp;RIGHT("00"&amp;$D1636,2)))</f>
        <v/>
      </c>
      <c r="F1636">
        <f>IF(Entry!$D1636&lt;&gt;"",IF(AND(ISNUMBER(Entry!$D1636),Entry!$D1636&gt;=0,Entry!$D1636&lt;1),RIGHT("00"&amp;HOUR(Entry!$D1636),2)&amp;":"&amp;RIGHT("00"&amp;MINUTE(Entry!$D1636),2),IFERROR(RIGHT("00"&amp;VALUE(TRIM(LEFT(Entry!$D1636,FIND(":",Entry!$D1636)-1))),2)&amp;":"&amp;RIGHT("00"&amp;VALUE(TRIM(MID(Entry!$D1636,FIND(":",Entry!$D1636)+1,2))),2),"نامعتبر")),IF(OR($E1636="",$E1636="نامعتبر"),"","00:00"))</f>
        <v/>
      </c>
      <c r="G1636">
        <f>IF(OR($E1636="",$E1636="نامعتبر"),"",IF(Entry!$E1636="","",LEFT(UPPER(TRIM(Entry!$E1636)),6)))</f>
        <v/>
      </c>
      <c r="H1636">
        <f>IF($G1636="","",RIGHT($E1636,4)&amp;MID($E1636,6,2)&amp;RIGHT($E1636,2)&amp;IF($F1636="","0000",IF($F1636="نامعتبر","9999",LEFT($F1636,2)&amp;RIGHT($F1636,2)))&amp;"|"&amp;RIGHT("00000"&amp;1628,5))</f>
        <v/>
      </c>
      <c r="I1636">
        <f>IF($H1636="","",COUNTIFS(CalcBank,$G1636,CalcKey,"&lt;"&amp;$H1636)+1)</f>
        <v/>
      </c>
      <c r="J1636">
        <f>IF($I1636="","",$G1636&amp;"|"&amp;RIGHT("000000"&amp;$I1636,6))</f>
        <v/>
      </c>
      <c r="K1636">
        <f>IF(OR($E1636="",$E1636="نامعتبر"),"",LEFT($E1636,4)&amp;"/"&amp;MID($E1636,6,2))</f>
        <v/>
      </c>
      <c r="L1636">
        <f>IF(Entry!$K1636="",0,Entry!$K1636)</f>
        <v/>
      </c>
      <c r="M1636">
        <f>IF(Entry!$L1636="",0,Entry!$L1636)</f>
        <v/>
      </c>
    </row>
    <row r="1637">
      <c r="A1637">
        <f>IF(Entry!$C1637="","",Entry!$C1637)</f>
        <v/>
      </c>
      <c r="B1637">
        <f>IF($A1637="","",IF(ISNUMBER($A1637),IF(AND($A1637&gt;=10000101,$A1637&lt;=99991231),INT($A1637/10000),""),IFERROR(VALUE(TRIM(LEFT($A1637,FIND("/",$A1637)-1))),"")))</f>
        <v/>
      </c>
      <c r="C1637">
        <f>IF(OR($A1637="",$B1637=""),"",IF(ISNUMBER($A1637),INT(MOD($A1637,10000)/100),IFERROR(VALUE(TRIM(LEFT(MID($A1637,FIND("/",$A1637)+1,20),FIND("/",MID($A1637,FIND("/",$A1637)+1,20))-1))),"")))</f>
        <v/>
      </c>
      <c r="D1637">
        <f>IF(OR($A1637="",$B1637=""),"",IF(ISNUMBER($A1637),MOD($A1637,100),IFERROR(VALUE(TRIM(MID(MID($A1637,FIND("/",$A1637)+1,20),FIND("/",MID($A1637,FIND("/",$A1637)+1,20))+1,20))),"")))</f>
        <v/>
      </c>
      <c r="E1637">
        <f>IF($A1637="","",IF(OR($B1637="",$C1637="",$D1637="",$B1637&lt;1300,$B1637&gt;1500,$C1637&lt;1,$C1637&gt;12,$D1637&lt;1,$D1637&gt;31),"نامعتبر",RIGHT("0000"&amp;$B1637,4)&amp;"/"&amp;RIGHT("00"&amp;$C1637,2)&amp;"/"&amp;RIGHT("00"&amp;$D1637,2)))</f>
        <v/>
      </c>
      <c r="F1637">
        <f>IF(Entry!$D1637&lt;&gt;"",IF(AND(ISNUMBER(Entry!$D1637),Entry!$D1637&gt;=0,Entry!$D1637&lt;1),RIGHT("00"&amp;HOUR(Entry!$D1637),2)&amp;":"&amp;RIGHT("00"&amp;MINUTE(Entry!$D1637),2),IFERROR(RIGHT("00"&amp;VALUE(TRIM(LEFT(Entry!$D1637,FIND(":",Entry!$D1637)-1))),2)&amp;":"&amp;RIGHT("00"&amp;VALUE(TRIM(MID(Entry!$D1637,FIND(":",Entry!$D1637)+1,2))),2),"نامعتبر")),IF(OR($E1637="",$E1637="نامعتبر"),"","00:00"))</f>
        <v/>
      </c>
      <c r="G1637">
        <f>IF(OR($E1637="",$E1637="نامعتبر"),"",IF(Entry!$E1637="","",LEFT(UPPER(TRIM(Entry!$E1637)),6)))</f>
        <v/>
      </c>
      <c r="H1637">
        <f>IF($G1637="","",RIGHT($E1637,4)&amp;MID($E1637,6,2)&amp;RIGHT($E1637,2)&amp;IF($F1637="","0000",IF($F1637="نامعتبر","9999",LEFT($F1637,2)&amp;RIGHT($F1637,2)))&amp;"|"&amp;RIGHT("00000"&amp;1629,5))</f>
        <v/>
      </c>
      <c r="I1637">
        <f>IF($H1637="","",COUNTIFS(CalcBank,$G1637,CalcKey,"&lt;"&amp;$H1637)+1)</f>
        <v/>
      </c>
      <c r="J1637">
        <f>IF($I1637="","",$G1637&amp;"|"&amp;RIGHT("000000"&amp;$I1637,6))</f>
        <v/>
      </c>
      <c r="K1637">
        <f>IF(OR($E1637="",$E1637="نامعتبر"),"",LEFT($E1637,4)&amp;"/"&amp;MID($E1637,6,2))</f>
        <v/>
      </c>
      <c r="L1637">
        <f>IF(Entry!$K1637="",0,Entry!$K1637)</f>
        <v/>
      </c>
      <c r="M1637">
        <f>IF(Entry!$L1637="",0,Entry!$L1637)</f>
        <v/>
      </c>
    </row>
    <row r="1638">
      <c r="A1638">
        <f>IF(Entry!$C1638="","",Entry!$C1638)</f>
        <v/>
      </c>
      <c r="B1638">
        <f>IF($A1638="","",IF(ISNUMBER($A1638),IF(AND($A1638&gt;=10000101,$A1638&lt;=99991231),INT($A1638/10000),""),IFERROR(VALUE(TRIM(LEFT($A1638,FIND("/",$A1638)-1))),"")))</f>
        <v/>
      </c>
      <c r="C1638">
        <f>IF(OR($A1638="",$B1638=""),"",IF(ISNUMBER($A1638),INT(MOD($A1638,10000)/100),IFERROR(VALUE(TRIM(LEFT(MID($A1638,FIND("/",$A1638)+1,20),FIND("/",MID($A1638,FIND("/",$A1638)+1,20))-1))),"")))</f>
        <v/>
      </c>
      <c r="D1638">
        <f>IF(OR($A1638="",$B1638=""),"",IF(ISNUMBER($A1638),MOD($A1638,100),IFERROR(VALUE(TRIM(MID(MID($A1638,FIND("/",$A1638)+1,20),FIND("/",MID($A1638,FIND("/",$A1638)+1,20))+1,20))),"")))</f>
        <v/>
      </c>
      <c r="E1638">
        <f>IF($A1638="","",IF(OR($B1638="",$C1638="",$D1638="",$B1638&lt;1300,$B1638&gt;1500,$C1638&lt;1,$C1638&gt;12,$D1638&lt;1,$D1638&gt;31),"نامعتبر",RIGHT("0000"&amp;$B1638,4)&amp;"/"&amp;RIGHT("00"&amp;$C1638,2)&amp;"/"&amp;RIGHT("00"&amp;$D1638,2)))</f>
        <v/>
      </c>
      <c r="F1638">
        <f>IF(Entry!$D1638&lt;&gt;"",IF(AND(ISNUMBER(Entry!$D1638),Entry!$D1638&gt;=0,Entry!$D1638&lt;1),RIGHT("00"&amp;HOUR(Entry!$D1638),2)&amp;":"&amp;RIGHT("00"&amp;MINUTE(Entry!$D1638),2),IFERROR(RIGHT("00"&amp;VALUE(TRIM(LEFT(Entry!$D1638,FIND(":",Entry!$D1638)-1))),2)&amp;":"&amp;RIGHT("00"&amp;VALUE(TRIM(MID(Entry!$D1638,FIND(":",Entry!$D1638)+1,2))),2),"نامعتبر")),IF(OR($E1638="",$E1638="نامعتبر"),"","00:00"))</f>
        <v/>
      </c>
      <c r="G1638">
        <f>IF(OR($E1638="",$E1638="نامعتبر"),"",IF(Entry!$E1638="","",LEFT(UPPER(TRIM(Entry!$E1638)),6)))</f>
        <v/>
      </c>
      <c r="H1638">
        <f>IF($G1638="","",RIGHT($E1638,4)&amp;MID($E1638,6,2)&amp;RIGHT($E1638,2)&amp;IF($F1638="","0000",IF($F1638="نامعتبر","9999",LEFT($F1638,2)&amp;RIGHT($F1638,2)))&amp;"|"&amp;RIGHT("00000"&amp;1630,5))</f>
        <v/>
      </c>
      <c r="I1638">
        <f>IF($H1638="","",COUNTIFS(CalcBank,$G1638,CalcKey,"&lt;"&amp;$H1638)+1)</f>
        <v/>
      </c>
      <c r="J1638">
        <f>IF($I1638="","",$G1638&amp;"|"&amp;RIGHT("000000"&amp;$I1638,6))</f>
        <v/>
      </c>
      <c r="K1638">
        <f>IF(OR($E1638="",$E1638="نامعتبر"),"",LEFT($E1638,4)&amp;"/"&amp;MID($E1638,6,2))</f>
        <v/>
      </c>
      <c r="L1638">
        <f>IF(Entry!$K1638="",0,Entry!$K1638)</f>
        <v/>
      </c>
      <c r="M1638">
        <f>IF(Entry!$L1638="",0,Entry!$L1638)</f>
        <v/>
      </c>
    </row>
    <row r="1639">
      <c r="A1639">
        <f>IF(Entry!$C1639="","",Entry!$C1639)</f>
        <v/>
      </c>
      <c r="B1639">
        <f>IF($A1639="","",IF(ISNUMBER($A1639),IF(AND($A1639&gt;=10000101,$A1639&lt;=99991231),INT($A1639/10000),""),IFERROR(VALUE(TRIM(LEFT($A1639,FIND("/",$A1639)-1))),"")))</f>
        <v/>
      </c>
      <c r="C1639">
        <f>IF(OR($A1639="",$B1639=""),"",IF(ISNUMBER($A1639),INT(MOD($A1639,10000)/100),IFERROR(VALUE(TRIM(LEFT(MID($A1639,FIND("/",$A1639)+1,20),FIND("/",MID($A1639,FIND("/",$A1639)+1,20))-1))),"")))</f>
        <v/>
      </c>
      <c r="D1639">
        <f>IF(OR($A1639="",$B1639=""),"",IF(ISNUMBER($A1639),MOD($A1639,100),IFERROR(VALUE(TRIM(MID(MID($A1639,FIND("/",$A1639)+1,20),FIND("/",MID($A1639,FIND("/",$A1639)+1,20))+1,20))),"")))</f>
        <v/>
      </c>
      <c r="E1639">
        <f>IF($A1639="","",IF(OR($B1639="",$C1639="",$D1639="",$B1639&lt;1300,$B1639&gt;1500,$C1639&lt;1,$C1639&gt;12,$D1639&lt;1,$D1639&gt;31),"نامعتبر",RIGHT("0000"&amp;$B1639,4)&amp;"/"&amp;RIGHT("00"&amp;$C1639,2)&amp;"/"&amp;RIGHT("00"&amp;$D1639,2)))</f>
        <v/>
      </c>
      <c r="F1639">
        <f>IF(Entry!$D1639&lt;&gt;"",IF(AND(ISNUMBER(Entry!$D1639),Entry!$D1639&gt;=0,Entry!$D1639&lt;1),RIGHT("00"&amp;HOUR(Entry!$D1639),2)&amp;":"&amp;RIGHT("00"&amp;MINUTE(Entry!$D1639),2),IFERROR(RIGHT("00"&amp;VALUE(TRIM(LEFT(Entry!$D1639,FIND(":",Entry!$D1639)-1))),2)&amp;":"&amp;RIGHT("00"&amp;VALUE(TRIM(MID(Entry!$D1639,FIND(":",Entry!$D1639)+1,2))),2),"نامعتبر")),IF(OR($E1639="",$E1639="نامعتبر"),"","00:00"))</f>
        <v/>
      </c>
      <c r="G1639">
        <f>IF(OR($E1639="",$E1639="نامعتبر"),"",IF(Entry!$E1639="","",LEFT(UPPER(TRIM(Entry!$E1639)),6)))</f>
        <v/>
      </c>
      <c r="H1639">
        <f>IF($G1639="","",RIGHT($E1639,4)&amp;MID($E1639,6,2)&amp;RIGHT($E1639,2)&amp;IF($F1639="","0000",IF($F1639="نامعتبر","9999",LEFT($F1639,2)&amp;RIGHT($F1639,2)))&amp;"|"&amp;RIGHT("00000"&amp;1631,5))</f>
        <v/>
      </c>
      <c r="I1639">
        <f>IF($H1639="","",COUNTIFS(CalcBank,$G1639,CalcKey,"&lt;"&amp;$H1639)+1)</f>
        <v/>
      </c>
      <c r="J1639">
        <f>IF($I1639="","",$G1639&amp;"|"&amp;RIGHT("000000"&amp;$I1639,6))</f>
        <v/>
      </c>
      <c r="K1639">
        <f>IF(OR($E1639="",$E1639="نامعتبر"),"",LEFT($E1639,4)&amp;"/"&amp;MID($E1639,6,2))</f>
        <v/>
      </c>
      <c r="L1639">
        <f>IF(Entry!$K1639="",0,Entry!$K1639)</f>
        <v/>
      </c>
      <c r="M1639">
        <f>IF(Entry!$L1639="",0,Entry!$L1639)</f>
        <v/>
      </c>
    </row>
    <row r="1640">
      <c r="A1640">
        <f>IF(Entry!$C1640="","",Entry!$C1640)</f>
        <v/>
      </c>
      <c r="B1640">
        <f>IF($A1640="","",IF(ISNUMBER($A1640),IF(AND($A1640&gt;=10000101,$A1640&lt;=99991231),INT($A1640/10000),""),IFERROR(VALUE(TRIM(LEFT($A1640,FIND("/",$A1640)-1))),"")))</f>
        <v/>
      </c>
      <c r="C1640">
        <f>IF(OR($A1640="",$B1640=""),"",IF(ISNUMBER($A1640),INT(MOD($A1640,10000)/100),IFERROR(VALUE(TRIM(LEFT(MID($A1640,FIND("/",$A1640)+1,20),FIND("/",MID($A1640,FIND("/",$A1640)+1,20))-1))),"")))</f>
        <v/>
      </c>
      <c r="D1640">
        <f>IF(OR($A1640="",$B1640=""),"",IF(ISNUMBER($A1640),MOD($A1640,100),IFERROR(VALUE(TRIM(MID(MID($A1640,FIND("/",$A1640)+1,20),FIND("/",MID($A1640,FIND("/",$A1640)+1,20))+1,20))),"")))</f>
        <v/>
      </c>
      <c r="E1640">
        <f>IF($A1640="","",IF(OR($B1640="",$C1640="",$D1640="",$B1640&lt;1300,$B1640&gt;1500,$C1640&lt;1,$C1640&gt;12,$D1640&lt;1,$D1640&gt;31),"نامعتبر",RIGHT("0000"&amp;$B1640,4)&amp;"/"&amp;RIGHT("00"&amp;$C1640,2)&amp;"/"&amp;RIGHT("00"&amp;$D1640,2)))</f>
        <v/>
      </c>
      <c r="F1640">
        <f>IF(Entry!$D1640&lt;&gt;"",IF(AND(ISNUMBER(Entry!$D1640),Entry!$D1640&gt;=0,Entry!$D1640&lt;1),RIGHT("00"&amp;HOUR(Entry!$D1640),2)&amp;":"&amp;RIGHT("00"&amp;MINUTE(Entry!$D1640),2),IFERROR(RIGHT("00"&amp;VALUE(TRIM(LEFT(Entry!$D1640,FIND(":",Entry!$D1640)-1))),2)&amp;":"&amp;RIGHT("00"&amp;VALUE(TRIM(MID(Entry!$D1640,FIND(":",Entry!$D1640)+1,2))),2),"نامعتبر")),IF(OR($E1640="",$E1640="نامعتبر"),"","00:00"))</f>
        <v/>
      </c>
      <c r="G1640">
        <f>IF(OR($E1640="",$E1640="نامعتبر"),"",IF(Entry!$E1640="","",LEFT(UPPER(TRIM(Entry!$E1640)),6)))</f>
        <v/>
      </c>
      <c r="H1640">
        <f>IF($G1640="","",RIGHT($E1640,4)&amp;MID($E1640,6,2)&amp;RIGHT($E1640,2)&amp;IF($F1640="","0000",IF($F1640="نامعتبر","9999",LEFT($F1640,2)&amp;RIGHT($F1640,2)))&amp;"|"&amp;RIGHT("00000"&amp;1632,5))</f>
        <v/>
      </c>
      <c r="I1640">
        <f>IF($H1640="","",COUNTIFS(CalcBank,$G1640,CalcKey,"&lt;"&amp;$H1640)+1)</f>
        <v/>
      </c>
      <c r="J1640">
        <f>IF($I1640="","",$G1640&amp;"|"&amp;RIGHT("000000"&amp;$I1640,6))</f>
        <v/>
      </c>
      <c r="K1640">
        <f>IF(OR($E1640="",$E1640="نامعتبر"),"",LEFT($E1640,4)&amp;"/"&amp;MID($E1640,6,2))</f>
        <v/>
      </c>
      <c r="L1640">
        <f>IF(Entry!$K1640="",0,Entry!$K1640)</f>
        <v/>
      </c>
      <c r="M1640">
        <f>IF(Entry!$L1640="",0,Entry!$L1640)</f>
        <v/>
      </c>
    </row>
    <row r="1641">
      <c r="A1641">
        <f>IF(Entry!$C1641="","",Entry!$C1641)</f>
        <v/>
      </c>
      <c r="B1641">
        <f>IF($A1641="","",IF(ISNUMBER($A1641),IF(AND($A1641&gt;=10000101,$A1641&lt;=99991231),INT($A1641/10000),""),IFERROR(VALUE(TRIM(LEFT($A1641,FIND("/",$A1641)-1))),"")))</f>
        <v/>
      </c>
      <c r="C1641">
        <f>IF(OR($A1641="",$B1641=""),"",IF(ISNUMBER($A1641),INT(MOD($A1641,10000)/100),IFERROR(VALUE(TRIM(LEFT(MID($A1641,FIND("/",$A1641)+1,20),FIND("/",MID($A1641,FIND("/",$A1641)+1,20))-1))),"")))</f>
        <v/>
      </c>
      <c r="D1641">
        <f>IF(OR($A1641="",$B1641=""),"",IF(ISNUMBER($A1641),MOD($A1641,100),IFERROR(VALUE(TRIM(MID(MID($A1641,FIND("/",$A1641)+1,20),FIND("/",MID($A1641,FIND("/",$A1641)+1,20))+1,20))),"")))</f>
        <v/>
      </c>
      <c r="E1641">
        <f>IF($A1641="","",IF(OR($B1641="",$C1641="",$D1641="",$B1641&lt;1300,$B1641&gt;1500,$C1641&lt;1,$C1641&gt;12,$D1641&lt;1,$D1641&gt;31),"نامعتبر",RIGHT("0000"&amp;$B1641,4)&amp;"/"&amp;RIGHT("00"&amp;$C1641,2)&amp;"/"&amp;RIGHT("00"&amp;$D1641,2)))</f>
        <v/>
      </c>
      <c r="F1641">
        <f>IF(Entry!$D1641&lt;&gt;"",IF(AND(ISNUMBER(Entry!$D1641),Entry!$D1641&gt;=0,Entry!$D1641&lt;1),RIGHT("00"&amp;HOUR(Entry!$D1641),2)&amp;":"&amp;RIGHT("00"&amp;MINUTE(Entry!$D1641),2),IFERROR(RIGHT("00"&amp;VALUE(TRIM(LEFT(Entry!$D1641,FIND(":",Entry!$D1641)-1))),2)&amp;":"&amp;RIGHT("00"&amp;VALUE(TRIM(MID(Entry!$D1641,FIND(":",Entry!$D1641)+1,2))),2),"نامعتبر")),IF(OR($E1641="",$E1641="نامعتبر"),"","00:00"))</f>
        <v/>
      </c>
      <c r="G1641">
        <f>IF(OR($E1641="",$E1641="نامعتبر"),"",IF(Entry!$E1641="","",LEFT(UPPER(TRIM(Entry!$E1641)),6)))</f>
        <v/>
      </c>
      <c r="H1641">
        <f>IF($G1641="","",RIGHT($E1641,4)&amp;MID($E1641,6,2)&amp;RIGHT($E1641,2)&amp;IF($F1641="","0000",IF($F1641="نامعتبر","9999",LEFT($F1641,2)&amp;RIGHT($F1641,2)))&amp;"|"&amp;RIGHT("00000"&amp;1633,5))</f>
        <v/>
      </c>
      <c r="I1641">
        <f>IF($H1641="","",COUNTIFS(CalcBank,$G1641,CalcKey,"&lt;"&amp;$H1641)+1)</f>
        <v/>
      </c>
      <c r="J1641">
        <f>IF($I1641="","",$G1641&amp;"|"&amp;RIGHT("000000"&amp;$I1641,6))</f>
        <v/>
      </c>
      <c r="K1641">
        <f>IF(OR($E1641="",$E1641="نامعتبر"),"",LEFT($E1641,4)&amp;"/"&amp;MID($E1641,6,2))</f>
        <v/>
      </c>
      <c r="L1641">
        <f>IF(Entry!$K1641="",0,Entry!$K1641)</f>
        <v/>
      </c>
      <c r="M1641">
        <f>IF(Entry!$L1641="",0,Entry!$L1641)</f>
        <v/>
      </c>
    </row>
    <row r="1642">
      <c r="A1642">
        <f>IF(Entry!$C1642="","",Entry!$C1642)</f>
        <v/>
      </c>
      <c r="B1642">
        <f>IF($A1642="","",IF(ISNUMBER($A1642),IF(AND($A1642&gt;=10000101,$A1642&lt;=99991231),INT($A1642/10000),""),IFERROR(VALUE(TRIM(LEFT($A1642,FIND("/",$A1642)-1))),"")))</f>
        <v/>
      </c>
      <c r="C1642">
        <f>IF(OR($A1642="",$B1642=""),"",IF(ISNUMBER($A1642),INT(MOD($A1642,10000)/100),IFERROR(VALUE(TRIM(LEFT(MID($A1642,FIND("/",$A1642)+1,20),FIND("/",MID($A1642,FIND("/",$A1642)+1,20))-1))),"")))</f>
        <v/>
      </c>
      <c r="D1642">
        <f>IF(OR($A1642="",$B1642=""),"",IF(ISNUMBER($A1642),MOD($A1642,100),IFERROR(VALUE(TRIM(MID(MID($A1642,FIND("/",$A1642)+1,20),FIND("/",MID($A1642,FIND("/",$A1642)+1,20))+1,20))),"")))</f>
        <v/>
      </c>
      <c r="E1642">
        <f>IF($A1642="","",IF(OR($B1642="",$C1642="",$D1642="",$B1642&lt;1300,$B1642&gt;1500,$C1642&lt;1,$C1642&gt;12,$D1642&lt;1,$D1642&gt;31),"نامعتبر",RIGHT("0000"&amp;$B1642,4)&amp;"/"&amp;RIGHT("00"&amp;$C1642,2)&amp;"/"&amp;RIGHT("00"&amp;$D1642,2)))</f>
        <v/>
      </c>
      <c r="F1642">
        <f>IF(Entry!$D1642&lt;&gt;"",IF(AND(ISNUMBER(Entry!$D1642),Entry!$D1642&gt;=0,Entry!$D1642&lt;1),RIGHT("00"&amp;HOUR(Entry!$D1642),2)&amp;":"&amp;RIGHT("00"&amp;MINUTE(Entry!$D1642),2),IFERROR(RIGHT("00"&amp;VALUE(TRIM(LEFT(Entry!$D1642,FIND(":",Entry!$D1642)-1))),2)&amp;":"&amp;RIGHT("00"&amp;VALUE(TRIM(MID(Entry!$D1642,FIND(":",Entry!$D1642)+1,2))),2),"نامعتبر")),IF(OR($E1642="",$E1642="نامعتبر"),"","00:00"))</f>
        <v/>
      </c>
      <c r="G1642">
        <f>IF(OR($E1642="",$E1642="نامعتبر"),"",IF(Entry!$E1642="","",LEFT(UPPER(TRIM(Entry!$E1642)),6)))</f>
        <v/>
      </c>
      <c r="H1642">
        <f>IF($G1642="","",RIGHT($E1642,4)&amp;MID($E1642,6,2)&amp;RIGHT($E1642,2)&amp;IF($F1642="","0000",IF($F1642="نامعتبر","9999",LEFT($F1642,2)&amp;RIGHT($F1642,2)))&amp;"|"&amp;RIGHT("00000"&amp;1634,5))</f>
        <v/>
      </c>
      <c r="I1642">
        <f>IF($H1642="","",COUNTIFS(CalcBank,$G1642,CalcKey,"&lt;"&amp;$H1642)+1)</f>
        <v/>
      </c>
      <c r="J1642">
        <f>IF($I1642="","",$G1642&amp;"|"&amp;RIGHT("000000"&amp;$I1642,6))</f>
        <v/>
      </c>
      <c r="K1642">
        <f>IF(OR($E1642="",$E1642="نامعتبر"),"",LEFT($E1642,4)&amp;"/"&amp;MID($E1642,6,2))</f>
        <v/>
      </c>
      <c r="L1642">
        <f>IF(Entry!$K1642="",0,Entry!$K1642)</f>
        <v/>
      </c>
      <c r="M1642">
        <f>IF(Entry!$L1642="",0,Entry!$L1642)</f>
        <v/>
      </c>
    </row>
    <row r="1643">
      <c r="A1643">
        <f>IF(Entry!$C1643="","",Entry!$C1643)</f>
        <v/>
      </c>
      <c r="B1643">
        <f>IF($A1643="","",IF(ISNUMBER($A1643),IF(AND($A1643&gt;=10000101,$A1643&lt;=99991231),INT($A1643/10000),""),IFERROR(VALUE(TRIM(LEFT($A1643,FIND("/",$A1643)-1))),"")))</f>
        <v/>
      </c>
      <c r="C1643">
        <f>IF(OR($A1643="",$B1643=""),"",IF(ISNUMBER($A1643),INT(MOD($A1643,10000)/100),IFERROR(VALUE(TRIM(LEFT(MID($A1643,FIND("/",$A1643)+1,20),FIND("/",MID($A1643,FIND("/",$A1643)+1,20))-1))),"")))</f>
        <v/>
      </c>
      <c r="D1643">
        <f>IF(OR($A1643="",$B1643=""),"",IF(ISNUMBER($A1643),MOD($A1643,100),IFERROR(VALUE(TRIM(MID(MID($A1643,FIND("/",$A1643)+1,20),FIND("/",MID($A1643,FIND("/",$A1643)+1,20))+1,20))),"")))</f>
        <v/>
      </c>
      <c r="E1643">
        <f>IF($A1643="","",IF(OR($B1643="",$C1643="",$D1643="",$B1643&lt;1300,$B1643&gt;1500,$C1643&lt;1,$C1643&gt;12,$D1643&lt;1,$D1643&gt;31),"نامعتبر",RIGHT("0000"&amp;$B1643,4)&amp;"/"&amp;RIGHT("00"&amp;$C1643,2)&amp;"/"&amp;RIGHT("00"&amp;$D1643,2)))</f>
        <v/>
      </c>
      <c r="F1643">
        <f>IF(Entry!$D1643&lt;&gt;"",IF(AND(ISNUMBER(Entry!$D1643),Entry!$D1643&gt;=0,Entry!$D1643&lt;1),RIGHT("00"&amp;HOUR(Entry!$D1643),2)&amp;":"&amp;RIGHT("00"&amp;MINUTE(Entry!$D1643),2),IFERROR(RIGHT("00"&amp;VALUE(TRIM(LEFT(Entry!$D1643,FIND(":",Entry!$D1643)-1))),2)&amp;":"&amp;RIGHT("00"&amp;VALUE(TRIM(MID(Entry!$D1643,FIND(":",Entry!$D1643)+1,2))),2),"نامعتبر")),IF(OR($E1643="",$E1643="نامعتبر"),"","00:00"))</f>
        <v/>
      </c>
      <c r="G1643">
        <f>IF(OR($E1643="",$E1643="نامعتبر"),"",IF(Entry!$E1643="","",LEFT(UPPER(TRIM(Entry!$E1643)),6)))</f>
        <v/>
      </c>
      <c r="H1643">
        <f>IF($G1643="","",RIGHT($E1643,4)&amp;MID($E1643,6,2)&amp;RIGHT($E1643,2)&amp;IF($F1643="","0000",IF($F1643="نامعتبر","9999",LEFT($F1643,2)&amp;RIGHT($F1643,2)))&amp;"|"&amp;RIGHT("00000"&amp;1635,5))</f>
        <v/>
      </c>
      <c r="I1643">
        <f>IF($H1643="","",COUNTIFS(CalcBank,$G1643,CalcKey,"&lt;"&amp;$H1643)+1)</f>
        <v/>
      </c>
      <c r="J1643">
        <f>IF($I1643="","",$G1643&amp;"|"&amp;RIGHT("000000"&amp;$I1643,6))</f>
        <v/>
      </c>
      <c r="K1643">
        <f>IF(OR($E1643="",$E1643="نامعتبر"),"",LEFT($E1643,4)&amp;"/"&amp;MID($E1643,6,2))</f>
        <v/>
      </c>
      <c r="L1643">
        <f>IF(Entry!$K1643="",0,Entry!$K1643)</f>
        <v/>
      </c>
      <c r="M1643">
        <f>IF(Entry!$L1643="",0,Entry!$L1643)</f>
        <v/>
      </c>
    </row>
    <row r="1644">
      <c r="A1644">
        <f>IF(Entry!$C1644="","",Entry!$C1644)</f>
        <v/>
      </c>
      <c r="B1644">
        <f>IF($A1644="","",IF(ISNUMBER($A1644),IF(AND($A1644&gt;=10000101,$A1644&lt;=99991231),INT($A1644/10000),""),IFERROR(VALUE(TRIM(LEFT($A1644,FIND("/",$A1644)-1))),"")))</f>
        <v/>
      </c>
      <c r="C1644">
        <f>IF(OR($A1644="",$B1644=""),"",IF(ISNUMBER($A1644),INT(MOD($A1644,10000)/100),IFERROR(VALUE(TRIM(LEFT(MID($A1644,FIND("/",$A1644)+1,20),FIND("/",MID($A1644,FIND("/",$A1644)+1,20))-1))),"")))</f>
        <v/>
      </c>
      <c r="D1644">
        <f>IF(OR($A1644="",$B1644=""),"",IF(ISNUMBER($A1644),MOD($A1644,100),IFERROR(VALUE(TRIM(MID(MID($A1644,FIND("/",$A1644)+1,20),FIND("/",MID($A1644,FIND("/",$A1644)+1,20))+1,20))),"")))</f>
        <v/>
      </c>
      <c r="E1644">
        <f>IF($A1644="","",IF(OR($B1644="",$C1644="",$D1644="",$B1644&lt;1300,$B1644&gt;1500,$C1644&lt;1,$C1644&gt;12,$D1644&lt;1,$D1644&gt;31),"نامعتبر",RIGHT("0000"&amp;$B1644,4)&amp;"/"&amp;RIGHT("00"&amp;$C1644,2)&amp;"/"&amp;RIGHT("00"&amp;$D1644,2)))</f>
        <v/>
      </c>
      <c r="F1644">
        <f>IF(Entry!$D1644&lt;&gt;"",IF(AND(ISNUMBER(Entry!$D1644),Entry!$D1644&gt;=0,Entry!$D1644&lt;1),RIGHT("00"&amp;HOUR(Entry!$D1644),2)&amp;":"&amp;RIGHT("00"&amp;MINUTE(Entry!$D1644),2),IFERROR(RIGHT("00"&amp;VALUE(TRIM(LEFT(Entry!$D1644,FIND(":",Entry!$D1644)-1))),2)&amp;":"&amp;RIGHT("00"&amp;VALUE(TRIM(MID(Entry!$D1644,FIND(":",Entry!$D1644)+1,2))),2),"نامعتبر")),IF(OR($E1644="",$E1644="نامعتبر"),"","00:00"))</f>
        <v/>
      </c>
      <c r="G1644">
        <f>IF(OR($E1644="",$E1644="نامعتبر"),"",IF(Entry!$E1644="","",LEFT(UPPER(TRIM(Entry!$E1644)),6)))</f>
        <v/>
      </c>
      <c r="H1644">
        <f>IF($G1644="","",RIGHT($E1644,4)&amp;MID($E1644,6,2)&amp;RIGHT($E1644,2)&amp;IF($F1644="","0000",IF($F1644="نامعتبر","9999",LEFT($F1644,2)&amp;RIGHT($F1644,2)))&amp;"|"&amp;RIGHT("00000"&amp;1636,5))</f>
        <v/>
      </c>
      <c r="I1644">
        <f>IF($H1644="","",COUNTIFS(CalcBank,$G1644,CalcKey,"&lt;"&amp;$H1644)+1)</f>
        <v/>
      </c>
      <c r="J1644">
        <f>IF($I1644="","",$G1644&amp;"|"&amp;RIGHT("000000"&amp;$I1644,6))</f>
        <v/>
      </c>
      <c r="K1644">
        <f>IF(OR($E1644="",$E1644="نامعتبر"),"",LEFT($E1644,4)&amp;"/"&amp;MID($E1644,6,2))</f>
        <v/>
      </c>
      <c r="L1644">
        <f>IF(Entry!$K1644="",0,Entry!$K1644)</f>
        <v/>
      </c>
      <c r="M1644">
        <f>IF(Entry!$L1644="",0,Entry!$L1644)</f>
        <v/>
      </c>
    </row>
    <row r="1645">
      <c r="A1645">
        <f>IF(Entry!$C1645="","",Entry!$C1645)</f>
        <v/>
      </c>
      <c r="B1645">
        <f>IF($A1645="","",IF(ISNUMBER($A1645),IF(AND($A1645&gt;=10000101,$A1645&lt;=99991231),INT($A1645/10000),""),IFERROR(VALUE(TRIM(LEFT($A1645,FIND("/",$A1645)-1))),"")))</f>
        <v/>
      </c>
      <c r="C1645">
        <f>IF(OR($A1645="",$B1645=""),"",IF(ISNUMBER($A1645),INT(MOD($A1645,10000)/100),IFERROR(VALUE(TRIM(LEFT(MID($A1645,FIND("/",$A1645)+1,20),FIND("/",MID($A1645,FIND("/",$A1645)+1,20))-1))),"")))</f>
        <v/>
      </c>
      <c r="D1645">
        <f>IF(OR($A1645="",$B1645=""),"",IF(ISNUMBER($A1645),MOD($A1645,100),IFERROR(VALUE(TRIM(MID(MID($A1645,FIND("/",$A1645)+1,20),FIND("/",MID($A1645,FIND("/",$A1645)+1,20))+1,20))),"")))</f>
        <v/>
      </c>
      <c r="E1645">
        <f>IF($A1645="","",IF(OR($B1645="",$C1645="",$D1645="",$B1645&lt;1300,$B1645&gt;1500,$C1645&lt;1,$C1645&gt;12,$D1645&lt;1,$D1645&gt;31),"نامعتبر",RIGHT("0000"&amp;$B1645,4)&amp;"/"&amp;RIGHT("00"&amp;$C1645,2)&amp;"/"&amp;RIGHT("00"&amp;$D1645,2)))</f>
        <v/>
      </c>
      <c r="F1645">
        <f>IF(Entry!$D1645&lt;&gt;"",IF(AND(ISNUMBER(Entry!$D1645),Entry!$D1645&gt;=0,Entry!$D1645&lt;1),RIGHT("00"&amp;HOUR(Entry!$D1645),2)&amp;":"&amp;RIGHT("00"&amp;MINUTE(Entry!$D1645),2),IFERROR(RIGHT("00"&amp;VALUE(TRIM(LEFT(Entry!$D1645,FIND(":",Entry!$D1645)-1))),2)&amp;":"&amp;RIGHT("00"&amp;VALUE(TRIM(MID(Entry!$D1645,FIND(":",Entry!$D1645)+1,2))),2),"نامعتبر")),IF(OR($E1645="",$E1645="نامعتبر"),"","00:00"))</f>
        <v/>
      </c>
      <c r="G1645">
        <f>IF(OR($E1645="",$E1645="نامعتبر"),"",IF(Entry!$E1645="","",LEFT(UPPER(TRIM(Entry!$E1645)),6)))</f>
        <v/>
      </c>
      <c r="H1645">
        <f>IF($G1645="","",RIGHT($E1645,4)&amp;MID($E1645,6,2)&amp;RIGHT($E1645,2)&amp;IF($F1645="","0000",IF($F1645="نامعتبر","9999",LEFT($F1645,2)&amp;RIGHT($F1645,2)))&amp;"|"&amp;RIGHT("00000"&amp;1637,5))</f>
        <v/>
      </c>
      <c r="I1645">
        <f>IF($H1645="","",COUNTIFS(CalcBank,$G1645,CalcKey,"&lt;"&amp;$H1645)+1)</f>
        <v/>
      </c>
      <c r="J1645">
        <f>IF($I1645="","",$G1645&amp;"|"&amp;RIGHT("000000"&amp;$I1645,6))</f>
        <v/>
      </c>
      <c r="K1645">
        <f>IF(OR($E1645="",$E1645="نامعتبر"),"",LEFT($E1645,4)&amp;"/"&amp;MID($E1645,6,2))</f>
        <v/>
      </c>
      <c r="L1645">
        <f>IF(Entry!$K1645="",0,Entry!$K1645)</f>
        <v/>
      </c>
      <c r="M1645">
        <f>IF(Entry!$L1645="",0,Entry!$L1645)</f>
        <v/>
      </c>
    </row>
    <row r="1646">
      <c r="A1646">
        <f>IF(Entry!$C1646="","",Entry!$C1646)</f>
        <v/>
      </c>
      <c r="B1646">
        <f>IF($A1646="","",IF(ISNUMBER($A1646),IF(AND($A1646&gt;=10000101,$A1646&lt;=99991231),INT($A1646/10000),""),IFERROR(VALUE(TRIM(LEFT($A1646,FIND("/",$A1646)-1))),"")))</f>
        <v/>
      </c>
      <c r="C1646">
        <f>IF(OR($A1646="",$B1646=""),"",IF(ISNUMBER($A1646),INT(MOD($A1646,10000)/100),IFERROR(VALUE(TRIM(LEFT(MID($A1646,FIND("/",$A1646)+1,20),FIND("/",MID($A1646,FIND("/",$A1646)+1,20))-1))),"")))</f>
        <v/>
      </c>
      <c r="D1646">
        <f>IF(OR($A1646="",$B1646=""),"",IF(ISNUMBER($A1646),MOD($A1646,100),IFERROR(VALUE(TRIM(MID(MID($A1646,FIND("/",$A1646)+1,20),FIND("/",MID($A1646,FIND("/",$A1646)+1,20))+1,20))),"")))</f>
        <v/>
      </c>
      <c r="E1646">
        <f>IF($A1646="","",IF(OR($B1646="",$C1646="",$D1646="",$B1646&lt;1300,$B1646&gt;1500,$C1646&lt;1,$C1646&gt;12,$D1646&lt;1,$D1646&gt;31),"نامعتبر",RIGHT("0000"&amp;$B1646,4)&amp;"/"&amp;RIGHT("00"&amp;$C1646,2)&amp;"/"&amp;RIGHT("00"&amp;$D1646,2)))</f>
        <v/>
      </c>
      <c r="F1646">
        <f>IF(Entry!$D1646&lt;&gt;"",IF(AND(ISNUMBER(Entry!$D1646),Entry!$D1646&gt;=0,Entry!$D1646&lt;1),RIGHT("00"&amp;HOUR(Entry!$D1646),2)&amp;":"&amp;RIGHT("00"&amp;MINUTE(Entry!$D1646),2),IFERROR(RIGHT("00"&amp;VALUE(TRIM(LEFT(Entry!$D1646,FIND(":",Entry!$D1646)-1))),2)&amp;":"&amp;RIGHT("00"&amp;VALUE(TRIM(MID(Entry!$D1646,FIND(":",Entry!$D1646)+1,2))),2),"نامعتبر")),IF(OR($E1646="",$E1646="نامعتبر"),"","00:00"))</f>
        <v/>
      </c>
      <c r="G1646">
        <f>IF(OR($E1646="",$E1646="نامعتبر"),"",IF(Entry!$E1646="","",LEFT(UPPER(TRIM(Entry!$E1646)),6)))</f>
        <v/>
      </c>
      <c r="H1646">
        <f>IF($G1646="","",RIGHT($E1646,4)&amp;MID($E1646,6,2)&amp;RIGHT($E1646,2)&amp;IF($F1646="","0000",IF($F1646="نامعتبر","9999",LEFT($F1646,2)&amp;RIGHT($F1646,2)))&amp;"|"&amp;RIGHT("00000"&amp;1638,5))</f>
        <v/>
      </c>
      <c r="I1646">
        <f>IF($H1646="","",COUNTIFS(CalcBank,$G1646,CalcKey,"&lt;"&amp;$H1646)+1)</f>
        <v/>
      </c>
      <c r="J1646">
        <f>IF($I1646="","",$G1646&amp;"|"&amp;RIGHT("000000"&amp;$I1646,6))</f>
        <v/>
      </c>
      <c r="K1646">
        <f>IF(OR($E1646="",$E1646="نامعتبر"),"",LEFT($E1646,4)&amp;"/"&amp;MID($E1646,6,2))</f>
        <v/>
      </c>
      <c r="L1646">
        <f>IF(Entry!$K1646="",0,Entry!$K1646)</f>
        <v/>
      </c>
      <c r="M1646">
        <f>IF(Entry!$L1646="",0,Entry!$L1646)</f>
        <v/>
      </c>
    </row>
    <row r="1647">
      <c r="A1647">
        <f>IF(Entry!$C1647="","",Entry!$C1647)</f>
        <v/>
      </c>
      <c r="B1647">
        <f>IF($A1647="","",IF(ISNUMBER($A1647),IF(AND($A1647&gt;=10000101,$A1647&lt;=99991231),INT($A1647/10000),""),IFERROR(VALUE(TRIM(LEFT($A1647,FIND("/",$A1647)-1))),"")))</f>
        <v/>
      </c>
      <c r="C1647">
        <f>IF(OR($A1647="",$B1647=""),"",IF(ISNUMBER($A1647),INT(MOD($A1647,10000)/100),IFERROR(VALUE(TRIM(LEFT(MID($A1647,FIND("/",$A1647)+1,20),FIND("/",MID($A1647,FIND("/",$A1647)+1,20))-1))),"")))</f>
        <v/>
      </c>
      <c r="D1647">
        <f>IF(OR($A1647="",$B1647=""),"",IF(ISNUMBER($A1647),MOD($A1647,100),IFERROR(VALUE(TRIM(MID(MID($A1647,FIND("/",$A1647)+1,20),FIND("/",MID($A1647,FIND("/",$A1647)+1,20))+1,20))),"")))</f>
        <v/>
      </c>
      <c r="E1647">
        <f>IF($A1647="","",IF(OR($B1647="",$C1647="",$D1647="",$B1647&lt;1300,$B1647&gt;1500,$C1647&lt;1,$C1647&gt;12,$D1647&lt;1,$D1647&gt;31),"نامعتبر",RIGHT("0000"&amp;$B1647,4)&amp;"/"&amp;RIGHT("00"&amp;$C1647,2)&amp;"/"&amp;RIGHT("00"&amp;$D1647,2)))</f>
        <v/>
      </c>
      <c r="F1647">
        <f>IF(Entry!$D1647&lt;&gt;"",IF(AND(ISNUMBER(Entry!$D1647),Entry!$D1647&gt;=0,Entry!$D1647&lt;1),RIGHT("00"&amp;HOUR(Entry!$D1647),2)&amp;":"&amp;RIGHT("00"&amp;MINUTE(Entry!$D1647),2),IFERROR(RIGHT("00"&amp;VALUE(TRIM(LEFT(Entry!$D1647,FIND(":",Entry!$D1647)-1))),2)&amp;":"&amp;RIGHT("00"&amp;VALUE(TRIM(MID(Entry!$D1647,FIND(":",Entry!$D1647)+1,2))),2),"نامعتبر")),IF(OR($E1647="",$E1647="نامعتبر"),"","00:00"))</f>
        <v/>
      </c>
      <c r="G1647">
        <f>IF(OR($E1647="",$E1647="نامعتبر"),"",IF(Entry!$E1647="","",LEFT(UPPER(TRIM(Entry!$E1647)),6)))</f>
        <v/>
      </c>
      <c r="H1647">
        <f>IF($G1647="","",RIGHT($E1647,4)&amp;MID($E1647,6,2)&amp;RIGHT($E1647,2)&amp;IF($F1647="","0000",IF($F1647="نامعتبر","9999",LEFT($F1647,2)&amp;RIGHT($F1647,2)))&amp;"|"&amp;RIGHT("00000"&amp;1639,5))</f>
        <v/>
      </c>
      <c r="I1647">
        <f>IF($H1647="","",COUNTIFS(CalcBank,$G1647,CalcKey,"&lt;"&amp;$H1647)+1)</f>
        <v/>
      </c>
      <c r="J1647">
        <f>IF($I1647="","",$G1647&amp;"|"&amp;RIGHT("000000"&amp;$I1647,6))</f>
        <v/>
      </c>
      <c r="K1647">
        <f>IF(OR($E1647="",$E1647="نامعتبر"),"",LEFT($E1647,4)&amp;"/"&amp;MID($E1647,6,2))</f>
        <v/>
      </c>
      <c r="L1647">
        <f>IF(Entry!$K1647="",0,Entry!$K1647)</f>
        <v/>
      </c>
      <c r="M1647">
        <f>IF(Entry!$L1647="",0,Entry!$L1647)</f>
        <v/>
      </c>
    </row>
    <row r="1648">
      <c r="A1648">
        <f>IF(Entry!$C1648="","",Entry!$C1648)</f>
        <v/>
      </c>
      <c r="B1648">
        <f>IF($A1648="","",IF(ISNUMBER($A1648),IF(AND($A1648&gt;=10000101,$A1648&lt;=99991231),INT($A1648/10000),""),IFERROR(VALUE(TRIM(LEFT($A1648,FIND("/",$A1648)-1))),"")))</f>
        <v/>
      </c>
      <c r="C1648">
        <f>IF(OR($A1648="",$B1648=""),"",IF(ISNUMBER($A1648),INT(MOD($A1648,10000)/100),IFERROR(VALUE(TRIM(LEFT(MID($A1648,FIND("/",$A1648)+1,20),FIND("/",MID($A1648,FIND("/",$A1648)+1,20))-1))),"")))</f>
        <v/>
      </c>
      <c r="D1648">
        <f>IF(OR($A1648="",$B1648=""),"",IF(ISNUMBER($A1648),MOD($A1648,100),IFERROR(VALUE(TRIM(MID(MID($A1648,FIND("/",$A1648)+1,20),FIND("/",MID($A1648,FIND("/",$A1648)+1,20))+1,20))),"")))</f>
        <v/>
      </c>
      <c r="E1648">
        <f>IF($A1648="","",IF(OR($B1648="",$C1648="",$D1648="",$B1648&lt;1300,$B1648&gt;1500,$C1648&lt;1,$C1648&gt;12,$D1648&lt;1,$D1648&gt;31),"نامعتبر",RIGHT("0000"&amp;$B1648,4)&amp;"/"&amp;RIGHT("00"&amp;$C1648,2)&amp;"/"&amp;RIGHT("00"&amp;$D1648,2)))</f>
        <v/>
      </c>
      <c r="F1648">
        <f>IF(Entry!$D1648&lt;&gt;"",IF(AND(ISNUMBER(Entry!$D1648),Entry!$D1648&gt;=0,Entry!$D1648&lt;1),RIGHT("00"&amp;HOUR(Entry!$D1648),2)&amp;":"&amp;RIGHT("00"&amp;MINUTE(Entry!$D1648),2),IFERROR(RIGHT("00"&amp;VALUE(TRIM(LEFT(Entry!$D1648,FIND(":",Entry!$D1648)-1))),2)&amp;":"&amp;RIGHT("00"&amp;VALUE(TRIM(MID(Entry!$D1648,FIND(":",Entry!$D1648)+1,2))),2),"نامعتبر")),IF(OR($E1648="",$E1648="نامعتبر"),"","00:00"))</f>
        <v/>
      </c>
      <c r="G1648">
        <f>IF(OR($E1648="",$E1648="نامعتبر"),"",IF(Entry!$E1648="","",LEFT(UPPER(TRIM(Entry!$E1648)),6)))</f>
        <v/>
      </c>
      <c r="H1648">
        <f>IF($G1648="","",RIGHT($E1648,4)&amp;MID($E1648,6,2)&amp;RIGHT($E1648,2)&amp;IF($F1648="","0000",IF($F1648="نامعتبر","9999",LEFT($F1648,2)&amp;RIGHT($F1648,2)))&amp;"|"&amp;RIGHT("00000"&amp;1640,5))</f>
        <v/>
      </c>
      <c r="I1648">
        <f>IF($H1648="","",COUNTIFS(CalcBank,$G1648,CalcKey,"&lt;"&amp;$H1648)+1)</f>
        <v/>
      </c>
      <c r="J1648">
        <f>IF($I1648="","",$G1648&amp;"|"&amp;RIGHT("000000"&amp;$I1648,6))</f>
        <v/>
      </c>
      <c r="K1648">
        <f>IF(OR($E1648="",$E1648="نامعتبر"),"",LEFT($E1648,4)&amp;"/"&amp;MID($E1648,6,2))</f>
        <v/>
      </c>
      <c r="L1648">
        <f>IF(Entry!$K1648="",0,Entry!$K1648)</f>
        <v/>
      </c>
      <c r="M1648">
        <f>IF(Entry!$L1648="",0,Entry!$L1648)</f>
        <v/>
      </c>
    </row>
    <row r="1649">
      <c r="A1649">
        <f>IF(Entry!$C1649="","",Entry!$C1649)</f>
        <v/>
      </c>
      <c r="B1649">
        <f>IF($A1649="","",IF(ISNUMBER($A1649),IF(AND($A1649&gt;=10000101,$A1649&lt;=99991231),INT($A1649/10000),""),IFERROR(VALUE(TRIM(LEFT($A1649,FIND("/",$A1649)-1))),"")))</f>
        <v/>
      </c>
      <c r="C1649">
        <f>IF(OR($A1649="",$B1649=""),"",IF(ISNUMBER($A1649),INT(MOD($A1649,10000)/100),IFERROR(VALUE(TRIM(LEFT(MID($A1649,FIND("/",$A1649)+1,20),FIND("/",MID($A1649,FIND("/",$A1649)+1,20))-1))),"")))</f>
        <v/>
      </c>
      <c r="D1649">
        <f>IF(OR($A1649="",$B1649=""),"",IF(ISNUMBER($A1649),MOD($A1649,100),IFERROR(VALUE(TRIM(MID(MID($A1649,FIND("/",$A1649)+1,20),FIND("/",MID($A1649,FIND("/",$A1649)+1,20))+1,20))),"")))</f>
        <v/>
      </c>
      <c r="E1649">
        <f>IF($A1649="","",IF(OR($B1649="",$C1649="",$D1649="",$B1649&lt;1300,$B1649&gt;1500,$C1649&lt;1,$C1649&gt;12,$D1649&lt;1,$D1649&gt;31),"نامعتبر",RIGHT("0000"&amp;$B1649,4)&amp;"/"&amp;RIGHT("00"&amp;$C1649,2)&amp;"/"&amp;RIGHT("00"&amp;$D1649,2)))</f>
        <v/>
      </c>
      <c r="F1649">
        <f>IF(Entry!$D1649&lt;&gt;"",IF(AND(ISNUMBER(Entry!$D1649),Entry!$D1649&gt;=0,Entry!$D1649&lt;1),RIGHT("00"&amp;HOUR(Entry!$D1649),2)&amp;":"&amp;RIGHT("00"&amp;MINUTE(Entry!$D1649),2),IFERROR(RIGHT("00"&amp;VALUE(TRIM(LEFT(Entry!$D1649,FIND(":",Entry!$D1649)-1))),2)&amp;":"&amp;RIGHT("00"&amp;VALUE(TRIM(MID(Entry!$D1649,FIND(":",Entry!$D1649)+1,2))),2),"نامعتبر")),IF(OR($E1649="",$E1649="نامعتبر"),"","00:00"))</f>
        <v/>
      </c>
      <c r="G1649">
        <f>IF(OR($E1649="",$E1649="نامعتبر"),"",IF(Entry!$E1649="","",LEFT(UPPER(TRIM(Entry!$E1649)),6)))</f>
        <v/>
      </c>
      <c r="H1649">
        <f>IF($G1649="","",RIGHT($E1649,4)&amp;MID($E1649,6,2)&amp;RIGHT($E1649,2)&amp;IF($F1649="","0000",IF($F1649="نامعتبر","9999",LEFT($F1649,2)&amp;RIGHT($F1649,2)))&amp;"|"&amp;RIGHT("00000"&amp;1641,5))</f>
        <v/>
      </c>
      <c r="I1649">
        <f>IF($H1649="","",COUNTIFS(CalcBank,$G1649,CalcKey,"&lt;"&amp;$H1649)+1)</f>
        <v/>
      </c>
      <c r="J1649">
        <f>IF($I1649="","",$G1649&amp;"|"&amp;RIGHT("000000"&amp;$I1649,6))</f>
        <v/>
      </c>
      <c r="K1649">
        <f>IF(OR($E1649="",$E1649="نامعتبر"),"",LEFT($E1649,4)&amp;"/"&amp;MID($E1649,6,2))</f>
        <v/>
      </c>
      <c r="L1649">
        <f>IF(Entry!$K1649="",0,Entry!$K1649)</f>
        <v/>
      </c>
      <c r="M1649">
        <f>IF(Entry!$L1649="",0,Entry!$L1649)</f>
        <v/>
      </c>
    </row>
    <row r="1650">
      <c r="A1650">
        <f>IF(Entry!$C1650="","",Entry!$C1650)</f>
        <v/>
      </c>
      <c r="B1650">
        <f>IF($A1650="","",IF(ISNUMBER($A1650),IF(AND($A1650&gt;=10000101,$A1650&lt;=99991231),INT($A1650/10000),""),IFERROR(VALUE(TRIM(LEFT($A1650,FIND("/",$A1650)-1))),"")))</f>
        <v/>
      </c>
      <c r="C1650">
        <f>IF(OR($A1650="",$B1650=""),"",IF(ISNUMBER($A1650),INT(MOD($A1650,10000)/100),IFERROR(VALUE(TRIM(LEFT(MID($A1650,FIND("/",$A1650)+1,20),FIND("/",MID($A1650,FIND("/",$A1650)+1,20))-1))),"")))</f>
        <v/>
      </c>
      <c r="D1650">
        <f>IF(OR($A1650="",$B1650=""),"",IF(ISNUMBER($A1650),MOD($A1650,100),IFERROR(VALUE(TRIM(MID(MID($A1650,FIND("/",$A1650)+1,20),FIND("/",MID($A1650,FIND("/",$A1650)+1,20))+1,20))),"")))</f>
        <v/>
      </c>
      <c r="E1650">
        <f>IF($A1650="","",IF(OR($B1650="",$C1650="",$D1650="",$B1650&lt;1300,$B1650&gt;1500,$C1650&lt;1,$C1650&gt;12,$D1650&lt;1,$D1650&gt;31),"نامعتبر",RIGHT("0000"&amp;$B1650,4)&amp;"/"&amp;RIGHT("00"&amp;$C1650,2)&amp;"/"&amp;RIGHT("00"&amp;$D1650,2)))</f>
        <v/>
      </c>
      <c r="F1650">
        <f>IF(Entry!$D1650&lt;&gt;"",IF(AND(ISNUMBER(Entry!$D1650),Entry!$D1650&gt;=0,Entry!$D1650&lt;1),RIGHT("00"&amp;HOUR(Entry!$D1650),2)&amp;":"&amp;RIGHT("00"&amp;MINUTE(Entry!$D1650),2),IFERROR(RIGHT("00"&amp;VALUE(TRIM(LEFT(Entry!$D1650,FIND(":",Entry!$D1650)-1))),2)&amp;":"&amp;RIGHT("00"&amp;VALUE(TRIM(MID(Entry!$D1650,FIND(":",Entry!$D1650)+1,2))),2),"نامعتبر")),IF(OR($E1650="",$E1650="نامعتبر"),"","00:00"))</f>
        <v/>
      </c>
      <c r="G1650">
        <f>IF(OR($E1650="",$E1650="نامعتبر"),"",IF(Entry!$E1650="","",LEFT(UPPER(TRIM(Entry!$E1650)),6)))</f>
        <v/>
      </c>
      <c r="H1650">
        <f>IF($G1650="","",RIGHT($E1650,4)&amp;MID($E1650,6,2)&amp;RIGHT($E1650,2)&amp;IF($F1650="","0000",IF($F1650="نامعتبر","9999",LEFT($F1650,2)&amp;RIGHT($F1650,2)))&amp;"|"&amp;RIGHT("00000"&amp;1642,5))</f>
        <v/>
      </c>
      <c r="I1650">
        <f>IF($H1650="","",COUNTIFS(CalcBank,$G1650,CalcKey,"&lt;"&amp;$H1650)+1)</f>
        <v/>
      </c>
      <c r="J1650">
        <f>IF($I1650="","",$G1650&amp;"|"&amp;RIGHT("000000"&amp;$I1650,6))</f>
        <v/>
      </c>
      <c r="K1650">
        <f>IF(OR($E1650="",$E1650="نامعتبر"),"",LEFT($E1650,4)&amp;"/"&amp;MID($E1650,6,2))</f>
        <v/>
      </c>
      <c r="L1650">
        <f>IF(Entry!$K1650="",0,Entry!$K1650)</f>
        <v/>
      </c>
      <c r="M1650">
        <f>IF(Entry!$L1650="",0,Entry!$L1650)</f>
        <v/>
      </c>
    </row>
    <row r="1651">
      <c r="A1651">
        <f>IF(Entry!$C1651="","",Entry!$C1651)</f>
        <v/>
      </c>
      <c r="B1651">
        <f>IF($A1651="","",IF(ISNUMBER($A1651),IF(AND($A1651&gt;=10000101,$A1651&lt;=99991231),INT($A1651/10000),""),IFERROR(VALUE(TRIM(LEFT($A1651,FIND("/",$A1651)-1))),"")))</f>
        <v/>
      </c>
      <c r="C1651">
        <f>IF(OR($A1651="",$B1651=""),"",IF(ISNUMBER($A1651),INT(MOD($A1651,10000)/100),IFERROR(VALUE(TRIM(LEFT(MID($A1651,FIND("/",$A1651)+1,20),FIND("/",MID($A1651,FIND("/",$A1651)+1,20))-1))),"")))</f>
        <v/>
      </c>
      <c r="D1651">
        <f>IF(OR($A1651="",$B1651=""),"",IF(ISNUMBER($A1651),MOD($A1651,100),IFERROR(VALUE(TRIM(MID(MID($A1651,FIND("/",$A1651)+1,20),FIND("/",MID($A1651,FIND("/",$A1651)+1,20))+1,20))),"")))</f>
        <v/>
      </c>
      <c r="E1651">
        <f>IF($A1651="","",IF(OR($B1651="",$C1651="",$D1651="",$B1651&lt;1300,$B1651&gt;1500,$C1651&lt;1,$C1651&gt;12,$D1651&lt;1,$D1651&gt;31),"نامعتبر",RIGHT("0000"&amp;$B1651,4)&amp;"/"&amp;RIGHT("00"&amp;$C1651,2)&amp;"/"&amp;RIGHT("00"&amp;$D1651,2)))</f>
        <v/>
      </c>
      <c r="F1651">
        <f>IF(Entry!$D1651&lt;&gt;"",IF(AND(ISNUMBER(Entry!$D1651),Entry!$D1651&gt;=0,Entry!$D1651&lt;1),RIGHT("00"&amp;HOUR(Entry!$D1651),2)&amp;":"&amp;RIGHT("00"&amp;MINUTE(Entry!$D1651),2),IFERROR(RIGHT("00"&amp;VALUE(TRIM(LEFT(Entry!$D1651,FIND(":",Entry!$D1651)-1))),2)&amp;":"&amp;RIGHT("00"&amp;VALUE(TRIM(MID(Entry!$D1651,FIND(":",Entry!$D1651)+1,2))),2),"نامعتبر")),IF(OR($E1651="",$E1651="نامعتبر"),"","00:00"))</f>
        <v/>
      </c>
      <c r="G1651">
        <f>IF(OR($E1651="",$E1651="نامعتبر"),"",IF(Entry!$E1651="","",LEFT(UPPER(TRIM(Entry!$E1651)),6)))</f>
        <v/>
      </c>
      <c r="H1651">
        <f>IF($G1651="","",RIGHT($E1651,4)&amp;MID($E1651,6,2)&amp;RIGHT($E1651,2)&amp;IF($F1651="","0000",IF($F1651="نامعتبر","9999",LEFT($F1651,2)&amp;RIGHT($F1651,2)))&amp;"|"&amp;RIGHT("00000"&amp;1643,5))</f>
        <v/>
      </c>
      <c r="I1651">
        <f>IF($H1651="","",COUNTIFS(CalcBank,$G1651,CalcKey,"&lt;"&amp;$H1651)+1)</f>
        <v/>
      </c>
      <c r="J1651">
        <f>IF($I1651="","",$G1651&amp;"|"&amp;RIGHT("000000"&amp;$I1651,6))</f>
        <v/>
      </c>
      <c r="K1651">
        <f>IF(OR($E1651="",$E1651="نامعتبر"),"",LEFT($E1651,4)&amp;"/"&amp;MID($E1651,6,2))</f>
        <v/>
      </c>
      <c r="L1651">
        <f>IF(Entry!$K1651="",0,Entry!$K1651)</f>
        <v/>
      </c>
      <c r="M1651">
        <f>IF(Entry!$L1651="",0,Entry!$L1651)</f>
        <v/>
      </c>
    </row>
    <row r="1652">
      <c r="A1652">
        <f>IF(Entry!$C1652="","",Entry!$C1652)</f>
        <v/>
      </c>
      <c r="B1652">
        <f>IF($A1652="","",IF(ISNUMBER($A1652),IF(AND($A1652&gt;=10000101,$A1652&lt;=99991231),INT($A1652/10000),""),IFERROR(VALUE(TRIM(LEFT($A1652,FIND("/",$A1652)-1))),"")))</f>
        <v/>
      </c>
      <c r="C1652">
        <f>IF(OR($A1652="",$B1652=""),"",IF(ISNUMBER($A1652),INT(MOD($A1652,10000)/100),IFERROR(VALUE(TRIM(LEFT(MID($A1652,FIND("/",$A1652)+1,20),FIND("/",MID($A1652,FIND("/",$A1652)+1,20))-1))),"")))</f>
        <v/>
      </c>
      <c r="D1652">
        <f>IF(OR($A1652="",$B1652=""),"",IF(ISNUMBER($A1652),MOD($A1652,100),IFERROR(VALUE(TRIM(MID(MID($A1652,FIND("/",$A1652)+1,20),FIND("/",MID($A1652,FIND("/",$A1652)+1,20))+1,20))),"")))</f>
        <v/>
      </c>
      <c r="E1652">
        <f>IF($A1652="","",IF(OR($B1652="",$C1652="",$D1652="",$B1652&lt;1300,$B1652&gt;1500,$C1652&lt;1,$C1652&gt;12,$D1652&lt;1,$D1652&gt;31),"نامعتبر",RIGHT("0000"&amp;$B1652,4)&amp;"/"&amp;RIGHT("00"&amp;$C1652,2)&amp;"/"&amp;RIGHT("00"&amp;$D1652,2)))</f>
        <v/>
      </c>
      <c r="F1652">
        <f>IF(Entry!$D1652&lt;&gt;"",IF(AND(ISNUMBER(Entry!$D1652),Entry!$D1652&gt;=0,Entry!$D1652&lt;1),RIGHT("00"&amp;HOUR(Entry!$D1652),2)&amp;":"&amp;RIGHT("00"&amp;MINUTE(Entry!$D1652),2),IFERROR(RIGHT("00"&amp;VALUE(TRIM(LEFT(Entry!$D1652,FIND(":",Entry!$D1652)-1))),2)&amp;":"&amp;RIGHT("00"&amp;VALUE(TRIM(MID(Entry!$D1652,FIND(":",Entry!$D1652)+1,2))),2),"نامعتبر")),IF(OR($E1652="",$E1652="نامعتبر"),"","00:00"))</f>
        <v/>
      </c>
      <c r="G1652">
        <f>IF(OR($E1652="",$E1652="نامعتبر"),"",IF(Entry!$E1652="","",LEFT(UPPER(TRIM(Entry!$E1652)),6)))</f>
        <v/>
      </c>
      <c r="H1652">
        <f>IF($G1652="","",RIGHT($E1652,4)&amp;MID($E1652,6,2)&amp;RIGHT($E1652,2)&amp;IF($F1652="","0000",IF($F1652="نامعتبر","9999",LEFT($F1652,2)&amp;RIGHT($F1652,2)))&amp;"|"&amp;RIGHT("00000"&amp;1644,5))</f>
        <v/>
      </c>
      <c r="I1652">
        <f>IF($H1652="","",COUNTIFS(CalcBank,$G1652,CalcKey,"&lt;"&amp;$H1652)+1)</f>
        <v/>
      </c>
      <c r="J1652">
        <f>IF($I1652="","",$G1652&amp;"|"&amp;RIGHT("000000"&amp;$I1652,6))</f>
        <v/>
      </c>
      <c r="K1652">
        <f>IF(OR($E1652="",$E1652="نامعتبر"),"",LEFT($E1652,4)&amp;"/"&amp;MID($E1652,6,2))</f>
        <v/>
      </c>
      <c r="L1652">
        <f>IF(Entry!$K1652="",0,Entry!$K1652)</f>
        <v/>
      </c>
      <c r="M1652">
        <f>IF(Entry!$L1652="",0,Entry!$L1652)</f>
        <v/>
      </c>
    </row>
    <row r="1653">
      <c r="A1653">
        <f>IF(Entry!$C1653="","",Entry!$C1653)</f>
        <v/>
      </c>
      <c r="B1653">
        <f>IF($A1653="","",IF(ISNUMBER($A1653),IF(AND($A1653&gt;=10000101,$A1653&lt;=99991231),INT($A1653/10000),""),IFERROR(VALUE(TRIM(LEFT($A1653,FIND("/",$A1653)-1))),"")))</f>
        <v/>
      </c>
      <c r="C1653">
        <f>IF(OR($A1653="",$B1653=""),"",IF(ISNUMBER($A1653),INT(MOD($A1653,10000)/100),IFERROR(VALUE(TRIM(LEFT(MID($A1653,FIND("/",$A1653)+1,20),FIND("/",MID($A1653,FIND("/",$A1653)+1,20))-1))),"")))</f>
        <v/>
      </c>
      <c r="D1653">
        <f>IF(OR($A1653="",$B1653=""),"",IF(ISNUMBER($A1653),MOD($A1653,100),IFERROR(VALUE(TRIM(MID(MID($A1653,FIND("/",$A1653)+1,20),FIND("/",MID($A1653,FIND("/",$A1653)+1,20))+1,20))),"")))</f>
        <v/>
      </c>
      <c r="E1653">
        <f>IF($A1653="","",IF(OR($B1653="",$C1653="",$D1653="",$B1653&lt;1300,$B1653&gt;1500,$C1653&lt;1,$C1653&gt;12,$D1653&lt;1,$D1653&gt;31),"نامعتبر",RIGHT("0000"&amp;$B1653,4)&amp;"/"&amp;RIGHT("00"&amp;$C1653,2)&amp;"/"&amp;RIGHT("00"&amp;$D1653,2)))</f>
        <v/>
      </c>
      <c r="F1653">
        <f>IF(Entry!$D1653&lt;&gt;"",IF(AND(ISNUMBER(Entry!$D1653),Entry!$D1653&gt;=0,Entry!$D1653&lt;1),RIGHT("00"&amp;HOUR(Entry!$D1653),2)&amp;":"&amp;RIGHT("00"&amp;MINUTE(Entry!$D1653),2),IFERROR(RIGHT("00"&amp;VALUE(TRIM(LEFT(Entry!$D1653,FIND(":",Entry!$D1653)-1))),2)&amp;":"&amp;RIGHT("00"&amp;VALUE(TRIM(MID(Entry!$D1653,FIND(":",Entry!$D1653)+1,2))),2),"نامعتبر")),IF(OR($E1653="",$E1653="نامعتبر"),"","00:00"))</f>
        <v/>
      </c>
      <c r="G1653">
        <f>IF(OR($E1653="",$E1653="نامعتبر"),"",IF(Entry!$E1653="","",LEFT(UPPER(TRIM(Entry!$E1653)),6)))</f>
        <v/>
      </c>
      <c r="H1653">
        <f>IF($G1653="","",RIGHT($E1653,4)&amp;MID($E1653,6,2)&amp;RIGHT($E1653,2)&amp;IF($F1653="","0000",IF($F1653="نامعتبر","9999",LEFT($F1653,2)&amp;RIGHT($F1653,2)))&amp;"|"&amp;RIGHT("00000"&amp;1645,5))</f>
        <v/>
      </c>
      <c r="I1653">
        <f>IF($H1653="","",COUNTIFS(CalcBank,$G1653,CalcKey,"&lt;"&amp;$H1653)+1)</f>
        <v/>
      </c>
      <c r="J1653">
        <f>IF($I1653="","",$G1653&amp;"|"&amp;RIGHT("000000"&amp;$I1653,6))</f>
        <v/>
      </c>
      <c r="K1653">
        <f>IF(OR($E1653="",$E1653="نامعتبر"),"",LEFT($E1653,4)&amp;"/"&amp;MID($E1653,6,2))</f>
        <v/>
      </c>
      <c r="L1653">
        <f>IF(Entry!$K1653="",0,Entry!$K1653)</f>
        <v/>
      </c>
      <c r="M1653">
        <f>IF(Entry!$L1653="",0,Entry!$L1653)</f>
        <v/>
      </c>
    </row>
    <row r="1654">
      <c r="A1654">
        <f>IF(Entry!$C1654="","",Entry!$C1654)</f>
        <v/>
      </c>
      <c r="B1654">
        <f>IF($A1654="","",IF(ISNUMBER($A1654),IF(AND($A1654&gt;=10000101,$A1654&lt;=99991231),INT($A1654/10000),""),IFERROR(VALUE(TRIM(LEFT($A1654,FIND("/",$A1654)-1))),"")))</f>
        <v/>
      </c>
      <c r="C1654">
        <f>IF(OR($A1654="",$B1654=""),"",IF(ISNUMBER($A1654),INT(MOD($A1654,10000)/100),IFERROR(VALUE(TRIM(LEFT(MID($A1654,FIND("/",$A1654)+1,20),FIND("/",MID($A1654,FIND("/",$A1654)+1,20))-1))),"")))</f>
        <v/>
      </c>
      <c r="D1654">
        <f>IF(OR($A1654="",$B1654=""),"",IF(ISNUMBER($A1654),MOD($A1654,100),IFERROR(VALUE(TRIM(MID(MID($A1654,FIND("/",$A1654)+1,20),FIND("/",MID($A1654,FIND("/",$A1654)+1,20))+1,20))),"")))</f>
        <v/>
      </c>
      <c r="E1654">
        <f>IF($A1654="","",IF(OR($B1654="",$C1654="",$D1654="",$B1654&lt;1300,$B1654&gt;1500,$C1654&lt;1,$C1654&gt;12,$D1654&lt;1,$D1654&gt;31),"نامعتبر",RIGHT("0000"&amp;$B1654,4)&amp;"/"&amp;RIGHT("00"&amp;$C1654,2)&amp;"/"&amp;RIGHT("00"&amp;$D1654,2)))</f>
        <v/>
      </c>
      <c r="F1654">
        <f>IF(Entry!$D1654&lt;&gt;"",IF(AND(ISNUMBER(Entry!$D1654),Entry!$D1654&gt;=0,Entry!$D1654&lt;1),RIGHT("00"&amp;HOUR(Entry!$D1654),2)&amp;":"&amp;RIGHT("00"&amp;MINUTE(Entry!$D1654),2),IFERROR(RIGHT("00"&amp;VALUE(TRIM(LEFT(Entry!$D1654,FIND(":",Entry!$D1654)-1))),2)&amp;":"&amp;RIGHT("00"&amp;VALUE(TRIM(MID(Entry!$D1654,FIND(":",Entry!$D1654)+1,2))),2),"نامعتبر")),IF(OR($E1654="",$E1654="نامعتبر"),"","00:00"))</f>
        <v/>
      </c>
      <c r="G1654">
        <f>IF(OR($E1654="",$E1654="نامعتبر"),"",IF(Entry!$E1654="","",LEFT(UPPER(TRIM(Entry!$E1654)),6)))</f>
        <v/>
      </c>
      <c r="H1654">
        <f>IF($G1654="","",RIGHT($E1654,4)&amp;MID($E1654,6,2)&amp;RIGHT($E1654,2)&amp;IF($F1654="","0000",IF($F1654="نامعتبر","9999",LEFT($F1654,2)&amp;RIGHT($F1654,2)))&amp;"|"&amp;RIGHT("00000"&amp;1646,5))</f>
        <v/>
      </c>
      <c r="I1654">
        <f>IF($H1654="","",COUNTIFS(CalcBank,$G1654,CalcKey,"&lt;"&amp;$H1654)+1)</f>
        <v/>
      </c>
      <c r="J1654">
        <f>IF($I1654="","",$G1654&amp;"|"&amp;RIGHT("000000"&amp;$I1654,6))</f>
        <v/>
      </c>
      <c r="K1654">
        <f>IF(OR($E1654="",$E1654="نامعتبر"),"",LEFT($E1654,4)&amp;"/"&amp;MID($E1654,6,2))</f>
        <v/>
      </c>
      <c r="L1654">
        <f>IF(Entry!$K1654="",0,Entry!$K1654)</f>
        <v/>
      </c>
      <c r="M1654">
        <f>IF(Entry!$L1654="",0,Entry!$L1654)</f>
        <v/>
      </c>
    </row>
    <row r="1655">
      <c r="A1655">
        <f>IF(Entry!$C1655="","",Entry!$C1655)</f>
        <v/>
      </c>
      <c r="B1655">
        <f>IF($A1655="","",IF(ISNUMBER($A1655),IF(AND($A1655&gt;=10000101,$A1655&lt;=99991231),INT($A1655/10000),""),IFERROR(VALUE(TRIM(LEFT($A1655,FIND("/",$A1655)-1))),"")))</f>
        <v/>
      </c>
      <c r="C1655">
        <f>IF(OR($A1655="",$B1655=""),"",IF(ISNUMBER($A1655),INT(MOD($A1655,10000)/100),IFERROR(VALUE(TRIM(LEFT(MID($A1655,FIND("/",$A1655)+1,20),FIND("/",MID($A1655,FIND("/",$A1655)+1,20))-1))),"")))</f>
        <v/>
      </c>
      <c r="D1655">
        <f>IF(OR($A1655="",$B1655=""),"",IF(ISNUMBER($A1655),MOD($A1655,100),IFERROR(VALUE(TRIM(MID(MID($A1655,FIND("/",$A1655)+1,20),FIND("/",MID($A1655,FIND("/",$A1655)+1,20))+1,20))),"")))</f>
        <v/>
      </c>
      <c r="E1655">
        <f>IF($A1655="","",IF(OR($B1655="",$C1655="",$D1655="",$B1655&lt;1300,$B1655&gt;1500,$C1655&lt;1,$C1655&gt;12,$D1655&lt;1,$D1655&gt;31),"نامعتبر",RIGHT("0000"&amp;$B1655,4)&amp;"/"&amp;RIGHT("00"&amp;$C1655,2)&amp;"/"&amp;RIGHT("00"&amp;$D1655,2)))</f>
        <v/>
      </c>
      <c r="F1655">
        <f>IF(Entry!$D1655&lt;&gt;"",IF(AND(ISNUMBER(Entry!$D1655),Entry!$D1655&gt;=0,Entry!$D1655&lt;1),RIGHT("00"&amp;HOUR(Entry!$D1655),2)&amp;":"&amp;RIGHT("00"&amp;MINUTE(Entry!$D1655),2),IFERROR(RIGHT("00"&amp;VALUE(TRIM(LEFT(Entry!$D1655,FIND(":",Entry!$D1655)-1))),2)&amp;":"&amp;RIGHT("00"&amp;VALUE(TRIM(MID(Entry!$D1655,FIND(":",Entry!$D1655)+1,2))),2),"نامعتبر")),IF(OR($E1655="",$E1655="نامعتبر"),"","00:00"))</f>
        <v/>
      </c>
      <c r="G1655">
        <f>IF(OR($E1655="",$E1655="نامعتبر"),"",IF(Entry!$E1655="","",LEFT(UPPER(TRIM(Entry!$E1655)),6)))</f>
        <v/>
      </c>
      <c r="H1655">
        <f>IF($G1655="","",RIGHT($E1655,4)&amp;MID($E1655,6,2)&amp;RIGHT($E1655,2)&amp;IF($F1655="","0000",IF($F1655="نامعتبر","9999",LEFT($F1655,2)&amp;RIGHT($F1655,2)))&amp;"|"&amp;RIGHT("00000"&amp;1647,5))</f>
        <v/>
      </c>
      <c r="I1655">
        <f>IF($H1655="","",COUNTIFS(CalcBank,$G1655,CalcKey,"&lt;"&amp;$H1655)+1)</f>
        <v/>
      </c>
      <c r="J1655">
        <f>IF($I1655="","",$G1655&amp;"|"&amp;RIGHT("000000"&amp;$I1655,6))</f>
        <v/>
      </c>
      <c r="K1655">
        <f>IF(OR($E1655="",$E1655="نامعتبر"),"",LEFT($E1655,4)&amp;"/"&amp;MID($E1655,6,2))</f>
        <v/>
      </c>
      <c r="L1655">
        <f>IF(Entry!$K1655="",0,Entry!$K1655)</f>
        <v/>
      </c>
      <c r="M1655">
        <f>IF(Entry!$L1655="",0,Entry!$L1655)</f>
        <v/>
      </c>
    </row>
    <row r="1656">
      <c r="A1656">
        <f>IF(Entry!$C1656="","",Entry!$C1656)</f>
        <v/>
      </c>
      <c r="B1656">
        <f>IF($A1656="","",IF(ISNUMBER($A1656),IF(AND($A1656&gt;=10000101,$A1656&lt;=99991231),INT($A1656/10000),""),IFERROR(VALUE(TRIM(LEFT($A1656,FIND("/",$A1656)-1))),"")))</f>
        <v/>
      </c>
      <c r="C1656">
        <f>IF(OR($A1656="",$B1656=""),"",IF(ISNUMBER($A1656),INT(MOD($A1656,10000)/100),IFERROR(VALUE(TRIM(LEFT(MID($A1656,FIND("/",$A1656)+1,20),FIND("/",MID($A1656,FIND("/",$A1656)+1,20))-1))),"")))</f>
        <v/>
      </c>
      <c r="D1656">
        <f>IF(OR($A1656="",$B1656=""),"",IF(ISNUMBER($A1656),MOD($A1656,100),IFERROR(VALUE(TRIM(MID(MID($A1656,FIND("/",$A1656)+1,20),FIND("/",MID($A1656,FIND("/",$A1656)+1,20))+1,20))),"")))</f>
        <v/>
      </c>
      <c r="E1656">
        <f>IF($A1656="","",IF(OR($B1656="",$C1656="",$D1656="",$B1656&lt;1300,$B1656&gt;1500,$C1656&lt;1,$C1656&gt;12,$D1656&lt;1,$D1656&gt;31),"نامعتبر",RIGHT("0000"&amp;$B1656,4)&amp;"/"&amp;RIGHT("00"&amp;$C1656,2)&amp;"/"&amp;RIGHT("00"&amp;$D1656,2)))</f>
        <v/>
      </c>
      <c r="F1656">
        <f>IF(Entry!$D1656&lt;&gt;"",IF(AND(ISNUMBER(Entry!$D1656),Entry!$D1656&gt;=0,Entry!$D1656&lt;1),RIGHT("00"&amp;HOUR(Entry!$D1656),2)&amp;":"&amp;RIGHT("00"&amp;MINUTE(Entry!$D1656),2),IFERROR(RIGHT("00"&amp;VALUE(TRIM(LEFT(Entry!$D1656,FIND(":",Entry!$D1656)-1))),2)&amp;":"&amp;RIGHT("00"&amp;VALUE(TRIM(MID(Entry!$D1656,FIND(":",Entry!$D1656)+1,2))),2),"نامعتبر")),IF(OR($E1656="",$E1656="نامعتبر"),"","00:00"))</f>
        <v/>
      </c>
      <c r="G1656">
        <f>IF(OR($E1656="",$E1656="نامعتبر"),"",IF(Entry!$E1656="","",LEFT(UPPER(TRIM(Entry!$E1656)),6)))</f>
        <v/>
      </c>
      <c r="H1656">
        <f>IF($G1656="","",RIGHT($E1656,4)&amp;MID($E1656,6,2)&amp;RIGHT($E1656,2)&amp;IF($F1656="","0000",IF($F1656="نامعتبر","9999",LEFT($F1656,2)&amp;RIGHT($F1656,2)))&amp;"|"&amp;RIGHT("00000"&amp;1648,5))</f>
        <v/>
      </c>
      <c r="I1656">
        <f>IF($H1656="","",COUNTIFS(CalcBank,$G1656,CalcKey,"&lt;"&amp;$H1656)+1)</f>
        <v/>
      </c>
      <c r="J1656">
        <f>IF($I1656="","",$G1656&amp;"|"&amp;RIGHT("000000"&amp;$I1656,6))</f>
        <v/>
      </c>
      <c r="K1656">
        <f>IF(OR($E1656="",$E1656="نامعتبر"),"",LEFT($E1656,4)&amp;"/"&amp;MID($E1656,6,2))</f>
        <v/>
      </c>
      <c r="L1656">
        <f>IF(Entry!$K1656="",0,Entry!$K1656)</f>
        <v/>
      </c>
      <c r="M1656">
        <f>IF(Entry!$L1656="",0,Entry!$L1656)</f>
        <v/>
      </c>
    </row>
    <row r="1657">
      <c r="A1657">
        <f>IF(Entry!$C1657="","",Entry!$C1657)</f>
        <v/>
      </c>
      <c r="B1657">
        <f>IF($A1657="","",IF(ISNUMBER($A1657),IF(AND($A1657&gt;=10000101,$A1657&lt;=99991231),INT($A1657/10000),""),IFERROR(VALUE(TRIM(LEFT($A1657,FIND("/",$A1657)-1))),"")))</f>
        <v/>
      </c>
      <c r="C1657">
        <f>IF(OR($A1657="",$B1657=""),"",IF(ISNUMBER($A1657),INT(MOD($A1657,10000)/100),IFERROR(VALUE(TRIM(LEFT(MID($A1657,FIND("/",$A1657)+1,20),FIND("/",MID($A1657,FIND("/",$A1657)+1,20))-1))),"")))</f>
        <v/>
      </c>
      <c r="D1657">
        <f>IF(OR($A1657="",$B1657=""),"",IF(ISNUMBER($A1657),MOD($A1657,100),IFERROR(VALUE(TRIM(MID(MID($A1657,FIND("/",$A1657)+1,20),FIND("/",MID($A1657,FIND("/",$A1657)+1,20))+1,20))),"")))</f>
        <v/>
      </c>
      <c r="E1657">
        <f>IF($A1657="","",IF(OR($B1657="",$C1657="",$D1657="",$B1657&lt;1300,$B1657&gt;1500,$C1657&lt;1,$C1657&gt;12,$D1657&lt;1,$D1657&gt;31),"نامعتبر",RIGHT("0000"&amp;$B1657,4)&amp;"/"&amp;RIGHT("00"&amp;$C1657,2)&amp;"/"&amp;RIGHT("00"&amp;$D1657,2)))</f>
        <v/>
      </c>
      <c r="F1657">
        <f>IF(Entry!$D1657&lt;&gt;"",IF(AND(ISNUMBER(Entry!$D1657),Entry!$D1657&gt;=0,Entry!$D1657&lt;1),RIGHT("00"&amp;HOUR(Entry!$D1657),2)&amp;":"&amp;RIGHT("00"&amp;MINUTE(Entry!$D1657),2),IFERROR(RIGHT("00"&amp;VALUE(TRIM(LEFT(Entry!$D1657,FIND(":",Entry!$D1657)-1))),2)&amp;":"&amp;RIGHT("00"&amp;VALUE(TRIM(MID(Entry!$D1657,FIND(":",Entry!$D1657)+1,2))),2),"نامعتبر")),IF(OR($E1657="",$E1657="نامعتبر"),"","00:00"))</f>
        <v/>
      </c>
      <c r="G1657">
        <f>IF(OR($E1657="",$E1657="نامعتبر"),"",IF(Entry!$E1657="","",LEFT(UPPER(TRIM(Entry!$E1657)),6)))</f>
        <v/>
      </c>
      <c r="H1657">
        <f>IF($G1657="","",RIGHT($E1657,4)&amp;MID($E1657,6,2)&amp;RIGHT($E1657,2)&amp;IF($F1657="","0000",IF($F1657="نامعتبر","9999",LEFT($F1657,2)&amp;RIGHT($F1657,2)))&amp;"|"&amp;RIGHT("00000"&amp;1649,5))</f>
        <v/>
      </c>
      <c r="I1657">
        <f>IF($H1657="","",COUNTIFS(CalcBank,$G1657,CalcKey,"&lt;"&amp;$H1657)+1)</f>
        <v/>
      </c>
      <c r="J1657">
        <f>IF($I1657="","",$G1657&amp;"|"&amp;RIGHT("000000"&amp;$I1657,6))</f>
        <v/>
      </c>
      <c r="K1657">
        <f>IF(OR($E1657="",$E1657="نامعتبر"),"",LEFT($E1657,4)&amp;"/"&amp;MID($E1657,6,2))</f>
        <v/>
      </c>
      <c r="L1657">
        <f>IF(Entry!$K1657="",0,Entry!$K1657)</f>
        <v/>
      </c>
      <c r="M1657">
        <f>IF(Entry!$L1657="",0,Entry!$L1657)</f>
        <v/>
      </c>
    </row>
    <row r="1658">
      <c r="A1658">
        <f>IF(Entry!$C1658="","",Entry!$C1658)</f>
        <v/>
      </c>
      <c r="B1658">
        <f>IF($A1658="","",IF(ISNUMBER($A1658),IF(AND($A1658&gt;=10000101,$A1658&lt;=99991231),INT($A1658/10000),""),IFERROR(VALUE(TRIM(LEFT($A1658,FIND("/",$A1658)-1))),"")))</f>
        <v/>
      </c>
      <c r="C1658">
        <f>IF(OR($A1658="",$B1658=""),"",IF(ISNUMBER($A1658),INT(MOD($A1658,10000)/100),IFERROR(VALUE(TRIM(LEFT(MID($A1658,FIND("/",$A1658)+1,20),FIND("/",MID($A1658,FIND("/",$A1658)+1,20))-1))),"")))</f>
        <v/>
      </c>
      <c r="D1658">
        <f>IF(OR($A1658="",$B1658=""),"",IF(ISNUMBER($A1658),MOD($A1658,100),IFERROR(VALUE(TRIM(MID(MID($A1658,FIND("/",$A1658)+1,20),FIND("/",MID($A1658,FIND("/",$A1658)+1,20))+1,20))),"")))</f>
        <v/>
      </c>
      <c r="E1658">
        <f>IF($A1658="","",IF(OR($B1658="",$C1658="",$D1658="",$B1658&lt;1300,$B1658&gt;1500,$C1658&lt;1,$C1658&gt;12,$D1658&lt;1,$D1658&gt;31),"نامعتبر",RIGHT("0000"&amp;$B1658,4)&amp;"/"&amp;RIGHT("00"&amp;$C1658,2)&amp;"/"&amp;RIGHT("00"&amp;$D1658,2)))</f>
        <v/>
      </c>
      <c r="F1658">
        <f>IF(Entry!$D1658&lt;&gt;"",IF(AND(ISNUMBER(Entry!$D1658),Entry!$D1658&gt;=0,Entry!$D1658&lt;1),RIGHT("00"&amp;HOUR(Entry!$D1658),2)&amp;":"&amp;RIGHT("00"&amp;MINUTE(Entry!$D1658),2),IFERROR(RIGHT("00"&amp;VALUE(TRIM(LEFT(Entry!$D1658,FIND(":",Entry!$D1658)-1))),2)&amp;":"&amp;RIGHT("00"&amp;VALUE(TRIM(MID(Entry!$D1658,FIND(":",Entry!$D1658)+1,2))),2),"نامعتبر")),IF(OR($E1658="",$E1658="نامعتبر"),"","00:00"))</f>
        <v/>
      </c>
      <c r="G1658">
        <f>IF(OR($E1658="",$E1658="نامعتبر"),"",IF(Entry!$E1658="","",LEFT(UPPER(TRIM(Entry!$E1658)),6)))</f>
        <v/>
      </c>
      <c r="H1658">
        <f>IF($G1658="","",RIGHT($E1658,4)&amp;MID($E1658,6,2)&amp;RIGHT($E1658,2)&amp;IF($F1658="","0000",IF($F1658="نامعتبر","9999",LEFT($F1658,2)&amp;RIGHT($F1658,2)))&amp;"|"&amp;RIGHT("00000"&amp;1650,5))</f>
        <v/>
      </c>
      <c r="I1658">
        <f>IF($H1658="","",COUNTIFS(CalcBank,$G1658,CalcKey,"&lt;"&amp;$H1658)+1)</f>
        <v/>
      </c>
      <c r="J1658">
        <f>IF($I1658="","",$G1658&amp;"|"&amp;RIGHT("000000"&amp;$I1658,6))</f>
        <v/>
      </c>
      <c r="K1658">
        <f>IF(OR($E1658="",$E1658="نامعتبر"),"",LEFT($E1658,4)&amp;"/"&amp;MID($E1658,6,2))</f>
        <v/>
      </c>
      <c r="L1658">
        <f>IF(Entry!$K1658="",0,Entry!$K1658)</f>
        <v/>
      </c>
      <c r="M1658">
        <f>IF(Entry!$L1658="",0,Entry!$L1658)</f>
        <v/>
      </c>
    </row>
    <row r="1659">
      <c r="A1659">
        <f>IF(Entry!$C1659="","",Entry!$C1659)</f>
        <v/>
      </c>
      <c r="B1659">
        <f>IF($A1659="","",IF(ISNUMBER($A1659),IF(AND($A1659&gt;=10000101,$A1659&lt;=99991231),INT($A1659/10000),""),IFERROR(VALUE(TRIM(LEFT($A1659,FIND("/",$A1659)-1))),"")))</f>
        <v/>
      </c>
      <c r="C1659">
        <f>IF(OR($A1659="",$B1659=""),"",IF(ISNUMBER($A1659),INT(MOD($A1659,10000)/100),IFERROR(VALUE(TRIM(LEFT(MID($A1659,FIND("/",$A1659)+1,20),FIND("/",MID($A1659,FIND("/",$A1659)+1,20))-1))),"")))</f>
        <v/>
      </c>
      <c r="D1659">
        <f>IF(OR($A1659="",$B1659=""),"",IF(ISNUMBER($A1659),MOD($A1659,100),IFERROR(VALUE(TRIM(MID(MID($A1659,FIND("/",$A1659)+1,20),FIND("/",MID($A1659,FIND("/",$A1659)+1,20))+1,20))),"")))</f>
        <v/>
      </c>
      <c r="E1659">
        <f>IF($A1659="","",IF(OR($B1659="",$C1659="",$D1659="",$B1659&lt;1300,$B1659&gt;1500,$C1659&lt;1,$C1659&gt;12,$D1659&lt;1,$D1659&gt;31),"نامعتبر",RIGHT("0000"&amp;$B1659,4)&amp;"/"&amp;RIGHT("00"&amp;$C1659,2)&amp;"/"&amp;RIGHT("00"&amp;$D1659,2)))</f>
        <v/>
      </c>
      <c r="F1659">
        <f>IF(Entry!$D1659&lt;&gt;"",IF(AND(ISNUMBER(Entry!$D1659),Entry!$D1659&gt;=0,Entry!$D1659&lt;1),RIGHT("00"&amp;HOUR(Entry!$D1659),2)&amp;":"&amp;RIGHT("00"&amp;MINUTE(Entry!$D1659),2),IFERROR(RIGHT("00"&amp;VALUE(TRIM(LEFT(Entry!$D1659,FIND(":",Entry!$D1659)-1))),2)&amp;":"&amp;RIGHT("00"&amp;VALUE(TRIM(MID(Entry!$D1659,FIND(":",Entry!$D1659)+1,2))),2),"نامعتبر")),IF(OR($E1659="",$E1659="نامعتبر"),"","00:00"))</f>
        <v/>
      </c>
      <c r="G1659">
        <f>IF(OR($E1659="",$E1659="نامعتبر"),"",IF(Entry!$E1659="","",LEFT(UPPER(TRIM(Entry!$E1659)),6)))</f>
        <v/>
      </c>
      <c r="H1659">
        <f>IF($G1659="","",RIGHT($E1659,4)&amp;MID($E1659,6,2)&amp;RIGHT($E1659,2)&amp;IF($F1659="","0000",IF($F1659="نامعتبر","9999",LEFT($F1659,2)&amp;RIGHT($F1659,2)))&amp;"|"&amp;RIGHT("00000"&amp;1651,5))</f>
        <v/>
      </c>
      <c r="I1659">
        <f>IF($H1659="","",COUNTIFS(CalcBank,$G1659,CalcKey,"&lt;"&amp;$H1659)+1)</f>
        <v/>
      </c>
      <c r="J1659">
        <f>IF($I1659="","",$G1659&amp;"|"&amp;RIGHT("000000"&amp;$I1659,6))</f>
        <v/>
      </c>
      <c r="K1659">
        <f>IF(OR($E1659="",$E1659="نامعتبر"),"",LEFT($E1659,4)&amp;"/"&amp;MID($E1659,6,2))</f>
        <v/>
      </c>
      <c r="L1659">
        <f>IF(Entry!$K1659="",0,Entry!$K1659)</f>
        <v/>
      </c>
      <c r="M1659">
        <f>IF(Entry!$L1659="",0,Entry!$L1659)</f>
        <v/>
      </c>
    </row>
    <row r="1660">
      <c r="A1660">
        <f>IF(Entry!$C1660="","",Entry!$C1660)</f>
        <v/>
      </c>
      <c r="B1660">
        <f>IF($A1660="","",IF(ISNUMBER($A1660),IF(AND($A1660&gt;=10000101,$A1660&lt;=99991231),INT($A1660/10000),""),IFERROR(VALUE(TRIM(LEFT($A1660,FIND("/",$A1660)-1))),"")))</f>
        <v/>
      </c>
      <c r="C1660">
        <f>IF(OR($A1660="",$B1660=""),"",IF(ISNUMBER($A1660),INT(MOD($A1660,10000)/100),IFERROR(VALUE(TRIM(LEFT(MID($A1660,FIND("/",$A1660)+1,20),FIND("/",MID($A1660,FIND("/",$A1660)+1,20))-1))),"")))</f>
        <v/>
      </c>
      <c r="D1660">
        <f>IF(OR($A1660="",$B1660=""),"",IF(ISNUMBER($A1660),MOD($A1660,100),IFERROR(VALUE(TRIM(MID(MID($A1660,FIND("/",$A1660)+1,20),FIND("/",MID($A1660,FIND("/",$A1660)+1,20))+1,20))),"")))</f>
        <v/>
      </c>
      <c r="E1660">
        <f>IF($A1660="","",IF(OR($B1660="",$C1660="",$D1660="",$B1660&lt;1300,$B1660&gt;1500,$C1660&lt;1,$C1660&gt;12,$D1660&lt;1,$D1660&gt;31),"نامعتبر",RIGHT("0000"&amp;$B1660,4)&amp;"/"&amp;RIGHT("00"&amp;$C1660,2)&amp;"/"&amp;RIGHT("00"&amp;$D1660,2)))</f>
        <v/>
      </c>
      <c r="F1660">
        <f>IF(Entry!$D1660&lt;&gt;"",IF(AND(ISNUMBER(Entry!$D1660),Entry!$D1660&gt;=0,Entry!$D1660&lt;1),RIGHT("00"&amp;HOUR(Entry!$D1660),2)&amp;":"&amp;RIGHT("00"&amp;MINUTE(Entry!$D1660),2),IFERROR(RIGHT("00"&amp;VALUE(TRIM(LEFT(Entry!$D1660,FIND(":",Entry!$D1660)-1))),2)&amp;":"&amp;RIGHT("00"&amp;VALUE(TRIM(MID(Entry!$D1660,FIND(":",Entry!$D1660)+1,2))),2),"نامعتبر")),IF(OR($E1660="",$E1660="نامعتبر"),"","00:00"))</f>
        <v/>
      </c>
      <c r="G1660">
        <f>IF(OR($E1660="",$E1660="نامعتبر"),"",IF(Entry!$E1660="","",LEFT(UPPER(TRIM(Entry!$E1660)),6)))</f>
        <v/>
      </c>
      <c r="H1660">
        <f>IF($G1660="","",RIGHT($E1660,4)&amp;MID($E1660,6,2)&amp;RIGHT($E1660,2)&amp;IF($F1660="","0000",IF($F1660="نامعتبر","9999",LEFT($F1660,2)&amp;RIGHT($F1660,2)))&amp;"|"&amp;RIGHT("00000"&amp;1652,5))</f>
        <v/>
      </c>
      <c r="I1660">
        <f>IF($H1660="","",COUNTIFS(CalcBank,$G1660,CalcKey,"&lt;"&amp;$H1660)+1)</f>
        <v/>
      </c>
      <c r="J1660">
        <f>IF($I1660="","",$G1660&amp;"|"&amp;RIGHT("000000"&amp;$I1660,6))</f>
        <v/>
      </c>
      <c r="K1660">
        <f>IF(OR($E1660="",$E1660="نامعتبر"),"",LEFT($E1660,4)&amp;"/"&amp;MID($E1660,6,2))</f>
        <v/>
      </c>
      <c r="L1660">
        <f>IF(Entry!$K1660="",0,Entry!$K1660)</f>
        <v/>
      </c>
      <c r="M1660">
        <f>IF(Entry!$L1660="",0,Entry!$L1660)</f>
        <v/>
      </c>
    </row>
    <row r="1661">
      <c r="A1661">
        <f>IF(Entry!$C1661="","",Entry!$C1661)</f>
        <v/>
      </c>
      <c r="B1661">
        <f>IF($A1661="","",IF(ISNUMBER($A1661),IF(AND($A1661&gt;=10000101,$A1661&lt;=99991231),INT($A1661/10000),""),IFERROR(VALUE(TRIM(LEFT($A1661,FIND("/",$A1661)-1))),"")))</f>
        <v/>
      </c>
      <c r="C1661">
        <f>IF(OR($A1661="",$B1661=""),"",IF(ISNUMBER($A1661),INT(MOD($A1661,10000)/100),IFERROR(VALUE(TRIM(LEFT(MID($A1661,FIND("/",$A1661)+1,20),FIND("/",MID($A1661,FIND("/",$A1661)+1,20))-1))),"")))</f>
        <v/>
      </c>
      <c r="D1661">
        <f>IF(OR($A1661="",$B1661=""),"",IF(ISNUMBER($A1661),MOD($A1661,100),IFERROR(VALUE(TRIM(MID(MID($A1661,FIND("/",$A1661)+1,20),FIND("/",MID($A1661,FIND("/",$A1661)+1,20))+1,20))),"")))</f>
        <v/>
      </c>
      <c r="E1661">
        <f>IF($A1661="","",IF(OR($B1661="",$C1661="",$D1661="",$B1661&lt;1300,$B1661&gt;1500,$C1661&lt;1,$C1661&gt;12,$D1661&lt;1,$D1661&gt;31),"نامعتبر",RIGHT("0000"&amp;$B1661,4)&amp;"/"&amp;RIGHT("00"&amp;$C1661,2)&amp;"/"&amp;RIGHT("00"&amp;$D1661,2)))</f>
        <v/>
      </c>
      <c r="F1661">
        <f>IF(Entry!$D1661&lt;&gt;"",IF(AND(ISNUMBER(Entry!$D1661),Entry!$D1661&gt;=0,Entry!$D1661&lt;1),RIGHT("00"&amp;HOUR(Entry!$D1661),2)&amp;":"&amp;RIGHT("00"&amp;MINUTE(Entry!$D1661),2),IFERROR(RIGHT("00"&amp;VALUE(TRIM(LEFT(Entry!$D1661,FIND(":",Entry!$D1661)-1))),2)&amp;":"&amp;RIGHT("00"&amp;VALUE(TRIM(MID(Entry!$D1661,FIND(":",Entry!$D1661)+1,2))),2),"نامعتبر")),IF(OR($E1661="",$E1661="نامعتبر"),"","00:00"))</f>
        <v/>
      </c>
      <c r="G1661">
        <f>IF(OR($E1661="",$E1661="نامعتبر"),"",IF(Entry!$E1661="","",LEFT(UPPER(TRIM(Entry!$E1661)),6)))</f>
        <v/>
      </c>
      <c r="H1661">
        <f>IF($G1661="","",RIGHT($E1661,4)&amp;MID($E1661,6,2)&amp;RIGHT($E1661,2)&amp;IF($F1661="","0000",IF($F1661="نامعتبر","9999",LEFT($F1661,2)&amp;RIGHT($F1661,2)))&amp;"|"&amp;RIGHT("00000"&amp;1653,5))</f>
        <v/>
      </c>
      <c r="I1661">
        <f>IF($H1661="","",COUNTIFS(CalcBank,$G1661,CalcKey,"&lt;"&amp;$H1661)+1)</f>
        <v/>
      </c>
      <c r="J1661">
        <f>IF($I1661="","",$G1661&amp;"|"&amp;RIGHT("000000"&amp;$I1661,6))</f>
        <v/>
      </c>
      <c r="K1661">
        <f>IF(OR($E1661="",$E1661="نامعتبر"),"",LEFT($E1661,4)&amp;"/"&amp;MID($E1661,6,2))</f>
        <v/>
      </c>
      <c r="L1661">
        <f>IF(Entry!$K1661="",0,Entry!$K1661)</f>
        <v/>
      </c>
      <c r="M1661">
        <f>IF(Entry!$L1661="",0,Entry!$L1661)</f>
        <v/>
      </c>
    </row>
    <row r="1662">
      <c r="A1662">
        <f>IF(Entry!$C1662="","",Entry!$C1662)</f>
        <v/>
      </c>
      <c r="B1662">
        <f>IF($A1662="","",IF(ISNUMBER($A1662),IF(AND($A1662&gt;=10000101,$A1662&lt;=99991231),INT($A1662/10000),""),IFERROR(VALUE(TRIM(LEFT($A1662,FIND("/",$A1662)-1))),"")))</f>
        <v/>
      </c>
      <c r="C1662">
        <f>IF(OR($A1662="",$B1662=""),"",IF(ISNUMBER($A1662),INT(MOD($A1662,10000)/100),IFERROR(VALUE(TRIM(LEFT(MID($A1662,FIND("/",$A1662)+1,20),FIND("/",MID($A1662,FIND("/",$A1662)+1,20))-1))),"")))</f>
        <v/>
      </c>
      <c r="D1662">
        <f>IF(OR($A1662="",$B1662=""),"",IF(ISNUMBER($A1662),MOD($A1662,100),IFERROR(VALUE(TRIM(MID(MID($A1662,FIND("/",$A1662)+1,20),FIND("/",MID($A1662,FIND("/",$A1662)+1,20))+1,20))),"")))</f>
        <v/>
      </c>
      <c r="E1662">
        <f>IF($A1662="","",IF(OR($B1662="",$C1662="",$D1662="",$B1662&lt;1300,$B1662&gt;1500,$C1662&lt;1,$C1662&gt;12,$D1662&lt;1,$D1662&gt;31),"نامعتبر",RIGHT("0000"&amp;$B1662,4)&amp;"/"&amp;RIGHT("00"&amp;$C1662,2)&amp;"/"&amp;RIGHT("00"&amp;$D1662,2)))</f>
        <v/>
      </c>
      <c r="F1662">
        <f>IF(Entry!$D1662&lt;&gt;"",IF(AND(ISNUMBER(Entry!$D1662),Entry!$D1662&gt;=0,Entry!$D1662&lt;1),RIGHT("00"&amp;HOUR(Entry!$D1662),2)&amp;":"&amp;RIGHT("00"&amp;MINUTE(Entry!$D1662),2),IFERROR(RIGHT("00"&amp;VALUE(TRIM(LEFT(Entry!$D1662,FIND(":",Entry!$D1662)-1))),2)&amp;":"&amp;RIGHT("00"&amp;VALUE(TRIM(MID(Entry!$D1662,FIND(":",Entry!$D1662)+1,2))),2),"نامعتبر")),IF(OR($E1662="",$E1662="نامعتبر"),"","00:00"))</f>
        <v/>
      </c>
      <c r="G1662">
        <f>IF(OR($E1662="",$E1662="نامعتبر"),"",IF(Entry!$E1662="","",LEFT(UPPER(TRIM(Entry!$E1662)),6)))</f>
        <v/>
      </c>
      <c r="H1662">
        <f>IF($G1662="","",RIGHT($E1662,4)&amp;MID($E1662,6,2)&amp;RIGHT($E1662,2)&amp;IF($F1662="","0000",IF($F1662="نامعتبر","9999",LEFT($F1662,2)&amp;RIGHT($F1662,2)))&amp;"|"&amp;RIGHT("00000"&amp;1654,5))</f>
        <v/>
      </c>
      <c r="I1662">
        <f>IF($H1662="","",COUNTIFS(CalcBank,$G1662,CalcKey,"&lt;"&amp;$H1662)+1)</f>
        <v/>
      </c>
      <c r="J1662">
        <f>IF($I1662="","",$G1662&amp;"|"&amp;RIGHT("000000"&amp;$I1662,6))</f>
        <v/>
      </c>
      <c r="K1662">
        <f>IF(OR($E1662="",$E1662="نامعتبر"),"",LEFT($E1662,4)&amp;"/"&amp;MID($E1662,6,2))</f>
        <v/>
      </c>
      <c r="L1662">
        <f>IF(Entry!$K1662="",0,Entry!$K1662)</f>
        <v/>
      </c>
      <c r="M1662">
        <f>IF(Entry!$L1662="",0,Entry!$L1662)</f>
        <v/>
      </c>
    </row>
    <row r="1663">
      <c r="A1663">
        <f>IF(Entry!$C1663="","",Entry!$C1663)</f>
        <v/>
      </c>
      <c r="B1663">
        <f>IF($A1663="","",IF(ISNUMBER($A1663),IF(AND($A1663&gt;=10000101,$A1663&lt;=99991231),INT($A1663/10000),""),IFERROR(VALUE(TRIM(LEFT($A1663,FIND("/",$A1663)-1))),"")))</f>
        <v/>
      </c>
      <c r="C1663">
        <f>IF(OR($A1663="",$B1663=""),"",IF(ISNUMBER($A1663),INT(MOD($A1663,10000)/100),IFERROR(VALUE(TRIM(LEFT(MID($A1663,FIND("/",$A1663)+1,20),FIND("/",MID($A1663,FIND("/",$A1663)+1,20))-1))),"")))</f>
        <v/>
      </c>
      <c r="D1663">
        <f>IF(OR($A1663="",$B1663=""),"",IF(ISNUMBER($A1663),MOD($A1663,100),IFERROR(VALUE(TRIM(MID(MID($A1663,FIND("/",$A1663)+1,20),FIND("/",MID($A1663,FIND("/",$A1663)+1,20))+1,20))),"")))</f>
        <v/>
      </c>
      <c r="E1663">
        <f>IF($A1663="","",IF(OR($B1663="",$C1663="",$D1663="",$B1663&lt;1300,$B1663&gt;1500,$C1663&lt;1,$C1663&gt;12,$D1663&lt;1,$D1663&gt;31),"نامعتبر",RIGHT("0000"&amp;$B1663,4)&amp;"/"&amp;RIGHT("00"&amp;$C1663,2)&amp;"/"&amp;RIGHT("00"&amp;$D1663,2)))</f>
        <v/>
      </c>
      <c r="F1663">
        <f>IF(Entry!$D1663&lt;&gt;"",IF(AND(ISNUMBER(Entry!$D1663),Entry!$D1663&gt;=0,Entry!$D1663&lt;1),RIGHT("00"&amp;HOUR(Entry!$D1663),2)&amp;":"&amp;RIGHT("00"&amp;MINUTE(Entry!$D1663),2),IFERROR(RIGHT("00"&amp;VALUE(TRIM(LEFT(Entry!$D1663,FIND(":",Entry!$D1663)-1))),2)&amp;":"&amp;RIGHT("00"&amp;VALUE(TRIM(MID(Entry!$D1663,FIND(":",Entry!$D1663)+1,2))),2),"نامعتبر")),IF(OR($E1663="",$E1663="نامعتبر"),"","00:00"))</f>
        <v/>
      </c>
      <c r="G1663">
        <f>IF(OR($E1663="",$E1663="نامعتبر"),"",IF(Entry!$E1663="","",LEFT(UPPER(TRIM(Entry!$E1663)),6)))</f>
        <v/>
      </c>
      <c r="H1663">
        <f>IF($G1663="","",RIGHT($E1663,4)&amp;MID($E1663,6,2)&amp;RIGHT($E1663,2)&amp;IF($F1663="","0000",IF($F1663="نامعتبر","9999",LEFT($F1663,2)&amp;RIGHT($F1663,2)))&amp;"|"&amp;RIGHT("00000"&amp;1655,5))</f>
        <v/>
      </c>
      <c r="I1663">
        <f>IF($H1663="","",COUNTIFS(CalcBank,$G1663,CalcKey,"&lt;"&amp;$H1663)+1)</f>
        <v/>
      </c>
      <c r="J1663">
        <f>IF($I1663="","",$G1663&amp;"|"&amp;RIGHT("000000"&amp;$I1663,6))</f>
        <v/>
      </c>
      <c r="K1663">
        <f>IF(OR($E1663="",$E1663="نامعتبر"),"",LEFT($E1663,4)&amp;"/"&amp;MID($E1663,6,2))</f>
        <v/>
      </c>
      <c r="L1663">
        <f>IF(Entry!$K1663="",0,Entry!$K1663)</f>
        <v/>
      </c>
      <c r="M1663">
        <f>IF(Entry!$L1663="",0,Entry!$L1663)</f>
        <v/>
      </c>
    </row>
    <row r="1664">
      <c r="A1664">
        <f>IF(Entry!$C1664="","",Entry!$C1664)</f>
        <v/>
      </c>
      <c r="B1664">
        <f>IF($A1664="","",IF(ISNUMBER($A1664),IF(AND($A1664&gt;=10000101,$A1664&lt;=99991231),INT($A1664/10000),""),IFERROR(VALUE(TRIM(LEFT($A1664,FIND("/",$A1664)-1))),"")))</f>
        <v/>
      </c>
      <c r="C1664">
        <f>IF(OR($A1664="",$B1664=""),"",IF(ISNUMBER($A1664),INT(MOD($A1664,10000)/100),IFERROR(VALUE(TRIM(LEFT(MID($A1664,FIND("/",$A1664)+1,20),FIND("/",MID($A1664,FIND("/",$A1664)+1,20))-1))),"")))</f>
        <v/>
      </c>
      <c r="D1664">
        <f>IF(OR($A1664="",$B1664=""),"",IF(ISNUMBER($A1664),MOD($A1664,100),IFERROR(VALUE(TRIM(MID(MID($A1664,FIND("/",$A1664)+1,20),FIND("/",MID($A1664,FIND("/",$A1664)+1,20))+1,20))),"")))</f>
        <v/>
      </c>
      <c r="E1664">
        <f>IF($A1664="","",IF(OR($B1664="",$C1664="",$D1664="",$B1664&lt;1300,$B1664&gt;1500,$C1664&lt;1,$C1664&gt;12,$D1664&lt;1,$D1664&gt;31),"نامعتبر",RIGHT("0000"&amp;$B1664,4)&amp;"/"&amp;RIGHT("00"&amp;$C1664,2)&amp;"/"&amp;RIGHT("00"&amp;$D1664,2)))</f>
        <v/>
      </c>
      <c r="F1664">
        <f>IF(Entry!$D1664&lt;&gt;"",IF(AND(ISNUMBER(Entry!$D1664),Entry!$D1664&gt;=0,Entry!$D1664&lt;1),RIGHT("00"&amp;HOUR(Entry!$D1664),2)&amp;":"&amp;RIGHT("00"&amp;MINUTE(Entry!$D1664),2),IFERROR(RIGHT("00"&amp;VALUE(TRIM(LEFT(Entry!$D1664,FIND(":",Entry!$D1664)-1))),2)&amp;":"&amp;RIGHT("00"&amp;VALUE(TRIM(MID(Entry!$D1664,FIND(":",Entry!$D1664)+1,2))),2),"نامعتبر")),IF(OR($E1664="",$E1664="نامعتبر"),"","00:00"))</f>
        <v/>
      </c>
      <c r="G1664">
        <f>IF(OR($E1664="",$E1664="نامعتبر"),"",IF(Entry!$E1664="","",LEFT(UPPER(TRIM(Entry!$E1664)),6)))</f>
        <v/>
      </c>
      <c r="H1664">
        <f>IF($G1664="","",RIGHT($E1664,4)&amp;MID($E1664,6,2)&amp;RIGHT($E1664,2)&amp;IF($F1664="","0000",IF($F1664="نامعتبر","9999",LEFT($F1664,2)&amp;RIGHT($F1664,2)))&amp;"|"&amp;RIGHT("00000"&amp;1656,5))</f>
        <v/>
      </c>
      <c r="I1664">
        <f>IF($H1664="","",COUNTIFS(CalcBank,$G1664,CalcKey,"&lt;"&amp;$H1664)+1)</f>
        <v/>
      </c>
      <c r="J1664">
        <f>IF($I1664="","",$G1664&amp;"|"&amp;RIGHT("000000"&amp;$I1664,6))</f>
        <v/>
      </c>
      <c r="K1664">
        <f>IF(OR($E1664="",$E1664="نامعتبر"),"",LEFT($E1664,4)&amp;"/"&amp;MID($E1664,6,2))</f>
        <v/>
      </c>
      <c r="L1664">
        <f>IF(Entry!$K1664="",0,Entry!$K1664)</f>
        <v/>
      </c>
      <c r="M1664">
        <f>IF(Entry!$L1664="",0,Entry!$L1664)</f>
        <v/>
      </c>
    </row>
    <row r="1665">
      <c r="A1665">
        <f>IF(Entry!$C1665="","",Entry!$C1665)</f>
        <v/>
      </c>
      <c r="B1665">
        <f>IF($A1665="","",IF(ISNUMBER($A1665),IF(AND($A1665&gt;=10000101,$A1665&lt;=99991231),INT($A1665/10000),""),IFERROR(VALUE(TRIM(LEFT($A1665,FIND("/",$A1665)-1))),"")))</f>
        <v/>
      </c>
      <c r="C1665">
        <f>IF(OR($A1665="",$B1665=""),"",IF(ISNUMBER($A1665),INT(MOD($A1665,10000)/100),IFERROR(VALUE(TRIM(LEFT(MID($A1665,FIND("/",$A1665)+1,20),FIND("/",MID($A1665,FIND("/",$A1665)+1,20))-1))),"")))</f>
        <v/>
      </c>
      <c r="D1665">
        <f>IF(OR($A1665="",$B1665=""),"",IF(ISNUMBER($A1665),MOD($A1665,100),IFERROR(VALUE(TRIM(MID(MID($A1665,FIND("/",$A1665)+1,20),FIND("/",MID($A1665,FIND("/",$A1665)+1,20))+1,20))),"")))</f>
        <v/>
      </c>
      <c r="E1665">
        <f>IF($A1665="","",IF(OR($B1665="",$C1665="",$D1665="",$B1665&lt;1300,$B1665&gt;1500,$C1665&lt;1,$C1665&gt;12,$D1665&lt;1,$D1665&gt;31),"نامعتبر",RIGHT("0000"&amp;$B1665,4)&amp;"/"&amp;RIGHT("00"&amp;$C1665,2)&amp;"/"&amp;RIGHT("00"&amp;$D1665,2)))</f>
        <v/>
      </c>
      <c r="F1665">
        <f>IF(Entry!$D1665&lt;&gt;"",IF(AND(ISNUMBER(Entry!$D1665),Entry!$D1665&gt;=0,Entry!$D1665&lt;1),RIGHT("00"&amp;HOUR(Entry!$D1665),2)&amp;":"&amp;RIGHT("00"&amp;MINUTE(Entry!$D1665),2),IFERROR(RIGHT("00"&amp;VALUE(TRIM(LEFT(Entry!$D1665,FIND(":",Entry!$D1665)-1))),2)&amp;":"&amp;RIGHT("00"&amp;VALUE(TRIM(MID(Entry!$D1665,FIND(":",Entry!$D1665)+1,2))),2),"نامعتبر")),IF(OR($E1665="",$E1665="نامعتبر"),"","00:00"))</f>
        <v/>
      </c>
      <c r="G1665">
        <f>IF(OR($E1665="",$E1665="نامعتبر"),"",IF(Entry!$E1665="","",LEFT(UPPER(TRIM(Entry!$E1665)),6)))</f>
        <v/>
      </c>
      <c r="H1665">
        <f>IF($G1665="","",RIGHT($E1665,4)&amp;MID($E1665,6,2)&amp;RIGHT($E1665,2)&amp;IF($F1665="","0000",IF($F1665="نامعتبر","9999",LEFT($F1665,2)&amp;RIGHT($F1665,2)))&amp;"|"&amp;RIGHT("00000"&amp;1657,5))</f>
        <v/>
      </c>
      <c r="I1665">
        <f>IF($H1665="","",COUNTIFS(CalcBank,$G1665,CalcKey,"&lt;"&amp;$H1665)+1)</f>
        <v/>
      </c>
      <c r="J1665">
        <f>IF($I1665="","",$G1665&amp;"|"&amp;RIGHT("000000"&amp;$I1665,6))</f>
        <v/>
      </c>
      <c r="K1665">
        <f>IF(OR($E1665="",$E1665="نامعتبر"),"",LEFT($E1665,4)&amp;"/"&amp;MID($E1665,6,2))</f>
        <v/>
      </c>
      <c r="L1665">
        <f>IF(Entry!$K1665="",0,Entry!$K1665)</f>
        <v/>
      </c>
      <c r="M1665">
        <f>IF(Entry!$L1665="",0,Entry!$L1665)</f>
        <v/>
      </c>
    </row>
    <row r="1666">
      <c r="A1666">
        <f>IF(Entry!$C1666="","",Entry!$C1666)</f>
        <v/>
      </c>
      <c r="B1666">
        <f>IF($A1666="","",IF(ISNUMBER($A1666),IF(AND($A1666&gt;=10000101,$A1666&lt;=99991231),INT($A1666/10000),""),IFERROR(VALUE(TRIM(LEFT($A1666,FIND("/",$A1666)-1))),"")))</f>
        <v/>
      </c>
      <c r="C1666">
        <f>IF(OR($A1666="",$B1666=""),"",IF(ISNUMBER($A1666),INT(MOD($A1666,10000)/100),IFERROR(VALUE(TRIM(LEFT(MID($A1666,FIND("/",$A1666)+1,20),FIND("/",MID($A1666,FIND("/",$A1666)+1,20))-1))),"")))</f>
        <v/>
      </c>
      <c r="D1666">
        <f>IF(OR($A1666="",$B1666=""),"",IF(ISNUMBER($A1666),MOD($A1666,100),IFERROR(VALUE(TRIM(MID(MID($A1666,FIND("/",$A1666)+1,20),FIND("/",MID($A1666,FIND("/",$A1666)+1,20))+1,20))),"")))</f>
        <v/>
      </c>
      <c r="E1666">
        <f>IF($A1666="","",IF(OR($B1666="",$C1666="",$D1666="",$B1666&lt;1300,$B1666&gt;1500,$C1666&lt;1,$C1666&gt;12,$D1666&lt;1,$D1666&gt;31),"نامعتبر",RIGHT("0000"&amp;$B1666,4)&amp;"/"&amp;RIGHT("00"&amp;$C1666,2)&amp;"/"&amp;RIGHT("00"&amp;$D1666,2)))</f>
        <v/>
      </c>
      <c r="F1666">
        <f>IF(Entry!$D1666&lt;&gt;"",IF(AND(ISNUMBER(Entry!$D1666),Entry!$D1666&gt;=0,Entry!$D1666&lt;1),RIGHT("00"&amp;HOUR(Entry!$D1666),2)&amp;":"&amp;RIGHT("00"&amp;MINUTE(Entry!$D1666),2),IFERROR(RIGHT("00"&amp;VALUE(TRIM(LEFT(Entry!$D1666,FIND(":",Entry!$D1666)-1))),2)&amp;":"&amp;RIGHT("00"&amp;VALUE(TRIM(MID(Entry!$D1666,FIND(":",Entry!$D1666)+1,2))),2),"نامعتبر")),IF(OR($E1666="",$E1666="نامعتبر"),"","00:00"))</f>
        <v/>
      </c>
      <c r="G1666">
        <f>IF(OR($E1666="",$E1666="نامعتبر"),"",IF(Entry!$E1666="","",LEFT(UPPER(TRIM(Entry!$E1666)),6)))</f>
        <v/>
      </c>
      <c r="H1666">
        <f>IF($G1666="","",RIGHT($E1666,4)&amp;MID($E1666,6,2)&amp;RIGHT($E1666,2)&amp;IF($F1666="","0000",IF($F1666="نامعتبر","9999",LEFT($F1666,2)&amp;RIGHT($F1666,2)))&amp;"|"&amp;RIGHT("00000"&amp;1658,5))</f>
        <v/>
      </c>
      <c r="I1666">
        <f>IF($H1666="","",COUNTIFS(CalcBank,$G1666,CalcKey,"&lt;"&amp;$H1666)+1)</f>
        <v/>
      </c>
      <c r="J1666">
        <f>IF($I1666="","",$G1666&amp;"|"&amp;RIGHT("000000"&amp;$I1666,6))</f>
        <v/>
      </c>
      <c r="K1666">
        <f>IF(OR($E1666="",$E1666="نامعتبر"),"",LEFT($E1666,4)&amp;"/"&amp;MID($E1666,6,2))</f>
        <v/>
      </c>
      <c r="L1666">
        <f>IF(Entry!$K1666="",0,Entry!$K1666)</f>
        <v/>
      </c>
      <c r="M1666">
        <f>IF(Entry!$L1666="",0,Entry!$L1666)</f>
        <v/>
      </c>
    </row>
    <row r="1667">
      <c r="A1667">
        <f>IF(Entry!$C1667="","",Entry!$C1667)</f>
        <v/>
      </c>
      <c r="B1667">
        <f>IF($A1667="","",IF(ISNUMBER($A1667),IF(AND($A1667&gt;=10000101,$A1667&lt;=99991231),INT($A1667/10000),""),IFERROR(VALUE(TRIM(LEFT($A1667,FIND("/",$A1667)-1))),"")))</f>
        <v/>
      </c>
      <c r="C1667">
        <f>IF(OR($A1667="",$B1667=""),"",IF(ISNUMBER($A1667),INT(MOD($A1667,10000)/100),IFERROR(VALUE(TRIM(LEFT(MID($A1667,FIND("/",$A1667)+1,20),FIND("/",MID($A1667,FIND("/",$A1667)+1,20))-1))),"")))</f>
        <v/>
      </c>
      <c r="D1667">
        <f>IF(OR($A1667="",$B1667=""),"",IF(ISNUMBER($A1667),MOD($A1667,100),IFERROR(VALUE(TRIM(MID(MID($A1667,FIND("/",$A1667)+1,20),FIND("/",MID($A1667,FIND("/",$A1667)+1,20))+1,20))),"")))</f>
        <v/>
      </c>
      <c r="E1667">
        <f>IF($A1667="","",IF(OR($B1667="",$C1667="",$D1667="",$B1667&lt;1300,$B1667&gt;1500,$C1667&lt;1,$C1667&gt;12,$D1667&lt;1,$D1667&gt;31),"نامعتبر",RIGHT("0000"&amp;$B1667,4)&amp;"/"&amp;RIGHT("00"&amp;$C1667,2)&amp;"/"&amp;RIGHT("00"&amp;$D1667,2)))</f>
        <v/>
      </c>
      <c r="F1667">
        <f>IF(Entry!$D1667&lt;&gt;"",IF(AND(ISNUMBER(Entry!$D1667),Entry!$D1667&gt;=0,Entry!$D1667&lt;1),RIGHT("00"&amp;HOUR(Entry!$D1667),2)&amp;":"&amp;RIGHT("00"&amp;MINUTE(Entry!$D1667),2),IFERROR(RIGHT("00"&amp;VALUE(TRIM(LEFT(Entry!$D1667,FIND(":",Entry!$D1667)-1))),2)&amp;":"&amp;RIGHT("00"&amp;VALUE(TRIM(MID(Entry!$D1667,FIND(":",Entry!$D1667)+1,2))),2),"نامعتبر")),IF(OR($E1667="",$E1667="نامعتبر"),"","00:00"))</f>
        <v/>
      </c>
      <c r="G1667">
        <f>IF(OR($E1667="",$E1667="نامعتبر"),"",IF(Entry!$E1667="","",LEFT(UPPER(TRIM(Entry!$E1667)),6)))</f>
        <v/>
      </c>
      <c r="H1667">
        <f>IF($G1667="","",RIGHT($E1667,4)&amp;MID($E1667,6,2)&amp;RIGHT($E1667,2)&amp;IF($F1667="","0000",IF($F1667="نامعتبر","9999",LEFT($F1667,2)&amp;RIGHT($F1667,2)))&amp;"|"&amp;RIGHT("00000"&amp;1659,5))</f>
        <v/>
      </c>
      <c r="I1667">
        <f>IF($H1667="","",COUNTIFS(CalcBank,$G1667,CalcKey,"&lt;"&amp;$H1667)+1)</f>
        <v/>
      </c>
      <c r="J1667">
        <f>IF($I1667="","",$G1667&amp;"|"&amp;RIGHT("000000"&amp;$I1667,6))</f>
        <v/>
      </c>
      <c r="K1667">
        <f>IF(OR($E1667="",$E1667="نامعتبر"),"",LEFT($E1667,4)&amp;"/"&amp;MID($E1667,6,2))</f>
        <v/>
      </c>
      <c r="L1667">
        <f>IF(Entry!$K1667="",0,Entry!$K1667)</f>
        <v/>
      </c>
      <c r="M1667">
        <f>IF(Entry!$L1667="",0,Entry!$L1667)</f>
        <v/>
      </c>
    </row>
    <row r="1668">
      <c r="A1668">
        <f>IF(Entry!$C1668="","",Entry!$C1668)</f>
        <v/>
      </c>
      <c r="B1668">
        <f>IF($A1668="","",IF(ISNUMBER($A1668),IF(AND($A1668&gt;=10000101,$A1668&lt;=99991231),INT($A1668/10000),""),IFERROR(VALUE(TRIM(LEFT($A1668,FIND("/",$A1668)-1))),"")))</f>
        <v/>
      </c>
      <c r="C1668">
        <f>IF(OR($A1668="",$B1668=""),"",IF(ISNUMBER($A1668),INT(MOD($A1668,10000)/100),IFERROR(VALUE(TRIM(LEFT(MID($A1668,FIND("/",$A1668)+1,20),FIND("/",MID($A1668,FIND("/",$A1668)+1,20))-1))),"")))</f>
        <v/>
      </c>
      <c r="D1668">
        <f>IF(OR($A1668="",$B1668=""),"",IF(ISNUMBER($A1668),MOD($A1668,100),IFERROR(VALUE(TRIM(MID(MID($A1668,FIND("/",$A1668)+1,20),FIND("/",MID($A1668,FIND("/",$A1668)+1,20))+1,20))),"")))</f>
        <v/>
      </c>
      <c r="E1668">
        <f>IF($A1668="","",IF(OR($B1668="",$C1668="",$D1668="",$B1668&lt;1300,$B1668&gt;1500,$C1668&lt;1,$C1668&gt;12,$D1668&lt;1,$D1668&gt;31),"نامعتبر",RIGHT("0000"&amp;$B1668,4)&amp;"/"&amp;RIGHT("00"&amp;$C1668,2)&amp;"/"&amp;RIGHT("00"&amp;$D1668,2)))</f>
        <v/>
      </c>
      <c r="F1668">
        <f>IF(Entry!$D1668&lt;&gt;"",IF(AND(ISNUMBER(Entry!$D1668),Entry!$D1668&gt;=0,Entry!$D1668&lt;1),RIGHT("00"&amp;HOUR(Entry!$D1668),2)&amp;":"&amp;RIGHT("00"&amp;MINUTE(Entry!$D1668),2),IFERROR(RIGHT("00"&amp;VALUE(TRIM(LEFT(Entry!$D1668,FIND(":",Entry!$D1668)-1))),2)&amp;":"&amp;RIGHT("00"&amp;VALUE(TRIM(MID(Entry!$D1668,FIND(":",Entry!$D1668)+1,2))),2),"نامعتبر")),IF(OR($E1668="",$E1668="نامعتبر"),"","00:00"))</f>
        <v/>
      </c>
      <c r="G1668">
        <f>IF(OR($E1668="",$E1668="نامعتبر"),"",IF(Entry!$E1668="","",LEFT(UPPER(TRIM(Entry!$E1668)),6)))</f>
        <v/>
      </c>
      <c r="H1668">
        <f>IF($G1668="","",RIGHT($E1668,4)&amp;MID($E1668,6,2)&amp;RIGHT($E1668,2)&amp;IF($F1668="","0000",IF($F1668="نامعتبر","9999",LEFT($F1668,2)&amp;RIGHT($F1668,2)))&amp;"|"&amp;RIGHT("00000"&amp;1660,5))</f>
        <v/>
      </c>
      <c r="I1668">
        <f>IF($H1668="","",COUNTIFS(CalcBank,$G1668,CalcKey,"&lt;"&amp;$H1668)+1)</f>
        <v/>
      </c>
      <c r="J1668">
        <f>IF($I1668="","",$G1668&amp;"|"&amp;RIGHT("000000"&amp;$I1668,6))</f>
        <v/>
      </c>
      <c r="K1668">
        <f>IF(OR($E1668="",$E1668="نامعتبر"),"",LEFT($E1668,4)&amp;"/"&amp;MID($E1668,6,2))</f>
        <v/>
      </c>
      <c r="L1668">
        <f>IF(Entry!$K1668="",0,Entry!$K1668)</f>
        <v/>
      </c>
      <c r="M1668">
        <f>IF(Entry!$L1668="",0,Entry!$L1668)</f>
        <v/>
      </c>
    </row>
    <row r="1669">
      <c r="A1669">
        <f>IF(Entry!$C1669="","",Entry!$C1669)</f>
        <v/>
      </c>
      <c r="B1669">
        <f>IF($A1669="","",IF(ISNUMBER($A1669),IF(AND($A1669&gt;=10000101,$A1669&lt;=99991231),INT($A1669/10000),""),IFERROR(VALUE(TRIM(LEFT($A1669,FIND("/",$A1669)-1))),"")))</f>
        <v/>
      </c>
      <c r="C1669">
        <f>IF(OR($A1669="",$B1669=""),"",IF(ISNUMBER($A1669),INT(MOD($A1669,10000)/100),IFERROR(VALUE(TRIM(LEFT(MID($A1669,FIND("/",$A1669)+1,20),FIND("/",MID($A1669,FIND("/",$A1669)+1,20))-1))),"")))</f>
        <v/>
      </c>
      <c r="D1669">
        <f>IF(OR($A1669="",$B1669=""),"",IF(ISNUMBER($A1669),MOD($A1669,100),IFERROR(VALUE(TRIM(MID(MID($A1669,FIND("/",$A1669)+1,20),FIND("/",MID($A1669,FIND("/",$A1669)+1,20))+1,20))),"")))</f>
        <v/>
      </c>
      <c r="E1669">
        <f>IF($A1669="","",IF(OR($B1669="",$C1669="",$D1669="",$B1669&lt;1300,$B1669&gt;1500,$C1669&lt;1,$C1669&gt;12,$D1669&lt;1,$D1669&gt;31),"نامعتبر",RIGHT("0000"&amp;$B1669,4)&amp;"/"&amp;RIGHT("00"&amp;$C1669,2)&amp;"/"&amp;RIGHT("00"&amp;$D1669,2)))</f>
        <v/>
      </c>
      <c r="F1669">
        <f>IF(Entry!$D1669&lt;&gt;"",IF(AND(ISNUMBER(Entry!$D1669),Entry!$D1669&gt;=0,Entry!$D1669&lt;1),RIGHT("00"&amp;HOUR(Entry!$D1669),2)&amp;":"&amp;RIGHT("00"&amp;MINUTE(Entry!$D1669),2),IFERROR(RIGHT("00"&amp;VALUE(TRIM(LEFT(Entry!$D1669,FIND(":",Entry!$D1669)-1))),2)&amp;":"&amp;RIGHT("00"&amp;VALUE(TRIM(MID(Entry!$D1669,FIND(":",Entry!$D1669)+1,2))),2),"نامعتبر")),IF(OR($E1669="",$E1669="نامعتبر"),"","00:00"))</f>
        <v/>
      </c>
      <c r="G1669">
        <f>IF(OR($E1669="",$E1669="نامعتبر"),"",IF(Entry!$E1669="","",LEFT(UPPER(TRIM(Entry!$E1669)),6)))</f>
        <v/>
      </c>
      <c r="H1669">
        <f>IF($G1669="","",RIGHT($E1669,4)&amp;MID($E1669,6,2)&amp;RIGHT($E1669,2)&amp;IF($F1669="","0000",IF($F1669="نامعتبر","9999",LEFT($F1669,2)&amp;RIGHT($F1669,2)))&amp;"|"&amp;RIGHT("00000"&amp;1661,5))</f>
        <v/>
      </c>
      <c r="I1669">
        <f>IF($H1669="","",COUNTIFS(CalcBank,$G1669,CalcKey,"&lt;"&amp;$H1669)+1)</f>
        <v/>
      </c>
      <c r="J1669">
        <f>IF($I1669="","",$G1669&amp;"|"&amp;RIGHT("000000"&amp;$I1669,6))</f>
        <v/>
      </c>
      <c r="K1669">
        <f>IF(OR($E1669="",$E1669="نامعتبر"),"",LEFT($E1669,4)&amp;"/"&amp;MID($E1669,6,2))</f>
        <v/>
      </c>
      <c r="L1669">
        <f>IF(Entry!$K1669="",0,Entry!$K1669)</f>
        <v/>
      </c>
      <c r="M1669">
        <f>IF(Entry!$L1669="",0,Entry!$L1669)</f>
        <v/>
      </c>
    </row>
    <row r="1670">
      <c r="A1670">
        <f>IF(Entry!$C1670="","",Entry!$C1670)</f>
        <v/>
      </c>
      <c r="B1670">
        <f>IF($A1670="","",IF(ISNUMBER($A1670),IF(AND($A1670&gt;=10000101,$A1670&lt;=99991231),INT($A1670/10000),""),IFERROR(VALUE(TRIM(LEFT($A1670,FIND("/",$A1670)-1))),"")))</f>
        <v/>
      </c>
      <c r="C1670">
        <f>IF(OR($A1670="",$B1670=""),"",IF(ISNUMBER($A1670),INT(MOD($A1670,10000)/100),IFERROR(VALUE(TRIM(LEFT(MID($A1670,FIND("/",$A1670)+1,20),FIND("/",MID($A1670,FIND("/",$A1670)+1,20))-1))),"")))</f>
        <v/>
      </c>
      <c r="D1670">
        <f>IF(OR($A1670="",$B1670=""),"",IF(ISNUMBER($A1670),MOD($A1670,100),IFERROR(VALUE(TRIM(MID(MID($A1670,FIND("/",$A1670)+1,20),FIND("/",MID($A1670,FIND("/",$A1670)+1,20))+1,20))),"")))</f>
        <v/>
      </c>
      <c r="E1670">
        <f>IF($A1670="","",IF(OR($B1670="",$C1670="",$D1670="",$B1670&lt;1300,$B1670&gt;1500,$C1670&lt;1,$C1670&gt;12,$D1670&lt;1,$D1670&gt;31),"نامعتبر",RIGHT("0000"&amp;$B1670,4)&amp;"/"&amp;RIGHT("00"&amp;$C1670,2)&amp;"/"&amp;RIGHT("00"&amp;$D1670,2)))</f>
        <v/>
      </c>
      <c r="F1670">
        <f>IF(Entry!$D1670&lt;&gt;"",IF(AND(ISNUMBER(Entry!$D1670),Entry!$D1670&gt;=0,Entry!$D1670&lt;1),RIGHT("00"&amp;HOUR(Entry!$D1670),2)&amp;":"&amp;RIGHT("00"&amp;MINUTE(Entry!$D1670),2),IFERROR(RIGHT("00"&amp;VALUE(TRIM(LEFT(Entry!$D1670,FIND(":",Entry!$D1670)-1))),2)&amp;":"&amp;RIGHT("00"&amp;VALUE(TRIM(MID(Entry!$D1670,FIND(":",Entry!$D1670)+1,2))),2),"نامعتبر")),IF(OR($E1670="",$E1670="نامعتبر"),"","00:00"))</f>
        <v/>
      </c>
      <c r="G1670">
        <f>IF(OR($E1670="",$E1670="نامعتبر"),"",IF(Entry!$E1670="","",LEFT(UPPER(TRIM(Entry!$E1670)),6)))</f>
        <v/>
      </c>
      <c r="H1670">
        <f>IF($G1670="","",RIGHT($E1670,4)&amp;MID($E1670,6,2)&amp;RIGHT($E1670,2)&amp;IF($F1670="","0000",IF($F1670="نامعتبر","9999",LEFT($F1670,2)&amp;RIGHT($F1670,2)))&amp;"|"&amp;RIGHT("00000"&amp;1662,5))</f>
        <v/>
      </c>
      <c r="I1670">
        <f>IF($H1670="","",COUNTIFS(CalcBank,$G1670,CalcKey,"&lt;"&amp;$H1670)+1)</f>
        <v/>
      </c>
      <c r="J1670">
        <f>IF($I1670="","",$G1670&amp;"|"&amp;RIGHT("000000"&amp;$I1670,6))</f>
        <v/>
      </c>
      <c r="K1670">
        <f>IF(OR($E1670="",$E1670="نامعتبر"),"",LEFT($E1670,4)&amp;"/"&amp;MID($E1670,6,2))</f>
        <v/>
      </c>
      <c r="L1670">
        <f>IF(Entry!$K1670="",0,Entry!$K1670)</f>
        <v/>
      </c>
      <c r="M1670">
        <f>IF(Entry!$L1670="",0,Entry!$L1670)</f>
        <v/>
      </c>
    </row>
    <row r="1671">
      <c r="A1671">
        <f>IF(Entry!$C1671="","",Entry!$C1671)</f>
        <v/>
      </c>
      <c r="B1671">
        <f>IF($A1671="","",IF(ISNUMBER($A1671),IF(AND($A1671&gt;=10000101,$A1671&lt;=99991231),INT($A1671/10000),""),IFERROR(VALUE(TRIM(LEFT($A1671,FIND("/",$A1671)-1))),"")))</f>
        <v/>
      </c>
      <c r="C1671">
        <f>IF(OR($A1671="",$B1671=""),"",IF(ISNUMBER($A1671),INT(MOD($A1671,10000)/100),IFERROR(VALUE(TRIM(LEFT(MID($A1671,FIND("/",$A1671)+1,20),FIND("/",MID($A1671,FIND("/",$A1671)+1,20))-1))),"")))</f>
        <v/>
      </c>
      <c r="D1671">
        <f>IF(OR($A1671="",$B1671=""),"",IF(ISNUMBER($A1671),MOD($A1671,100),IFERROR(VALUE(TRIM(MID(MID($A1671,FIND("/",$A1671)+1,20),FIND("/",MID($A1671,FIND("/",$A1671)+1,20))+1,20))),"")))</f>
        <v/>
      </c>
      <c r="E1671">
        <f>IF($A1671="","",IF(OR($B1671="",$C1671="",$D1671="",$B1671&lt;1300,$B1671&gt;1500,$C1671&lt;1,$C1671&gt;12,$D1671&lt;1,$D1671&gt;31),"نامعتبر",RIGHT("0000"&amp;$B1671,4)&amp;"/"&amp;RIGHT("00"&amp;$C1671,2)&amp;"/"&amp;RIGHT("00"&amp;$D1671,2)))</f>
        <v/>
      </c>
      <c r="F1671">
        <f>IF(Entry!$D1671&lt;&gt;"",IF(AND(ISNUMBER(Entry!$D1671),Entry!$D1671&gt;=0,Entry!$D1671&lt;1),RIGHT("00"&amp;HOUR(Entry!$D1671),2)&amp;":"&amp;RIGHT("00"&amp;MINUTE(Entry!$D1671),2),IFERROR(RIGHT("00"&amp;VALUE(TRIM(LEFT(Entry!$D1671,FIND(":",Entry!$D1671)-1))),2)&amp;":"&amp;RIGHT("00"&amp;VALUE(TRIM(MID(Entry!$D1671,FIND(":",Entry!$D1671)+1,2))),2),"نامعتبر")),IF(OR($E1671="",$E1671="نامعتبر"),"","00:00"))</f>
        <v/>
      </c>
      <c r="G1671">
        <f>IF(OR($E1671="",$E1671="نامعتبر"),"",IF(Entry!$E1671="","",LEFT(UPPER(TRIM(Entry!$E1671)),6)))</f>
        <v/>
      </c>
      <c r="H1671">
        <f>IF($G1671="","",RIGHT($E1671,4)&amp;MID($E1671,6,2)&amp;RIGHT($E1671,2)&amp;IF($F1671="","0000",IF($F1671="نامعتبر","9999",LEFT($F1671,2)&amp;RIGHT($F1671,2)))&amp;"|"&amp;RIGHT("00000"&amp;1663,5))</f>
        <v/>
      </c>
      <c r="I1671">
        <f>IF($H1671="","",COUNTIFS(CalcBank,$G1671,CalcKey,"&lt;"&amp;$H1671)+1)</f>
        <v/>
      </c>
      <c r="J1671">
        <f>IF($I1671="","",$G1671&amp;"|"&amp;RIGHT("000000"&amp;$I1671,6))</f>
        <v/>
      </c>
      <c r="K1671">
        <f>IF(OR($E1671="",$E1671="نامعتبر"),"",LEFT($E1671,4)&amp;"/"&amp;MID($E1671,6,2))</f>
        <v/>
      </c>
      <c r="L1671">
        <f>IF(Entry!$K1671="",0,Entry!$K1671)</f>
        <v/>
      </c>
      <c r="M1671">
        <f>IF(Entry!$L1671="",0,Entry!$L1671)</f>
        <v/>
      </c>
    </row>
    <row r="1672">
      <c r="A1672">
        <f>IF(Entry!$C1672="","",Entry!$C1672)</f>
        <v/>
      </c>
      <c r="B1672">
        <f>IF($A1672="","",IF(ISNUMBER($A1672),IF(AND($A1672&gt;=10000101,$A1672&lt;=99991231),INT($A1672/10000),""),IFERROR(VALUE(TRIM(LEFT($A1672,FIND("/",$A1672)-1))),"")))</f>
        <v/>
      </c>
      <c r="C1672">
        <f>IF(OR($A1672="",$B1672=""),"",IF(ISNUMBER($A1672),INT(MOD($A1672,10000)/100),IFERROR(VALUE(TRIM(LEFT(MID($A1672,FIND("/",$A1672)+1,20),FIND("/",MID($A1672,FIND("/",$A1672)+1,20))-1))),"")))</f>
        <v/>
      </c>
      <c r="D1672">
        <f>IF(OR($A1672="",$B1672=""),"",IF(ISNUMBER($A1672),MOD($A1672,100),IFERROR(VALUE(TRIM(MID(MID($A1672,FIND("/",$A1672)+1,20),FIND("/",MID($A1672,FIND("/",$A1672)+1,20))+1,20))),"")))</f>
        <v/>
      </c>
      <c r="E1672">
        <f>IF($A1672="","",IF(OR($B1672="",$C1672="",$D1672="",$B1672&lt;1300,$B1672&gt;1500,$C1672&lt;1,$C1672&gt;12,$D1672&lt;1,$D1672&gt;31),"نامعتبر",RIGHT("0000"&amp;$B1672,4)&amp;"/"&amp;RIGHT("00"&amp;$C1672,2)&amp;"/"&amp;RIGHT("00"&amp;$D1672,2)))</f>
        <v/>
      </c>
      <c r="F1672">
        <f>IF(Entry!$D1672&lt;&gt;"",IF(AND(ISNUMBER(Entry!$D1672),Entry!$D1672&gt;=0,Entry!$D1672&lt;1),RIGHT("00"&amp;HOUR(Entry!$D1672),2)&amp;":"&amp;RIGHT("00"&amp;MINUTE(Entry!$D1672),2),IFERROR(RIGHT("00"&amp;VALUE(TRIM(LEFT(Entry!$D1672,FIND(":",Entry!$D1672)-1))),2)&amp;":"&amp;RIGHT("00"&amp;VALUE(TRIM(MID(Entry!$D1672,FIND(":",Entry!$D1672)+1,2))),2),"نامعتبر")),IF(OR($E1672="",$E1672="نامعتبر"),"","00:00"))</f>
        <v/>
      </c>
      <c r="G1672">
        <f>IF(OR($E1672="",$E1672="نامعتبر"),"",IF(Entry!$E1672="","",LEFT(UPPER(TRIM(Entry!$E1672)),6)))</f>
        <v/>
      </c>
      <c r="H1672">
        <f>IF($G1672="","",RIGHT($E1672,4)&amp;MID($E1672,6,2)&amp;RIGHT($E1672,2)&amp;IF($F1672="","0000",IF($F1672="نامعتبر","9999",LEFT($F1672,2)&amp;RIGHT($F1672,2)))&amp;"|"&amp;RIGHT("00000"&amp;1664,5))</f>
        <v/>
      </c>
      <c r="I1672">
        <f>IF($H1672="","",COUNTIFS(CalcBank,$G1672,CalcKey,"&lt;"&amp;$H1672)+1)</f>
        <v/>
      </c>
      <c r="J1672">
        <f>IF($I1672="","",$G1672&amp;"|"&amp;RIGHT("000000"&amp;$I1672,6))</f>
        <v/>
      </c>
      <c r="K1672">
        <f>IF(OR($E1672="",$E1672="نامعتبر"),"",LEFT($E1672,4)&amp;"/"&amp;MID($E1672,6,2))</f>
        <v/>
      </c>
      <c r="L1672">
        <f>IF(Entry!$K1672="",0,Entry!$K1672)</f>
        <v/>
      </c>
      <c r="M1672">
        <f>IF(Entry!$L1672="",0,Entry!$L1672)</f>
        <v/>
      </c>
    </row>
    <row r="1673">
      <c r="A1673">
        <f>IF(Entry!$C1673="","",Entry!$C1673)</f>
        <v/>
      </c>
      <c r="B1673">
        <f>IF($A1673="","",IF(ISNUMBER($A1673),IF(AND($A1673&gt;=10000101,$A1673&lt;=99991231),INT($A1673/10000),""),IFERROR(VALUE(TRIM(LEFT($A1673,FIND("/",$A1673)-1))),"")))</f>
        <v/>
      </c>
      <c r="C1673">
        <f>IF(OR($A1673="",$B1673=""),"",IF(ISNUMBER($A1673),INT(MOD($A1673,10000)/100),IFERROR(VALUE(TRIM(LEFT(MID($A1673,FIND("/",$A1673)+1,20),FIND("/",MID($A1673,FIND("/",$A1673)+1,20))-1))),"")))</f>
        <v/>
      </c>
      <c r="D1673">
        <f>IF(OR($A1673="",$B1673=""),"",IF(ISNUMBER($A1673),MOD($A1673,100),IFERROR(VALUE(TRIM(MID(MID($A1673,FIND("/",$A1673)+1,20),FIND("/",MID($A1673,FIND("/",$A1673)+1,20))+1,20))),"")))</f>
        <v/>
      </c>
      <c r="E1673">
        <f>IF($A1673="","",IF(OR($B1673="",$C1673="",$D1673="",$B1673&lt;1300,$B1673&gt;1500,$C1673&lt;1,$C1673&gt;12,$D1673&lt;1,$D1673&gt;31),"نامعتبر",RIGHT("0000"&amp;$B1673,4)&amp;"/"&amp;RIGHT("00"&amp;$C1673,2)&amp;"/"&amp;RIGHT("00"&amp;$D1673,2)))</f>
        <v/>
      </c>
      <c r="F1673">
        <f>IF(Entry!$D1673&lt;&gt;"",IF(AND(ISNUMBER(Entry!$D1673),Entry!$D1673&gt;=0,Entry!$D1673&lt;1),RIGHT("00"&amp;HOUR(Entry!$D1673),2)&amp;":"&amp;RIGHT("00"&amp;MINUTE(Entry!$D1673),2),IFERROR(RIGHT("00"&amp;VALUE(TRIM(LEFT(Entry!$D1673,FIND(":",Entry!$D1673)-1))),2)&amp;":"&amp;RIGHT("00"&amp;VALUE(TRIM(MID(Entry!$D1673,FIND(":",Entry!$D1673)+1,2))),2),"نامعتبر")),IF(OR($E1673="",$E1673="نامعتبر"),"","00:00"))</f>
        <v/>
      </c>
      <c r="G1673">
        <f>IF(OR($E1673="",$E1673="نامعتبر"),"",IF(Entry!$E1673="","",LEFT(UPPER(TRIM(Entry!$E1673)),6)))</f>
        <v/>
      </c>
      <c r="H1673">
        <f>IF($G1673="","",RIGHT($E1673,4)&amp;MID($E1673,6,2)&amp;RIGHT($E1673,2)&amp;IF($F1673="","0000",IF($F1673="نامعتبر","9999",LEFT($F1673,2)&amp;RIGHT($F1673,2)))&amp;"|"&amp;RIGHT("00000"&amp;1665,5))</f>
        <v/>
      </c>
      <c r="I1673">
        <f>IF($H1673="","",COUNTIFS(CalcBank,$G1673,CalcKey,"&lt;"&amp;$H1673)+1)</f>
        <v/>
      </c>
      <c r="J1673">
        <f>IF($I1673="","",$G1673&amp;"|"&amp;RIGHT("000000"&amp;$I1673,6))</f>
        <v/>
      </c>
      <c r="K1673">
        <f>IF(OR($E1673="",$E1673="نامعتبر"),"",LEFT($E1673,4)&amp;"/"&amp;MID($E1673,6,2))</f>
        <v/>
      </c>
      <c r="L1673">
        <f>IF(Entry!$K1673="",0,Entry!$K1673)</f>
        <v/>
      </c>
      <c r="M1673">
        <f>IF(Entry!$L1673="",0,Entry!$L1673)</f>
        <v/>
      </c>
    </row>
    <row r="1674">
      <c r="A1674">
        <f>IF(Entry!$C1674="","",Entry!$C1674)</f>
        <v/>
      </c>
      <c r="B1674">
        <f>IF($A1674="","",IF(ISNUMBER($A1674),IF(AND($A1674&gt;=10000101,$A1674&lt;=99991231),INT($A1674/10000),""),IFERROR(VALUE(TRIM(LEFT($A1674,FIND("/",$A1674)-1))),"")))</f>
        <v/>
      </c>
      <c r="C1674">
        <f>IF(OR($A1674="",$B1674=""),"",IF(ISNUMBER($A1674),INT(MOD($A1674,10000)/100),IFERROR(VALUE(TRIM(LEFT(MID($A1674,FIND("/",$A1674)+1,20),FIND("/",MID($A1674,FIND("/",$A1674)+1,20))-1))),"")))</f>
        <v/>
      </c>
      <c r="D1674">
        <f>IF(OR($A1674="",$B1674=""),"",IF(ISNUMBER($A1674),MOD($A1674,100),IFERROR(VALUE(TRIM(MID(MID($A1674,FIND("/",$A1674)+1,20),FIND("/",MID($A1674,FIND("/",$A1674)+1,20))+1,20))),"")))</f>
        <v/>
      </c>
      <c r="E1674">
        <f>IF($A1674="","",IF(OR($B1674="",$C1674="",$D1674="",$B1674&lt;1300,$B1674&gt;1500,$C1674&lt;1,$C1674&gt;12,$D1674&lt;1,$D1674&gt;31),"نامعتبر",RIGHT("0000"&amp;$B1674,4)&amp;"/"&amp;RIGHT("00"&amp;$C1674,2)&amp;"/"&amp;RIGHT("00"&amp;$D1674,2)))</f>
        <v/>
      </c>
      <c r="F1674">
        <f>IF(Entry!$D1674&lt;&gt;"",IF(AND(ISNUMBER(Entry!$D1674),Entry!$D1674&gt;=0,Entry!$D1674&lt;1),RIGHT("00"&amp;HOUR(Entry!$D1674),2)&amp;":"&amp;RIGHT("00"&amp;MINUTE(Entry!$D1674),2),IFERROR(RIGHT("00"&amp;VALUE(TRIM(LEFT(Entry!$D1674,FIND(":",Entry!$D1674)-1))),2)&amp;":"&amp;RIGHT("00"&amp;VALUE(TRIM(MID(Entry!$D1674,FIND(":",Entry!$D1674)+1,2))),2),"نامعتبر")),IF(OR($E1674="",$E1674="نامعتبر"),"","00:00"))</f>
        <v/>
      </c>
      <c r="G1674">
        <f>IF(OR($E1674="",$E1674="نامعتبر"),"",IF(Entry!$E1674="","",LEFT(UPPER(TRIM(Entry!$E1674)),6)))</f>
        <v/>
      </c>
      <c r="H1674">
        <f>IF($G1674="","",RIGHT($E1674,4)&amp;MID($E1674,6,2)&amp;RIGHT($E1674,2)&amp;IF($F1674="","0000",IF($F1674="نامعتبر","9999",LEFT($F1674,2)&amp;RIGHT($F1674,2)))&amp;"|"&amp;RIGHT("00000"&amp;1666,5))</f>
        <v/>
      </c>
      <c r="I1674">
        <f>IF($H1674="","",COUNTIFS(CalcBank,$G1674,CalcKey,"&lt;"&amp;$H1674)+1)</f>
        <v/>
      </c>
      <c r="J1674">
        <f>IF($I1674="","",$G1674&amp;"|"&amp;RIGHT("000000"&amp;$I1674,6))</f>
        <v/>
      </c>
      <c r="K1674">
        <f>IF(OR($E1674="",$E1674="نامعتبر"),"",LEFT($E1674,4)&amp;"/"&amp;MID($E1674,6,2))</f>
        <v/>
      </c>
      <c r="L1674">
        <f>IF(Entry!$K1674="",0,Entry!$K1674)</f>
        <v/>
      </c>
      <c r="M1674">
        <f>IF(Entry!$L1674="",0,Entry!$L1674)</f>
        <v/>
      </c>
    </row>
    <row r="1675">
      <c r="A1675">
        <f>IF(Entry!$C1675="","",Entry!$C1675)</f>
        <v/>
      </c>
      <c r="B1675">
        <f>IF($A1675="","",IF(ISNUMBER($A1675),IF(AND($A1675&gt;=10000101,$A1675&lt;=99991231),INT($A1675/10000),""),IFERROR(VALUE(TRIM(LEFT($A1675,FIND("/",$A1675)-1))),"")))</f>
        <v/>
      </c>
      <c r="C1675">
        <f>IF(OR($A1675="",$B1675=""),"",IF(ISNUMBER($A1675),INT(MOD($A1675,10000)/100),IFERROR(VALUE(TRIM(LEFT(MID($A1675,FIND("/",$A1675)+1,20),FIND("/",MID($A1675,FIND("/",$A1675)+1,20))-1))),"")))</f>
        <v/>
      </c>
      <c r="D1675">
        <f>IF(OR($A1675="",$B1675=""),"",IF(ISNUMBER($A1675),MOD($A1675,100),IFERROR(VALUE(TRIM(MID(MID($A1675,FIND("/",$A1675)+1,20),FIND("/",MID($A1675,FIND("/",$A1675)+1,20))+1,20))),"")))</f>
        <v/>
      </c>
      <c r="E1675">
        <f>IF($A1675="","",IF(OR($B1675="",$C1675="",$D1675="",$B1675&lt;1300,$B1675&gt;1500,$C1675&lt;1,$C1675&gt;12,$D1675&lt;1,$D1675&gt;31),"نامعتبر",RIGHT("0000"&amp;$B1675,4)&amp;"/"&amp;RIGHT("00"&amp;$C1675,2)&amp;"/"&amp;RIGHT("00"&amp;$D1675,2)))</f>
        <v/>
      </c>
      <c r="F1675">
        <f>IF(Entry!$D1675&lt;&gt;"",IF(AND(ISNUMBER(Entry!$D1675),Entry!$D1675&gt;=0,Entry!$D1675&lt;1),RIGHT("00"&amp;HOUR(Entry!$D1675),2)&amp;":"&amp;RIGHT("00"&amp;MINUTE(Entry!$D1675),2),IFERROR(RIGHT("00"&amp;VALUE(TRIM(LEFT(Entry!$D1675,FIND(":",Entry!$D1675)-1))),2)&amp;":"&amp;RIGHT("00"&amp;VALUE(TRIM(MID(Entry!$D1675,FIND(":",Entry!$D1675)+1,2))),2),"نامعتبر")),IF(OR($E1675="",$E1675="نامعتبر"),"","00:00"))</f>
        <v/>
      </c>
      <c r="G1675">
        <f>IF(OR($E1675="",$E1675="نامعتبر"),"",IF(Entry!$E1675="","",LEFT(UPPER(TRIM(Entry!$E1675)),6)))</f>
        <v/>
      </c>
      <c r="H1675">
        <f>IF($G1675="","",RIGHT($E1675,4)&amp;MID($E1675,6,2)&amp;RIGHT($E1675,2)&amp;IF($F1675="","0000",IF($F1675="نامعتبر","9999",LEFT($F1675,2)&amp;RIGHT($F1675,2)))&amp;"|"&amp;RIGHT("00000"&amp;1667,5))</f>
        <v/>
      </c>
      <c r="I1675">
        <f>IF($H1675="","",COUNTIFS(CalcBank,$G1675,CalcKey,"&lt;"&amp;$H1675)+1)</f>
        <v/>
      </c>
      <c r="J1675">
        <f>IF($I1675="","",$G1675&amp;"|"&amp;RIGHT("000000"&amp;$I1675,6))</f>
        <v/>
      </c>
      <c r="K1675">
        <f>IF(OR($E1675="",$E1675="نامعتبر"),"",LEFT($E1675,4)&amp;"/"&amp;MID($E1675,6,2))</f>
        <v/>
      </c>
      <c r="L1675">
        <f>IF(Entry!$K1675="",0,Entry!$K1675)</f>
        <v/>
      </c>
      <c r="M1675">
        <f>IF(Entry!$L1675="",0,Entry!$L1675)</f>
        <v/>
      </c>
    </row>
    <row r="1676">
      <c r="A1676">
        <f>IF(Entry!$C1676="","",Entry!$C1676)</f>
        <v/>
      </c>
      <c r="B1676">
        <f>IF($A1676="","",IF(ISNUMBER($A1676),IF(AND($A1676&gt;=10000101,$A1676&lt;=99991231),INT($A1676/10000),""),IFERROR(VALUE(TRIM(LEFT($A1676,FIND("/",$A1676)-1))),"")))</f>
        <v/>
      </c>
      <c r="C1676">
        <f>IF(OR($A1676="",$B1676=""),"",IF(ISNUMBER($A1676),INT(MOD($A1676,10000)/100),IFERROR(VALUE(TRIM(LEFT(MID($A1676,FIND("/",$A1676)+1,20),FIND("/",MID($A1676,FIND("/",$A1676)+1,20))-1))),"")))</f>
        <v/>
      </c>
      <c r="D1676">
        <f>IF(OR($A1676="",$B1676=""),"",IF(ISNUMBER($A1676),MOD($A1676,100),IFERROR(VALUE(TRIM(MID(MID($A1676,FIND("/",$A1676)+1,20),FIND("/",MID($A1676,FIND("/",$A1676)+1,20))+1,20))),"")))</f>
        <v/>
      </c>
      <c r="E1676">
        <f>IF($A1676="","",IF(OR($B1676="",$C1676="",$D1676="",$B1676&lt;1300,$B1676&gt;1500,$C1676&lt;1,$C1676&gt;12,$D1676&lt;1,$D1676&gt;31),"نامعتبر",RIGHT("0000"&amp;$B1676,4)&amp;"/"&amp;RIGHT("00"&amp;$C1676,2)&amp;"/"&amp;RIGHT("00"&amp;$D1676,2)))</f>
        <v/>
      </c>
      <c r="F1676">
        <f>IF(Entry!$D1676&lt;&gt;"",IF(AND(ISNUMBER(Entry!$D1676),Entry!$D1676&gt;=0,Entry!$D1676&lt;1),RIGHT("00"&amp;HOUR(Entry!$D1676),2)&amp;":"&amp;RIGHT("00"&amp;MINUTE(Entry!$D1676),2),IFERROR(RIGHT("00"&amp;VALUE(TRIM(LEFT(Entry!$D1676,FIND(":",Entry!$D1676)-1))),2)&amp;":"&amp;RIGHT("00"&amp;VALUE(TRIM(MID(Entry!$D1676,FIND(":",Entry!$D1676)+1,2))),2),"نامعتبر")),IF(OR($E1676="",$E1676="نامعتبر"),"","00:00"))</f>
        <v/>
      </c>
      <c r="G1676">
        <f>IF(OR($E1676="",$E1676="نامعتبر"),"",IF(Entry!$E1676="","",LEFT(UPPER(TRIM(Entry!$E1676)),6)))</f>
        <v/>
      </c>
      <c r="H1676">
        <f>IF($G1676="","",RIGHT($E1676,4)&amp;MID($E1676,6,2)&amp;RIGHT($E1676,2)&amp;IF($F1676="","0000",IF($F1676="نامعتبر","9999",LEFT($F1676,2)&amp;RIGHT($F1676,2)))&amp;"|"&amp;RIGHT("00000"&amp;1668,5))</f>
        <v/>
      </c>
      <c r="I1676">
        <f>IF($H1676="","",COUNTIFS(CalcBank,$G1676,CalcKey,"&lt;"&amp;$H1676)+1)</f>
        <v/>
      </c>
      <c r="J1676">
        <f>IF($I1676="","",$G1676&amp;"|"&amp;RIGHT("000000"&amp;$I1676,6))</f>
        <v/>
      </c>
      <c r="K1676">
        <f>IF(OR($E1676="",$E1676="نامعتبر"),"",LEFT($E1676,4)&amp;"/"&amp;MID($E1676,6,2))</f>
        <v/>
      </c>
      <c r="L1676">
        <f>IF(Entry!$K1676="",0,Entry!$K1676)</f>
        <v/>
      </c>
      <c r="M1676">
        <f>IF(Entry!$L1676="",0,Entry!$L1676)</f>
        <v/>
      </c>
    </row>
    <row r="1677">
      <c r="A1677">
        <f>IF(Entry!$C1677="","",Entry!$C1677)</f>
        <v/>
      </c>
      <c r="B1677">
        <f>IF($A1677="","",IF(ISNUMBER($A1677),IF(AND($A1677&gt;=10000101,$A1677&lt;=99991231),INT($A1677/10000),""),IFERROR(VALUE(TRIM(LEFT($A1677,FIND("/",$A1677)-1))),"")))</f>
        <v/>
      </c>
      <c r="C1677">
        <f>IF(OR($A1677="",$B1677=""),"",IF(ISNUMBER($A1677),INT(MOD($A1677,10000)/100),IFERROR(VALUE(TRIM(LEFT(MID($A1677,FIND("/",$A1677)+1,20),FIND("/",MID($A1677,FIND("/",$A1677)+1,20))-1))),"")))</f>
        <v/>
      </c>
      <c r="D1677">
        <f>IF(OR($A1677="",$B1677=""),"",IF(ISNUMBER($A1677),MOD($A1677,100),IFERROR(VALUE(TRIM(MID(MID($A1677,FIND("/",$A1677)+1,20),FIND("/",MID($A1677,FIND("/",$A1677)+1,20))+1,20))),"")))</f>
        <v/>
      </c>
      <c r="E1677">
        <f>IF($A1677="","",IF(OR($B1677="",$C1677="",$D1677="",$B1677&lt;1300,$B1677&gt;1500,$C1677&lt;1,$C1677&gt;12,$D1677&lt;1,$D1677&gt;31),"نامعتبر",RIGHT("0000"&amp;$B1677,4)&amp;"/"&amp;RIGHT("00"&amp;$C1677,2)&amp;"/"&amp;RIGHT("00"&amp;$D1677,2)))</f>
        <v/>
      </c>
      <c r="F1677">
        <f>IF(Entry!$D1677&lt;&gt;"",IF(AND(ISNUMBER(Entry!$D1677),Entry!$D1677&gt;=0,Entry!$D1677&lt;1),RIGHT("00"&amp;HOUR(Entry!$D1677),2)&amp;":"&amp;RIGHT("00"&amp;MINUTE(Entry!$D1677),2),IFERROR(RIGHT("00"&amp;VALUE(TRIM(LEFT(Entry!$D1677,FIND(":",Entry!$D1677)-1))),2)&amp;":"&amp;RIGHT("00"&amp;VALUE(TRIM(MID(Entry!$D1677,FIND(":",Entry!$D1677)+1,2))),2),"نامعتبر")),IF(OR($E1677="",$E1677="نامعتبر"),"","00:00"))</f>
        <v/>
      </c>
      <c r="G1677">
        <f>IF(OR($E1677="",$E1677="نامعتبر"),"",IF(Entry!$E1677="","",LEFT(UPPER(TRIM(Entry!$E1677)),6)))</f>
        <v/>
      </c>
      <c r="H1677">
        <f>IF($G1677="","",RIGHT($E1677,4)&amp;MID($E1677,6,2)&amp;RIGHT($E1677,2)&amp;IF($F1677="","0000",IF($F1677="نامعتبر","9999",LEFT($F1677,2)&amp;RIGHT($F1677,2)))&amp;"|"&amp;RIGHT("00000"&amp;1669,5))</f>
        <v/>
      </c>
      <c r="I1677">
        <f>IF($H1677="","",COUNTIFS(CalcBank,$G1677,CalcKey,"&lt;"&amp;$H1677)+1)</f>
        <v/>
      </c>
      <c r="J1677">
        <f>IF($I1677="","",$G1677&amp;"|"&amp;RIGHT("000000"&amp;$I1677,6))</f>
        <v/>
      </c>
      <c r="K1677">
        <f>IF(OR($E1677="",$E1677="نامعتبر"),"",LEFT($E1677,4)&amp;"/"&amp;MID($E1677,6,2))</f>
        <v/>
      </c>
      <c r="L1677">
        <f>IF(Entry!$K1677="",0,Entry!$K1677)</f>
        <v/>
      </c>
      <c r="M1677">
        <f>IF(Entry!$L1677="",0,Entry!$L1677)</f>
        <v/>
      </c>
    </row>
    <row r="1678">
      <c r="A1678">
        <f>IF(Entry!$C1678="","",Entry!$C1678)</f>
        <v/>
      </c>
      <c r="B1678">
        <f>IF($A1678="","",IF(ISNUMBER($A1678),IF(AND($A1678&gt;=10000101,$A1678&lt;=99991231),INT($A1678/10000),""),IFERROR(VALUE(TRIM(LEFT($A1678,FIND("/",$A1678)-1))),"")))</f>
        <v/>
      </c>
      <c r="C1678">
        <f>IF(OR($A1678="",$B1678=""),"",IF(ISNUMBER($A1678),INT(MOD($A1678,10000)/100),IFERROR(VALUE(TRIM(LEFT(MID($A1678,FIND("/",$A1678)+1,20),FIND("/",MID($A1678,FIND("/",$A1678)+1,20))-1))),"")))</f>
        <v/>
      </c>
      <c r="D1678">
        <f>IF(OR($A1678="",$B1678=""),"",IF(ISNUMBER($A1678),MOD($A1678,100),IFERROR(VALUE(TRIM(MID(MID($A1678,FIND("/",$A1678)+1,20),FIND("/",MID($A1678,FIND("/",$A1678)+1,20))+1,20))),"")))</f>
        <v/>
      </c>
      <c r="E1678">
        <f>IF($A1678="","",IF(OR($B1678="",$C1678="",$D1678="",$B1678&lt;1300,$B1678&gt;1500,$C1678&lt;1,$C1678&gt;12,$D1678&lt;1,$D1678&gt;31),"نامعتبر",RIGHT("0000"&amp;$B1678,4)&amp;"/"&amp;RIGHT("00"&amp;$C1678,2)&amp;"/"&amp;RIGHT("00"&amp;$D1678,2)))</f>
        <v/>
      </c>
      <c r="F1678">
        <f>IF(Entry!$D1678&lt;&gt;"",IF(AND(ISNUMBER(Entry!$D1678),Entry!$D1678&gt;=0,Entry!$D1678&lt;1),RIGHT("00"&amp;HOUR(Entry!$D1678),2)&amp;":"&amp;RIGHT("00"&amp;MINUTE(Entry!$D1678),2),IFERROR(RIGHT("00"&amp;VALUE(TRIM(LEFT(Entry!$D1678,FIND(":",Entry!$D1678)-1))),2)&amp;":"&amp;RIGHT("00"&amp;VALUE(TRIM(MID(Entry!$D1678,FIND(":",Entry!$D1678)+1,2))),2),"نامعتبر")),IF(OR($E1678="",$E1678="نامعتبر"),"","00:00"))</f>
        <v/>
      </c>
      <c r="G1678">
        <f>IF(OR($E1678="",$E1678="نامعتبر"),"",IF(Entry!$E1678="","",LEFT(UPPER(TRIM(Entry!$E1678)),6)))</f>
        <v/>
      </c>
      <c r="H1678">
        <f>IF($G1678="","",RIGHT($E1678,4)&amp;MID($E1678,6,2)&amp;RIGHT($E1678,2)&amp;IF($F1678="","0000",IF($F1678="نامعتبر","9999",LEFT($F1678,2)&amp;RIGHT($F1678,2)))&amp;"|"&amp;RIGHT("00000"&amp;1670,5))</f>
        <v/>
      </c>
      <c r="I1678">
        <f>IF($H1678="","",COUNTIFS(CalcBank,$G1678,CalcKey,"&lt;"&amp;$H1678)+1)</f>
        <v/>
      </c>
      <c r="J1678">
        <f>IF($I1678="","",$G1678&amp;"|"&amp;RIGHT("000000"&amp;$I1678,6))</f>
        <v/>
      </c>
      <c r="K1678">
        <f>IF(OR($E1678="",$E1678="نامعتبر"),"",LEFT($E1678,4)&amp;"/"&amp;MID($E1678,6,2))</f>
        <v/>
      </c>
      <c r="L1678">
        <f>IF(Entry!$K1678="",0,Entry!$K1678)</f>
        <v/>
      </c>
      <c r="M1678">
        <f>IF(Entry!$L1678="",0,Entry!$L1678)</f>
        <v/>
      </c>
    </row>
    <row r="1679">
      <c r="A1679">
        <f>IF(Entry!$C1679="","",Entry!$C1679)</f>
        <v/>
      </c>
      <c r="B1679">
        <f>IF($A1679="","",IF(ISNUMBER($A1679),IF(AND($A1679&gt;=10000101,$A1679&lt;=99991231),INT($A1679/10000),""),IFERROR(VALUE(TRIM(LEFT($A1679,FIND("/",$A1679)-1))),"")))</f>
        <v/>
      </c>
      <c r="C1679">
        <f>IF(OR($A1679="",$B1679=""),"",IF(ISNUMBER($A1679),INT(MOD($A1679,10000)/100),IFERROR(VALUE(TRIM(LEFT(MID($A1679,FIND("/",$A1679)+1,20),FIND("/",MID($A1679,FIND("/",$A1679)+1,20))-1))),"")))</f>
        <v/>
      </c>
      <c r="D1679">
        <f>IF(OR($A1679="",$B1679=""),"",IF(ISNUMBER($A1679),MOD($A1679,100),IFERROR(VALUE(TRIM(MID(MID($A1679,FIND("/",$A1679)+1,20),FIND("/",MID($A1679,FIND("/",$A1679)+1,20))+1,20))),"")))</f>
        <v/>
      </c>
      <c r="E1679">
        <f>IF($A1679="","",IF(OR($B1679="",$C1679="",$D1679="",$B1679&lt;1300,$B1679&gt;1500,$C1679&lt;1,$C1679&gt;12,$D1679&lt;1,$D1679&gt;31),"نامعتبر",RIGHT("0000"&amp;$B1679,4)&amp;"/"&amp;RIGHT("00"&amp;$C1679,2)&amp;"/"&amp;RIGHT("00"&amp;$D1679,2)))</f>
        <v/>
      </c>
      <c r="F1679">
        <f>IF(Entry!$D1679&lt;&gt;"",IF(AND(ISNUMBER(Entry!$D1679),Entry!$D1679&gt;=0,Entry!$D1679&lt;1),RIGHT("00"&amp;HOUR(Entry!$D1679),2)&amp;":"&amp;RIGHT("00"&amp;MINUTE(Entry!$D1679),2),IFERROR(RIGHT("00"&amp;VALUE(TRIM(LEFT(Entry!$D1679,FIND(":",Entry!$D1679)-1))),2)&amp;":"&amp;RIGHT("00"&amp;VALUE(TRIM(MID(Entry!$D1679,FIND(":",Entry!$D1679)+1,2))),2),"نامعتبر")),IF(OR($E1679="",$E1679="نامعتبر"),"","00:00"))</f>
        <v/>
      </c>
      <c r="G1679">
        <f>IF(OR($E1679="",$E1679="نامعتبر"),"",IF(Entry!$E1679="","",LEFT(UPPER(TRIM(Entry!$E1679)),6)))</f>
        <v/>
      </c>
      <c r="H1679">
        <f>IF($G1679="","",RIGHT($E1679,4)&amp;MID($E1679,6,2)&amp;RIGHT($E1679,2)&amp;IF($F1679="","0000",IF($F1679="نامعتبر","9999",LEFT($F1679,2)&amp;RIGHT($F1679,2)))&amp;"|"&amp;RIGHT("00000"&amp;1671,5))</f>
        <v/>
      </c>
      <c r="I1679">
        <f>IF($H1679="","",COUNTIFS(CalcBank,$G1679,CalcKey,"&lt;"&amp;$H1679)+1)</f>
        <v/>
      </c>
      <c r="J1679">
        <f>IF($I1679="","",$G1679&amp;"|"&amp;RIGHT("000000"&amp;$I1679,6))</f>
        <v/>
      </c>
      <c r="K1679">
        <f>IF(OR($E1679="",$E1679="نامعتبر"),"",LEFT($E1679,4)&amp;"/"&amp;MID($E1679,6,2))</f>
        <v/>
      </c>
      <c r="L1679">
        <f>IF(Entry!$K1679="",0,Entry!$K1679)</f>
        <v/>
      </c>
      <c r="M1679">
        <f>IF(Entry!$L1679="",0,Entry!$L1679)</f>
        <v/>
      </c>
    </row>
    <row r="1680">
      <c r="A1680">
        <f>IF(Entry!$C1680="","",Entry!$C1680)</f>
        <v/>
      </c>
      <c r="B1680">
        <f>IF($A1680="","",IF(ISNUMBER($A1680),IF(AND($A1680&gt;=10000101,$A1680&lt;=99991231),INT($A1680/10000),""),IFERROR(VALUE(TRIM(LEFT($A1680,FIND("/",$A1680)-1))),"")))</f>
        <v/>
      </c>
      <c r="C1680">
        <f>IF(OR($A1680="",$B1680=""),"",IF(ISNUMBER($A1680),INT(MOD($A1680,10000)/100),IFERROR(VALUE(TRIM(LEFT(MID($A1680,FIND("/",$A1680)+1,20),FIND("/",MID($A1680,FIND("/",$A1680)+1,20))-1))),"")))</f>
        <v/>
      </c>
      <c r="D1680">
        <f>IF(OR($A1680="",$B1680=""),"",IF(ISNUMBER($A1680),MOD($A1680,100),IFERROR(VALUE(TRIM(MID(MID($A1680,FIND("/",$A1680)+1,20),FIND("/",MID($A1680,FIND("/",$A1680)+1,20))+1,20))),"")))</f>
        <v/>
      </c>
      <c r="E1680">
        <f>IF($A1680="","",IF(OR($B1680="",$C1680="",$D1680="",$B1680&lt;1300,$B1680&gt;1500,$C1680&lt;1,$C1680&gt;12,$D1680&lt;1,$D1680&gt;31),"نامعتبر",RIGHT("0000"&amp;$B1680,4)&amp;"/"&amp;RIGHT("00"&amp;$C1680,2)&amp;"/"&amp;RIGHT("00"&amp;$D1680,2)))</f>
        <v/>
      </c>
      <c r="F1680">
        <f>IF(Entry!$D1680&lt;&gt;"",IF(AND(ISNUMBER(Entry!$D1680),Entry!$D1680&gt;=0,Entry!$D1680&lt;1),RIGHT("00"&amp;HOUR(Entry!$D1680),2)&amp;":"&amp;RIGHT("00"&amp;MINUTE(Entry!$D1680),2),IFERROR(RIGHT("00"&amp;VALUE(TRIM(LEFT(Entry!$D1680,FIND(":",Entry!$D1680)-1))),2)&amp;":"&amp;RIGHT("00"&amp;VALUE(TRIM(MID(Entry!$D1680,FIND(":",Entry!$D1680)+1,2))),2),"نامعتبر")),IF(OR($E1680="",$E1680="نامعتبر"),"","00:00"))</f>
        <v/>
      </c>
      <c r="G1680">
        <f>IF(OR($E1680="",$E1680="نامعتبر"),"",IF(Entry!$E1680="","",LEFT(UPPER(TRIM(Entry!$E1680)),6)))</f>
        <v/>
      </c>
      <c r="H1680">
        <f>IF($G1680="","",RIGHT($E1680,4)&amp;MID($E1680,6,2)&amp;RIGHT($E1680,2)&amp;IF($F1680="","0000",IF($F1680="نامعتبر","9999",LEFT($F1680,2)&amp;RIGHT($F1680,2)))&amp;"|"&amp;RIGHT("00000"&amp;1672,5))</f>
        <v/>
      </c>
      <c r="I1680">
        <f>IF($H1680="","",COUNTIFS(CalcBank,$G1680,CalcKey,"&lt;"&amp;$H1680)+1)</f>
        <v/>
      </c>
      <c r="J1680">
        <f>IF($I1680="","",$G1680&amp;"|"&amp;RIGHT("000000"&amp;$I1680,6))</f>
        <v/>
      </c>
      <c r="K1680">
        <f>IF(OR($E1680="",$E1680="نامعتبر"),"",LEFT($E1680,4)&amp;"/"&amp;MID($E1680,6,2))</f>
        <v/>
      </c>
      <c r="L1680">
        <f>IF(Entry!$K1680="",0,Entry!$K1680)</f>
        <v/>
      </c>
      <c r="M1680">
        <f>IF(Entry!$L1680="",0,Entry!$L1680)</f>
        <v/>
      </c>
    </row>
    <row r="1681">
      <c r="A1681">
        <f>IF(Entry!$C1681="","",Entry!$C1681)</f>
        <v/>
      </c>
      <c r="B1681">
        <f>IF($A1681="","",IF(ISNUMBER($A1681),IF(AND($A1681&gt;=10000101,$A1681&lt;=99991231),INT($A1681/10000),""),IFERROR(VALUE(TRIM(LEFT($A1681,FIND("/",$A1681)-1))),"")))</f>
        <v/>
      </c>
      <c r="C1681">
        <f>IF(OR($A1681="",$B1681=""),"",IF(ISNUMBER($A1681),INT(MOD($A1681,10000)/100),IFERROR(VALUE(TRIM(LEFT(MID($A1681,FIND("/",$A1681)+1,20),FIND("/",MID($A1681,FIND("/",$A1681)+1,20))-1))),"")))</f>
        <v/>
      </c>
      <c r="D1681">
        <f>IF(OR($A1681="",$B1681=""),"",IF(ISNUMBER($A1681),MOD($A1681,100),IFERROR(VALUE(TRIM(MID(MID($A1681,FIND("/",$A1681)+1,20),FIND("/",MID($A1681,FIND("/",$A1681)+1,20))+1,20))),"")))</f>
        <v/>
      </c>
      <c r="E1681">
        <f>IF($A1681="","",IF(OR($B1681="",$C1681="",$D1681="",$B1681&lt;1300,$B1681&gt;1500,$C1681&lt;1,$C1681&gt;12,$D1681&lt;1,$D1681&gt;31),"نامعتبر",RIGHT("0000"&amp;$B1681,4)&amp;"/"&amp;RIGHT("00"&amp;$C1681,2)&amp;"/"&amp;RIGHT("00"&amp;$D1681,2)))</f>
        <v/>
      </c>
      <c r="F1681">
        <f>IF(Entry!$D1681&lt;&gt;"",IF(AND(ISNUMBER(Entry!$D1681),Entry!$D1681&gt;=0,Entry!$D1681&lt;1),RIGHT("00"&amp;HOUR(Entry!$D1681),2)&amp;":"&amp;RIGHT("00"&amp;MINUTE(Entry!$D1681),2),IFERROR(RIGHT("00"&amp;VALUE(TRIM(LEFT(Entry!$D1681,FIND(":",Entry!$D1681)-1))),2)&amp;":"&amp;RIGHT("00"&amp;VALUE(TRIM(MID(Entry!$D1681,FIND(":",Entry!$D1681)+1,2))),2),"نامعتبر")),IF(OR($E1681="",$E1681="نامعتبر"),"","00:00"))</f>
        <v/>
      </c>
      <c r="G1681">
        <f>IF(OR($E1681="",$E1681="نامعتبر"),"",IF(Entry!$E1681="","",LEFT(UPPER(TRIM(Entry!$E1681)),6)))</f>
        <v/>
      </c>
      <c r="H1681">
        <f>IF($G1681="","",RIGHT($E1681,4)&amp;MID($E1681,6,2)&amp;RIGHT($E1681,2)&amp;IF($F1681="","0000",IF($F1681="نامعتبر","9999",LEFT($F1681,2)&amp;RIGHT($F1681,2)))&amp;"|"&amp;RIGHT("00000"&amp;1673,5))</f>
        <v/>
      </c>
      <c r="I1681">
        <f>IF($H1681="","",COUNTIFS(CalcBank,$G1681,CalcKey,"&lt;"&amp;$H1681)+1)</f>
        <v/>
      </c>
      <c r="J1681">
        <f>IF($I1681="","",$G1681&amp;"|"&amp;RIGHT("000000"&amp;$I1681,6))</f>
        <v/>
      </c>
      <c r="K1681">
        <f>IF(OR($E1681="",$E1681="نامعتبر"),"",LEFT($E1681,4)&amp;"/"&amp;MID($E1681,6,2))</f>
        <v/>
      </c>
      <c r="L1681">
        <f>IF(Entry!$K1681="",0,Entry!$K1681)</f>
        <v/>
      </c>
      <c r="M1681">
        <f>IF(Entry!$L1681="",0,Entry!$L1681)</f>
        <v/>
      </c>
    </row>
    <row r="1682">
      <c r="A1682">
        <f>IF(Entry!$C1682="","",Entry!$C1682)</f>
        <v/>
      </c>
      <c r="B1682">
        <f>IF($A1682="","",IF(ISNUMBER($A1682),IF(AND($A1682&gt;=10000101,$A1682&lt;=99991231),INT($A1682/10000),""),IFERROR(VALUE(TRIM(LEFT($A1682,FIND("/",$A1682)-1))),"")))</f>
        <v/>
      </c>
      <c r="C1682">
        <f>IF(OR($A1682="",$B1682=""),"",IF(ISNUMBER($A1682),INT(MOD($A1682,10000)/100),IFERROR(VALUE(TRIM(LEFT(MID($A1682,FIND("/",$A1682)+1,20),FIND("/",MID($A1682,FIND("/",$A1682)+1,20))-1))),"")))</f>
        <v/>
      </c>
      <c r="D1682">
        <f>IF(OR($A1682="",$B1682=""),"",IF(ISNUMBER($A1682),MOD($A1682,100),IFERROR(VALUE(TRIM(MID(MID($A1682,FIND("/",$A1682)+1,20),FIND("/",MID($A1682,FIND("/",$A1682)+1,20))+1,20))),"")))</f>
        <v/>
      </c>
      <c r="E1682">
        <f>IF($A1682="","",IF(OR($B1682="",$C1682="",$D1682="",$B1682&lt;1300,$B1682&gt;1500,$C1682&lt;1,$C1682&gt;12,$D1682&lt;1,$D1682&gt;31),"نامعتبر",RIGHT("0000"&amp;$B1682,4)&amp;"/"&amp;RIGHT("00"&amp;$C1682,2)&amp;"/"&amp;RIGHT("00"&amp;$D1682,2)))</f>
        <v/>
      </c>
      <c r="F1682">
        <f>IF(Entry!$D1682&lt;&gt;"",IF(AND(ISNUMBER(Entry!$D1682),Entry!$D1682&gt;=0,Entry!$D1682&lt;1),RIGHT("00"&amp;HOUR(Entry!$D1682),2)&amp;":"&amp;RIGHT("00"&amp;MINUTE(Entry!$D1682),2),IFERROR(RIGHT("00"&amp;VALUE(TRIM(LEFT(Entry!$D1682,FIND(":",Entry!$D1682)-1))),2)&amp;":"&amp;RIGHT("00"&amp;VALUE(TRIM(MID(Entry!$D1682,FIND(":",Entry!$D1682)+1,2))),2),"نامعتبر")),IF(OR($E1682="",$E1682="نامعتبر"),"","00:00"))</f>
        <v/>
      </c>
      <c r="G1682">
        <f>IF(OR($E1682="",$E1682="نامعتبر"),"",IF(Entry!$E1682="","",LEFT(UPPER(TRIM(Entry!$E1682)),6)))</f>
        <v/>
      </c>
      <c r="H1682">
        <f>IF($G1682="","",RIGHT($E1682,4)&amp;MID($E1682,6,2)&amp;RIGHT($E1682,2)&amp;IF($F1682="","0000",IF($F1682="نامعتبر","9999",LEFT($F1682,2)&amp;RIGHT($F1682,2)))&amp;"|"&amp;RIGHT("00000"&amp;1674,5))</f>
        <v/>
      </c>
      <c r="I1682">
        <f>IF($H1682="","",COUNTIFS(CalcBank,$G1682,CalcKey,"&lt;"&amp;$H1682)+1)</f>
        <v/>
      </c>
      <c r="J1682">
        <f>IF($I1682="","",$G1682&amp;"|"&amp;RIGHT("000000"&amp;$I1682,6))</f>
        <v/>
      </c>
      <c r="K1682">
        <f>IF(OR($E1682="",$E1682="نامعتبر"),"",LEFT($E1682,4)&amp;"/"&amp;MID($E1682,6,2))</f>
        <v/>
      </c>
      <c r="L1682">
        <f>IF(Entry!$K1682="",0,Entry!$K1682)</f>
        <v/>
      </c>
      <c r="M1682">
        <f>IF(Entry!$L1682="",0,Entry!$L1682)</f>
        <v/>
      </c>
    </row>
    <row r="1683">
      <c r="A1683">
        <f>IF(Entry!$C1683="","",Entry!$C1683)</f>
        <v/>
      </c>
      <c r="B1683">
        <f>IF($A1683="","",IF(ISNUMBER($A1683),IF(AND($A1683&gt;=10000101,$A1683&lt;=99991231),INT($A1683/10000),""),IFERROR(VALUE(TRIM(LEFT($A1683,FIND("/",$A1683)-1))),"")))</f>
        <v/>
      </c>
      <c r="C1683">
        <f>IF(OR($A1683="",$B1683=""),"",IF(ISNUMBER($A1683),INT(MOD($A1683,10000)/100),IFERROR(VALUE(TRIM(LEFT(MID($A1683,FIND("/",$A1683)+1,20),FIND("/",MID($A1683,FIND("/",$A1683)+1,20))-1))),"")))</f>
        <v/>
      </c>
      <c r="D1683">
        <f>IF(OR($A1683="",$B1683=""),"",IF(ISNUMBER($A1683),MOD($A1683,100),IFERROR(VALUE(TRIM(MID(MID($A1683,FIND("/",$A1683)+1,20),FIND("/",MID($A1683,FIND("/",$A1683)+1,20))+1,20))),"")))</f>
        <v/>
      </c>
      <c r="E1683">
        <f>IF($A1683="","",IF(OR($B1683="",$C1683="",$D1683="",$B1683&lt;1300,$B1683&gt;1500,$C1683&lt;1,$C1683&gt;12,$D1683&lt;1,$D1683&gt;31),"نامعتبر",RIGHT("0000"&amp;$B1683,4)&amp;"/"&amp;RIGHT("00"&amp;$C1683,2)&amp;"/"&amp;RIGHT("00"&amp;$D1683,2)))</f>
        <v/>
      </c>
      <c r="F1683">
        <f>IF(Entry!$D1683&lt;&gt;"",IF(AND(ISNUMBER(Entry!$D1683),Entry!$D1683&gt;=0,Entry!$D1683&lt;1),RIGHT("00"&amp;HOUR(Entry!$D1683),2)&amp;":"&amp;RIGHT("00"&amp;MINUTE(Entry!$D1683),2),IFERROR(RIGHT("00"&amp;VALUE(TRIM(LEFT(Entry!$D1683,FIND(":",Entry!$D1683)-1))),2)&amp;":"&amp;RIGHT("00"&amp;VALUE(TRIM(MID(Entry!$D1683,FIND(":",Entry!$D1683)+1,2))),2),"نامعتبر")),IF(OR($E1683="",$E1683="نامعتبر"),"","00:00"))</f>
        <v/>
      </c>
      <c r="G1683">
        <f>IF(OR($E1683="",$E1683="نامعتبر"),"",IF(Entry!$E1683="","",LEFT(UPPER(TRIM(Entry!$E1683)),6)))</f>
        <v/>
      </c>
      <c r="H1683">
        <f>IF($G1683="","",RIGHT($E1683,4)&amp;MID($E1683,6,2)&amp;RIGHT($E1683,2)&amp;IF($F1683="","0000",IF($F1683="نامعتبر","9999",LEFT($F1683,2)&amp;RIGHT($F1683,2)))&amp;"|"&amp;RIGHT("00000"&amp;1675,5))</f>
        <v/>
      </c>
      <c r="I1683">
        <f>IF($H1683="","",COUNTIFS(CalcBank,$G1683,CalcKey,"&lt;"&amp;$H1683)+1)</f>
        <v/>
      </c>
      <c r="J1683">
        <f>IF($I1683="","",$G1683&amp;"|"&amp;RIGHT("000000"&amp;$I1683,6))</f>
        <v/>
      </c>
      <c r="K1683">
        <f>IF(OR($E1683="",$E1683="نامعتبر"),"",LEFT($E1683,4)&amp;"/"&amp;MID($E1683,6,2))</f>
        <v/>
      </c>
      <c r="L1683">
        <f>IF(Entry!$K1683="",0,Entry!$K1683)</f>
        <v/>
      </c>
      <c r="M1683">
        <f>IF(Entry!$L1683="",0,Entry!$L1683)</f>
        <v/>
      </c>
    </row>
    <row r="1684">
      <c r="A1684">
        <f>IF(Entry!$C1684="","",Entry!$C1684)</f>
        <v/>
      </c>
      <c r="B1684">
        <f>IF($A1684="","",IF(ISNUMBER($A1684),IF(AND($A1684&gt;=10000101,$A1684&lt;=99991231),INT($A1684/10000),""),IFERROR(VALUE(TRIM(LEFT($A1684,FIND("/",$A1684)-1))),"")))</f>
        <v/>
      </c>
      <c r="C1684">
        <f>IF(OR($A1684="",$B1684=""),"",IF(ISNUMBER($A1684),INT(MOD($A1684,10000)/100),IFERROR(VALUE(TRIM(LEFT(MID($A1684,FIND("/",$A1684)+1,20),FIND("/",MID($A1684,FIND("/",$A1684)+1,20))-1))),"")))</f>
        <v/>
      </c>
      <c r="D1684">
        <f>IF(OR($A1684="",$B1684=""),"",IF(ISNUMBER($A1684),MOD($A1684,100),IFERROR(VALUE(TRIM(MID(MID($A1684,FIND("/",$A1684)+1,20),FIND("/",MID($A1684,FIND("/",$A1684)+1,20))+1,20))),"")))</f>
        <v/>
      </c>
      <c r="E1684">
        <f>IF($A1684="","",IF(OR($B1684="",$C1684="",$D1684="",$B1684&lt;1300,$B1684&gt;1500,$C1684&lt;1,$C1684&gt;12,$D1684&lt;1,$D1684&gt;31),"نامعتبر",RIGHT("0000"&amp;$B1684,4)&amp;"/"&amp;RIGHT("00"&amp;$C1684,2)&amp;"/"&amp;RIGHT("00"&amp;$D1684,2)))</f>
        <v/>
      </c>
      <c r="F1684">
        <f>IF(Entry!$D1684&lt;&gt;"",IF(AND(ISNUMBER(Entry!$D1684),Entry!$D1684&gt;=0,Entry!$D1684&lt;1),RIGHT("00"&amp;HOUR(Entry!$D1684),2)&amp;":"&amp;RIGHT("00"&amp;MINUTE(Entry!$D1684),2),IFERROR(RIGHT("00"&amp;VALUE(TRIM(LEFT(Entry!$D1684,FIND(":",Entry!$D1684)-1))),2)&amp;":"&amp;RIGHT("00"&amp;VALUE(TRIM(MID(Entry!$D1684,FIND(":",Entry!$D1684)+1,2))),2),"نامعتبر")),IF(OR($E1684="",$E1684="نامعتبر"),"","00:00"))</f>
        <v/>
      </c>
      <c r="G1684">
        <f>IF(OR($E1684="",$E1684="نامعتبر"),"",IF(Entry!$E1684="","",LEFT(UPPER(TRIM(Entry!$E1684)),6)))</f>
        <v/>
      </c>
      <c r="H1684">
        <f>IF($G1684="","",RIGHT($E1684,4)&amp;MID($E1684,6,2)&amp;RIGHT($E1684,2)&amp;IF($F1684="","0000",IF($F1684="نامعتبر","9999",LEFT($F1684,2)&amp;RIGHT($F1684,2)))&amp;"|"&amp;RIGHT("00000"&amp;1676,5))</f>
        <v/>
      </c>
      <c r="I1684">
        <f>IF($H1684="","",COUNTIFS(CalcBank,$G1684,CalcKey,"&lt;"&amp;$H1684)+1)</f>
        <v/>
      </c>
      <c r="J1684">
        <f>IF($I1684="","",$G1684&amp;"|"&amp;RIGHT("000000"&amp;$I1684,6))</f>
        <v/>
      </c>
      <c r="K1684">
        <f>IF(OR($E1684="",$E1684="نامعتبر"),"",LEFT($E1684,4)&amp;"/"&amp;MID($E1684,6,2))</f>
        <v/>
      </c>
      <c r="L1684">
        <f>IF(Entry!$K1684="",0,Entry!$K1684)</f>
        <v/>
      </c>
      <c r="M1684">
        <f>IF(Entry!$L1684="",0,Entry!$L1684)</f>
        <v/>
      </c>
    </row>
    <row r="1685">
      <c r="A1685">
        <f>IF(Entry!$C1685="","",Entry!$C1685)</f>
        <v/>
      </c>
      <c r="B1685">
        <f>IF($A1685="","",IF(ISNUMBER($A1685),IF(AND($A1685&gt;=10000101,$A1685&lt;=99991231),INT($A1685/10000),""),IFERROR(VALUE(TRIM(LEFT($A1685,FIND("/",$A1685)-1))),"")))</f>
        <v/>
      </c>
      <c r="C1685">
        <f>IF(OR($A1685="",$B1685=""),"",IF(ISNUMBER($A1685),INT(MOD($A1685,10000)/100),IFERROR(VALUE(TRIM(LEFT(MID($A1685,FIND("/",$A1685)+1,20),FIND("/",MID($A1685,FIND("/",$A1685)+1,20))-1))),"")))</f>
        <v/>
      </c>
      <c r="D1685">
        <f>IF(OR($A1685="",$B1685=""),"",IF(ISNUMBER($A1685),MOD($A1685,100),IFERROR(VALUE(TRIM(MID(MID($A1685,FIND("/",$A1685)+1,20),FIND("/",MID($A1685,FIND("/",$A1685)+1,20))+1,20))),"")))</f>
        <v/>
      </c>
      <c r="E1685">
        <f>IF($A1685="","",IF(OR($B1685="",$C1685="",$D1685="",$B1685&lt;1300,$B1685&gt;1500,$C1685&lt;1,$C1685&gt;12,$D1685&lt;1,$D1685&gt;31),"نامعتبر",RIGHT("0000"&amp;$B1685,4)&amp;"/"&amp;RIGHT("00"&amp;$C1685,2)&amp;"/"&amp;RIGHT("00"&amp;$D1685,2)))</f>
        <v/>
      </c>
      <c r="F1685">
        <f>IF(Entry!$D1685&lt;&gt;"",IF(AND(ISNUMBER(Entry!$D1685),Entry!$D1685&gt;=0,Entry!$D1685&lt;1),RIGHT("00"&amp;HOUR(Entry!$D1685),2)&amp;":"&amp;RIGHT("00"&amp;MINUTE(Entry!$D1685),2),IFERROR(RIGHT("00"&amp;VALUE(TRIM(LEFT(Entry!$D1685,FIND(":",Entry!$D1685)-1))),2)&amp;":"&amp;RIGHT("00"&amp;VALUE(TRIM(MID(Entry!$D1685,FIND(":",Entry!$D1685)+1,2))),2),"نامعتبر")),IF(OR($E1685="",$E1685="نامعتبر"),"","00:00"))</f>
        <v/>
      </c>
      <c r="G1685">
        <f>IF(OR($E1685="",$E1685="نامعتبر"),"",IF(Entry!$E1685="","",LEFT(UPPER(TRIM(Entry!$E1685)),6)))</f>
        <v/>
      </c>
      <c r="H1685">
        <f>IF($G1685="","",RIGHT($E1685,4)&amp;MID($E1685,6,2)&amp;RIGHT($E1685,2)&amp;IF($F1685="","0000",IF($F1685="نامعتبر","9999",LEFT($F1685,2)&amp;RIGHT($F1685,2)))&amp;"|"&amp;RIGHT("00000"&amp;1677,5))</f>
        <v/>
      </c>
      <c r="I1685">
        <f>IF($H1685="","",COUNTIFS(CalcBank,$G1685,CalcKey,"&lt;"&amp;$H1685)+1)</f>
        <v/>
      </c>
      <c r="J1685">
        <f>IF($I1685="","",$G1685&amp;"|"&amp;RIGHT("000000"&amp;$I1685,6))</f>
        <v/>
      </c>
      <c r="K1685">
        <f>IF(OR($E1685="",$E1685="نامعتبر"),"",LEFT($E1685,4)&amp;"/"&amp;MID($E1685,6,2))</f>
        <v/>
      </c>
      <c r="L1685">
        <f>IF(Entry!$K1685="",0,Entry!$K1685)</f>
        <v/>
      </c>
      <c r="M1685">
        <f>IF(Entry!$L1685="",0,Entry!$L1685)</f>
        <v/>
      </c>
    </row>
    <row r="1686">
      <c r="A1686">
        <f>IF(Entry!$C1686="","",Entry!$C1686)</f>
        <v/>
      </c>
      <c r="B1686">
        <f>IF($A1686="","",IF(ISNUMBER($A1686),IF(AND($A1686&gt;=10000101,$A1686&lt;=99991231),INT($A1686/10000),""),IFERROR(VALUE(TRIM(LEFT($A1686,FIND("/",$A1686)-1))),"")))</f>
        <v/>
      </c>
      <c r="C1686">
        <f>IF(OR($A1686="",$B1686=""),"",IF(ISNUMBER($A1686),INT(MOD($A1686,10000)/100),IFERROR(VALUE(TRIM(LEFT(MID($A1686,FIND("/",$A1686)+1,20),FIND("/",MID($A1686,FIND("/",$A1686)+1,20))-1))),"")))</f>
        <v/>
      </c>
      <c r="D1686">
        <f>IF(OR($A1686="",$B1686=""),"",IF(ISNUMBER($A1686),MOD($A1686,100),IFERROR(VALUE(TRIM(MID(MID($A1686,FIND("/",$A1686)+1,20),FIND("/",MID($A1686,FIND("/",$A1686)+1,20))+1,20))),"")))</f>
        <v/>
      </c>
      <c r="E1686">
        <f>IF($A1686="","",IF(OR($B1686="",$C1686="",$D1686="",$B1686&lt;1300,$B1686&gt;1500,$C1686&lt;1,$C1686&gt;12,$D1686&lt;1,$D1686&gt;31),"نامعتبر",RIGHT("0000"&amp;$B1686,4)&amp;"/"&amp;RIGHT("00"&amp;$C1686,2)&amp;"/"&amp;RIGHT("00"&amp;$D1686,2)))</f>
        <v/>
      </c>
      <c r="F1686">
        <f>IF(Entry!$D1686&lt;&gt;"",IF(AND(ISNUMBER(Entry!$D1686),Entry!$D1686&gt;=0,Entry!$D1686&lt;1),RIGHT("00"&amp;HOUR(Entry!$D1686),2)&amp;":"&amp;RIGHT("00"&amp;MINUTE(Entry!$D1686),2),IFERROR(RIGHT("00"&amp;VALUE(TRIM(LEFT(Entry!$D1686,FIND(":",Entry!$D1686)-1))),2)&amp;":"&amp;RIGHT("00"&amp;VALUE(TRIM(MID(Entry!$D1686,FIND(":",Entry!$D1686)+1,2))),2),"نامعتبر")),IF(OR($E1686="",$E1686="نامعتبر"),"","00:00"))</f>
        <v/>
      </c>
      <c r="G1686">
        <f>IF(OR($E1686="",$E1686="نامعتبر"),"",IF(Entry!$E1686="","",LEFT(UPPER(TRIM(Entry!$E1686)),6)))</f>
        <v/>
      </c>
      <c r="H1686">
        <f>IF($G1686="","",RIGHT($E1686,4)&amp;MID($E1686,6,2)&amp;RIGHT($E1686,2)&amp;IF($F1686="","0000",IF($F1686="نامعتبر","9999",LEFT($F1686,2)&amp;RIGHT($F1686,2)))&amp;"|"&amp;RIGHT("00000"&amp;1678,5))</f>
        <v/>
      </c>
      <c r="I1686">
        <f>IF($H1686="","",COUNTIFS(CalcBank,$G1686,CalcKey,"&lt;"&amp;$H1686)+1)</f>
        <v/>
      </c>
      <c r="J1686">
        <f>IF($I1686="","",$G1686&amp;"|"&amp;RIGHT("000000"&amp;$I1686,6))</f>
        <v/>
      </c>
      <c r="K1686">
        <f>IF(OR($E1686="",$E1686="نامعتبر"),"",LEFT($E1686,4)&amp;"/"&amp;MID($E1686,6,2))</f>
        <v/>
      </c>
      <c r="L1686">
        <f>IF(Entry!$K1686="",0,Entry!$K1686)</f>
        <v/>
      </c>
      <c r="M1686">
        <f>IF(Entry!$L1686="",0,Entry!$L1686)</f>
        <v/>
      </c>
    </row>
    <row r="1687">
      <c r="A1687">
        <f>IF(Entry!$C1687="","",Entry!$C1687)</f>
        <v/>
      </c>
      <c r="B1687">
        <f>IF($A1687="","",IF(ISNUMBER($A1687),IF(AND($A1687&gt;=10000101,$A1687&lt;=99991231),INT($A1687/10000),""),IFERROR(VALUE(TRIM(LEFT($A1687,FIND("/",$A1687)-1))),"")))</f>
        <v/>
      </c>
      <c r="C1687">
        <f>IF(OR($A1687="",$B1687=""),"",IF(ISNUMBER($A1687),INT(MOD($A1687,10000)/100),IFERROR(VALUE(TRIM(LEFT(MID($A1687,FIND("/",$A1687)+1,20),FIND("/",MID($A1687,FIND("/",$A1687)+1,20))-1))),"")))</f>
        <v/>
      </c>
      <c r="D1687">
        <f>IF(OR($A1687="",$B1687=""),"",IF(ISNUMBER($A1687),MOD($A1687,100),IFERROR(VALUE(TRIM(MID(MID($A1687,FIND("/",$A1687)+1,20),FIND("/",MID($A1687,FIND("/",$A1687)+1,20))+1,20))),"")))</f>
        <v/>
      </c>
      <c r="E1687">
        <f>IF($A1687="","",IF(OR($B1687="",$C1687="",$D1687="",$B1687&lt;1300,$B1687&gt;1500,$C1687&lt;1,$C1687&gt;12,$D1687&lt;1,$D1687&gt;31),"نامعتبر",RIGHT("0000"&amp;$B1687,4)&amp;"/"&amp;RIGHT("00"&amp;$C1687,2)&amp;"/"&amp;RIGHT("00"&amp;$D1687,2)))</f>
        <v/>
      </c>
      <c r="F1687">
        <f>IF(Entry!$D1687&lt;&gt;"",IF(AND(ISNUMBER(Entry!$D1687),Entry!$D1687&gt;=0,Entry!$D1687&lt;1),RIGHT("00"&amp;HOUR(Entry!$D1687),2)&amp;":"&amp;RIGHT("00"&amp;MINUTE(Entry!$D1687),2),IFERROR(RIGHT("00"&amp;VALUE(TRIM(LEFT(Entry!$D1687,FIND(":",Entry!$D1687)-1))),2)&amp;":"&amp;RIGHT("00"&amp;VALUE(TRIM(MID(Entry!$D1687,FIND(":",Entry!$D1687)+1,2))),2),"نامعتبر")),IF(OR($E1687="",$E1687="نامعتبر"),"","00:00"))</f>
        <v/>
      </c>
      <c r="G1687">
        <f>IF(OR($E1687="",$E1687="نامعتبر"),"",IF(Entry!$E1687="","",LEFT(UPPER(TRIM(Entry!$E1687)),6)))</f>
        <v/>
      </c>
      <c r="H1687">
        <f>IF($G1687="","",RIGHT($E1687,4)&amp;MID($E1687,6,2)&amp;RIGHT($E1687,2)&amp;IF($F1687="","0000",IF($F1687="نامعتبر","9999",LEFT($F1687,2)&amp;RIGHT($F1687,2)))&amp;"|"&amp;RIGHT("00000"&amp;1679,5))</f>
        <v/>
      </c>
      <c r="I1687">
        <f>IF($H1687="","",COUNTIFS(CalcBank,$G1687,CalcKey,"&lt;"&amp;$H1687)+1)</f>
        <v/>
      </c>
      <c r="J1687">
        <f>IF($I1687="","",$G1687&amp;"|"&amp;RIGHT("000000"&amp;$I1687,6))</f>
        <v/>
      </c>
      <c r="K1687">
        <f>IF(OR($E1687="",$E1687="نامعتبر"),"",LEFT($E1687,4)&amp;"/"&amp;MID($E1687,6,2))</f>
        <v/>
      </c>
      <c r="L1687">
        <f>IF(Entry!$K1687="",0,Entry!$K1687)</f>
        <v/>
      </c>
      <c r="M1687">
        <f>IF(Entry!$L1687="",0,Entry!$L1687)</f>
        <v/>
      </c>
    </row>
    <row r="1688">
      <c r="A1688">
        <f>IF(Entry!$C1688="","",Entry!$C1688)</f>
        <v/>
      </c>
      <c r="B1688">
        <f>IF($A1688="","",IF(ISNUMBER($A1688),IF(AND($A1688&gt;=10000101,$A1688&lt;=99991231),INT($A1688/10000),""),IFERROR(VALUE(TRIM(LEFT($A1688,FIND("/",$A1688)-1))),"")))</f>
        <v/>
      </c>
      <c r="C1688">
        <f>IF(OR($A1688="",$B1688=""),"",IF(ISNUMBER($A1688),INT(MOD($A1688,10000)/100),IFERROR(VALUE(TRIM(LEFT(MID($A1688,FIND("/",$A1688)+1,20),FIND("/",MID($A1688,FIND("/",$A1688)+1,20))-1))),"")))</f>
        <v/>
      </c>
      <c r="D1688">
        <f>IF(OR($A1688="",$B1688=""),"",IF(ISNUMBER($A1688),MOD($A1688,100),IFERROR(VALUE(TRIM(MID(MID($A1688,FIND("/",$A1688)+1,20),FIND("/",MID($A1688,FIND("/",$A1688)+1,20))+1,20))),"")))</f>
        <v/>
      </c>
      <c r="E1688">
        <f>IF($A1688="","",IF(OR($B1688="",$C1688="",$D1688="",$B1688&lt;1300,$B1688&gt;1500,$C1688&lt;1,$C1688&gt;12,$D1688&lt;1,$D1688&gt;31),"نامعتبر",RIGHT("0000"&amp;$B1688,4)&amp;"/"&amp;RIGHT("00"&amp;$C1688,2)&amp;"/"&amp;RIGHT("00"&amp;$D1688,2)))</f>
        <v/>
      </c>
      <c r="F1688">
        <f>IF(Entry!$D1688&lt;&gt;"",IF(AND(ISNUMBER(Entry!$D1688),Entry!$D1688&gt;=0,Entry!$D1688&lt;1),RIGHT("00"&amp;HOUR(Entry!$D1688),2)&amp;":"&amp;RIGHT("00"&amp;MINUTE(Entry!$D1688),2),IFERROR(RIGHT("00"&amp;VALUE(TRIM(LEFT(Entry!$D1688,FIND(":",Entry!$D1688)-1))),2)&amp;":"&amp;RIGHT("00"&amp;VALUE(TRIM(MID(Entry!$D1688,FIND(":",Entry!$D1688)+1,2))),2),"نامعتبر")),IF(OR($E1688="",$E1688="نامعتبر"),"","00:00"))</f>
        <v/>
      </c>
      <c r="G1688">
        <f>IF(OR($E1688="",$E1688="نامعتبر"),"",IF(Entry!$E1688="","",LEFT(UPPER(TRIM(Entry!$E1688)),6)))</f>
        <v/>
      </c>
      <c r="H1688">
        <f>IF($G1688="","",RIGHT($E1688,4)&amp;MID($E1688,6,2)&amp;RIGHT($E1688,2)&amp;IF($F1688="","0000",IF($F1688="نامعتبر","9999",LEFT($F1688,2)&amp;RIGHT($F1688,2)))&amp;"|"&amp;RIGHT("00000"&amp;1680,5))</f>
        <v/>
      </c>
      <c r="I1688">
        <f>IF($H1688="","",COUNTIFS(CalcBank,$G1688,CalcKey,"&lt;"&amp;$H1688)+1)</f>
        <v/>
      </c>
      <c r="J1688">
        <f>IF($I1688="","",$G1688&amp;"|"&amp;RIGHT("000000"&amp;$I1688,6))</f>
        <v/>
      </c>
      <c r="K1688">
        <f>IF(OR($E1688="",$E1688="نامعتبر"),"",LEFT($E1688,4)&amp;"/"&amp;MID($E1688,6,2))</f>
        <v/>
      </c>
      <c r="L1688">
        <f>IF(Entry!$K1688="",0,Entry!$K1688)</f>
        <v/>
      </c>
      <c r="M1688">
        <f>IF(Entry!$L1688="",0,Entry!$L1688)</f>
        <v/>
      </c>
    </row>
    <row r="1689">
      <c r="A1689">
        <f>IF(Entry!$C1689="","",Entry!$C1689)</f>
        <v/>
      </c>
      <c r="B1689">
        <f>IF($A1689="","",IF(ISNUMBER($A1689),IF(AND($A1689&gt;=10000101,$A1689&lt;=99991231),INT($A1689/10000),""),IFERROR(VALUE(TRIM(LEFT($A1689,FIND("/",$A1689)-1))),"")))</f>
        <v/>
      </c>
      <c r="C1689">
        <f>IF(OR($A1689="",$B1689=""),"",IF(ISNUMBER($A1689),INT(MOD($A1689,10000)/100),IFERROR(VALUE(TRIM(LEFT(MID($A1689,FIND("/",$A1689)+1,20),FIND("/",MID($A1689,FIND("/",$A1689)+1,20))-1))),"")))</f>
        <v/>
      </c>
      <c r="D1689">
        <f>IF(OR($A1689="",$B1689=""),"",IF(ISNUMBER($A1689),MOD($A1689,100),IFERROR(VALUE(TRIM(MID(MID($A1689,FIND("/",$A1689)+1,20),FIND("/",MID($A1689,FIND("/",$A1689)+1,20))+1,20))),"")))</f>
        <v/>
      </c>
      <c r="E1689">
        <f>IF($A1689="","",IF(OR($B1689="",$C1689="",$D1689="",$B1689&lt;1300,$B1689&gt;1500,$C1689&lt;1,$C1689&gt;12,$D1689&lt;1,$D1689&gt;31),"نامعتبر",RIGHT("0000"&amp;$B1689,4)&amp;"/"&amp;RIGHT("00"&amp;$C1689,2)&amp;"/"&amp;RIGHT("00"&amp;$D1689,2)))</f>
        <v/>
      </c>
      <c r="F1689">
        <f>IF(Entry!$D1689&lt;&gt;"",IF(AND(ISNUMBER(Entry!$D1689),Entry!$D1689&gt;=0,Entry!$D1689&lt;1),RIGHT("00"&amp;HOUR(Entry!$D1689),2)&amp;":"&amp;RIGHT("00"&amp;MINUTE(Entry!$D1689),2),IFERROR(RIGHT("00"&amp;VALUE(TRIM(LEFT(Entry!$D1689,FIND(":",Entry!$D1689)-1))),2)&amp;":"&amp;RIGHT("00"&amp;VALUE(TRIM(MID(Entry!$D1689,FIND(":",Entry!$D1689)+1,2))),2),"نامعتبر")),IF(OR($E1689="",$E1689="نامعتبر"),"","00:00"))</f>
        <v/>
      </c>
      <c r="G1689">
        <f>IF(OR($E1689="",$E1689="نامعتبر"),"",IF(Entry!$E1689="","",LEFT(UPPER(TRIM(Entry!$E1689)),6)))</f>
        <v/>
      </c>
      <c r="H1689">
        <f>IF($G1689="","",RIGHT($E1689,4)&amp;MID($E1689,6,2)&amp;RIGHT($E1689,2)&amp;IF($F1689="","0000",IF($F1689="نامعتبر","9999",LEFT($F1689,2)&amp;RIGHT($F1689,2)))&amp;"|"&amp;RIGHT("00000"&amp;1681,5))</f>
        <v/>
      </c>
      <c r="I1689">
        <f>IF($H1689="","",COUNTIFS(CalcBank,$G1689,CalcKey,"&lt;"&amp;$H1689)+1)</f>
        <v/>
      </c>
      <c r="J1689">
        <f>IF($I1689="","",$G1689&amp;"|"&amp;RIGHT("000000"&amp;$I1689,6))</f>
        <v/>
      </c>
      <c r="K1689">
        <f>IF(OR($E1689="",$E1689="نامعتبر"),"",LEFT($E1689,4)&amp;"/"&amp;MID($E1689,6,2))</f>
        <v/>
      </c>
      <c r="L1689">
        <f>IF(Entry!$K1689="",0,Entry!$K1689)</f>
        <v/>
      </c>
      <c r="M1689">
        <f>IF(Entry!$L1689="",0,Entry!$L1689)</f>
        <v/>
      </c>
    </row>
    <row r="1690">
      <c r="A1690">
        <f>IF(Entry!$C1690="","",Entry!$C1690)</f>
        <v/>
      </c>
      <c r="B1690">
        <f>IF($A1690="","",IF(ISNUMBER($A1690),IF(AND($A1690&gt;=10000101,$A1690&lt;=99991231),INT($A1690/10000),""),IFERROR(VALUE(TRIM(LEFT($A1690,FIND("/",$A1690)-1))),"")))</f>
        <v/>
      </c>
      <c r="C1690">
        <f>IF(OR($A1690="",$B1690=""),"",IF(ISNUMBER($A1690),INT(MOD($A1690,10000)/100),IFERROR(VALUE(TRIM(LEFT(MID($A1690,FIND("/",$A1690)+1,20),FIND("/",MID($A1690,FIND("/",$A1690)+1,20))-1))),"")))</f>
        <v/>
      </c>
      <c r="D1690">
        <f>IF(OR($A1690="",$B1690=""),"",IF(ISNUMBER($A1690),MOD($A1690,100),IFERROR(VALUE(TRIM(MID(MID($A1690,FIND("/",$A1690)+1,20),FIND("/",MID($A1690,FIND("/",$A1690)+1,20))+1,20))),"")))</f>
        <v/>
      </c>
      <c r="E1690">
        <f>IF($A1690="","",IF(OR($B1690="",$C1690="",$D1690="",$B1690&lt;1300,$B1690&gt;1500,$C1690&lt;1,$C1690&gt;12,$D1690&lt;1,$D1690&gt;31),"نامعتبر",RIGHT("0000"&amp;$B1690,4)&amp;"/"&amp;RIGHT("00"&amp;$C1690,2)&amp;"/"&amp;RIGHT("00"&amp;$D1690,2)))</f>
        <v/>
      </c>
      <c r="F1690">
        <f>IF(Entry!$D1690&lt;&gt;"",IF(AND(ISNUMBER(Entry!$D1690),Entry!$D1690&gt;=0,Entry!$D1690&lt;1),RIGHT("00"&amp;HOUR(Entry!$D1690),2)&amp;":"&amp;RIGHT("00"&amp;MINUTE(Entry!$D1690),2),IFERROR(RIGHT("00"&amp;VALUE(TRIM(LEFT(Entry!$D1690,FIND(":",Entry!$D1690)-1))),2)&amp;":"&amp;RIGHT("00"&amp;VALUE(TRIM(MID(Entry!$D1690,FIND(":",Entry!$D1690)+1,2))),2),"نامعتبر")),IF(OR($E1690="",$E1690="نامعتبر"),"","00:00"))</f>
        <v/>
      </c>
      <c r="G1690">
        <f>IF(OR($E1690="",$E1690="نامعتبر"),"",IF(Entry!$E1690="","",LEFT(UPPER(TRIM(Entry!$E1690)),6)))</f>
        <v/>
      </c>
      <c r="H1690">
        <f>IF($G1690="","",RIGHT($E1690,4)&amp;MID($E1690,6,2)&amp;RIGHT($E1690,2)&amp;IF($F1690="","0000",IF($F1690="نامعتبر","9999",LEFT($F1690,2)&amp;RIGHT($F1690,2)))&amp;"|"&amp;RIGHT("00000"&amp;1682,5))</f>
        <v/>
      </c>
      <c r="I1690">
        <f>IF($H1690="","",COUNTIFS(CalcBank,$G1690,CalcKey,"&lt;"&amp;$H1690)+1)</f>
        <v/>
      </c>
      <c r="J1690">
        <f>IF($I1690="","",$G1690&amp;"|"&amp;RIGHT("000000"&amp;$I1690,6))</f>
        <v/>
      </c>
      <c r="K1690">
        <f>IF(OR($E1690="",$E1690="نامعتبر"),"",LEFT($E1690,4)&amp;"/"&amp;MID($E1690,6,2))</f>
        <v/>
      </c>
      <c r="L1690">
        <f>IF(Entry!$K1690="",0,Entry!$K1690)</f>
        <v/>
      </c>
      <c r="M1690">
        <f>IF(Entry!$L1690="",0,Entry!$L1690)</f>
        <v/>
      </c>
    </row>
    <row r="1691">
      <c r="A1691">
        <f>IF(Entry!$C1691="","",Entry!$C1691)</f>
        <v/>
      </c>
      <c r="B1691">
        <f>IF($A1691="","",IF(ISNUMBER($A1691),IF(AND($A1691&gt;=10000101,$A1691&lt;=99991231),INT($A1691/10000),""),IFERROR(VALUE(TRIM(LEFT($A1691,FIND("/",$A1691)-1))),"")))</f>
        <v/>
      </c>
      <c r="C1691">
        <f>IF(OR($A1691="",$B1691=""),"",IF(ISNUMBER($A1691),INT(MOD($A1691,10000)/100),IFERROR(VALUE(TRIM(LEFT(MID($A1691,FIND("/",$A1691)+1,20),FIND("/",MID($A1691,FIND("/",$A1691)+1,20))-1))),"")))</f>
        <v/>
      </c>
      <c r="D1691">
        <f>IF(OR($A1691="",$B1691=""),"",IF(ISNUMBER($A1691),MOD($A1691,100),IFERROR(VALUE(TRIM(MID(MID($A1691,FIND("/",$A1691)+1,20),FIND("/",MID($A1691,FIND("/",$A1691)+1,20))+1,20))),"")))</f>
        <v/>
      </c>
      <c r="E1691">
        <f>IF($A1691="","",IF(OR($B1691="",$C1691="",$D1691="",$B1691&lt;1300,$B1691&gt;1500,$C1691&lt;1,$C1691&gt;12,$D1691&lt;1,$D1691&gt;31),"نامعتبر",RIGHT("0000"&amp;$B1691,4)&amp;"/"&amp;RIGHT("00"&amp;$C1691,2)&amp;"/"&amp;RIGHT("00"&amp;$D1691,2)))</f>
        <v/>
      </c>
      <c r="F1691">
        <f>IF(Entry!$D1691&lt;&gt;"",IF(AND(ISNUMBER(Entry!$D1691),Entry!$D1691&gt;=0,Entry!$D1691&lt;1),RIGHT("00"&amp;HOUR(Entry!$D1691),2)&amp;":"&amp;RIGHT("00"&amp;MINUTE(Entry!$D1691),2),IFERROR(RIGHT("00"&amp;VALUE(TRIM(LEFT(Entry!$D1691,FIND(":",Entry!$D1691)-1))),2)&amp;":"&amp;RIGHT("00"&amp;VALUE(TRIM(MID(Entry!$D1691,FIND(":",Entry!$D1691)+1,2))),2),"نامعتبر")),IF(OR($E1691="",$E1691="نامعتبر"),"","00:00"))</f>
        <v/>
      </c>
      <c r="G1691">
        <f>IF(OR($E1691="",$E1691="نامعتبر"),"",IF(Entry!$E1691="","",LEFT(UPPER(TRIM(Entry!$E1691)),6)))</f>
        <v/>
      </c>
      <c r="H1691">
        <f>IF($G1691="","",RIGHT($E1691,4)&amp;MID($E1691,6,2)&amp;RIGHT($E1691,2)&amp;IF($F1691="","0000",IF($F1691="نامعتبر","9999",LEFT($F1691,2)&amp;RIGHT($F1691,2)))&amp;"|"&amp;RIGHT("00000"&amp;1683,5))</f>
        <v/>
      </c>
      <c r="I1691">
        <f>IF($H1691="","",COUNTIFS(CalcBank,$G1691,CalcKey,"&lt;"&amp;$H1691)+1)</f>
        <v/>
      </c>
      <c r="J1691">
        <f>IF($I1691="","",$G1691&amp;"|"&amp;RIGHT("000000"&amp;$I1691,6))</f>
        <v/>
      </c>
      <c r="K1691">
        <f>IF(OR($E1691="",$E1691="نامعتبر"),"",LEFT($E1691,4)&amp;"/"&amp;MID($E1691,6,2))</f>
        <v/>
      </c>
      <c r="L1691">
        <f>IF(Entry!$K1691="",0,Entry!$K1691)</f>
        <v/>
      </c>
      <c r="M1691">
        <f>IF(Entry!$L1691="",0,Entry!$L1691)</f>
        <v/>
      </c>
    </row>
    <row r="1692">
      <c r="A1692">
        <f>IF(Entry!$C1692="","",Entry!$C1692)</f>
        <v/>
      </c>
      <c r="B1692">
        <f>IF($A1692="","",IF(ISNUMBER($A1692),IF(AND($A1692&gt;=10000101,$A1692&lt;=99991231),INT($A1692/10000),""),IFERROR(VALUE(TRIM(LEFT($A1692,FIND("/",$A1692)-1))),"")))</f>
        <v/>
      </c>
      <c r="C1692">
        <f>IF(OR($A1692="",$B1692=""),"",IF(ISNUMBER($A1692),INT(MOD($A1692,10000)/100),IFERROR(VALUE(TRIM(LEFT(MID($A1692,FIND("/",$A1692)+1,20),FIND("/",MID($A1692,FIND("/",$A1692)+1,20))-1))),"")))</f>
        <v/>
      </c>
      <c r="D1692">
        <f>IF(OR($A1692="",$B1692=""),"",IF(ISNUMBER($A1692),MOD($A1692,100),IFERROR(VALUE(TRIM(MID(MID($A1692,FIND("/",$A1692)+1,20),FIND("/",MID($A1692,FIND("/",$A1692)+1,20))+1,20))),"")))</f>
        <v/>
      </c>
      <c r="E1692">
        <f>IF($A1692="","",IF(OR($B1692="",$C1692="",$D1692="",$B1692&lt;1300,$B1692&gt;1500,$C1692&lt;1,$C1692&gt;12,$D1692&lt;1,$D1692&gt;31),"نامعتبر",RIGHT("0000"&amp;$B1692,4)&amp;"/"&amp;RIGHT("00"&amp;$C1692,2)&amp;"/"&amp;RIGHT("00"&amp;$D1692,2)))</f>
        <v/>
      </c>
      <c r="F1692">
        <f>IF(Entry!$D1692&lt;&gt;"",IF(AND(ISNUMBER(Entry!$D1692),Entry!$D1692&gt;=0,Entry!$D1692&lt;1),RIGHT("00"&amp;HOUR(Entry!$D1692),2)&amp;":"&amp;RIGHT("00"&amp;MINUTE(Entry!$D1692),2),IFERROR(RIGHT("00"&amp;VALUE(TRIM(LEFT(Entry!$D1692,FIND(":",Entry!$D1692)-1))),2)&amp;":"&amp;RIGHT("00"&amp;VALUE(TRIM(MID(Entry!$D1692,FIND(":",Entry!$D1692)+1,2))),2),"نامعتبر")),IF(OR($E1692="",$E1692="نامعتبر"),"","00:00"))</f>
        <v/>
      </c>
      <c r="G1692">
        <f>IF(OR($E1692="",$E1692="نامعتبر"),"",IF(Entry!$E1692="","",LEFT(UPPER(TRIM(Entry!$E1692)),6)))</f>
        <v/>
      </c>
      <c r="H1692">
        <f>IF($G1692="","",RIGHT($E1692,4)&amp;MID($E1692,6,2)&amp;RIGHT($E1692,2)&amp;IF($F1692="","0000",IF($F1692="نامعتبر","9999",LEFT($F1692,2)&amp;RIGHT($F1692,2)))&amp;"|"&amp;RIGHT("00000"&amp;1684,5))</f>
        <v/>
      </c>
      <c r="I1692">
        <f>IF($H1692="","",COUNTIFS(CalcBank,$G1692,CalcKey,"&lt;"&amp;$H1692)+1)</f>
        <v/>
      </c>
      <c r="J1692">
        <f>IF($I1692="","",$G1692&amp;"|"&amp;RIGHT("000000"&amp;$I1692,6))</f>
        <v/>
      </c>
      <c r="K1692">
        <f>IF(OR($E1692="",$E1692="نامعتبر"),"",LEFT($E1692,4)&amp;"/"&amp;MID($E1692,6,2))</f>
        <v/>
      </c>
      <c r="L1692">
        <f>IF(Entry!$K1692="",0,Entry!$K1692)</f>
        <v/>
      </c>
      <c r="M1692">
        <f>IF(Entry!$L1692="",0,Entry!$L1692)</f>
        <v/>
      </c>
    </row>
    <row r="1693">
      <c r="A1693">
        <f>IF(Entry!$C1693="","",Entry!$C1693)</f>
        <v/>
      </c>
      <c r="B1693">
        <f>IF($A1693="","",IF(ISNUMBER($A1693),IF(AND($A1693&gt;=10000101,$A1693&lt;=99991231),INT($A1693/10000),""),IFERROR(VALUE(TRIM(LEFT($A1693,FIND("/",$A1693)-1))),"")))</f>
        <v/>
      </c>
      <c r="C1693">
        <f>IF(OR($A1693="",$B1693=""),"",IF(ISNUMBER($A1693),INT(MOD($A1693,10000)/100),IFERROR(VALUE(TRIM(LEFT(MID($A1693,FIND("/",$A1693)+1,20),FIND("/",MID($A1693,FIND("/",$A1693)+1,20))-1))),"")))</f>
        <v/>
      </c>
      <c r="D1693">
        <f>IF(OR($A1693="",$B1693=""),"",IF(ISNUMBER($A1693),MOD($A1693,100),IFERROR(VALUE(TRIM(MID(MID($A1693,FIND("/",$A1693)+1,20),FIND("/",MID($A1693,FIND("/",$A1693)+1,20))+1,20))),"")))</f>
        <v/>
      </c>
      <c r="E1693">
        <f>IF($A1693="","",IF(OR($B1693="",$C1693="",$D1693="",$B1693&lt;1300,$B1693&gt;1500,$C1693&lt;1,$C1693&gt;12,$D1693&lt;1,$D1693&gt;31),"نامعتبر",RIGHT("0000"&amp;$B1693,4)&amp;"/"&amp;RIGHT("00"&amp;$C1693,2)&amp;"/"&amp;RIGHT("00"&amp;$D1693,2)))</f>
        <v/>
      </c>
      <c r="F1693">
        <f>IF(Entry!$D1693&lt;&gt;"",IF(AND(ISNUMBER(Entry!$D1693),Entry!$D1693&gt;=0,Entry!$D1693&lt;1),RIGHT("00"&amp;HOUR(Entry!$D1693),2)&amp;":"&amp;RIGHT("00"&amp;MINUTE(Entry!$D1693),2),IFERROR(RIGHT("00"&amp;VALUE(TRIM(LEFT(Entry!$D1693,FIND(":",Entry!$D1693)-1))),2)&amp;":"&amp;RIGHT("00"&amp;VALUE(TRIM(MID(Entry!$D1693,FIND(":",Entry!$D1693)+1,2))),2),"نامعتبر")),IF(OR($E1693="",$E1693="نامعتبر"),"","00:00"))</f>
        <v/>
      </c>
      <c r="G1693">
        <f>IF(OR($E1693="",$E1693="نامعتبر"),"",IF(Entry!$E1693="","",LEFT(UPPER(TRIM(Entry!$E1693)),6)))</f>
        <v/>
      </c>
      <c r="H1693">
        <f>IF($G1693="","",RIGHT($E1693,4)&amp;MID($E1693,6,2)&amp;RIGHT($E1693,2)&amp;IF($F1693="","0000",IF($F1693="نامعتبر","9999",LEFT($F1693,2)&amp;RIGHT($F1693,2)))&amp;"|"&amp;RIGHT("00000"&amp;1685,5))</f>
        <v/>
      </c>
      <c r="I1693">
        <f>IF($H1693="","",COUNTIFS(CalcBank,$G1693,CalcKey,"&lt;"&amp;$H1693)+1)</f>
        <v/>
      </c>
      <c r="J1693">
        <f>IF($I1693="","",$G1693&amp;"|"&amp;RIGHT("000000"&amp;$I1693,6))</f>
        <v/>
      </c>
      <c r="K1693">
        <f>IF(OR($E1693="",$E1693="نامعتبر"),"",LEFT($E1693,4)&amp;"/"&amp;MID($E1693,6,2))</f>
        <v/>
      </c>
      <c r="L1693">
        <f>IF(Entry!$K1693="",0,Entry!$K1693)</f>
        <v/>
      </c>
      <c r="M1693">
        <f>IF(Entry!$L1693="",0,Entry!$L1693)</f>
        <v/>
      </c>
    </row>
    <row r="1694">
      <c r="A1694">
        <f>IF(Entry!$C1694="","",Entry!$C1694)</f>
        <v/>
      </c>
      <c r="B1694">
        <f>IF($A1694="","",IF(ISNUMBER($A1694),IF(AND($A1694&gt;=10000101,$A1694&lt;=99991231),INT($A1694/10000),""),IFERROR(VALUE(TRIM(LEFT($A1694,FIND("/",$A1694)-1))),"")))</f>
        <v/>
      </c>
      <c r="C1694">
        <f>IF(OR($A1694="",$B1694=""),"",IF(ISNUMBER($A1694),INT(MOD($A1694,10000)/100),IFERROR(VALUE(TRIM(LEFT(MID($A1694,FIND("/",$A1694)+1,20),FIND("/",MID($A1694,FIND("/",$A1694)+1,20))-1))),"")))</f>
        <v/>
      </c>
      <c r="D1694">
        <f>IF(OR($A1694="",$B1694=""),"",IF(ISNUMBER($A1694),MOD($A1694,100),IFERROR(VALUE(TRIM(MID(MID($A1694,FIND("/",$A1694)+1,20),FIND("/",MID($A1694,FIND("/",$A1694)+1,20))+1,20))),"")))</f>
        <v/>
      </c>
      <c r="E1694">
        <f>IF($A1694="","",IF(OR($B1694="",$C1694="",$D1694="",$B1694&lt;1300,$B1694&gt;1500,$C1694&lt;1,$C1694&gt;12,$D1694&lt;1,$D1694&gt;31),"نامعتبر",RIGHT("0000"&amp;$B1694,4)&amp;"/"&amp;RIGHT("00"&amp;$C1694,2)&amp;"/"&amp;RIGHT("00"&amp;$D1694,2)))</f>
        <v/>
      </c>
      <c r="F1694">
        <f>IF(Entry!$D1694&lt;&gt;"",IF(AND(ISNUMBER(Entry!$D1694),Entry!$D1694&gt;=0,Entry!$D1694&lt;1),RIGHT("00"&amp;HOUR(Entry!$D1694),2)&amp;":"&amp;RIGHT("00"&amp;MINUTE(Entry!$D1694),2),IFERROR(RIGHT("00"&amp;VALUE(TRIM(LEFT(Entry!$D1694,FIND(":",Entry!$D1694)-1))),2)&amp;":"&amp;RIGHT("00"&amp;VALUE(TRIM(MID(Entry!$D1694,FIND(":",Entry!$D1694)+1,2))),2),"نامعتبر")),IF(OR($E1694="",$E1694="نامعتبر"),"","00:00"))</f>
        <v/>
      </c>
      <c r="G1694">
        <f>IF(OR($E1694="",$E1694="نامعتبر"),"",IF(Entry!$E1694="","",LEFT(UPPER(TRIM(Entry!$E1694)),6)))</f>
        <v/>
      </c>
      <c r="H1694">
        <f>IF($G1694="","",RIGHT($E1694,4)&amp;MID($E1694,6,2)&amp;RIGHT($E1694,2)&amp;IF($F1694="","0000",IF($F1694="نامعتبر","9999",LEFT($F1694,2)&amp;RIGHT($F1694,2)))&amp;"|"&amp;RIGHT("00000"&amp;1686,5))</f>
        <v/>
      </c>
      <c r="I1694">
        <f>IF($H1694="","",COUNTIFS(CalcBank,$G1694,CalcKey,"&lt;"&amp;$H1694)+1)</f>
        <v/>
      </c>
      <c r="J1694">
        <f>IF($I1694="","",$G1694&amp;"|"&amp;RIGHT("000000"&amp;$I1694,6))</f>
        <v/>
      </c>
      <c r="K1694">
        <f>IF(OR($E1694="",$E1694="نامعتبر"),"",LEFT($E1694,4)&amp;"/"&amp;MID($E1694,6,2))</f>
        <v/>
      </c>
      <c r="L1694">
        <f>IF(Entry!$K1694="",0,Entry!$K1694)</f>
        <v/>
      </c>
      <c r="M1694">
        <f>IF(Entry!$L1694="",0,Entry!$L1694)</f>
        <v/>
      </c>
    </row>
    <row r="1695">
      <c r="A1695">
        <f>IF(Entry!$C1695="","",Entry!$C1695)</f>
        <v/>
      </c>
      <c r="B1695">
        <f>IF($A1695="","",IF(ISNUMBER($A1695),IF(AND($A1695&gt;=10000101,$A1695&lt;=99991231),INT($A1695/10000),""),IFERROR(VALUE(TRIM(LEFT($A1695,FIND("/",$A1695)-1))),"")))</f>
        <v/>
      </c>
      <c r="C1695">
        <f>IF(OR($A1695="",$B1695=""),"",IF(ISNUMBER($A1695),INT(MOD($A1695,10000)/100),IFERROR(VALUE(TRIM(LEFT(MID($A1695,FIND("/",$A1695)+1,20),FIND("/",MID($A1695,FIND("/",$A1695)+1,20))-1))),"")))</f>
        <v/>
      </c>
      <c r="D1695">
        <f>IF(OR($A1695="",$B1695=""),"",IF(ISNUMBER($A1695),MOD($A1695,100),IFERROR(VALUE(TRIM(MID(MID($A1695,FIND("/",$A1695)+1,20),FIND("/",MID($A1695,FIND("/",$A1695)+1,20))+1,20))),"")))</f>
        <v/>
      </c>
      <c r="E1695">
        <f>IF($A1695="","",IF(OR($B1695="",$C1695="",$D1695="",$B1695&lt;1300,$B1695&gt;1500,$C1695&lt;1,$C1695&gt;12,$D1695&lt;1,$D1695&gt;31),"نامعتبر",RIGHT("0000"&amp;$B1695,4)&amp;"/"&amp;RIGHT("00"&amp;$C1695,2)&amp;"/"&amp;RIGHT("00"&amp;$D1695,2)))</f>
        <v/>
      </c>
      <c r="F1695">
        <f>IF(Entry!$D1695&lt;&gt;"",IF(AND(ISNUMBER(Entry!$D1695),Entry!$D1695&gt;=0,Entry!$D1695&lt;1),RIGHT("00"&amp;HOUR(Entry!$D1695),2)&amp;":"&amp;RIGHT("00"&amp;MINUTE(Entry!$D1695),2),IFERROR(RIGHT("00"&amp;VALUE(TRIM(LEFT(Entry!$D1695,FIND(":",Entry!$D1695)-1))),2)&amp;":"&amp;RIGHT("00"&amp;VALUE(TRIM(MID(Entry!$D1695,FIND(":",Entry!$D1695)+1,2))),2),"نامعتبر")),IF(OR($E1695="",$E1695="نامعتبر"),"","00:00"))</f>
        <v/>
      </c>
      <c r="G1695">
        <f>IF(OR($E1695="",$E1695="نامعتبر"),"",IF(Entry!$E1695="","",LEFT(UPPER(TRIM(Entry!$E1695)),6)))</f>
        <v/>
      </c>
      <c r="H1695">
        <f>IF($G1695="","",RIGHT($E1695,4)&amp;MID($E1695,6,2)&amp;RIGHT($E1695,2)&amp;IF($F1695="","0000",IF($F1695="نامعتبر","9999",LEFT($F1695,2)&amp;RIGHT($F1695,2)))&amp;"|"&amp;RIGHT("00000"&amp;1687,5))</f>
        <v/>
      </c>
      <c r="I1695">
        <f>IF($H1695="","",COUNTIFS(CalcBank,$G1695,CalcKey,"&lt;"&amp;$H1695)+1)</f>
        <v/>
      </c>
      <c r="J1695">
        <f>IF($I1695="","",$G1695&amp;"|"&amp;RIGHT("000000"&amp;$I1695,6))</f>
        <v/>
      </c>
      <c r="K1695">
        <f>IF(OR($E1695="",$E1695="نامعتبر"),"",LEFT($E1695,4)&amp;"/"&amp;MID($E1695,6,2))</f>
        <v/>
      </c>
      <c r="L1695">
        <f>IF(Entry!$K1695="",0,Entry!$K1695)</f>
        <v/>
      </c>
      <c r="M1695">
        <f>IF(Entry!$L1695="",0,Entry!$L1695)</f>
        <v/>
      </c>
    </row>
    <row r="1696">
      <c r="A1696">
        <f>IF(Entry!$C1696="","",Entry!$C1696)</f>
        <v/>
      </c>
      <c r="B1696">
        <f>IF($A1696="","",IF(ISNUMBER($A1696),IF(AND($A1696&gt;=10000101,$A1696&lt;=99991231),INT($A1696/10000),""),IFERROR(VALUE(TRIM(LEFT($A1696,FIND("/",$A1696)-1))),"")))</f>
        <v/>
      </c>
      <c r="C1696">
        <f>IF(OR($A1696="",$B1696=""),"",IF(ISNUMBER($A1696),INT(MOD($A1696,10000)/100),IFERROR(VALUE(TRIM(LEFT(MID($A1696,FIND("/",$A1696)+1,20),FIND("/",MID($A1696,FIND("/",$A1696)+1,20))-1))),"")))</f>
        <v/>
      </c>
      <c r="D1696">
        <f>IF(OR($A1696="",$B1696=""),"",IF(ISNUMBER($A1696),MOD($A1696,100),IFERROR(VALUE(TRIM(MID(MID($A1696,FIND("/",$A1696)+1,20),FIND("/",MID($A1696,FIND("/",$A1696)+1,20))+1,20))),"")))</f>
        <v/>
      </c>
      <c r="E1696">
        <f>IF($A1696="","",IF(OR($B1696="",$C1696="",$D1696="",$B1696&lt;1300,$B1696&gt;1500,$C1696&lt;1,$C1696&gt;12,$D1696&lt;1,$D1696&gt;31),"نامعتبر",RIGHT("0000"&amp;$B1696,4)&amp;"/"&amp;RIGHT("00"&amp;$C1696,2)&amp;"/"&amp;RIGHT("00"&amp;$D1696,2)))</f>
        <v/>
      </c>
      <c r="F1696">
        <f>IF(Entry!$D1696&lt;&gt;"",IF(AND(ISNUMBER(Entry!$D1696),Entry!$D1696&gt;=0,Entry!$D1696&lt;1),RIGHT("00"&amp;HOUR(Entry!$D1696),2)&amp;":"&amp;RIGHT("00"&amp;MINUTE(Entry!$D1696),2),IFERROR(RIGHT("00"&amp;VALUE(TRIM(LEFT(Entry!$D1696,FIND(":",Entry!$D1696)-1))),2)&amp;":"&amp;RIGHT("00"&amp;VALUE(TRIM(MID(Entry!$D1696,FIND(":",Entry!$D1696)+1,2))),2),"نامعتبر")),IF(OR($E1696="",$E1696="نامعتبر"),"","00:00"))</f>
        <v/>
      </c>
      <c r="G1696">
        <f>IF(OR($E1696="",$E1696="نامعتبر"),"",IF(Entry!$E1696="","",LEFT(UPPER(TRIM(Entry!$E1696)),6)))</f>
        <v/>
      </c>
      <c r="H1696">
        <f>IF($G1696="","",RIGHT($E1696,4)&amp;MID($E1696,6,2)&amp;RIGHT($E1696,2)&amp;IF($F1696="","0000",IF($F1696="نامعتبر","9999",LEFT($F1696,2)&amp;RIGHT($F1696,2)))&amp;"|"&amp;RIGHT("00000"&amp;1688,5))</f>
        <v/>
      </c>
      <c r="I1696">
        <f>IF($H1696="","",COUNTIFS(CalcBank,$G1696,CalcKey,"&lt;"&amp;$H1696)+1)</f>
        <v/>
      </c>
      <c r="J1696">
        <f>IF($I1696="","",$G1696&amp;"|"&amp;RIGHT("000000"&amp;$I1696,6))</f>
        <v/>
      </c>
      <c r="K1696">
        <f>IF(OR($E1696="",$E1696="نامعتبر"),"",LEFT($E1696,4)&amp;"/"&amp;MID($E1696,6,2))</f>
        <v/>
      </c>
      <c r="L1696">
        <f>IF(Entry!$K1696="",0,Entry!$K1696)</f>
        <v/>
      </c>
      <c r="M1696">
        <f>IF(Entry!$L1696="",0,Entry!$L1696)</f>
        <v/>
      </c>
    </row>
    <row r="1697">
      <c r="A1697">
        <f>IF(Entry!$C1697="","",Entry!$C1697)</f>
        <v/>
      </c>
      <c r="B1697">
        <f>IF($A1697="","",IF(ISNUMBER($A1697),IF(AND($A1697&gt;=10000101,$A1697&lt;=99991231),INT($A1697/10000),""),IFERROR(VALUE(TRIM(LEFT($A1697,FIND("/",$A1697)-1))),"")))</f>
        <v/>
      </c>
      <c r="C1697">
        <f>IF(OR($A1697="",$B1697=""),"",IF(ISNUMBER($A1697),INT(MOD($A1697,10000)/100),IFERROR(VALUE(TRIM(LEFT(MID($A1697,FIND("/",$A1697)+1,20),FIND("/",MID($A1697,FIND("/",$A1697)+1,20))-1))),"")))</f>
        <v/>
      </c>
      <c r="D1697">
        <f>IF(OR($A1697="",$B1697=""),"",IF(ISNUMBER($A1697),MOD($A1697,100),IFERROR(VALUE(TRIM(MID(MID($A1697,FIND("/",$A1697)+1,20),FIND("/",MID($A1697,FIND("/",$A1697)+1,20))+1,20))),"")))</f>
        <v/>
      </c>
      <c r="E1697">
        <f>IF($A1697="","",IF(OR($B1697="",$C1697="",$D1697="",$B1697&lt;1300,$B1697&gt;1500,$C1697&lt;1,$C1697&gt;12,$D1697&lt;1,$D1697&gt;31),"نامعتبر",RIGHT("0000"&amp;$B1697,4)&amp;"/"&amp;RIGHT("00"&amp;$C1697,2)&amp;"/"&amp;RIGHT("00"&amp;$D1697,2)))</f>
        <v/>
      </c>
      <c r="F1697">
        <f>IF(Entry!$D1697&lt;&gt;"",IF(AND(ISNUMBER(Entry!$D1697),Entry!$D1697&gt;=0,Entry!$D1697&lt;1),RIGHT("00"&amp;HOUR(Entry!$D1697),2)&amp;":"&amp;RIGHT("00"&amp;MINUTE(Entry!$D1697),2),IFERROR(RIGHT("00"&amp;VALUE(TRIM(LEFT(Entry!$D1697,FIND(":",Entry!$D1697)-1))),2)&amp;":"&amp;RIGHT("00"&amp;VALUE(TRIM(MID(Entry!$D1697,FIND(":",Entry!$D1697)+1,2))),2),"نامعتبر")),IF(OR($E1697="",$E1697="نامعتبر"),"","00:00"))</f>
        <v/>
      </c>
      <c r="G1697">
        <f>IF(OR($E1697="",$E1697="نامعتبر"),"",IF(Entry!$E1697="","",LEFT(UPPER(TRIM(Entry!$E1697)),6)))</f>
        <v/>
      </c>
      <c r="H1697">
        <f>IF($G1697="","",RIGHT($E1697,4)&amp;MID($E1697,6,2)&amp;RIGHT($E1697,2)&amp;IF($F1697="","0000",IF($F1697="نامعتبر","9999",LEFT($F1697,2)&amp;RIGHT($F1697,2)))&amp;"|"&amp;RIGHT("00000"&amp;1689,5))</f>
        <v/>
      </c>
      <c r="I1697">
        <f>IF($H1697="","",COUNTIFS(CalcBank,$G1697,CalcKey,"&lt;"&amp;$H1697)+1)</f>
        <v/>
      </c>
      <c r="J1697">
        <f>IF($I1697="","",$G1697&amp;"|"&amp;RIGHT("000000"&amp;$I1697,6))</f>
        <v/>
      </c>
      <c r="K1697">
        <f>IF(OR($E1697="",$E1697="نامعتبر"),"",LEFT($E1697,4)&amp;"/"&amp;MID($E1697,6,2))</f>
        <v/>
      </c>
      <c r="L1697">
        <f>IF(Entry!$K1697="",0,Entry!$K1697)</f>
        <v/>
      </c>
      <c r="M1697">
        <f>IF(Entry!$L1697="",0,Entry!$L1697)</f>
        <v/>
      </c>
    </row>
    <row r="1698">
      <c r="A1698">
        <f>IF(Entry!$C1698="","",Entry!$C1698)</f>
        <v/>
      </c>
      <c r="B1698">
        <f>IF($A1698="","",IF(ISNUMBER($A1698),IF(AND($A1698&gt;=10000101,$A1698&lt;=99991231),INT($A1698/10000),""),IFERROR(VALUE(TRIM(LEFT($A1698,FIND("/",$A1698)-1))),"")))</f>
        <v/>
      </c>
      <c r="C1698">
        <f>IF(OR($A1698="",$B1698=""),"",IF(ISNUMBER($A1698),INT(MOD($A1698,10000)/100),IFERROR(VALUE(TRIM(LEFT(MID($A1698,FIND("/",$A1698)+1,20),FIND("/",MID($A1698,FIND("/",$A1698)+1,20))-1))),"")))</f>
        <v/>
      </c>
      <c r="D1698">
        <f>IF(OR($A1698="",$B1698=""),"",IF(ISNUMBER($A1698),MOD($A1698,100),IFERROR(VALUE(TRIM(MID(MID($A1698,FIND("/",$A1698)+1,20),FIND("/",MID($A1698,FIND("/",$A1698)+1,20))+1,20))),"")))</f>
        <v/>
      </c>
      <c r="E1698">
        <f>IF($A1698="","",IF(OR($B1698="",$C1698="",$D1698="",$B1698&lt;1300,$B1698&gt;1500,$C1698&lt;1,$C1698&gt;12,$D1698&lt;1,$D1698&gt;31),"نامعتبر",RIGHT("0000"&amp;$B1698,4)&amp;"/"&amp;RIGHT("00"&amp;$C1698,2)&amp;"/"&amp;RIGHT("00"&amp;$D1698,2)))</f>
        <v/>
      </c>
      <c r="F1698">
        <f>IF(Entry!$D1698&lt;&gt;"",IF(AND(ISNUMBER(Entry!$D1698),Entry!$D1698&gt;=0,Entry!$D1698&lt;1),RIGHT("00"&amp;HOUR(Entry!$D1698),2)&amp;":"&amp;RIGHT("00"&amp;MINUTE(Entry!$D1698),2),IFERROR(RIGHT("00"&amp;VALUE(TRIM(LEFT(Entry!$D1698,FIND(":",Entry!$D1698)-1))),2)&amp;":"&amp;RIGHT("00"&amp;VALUE(TRIM(MID(Entry!$D1698,FIND(":",Entry!$D1698)+1,2))),2),"نامعتبر")),IF(OR($E1698="",$E1698="نامعتبر"),"","00:00"))</f>
        <v/>
      </c>
      <c r="G1698">
        <f>IF(OR($E1698="",$E1698="نامعتبر"),"",IF(Entry!$E1698="","",LEFT(UPPER(TRIM(Entry!$E1698)),6)))</f>
        <v/>
      </c>
      <c r="H1698">
        <f>IF($G1698="","",RIGHT($E1698,4)&amp;MID($E1698,6,2)&amp;RIGHT($E1698,2)&amp;IF($F1698="","0000",IF($F1698="نامعتبر","9999",LEFT($F1698,2)&amp;RIGHT($F1698,2)))&amp;"|"&amp;RIGHT("00000"&amp;1690,5))</f>
        <v/>
      </c>
      <c r="I1698">
        <f>IF($H1698="","",COUNTIFS(CalcBank,$G1698,CalcKey,"&lt;"&amp;$H1698)+1)</f>
        <v/>
      </c>
      <c r="J1698">
        <f>IF($I1698="","",$G1698&amp;"|"&amp;RIGHT("000000"&amp;$I1698,6))</f>
        <v/>
      </c>
      <c r="K1698">
        <f>IF(OR($E1698="",$E1698="نامعتبر"),"",LEFT($E1698,4)&amp;"/"&amp;MID($E1698,6,2))</f>
        <v/>
      </c>
      <c r="L1698">
        <f>IF(Entry!$K1698="",0,Entry!$K1698)</f>
        <v/>
      </c>
      <c r="M1698">
        <f>IF(Entry!$L1698="",0,Entry!$L1698)</f>
        <v/>
      </c>
    </row>
    <row r="1699">
      <c r="A1699">
        <f>IF(Entry!$C1699="","",Entry!$C1699)</f>
        <v/>
      </c>
      <c r="B1699">
        <f>IF($A1699="","",IF(ISNUMBER($A1699),IF(AND($A1699&gt;=10000101,$A1699&lt;=99991231),INT($A1699/10000),""),IFERROR(VALUE(TRIM(LEFT($A1699,FIND("/",$A1699)-1))),"")))</f>
        <v/>
      </c>
      <c r="C1699">
        <f>IF(OR($A1699="",$B1699=""),"",IF(ISNUMBER($A1699),INT(MOD($A1699,10000)/100),IFERROR(VALUE(TRIM(LEFT(MID($A1699,FIND("/",$A1699)+1,20),FIND("/",MID($A1699,FIND("/",$A1699)+1,20))-1))),"")))</f>
        <v/>
      </c>
      <c r="D1699">
        <f>IF(OR($A1699="",$B1699=""),"",IF(ISNUMBER($A1699),MOD($A1699,100),IFERROR(VALUE(TRIM(MID(MID($A1699,FIND("/",$A1699)+1,20),FIND("/",MID($A1699,FIND("/",$A1699)+1,20))+1,20))),"")))</f>
        <v/>
      </c>
      <c r="E1699">
        <f>IF($A1699="","",IF(OR($B1699="",$C1699="",$D1699="",$B1699&lt;1300,$B1699&gt;1500,$C1699&lt;1,$C1699&gt;12,$D1699&lt;1,$D1699&gt;31),"نامعتبر",RIGHT("0000"&amp;$B1699,4)&amp;"/"&amp;RIGHT("00"&amp;$C1699,2)&amp;"/"&amp;RIGHT("00"&amp;$D1699,2)))</f>
        <v/>
      </c>
      <c r="F1699">
        <f>IF(Entry!$D1699&lt;&gt;"",IF(AND(ISNUMBER(Entry!$D1699),Entry!$D1699&gt;=0,Entry!$D1699&lt;1),RIGHT("00"&amp;HOUR(Entry!$D1699),2)&amp;":"&amp;RIGHT("00"&amp;MINUTE(Entry!$D1699),2),IFERROR(RIGHT("00"&amp;VALUE(TRIM(LEFT(Entry!$D1699,FIND(":",Entry!$D1699)-1))),2)&amp;":"&amp;RIGHT("00"&amp;VALUE(TRIM(MID(Entry!$D1699,FIND(":",Entry!$D1699)+1,2))),2),"نامعتبر")),IF(OR($E1699="",$E1699="نامعتبر"),"","00:00"))</f>
        <v/>
      </c>
      <c r="G1699">
        <f>IF(OR($E1699="",$E1699="نامعتبر"),"",IF(Entry!$E1699="","",LEFT(UPPER(TRIM(Entry!$E1699)),6)))</f>
        <v/>
      </c>
      <c r="H1699">
        <f>IF($G1699="","",RIGHT($E1699,4)&amp;MID($E1699,6,2)&amp;RIGHT($E1699,2)&amp;IF($F1699="","0000",IF($F1699="نامعتبر","9999",LEFT($F1699,2)&amp;RIGHT($F1699,2)))&amp;"|"&amp;RIGHT("00000"&amp;1691,5))</f>
        <v/>
      </c>
      <c r="I1699">
        <f>IF($H1699="","",COUNTIFS(CalcBank,$G1699,CalcKey,"&lt;"&amp;$H1699)+1)</f>
        <v/>
      </c>
      <c r="J1699">
        <f>IF($I1699="","",$G1699&amp;"|"&amp;RIGHT("000000"&amp;$I1699,6))</f>
        <v/>
      </c>
      <c r="K1699">
        <f>IF(OR($E1699="",$E1699="نامعتبر"),"",LEFT($E1699,4)&amp;"/"&amp;MID($E1699,6,2))</f>
        <v/>
      </c>
      <c r="L1699">
        <f>IF(Entry!$K1699="",0,Entry!$K1699)</f>
        <v/>
      </c>
      <c r="M1699">
        <f>IF(Entry!$L1699="",0,Entry!$L1699)</f>
        <v/>
      </c>
    </row>
    <row r="1700">
      <c r="A1700">
        <f>IF(Entry!$C1700="","",Entry!$C1700)</f>
        <v/>
      </c>
      <c r="B1700">
        <f>IF($A1700="","",IF(ISNUMBER($A1700),IF(AND($A1700&gt;=10000101,$A1700&lt;=99991231),INT($A1700/10000),""),IFERROR(VALUE(TRIM(LEFT($A1700,FIND("/",$A1700)-1))),"")))</f>
        <v/>
      </c>
      <c r="C1700">
        <f>IF(OR($A1700="",$B1700=""),"",IF(ISNUMBER($A1700),INT(MOD($A1700,10000)/100),IFERROR(VALUE(TRIM(LEFT(MID($A1700,FIND("/",$A1700)+1,20),FIND("/",MID($A1700,FIND("/",$A1700)+1,20))-1))),"")))</f>
        <v/>
      </c>
      <c r="D1700">
        <f>IF(OR($A1700="",$B1700=""),"",IF(ISNUMBER($A1700),MOD($A1700,100),IFERROR(VALUE(TRIM(MID(MID($A1700,FIND("/",$A1700)+1,20),FIND("/",MID($A1700,FIND("/",$A1700)+1,20))+1,20))),"")))</f>
        <v/>
      </c>
      <c r="E1700">
        <f>IF($A1700="","",IF(OR($B1700="",$C1700="",$D1700="",$B1700&lt;1300,$B1700&gt;1500,$C1700&lt;1,$C1700&gt;12,$D1700&lt;1,$D1700&gt;31),"نامعتبر",RIGHT("0000"&amp;$B1700,4)&amp;"/"&amp;RIGHT("00"&amp;$C1700,2)&amp;"/"&amp;RIGHT("00"&amp;$D1700,2)))</f>
        <v/>
      </c>
      <c r="F1700">
        <f>IF(Entry!$D1700&lt;&gt;"",IF(AND(ISNUMBER(Entry!$D1700),Entry!$D1700&gt;=0,Entry!$D1700&lt;1),RIGHT("00"&amp;HOUR(Entry!$D1700),2)&amp;":"&amp;RIGHT("00"&amp;MINUTE(Entry!$D1700),2),IFERROR(RIGHT("00"&amp;VALUE(TRIM(LEFT(Entry!$D1700,FIND(":",Entry!$D1700)-1))),2)&amp;":"&amp;RIGHT("00"&amp;VALUE(TRIM(MID(Entry!$D1700,FIND(":",Entry!$D1700)+1,2))),2),"نامعتبر")),IF(OR($E1700="",$E1700="نامعتبر"),"","00:00"))</f>
        <v/>
      </c>
      <c r="G1700">
        <f>IF(OR($E1700="",$E1700="نامعتبر"),"",IF(Entry!$E1700="","",LEFT(UPPER(TRIM(Entry!$E1700)),6)))</f>
        <v/>
      </c>
      <c r="H1700">
        <f>IF($G1700="","",RIGHT($E1700,4)&amp;MID($E1700,6,2)&amp;RIGHT($E1700,2)&amp;IF($F1700="","0000",IF($F1700="نامعتبر","9999",LEFT($F1700,2)&amp;RIGHT($F1700,2)))&amp;"|"&amp;RIGHT("00000"&amp;1692,5))</f>
        <v/>
      </c>
      <c r="I1700">
        <f>IF($H1700="","",COUNTIFS(CalcBank,$G1700,CalcKey,"&lt;"&amp;$H1700)+1)</f>
        <v/>
      </c>
      <c r="J1700">
        <f>IF($I1700="","",$G1700&amp;"|"&amp;RIGHT("000000"&amp;$I1700,6))</f>
        <v/>
      </c>
      <c r="K1700">
        <f>IF(OR($E1700="",$E1700="نامعتبر"),"",LEFT($E1700,4)&amp;"/"&amp;MID($E1700,6,2))</f>
        <v/>
      </c>
      <c r="L1700">
        <f>IF(Entry!$K1700="",0,Entry!$K1700)</f>
        <v/>
      </c>
      <c r="M1700">
        <f>IF(Entry!$L1700="",0,Entry!$L1700)</f>
        <v/>
      </c>
    </row>
    <row r="1701">
      <c r="A1701">
        <f>IF(Entry!$C1701="","",Entry!$C1701)</f>
        <v/>
      </c>
      <c r="B1701">
        <f>IF($A1701="","",IF(ISNUMBER($A1701),IF(AND($A1701&gt;=10000101,$A1701&lt;=99991231),INT($A1701/10000),""),IFERROR(VALUE(TRIM(LEFT($A1701,FIND("/",$A1701)-1))),"")))</f>
        <v/>
      </c>
      <c r="C1701">
        <f>IF(OR($A1701="",$B1701=""),"",IF(ISNUMBER($A1701),INT(MOD($A1701,10000)/100),IFERROR(VALUE(TRIM(LEFT(MID($A1701,FIND("/",$A1701)+1,20),FIND("/",MID($A1701,FIND("/",$A1701)+1,20))-1))),"")))</f>
        <v/>
      </c>
      <c r="D1701">
        <f>IF(OR($A1701="",$B1701=""),"",IF(ISNUMBER($A1701),MOD($A1701,100),IFERROR(VALUE(TRIM(MID(MID($A1701,FIND("/",$A1701)+1,20),FIND("/",MID($A1701,FIND("/",$A1701)+1,20))+1,20))),"")))</f>
        <v/>
      </c>
      <c r="E1701">
        <f>IF($A1701="","",IF(OR($B1701="",$C1701="",$D1701="",$B1701&lt;1300,$B1701&gt;1500,$C1701&lt;1,$C1701&gt;12,$D1701&lt;1,$D1701&gt;31),"نامعتبر",RIGHT("0000"&amp;$B1701,4)&amp;"/"&amp;RIGHT("00"&amp;$C1701,2)&amp;"/"&amp;RIGHT("00"&amp;$D1701,2)))</f>
        <v/>
      </c>
      <c r="F1701">
        <f>IF(Entry!$D1701&lt;&gt;"",IF(AND(ISNUMBER(Entry!$D1701),Entry!$D1701&gt;=0,Entry!$D1701&lt;1),RIGHT("00"&amp;HOUR(Entry!$D1701),2)&amp;":"&amp;RIGHT("00"&amp;MINUTE(Entry!$D1701),2),IFERROR(RIGHT("00"&amp;VALUE(TRIM(LEFT(Entry!$D1701,FIND(":",Entry!$D1701)-1))),2)&amp;":"&amp;RIGHT("00"&amp;VALUE(TRIM(MID(Entry!$D1701,FIND(":",Entry!$D1701)+1,2))),2),"نامعتبر")),IF(OR($E1701="",$E1701="نامعتبر"),"","00:00"))</f>
        <v/>
      </c>
      <c r="G1701">
        <f>IF(OR($E1701="",$E1701="نامعتبر"),"",IF(Entry!$E1701="","",LEFT(UPPER(TRIM(Entry!$E1701)),6)))</f>
        <v/>
      </c>
      <c r="H1701">
        <f>IF($G1701="","",RIGHT($E1701,4)&amp;MID($E1701,6,2)&amp;RIGHT($E1701,2)&amp;IF($F1701="","0000",IF($F1701="نامعتبر","9999",LEFT($F1701,2)&amp;RIGHT($F1701,2)))&amp;"|"&amp;RIGHT("00000"&amp;1693,5))</f>
        <v/>
      </c>
      <c r="I1701">
        <f>IF($H1701="","",COUNTIFS(CalcBank,$G1701,CalcKey,"&lt;"&amp;$H1701)+1)</f>
        <v/>
      </c>
      <c r="J1701">
        <f>IF($I1701="","",$G1701&amp;"|"&amp;RIGHT("000000"&amp;$I1701,6))</f>
        <v/>
      </c>
      <c r="K1701">
        <f>IF(OR($E1701="",$E1701="نامعتبر"),"",LEFT($E1701,4)&amp;"/"&amp;MID($E1701,6,2))</f>
        <v/>
      </c>
      <c r="L1701">
        <f>IF(Entry!$K1701="",0,Entry!$K1701)</f>
        <v/>
      </c>
      <c r="M1701">
        <f>IF(Entry!$L1701="",0,Entry!$L1701)</f>
        <v/>
      </c>
    </row>
    <row r="1702">
      <c r="A1702">
        <f>IF(Entry!$C1702="","",Entry!$C1702)</f>
        <v/>
      </c>
      <c r="B1702">
        <f>IF($A1702="","",IF(ISNUMBER($A1702),IF(AND($A1702&gt;=10000101,$A1702&lt;=99991231),INT($A1702/10000),""),IFERROR(VALUE(TRIM(LEFT($A1702,FIND("/",$A1702)-1))),"")))</f>
        <v/>
      </c>
      <c r="C1702">
        <f>IF(OR($A1702="",$B1702=""),"",IF(ISNUMBER($A1702),INT(MOD($A1702,10000)/100),IFERROR(VALUE(TRIM(LEFT(MID($A1702,FIND("/",$A1702)+1,20),FIND("/",MID($A1702,FIND("/",$A1702)+1,20))-1))),"")))</f>
        <v/>
      </c>
      <c r="D1702">
        <f>IF(OR($A1702="",$B1702=""),"",IF(ISNUMBER($A1702),MOD($A1702,100),IFERROR(VALUE(TRIM(MID(MID($A1702,FIND("/",$A1702)+1,20),FIND("/",MID($A1702,FIND("/",$A1702)+1,20))+1,20))),"")))</f>
        <v/>
      </c>
      <c r="E1702">
        <f>IF($A1702="","",IF(OR($B1702="",$C1702="",$D1702="",$B1702&lt;1300,$B1702&gt;1500,$C1702&lt;1,$C1702&gt;12,$D1702&lt;1,$D1702&gt;31),"نامعتبر",RIGHT("0000"&amp;$B1702,4)&amp;"/"&amp;RIGHT("00"&amp;$C1702,2)&amp;"/"&amp;RIGHT("00"&amp;$D1702,2)))</f>
        <v/>
      </c>
      <c r="F1702">
        <f>IF(Entry!$D1702&lt;&gt;"",IF(AND(ISNUMBER(Entry!$D1702),Entry!$D1702&gt;=0,Entry!$D1702&lt;1),RIGHT("00"&amp;HOUR(Entry!$D1702),2)&amp;":"&amp;RIGHT("00"&amp;MINUTE(Entry!$D1702),2),IFERROR(RIGHT("00"&amp;VALUE(TRIM(LEFT(Entry!$D1702,FIND(":",Entry!$D1702)-1))),2)&amp;":"&amp;RIGHT("00"&amp;VALUE(TRIM(MID(Entry!$D1702,FIND(":",Entry!$D1702)+1,2))),2),"نامعتبر")),IF(OR($E1702="",$E1702="نامعتبر"),"","00:00"))</f>
        <v/>
      </c>
      <c r="G1702">
        <f>IF(OR($E1702="",$E1702="نامعتبر"),"",IF(Entry!$E1702="","",LEFT(UPPER(TRIM(Entry!$E1702)),6)))</f>
        <v/>
      </c>
      <c r="H1702">
        <f>IF($G1702="","",RIGHT($E1702,4)&amp;MID($E1702,6,2)&amp;RIGHT($E1702,2)&amp;IF($F1702="","0000",IF($F1702="نامعتبر","9999",LEFT($F1702,2)&amp;RIGHT($F1702,2)))&amp;"|"&amp;RIGHT("00000"&amp;1694,5))</f>
        <v/>
      </c>
      <c r="I1702">
        <f>IF($H1702="","",COUNTIFS(CalcBank,$G1702,CalcKey,"&lt;"&amp;$H1702)+1)</f>
        <v/>
      </c>
      <c r="J1702">
        <f>IF($I1702="","",$G1702&amp;"|"&amp;RIGHT("000000"&amp;$I1702,6))</f>
        <v/>
      </c>
      <c r="K1702">
        <f>IF(OR($E1702="",$E1702="نامعتبر"),"",LEFT($E1702,4)&amp;"/"&amp;MID($E1702,6,2))</f>
        <v/>
      </c>
      <c r="L1702">
        <f>IF(Entry!$K1702="",0,Entry!$K1702)</f>
        <v/>
      </c>
      <c r="M1702">
        <f>IF(Entry!$L1702="",0,Entry!$L1702)</f>
        <v/>
      </c>
    </row>
    <row r="1703">
      <c r="A1703">
        <f>IF(Entry!$C1703="","",Entry!$C1703)</f>
        <v/>
      </c>
      <c r="B1703">
        <f>IF($A1703="","",IF(ISNUMBER($A1703),IF(AND($A1703&gt;=10000101,$A1703&lt;=99991231),INT($A1703/10000),""),IFERROR(VALUE(TRIM(LEFT($A1703,FIND("/",$A1703)-1))),"")))</f>
        <v/>
      </c>
      <c r="C1703">
        <f>IF(OR($A1703="",$B1703=""),"",IF(ISNUMBER($A1703),INT(MOD($A1703,10000)/100),IFERROR(VALUE(TRIM(LEFT(MID($A1703,FIND("/",$A1703)+1,20),FIND("/",MID($A1703,FIND("/",$A1703)+1,20))-1))),"")))</f>
        <v/>
      </c>
      <c r="D1703">
        <f>IF(OR($A1703="",$B1703=""),"",IF(ISNUMBER($A1703),MOD($A1703,100),IFERROR(VALUE(TRIM(MID(MID($A1703,FIND("/",$A1703)+1,20),FIND("/",MID($A1703,FIND("/",$A1703)+1,20))+1,20))),"")))</f>
        <v/>
      </c>
      <c r="E1703">
        <f>IF($A1703="","",IF(OR($B1703="",$C1703="",$D1703="",$B1703&lt;1300,$B1703&gt;1500,$C1703&lt;1,$C1703&gt;12,$D1703&lt;1,$D1703&gt;31),"نامعتبر",RIGHT("0000"&amp;$B1703,4)&amp;"/"&amp;RIGHT("00"&amp;$C1703,2)&amp;"/"&amp;RIGHT("00"&amp;$D1703,2)))</f>
        <v/>
      </c>
      <c r="F1703">
        <f>IF(Entry!$D1703&lt;&gt;"",IF(AND(ISNUMBER(Entry!$D1703),Entry!$D1703&gt;=0,Entry!$D1703&lt;1),RIGHT("00"&amp;HOUR(Entry!$D1703),2)&amp;":"&amp;RIGHT("00"&amp;MINUTE(Entry!$D1703),2),IFERROR(RIGHT("00"&amp;VALUE(TRIM(LEFT(Entry!$D1703,FIND(":",Entry!$D1703)-1))),2)&amp;":"&amp;RIGHT("00"&amp;VALUE(TRIM(MID(Entry!$D1703,FIND(":",Entry!$D1703)+1,2))),2),"نامعتبر")),IF(OR($E1703="",$E1703="نامعتبر"),"","00:00"))</f>
        <v/>
      </c>
      <c r="G1703">
        <f>IF(OR($E1703="",$E1703="نامعتبر"),"",IF(Entry!$E1703="","",LEFT(UPPER(TRIM(Entry!$E1703)),6)))</f>
        <v/>
      </c>
      <c r="H1703">
        <f>IF($G1703="","",RIGHT($E1703,4)&amp;MID($E1703,6,2)&amp;RIGHT($E1703,2)&amp;IF($F1703="","0000",IF($F1703="نامعتبر","9999",LEFT($F1703,2)&amp;RIGHT($F1703,2)))&amp;"|"&amp;RIGHT("00000"&amp;1695,5))</f>
        <v/>
      </c>
      <c r="I1703">
        <f>IF($H1703="","",COUNTIFS(CalcBank,$G1703,CalcKey,"&lt;"&amp;$H1703)+1)</f>
        <v/>
      </c>
      <c r="J1703">
        <f>IF($I1703="","",$G1703&amp;"|"&amp;RIGHT("000000"&amp;$I1703,6))</f>
        <v/>
      </c>
      <c r="K1703">
        <f>IF(OR($E1703="",$E1703="نامعتبر"),"",LEFT($E1703,4)&amp;"/"&amp;MID($E1703,6,2))</f>
        <v/>
      </c>
      <c r="L1703">
        <f>IF(Entry!$K1703="",0,Entry!$K1703)</f>
        <v/>
      </c>
      <c r="M1703">
        <f>IF(Entry!$L1703="",0,Entry!$L1703)</f>
        <v/>
      </c>
    </row>
    <row r="1704">
      <c r="A1704">
        <f>IF(Entry!$C1704="","",Entry!$C1704)</f>
        <v/>
      </c>
      <c r="B1704">
        <f>IF($A1704="","",IF(ISNUMBER($A1704),IF(AND($A1704&gt;=10000101,$A1704&lt;=99991231),INT($A1704/10000),""),IFERROR(VALUE(TRIM(LEFT($A1704,FIND("/",$A1704)-1))),"")))</f>
        <v/>
      </c>
      <c r="C1704">
        <f>IF(OR($A1704="",$B1704=""),"",IF(ISNUMBER($A1704),INT(MOD($A1704,10000)/100),IFERROR(VALUE(TRIM(LEFT(MID($A1704,FIND("/",$A1704)+1,20),FIND("/",MID($A1704,FIND("/",$A1704)+1,20))-1))),"")))</f>
        <v/>
      </c>
      <c r="D1704">
        <f>IF(OR($A1704="",$B1704=""),"",IF(ISNUMBER($A1704),MOD($A1704,100),IFERROR(VALUE(TRIM(MID(MID($A1704,FIND("/",$A1704)+1,20),FIND("/",MID($A1704,FIND("/",$A1704)+1,20))+1,20))),"")))</f>
        <v/>
      </c>
      <c r="E1704">
        <f>IF($A1704="","",IF(OR($B1704="",$C1704="",$D1704="",$B1704&lt;1300,$B1704&gt;1500,$C1704&lt;1,$C1704&gt;12,$D1704&lt;1,$D1704&gt;31),"نامعتبر",RIGHT("0000"&amp;$B1704,4)&amp;"/"&amp;RIGHT("00"&amp;$C1704,2)&amp;"/"&amp;RIGHT("00"&amp;$D1704,2)))</f>
        <v/>
      </c>
      <c r="F1704">
        <f>IF(Entry!$D1704&lt;&gt;"",IF(AND(ISNUMBER(Entry!$D1704),Entry!$D1704&gt;=0,Entry!$D1704&lt;1),RIGHT("00"&amp;HOUR(Entry!$D1704),2)&amp;":"&amp;RIGHT("00"&amp;MINUTE(Entry!$D1704),2),IFERROR(RIGHT("00"&amp;VALUE(TRIM(LEFT(Entry!$D1704,FIND(":",Entry!$D1704)-1))),2)&amp;":"&amp;RIGHT("00"&amp;VALUE(TRIM(MID(Entry!$D1704,FIND(":",Entry!$D1704)+1,2))),2),"نامعتبر")),IF(OR($E1704="",$E1704="نامعتبر"),"","00:00"))</f>
        <v/>
      </c>
      <c r="G1704">
        <f>IF(OR($E1704="",$E1704="نامعتبر"),"",IF(Entry!$E1704="","",LEFT(UPPER(TRIM(Entry!$E1704)),6)))</f>
        <v/>
      </c>
      <c r="H1704">
        <f>IF($G1704="","",RIGHT($E1704,4)&amp;MID($E1704,6,2)&amp;RIGHT($E1704,2)&amp;IF($F1704="","0000",IF($F1704="نامعتبر","9999",LEFT($F1704,2)&amp;RIGHT($F1704,2)))&amp;"|"&amp;RIGHT("00000"&amp;1696,5))</f>
        <v/>
      </c>
      <c r="I1704">
        <f>IF($H1704="","",COUNTIFS(CalcBank,$G1704,CalcKey,"&lt;"&amp;$H1704)+1)</f>
        <v/>
      </c>
      <c r="J1704">
        <f>IF($I1704="","",$G1704&amp;"|"&amp;RIGHT("000000"&amp;$I1704,6))</f>
        <v/>
      </c>
      <c r="K1704">
        <f>IF(OR($E1704="",$E1704="نامعتبر"),"",LEFT($E1704,4)&amp;"/"&amp;MID($E1704,6,2))</f>
        <v/>
      </c>
      <c r="L1704">
        <f>IF(Entry!$K1704="",0,Entry!$K1704)</f>
        <v/>
      </c>
      <c r="M1704">
        <f>IF(Entry!$L1704="",0,Entry!$L1704)</f>
        <v/>
      </c>
    </row>
    <row r="1705">
      <c r="A1705">
        <f>IF(Entry!$C1705="","",Entry!$C1705)</f>
        <v/>
      </c>
      <c r="B1705">
        <f>IF($A1705="","",IF(ISNUMBER($A1705),IF(AND($A1705&gt;=10000101,$A1705&lt;=99991231),INT($A1705/10000),""),IFERROR(VALUE(TRIM(LEFT($A1705,FIND("/",$A1705)-1))),"")))</f>
        <v/>
      </c>
      <c r="C1705">
        <f>IF(OR($A1705="",$B1705=""),"",IF(ISNUMBER($A1705),INT(MOD($A1705,10000)/100),IFERROR(VALUE(TRIM(LEFT(MID($A1705,FIND("/",$A1705)+1,20),FIND("/",MID($A1705,FIND("/",$A1705)+1,20))-1))),"")))</f>
        <v/>
      </c>
      <c r="D1705">
        <f>IF(OR($A1705="",$B1705=""),"",IF(ISNUMBER($A1705),MOD($A1705,100),IFERROR(VALUE(TRIM(MID(MID($A1705,FIND("/",$A1705)+1,20),FIND("/",MID($A1705,FIND("/",$A1705)+1,20))+1,20))),"")))</f>
        <v/>
      </c>
      <c r="E1705">
        <f>IF($A1705="","",IF(OR($B1705="",$C1705="",$D1705="",$B1705&lt;1300,$B1705&gt;1500,$C1705&lt;1,$C1705&gt;12,$D1705&lt;1,$D1705&gt;31),"نامعتبر",RIGHT("0000"&amp;$B1705,4)&amp;"/"&amp;RIGHT("00"&amp;$C1705,2)&amp;"/"&amp;RIGHT("00"&amp;$D1705,2)))</f>
        <v/>
      </c>
      <c r="F1705">
        <f>IF(Entry!$D1705&lt;&gt;"",IF(AND(ISNUMBER(Entry!$D1705),Entry!$D1705&gt;=0,Entry!$D1705&lt;1),RIGHT("00"&amp;HOUR(Entry!$D1705),2)&amp;":"&amp;RIGHT("00"&amp;MINUTE(Entry!$D1705),2),IFERROR(RIGHT("00"&amp;VALUE(TRIM(LEFT(Entry!$D1705,FIND(":",Entry!$D1705)-1))),2)&amp;":"&amp;RIGHT("00"&amp;VALUE(TRIM(MID(Entry!$D1705,FIND(":",Entry!$D1705)+1,2))),2),"نامعتبر")),IF(OR($E1705="",$E1705="نامعتبر"),"","00:00"))</f>
        <v/>
      </c>
      <c r="G1705">
        <f>IF(OR($E1705="",$E1705="نامعتبر"),"",IF(Entry!$E1705="","",LEFT(UPPER(TRIM(Entry!$E1705)),6)))</f>
        <v/>
      </c>
      <c r="H1705">
        <f>IF($G1705="","",RIGHT($E1705,4)&amp;MID($E1705,6,2)&amp;RIGHT($E1705,2)&amp;IF($F1705="","0000",IF($F1705="نامعتبر","9999",LEFT($F1705,2)&amp;RIGHT($F1705,2)))&amp;"|"&amp;RIGHT("00000"&amp;1697,5))</f>
        <v/>
      </c>
      <c r="I1705">
        <f>IF($H1705="","",COUNTIFS(CalcBank,$G1705,CalcKey,"&lt;"&amp;$H1705)+1)</f>
        <v/>
      </c>
      <c r="J1705">
        <f>IF($I1705="","",$G1705&amp;"|"&amp;RIGHT("000000"&amp;$I1705,6))</f>
        <v/>
      </c>
      <c r="K1705">
        <f>IF(OR($E1705="",$E1705="نامعتبر"),"",LEFT($E1705,4)&amp;"/"&amp;MID($E1705,6,2))</f>
        <v/>
      </c>
      <c r="L1705">
        <f>IF(Entry!$K1705="",0,Entry!$K1705)</f>
        <v/>
      </c>
      <c r="M1705">
        <f>IF(Entry!$L1705="",0,Entry!$L1705)</f>
        <v/>
      </c>
    </row>
    <row r="1706">
      <c r="A1706">
        <f>IF(Entry!$C1706="","",Entry!$C1706)</f>
        <v/>
      </c>
      <c r="B1706">
        <f>IF($A1706="","",IF(ISNUMBER($A1706),IF(AND($A1706&gt;=10000101,$A1706&lt;=99991231),INT($A1706/10000),""),IFERROR(VALUE(TRIM(LEFT($A1706,FIND("/",$A1706)-1))),"")))</f>
        <v/>
      </c>
      <c r="C1706">
        <f>IF(OR($A1706="",$B1706=""),"",IF(ISNUMBER($A1706),INT(MOD($A1706,10000)/100),IFERROR(VALUE(TRIM(LEFT(MID($A1706,FIND("/",$A1706)+1,20),FIND("/",MID($A1706,FIND("/",$A1706)+1,20))-1))),"")))</f>
        <v/>
      </c>
      <c r="D1706">
        <f>IF(OR($A1706="",$B1706=""),"",IF(ISNUMBER($A1706),MOD($A1706,100),IFERROR(VALUE(TRIM(MID(MID($A1706,FIND("/",$A1706)+1,20),FIND("/",MID($A1706,FIND("/",$A1706)+1,20))+1,20))),"")))</f>
        <v/>
      </c>
      <c r="E1706">
        <f>IF($A1706="","",IF(OR($B1706="",$C1706="",$D1706="",$B1706&lt;1300,$B1706&gt;1500,$C1706&lt;1,$C1706&gt;12,$D1706&lt;1,$D1706&gt;31),"نامعتبر",RIGHT("0000"&amp;$B1706,4)&amp;"/"&amp;RIGHT("00"&amp;$C1706,2)&amp;"/"&amp;RIGHT("00"&amp;$D1706,2)))</f>
        <v/>
      </c>
      <c r="F1706">
        <f>IF(Entry!$D1706&lt;&gt;"",IF(AND(ISNUMBER(Entry!$D1706),Entry!$D1706&gt;=0,Entry!$D1706&lt;1),RIGHT("00"&amp;HOUR(Entry!$D1706),2)&amp;":"&amp;RIGHT("00"&amp;MINUTE(Entry!$D1706),2),IFERROR(RIGHT("00"&amp;VALUE(TRIM(LEFT(Entry!$D1706,FIND(":",Entry!$D1706)-1))),2)&amp;":"&amp;RIGHT("00"&amp;VALUE(TRIM(MID(Entry!$D1706,FIND(":",Entry!$D1706)+1,2))),2),"نامعتبر")),IF(OR($E1706="",$E1706="نامعتبر"),"","00:00"))</f>
        <v/>
      </c>
      <c r="G1706">
        <f>IF(OR($E1706="",$E1706="نامعتبر"),"",IF(Entry!$E1706="","",LEFT(UPPER(TRIM(Entry!$E1706)),6)))</f>
        <v/>
      </c>
      <c r="H1706">
        <f>IF($G1706="","",RIGHT($E1706,4)&amp;MID($E1706,6,2)&amp;RIGHT($E1706,2)&amp;IF($F1706="","0000",IF($F1706="نامعتبر","9999",LEFT($F1706,2)&amp;RIGHT($F1706,2)))&amp;"|"&amp;RIGHT("00000"&amp;1698,5))</f>
        <v/>
      </c>
      <c r="I1706">
        <f>IF($H1706="","",COUNTIFS(CalcBank,$G1706,CalcKey,"&lt;"&amp;$H1706)+1)</f>
        <v/>
      </c>
      <c r="J1706">
        <f>IF($I1706="","",$G1706&amp;"|"&amp;RIGHT("000000"&amp;$I1706,6))</f>
        <v/>
      </c>
      <c r="K1706">
        <f>IF(OR($E1706="",$E1706="نامعتبر"),"",LEFT($E1706,4)&amp;"/"&amp;MID($E1706,6,2))</f>
        <v/>
      </c>
      <c r="L1706">
        <f>IF(Entry!$K1706="",0,Entry!$K1706)</f>
        <v/>
      </c>
      <c r="M1706">
        <f>IF(Entry!$L1706="",0,Entry!$L1706)</f>
        <v/>
      </c>
    </row>
    <row r="1707">
      <c r="A1707">
        <f>IF(Entry!$C1707="","",Entry!$C1707)</f>
        <v/>
      </c>
      <c r="B1707">
        <f>IF($A1707="","",IF(ISNUMBER($A1707),IF(AND($A1707&gt;=10000101,$A1707&lt;=99991231),INT($A1707/10000),""),IFERROR(VALUE(TRIM(LEFT($A1707,FIND("/",$A1707)-1))),"")))</f>
        <v/>
      </c>
      <c r="C1707">
        <f>IF(OR($A1707="",$B1707=""),"",IF(ISNUMBER($A1707),INT(MOD($A1707,10000)/100),IFERROR(VALUE(TRIM(LEFT(MID($A1707,FIND("/",$A1707)+1,20),FIND("/",MID($A1707,FIND("/",$A1707)+1,20))-1))),"")))</f>
        <v/>
      </c>
      <c r="D1707">
        <f>IF(OR($A1707="",$B1707=""),"",IF(ISNUMBER($A1707),MOD($A1707,100),IFERROR(VALUE(TRIM(MID(MID($A1707,FIND("/",$A1707)+1,20),FIND("/",MID($A1707,FIND("/",$A1707)+1,20))+1,20))),"")))</f>
        <v/>
      </c>
      <c r="E1707">
        <f>IF($A1707="","",IF(OR($B1707="",$C1707="",$D1707="",$B1707&lt;1300,$B1707&gt;1500,$C1707&lt;1,$C1707&gt;12,$D1707&lt;1,$D1707&gt;31),"نامعتبر",RIGHT("0000"&amp;$B1707,4)&amp;"/"&amp;RIGHT("00"&amp;$C1707,2)&amp;"/"&amp;RIGHT("00"&amp;$D1707,2)))</f>
        <v/>
      </c>
      <c r="F1707">
        <f>IF(Entry!$D1707&lt;&gt;"",IF(AND(ISNUMBER(Entry!$D1707),Entry!$D1707&gt;=0,Entry!$D1707&lt;1),RIGHT("00"&amp;HOUR(Entry!$D1707),2)&amp;":"&amp;RIGHT("00"&amp;MINUTE(Entry!$D1707),2),IFERROR(RIGHT("00"&amp;VALUE(TRIM(LEFT(Entry!$D1707,FIND(":",Entry!$D1707)-1))),2)&amp;":"&amp;RIGHT("00"&amp;VALUE(TRIM(MID(Entry!$D1707,FIND(":",Entry!$D1707)+1,2))),2),"نامعتبر")),IF(OR($E1707="",$E1707="نامعتبر"),"","00:00"))</f>
        <v/>
      </c>
      <c r="G1707">
        <f>IF(OR($E1707="",$E1707="نامعتبر"),"",IF(Entry!$E1707="","",LEFT(UPPER(TRIM(Entry!$E1707)),6)))</f>
        <v/>
      </c>
      <c r="H1707">
        <f>IF($G1707="","",RIGHT($E1707,4)&amp;MID($E1707,6,2)&amp;RIGHT($E1707,2)&amp;IF($F1707="","0000",IF($F1707="نامعتبر","9999",LEFT($F1707,2)&amp;RIGHT($F1707,2)))&amp;"|"&amp;RIGHT("00000"&amp;1699,5))</f>
        <v/>
      </c>
      <c r="I1707">
        <f>IF($H1707="","",COUNTIFS(CalcBank,$G1707,CalcKey,"&lt;"&amp;$H1707)+1)</f>
        <v/>
      </c>
      <c r="J1707">
        <f>IF($I1707="","",$G1707&amp;"|"&amp;RIGHT("000000"&amp;$I1707,6))</f>
        <v/>
      </c>
      <c r="K1707">
        <f>IF(OR($E1707="",$E1707="نامعتبر"),"",LEFT($E1707,4)&amp;"/"&amp;MID($E1707,6,2))</f>
        <v/>
      </c>
      <c r="L1707">
        <f>IF(Entry!$K1707="",0,Entry!$K1707)</f>
        <v/>
      </c>
      <c r="M1707">
        <f>IF(Entry!$L1707="",0,Entry!$L1707)</f>
        <v/>
      </c>
    </row>
    <row r="1708">
      <c r="A1708">
        <f>IF(Entry!$C1708="","",Entry!$C1708)</f>
        <v/>
      </c>
      <c r="B1708">
        <f>IF($A1708="","",IF(ISNUMBER($A1708),IF(AND($A1708&gt;=10000101,$A1708&lt;=99991231),INT($A1708/10000),""),IFERROR(VALUE(TRIM(LEFT($A1708,FIND("/",$A1708)-1))),"")))</f>
        <v/>
      </c>
      <c r="C1708">
        <f>IF(OR($A1708="",$B1708=""),"",IF(ISNUMBER($A1708),INT(MOD($A1708,10000)/100),IFERROR(VALUE(TRIM(LEFT(MID($A1708,FIND("/",$A1708)+1,20),FIND("/",MID($A1708,FIND("/",$A1708)+1,20))-1))),"")))</f>
        <v/>
      </c>
      <c r="D1708">
        <f>IF(OR($A1708="",$B1708=""),"",IF(ISNUMBER($A1708),MOD($A1708,100),IFERROR(VALUE(TRIM(MID(MID($A1708,FIND("/",$A1708)+1,20),FIND("/",MID($A1708,FIND("/",$A1708)+1,20))+1,20))),"")))</f>
        <v/>
      </c>
      <c r="E1708">
        <f>IF($A1708="","",IF(OR($B1708="",$C1708="",$D1708="",$B1708&lt;1300,$B1708&gt;1500,$C1708&lt;1,$C1708&gt;12,$D1708&lt;1,$D1708&gt;31),"نامعتبر",RIGHT("0000"&amp;$B1708,4)&amp;"/"&amp;RIGHT("00"&amp;$C1708,2)&amp;"/"&amp;RIGHT("00"&amp;$D1708,2)))</f>
        <v/>
      </c>
      <c r="F1708">
        <f>IF(Entry!$D1708&lt;&gt;"",IF(AND(ISNUMBER(Entry!$D1708),Entry!$D1708&gt;=0,Entry!$D1708&lt;1),RIGHT("00"&amp;HOUR(Entry!$D1708),2)&amp;":"&amp;RIGHT("00"&amp;MINUTE(Entry!$D1708),2),IFERROR(RIGHT("00"&amp;VALUE(TRIM(LEFT(Entry!$D1708,FIND(":",Entry!$D1708)-1))),2)&amp;":"&amp;RIGHT("00"&amp;VALUE(TRIM(MID(Entry!$D1708,FIND(":",Entry!$D1708)+1,2))),2),"نامعتبر")),IF(OR($E1708="",$E1708="نامعتبر"),"","00:00"))</f>
        <v/>
      </c>
      <c r="G1708">
        <f>IF(OR($E1708="",$E1708="نامعتبر"),"",IF(Entry!$E1708="","",LEFT(UPPER(TRIM(Entry!$E1708)),6)))</f>
        <v/>
      </c>
      <c r="H1708">
        <f>IF($G1708="","",RIGHT($E1708,4)&amp;MID($E1708,6,2)&amp;RIGHT($E1708,2)&amp;IF($F1708="","0000",IF($F1708="نامعتبر","9999",LEFT($F1708,2)&amp;RIGHT($F1708,2)))&amp;"|"&amp;RIGHT("00000"&amp;1700,5))</f>
        <v/>
      </c>
      <c r="I1708">
        <f>IF($H1708="","",COUNTIFS(CalcBank,$G1708,CalcKey,"&lt;"&amp;$H1708)+1)</f>
        <v/>
      </c>
      <c r="J1708">
        <f>IF($I1708="","",$G1708&amp;"|"&amp;RIGHT("000000"&amp;$I1708,6))</f>
        <v/>
      </c>
      <c r="K1708">
        <f>IF(OR($E1708="",$E1708="نامعتبر"),"",LEFT($E1708,4)&amp;"/"&amp;MID($E1708,6,2))</f>
        <v/>
      </c>
      <c r="L1708">
        <f>IF(Entry!$K1708="",0,Entry!$K1708)</f>
        <v/>
      </c>
      <c r="M1708">
        <f>IF(Entry!$L1708="",0,Entry!$L1708)</f>
        <v/>
      </c>
    </row>
    <row r="1709">
      <c r="A1709">
        <f>IF(Entry!$C1709="","",Entry!$C1709)</f>
        <v/>
      </c>
      <c r="B1709">
        <f>IF($A1709="","",IF(ISNUMBER($A1709),IF(AND($A1709&gt;=10000101,$A1709&lt;=99991231),INT($A1709/10000),""),IFERROR(VALUE(TRIM(LEFT($A1709,FIND("/",$A1709)-1))),"")))</f>
        <v/>
      </c>
      <c r="C1709">
        <f>IF(OR($A1709="",$B1709=""),"",IF(ISNUMBER($A1709),INT(MOD($A1709,10000)/100),IFERROR(VALUE(TRIM(LEFT(MID($A1709,FIND("/",$A1709)+1,20),FIND("/",MID($A1709,FIND("/",$A1709)+1,20))-1))),"")))</f>
        <v/>
      </c>
      <c r="D1709">
        <f>IF(OR($A1709="",$B1709=""),"",IF(ISNUMBER($A1709),MOD($A1709,100),IFERROR(VALUE(TRIM(MID(MID($A1709,FIND("/",$A1709)+1,20),FIND("/",MID($A1709,FIND("/",$A1709)+1,20))+1,20))),"")))</f>
        <v/>
      </c>
      <c r="E1709">
        <f>IF($A1709="","",IF(OR($B1709="",$C1709="",$D1709="",$B1709&lt;1300,$B1709&gt;1500,$C1709&lt;1,$C1709&gt;12,$D1709&lt;1,$D1709&gt;31),"نامعتبر",RIGHT("0000"&amp;$B1709,4)&amp;"/"&amp;RIGHT("00"&amp;$C1709,2)&amp;"/"&amp;RIGHT("00"&amp;$D1709,2)))</f>
        <v/>
      </c>
      <c r="F1709">
        <f>IF(Entry!$D1709&lt;&gt;"",IF(AND(ISNUMBER(Entry!$D1709),Entry!$D1709&gt;=0,Entry!$D1709&lt;1),RIGHT("00"&amp;HOUR(Entry!$D1709),2)&amp;":"&amp;RIGHT("00"&amp;MINUTE(Entry!$D1709),2),IFERROR(RIGHT("00"&amp;VALUE(TRIM(LEFT(Entry!$D1709,FIND(":",Entry!$D1709)-1))),2)&amp;":"&amp;RIGHT("00"&amp;VALUE(TRIM(MID(Entry!$D1709,FIND(":",Entry!$D1709)+1,2))),2),"نامعتبر")),IF(OR($E1709="",$E1709="نامعتبر"),"","00:00"))</f>
        <v/>
      </c>
      <c r="G1709">
        <f>IF(OR($E1709="",$E1709="نامعتبر"),"",IF(Entry!$E1709="","",LEFT(UPPER(TRIM(Entry!$E1709)),6)))</f>
        <v/>
      </c>
      <c r="H1709">
        <f>IF($G1709="","",RIGHT($E1709,4)&amp;MID($E1709,6,2)&amp;RIGHT($E1709,2)&amp;IF($F1709="","0000",IF($F1709="نامعتبر","9999",LEFT($F1709,2)&amp;RIGHT($F1709,2)))&amp;"|"&amp;RIGHT("00000"&amp;1701,5))</f>
        <v/>
      </c>
      <c r="I1709">
        <f>IF($H1709="","",COUNTIFS(CalcBank,$G1709,CalcKey,"&lt;"&amp;$H1709)+1)</f>
        <v/>
      </c>
      <c r="J1709">
        <f>IF($I1709="","",$G1709&amp;"|"&amp;RIGHT("000000"&amp;$I1709,6))</f>
        <v/>
      </c>
      <c r="K1709">
        <f>IF(OR($E1709="",$E1709="نامعتبر"),"",LEFT($E1709,4)&amp;"/"&amp;MID($E1709,6,2))</f>
        <v/>
      </c>
      <c r="L1709">
        <f>IF(Entry!$K1709="",0,Entry!$K1709)</f>
        <v/>
      </c>
      <c r="M1709">
        <f>IF(Entry!$L1709="",0,Entry!$L1709)</f>
        <v/>
      </c>
    </row>
    <row r="1710">
      <c r="A1710">
        <f>IF(Entry!$C1710="","",Entry!$C1710)</f>
        <v/>
      </c>
      <c r="B1710">
        <f>IF($A1710="","",IF(ISNUMBER($A1710),IF(AND($A1710&gt;=10000101,$A1710&lt;=99991231),INT($A1710/10000),""),IFERROR(VALUE(TRIM(LEFT($A1710,FIND("/",$A1710)-1))),"")))</f>
        <v/>
      </c>
      <c r="C1710">
        <f>IF(OR($A1710="",$B1710=""),"",IF(ISNUMBER($A1710),INT(MOD($A1710,10000)/100),IFERROR(VALUE(TRIM(LEFT(MID($A1710,FIND("/",$A1710)+1,20),FIND("/",MID($A1710,FIND("/",$A1710)+1,20))-1))),"")))</f>
        <v/>
      </c>
      <c r="D1710">
        <f>IF(OR($A1710="",$B1710=""),"",IF(ISNUMBER($A1710),MOD($A1710,100),IFERROR(VALUE(TRIM(MID(MID($A1710,FIND("/",$A1710)+1,20),FIND("/",MID($A1710,FIND("/",$A1710)+1,20))+1,20))),"")))</f>
        <v/>
      </c>
      <c r="E1710">
        <f>IF($A1710="","",IF(OR($B1710="",$C1710="",$D1710="",$B1710&lt;1300,$B1710&gt;1500,$C1710&lt;1,$C1710&gt;12,$D1710&lt;1,$D1710&gt;31),"نامعتبر",RIGHT("0000"&amp;$B1710,4)&amp;"/"&amp;RIGHT("00"&amp;$C1710,2)&amp;"/"&amp;RIGHT("00"&amp;$D1710,2)))</f>
        <v/>
      </c>
      <c r="F1710">
        <f>IF(Entry!$D1710&lt;&gt;"",IF(AND(ISNUMBER(Entry!$D1710),Entry!$D1710&gt;=0,Entry!$D1710&lt;1),RIGHT("00"&amp;HOUR(Entry!$D1710),2)&amp;":"&amp;RIGHT("00"&amp;MINUTE(Entry!$D1710),2),IFERROR(RIGHT("00"&amp;VALUE(TRIM(LEFT(Entry!$D1710,FIND(":",Entry!$D1710)-1))),2)&amp;":"&amp;RIGHT("00"&amp;VALUE(TRIM(MID(Entry!$D1710,FIND(":",Entry!$D1710)+1,2))),2),"نامعتبر")),IF(OR($E1710="",$E1710="نامعتبر"),"","00:00"))</f>
        <v/>
      </c>
      <c r="G1710">
        <f>IF(OR($E1710="",$E1710="نامعتبر"),"",IF(Entry!$E1710="","",LEFT(UPPER(TRIM(Entry!$E1710)),6)))</f>
        <v/>
      </c>
      <c r="H1710">
        <f>IF($G1710="","",RIGHT($E1710,4)&amp;MID($E1710,6,2)&amp;RIGHT($E1710,2)&amp;IF($F1710="","0000",IF($F1710="نامعتبر","9999",LEFT($F1710,2)&amp;RIGHT($F1710,2)))&amp;"|"&amp;RIGHT("00000"&amp;1702,5))</f>
        <v/>
      </c>
      <c r="I1710">
        <f>IF($H1710="","",COUNTIFS(CalcBank,$G1710,CalcKey,"&lt;"&amp;$H1710)+1)</f>
        <v/>
      </c>
      <c r="J1710">
        <f>IF($I1710="","",$G1710&amp;"|"&amp;RIGHT("000000"&amp;$I1710,6))</f>
        <v/>
      </c>
      <c r="K1710">
        <f>IF(OR($E1710="",$E1710="نامعتبر"),"",LEFT($E1710,4)&amp;"/"&amp;MID($E1710,6,2))</f>
        <v/>
      </c>
      <c r="L1710">
        <f>IF(Entry!$K1710="",0,Entry!$K1710)</f>
        <v/>
      </c>
      <c r="M1710">
        <f>IF(Entry!$L1710="",0,Entry!$L1710)</f>
        <v/>
      </c>
    </row>
    <row r="1711">
      <c r="A1711">
        <f>IF(Entry!$C1711="","",Entry!$C1711)</f>
        <v/>
      </c>
      <c r="B1711">
        <f>IF($A1711="","",IF(ISNUMBER($A1711),IF(AND($A1711&gt;=10000101,$A1711&lt;=99991231),INT($A1711/10000),""),IFERROR(VALUE(TRIM(LEFT($A1711,FIND("/",$A1711)-1))),"")))</f>
        <v/>
      </c>
      <c r="C1711">
        <f>IF(OR($A1711="",$B1711=""),"",IF(ISNUMBER($A1711),INT(MOD($A1711,10000)/100),IFERROR(VALUE(TRIM(LEFT(MID($A1711,FIND("/",$A1711)+1,20),FIND("/",MID($A1711,FIND("/",$A1711)+1,20))-1))),"")))</f>
        <v/>
      </c>
      <c r="D1711">
        <f>IF(OR($A1711="",$B1711=""),"",IF(ISNUMBER($A1711),MOD($A1711,100),IFERROR(VALUE(TRIM(MID(MID($A1711,FIND("/",$A1711)+1,20),FIND("/",MID($A1711,FIND("/",$A1711)+1,20))+1,20))),"")))</f>
        <v/>
      </c>
      <c r="E1711">
        <f>IF($A1711="","",IF(OR($B1711="",$C1711="",$D1711="",$B1711&lt;1300,$B1711&gt;1500,$C1711&lt;1,$C1711&gt;12,$D1711&lt;1,$D1711&gt;31),"نامعتبر",RIGHT("0000"&amp;$B1711,4)&amp;"/"&amp;RIGHT("00"&amp;$C1711,2)&amp;"/"&amp;RIGHT("00"&amp;$D1711,2)))</f>
        <v/>
      </c>
      <c r="F1711">
        <f>IF(Entry!$D1711&lt;&gt;"",IF(AND(ISNUMBER(Entry!$D1711),Entry!$D1711&gt;=0,Entry!$D1711&lt;1),RIGHT("00"&amp;HOUR(Entry!$D1711),2)&amp;":"&amp;RIGHT("00"&amp;MINUTE(Entry!$D1711),2),IFERROR(RIGHT("00"&amp;VALUE(TRIM(LEFT(Entry!$D1711,FIND(":",Entry!$D1711)-1))),2)&amp;":"&amp;RIGHT("00"&amp;VALUE(TRIM(MID(Entry!$D1711,FIND(":",Entry!$D1711)+1,2))),2),"نامعتبر")),IF(OR($E1711="",$E1711="نامعتبر"),"","00:00"))</f>
        <v/>
      </c>
      <c r="G1711">
        <f>IF(OR($E1711="",$E1711="نامعتبر"),"",IF(Entry!$E1711="","",LEFT(UPPER(TRIM(Entry!$E1711)),6)))</f>
        <v/>
      </c>
      <c r="H1711">
        <f>IF($G1711="","",RIGHT($E1711,4)&amp;MID($E1711,6,2)&amp;RIGHT($E1711,2)&amp;IF($F1711="","0000",IF($F1711="نامعتبر","9999",LEFT($F1711,2)&amp;RIGHT($F1711,2)))&amp;"|"&amp;RIGHT("00000"&amp;1703,5))</f>
        <v/>
      </c>
      <c r="I1711">
        <f>IF($H1711="","",COUNTIFS(CalcBank,$G1711,CalcKey,"&lt;"&amp;$H1711)+1)</f>
        <v/>
      </c>
      <c r="J1711">
        <f>IF($I1711="","",$G1711&amp;"|"&amp;RIGHT("000000"&amp;$I1711,6))</f>
        <v/>
      </c>
      <c r="K1711">
        <f>IF(OR($E1711="",$E1711="نامعتبر"),"",LEFT($E1711,4)&amp;"/"&amp;MID($E1711,6,2))</f>
        <v/>
      </c>
      <c r="L1711">
        <f>IF(Entry!$K1711="",0,Entry!$K1711)</f>
        <v/>
      </c>
      <c r="M1711">
        <f>IF(Entry!$L1711="",0,Entry!$L1711)</f>
        <v/>
      </c>
    </row>
    <row r="1712">
      <c r="A1712">
        <f>IF(Entry!$C1712="","",Entry!$C1712)</f>
        <v/>
      </c>
      <c r="B1712">
        <f>IF($A1712="","",IF(ISNUMBER($A1712),IF(AND($A1712&gt;=10000101,$A1712&lt;=99991231),INT($A1712/10000),""),IFERROR(VALUE(TRIM(LEFT($A1712,FIND("/",$A1712)-1))),"")))</f>
        <v/>
      </c>
      <c r="C1712">
        <f>IF(OR($A1712="",$B1712=""),"",IF(ISNUMBER($A1712),INT(MOD($A1712,10000)/100),IFERROR(VALUE(TRIM(LEFT(MID($A1712,FIND("/",$A1712)+1,20),FIND("/",MID($A1712,FIND("/",$A1712)+1,20))-1))),"")))</f>
        <v/>
      </c>
      <c r="D1712">
        <f>IF(OR($A1712="",$B1712=""),"",IF(ISNUMBER($A1712),MOD($A1712,100),IFERROR(VALUE(TRIM(MID(MID($A1712,FIND("/",$A1712)+1,20),FIND("/",MID($A1712,FIND("/",$A1712)+1,20))+1,20))),"")))</f>
        <v/>
      </c>
      <c r="E1712">
        <f>IF($A1712="","",IF(OR($B1712="",$C1712="",$D1712="",$B1712&lt;1300,$B1712&gt;1500,$C1712&lt;1,$C1712&gt;12,$D1712&lt;1,$D1712&gt;31),"نامعتبر",RIGHT("0000"&amp;$B1712,4)&amp;"/"&amp;RIGHT("00"&amp;$C1712,2)&amp;"/"&amp;RIGHT("00"&amp;$D1712,2)))</f>
        <v/>
      </c>
      <c r="F1712">
        <f>IF(Entry!$D1712&lt;&gt;"",IF(AND(ISNUMBER(Entry!$D1712),Entry!$D1712&gt;=0,Entry!$D1712&lt;1),RIGHT("00"&amp;HOUR(Entry!$D1712),2)&amp;":"&amp;RIGHT("00"&amp;MINUTE(Entry!$D1712),2),IFERROR(RIGHT("00"&amp;VALUE(TRIM(LEFT(Entry!$D1712,FIND(":",Entry!$D1712)-1))),2)&amp;":"&amp;RIGHT("00"&amp;VALUE(TRIM(MID(Entry!$D1712,FIND(":",Entry!$D1712)+1,2))),2),"نامعتبر")),IF(OR($E1712="",$E1712="نامعتبر"),"","00:00"))</f>
        <v/>
      </c>
      <c r="G1712">
        <f>IF(OR($E1712="",$E1712="نامعتبر"),"",IF(Entry!$E1712="","",LEFT(UPPER(TRIM(Entry!$E1712)),6)))</f>
        <v/>
      </c>
      <c r="H1712">
        <f>IF($G1712="","",RIGHT($E1712,4)&amp;MID($E1712,6,2)&amp;RIGHT($E1712,2)&amp;IF($F1712="","0000",IF($F1712="نامعتبر","9999",LEFT($F1712,2)&amp;RIGHT($F1712,2)))&amp;"|"&amp;RIGHT("00000"&amp;1704,5))</f>
        <v/>
      </c>
      <c r="I1712">
        <f>IF($H1712="","",COUNTIFS(CalcBank,$G1712,CalcKey,"&lt;"&amp;$H1712)+1)</f>
        <v/>
      </c>
      <c r="J1712">
        <f>IF($I1712="","",$G1712&amp;"|"&amp;RIGHT("000000"&amp;$I1712,6))</f>
        <v/>
      </c>
      <c r="K1712">
        <f>IF(OR($E1712="",$E1712="نامعتبر"),"",LEFT($E1712,4)&amp;"/"&amp;MID($E1712,6,2))</f>
        <v/>
      </c>
      <c r="L1712">
        <f>IF(Entry!$K1712="",0,Entry!$K1712)</f>
        <v/>
      </c>
      <c r="M1712">
        <f>IF(Entry!$L1712="",0,Entry!$L1712)</f>
        <v/>
      </c>
    </row>
    <row r="1713">
      <c r="A1713">
        <f>IF(Entry!$C1713="","",Entry!$C1713)</f>
        <v/>
      </c>
      <c r="B1713">
        <f>IF($A1713="","",IF(ISNUMBER($A1713),IF(AND($A1713&gt;=10000101,$A1713&lt;=99991231),INT($A1713/10000),""),IFERROR(VALUE(TRIM(LEFT($A1713,FIND("/",$A1713)-1))),"")))</f>
        <v/>
      </c>
      <c r="C1713">
        <f>IF(OR($A1713="",$B1713=""),"",IF(ISNUMBER($A1713),INT(MOD($A1713,10000)/100),IFERROR(VALUE(TRIM(LEFT(MID($A1713,FIND("/",$A1713)+1,20),FIND("/",MID($A1713,FIND("/",$A1713)+1,20))-1))),"")))</f>
        <v/>
      </c>
      <c r="D1713">
        <f>IF(OR($A1713="",$B1713=""),"",IF(ISNUMBER($A1713),MOD($A1713,100),IFERROR(VALUE(TRIM(MID(MID($A1713,FIND("/",$A1713)+1,20),FIND("/",MID($A1713,FIND("/",$A1713)+1,20))+1,20))),"")))</f>
        <v/>
      </c>
      <c r="E1713">
        <f>IF($A1713="","",IF(OR($B1713="",$C1713="",$D1713="",$B1713&lt;1300,$B1713&gt;1500,$C1713&lt;1,$C1713&gt;12,$D1713&lt;1,$D1713&gt;31),"نامعتبر",RIGHT("0000"&amp;$B1713,4)&amp;"/"&amp;RIGHT("00"&amp;$C1713,2)&amp;"/"&amp;RIGHT("00"&amp;$D1713,2)))</f>
        <v/>
      </c>
      <c r="F1713">
        <f>IF(Entry!$D1713&lt;&gt;"",IF(AND(ISNUMBER(Entry!$D1713),Entry!$D1713&gt;=0,Entry!$D1713&lt;1),RIGHT("00"&amp;HOUR(Entry!$D1713),2)&amp;":"&amp;RIGHT("00"&amp;MINUTE(Entry!$D1713),2),IFERROR(RIGHT("00"&amp;VALUE(TRIM(LEFT(Entry!$D1713,FIND(":",Entry!$D1713)-1))),2)&amp;":"&amp;RIGHT("00"&amp;VALUE(TRIM(MID(Entry!$D1713,FIND(":",Entry!$D1713)+1,2))),2),"نامعتبر")),IF(OR($E1713="",$E1713="نامعتبر"),"","00:00"))</f>
        <v/>
      </c>
      <c r="G1713">
        <f>IF(OR($E1713="",$E1713="نامعتبر"),"",IF(Entry!$E1713="","",LEFT(UPPER(TRIM(Entry!$E1713)),6)))</f>
        <v/>
      </c>
      <c r="H1713">
        <f>IF($G1713="","",RIGHT($E1713,4)&amp;MID($E1713,6,2)&amp;RIGHT($E1713,2)&amp;IF($F1713="","0000",IF($F1713="نامعتبر","9999",LEFT($F1713,2)&amp;RIGHT($F1713,2)))&amp;"|"&amp;RIGHT("00000"&amp;1705,5))</f>
        <v/>
      </c>
      <c r="I1713">
        <f>IF($H1713="","",COUNTIFS(CalcBank,$G1713,CalcKey,"&lt;"&amp;$H1713)+1)</f>
        <v/>
      </c>
      <c r="J1713">
        <f>IF($I1713="","",$G1713&amp;"|"&amp;RIGHT("000000"&amp;$I1713,6))</f>
        <v/>
      </c>
      <c r="K1713">
        <f>IF(OR($E1713="",$E1713="نامعتبر"),"",LEFT($E1713,4)&amp;"/"&amp;MID($E1713,6,2))</f>
        <v/>
      </c>
      <c r="L1713">
        <f>IF(Entry!$K1713="",0,Entry!$K1713)</f>
        <v/>
      </c>
      <c r="M1713">
        <f>IF(Entry!$L1713="",0,Entry!$L1713)</f>
        <v/>
      </c>
    </row>
    <row r="1714">
      <c r="A1714">
        <f>IF(Entry!$C1714="","",Entry!$C1714)</f>
        <v/>
      </c>
      <c r="B1714">
        <f>IF($A1714="","",IF(ISNUMBER($A1714),IF(AND($A1714&gt;=10000101,$A1714&lt;=99991231),INT($A1714/10000),""),IFERROR(VALUE(TRIM(LEFT($A1714,FIND("/",$A1714)-1))),"")))</f>
        <v/>
      </c>
      <c r="C1714">
        <f>IF(OR($A1714="",$B1714=""),"",IF(ISNUMBER($A1714),INT(MOD($A1714,10000)/100),IFERROR(VALUE(TRIM(LEFT(MID($A1714,FIND("/",$A1714)+1,20),FIND("/",MID($A1714,FIND("/",$A1714)+1,20))-1))),"")))</f>
        <v/>
      </c>
      <c r="D1714">
        <f>IF(OR($A1714="",$B1714=""),"",IF(ISNUMBER($A1714),MOD($A1714,100),IFERROR(VALUE(TRIM(MID(MID($A1714,FIND("/",$A1714)+1,20),FIND("/",MID($A1714,FIND("/",$A1714)+1,20))+1,20))),"")))</f>
        <v/>
      </c>
      <c r="E1714">
        <f>IF($A1714="","",IF(OR($B1714="",$C1714="",$D1714="",$B1714&lt;1300,$B1714&gt;1500,$C1714&lt;1,$C1714&gt;12,$D1714&lt;1,$D1714&gt;31),"نامعتبر",RIGHT("0000"&amp;$B1714,4)&amp;"/"&amp;RIGHT("00"&amp;$C1714,2)&amp;"/"&amp;RIGHT("00"&amp;$D1714,2)))</f>
        <v/>
      </c>
      <c r="F1714">
        <f>IF(Entry!$D1714&lt;&gt;"",IF(AND(ISNUMBER(Entry!$D1714),Entry!$D1714&gt;=0,Entry!$D1714&lt;1),RIGHT("00"&amp;HOUR(Entry!$D1714),2)&amp;":"&amp;RIGHT("00"&amp;MINUTE(Entry!$D1714),2),IFERROR(RIGHT("00"&amp;VALUE(TRIM(LEFT(Entry!$D1714,FIND(":",Entry!$D1714)-1))),2)&amp;":"&amp;RIGHT("00"&amp;VALUE(TRIM(MID(Entry!$D1714,FIND(":",Entry!$D1714)+1,2))),2),"نامعتبر")),IF(OR($E1714="",$E1714="نامعتبر"),"","00:00"))</f>
        <v/>
      </c>
      <c r="G1714">
        <f>IF(OR($E1714="",$E1714="نامعتبر"),"",IF(Entry!$E1714="","",LEFT(UPPER(TRIM(Entry!$E1714)),6)))</f>
        <v/>
      </c>
      <c r="H1714">
        <f>IF($G1714="","",RIGHT($E1714,4)&amp;MID($E1714,6,2)&amp;RIGHT($E1714,2)&amp;IF($F1714="","0000",IF($F1714="نامعتبر","9999",LEFT($F1714,2)&amp;RIGHT($F1714,2)))&amp;"|"&amp;RIGHT("00000"&amp;1706,5))</f>
        <v/>
      </c>
      <c r="I1714">
        <f>IF($H1714="","",COUNTIFS(CalcBank,$G1714,CalcKey,"&lt;"&amp;$H1714)+1)</f>
        <v/>
      </c>
      <c r="J1714">
        <f>IF($I1714="","",$G1714&amp;"|"&amp;RIGHT("000000"&amp;$I1714,6))</f>
        <v/>
      </c>
      <c r="K1714">
        <f>IF(OR($E1714="",$E1714="نامعتبر"),"",LEFT($E1714,4)&amp;"/"&amp;MID($E1714,6,2))</f>
        <v/>
      </c>
      <c r="L1714">
        <f>IF(Entry!$K1714="",0,Entry!$K1714)</f>
        <v/>
      </c>
      <c r="M1714">
        <f>IF(Entry!$L1714="",0,Entry!$L1714)</f>
        <v/>
      </c>
    </row>
    <row r="1715">
      <c r="A1715">
        <f>IF(Entry!$C1715="","",Entry!$C1715)</f>
        <v/>
      </c>
      <c r="B1715">
        <f>IF($A1715="","",IF(ISNUMBER($A1715),IF(AND($A1715&gt;=10000101,$A1715&lt;=99991231),INT($A1715/10000),""),IFERROR(VALUE(TRIM(LEFT($A1715,FIND("/",$A1715)-1))),"")))</f>
        <v/>
      </c>
      <c r="C1715">
        <f>IF(OR($A1715="",$B1715=""),"",IF(ISNUMBER($A1715),INT(MOD($A1715,10000)/100),IFERROR(VALUE(TRIM(LEFT(MID($A1715,FIND("/",$A1715)+1,20),FIND("/",MID($A1715,FIND("/",$A1715)+1,20))-1))),"")))</f>
        <v/>
      </c>
      <c r="D1715">
        <f>IF(OR($A1715="",$B1715=""),"",IF(ISNUMBER($A1715),MOD($A1715,100),IFERROR(VALUE(TRIM(MID(MID($A1715,FIND("/",$A1715)+1,20),FIND("/",MID($A1715,FIND("/",$A1715)+1,20))+1,20))),"")))</f>
        <v/>
      </c>
      <c r="E1715">
        <f>IF($A1715="","",IF(OR($B1715="",$C1715="",$D1715="",$B1715&lt;1300,$B1715&gt;1500,$C1715&lt;1,$C1715&gt;12,$D1715&lt;1,$D1715&gt;31),"نامعتبر",RIGHT("0000"&amp;$B1715,4)&amp;"/"&amp;RIGHT("00"&amp;$C1715,2)&amp;"/"&amp;RIGHT("00"&amp;$D1715,2)))</f>
        <v/>
      </c>
      <c r="F1715">
        <f>IF(Entry!$D1715&lt;&gt;"",IF(AND(ISNUMBER(Entry!$D1715),Entry!$D1715&gt;=0,Entry!$D1715&lt;1),RIGHT("00"&amp;HOUR(Entry!$D1715),2)&amp;":"&amp;RIGHT("00"&amp;MINUTE(Entry!$D1715),2),IFERROR(RIGHT("00"&amp;VALUE(TRIM(LEFT(Entry!$D1715,FIND(":",Entry!$D1715)-1))),2)&amp;":"&amp;RIGHT("00"&amp;VALUE(TRIM(MID(Entry!$D1715,FIND(":",Entry!$D1715)+1,2))),2),"نامعتبر")),IF(OR($E1715="",$E1715="نامعتبر"),"","00:00"))</f>
        <v/>
      </c>
      <c r="G1715">
        <f>IF(OR($E1715="",$E1715="نامعتبر"),"",IF(Entry!$E1715="","",LEFT(UPPER(TRIM(Entry!$E1715)),6)))</f>
        <v/>
      </c>
      <c r="H1715">
        <f>IF($G1715="","",RIGHT($E1715,4)&amp;MID($E1715,6,2)&amp;RIGHT($E1715,2)&amp;IF($F1715="","0000",IF($F1715="نامعتبر","9999",LEFT($F1715,2)&amp;RIGHT($F1715,2)))&amp;"|"&amp;RIGHT("00000"&amp;1707,5))</f>
        <v/>
      </c>
      <c r="I1715">
        <f>IF($H1715="","",COUNTIFS(CalcBank,$G1715,CalcKey,"&lt;"&amp;$H1715)+1)</f>
        <v/>
      </c>
      <c r="J1715">
        <f>IF($I1715="","",$G1715&amp;"|"&amp;RIGHT("000000"&amp;$I1715,6))</f>
        <v/>
      </c>
      <c r="K1715">
        <f>IF(OR($E1715="",$E1715="نامعتبر"),"",LEFT($E1715,4)&amp;"/"&amp;MID($E1715,6,2))</f>
        <v/>
      </c>
      <c r="L1715">
        <f>IF(Entry!$K1715="",0,Entry!$K1715)</f>
        <v/>
      </c>
      <c r="M1715">
        <f>IF(Entry!$L1715="",0,Entry!$L1715)</f>
        <v/>
      </c>
    </row>
    <row r="1716">
      <c r="A1716">
        <f>IF(Entry!$C1716="","",Entry!$C1716)</f>
        <v/>
      </c>
      <c r="B1716">
        <f>IF($A1716="","",IF(ISNUMBER($A1716),IF(AND($A1716&gt;=10000101,$A1716&lt;=99991231),INT($A1716/10000),""),IFERROR(VALUE(TRIM(LEFT($A1716,FIND("/",$A1716)-1))),"")))</f>
        <v/>
      </c>
      <c r="C1716">
        <f>IF(OR($A1716="",$B1716=""),"",IF(ISNUMBER($A1716),INT(MOD($A1716,10000)/100),IFERROR(VALUE(TRIM(LEFT(MID($A1716,FIND("/",$A1716)+1,20),FIND("/",MID($A1716,FIND("/",$A1716)+1,20))-1))),"")))</f>
        <v/>
      </c>
      <c r="D1716">
        <f>IF(OR($A1716="",$B1716=""),"",IF(ISNUMBER($A1716),MOD($A1716,100),IFERROR(VALUE(TRIM(MID(MID($A1716,FIND("/",$A1716)+1,20),FIND("/",MID($A1716,FIND("/",$A1716)+1,20))+1,20))),"")))</f>
        <v/>
      </c>
      <c r="E1716">
        <f>IF($A1716="","",IF(OR($B1716="",$C1716="",$D1716="",$B1716&lt;1300,$B1716&gt;1500,$C1716&lt;1,$C1716&gt;12,$D1716&lt;1,$D1716&gt;31),"نامعتبر",RIGHT("0000"&amp;$B1716,4)&amp;"/"&amp;RIGHT("00"&amp;$C1716,2)&amp;"/"&amp;RIGHT("00"&amp;$D1716,2)))</f>
        <v/>
      </c>
      <c r="F1716">
        <f>IF(Entry!$D1716&lt;&gt;"",IF(AND(ISNUMBER(Entry!$D1716),Entry!$D1716&gt;=0,Entry!$D1716&lt;1),RIGHT("00"&amp;HOUR(Entry!$D1716),2)&amp;":"&amp;RIGHT("00"&amp;MINUTE(Entry!$D1716),2),IFERROR(RIGHT("00"&amp;VALUE(TRIM(LEFT(Entry!$D1716,FIND(":",Entry!$D1716)-1))),2)&amp;":"&amp;RIGHT("00"&amp;VALUE(TRIM(MID(Entry!$D1716,FIND(":",Entry!$D1716)+1,2))),2),"نامعتبر")),IF(OR($E1716="",$E1716="نامعتبر"),"","00:00"))</f>
        <v/>
      </c>
      <c r="G1716">
        <f>IF(OR($E1716="",$E1716="نامعتبر"),"",IF(Entry!$E1716="","",LEFT(UPPER(TRIM(Entry!$E1716)),6)))</f>
        <v/>
      </c>
      <c r="H1716">
        <f>IF($G1716="","",RIGHT($E1716,4)&amp;MID($E1716,6,2)&amp;RIGHT($E1716,2)&amp;IF($F1716="","0000",IF($F1716="نامعتبر","9999",LEFT($F1716,2)&amp;RIGHT($F1716,2)))&amp;"|"&amp;RIGHT("00000"&amp;1708,5))</f>
        <v/>
      </c>
      <c r="I1716">
        <f>IF($H1716="","",COUNTIFS(CalcBank,$G1716,CalcKey,"&lt;"&amp;$H1716)+1)</f>
        <v/>
      </c>
      <c r="J1716">
        <f>IF($I1716="","",$G1716&amp;"|"&amp;RIGHT("000000"&amp;$I1716,6))</f>
        <v/>
      </c>
      <c r="K1716">
        <f>IF(OR($E1716="",$E1716="نامعتبر"),"",LEFT($E1716,4)&amp;"/"&amp;MID($E1716,6,2))</f>
        <v/>
      </c>
      <c r="L1716">
        <f>IF(Entry!$K1716="",0,Entry!$K1716)</f>
        <v/>
      </c>
      <c r="M1716">
        <f>IF(Entry!$L1716="",0,Entry!$L1716)</f>
        <v/>
      </c>
    </row>
    <row r="1717">
      <c r="A1717">
        <f>IF(Entry!$C1717="","",Entry!$C1717)</f>
        <v/>
      </c>
      <c r="B1717">
        <f>IF($A1717="","",IF(ISNUMBER($A1717),IF(AND($A1717&gt;=10000101,$A1717&lt;=99991231),INT($A1717/10000),""),IFERROR(VALUE(TRIM(LEFT($A1717,FIND("/",$A1717)-1))),"")))</f>
        <v/>
      </c>
      <c r="C1717">
        <f>IF(OR($A1717="",$B1717=""),"",IF(ISNUMBER($A1717),INT(MOD($A1717,10000)/100),IFERROR(VALUE(TRIM(LEFT(MID($A1717,FIND("/",$A1717)+1,20),FIND("/",MID($A1717,FIND("/",$A1717)+1,20))-1))),"")))</f>
        <v/>
      </c>
      <c r="D1717">
        <f>IF(OR($A1717="",$B1717=""),"",IF(ISNUMBER($A1717),MOD($A1717,100),IFERROR(VALUE(TRIM(MID(MID($A1717,FIND("/",$A1717)+1,20),FIND("/",MID($A1717,FIND("/",$A1717)+1,20))+1,20))),"")))</f>
        <v/>
      </c>
      <c r="E1717">
        <f>IF($A1717="","",IF(OR($B1717="",$C1717="",$D1717="",$B1717&lt;1300,$B1717&gt;1500,$C1717&lt;1,$C1717&gt;12,$D1717&lt;1,$D1717&gt;31),"نامعتبر",RIGHT("0000"&amp;$B1717,4)&amp;"/"&amp;RIGHT("00"&amp;$C1717,2)&amp;"/"&amp;RIGHT("00"&amp;$D1717,2)))</f>
        <v/>
      </c>
      <c r="F1717">
        <f>IF(Entry!$D1717&lt;&gt;"",IF(AND(ISNUMBER(Entry!$D1717),Entry!$D1717&gt;=0,Entry!$D1717&lt;1),RIGHT("00"&amp;HOUR(Entry!$D1717),2)&amp;":"&amp;RIGHT("00"&amp;MINUTE(Entry!$D1717),2),IFERROR(RIGHT("00"&amp;VALUE(TRIM(LEFT(Entry!$D1717,FIND(":",Entry!$D1717)-1))),2)&amp;":"&amp;RIGHT("00"&amp;VALUE(TRIM(MID(Entry!$D1717,FIND(":",Entry!$D1717)+1,2))),2),"نامعتبر")),IF(OR($E1717="",$E1717="نامعتبر"),"","00:00"))</f>
        <v/>
      </c>
      <c r="G1717">
        <f>IF(OR($E1717="",$E1717="نامعتبر"),"",IF(Entry!$E1717="","",LEFT(UPPER(TRIM(Entry!$E1717)),6)))</f>
        <v/>
      </c>
      <c r="H1717">
        <f>IF($G1717="","",RIGHT($E1717,4)&amp;MID($E1717,6,2)&amp;RIGHT($E1717,2)&amp;IF($F1717="","0000",IF($F1717="نامعتبر","9999",LEFT($F1717,2)&amp;RIGHT($F1717,2)))&amp;"|"&amp;RIGHT("00000"&amp;1709,5))</f>
        <v/>
      </c>
      <c r="I1717">
        <f>IF($H1717="","",COUNTIFS(CalcBank,$G1717,CalcKey,"&lt;"&amp;$H1717)+1)</f>
        <v/>
      </c>
      <c r="J1717">
        <f>IF($I1717="","",$G1717&amp;"|"&amp;RIGHT("000000"&amp;$I1717,6))</f>
        <v/>
      </c>
      <c r="K1717">
        <f>IF(OR($E1717="",$E1717="نامعتبر"),"",LEFT($E1717,4)&amp;"/"&amp;MID($E1717,6,2))</f>
        <v/>
      </c>
      <c r="L1717">
        <f>IF(Entry!$K1717="",0,Entry!$K1717)</f>
        <v/>
      </c>
      <c r="M1717">
        <f>IF(Entry!$L1717="",0,Entry!$L1717)</f>
        <v/>
      </c>
    </row>
    <row r="1718">
      <c r="A1718">
        <f>IF(Entry!$C1718="","",Entry!$C1718)</f>
        <v/>
      </c>
      <c r="B1718">
        <f>IF($A1718="","",IF(ISNUMBER($A1718),IF(AND($A1718&gt;=10000101,$A1718&lt;=99991231),INT($A1718/10000),""),IFERROR(VALUE(TRIM(LEFT($A1718,FIND("/",$A1718)-1))),"")))</f>
        <v/>
      </c>
      <c r="C1718">
        <f>IF(OR($A1718="",$B1718=""),"",IF(ISNUMBER($A1718),INT(MOD($A1718,10000)/100),IFERROR(VALUE(TRIM(LEFT(MID($A1718,FIND("/",$A1718)+1,20),FIND("/",MID($A1718,FIND("/",$A1718)+1,20))-1))),"")))</f>
        <v/>
      </c>
      <c r="D1718">
        <f>IF(OR($A1718="",$B1718=""),"",IF(ISNUMBER($A1718),MOD($A1718,100),IFERROR(VALUE(TRIM(MID(MID($A1718,FIND("/",$A1718)+1,20),FIND("/",MID($A1718,FIND("/",$A1718)+1,20))+1,20))),"")))</f>
        <v/>
      </c>
      <c r="E1718">
        <f>IF($A1718="","",IF(OR($B1718="",$C1718="",$D1718="",$B1718&lt;1300,$B1718&gt;1500,$C1718&lt;1,$C1718&gt;12,$D1718&lt;1,$D1718&gt;31),"نامعتبر",RIGHT("0000"&amp;$B1718,4)&amp;"/"&amp;RIGHT("00"&amp;$C1718,2)&amp;"/"&amp;RIGHT("00"&amp;$D1718,2)))</f>
        <v/>
      </c>
      <c r="F1718">
        <f>IF(Entry!$D1718&lt;&gt;"",IF(AND(ISNUMBER(Entry!$D1718),Entry!$D1718&gt;=0,Entry!$D1718&lt;1),RIGHT("00"&amp;HOUR(Entry!$D1718),2)&amp;":"&amp;RIGHT("00"&amp;MINUTE(Entry!$D1718),2),IFERROR(RIGHT("00"&amp;VALUE(TRIM(LEFT(Entry!$D1718,FIND(":",Entry!$D1718)-1))),2)&amp;":"&amp;RIGHT("00"&amp;VALUE(TRIM(MID(Entry!$D1718,FIND(":",Entry!$D1718)+1,2))),2),"نامعتبر")),IF(OR($E1718="",$E1718="نامعتبر"),"","00:00"))</f>
        <v/>
      </c>
      <c r="G1718">
        <f>IF(OR($E1718="",$E1718="نامعتبر"),"",IF(Entry!$E1718="","",LEFT(UPPER(TRIM(Entry!$E1718)),6)))</f>
        <v/>
      </c>
      <c r="H1718">
        <f>IF($G1718="","",RIGHT($E1718,4)&amp;MID($E1718,6,2)&amp;RIGHT($E1718,2)&amp;IF($F1718="","0000",IF($F1718="نامعتبر","9999",LEFT($F1718,2)&amp;RIGHT($F1718,2)))&amp;"|"&amp;RIGHT("00000"&amp;1710,5))</f>
        <v/>
      </c>
      <c r="I1718">
        <f>IF($H1718="","",COUNTIFS(CalcBank,$G1718,CalcKey,"&lt;"&amp;$H1718)+1)</f>
        <v/>
      </c>
      <c r="J1718">
        <f>IF($I1718="","",$G1718&amp;"|"&amp;RIGHT("000000"&amp;$I1718,6))</f>
        <v/>
      </c>
      <c r="K1718">
        <f>IF(OR($E1718="",$E1718="نامعتبر"),"",LEFT($E1718,4)&amp;"/"&amp;MID($E1718,6,2))</f>
        <v/>
      </c>
      <c r="L1718">
        <f>IF(Entry!$K1718="",0,Entry!$K1718)</f>
        <v/>
      </c>
      <c r="M1718">
        <f>IF(Entry!$L1718="",0,Entry!$L1718)</f>
        <v/>
      </c>
    </row>
    <row r="1719">
      <c r="A1719">
        <f>IF(Entry!$C1719="","",Entry!$C1719)</f>
        <v/>
      </c>
      <c r="B1719">
        <f>IF($A1719="","",IF(ISNUMBER($A1719),IF(AND($A1719&gt;=10000101,$A1719&lt;=99991231),INT($A1719/10000),""),IFERROR(VALUE(TRIM(LEFT($A1719,FIND("/",$A1719)-1))),"")))</f>
        <v/>
      </c>
      <c r="C1719">
        <f>IF(OR($A1719="",$B1719=""),"",IF(ISNUMBER($A1719),INT(MOD($A1719,10000)/100),IFERROR(VALUE(TRIM(LEFT(MID($A1719,FIND("/",$A1719)+1,20),FIND("/",MID($A1719,FIND("/",$A1719)+1,20))-1))),"")))</f>
        <v/>
      </c>
      <c r="D1719">
        <f>IF(OR($A1719="",$B1719=""),"",IF(ISNUMBER($A1719),MOD($A1719,100),IFERROR(VALUE(TRIM(MID(MID($A1719,FIND("/",$A1719)+1,20),FIND("/",MID($A1719,FIND("/",$A1719)+1,20))+1,20))),"")))</f>
        <v/>
      </c>
      <c r="E1719">
        <f>IF($A1719="","",IF(OR($B1719="",$C1719="",$D1719="",$B1719&lt;1300,$B1719&gt;1500,$C1719&lt;1,$C1719&gt;12,$D1719&lt;1,$D1719&gt;31),"نامعتبر",RIGHT("0000"&amp;$B1719,4)&amp;"/"&amp;RIGHT("00"&amp;$C1719,2)&amp;"/"&amp;RIGHT("00"&amp;$D1719,2)))</f>
        <v/>
      </c>
      <c r="F1719">
        <f>IF(Entry!$D1719&lt;&gt;"",IF(AND(ISNUMBER(Entry!$D1719),Entry!$D1719&gt;=0,Entry!$D1719&lt;1),RIGHT("00"&amp;HOUR(Entry!$D1719),2)&amp;":"&amp;RIGHT("00"&amp;MINUTE(Entry!$D1719),2),IFERROR(RIGHT("00"&amp;VALUE(TRIM(LEFT(Entry!$D1719,FIND(":",Entry!$D1719)-1))),2)&amp;":"&amp;RIGHT("00"&amp;VALUE(TRIM(MID(Entry!$D1719,FIND(":",Entry!$D1719)+1,2))),2),"نامعتبر")),IF(OR($E1719="",$E1719="نامعتبر"),"","00:00"))</f>
        <v/>
      </c>
      <c r="G1719">
        <f>IF(OR($E1719="",$E1719="نامعتبر"),"",IF(Entry!$E1719="","",LEFT(UPPER(TRIM(Entry!$E1719)),6)))</f>
        <v/>
      </c>
      <c r="H1719">
        <f>IF($G1719="","",RIGHT($E1719,4)&amp;MID($E1719,6,2)&amp;RIGHT($E1719,2)&amp;IF($F1719="","0000",IF($F1719="نامعتبر","9999",LEFT($F1719,2)&amp;RIGHT($F1719,2)))&amp;"|"&amp;RIGHT("00000"&amp;1711,5))</f>
        <v/>
      </c>
      <c r="I1719">
        <f>IF($H1719="","",COUNTIFS(CalcBank,$G1719,CalcKey,"&lt;"&amp;$H1719)+1)</f>
        <v/>
      </c>
      <c r="J1719">
        <f>IF($I1719="","",$G1719&amp;"|"&amp;RIGHT("000000"&amp;$I1719,6))</f>
        <v/>
      </c>
      <c r="K1719">
        <f>IF(OR($E1719="",$E1719="نامعتبر"),"",LEFT($E1719,4)&amp;"/"&amp;MID($E1719,6,2))</f>
        <v/>
      </c>
      <c r="L1719">
        <f>IF(Entry!$K1719="",0,Entry!$K1719)</f>
        <v/>
      </c>
      <c r="M1719">
        <f>IF(Entry!$L1719="",0,Entry!$L1719)</f>
        <v/>
      </c>
    </row>
    <row r="1720">
      <c r="A1720">
        <f>IF(Entry!$C1720="","",Entry!$C1720)</f>
        <v/>
      </c>
      <c r="B1720">
        <f>IF($A1720="","",IF(ISNUMBER($A1720),IF(AND($A1720&gt;=10000101,$A1720&lt;=99991231),INT($A1720/10000),""),IFERROR(VALUE(TRIM(LEFT($A1720,FIND("/",$A1720)-1))),"")))</f>
        <v/>
      </c>
      <c r="C1720">
        <f>IF(OR($A1720="",$B1720=""),"",IF(ISNUMBER($A1720),INT(MOD($A1720,10000)/100),IFERROR(VALUE(TRIM(LEFT(MID($A1720,FIND("/",$A1720)+1,20),FIND("/",MID($A1720,FIND("/",$A1720)+1,20))-1))),"")))</f>
        <v/>
      </c>
      <c r="D1720">
        <f>IF(OR($A1720="",$B1720=""),"",IF(ISNUMBER($A1720),MOD($A1720,100),IFERROR(VALUE(TRIM(MID(MID($A1720,FIND("/",$A1720)+1,20),FIND("/",MID($A1720,FIND("/",$A1720)+1,20))+1,20))),"")))</f>
        <v/>
      </c>
      <c r="E1720">
        <f>IF($A1720="","",IF(OR($B1720="",$C1720="",$D1720="",$B1720&lt;1300,$B1720&gt;1500,$C1720&lt;1,$C1720&gt;12,$D1720&lt;1,$D1720&gt;31),"نامعتبر",RIGHT("0000"&amp;$B1720,4)&amp;"/"&amp;RIGHT("00"&amp;$C1720,2)&amp;"/"&amp;RIGHT("00"&amp;$D1720,2)))</f>
        <v/>
      </c>
      <c r="F1720">
        <f>IF(Entry!$D1720&lt;&gt;"",IF(AND(ISNUMBER(Entry!$D1720),Entry!$D1720&gt;=0,Entry!$D1720&lt;1),RIGHT("00"&amp;HOUR(Entry!$D1720),2)&amp;":"&amp;RIGHT("00"&amp;MINUTE(Entry!$D1720),2),IFERROR(RIGHT("00"&amp;VALUE(TRIM(LEFT(Entry!$D1720,FIND(":",Entry!$D1720)-1))),2)&amp;":"&amp;RIGHT("00"&amp;VALUE(TRIM(MID(Entry!$D1720,FIND(":",Entry!$D1720)+1,2))),2),"نامعتبر")),IF(OR($E1720="",$E1720="نامعتبر"),"","00:00"))</f>
        <v/>
      </c>
      <c r="G1720">
        <f>IF(OR($E1720="",$E1720="نامعتبر"),"",IF(Entry!$E1720="","",LEFT(UPPER(TRIM(Entry!$E1720)),6)))</f>
        <v/>
      </c>
      <c r="H1720">
        <f>IF($G1720="","",RIGHT($E1720,4)&amp;MID($E1720,6,2)&amp;RIGHT($E1720,2)&amp;IF($F1720="","0000",IF($F1720="نامعتبر","9999",LEFT($F1720,2)&amp;RIGHT($F1720,2)))&amp;"|"&amp;RIGHT("00000"&amp;1712,5))</f>
        <v/>
      </c>
      <c r="I1720">
        <f>IF($H1720="","",COUNTIFS(CalcBank,$G1720,CalcKey,"&lt;"&amp;$H1720)+1)</f>
        <v/>
      </c>
      <c r="J1720">
        <f>IF($I1720="","",$G1720&amp;"|"&amp;RIGHT("000000"&amp;$I1720,6))</f>
        <v/>
      </c>
      <c r="K1720">
        <f>IF(OR($E1720="",$E1720="نامعتبر"),"",LEFT($E1720,4)&amp;"/"&amp;MID($E1720,6,2))</f>
        <v/>
      </c>
      <c r="L1720">
        <f>IF(Entry!$K1720="",0,Entry!$K1720)</f>
        <v/>
      </c>
      <c r="M1720">
        <f>IF(Entry!$L1720="",0,Entry!$L1720)</f>
        <v/>
      </c>
    </row>
    <row r="1721">
      <c r="A1721">
        <f>IF(Entry!$C1721="","",Entry!$C1721)</f>
        <v/>
      </c>
      <c r="B1721">
        <f>IF($A1721="","",IF(ISNUMBER($A1721),IF(AND($A1721&gt;=10000101,$A1721&lt;=99991231),INT($A1721/10000),""),IFERROR(VALUE(TRIM(LEFT($A1721,FIND("/",$A1721)-1))),"")))</f>
        <v/>
      </c>
      <c r="C1721">
        <f>IF(OR($A1721="",$B1721=""),"",IF(ISNUMBER($A1721),INT(MOD($A1721,10000)/100),IFERROR(VALUE(TRIM(LEFT(MID($A1721,FIND("/",$A1721)+1,20),FIND("/",MID($A1721,FIND("/",$A1721)+1,20))-1))),"")))</f>
        <v/>
      </c>
      <c r="D1721">
        <f>IF(OR($A1721="",$B1721=""),"",IF(ISNUMBER($A1721),MOD($A1721,100),IFERROR(VALUE(TRIM(MID(MID($A1721,FIND("/",$A1721)+1,20),FIND("/",MID($A1721,FIND("/",$A1721)+1,20))+1,20))),"")))</f>
        <v/>
      </c>
      <c r="E1721">
        <f>IF($A1721="","",IF(OR($B1721="",$C1721="",$D1721="",$B1721&lt;1300,$B1721&gt;1500,$C1721&lt;1,$C1721&gt;12,$D1721&lt;1,$D1721&gt;31),"نامعتبر",RIGHT("0000"&amp;$B1721,4)&amp;"/"&amp;RIGHT("00"&amp;$C1721,2)&amp;"/"&amp;RIGHT("00"&amp;$D1721,2)))</f>
        <v/>
      </c>
      <c r="F1721">
        <f>IF(Entry!$D1721&lt;&gt;"",IF(AND(ISNUMBER(Entry!$D1721),Entry!$D1721&gt;=0,Entry!$D1721&lt;1),RIGHT("00"&amp;HOUR(Entry!$D1721),2)&amp;":"&amp;RIGHT("00"&amp;MINUTE(Entry!$D1721),2),IFERROR(RIGHT("00"&amp;VALUE(TRIM(LEFT(Entry!$D1721,FIND(":",Entry!$D1721)-1))),2)&amp;":"&amp;RIGHT("00"&amp;VALUE(TRIM(MID(Entry!$D1721,FIND(":",Entry!$D1721)+1,2))),2),"نامعتبر")),IF(OR($E1721="",$E1721="نامعتبر"),"","00:00"))</f>
        <v/>
      </c>
      <c r="G1721">
        <f>IF(OR($E1721="",$E1721="نامعتبر"),"",IF(Entry!$E1721="","",LEFT(UPPER(TRIM(Entry!$E1721)),6)))</f>
        <v/>
      </c>
      <c r="H1721">
        <f>IF($G1721="","",RIGHT($E1721,4)&amp;MID($E1721,6,2)&amp;RIGHT($E1721,2)&amp;IF($F1721="","0000",IF($F1721="نامعتبر","9999",LEFT($F1721,2)&amp;RIGHT($F1721,2)))&amp;"|"&amp;RIGHT("00000"&amp;1713,5))</f>
        <v/>
      </c>
      <c r="I1721">
        <f>IF($H1721="","",COUNTIFS(CalcBank,$G1721,CalcKey,"&lt;"&amp;$H1721)+1)</f>
        <v/>
      </c>
      <c r="J1721">
        <f>IF($I1721="","",$G1721&amp;"|"&amp;RIGHT("000000"&amp;$I1721,6))</f>
        <v/>
      </c>
      <c r="K1721">
        <f>IF(OR($E1721="",$E1721="نامعتبر"),"",LEFT($E1721,4)&amp;"/"&amp;MID($E1721,6,2))</f>
        <v/>
      </c>
      <c r="L1721">
        <f>IF(Entry!$K1721="",0,Entry!$K1721)</f>
        <v/>
      </c>
      <c r="M1721">
        <f>IF(Entry!$L1721="",0,Entry!$L1721)</f>
        <v/>
      </c>
    </row>
    <row r="1722">
      <c r="A1722">
        <f>IF(Entry!$C1722="","",Entry!$C1722)</f>
        <v/>
      </c>
      <c r="B1722">
        <f>IF($A1722="","",IF(ISNUMBER($A1722),IF(AND($A1722&gt;=10000101,$A1722&lt;=99991231),INT($A1722/10000),""),IFERROR(VALUE(TRIM(LEFT($A1722,FIND("/",$A1722)-1))),"")))</f>
        <v/>
      </c>
      <c r="C1722">
        <f>IF(OR($A1722="",$B1722=""),"",IF(ISNUMBER($A1722),INT(MOD($A1722,10000)/100),IFERROR(VALUE(TRIM(LEFT(MID($A1722,FIND("/",$A1722)+1,20),FIND("/",MID($A1722,FIND("/",$A1722)+1,20))-1))),"")))</f>
        <v/>
      </c>
      <c r="D1722">
        <f>IF(OR($A1722="",$B1722=""),"",IF(ISNUMBER($A1722),MOD($A1722,100),IFERROR(VALUE(TRIM(MID(MID($A1722,FIND("/",$A1722)+1,20),FIND("/",MID($A1722,FIND("/",$A1722)+1,20))+1,20))),"")))</f>
        <v/>
      </c>
      <c r="E1722">
        <f>IF($A1722="","",IF(OR($B1722="",$C1722="",$D1722="",$B1722&lt;1300,$B1722&gt;1500,$C1722&lt;1,$C1722&gt;12,$D1722&lt;1,$D1722&gt;31),"نامعتبر",RIGHT("0000"&amp;$B1722,4)&amp;"/"&amp;RIGHT("00"&amp;$C1722,2)&amp;"/"&amp;RIGHT("00"&amp;$D1722,2)))</f>
        <v/>
      </c>
      <c r="F1722">
        <f>IF(Entry!$D1722&lt;&gt;"",IF(AND(ISNUMBER(Entry!$D1722),Entry!$D1722&gt;=0,Entry!$D1722&lt;1),RIGHT("00"&amp;HOUR(Entry!$D1722),2)&amp;":"&amp;RIGHT("00"&amp;MINUTE(Entry!$D1722),2),IFERROR(RIGHT("00"&amp;VALUE(TRIM(LEFT(Entry!$D1722,FIND(":",Entry!$D1722)-1))),2)&amp;":"&amp;RIGHT("00"&amp;VALUE(TRIM(MID(Entry!$D1722,FIND(":",Entry!$D1722)+1,2))),2),"نامعتبر")),IF(OR($E1722="",$E1722="نامعتبر"),"","00:00"))</f>
        <v/>
      </c>
      <c r="G1722">
        <f>IF(OR($E1722="",$E1722="نامعتبر"),"",IF(Entry!$E1722="","",LEFT(UPPER(TRIM(Entry!$E1722)),6)))</f>
        <v/>
      </c>
      <c r="H1722">
        <f>IF($G1722="","",RIGHT($E1722,4)&amp;MID($E1722,6,2)&amp;RIGHT($E1722,2)&amp;IF($F1722="","0000",IF($F1722="نامعتبر","9999",LEFT($F1722,2)&amp;RIGHT($F1722,2)))&amp;"|"&amp;RIGHT("00000"&amp;1714,5))</f>
        <v/>
      </c>
      <c r="I1722">
        <f>IF($H1722="","",COUNTIFS(CalcBank,$G1722,CalcKey,"&lt;"&amp;$H1722)+1)</f>
        <v/>
      </c>
      <c r="J1722">
        <f>IF($I1722="","",$G1722&amp;"|"&amp;RIGHT("000000"&amp;$I1722,6))</f>
        <v/>
      </c>
      <c r="K1722">
        <f>IF(OR($E1722="",$E1722="نامعتبر"),"",LEFT($E1722,4)&amp;"/"&amp;MID($E1722,6,2))</f>
        <v/>
      </c>
      <c r="L1722">
        <f>IF(Entry!$K1722="",0,Entry!$K1722)</f>
        <v/>
      </c>
      <c r="M1722">
        <f>IF(Entry!$L1722="",0,Entry!$L1722)</f>
        <v/>
      </c>
    </row>
    <row r="1723">
      <c r="A1723">
        <f>IF(Entry!$C1723="","",Entry!$C1723)</f>
        <v/>
      </c>
      <c r="B1723">
        <f>IF($A1723="","",IF(ISNUMBER($A1723),IF(AND($A1723&gt;=10000101,$A1723&lt;=99991231),INT($A1723/10000),""),IFERROR(VALUE(TRIM(LEFT($A1723,FIND("/",$A1723)-1))),"")))</f>
        <v/>
      </c>
      <c r="C1723">
        <f>IF(OR($A1723="",$B1723=""),"",IF(ISNUMBER($A1723),INT(MOD($A1723,10000)/100),IFERROR(VALUE(TRIM(LEFT(MID($A1723,FIND("/",$A1723)+1,20),FIND("/",MID($A1723,FIND("/",$A1723)+1,20))-1))),"")))</f>
        <v/>
      </c>
      <c r="D1723">
        <f>IF(OR($A1723="",$B1723=""),"",IF(ISNUMBER($A1723),MOD($A1723,100),IFERROR(VALUE(TRIM(MID(MID($A1723,FIND("/",$A1723)+1,20),FIND("/",MID($A1723,FIND("/",$A1723)+1,20))+1,20))),"")))</f>
        <v/>
      </c>
      <c r="E1723">
        <f>IF($A1723="","",IF(OR($B1723="",$C1723="",$D1723="",$B1723&lt;1300,$B1723&gt;1500,$C1723&lt;1,$C1723&gt;12,$D1723&lt;1,$D1723&gt;31),"نامعتبر",RIGHT("0000"&amp;$B1723,4)&amp;"/"&amp;RIGHT("00"&amp;$C1723,2)&amp;"/"&amp;RIGHT("00"&amp;$D1723,2)))</f>
        <v/>
      </c>
      <c r="F1723">
        <f>IF(Entry!$D1723&lt;&gt;"",IF(AND(ISNUMBER(Entry!$D1723),Entry!$D1723&gt;=0,Entry!$D1723&lt;1),RIGHT("00"&amp;HOUR(Entry!$D1723),2)&amp;":"&amp;RIGHT("00"&amp;MINUTE(Entry!$D1723),2),IFERROR(RIGHT("00"&amp;VALUE(TRIM(LEFT(Entry!$D1723,FIND(":",Entry!$D1723)-1))),2)&amp;":"&amp;RIGHT("00"&amp;VALUE(TRIM(MID(Entry!$D1723,FIND(":",Entry!$D1723)+1,2))),2),"نامعتبر")),IF(OR($E1723="",$E1723="نامعتبر"),"","00:00"))</f>
        <v/>
      </c>
      <c r="G1723">
        <f>IF(OR($E1723="",$E1723="نامعتبر"),"",IF(Entry!$E1723="","",LEFT(UPPER(TRIM(Entry!$E1723)),6)))</f>
        <v/>
      </c>
      <c r="H1723">
        <f>IF($G1723="","",RIGHT($E1723,4)&amp;MID($E1723,6,2)&amp;RIGHT($E1723,2)&amp;IF($F1723="","0000",IF($F1723="نامعتبر","9999",LEFT($F1723,2)&amp;RIGHT($F1723,2)))&amp;"|"&amp;RIGHT("00000"&amp;1715,5))</f>
        <v/>
      </c>
      <c r="I1723">
        <f>IF($H1723="","",COUNTIFS(CalcBank,$G1723,CalcKey,"&lt;"&amp;$H1723)+1)</f>
        <v/>
      </c>
      <c r="J1723">
        <f>IF($I1723="","",$G1723&amp;"|"&amp;RIGHT("000000"&amp;$I1723,6))</f>
        <v/>
      </c>
      <c r="K1723">
        <f>IF(OR($E1723="",$E1723="نامعتبر"),"",LEFT($E1723,4)&amp;"/"&amp;MID($E1723,6,2))</f>
        <v/>
      </c>
      <c r="L1723">
        <f>IF(Entry!$K1723="",0,Entry!$K1723)</f>
        <v/>
      </c>
      <c r="M1723">
        <f>IF(Entry!$L1723="",0,Entry!$L1723)</f>
        <v/>
      </c>
    </row>
    <row r="1724">
      <c r="A1724">
        <f>IF(Entry!$C1724="","",Entry!$C1724)</f>
        <v/>
      </c>
      <c r="B1724">
        <f>IF($A1724="","",IF(ISNUMBER($A1724),IF(AND($A1724&gt;=10000101,$A1724&lt;=99991231),INT($A1724/10000),""),IFERROR(VALUE(TRIM(LEFT($A1724,FIND("/",$A1724)-1))),"")))</f>
        <v/>
      </c>
      <c r="C1724">
        <f>IF(OR($A1724="",$B1724=""),"",IF(ISNUMBER($A1724),INT(MOD($A1724,10000)/100),IFERROR(VALUE(TRIM(LEFT(MID($A1724,FIND("/",$A1724)+1,20),FIND("/",MID($A1724,FIND("/",$A1724)+1,20))-1))),"")))</f>
        <v/>
      </c>
      <c r="D1724">
        <f>IF(OR($A1724="",$B1724=""),"",IF(ISNUMBER($A1724),MOD($A1724,100),IFERROR(VALUE(TRIM(MID(MID($A1724,FIND("/",$A1724)+1,20),FIND("/",MID($A1724,FIND("/",$A1724)+1,20))+1,20))),"")))</f>
        <v/>
      </c>
      <c r="E1724">
        <f>IF($A1724="","",IF(OR($B1724="",$C1724="",$D1724="",$B1724&lt;1300,$B1724&gt;1500,$C1724&lt;1,$C1724&gt;12,$D1724&lt;1,$D1724&gt;31),"نامعتبر",RIGHT("0000"&amp;$B1724,4)&amp;"/"&amp;RIGHT("00"&amp;$C1724,2)&amp;"/"&amp;RIGHT("00"&amp;$D1724,2)))</f>
        <v/>
      </c>
      <c r="F1724">
        <f>IF(Entry!$D1724&lt;&gt;"",IF(AND(ISNUMBER(Entry!$D1724),Entry!$D1724&gt;=0,Entry!$D1724&lt;1),RIGHT("00"&amp;HOUR(Entry!$D1724),2)&amp;":"&amp;RIGHT("00"&amp;MINUTE(Entry!$D1724),2),IFERROR(RIGHT("00"&amp;VALUE(TRIM(LEFT(Entry!$D1724,FIND(":",Entry!$D1724)-1))),2)&amp;":"&amp;RIGHT("00"&amp;VALUE(TRIM(MID(Entry!$D1724,FIND(":",Entry!$D1724)+1,2))),2),"نامعتبر")),IF(OR($E1724="",$E1724="نامعتبر"),"","00:00"))</f>
        <v/>
      </c>
      <c r="G1724">
        <f>IF(OR($E1724="",$E1724="نامعتبر"),"",IF(Entry!$E1724="","",LEFT(UPPER(TRIM(Entry!$E1724)),6)))</f>
        <v/>
      </c>
      <c r="H1724">
        <f>IF($G1724="","",RIGHT($E1724,4)&amp;MID($E1724,6,2)&amp;RIGHT($E1724,2)&amp;IF($F1724="","0000",IF($F1724="نامعتبر","9999",LEFT($F1724,2)&amp;RIGHT($F1724,2)))&amp;"|"&amp;RIGHT("00000"&amp;1716,5))</f>
        <v/>
      </c>
      <c r="I1724">
        <f>IF($H1724="","",COUNTIFS(CalcBank,$G1724,CalcKey,"&lt;"&amp;$H1724)+1)</f>
        <v/>
      </c>
      <c r="J1724">
        <f>IF($I1724="","",$G1724&amp;"|"&amp;RIGHT("000000"&amp;$I1724,6))</f>
        <v/>
      </c>
      <c r="K1724">
        <f>IF(OR($E1724="",$E1724="نامعتبر"),"",LEFT($E1724,4)&amp;"/"&amp;MID($E1724,6,2))</f>
        <v/>
      </c>
      <c r="L1724">
        <f>IF(Entry!$K1724="",0,Entry!$K1724)</f>
        <v/>
      </c>
      <c r="M1724">
        <f>IF(Entry!$L1724="",0,Entry!$L1724)</f>
        <v/>
      </c>
    </row>
    <row r="1725">
      <c r="A1725">
        <f>IF(Entry!$C1725="","",Entry!$C1725)</f>
        <v/>
      </c>
      <c r="B1725">
        <f>IF($A1725="","",IF(ISNUMBER($A1725),IF(AND($A1725&gt;=10000101,$A1725&lt;=99991231),INT($A1725/10000),""),IFERROR(VALUE(TRIM(LEFT($A1725,FIND("/",$A1725)-1))),"")))</f>
        <v/>
      </c>
      <c r="C1725">
        <f>IF(OR($A1725="",$B1725=""),"",IF(ISNUMBER($A1725),INT(MOD($A1725,10000)/100),IFERROR(VALUE(TRIM(LEFT(MID($A1725,FIND("/",$A1725)+1,20),FIND("/",MID($A1725,FIND("/",$A1725)+1,20))-1))),"")))</f>
        <v/>
      </c>
      <c r="D1725">
        <f>IF(OR($A1725="",$B1725=""),"",IF(ISNUMBER($A1725),MOD($A1725,100),IFERROR(VALUE(TRIM(MID(MID($A1725,FIND("/",$A1725)+1,20),FIND("/",MID($A1725,FIND("/",$A1725)+1,20))+1,20))),"")))</f>
        <v/>
      </c>
      <c r="E1725">
        <f>IF($A1725="","",IF(OR($B1725="",$C1725="",$D1725="",$B1725&lt;1300,$B1725&gt;1500,$C1725&lt;1,$C1725&gt;12,$D1725&lt;1,$D1725&gt;31),"نامعتبر",RIGHT("0000"&amp;$B1725,4)&amp;"/"&amp;RIGHT("00"&amp;$C1725,2)&amp;"/"&amp;RIGHT("00"&amp;$D1725,2)))</f>
        <v/>
      </c>
      <c r="F1725">
        <f>IF(Entry!$D1725&lt;&gt;"",IF(AND(ISNUMBER(Entry!$D1725),Entry!$D1725&gt;=0,Entry!$D1725&lt;1),RIGHT("00"&amp;HOUR(Entry!$D1725),2)&amp;":"&amp;RIGHT("00"&amp;MINUTE(Entry!$D1725),2),IFERROR(RIGHT("00"&amp;VALUE(TRIM(LEFT(Entry!$D1725,FIND(":",Entry!$D1725)-1))),2)&amp;":"&amp;RIGHT("00"&amp;VALUE(TRIM(MID(Entry!$D1725,FIND(":",Entry!$D1725)+1,2))),2),"نامعتبر")),IF(OR($E1725="",$E1725="نامعتبر"),"","00:00"))</f>
        <v/>
      </c>
      <c r="G1725">
        <f>IF(OR($E1725="",$E1725="نامعتبر"),"",IF(Entry!$E1725="","",LEFT(UPPER(TRIM(Entry!$E1725)),6)))</f>
        <v/>
      </c>
      <c r="H1725">
        <f>IF($G1725="","",RIGHT($E1725,4)&amp;MID($E1725,6,2)&amp;RIGHT($E1725,2)&amp;IF($F1725="","0000",IF($F1725="نامعتبر","9999",LEFT($F1725,2)&amp;RIGHT($F1725,2)))&amp;"|"&amp;RIGHT("00000"&amp;1717,5))</f>
        <v/>
      </c>
      <c r="I1725">
        <f>IF($H1725="","",COUNTIFS(CalcBank,$G1725,CalcKey,"&lt;"&amp;$H1725)+1)</f>
        <v/>
      </c>
      <c r="J1725">
        <f>IF($I1725="","",$G1725&amp;"|"&amp;RIGHT("000000"&amp;$I1725,6))</f>
        <v/>
      </c>
      <c r="K1725">
        <f>IF(OR($E1725="",$E1725="نامعتبر"),"",LEFT($E1725,4)&amp;"/"&amp;MID($E1725,6,2))</f>
        <v/>
      </c>
      <c r="L1725">
        <f>IF(Entry!$K1725="",0,Entry!$K1725)</f>
        <v/>
      </c>
      <c r="M1725">
        <f>IF(Entry!$L1725="",0,Entry!$L1725)</f>
        <v/>
      </c>
    </row>
    <row r="1726">
      <c r="A1726">
        <f>IF(Entry!$C1726="","",Entry!$C1726)</f>
        <v/>
      </c>
      <c r="B1726">
        <f>IF($A1726="","",IF(ISNUMBER($A1726),IF(AND($A1726&gt;=10000101,$A1726&lt;=99991231),INT($A1726/10000),""),IFERROR(VALUE(TRIM(LEFT($A1726,FIND("/",$A1726)-1))),"")))</f>
        <v/>
      </c>
      <c r="C1726">
        <f>IF(OR($A1726="",$B1726=""),"",IF(ISNUMBER($A1726),INT(MOD($A1726,10000)/100),IFERROR(VALUE(TRIM(LEFT(MID($A1726,FIND("/",$A1726)+1,20),FIND("/",MID($A1726,FIND("/",$A1726)+1,20))-1))),"")))</f>
        <v/>
      </c>
      <c r="D1726">
        <f>IF(OR($A1726="",$B1726=""),"",IF(ISNUMBER($A1726),MOD($A1726,100),IFERROR(VALUE(TRIM(MID(MID($A1726,FIND("/",$A1726)+1,20),FIND("/",MID($A1726,FIND("/",$A1726)+1,20))+1,20))),"")))</f>
        <v/>
      </c>
      <c r="E1726">
        <f>IF($A1726="","",IF(OR($B1726="",$C1726="",$D1726="",$B1726&lt;1300,$B1726&gt;1500,$C1726&lt;1,$C1726&gt;12,$D1726&lt;1,$D1726&gt;31),"نامعتبر",RIGHT("0000"&amp;$B1726,4)&amp;"/"&amp;RIGHT("00"&amp;$C1726,2)&amp;"/"&amp;RIGHT("00"&amp;$D1726,2)))</f>
        <v/>
      </c>
      <c r="F1726">
        <f>IF(Entry!$D1726&lt;&gt;"",IF(AND(ISNUMBER(Entry!$D1726),Entry!$D1726&gt;=0,Entry!$D1726&lt;1),RIGHT("00"&amp;HOUR(Entry!$D1726),2)&amp;":"&amp;RIGHT("00"&amp;MINUTE(Entry!$D1726),2),IFERROR(RIGHT("00"&amp;VALUE(TRIM(LEFT(Entry!$D1726,FIND(":",Entry!$D1726)-1))),2)&amp;":"&amp;RIGHT("00"&amp;VALUE(TRIM(MID(Entry!$D1726,FIND(":",Entry!$D1726)+1,2))),2),"نامعتبر")),IF(OR($E1726="",$E1726="نامعتبر"),"","00:00"))</f>
        <v/>
      </c>
      <c r="G1726">
        <f>IF(OR($E1726="",$E1726="نامعتبر"),"",IF(Entry!$E1726="","",LEFT(UPPER(TRIM(Entry!$E1726)),6)))</f>
        <v/>
      </c>
      <c r="H1726">
        <f>IF($G1726="","",RIGHT($E1726,4)&amp;MID($E1726,6,2)&amp;RIGHT($E1726,2)&amp;IF($F1726="","0000",IF($F1726="نامعتبر","9999",LEFT($F1726,2)&amp;RIGHT($F1726,2)))&amp;"|"&amp;RIGHT("00000"&amp;1718,5))</f>
        <v/>
      </c>
      <c r="I1726">
        <f>IF($H1726="","",COUNTIFS(CalcBank,$G1726,CalcKey,"&lt;"&amp;$H1726)+1)</f>
        <v/>
      </c>
      <c r="J1726">
        <f>IF($I1726="","",$G1726&amp;"|"&amp;RIGHT("000000"&amp;$I1726,6))</f>
        <v/>
      </c>
      <c r="K1726">
        <f>IF(OR($E1726="",$E1726="نامعتبر"),"",LEFT($E1726,4)&amp;"/"&amp;MID($E1726,6,2))</f>
        <v/>
      </c>
      <c r="L1726">
        <f>IF(Entry!$K1726="",0,Entry!$K1726)</f>
        <v/>
      </c>
      <c r="M1726">
        <f>IF(Entry!$L1726="",0,Entry!$L1726)</f>
        <v/>
      </c>
    </row>
    <row r="1727">
      <c r="A1727">
        <f>IF(Entry!$C1727="","",Entry!$C1727)</f>
        <v/>
      </c>
      <c r="B1727">
        <f>IF($A1727="","",IF(ISNUMBER($A1727),IF(AND($A1727&gt;=10000101,$A1727&lt;=99991231),INT($A1727/10000),""),IFERROR(VALUE(TRIM(LEFT($A1727,FIND("/",$A1727)-1))),"")))</f>
        <v/>
      </c>
      <c r="C1727">
        <f>IF(OR($A1727="",$B1727=""),"",IF(ISNUMBER($A1727),INT(MOD($A1727,10000)/100),IFERROR(VALUE(TRIM(LEFT(MID($A1727,FIND("/",$A1727)+1,20),FIND("/",MID($A1727,FIND("/",$A1727)+1,20))-1))),"")))</f>
        <v/>
      </c>
      <c r="D1727">
        <f>IF(OR($A1727="",$B1727=""),"",IF(ISNUMBER($A1727),MOD($A1727,100),IFERROR(VALUE(TRIM(MID(MID($A1727,FIND("/",$A1727)+1,20),FIND("/",MID($A1727,FIND("/",$A1727)+1,20))+1,20))),"")))</f>
        <v/>
      </c>
      <c r="E1727">
        <f>IF($A1727="","",IF(OR($B1727="",$C1727="",$D1727="",$B1727&lt;1300,$B1727&gt;1500,$C1727&lt;1,$C1727&gt;12,$D1727&lt;1,$D1727&gt;31),"نامعتبر",RIGHT("0000"&amp;$B1727,4)&amp;"/"&amp;RIGHT("00"&amp;$C1727,2)&amp;"/"&amp;RIGHT("00"&amp;$D1727,2)))</f>
        <v/>
      </c>
      <c r="F1727">
        <f>IF(Entry!$D1727&lt;&gt;"",IF(AND(ISNUMBER(Entry!$D1727),Entry!$D1727&gt;=0,Entry!$D1727&lt;1),RIGHT("00"&amp;HOUR(Entry!$D1727),2)&amp;":"&amp;RIGHT("00"&amp;MINUTE(Entry!$D1727),2),IFERROR(RIGHT("00"&amp;VALUE(TRIM(LEFT(Entry!$D1727,FIND(":",Entry!$D1727)-1))),2)&amp;":"&amp;RIGHT("00"&amp;VALUE(TRIM(MID(Entry!$D1727,FIND(":",Entry!$D1727)+1,2))),2),"نامعتبر")),IF(OR($E1727="",$E1727="نامعتبر"),"","00:00"))</f>
        <v/>
      </c>
      <c r="G1727">
        <f>IF(OR($E1727="",$E1727="نامعتبر"),"",IF(Entry!$E1727="","",LEFT(UPPER(TRIM(Entry!$E1727)),6)))</f>
        <v/>
      </c>
      <c r="H1727">
        <f>IF($G1727="","",RIGHT($E1727,4)&amp;MID($E1727,6,2)&amp;RIGHT($E1727,2)&amp;IF($F1727="","0000",IF($F1727="نامعتبر","9999",LEFT($F1727,2)&amp;RIGHT($F1727,2)))&amp;"|"&amp;RIGHT("00000"&amp;1719,5))</f>
        <v/>
      </c>
      <c r="I1727">
        <f>IF($H1727="","",COUNTIFS(CalcBank,$G1727,CalcKey,"&lt;"&amp;$H1727)+1)</f>
        <v/>
      </c>
      <c r="J1727">
        <f>IF($I1727="","",$G1727&amp;"|"&amp;RIGHT("000000"&amp;$I1727,6))</f>
        <v/>
      </c>
      <c r="K1727">
        <f>IF(OR($E1727="",$E1727="نامعتبر"),"",LEFT($E1727,4)&amp;"/"&amp;MID($E1727,6,2))</f>
        <v/>
      </c>
      <c r="L1727">
        <f>IF(Entry!$K1727="",0,Entry!$K1727)</f>
        <v/>
      </c>
      <c r="M1727">
        <f>IF(Entry!$L1727="",0,Entry!$L1727)</f>
        <v/>
      </c>
    </row>
    <row r="1728">
      <c r="A1728">
        <f>IF(Entry!$C1728="","",Entry!$C1728)</f>
        <v/>
      </c>
      <c r="B1728">
        <f>IF($A1728="","",IF(ISNUMBER($A1728),IF(AND($A1728&gt;=10000101,$A1728&lt;=99991231),INT($A1728/10000),""),IFERROR(VALUE(TRIM(LEFT($A1728,FIND("/",$A1728)-1))),"")))</f>
        <v/>
      </c>
      <c r="C1728">
        <f>IF(OR($A1728="",$B1728=""),"",IF(ISNUMBER($A1728),INT(MOD($A1728,10000)/100),IFERROR(VALUE(TRIM(LEFT(MID($A1728,FIND("/",$A1728)+1,20),FIND("/",MID($A1728,FIND("/",$A1728)+1,20))-1))),"")))</f>
        <v/>
      </c>
      <c r="D1728">
        <f>IF(OR($A1728="",$B1728=""),"",IF(ISNUMBER($A1728),MOD($A1728,100),IFERROR(VALUE(TRIM(MID(MID($A1728,FIND("/",$A1728)+1,20),FIND("/",MID($A1728,FIND("/",$A1728)+1,20))+1,20))),"")))</f>
        <v/>
      </c>
      <c r="E1728">
        <f>IF($A1728="","",IF(OR($B1728="",$C1728="",$D1728="",$B1728&lt;1300,$B1728&gt;1500,$C1728&lt;1,$C1728&gt;12,$D1728&lt;1,$D1728&gt;31),"نامعتبر",RIGHT("0000"&amp;$B1728,4)&amp;"/"&amp;RIGHT("00"&amp;$C1728,2)&amp;"/"&amp;RIGHT("00"&amp;$D1728,2)))</f>
        <v/>
      </c>
      <c r="F1728">
        <f>IF(Entry!$D1728&lt;&gt;"",IF(AND(ISNUMBER(Entry!$D1728),Entry!$D1728&gt;=0,Entry!$D1728&lt;1),RIGHT("00"&amp;HOUR(Entry!$D1728),2)&amp;":"&amp;RIGHT("00"&amp;MINUTE(Entry!$D1728),2),IFERROR(RIGHT("00"&amp;VALUE(TRIM(LEFT(Entry!$D1728,FIND(":",Entry!$D1728)-1))),2)&amp;":"&amp;RIGHT("00"&amp;VALUE(TRIM(MID(Entry!$D1728,FIND(":",Entry!$D1728)+1,2))),2),"نامعتبر")),IF(OR($E1728="",$E1728="نامعتبر"),"","00:00"))</f>
        <v/>
      </c>
      <c r="G1728">
        <f>IF(OR($E1728="",$E1728="نامعتبر"),"",IF(Entry!$E1728="","",LEFT(UPPER(TRIM(Entry!$E1728)),6)))</f>
        <v/>
      </c>
      <c r="H1728">
        <f>IF($G1728="","",RIGHT($E1728,4)&amp;MID($E1728,6,2)&amp;RIGHT($E1728,2)&amp;IF($F1728="","0000",IF($F1728="نامعتبر","9999",LEFT($F1728,2)&amp;RIGHT($F1728,2)))&amp;"|"&amp;RIGHT("00000"&amp;1720,5))</f>
        <v/>
      </c>
      <c r="I1728">
        <f>IF($H1728="","",COUNTIFS(CalcBank,$G1728,CalcKey,"&lt;"&amp;$H1728)+1)</f>
        <v/>
      </c>
      <c r="J1728">
        <f>IF($I1728="","",$G1728&amp;"|"&amp;RIGHT("000000"&amp;$I1728,6))</f>
        <v/>
      </c>
      <c r="K1728">
        <f>IF(OR($E1728="",$E1728="نامعتبر"),"",LEFT($E1728,4)&amp;"/"&amp;MID($E1728,6,2))</f>
        <v/>
      </c>
      <c r="L1728">
        <f>IF(Entry!$K1728="",0,Entry!$K1728)</f>
        <v/>
      </c>
      <c r="M1728">
        <f>IF(Entry!$L1728="",0,Entry!$L1728)</f>
        <v/>
      </c>
    </row>
    <row r="1729">
      <c r="A1729">
        <f>IF(Entry!$C1729="","",Entry!$C1729)</f>
        <v/>
      </c>
      <c r="B1729">
        <f>IF($A1729="","",IF(ISNUMBER($A1729),IF(AND($A1729&gt;=10000101,$A1729&lt;=99991231),INT($A1729/10000),""),IFERROR(VALUE(TRIM(LEFT($A1729,FIND("/",$A1729)-1))),"")))</f>
        <v/>
      </c>
      <c r="C1729">
        <f>IF(OR($A1729="",$B1729=""),"",IF(ISNUMBER($A1729),INT(MOD($A1729,10000)/100),IFERROR(VALUE(TRIM(LEFT(MID($A1729,FIND("/",$A1729)+1,20),FIND("/",MID($A1729,FIND("/",$A1729)+1,20))-1))),"")))</f>
        <v/>
      </c>
      <c r="D1729">
        <f>IF(OR($A1729="",$B1729=""),"",IF(ISNUMBER($A1729),MOD($A1729,100),IFERROR(VALUE(TRIM(MID(MID($A1729,FIND("/",$A1729)+1,20),FIND("/",MID($A1729,FIND("/",$A1729)+1,20))+1,20))),"")))</f>
        <v/>
      </c>
      <c r="E1729">
        <f>IF($A1729="","",IF(OR($B1729="",$C1729="",$D1729="",$B1729&lt;1300,$B1729&gt;1500,$C1729&lt;1,$C1729&gt;12,$D1729&lt;1,$D1729&gt;31),"نامعتبر",RIGHT("0000"&amp;$B1729,4)&amp;"/"&amp;RIGHT("00"&amp;$C1729,2)&amp;"/"&amp;RIGHT("00"&amp;$D1729,2)))</f>
        <v/>
      </c>
      <c r="F1729">
        <f>IF(Entry!$D1729&lt;&gt;"",IF(AND(ISNUMBER(Entry!$D1729),Entry!$D1729&gt;=0,Entry!$D1729&lt;1),RIGHT("00"&amp;HOUR(Entry!$D1729),2)&amp;":"&amp;RIGHT("00"&amp;MINUTE(Entry!$D1729),2),IFERROR(RIGHT("00"&amp;VALUE(TRIM(LEFT(Entry!$D1729,FIND(":",Entry!$D1729)-1))),2)&amp;":"&amp;RIGHT("00"&amp;VALUE(TRIM(MID(Entry!$D1729,FIND(":",Entry!$D1729)+1,2))),2),"نامعتبر")),IF(OR($E1729="",$E1729="نامعتبر"),"","00:00"))</f>
        <v/>
      </c>
      <c r="G1729">
        <f>IF(OR($E1729="",$E1729="نامعتبر"),"",IF(Entry!$E1729="","",LEFT(UPPER(TRIM(Entry!$E1729)),6)))</f>
        <v/>
      </c>
      <c r="H1729">
        <f>IF($G1729="","",RIGHT($E1729,4)&amp;MID($E1729,6,2)&amp;RIGHT($E1729,2)&amp;IF($F1729="","0000",IF($F1729="نامعتبر","9999",LEFT($F1729,2)&amp;RIGHT($F1729,2)))&amp;"|"&amp;RIGHT("00000"&amp;1721,5))</f>
        <v/>
      </c>
      <c r="I1729">
        <f>IF($H1729="","",COUNTIFS(CalcBank,$G1729,CalcKey,"&lt;"&amp;$H1729)+1)</f>
        <v/>
      </c>
      <c r="J1729">
        <f>IF($I1729="","",$G1729&amp;"|"&amp;RIGHT("000000"&amp;$I1729,6))</f>
        <v/>
      </c>
      <c r="K1729">
        <f>IF(OR($E1729="",$E1729="نامعتبر"),"",LEFT($E1729,4)&amp;"/"&amp;MID($E1729,6,2))</f>
        <v/>
      </c>
      <c r="L1729">
        <f>IF(Entry!$K1729="",0,Entry!$K1729)</f>
        <v/>
      </c>
      <c r="M1729">
        <f>IF(Entry!$L1729="",0,Entry!$L1729)</f>
        <v/>
      </c>
    </row>
    <row r="1730">
      <c r="A1730">
        <f>IF(Entry!$C1730="","",Entry!$C1730)</f>
        <v/>
      </c>
      <c r="B1730">
        <f>IF($A1730="","",IF(ISNUMBER($A1730),IF(AND($A1730&gt;=10000101,$A1730&lt;=99991231),INT($A1730/10000),""),IFERROR(VALUE(TRIM(LEFT($A1730,FIND("/",$A1730)-1))),"")))</f>
        <v/>
      </c>
      <c r="C1730">
        <f>IF(OR($A1730="",$B1730=""),"",IF(ISNUMBER($A1730),INT(MOD($A1730,10000)/100),IFERROR(VALUE(TRIM(LEFT(MID($A1730,FIND("/",$A1730)+1,20),FIND("/",MID($A1730,FIND("/",$A1730)+1,20))-1))),"")))</f>
        <v/>
      </c>
      <c r="D1730">
        <f>IF(OR($A1730="",$B1730=""),"",IF(ISNUMBER($A1730),MOD($A1730,100),IFERROR(VALUE(TRIM(MID(MID($A1730,FIND("/",$A1730)+1,20),FIND("/",MID($A1730,FIND("/",$A1730)+1,20))+1,20))),"")))</f>
        <v/>
      </c>
      <c r="E1730">
        <f>IF($A1730="","",IF(OR($B1730="",$C1730="",$D1730="",$B1730&lt;1300,$B1730&gt;1500,$C1730&lt;1,$C1730&gt;12,$D1730&lt;1,$D1730&gt;31),"نامعتبر",RIGHT("0000"&amp;$B1730,4)&amp;"/"&amp;RIGHT("00"&amp;$C1730,2)&amp;"/"&amp;RIGHT("00"&amp;$D1730,2)))</f>
        <v/>
      </c>
      <c r="F1730">
        <f>IF(Entry!$D1730&lt;&gt;"",IF(AND(ISNUMBER(Entry!$D1730),Entry!$D1730&gt;=0,Entry!$D1730&lt;1),RIGHT("00"&amp;HOUR(Entry!$D1730),2)&amp;":"&amp;RIGHT("00"&amp;MINUTE(Entry!$D1730),2),IFERROR(RIGHT("00"&amp;VALUE(TRIM(LEFT(Entry!$D1730,FIND(":",Entry!$D1730)-1))),2)&amp;":"&amp;RIGHT("00"&amp;VALUE(TRIM(MID(Entry!$D1730,FIND(":",Entry!$D1730)+1,2))),2),"نامعتبر")),IF(OR($E1730="",$E1730="نامعتبر"),"","00:00"))</f>
        <v/>
      </c>
      <c r="G1730">
        <f>IF(OR($E1730="",$E1730="نامعتبر"),"",IF(Entry!$E1730="","",LEFT(UPPER(TRIM(Entry!$E1730)),6)))</f>
        <v/>
      </c>
      <c r="H1730">
        <f>IF($G1730="","",RIGHT($E1730,4)&amp;MID($E1730,6,2)&amp;RIGHT($E1730,2)&amp;IF($F1730="","0000",IF($F1730="نامعتبر","9999",LEFT($F1730,2)&amp;RIGHT($F1730,2)))&amp;"|"&amp;RIGHT("00000"&amp;1722,5))</f>
        <v/>
      </c>
      <c r="I1730">
        <f>IF($H1730="","",COUNTIFS(CalcBank,$G1730,CalcKey,"&lt;"&amp;$H1730)+1)</f>
        <v/>
      </c>
      <c r="J1730">
        <f>IF($I1730="","",$G1730&amp;"|"&amp;RIGHT("000000"&amp;$I1730,6))</f>
        <v/>
      </c>
      <c r="K1730">
        <f>IF(OR($E1730="",$E1730="نامعتبر"),"",LEFT($E1730,4)&amp;"/"&amp;MID($E1730,6,2))</f>
        <v/>
      </c>
      <c r="L1730">
        <f>IF(Entry!$K1730="",0,Entry!$K1730)</f>
        <v/>
      </c>
      <c r="M1730">
        <f>IF(Entry!$L1730="",0,Entry!$L1730)</f>
        <v/>
      </c>
    </row>
    <row r="1731">
      <c r="A1731">
        <f>IF(Entry!$C1731="","",Entry!$C1731)</f>
        <v/>
      </c>
      <c r="B1731">
        <f>IF($A1731="","",IF(ISNUMBER($A1731),IF(AND($A1731&gt;=10000101,$A1731&lt;=99991231),INT($A1731/10000),""),IFERROR(VALUE(TRIM(LEFT($A1731,FIND("/",$A1731)-1))),"")))</f>
        <v/>
      </c>
      <c r="C1731">
        <f>IF(OR($A1731="",$B1731=""),"",IF(ISNUMBER($A1731),INT(MOD($A1731,10000)/100),IFERROR(VALUE(TRIM(LEFT(MID($A1731,FIND("/",$A1731)+1,20),FIND("/",MID($A1731,FIND("/",$A1731)+1,20))-1))),"")))</f>
        <v/>
      </c>
      <c r="D1731">
        <f>IF(OR($A1731="",$B1731=""),"",IF(ISNUMBER($A1731),MOD($A1731,100),IFERROR(VALUE(TRIM(MID(MID($A1731,FIND("/",$A1731)+1,20),FIND("/",MID($A1731,FIND("/",$A1731)+1,20))+1,20))),"")))</f>
        <v/>
      </c>
      <c r="E1731">
        <f>IF($A1731="","",IF(OR($B1731="",$C1731="",$D1731="",$B1731&lt;1300,$B1731&gt;1500,$C1731&lt;1,$C1731&gt;12,$D1731&lt;1,$D1731&gt;31),"نامعتبر",RIGHT("0000"&amp;$B1731,4)&amp;"/"&amp;RIGHT("00"&amp;$C1731,2)&amp;"/"&amp;RIGHT("00"&amp;$D1731,2)))</f>
        <v/>
      </c>
      <c r="F1731">
        <f>IF(Entry!$D1731&lt;&gt;"",IF(AND(ISNUMBER(Entry!$D1731),Entry!$D1731&gt;=0,Entry!$D1731&lt;1),RIGHT("00"&amp;HOUR(Entry!$D1731),2)&amp;":"&amp;RIGHT("00"&amp;MINUTE(Entry!$D1731),2),IFERROR(RIGHT("00"&amp;VALUE(TRIM(LEFT(Entry!$D1731,FIND(":",Entry!$D1731)-1))),2)&amp;":"&amp;RIGHT("00"&amp;VALUE(TRIM(MID(Entry!$D1731,FIND(":",Entry!$D1731)+1,2))),2),"نامعتبر")),IF(OR($E1731="",$E1731="نامعتبر"),"","00:00"))</f>
        <v/>
      </c>
      <c r="G1731">
        <f>IF(OR($E1731="",$E1731="نامعتبر"),"",IF(Entry!$E1731="","",LEFT(UPPER(TRIM(Entry!$E1731)),6)))</f>
        <v/>
      </c>
      <c r="H1731">
        <f>IF($G1731="","",RIGHT($E1731,4)&amp;MID($E1731,6,2)&amp;RIGHT($E1731,2)&amp;IF($F1731="","0000",IF($F1731="نامعتبر","9999",LEFT($F1731,2)&amp;RIGHT($F1731,2)))&amp;"|"&amp;RIGHT("00000"&amp;1723,5))</f>
        <v/>
      </c>
      <c r="I1731">
        <f>IF($H1731="","",COUNTIFS(CalcBank,$G1731,CalcKey,"&lt;"&amp;$H1731)+1)</f>
        <v/>
      </c>
      <c r="J1731">
        <f>IF($I1731="","",$G1731&amp;"|"&amp;RIGHT("000000"&amp;$I1731,6))</f>
        <v/>
      </c>
      <c r="K1731">
        <f>IF(OR($E1731="",$E1731="نامعتبر"),"",LEFT($E1731,4)&amp;"/"&amp;MID($E1731,6,2))</f>
        <v/>
      </c>
      <c r="L1731">
        <f>IF(Entry!$K1731="",0,Entry!$K1731)</f>
        <v/>
      </c>
      <c r="M1731">
        <f>IF(Entry!$L1731="",0,Entry!$L1731)</f>
        <v/>
      </c>
    </row>
    <row r="1732">
      <c r="A1732">
        <f>IF(Entry!$C1732="","",Entry!$C1732)</f>
        <v/>
      </c>
      <c r="B1732">
        <f>IF($A1732="","",IF(ISNUMBER($A1732),IF(AND($A1732&gt;=10000101,$A1732&lt;=99991231),INT($A1732/10000),""),IFERROR(VALUE(TRIM(LEFT($A1732,FIND("/",$A1732)-1))),"")))</f>
        <v/>
      </c>
      <c r="C1732">
        <f>IF(OR($A1732="",$B1732=""),"",IF(ISNUMBER($A1732),INT(MOD($A1732,10000)/100),IFERROR(VALUE(TRIM(LEFT(MID($A1732,FIND("/",$A1732)+1,20),FIND("/",MID($A1732,FIND("/",$A1732)+1,20))-1))),"")))</f>
        <v/>
      </c>
      <c r="D1732">
        <f>IF(OR($A1732="",$B1732=""),"",IF(ISNUMBER($A1732),MOD($A1732,100),IFERROR(VALUE(TRIM(MID(MID($A1732,FIND("/",$A1732)+1,20),FIND("/",MID($A1732,FIND("/",$A1732)+1,20))+1,20))),"")))</f>
        <v/>
      </c>
      <c r="E1732">
        <f>IF($A1732="","",IF(OR($B1732="",$C1732="",$D1732="",$B1732&lt;1300,$B1732&gt;1500,$C1732&lt;1,$C1732&gt;12,$D1732&lt;1,$D1732&gt;31),"نامعتبر",RIGHT("0000"&amp;$B1732,4)&amp;"/"&amp;RIGHT("00"&amp;$C1732,2)&amp;"/"&amp;RIGHT("00"&amp;$D1732,2)))</f>
        <v/>
      </c>
      <c r="F1732">
        <f>IF(Entry!$D1732&lt;&gt;"",IF(AND(ISNUMBER(Entry!$D1732),Entry!$D1732&gt;=0,Entry!$D1732&lt;1),RIGHT("00"&amp;HOUR(Entry!$D1732),2)&amp;":"&amp;RIGHT("00"&amp;MINUTE(Entry!$D1732),2),IFERROR(RIGHT("00"&amp;VALUE(TRIM(LEFT(Entry!$D1732,FIND(":",Entry!$D1732)-1))),2)&amp;":"&amp;RIGHT("00"&amp;VALUE(TRIM(MID(Entry!$D1732,FIND(":",Entry!$D1732)+1,2))),2),"نامعتبر")),IF(OR($E1732="",$E1732="نامعتبر"),"","00:00"))</f>
        <v/>
      </c>
      <c r="G1732">
        <f>IF(OR($E1732="",$E1732="نامعتبر"),"",IF(Entry!$E1732="","",LEFT(UPPER(TRIM(Entry!$E1732)),6)))</f>
        <v/>
      </c>
      <c r="H1732">
        <f>IF($G1732="","",RIGHT($E1732,4)&amp;MID($E1732,6,2)&amp;RIGHT($E1732,2)&amp;IF($F1732="","0000",IF($F1732="نامعتبر","9999",LEFT($F1732,2)&amp;RIGHT($F1732,2)))&amp;"|"&amp;RIGHT("00000"&amp;1724,5))</f>
        <v/>
      </c>
      <c r="I1732">
        <f>IF($H1732="","",COUNTIFS(CalcBank,$G1732,CalcKey,"&lt;"&amp;$H1732)+1)</f>
        <v/>
      </c>
      <c r="J1732">
        <f>IF($I1732="","",$G1732&amp;"|"&amp;RIGHT("000000"&amp;$I1732,6))</f>
        <v/>
      </c>
      <c r="K1732">
        <f>IF(OR($E1732="",$E1732="نامعتبر"),"",LEFT($E1732,4)&amp;"/"&amp;MID($E1732,6,2))</f>
        <v/>
      </c>
      <c r="L1732">
        <f>IF(Entry!$K1732="",0,Entry!$K1732)</f>
        <v/>
      </c>
      <c r="M1732">
        <f>IF(Entry!$L1732="",0,Entry!$L1732)</f>
        <v/>
      </c>
    </row>
    <row r="1733">
      <c r="A1733">
        <f>IF(Entry!$C1733="","",Entry!$C1733)</f>
        <v/>
      </c>
      <c r="B1733">
        <f>IF($A1733="","",IF(ISNUMBER($A1733),IF(AND($A1733&gt;=10000101,$A1733&lt;=99991231),INT($A1733/10000),""),IFERROR(VALUE(TRIM(LEFT($A1733,FIND("/",$A1733)-1))),"")))</f>
        <v/>
      </c>
      <c r="C1733">
        <f>IF(OR($A1733="",$B1733=""),"",IF(ISNUMBER($A1733),INT(MOD($A1733,10000)/100),IFERROR(VALUE(TRIM(LEFT(MID($A1733,FIND("/",$A1733)+1,20),FIND("/",MID($A1733,FIND("/",$A1733)+1,20))-1))),"")))</f>
        <v/>
      </c>
      <c r="D1733">
        <f>IF(OR($A1733="",$B1733=""),"",IF(ISNUMBER($A1733),MOD($A1733,100),IFERROR(VALUE(TRIM(MID(MID($A1733,FIND("/",$A1733)+1,20),FIND("/",MID($A1733,FIND("/",$A1733)+1,20))+1,20))),"")))</f>
        <v/>
      </c>
      <c r="E1733">
        <f>IF($A1733="","",IF(OR($B1733="",$C1733="",$D1733="",$B1733&lt;1300,$B1733&gt;1500,$C1733&lt;1,$C1733&gt;12,$D1733&lt;1,$D1733&gt;31),"نامعتبر",RIGHT("0000"&amp;$B1733,4)&amp;"/"&amp;RIGHT("00"&amp;$C1733,2)&amp;"/"&amp;RIGHT("00"&amp;$D1733,2)))</f>
        <v/>
      </c>
      <c r="F1733">
        <f>IF(Entry!$D1733&lt;&gt;"",IF(AND(ISNUMBER(Entry!$D1733),Entry!$D1733&gt;=0,Entry!$D1733&lt;1),RIGHT("00"&amp;HOUR(Entry!$D1733),2)&amp;":"&amp;RIGHT("00"&amp;MINUTE(Entry!$D1733),2),IFERROR(RIGHT("00"&amp;VALUE(TRIM(LEFT(Entry!$D1733,FIND(":",Entry!$D1733)-1))),2)&amp;":"&amp;RIGHT("00"&amp;VALUE(TRIM(MID(Entry!$D1733,FIND(":",Entry!$D1733)+1,2))),2),"نامعتبر")),IF(OR($E1733="",$E1733="نامعتبر"),"","00:00"))</f>
        <v/>
      </c>
      <c r="G1733">
        <f>IF(OR($E1733="",$E1733="نامعتبر"),"",IF(Entry!$E1733="","",LEFT(UPPER(TRIM(Entry!$E1733)),6)))</f>
        <v/>
      </c>
      <c r="H1733">
        <f>IF($G1733="","",RIGHT($E1733,4)&amp;MID($E1733,6,2)&amp;RIGHT($E1733,2)&amp;IF($F1733="","0000",IF($F1733="نامعتبر","9999",LEFT($F1733,2)&amp;RIGHT($F1733,2)))&amp;"|"&amp;RIGHT("00000"&amp;1725,5))</f>
        <v/>
      </c>
      <c r="I1733">
        <f>IF($H1733="","",COUNTIFS(CalcBank,$G1733,CalcKey,"&lt;"&amp;$H1733)+1)</f>
        <v/>
      </c>
      <c r="J1733">
        <f>IF($I1733="","",$G1733&amp;"|"&amp;RIGHT("000000"&amp;$I1733,6))</f>
        <v/>
      </c>
      <c r="K1733">
        <f>IF(OR($E1733="",$E1733="نامعتبر"),"",LEFT($E1733,4)&amp;"/"&amp;MID($E1733,6,2))</f>
        <v/>
      </c>
      <c r="L1733">
        <f>IF(Entry!$K1733="",0,Entry!$K1733)</f>
        <v/>
      </c>
      <c r="M1733">
        <f>IF(Entry!$L1733="",0,Entry!$L1733)</f>
        <v/>
      </c>
    </row>
    <row r="1734">
      <c r="A1734">
        <f>IF(Entry!$C1734="","",Entry!$C1734)</f>
        <v/>
      </c>
      <c r="B1734">
        <f>IF($A1734="","",IF(ISNUMBER($A1734),IF(AND($A1734&gt;=10000101,$A1734&lt;=99991231),INT($A1734/10000),""),IFERROR(VALUE(TRIM(LEFT($A1734,FIND("/",$A1734)-1))),"")))</f>
        <v/>
      </c>
      <c r="C1734">
        <f>IF(OR($A1734="",$B1734=""),"",IF(ISNUMBER($A1734),INT(MOD($A1734,10000)/100),IFERROR(VALUE(TRIM(LEFT(MID($A1734,FIND("/",$A1734)+1,20),FIND("/",MID($A1734,FIND("/",$A1734)+1,20))-1))),"")))</f>
        <v/>
      </c>
      <c r="D1734">
        <f>IF(OR($A1734="",$B1734=""),"",IF(ISNUMBER($A1734),MOD($A1734,100),IFERROR(VALUE(TRIM(MID(MID($A1734,FIND("/",$A1734)+1,20),FIND("/",MID($A1734,FIND("/",$A1734)+1,20))+1,20))),"")))</f>
        <v/>
      </c>
      <c r="E1734">
        <f>IF($A1734="","",IF(OR($B1734="",$C1734="",$D1734="",$B1734&lt;1300,$B1734&gt;1500,$C1734&lt;1,$C1734&gt;12,$D1734&lt;1,$D1734&gt;31),"نامعتبر",RIGHT("0000"&amp;$B1734,4)&amp;"/"&amp;RIGHT("00"&amp;$C1734,2)&amp;"/"&amp;RIGHT("00"&amp;$D1734,2)))</f>
        <v/>
      </c>
      <c r="F1734">
        <f>IF(Entry!$D1734&lt;&gt;"",IF(AND(ISNUMBER(Entry!$D1734),Entry!$D1734&gt;=0,Entry!$D1734&lt;1),RIGHT("00"&amp;HOUR(Entry!$D1734),2)&amp;":"&amp;RIGHT("00"&amp;MINUTE(Entry!$D1734),2),IFERROR(RIGHT("00"&amp;VALUE(TRIM(LEFT(Entry!$D1734,FIND(":",Entry!$D1734)-1))),2)&amp;":"&amp;RIGHT("00"&amp;VALUE(TRIM(MID(Entry!$D1734,FIND(":",Entry!$D1734)+1,2))),2),"نامعتبر")),IF(OR($E1734="",$E1734="نامعتبر"),"","00:00"))</f>
        <v/>
      </c>
      <c r="G1734">
        <f>IF(OR($E1734="",$E1734="نامعتبر"),"",IF(Entry!$E1734="","",LEFT(UPPER(TRIM(Entry!$E1734)),6)))</f>
        <v/>
      </c>
      <c r="H1734">
        <f>IF($G1734="","",RIGHT($E1734,4)&amp;MID($E1734,6,2)&amp;RIGHT($E1734,2)&amp;IF($F1734="","0000",IF($F1734="نامعتبر","9999",LEFT($F1734,2)&amp;RIGHT($F1734,2)))&amp;"|"&amp;RIGHT("00000"&amp;1726,5))</f>
        <v/>
      </c>
      <c r="I1734">
        <f>IF($H1734="","",COUNTIFS(CalcBank,$G1734,CalcKey,"&lt;"&amp;$H1734)+1)</f>
        <v/>
      </c>
      <c r="J1734">
        <f>IF($I1734="","",$G1734&amp;"|"&amp;RIGHT("000000"&amp;$I1734,6))</f>
        <v/>
      </c>
      <c r="K1734">
        <f>IF(OR($E1734="",$E1734="نامعتبر"),"",LEFT($E1734,4)&amp;"/"&amp;MID($E1734,6,2))</f>
        <v/>
      </c>
      <c r="L1734">
        <f>IF(Entry!$K1734="",0,Entry!$K1734)</f>
        <v/>
      </c>
      <c r="M1734">
        <f>IF(Entry!$L1734="",0,Entry!$L1734)</f>
        <v/>
      </c>
    </row>
    <row r="1735">
      <c r="A1735">
        <f>IF(Entry!$C1735="","",Entry!$C1735)</f>
        <v/>
      </c>
      <c r="B1735">
        <f>IF($A1735="","",IF(ISNUMBER($A1735),IF(AND($A1735&gt;=10000101,$A1735&lt;=99991231),INT($A1735/10000),""),IFERROR(VALUE(TRIM(LEFT($A1735,FIND("/",$A1735)-1))),"")))</f>
        <v/>
      </c>
      <c r="C1735">
        <f>IF(OR($A1735="",$B1735=""),"",IF(ISNUMBER($A1735),INT(MOD($A1735,10000)/100),IFERROR(VALUE(TRIM(LEFT(MID($A1735,FIND("/",$A1735)+1,20),FIND("/",MID($A1735,FIND("/",$A1735)+1,20))-1))),"")))</f>
        <v/>
      </c>
      <c r="D1735">
        <f>IF(OR($A1735="",$B1735=""),"",IF(ISNUMBER($A1735),MOD($A1735,100),IFERROR(VALUE(TRIM(MID(MID($A1735,FIND("/",$A1735)+1,20),FIND("/",MID($A1735,FIND("/",$A1735)+1,20))+1,20))),"")))</f>
        <v/>
      </c>
      <c r="E1735">
        <f>IF($A1735="","",IF(OR($B1735="",$C1735="",$D1735="",$B1735&lt;1300,$B1735&gt;1500,$C1735&lt;1,$C1735&gt;12,$D1735&lt;1,$D1735&gt;31),"نامعتبر",RIGHT("0000"&amp;$B1735,4)&amp;"/"&amp;RIGHT("00"&amp;$C1735,2)&amp;"/"&amp;RIGHT("00"&amp;$D1735,2)))</f>
        <v/>
      </c>
      <c r="F1735">
        <f>IF(Entry!$D1735&lt;&gt;"",IF(AND(ISNUMBER(Entry!$D1735),Entry!$D1735&gt;=0,Entry!$D1735&lt;1),RIGHT("00"&amp;HOUR(Entry!$D1735),2)&amp;":"&amp;RIGHT("00"&amp;MINUTE(Entry!$D1735),2),IFERROR(RIGHT("00"&amp;VALUE(TRIM(LEFT(Entry!$D1735,FIND(":",Entry!$D1735)-1))),2)&amp;":"&amp;RIGHT("00"&amp;VALUE(TRIM(MID(Entry!$D1735,FIND(":",Entry!$D1735)+1,2))),2),"نامعتبر")),IF(OR($E1735="",$E1735="نامعتبر"),"","00:00"))</f>
        <v/>
      </c>
      <c r="G1735">
        <f>IF(OR($E1735="",$E1735="نامعتبر"),"",IF(Entry!$E1735="","",LEFT(UPPER(TRIM(Entry!$E1735)),6)))</f>
        <v/>
      </c>
      <c r="H1735">
        <f>IF($G1735="","",RIGHT($E1735,4)&amp;MID($E1735,6,2)&amp;RIGHT($E1735,2)&amp;IF($F1735="","0000",IF($F1735="نامعتبر","9999",LEFT($F1735,2)&amp;RIGHT($F1735,2)))&amp;"|"&amp;RIGHT("00000"&amp;1727,5))</f>
        <v/>
      </c>
      <c r="I1735">
        <f>IF($H1735="","",COUNTIFS(CalcBank,$G1735,CalcKey,"&lt;"&amp;$H1735)+1)</f>
        <v/>
      </c>
      <c r="J1735">
        <f>IF($I1735="","",$G1735&amp;"|"&amp;RIGHT("000000"&amp;$I1735,6))</f>
        <v/>
      </c>
      <c r="K1735">
        <f>IF(OR($E1735="",$E1735="نامعتبر"),"",LEFT($E1735,4)&amp;"/"&amp;MID($E1735,6,2))</f>
        <v/>
      </c>
      <c r="L1735">
        <f>IF(Entry!$K1735="",0,Entry!$K1735)</f>
        <v/>
      </c>
      <c r="M1735">
        <f>IF(Entry!$L1735="",0,Entry!$L1735)</f>
        <v/>
      </c>
    </row>
    <row r="1736">
      <c r="A1736">
        <f>IF(Entry!$C1736="","",Entry!$C1736)</f>
        <v/>
      </c>
      <c r="B1736">
        <f>IF($A1736="","",IF(ISNUMBER($A1736),IF(AND($A1736&gt;=10000101,$A1736&lt;=99991231),INT($A1736/10000),""),IFERROR(VALUE(TRIM(LEFT($A1736,FIND("/",$A1736)-1))),"")))</f>
        <v/>
      </c>
      <c r="C1736">
        <f>IF(OR($A1736="",$B1736=""),"",IF(ISNUMBER($A1736),INT(MOD($A1736,10000)/100),IFERROR(VALUE(TRIM(LEFT(MID($A1736,FIND("/",$A1736)+1,20),FIND("/",MID($A1736,FIND("/",$A1736)+1,20))-1))),"")))</f>
        <v/>
      </c>
      <c r="D1736">
        <f>IF(OR($A1736="",$B1736=""),"",IF(ISNUMBER($A1736),MOD($A1736,100),IFERROR(VALUE(TRIM(MID(MID($A1736,FIND("/",$A1736)+1,20),FIND("/",MID($A1736,FIND("/",$A1736)+1,20))+1,20))),"")))</f>
        <v/>
      </c>
      <c r="E1736">
        <f>IF($A1736="","",IF(OR($B1736="",$C1736="",$D1736="",$B1736&lt;1300,$B1736&gt;1500,$C1736&lt;1,$C1736&gt;12,$D1736&lt;1,$D1736&gt;31),"نامعتبر",RIGHT("0000"&amp;$B1736,4)&amp;"/"&amp;RIGHT("00"&amp;$C1736,2)&amp;"/"&amp;RIGHT("00"&amp;$D1736,2)))</f>
        <v/>
      </c>
      <c r="F1736">
        <f>IF(Entry!$D1736&lt;&gt;"",IF(AND(ISNUMBER(Entry!$D1736),Entry!$D1736&gt;=0,Entry!$D1736&lt;1),RIGHT("00"&amp;HOUR(Entry!$D1736),2)&amp;":"&amp;RIGHT("00"&amp;MINUTE(Entry!$D1736),2),IFERROR(RIGHT("00"&amp;VALUE(TRIM(LEFT(Entry!$D1736,FIND(":",Entry!$D1736)-1))),2)&amp;":"&amp;RIGHT("00"&amp;VALUE(TRIM(MID(Entry!$D1736,FIND(":",Entry!$D1736)+1,2))),2),"نامعتبر")),IF(OR($E1736="",$E1736="نامعتبر"),"","00:00"))</f>
        <v/>
      </c>
      <c r="G1736">
        <f>IF(OR($E1736="",$E1736="نامعتبر"),"",IF(Entry!$E1736="","",LEFT(UPPER(TRIM(Entry!$E1736)),6)))</f>
        <v/>
      </c>
      <c r="H1736">
        <f>IF($G1736="","",RIGHT($E1736,4)&amp;MID($E1736,6,2)&amp;RIGHT($E1736,2)&amp;IF($F1736="","0000",IF($F1736="نامعتبر","9999",LEFT($F1736,2)&amp;RIGHT($F1736,2)))&amp;"|"&amp;RIGHT("00000"&amp;1728,5))</f>
        <v/>
      </c>
      <c r="I1736">
        <f>IF($H1736="","",COUNTIFS(CalcBank,$G1736,CalcKey,"&lt;"&amp;$H1736)+1)</f>
        <v/>
      </c>
      <c r="J1736">
        <f>IF($I1736="","",$G1736&amp;"|"&amp;RIGHT("000000"&amp;$I1736,6))</f>
        <v/>
      </c>
      <c r="K1736">
        <f>IF(OR($E1736="",$E1736="نامعتبر"),"",LEFT($E1736,4)&amp;"/"&amp;MID($E1736,6,2))</f>
        <v/>
      </c>
      <c r="L1736">
        <f>IF(Entry!$K1736="",0,Entry!$K1736)</f>
        <v/>
      </c>
      <c r="M1736">
        <f>IF(Entry!$L1736="",0,Entry!$L1736)</f>
        <v/>
      </c>
    </row>
    <row r="1737">
      <c r="A1737">
        <f>IF(Entry!$C1737="","",Entry!$C1737)</f>
        <v/>
      </c>
      <c r="B1737">
        <f>IF($A1737="","",IF(ISNUMBER($A1737),IF(AND($A1737&gt;=10000101,$A1737&lt;=99991231),INT($A1737/10000),""),IFERROR(VALUE(TRIM(LEFT($A1737,FIND("/",$A1737)-1))),"")))</f>
        <v/>
      </c>
      <c r="C1737">
        <f>IF(OR($A1737="",$B1737=""),"",IF(ISNUMBER($A1737),INT(MOD($A1737,10000)/100),IFERROR(VALUE(TRIM(LEFT(MID($A1737,FIND("/",$A1737)+1,20),FIND("/",MID($A1737,FIND("/",$A1737)+1,20))-1))),"")))</f>
        <v/>
      </c>
      <c r="D1737">
        <f>IF(OR($A1737="",$B1737=""),"",IF(ISNUMBER($A1737),MOD($A1737,100),IFERROR(VALUE(TRIM(MID(MID($A1737,FIND("/",$A1737)+1,20),FIND("/",MID($A1737,FIND("/",$A1737)+1,20))+1,20))),"")))</f>
        <v/>
      </c>
      <c r="E1737">
        <f>IF($A1737="","",IF(OR($B1737="",$C1737="",$D1737="",$B1737&lt;1300,$B1737&gt;1500,$C1737&lt;1,$C1737&gt;12,$D1737&lt;1,$D1737&gt;31),"نامعتبر",RIGHT("0000"&amp;$B1737,4)&amp;"/"&amp;RIGHT("00"&amp;$C1737,2)&amp;"/"&amp;RIGHT("00"&amp;$D1737,2)))</f>
        <v/>
      </c>
      <c r="F1737">
        <f>IF(Entry!$D1737&lt;&gt;"",IF(AND(ISNUMBER(Entry!$D1737),Entry!$D1737&gt;=0,Entry!$D1737&lt;1),RIGHT("00"&amp;HOUR(Entry!$D1737),2)&amp;":"&amp;RIGHT("00"&amp;MINUTE(Entry!$D1737),2),IFERROR(RIGHT("00"&amp;VALUE(TRIM(LEFT(Entry!$D1737,FIND(":",Entry!$D1737)-1))),2)&amp;":"&amp;RIGHT("00"&amp;VALUE(TRIM(MID(Entry!$D1737,FIND(":",Entry!$D1737)+1,2))),2),"نامعتبر")),IF(OR($E1737="",$E1737="نامعتبر"),"","00:00"))</f>
        <v/>
      </c>
      <c r="G1737">
        <f>IF(OR($E1737="",$E1737="نامعتبر"),"",IF(Entry!$E1737="","",LEFT(UPPER(TRIM(Entry!$E1737)),6)))</f>
        <v/>
      </c>
      <c r="H1737">
        <f>IF($G1737="","",RIGHT($E1737,4)&amp;MID($E1737,6,2)&amp;RIGHT($E1737,2)&amp;IF($F1737="","0000",IF($F1737="نامعتبر","9999",LEFT($F1737,2)&amp;RIGHT($F1737,2)))&amp;"|"&amp;RIGHT("00000"&amp;1729,5))</f>
        <v/>
      </c>
      <c r="I1737">
        <f>IF($H1737="","",COUNTIFS(CalcBank,$G1737,CalcKey,"&lt;"&amp;$H1737)+1)</f>
        <v/>
      </c>
      <c r="J1737">
        <f>IF($I1737="","",$G1737&amp;"|"&amp;RIGHT("000000"&amp;$I1737,6))</f>
        <v/>
      </c>
      <c r="K1737">
        <f>IF(OR($E1737="",$E1737="نامعتبر"),"",LEFT($E1737,4)&amp;"/"&amp;MID($E1737,6,2))</f>
        <v/>
      </c>
      <c r="L1737">
        <f>IF(Entry!$K1737="",0,Entry!$K1737)</f>
        <v/>
      </c>
      <c r="M1737">
        <f>IF(Entry!$L1737="",0,Entry!$L1737)</f>
        <v/>
      </c>
    </row>
    <row r="1738">
      <c r="A1738">
        <f>IF(Entry!$C1738="","",Entry!$C1738)</f>
        <v/>
      </c>
      <c r="B1738">
        <f>IF($A1738="","",IF(ISNUMBER($A1738),IF(AND($A1738&gt;=10000101,$A1738&lt;=99991231),INT($A1738/10000),""),IFERROR(VALUE(TRIM(LEFT($A1738,FIND("/",$A1738)-1))),"")))</f>
        <v/>
      </c>
      <c r="C1738">
        <f>IF(OR($A1738="",$B1738=""),"",IF(ISNUMBER($A1738),INT(MOD($A1738,10000)/100),IFERROR(VALUE(TRIM(LEFT(MID($A1738,FIND("/",$A1738)+1,20),FIND("/",MID($A1738,FIND("/",$A1738)+1,20))-1))),"")))</f>
        <v/>
      </c>
      <c r="D1738">
        <f>IF(OR($A1738="",$B1738=""),"",IF(ISNUMBER($A1738),MOD($A1738,100),IFERROR(VALUE(TRIM(MID(MID($A1738,FIND("/",$A1738)+1,20),FIND("/",MID($A1738,FIND("/",$A1738)+1,20))+1,20))),"")))</f>
        <v/>
      </c>
      <c r="E1738">
        <f>IF($A1738="","",IF(OR($B1738="",$C1738="",$D1738="",$B1738&lt;1300,$B1738&gt;1500,$C1738&lt;1,$C1738&gt;12,$D1738&lt;1,$D1738&gt;31),"نامعتبر",RIGHT("0000"&amp;$B1738,4)&amp;"/"&amp;RIGHT("00"&amp;$C1738,2)&amp;"/"&amp;RIGHT("00"&amp;$D1738,2)))</f>
        <v/>
      </c>
      <c r="F1738">
        <f>IF(Entry!$D1738&lt;&gt;"",IF(AND(ISNUMBER(Entry!$D1738),Entry!$D1738&gt;=0,Entry!$D1738&lt;1),RIGHT("00"&amp;HOUR(Entry!$D1738),2)&amp;":"&amp;RIGHT("00"&amp;MINUTE(Entry!$D1738),2),IFERROR(RIGHT("00"&amp;VALUE(TRIM(LEFT(Entry!$D1738,FIND(":",Entry!$D1738)-1))),2)&amp;":"&amp;RIGHT("00"&amp;VALUE(TRIM(MID(Entry!$D1738,FIND(":",Entry!$D1738)+1,2))),2),"نامعتبر")),IF(OR($E1738="",$E1738="نامعتبر"),"","00:00"))</f>
        <v/>
      </c>
      <c r="G1738">
        <f>IF(OR($E1738="",$E1738="نامعتبر"),"",IF(Entry!$E1738="","",LEFT(UPPER(TRIM(Entry!$E1738)),6)))</f>
        <v/>
      </c>
      <c r="H1738">
        <f>IF($G1738="","",RIGHT($E1738,4)&amp;MID($E1738,6,2)&amp;RIGHT($E1738,2)&amp;IF($F1738="","0000",IF($F1738="نامعتبر","9999",LEFT($F1738,2)&amp;RIGHT($F1738,2)))&amp;"|"&amp;RIGHT("00000"&amp;1730,5))</f>
        <v/>
      </c>
      <c r="I1738">
        <f>IF($H1738="","",COUNTIFS(CalcBank,$G1738,CalcKey,"&lt;"&amp;$H1738)+1)</f>
        <v/>
      </c>
      <c r="J1738">
        <f>IF($I1738="","",$G1738&amp;"|"&amp;RIGHT("000000"&amp;$I1738,6))</f>
        <v/>
      </c>
      <c r="K1738">
        <f>IF(OR($E1738="",$E1738="نامعتبر"),"",LEFT($E1738,4)&amp;"/"&amp;MID($E1738,6,2))</f>
        <v/>
      </c>
      <c r="L1738">
        <f>IF(Entry!$K1738="",0,Entry!$K1738)</f>
        <v/>
      </c>
      <c r="M1738">
        <f>IF(Entry!$L1738="",0,Entry!$L1738)</f>
        <v/>
      </c>
    </row>
    <row r="1739">
      <c r="A1739">
        <f>IF(Entry!$C1739="","",Entry!$C1739)</f>
        <v/>
      </c>
      <c r="B1739">
        <f>IF($A1739="","",IF(ISNUMBER($A1739),IF(AND($A1739&gt;=10000101,$A1739&lt;=99991231),INT($A1739/10000),""),IFERROR(VALUE(TRIM(LEFT($A1739,FIND("/",$A1739)-1))),"")))</f>
        <v/>
      </c>
      <c r="C1739">
        <f>IF(OR($A1739="",$B1739=""),"",IF(ISNUMBER($A1739),INT(MOD($A1739,10000)/100),IFERROR(VALUE(TRIM(LEFT(MID($A1739,FIND("/",$A1739)+1,20),FIND("/",MID($A1739,FIND("/",$A1739)+1,20))-1))),"")))</f>
        <v/>
      </c>
      <c r="D1739">
        <f>IF(OR($A1739="",$B1739=""),"",IF(ISNUMBER($A1739),MOD($A1739,100),IFERROR(VALUE(TRIM(MID(MID($A1739,FIND("/",$A1739)+1,20),FIND("/",MID($A1739,FIND("/",$A1739)+1,20))+1,20))),"")))</f>
        <v/>
      </c>
      <c r="E1739">
        <f>IF($A1739="","",IF(OR($B1739="",$C1739="",$D1739="",$B1739&lt;1300,$B1739&gt;1500,$C1739&lt;1,$C1739&gt;12,$D1739&lt;1,$D1739&gt;31),"نامعتبر",RIGHT("0000"&amp;$B1739,4)&amp;"/"&amp;RIGHT("00"&amp;$C1739,2)&amp;"/"&amp;RIGHT("00"&amp;$D1739,2)))</f>
        <v/>
      </c>
      <c r="F1739">
        <f>IF(Entry!$D1739&lt;&gt;"",IF(AND(ISNUMBER(Entry!$D1739),Entry!$D1739&gt;=0,Entry!$D1739&lt;1),RIGHT("00"&amp;HOUR(Entry!$D1739),2)&amp;":"&amp;RIGHT("00"&amp;MINUTE(Entry!$D1739),2),IFERROR(RIGHT("00"&amp;VALUE(TRIM(LEFT(Entry!$D1739,FIND(":",Entry!$D1739)-1))),2)&amp;":"&amp;RIGHT("00"&amp;VALUE(TRIM(MID(Entry!$D1739,FIND(":",Entry!$D1739)+1,2))),2),"نامعتبر")),IF(OR($E1739="",$E1739="نامعتبر"),"","00:00"))</f>
        <v/>
      </c>
      <c r="G1739">
        <f>IF(OR($E1739="",$E1739="نامعتبر"),"",IF(Entry!$E1739="","",LEFT(UPPER(TRIM(Entry!$E1739)),6)))</f>
        <v/>
      </c>
      <c r="H1739">
        <f>IF($G1739="","",RIGHT($E1739,4)&amp;MID($E1739,6,2)&amp;RIGHT($E1739,2)&amp;IF($F1739="","0000",IF($F1739="نامعتبر","9999",LEFT($F1739,2)&amp;RIGHT($F1739,2)))&amp;"|"&amp;RIGHT("00000"&amp;1731,5))</f>
        <v/>
      </c>
      <c r="I1739">
        <f>IF($H1739="","",COUNTIFS(CalcBank,$G1739,CalcKey,"&lt;"&amp;$H1739)+1)</f>
        <v/>
      </c>
      <c r="J1739">
        <f>IF($I1739="","",$G1739&amp;"|"&amp;RIGHT("000000"&amp;$I1739,6))</f>
        <v/>
      </c>
      <c r="K1739">
        <f>IF(OR($E1739="",$E1739="نامعتبر"),"",LEFT($E1739,4)&amp;"/"&amp;MID($E1739,6,2))</f>
        <v/>
      </c>
      <c r="L1739">
        <f>IF(Entry!$K1739="",0,Entry!$K1739)</f>
        <v/>
      </c>
      <c r="M1739">
        <f>IF(Entry!$L1739="",0,Entry!$L1739)</f>
        <v/>
      </c>
    </row>
    <row r="1740">
      <c r="A1740">
        <f>IF(Entry!$C1740="","",Entry!$C1740)</f>
        <v/>
      </c>
      <c r="B1740">
        <f>IF($A1740="","",IF(ISNUMBER($A1740),IF(AND($A1740&gt;=10000101,$A1740&lt;=99991231),INT($A1740/10000),""),IFERROR(VALUE(TRIM(LEFT($A1740,FIND("/",$A1740)-1))),"")))</f>
        <v/>
      </c>
      <c r="C1740">
        <f>IF(OR($A1740="",$B1740=""),"",IF(ISNUMBER($A1740),INT(MOD($A1740,10000)/100),IFERROR(VALUE(TRIM(LEFT(MID($A1740,FIND("/",$A1740)+1,20),FIND("/",MID($A1740,FIND("/",$A1740)+1,20))-1))),"")))</f>
        <v/>
      </c>
      <c r="D1740">
        <f>IF(OR($A1740="",$B1740=""),"",IF(ISNUMBER($A1740),MOD($A1740,100),IFERROR(VALUE(TRIM(MID(MID($A1740,FIND("/",$A1740)+1,20),FIND("/",MID($A1740,FIND("/",$A1740)+1,20))+1,20))),"")))</f>
        <v/>
      </c>
      <c r="E1740">
        <f>IF($A1740="","",IF(OR($B1740="",$C1740="",$D1740="",$B1740&lt;1300,$B1740&gt;1500,$C1740&lt;1,$C1740&gt;12,$D1740&lt;1,$D1740&gt;31),"نامعتبر",RIGHT("0000"&amp;$B1740,4)&amp;"/"&amp;RIGHT("00"&amp;$C1740,2)&amp;"/"&amp;RIGHT("00"&amp;$D1740,2)))</f>
        <v/>
      </c>
      <c r="F1740">
        <f>IF(Entry!$D1740&lt;&gt;"",IF(AND(ISNUMBER(Entry!$D1740),Entry!$D1740&gt;=0,Entry!$D1740&lt;1),RIGHT("00"&amp;HOUR(Entry!$D1740),2)&amp;":"&amp;RIGHT("00"&amp;MINUTE(Entry!$D1740),2),IFERROR(RIGHT("00"&amp;VALUE(TRIM(LEFT(Entry!$D1740,FIND(":",Entry!$D1740)-1))),2)&amp;":"&amp;RIGHT("00"&amp;VALUE(TRIM(MID(Entry!$D1740,FIND(":",Entry!$D1740)+1,2))),2),"نامعتبر")),IF(OR($E1740="",$E1740="نامعتبر"),"","00:00"))</f>
        <v/>
      </c>
      <c r="G1740">
        <f>IF(OR($E1740="",$E1740="نامعتبر"),"",IF(Entry!$E1740="","",LEFT(UPPER(TRIM(Entry!$E1740)),6)))</f>
        <v/>
      </c>
      <c r="H1740">
        <f>IF($G1740="","",RIGHT($E1740,4)&amp;MID($E1740,6,2)&amp;RIGHT($E1740,2)&amp;IF($F1740="","0000",IF($F1740="نامعتبر","9999",LEFT($F1740,2)&amp;RIGHT($F1740,2)))&amp;"|"&amp;RIGHT("00000"&amp;1732,5))</f>
        <v/>
      </c>
      <c r="I1740">
        <f>IF($H1740="","",COUNTIFS(CalcBank,$G1740,CalcKey,"&lt;"&amp;$H1740)+1)</f>
        <v/>
      </c>
      <c r="J1740">
        <f>IF($I1740="","",$G1740&amp;"|"&amp;RIGHT("000000"&amp;$I1740,6))</f>
        <v/>
      </c>
      <c r="K1740">
        <f>IF(OR($E1740="",$E1740="نامعتبر"),"",LEFT($E1740,4)&amp;"/"&amp;MID($E1740,6,2))</f>
        <v/>
      </c>
      <c r="L1740">
        <f>IF(Entry!$K1740="",0,Entry!$K1740)</f>
        <v/>
      </c>
      <c r="M1740">
        <f>IF(Entry!$L1740="",0,Entry!$L1740)</f>
        <v/>
      </c>
    </row>
    <row r="1741">
      <c r="A1741">
        <f>IF(Entry!$C1741="","",Entry!$C1741)</f>
        <v/>
      </c>
      <c r="B1741">
        <f>IF($A1741="","",IF(ISNUMBER($A1741),IF(AND($A1741&gt;=10000101,$A1741&lt;=99991231),INT($A1741/10000),""),IFERROR(VALUE(TRIM(LEFT($A1741,FIND("/",$A1741)-1))),"")))</f>
        <v/>
      </c>
      <c r="C1741">
        <f>IF(OR($A1741="",$B1741=""),"",IF(ISNUMBER($A1741),INT(MOD($A1741,10000)/100),IFERROR(VALUE(TRIM(LEFT(MID($A1741,FIND("/",$A1741)+1,20),FIND("/",MID($A1741,FIND("/",$A1741)+1,20))-1))),"")))</f>
        <v/>
      </c>
      <c r="D1741">
        <f>IF(OR($A1741="",$B1741=""),"",IF(ISNUMBER($A1741),MOD($A1741,100),IFERROR(VALUE(TRIM(MID(MID($A1741,FIND("/",$A1741)+1,20),FIND("/",MID($A1741,FIND("/",$A1741)+1,20))+1,20))),"")))</f>
        <v/>
      </c>
      <c r="E1741">
        <f>IF($A1741="","",IF(OR($B1741="",$C1741="",$D1741="",$B1741&lt;1300,$B1741&gt;1500,$C1741&lt;1,$C1741&gt;12,$D1741&lt;1,$D1741&gt;31),"نامعتبر",RIGHT("0000"&amp;$B1741,4)&amp;"/"&amp;RIGHT("00"&amp;$C1741,2)&amp;"/"&amp;RIGHT("00"&amp;$D1741,2)))</f>
        <v/>
      </c>
      <c r="F1741">
        <f>IF(Entry!$D1741&lt;&gt;"",IF(AND(ISNUMBER(Entry!$D1741),Entry!$D1741&gt;=0,Entry!$D1741&lt;1),RIGHT("00"&amp;HOUR(Entry!$D1741),2)&amp;":"&amp;RIGHT("00"&amp;MINUTE(Entry!$D1741),2),IFERROR(RIGHT("00"&amp;VALUE(TRIM(LEFT(Entry!$D1741,FIND(":",Entry!$D1741)-1))),2)&amp;":"&amp;RIGHT("00"&amp;VALUE(TRIM(MID(Entry!$D1741,FIND(":",Entry!$D1741)+1,2))),2),"نامعتبر")),IF(OR($E1741="",$E1741="نامعتبر"),"","00:00"))</f>
        <v/>
      </c>
      <c r="G1741">
        <f>IF(OR($E1741="",$E1741="نامعتبر"),"",IF(Entry!$E1741="","",LEFT(UPPER(TRIM(Entry!$E1741)),6)))</f>
        <v/>
      </c>
      <c r="H1741">
        <f>IF($G1741="","",RIGHT($E1741,4)&amp;MID($E1741,6,2)&amp;RIGHT($E1741,2)&amp;IF($F1741="","0000",IF($F1741="نامعتبر","9999",LEFT($F1741,2)&amp;RIGHT($F1741,2)))&amp;"|"&amp;RIGHT("00000"&amp;1733,5))</f>
        <v/>
      </c>
      <c r="I1741">
        <f>IF($H1741="","",COUNTIFS(CalcBank,$G1741,CalcKey,"&lt;"&amp;$H1741)+1)</f>
        <v/>
      </c>
      <c r="J1741">
        <f>IF($I1741="","",$G1741&amp;"|"&amp;RIGHT("000000"&amp;$I1741,6))</f>
        <v/>
      </c>
      <c r="K1741">
        <f>IF(OR($E1741="",$E1741="نامعتبر"),"",LEFT($E1741,4)&amp;"/"&amp;MID($E1741,6,2))</f>
        <v/>
      </c>
      <c r="L1741">
        <f>IF(Entry!$K1741="",0,Entry!$K1741)</f>
        <v/>
      </c>
      <c r="M1741">
        <f>IF(Entry!$L1741="",0,Entry!$L1741)</f>
        <v/>
      </c>
    </row>
    <row r="1742">
      <c r="A1742">
        <f>IF(Entry!$C1742="","",Entry!$C1742)</f>
        <v/>
      </c>
      <c r="B1742">
        <f>IF($A1742="","",IF(ISNUMBER($A1742),IF(AND($A1742&gt;=10000101,$A1742&lt;=99991231),INT($A1742/10000),""),IFERROR(VALUE(TRIM(LEFT($A1742,FIND("/",$A1742)-1))),"")))</f>
        <v/>
      </c>
      <c r="C1742">
        <f>IF(OR($A1742="",$B1742=""),"",IF(ISNUMBER($A1742),INT(MOD($A1742,10000)/100),IFERROR(VALUE(TRIM(LEFT(MID($A1742,FIND("/",$A1742)+1,20),FIND("/",MID($A1742,FIND("/",$A1742)+1,20))-1))),"")))</f>
        <v/>
      </c>
      <c r="D1742">
        <f>IF(OR($A1742="",$B1742=""),"",IF(ISNUMBER($A1742),MOD($A1742,100),IFERROR(VALUE(TRIM(MID(MID($A1742,FIND("/",$A1742)+1,20),FIND("/",MID($A1742,FIND("/",$A1742)+1,20))+1,20))),"")))</f>
        <v/>
      </c>
      <c r="E1742">
        <f>IF($A1742="","",IF(OR($B1742="",$C1742="",$D1742="",$B1742&lt;1300,$B1742&gt;1500,$C1742&lt;1,$C1742&gt;12,$D1742&lt;1,$D1742&gt;31),"نامعتبر",RIGHT("0000"&amp;$B1742,4)&amp;"/"&amp;RIGHT("00"&amp;$C1742,2)&amp;"/"&amp;RIGHT("00"&amp;$D1742,2)))</f>
        <v/>
      </c>
      <c r="F1742">
        <f>IF(Entry!$D1742&lt;&gt;"",IF(AND(ISNUMBER(Entry!$D1742),Entry!$D1742&gt;=0,Entry!$D1742&lt;1),RIGHT("00"&amp;HOUR(Entry!$D1742),2)&amp;":"&amp;RIGHT("00"&amp;MINUTE(Entry!$D1742),2),IFERROR(RIGHT("00"&amp;VALUE(TRIM(LEFT(Entry!$D1742,FIND(":",Entry!$D1742)-1))),2)&amp;":"&amp;RIGHT("00"&amp;VALUE(TRIM(MID(Entry!$D1742,FIND(":",Entry!$D1742)+1,2))),2),"نامعتبر")),IF(OR($E1742="",$E1742="نامعتبر"),"","00:00"))</f>
        <v/>
      </c>
      <c r="G1742">
        <f>IF(OR($E1742="",$E1742="نامعتبر"),"",IF(Entry!$E1742="","",LEFT(UPPER(TRIM(Entry!$E1742)),6)))</f>
        <v/>
      </c>
      <c r="H1742">
        <f>IF($G1742="","",RIGHT($E1742,4)&amp;MID($E1742,6,2)&amp;RIGHT($E1742,2)&amp;IF($F1742="","0000",IF($F1742="نامعتبر","9999",LEFT($F1742,2)&amp;RIGHT($F1742,2)))&amp;"|"&amp;RIGHT("00000"&amp;1734,5))</f>
        <v/>
      </c>
      <c r="I1742">
        <f>IF($H1742="","",COUNTIFS(CalcBank,$G1742,CalcKey,"&lt;"&amp;$H1742)+1)</f>
        <v/>
      </c>
      <c r="J1742">
        <f>IF($I1742="","",$G1742&amp;"|"&amp;RIGHT("000000"&amp;$I1742,6))</f>
        <v/>
      </c>
      <c r="K1742">
        <f>IF(OR($E1742="",$E1742="نامعتبر"),"",LEFT($E1742,4)&amp;"/"&amp;MID($E1742,6,2))</f>
        <v/>
      </c>
      <c r="L1742">
        <f>IF(Entry!$K1742="",0,Entry!$K1742)</f>
        <v/>
      </c>
      <c r="M1742">
        <f>IF(Entry!$L1742="",0,Entry!$L1742)</f>
        <v/>
      </c>
    </row>
    <row r="1743">
      <c r="A1743">
        <f>IF(Entry!$C1743="","",Entry!$C1743)</f>
        <v/>
      </c>
      <c r="B1743">
        <f>IF($A1743="","",IF(ISNUMBER($A1743),IF(AND($A1743&gt;=10000101,$A1743&lt;=99991231),INT($A1743/10000),""),IFERROR(VALUE(TRIM(LEFT($A1743,FIND("/",$A1743)-1))),"")))</f>
        <v/>
      </c>
      <c r="C1743">
        <f>IF(OR($A1743="",$B1743=""),"",IF(ISNUMBER($A1743),INT(MOD($A1743,10000)/100),IFERROR(VALUE(TRIM(LEFT(MID($A1743,FIND("/",$A1743)+1,20),FIND("/",MID($A1743,FIND("/",$A1743)+1,20))-1))),"")))</f>
        <v/>
      </c>
      <c r="D1743">
        <f>IF(OR($A1743="",$B1743=""),"",IF(ISNUMBER($A1743),MOD($A1743,100),IFERROR(VALUE(TRIM(MID(MID($A1743,FIND("/",$A1743)+1,20),FIND("/",MID($A1743,FIND("/",$A1743)+1,20))+1,20))),"")))</f>
        <v/>
      </c>
      <c r="E1743">
        <f>IF($A1743="","",IF(OR($B1743="",$C1743="",$D1743="",$B1743&lt;1300,$B1743&gt;1500,$C1743&lt;1,$C1743&gt;12,$D1743&lt;1,$D1743&gt;31),"نامعتبر",RIGHT("0000"&amp;$B1743,4)&amp;"/"&amp;RIGHT("00"&amp;$C1743,2)&amp;"/"&amp;RIGHT("00"&amp;$D1743,2)))</f>
        <v/>
      </c>
      <c r="F1743">
        <f>IF(Entry!$D1743&lt;&gt;"",IF(AND(ISNUMBER(Entry!$D1743),Entry!$D1743&gt;=0,Entry!$D1743&lt;1),RIGHT("00"&amp;HOUR(Entry!$D1743),2)&amp;":"&amp;RIGHT("00"&amp;MINUTE(Entry!$D1743),2),IFERROR(RIGHT("00"&amp;VALUE(TRIM(LEFT(Entry!$D1743,FIND(":",Entry!$D1743)-1))),2)&amp;":"&amp;RIGHT("00"&amp;VALUE(TRIM(MID(Entry!$D1743,FIND(":",Entry!$D1743)+1,2))),2),"نامعتبر")),IF(OR($E1743="",$E1743="نامعتبر"),"","00:00"))</f>
        <v/>
      </c>
      <c r="G1743">
        <f>IF(OR($E1743="",$E1743="نامعتبر"),"",IF(Entry!$E1743="","",LEFT(UPPER(TRIM(Entry!$E1743)),6)))</f>
        <v/>
      </c>
      <c r="H1743">
        <f>IF($G1743="","",RIGHT($E1743,4)&amp;MID($E1743,6,2)&amp;RIGHT($E1743,2)&amp;IF($F1743="","0000",IF($F1743="نامعتبر","9999",LEFT($F1743,2)&amp;RIGHT($F1743,2)))&amp;"|"&amp;RIGHT("00000"&amp;1735,5))</f>
        <v/>
      </c>
      <c r="I1743">
        <f>IF($H1743="","",COUNTIFS(CalcBank,$G1743,CalcKey,"&lt;"&amp;$H1743)+1)</f>
        <v/>
      </c>
      <c r="J1743">
        <f>IF($I1743="","",$G1743&amp;"|"&amp;RIGHT("000000"&amp;$I1743,6))</f>
        <v/>
      </c>
      <c r="K1743">
        <f>IF(OR($E1743="",$E1743="نامعتبر"),"",LEFT($E1743,4)&amp;"/"&amp;MID($E1743,6,2))</f>
        <v/>
      </c>
      <c r="L1743">
        <f>IF(Entry!$K1743="",0,Entry!$K1743)</f>
        <v/>
      </c>
      <c r="M1743">
        <f>IF(Entry!$L1743="",0,Entry!$L1743)</f>
        <v/>
      </c>
    </row>
    <row r="1744">
      <c r="A1744">
        <f>IF(Entry!$C1744="","",Entry!$C1744)</f>
        <v/>
      </c>
      <c r="B1744">
        <f>IF($A1744="","",IF(ISNUMBER($A1744),IF(AND($A1744&gt;=10000101,$A1744&lt;=99991231),INT($A1744/10000),""),IFERROR(VALUE(TRIM(LEFT($A1744,FIND("/",$A1744)-1))),"")))</f>
        <v/>
      </c>
      <c r="C1744">
        <f>IF(OR($A1744="",$B1744=""),"",IF(ISNUMBER($A1744),INT(MOD($A1744,10000)/100),IFERROR(VALUE(TRIM(LEFT(MID($A1744,FIND("/",$A1744)+1,20),FIND("/",MID($A1744,FIND("/",$A1744)+1,20))-1))),"")))</f>
        <v/>
      </c>
      <c r="D1744">
        <f>IF(OR($A1744="",$B1744=""),"",IF(ISNUMBER($A1744),MOD($A1744,100),IFERROR(VALUE(TRIM(MID(MID($A1744,FIND("/",$A1744)+1,20),FIND("/",MID($A1744,FIND("/",$A1744)+1,20))+1,20))),"")))</f>
        <v/>
      </c>
      <c r="E1744">
        <f>IF($A1744="","",IF(OR($B1744="",$C1744="",$D1744="",$B1744&lt;1300,$B1744&gt;1500,$C1744&lt;1,$C1744&gt;12,$D1744&lt;1,$D1744&gt;31),"نامعتبر",RIGHT("0000"&amp;$B1744,4)&amp;"/"&amp;RIGHT("00"&amp;$C1744,2)&amp;"/"&amp;RIGHT("00"&amp;$D1744,2)))</f>
        <v/>
      </c>
      <c r="F1744">
        <f>IF(Entry!$D1744&lt;&gt;"",IF(AND(ISNUMBER(Entry!$D1744),Entry!$D1744&gt;=0,Entry!$D1744&lt;1),RIGHT("00"&amp;HOUR(Entry!$D1744),2)&amp;":"&amp;RIGHT("00"&amp;MINUTE(Entry!$D1744),2),IFERROR(RIGHT("00"&amp;VALUE(TRIM(LEFT(Entry!$D1744,FIND(":",Entry!$D1744)-1))),2)&amp;":"&amp;RIGHT("00"&amp;VALUE(TRIM(MID(Entry!$D1744,FIND(":",Entry!$D1744)+1,2))),2),"نامعتبر")),IF(OR($E1744="",$E1744="نامعتبر"),"","00:00"))</f>
        <v/>
      </c>
      <c r="G1744">
        <f>IF(OR($E1744="",$E1744="نامعتبر"),"",IF(Entry!$E1744="","",LEFT(UPPER(TRIM(Entry!$E1744)),6)))</f>
        <v/>
      </c>
      <c r="H1744">
        <f>IF($G1744="","",RIGHT($E1744,4)&amp;MID($E1744,6,2)&amp;RIGHT($E1744,2)&amp;IF($F1744="","0000",IF($F1744="نامعتبر","9999",LEFT($F1744,2)&amp;RIGHT($F1744,2)))&amp;"|"&amp;RIGHT("00000"&amp;1736,5))</f>
        <v/>
      </c>
      <c r="I1744">
        <f>IF($H1744="","",COUNTIFS(CalcBank,$G1744,CalcKey,"&lt;"&amp;$H1744)+1)</f>
        <v/>
      </c>
      <c r="J1744">
        <f>IF($I1744="","",$G1744&amp;"|"&amp;RIGHT("000000"&amp;$I1744,6))</f>
        <v/>
      </c>
      <c r="K1744">
        <f>IF(OR($E1744="",$E1744="نامعتبر"),"",LEFT($E1744,4)&amp;"/"&amp;MID($E1744,6,2))</f>
        <v/>
      </c>
      <c r="L1744">
        <f>IF(Entry!$K1744="",0,Entry!$K1744)</f>
        <v/>
      </c>
      <c r="M1744">
        <f>IF(Entry!$L1744="",0,Entry!$L1744)</f>
        <v/>
      </c>
    </row>
    <row r="1745">
      <c r="A1745">
        <f>IF(Entry!$C1745="","",Entry!$C1745)</f>
        <v/>
      </c>
      <c r="B1745">
        <f>IF($A1745="","",IF(ISNUMBER($A1745),IF(AND($A1745&gt;=10000101,$A1745&lt;=99991231),INT($A1745/10000),""),IFERROR(VALUE(TRIM(LEFT($A1745,FIND("/",$A1745)-1))),"")))</f>
        <v/>
      </c>
      <c r="C1745">
        <f>IF(OR($A1745="",$B1745=""),"",IF(ISNUMBER($A1745),INT(MOD($A1745,10000)/100),IFERROR(VALUE(TRIM(LEFT(MID($A1745,FIND("/",$A1745)+1,20),FIND("/",MID($A1745,FIND("/",$A1745)+1,20))-1))),"")))</f>
        <v/>
      </c>
      <c r="D1745">
        <f>IF(OR($A1745="",$B1745=""),"",IF(ISNUMBER($A1745),MOD($A1745,100),IFERROR(VALUE(TRIM(MID(MID($A1745,FIND("/",$A1745)+1,20),FIND("/",MID($A1745,FIND("/",$A1745)+1,20))+1,20))),"")))</f>
        <v/>
      </c>
      <c r="E1745">
        <f>IF($A1745="","",IF(OR($B1745="",$C1745="",$D1745="",$B1745&lt;1300,$B1745&gt;1500,$C1745&lt;1,$C1745&gt;12,$D1745&lt;1,$D1745&gt;31),"نامعتبر",RIGHT("0000"&amp;$B1745,4)&amp;"/"&amp;RIGHT("00"&amp;$C1745,2)&amp;"/"&amp;RIGHT("00"&amp;$D1745,2)))</f>
        <v/>
      </c>
      <c r="F1745">
        <f>IF(Entry!$D1745&lt;&gt;"",IF(AND(ISNUMBER(Entry!$D1745),Entry!$D1745&gt;=0,Entry!$D1745&lt;1),RIGHT("00"&amp;HOUR(Entry!$D1745),2)&amp;":"&amp;RIGHT("00"&amp;MINUTE(Entry!$D1745),2),IFERROR(RIGHT("00"&amp;VALUE(TRIM(LEFT(Entry!$D1745,FIND(":",Entry!$D1745)-1))),2)&amp;":"&amp;RIGHT("00"&amp;VALUE(TRIM(MID(Entry!$D1745,FIND(":",Entry!$D1745)+1,2))),2),"نامعتبر")),IF(OR($E1745="",$E1745="نامعتبر"),"","00:00"))</f>
        <v/>
      </c>
      <c r="G1745">
        <f>IF(OR($E1745="",$E1745="نامعتبر"),"",IF(Entry!$E1745="","",LEFT(UPPER(TRIM(Entry!$E1745)),6)))</f>
        <v/>
      </c>
      <c r="H1745">
        <f>IF($G1745="","",RIGHT($E1745,4)&amp;MID($E1745,6,2)&amp;RIGHT($E1745,2)&amp;IF($F1745="","0000",IF($F1745="نامعتبر","9999",LEFT($F1745,2)&amp;RIGHT($F1745,2)))&amp;"|"&amp;RIGHT("00000"&amp;1737,5))</f>
        <v/>
      </c>
      <c r="I1745">
        <f>IF($H1745="","",COUNTIFS(CalcBank,$G1745,CalcKey,"&lt;"&amp;$H1745)+1)</f>
        <v/>
      </c>
      <c r="J1745">
        <f>IF($I1745="","",$G1745&amp;"|"&amp;RIGHT("000000"&amp;$I1745,6))</f>
        <v/>
      </c>
      <c r="K1745">
        <f>IF(OR($E1745="",$E1745="نامعتبر"),"",LEFT($E1745,4)&amp;"/"&amp;MID($E1745,6,2))</f>
        <v/>
      </c>
      <c r="L1745">
        <f>IF(Entry!$K1745="",0,Entry!$K1745)</f>
        <v/>
      </c>
      <c r="M1745">
        <f>IF(Entry!$L1745="",0,Entry!$L1745)</f>
        <v/>
      </c>
    </row>
    <row r="1746">
      <c r="A1746">
        <f>IF(Entry!$C1746="","",Entry!$C1746)</f>
        <v/>
      </c>
      <c r="B1746">
        <f>IF($A1746="","",IF(ISNUMBER($A1746),IF(AND($A1746&gt;=10000101,$A1746&lt;=99991231),INT($A1746/10000),""),IFERROR(VALUE(TRIM(LEFT($A1746,FIND("/",$A1746)-1))),"")))</f>
        <v/>
      </c>
      <c r="C1746">
        <f>IF(OR($A1746="",$B1746=""),"",IF(ISNUMBER($A1746),INT(MOD($A1746,10000)/100),IFERROR(VALUE(TRIM(LEFT(MID($A1746,FIND("/",$A1746)+1,20),FIND("/",MID($A1746,FIND("/",$A1746)+1,20))-1))),"")))</f>
        <v/>
      </c>
      <c r="D1746">
        <f>IF(OR($A1746="",$B1746=""),"",IF(ISNUMBER($A1746),MOD($A1746,100),IFERROR(VALUE(TRIM(MID(MID($A1746,FIND("/",$A1746)+1,20),FIND("/",MID($A1746,FIND("/",$A1746)+1,20))+1,20))),"")))</f>
        <v/>
      </c>
      <c r="E1746">
        <f>IF($A1746="","",IF(OR($B1746="",$C1746="",$D1746="",$B1746&lt;1300,$B1746&gt;1500,$C1746&lt;1,$C1746&gt;12,$D1746&lt;1,$D1746&gt;31),"نامعتبر",RIGHT("0000"&amp;$B1746,4)&amp;"/"&amp;RIGHT("00"&amp;$C1746,2)&amp;"/"&amp;RIGHT("00"&amp;$D1746,2)))</f>
        <v/>
      </c>
      <c r="F1746">
        <f>IF(Entry!$D1746&lt;&gt;"",IF(AND(ISNUMBER(Entry!$D1746),Entry!$D1746&gt;=0,Entry!$D1746&lt;1),RIGHT("00"&amp;HOUR(Entry!$D1746),2)&amp;":"&amp;RIGHT("00"&amp;MINUTE(Entry!$D1746),2),IFERROR(RIGHT("00"&amp;VALUE(TRIM(LEFT(Entry!$D1746,FIND(":",Entry!$D1746)-1))),2)&amp;":"&amp;RIGHT("00"&amp;VALUE(TRIM(MID(Entry!$D1746,FIND(":",Entry!$D1746)+1,2))),2),"نامعتبر")),IF(OR($E1746="",$E1746="نامعتبر"),"","00:00"))</f>
        <v/>
      </c>
      <c r="G1746">
        <f>IF(OR($E1746="",$E1746="نامعتبر"),"",IF(Entry!$E1746="","",LEFT(UPPER(TRIM(Entry!$E1746)),6)))</f>
        <v/>
      </c>
      <c r="H1746">
        <f>IF($G1746="","",RIGHT($E1746,4)&amp;MID($E1746,6,2)&amp;RIGHT($E1746,2)&amp;IF($F1746="","0000",IF($F1746="نامعتبر","9999",LEFT($F1746,2)&amp;RIGHT($F1746,2)))&amp;"|"&amp;RIGHT("00000"&amp;1738,5))</f>
        <v/>
      </c>
      <c r="I1746">
        <f>IF($H1746="","",COUNTIFS(CalcBank,$G1746,CalcKey,"&lt;"&amp;$H1746)+1)</f>
        <v/>
      </c>
      <c r="J1746">
        <f>IF($I1746="","",$G1746&amp;"|"&amp;RIGHT("000000"&amp;$I1746,6))</f>
        <v/>
      </c>
      <c r="K1746">
        <f>IF(OR($E1746="",$E1746="نامعتبر"),"",LEFT($E1746,4)&amp;"/"&amp;MID($E1746,6,2))</f>
        <v/>
      </c>
      <c r="L1746">
        <f>IF(Entry!$K1746="",0,Entry!$K1746)</f>
        <v/>
      </c>
      <c r="M1746">
        <f>IF(Entry!$L1746="",0,Entry!$L1746)</f>
        <v/>
      </c>
    </row>
    <row r="1747">
      <c r="A1747">
        <f>IF(Entry!$C1747="","",Entry!$C1747)</f>
        <v/>
      </c>
      <c r="B1747">
        <f>IF($A1747="","",IF(ISNUMBER($A1747),IF(AND($A1747&gt;=10000101,$A1747&lt;=99991231),INT($A1747/10000),""),IFERROR(VALUE(TRIM(LEFT($A1747,FIND("/",$A1747)-1))),"")))</f>
        <v/>
      </c>
      <c r="C1747">
        <f>IF(OR($A1747="",$B1747=""),"",IF(ISNUMBER($A1747),INT(MOD($A1747,10000)/100),IFERROR(VALUE(TRIM(LEFT(MID($A1747,FIND("/",$A1747)+1,20),FIND("/",MID($A1747,FIND("/",$A1747)+1,20))-1))),"")))</f>
        <v/>
      </c>
      <c r="D1747">
        <f>IF(OR($A1747="",$B1747=""),"",IF(ISNUMBER($A1747),MOD($A1747,100),IFERROR(VALUE(TRIM(MID(MID($A1747,FIND("/",$A1747)+1,20),FIND("/",MID($A1747,FIND("/",$A1747)+1,20))+1,20))),"")))</f>
        <v/>
      </c>
      <c r="E1747">
        <f>IF($A1747="","",IF(OR($B1747="",$C1747="",$D1747="",$B1747&lt;1300,$B1747&gt;1500,$C1747&lt;1,$C1747&gt;12,$D1747&lt;1,$D1747&gt;31),"نامعتبر",RIGHT("0000"&amp;$B1747,4)&amp;"/"&amp;RIGHT("00"&amp;$C1747,2)&amp;"/"&amp;RIGHT("00"&amp;$D1747,2)))</f>
        <v/>
      </c>
      <c r="F1747">
        <f>IF(Entry!$D1747&lt;&gt;"",IF(AND(ISNUMBER(Entry!$D1747),Entry!$D1747&gt;=0,Entry!$D1747&lt;1),RIGHT("00"&amp;HOUR(Entry!$D1747),2)&amp;":"&amp;RIGHT("00"&amp;MINUTE(Entry!$D1747),2),IFERROR(RIGHT("00"&amp;VALUE(TRIM(LEFT(Entry!$D1747,FIND(":",Entry!$D1747)-1))),2)&amp;":"&amp;RIGHT("00"&amp;VALUE(TRIM(MID(Entry!$D1747,FIND(":",Entry!$D1747)+1,2))),2),"نامعتبر")),IF(OR($E1747="",$E1747="نامعتبر"),"","00:00"))</f>
        <v/>
      </c>
      <c r="G1747">
        <f>IF(OR($E1747="",$E1747="نامعتبر"),"",IF(Entry!$E1747="","",LEFT(UPPER(TRIM(Entry!$E1747)),6)))</f>
        <v/>
      </c>
      <c r="H1747">
        <f>IF($G1747="","",RIGHT($E1747,4)&amp;MID($E1747,6,2)&amp;RIGHT($E1747,2)&amp;IF($F1747="","0000",IF($F1747="نامعتبر","9999",LEFT($F1747,2)&amp;RIGHT($F1747,2)))&amp;"|"&amp;RIGHT("00000"&amp;1739,5))</f>
        <v/>
      </c>
      <c r="I1747">
        <f>IF($H1747="","",COUNTIFS(CalcBank,$G1747,CalcKey,"&lt;"&amp;$H1747)+1)</f>
        <v/>
      </c>
      <c r="J1747">
        <f>IF($I1747="","",$G1747&amp;"|"&amp;RIGHT("000000"&amp;$I1747,6))</f>
        <v/>
      </c>
      <c r="K1747">
        <f>IF(OR($E1747="",$E1747="نامعتبر"),"",LEFT($E1747,4)&amp;"/"&amp;MID($E1747,6,2))</f>
        <v/>
      </c>
      <c r="L1747">
        <f>IF(Entry!$K1747="",0,Entry!$K1747)</f>
        <v/>
      </c>
      <c r="M1747">
        <f>IF(Entry!$L1747="",0,Entry!$L1747)</f>
        <v/>
      </c>
    </row>
    <row r="1748">
      <c r="A1748">
        <f>IF(Entry!$C1748="","",Entry!$C1748)</f>
        <v/>
      </c>
      <c r="B1748">
        <f>IF($A1748="","",IF(ISNUMBER($A1748),IF(AND($A1748&gt;=10000101,$A1748&lt;=99991231),INT($A1748/10000),""),IFERROR(VALUE(TRIM(LEFT($A1748,FIND("/",$A1748)-1))),"")))</f>
        <v/>
      </c>
      <c r="C1748">
        <f>IF(OR($A1748="",$B1748=""),"",IF(ISNUMBER($A1748),INT(MOD($A1748,10000)/100),IFERROR(VALUE(TRIM(LEFT(MID($A1748,FIND("/",$A1748)+1,20),FIND("/",MID($A1748,FIND("/",$A1748)+1,20))-1))),"")))</f>
        <v/>
      </c>
      <c r="D1748">
        <f>IF(OR($A1748="",$B1748=""),"",IF(ISNUMBER($A1748),MOD($A1748,100),IFERROR(VALUE(TRIM(MID(MID($A1748,FIND("/",$A1748)+1,20),FIND("/",MID($A1748,FIND("/",$A1748)+1,20))+1,20))),"")))</f>
        <v/>
      </c>
      <c r="E1748">
        <f>IF($A1748="","",IF(OR($B1748="",$C1748="",$D1748="",$B1748&lt;1300,$B1748&gt;1500,$C1748&lt;1,$C1748&gt;12,$D1748&lt;1,$D1748&gt;31),"نامعتبر",RIGHT("0000"&amp;$B1748,4)&amp;"/"&amp;RIGHT("00"&amp;$C1748,2)&amp;"/"&amp;RIGHT("00"&amp;$D1748,2)))</f>
        <v/>
      </c>
      <c r="F1748">
        <f>IF(Entry!$D1748&lt;&gt;"",IF(AND(ISNUMBER(Entry!$D1748),Entry!$D1748&gt;=0,Entry!$D1748&lt;1),RIGHT("00"&amp;HOUR(Entry!$D1748),2)&amp;":"&amp;RIGHT("00"&amp;MINUTE(Entry!$D1748),2),IFERROR(RIGHT("00"&amp;VALUE(TRIM(LEFT(Entry!$D1748,FIND(":",Entry!$D1748)-1))),2)&amp;":"&amp;RIGHT("00"&amp;VALUE(TRIM(MID(Entry!$D1748,FIND(":",Entry!$D1748)+1,2))),2),"نامعتبر")),IF(OR($E1748="",$E1748="نامعتبر"),"","00:00"))</f>
        <v/>
      </c>
      <c r="G1748">
        <f>IF(OR($E1748="",$E1748="نامعتبر"),"",IF(Entry!$E1748="","",LEFT(UPPER(TRIM(Entry!$E1748)),6)))</f>
        <v/>
      </c>
      <c r="H1748">
        <f>IF($G1748="","",RIGHT($E1748,4)&amp;MID($E1748,6,2)&amp;RIGHT($E1748,2)&amp;IF($F1748="","0000",IF($F1748="نامعتبر","9999",LEFT($F1748,2)&amp;RIGHT($F1748,2)))&amp;"|"&amp;RIGHT("00000"&amp;1740,5))</f>
        <v/>
      </c>
      <c r="I1748">
        <f>IF($H1748="","",COUNTIFS(CalcBank,$G1748,CalcKey,"&lt;"&amp;$H1748)+1)</f>
        <v/>
      </c>
      <c r="J1748">
        <f>IF($I1748="","",$G1748&amp;"|"&amp;RIGHT("000000"&amp;$I1748,6))</f>
        <v/>
      </c>
      <c r="K1748">
        <f>IF(OR($E1748="",$E1748="نامعتبر"),"",LEFT($E1748,4)&amp;"/"&amp;MID($E1748,6,2))</f>
        <v/>
      </c>
      <c r="L1748">
        <f>IF(Entry!$K1748="",0,Entry!$K1748)</f>
        <v/>
      </c>
      <c r="M1748">
        <f>IF(Entry!$L1748="",0,Entry!$L1748)</f>
        <v/>
      </c>
    </row>
    <row r="1749">
      <c r="A1749">
        <f>IF(Entry!$C1749="","",Entry!$C1749)</f>
        <v/>
      </c>
      <c r="B1749">
        <f>IF($A1749="","",IF(ISNUMBER($A1749),IF(AND($A1749&gt;=10000101,$A1749&lt;=99991231),INT($A1749/10000),""),IFERROR(VALUE(TRIM(LEFT($A1749,FIND("/",$A1749)-1))),"")))</f>
        <v/>
      </c>
      <c r="C1749">
        <f>IF(OR($A1749="",$B1749=""),"",IF(ISNUMBER($A1749),INT(MOD($A1749,10000)/100),IFERROR(VALUE(TRIM(LEFT(MID($A1749,FIND("/",$A1749)+1,20),FIND("/",MID($A1749,FIND("/",$A1749)+1,20))-1))),"")))</f>
        <v/>
      </c>
      <c r="D1749">
        <f>IF(OR($A1749="",$B1749=""),"",IF(ISNUMBER($A1749),MOD($A1749,100),IFERROR(VALUE(TRIM(MID(MID($A1749,FIND("/",$A1749)+1,20),FIND("/",MID($A1749,FIND("/",$A1749)+1,20))+1,20))),"")))</f>
        <v/>
      </c>
      <c r="E1749">
        <f>IF($A1749="","",IF(OR($B1749="",$C1749="",$D1749="",$B1749&lt;1300,$B1749&gt;1500,$C1749&lt;1,$C1749&gt;12,$D1749&lt;1,$D1749&gt;31),"نامعتبر",RIGHT("0000"&amp;$B1749,4)&amp;"/"&amp;RIGHT("00"&amp;$C1749,2)&amp;"/"&amp;RIGHT("00"&amp;$D1749,2)))</f>
        <v/>
      </c>
      <c r="F1749">
        <f>IF(Entry!$D1749&lt;&gt;"",IF(AND(ISNUMBER(Entry!$D1749),Entry!$D1749&gt;=0,Entry!$D1749&lt;1),RIGHT("00"&amp;HOUR(Entry!$D1749),2)&amp;":"&amp;RIGHT("00"&amp;MINUTE(Entry!$D1749),2),IFERROR(RIGHT("00"&amp;VALUE(TRIM(LEFT(Entry!$D1749,FIND(":",Entry!$D1749)-1))),2)&amp;":"&amp;RIGHT("00"&amp;VALUE(TRIM(MID(Entry!$D1749,FIND(":",Entry!$D1749)+1,2))),2),"نامعتبر")),IF(OR($E1749="",$E1749="نامعتبر"),"","00:00"))</f>
        <v/>
      </c>
      <c r="G1749">
        <f>IF(OR($E1749="",$E1749="نامعتبر"),"",IF(Entry!$E1749="","",LEFT(UPPER(TRIM(Entry!$E1749)),6)))</f>
        <v/>
      </c>
      <c r="H1749">
        <f>IF($G1749="","",RIGHT($E1749,4)&amp;MID($E1749,6,2)&amp;RIGHT($E1749,2)&amp;IF($F1749="","0000",IF($F1749="نامعتبر","9999",LEFT($F1749,2)&amp;RIGHT($F1749,2)))&amp;"|"&amp;RIGHT("00000"&amp;1741,5))</f>
        <v/>
      </c>
      <c r="I1749">
        <f>IF($H1749="","",COUNTIFS(CalcBank,$G1749,CalcKey,"&lt;"&amp;$H1749)+1)</f>
        <v/>
      </c>
      <c r="J1749">
        <f>IF($I1749="","",$G1749&amp;"|"&amp;RIGHT("000000"&amp;$I1749,6))</f>
        <v/>
      </c>
      <c r="K1749">
        <f>IF(OR($E1749="",$E1749="نامعتبر"),"",LEFT($E1749,4)&amp;"/"&amp;MID($E1749,6,2))</f>
        <v/>
      </c>
      <c r="L1749">
        <f>IF(Entry!$K1749="",0,Entry!$K1749)</f>
        <v/>
      </c>
      <c r="M1749">
        <f>IF(Entry!$L1749="",0,Entry!$L1749)</f>
        <v/>
      </c>
    </row>
    <row r="1750">
      <c r="A1750">
        <f>IF(Entry!$C1750="","",Entry!$C1750)</f>
        <v/>
      </c>
      <c r="B1750">
        <f>IF($A1750="","",IF(ISNUMBER($A1750),IF(AND($A1750&gt;=10000101,$A1750&lt;=99991231),INT($A1750/10000),""),IFERROR(VALUE(TRIM(LEFT($A1750,FIND("/",$A1750)-1))),"")))</f>
        <v/>
      </c>
      <c r="C1750">
        <f>IF(OR($A1750="",$B1750=""),"",IF(ISNUMBER($A1750),INT(MOD($A1750,10000)/100),IFERROR(VALUE(TRIM(LEFT(MID($A1750,FIND("/",$A1750)+1,20),FIND("/",MID($A1750,FIND("/",$A1750)+1,20))-1))),"")))</f>
        <v/>
      </c>
      <c r="D1750">
        <f>IF(OR($A1750="",$B1750=""),"",IF(ISNUMBER($A1750),MOD($A1750,100),IFERROR(VALUE(TRIM(MID(MID($A1750,FIND("/",$A1750)+1,20),FIND("/",MID($A1750,FIND("/",$A1750)+1,20))+1,20))),"")))</f>
        <v/>
      </c>
      <c r="E1750">
        <f>IF($A1750="","",IF(OR($B1750="",$C1750="",$D1750="",$B1750&lt;1300,$B1750&gt;1500,$C1750&lt;1,$C1750&gt;12,$D1750&lt;1,$D1750&gt;31),"نامعتبر",RIGHT("0000"&amp;$B1750,4)&amp;"/"&amp;RIGHT("00"&amp;$C1750,2)&amp;"/"&amp;RIGHT("00"&amp;$D1750,2)))</f>
        <v/>
      </c>
      <c r="F1750">
        <f>IF(Entry!$D1750&lt;&gt;"",IF(AND(ISNUMBER(Entry!$D1750),Entry!$D1750&gt;=0,Entry!$D1750&lt;1),RIGHT("00"&amp;HOUR(Entry!$D1750),2)&amp;":"&amp;RIGHT("00"&amp;MINUTE(Entry!$D1750),2),IFERROR(RIGHT("00"&amp;VALUE(TRIM(LEFT(Entry!$D1750,FIND(":",Entry!$D1750)-1))),2)&amp;":"&amp;RIGHT("00"&amp;VALUE(TRIM(MID(Entry!$D1750,FIND(":",Entry!$D1750)+1,2))),2),"نامعتبر")),IF(OR($E1750="",$E1750="نامعتبر"),"","00:00"))</f>
        <v/>
      </c>
      <c r="G1750">
        <f>IF(OR($E1750="",$E1750="نامعتبر"),"",IF(Entry!$E1750="","",LEFT(UPPER(TRIM(Entry!$E1750)),6)))</f>
        <v/>
      </c>
      <c r="H1750">
        <f>IF($G1750="","",RIGHT($E1750,4)&amp;MID($E1750,6,2)&amp;RIGHT($E1750,2)&amp;IF($F1750="","0000",IF($F1750="نامعتبر","9999",LEFT($F1750,2)&amp;RIGHT($F1750,2)))&amp;"|"&amp;RIGHT("00000"&amp;1742,5))</f>
        <v/>
      </c>
      <c r="I1750">
        <f>IF($H1750="","",COUNTIFS(CalcBank,$G1750,CalcKey,"&lt;"&amp;$H1750)+1)</f>
        <v/>
      </c>
      <c r="J1750">
        <f>IF($I1750="","",$G1750&amp;"|"&amp;RIGHT("000000"&amp;$I1750,6))</f>
        <v/>
      </c>
      <c r="K1750">
        <f>IF(OR($E1750="",$E1750="نامعتبر"),"",LEFT($E1750,4)&amp;"/"&amp;MID($E1750,6,2))</f>
        <v/>
      </c>
      <c r="L1750">
        <f>IF(Entry!$K1750="",0,Entry!$K1750)</f>
        <v/>
      </c>
      <c r="M1750">
        <f>IF(Entry!$L1750="",0,Entry!$L1750)</f>
        <v/>
      </c>
    </row>
    <row r="1751">
      <c r="A1751">
        <f>IF(Entry!$C1751="","",Entry!$C1751)</f>
        <v/>
      </c>
      <c r="B1751">
        <f>IF($A1751="","",IF(ISNUMBER($A1751),IF(AND($A1751&gt;=10000101,$A1751&lt;=99991231),INT($A1751/10000),""),IFERROR(VALUE(TRIM(LEFT($A1751,FIND("/",$A1751)-1))),"")))</f>
        <v/>
      </c>
      <c r="C1751">
        <f>IF(OR($A1751="",$B1751=""),"",IF(ISNUMBER($A1751),INT(MOD($A1751,10000)/100),IFERROR(VALUE(TRIM(LEFT(MID($A1751,FIND("/",$A1751)+1,20),FIND("/",MID($A1751,FIND("/",$A1751)+1,20))-1))),"")))</f>
        <v/>
      </c>
      <c r="D1751">
        <f>IF(OR($A1751="",$B1751=""),"",IF(ISNUMBER($A1751),MOD($A1751,100),IFERROR(VALUE(TRIM(MID(MID($A1751,FIND("/",$A1751)+1,20),FIND("/",MID($A1751,FIND("/",$A1751)+1,20))+1,20))),"")))</f>
        <v/>
      </c>
      <c r="E1751">
        <f>IF($A1751="","",IF(OR($B1751="",$C1751="",$D1751="",$B1751&lt;1300,$B1751&gt;1500,$C1751&lt;1,$C1751&gt;12,$D1751&lt;1,$D1751&gt;31),"نامعتبر",RIGHT("0000"&amp;$B1751,4)&amp;"/"&amp;RIGHT("00"&amp;$C1751,2)&amp;"/"&amp;RIGHT("00"&amp;$D1751,2)))</f>
        <v/>
      </c>
      <c r="F1751">
        <f>IF(Entry!$D1751&lt;&gt;"",IF(AND(ISNUMBER(Entry!$D1751),Entry!$D1751&gt;=0,Entry!$D1751&lt;1),RIGHT("00"&amp;HOUR(Entry!$D1751),2)&amp;":"&amp;RIGHT("00"&amp;MINUTE(Entry!$D1751),2),IFERROR(RIGHT("00"&amp;VALUE(TRIM(LEFT(Entry!$D1751,FIND(":",Entry!$D1751)-1))),2)&amp;":"&amp;RIGHT("00"&amp;VALUE(TRIM(MID(Entry!$D1751,FIND(":",Entry!$D1751)+1,2))),2),"نامعتبر")),IF(OR($E1751="",$E1751="نامعتبر"),"","00:00"))</f>
        <v/>
      </c>
      <c r="G1751">
        <f>IF(OR($E1751="",$E1751="نامعتبر"),"",IF(Entry!$E1751="","",LEFT(UPPER(TRIM(Entry!$E1751)),6)))</f>
        <v/>
      </c>
      <c r="H1751">
        <f>IF($G1751="","",RIGHT($E1751,4)&amp;MID($E1751,6,2)&amp;RIGHT($E1751,2)&amp;IF($F1751="","0000",IF($F1751="نامعتبر","9999",LEFT($F1751,2)&amp;RIGHT($F1751,2)))&amp;"|"&amp;RIGHT("00000"&amp;1743,5))</f>
        <v/>
      </c>
      <c r="I1751">
        <f>IF($H1751="","",COUNTIFS(CalcBank,$G1751,CalcKey,"&lt;"&amp;$H1751)+1)</f>
        <v/>
      </c>
      <c r="J1751">
        <f>IF($I1751="","",$G1751&amp;"|"&amp;RIGHT("000000"&amp;$I1751,6))</f>
        <v/>
      </c>
      <c r="K1751">
        <f>IF(OR($E1751="",$E1751="نامعتبر"),"",LEFT($E1751,4)&amp;"/"&amp;MID($E1751,6,2))</f>
        <v/>
      </c>
      <c r="L1751">
        <f>IF(Entry!$K1751="",0,Entry!$K1751)</f>
        <v/>
      </c>
      <c r="M1751">
        <f>IF(Entry!$L1751="",0,Entry!$L1751)</f>
        <v/>
      </c>
    </row>
    <row r="1752">
      <c r="A1752">
        <f>IF(Entry!$C1752="","",Entry!$C1752)</f>
        <v/>
      </c>
      <c r="B1752">
        <f>IF($A1752="","",IF(ISNUMBER($A1752),IF(AND($A1752&gt;=10000101,$A1752&lt;=99991231),INT($A1752/10000),""),IFERROR(VALUE(TRIM(LEFT($A1752,FIND("/",$A1752)-1))),"")))</f>
        <v/>
      </c>
      <c r="C1752">
        <f>IF(OR($A1752="",$B1752=""),"",IF(ISNUMBER($A1752),INT(MOD($A1752,10000)/100),IFERROR(VALUE(TRIM(LEFT(MID($A1752,FIND("/",$A1752)+1,20),FIND("/",MID($A1752,FIND("/",$A1752)+1,20))-1))),"")))</f>
        <v/>
      </c>
      <c r="D1752">
        <f>IF(OR($A1752="",$B1752=""),"",IF(ISNUMBER($A1752),MOD($A1752,100),IFERROR(VALUE(TRIM(MID(MID($A1752,FIND("/",$A1752)+1,20),FIND("/",MID($A1752,FIND("/",$A1752)+1,20))+1,20))),"")))</f>
        <v/>
      </c>
      <c r="E1752">
        <f>IF($A1752="","",IF(OR($B1752="",$C1752="",$D1752="",$B1752&lt;1300,$B1752&gt;1500,$C1752&lt;1,$C1752&gt;12,$D1752&lt;1,$D1752&gt;31),"نامعتبر",RIGHT("0000"&amp;$B1752,4)&amp;"/"&amp;RIGHT("00"&amp;$C1752,2)&amp;"/"&amp;RIGHT("00"&amp;$D1752,2)))</f>
        <v/>
      </c>
      <c r="F1752">
        <f>IF(Entry!$D1752&lt;&gt;"",IF(AND(ISNUMBER(Entry!$D1752),Entry!$D1752&gt;=0,Entry!$D1752&lt;1),RIGHT("00"&amp;HOUR(Entry!$D1752),2)&amp;":"&amp;RIGHT("00"&amp;MINUTE(Entry!$D1752),2),IFERROR(RIGHT("00"&amp;VALUE(TRIM(LEFT(Entry!$D1752,FIND(":",Entry!$D1752)-1))),2)&amp;":"&amp;RIGHT("00"&amp;VALUE(TRIM(MID(Entry!$D1752,FIND(":",Entry!$D1752)+1,2))),2),"نامعتبر")),IF(OR($E1752="",$E1752="نامعتبر"),"","00:00"))</f>
        <v/>
      </c>
      <c r="G1752">
        <f>IF(OR($E1752="",$E1752="نامعتبر"),"",IF(Entry!$E1752="","",LEFT(UPPER(TRIM(Entry!$E1752)),6)))</f>
        <v/>
      </c>
      <c r="H1752">
        <f>IF($G1752="","",RIGHT($E1752,4)&amp;MID($E1752,6,2)&amp;RIGHT($E1752,2)&amp;IF($F1752="","0000",IF($F1752="نامعتبر","9999",LEFT($F1752,2)&amp;RIGHT($F1752,2)))&amp;"|"&amp;RIGHT("00000"&amp;1744,5))</f>
        <v/>
      </c>
      <c r="I1752">
        <f>IF($H1752="","",COUNTIFS(CalcBank,$G1752,CalcKey,"&lt;"&amp;$H1752)+1)</f>
        <v/>
      </c>
      <c r="J1752">
        <f>IF($I1752="","",$G1752&amp;"|"&amp;RIGHT("000000"&amp;$I1752,6))</f>
        <v/>
      </c>
      <c r="K1752">
        <f>IF(OR($E1752="",$E1752="نامعتبر"),"",LEFT($E1752,4)&amp;"/"&amp;MID($E1752,6,2))</f>
        <v/>
      </c>
      <c r="L1752">
        <f>IF(Entry!$K1752="",0,Entry!$K1752)</f>
        <v/>
      </c>
      <c r="M1752">
        <f>IF(Entry!$L1752="",0,Entry!$L1752)</f>
        <v/>
      </c>
    </row>
    <row r="1753">
      <c r="A1753">
        <f>IF(Entry!$C1753="","",Entry!$C1753)</f>
        <v/>
      </c>
      <c r="B1753">
        <f>IF($A1753="","",IF(ISNUMBER($A1753),IF(AND($A1753&gt;=10000101,$A1753&lt;=99991231),INT($A1753/10000),""),IFERROR(VALUE(TRIM(LEFT($A1753,FIND("/",$A1753)-1))),"")))</f>
        <v/>
      </c>
      <c r="C1753">
        <f>IF(OR($A1753="",$B1753=""),"",IF(ISNUMBER($A1753),INT(MOD($A1753,10000)/100),IFERROR(VALUE(TRIM(LEFT(MID($A1753,FIND("/",$A1753)+1,20),FIND("/",MID($A1753,FIND("/",$A1753)+1,20))-1))),"")))</f>
        <v/>
      </c>
      <c r="D1753">
        <f>IF(OR($A1753="",$B1753=""),"",IF(ISNUMBER($A1753),MOD($A1753,100),IFERROR(VALUE(TRIM(MID(MID($A1753,FIND("/",$A1753)+1,20),FIND("/",MID($A1753,FIND("/",$A1753)+1,20))+1,20))),"")))</f>
        <v/>
      </c>
      <c r="E1753">
        <f>IF($A1753="","",IF(OR($B1753="",$C1753="",$D1753="",$B1753&lt;1300,$B1753&gt;1500,$C1753&lt;1,$C1753&gt;12,$D1753&lt;1,$D1753&gt;31),"نامعتبر",RIGHT("0000"&amp;$B1753,4)&amp;"/"&amp;RIGHT("00"&amp;$C1753,2)&amp;"/"&amp;RIGHT("00"&amp;$D1753,2)))</f>
        <v/>
      </c>
      <c r="F1753">
        <f>IF(Entry!$D1753&lt;&gt;"",IF(AND(ISNUMBER(Entry!$D1753),Entry!$D1753&gt;=0,Entry!$D1753&lt;1),RIGHT("00"&amp;HOUR(Entry!$D1753),2)&amp;":"&amp;RIGHT("00"&amp;MINUTE(Entry!$D1753),2),IFERROR(RIGHT("00"&amp;VALUE(TRIM(LEFT(Entry!$D1753,FIND(":",Entry!$D1753)-1))),2)&amp;":"&amp;RIGHT("00"&amp;VALUE(TRIM(MID(Entry!$D1753,FIND(":",Entry!$D1753)+1,2))),2),"نامعتبر")),IF(OR($E1753="",$E1753="نامعتبر"),"","00:00"))</f>
        <v/>
      </c>
      <c r="G1753">
        <f>IF(OR($E1753="",$E1753="نامعتبر"),"",IF(Entry!$E1753="","",LEFT(UPPER(TRIM(Entry!$E1753)),6)))</f>
        <v/>
      </c>
      <c r="H1753">
        <f>IF($G1753="","",RIGHT($E1753,4)&amp;MID($E1753,6,2)&amp;RIGHT($E1753,2)&amp;IF($F1753="","0000",IF($F1753="نامعتبر","9999",LEFT($F1753,2)&amp;RIGHT($F1753,2)))&amp;"|"&amp;RIGHT("00000"&amp;1745,5))</f>
        <v/>
      </c>
      <c r="I1753">
        <f>IF($H1753="","",COUNTIFS(CalcBank,$G1753,CalcKey,"&lt;"&amp;$H1753)+1)</f>
        <v/>
      </c>
      <c r="J1753">
        <f>IF($I1753="","",$G1753&amp;"|"&amp;RIGHT("000000"&amp;$I1753,6))</f>
        <v/>
      </c>
      <c r="K1753">
        <f>IF(OR($E1753="",$E1753="نامعتبر"),"",LEFT($E1753,4)&amp;"/"&amp;MID($E1753,6,2))</f>
        <v/>
      </c>
      <c r="L1753">
        <f>IF(Entry!$K1753="",0,Entry!$K1753)</f>
        <v/>
      </c>
      <c r="M1753">
        <f>IF(Entry!$L1753="",0,Entry!$L1753)</f>
        <v/>
      </c>
    </row>
    <row r="1754">
      <c r="A1754">
        <f>IF(Entry!$C1754="","",Entry!$C1754)</f>
        <v/>
      </c>
      <c r="B1754">
        <f>IF($A1754="","",IF(ISNUMBER($A1754),IF(AND($A1754&gt;=10000101,$A1754&lt;=99991231),INT($A1754/10000),""),IFERROR(VALUE(TRIM(LEFT($A1754,FIND("/",$A1754)-1))),"")))</f>
        <v/>
      </c>
      <c r="C1754">
        <f>IF(OR($A1754="",$B1754=""),"",IF(ISNUMBER($A1754),INT(MOD($A1754,10000)/100),IFERROR(VALUE(TRIM(LEFT(MID($A1754,FIND("/",$A1754)+1,20),FIND("/",MID($A1754,FIND("/",$A1754)+1,20))-1))),"")))</f>
        <v/>
      </c>
      <c r="D1754">
        <f>IF(OR($A1754="",$B1754=""),"",IF(ISNUMBER($A1754),MOD($A1754,100),IFERROR(VALUE(TRIM(MID(MID($A1754,FIND("/",$A1754)+1,20),FIND("/",MID($A1754,FIND("/",$A1754)+1,20))+1,20))),"")))</f>
        <v/>
      </c>
      <c r="E1754">
        <f>IF($A1754="","",IF(OR($B1754="",$C1754="",$D1754="",$B1754&lt;1300,$B1754&gt;1500,$C1754&lt;1,$C1754&gt;12,$D1754&lt;1,$D1754&gt;31),"نامعتبر",RIGHT("0000"&amp;$B1754,4)&amp;"/"&amp;RIGHT("00"&amp;$C1754,2)&amp;"/"&amp;RIGHT("00"&amp;$D1754,2)))</f>
        <v/>
      </c>
      <c r="F1754">
        <f>IF(Entry!$D1754&lt;&gt;"",IF(AND(ISNUMBER(Entry!$D1754),Entry!$D1754&gt;=0,Entry!$D1754&lt;1),RIGHT("00"&amp;HOUR(Entry!$D1754),2)&amp;":"&amp;RIGHT("00"&amp;MINUTE(Entry!$D1754),2),IFERROR(RIGHT("00"&amp;VALUE(TRIM(LEFT(Entry!$D1754,FIND(":",Entry!$D1754)-1))),2)&amp;":"&amp;RIGHT("00"&amp;VALUE(TRIM(MID(Entry!$D1754,FIND(":",Entry!$D1754)+1,2))),2),"نامعتبر")),IF(OR($E1754="",$E1754="نامعتبر"),"","00:00"))</f>
        <v/>
      </c>
      <c r="G1754">
        <f>IF(OR($E1754="",$E1754="نامعتبر"),"",IF(Entry!$E1754="","",LEFT(UPPER(TRIM(Entry!$E1754)),6)))</f>
        <v/>
      </c>
      <c r="H1754">
        <f>IF($G1754="","",RIGHT($E1754,4)&amp;MID($E1754,6,2)&amp;RIGHT($E1754,2)&amp;IF($F1754="","0000",IF($F1754="نامعتبر","9999",LEFT($F1754,2)&amp;RIGHT($F1754,2)))&amp;"|"&amp;RIGHT("00000"&amp;1746,5))</f>
        <v/>
      </c>
      <c r="I1754">
        <f>IF($H1754="","",COUNTIFS(CalcBank,$G1754,CalcKey,"&lt;"&amp;$H1754)+1)</f>
        <v/>
      </c>
      <c r="J1754">
        <f>IF($I1754="","",$G1754&amp;"|"&amp;RIGHT("000000"&amp;$I1754,6))</f>
        <v/>
      </c>
      <c r="K1754">
        <f>IF(OR($E1754="",$E1754="نامعتبر"),"",LEFT($E1754,4)&amp;"/"&amp;MID($E1754,6,2))</f>
        <v/>
      </c>
      <c r="L1754">
        <f>IF(Entry!$K1754="",0,Entry!$K1754)</f>
        <v/>
      </c>
      <c r="M1754">
        <f>IF(Entry!$L1754="",0,Entry!$L1754)</f>
        <v/>
      </c>
    </row>
    <row r="1755">
      <c r="A1755">
        <f>IF(Entry!$C1755="","",Entry!$C1755)</f>
        <v/>
      </c>
      <c r="B1755">
        <f>IF($A1755="","",IF(ISNUMBER($A1755),IF(AND($A1755&gt;=10000101,$A1755&lt;=99991231),INT($A1755/10000),""),IFERROR(VALUE(TRIM(LEFT($A1755,FIND("/",$A1755)-1))),"")))</f>
        <v/>
      </c>
      <c r="C1755">
        <f>IF(OR($A1755="",$B1755=""),"",IF(ISNUMBER($A1755),INT(MOD($A1755,10000)/100),IFERROR(VALUE(TRIM(LEFT(MID($A1755,FIND("/",$A1755)+1,20),FIND("/",MID($A1755,FIND("/",$A1755)+1,20))-1))),"")))</f>
        <v/>
      </c>
      <c r="D1755">
        <f>IF(OR($A1755="",$B1755=""),"",IF(ISNUMBER($A1755),MOD($A1755,100),IFERROR(VALUE(TRIM(MID(MID($A1755,FIND("/",$A1755)+1,20),FIND("/",MID($A1755,FIND("/",$A1755)+1,20))+1,20))),"")))</f>
        <v/>
      </c>
      <c r="E1755">
        <f>IF($A1755="","",IF(OR($B1755="",$C1755="",$D1755="",$B1755&lt;1300,$B1755&gt;1500,$C1755&lt;1,$C1755&gt;12,$D1755&lt;1,$D1755&gt;31),"نامعتبر",RIGHT("0000"&amp;$B1755,4)&amp;"/"&amp;RIGHT("00"&amp;$C1755,2)&amp;"/"&amp;RIGHT("00"&amp;$D1755,2)))</f>
        <v/>
      </c>
      <c r="F1755">
        <f>IF(Entry!$D1755&lt;&gt;"",IF(AND(ISNUMBER(Entry!$D1755),Entry!$D1755&gt;=0,Entry!$D1755&lt;1),RIGHT("00"&amp;HOUR(Entry!$D1755),2)&amp;":"&amp;RIGHT("00"&amp;MINUTE(Entry!$D1755),2),IFERROR(RIGHT("00"&amp;VALUE(TRIM(LEFT(Entry!$D1755,FIND(":",Entry!$D1755)-1))),2)&amp;":"&amp;RIGHT("00"&amp;VALUE(TRIM(MID(Entry!$D1755,FIND(":",Entry!$D1755)+1,2))),2),"نامعتبر")),IF(OR($E1755="",$E1755="نامعتبر"),"","00:00"))</f>
        <v/>
      </c>
      <c r="G1755">
        <f>IF(OR($E1755="",$E1755="نامعتبر"),"",IF(Entry!$E1755="","",LEFT(UPPER(TRIM(Entry!$E1755)),6)))</f>
        <v/>
      </c>
      <c r="H1755">
        <f>IF($G1755="","",RIGHT($E1755,4)&amp;MID($E1755,6,2)&amp;RIGHT($E1755,2)&amp;IF($F1755="","0000",IF($F1755="نامعتبر","9999",LEFT($F1755,2)&amp;RIGHT($F1755,2)))&amp;"|"&amp;RIGHT("00000"&amp;1747,5))</f>
        <v/>
      </c>
      <c r="I1755">
        <f>IF($H1755="","",COUNTIFS(CalcBank,$G1755,CalcKey,"&lt;"&amp;$H1755)+1)</f>
        <v/>
      </c>
      <c r="J1755">
        <f>IF($I1755="","",$G1755&amp;"|"&amp;RIGHT("000000"&amp;$I1755,6))</f>
        <v/>
      </c>
      <c r="K1755">
        <f>IF(OR($E1755="",$E1755="نامعتبر"),"",LEFT($E1755,4)&amp;"/"&amp;MID($E1755,6,2))</f>
        <v/>
      </c>
      <c r="L1755">
        <f>IF(Entry!$K1755="",0,Entry!$K1755)</f>
        <v/>
      </c>
      <c r="M1755">
        <f>IF(Entry!$L1755="",0,Entry!$L1755)</f>
        <v/>
      </c>
    </row>
    <row r="1756">
      <c r="A1756">
        <f>IF(Entry!$C1756="","",Entry!$C1756)</f>
        <v/>
      </c>
      <c r="B1756">
        <f>IF($A1756="","",IF(ISNUMBER($A1756),IF(AND($A1756&gt;=10000101,$A1756&lt;=99991231),INT($A1756/10000),""),IFERROR(VALUE(TRIM(LEFT($A1756,FIND("/",$A1756)-1))),"")))</f>
        <v/>
      </c>
      <c r="C1756">
        <f>IF(OR($A1756="",$B1756=""),"",IF(ISNUMBER($A1756),INT(MOD($A1756,10000)/100),IFERROR(VALUE(TRIM(LEFT(MID($A1756,FIND("/",$A1756)+1,20),FIND("/",MID($A1756,FIND("/",$A1756)+1,20))-1))),"")))</f>
        <v/>
      </c>
      <c r="D1756">
        <f>IF(OR($A1756="",$B1756=""),"",IF(ISNUMBER($A1756),MOD($A1756,100),IFERROR(VALUE(TRIM(MID(MID($A1756,FIND("/",$A1756)+1,20),FIND("/",MID($A1756,FIND("/",$A1756)+1,20))+1,20))),"")))</f>
        <v/>
      </c>
      <c r="E1756">
        <f>IF($A1756="","",IF(OR($B1756="",$C1756="",$D1756="",$B1756&lt;1300,$B1756&gt;1500,$C1756&lt;1,$C1756&gt;12,$D1756&lt;1,$D1756&gt;31),"نامعتبر",RIGHT("0000"&amp;$B1756,4)&amp;"/"&amp;RIGHT("00"&amp;$C1756,2)&amp;"/"&amp;RIGHT("00"&amp;$D1756,2)))</f>
        <v/>
      </c>
      <c r="F1756">
        <f>IF(Entry!$D1756&lt;&gt;"",IF(AND(ISNUMBER(Entry!$D1756),Entry!$D1756&gt;=0,Entry!$D1756&lt;1),RIGHT("00"&amp;HOUR(Entry!$D1756),2)&amp;":"&amp;RIGHT("00"&amp;MINUTE(Entry!$D1756),2),IFERROR(RIGHT("00"&amp;VALUE(TRIM(LEFT(Entry!$D1756,FIND(":",Entry!$D1756)-1))),2)&amp;":"&amp;RIGHT("00"&amp;VALUE(TRIM(MID(Entry!$D1756,FIND(":",Entry!$D1756)+1,2))),2),"نامعتبر")),IF(OR($E1756="",$E1756="نامعتبر"),"","00:00"))</f>
        <v/>
      </c>
      <c r="G1756">
        <f>IF(OR($E1756="",$E1756="نامعتبر"),"",IF(Entry!$E1756="","",LEFT(UPPER(TRIM(Entry!$E1756)),6)))</f>
        <v/>
      </c>
      <c r="H1756">
        <f>IF($G1756="","",RIGHT($E1756,4)&amp;MID($E1756,6,2)&amp;RIGHT($E1756,2)&amp;IF($F1756="","0000",IF($F1756="نامعتبر","9999",LEFT($F1756,2)&amp;RIGHT($F1756,2)))&amp;"|"&amp;RIGHT("00000"&amp;1748,5))</f>
        <v/>
      </c>
      <c r="I1756">
        <f>IF($H1756="","",COUNTIFS(CalcBank,$G1756,CalcKey,"&lt;"&amp;$H1756)+1)</f>
        <v/>
      </c>
      <c r="J1756">
        <f>IF($I1756="","",$G1756&amp;"|"&amp;RIGHT("000000"&amp;$I1756,6))</f>
        <v/>
      </c>
      <c r="K1756">
        <f>IF(OR($E1756="",$E1756="نامعتبر"),"",LEFT($E1756,4)&amp;"/"&amp;MID($E1756,6,2))</f>
        <v/>
      </c>
      <c r="L1756">
        <f>IF(Entry!$K1756="",0,Entry!$K1756)</f>
        <v/>
      </c>
      <c r="M1756">
        <f>IF(Entry!$L1756="",0,Entry!$L1756)</f>
        <v/>
      </c>
    </row>
    <row r="1757">
      <c r="A1757">
        <f>IF(Entry!$C1757="","",Entry!$C1757)</f>
        <v/>
      </c>
      <c r="B1757">
        <f>IF($A1757="","",IF(ISNUMBER($A1757),IF(AND($A1757&gt;=10000101,$A1757&lt;=99991231),INT($A1757/10000),""),IFERROR(VALUE(TRIM(LEFT($A1757,FIND("/",$A1757)-1))),"")))</f>
        <v/>
      </c>
      <c r="C1757">
        <f>IF(OR($A1757="",$B1757=""),"",IF(ISNUMBER($A1757),INT(MOD($A1757,10000)/100),IFERROR(VALUE(TRIM(LEFT(MID($A1757,FIND("/",$A1757)+1,20),FIND("/",MID($A1757,FIND("/",$A1757)+1,20))-1))),"")))</f>
        <v/>
      </c>
      <c r="D1757">
        <f>IF(OR($A1757="",$B1757=""),"",IF(ISNUMBER($A1757),MOD($A1757,100),IFERROR(VALUE(TRIM(MID(MID($A1757,FIND("/",$A1757)+1,20),FIND("/",MID($A1757,FIND("/",$A1757)+1,20))+1,20))),"")))</f>
        <v/>
      </c>
      <c r="E1757">
        <f>IF($A1757="","",IF(OR($B1757="",$C1757="",$D1757="",$B1757&lt;1300,$B1757&gt;1500,$C1757&lt;1,$C1757&gt;12,$D1757&lt;1,$D1757&gt;31),"نامعتبر",RIGHT("0000"&amp;$B1757,4)&amp;"/"&amp;RIGHT("00"&amp;$C1757,2)&amp;"/"&amp;RIGHT("00"&amp;$D1757,2)))</f>
        <v/>
      </c>
      <c r="F1757">
        <f>IF(Entry!$D1757&lt;&gt;"",IF(AND(ISNUMBER(Entry!$D1757),Entry!$D1757&gt;=0,Entry!$D1757&lt;1),RIGHT("00"&amp;HOUR(Entry!$D1757),2)&amp;":"&amp;RIGHT("00"&amp;MINUTE(Entry!$D1757),2),IFERROR(RIGHT("00"&amp;VALUE(TRIM(LEFT(Entry!$D1757,FIND(":",Entry!$D1757)-1))),2)&amp;":"&amp;RIGHT("00"&amp;VALUE(TRIM(MID(Entry!$D1757,FIND(":",Entry!$D1757)+1,2))),2),"نامعتبر")),IF(OR($E1757="",$E1757="نامعتبر"),"","00:00"))</f>
        <v/>
      </c>
      <c r="G1757">
        <f>IF(OR($E1757="",$E1757="نامعتبر"),"",IF(Entry!$E1757="","",LEFT(UPPER(TRIM(Entry!$E1757)),6)))</f>
        <v/>
      </c>
      <c r="H1757">
        <f>IF($G1757="","",RIGHT($E1757,4)&amp;MID($E1757,6,2)&amp;RIGHT($E1757,2)&amp;IF($F1757="","0000",IF($F1757="نامعتبر","9999",LEFT($F1757,2)&amp;RIGHT($F1757,2)))&amp;"|"&amp;RIGHT("00000"&amp;1749,5))</f>
        <v/>
      </c>
      <c r="I1757">
        <f>IF($H1757="","",COUNTIFS(CalcBank,$G1757,CalcKey,"&lt;"&amp;$H1757)+1)</f>
        <v/>
      </c>
      <c r="J1757">
        <f>IF($I1757="","",$G1757&amp;"|"&amp;RIGHT("000000"&amp;$I1757,6))</f>
        <v/>
      </c>
      <c r="K1757">
        <f>IF(OR($E1757="",$E1757="نامعتبر"),"",LEFT($E1757,4)&amp;"/"&amp;MID($E1757,6,2))</f>
        <v/>
      </c>
      <c r="L1757">
        <f>IF(Entry!$K1757="",0,Entry!$K1757)</f>
        <v/>
      </c>
      <c r="M1757">
        <f>IF(Entry!$L1757="",0,Entry!$L1757)</f>
        <v/>
      </c>
    </row>
    <row r="1758">
      <c r="A1758">
        <f>IF(Entry!$C1758="","",Entry!$C1758)</f>
        <v/>
      </c>
      <c r="B1758">
        <f>IF($A1758="","",IF(ISNUMBER($A1758),IF(AND($A1758&gt;=10000101,$A1758&lt;=99991231),INT($A1758/10000),""),IFERROR(VALUE(TRIM(LEFT($A1758,FIND("/",$A1758)-1))),"")))</f>
        <v/>
      </c>
      <c r="C1758">
        <f>IF(OR($A1758="",$B1758=""),"",IF(ISNUMBER($A1758),INT(MOD($A1758,10000)/100),IFERROR(VALUE(TRIM(LEFT(MID($A1758,FIND("/",$A1758)+1,20),FIND("/",MID($A1758,FIND("/",$A1758)+1,20))-1))),"")))</f>
        <v/>
      </c>
      <c r="D1758">
        <f>IF(OR($A1758="",$B1758=""),"",IF(ISNUMBER($A1758),MOD($A1758,100),IFERROR(VALUE(TRIM(MID(MID($A1758,FIND("/",$A1758)+1,20),FIND("/",MID($A1758,FIND("/",$A1758)+1,20))+1,20))),"")))</f>
        <v/>
      </c>
      <c r="E1758">
        <f>IF($A1758="","",IF(OR($B1758="",$C1758="",$D1758="",$B1758&lt;1300,$B1758&gt;1500,$C1758&lt;1,$C1758&gt;12,$D1758&lt;1,$D1758&gt;31),"نامعتبر",RIGHT("0000"&amp;$B1758,4)&amp;"/"&amp;RIGHT("00"&amp;$C1758,2)&amp;"/"&amp;RIGHT("00"&amp;$D1758,2)))</f>
        <v/>
      </c>
      <c r="F1758">
        <f>IF(Entry!$D1758&lt;&gt;"",IF(AND(ISNUMBER(Entry!$D1758),Entry!$D1758&gt;=0,Entry!$D1758&lt;1),RIGHT("00"&amp;HOUR(Entry!$D1758),2)&amp;":"&amp;RIGHT("00"&amp;MINUTE(Entry!$D1758),2),IFERROR(RIGHT("00"&amp;VALUE(TRIM(LEFT(Entry!$D1758,FIND(":",Entry!$D1758)-1))),2)&amp;":"&amp;RIGHT("00"&amp;VALUE(TRIM(MID(Entry!$D1758,FIND(":",Entry!$D1758)+1,2))),2),"نامعتبر")),IF(OR($E1758="",$E1758="نامعتبر"),"","00:00"))</f>
        <v/>
      </c>
      <c r="G1758">
        <f>IF(OR($E1758="",$E1758="نامعتبر"),"",IF(Entry!$E1758="","",LEFT(UPPER(TRIM(Entry!$E1758)),6)))</f>
        <v/>
      </c>
      <c r="H1758">
        <f>IF($G1758="","",RIGHT($E1758,4)&amp;MID($E1758,6,2)&amp;RIGHT($E1758,2)&amp;IF($F1758="","0000",IF($F1758="نامعتبر","9999",LEFT($F1758,2)&amp;RIGHT($F1758,2)))&amp;"|"&amp;RIGHT("00000"&amp;1750,5))</f>
        <v/>
      </c>
      <c r="I1758">
        <f>IF($H1758="","",COUNTIFS(CalcBank,$G1758,CalcKey,"&lt;"&amp;$H1758)+1)</f>
        <v/>
      </c>
      <c r="J1758">
        <f>IF($I1758="","",$G1758&amp;"|"&amp;RIGHT("000000"&amp;$I1758,6))</f>
        <v/>
      </c>
      <c r="K1758">
        <f>IF(OR($E1758="",$E1758="نامعتبر"),"",LEFT($E1758,4)&amp;"/"&amp;MID($E1758,6,2))</f>
        <v/>
      </c>
      <c r="L1758">
        <f>IF(Entry!$K1758="",0,Entry!$K1758)</f>
        <v/>
      </c>
      <c r="M1758">
        <f>IF(Entry!$L1758="",0,Entry!$L1758)</f>
        <v/>
      </c>
    </row>
    <row r="1759">
      <c r="A1759">
        <f>IF(Entry!$C1759="","",Entry!$C1759)</f>
        <v/>
      </c>
      <c r="B1759">
        <f>IF($A1759="","",IF(ISNUMBER($A1759),IF(AND($A1759&gt;=10000101,$A1759&lt;=99991231),INT($A1759/10000),""),IFERROR(VALUE(TRIM(LEFT($A1759,FIND("/",$A1759)-1))),"")))</f>
        <v/>
      </c>
      <c r="C1759">
        <f>IF(OR($A1759="",$B1759=""),"",IF(ISNUMBER($A1759),INT(MOD($A1759,10000)/100),IFERROR(VALUE(TRIM(LEFT(MID($A1759,FIND("/",$A1759)+1,20),FIND("/",MID($A1759,FIND("/",$A1759)+1,20))-1))),"")))</f>
        <v/>
      </c>
      <c r="D1759">
        <f>IF(OR($A1759="",$B1759=""),"",IF(ISNUMBER($A1759),MOD($A1759,100),IFERROR(VALUE(TRIM(MID(MID($A1759,FIND("/",$A1759)+1,20),FIND("/",MID($A1759,FIND("/",$A1759)+1,20))+1,20))),"")))</f>
        <v/>
      </c>
      <c r="E1759">
        <f>IF($A1759="","",IF(OR($B1759="",$C1759="",$D1759="",$B1759&lt;1300,$B1759&gt;1500,$C1759&lt;1,$C1759&gt;12,$D1759&lt;1,$D1759&gt;31),"نامعتبر",RIGHT("0000"&amp;$B1759,4)&amp;"/"&amp;RIGHT("00"&amp;$C1759,2)&amp;"/"&amp;RIGHT("00"&amp;$D1759,2)))</f>
        <v/>
      </c>
      <c r="F1759">
        <f>IF(Entry!$D1759&lt;&gt;"",IF(AND(ISNUMBER(Entry!$D1759),Entry!$D1759&gt;=0,Entry!$D1759&lt;1),RIGHT("00"&amp;HOUR(Entry!$D1759),2)&amp;":"&amp;RIGHT("00"&amp;MINUTE(Entry!$D1759),2),IFERROR(RIGHT("00"&amp;VALUE(TRIM(LEFT(Entry!$D1759,FIND(":",Entry!$D1759)-1))),2)&amp;":"&amp;RIGHT("00"&amp;VALUE(TRIM(MID(Entry!$D1759,FIND(":",Entry!$D1759)+1,2))),2),"نامعتبر")),IF(OR($E1759="",$E1759="نامعتبر"),"","00:00"))</f>
        <v/>
      </c>
      <c r="G1759">
        <f>IF(OR($E1759="",$E1759="نامعتبر"),"",IF(Entry!$E1759="","",LEFT(UPPER(TRIM(Entry!$E1759)),6)))</f>
        <v/>
      </c>
      <c r="H1759">
        <f>IF($G1759="","",RIGHT($E1759,4)&amp;MID($E1759,6,2)&amp;RIGHT($E1759,2)&amp;IF($F1759="","0000",IF($F1759="نامعتبر","9999",LEFT($F1759,2)&amp;RIGHT($F1759,2)))&amp;"|"&amp;RIGHT("00000"&amp;1751,5))</f>
        <v/>
      </c>
      <c r="I1759">
        <f>IF($H1759="","",COUNTIFS(CalcBank,$G1759,CalcKey,"&lt;"&amp;$H1759)+1)</f>
        <v/>
      </c>
      <c r="J1759">
        <f>IF($I1759="","",$G1759&amp;"|"&amp;RIGHT("000000"&amp;$I1759,6))</f>
        <v/>
      </c>
      <c r="K1759">
        <f>IF(OR($E1759="",$E1759="نامعتبر"),"",LEFT($E1759,4)&amp;"/"&amp;MID($E1759,6,2))</f>
        <v/>
      </c>
      <c r="L1759">
        <f>IF(Entry!$K1759="",0,Entry!$K1759)</f>
        <v/>
      </c>
      <c r="M1759">
        <f>IF(Entry!$L1759="",0,Entry!$L1759)</f>
        <v/>
      </c>
    </row>
    <row r="1760">
      <c r="A1760">
        <f>IF(Entry!$C1760="","",Entry!$C1760)</f>
        <v/>
      </c>
      <c r="B1760">
        <f>IF($A1760="","",IF(ISNUMBER($A1760),IF(AND($A1760&gt;=10000101,$A1760&lt;=99991231),INT($A1760/10000),""),IFERROR(VALUE(TRIM(LEFT($A1760,FIND("/",$A1760)-1))),"")))</f>
        <v/>
      </c>
      <c r="C1760">
        <f>IF(OR($A1760="",$B1760=""),"",IF(ISNUMBER($A1760),INT(MOD($A1760,10000)/100),IFERROR(VALUE(TRIM(LEFT(MID($A1760,FIND("/",$A1760)+1,20),FIND("/",MID($A1760,FIND("/",$A1760)+1,20))-1))),"")))</f>
        <v/>
      </c>
      <c r="D1760">
        <f>IF(OR($A1760="",$B1760=""),"",IF(ISNUMBER($A1760),MOD($A1760,100),IFERROR(VALUE(TRIM(MID(MID($A1760,FIND("/",$A1760)+1,20),FIND("/",MID($A1760,FIND("/",$A1760)+1,20))+1,20))),"")))</f>
        <v/>
      </c>
      <c r="E1760">
        <f>IF($A1760="","",IF(OR($B1760="",$C1760="",$D1760="",$B1760&lt;1300,$B1760&gt;1500,$C1760&lt;1,$C1760&gt;12,$D1760&lt;1,$D1760&gt;31),"نامعتبر",RIGHT("0000"&amp;$B1760,4)&amp;"/"&amp;RIGHT("00"&amp;$C1760,2)&amp;"/"&amp;RIGHT("00"&amp;$D1760,2)))</f>
        <v/>
      </c>
      <c r="F1760">
        <f>IF(Entry!$D1760&lt;&gt;"",IF(AND(ISNUMBER(Entry!$D1760),Entry!$D1760&gt;=0,Entry!$D1760&lt;1),RIGHT("00"&amp;HOUR(Entry!$D1760),2)&amp;":"&amp;RIGHT("00"&amp;MINUTE(Entry!$D1760),2),IFERROR(RIGHT("00"&amp;VALUE(TRIM(LEFT(Entry!$D1760,FIND(":",Entry!$D1760)-1))),2)&amp;":"&amp;RIGHT("00"&amp;VALUE(TRIM(MID(Entry!$D1760,FIND(":",Entry!$D1760)+1,2))),2),"نامعتبر")),IF(OR($E1760="",$E1760="نامعتبر"),"","00:00"))</f>
        <v/>
      </c>
      <c r="G1760">
        <f>IF(OR($E1760="",$E1760="نامعتبر"),"",IF(Entry!$E1760="","",LEFT(UPPER(TRIM(Entry!$E1760)),6)))</f>
        <v/>
      </c>
      <c r="H1760">
        <f>IF($G1760="","",RIGHT($E1760,4)&amp;MID($E1760,6,2)&amp;RIGHT($E1760,2)&amp;IF($F1760="","0000",IF($F1760="نامعتبر","9999",LEFT($F1760,2)&amp;RIGHT($F1760,2)))&amp;"|"&amp;RIGHT("00000"&amp;1752,5))</f>
        <v/>
      </c>
      <c r="I1760">
        <f>IF($H1760="","",COUNTIFS(CalcBank,$G1760,CalcKey,"&lt;"&amp;$H1760)+1)</f>
        <v/>
      </c>
      <c r="J1760">
        <f>IF($I1760="","",$G1760&amp;"|"&amp;RIGHT("000000"&amp;$I1760,6))</f>
        <v/>
      </c>
      <c r="K1760">
        <f>IF(OR($E1760="",$E1760="نامعتبر"),"",LEFT($E1760,4)&amp;"/"&amp;MID($E1760,6,2))</f>
        <v/>
      </c>
      <c r="L1760">
        <f>IF(Entry!$K1760="",0,Entry!$K1760)</f>
        <v/>
      </c>
      <c r="M1760">
        <f>IF(Entry!$L1760="",0,Entry!$L1760)</f>
        <v/>
      </c>
    </row>
    <row r="1761">
      <c r="A1761">
        <f>IF(Entry!$C1761="","",Entry!$C1761)</f>
        <v/>
      </c>
      <c r="B1761">
        <f>IF($A1761="","",IF(ISNUMBER($A1761),IF(AND($A1761&gt;=10000101,$A1761&lt;=99991231),INT($A1761/10000),""),IFERROR(VALUE(TRIM(LEFT($A1761,FIND("/",$A1761)-1))),"")))</f>
        <v/>
      </c>
      <c r="C1761">
        <f>IF(OR($A1761="",$B1761=""),"",IF(ISNUMBER($A1761),INT(MOD($A1761,10000)/100),IFERROR(VALUE(TRIM(LEFT(MID($A1761,FIND("/",$A1761)+1,20),FIND("/",MID($A1761,FIND("/",$A1761)+1,20))-1))),"")))</f>
        <v/>
      </c>
      <c r="D1761">
        <f>IF(OR($A1761="",$B1761=""),"",IF(ISNUMBER($A1761),MOD($A1761,100),IFERROR(VALUE(TRIM(MID(MID($A1761,FIND("/",$A1761)+1,20),FIND("/",MID($A1761,FIND("/",$A1761)+1,20))+1,20))),"")))</f>
        <v/>
      </c>
      <c r="E1761">
        <f>IF($A1761="","",IF(OR($B1761="",$C1761="",$D1761="",$B1761&lt;1300,$B1761&gt;1500,$C1761&lt;1,$C1761&gt;12,$D1761&lt;1,$D1761&gt;31),"نامعتبر",RIGHT("0000"&amp;$B1761,4)&amp;"/"&amp;RIGHT("00"&amp;$C1761,2)&amp;"/"&amp;RIGHT("00"&amp;$D1761,2)))</f>
        <v/>
      </c>
      <c r="F1761">
        <f>IF(Entry!$D1761&lt;&gt;"",IF(AND(ISNUMBER(Entry!$D1761),Entry!$D1761&gt;=0,Entry!$D1761&lt;1),RIGHT("00"&amp;HOUR(Entry!$D1761),2)&amp;":"&amp;RIGHT("00"&amp;MINUTE(Entry!$D1761),2),IFERROR(RIGHT("00"&amp;VALUE(TRIM(LEFT(Entry!$D1761,FIND(":",Entry!$D1761)-1))),2)&amp;":"&amp;RIGHT("00"&amp;VALUE(TRIM(MID(Entry!$D1761,FIND(":",Entry!$D1761)+1,2))),2),"نامعتبر")),IF(OR($E1761="",$E1761="نامعتبر"),"","00:00"))</f>
        <v/>
      </c>
      <c r="G1761">
        <f>IF(OR($E1761="",$E1761="نامعتبر"),"",IF(Entry!$E1761="","",LEFT(UPPER(TRIM(Entry!$E1761)),6)))</f>
        <v/>
      </c>
      <c r="H1761">
        <f>IF($G1761="","",RIGHT($E1761,4)&amp;MID($E1761,6,2)&amp;RIGHT($E1761,2)&amp;IF($F1761="","0000",IF($F1761="نامعتبر","9999",LEFT($F1761,2)&amp;RIGHT($F1761,2)))&amp;"|"&amp;RIGHT("00000"&amp;1753,5))</f>
        <v/>
      </c>
      <c r="I1761">
        <f>IF($H1761="","",COUNTIFS(CalcBank,$G1761,CalcKey,"&lt;"&amp;$H1761)+1)</f>
        <v/>
      </c>
      <c r="J1761">
        <f>IF($I1761="","",$G1761&amp;"|"&amp;RIGHT("000000"&amp;$I1761,6))</f>
        <v/>
      </c>
      <c r="K1761">
        <f>IF(OR($E1761="",$E1761="نامعتبر"),"",LEFT($E1761,4)&amp;"/"&amp;MID($E1761,6,2))</f>
        <v/>
      </c>
      <c r="L1761">
        <f>IF(Entry!$K1761="",0,Entry!$K1761)</f>
        <v/>
      </c>
      <c r="M1761">
        <f>IF(Entry!$L1761="",0,Entry!$L1761)</f>
        <v/>
      </c>
    </row>
    <row r="1762">
      <c r="A1762">
        <f>IF(Entry!$C1762="","",Entry!$C1762)</f>
        <v/>
      </c>
      <c r="B1762">
        <f>IF($A1762="","",IF(ISNUMBER($A1762),IF(AND($A1762&gt;=10000101,$A1762&lt;=99991231),INT($A1762/10000),""),IFERROR(VALUE(TRIM(LEFT($A1762,FIND("/",$A1762)-1))),"")))</f>
        <v/>
      </c>
      <c r="C1762">
        <f>IF(OR($A1762="",$B1762=""),"",IF(ISNUMBER($A1762),INT(MOD($A1762,10000)/100),IFERROR(VALUE(TRIM(LEFT(MID($A1762,FIND("/",$A1762)+1,20),FIND("/",MID($A1762,FIND("/",$A1762)+1,20))-1))),"")))</f>
        <v/>
      </c>
      <c r="D1762">
        <f>IF(OR($A1762="",$B1762=""),"",IF(ISNUMBER($A1762),MOD($A1762,100),IFERROR(VALUE(TRIM(MID(MID($A1762,FIND("/",$A1762)+1,20),FIND("/",MID($A1762,FIND("/",$A1762)+1,20))+1,20))),"")))</f>
        <v/>
      </c>
      <c r="E1762">
        <f>IF($A1762="","",IF(OR($B1762="",$C1762="",$D1762="",$B1762&lt;1300,$B1762&gt;1500,$C1762&lt;1,$C1762&gt;12,$D1762&lt;1,$D1762&gt;31),"نامعتبر",RIGHT("0000"&amp;$B1762,4)&amp;"/"&amp;RIGHT("00"&amp;$C1762,2)&amp;"/"&amp;RIGHT("00"&amp;$D1762,2)))</f>
        <v/>
      </c>
      <c r="F1762">
        <f>IF(Entry!$D1762&lt;&gt;"",IF(AND(ISNUMBER(Entry!$D1762),Entry!$D1762&gt;=0,Entry!$D1762&lt;1),RIGHT("00"&amp;HOUR(Entry!$D1762),2)&amp;":"&amp;RIGHT("00"&amp;MINUTE(Entry!$D1762),2),IFERROR(RIGHT("00"&amp;VALUE(TRIM(LEFT(Entry!$D1762,FIND(":",Entry!$D1762)-1))),2)&amp;":"&amp;RIGHT("00"&amp;VALUE(TRIM(MID(Entry!$D1762,FIND(":",Entry!$D1762)+1,2))),2),"نامعتبر")),IF(OR($E1762="",$E1762="نامعتبر"),"","00:00"))</f>
        <v/>
      </c>
      <c r="G1762">
        <f>IF(OR($E1762="",$E1762="نامعتبر"),"",IF(Entry!$E1762="","",LEFT(UPPER(TRIM(Entry!$E1762)),6)))</f>
        <v/>
      </c>
      <c r="H1762">
        <f>IF($G1762="","",RIGHT($E1762,4)&amp;MID($E1762,6,2)&amp;RIGHT($E1762,2)&amp;IF($F1762="","0000",IF($F1762="نامعتبر","9999",LEFT($F1762,2)&amp;RIGHT($F1762,2)))&amp;"|"&amp;RIGHT("00000"&amp;1754,5))</f>
        <v/>
      </c>
      <c r="I1762">
        <f>IF($H1762="","",COUNTIFS(CalcBank,$G1762,CalcKey,"&lt;"&amp;$H1762)+1)</f>
        <v/>
      </c>
      <c r="J1762">
        <f>IF($I1762="","",$G1762&amp;"|"&amp;RIGHT("000000"&amp;$I1762,6))</f>
        <v/>
      </c>
      <c r="K1762">
        <f>IF(OR($E1762="",$E1762="نامعتبر"),"",LEFT($E1762,4)&amp;"/"&amp;MID($E1762,6,2))</f>
        <v/>
      </c>
      <c r="L1762">
        <f>IF(Entry!$K1762="",0,Entry!$K1762)</f>
        <v/>
      </c>
      <c r="M1762">
        <f>IF(Entry!$L1762="",0,Entry!$L1762)</f>
        <v/>
      </c>
    </row>
    <row r="1763">
      <c r="A1763">
        <f>IF(Entry!$C1763="","",Entry!$C1763)</f>
        <v/>
      </c>
      <c r="B1763">
        <f>IF($A1763="","",IF(ISNUMBER($A1763),IF(AND($A1763&gt;=10000101,$A1763&lt;=99991231),INT($A1763/10000),""),IFERROR(VALUE(TRIM(LEFT($A1763,FIND("/",$A1763)-1))),"")))</f>
        <v/>
      </c>
      <c r="C1763">
        <f>IF(OR($A1763="",$B1763=""),"",IF(ISNUMBER($A1763),INT(MOD($A1763,10000)/100),IFERROR(VALUE(TRIM(LEFT(MID($A1763,FIND("/",$A1763)+1,20),FIND("/",MID($A1763,FIND("/",$A1763)+1,20))-1))),"")))</f>
        <v/>
      </c>
      <c r="D1763">
        <f>IF(OR($A1763="",$B1763=""),"",IF(ISNUMBER($A1763),MOD($A1763,100),IFERROR(VALUE(TRIM(MID(MID($A1763,FIND("/",$A1763)+1,20),FIND("/",MID($A1763,FIND("/",$A1763)+1,20))+1,20))),"")))</f>
        <v/>
      </c>
      <c r="E1763">
        <f>IF($A1763="","",IF(OR($B1763="",$C1763="",$D1763="",$B1763&lt;1300,$B1763&gt;1500,$C1763&lt;1,$C1763&gt;12,$D1763&lt;1,$D1763&gt;31),"نامعتبر",RIGHT("0000"&amp;$B1763,4)&amp;"/"&amp;RIGHT("00"&amp;$C1763,2)&amp;"/"&amp;RIGHT("00"&amp;$D1763,2)))</f>
        <v/>
      </c>
      <c r="F1763">
        <f>IF(Entry!$D1763&lt;&gt;"",IF(AND(ISNUMBER(Entry!$D1763),Entry!$D1763&gt;=0,Entry!$D1763&lt;1),RIGHT("00"&amp;HOUR(Entry!$D1763),2)&amp;":"&amp;RIGHT("00"&amp;MINUTE(Entry!$D1763),2),IFERROR(RIGHT("00"&amp;VALUE(TRIM(LEFT(Entry!$D1763,FIND(":",Entry!$D1763)-1))),2)&amp;":"&amp;RIGHT("00"&amp;VALUE(TRIM(MID(Entry!$D1763,FIND(":",Entry!$D1763)+1,2))),2),"نامعتبر")),IF(OR($E1763="",$E1763="نامعتبر"),"","00:00"))</f>
        <v/>
      </c>
      <c r="G1763">
        <f>IF(OR($E1763="",$E1763="نامعتبر"),"",IF(Entry!$E1763="","",LEFT(UPPER(TRIM(Entry!$E1763)),6)))</f>
        <v/>
      </c>
      <c r="H1763">
        <f>IF($G1763="","",RIGHT($E1763,4)&amp;MID($E1763,6,2)&amp;RIGHT($E1763,2)&amp;IF($F1763="","0000",IF($F1763="نامعتبر","9999",LEFT($F1763,2)&amp;RIGHT($F1763,2)))&amp;"|"&amp;RIGHT("00000"&amp;1755,5))</f>
        <v/>
      </c>
      <c r="I1763">
        <f>IF($H1763="","",COUNTIFS(CalcBank,$G1763,CalcKey,"&lt;"&amp;$H1763)+1)</f>
        <v/>
      </c>
      <c r="J1763">
        <f>IF($I1763="","",$G1763&amp;"|"&amp;RIGHT("000000"&amp;$I1763,6))</f>
        <v/>
      </c>
      <c r="K1763">
        <f>IF(OR($E1763="",$E1763="نامعتبر"),"",LEFT($E1763,4)&amp;"/"&amp;MID($E1763,6,2))</f>
        <v/>
      </c>
      <c r="L1763">
        <f>IF(Entry!$K1763="",0,Entry!$K1763)</f>
        <v/>
      </c>
      <c r="M1763">
        <f>IF(Entry!$L1763="",0,Entry!$L1763)</f>
        <v/>
      </c>
    </row>
    <row r="1764">
      <c r="A1764">
        <f>IF(Entry!$C1764="","",Entry!$C1764)</f>
        <v/>
      </c>
      <c r="B1764">
        <f>IF($A1764="","",IF(ISNUMBER($A1764),IF(AND($A1764&gt;=10000101,$A1764&lt;=99991231),INT($A1764/10000),""),IFERROR(VALUE(TRIM(LEFT($A1764,FIND("/",$A1764)-1))),"")))</f>
        <v/>
      </c>
      <c r="C1764">
        <f>IF(OR($A1764="",$B1764=""),"",IF(ISNUMBER($A1764),INT(MOD($A1764,10000)/100),IFERROR(VALUE(TRIM(LEFT(MID($A1764,FIND("/",$A1764)+1,20),FIND("/",MID($A1764,FIND("/",$A1764)+1,20))-1))),"")))</f>
        <v/>
      </c>
      <c r="D1764">
        <f>IF(OR($A1764="",$B1764=""),"",IF(ISNUMBER($A1764),MOD($A1764,100),IFERROR(VALUE(TRIM(MID(MID($A1764,FIND("/",$A1764)+1,20),FIND("/",MID($A1764,FIND("/",$A1764)+1,20))+1,20))),"")))</f>
        <v/>
      </c>
      <c r="E1764">
        <f>IF($A1764="","",IF(OR($B1764="",$C1764="",$D1764="",$B1764&lt;1300,$B1764&gt;1500,$C1764&lt;1,$C1764&gt;12,$D1764&lt;1,$D1764&gt;31),"نامعتبر",RIGHT("0000"&amp;$B1764,4)&amp;"/"&amp;RIGHT("00"&amp;$C1764,2)&amp;"/"&amp;RIGHT("00"&amp;$D1764,2)))</f>
        <v/>
      </c>
      <c r="F1764">
        <f>IF(Entry!$D1764&lt;&gt;"",IF(AND(ISNUMBER(Entry!$D1764),Entry!$D1764&gt;=0,Entry!$D1764&lt;1),RIGHT("00"&amp;HOUR(Entry!$D1764),2)&amp;":"&amp;RIGHT("00"&amp;MINUTE(Entry!$D1764),2),IFERROR(RIGHT("00"&amp;VALUE(TRIM(LEFT(Entry!$D1764,FIND(":",Entry!$D1764)-1))),2)&amp;":"&amp;RIGHT("00"&amp;VALUE(TRIM(MID(Entry!$D1764,FIND(":",Entry!$D1764)+1,2))),2),"نامعتبر")),IF(OR($E1764="",$E1764="نامعتبر"),"","00:00"))</f>
        <v/>
      </c>
      <c r="G1764">
        <f>IF(OR($E1764="",$E1764="نامعتبر"),"",IF(Entry!$E1764="","",LEFT(UPPER(TRIM(Entry!$E1764)),6)))</f>
        <v/>
      </c>
      <c r="H1764">
        <f>IF($G1764="","",RIGHT($E1764,4)&amp;MID($E1764,6,2)&amp;RIGHT($E1764,2)&amp;IF($F1764="","0000",IF($F1764="نامعتبر","9999",LEFT($F1764,2)&amp;RIGHT($F1764,2)))&amp;"|"&amp;RIGHT("00000"&amp;1756,5))</f>
        <v/>
      </c>
      <c r="I1764">
        <f>IF($H1764="","",COUNTIFS(CalcBank,$G1764,CalcKey,"&lt;"&amp;$H1764)+1)</f>
        <v/>
      </c>
      <c r="J1764">
        <f>IF($I1764="","",$G1764&amp;"|"&amp;RIGHT("000000"&amp;$I1764,6))</f>
        <v/>
      </c>
      <c r="K1764">
        <f>IF(OR($E1764="",$E1764="نامعتبر"),"",LEFT($E1764,4)&amp;"/"&amp;MID($E1764,6,2))</f>
        <v/>
      </c>
      <c r="L1764">
        <f>IF(Entry!$K1764="",0,Entry!$K1764)</f>
        <v/>
      </c>
      <c r="M1764">
        <f>IF(Entry!$L1764="",0,Entry!$L1764)</f>
        <v/>
      </c>
    </row>
    <row r="1765">
      <c r="A1765">
        <f>IF(Entry!$C1765="","",Entry!$C1765)</f>
        <v/>
      </c>
      <c r="B1765">
        <f>IF($A1765="","",IF(ISNUMBER($A1765),IF(AND($A1765&gt;=10000101,$A1765&lt;=99991231),INT($A1765/10000),""),IFERROR(VALUE(TRIM(LEFT($A1765,FIND("/",$A1765)-1))),"")))</f>
        <v/>
      </c>
      <c r="C1765">
        <f>IF(OR($A1765="",$B1765=""),"",IF(ISNUMBER($A1765),INT(MOD($A1765,10000)/100),IFERROR(VALUE(TRIM(LEFT(MID($A1765,FIND("/",$A1765)+1,20),FIND("/",MID($A1765,FIND("/",$A1765)+1,20))-1))),"")))</f>
        <v/>
      </c>
      <c r="D1765">
        <f>IF(OR($A1765="",$B1765=""),"",IF(ISNUMBER($A1765),MOD($A1765,100),IFERROR(VALUE(TRIM(MID(MID($A1765,FIND("/",$A1765)+1,20),FIND("/",MID($A1765,FIND("/",$A1765)+1,20))+1,20))),"")))</f>
        <v/>
      </c>
      <c r="E1765">
        <f>IF($A1765="","",IF(OR($B1765="",$C1765="",$D1765="",$B1765&lt;1300,$B1765&gt;1500,$C1765&lt;1,$C1765&gt;12,$D1765&lt;1,$D1765&gt;31),"نامعتبر",RIGHT("0000"&amp;$B1765,4)&amp;"/"&amp;RIGHT("00"&amp;$C1765,2)&amp;"/"&amp;RIGHT("00"&amp;$D1765,2)))</f>
        <v/>
      </c>
      <c r="F1765">
        <f>IF(Entry!$D1765&lt;&gt;"",IF(AND(ISNUMBER(Entry!$D1765),Entry!$D1765&gt;=0,Entry!$D1765&lt;1),RIGHT("00"&amp;HOUR(Entry!$D1765),2)&amp;":"&amp;RIGHT("00"&amp;MINUTE(Entry!$D1765),2),IFERROR(RIGHT("00"&amp;VALUE(TRIM(LEFT(Entry!$D1765,FIND(":",Entry!$D1765)-1))),2)&amp;":"&amp;RIGHT("00"&amp;VALUE(TRIM(MID(Entry!$D1765,FIND(":",Entry!$D1765)+1,2))),2),"نامعتبر")),IF(OR($E1765="",$E1765="نامعتبر"),"","00:00"))</f>
        <v/>
      </c>
      <c r="G1765">
        <f>IF(OR($E1765="",$E1765="نامعتبر"),"",IF(Entry!$E1765="","",LEFT(UPPER(TRIM(Entry!$E1765)),6)))</f>
        <v/>
      </c>
      <c r="H1765">
        <f>IF($G1765="","",RIGHT($E1765,4)&amp;MID($E1765,6,2)&amp;RIGHT($E1765,2)&amp;IF($F1765="","0000",IF($F1765="نامعتبر","9999",LEFT($F1765,2)&amp;RIGHT($F1765,2)))&amp;"|"&amp;RIGHT("00000"&amp;1757,5))</f>
        <v/>
      </c>
      <c r="I1765">
        <f>IF($H1765="","",COUNTIFS(CalcBank,$G1765,CalcKey,"&lt;"&amp;$H1765)+1)</f>
        <v/>
      </c>
      <c r="J1765">
        <f>IF($I1765="","",$G1765&amp;"|"&amp;RIGHT("000000"&amp;$I1765,6))</f>
        <v/>
      </c>
      <c r="K1765">
        <f>IF(OR($E1765="",$E1765="نامعتبر"),"",LEFT($E1765,4)&amp;"/"&amp;MID($E1765,6,2))</f>
        <v/>
      </c>
      <c r="L1765">
        <f>IF(Entry!$K1765="",0,Entry!$K1765)</f>
        <v/>
      </c>
      <c r="M1765">
        <f>IF(Entry!$L1765="",0,Entry!$L1765)</f>
        <v/>
      </c>
    </row>
    <row r="1766">
      <c r="A1766">
        <f>IF(Entry!$C1766="","",Entry!$C1766)</f>
        <v/>
      </c>
      <c r="B1766">
        <f>IF($A1766="","",IF(ISNUMBER($A1766),IF(AND($A1766&gt;=10000101,$A1766&lt;=99991231),INT($A1766/10000),""),IFERROR(VALUE(TRIM(LEFT($A1766,FIND("/",$A1766)-1))),"")))</f>
        <v/>
      </c>
      <c r="C1766">
        <f>IF(OR($A1766="",$B1766=""),"",IF(ISNUMBER($A1766),INT(MOD($A1766,10000)/100),IFERROR(VALUE(TRIM(LEFT(MID($A1766,FIND("/",$A1766)+1,20),FIND("/",MID($A1766,FIND("/",$A1766)+1,20))-1))),"")))</f>
        <v/>
      </c>
      <c r="D1766">
        <f>IF(OR($A1766="",$B1766=""),"",IF(ISNUMBER($A1766),MOD($A1766,100),IFERROR(VALUE(TRIM(MID(MID($A1766,FIND("/",$A1766)+1,20),FIND("/",MID($A1766,FIND("/",$A1766)+1,20))+1,20))),"")))</f>
        <v/>
      </c>
      <c r="E1766">
        <f>IF($A1766="","",IF(OR($B1766="",$C1766="",$D1766="",$B1766&lt;1300,$B1766&gt;1500,$C1766&lt;1,$C1766&gt;12,$D1766&lt;1,$D1766&gt;31),"نامعتبر",RIGHT("0000"&amp;$B1766,4)&amp;"/"&amp;RIGHT("00"&amp;$C1766,2)&amp;"/"&amp;RIGHT("00"&amp;$D1766,2)))</f>
        <v/>
      </c>
      <c r="F1766">
        <f>IF(Entry!$D1766&lt;&gt;"",IF(AND(ISNUMBER(Entry!$D1766),Entry!$D1766&gt;=0,Entry!$D1766&lt;1),RIGHT("00"&amp;HOUR(Entry!$D1766),2)&amp;":"&amp;RIGHT("00"&amp;MINUTE(Entry!$D1766),2),IFERROR(RIGHT("00"&amp;VALUE(TRIM(LEFT(Entry!$D1766,FIND(":",Entry!$D1766)-1))),2)&amp;":"&amp;RIGHT("00"&amp;VALUE(TRIM(MID(Entry!$D1766,FIND(":",Entry!$D1766)+1,2))),2),"نامعتبر")),IF(OR($E1766="",$E1766="نامعتبر"),"","00:00"))</f>
        <v/>
      </c>
      <c r="G1766">
        <f>IF(OR($E1766="",$E1766="نامعتبر"),"",IF(Entry!$E1766="","",LEFT(UPPER(TRIM(Entry!$E1766)),6)))</f>
        <v/>
      </c>
      <c r="H1766">
        <f>IF($G1766="","",RIGHT($E1766,4)&amp;MID($E1766,6,2)&amp;RIGHT($E1766,2)&amp;IF($F1766="","0000",IF($F1766="نامعتبر","9999",LEFT($F1766,2)&amp;RIGHT($F1766,2)))&amp;"|"&amp;RIGHT("00000"&amp;1758,5))</f>
        <v/>
      </c>
      <c r="I1766">
        <f>IF($H1766="","",COUNTIFS(CalcBank,$G1766,CalcKey,"&lt;"&amp;$H1766)+1)</f>
        <v/>
      </c>
      <c r="J1766">
        <f>IF($I1766="","",$G1766&amp;"|"&amp;RIGHT("000000"&amp;$I1766,6))</f>
        <v/>
      </c>
      <c r="K1766">
        <f>IF(OR($E1766="",$E1766="نامعتبر"),"",LEFT($E1766,4)&amp;"/"&amp;MID($E1766,6,2))</f>
        <v/>
      </c>
      <c r="L1766">
        <f>IF(Entry!$K1766="",0,Entry!$K1766)</f>
        <v/>
      </c>
      <c r="M1766">
        <f>IF(Entry!$L1766="",0,Entry!$L1766)</f>
        <v/>
      </c>
    </row>
    <row r="1767">
      <c r="A1767">
        <f>IF(Entry!$C1767="","",Entry!$C1767)</f>
        <v/>
      </c>
      <c r="B1767">
        <f>IF($A1767="","",IF(ISNUMBER($A1767),IF(AND($A1767&gt;=10000101,$A1767&lt;=99991231),INT($A1767/10000),""),IFERROR(VALUE(TRIM(LEFT($A1767,FIND("/",$A1767)-1))),"")))</f>
        <v/>
      </c>
      <c r="C1767">
        <f>IF(OR($A1767="",$B1767=""),"",IF(ISNUMBER($A1767),INT(MOD($A1767,10000)/100),IFERROR(VALUE(TRIM(LEFT(MID($A1767,FIND("/",$A1767)+1,20),FIND("/",MID($A1767,FIND("/",$A1767)+1,20))-1))),"")))</f>
        <v/>
      </c>
      <c r="D1767">
        <f>IF(OR($A1767="",$B1767=""),"",IF(ISNUMBER($A1767),MOD($A1767,100),IFERROR(VALUE(TRIM(MID(MID($A1767,FIND("/",$A1767)+1,20),FIND("/",MID($A1767,FIND("/",$A1767)+1,20))+1,20))),"")))</f>
        <v/>
      </c>
      <c r="E1767">
        <f>IF($A1767="","",IF(OR($B1767="",$C1767="",$D1767="",$B1767&lt;1300,$B1767&gt;1500,$C1767&lt;1,$C1767&gt;12,$D1767&lt;1,$D1767&gt;31),"نامعتبر",RIGHT("0000"&amp;$B1767,4)&amp;"/"&amp;RIGHT("00"&amp;$C1767,2)&amp;"/"&amp;RIGHT("00"&amp;$D1767,2)))</f>
        <v/>
      </c>
      <c r="F1767">
        <f>IF(Entry!$D1767&lt;&gt;"",IF(AND(ISNUMBER(Entry!$D1767),Entry!$D1767&gt;=0,Entry!$D1767&lt;1),RIGHT("00"&amp;HOUR(Entry!$D1767),2)&amp;":"&amp;RIGHT("00"&amp;MINUTE(Entry!$D1767),2),IFERROR(RIGHT("00"&amp;VALUE(TRIM(LEFT(Entry!$D1767,FIND(":",Entry!$D1767)-1))),2)&amp;":"&amp;RIGHT("00"&amp;VALUE(TRIM(MID(Entry!$D1767,FIND(":",Entry!$D1767)+1,2))),2),"نامعتبر")),IF(OR($E1767="",$E1767="نامعتبر"),"","00:00"))</f>
        <v/>
      </c>
      <c r="G1767">
        <f>IF(OR($E1767="",$E1767="نامعتبر"),"",IF(Entry!$E1767="","",LEFT(UPPER(TRIM(Entry!$E1767)),6)))</f>
        <v/>
      </c>
      <c r="H1767">
        <f>IF($G1767="","",RIGHT($E1767,4)&amp;MID($E1767,6,2)&amp;RIGHT($E1767,2)&amp;IF($F1767="","0000",IF($F1767="نامعتبر","9999",LEFT($F1767,2)&amp;RIGHT($F1767,2)))&amp;"|"&amp;RIGHT("00000"&amp;1759,5))</f>
        <v/>
      </c>
      <c r="I1767">
        <f>IF($H1767="","",COUNTIFS(CalcBank,$G1767,CalcKey,"&lt;"&amp;$H1767)+1)</f>
        <v/>
      </c>
      <c r="J1767">
        <f>IF($I1767="","",$G1767&amp;"|"&amp;RIGHT("000000"&amp;$I1767,6))</f>
        <v/>
      </c>
      <c r="K1767">
        <f>IF(OR($E1767="",$E1767="نامعتبر"),"",LEFT($E1767,4)&amp;"/"&amp;MID($E1767,6,2))</f>
        <v/>
      </c>
      <c r="L1767">
        <f>IF(Entry!$K1767="",0,Entry!$K1767)</f>
        <v/>
      </c>
      <c r="M1767">
        <f>IF(Entry!$L1767="",0,Entry!$L1767)</f>
        <v/>
      </c>
    </row>
    <row r="1768">
      <c r="A1768">
        <f>IF(Entry!$C1768="","",Entry!$C1768)</f>
        <v/>
      </c>
      <c r="B1768">
        <f>IF($A1768="","",IF(ISNUMBER($A1768),IF(AND($A1768&gt;=10000101,$A1768&lt;=99991231),INT($A1768/10000),""),IFERROR(VALUE(TRIM(LEFT($A1768,FIND("/",$A1768)-1))),"")))</f>
        <v/>
      </c>
      <c r="C1768">
        <f>IF(OR($A1768="",$B1768=""),"",IF(ISNUMBER($A1768),INT(MOD($A1768,10000)/100),IFERROR(VALUE(TRIM(LEFT(MID($A1768,FIND("/",$A1768)+1,20),FIND("/",MID($A1768,FIND("/",$A1768)+1,20))-1))),"")))</f>
        <v/>
      </c>
      <c r="D1768">
        <f>IF(OR($A1768="",$B1768=""),"",IF(ISNUMBER($A1768),MOD($A1768,100),IFERROR(VALUE(TRIM(MID(MID($A1768,FIND("/",$A1768)+1,20),FIND("/",MID($A1768,FIND("/",$A1768)+1,20))+1,20))),"")))</f>
        <v/>
      </c>
      <c r="E1768">
        <f>IF($A1768="","",IF(OR($B1768="",$C1768="",$D1768="",$B1768&lt;1300,$B1768&gt;1500,$C1768&lt;1,$C1768&gt;12,$D1768&lt;1,$D1768&gt;31),"نامعتبر",RIGHT("0000"&amp;$B1768,4)&amp;"/"&amp;RIGHT("00"&amp;$C1768,2)&amp;"/"&amp;RIGHT("00"&amp;$D1768,2)))</f>
        <v/>
      </c>
      <c r="F1768">
        <f>IF(Entry!$D1768&lt;&gt;"",IF(AND(ISNUMBER(Entry!$D1768),Entry!$D1768&gt;=0,Entry!$D1768&lt;1),RIGHT("00"&amp;HOUR(Entry!$D1768),2)&amp;":"&amp;RIGHT("00"&amp;MINUTE(Entry!$D1768),2),IFERROR(RIGHT("00"&amp;VALUE(TRIM(LEFT(Entry!$D1768,FIND(":",Entry!$D1768)-1))),2)&amp;":"&amp;RIGHT("00"&amp;VALUE(TRIM(MID(Entry!$D1768,FIND(":",Entry!$D1768)+1,2))),2),"نامعتبر")),IF(OR($E1768="",$E1768="نامعتبر"),"","00:00"))</f>
        <v/>
      </c>
      <c r="G1768">
        <f>IF(OR($E1768="",$E1768="نامعتبر"),"",IF(Entry!$E1768="","",LEFT(UPPER(TRIM(Entry!$E1768)),6)))</f>
        <v/>
      </c>
      <c r="H1768">
        <f>IF($G1768="","",RIGHT($E1768,4)&amp;MID($E1768,6,2)&amp;RIGHT($E1768,2)&amp;IF($F1768="","0000",IF($F1768="نامعتبر","9999",LEFT($F1768,2)&amp;RIGHT($F1768,2)))&amp;"|"&amp;RIGHT("00000"&amp;1760,5))</f>
        <v/>
      </c>
      <c r="I1768">
        <f>IF($H1768="","",COUNTIFS(CalcBank,$G1768,CalcKey,"&lt;"&amp;$H1768)+1)</f>
        <v/>
      </c>
      <c r="J1768">
        <f>IF($I1768="","",$G1768&amp;"|"&amp;RIGHT("000000"&amp;$I1768,6))</f>
        <v/>
      </c>
      <c r="K1768">
        <f>IF(OR($E1768="",$E1768="نامعتبر"),"",LEFT($E1768,4)&amp;"/"&amp;MID($E1768,6,2))</f>
        <v/>
      </c>
      <c r="L1768">
        <f>IF(Entry!$K1768="",0,Entry!$K1768)</f>
        <v/>
      </c>
      <c r="M1768">
        <f>IF(Entry!$L1768="",0,Entry!$L1768)</f>
        <v/>
      </c>
    </row>
    <row r="1769">
      <c r="A1769">
        <f>IF(Entry!$C1769="","",Entry!$C1769)</f>
        <v/>
      </c>
      <c r="B1769">
        <f>IF($A1769="","",IF(ISNUMBER($A1769),IF(AND($A1769&gt;=10000101,$A1769&lt;=99991231),INT($A1769/10000),""),IFERROR(VALUE(TRIM(LEFT($A1769,FIND("/",$A1769)-1))),"")))</f>
        <v/>
      </c>
      <c r="C1769">
        <f>IF(OR($A1769="",$B1769=""),"",IF(ISNUMBER($A1769),INT(MOD($A1769,10000)/100),IFERROR(VALUE(TRIM(LEFT(MID($A1769,FIND("/",$A1769)+1,20),FIND("/",MID($A1769,FIND("/",$A1769)+1,20))-1))),"")))</f>
        <v/>
      </c>
      <c r="D1769">
        <f>IF(OR($A1769="",$B1769=""),"",IF(ISNUMBER($A1769),MOD($A1769,100),IFERROR(VALUE(TRIM(MID(MID($A1769,FIND("/",$A1769)+1,20),FIND("/",MID($A1769,FIND("/",$A1769)+1,20))+1,20))),"")))</f>
        <v/>
      </c>
      <c r="E1769">
        <f>IF($A1769="","",IF(OR($B1769="",$C1769="",$D1769="",$B1769&lt;1300,$B1769&gt;1500,$C1769&lt;1,$C1769&gt;12,$D1769&lt;1,$D1769&gt;31),"نامعتبر",RIGHT("0000"&amp;$B1769,4)&amp;"/"&amp;RIGHT("00"&amp;$C1769,2)&amp;"/"&amp;RIGHT("00"&amp;$D1769,2)))</f>
        <v/>
      </c>
      <c r="F1769">
        <f>IF(Entry!$D1769&lt;&gt;"",IF(AND(ISNUMBER(Entry!$D1769),Entry!$D1769&gt;=0,Entry!$D1769&lt;1),RIGHT("00"&amp;HOUR(Entry!$D1769),2)&amp;":"&amp;RIGHT("00"&amp;MINUTE(Entry!$D1769),2),IFERROR(RIGHT("00"&amp;VALUE(TRIM(LEFT(Entry!$D1769,FIND(":",Entry!$D1769)-1))),2)&amp;":"&amp;RIGHT("00"&amp;VALUE(TRIM(MID(Entry!$D1769,FIND(":",Entry!$D1769)+1,2))),2),"نامعتبر")),IF(OR($E1769="",$E1769="نامعتبر"),"","00:00"))</f>
        <v/>
      </c>
      <c r="G1769">
        <f>IF(OR($E1769="",$E1769="نامعتبر"),"",IF(Entry!$E1769="","",LEFT(UPPER(TRIM(Entry!$E1769)),6)))</f>
        <v/>
      </c>
      <c r="H1769">
        <f>IF($G1769="","",RIGHT($E1769,4)&amp;MID($E1769,6,2)&amp;RIGHT($E1769,2)&amp;IF($F1769="","0000",IF($F1769="نامعتبر","9999",LEFT($F1769,2)&amp;RIGHT($F1769,2)))&amp;"|"&amp;RIGHT("00000"&amp;1761,5))</f>
        <v/>
      </c>
      <c r="I1769">
        <f>IF($H1769="","",COUNTIFS(CalcBank,$G1769,CalcKey,"&lt;"&amp;$H1769)+1)</f>
        <v/>
      </c>
      <c r="J1769">
        <f>IF($I1769="","",$G1769&amp;"|"&amp;RIGHT("000000"&amp;$I1769,6))</f>
        <v/>
      </c>
      <c r="K1769">
        <f>IF(OR($E1769="",$E1769="نامعتبر"),"",LEFT($E1769,4)&amp;"/"&amp;MID($E1769,6,2))</f>
        <v/>
      </c>
      <c r="L1769">
        <f>IF(Entry!$K1769="",0,Entry!$K1769)</f>
        <v/>
      </c>
      <c r="M1769">
        <f>IF(Entry!$L1769="",0,Entry!$L1769)</f>
        <v/>
      </c>
    </row>
    <row r="1770">
      <c r="A1770">
        <f>IF(Entry!$C1770="","",Entry!$C1770)</f>
        <v/>
      </c>
      <c r="B1770">
        <f>IF($A1770="","",IF(ISNUMBER($A1770),IF(AND($A1770&gt;=10000101,$A1770&lt;=99991231),INT($A1770/10000),""),IFERROR(VALUE(TRIM(LEFT($A1770,FIND("/",$A1770)-1))),"")))</f>
        <v/>
      </c>
      <c r="C1770">
        <f>IF(OR($A1770="",$B1770=""),"",IF(ISNUMBER($A1770),INT(MOD($A1770,10000)/100),IFERROR(VALUE(TRIM(LEFT(MID($A1770,FIND("/",$A1770)+1,20),FIND("/",MID($A1770,FIND("/",$A1770)+1,20))-1))),"")))</f>
        <v/>
      </c>
      <c r="D1770">
        <f>IF(OR($A1770="",$B1770=""),"",IF(ISNUMBER($A1770),MOD($A1770,100),IFERROR(VALUE(TRIM(MID(MID($A1770,FIND("/",$A1770)+1,20),FIND("/",MID($A1770,FIND("/",$A1770)+1,20))+1,20))),"")))</f>
        <v/>
      </c>
      <c r="E1770">
        <f>IF($A1770="","",IF(OR($B1770="",$C1770="",$D1770="",$B1770&lt;1300,$B1770&gt;1500,$C1770&lt;1,$C1770&gt;12,$D1770&lt;1,$D1770&gt;31),"نامعتبر",RIGHT("0000"&amp;$B1770,4)&amp;"/"&amp;RIGHT("00"&amp;$C1770,2)&amp;"/"&amp;RIGHT("00"&amp;$D1770,2)))</f>
        <v/>
      </c>
      <c r="F1770">
        <f>IF(Entry!$D1770&lt;&gt;"",IF(AND(ISNUMBER(Entry!$D1770),Entry!$D1770&gt;=0,Entry!$D1770&lt;1),RIGHT("00"&amp;HOUR(Entry!$D1770),2)&amp;":"&amp;RIGHT("00"&amp;MINUTE(Entry!$D1770),2),IFERROR(RIGHT("00"&amp;VALUE(TRIM(LEFT(Entry!$D1770,FIND(":",Entry!$D1770)-1))),2)&amp;":"&amp;RIGHT("00"&amp;VALUE(TRIM(MID(Entry!$D1770,FIND(":",Entry!$D1770)+1,2))),2),"نامعتبر")),IF(OR($E1770="",$E1770="نامعتبر"),"","00:00"))</f>
        <v/>
      </c>
      <c r="G1770">
        <f>IF(OR($E1770="",$E1770="نامعتبر"),"",IF(Entry!$E1770="","",LEFT(UPPER(TRIM(Entry!$E1770)),6)))</f>
        <v/>
      </c>
      <c r="H1770">
        <f>IF($G1770="","",RIGHT($E1770,4)&amp;MID($E1770,6,2)&amp;RIGHT($E1770,2)&amp;IF($F1770="","0000",IF($F1770="نامعتبر","9999",LEFT($F1770,2)&amp;RIGHT($F1770,2)))&amp;"|"&amp;RIGHT("00000"&amp;1762,5))</f>
        <v/>
      </c>
      <c r="I1770">
        <f>IF($H1770="","",COUNTIFS(CalcBank,$G1770,CalcKey,"&lt;"&amp;$H1770)+1)</f>
        <v/>
      </c>
      <c r="J1770">
        <f>IF($I1770="","",$G1770&amp;"|"&amp;RIGHT("000000"&amp;$I1770,6))</f>
        <v/>
      </c>
      <c r="K1770">
        <f>IF(OR($E1770="",$E1770="نامعتبر"),"",LEFT($E1770,4)&amp;"/"&amp;MID($E1770,6,2))</f>
        <v/>
      </c>
      <c r="L1770">
        <f>IF(Entry!$K1770="",0,Entry!$K1770)</f>
        <v/>
      </c>
      <c r="M1770">
        <f>IF(Entry!$L1770="",0,Entry!$L1770)</f>
        <v/>
      </c>
    </row>
    <row r="1771">
      <c r="A1771">
        <f>IF(Entry!$C1771="","",Entry!$C1771)</f>
        <v/>
      </c>
      <c r="B1771">
        <f>IF($A1771="","",IF(ISNUMBER($A1771),IF(AND($A1771&gt;=10000101,$A1771&lt;=99991231),INT($A1771/10000),""),IFERROR(VALUE(TRIM(LEFT($A1771,FIND("/",$A1771)-1))),"")))</f>
        <v/>
      </c>
      <c r="C1771">
        <f>IF(OR($A1771="",$B1771=""),"",IF(ISNUMBER($A1771),INT(MOD($A1771,10000)/100),IFERROR(VALUE(TRIM(LEFT(MID($A1771,FIND("/",$A1771)+1,20),FIND("/",MID($A1771,FIND("/",$A1771)+1,20))-1))),"")))</f>
        <v/>
      </c>
      <c r="D1771">
        <f>IF(OR($A1771="",$B1771=""),"",IF(ISNUMBER($A1771),MOD($A1771,100),IFERROR(VALUE(TRIM(MID(MID($A1771,FIND("/",$A1771)+1,20),FIND("/",MID($A1771,FIND("/",$A1771)+1,20))+1,20))),"")))</f>
        <v/>
      </c>
      <c r="E1771">
        <f>IF($A1771="","",IF(OR($B1771="",$C1771="",$D1771="",$B1771&lt;1300,$B1771&gt;1500,$C1771&lt;1,$C1771&gt;12,$D1771&lt;1,$D1771&gt;31),"نامعتبر",RIGHT("0000"&amp;$B1771,4)&amp;"/"&amp;RIGHT("00"&amp;$C1771,2)&amp;"/"&amp;RIGHT("00"&amp;$D1771,2)))</f>
        <v/>
      </c>
      <c r="F1771">
        <f>IF(Entry!$D1771&lt;&gt;"",IF(AND(ISNUMBER(Entry!$D1771),Entry!$D1771&gt;=0,Entry!$D1771&lt;1),RIGHT("00"&amp;HOUR(Entry!$D1771),2)&amp;":"&amp;RIGHT("00"&amp;MINUTE(Entry!$D1771),2),IFERROR(RIGHT("00"&amp;VALUE(TRIM(LEFT(Entry!$D1771,FIND(":",Entry!$D1771)-1))),2)&amp;":"&amp;RIGHT("00"&amp;VALUE(TRIM(MID(Entry!$D1771,FIND(":",Entry!$D1771)+1,2))),2),"نامعتبر")),IF(OR($E1771="",$E1771="نامعتبر"),"","00:00"))</f>
        <v/>
      </c>
      <c r="G1771">
        <f>IF(OR($E1771="",$E1771="نامعتبر"),"",IF(Entry!$E1771="","",LEFT(UPPER(TRIM(Entry!$E1771)),6)))</f>
        <v/>
      </c>
      <c r="H1771">
        <f>IF($G1771="","",RIGHT($E1771,4)&amp;MID($E1771,6,2)&amp;RIGHT($E1771,2)&amp;IF($F1771="","0000",IF($F1771="نامعتبر","9999",LEFT($F1771,2)&amp;RIGHT($F1771,2)))&amp;"|"&amp;RIGHT("00000"&amp;1763,5))</f>
        <v/>
      </c>
      <c r="I1771">
        <f>IF($H1771="","",COUNTIFS(CalcBank,$G1771,CalcKey,"&lt;"&amp;$H1771)+1)</f>
        <v/>
      </c>
      <c r="J1771">
        <f>IF($I1771="","",$G1771&amp;"|"&amp;RIGHT("000000"&amp;$I1771,6))</f>
        <v/>
      </c>
      <c r="K1771">
        <f>IF(OR($E1771="",$E1771="نامعتبر"),"",LEFT($E1771,4)&amp;"/"&amp;MID($E1771,6,2))</f>
        <v/>
      </c>
      <c r="L1771">
        <f>IF(Entry!$K1771="",0,Entry!$K1771)</f>
        <v/>
      </c>
      <c r="M1771">
        <f>IF(Entry!$L1771="",0,Entry!$L1771)</f>
        <v/>
      </c>
    </row>
    <row r="1772">
      <c r="A1772">
        <f>IF(Entry!$C1772="","",Entry!$C1772)</f>
        <v/>
      </c>
      <c r="B1772">
        <f>IF($A1772="","",IF(ISNUMBER($A1772),IF(AND($A1772&gt;=10000101,$A1772&lt;=99991231),INT($A1772/10000),""),IFERROR(VALUE(TRIM(LEFT($A1772,FIND("/",$A1772)-1))),"")))</f>
        <v/>
      </c>
      <c r="C1772">
        <f>IF(OR($A1772="",$B1772=""),"",IF(ISNUMBER($A1772),INT(MOD($A1772,10000)/100),IFERROR(VALUE(TRIM(LEFT(MID($A1772,FIND("/",$A1772)+1,20),FIND("/",MID($A1772,FIND("/",$A1772)+1,20))-1))),"")))</f>
        <v/>
      </c>
      <c r="D1772">
        <f>IF(OR($A1772="",$B1772=""),"",IF(ISNUMBER($A1772),MOD($A1772,100),IFERROR(VALUE(TRIM(MID(MID($A1772,FIND("/",$A1772)+1,20),FIND("/",MID($A1772,FIND("/",$A1772)+1,20))+1,20))),"")))</f>
        <v/>
      </c>
      <c r="E1772">
        <f>IF($A1772="","",IF(OR($B1772="",$C1772="",$D1772="",$B1772&lt;1300,$B1772&gt;1500,$C1772&lt;1,$C1772&gt;12,$D1772&lt;1,$D1772&gt;31),"نامعتبر",RIGHT("0000"&amp;$B1772,4)&amp;"/"&amp;RIGHT("00"&amp;$C1772,2)&amp;"/"&amp;RIGHT("00"&amp;$D1772,2)))</f>
        <v/>
      </c>
      <c r="F1772">
        <f>IF(Entry!$D1772&lt;&gt;"",IF(AND(ISNUMBER(Entry!$D1772),Entry!$D1772&gt;=0,Entry!$D1772&lt;1),RIGHT("00"&amp;HOUR(Entry!$D1772),2)&amp;":"&amp;RIGHT("00"&amp;MINUTE(Entry!$D1772),2),IFERROR(RIGHT("00"&amp;VALUE(TRIM(LEFT(Entry!$D1772,FIND(":",Entry!$D1772)-1))),2)&amp;":"&amp;RIGHT("00"&amp;VALUE(TRIM(MID(Entry!$D1772,FIND(":",Entry!$D1772)+1,2))),2),"نامعتبر")),IF(OR($E1772="",$E1772="نامعتبر"),"","00:00"))</f>
        <v/>
      </c>
      <c r="G1772">
        <f>IF(OR($E1772="",$E1772="نامعتبر"),"",IF(Entry!$E1772="","",LEFT(UPPER(TRIM(Entry!$E1772)),6)))</f>
        <v/>
      </c>
      <c r="H1772">
        <f>IF($G1772="","",RIGHT($E1772,4)&amp;MID($E1772,6,2)&amp;RIGHT($E1772,2)&amp;IF($F1772="","0000",IF($F1772="نامعتبر","9999",LEFT($F1772,2)&amp;RIGHT($F1772,2)))&amp;"|"&amp;RIGHT("00000"&amp;1764,5))</f>
        <v/>
      </c>
      <c r="I1772">
        <f>IF($H1772="","",COUNTIFS(CalcBank,$G1772,CalcKey,"&lt;"&amp;$H1772)+1)</f>
        <v/>
      </c>
      <c r="J1772">
        <f>IF($I1772="","",$G1772&amp;"|"&amp;RIGHT("000000"&amp;$I1772,6))</f>
        <v/>
      </c>
      <c r="K1772">
        <f>IF(OR($E1772="",$E1772="نامعتبر"),"",LEFT($E1772,4)&amp;"/"&amp;MID($E1772,6,2))</f>
        <v/>
      </c>
      <c r="L1772">
        <f>IF(Entry!$K1772="",0,Entry!$K1772)</f>
        <v/>
      </c>
      <c r="M1772">
        <f>IF(Entry!$L1772="",0,Entry!$L1772)</f>
        <v/>
      </c>
    </row>
    <row r="1773">
      <c r="A1773">
        <f>IF(Entry!$C1773="","",Entry!$C1773)</f>
        <v/>
      </c>
      <c r="B1773">
        <f>IF($A1773="","",IF(ISNUMBER($A1773),IF(AND($A1773&gt;=10000101,$A1773&lt;=99991231),INT($A1773/10000),""),IFERROR(VALUE(TRIM(LEFT($A1773,FIND("/",$A1773)-1))),"")))</f>
        <v/>
      </c>
      <c r="C1773">
        <f>IF(OR($A1773="",$B1773=""),"",IF(ISNUMBER($A1773),INT(MOD($A1773,10000)/100),IFERROR(VALUE(TRIM(LEFT(MID($A1773,FIND("/",$A1773)+1,20),FIND("/",MID($A1773,FIND("/",$A1773)+1,20))-1))),"")))</f>
        <v/>
      </c>
      <c r="D1773">
        <f>IF(OR($A1773="",$B1773=""),"",IF(ISNUMBER($A1773),MOD($A1773,100),IFERROR(VALUE(TRIM(MID(MID($A1773,FIND("/",$A1773)+1,20),FIND("/",MID($A1773,FIND("/",$A1773)+1,20))+1,20))),"")))</f>
        <v/>
      </c>
      <c r="E1773">
        <f>IF($A1773="","",IF(OR($B1773="",$C1773="",$D1773="",$B1773&lt;1300,$B1773&gt;1500,$C1773&lt;1,$C1773&gt;12,$D1773&lt;1,$D1773&gt;31),"نامعتبر",RIGHT("0000"&amp;$B1773,4)&amp;"/"&amp;RIGHT("00"&amp;$C1773,2)&amp;"/"&amp;RIGHT("00"&amp;$D1773,2)))</f>
        <v/>
      </c>
      <c r="F1773">
        <f>IF(Entry!$D1773&lt;&gt;"",IF(AND(ISNUMBER(Entry!$D1773),Entry!$D1773&gt;=0,Entry!$D1773&lt;1),RIGHT("00"&amp;HOUR(Entry!$D1773),2)&amp;":"&amp;RIGHT("00"&amp;MINUTE(Entry!$D1773),2),IFERROR(RIGHT("00"&amp;VALUE(TRIM(LEFT(Entry!$D1773,FIND(":",Entry!$D1773)-1))),2)&amp;":"&amp;RIGHT("00"&amp;VALUE(TRIM(MID(Entry!$D1773,FIND(":",Entry!$D1773)+1,2))),2),"نامعتبر")),IF(OR($E1773="",$E1773="نامعتبر"),"","00:00"))</f>
        <v/>
      </c>
      <c r="G1773">
        <f>IF(OR($E1773="",$E1773="نامعتبر"),"",IF(Entry!$E1773="","",LEFT(UPPER(TRIM(Entry!$E1773)),6)))</f>
        <v/>
      </c>
      <c r="H1773">
        <f>IF($G1773="","",RIGHT($E1773,4)&amp;MID($E1773,6,2)&amp;RIGHT($E1773,2)&amp;IF($F1773="","0000",IF($F1773="نامعتبر","9999",LEFT($F1773,2)&amp;RIGHT($F1773,2)))&amp;"|"&amp;RIGHT("00000"&amp;1765,5))</f>
        <v/>
      </c>
      <c r="I1773">
        <f>IF($H1773="","",COUNTIFS(CalcBank,$G1773,CalcKey,"&lt;"&amp;$H1773)+1)</f>
        <v/>
      </c>
      <c r="J1773">
        <f>IF($I1773="","",$G1773&amp;"|"&amp;RIGHT("000000"&amp;$I1773,6))</f>
        <v/>
      </c>
      <c r="K1773">
        <f>IF(OR($E1773="",$E1773="نامعتبر"),"",LEFT($E1773,4)&amp;"/"&amp;MID($E1773,6,2))</f>
        <v/>
      </c>
      <c r="L1773">
        <f>IF(Entry!$K1773="",0,Entry!$K1773)</f>
        <v/>
      </c>
      <c r="M1773">
        <f>IF(Entry!$L1773="",0,Entry!$L1773)</f>
        <v/>
      </c>
    </row>
    <row r="1774">
      <c r="A1774">
        <f>IF(Entry!$C1774="","",Entry!$C1774)</f>
        <v/>
      </c>
      <c r="B1774">
        <f>IF($A1774="","",IF(ISNUMBER($A1774),IF(AND($A1774&gt;=10000101,$A1774&lt;=99991231),INT($A1774/10000),""),IFERROR(VALUE(TRIM(LEFT($A1774,FIND("/",$A1774)-1))),"")))</f>
        <v/>
      </c>
      <c r="C1774">
        <f>IF(OR($A1774="",$B1774=""),"",IF(ISNUMBER($A1774),INT(MOD($A1774,10000)/100),IFERROR(VALUE(TRIM(LEFT(MID($A1774,FIND("/",$A1774)+1,20),FIND("/",MID($A1774,FIND("/",$A1774)+1,20))-1))),"")))</f>
        <v/>
      </c>
      <c r="D1774">
        <f>IF(OR($A1774="",$B1774=""),"",IF(ISNUMBER($A1774),MOD($A1774,100),IFERROR(VALUE(TRIM(MID(MID($A1774,FIND("/",$A1774)+1,20),FIND("/",MID($A1774,FIND("/",$A1774)+1,20))+1,20))),"")))</f>
        <v/>
      </c>
      <c r="E1774">
        <f>IF($A1774="","",IF(OR($B1774="",$C1774="",$D1774="",$B1774&lt;1300,$B1774&gt;1500,$C1774&lt;1,$C1774&gt;12,$D1774&lt;1,$D1774&gt;31),"نامعتبر",RIGHT("0000"&amp;$B1774,4)&amp;"/"&amp;RIGHT("00"&amp;$C1774,2)&amp;"/"&amp;RIGHT("00"&amp;$D1774,2)))</f>
        <v/>
      </c>
      <c r="F1774">
        <f>IF(Entry!$D1774&lt;&gt;"",IF(AND(ISNUMBER(Entry!$D1774),Entry!$D1774&gt;=0,Entry!$D1774&lt;1),RIGHT("00"&amp;HOUR(Entry!$D1774),2)&amp;":"&amp;RIGHT("00"&amp;MINUTE(Entry!$D1774),2),IFERROR(RIGHT("00"&amp;VALUE(TRIM(LEFT(Entry!$D1774,FIND(":",Entry!$D1774)-1))),2)&amp;":"&amp;RIGHT("00"&amp;VALUE(TRIM(MID(Entry!$D1774,FIND(":",Entry!$D1774)+1,2))),2),"نامعتبر")),IF(OR($E1774="",$E1774="نامعتبر"),"","00:00"))</f>
        <v/>
      </c>
      <c r="G1774">
        <f>IF(OR($E1774="",$E1774="نامعتبر"),"",IF(Entry!$E1774="","",LEFT(UPPER(TRIM(Entry!$E1774)),6)))</f>
        <v/>
      </c>
      <c r="H1774">
        <f>IF($G1774="","",RIGHT($E1774,4)&amp;MID($E1774,6,2)&amp;RIGHT($E1774,2)&amp;IF($F1774="","0000",IF($F1774="نامعتبر","9999",LEFT($F1774,2)&amp;RIGHT($F1774,2)))&amp;"|"&amp;RIGHT("00000"&amp;1766,5))</f>
        <v/>
      </c>
      <c r="I1774">
        <f>IF($H1774="","",COUNTIFS(CalcBank,$G1774,CalcKey,"&lt;"&amp;$H1774)+1)</f>
        <v/>
      </c>
      <c r="J1774">
        <f>IF($I1774="","",$G1774&amp;"|"&amp;RIGHT("000000"&amp;$I1774,6))</f>
        <v/>
      </c>
      <c r="K1774">
        <f>IF(OR($E1774="",$E1774="نامعتبر"),"",LEFT($E1774,4)&amp;"/"&amp;MID($E1774,6,2))</f>
        <v/>
      </c>
      <c r="L1774">
        <f>IF(Entry!$K1774="",0,Entry!$K1774)</f>
        <v/>
      </c>
      <c r="M1774">
        <f>IF(Entry!$L1774="",0,Entry!$L1774)</f>
        <v/>
      </c>
    </row>
    <row r="1775">
      <c r="A1775">
        <f>IF(Entry!$C1775="","",Entry!$C1775)</f>
        <v/>
      </c>
      <c r="B1775">
        <f>IF($A1775="","",IF(ISNUMBER($A1775),IF(AND($A1775&gt;=10000101,$A1775&lt;=99991231),INT($A1775/10000),""),IFERROR(VALUE(TRIM(LEFT($A1775,FIND("/",$A1775)-1))),"")))</f>
        <v/>
      </c>
      <c r="C1775">
        <f>IF(OR($A1775="",$B1775=""),"",IF(ISNUMBER($A1775),INT(MOD($A1775,10000)/100),IFERROR(VALUE(TRIM(LEFT(MID($A1775,FIND("/",$A1775)+1,20),FIND("/",MID($A1775,FIND("/",$A1775)+1,20))-1))),"")))</f>
        <v/>
      </c>
      <c r="D1775">
        <f>IF(OR($A1775="",$B1775=""),"",IF(ISNUMBER($A1775),MOD($A1775,100),IFERROR(VALUE(TRIM(MID(MID($A1775,FIND("/",$A1775)+1,20),FIND("/",MID($A1775,FIND("/",$A1775)+1,20))+1,20))),"")))</f>
        <v/>
      </c>
      <c r="E1775">
        <f>IF($A1775="","",IF(OR($B1775="",$C1775="",$D1775="",$B1775&lt;1300,$B1775&gt;1500,$C1775&lt;1,$C1775&gt;12,$D1775&lt;1,$D1775&gt;31),"نامعتبر",RIGHT("0000"&amp;$B1775,4)&amp;"/"&amp;RIGHT("00"&amp;$C1775,2)&amp;"/"&amp;RIGHT("00"&amp;$D1775,2)))</f>
        <v/>
      </c>
      <c r="F1775">
        <f>IF(Entry!$D1775&lt;&gt;"",IF(AND(ISNUMBER(Entry!$D1775),Entry!$D1775&gt;=0,Entry!$D1775&lt;1),RIGHT("00"&amp;HOUR(Entry!$D1775),2)&amp;":"&amp;RIGHT("00"&amp;MINUTE(Entry!$D1775),2),IFERROR(RIGHT("00"&amp;VALUE(TRIM(LEFT(Entry!$D1775,FIND(":",Entry!$D1775)-1))),2)&amp;":"&amp;RIGHT("00"&amp;VALUE(TRIM(MID(Entry!$D1775,FIND(":",Entry!$D1775)+1,2))),2),"نامعتبر")),IF(OR($E1775="",$E1775="نامعتبر"),"","00:00"))</f>
        <v/>
      </c>
      <c r="G1775">
        <f>IF(OR($E1775="",$E1775="نامعتبر"),"",IF(Entry!$E1775="","",LEFT(UPPER(TRIM(Entry!$E1775)),6)))</f>
        <v/>
      </c>
      <c r="H1775">
        <f>IF($G1775="","",RIGHT($E1775,4)&amp;MID($E1775,6,2)&amp;RIGHT($E1775,2)&amp;IF($F1775="","0000",IF($F1775="نامعتبر","9999",LEFT($F1775,2)&amp;RIGHT($F1775,2)))&amp;"|"&amp;RIGHT("00000"&amp;1767,5))</f>
        <v/>
      </c>
      <c r="I1775">
        <f>IF($H1775="","",COUNTIFS(CalcBank,$G1775,CalcKey,"&lt;"&amp;$H1775)+1)</f>
        <v/>
      </c>
      <c r="J1775">
        <f>IF($I1775="","",$G1775&amp;"|"&amp;RIGHT("000000"&amp;$I1775,6))</f>
        <v/>
      </c>
      <c r="K1775">
        <f>IF(OR($E1775="",$E1775="نامعتبر"),"",LEFT($E1775,4)&amp;"/"&amp;MID($E1775,6,2))</f>
        <v/>
      </c>
      <c r="L1775">
        <f>IF(Entry!$K1775="",0,Entry!$K1775)</f>
        <v/>
      </c>
      <c r="M1775">
        <f>IF(Entry!$L1775="",0,Entry!$L1775)</f>
        <v/>
      </c>
    </row>
    <row r="1776">
      <c r="A1776">
        <f>IF(Entry!$C1776="","",Entry!$C1776)</f>
        <v/>
      </c>
      <c r="B1776">
        <f>IF($A1776="","",IF(ISNUMBER($A1776),IF(AND($A1776&gt;=10000101,$A1776&lt;=99991231),INT($A1776/10000),""),IFERROR(VALUE(TRIM(LEFT($A1776,FIND("/",$A1776)-1))),"")))</f>
        <v/>
      </c>
      <c r="C1776">
        <f>IF(OR($A1776="",$B1776=""),"",IF(ISNUMBER($A1776),INT(MOD($A1776,10000)/100),IFERROR(VALUE(TRIM(LEFT(MID($A1776,FIND("/",$A1776)+1,20),FIND("/",MID($A1776,FIND("/",$A1776)+1,20))-1))),"")))</f>
        <v/>
      </c>
      <c r="D1776">
        <f>IF(OR($A1776="",$B1776=""),"",IF(ISNUMBER($A1776),MOD($A1776,100),IFERROR(VALUE(TRIM(MID(MID($A1776,FIND("/",$A1776)+1,20),FIND("/",MID($A1776,FIND("/",$A1776)+1,20))+1,20))),"")))</f>
        <v/>
      </c>
      <c r="E1776">
        <f>IF($A1776="","",IF(OR($B1776="",$C1776="",$D1776="",$B1776&lt;1300,$B1776&gt;1500,$C1776&lt;1,$C1776&gt;12,$D1776&lt;1,$D1776&gt;31),"نامعتبر",RIGHT("0000"&amp;$B1776,4)&amp;"/"&amp;RIGHT("00"&amp;$C1776,2)&amp;"/"&amp;RIGHT("00"&amp;$D1776,2)))</f>
        <v/>
      </c>
      <c r="F1776">
        <f>IF(Entry!$D1776&lt;&gt;"",IF(AND(ISNUMBER(Entry!$D1776),Entry!$D1776&gt;=0,Entry!$D1776&lt;1),RIGHT("00"&amp;HOUR(Entry!$D1776),2)&amp;":"&amp;RIGHT("00"&amp;MINUTE(Entry!$D1776),2),IFERROR(RIGHT("00"&amp;VALUE(TRIM(LEFT(Entry!$D1776,FIND(":",Entry!$D1776)-1))),2)&amp;":"&amp;RIGHT("00"&amp;VALUE(TRIM(MID(Entry!$D1776,FIND(":",Entry!$D1776)+1,2))),2),"نامعتبر")),IF(OR($E1776="",$E1776="نامعتبر"),"","00:00"))</f>
        <v/>
      </c>
      <c r="G1776">
        <f>IF(OR($E1776="",$E1776="نامعتبر"),"",IF(Entry!$E1776="","",LEFT(UPPER(TRIM(Entry!$E1776)),6)))</f>
        <v/>
      </c>
      <c r="H1776">
        <f>IF($G1776="","",RIGHT($E1776,4)&amp;MID($E1776,6,2)&amp;RIGHT($E1776,2)&amp;IF($F1776="","0000",IF($F1776="نامعتبر","9999",LEFT($F1776,2)&amp;RIGHT($F1776,2)))&amp;"|"&amp;RIGHT("00000"&amp;1768,5))</f>
        <v/>
      </c>
      <c r="I1776">
        <f>IF($H1776="","",COUNTIFS(CalcBank,$G1776,CalcKey,"&lt;"&amp;$H1776)+1)</f>
        <v/>
      </c>
      <c r="J1776">
        <f>IF($I1776="","",$G1776&amp;"|"&amp;RIGHT("000000"&amp;$I1776,6))</f>
        <v/>
      </c>
      <c r="K1776">
        <f>IF(OR($E1776="",$E1776="نامعتبر"),"",LEFT($E1776,4)&amp;"/"&amp;MID($E1776,6,2))</f>
        <v/>
      </c>
      <c r="L1776">
        <f>IF(Entry!$K1776="",0,Entry!$K1776)</f>
        <v/>
      </c>
      <c r="M1776">
        <f>IF(Entry!$L1776="",0,Entry!$L1776)</f>
        <v/>
      </c>
    </row>
    <row r="1777">
      <c r="A1777">
        <f>IF(Entry!$C1777="","",Entry!$C1777)</f>
        <v/>
      </c>
      <c r="B1777">
        <f>IF($A1777="","",IF(ISNUMBER($A1777),IF(AND($A1777&gt;=10000101,$A1777&lt;=99991231),INT($A1777/10000),""),IFERROR(VALUE(TRIM(LEFT($A1777,FIND("/",$A1777)-1))),"")))</f>
        <v/>
      </c>
      <c r="C1777">
        <f>IF(OR($A1777="",$B1777=""),"",IF(ISNUMBER($A1777),INT(MOD($A1777,10000)/100),IFERROR(VALUE(TRIM(LEFT(MID($A1777,FIND("/",$A1777)+1,20),FIND("/",MID($A1777,FIND("/",$A1777)+1,20))-1))),"")))</f>
        <v/>
      </c>
      <c r="D1777">
        <f>IF(OR($A1777="",$B1777=""),"",IF(ISNUMBER($A1777),MOD($A1777,100),IFERROR(VALUE(TRIM(MID(MID($A1777,FIND("/",$A1777)+1,20),FIND("/",MID($A1777,FIND("/",$A1777)+1,20))+1,20))),"")))</f>
        <v/>
      </c>
      <c r="E1777">
        <f>IF($A1777="","",IF(OR($B1777="",$C1777="",$D1777="",$B1777&lt;1300,$B1777&gt;1500,$C1777&lt;1,$C1777&gt;12,$D1777&lt;1,$D1777&gt;31),"نامعتبر",RIGHT("0000"&amp;$B1777,4)&amp;"/"&amp;RIGHT("00"&amp;$C1777,2)&amp;"/"&amp;RIGHT("00"&amp;$D1777,2)))</f>
        <v/>
      </c>
      <c r="F1777">
        <f>IF(Entry!$D1777&lt;&gt;"",IF(AND(ISNUMBER(Entry!$D1777),Entry!$D1777&gt;=0,Entry!$D1777&lt;1),RIGHT("00"&amp;HOUR(Entry!$D1777),2)&amp;":"&amp;RIGHT("00"&amp;MINUTE(Entry!$D1777),2),IFERROR(RIGHT("00"&amp;VALUE(TRIM(LEFT(Entry!$D1777,FIND(":",Entry!$D1777)-1))),2)&amp;":"&amp;RIGHT("00"&amp;VALUE(TRIM(MID(Entry!$D1777,FIND(":",Entry!$D1777)+1,2))),2),"نامعتبر")),IF(OR($E1777="",$E1777="نامعتبر"),"","00:00"))</f>
        <v/>
      </c>
      <c r="G1777">
        <f>IF(OR($E1777="",$E1777="نامعتبر"),"",IF(Entry!$E1777="","",LEFT(UPPER(TRIM(Entry!$E1777)),6)))</f>
        <v/>
      </c>
      <c r="H1777">
        <f>IF($G1777="","",RIGHT($E1777,4)&amp;MID($E1777,6,2)&amp;RIGHT($E1777,2)&amp;IF($F1777="","0000",IF($F1777="نامعتبر","9999",LEFT($F1777,2)&amp;RIGHT($F1777,2)))&amp;"|"&amp;RIGHT("00000"&amp;1769,5))</f>
        <v/>
      </c>
      <c r="I1777">
        <f>IF($H1777="","",COUNTIFS(CalcBank,$G1777,CalcKey,"&lt;"&amp;$H1777)+1)</f>
        <v/>
      </c>
      <c r="J1777">
        <f>IF($I1777="","",$G1777&amp;"|"&amp;RIGHT("000000"&amp;$I1777,6))</f>
        <v/>
      </c>
      <c r="K1777">
        <f>IF(OR($E1777="",$E1777="نامعتبر"),"",LEFT($E1777,4)&amp;"/"&amp;MID($E1777,6,2))</f>
        <v/>
      </c>
      <c r="L1777">
        <f>IF(Entry!$K1777="",0,Entry!$K1777)</f>
        <v/>
      </c>
      <c r="M1777">
        <f>IF(Entry!$L1777="",0,Entry!$L1777)</f>
        <v/>
      </c>
    </row>
    <row r="1778">
      <c r="A1778">
        <f>IF(Entry!$C1778="","",Entry!$C1778)</f>
        <v/>
      </c>
      <c r="B1778">
        <f>IF($A1778="","",IF(ISNUMBER($A1778),IF(AND($A1778&gt;=10000101,$A1778&lt;=99991231),INT($A1778/10000),""),IFERROR(VALUE(TRIM(LEFT($A1778,FIND("/",$A1778)-1))),"")))</f>
        <v/>
      </c>
      <c r="C1778">
        <f>IF(OR($A1778="",$B1778=""),"",IF(ISNUMBER($A1778),INT(MOD($A1778,10000)/100),IFERROR(VALUE(TRIM(LEFT(MID($A1778,FIND("/",$A1778)+1,20),FIND("/",MID($A1778,FIND("/",$A1778)+1,20))-1))),"")))</f>
        <v/>
      </c>
      <c r="D1778">
        <f>IF(OR($A1778="",$B1778=""),"",IF(ISNUMBER($A1778),MOD($A1778,100),IFERROR(VALUE(TRIM(MID(MID($A1778,FIND("/",$A1778)+1,20),FIND("/",MID($A1778,FIND("/",$A1778)+1,20))+1,20))),"")))</f>
        <v/>
      </c>
      <c r="E1778">
        <f>IF($A1778="","",IF(OR($B1778="",$C1778="",$D1778="",$B1778&lt;1300,$B1778&gt;1500,$C1778&lt;1,$C1778&gt;12,$D1778&lt;1,$D1778&gt;31),"نامعتبر",RIGHT("0000"&amp;$B1778,4)&amp;"/"&amp;RIGHT("00"&amp;$C1778,2)&amp;"/"&amp;RIGHT("00"&amp;$D1778,2)))</f>
        <v/>
      </c>
      <c r="F1778">
        <f>IF(Entry!$D1778&lt;&gt;"",IF(AND(ISNUMBER(Entry!$D1778),Entry!$D1778&gt;=0,Entry!$D1778&lt;1),RIGHT("00"&amp;HOUR(Entry!$D1778),2)&amp;":"&amp;RIGHT("00"&amp;MINUTE(Entry!$D1778),2),IFERROR(RIGHT("00"&amp;VALUE(TRIM(LEFT(Entry!$D1778,FIND(":",Entry!$D1778)-1))),2)&amp;":"&amp;RIGHT("00"&amp;VALUE(TRIM(MID(Entry!$D1778,FIND(":",Entry!$D1778)+1,2))),2),"نامعتبر")),IF(OR($E1778="",$E1778="نامعتبر"),"","00:00"))</f>
        <v/>
      </c>
      <c r="G1778">
        <f>IF(OR($E1778="",$E1778="نامعتبر"),"",IF(Entry!$E1778="","",LEFT(UPPER(TRIM(Entry!$E1778)),6)))</f>
        <v/>
      </c>
      <c r="H1778">
        <f>IF($G1778="","",RIGHT($E1778,4)&amp;MID($E1778,6,2)&amp;RIGHT($E1778,2)&amp;IF($F1778="","0000",IF($F1778="نامعتبر","9999",LEFT($F1778,2)&amp;RIGHT($F1778,2)))&amp;"|"&amp;RIGHT("00000"&amp;1770,5))</f>
        <v/>
      </c>
      <c r="I1778">
        <f>IF($H1778="","",COUNTIFS(CalcBank,$G1778,CalcKey,"&lt;"&amp;$H1778)+1)</f>
        <v/>
      </c>
      <c r="J1778">
        <f>IF($I1778="","",$G1778&amp;"|"&amp;RIGHT("000000"&amp;$I1778,6))</f>
        <v/>
      </c>
      <c r="K1778">
        <f>IF(OR($E1778="",$E1778="نامعتبر"),"",LEFT($E1778,4)&amp;"/"&amp;MID($E1778,6,2))</f>
        <v/>
      </c>
      <c r="L1778">
        <f>IF(Entry!$K1778="",0,Entry!$K1778)</f>
        <v/>
      </c>
      <c r="M1778">
        <f>IF(Entry!$L1778="",0,Entry!$L1778)</f>
        <v/>
      </c>
    </row>
    <row r="1779">
      <c r="A1779">
        <f>IF(Entry!$C1779="","",Entry!$C1779)</f>
        <v/>
      </c>
      <c r="B1779">
        <f>IF($A1779="","",IF(ISNUMBER($A1779),IF(AND($A1779&gt;=10000101,$A1779&lt;=99991231),INT($A1779/10000),""),IFERROR(VALUE(TRIM(LEFT($A1779,FIND("/",$A1779)-1))),"")))</f>
        <v/>
      </c>
      <c r="C1779">
        <f>IF(OR($A1779="",$B1779=""),"",IF(ISNUMBER($A1779),INT(MOD($A1779,10000)/100),IFERROR(VALUE(TRIM(LEFT(MID($A1779,FIND("/",$A1779)+1,20),FIND("/",MID($A1779,FIND("/",$A1779)+1,20))-1))),"")))</f>
        <v/>
      </c>
      <c r="D1779">
        <f>IF(OR($A1779="",$B1779=""),"",IF(ISNUMBER($A1779),MOD($A1779,100),IFERROR(VALUE(TRIM(MID(MID($A1779,FIND("/",$A1779)+1,20),FIND("/",MID($A1779,FIND("/",$A1779)+1,20))+1,20))),"")))</f>
        <v/>
      </c>
      <c r="E1779">
        <f>IF($A1779="","",IF(OR($B1779="",$C1779="",$D1779="",$B1779&lt;1300,$B1779&gt;1500,$C1779&lt;1,$C1779&gt;12,$D1779&lt;1,$D1779&gt;31),"نامعتبر",RIGHT("0000"&amp;$B1779,4)&amp;"/"&amp;RIGHT("00"&amp;$C1779,2)&amp;"/"&amp;RIGHT("00"&amp;$D1779,2)))</f>
        <v/>
      </c>
      <c r="F1779">
        <f>IF(Entry!$D1779&lt;&gt;"",IF(AND(ISNUMBER(Entry!$D1779),Entry!$D1779&gt;=0,Entry!$D1779&lt;1),RIGHT("00"&amp;HOUR(Entry!$D1779),2)&amp;":"&amp;RIGHT("00"&amp;MINUTE(Entry!$D1779),2),IFERROR(RIGHT("00"&amp;VALUE(TRIM(LEFT(Entry!$D1779,FIND(":",Entry!$D1779)-1))),2)&amp;":"&amp;RIGHT("00"&amp;VALUE(TRIM(MID(Entry!$D1779,FIND(":",Entry!$D1779)+1,2))),2),"نامعتبر")),IF(OR($E1779="",$E1779="نامعتبر"),"","00:00"))</f>
        <v/>
      </c>
      <c r="G1779">
        <f>IF(OR($E1779="",$E1779="نامعتبر"),"",IF(Entry!$E1779="","",LEFT(UPPER(TRIM(Entry!$E1779)),6)))</f>
        <v/>
      </c>
      <c r="H1779">
        <f>IF($G1779="","",RIGHT($E1779,4)&amp;MID($E1779,6,2)&amp;RIGHT($E1779,2)&amp;IF($F1779="","0000",IF($F1779="نامعتبر","9999",LEFT($F1779,2)&amp;RIGHT($F1779,2)))&amp;"|"&amp;RIGHT("00000"&amp;1771,5))</f>
        <v/>
      </c>
      <c r="I1779">
        <f>IF($H1779="","",COUNTIFS(CalcBank,$G1779,CalcKey,"&lt;"&amp;$H1779)+1)</f>
        <v/>
      </c>
      <c r="J1779">
        <f>IF($I1779="","",$G1779&amp;"|"&amp;RIGHT("000000"&amp;$I1779,6))</f>
        <v/>
      </c>
      <c r="K1779">
        <f>IF(OR($E1779="",$E1779="نامعتبر"),"",LEFT($E1779,4)&amp;"/"&amp;MID($E1779,6,2))</f>
        <v/>
      </c>
      <c r="L1779">
        <f>IF(Entry!$K1779="",0,Entry!$K1779)</f>
        <v/>
      </c>
      <c r="M1779">
        <f>IF(Entry!$L1779="",0,Entry!$L1779)</f>
        <v/>
      </c>
    </row>
    <row r="1780">
      <c r="A1780">
        <f>IF(Entry!$C1780="","",Entry!$C1780)</f>
        <v/>
      </c>
      <c r="B1780">
        <f>IF($A1780="","",IF(ISNUMBER($A1780),IF(AND($A1780&gt;=10000101,$A1780&lt;=99991231),INT($A1780/10000),""),IFERROR(VALUE(TRIM(LEFT($A1780,FIND("/",$A1780)-1))),"")))</f>
        <v/>
      </c>
      <c r="C1780">
        <f>IF(OR($A1780="",$B1780=""),"",IF(ISNUMBER($A1780),INT(MOD($A1780,10000)/100),IFERROR(VALUE(TRIM(LEFT(MID($A1780,FIND("/",$A1780)+1,20),FIND("/",MID($A1780,FIND("/",$A1780)+1,20))-1))),"")))</f>
        <v/>
      </c>
      <c r="D1780">
        <f>IF(OR($A1780="",$B1780=""),"",IF(ISNUMBER($A1780),MOD($A1780,100),IFERROR(VALUE(TRIM(MID(MID($A1780,FIND("/",$A1780)+1,20),FIND("/",MID($A1780,FIND("/",$A1780)+1,20))+1,20))),"")))</f>
        <v/>
      </c>
      <c r="E1780">
        <f>IF($A1780="","",IF(OR($B1780="",$C1780="",$D1780="",$B1780&lt;1300,$B1780&gt;1500,$C1780&lt;1,$C1780&gt;12,$D1780&lt;1,$D1780&gt;31),"نامعتبر",RIGHT("0000"&amp;$B1780,4)&amp;"/"&amp;RIGHT("00"&amp;$C1780,2)&amp;"/"&amp;RIGHT("00"&amp;$D1780,2)))</f>
        <v/>
      </c>
      <c r="F1780">
        <f>IF(Entry!$D1780&lt;&gt;"",IF(AND(ISNUMBER(Entry!$D1780),Entry!$D1780&gt;=0,Entry!$D1780&lt;1),RIGHT("00"&amp;HOUR(Entry!$D1780),2)&amp;":"&amp;RIGHT("00"&amp;MINUTE(Entry!$D1780),2),IFERROR(RIGHT("00"&amp;VALUE(TRIM(LEFT(Entry!$D1780,FIND(":",Entry!$D1780)-1))),2)&amp;":"&amp;RIGHT("00"&amp;VALUE(TRIM(MID(Entry!$D1780,FIND(":",Entry!$D1780)+1,2))),2),"نامعتبر")),IF(OR($E1780="",$E1780="نامعتبر"),"","00:00"))</f>
        <v/>
      </c>
      <c r="G1780">
        <f>IF(OR($E1780="",$E1780="نامعتبر"),"",IF(Entry!$E1780="","",LEFT(UPPER(TRIM(Entry!$E1780)),6)))</f>
        <v/>
      </c>
      <c r="H1780">
        <f>IF($G1780="","",RIGHT($E1780,4)&amp;MID($E1780,6,2)&amp;RIGHT($E1780,2)&amp;IF($F1780="","0000",IF($F1780="نامعتبر","9999",LEFT($F1780,2)&amp;RIGHT($F1780,2)))&amp;"|"&amp;RIGHT("00000"&amp;1772,5))</f>
        <v/>
      </c>
      <c r="I1780">
        <f>IF($H1780="","",COUNTIFS(CalcBank,$G1780,CalcKey,"&lt;"&amp;$H1780)+1)</f>
        <v/>
      </c>
      <c r="J1780">
        <f>IF($I1780="","",$G1780&amp;"|"&amp;RIGHT("000000"&amp;$I1780,6))</f>
        <v/>
      </c>
      <c r="K1780">
        <f>IF(OR($E1780="",$E1780="نامعتبر"),"",LEFT($E1780,4)&amp;"/"&amp;MID($E1780,6,2))</f>
        <v/>
      </c>
      <c r="L1780">
        <f>IF(Entry!$K1780="",0,Entry!$K1780)</f>
        <v/>
      </c>
      <c r="M1780">
        <f>IF(Entry!$L1780="",0,Entry!$L1780)</f>
        <v/>
      </c>
    </row>
    <row r="1781">
      <c r="A1781">
        <f>IF(Entry!$C1781="","",Entry!$C1781)</f>
        <v/>
      </c>
      <c r="B1781">
        <f>IF($A1781="","",IF(ISNUMBER($A1781),IF(AND($A1781&gt;=10000101,$A1781&lt;=99991231),INT($A1781/10000),""),IFERROR(VALUE(TRIM(LEFT($A1781,FIND("/",$A1781)-1))),"")))</f>
        <v/>
      </c>
      <c r="C1781">
        <f>IF(OR($A1781="",$B1781=""),"",IF(ISNUMBER($A1781),INT(MOD($A1781,10000)/100),IFERROR(VALUE(TRIM(LEFT(MID($A1781,FIND("/",$A1781)+1,20),FIND("/",MID($A1781,FIND("/",$A1781)+1,20))-1))),"")))</f>
        <v/>
      </c>
      <c r="D1781">
        <f>IF(OR($A1781="",$B1781=""),"",IF(ISNUMBER($A1781),MOD($A1781,100),IFERROR(VALUE(TRIM(MID(MID($A1781,FIND("/",$A1781)+1,20),FIND("/",MID($A1781,FIND("/",$A1781)+1,20))+1,20))),"")))</f>
        <v/>
      </c>
      <c r="E1781">
        <f>IF($A1781="","",IF(OR($B1781="",$C1781="",$D1781="",$B1781&lt;1300,$B1781&gt;1500,$C1781&lt;1,$C1781&gt;12,$D1781&lt;1,$D1781&gt;31),"نامعتبر",RIGHT("0000"&amp;$B1781,4)&amp;"/"&amp;RIGHT("00"&amp;$C1781,2)&amp;"/"&amp;RIGHT("00"&amp;$D1781,2)))</f>
        <v/>
      </c>
      <c r="F1781">
        <f>IF(Entry!$D1781&lt;&gt;"",IF(AND(ISNUMBER(Entry!$D1781),Entry!$D1781&gt;=0,Entry!$D1781&lt;1),RIGHT("00"&amp;HOUR(Entry!$D1781),2)&amp;":"&amp;RIGHT("00"&amp;MINUTE(Entry!$D1781),2),IFERROR(RIGHT("00"&amp;VALUE(TRIM(LEFT(Entry!$D1781,FIND(":",Entry!$D1781)-1))),2)&amp;":"&amp;RIGHT("00"&amp;VALUE(TRIM(MID(Entry!$D1781,FIND(":",Entry!$D1781)+1,2))),2),"نامعتبر")),IF(OR($E1781="",$E1781="نامعتبر"),"","00:00"))</f>
        <v/>
      </c>
      <c r="G1781">
        <f>IF(OR($E1781="",$E1781="نامعتبر"),"",IF(Entry!$E1781="","",LEFT(UPPER(TRIM(Entry!$E1781)),6)))</f>
        <v/>
      </c>
      <c r="H1781">
        <f>IF($G1781="","",RIGHT($E1781,4)&amp;MID($E1781,6,2)&amp;RIGHT($E1781,2)&amp;IF($F1781="","0000",IF($F1781="نامعتبر","9999",LEFT($F1781,2)&amp;RIGHT($F1781,2)))&amp;"|"&amp;RIGHT("00000"&amp;1773,5))</f>
        <v/>
      </c>
      <c r="I1781">
        <f>IF($H1781="","",COUNTIFS(CalcBank,$G1781,CalcKey,"&lt;"&amp;$H1781)+1)</f>
        <v/>
      </c>
      <c r="J1781">
        <f>IF($I1781="","",$G1781&amp;"|"&amp;RIGHT("000000"&amp;$I1781,6))</f>
        <v/>
      </c>
      <c r="K1781">
        <f>IF(OR($E1781="",$E1781="نامعتبر"),"",LEFT($E1781,4)&amp;"/"&amp;MID($E1781,6,2))</f>
        <v/>
      </c>
      <c r="L1781">
        <f>IF(Entry!$K1781="",0,Entry!$K1781)</f>
        <v/>
      </c>
      <c r="M1781">
        <f>IF(Entry!$L1781="",0,Entry!$L1781)</f>
        <v/>
      </c>
    </row>
    <row r="1782">
      <c r="A1782">
        <f>IF(Entry!$C1782="","",Entry!$C1782)</f>
        <v/>
      </c>
      <c r="B1782">
        <f>IF($A1782="","",IF(ISNUMBER($A1782),IF(AND($A1782&gt;=10000101,$A1782&lt;=99991231),INT($A1782/10000),""),IFERROR(VALUE(TRIM(LEFT($A1782,FIND("/",$A1782)-1))),"")))</f>
        <v/>
      </c>
      <c r="C1782">
        <f>IF(OR($A1782="",$B1782=""),"",IF(ISNUMBER($A1782),INT(MOD($A1782,10000)/100),IFERROR(VALUE(TRIM(LEFT(MID($A1782,FIND("/",$A1782)+1,20),FIND("/",MID($A1782,FIND("/",$A1782)+1,20))-1))),"")))</f>
        <v/>
      </c>
      <c r="D1782">
        <f>IF(OR($A1782="",$B1782=""),"",IF(ISNUMBER($A1782),MOD($A1782,100),IFERROR(VALUE(TRIM(MID(MID($A1782,FIND("/",$A1782)+1,20),FIND("/",MID($A1782,FIND("/",$A1782)+1,20))+1,20))),"")))</f>
        <v/>
      </c>
      <c r="E1782">
        <f>IF($A1782="","",IF(OR($B1782="",$C1782="",$D1782="",$B1782&lt;1300,$B1782&gt;1500,$C1782&lt;1,$C1782&gt;12,$D1782&lt;1,$D1782&gt;31),"نامعتبر",RIGHT("0000"&amp;$B1782,4)&amp;"/"&amp;RIGHT("00"&amp;$C1782,2)&amp;"/"&amp;RIGHT("00"&amp;$D1782,2)))</f>
        <v/>
      </c>
      <c r="F1782">
        <f>IF(Entry!$D1782&lt;&gt;"",IF(AND(ISNUMBER(Entry!$D1782),Entry!$D1782&gt;=0,Entry!$D1782&lt;1),RIGHT("00"&amp;HOUR(Entry!$D1782),2)&amp;":"&amp;RIGHT("00"&amp;MINUTE(Entry!$D1782),2),IFERROR(RIGHT("00"&amp;VALUE(TRIM(LEFT(Entry!$D1782,FIND(":",Entry!$D1782)-1))),2)&amp;":"&amp;RIGHT("00"&amp;VALUE(TRIM(MID(Entry!$D1782,FIND(":",Entry!$D1782)+1,2))),2),"نامعتبر")),IF(OR($E1782="",$E1782="نامعتبر"),"","00:00"))</f>
        <v/>
      </c>
      <c r="G1782">
        <f>IF(OR($E1782="",$E1782="نامعتبر"),"",IF(Entry!$E1782="","",LEFT(UPPER(TRIM(Entry!$E1782)),6)))</f>
        <v/>
      </c>
      <c r="H1782">
        <f>IF($G1782="","",RIGHT($E1782,4)&amp;MID($E1782,6,2)&amp;RIGHT($E1782,2)&amp;IF($F1782="","0000",IF($F1782="نامعتبر","9999",LEFT($F1782,2)&amp;RIGHT($F1782,2)))&amp;"|"&amp;RIGHT("00000"&amp;1774,5))</f>
        <v/>
      </c>
      <c r="I1782">
        <f>IF($H1782="","",COUNTIFS(CalcBank,$G1782,CalcKey,"&lt;"&amp;$H1782)+1)</f>
        <v/>
      </c>
      <c r="J1782">
        <f>IF($I1782="","",$G1782&amp;"|"&amp;RIGHT("000000"&amp;$I1782,6))</f>
        <v/>
      </c>
      <c r="K1782">
        <f>IF(OR($E1782="",$E1782="نامعتبر"),"",LEFT($E1782,4)&amp;"/"&amp;MID($E1782,6,2))</f>
        <v/>
      </c>
      <c r="L1782">
        <f>IF(Entry!$K1782="",0,Entry!$K1782)</f>
        <v/>
      </c>
      <c r="M1782">
        <f>IF(Entry!$L1782="",0,Entry!$L1782)</f>
        <v/>
      </c>
    </row>
    <row r="1783">
      <c r="A1783">
        <f>IF(Entry!$C1783="","",Entry!$C1783)</f>
        <v/>
      </c>
      <c r="B1783">
        <f>IF($A1783="","",IF(ISNUMBER($A1783),IF(AND($A1783&gt;=10000101,$A1783&lt;=99991231),INT($A1783/10000),""),IFERROR(VALUE(TRIM(LEFT($A1783,FIND("/",$A1783)-1))),"")))</f>
        <v/>
      </c>
      <c r="C1783">
        <f>IF(OR($A1783="",$B1783=""),"",IF(ISNUMBER($A1783),INT(MOD($A1783,10000)/100),IFERROR(VALUE(TRIM(LEFT(MID($A1783,FIND("/",$A1783)+1,20),FIND("/",MID($A1783,FIND("/",$A1783)+1,20))-1))),"")))</f>
        <v/>
      </c>
      <c r="D1783">
        <f>IF(OR($A1783="",$B1783=""),"",IF(ISNUMBER($A1783),MOD($A1783,100),IFERROR(VALUE(TRIM(MID(MID($A1783,FIND("/",$A1783)+1,20),FIND("/",MID($A1783,FIND("/",$A1783)+1,20))+1,20))),"")))</f>
        <v/>
      </c>
      <c r="E1783">
        <f>IF($A1783="","",IF(OR($B1783="",$C1783="",$D1783="",$B1783&lt;1300,$B1783&gt;1500,$C1783&lt;1,$C1783&gt;12,$D1783&lt;1,$D1783&gt;31),"نامعتبر",RIGHT("0000"&amp;$B1783,4)&amp;"/"&amp;RIGHT("00"&amp;$C1783,2)&amp;"/"&amp;RIGHT("00"&amp;$D1783,2)))</f>
        <v/>
      </c>
      <c r="F1783">
        <f>IF(Entry!$D1783&lt;&gt;"",IF(AND(ISNUMBER(Entry!$D1783),Entry!$D1783&gt;=0,Entry!$D1783&lt;1),RIGHT("00"&amp;HOUR(Entry!$D1783),2)&amp;":"&amp;RIGHT("00"&amp;MINUTE(Entry!$D1783),2),IFERROR(RIGHT("00"&amp;VALUE(TRIM(LEFT(Entry!$D1783,FIND(":",Entry!$D1783)-1))),2)&amp;":"&amp;RIGHT("00"&amp;VALUE(TRIM(MID(Entry!$D1783,FIND(":",Entry!$D1783)+1,2))),2),"نامعتبر")),IF(OR($E1783="",$E1783="نامعتبر"),"","00:00"))</f>
        <v/>
      </c>
      <c r="G1783">
        <f>IF(OR($E1783="",$E1783="نامعتبر"),"",IF(Entry!$E1783="","",LEFT(UPPER(TRIM(Entry!$E1783)),6)))</f>
        <v/>
      </c>
      <c r="H1783">
        <f>IF($G1783="","",RIGHT($E1783,4)&amp;MID($E1783,6,2)&amp;RIGHT($E1783,2)&amp;IF($F1783="","0000",IF($F1783="نامعتبر","9999",LEFT($F1783,2)&amp;RIGHT($F1783,2)))&amp;"|"&amp;RIGHT("00000"&amp;1775,5))</f>
        <v/>
      </c>
      <c r="I1783">
        <f>IF($H1783="","",COUNTIFS(CalcBank,$G1783,CalcKey,"&lt;"&amp;$H1783)+1)</f>
        <v/>
      </c>
      <c r="J1783">
        <f>IF($I1783="","",$G1783&amp;"|"&amp;RIGHT("000000"&amp;$I1783,6))</f>
        <v/>
      </c>
      <c r="K1783">
        <f>IF(OR($E1783="",$E1783="نامعتبر"),"",LEFT($E1783,4)&amp;"/"&amp;MID($E1783,6,2))</f>
        <v/>
      </c>
      <c r="L1783">
        <f>IF(Entry!$K1783="",0,Entry!$K1783)</f>
        <v/>
      </c>
      <c r="M1783">
        <f>IF(Entry!$L1783="",0,Entry!$L1783)</f>
        <v/>
      </c>
    </row>
    <row r="1784">
      <c r="A1784">
        <f>IF(Entry!$C1784="","",Entry!$C1784)</f>
        <v/>
      </c>
      <c r="B1784">
        <f>IF($A1784="","",IF(ISNUMBER($A1784),IF(AND($A1784&gt;=10000101,$A1784&lt;=99991231),INT($A1784/10000),""),IFERROR(VALUE(TRIM(LEFT($A1784,FIND("/",$A1784)-1))),"")))</f>
        <v/>
      </c>
      <c r="C1784">
        <f>IF(OR($A1784="",$B1784=""),"",IF(ISNUMBER($A1784),INT(MOD($A1784,10000)/100),IFERROR(VALUE(TRIM(LEFT(MID($A1784,FIND("/",$A1784)+1,20),FIND("/",MID($A1784,FIND("/",$A1784)+1,20))-1))),"")))</f>
        <v/>
      </c>
      <c r="D1784">
        <f>IF(OR($A1784="",$B1784=""),"",IF(ISNUMBER($A1784),MOD($A1784,100),IFERROR(VALUE(TRIM(MID(MID($A1784,FIND("/",$A1784)+1,20),FIND("/",MID($A1784,FIND("/",$A1784)+1,20))+1,20))),"")))</f>
        <v/>
      </c>
      <c r="E1784">
        <f>IF($A1784="","",IF(OR($B1784="",$C1784="",$D1784="",$B1784&lt;1300,$B1784&gt;1500,$C1784&lt;1,$C1784&gt;12,$D1784&lt;1,$D1784&gt;31),"نامعتبر",RIGHT("0000"&amp;$B1784,4)&amp;"/"&amp;RIGHT("00"&amp;$C1784,2)&amp;"/"&amp;RIGHT("00"&amp;$D1784,2)))</f>
        <v/>
      </c>
      <c r="F1784">
        <f>IF(Entry!$D1784&lt;&gt;"",IF(AND(ISNUMBER(Entry!$D1784),Entry!$D1784&gt;=0,Entry!$D1784&lt;1),RIGHT("00"&amp;HOUR(Entry!$D1784),2)&amp;":"&amp;RIGHT("00"&amp;MINUTE(Entry!$D1784),2),IFERROR(RIGHT("00"&amp;VALUE(TRIM(LEFT(Entry!$D1784,FIND(":",Entry!$D1784)-1))),2)&amp;":"&amp;RIGHT("00"&amp;VALUE(TRIM(MID(Entry!$D1784,FIND(":",Entry!$D1784)+1,2))),2),"نامعتبر")),IF(OR($E1784="",$E1784="نامعتبر"),"","00:00"))</f>
        <v/>
      </c>
      <c r="G1784">
        <f>IF(OR($E1784="",$E1784="نامعتبر"),"",IF(Entry!$E1784="","",LEFT(UPPER(TRIM(Entry!$E1784)),6)))</f>
        <v/>
      </c>
      <c r="H1784">
        <f>IF($G1784="","",RIGHT($E1784,4)&amp;MID($E1784,6,2)&amp;RIGHT($E1784,2)&amp;IF($F1784="","0000",IF($F1784="نامعتبر","9999",LEFT($F1784,2)&amp;RIGHT($F1784,2)))&amp;"|"&amp;RIGHT("00000"&amp;1776,5))</f>
        <v/>
      </c>
      <c r="I1784">
        <f>IF($H1784="","",COUNTIFS(CalcBank,$G1784,CalcKey,"&lt;"&amp;$H1784)+1)</f>
        <v/>
      </c>
      <c r="J1784">
        <f>IF($I1784="","",$G1784&amp;"|"&amp;RIGHT("000000"&amp;$I1784,6))</f>
        <v/>
      </c>
      <c r="K1784">
        <f>IF(OR($E1784="",$E1784="نامعتبر"),"",LEFT($E1784,4)&amp;"/"&amp;MID($E1784,6,2))</f>
        <v/>
      </c>
      <c r="L1784">
        <f>IF(Entry!$K1784="",0,Entry!$K1784)</f>
        <v/>
      </c>
      <c r="M1784">
        <f>IF(Entry!$L1784="",0,Entry!$L1784)</f>
        <v/>
      </c>
    </row>
    <row r="1785">
      <c r="A1785">
        <f>IF(Entry!$C1785="","",Entry!$C1785)</f>
        <v/>
      </c>
      <c r="B1785">
        <f>IF($A1785="","",IF(ISNUMBER($A1785),IF(AND($A1785&gt;=10000101,$A1785&lt;=99991231),INT($A1785/10000),""),IFERROR(VALUE(TRIM(LEFT($A1785,FIND("/",$A1785)-1))),"")))</f>
        <v/>
      </c>
      <c r="C1785">
        <f>IF(OR($A1785="",$B1785=""),"",IF(ISNUMBER($A1785),INT(MOD($A1785,10000)/100),IFERROR(VALUE(TRIM(LEFT(MID($A1785,FIND("/",$A1785)+1,20),FIND("/",MID($A1785,FIND("/",$A1785)+1,20))-1))),"")))</f>
        <v/>
      </c>
      <c r="D1785">
        <f>IF(OR($A1785="",$B1785=""),"",IF(ISNUMBER($A1785),MOD($A1785,100),IFERROR(VALUE(TRIM(MID(MID($A1785,FIND("/",$A1785)+1,20),FIND("/",MID($A1785,FIND("/",$A1785)+1,20))+1,20))),"")))</f>
        <v/>
      </c>
      <c r="E1785">
        <f>IF($A1785="","",IF(OR($B1785="",$C1785="",$D1785="",$B1785&lt;1300,$B1785&gt;1500,$C1785&lt;1,$C1785&gt;12,$D1785&lt;1,$D1785&gt;31),"نامعتبر",RIGHT("0000"&amp;$B1785,4)&amp;"/"&amp;RIGHT("00"&amp;$C1785,2)&amp;"/"&amp;RIGHT("00"&amp;$D1785,2)))</f>
        <v/>
      </c>
      <c r="F1785">
        <f>IF(Entry!$D1785&lt;&gt;"",IF(AND(ISNUMBER(Entry!$D1785),Entry!$D1785&gt;=0,Entry!$D1785&lt;1),RIGHT("00"&amp;HOUR(Entry!$D1785),2)&amp;":"&amp;RIGHT("00"&amp;MINUTE(Entry!$D1785),2),IFERROR(RIGHT("00"&amp;VALUE(TRIM(LEFT(Entry!$D1785,FIND(":",Entry!$D1785)-1))),2)&amp;":"&amp;RIGHT("00"&amp;VALUE(TRIM(MID(Entry!$D1785,FIND(":",Entry!$D1785)+1,2))),2),"نامعتبر")),IF(OR($E1785="",$E1785="نامعتبر"),"","00:00"))</f>
        <v/>
      </c>
      <c r="G1785">
        <f>IF(OR($E1785="",$E1785="نامعتبر"),"",IF(Entry!$E1785="","",LEFT(UPPER(TRIM(Entry!$E1785)),6)))</f>
        <v/>
      </c>
      <c r="H1785">
        <f>IF($G1785="","",RIGHT($E1785,4)&amp;MID($E1785,6,2)&amp;RIGHT($E1785,2)&amp;IF($F1785="","0000",IF($F1785="نامعتبر","9999",LEFT($F1785,2)&amp;RIGHT($F1785,2)))&amp;"|"&amp;RIGHT("00000"&amp;1777,5))</f>
        <v/>
      </c>
      <c r="I1785">
        <f>IF($H1785="","",COUNTIFS(CalcBank,$G1785,CalcKey,"&lt;"&amp;$H1785)+1)</f>
        <v/>
      </c>
      <c r="J1785">
        <f>IF($I1785="","",$G1785&amp;"|"&amp;RIGHT("000000"&amp;$I1785,6))</f>
        <v/>
      </c>
      <c r="K1785">
        <f>IF(OR($E1785="",$E1785="نامعتبر"),"",LEFT($E1785,4)&amp;"/"&amp;MID($E1785,6,2))</f>
        <v/>
      </c>
      <c r="L1785">
        <f>IF(Entry!$K1785="",0,Entry!$K1785)</f>
        <v/>
      </c>
      <c r="M1785">
        <f>IF(Entry!$L1785="",0,Entry!$L1785)</f>
        <v/>
      </c>
    </row>
    <row r="1786">
      <c r="A1786">
        <f>IF(Entry!$C1786="","",Entry!$C1786)</f>
        <v/>
      </c>
      <c r="B1786">
        <f>IF($A1786="","",IF(ISNUMBER($A1786),IF(AND($A1786&gt;=10000101,$A1786&lt;=99991231),INT($A1786/10000),""),IFERROR(VALUE(TRIM(LEFT($A1786,FIND("/",$A1786)-1))),"")))</f>
        <v/>
      </c>
      <c r="C1786">
        <f>IF(OR($A1786="",$B1786=""),"",IF(ISNUMBER($A1786),INT(MOD($A1786,10000)/100),IFERROR(VALUE(TRIM(LEFT(MID($A1786,FIND("/",$A1786)+1,20),FIND("/",MID($A1786,FIND("/",$A1786)+1,20))-1))),"")))</f>
        <v/>
      </c>
      <c r="D1786">
        <f>IF(OR($A1786="",$B1786=""),"",IF(ISNUMBER($A1786),MOD($A1786,100),IFERROR(VALUE(TRIM(MID(MID($A1786,FIND("/",$A1786)+1,20),FIND("/",MID($A1786,FIND("/",$A1786)+1,20))+1,20))),"")))</f>
        <v/>
      </c>
      <c r="E1786">
        <f>IF($A1786="","",IF(OR($B1786="",$C1786="",$D1786="",$B1786&lt;1300,$B1786&gt;1500,$C1786&lt;1,$C1786&gt;12,$D1786&lt;1,$D1786&gt;31),"نامعتبر",RIGHT("0000"&amp;$B1786,4)&amp;"/"&amp;RIGHT("00"&amp;$C1786,2)&amp;"/"&amp;RIGHT("00"&amp;$D1786,2)))</f>
        <v/>
      </c>
      <c r="F1786">
        <f>IF(Entry!$D1786&lt;&gt;"",IF(AND(ISNUMBER(Entry!$D1786),Entry!$D1786&gt;=0,Entry!$D1786&lt;1),RIGHT("00"&amp;HOUR(Entry!$D1786),2)&amp;":"&amp;RIGHT("00"&amp;MINUTE(Entry!$D1786),2),IFERROR(RIGHT("00"&amp;VALUE(TRIM(LEFT(Entry!$D1786,FIND(":",Entry!$D1786)-1))),2)&amp;":"&amp;RIGHT("00"&amp;VALUE(TRIM(MID(Entry!$D1786,FIND(":",Entry!$D1786)+1,2))),2),"نامعتبر")),IF(OR($E1786="",$E1786="نامعتبر"),"","00:00"))</f>
        <v/>
      </c>
      <c r="G1786">
        <f>IF(OR($E1786="",$E1786="نامعتبر"),"",IF(Entry!$E1786="","",LEFT(UPPER(TRIM(Entry!$E1786)),6)))</f>
        <v/>
      </c>
      <c r="H1786">
        <f>IF($G1786="","",RIGHT($E1786,4)&amp;MID($E1786,6,2)&amp;RIGHT($E1786,2)&amp;IF($F1786="","0000",IF($F1786="نامعتبر","9999",LEFT($F1786,2)&amp;RIGHT($F1786,2)))&amp;"|"&amp;RIGHT("00000"&amp;1778,5))</f>
        <v/>
      </c>
      <c r="I1786">
        <f>IF($H1786="","",COUNTIFS(CalcBank,$G1786,CalcKey,"&lt;"&amp;$H1786)+1)</f>
        <v/>
      </c>
      <c r="J1786">
        <f>IF($I1786="","",$G1786&amp;"|"&amp;RIGHT("000000"&amp;$I1786,6))</f>
        <v/>
      </c>
      <c r="K1786">
        <f>IF(OR($E1786="",$E1786="نامعتبر"),"",LEFT($E1786,4)&amp;"/"&amp;MID($E1786,6,2))</f>
        <v/>
      </c>
      <c r="L1786">
        <f>IF(Entry!$K1786="",0,Entry!$K1786)</f>
        <v/>
      </c>
      <c r="M1786">
        <f>IF(Entry!$L1786="",0,Entry!$L1786)</f>
        <v/>
      </c>
    </row>
    <row r="1787">
      <c r="A1787">
        <f>IF(Entry!$C1787="","",Entry!$C1787)</f>
        <v/>
      </c>
      <c r="B1787">
        <f>IF($A1787="","",IF(ISNUMBER($A1787),IF(AND($A1787&gt;=10000101,$A1787&lt;=99991231),INT($A1787/10000),""),IFERROR(VALUE(TRIM(LEFT($A1787,FIND("/",$A1787)-1))),"")))</f>
        <v/>
      </c>
      <c r="C1787">
        <f>IF(OR($A1787="",$B1787=""),"",IF(ISNUMBER($A1787),INT(MOD($A1787,10000)/100),IFERROR(VALUE(TRIM(LEFT(MID($A1787,FIND("/",$A1787)+1,20),FIND("/",MID($A1787,FIND("/",$A1787)+1,20))-1))),"")))</f>
        <v/>
      </c>
      <c r="D1787">
        <f>IF(OR($A1787="",$B1787=""),"",IF(ISNUMBER($A1787),MOD($A1787,100),IFERROR(VALUE(TRIM(MID(MID($A1787,FIND("/",$A1787)+1,20),FIND("/",MID($A1787,FIND("/",$A1787)+1,20))+1,20))),"")))</f>
        <v/>
      </c>
      <c r="E1787">
        <f>IF($A1787="","",IF(OR($B1787="",$C1787="",$D1787="",$B1787&lt;1300,$B1787&gt;1500,$C1787&lt;1,$C1787&gt;12,$D1787&lt;1,$D1787&gt;31),"نامعتبر",RIGHT("0000"&amp;$B1787,4)&amp;"/"&amp;RIGHT("00"&amp;$C1787,2)&amp;"/"&amp;RIGHT("00"&amp;$D1787,2)))</f>
        <v/>
      </c>
      <c r="F1787">
        <f>IF(Entry!$D1787&lt;&gt;"",IF(AND(ISNUMBER(Entry!$D1787),Entry!$D1787&gt;=0,Entry!$D1787&lt;1),RIGHT("00"&amp;HOUR(Entry!$D1787),2)&amp;":"&amp;RIGHT("00"&amp;MINUTE(Entry!$D1787),2),IFERROR(RIGHT("00"&amp;VALUE(TRIM(LEFT(Entry!$D1787,FIND(":",Entry!$D1787)-1))),2)&amp;":"&amp;RIGHT("00"&amp;VALUE(TRIM(MID(Entry!$D1787,FIND(":",Entry!$D1787)+1,2))),2),"نامعتبر")),IF(OR($E1787="",$E1787="نامعتبر"),"","00:00"))</f>
        <v/>
      </c>
      <c r="G1787">
        <f>IF(OR($E1787="",$E1787="نامعتبر"),"",IF(Entry!$E1787="","",LEFT(UPPER(TRIM(Entry!$E1787)),6)))</f>
        <v/>
      </c>
      <c r="H1787">
        <f>IF($G1787="","",RIGHT($E1787,4)&amp;MID($E1787,6,2)&amp;RIGHT($E1787,2)&amp;IF($F1787="","0000",IF($F1787="نامعتبر","9999",LEFT($F1787,2)&amp;RIGHT($F1787,2)))&amp;"|"&amp;RIGHT("00000"&amp;1779,5))</f>
        <v/>
      </c>
      <c r="I1787">
        <f>IF($H1787="","",COUNTIFS(CalcBank,$G1787,CalcKey,"&lt;"&amp;$H1787)+1)</f>
        <v/>
      </c>
      <c r="J1787">
        <f>IF($I1787="","",$G1787&amp;"|"&amp;RIGHT("000000"&amp;$I1787,6))</f>
        <v/>
      </c>
      <c r="K1787">
        <f>IF(OR($E1787="",$E1787="نامعتبر"),"",LEFT($E1787,4)&amp;"/"&amp;MID($E1787,6,2))</f>
        <v/>
      </c>
      <c r="L1787">
        <f>IF(Entry!$K1787="",0,Entry!$K1787)</f>
        <v/>
      </c>
      <c r="M1787">
        <f>IF(Entry!$L1787="",0,Entry!$L1787)</f>
        <v/>
      </c>
    </row>
    <row r="1788">
      <c r="A1788">
        <f>IF(Entry!$C1788="","",Entry!$C1788)</f>
        <v/>
      </c>
      <c r="B1788">
        <f>IF($A1788="","",IF(ISNUMBER($A1788),IF(AND($A1788&gt;=10000101,$A1788&lt;=99991231),INT($A1788/10000),""),IFERROR(VALUE(TRIM(LEFT($A1788,FIND("/",$A1788)-1))),"")))</f>
        <v/>
      </c>
      <c r="C1788">
        <f>IF(OR($A1788="",$B1788=""),"",IF(ISNUMBER($A1788),INT(MOD($A1788,10000)/100),IFERROR(VALUE(TRIM(LEFT(MID($A1788,FIND("/",$A1788)+1,20),FIND("/",MID($A1788,FIND("/",$A1788)+1,20))-1))),"")))</f>
        <v/>
      </c>
      <c r="D1788">
        <f>IF(OR($A1788="",$B1788=""),"",IF(ISNUMBER($A1788),MOD($A1788,100),IFERROR(VALUE(TRIM(MID(MID($A1788,FIND("/",$A1788)+1,20),FIND("/",MID($A1788,FIND("/",$A1788)+1,20))+1,20))),"")))</f>
        <v/>
      </c>
      <c r="E1788">
        <f>IF($A1788="","",IF(OR($B1788="",$C1788="",$D1788="",$B1788&lt;1300,$B1788&gt;1500,$C1788&lt;1,$C1788&gt;12,$D1788&lt;1,$D1788&gt;31),"نامعتبر",RIGHT("0000"&amp;$B1788,4)&amp;"/"&amp;RIGHT("00"&amp;$C1788,2)&amp;"/"&amp;RIGHT("00"&amp;$D1788,2)))</f>
        <v/>
      </c>
      <c r="F1788">
        <f>IF(Entry!$D1788&lt;&gt;"",IF(AND(ISNUMBER(Entry!$D1788),Entry!$D1788&gt;=0,Entry!$D1788&lt;1),RIGHT("00"&amp;HOUR(Entry!$D1788),2)&amp;":"&amp;RIGHT("00"&amp;MINUTE(Entry!$D1788),2),IFERROR(RIGHT("00"&amp;VALUE(TRIM(LEFT(Entry!$D1788,FIND(":",Entry!$D1788)-1))),2)&amp;":"&amp;RIGHT("00"&amp;VALUE(TRIM(MID(Entry!$D1788,FIND(":",Entry!$D1788)+1,2))),2),"نامعتبر")),IF(OR($E1788="",$E1788="نامعتبر"),"","00:00"))</f>
        <v/>
      </c>
      <c r="G1788">
        <f>IF(OR($E1788="",$E1788="نامعتبر"),"",IF(Entry!$E1788="","",LEFT(UPPER(TRIM(Entry!$E1788)),6)))</f>
        <v/>
      </c>
      <c r="H1788">
        <f>IF($G1788="","",RIGHT($E1788,4)&amp;MID($E1788,6,2)&amp;RIGHT($E1788,2)&amp;IF($F1788="","0000",IF($F1788="نامعتبر","9999",LEFT($F1788,2)&amp;RIGHT($F1788,2)))&amp;"|"&amp;RIGHT("00000"&amp;1780,5))</f>
        <v/>
      </c>
      <c r="I1788">
        <f>IF($H1788="","",COUNTIFS(CalcBank,$G1788,CalcKey,"&lt;"&amp;$H1788)+1)</f>
        <v/>
      </c>
      <c r="J1788">
        <f>IF($I1788="","",$G1788&amp;"|"&amp;RIGHT("000000"&amp;$I1788,6))</f>
        <v/>
      </c>
      <c r="K1788">
        <f>IF(OR($E1788="",$E1788="نامعتبر"),"",LEFT($E1788,4)&amp;"/"&amp;MID($E1788,6,2))</f>
        <v/>
      </c>
      <c r="L1788">
        <f>IF(Entry!$K1788="",0,Entry!$K1788)</f>
        <v/>
      </c>
      <c r="M1788">
        <f>IF(Entry!$L1788="",0,Entry!$L1788)</f>
        <v/>
      </c>
    </row>
    <row r="1789">
      <c r="A1789">
        <f>IF(Entry!$C1789="","",Entry!$C1789)</f>
        <v/>
      </c>
      <c r="B1789">
        <f>IF($A1789="","",IF(ISNUMBER($A1789),IF(AND($A1789&gt;=10000101,$A1789&lt;=99991231),INT($A1789/10000),""),IFERROR(VALUE(TRIM(LEFT($A1789,FIND("/",$A1789)-1))),"")))</f>
        <v/>
      </c>
      <c r="C1789">
        <f>IF(OR($A1789="",$B1789=""),"",IF(ISNUMBER($A1789),INT(MOD($A1789,10000)/100),IFERROR(VALUE(TRIM(LEFT(MID($A1789,FIND("/",$A1789)+1,20),FIND("/",MID($A1789,FIND("/",$A1789)+1,20))-1))),"")))</f>
        <v/>
      </c>
      <c r="D1789">
        <f>IF(OR($A1789="",$B1789=""),"",IF(ISNUMBER($A1789),MOD($A1789,100),IFERROR(VALUE(TRIM(MID(MID($A1789,FIND("/",$A1789)+1,20),FIND("/",MID($A1789,FIND("/",$A1789)+1,20))+1,20))),"")))</f>
        <v/>
      </c>
      <c r="E1789">
        <f>IF($A1789="","",IF(OR($B1789="",$C1789="",$D1789="",$B1789&lt;1300,$B1789&gt;1500,$C1789&lt;1,$C1789&gt;12,$D1789&lt;1,$D1789&gt;31),"نامعتبر",RIGHT("0000"&amp;$B1789,4)&amp;"/"&amp;RIGHT("00"&amp;$C1789,2)&amp;"/"&amp;RIGHT("00"&amp;$D1789,2)))</f>
        <v/>
      </c>
      <c r="F1789">
        <f>IF(Entry!$D1789&lt;&gt;"",IF(AND(ISNUMBER(Entry!$D1789),Entry!$D1789&gt;=0,Entry!$D1789&lt;1),RIGHT("00"&amp;HOUR(Entry!$D1789),2)&amp;":"&amp;RIGHT("00"&amp;MINUTE(Entry!$D1789),2),IFERROR(RIGHT("00"&amp;VALUE(TRIM(LEFT(Entry!$D1789,FIND(":",Entry!$D1789)-1))),2)&amp;":"&amp;RIGHT("00"&amp;VALUE(TRIM(MID(Entry!$D1789,FIND(":",Entry!$D1789)+1,2))),2),"نامعتبر")),IF(OR($E1789="",$E1789="نامعتبر"),"","00:00"))</f>
        <v/>
      </c>
      <c r="G1789">
        <f>IF(OR($E1789="",$E1789="نامعتبر"),"",IF(Entry!$E1789="","",LEFT(UPPER(TRIM(Entry!$E1789)),6)))</f>
        <v/>
      </c>
      <c r="H1789">
        <f>IF($G1789="","",RIGHT($E1789,4)&amp;MID($E1789,6,2)&amp;RIGHT($E1789,2)&amp;IF($F1789="","0000",IF($F1789="نامعتبر","9999",LEFT($F1789,2)&amp;RIGHT($F1789,2)))&amp;"|"&amp;RIGHT("00000"&amp;1781,5))</f>
        <v/>
      </c>
      <c r="I1789">
        <f>IF($H1789="","",COUNTIFS(CalcBank,$G1789,CalcKey,"&lt;"&amp;$H1789)+1)</f>
        <v/>
      </c>
      <c r="J1789">
        <f>IF($I1789="","",$G1789&amp;"|"&amp;RIGHT("000000"&amp;$I1789,6))</f>
        <v/>
      </c>
      <c r="K1789">
        <f>IF(OR($E1789="",$E1789="نامعتبر"),"",LEFT($E1789,4)&amp;"/"&amp;MID($E1789,6,2))</f>
        <v/>
      </c>
      <c r="L1789">
        <f>IF(Entry!$K1789="",0,Entry!$K1789)</f>
        <v/>
      </c>
      <c r="M1789">
        <f>IF(Entry!$L1789="",0,Entry!$L1789)</f>
        <v/>
      </c>
    </row>
    <row r="1790">
      <c r="A1790">
        <f>IF(Entry!$C1790="","",Entry!$C1790)</f>
        <v/>
      </c>
      <c r="B1790">
        <f>IF($A1790="","",IF(ISNUMBER($A1790),IF(AND($A1790&gt;=10000101,$A1790&lt;=99991231),INT($A1790/10000),""),IFERROR(VALUE(TRIM(LEFT($A1790,FIND("/",$A1790)-1))),"")))</f>
        <v/>
      </c>
      <c r="C1790">
        <f>IF(OR($A1790="",$B1790=""),"",IF(ISNUMBER($A1790),INT(MOD($A1790,10000)/100),IFERROR(VALUE(TRIM(LEFT(MID($A1790,FIND("/",$A1790)+1,20),FIND("/",MID($A1790,FIND("/",$A1790)+1,20))-1))),"")))</f>
        <v/>
      </c>
      <c r="D1790">
        <f>IF(OR($A1790="",$B1790=""),"",IF(ISNUMBER($A1790),MOD($A1790,100),IFERROR(VALUE(TRIM(MID(MID($A1790,FIND("/",$A1790)+1,20),FIND("/",MID($A1790,FIND("/",$A1790)+1,20))+1,20))),"")))</f>
        <v/>
      </c>
      <c r="E1790">
        <f>IF($A1790="","",IF(OR($B1790="",$C1790="",$D1790="",$B1790&lt;1300,$B1790&gt;1500,$C1790&lt;1,$C1790&gt;12,$D1790&lt;1,$D1790&gt;31),"نامعتبر",RIGHT("0000"&amp;$B1790,4)&amp;"/"&amp;RIGHT("00"&amp;$C1790,2)&amp;"/"&amp;RIGHT("00"&amp;$D1790,2)))</f>
        <v/>
      </c>
      <c r="F1790">
        <f>IF(Entry!$D1790&lt;&gt;"",IF(AND(ISNUMBER(Entry!$D1790),Entry!$D1790&gt;=0,Entry!$D1790&lt;1),RIGHT("00"&amp;HOUR(Entry!$D1790),2)&amp;":"&amp;RIGHT("00"&amp;MINUTE(Entry!$D1790),2),IFERROR(RIGHT("00"&amp;VALUE(TRIM(LEFT(Entry!$D1790,FIND(":",Entry!$D1790)-1))),2)&amp;":"&amp;RIGHT("00"&amp;VALUE(TRIM(MID(Entry!$D1790,FIND(":",Entry!$D1790)+1,2))),2),"نامعتبر")),IF(OR($E1790="",$E1790="نامعتبر"),"","00:00"))</f>
        <v/>
      </c>
      <c r="G1790">
        <f>IF(OR($E1790="",$E1790="نامعتبر"),"",IF(Entry!$E1790="","",LEFT(UPPER(TRIM(Entry!$E1790)),6)))</f>
        <v/>
      </c>
      <c r="H1790">
        <f>IF($G1790="","",RIGHT($E1790,4)&amp;MID($E1790,6,2)&amp;RIGHT($E1790,2)&amp;IF($F1790="","0000",IF($F1790="نامعتبر","9999",LEFT($F1790,2)&amp;RIGHT($F1790,2)))&amp;"|"&amp;RIGHT("00000"&amp;1782,5))</f>
        <v/>
      </c>
      <c r="I1790">
        <f>IF($H1790="","",COUNTIFS(CalcBank,$G1790,CalcKey,"&lt;"&amp;$H1790)+1)</f>
        <v/>
      </c>
      <c r="J1790">
        <f>IF($I1790="","",$G1790&amp;"|"&amp;RIGHT("000000"&amp;$I1790,6))</f>
        <v/>
      </c>
      <c r="K1790">
        <f>IF(OR($E1790="",$E1790="نامعتبر"),"",LEFT($E1790,4)&amp;"/"&amp;MID($E1790,6,2))</f>
        <v/>
      </c>
      <c r="L1790">
        <f>IF(Entry!$K1790="",0,Entry!$K1790)</f>
        <v/>
      </c>
      <c r="M1790">
        <f>IF(Entry!$L1790="",0,Entry!$L1790)</f>
        <v/>
      </c>
    </row>
    <row r="1791">
      <c r="A1791">
        <f>IF(Entry!$C1791="","",Entry!$C1791)</f>
        <v/>
      </c>
      <c r="B1791">
        <f>IF($A1791="","",IF(ISNUMBER($A1791),IF(AND($A1791&gt;=10000101,$A1791&lt;=99991231),INT($A1791/10000),""),IFERROR(VALUE(TRIM(LEFT($A1791,FIND("/",$A1791)-1))),"")))</f>
        <v/>
      </c>
      <c r="C1791">
        <f>IF(OR($A1791="",$B1791=""),"",IF(ISNUMBER($A1791),INT(MOD($A1791,10000)/100),IFERROR(VALUE(TRIM(LEFT(MID($A1791,FIND("/",$A1791)+1,20),FIND("/",MID($A1791,FIND("/",$A1791)+1,20))-1))),"")))</f>
        <v/>
      </c>
      <c r="D1791">
        <f>IF(OR($A1791="",$B1791=""),"",IF(ISNUMBER($A1791),MOD($A1791,100),IFERROR(VALUE(TRIM(MID(MID($A1791,FIND("/",$A1791)+1,20),FIND("/",MID($A1791,FIND("/",$A1791)+1,20))+1,20))),"")))</f>
        <v/>
      </c>
      <c r="E1791">
        <f>IF($A1791="","",IF(OR($B1791="",$C1791="",$D1791="",$B1791&lt;1300,$B1791&gt;1500,$C1791&lt;1,$C1791&gt;12,$D1791&lt;1,$D1791&gt;31),"نامعتبر",RIGHT("0000"&amp;$B1791,4)&amp;"/"&amp;RIGHT("00"&amp;$C1791,2)&amp;"/"&amp;RIGHT("00"&amp;$D1791,2)))</f>
        <v/>
      </c>
      <c r="F1791">
        <f>IF(Entry!$D1791&lt;&gt;"",IF(AND(ISNUMBER(Entry!$D1791),Entry!$D1791&gt;=0,Entry!$D1791&lt;1),RIGHT("00"&amp;HOUR(Entry!$D1791),2)&amp;":"&amp;RIGHT("00"&amp;MINUTE(Entry!$D1791),2),IFERROR(RIGHT("00"&amp;VALUE(TRIM(LEFT(Entry!$D1791,FIND(":",Entry!$D1791)-1))),2)&amp;":"&amp;RIGHT("00"&amp;VALUE(TRIM(MID(Entry!$D1791,FIND(":",Entry!$D1791)+1,2))),2),"نامعتبر")),IF(OR($E1791="",$E1791="نامعتبر"),"","00:00"))</f>
        <v/>
      </c>
      <c r="G1791">
        <f>IF(OR($E1791="",$E1791="نامعتبر"),"",IF(Entry!$E1791="","",LEFT(UPPER(TRIM(Entry!$E1791)),6)))</f>
        <v/>
      </c>
      <c r="H1791">
        <f>IF($G1791="","",RIGHT($E1791,4)&amp;MID($E1791,6,2)&amp;RIGHT($E1791,2)&amp;IF($F1791="","0000",IF($F1791="نامعتبر","9999",LEFT($F1791,2)&amp;RIGHT($F1791,2)))&amp;"|"&amp;RIGHT("00000"&amp;1783,5))</f>
        <v/>
      </c>
      <c r="I1791">
        <f>IF($H1791="","",COUNTIFS(CalcBank,$G1791,CalcKey,"&lt;"&amp;$H1791)+1)</f>
        <v/>
      </c>
      <c r="J1791">
        <f>IF($I1791="","",$G1791&amp;"|"&amp;RIGHT("000000"&amp;$I1791,6))</f>
        <v/>
      </c>
      <c r="K1791">
        <f>IF(OR($E1791="",$E1791="نامعتبر"),"",LEFT($E1791,4)&amp;"/"&amp;MID($E1791,6,2))</f>
        <v/>
      </c>
      <c r="L1791">
        <f>IF(Entry!$K1791="",0,Entry!$K1791)</f>
        <v/>
      </c>
      <c r="M1791">
        <f>IF(Entry!$L1791="",0,Entry!$L1791)</f>
        <v/>
      </c>
    </row>
    <row r="1792">
      <c r="A1792">
        <f>IF(Entry!$C1792="","",Entry!$C1792)</f>
        <v/>
      </c>
      <c r="B1792">
        <f>IF($A1792="","",IF(ISNUMBER($A1792),IF(AND($A1792&gt;=10000101,$A1792&lt;=99991231),INT($A1792/10000),""),IFERROR(VALUE(TRIM(LEFT($A1792,FIND("/",$A1792)-1))),"")))</f>
        <v/>
      </c>
      <c r="C1792">
        <f>IF(OR($A1792="",$B1792=""),"",IF(ISNUMBER($A1792),INT(MOD($A1792,10000)/100),IFERROR(VALUE(TRIM(LEFT(MID($A1792,FIND("/",$A1792)+1,20),FIND("/",MID($A1792,FIND("/",$A1792)+1,20))-1))),"")))</f>
        <v/>
      </c>
      <c r="D1792">
        <f>IF(OR($A1792="",$B1792=""),"",IF(ISNUMBER($A1792),MOD($A1792,100),IFERROR(VALUE(TRIM(MID(MID($A1792,FIND("/",$A1792)+1,20),FIND("/",MID($A1792,FIND("/",$A1792)+1,20))+1,20))),"")))</f>
        <v/>
      </c>
      <c r="E1792">
        <f>IF($A1792="","",IF(OR($B1792="",$C1792="",$D1792="",$B1792&lt;1300,$B1792&gt;1500,$C1792&lt;1,$C1792&gt;12,$D1792&lt;1,$D1792&gt;31),"نامعتبر",RIGHT("0000"&amp;$B1792,4)&amp;"/"&amp;RIGHT("00"&amp;$C1792,2)&amp;"/"&amp;RIGHT("00"&amp;$D1792,2)))</f>
        <v/>
      </c>
      <c r="F1792">
        <f>IF(Entry!$D1792&lt;&gt;"",IF(AND(ISNUMBER(Entry!$D1792),Entry!$D1792&gt;=0,Entry!$D1792&lt;1),RIGHT("00"&amp;HOUR(Entry!$D1792),2)&amp;":"&amp;RIGHT("00"&amp;MINUTE(Entry!$D1792),2),IFERROR(RIGHT("00"&amp;VALUE(TRIM(LEFT(Entry!$D1792,FIND(":",Entry!$D1792)-1))),2)&amp;":"&amp;RIGHT("00"&amp;VALUE(TRIM(MID(Entry!$D1792,FIND(":",Entry!$D1792)+1,2))),2),"نامعتبر")),IF(OR($E1792="",$E1792="نامعتبر"),"","00:00"))</f>
        <v/>
      </c>
      <c r="G1792">
        <f>IF(OR($E1792="",$E1792="نامعتبر"),"",IF(Entry!$E1792="","",LEFT(UPPER(TRIM(Entry!$E1792)),6)))</f>
        <v/>
      </c>
      <c r="H1792">
        <f>IF($G1792="","",RIGHT($E1792,4)&amp;MID($E1792,6,2)&amp;RIGHT($E1792,2)&amp;IF($F1792="","0000",IF($F1792="نامعتبر","9999",LEFT($F1792,2)&amp;RIGHT($F1792,2)))&amp;"|"&amp;RIGHT("00000"&amp;1784,5))</f>
        <v/>
      </c>
      <c r="I1792">
        <f>IF($H1792="","",COUNTIFS(CalcBank,$G1792,CalcKey,"&lt;"&amp;$H1792)+1)</f>
        <v/>
      </c>
      <c r="J1792">
        <f>IF($I1792="","",$G1792&amp;"|"&amp;RIGHT("000000"&amp;$I1792,6))</f>
        <v/>
      </c>
      <c r="K1792">
        <f>IF(OR($E1792="",$E1792="نامعتبر"),"",LEFT($E1792,4)&amp;"/"&amp;MID($E1792,6,2))</f>
        <v/>
      </c>
      <c r="L1792">
        <f>IF(Entry!$K1792="",0,Entry!$K1792)</f>
        <v/>
      </c>
      <c r="M1792">
        <f>IF(Entry!$L1792="",0,Entry!$L1792)</f>
        <v/>
      </c>
    </row>
    <row r="1793">
      <c r="A1793">
        <f>IF(Entry!$C1793="","",Entry!$C1793)</f>
        <v/>
      </c>
      <c r="B1793">
        <f>IF($A1793="","",IF(ISNUMBER($A1793),IF(AND($A1793&gt;=10000101,$A1793&lt;=99991231),INT($A1793/10000),""),IFERROR(VALUE(TRIM(LEFT($A1793,FIND("/",$A1793)-1))),"")))</f>
        <v/>
      </c>
      <c r="C1793">
        <f>IF(OR($A1793="",$B1793=""),"",IF(ISNUMBER($A1793),INT(MOD($A1793,10000)/100),IFERROR(VALUE(TRIM(LEFT(MID($A1793,FIND("/",$A1793)+1,20),FIND("/",MID($A1793,FIND("/",$A1793)+1,20))-1))),"")))</f>
        <v/>
      </c>
      <c r="D1793">
        <f>IF(OR($A1793="",$B1793=""),"",IF(ISNUMBER($A1793),MOD($A1793,100),IFERROR(VALUE(TRIM(MID(MID($A1793,FIND("/",$A1793)+1,20),FIND("/",MID($A1793,FIND("/",$A1793)+1,20))+1,20))),"")))</f>
        <v/>
      </c>
      <c r="E1793">
        <f>IF($A1793="","",IF(OR($B1793="",$C1793="",$D1793="",$B1793&lt;1300,$B1793&gt;1500,$C1793&lt;1,$C1793&gt;12,$D1793&lt;1,$D1793&gt;31),"نامعتبر",RIGHT("0000"&amp;$B1793,4)&amp;"/"&amp;RIGHT("00"&amp;$C1793,2)&amp;"/"&amp;RIGHT("00"&amp;$D1793,2)))</f>
        <v/>
      </c>
      <c r="F1793">
        <f>IF(Entry!$D1793&lt;&gt;"",IF(AND(ISNUMBER(Entry!$D1793),Entry!$D1793&gt;=0,Entry!$D1793&lt;1),RIGHT("00"&amp;HOUR(Entry!$D1793),2)&amp;":"&amp;RIGHT("00"&amp;MINUTE(Entry!$D1793),2),IFERROR(RIGHT("00"&amp;VALUE(TRIM(LEFT(Entry!$D1793,FIND(":",Entry!$D1793)-1))),2)&amp;":"&amp;RIGHT("00"&amp;VALUE(TRIM(MID(Entry!$D1793,FIND(":",Entry!$D1793)+1,2))),2),"نامعتبر")),IF(OR($E1793="",$E1793="نامعتبر"),"","00:00"))</f>
        <v/>
      </c>
      <c r="G1793">
        <f>IF(OR($E1793="",$E1793="نامعتبر"),"",IF(Entry!$E1793="","",LEFT(UPPER(TRIM(Entry!$E1793)),6)))</f>
        <v/>
      </c>
      <c r="H1793">
        <f>IF($G1793="","",RIGHT($E1793,4)&amp;MID($E1793,6,2)&amp;RIGHT($E1793,2)&amp;IF($F1793="","0000",IF($F1793="نامعتبر","9999",LEFT($F1793,2)&amp;RIGHT($F1793,2)))&amp;"|"&amp;RIGHT("00000"&amp;1785,5))</f>
        <v/>
      </c>
      <c r="I1793">
        <f>IF($H1793="","",COUNTIFS(CalcBank,$G1793,CalcKey,"&lt;"&amp;$H1793)+1)</f>
        <v/>
      </c>
      <c r="J1793">
        <f>IF($I1793="","",$G1793&amp;"|"&amp;RIGHT("000000"&amp;$I1793,6))</f>
        <v/>
      </c>
      <c r="K1793">
        <f>IF(OR($E1793="",$E1793="نامعتبر"),"",LEFT($E1793,4)&amp;"/"&amp;MID($E1793,6,2))</f>
        <v/>
      </c>
      <c r="L1793">
        <f>IF(Entry!$K1793="",0,Entry!$K1793)</f>
        <v/>
      </c>
      <c r="M1793">
        <f>IF(Entry!$L1793="",0,Entry!$L1793)</f>
        <v/>
      </c>
    </row>
    <row r="1794">
      <c r="A1794">
        <f>IF(Entry!$C1794="","",Entry!$C1794)</f>
        <v/>
      </c>
      <c r="B1794">
        <f>IF($A1794="","",IF(ISNUMBER($A1794),IF(AND($A1794&gt;=10000101,$A1794&lt;=99991231),INT($A1794/10000),""),IFERROR(VALUE(TRIM(LEFT($A1794,FIND("/",$A1794)-1))),"")))</f>
        <v/>
      </c>
      <c r="C1794">
        <f>IF(OR($A1794="",$B1794=""),"",IF(ISNUMBER($A1794),INT(MOD($A1794,10000)/100),IFERROR(VALUE(TRIM(LEFT(MID($A1794,FIND("/",$A1794)+1,20),FIND("/",MID($A1794,FIND("/",$A1794)+1,20))-1))),"")))</f>
        <v/>
      </c>
      <c r="D1794">
        <f>IF(OR($A1794="",$B1794=""),"",IF(ISNUMBER($A1794),MOD($A1794,100),IFERROR(VALUE(TRIM(MID(MID($A1794,FIND("/",$A1794)+1,20),FIND("/",MID($A1794,FIND("/",$A1794)+1,20))+1,20))),"")))</f>
        <v/>
      </c>
      <c r="E1794">
        <f>IF($A1794="","",IF(OR($B1794="",$C1794="",$D1794="",$B1794&lt;1300,$B1794&gt;1500,$C1794&lt;1,$C1794&gt;12,$D1794&lt;1,$D1794&gt;31),"نامعتبر",RIGHT("0000"&amp;$B1794,4)&amp;"/"&amp;RIGHT("00"&amp;$C1794,2)&amp;"/"&amp;RIGHT("00"&amp;$D1794,2)))</f>
        <v/>
      </c>
      <c r="F1794">
        <f>IF(Entry!$D1794&lt;&gt;"",IF(AND(ISNUMBER(Entry!$D1794),Entry!$D1794&gt;=0,Entry!$D1794&lt;1),RIGHT("00"&amp;HOUR(Entry!$D1794),2)&amp;":"&amp;RIGHT("00"&amp;MINUTE(Entry!$D1794),2),IFERROR(RIGHT("00"&amp;VALUE(TRIM(LEFT(Entry!$D1794,FIND(":",Entry!$D1794)-1))),2)&amp;":"&amp;RIGHT("00"&amp;VALUE(TRIM(MID(Entry!$D1794,FIND(":",Entry!$D1794)+1,2))),2),"نامعتبر")),IF(OR($E1794="",$E1794="نامعتبر"),"","00:00"))</f>
        <v/>
      </c>
      <c r="G1794">
        <f>IF(OR($E1794="",$E1794="نامعتبر"),"",IF(Entry!$E1794="","",LEFT(UPPER(TRIM(Entry!$E1794)),6)))</f>
        <v/>
      </c>
      <c r="H1794">
        <f>IF($G1794="","",RIGHT($E1794,4)&amp;MID($E1794,6,2)&amp;RIGHT($E1794,2)&amp;IF($F1794="","0000",IF($F1794="نامعتبر","9999",LEFT($F1794,2)&amp;RIGHT($F1794,2)))&amp;"|"&amp;RIGHT("00000"&amp;1786,5))</f>
        <v/>
      </c>
      <c r="I1794">
        <f>IF($H1794="","",COUNTIFS(CalcBank,$G1794,CalcKey,"&lt;"&amp;$H1794)+1)</f>
        <v/>
      </c>
      <c r="J1794">
        <f>IF($I1794="","",$G1794&amp;"|"&amp;RIGHT("000000"&amp;$I1794,6))</f>
        <v/>
      </c>
      <c r="K1794">
        <f>IF(OR($E1794="",$E1794="نامعتبر"),"",LEFT($E1794,4)&amp;"/"&amp;MID($E1794,6,2))</f>
        <v/>
      </c>
      <c r="L1794">
        <f>IF(Entry!$K1794="",0,Entry!$K1794)</f>
        <v/>
      </c>
      <c r="M1794">
        <f>IF(Entry!$L1794="",0,Entry!$L1794)</f>
        <v/>
      </c>
    </row>
    <row r="1795">
      <c r="A1795">
        <f>IF(Entry!$C1795="","",Entry!$C1795)</f>
        <v/>
      </c>
      <c r="B1795">
        <f>IF($A1795="","",IF(ISNUMBER($A1795),IF(AND($A1795&gt;=10000101,$A1795&lt;=99991231),INT($A1795/10000),""),IFERROR(VALUE(TRIM(LEFT($A1795,FIND("/",$A1795)-1))),"")))</f>
        <v/>
      </c>
      <c r="C1795">
        <f>IF(OR($A1795="",$B1795=""),"",IF(ISNUMBER($A1795),INT(MOD($A1795,10000)/100),IFERROR(VALUE(TRIM(LEFT(MID($A1795,FIND("/",$A1795)+1,20),FIND("/",MID($A1795,FIND("/",$A1795)+1,20))-1))),"")))</f>
        <v/>
      </c>
      <c r="D1795">
        <f>IF(OR($A1795="",$B1795=""),"",IF(ISNUMBER($A1795),MOD($A1795,100),IFERROR(VALUE(TRIM(MID(MID($A1795,FIND("/",$A1795)+1,20),FIND("/",MID($A1795,FIND("/",$A1795)+1,20))+1,20))),"")))</f>
        <v/>
      </c>
      <c r="E1795">
        <f>IF($A1795="","",IF(OR($B1795="",$C1795="",$D1795="",$B1795&lt;1300,$B1795&gt;1500,$C1795&lt;1,$C1795&gt;12,$D1795&lt;1,$D1795&gt;31),"نامعتبر",RIGHT("0000"&amp;$B1795,4)&amp;"/"&amp;RIGHT("00"&amp;$C1795,2)&amp;"/"&amp;RIGHT("00"&amp;$D1795,2)))</f>
        <v/>
      </c>
      <c r="F1795">
        <f>IF(Entry!$D1795&lt;&gt;"",IF(AND(ISNUMBER(Entry!$D1795),Entry!$D1795&gt;=0,Entry!$D1795&lt;1),RIGHT("00"&amp;HOUR(Entry!$D1795),2)&amp;":"&amp;RIGHT("00"&amp;MINUTE(Entry!$D1795),2),IFERROR(RIGHT("00"&amp;VALUE(TRIM(LEFT(Entry!$D1795,FIND(":",Entry!$D1795)-1))),2)&amp;":"&amp;RIGHT("00"&amp;VALUE(TRIM(MID(Entry!$D1795,FIND(":",Entry!$D1795)+1,2))),2),"نامعتبر")),IF(OR($E1795="",$E1795="نامعتبر"),"","00:00"))</f>
        <v/>
      </c>
      <c r="G1795">
        <f>IF(OR($E1795="",$E1795="نامعتبر"),"",IF(Entry!$E1795="","",LEFT(UPPER(TRIM(Entry!$E1795)),6)))</f>
        <v/>
      </c>
      <c r="H1795">
        <f>IF($G1795="","",RIGHT($E1795,4)&amp;MID($E1795,6,2)&amp;RIGHT($E1795,2)&amp;IF($F1795="","0000",IF($F1795="نامعتبر","9999",LEFT($F1795,2)&amp;RIGHT($F1795,2)))&amp;"|"&amp;RIGHT("00000"&amp;1787,5))</f>
        <v/>
      </c>
      <c r="I1795">
        <f>IF($H1795="","",COUNTIFS(CalcBank,$G1795,CalcKey,"&lt;"&amp;$H1795)+1)</f>
        <v/>
      </c>
      <c r="J1795">
        <f>IF($I1795="","",$G1795&amp;"|"&amp;RIGHT("000000"&amp;$I1795,6))</f>
        <v/>
      </c>
      <c r="K1795">
        <f>IF(OR($E1795="",$E1795="نامعتبر"),"",LEFT($E1795,4)&amp;"/"&amp;MID($E1795,6,2))</f>
        <v/>
      </c>
      <c r="L1795">
        <f>IF(Entry!$K1795="",0,Entry!$K1795)</f>
        <v/>
      </c>
      <c r="M1795">
        <f>IF(Entry!$L1795="",0,Entry!$L1795)</f>
        <v/>
      </c>
    </row>
    <row r="1796">
      <c r="A1796">
        <f>IF(Entry!$C1796="","",Entry!$C1796)</f>
        <v/>
      </c>
      <c r="B1796">
        <f>IF($A1796="","",IF(ISNUMBER($A1796),IF(AND($A1796&gt;=10000101,$A1796&lt;=99991231),INT($A1796/10000),""),IFERROR(VALUE(TRIM(LEFT($A1796,FIND("/",$A1796)-1))),"")))</f>
        <v/>
      </c>
      <c r="C1796">
        <f>IF(OR($A1796="",$B1796=""),"",IF(ISNUMBER($A1796),INT(MOD($A1796,10000)/100),IFERROR(VALUE(TRIM(LEFT(MID($A1796,FIND("/",$A1796)+1,20),FIND("/",MID($A1796,FIND("/",$A1796)+1,20))-1))),"")))</f>
        <v/>
      </c>
      <c r="D1796">
        <f>IF(OR($A1796="",$B1796=""),"",IF(ISNUMBER($A1796),MOD($A1796,100),IFERROR(VALUE(TRIM(MID(MID($A1796,FIND("/",$A1796)+1,20),FIND("/",MID($A1796,FIND("/",$A1796)+1,20))+1,20))),"")))</f>
        <v/>
      </c>
      <c r="E1796">
        <f>IF($A1796="","",IF(OR($B1796="",$C1796="",$D1796="",$B1796&lt;1300,$B1796&gt;1500,$C1796&lt;1,$C1796&gt;12,$D1796&lt;1,$D1796&gt;31),"نامعتبر",RIGHT("0000"&amp;$B1796,4)&amp;"/"&amp;RIGHT("00"&amp;$C1796,2)&amp;"/"&amp;RIGHT("00"&amp;$D1796,2)))</f>
        <v/>
      </c>
      <c r="F1796">
        <f>IF(Entry!$D1796&lt;&gt;"",IF(AND(ISNUMBER(Entry!$D1796),Entry!$D1796&gt;=0,Entry!$D1796&lt;1),RIGHT("00"&amp;HOUR(Entry!$D1796),2)&amp;":"&amp;RIGHT("00"&amp;MINUTE(Entry!$D1796),2),IFERROR(RIGHT("00"&amp;VALUE(TRIM(LEFT(Entry!$D1796,FIND(":",Entry!$D1796)-1))),2)&amp;":"&amp;RIGHT("00"&amp;VALUE(TRIM(MID(Entry!$D1796,FIND(":",Entry!$D1796)+1,2))),2),"نامعتبر")),IF(OR($E1796="",$E1796="نامعتبر"),"","00:00"))</f>
        <v/>
      </c>
      <c r="G1796">
        <f>IF(OR($E1796="",$E1796="نامعتبر"),"",IF(Entry!$E1796="","",LEFT(UPPER(TRIM(Entry!$E1796)),6)))</f>
        <v/>
      </c>
      <c r="H1796">
        <f>IF($G1796="","",RIGHT($E1796,4)&amp;MID($E1796,6,2)&amp;RIGHT($E1796,2)&amp;IF($F1796="","0000",IF($F1796="نامعتبر","9999",LEFT($F1796,2)&amp;RIGHT($F1796,2)))&amp;"|"&amp;RIGHT("00000"&amp;1788,5))</f>
        <v/>
      </c>
      <c r="I1796">
        <f>IF($H1796="","",COUNTIFS(CalcBank,$G1796,CalcKey,"&lt;"&amp;$H1796)+1)</f>
        <v/>
      </c>
      <c r="J1796">
        <f>IF($I1796="","",$G1796&amp;"|"&amp;RIGHT("000000"&amp;$I1796,6))</f>
        <v/>
      </c>
      <c r="K1796">
        <f>IF(OR($E1796="",$E1796="نامعتبر"),"",LEFT($E1796,4)&amp;"/"&amp;MID($E1796,6,2))</f>
        <v/>
      </c>
      <c r="L1796">
        <f>IF(Entry!$K1796="",0,Entry!$K1796)</f>
        <v/>
      </c>
      <c r="M1796">
        <f>IF(Entry!$L1796="",0,Entry!$L1796)</f>
        <v/>
      </c>
    </row>
    <row r="1797">
      <c r="A1797">
        <f>IF(Entry!$C1797="","",Entry!$C1797)</f>
        <v/>
      </c>
      <c r="B1797">
        <f>IF($A1797="","",IF(ISNUMBER($A1797),IF(AND($A1797&gt;=10000101,$A1797&lt;=99991231),INT($A1797/10000),""),IFERROR(VALUE(TRIM(LEFT($A1797,FIND("/",$A1797)-1))),"")))</f>
        <v/>
      </c>
      <c r="C1797">
        <f>IF(OR($A1797="",$B1797=""),"",IF(ISNUMBER($A1797),INT(MOD($A1797,10000)/100),IFERROR(VALUE(TRIM(LEFT(MID($A1797,FIND("/",$A1797)+1,20),FIND("/",MID($A1797,FIND("/",$A1797)+1,20))-1))),"")))</f>
        <v/>
      </c>
      <c r="D1797">
        <f>IF(OR($A1797="",$B1797=""),"",IF(ISNUMBER($A1797),MOD($A1797,100),IFERROR(VALUE(TRIM(MID(MID($A1797,FIND("/",$A1797)+1,20),FIND("/",MID($A1797,FIND("/",$A1797)+1,20))+1,20))),"")))</f>
        <v/>
      </c>
      <c r="E1797">
        <f>IF($A1797="","",IF(OR($B1797="",$C1797="",$D1797="",$B1797&lt;1300,$B1797&gt;1500,$C1797&lt;1,$C1797&gt;12,$D1797&lt;1,$D1797&gt;31),"نامعتبر",RIGHT("0000"&amp;$B1797,4)&amp;"/"&amp;RIGHT("00"&amp;$C1797,2)&amp;"/"&amp;RIGHT("00"&amp;$D1797,2)))</f>
        <v/>
      </c>
      <c r="F1797">
        <f>IF(Entry!$D1797&lt;&gt;"",IF(AND(ISNUMBER(Entry!$D1797),Entry!$D1797&gt;=0,Entry!$D1797&lt;1),RIGHT("00"&amp;HOUR(Entry!$D1797),2)&amp;":"&amp;RIGHT("00"&amp;MINUTE(Entry!$D1797),2),IFERROR(RIGHT("00"&amp;VALUE(TRIM(LEFT(Entry!$D1797,FIND(":",Entry!$D1797)-1))),2)&amp;":"&amp;RIGHT("00"&amp;VALUE(TRIM(MID(Entry!$D1797,FIND(":",Entry!$D1797)+1,2))),2),"نامعتبر")),IF(OR($E1797="",$E1797="نامعتبر"),"","00:00"))</f>
        <v/>
      </c>
      <c r="G1797">
        <f>IF(OR($E1797="",$E1797="نامعتبر"),"",IF(Entry!$E1797="","",LEFT(UPPER(TRIM(Entry!$E1797)),6)))</f>
        <v/>
      </c>
      <c r="H1797">
        <f>IF($G1797="","",RIGHT($E1797,4)&amp;MID($E1797,6,2)&amp;RIGHT($E1797,2)&amp;IF($F1797="","0000",IF($F1797="نامعتبر","9999",LEFT($F1797,2)&amp;RIGHT($F1797,2)))&amp;"|"&amp;RIGHT("00000"&amp;1789,5))</f>
        <v/>
      </c>
      <c r="I1797">
        <f>IF($H1797="","",COUNTIFS(CalcBank,$G1797,CalcKey,"&lt;"&amp;$H1797)+1)</f>
        <v/>
      </c>
      <c r="J1797">
        <f>IF($I1797="","",$G1797&amp;"|"&amp;RIGHT("000000"&amp;$I1797,6))</f>
        <v/>
      </c>
      <c r="K1797">
        <f>IF(OR($E1797="",$E1797="نامعتبر"),"",LEFT($E1797,4)&amp;"/"&amp;MID($E1797,6,2))</f>
        <v/>
      </c>
      <c r="L1797">
        <f>IF(Entry!$K1797="",0,Entry!$K1797)</f>
        <v/>
      </c>
      <c r="M1797">
        <f>IF(Entry!$L1797="",0,Entry!$L1797)</f>
        <v/>
      </c>
    </row>
    <row r="1798">
      <c r="A1798">
        <f>IF(Entry!$C1798="","",Entry!$C1798)</f>
        <v/>
      </c>
      <c r="B1798">
        <f>IF($A1798="","",IF(ISNUMBER($A1798),IF(AND($A1798&gt;=10000101,$A1798&lt;=99991231),INT($A1798/10000),""),IFERROR(VALUE(TRIM(LEFT($A1798,FIND("/",$A1798)-1))),"")))</f>
        <v/>
      </c>
      <c r="C1798">
        <f>IF(OR($A1798="",$B1798=""),"",IF(ISNUMBER($A1798),INT(MOD($A1798,10000)/100),IFERROR(VALUE(TRIM(LEFT(MID($A1798,FIND("/",$A1798)+1,20),FIND("/",MID($A1798,FIND("/",$A1798)+1,20))-1))),"")))</f>
        <v/>
      </c>
      <c r="D1798">
        <f>IF(OR($A1798="",$B1798=""),"",IF(ISNUMBER($A1798),MOD($A1798,100),IFERROR(VALUE(TRIM(MID(MID($A1798,FIND("/",$A1798)+1,20),FIND("/",MID($A1798,FIND("/",$A1798)+1,20))+1,20))),"")))</f>
        <v/>
      </c>
      <c r="E1798">
        <f>IF($A1798="","",IF(OR($B1798="",$C1798="",$D1798="",$B1798&lt;1300,$B1798&gt;1500,$C1798&lt;1,$C1798&gt;12,$D1798&lt;1,$D1798&gt;31),"نامعتبر",RIGHT("0000"&amp;$B1798,4)&amp;"/"&amp;RIGHT("00"&amp;$C1798,2)&amp;"/"&amp;RIGHT("00"&amp;$D1798,2)))</f>
        <v/>
      </c>
      <c r="F1798">
        <f>IF(Entry!$D1798&lt;&gt;"",IF(AND(ISNUMBER(Entry!$D1798),Entry!$D1798&gt;=0,Entry!$D1798&lt;1),RIGHT("00"&amp;HOUR(Entry!$D1798),2)&amp;":"&amp;RIGHT("00"&amp;MINUTE(Entry!$D1798),2),IFERROR(RIGHT("00"&amp;VALUE(TRIM(LEFT(Entry!$D1798,FIND(":",Entry!$D1798)-1))),2)&amp;":"&amp;RIGHT("00"&amp;VALUE(TRIM(MID(Entry!$D1798,FIND(":",Entry!$D1798)+1,2))),2),"نامعتبر")),IF(OR($E1798="",$E1798="نامعتبر"),"","00:00"))</f>
        <v/>
      </c>
      <c r="G1798">
        <f>IF(OR($E1798="",$E1798="نامعتبر"),"",IF(Entry!$E1798="","",LEFT(UPPER(TRIM(Entry!$E1798)),6)))</f>
        <v/>
      </c>
      <c r="H1798">
        <f>IF($G1798="","",RIGHT($E1798,4)&amp;MID($E1798,6,2)&amp;RIGHT($E1798,2)&amp;IF($F1798="","0000",IF($F1798="نامعتبر","9999",LEFT($F1798,2)&amp;RIGHT($F1798,2)))&amp;"|"&amp;RIGHT("00000"&amp;1790,5))</f>
        <v/>
      </c>
      <c r="I1798">
        <f>IF($H1798="","",COUNTIFS(CalcBank,$G1798,CalcKey,"&lt;"&amp;$H1798)+1)</f>
        <v/>
      </c>
      <c r="J1798">
        <f>IF($I1798="","",$G1798&amp;"|"&amp;RIGHT("000000"&amp;$I1798,6))</f>
        <v/>
      </c>
      <c r="K1798">
        <f>IF(OR($E1798="",$E1798="نامعتبر"),"",LEFT($E1798,4)&amp;"/"&amp;MID($E1798,6,2))</f>
        <v/>
      </c>
      <c r="L1798">
        <f>IF(Entry!$K1798="",0,Entry!$K1798)</f>
        <v/>
      </c>
      <c r="M1798">
        <f>IF(Entry!$L1798="",0,Entry!$L1798)</f>
        <v/>
      </c>
    </row>
    <row r="1799">
      <c r="A1799">
        <f>IF(Entry!$C1799="","",Entry!$C1799)</f>
        <v/>
      </c>
      <c r="B1799">
        <f>IF($A1799="","",IF(ISNUMBER($A1799),IF(AND($A1799&gt;=10000101,$A1799&lt;=99991231),INT($A1799/10000),""),IFERROR(VALUE(TRIM(LEFT($A1799,FIND("/",$A1799)-1))),"")))</f>
        <v/>
      </c>
      <c r="C1799">
        <f>IF(OR($A1799="",$B1799=""),"",IF(ISNUMBER($A1799),INT(MOD($A1799,10000)/100),IFERROR(VALUE(TRIM(LEFT(MID($A1799,FIND("/",$A1799)+1,20),FIND("/",MID($A1799,FIND("/",$A1799)+1,20))-1))),"")))</f>
        <v/>
      </c>
      <c r="D1799">
        <f>IF(OR($A1799="",$B1799=""),"",IF(ISNUMBER($A1799),MOD($A1799,100),IFERROR(VALUE(TRIM(MID(MID($A1799,FIND("/",$A1799)+1,20),FIND("/",MID($A1799,FIND("/",$A1799)+1,20))+1,20))),"")))</f>
        <v/>
      </c>
      <c r="E1799">
        <f>IF($A1799="","",IF(OR($B1799="",$C1799="",$D1799="",$B1799&lt;1300,$B1799&gt;1500,$C1799&lt;1,$C1799&gt;12,$D1799&lt;1,$D1799&gt;31),"نامعتبر",RIGHT("0000"&amp;$B1799,4)&amp;"/"&amp;RIGHT("00"&amp;$C1799,2)&amp;"/"&amp;RIGHT("00"&amp;$D1799,2)))</f>
        <v/>
      </c>
      <c r="F1799">
        <f>IF(Entry!$D1799&lt;&gt;"",IF(AND(ISNUMBER(Entry!$D1799),Entry!$D1799&gt;=0,Entry!$D1799&lt;1),RIGHT("00"&amp;HOUR(Entry!$D1799),2)&amp;":"&amp;RIGHT("00"&amp;MINUTE(Entry!$D1799),2),IFERROR(RIGHT("00"&amp;VALUE(TRIM(LEFT(Entry!$D1799,FIND(":",Entry!$D1799)-1))),2)&amp;":"&amp;RIGHT("00"&amp;VALUE(TRIM(MID(Entry!$D1799,FIND(":",Entry!$D1799)+1,2))),2),"نامعتبر")),IF(OR($E1799="",$E1799="نامعتبر"),"","00:00"))</f>
        <v/>
      </c>
      <c r="G1799">
        <f>IF(OR($E1799="",$E1799="نامعتبر"),"",IF(Entry!$E1799="","",LEFT(UPPER(TRIM(Entry!$E1799)),6)))</f>
        <v/>
      </c>
      <c r="H1799">
        <f>IF($G1799="","",RIGHT($E1799,4)&amp;MID($E1799,6,2)&amp;RIGHT($E1799,2)&amp;IF($F1799="","0000",IF($F1799="نامعتبر","9999",LEFT($F1799,2)&amp;RIGHT($F1799,2)))&amp;"|"&amp;RIGHT("00000"&amp;1791,5))</f>
        <v/>
      </c>
      <c r="I1799">
        <f>IF($H1799="","",COUNTIFS(CalcBank,$G1799,CalcKey,"&lt;"&amp;$H1799)+1)</f>
        <v/>
      </c>
      <c r="J1799">
        <f>IF($I1799="","",$G1799&amp;"|"&amp;RIGHT("000000"&amp;$I1799,6))</f>
        <v/>
      </c>
      <c r="K1799">
        <f>IF(OR($E1799="",$E1799="نامعتبر"),"",LEFT($E1799,4)&amp;"/"&amp;MID($E1799,6,2))</f>
        <v/>
      </c>
      <c r="L1799">
        <f>IF(Entry!$K1799="",0,Entry!$K1799)</f>
        <v/>
      </c>
      <c r="M1799">
        <f>IF(Entry!$L1799="",0,Entry!$L1799)</f>
        <v/>
      </c>
    </row>
    <row r="1800">
      <c r="A1800">
        <f>IF(Entry!$C1800="","",Entry!$C1800)</f>
        <v/>
      </c>
      <c r="B1800">
        <f>IF($A1800="","",IF(ISNUMBER($A1800),IF(AND($A1800&gt;=10000101,$A1800&lt;=99991231),INT($A1800/10000),""),IFERROR(VALUE(TRIM(LEFT($A1800,FIND("/",$A1800)-1))),"")))</f>
        <v/>
      </c>
      <c r="C1800">
        <f>IF(OR($A1800="",$B1800=""),"",IF(ISNUMBER($A1800),INT(MOD($A1800,10000)/100),IFERROR(VALUE(TRIM(LEFT(MID($A1800,FIND("/",$A1800)+1,20),FIND("/",MID($A1800,FIND("/",$A1800)+1,20))-1))),"")))</f>
        <v/>
      </c>
      <c r="D1800">
        <f>IF(OR($A1800="",$B1800=""),"",IF(ISNUMBER($A1800),MOD($A1800,100),IFERROR(VALUE(TRIM(MID(MID($A1800,FIND("/",$A1800)+1,20),FIND("/",MID($A1800,FIND("/",$A1800)+1,20))+1,20))),"")))</f>
        <v/>
      </c>
      <c r="E1800">
        <f>IF($A1800="","",IF(OR($B1800="",$C1800="",$D1800="",$B1800&lt;1300,$B1800&gt;1500,$C1800&lt;1,$C1800&gt;12,$D1800&lt;1,$D1800&gt;31),"نامعتبر",RIGHT("0000"&amp;$B1800,4)&amp;"/"&amp;RIGHT("00"&amp;$C1800,2)&amp;"/"&amp;RIGHT("00"&amp;$D1800,2)))</f>
        <v/>
      </c>
      <c r="F1800">
        <f>IF(Entry!$D1800&lt;&gt;"",IF(AND(ISNUMBER(Entry!$D1800),Entry!$D1800&gt;=0,Entry!$D1800&lt;1),RIGHT("00"&amp;HOUR(Entry!$D1800),2)&amp;":"&amp;RIGHT("00"&amp;MINUTE(Entry!$D1800),2),IFERROR(RIGHT("00"&amp;VALUE(TRIM(LEFT(Entry!$D1800,FIND(":",Entry!$D1800)-1))),2)&amp;":"&amp;RIGHT("00"&amp;VALUE(TRIM(MID(Entry!$D1800,FIND(":",Entry!$D1800)+1,2))),2),"نامعتبر")),IF(OR($E1800="",$E1800="نامعتبر"),"","00:00"))</f>
        <v/>
      </c>
      <c r="G1800">
        <f>IF(OR($E1800="",$E1800="نامعتبر"),"",IF(Entry!$E1800="","",LEFT(UPPER(TRIM(Entry!$E1800)),6)))</f>
        <v/>
      </c>
      <c r="H1800">
        <f>IF($G1800="","",RIGHT($E1800,4)&amp;MID($E1800,6,2)&amp;RIGHT($E1800,2)&amp;IF($F1800="","0000",IF($F1800="نامعتبر","9999",LEFT($F1800,2)&amp;RIGHT($F1800,2)))&amp;"|"&amp;RIGHT("00000"&amp;1792,5))</f>
        <v/>
      </c>
      <c r="I1800">
        <f>IF($H1800="","",COUNTIFS(CalcBank,$G1800,CalcKey,"&lt;"&amp;$H1800)+1)</f>
        <v/>
      </c>
      <c r="J1800">
        <f>IF($I1800="","",$G1800&amp;"|"&amp;RIGHT("000000"&amp;$I1800,6))</f>
        <v/>
      </c>
      <c r="K1800">
        <f>IF(OR($E1800="",$E1800="نامعتبر"),"",LEFT($E1800,4)&amp;"/"&amp;MID($E1800,6,2))</f>
        <v/>
      </c>
      <c r="L1800">
        <f>IF(Entry!$K1800="",0,Entry!$K1800)</f>
        <v/>
      </c>
      <c r="M1800">
        <f>IF(Entry!$L1800="",0,Entry!$L1800)</f>
        <v/>
      </c>
    </row>
    <row r="1801">
      <c r="A1801">
        <f>IF(Entry!$C1801="","",Entry!$C1801)</f>
        <v/>
      </c>
      <c r="B1801">
        <f>IF($A1801="","",IF(ISNUMBER($A1801),IF(AND($A1801&gt;=10000101,$A1801&lt;=99991231),INT($A1801/10000),""),IFERROR(VALUE(TRIM(LEFT($A1801,FIND("/",$A1801)-1))),"")))</f>
        <v/>
      </c>
      <c r="C1801">
        <f>IF(OR($A1801="",$B1801=""),"",IF(ISNUMBER($A1801),INT(MOD($A1801,10000)/100),IFERROR(VALUE(TRIM(LEFT(MID($A1801,FIND("/",$A1801)+1,20),FIND("/",MID($A1801,FIND("/",$A1801)+1,20))-1))),"")))</f>
        <v/>
      </c>
      <c r="D1801">
        <f>IF(OR($A1801="",$B1801=""),"",IF(ISNUMBER($A1801),MOD($A1801,100),IFERROR(VALUE(TRIM(MID(MID($A1801,FIND("/",$A1801)+1,20),FIND("/",MID($A1801,FIND("/",$A1801)+1,20))+1,20))),"")))</f>
        <v/>
      </c>
      <c r="E1801">
        <f>IF($A1801="","",IF(OR($B1801="",$C1801="",$D1801="",$B1801&lt;1300,$B1801&gt;1500,$C1801&lt;1,$C1801&gt;12,$D1801&lt;1,$D1801&gt;31),"نامعتبر",RIGHT("0000"&amp;$B1801,4)&amp;"/"&amp;RIGHT("00"&amp;$C1801,2)&amp;"/"&amp;RIGHT("00"&amp;$D1801,2)))</f>
        <v/>
      </c>
      <c r="F1801">
        <f>IF(Entry!$D1801&lt;&gt;"",IF(AND(ISNUMBER(Entry!$D1801),Entry!$D1801&gt;=0,Entry!$D1801&lt;1),RIGHT("00"&amp;HOUR(Entry!$D1801),2)&amp;":"&amp;RIGHT("00"&amp;MINUTE(Entry!$D1801),2),IFERROR(RIGHT("00"&amp;VALUE(TRIM(LEFT(Entry!$D1801,FIND(":",Entry!$D1801)-1))),2)&amp;":"&amp;RIGHT("00"&amp;VALUE(TRIM(MID(Entry!$D1801,FIND(":",Entry!$D1801)+1,2))),2),"نامعتبر")),IF(OR($E1801="",$E1801="نامعتبر"),"","00:00"))</f>
        <v/>
      </c>
      <c r="G1801">
        <f>IF(OR($E1801="",$E1801="نامعتبر"),"",IF(Entry!$E1801="","",LEFT(UPPER(TRIM(Entry!$E1801)),6)))</f>
        <v/>
      </c>
      <c r="H1801">
        <f>IF($G1801="","",RIGHT($E1801,4)&amp;MID($E1801,6,2)&amp;RIGHT($E1801,2)&amp;IF($F1801="","0000",IF($F1801="نامعتبر","9999",LEFT($F1801,2)&amp;RIGHT($F1801,2)))&amp;"|"&amp;RIGHT("00000"&amp;1793,5))</f>
        <v/>
      </c>
      <c r="I1801">
        <f>IF($H1801="","",COUNTIFS(CalcBank,$G1801,CalcKey,"&lt;"&amp;$H1801)+1)</f>
        <v/>
      </c>
      <c r="J1801">
        <f>IF($I1801="","",$G1801&amp;"|"&amp;RIGHT("000000"&amp;$I1801,6))</f>
        <v/>
      </c>
      <c r="K1801">
        <f>IF(OR($E1801="",$E1801="نامعتبر"),"",LEFT($E1801,4)&amp;"/"&amp;MID($E1801,6,2))</f>
        <v/>
      </c>
      <c r="L1801">
        <f>IF(Entry!$K1801="",0,Entry!$K1801)</f>
        <v/>
      </c>
      <c r="M1801">
        <f>IF(Entry!$L1801="",0,Entry!$L1801)</f>
        <v/>
      </c>
    </row>
    <row r="1802">
      <c r="A1802">
        <f>IF(Entry!$C1802="","",Entry!$C1802)</f>
        <v/>
      </c>
      <c r="B1802">
        <f>IF($A1802="","",IF(ISNUMBER($A1802),IF(AND($A1802&gt;=10000101,$A1802&lt;=99991231),INT($A1802/10000),""),IFERROR(VALUE(TRIM(LEFT($A1802,FIND("/",$A1802)-1))),"")))</f>
        <v/>
      </c>
      <c r="C1802">
        <f>IF(OR($A1802="",$B1802=""),"",IF(ISNUMBER($A1802),INT(MOD($A1802,10000)/100),IFERROR(VALUE(TRIM(LEFT(MID($A1802,FIND("/",$A1802)+1,20),FIND("/",MID($A1802,FIND("/",$A1802)+1,20))-1))),"")))</f>
        <v/>
      </c>
      <c r="D1802">
        <f>IF(OR($A1802="",$B1802=""),"",IF(ISNUMBER($A1802),MOD($A1802,100),IFERROR(VALUE(TRIM(MID(MID($A1802,FIND("/",$A1802)+1,20),FIND("/",MID($A1802,FIND("/",$A1802)+1,20))+1,20))),"")))</f>
        <v/>
      </c>
      <c r="E1802">
        <f>IF($A1802="","",IF(OR($B1802="",$C1802="",$D1802="",$B1802&lt;1300,$B1802&gt;1500,$C1802&lt;1,$C1802&gt;12,$D1802&lt;1,$D1802&gt;31),"نامعتبر",RIGHT("0000"&amp;$B1802,4)&amp;"/"&amp;RIGHT("00"&amp;$C1802,2)&amp;"/"&amp;RIGHT("00"&amp;$D1802,2)))</f>
        <v/>
      </c>
      <c r="F1802">
        <f>IF(Entry!$D1802&lt;&gt;"",IF(AND(ISNUMBER(Entry!$D1802),Entry!$D1802&gt;=0,Entry!$D1802&lt;1),RIGHT("00"&amp;HOUR(Entry!$D1802),2)&amp;":"&amp;RIGHT("00"&amp;MINUTE(Entry!$D1802),2),IFERROR(RIGHT("00"&amp;VALUE(TRIM(LEFT(Entry!$D1802,FIND(":",Entry!$D1802)-1))),2)&amp;":"&amp;RIGHT("00"&amp;VALUE(TRIM(MID(Entry!$D1802,FIND(":",Entry!$D1802)+1,2))),2),"نامعتبر")),IF(OR($E1802="",$E1802="نامعتبر"),"","00:00"))</f>
        <v/>
      </c>
      <c r="G1802">
        <f>IF(OR($E1802="",$E1802="نامعتبر"),"",IF(Entry!$E1802="","",LEFT(UPPER(TRIM(Entry!$E1802)),6)))</f>
        <v/>
      </c>
      <c r="H1802">
        <f>IF($G1802="","",RIGHT($E1802,4)&amp;MID($E1802,6,2)&amp;RIGHT($E1802,2)&amp;IF($F1802="","0000",IF($F1802="نامعتبر","9999",LEFT($F1802,2)&amp;RIGHT($F1802,2)))&amp;"|"&amp;RIGHT("00000"&amp;1794,5))</f>
        <v/>
      </c>
      <c r="I1802">
        <f>IF($H1802="","",COUNTIFS(CalcBank,$G1802,CalcKey,"&lt;"&amp;$H1802)+1)</f>
        <v/>
      </c>
      <c r="J1802">
        <f>IF($I1802="","",$G1802&amp;"|"&amp;RIGHT("000000"&amp;$I1802,6))</f>
        <v/>
      </c>
      <c r="K1802">
        <f>IF(OR($E1802="",$E1802="نامعتبر"),"",LEFT($E1802,4)&amp;"/"&amp;MID($E1802,6,2))</f>
        <v/>
      </c>
      <c r="L1802">
        <f>IF(Entry!$K1802="",0,Entry!$K1802)</f>
        <v/>
      </c>
      <c r="M1802">
        <f>IF(Entry!$L1802="",0,Entry!$L1802)</f>
        <v/>
      </c>
    </row>
    <row r="1803">
      <c r="A1803">
        <f>IF(Entry!$C1803="","",Entry!$C1803)</f>
        <v/>
      </c>
      <c r="B1803">
        <f>IF($A1803="","",IF(ISNUMBER($A1803),IF(AND($A1803&gt;=10000101,$A1803&lt;=99991231),INT($A1803/10000),""),IFERROR(VALUE(TRIM(LEFT($A1803,FIND("/",$A1803)-1))),"")))</f>
        <v/>
      </c>
      <c r="C1803">
        <f>IF(OR($A1803="",$B1803=""),"",IF(ISNUMBER($A1803),INT(MOD($A1803,10000)/100),IFERROR(VALUE(TRIM(LEFT(MID($A1803,FIND("/",$A1803)+1,20),FIND("/",MID($A1803,FIND("/",$A1803)+1,20))-1))),"")))</f>
        <v/>
      </c>
      <c r="D1803">
        <f>IF(OR($A1803="",$B1803=""),"",IF(ISNUMBER($A1803),MOD($A1803,100),IFERROR(VALUE(TRIM(MID(MID($A1803,FIND("/",$A1803)+1,20),FIND("/",MID($A1803,FIND("/",$A1803)+1,20))+1,20))),"")))</f>
        <v/>
      </c>
      <c r="E1803">
        <f>IF($A1803="","",IF(OR($B1803="",$C1803="",$D1803="",$B1803&lt;1300,$B1803&gt;1500,$C1803&lt;1,$C1803&gt;12,$D1803&lt;1,$D1803&gt;31),"نامعتبر",RIGHT("0000"&amp;$B1803,4)&amp;"/"&amp;RIGHT("00"&amp;$C1803,2)&amp;"/"&amp;RIGHT("00"&amp;$D1803,2)))</f>
        <v/>
      </c>
      <c r="F1803">
        <f>IF(Entry!$D1803&lt;&gt;"",IF(AND(ISNUMBER(Entry!$D1803),Entry!$D1803&gt;=0,Entry!$D1803&lt;1),RIGHT("00"&amp;HOUR(Entry!$D1803),2)&amp;":"&amp;RIGHT("00"&amp;MINUTE(Entry!$D1803),2),IFERROR(RIGHT("00"&amp;VALUE(TRIM(LEFT(Entry!$D1803,FIND(":",Entry!$D1803)-1))),2)&amp;":"&amp;RIGHT("00"&amp;VALUE(TRIM(MID(Entry!$D1803,FIND(":",Entry!$D1803)+1,2))),2),"نامعتبر")),IF(OR($E1803="",$E1803="نامعتبر"),"","00:00"))</f>
        <v/>
      </c>
      <c r="G1803">
        <f>IF(OR($E1803="",$E1803="نامعتبر"),"",IF(Entry!$E1803="","",LEFT(UPPER(TRIM(Entry!$E1803)),6)))</f>
        <v/>
      </c>
      <c r="H1803">
        <f>IF($G1803="","",RIGHT($E1803,4)&amp;MID($E1803,6,2)&amp;RIGHT($E1803,2)&amp;IF($F1803="","0000",IF($F1803="نامعتبر","9999",LEFT($F1803,2)&amp;RIGHT($F1803,2)))&amp;"|"&amp;RIGHT("00000"&amp;1795,5))</f>
        <v/>
      </c>
      <c r="I1803">
        <f>IF($H1803="","",COUNTIFS(CalcBank,$G1803,CalcKey,"&lt;"&amp;$H1803)+1)</f>
        <v/>
      </c>
      <c r="J1803">
        <f>IF($I1803="","",$G1803&amp;"|"&amp;RIGHT("000000"&amp;$I1803,6))</f>
        <v/>
      </c>
      <c r="K1803">
        <f>IF(OR($E1803="",$E1803="نامعتبر"),"",LEFT($E1803,4)&amp;"/"&amp;MID($E1803,6,2))</f>
        <v/>
      </c>
      <c r="L1803">
        <f>IF(Entry!$K1803="",0,Entry!$K1803)</f>
        <v/>
      </c>
      <c r="M1803">
        <f>IF(Entry!$L1803="",0,Entry!$L1803)</f>
        <v/>
      </c>
    </row>
    <row r="1804">
      <c r="A1804">
        <f>IF(Entry!$C1804="","",Entry!$C1804)</f>
        <v/>
      </c>
      <c r="B1804">
        <f>IF($A1804="","",IF(ISNUMBER($A1804),IF(AND($A1804&gt;=10000101,$A1804&lt;=99991231),INT($A1804/10000),""),IFERROR(VALUE(TRIM(LEFT($A1804,FIND("/",$A1804)-1))),"")))</f>
        <v/>
      </c>
      <c r="C1804">
        <f>IF(OR($A1804="",$B1804=""),"",IF(ISNUMBER($A1804),INT(MOD($A1804,10000)/100),IFERROR(VALUE(TRIM(LEFT(MID($A1804,FIND("/",$A1804)+1,20),FIND("/",MID($A1804,FIND("/",$A1804)+1,20))-1))),"")))</f>
        <v/>
      </c>
      <c r="D1804">
        <f>IF(OR($A1804="",$B1804=""),"",IF(ISNUMBER($A1804),MOD($A1804,100),IFERROR(VALUE(TRIM(MID(MID($A1804,FIND("/",$A1804)+1,20),FIND("/",MID($A1804,FIND("/",$A1804)+1,20))+1,20))),"")))</f>
        <v/>
      </c>
      <c r="E1804">
        <f>IF($A1804="","",IF(OR($B1804="",$C1804="",$D1804="",$B1804&lt;1300,$B1804&gt;1500,$C1804&lt;1,$C1804&gt;12,$D1804&lt;1,$D1804&gt;31),"نامعتبر",RIGHT("0000"&amp;$B1804,4)&amp;"/"&amp;RIGHT("00"&amp;$C1804,2)&amp;"/"&amp;RIGHT("00"&amp;$D1804,2)))</f>
        <v/>
      </c>
      <c r="F1804">
        <f>IF(Entry!$D1804&lt;&gt;"",IF(AND(ISNUMBER(Entry!$D1804),Entry!$D1804&gt;=0,Entry!$D1804&lt;1),RIGHT("00"&amp;HOUR(Entry!$D1804),2)&amp;":"&amp;RIGHT("00"&amp;MINUTE(Entry!$D1804),2),IFERROR(RIGHT("00"&amp;VALUE(TRIM(LEFT(Entry!$D1804,FIND(":",Entry!$D1804)-1))),2)&amp;":"&amp;RIGHT("00"&amp;VALUE(TRIM(MID(Entry!$D1804,FIND(":",Entry!$D1804)+1,2))),2),"نامعتبر")),IF(OR($E1804="",$E1804="نامعتبر"),"","00:00"))</f>
        <v/>
      </c>
      <c r="G1804">
        <f>IF(OR($E1804="",$E1804="نامعتبر"),"",IF(Entry!$E1804="","",LEFT(UPPER(TRIM(Entry!$E1804)),6)))</f>
        <v/>
      </c>
      <c r="H1804">
        <f>IF($G1804="","",RIGHT($E1804,4)&amp;MID($E1804,6,2)&amp;RIGHT($E1804,2)&amp;IF($F1804="","0000",IF($F1804="نامعتبر","9999",LEFT($F1804,2)&amp;RIGHT($F1804,2)))&amp;"|"&amp;RIGHT("00000"&amp;1796,5))</f>
        <v/>
      </c>
      <c r="I1804">
        <f>IF($H1804="","",COUNTIFS(CalcBank,$G1804,CalcKey,"&lt;"&amp;$H1804)+1)</f>
        <v/>
      </c>
      <c r="J1804">
        <f>IF($I1804="","",$G1804&amp;"|"&amp;RIGHT("000000"&amp;$I1804,6))</f>
        <v/>
      </c>
      <c r="K1804">
        <f>IF(OR($E1804="",$E1804="نامعتبر"),"",LEFT($E1804,4)&amp;"/"&amp;MID($E1804,6,2))</f>
        <v/>
      </c>
      <c r="L1804">
        <f>IF(Entry!$K1804="",0,Entry!$K1804)</f>
        <v/>
      </c>
      <c r="M1804">
        <f>IF(Entry!$L1804="",0,Entry!$L1804)</f>
        <v/>
      </c>
    </row>
    <row r="1805">
      <c r="A1805">
        <f>IF(Entry!$C1805="","",Entry!$C1805)</f>
        <v/>
      </c>
      <c r="B1805">
        <f>IF($A1805="","",IF(ISNUMBER($A1805),IF(AND($A1805&gt;=10000101,$A1805&lt;=99991231),INT($A1805/10000),""),IFERROR(VALUE(TRIM(LEFT($A1805,FIND("/",$A1805)-1))),"")))</f>
        <v/>
      </c>
      <c r="C1805">
        <f>IF(OR($A1805="",$B1805=""),"",IF(ISNUMBER($A1805),INT(MOD($A1805,10000)/100),IFERROR(VALUE(TRIM(LEFT(MID($A1805,FIND("/",$A1805)+1,20),FIND("/",MID($A1805,FIND("/",$A1805)+1,20))-1))),"")))</f>
        <v/>
      </c>
      <c r="D1805">
        <f>IF(OR($A1805="",$B1805=""),"",IF(ISNUMBER($A1805),MOD($A1805,100),IFERROR(VALUE(TRIM(MID(MID($A1805,FIND("/",$A1805)+1,20),FIND("/",MID($A1805,FIND("/",$A1805)+1,20))+1,20))),"")))</f>
        <v/>
      </c>
      <c r="E1805">
        <f>IF($A1805="","",IF(OR($B1805="",$C1805="",$D1805="",$B1805&lt;1300,$B1805&gt;1500,$C1805&lt;1,$C1805&gt;12,$D1805&lt;1,$D1805&gt;31),"نامعتبر",RIGHT("0000"&amp;$B1805,4)&amp;"/"&amp;RIGHT("00"&amp;$C1805,2)&amp;"/"&amp;RIGHT("00"&amp;$D1805,2)))</f>
        <v/>
      </c>
      <c r="F1805">
        <f>IF(Entry!$D1805&lt;&gt;"",IF(AND(ISNUMBER(Entry!$D1805),Entry!$D1805&gt;=0,Entry!$D1805&lt;1),RIGHT("00"&amp;HOUR(Entry!$D1805),2)&amp;":"&amp;RIGHT("00"&amp;MINUTE(Entry!$D1805),2),IFERROR(RIGHT("00"&amp;VALUE(TRIM(LEFT(Entry!$D1805,FIND(":",Entry!$D1805)-1))),2)&amp;":"&amp;RIGHT("00"&amp;VALUE(TRIM(MID(Entry!$D1805,FIND(":",Entry!$D1805)+1,2))),2),"نامعتبر")),IF(OR($E1805="",$E1805="نامعتبر"),"","00:00"))</f>
        <v/>
      </c>
      <c r="G1805">
        <f>IF(OR($E1805="",$E1805="نامعتبر"),"",IF(Entry!$E1805="","",LEFT(UPPER(TRIM(Entry!$E1805)),6)))</f>
        <v/>
      </c>
      <c r="H1805">
        <f>IF($G1805="","",RIGHT($E1805,4)&amp;MID($E1805,6,2)&amp;RIGHT($E1805,2)&amp;IF($F1805="","0000",IF($F1805="نامعتبر","9999",LEFT($F1805,2)&amp;RIGHT($F1805,2)))&amp;"|"&amp;RIGHT("00000"&amp;1797,5))</f>
        <v/>
      </c>
      <c r="I1805">
        <f>IF($H1805="","",COUNTIFS(CalcBank,$G1805,CalcKey,"&lt;"&amp;$H1805)+1)</f>
        <v/>
      </c>
      <c r="J1805">
        <f>IF($I1805="","",$G1805&amp;"|"&amp;RIGHT("000000"&amp;$I1805,6))</f>
        <v/>
      </c>
      <c r="K1805">
        <f>IF(OR($E1805="",$E1805="نامعتبر"),"",LEFT($E1805,4)&amp;"/"&amp;MID($E1805,6,2))</f>
        <v/>
      </c>
      <c r="L1805">
        <f>IF(Entry!$K1805="",0,Entry!$K1805)</f>
        <v/>
      </c>
      <c r="M1805">
        <f>IF(Entry!$L1805="",0,Entry!$L1805)</f>
        <v/>
      </c>
    </row>
    <row r="1806">
      <c r="A1806">
        <f>IF(Entry!$C1806="","",Entry!$C1806)</f>
        <v/>
      </c>
      <c r="B1806">
        <f>IF($A1806="","",IF(ISNUMBER($A1806),IF(AND($A1806&gt;=10000101,$A1806&lt;=99991231),INT($A1806/10000),""),IFERROR(VALUE(TRIM(LEFT($A1806,FIND("/",$A1806)-1))),"")))</f>
        <v/>
      </c>
      <c r="C1806">
        <f>IF(OR($A1806="",$B1806=""),"",IF(ISNUMBER($A1806),INT(MOD($A1806,10000)/100),IFERROR(VALUE(TRIM(LEFT(MID($A1806,FIND("/",$A1806)+1,20),FIND("/",MID($A1806,FIND("/",$A1806)+1,20))-1))),"")))</f>
        <v/>
      </c>
      <c r="D1806">
        <f>IF(OR($A1806="",$B1806=""),"",IF(ISNUMBER($A1806),MOD($A1806,100),IFERROR(VALUE(TRIM(MID(MID($A1806,FIND("/",$A1806)+1,20),FIND("/",MID($A1806,FIND("/",$A1806)+1,20))+1,20))),"")))</f>
        <v/>
      </c>
      <c r="E1806">
        <f>IF($A1806="","",IF(OR($B1806="",$C1806="",$D1806="",$B1806&lt;1300,$B1806&gt;1500,$C1806&lt;1,$C1806&gt;12,$D1806&lt;1,$D1806&gt;31),"نامعتبر",RIGHT("0000"&amp;$B1806,4)&amp;"/"&amp;RIGHT("00"&amp;$C1806,2)&amp;"/"&amp;RIGHT("00"&amp;$D1806,2)))</f>
        <v/>
      </c>
      <c r="F1806">
        <f>IF(Entry!$D1806&lt;&gt;"",IF(AND(ISNUMBER(Entry!$D1806),Entry!$D1806&gt;=0,Entry!$D1806&lt;1),RIGHT("00"&amp;HOUR(Entry!$D1806),2)&amp;":"&amp;RIGHT("00"&amp;MINUTE(Entry!$D1806),2),IFERROR(RIGHT("00"&amp;VALUE(TRIM(LEFT(Entry!$D1806,FIND(":",Entry!$D1806)-1))),2)&amp;":"&amp;RIGHT("00"&amp;VALUE(TRIM(MID(Entry!$D1806,FIND(":",Entry!$D1806)+1,2))),2),"نامعتبر")),IF(OR($E1806="",$E1806="نامعتبر"),"","00:00"))</f>
        <v/>
      </c>
      <c r="G1806">
        <f>IF(OR($E1806="",$E1806="نامعتبر"),"",IF(Entry!$E1806="","",LEFT(UPPER(TRIM(Entry!$E1806)),6)))</f>
        <v/>
      </c>
      <c r="H1806">
        <f>IF($G1806="","",RIGHT($E1806,4)&amp;MID($E1806,6,2)&amp;RIGHT($E1806,2)&amp;IF($F1806="","0000",IF($F1806="نامعتبر","9999",LEFT($F1806,2)&amp;RIGHT($F1806,2)))&amp;"|"&amp;RIGHT("00000"&amp;1798,5))</f>
        <v/>
      </c>
      <c r="I1806">
        <f>IF($H1806="","",COUNTIFS(CalcBank,$G1806,CalcKey,"&lt;"&amp;$H1806)+1)</f>
        <v/>
      </c>
      <c r="J1806">
        <f>IF($I1806="","",$G1806&amp;"|"&amp;RIGHT("000000"&amp;$I1806,6))</f>
        <v/>
      </c>
      <c r="K1806">
        <f>IF(OR($E1806="",$E1806="نامعتبر"),"",LEFT($E1806,4)&amp;"/"&amp;MID($E1806,6,2))</f>
        <v/>
      </c>
      <c r="L1806">
        <f>IF(Entry!$K1806="",0,Entry!$K1806)</f>
        <v/>
      </c>
      <c r="M1806">
        <f>IF(Entry!$L1806="",0,Entry!$L1806)</f>
        <v/>
      </c>
    </row>
    <row r="1807">
      <c r="A1807">
        <f>IF(Entry!$C1807="","",Entry!$C1807)</f>
        <v/>
      </c>
      <c r="B1807">
        <f>IF($A1807="","",IF(ISNUMBER($A1807),IF(AND($A1807&gt;=10000101,$A1807&lt;=99991231),INT($A1807/10000),""),IFERROR(VALUE(TRIM(LEFT($A1807,FIND("/",$A1807)-1))),"")))</f>
        <v/>
      </c>
      <c r="C1807">
        <f>IF(OR($A1807="",$B1807=""),"",IF(ISNUMBER($A1807),INT(MOD($A1807,10000)/100),IFERROR(VALUE(TRIM(LEFT(MID($A1807,FIND("/",$A1807)+1,20),FIND("/",MID($A1807,FIND("/",$A1807)+1,20))-1))),"")))</f>
        <v/>
      </c>
      <c r="D1807">
        <f>IF(OR($A1807="",$B1807=""),"",IF(ISNUMBER($A1807),MOD($A1807,100),IFERROR(VALUE(TRIM(MID(MID($A1807,FIND("/",$A1807)+1,20),FIND("/",MID($A1807,FIND("/",$A1807)+1,20))+1,20))),"")))</f>
        <v/>
      </c>
      <c r="E1807">
        <f>IF($A1807="","",IF(OR($B1807="",$C1807="",$D1807="",$B1807&lt;1300,$B1807&gt;1500,$C1807&lt;1,$C1807&gt;12,$D1807&lt;1,$D1807&gt;31),"نامعتبر",RIGHT("0000"&amp;$B1807,4)&amp;"/"&amp;RIGHT("00"&amp;$C1807,2)&amp;"/"&amp;RIGHT("00"&amp;$D1807,2)))</f>
        <v/>
      </c>
      <c r="F1807">
        <f>IF(Entry!$D1807&lt;&gt;"",IF(AND(ISNUMBER(Entry!$D1807),Entry!$D1807&gt;=0,Entry!$D1807&lt;1),RIGHT("00"&amp;HOUR(Entry!$D1807),2)&amp;":"&amp;RIGHT("00"&amp;MINUTE(Entry!$D1807),2),IFERROR(RIGHT("00"&amp;VALUE(TRIM(LEFT(Entry!$D1807,FIND(":",Entry!$D1807)-1))),2)&amp;":"&amp;RIGHT("00"&amp;VALUE(TRIM(MID(Entry!$D1807,FIND(":",Entry!$D1807)+1,2))),2),"نامعتبر")),IF(OR($E1807="",$E1807="نامعتبر"),"","00:00"))</f>
        <v/>
      </c>
      <c r="G1807">
        <f>IF(OR($E1807="",$E1807="نامعتبر"),"",IF(Entry!$E1807="","",LEFT(UPPER(TRIM(Entry!$E1807)),6)))</f>
        <v/>
      </c>
      <c r="H1807">
        <f>IF($G1807="","",RIGHT($E1807,4)&amp;MID($E1807,6,2)&amp;RIGHT($E1807,2)&amp;IF($F1807="","0000",IF($F1807="نامعتبر","9999",LEFT($F1807,2)&amp;RIGHT($F1807,2)))&amp;"|"&amp;RIGHT("00000"&amp;1799,5))</f>
        <v/>
      </c>
      <c r="I1807">
        <f>IF($H1807="","",COUNTIFS(CalcBank,$G1807,CalcKey,"&lt;"&amp;$H1807)+1)</f>
        <v/>
      </c>
      <c r="J1807">
        <f>IF($I1807="","",$G1807&amp;"|"&amp;RIGHT("000000"&amp;$I1807,6))</f>
        <v/>
      </c>
      <c r="K1807">
        <f>IF(OR($E1807="",$E1807="نامعتبر"),"",LEFT($E1807,4)&amp;"/"&amp;MID($E1807,6,2))</f>
        <v/>
      </c>
      <c r="L1807">
        <f>IF(Entry!$K1807="",0,Entry!$K1807)</f>
        <v/>
      </c>
      <c r="M1807">
        <f>IF(Entry!$L1807="",0,Entry!$L1807)</f>
        <v/>
      </c>
    </row>
    <row r="1808">
      <c r="A1808">
        <f>IF(Entry!$C1808="","",Entry!$C1808)</f>
        <v/>
      </c>
      <c r="B1808">
        <f>IF($A1808="","",IF(ISNUMBER($A1808),IF(AND($A1808&gt;=10000101,$A1808&lt;=99991231),INT($A1808/10000),""),IFERROR(VALUE(TRIM(LEFT($A1808,FIND("/",$A1808)-1))),"")))</f>
        <v/>
      </c>
      <c r="C1808">
        <f>IF(OR($A1808="",$B1808=""),"",IF(ISNUMBER($A1808),INT(MOD($A1808,10000)/100),IFERROR(VALUE(TRIM(LEFT(MID($A1808,FIND("/",$A1808)+1,20),FIND("/",MID($A1808,FIND("/",$A1808)+1,20))-1))),"")))</f>
        <v/>
      </c>
      <c r="D1808">
        <f>IF(OR($A1808="",$B1808=""),"",IF(ISNUMBER($A1808),MOD($A1808,100),IFERROR(VALUE(TRIM(MID(MID($A1808,FIND("/",$A1808)+1,20),FIND("/",MID($A1808,FIND("/",$A1808)+1,20))+1,20))),"")))</f>
        <v/>
      </c>
      <c r="E1808">
        <f>IF($A1808="","",IF(OR($B1808="",$C1808="",$D1808="",$B1808&lt;1300,$B1808&gt;1500,$C1808&lt;1,$C1808&gt;12,$D1808&lt;1,$D1808&gt;31),"نامعتبر",RIGHT("0000"&amp;$B1808,4)&amp;"/"&amp;RIGHT("00"&amp;$C1808,2)&amp;"/"&amp;RIGHT("00"&amp;$D1808,2)))</f>
        <v/>
      </c>
      <c r="F1808">
        <f>IF(Entry!$D1808&lt;&gt;"",IF(AND(ISNUMBER(Entry!$D1808),Entry!$D1808&gt;=0,Entry!$D1808&lt;1),RIGHT("00"&amp;HOUR(Entry!$D1808),2)&amp;":"&amp;RIGHT("00"&amp;MINUTE(Entry!$D1808),2),IFERROR(RIGHT("00"&amp;VALUE(TRIM(LEFT(Entry!$D1808,FIND(":",Entry!$D1808)-1))),2)&amp;":"&amp;RIGHT("00"&amp;VALUE(TRIM(MID(Entry!$D1808,FIND(":",Entry!$D1808)+1,2))),2),"نامعتبر")),IF(OR($E1808="",$E1808="نامعتبر"),"","00:00"))</f>
        <v/>
      </c>
      <c r="G1808">
        <f>IF(OR($E1808="",$E1808="نامعتبر"),"",IF(Entry!$E1808="","",LEFT(UPPER(TRIM(Entry!$E1808)),6)))</f>
        <v/>
      </c>
      <c r="H1808">
        <f>IF($G1808="","",RIGHT($E1808,4)&amp;MID($E1808,6,2)&amp;RIGHT($E1808,2)&amp;IF($F1808="","0000",IF($F1808="نامعتبر","9999",LEFT($F1808,2)&amp;RIGHT($F1808,2)))&amp;"|"&amp;RIGHT("00000"&amp;1800,5))</f>
        <v/>
      </c>
      <c r="I1808">
        <f>IF($H1808="","",COUNTIFS(CalcBank,$G1808,CalcKey,"&lt;"&amp;$H1808)+1)</f>
        <v/>
      </c>
      <c r="J1808">
        <f>IF($I1808="","",$G1808&amp;"|"&amp;RIGHT("000000"&amp;$I1808,6))</f>
        <v/>
      </c>
      <c r="K1808">
        <f>IF(OR($E1808="",$E1808="نامعتبر"),"",LEFT($E1808,4)&amp;"/"&amp;MID($E1808,6,2))</f>
        <v/>
      </c>
      <c r="L1808">
        <f>IF(Entry!$K1808="",0,Entry!$K1808)</f>
        <v/>
      </c>
      <c r="M1808">
        <f>IF(Entry!$L1808="",0,Entry!$L1808)</f>
        <v/>
      </c>
    </row>
    <row r="1809">
      <c r="A1809">
        <f>IF(Entry!$C1809="","",Entry!$C1809)</f>
        <v/>
      </c>
      <c r="B1809">
        <f>IF($A1809="","",IF(ISNUMBER($A1809),IF(AND($A1809&gt;=10000101,$A1809&lt;=99991231),INT($A1809/10000),""),IFERROR(VALUE(TRIM(LEFT($A1809,FIND("/",$A1809)-1))),"")))</f>
        <v/>
      </c>
      <c r="C1809">
        <f>IF(OR($A1809="",$B1809=""),"",IF(ISNUMBER($A1809),INT(MOD($A1809,10000)/100),IFERROR(VALUE(TRIM(LEFT(MID($A1809,FIND("/",$A1809)+1,20),FIND("/",MID($A1809,FIND("/",$A1809)+1,20))-1))),"")))</f>
        <v/>
      </c>
      <c r="D1809">
        <f>IF(OR($A1809="",$B1809=""),"",IF(ISNUMBER($A1809),MOD($A1809,100),IFERROR(VALUE(TRIM(MID(MID($A1809,FIND("/",$A1809)+1,20),FIND("/",MID($A1809,FIND("/",$A1809)+1,20))+1,20))),"")))</f>
        <v/>
      </c>
      <c r="E1809">
        <f>IF($A1809="","",IF(OR($B1809="",$C1809="",$D1809="",$B1809&lt;1300,$B1809&gt;1500,$C1809&lt;1,$C1809&gt;12,$D1809&lt;1,$D1809&gt;31),"نامعتبر",RIGHT("0000"&amp;$B1809,4)&amp;"/"&amp;RIGHT("00"&amp;$C1809,2)&amp;"/"&amp;RIGHT("00"&amp;$D1809,2)))</f>
        <v/>
      </c>
      <c r="F1809">
        <f>IF(Entry!$D1809&lt;&gt;"",IF(AND(ISNUMBER(Entry!$D1809),Entry!$D1809&gt;=0,Entry!$D1809&lt;1),RIGHT("00"&amp;HOUR(Entry!$D1809),2)&amp;":"&amp;RIGHT("00"&amp;MINUTE(Entry!$D1809),2),IFERROR(RIGHT("00"&amp;VALUE(TRIM(LEFT(Entry!$D1809,FIND(":",Entry!$D1809)-1))),2)&amp;":"&amp;RIGHT("00"&amp;VALUE(TRIM(MID(Entry!$D1809,FIND(":",Entry!$D1809)+1,2))),2),"نامعتبر")),IF(OR($E1809="",$E1809="نامعتبر"),"","00:00"))</f>
        <v/>
      </c>
      <c r="G1809">
        <f>IF(OR($E1809="",$E1809="نامعتبر"),"",IF(Entry!$E1809="","",LEFT(UPPER(TRIM(Entry!$E1809)),6)))</f>
        <v/>
      </c>
      <c r="H1809">
        <f>IF($G1809="","",RIGHT($E1809,4)&amp;MID($E1809,6,2)&amp;RIGHT($E1809,2)&amp;IF($F1809="","0000",IF($F1809="نامعتبر","9999",LEFT($F1809,2)&amp;RIGHT($F1809,2)))&amp;"|"&amp;RIGHT("00000"&amp;1801,5))</f>
        <v/>
      </c>
      <c r="I1809">
        <f>IF($H1809="","",COUNTIFS(CalcBank,$G1809,CalcKey,"&lt;"&amp;$H1809)+1)</f>
        <v/>
      </c>
      <c r="J1809">
        <f>IF($I1809="","",$G1809&amp;"|"&amp;RIGHT("000000"&amp;$I1809,6))</f>
        <v/>
      </c>
      <c r="K1809">
        <f>IF(OR($E1809="",$E1809="نامعتبر"),"",LEFT($E1809,4)&amp;"/"&amp;MID($E1809,6,2))</f>
        <v/>
      </c>
      <c r="L1809">
        <f>IF(Entry!$K1809="",0,Entry!$K1809)</f>
        <v/>
      </c>
      <c r="M1809">
        <f>IF(Entry!$L1809="",0,Entry!$L1809)</f>
        <v/>
      </c>
    </row>
    <row r="1810">
      <c r="A1810">
        <f>IF(Entry!$C1810="","",Entry!$C1810)</f>
        <v/>
      </c>
      <c r="B1810">
        <f>IF($A1810="","",IF(ISNUMBER($A1810),IF(AND($A1810&gt;=10000101,$A1810&lt;=99991231),INT($A1810/10000),""),IFERROR(VALUE(TRIM(LEFT($A1810,FIND("/",$A1810)-1))),"")))</f>
        <v/>
      </c>
      <c r="C1810">
        <f>IF(OR($A1810="",$B1810=""),"",IF(ISNUMBER($A1810),INT(MOD($A1810,10000)/100),IFERROR(VALUE(TRIM(LEFT(MID($A1810,FIND("/",$A1810)+1,20),FIND("/",MID($A1810,FIND("/",$A1810)+1,20))-1))),"")))</f>
        <v/>
      </c>
      <c r="D1810">
        <f>IF(OR($A1810="",$B1810=""),"",IF(ISNUMBER($A1810),MOD($A1810,100),IFERROR(VALUE(TRIM(MID(MID($A1810,FIND("/",$A1810)+1,20),FIND("/",MID($A1810,FIND("/",$A1810)+1,20))+1,20))),"")))</f>
        <v/>
      </c>
      <c r="E1810">
        <f>IF($A1810="","",IF(OR($B1810="",$C1810="",$D1810="",$B1810&lt;1300,$B1810&gt;1500,$C1810&lt;1,$C1810&gt;12,$D1810&lt;1,$D1810&gt;31),"نامعتبر",RIGHT("0000"&amp;$B1810,4)&amp;"/"&amp;RIGHT("00"&amp;$C1810,2)&amp;"/"&amp;RIGHT("00"&amp;$D1810,2)))</f>
        <v/>
      </c>
      <c r="F1810">
        <f>IF(Entry!$D1810&lt;&gt;"",IF(AND(ISNUMBER(Entry!$D1810),Entry!$D1810&gt;=0,Entry!$D1810&lt;1),RIGHT("00"&amp;HOUR(Entry!$D1810),2)&amp;":"&amp;RIGHT("00"&amp;MINUTE(Entry!$D1810),2),IFERROR(RIGHT("00"&amp;VALUE(TRIM(LEFT(Entry!$D1810,FIND(":",Entry!$D1810)-1))),2)&amp;":"&amp;RIGHT("00"&amp;VALUE(TRIM(MID(Entry!$D1810,FIND(":",Entry!$D1810)+1,2))),2),"نامعتبر")),IF(OR($E1810="",$E1810="نامعتبر"),"","00:00"))</f>
        <v/>
      </c>
      <c r="G1810">
        <f>IF(OR($E1810="",$E1810="نامعتبر"),"",IF(Entry!$E1810="","",LEFT(UPPER(TRIM(Entry!$E1810)),6)))</f>
        <v/>
      </c>
      <c r="H1810">
        <f>IF($G1810="","",RIGHT($E1810,4)&amp;MID($E1810,6,2)&amp;RIGHT($E1810,2)&amp;IF($F1810="","0000",IF($F1810="نامعتبر","9999",LEFT($F1810,2)&amp;RIGHT($F1810,2)))&amp;"|"&amp;RIGHT("00000"&amp;1802,5))</f>
        <v/>
      </c>
      <c r="I1810">
        <f>IF($H1810="","",COUNTIFS(CalcBank,$G1810,CalcKey,"&lt;"&amp;$H1810)+1)</f>
        <v/>
      </c>
      <c r="J1810">
        <f>IF($I1810="","",$G1810&amp;"|"&amp;RIGHT("000000"&amp;$I1810,6))</f>
        <v/>
      </c>
      <c r="K1810">
        <f>IF(OR($E1810="",$E1810="نامعتبر"),"",LEFT($E1810,4)&amp;"/"&amp;MID($E1810,6,2))</f>
        <v/>
      </c>
      <c r="L1810">
        <f>IF(Entry!$K1810="",0,Entry!$K1810)</f>
        <v/>
      </c>
      <c r="M1810">
        <f>IF(Entry!$L1810="",0,Entry!$L1810)</f>
        <v/>
      </c>
    </row>
    <row r="1811">
      <c r="A1811">
        <f>IF(Entry!$C1811="","",Entry!$C1811)</f>
        <v/>
      </c>
      <c r="B1811">
        <f>IF($A1811="","",IF(ISNUMBER($A1811),IF(AND($A1811&gt;=10000101,$A1811&lt;=99991231),INT($A1811/10000),""),IFERROR(VALUE(TRIM(LEFT($A1811,FIND("/",$A1811)-1))),"")))</f>
        <v/>
      </c>
      <c r="C1811">
        <f>IF(OR($A1811="",$B1811=""),"",IF(ISNUMBER($A1811),INT(MOD($A1811,10000)/100),IFERROR(VALUE(TRIM(LEFT(MID($A1811,FIND("/",$A1811)+1,20),FIND("/",MID($A1811,FIND("/",$A1811)+1,20))-1))),"")))</f>
        <v/>
      </c>
      <c r="D1811">
        <f>IF(OR($A1811="",$B1811=""),"",IF(ISNUMBER($A1811),MOD($A1811,100),IFERROR(VALUE(TRIM(MID(MID($A1811,FIND("/",$A1811)+1,20),FIND("/",MID($A1811,FIND("/",$A1811)+1,20))+1,20))),"")))</f>
        <v/>
      </c>
      <c r="E1811">
        <f>IF($A1811="","",IF(OR($B1811="",$C1811="",$D1811="",$B1811&lt;1300,$B1811&gt;1500,$C1811&lt;1,$C1811&gt;12,$D1811&lt;1,$D1811&gt;31),"نامعتبر",RIGHT("0000"&amp;$B1811,4)&amp;"/"&amp;RIGHT("00"&amp;$C1811,2)&amp;"/"&amp;RIGHT("00"&amp;$D1811,2)))</f>
        <v/>
      </c>
      <c r="F1811">
        <f>IF(Entry!$D1811&lt;&gt;"",IF(AND(ISNUMBER(Entry!$D1811),Entry!$D1811&gt;=0,Entry!$D1811&lt;1),RIGHT("00"&amp;HOUR(Entry!$D1811),2)&amp;":"&amp;RIGHT("00"&amp;MINUTE(Entry!$D1811),2),IFERROR(RIGHT("00"&amp;VALUE(TRIM(LEFT(Entry!$D1811,FIND(":",Entry!$D1811)-1))),2)&amp;":"&amp;RIGHT("00"&amp;VALUE(TRIM(MID(Entry!$D1811,FIND(":",Entry!$D1811)+1,2))),2),"نامعتبر")),IF(OR($E1811="",$E1811="نامعتبر"),"","00:00"))</f>
        <v/>
      </c>
      <c r="G1811">
        <f>IF(OR($E1811="",$E1811="نامعتبر"),"",IF(Entry!$E1811="","",LEFT(UPPER(TRIM(Entry!$E1811)),6)))</f>
        <v/>
      </c>
      <c r="H1811">
        <f>IF($G1811="","",RIGHT($E1811,4)&amp;MID($E1811,6,2)&amp;RIGHT($E1811,2)&amp;IF($F1811="","0000",IF($F1811="نامعتبر","9999",LEFT($F1811,2)&amp;RIGHT($F1811,2)))&amp;"|"&amp;RIGHT("00000"&amp;1803,5))</f>
        <v/>
      </c>
      <c r="I1811">
        <f>IF($H1811="","",COUNTIFS(CalcBank,$G1811,CalcKey,"&lt;"&amp;$H1811)+1)</f>
        <v/>
      </c>
      <c r="J1811">
        <f>IF($I1811="","",$G1811&amp;"|"&amp;RIGHT("000000"&amp;$I1811,6))</f>
        <v/>
      </c>
      <c r="K1811">
        <f>IF(OR($E1811="",$E1811="نامعتبر"),"",LEFT($E1811,4)&amp;"/"&amp;MID($E1811,6,2))</f>
        <v/>
      </c>
      <c r="L1811">
        <f>IF(Entry!$K1811="",0,Entry!$K1811)</f>
        <v/>
      </c>
      <c r="M1811">
        <f>IF(Entry!$L1811="",0,Entry!$L1811)</f>
        <v/>
      </c>
    </row>
    <row r="1812">
      <c r="A1812">
        <f>IF(Entry!$C1812="","",Entry!$C1812)</f>
        <v/>
      </c>
      <c r="B1812">
        <f>IF($A1812="","",IF(ISNUMBER($A1812),IF(AND($A1812&gt;=10000101,$A1812&lt;=99991231),INT($A1812/10000),""),IFERROR(VALUE(TRIM(LEFT($A1812,FIND("/",$A1812)-1))),"")))</f>
        <v/>
      </c>
      <c r="C1812">
        <f>IF(OR($A1812="",$B1812=""),"",IF(ISNUMBER($A1812),INT(MOD($A1812,10000)/100),IFERROR(VALUE(TRIM(LEFT(MID($A1812,FIND("/",$A1812)+1,20),FIND("/",MID($A1812,FIND("/",$A1812)+1,20))-1))),"")))</f>
        <v/>
      </c>
      <c r="D1812">
        <f>IF(OR($A1812="",$B1812=""),"",IF(ISNUMBER($A1812),MOD($A1812,100),IFERROR(VALUE(TRIM(MID(MID($A1812,FIND("/",$A1812)+1,20),FIND("/",MID($A1812,FIND("/",$A1812)+1,20))+1,20))),"")))</f>
        <v/>
      </c>
      <c r="E1812">
        <f>IF($A1812="","",IF(OR($B1812="",$C1812="",$D1812="",$B1812&lt;1300,$B1812&gt;1500,$C1812&lt;1,$C1812&gt;12,$D1812&lt;1,$D1812&gt;31),"نامعتبر",RIGHT("0000"&amp;$B1812,4)&amp;"/"&amp;RIGHT("00"&amp;$C1812,2)&amp;"/"&amp;RIGHT("00"&amp;$D1812,2)))</f>
        <v/>
      </c>
      <c r="F1812">
        <f>IF(Entry!$D1812&lt;&gt;"",IF(AND(ISNUMBER(Entry!$D1812),Entry!$D1812&gt;=0,Entry!$D1812&lt;1),RIGHT("00"&amp;HOUR(Entry!$D1812),2)&amp;":"&amp;RIGHT("00"&amp;MINUTE(Entry!$D1812),2),IFERROR(RIGHT("00"&amp;VALUE(TRIM(LEFT(Entry!$D1812,FIND(":",Entry!$D1812)-1))),2)&amp;":"&amp;RIGHT("00"&amp;VALUE(TRIM(MID(Entry!$D1812,FIND(":",Entry!$D1812)+1,2))),2),"نامعتبر")),IF(OR($E1812="",$E1812="نامعتبر"),"","00:00"))</f>
        <v/>
      </c>
      <c r="G1812">
        <f>IF(OR($E1812="",$E1812="نامعتبر"),"",IF(Entry!$E1812="","",LEFT(UPPER(TRIM(Entry!$E1812)),6)))</f>
        <v/>
      </c>
      <c r="H1812">
        <f>IF($G1812="","",RIGHT($E1812,4)&amp;MID($E1812,6,2)&amp;RIGHT($E1812,2)&amp;IF($F1812="","0000",IF($F1812="نامعتبر","9999",LEFT($F1812,2)&amp;RIGHT($F1812,2)))&amp;"|"&amp;RIGHT("00000"&amp;1804,5))</f>
        <v/>
      </c>
      <c r="I1812">
        <f>IF($H1812="","",COUNTIFS(CalcBank,$G1812,CalcKey,"&lt;"&amp;$H1812)+1)</f>
        <v/>
      </c>
      <c r="J1812">
        <f>IF($I1812="","",$G1812&amp;"|"&amp;RIGHT("000000"&amp;$I1812,6))</f>
        <v/>
      </c>
      <c r="K1812">
        <f>IF(OR($E1812="",$E1812="نامعتبر"),"",LEFT($E1812,4)&amp;"/"&amp;MID($E1812,6,2))</f>
        <v/>
      </c>
      <c r="L1812">
        <f>IF(Entry!$K1812="",0,Entry!$K1812)</f>
        <v/>
      </c>
      <c r="M1812">
        <f>IF(Entry!$L1812="",0,Entry!$L1812)</f>
        <v/>
      </c>
    </row>
    <row r="1813">
      <c r="A1813">
        <f>IF(Entry!$C1813="","",Entry!$C1813)</f>
        <v/>
      </c>
      <c r="B1813">
        <f>IF($A1813="","",IF(ISNUMBER($A1813),IF(AND($A1813&gt;=10000101,$A1813&lt;=99991231),INT($A1813/10000),""),IFERROR(VALUE(TRIM(LEFT($A1813,FIND("/",$A1813)-1))),"")))</f>
        <v/>
      </c>
      <c r="C1813">
        <f>IF(OR($A1813="",$B1813=""),"",IF(ISNUMBER($A1813),INT(MOD($A1813,10000)/100),IFERROR(VALUE(TRIM(LEFT(MID($A1813,FIND("/",$A1813)+1,20),FIND("/",MID($A1813,FIND("/",$A1813)+1,20))-1))),"")))</f>
        <v/>
      </c>
      <c r="D1813">
        <f>IF(OR($A1813="",$B1813=""),"",IF(ISNUMBER($A1813),MOD($A1813,100),IFERROR(VALUE(TRIM(MID(MID($A1813,FIND("/",$A1813)+1,20),FIND("/",MID($A1813,FIND("/",$A1813)+1,20))+1,20))),"")))</f>
        <v/>
      </c>
      <c r="E1813">
        <f>IF($A1813="","",IF(OR($B1813="",$C1813="",$D1813="",$B1813&lt;1300,$B1813&gt;1500,$C1813&lt;1,$C1813&gt;12,$D1813&lt;1,$D1813&gt;31),"نامعتبر",RIGHT("0000"&amp;$B1813,4)&amp;"/"&amp;RIGHT("00"&amp;$C1813,2)&amp;"/"&amp;RIGHT("00"&amp;$D1813,2)))</f>
        <v/>
      </c>
      <c r="F1813">
        <f>IF(Entry!$D1813&lt;&gt;"",IF(AND(ISNUMBER(Entry!$D1813),Entry!$D1813&gt;=0,Entry!$D1813&lt;1),RIGHT("00"&amp;HOUR(Entry!$D1813),2)&amp;":"&amp;RIGHT("00"&amp;MINUTE(Entry!$D1813),2),IFERROR(RIGHT("00"&amp;VALUE(TRIM(LEFT(Entry!$D1813,FIND(":",Entry!$D1813)-1))),2)&amp;":"&amp;RIGHT("00"&amp;VALUE(TRIM(MID(Entry!$D1813,FIND(":",Entry!$D1813)+1,2))),2),"نامعتبر")),IF(OR($E1813="",$E1813="نامعتبر"),"","00:00"))</f>
        <v/>
      </c>
      <c r="G1813">
        <f>IF(OR($E1813="",$E1813="نامعتبر"),"",IF(Entry!$E1813="","",LEFT(UPPER(TRIM(Entry!$E1813)),6)))</f>
        <v/>
      </c>
      <c r="H1813">
        <f>IF($G1813="","",RIGHT($E1813,4)&amp;MID($E1813,6,2)&amp;RIGHT($E1813,2)&amp;IF($F1813="","0000",IF($F1813="نامعتبر","9999",LEFT($F1813,2)&amp;RIGHT($F1813,2)))&amp;"|"&amp;RIGHT("00000"&amp;1805,5))</f>
        <v/>
      </c>
      <c r="I1813">
        <f>IF($H1813="","",COUNTIFS(CalcBank,$G1813,CalcKey,"&lt;"&amp;$H1813)+1)</f>
        <v/>
      </c>
      <c r="J1813">
        <f>IF($I1813="","",$G1813&amp;"|"&amp;RIGHT("000000"&amp;$I1813,6))</f>
        <v/>
      </c>
      <c r="K1813">
        <f>IF(OR($E1813="",$E1813="نامعتبر"),"",LEFT($E1813,4)&amp;"/"&amp;MID($E1813,6,2))</f>
        <v/>
      </c>
      <c r="L1813">
        <f>IF(Entry!$K1813="",0,Entry!$K1813)</f>
        <v/>
      </c>
      <c r="M1813">
        <f>IF(Entry!$L1813="",0,Entry!$L1813)</f>
        <v/>
      </c>
    </row>
    <row r="1814">
      <c r="A1814">
        <f>IF(Entry!$C1814="","",Entry!$C1814)</f>
        <v/>
      </c>
      <c r="B1814">
        <f>IF($A1814="","",IF(ISNUMBER($A1814),IF(AND($A1814&gt;=10000101,$A1814&lt;=99991231),INT($A1814/10000),""),IFERROR(VALUE(TRIM(LEFT($A1814,FIND("/",$A1814)-1))),"")))</f>
        <v/>
      </c>
      <c r="C1814">
        <f>IF(OR($A1814="",$B1814=""),"",IF(ISNUMBER($A1814),INT(MOD($A1814,10000)/100),IFERROR(VALUE(TRIM(LEFT(MID($A1814,FIND("/",$A1814)+1,20),FIND("/",MID($A1814,FIND("/",$A1814)+1,20))-1))),"")))</f>
        <v/>
      </c>
      <c r="D1814">
        <f>IF(OR($A1814="",$B1814=""),"",IF(ISNUMBER($A1814),MOD($A1814,100),IFERROR(VALUE(TRIM(MID(MID($A1814,FIND("/",$A1814)+1,20),FIND("/",MID($A1814,FIND("/",$A1814)+1,20))+1,20))),"")))</f>
        <v/>
      </c>
      <c r="E1814">
        <f>IF($A1814="","",IF(OR($B1814="",$C1814="",$D1814="",$B1814&lt;1300,$B1814&gt;1500,$C1814&lt;1,$C1814&gt;12,$D1814&lt;1,$D1814&gt;31),"نامعتبر",RIGHT("0000"&amp;$B1814,4)&amp;"/"&amp;RIGHT("00"&amp;$C1814,2)&amp;"/"&amp;RIGHT("00"&amp;$D1814,2)))</f>
        <v/>
      </c>
      <c r="F1814">
        <f>IF(Entry!$D1814&lt;&gt;"",IF(AND(ISNUMBER(Entry!$D1814),Entry!$D1814&gt;=0,Entry!$D1814&lt;1),RIGHT("00"&amp;HOUR(Entry!$D1814),2)&amp;":"&amp;RIGHT("00"&amp;MINUTE(Entry!$D1814),2),IFERROR(RIGHT("00"&amp;VALUE(TRIM(LEFT(Entry!$D1814,FIND(":",Entry!$D1814)-1))),2)&amp;":"&amp;RIGHT("00"&amp;VALUE(TRIM(MID(Entry!$D1814,FIND(":",Entry!$D1814)+1,2))),2),"نامعتبر")),IF(OR($E1814="",$E1814="نامعتبر"),"","00:00"))</f>
        <v/>
      </c>
      <c r="G1814">
        <f>IF(OR($E1814="",$E1814="نامعتبر"),"",IF(Entry!$E1814="","",LEFT(UPPER(TRIM(Entry!$E1814)),6)))</f>
        <v/>
      </c>
      <c r="H1814">
        <f>IF($G1814="","",RIGHT($E1814,4)&amp;MID($E1814,6,2)&amp;RIGHT($E1814,2)&amp;IF($F1814="","0000",IF($F1814="نامعتبر","9999",LEFT($F1814,2)&amp;RIGHT($F1814,2)))&amp;"|"&amp;RIGHT("00000"&amp;1806,5))</f>
        <v/>
      </c>
      <c r="I1814">
        <f>IF($H1814="","",COUNTIFS(CalcBank,$G1814,CalcKey,"&lt;"&amp;$H1814)+1)</f>
        <v/>
      </c>
      <c r="J1814">
        <f>IF($I1814="","",$G1814&amp;"|"&amp;RIGHT("000000"&amp;$I1814,6))</f>
        <v/>
      </c>
      <c r="K1814">
        <f>IF(OR($E1814="",$E1814="نامعتبر"),"",LEFT($E1814,4)&amp;"/"&amp;MID($E1814,6,2))</f>
        <v/>
      </c>
      <c r="L1814">
        <f>IF(Entry!$K1814="",0,Entry!$K1814)</f>
        <v/>
      </c>
      <c r="M1814">
        <f>IF(Entry!$L1814="",0,Entry!$L1814)</f>
        <v/>
      </c>
    </row>
    <row r="1815">
      <c r="A1815">
        <f>IF(Entry!$C1815="","",Entry!$C1815)</f>
        <v/>
      </c>
      <c r="B1815">
        <f>IF($A1815="","",IF(ISNUMBER($A1815),IF(AND($A1815&gt;=10000101,$A1815&lt;=99991231),INT($A1815/10000),""),IFERROR(VALUE(TRIM(LEFT($A1815,FIND("/",$A1815)-1))),"")))</f>
        <v/>
      </c>
      <c r="C1815">
        <f>IF(OR($A1815="",$B1815=""),"",IF(ISNUMBER($A1815),INT(MOD($A1815,10000)/100),IFERROR(VALUE(TRIM(LEFT(MID($A1815,FIND("/",$A1815)+1,20),FIND("/",MID($A1815,FIND("/",$A1815)+1,20))-1))),"")))</f>
        <v/>
      </c>
      <c r="D1815">
        <f>IF(OR($A1815="",$B1815=""),"",IF(ISNUMBER($A1815),MOD($A1815,100),IFERROR(VALUE(TRIM(MID(MID($A1815,FIND("/",$A1815)+1,20),FIND("/",MID($A1815,FIND("/",$A1815)+1,20))+1,20))),"")))</f>
        <v/>
      </c>
      <c r="E1815">
        <f>IF($A1815="","",IF(OR($B1815="",$C1815="",$D1815="",$B1815&lt;1300,$B1815&gt;1500,$C1815&lt;1,$C1815&gt;12,$D1815&lt;1,$D1815&gt;31),"نامعتبر",RIGHT("0000"&amp;$B1815,4)&amp;"/"&amp;RIGHT("00"&amp;$C1815,2)&amp;"/"&amp;RIGHT("00"&amp;$D1815,2)))</f>
        <v/>
      </c>
      <c r="F1815">
        <f>IF(Entry!$D1815&lt;&gt;"",IF(AND(ISNUMBER(Entry!$D1815),Entry!$D1815&gt;=0,Entry!$D1815&lt;1),RIGHT("00"&amp;HOUR(Entry!$D1815),2)&amp;":"&amp;RIGHT("00"&amp;MINUTE(Entry!$D1815),2),IFERROR(RIGHT("00"&amp;VALUE(TRIM(LEFT(Entry!$D1815,FIND(":",Entry!$D1815)-1))),2)&amp;":"&amp;RIGHT("00"&amp;VALUE(TRIM(MID(Entry!$D1815,FIND(":",Entry!$D1815)+1,2))),2),"نامعتبر")),IF(OR($E1815="",$E1815="نامعتبر"),"","00:00"))</f>
        <v/>
      </c>
      <c r="G1815">
        <f>IF(OR($E1815="",$E1815="نامعتبر"),"",IF(Entry!$E1815="","",LEFT(UPPER(TRIM(Entry!$E1815)),6)))</f>
        <v/>
      </c>
      <c r="H1815">
        <f>IF($G1815="","",RIGHT($E1815,4)&amp;MID($E1815,6,2)&amp;RIGHT($E1815,2)&amp;IF($F1815="","0000",IF($F1815="نامعتبر","9999",LEFT($F1815,2)&amp;RIGHT($F1815,2)))&amp;"|"&amp;RIGHT("00000"&amp;1807,5))</f>
        <v/>
      </c>
      <c r="I1815">
        <f>IF($H1815="","",COUNTIFS(CalcBank,$G1815,CalcKey,"&lt;"&amp;$H1815)+1)</f>
        <v/>
      </c>
      <c r="J1815">
        <f>IF($I1815="","",$G1815&amp;"|"&amp;RIGHT("000000"&amp;$I1815,6))</f>
        <v/>
      </c>
      <c r="K1815">
        <f>IF(OR($E1815="",$E1815="نامعتبر"),"",LEFT($E1815,4)&amp;"/"&amp;MID($E1815,6,2))</f>
        <v/>
      </c>
      <c r="L1815">
        <f>IF(Entry!$K1815="",0,Entry!$K1815)</f>
        <v/>
      </c>
      <c r="M1815">
        <f>IF(Entry!$L1815="",0,Entry!$L1815)</f>
        <v/>
      </c>
    </row>
    <row r="1816">
      <c r="A1816">
        <f>IF(Entry!$C1816="","",Entry!$C1816)</f>
        <v/>
      </c>
      <c r="B1816">
        <f>IF($A1816="","",IF(ISNUMBER($A1816),IF(AND($A1816&gt;=10000101,$A1816&lt;=99991231),INT($A1816/10000),""),IFERROR(VALUE(TRIM(LEFT($A1816,FIND("/",$A1816)-1))),"")))</f>
        <v/>
      </c>
      <c r="C1816">
        <f>IF(OR($A1816="",$B1816=""),"",IF(ISNUMBER($A1816),INT(MOD($A1816,10000)/100),IFERROR(VALUE(TRIM(LEFT(MID($A1816,FIND("/",$A1816)+1,20),FIND("/",MID($A1816,FIND("/",$A1816)+1,20))-1))),"")))</f>
        <v/>
      </c>
      <c r="D1816">
        <f>IF(OR($A1816="",$B1816=""),"",IF(ISNUMBER($A1816),MOD($A1816,100),IFERROR(VALUE(TRIM(MID(MID($A1816,FIND("/",$A1816)+1,20),FIND("/",MID($A1816,FIND("/",$A1816)+1,20))+1,20))),"")))</f>
        <v/>
      </c>
      <c r="E1816">
        <f>IF($A1816="","",IF(OR($B1816="",$C1816="",$D1816="",$B1816&lt;1300,$B1816&gt;1500,$C1816&lt;1,$C1816&gt;12,$D1816&lt;1,$D1816&gt;31),"نامعتبر",RIGHT("0000"&amp;$B1816,4)&amp;"/"&amp;RIGHT("00"&amp;$C1816,2)&amp;"/"&amp;RIGHT("00"&amp;$D1816,2)))</f>
        <v/>
      </c>
      <c r="F1816">
        <f>IF(Entry!$D1816&lt;&gt;"",IF(AND(ISNUMBER(Entry!$D1816),Entry!$D1816&gt;=0,Entry!$D1816&lt;1),RIGHT("00"&amp;HOUR(Entry!$D1816),2)&amp;":"&amp;RIGHT("00"&amp;MINUTE(Entry!$D1816),2),IFERROR(RIGHT("00"&amp;VALUE(TRIM(LEFT(Entry!$D1816,FIND(":",Entry!$D1816)-1))),2)&amp;":"&amp;RIGHT("00"&amp;VALUE(TRIM(MID(Entry!$D1816,FIND(":",Entry!$D1816)+1,2))),2),"نامعتبر")),IF(OR($E1816="",$E1816="نامعتبر"),"","00:00"))</f>
        <v/>
      </c>
      <c r="G1816">
        <f>IF(OR($E1816="",$E1816="نامعتبر"),"",IF(Entry!$E1816="","",LEFT(UPPER(TRIM(Entry!$E1816)),6)))</f>
        <v/>
      </c>
      <c r="H1816">
        <f>IF($G1816="","",RIGHT($E1816,4)&amp;MID($E1816,6,2)&amp;RIGHT($E1816,2)&amp;IF($F1816="","0000",IF($F1816="نامعتبر","9999",LEFT($F1816,2)&amp;RIGHT($F1816,2)))&amp;"|"&amp;RIGHT("00000"&amp;1808,5))</f>
        <v/>
      </c>
      <c r="I1816">
        <f>IF($H1816="","",COUNTIFS(CalcBank,$G1816,CalcKey,"&lt;"&amp;$H1816)+1)</f>
        <v/>
      </c>
      <c r="J1816">
        <f>IF($I1816="","",$G1816&amp;"|"&amp;RIGHT("000000"&amp;$I1816,6))</f>
        <v/>
      </c>
      <c r="K1816">
        <f>IF(OR($E1816="",$E1816="نامعتبر"),"",LEFT($E1816,4)&amp;"/"&amp;MID($E1816,6,2))</f>
        <v/>
      </c>
      <c r="L1816">
        <f>IF(Entry!$K1816="",0,Entry!$K1816)</f>
        <v/>
      </c>
      <c r="M1816">
        <f>IF(Entry!$L1816="",0,Entry!$L1816)</f>
        <v/>
      </c>
    </row>
    <row r="1817">
      <c r="A1817">
        <f>IF(Entry!$C1817="","",Entry!$C1817)</f>
        <v/>
      </c>
      <c r="B1817">
        <f>IF($A1817="","",IF(ISNUMBER($A1817),IF(AND($A1817&gt;=10000101,$A1817&lt;=99991231),INT($A1817/10000),""),IFERROR(VALUE(TRIM(LEFT($A1817,FIND("/",$A1817)-1))),"")))</f>
        <v/>
      </c>
      <c r="C1817">
        <f>IF(OR($A1817="",$B1817=""),"",IF(ISNUMBER($A1817),INT(MOD($A1817,10000)/100),IFERROR(VALUE(TRIM(LEFT(MID($A1817,FIND("/",$A1817)+1,20),FIND("/",MID($A1817,FIND("/",$A1817)+1,20))-1))),"")))</f>
        <v/>
      </c>
      <c r="D1817">
        <f>IF(OR($A1817="",$B1817=""),"",IF(ISNUMBER($A1817),MOD($A1817,100),IFERROR(VALUE(TRIM(MID(MID($A1817,FIND("/",$A1817)+1,20),FIND("/",MID($A1817,FIND("/",$A1817)+1,20))+1,20))),"")))</f>
        <v/>
      </c>
      <c r="E1817">
        <f>IF($A1817="","",IF(OR($B1817="",$C1817="",$D1817="",$B1817&lt;1300,$B1817&gt;1500,$C1817&lt;1,$C1817&gt;12,$D1817&lt;1,$D1817&gt;31),"نامعتبر",RIGHT("0000"&amp;$B1817,4)&amp;"/"&amp;RIGHT("00"&amp;$C1817,2)&amp;"/"&amp;RIGHT("00"&amp;$D1817,2)))</f>
        <v/>
      </c>
      <c r="F1817">
        <f>IF(Entry!$D1817&lt;&gt;"",IF(AND(ISNUMBER(Entry!$D1817),Entry!$D1817&gt;=0,Entry!$D1817&lt;1),RIGHT("00"&amp;HOUR(Entry!$D1817),2)&amp;":"&amp;RIGHT("00"&amp;MINUTE(Entry!$D1817),2),IFERROR(RIGHT("00"&amp;VALUE(TRIM(LEFT(Entry!$D1817,FIND(":",Entry!$D1817)-1))),2)&amp;":"&amp;RIGHT("00"&amp;VALUE(TRIM(MID(Entry!$D1817,FIND(":",Entry!$D1817)+1,2))),2),"نامعتبر")),IF(OR($E1817="",$E1817="نامعتبر"),"","00:00"))</f>
        <v/>
      </c>
      <c r="G1817">
        <f>IF(OR($E1817="",$E1817="نامعتبر"),"",IF(Entry!$E1817="","",LEFT(UPPER(TRIM(Entry!$E1817)),6)))</f>
        <v/>
      </c>
      <c r="H1817">
        <f>IF($G1817="","",RIGHT($E1817,4)&amp;MID($E1817,6,2)&amp;RIGHT($E1817,2)&amp;IF($F1817="","0000",IF($F1817="نامعتبر","9999",LEFT($F1817,2)&amp;RIGHT($F1817,2)))&amp;"|"&amp;RIGHT("00000"&amp;1809,5))</f>
        <v/>
      </c>
      <c r="I1817">
        <f>IF($H1817="","",COUNTIFS(CalcBank,$G1817,CalcKey,"&lt;"&amp;$H1817)+1)</f>
        <v/>
      </c>
      <c r="J1817">
        <f>IF($I1817="","",$G1817&amp;"|"&amp;RIGHT("000000"&amp;$I1817,6))</f>
        <v/>
      </c>
      <c r="K1817">
        <f>IF(OR($E1817="",$E1817="نامعتبر"),"",LEFT($E1817,4)&amp;"/"&amp;MID($E1817,6,2))</f>
        <v/>
      </c>
      <c r="L1817">
        <f>IF(Entry!$K1817="",0,Entry!$K1817)</f>
        <v/>
      </c>
      <c r="M1817">
        <f>IF(Entry!$L1817="",0,Entry!$L1817)</f>
        <v/>
      </c>
    </row>
    <row r="1818">
      <c r="A1818">
        <f>IF(Entry!$C1818="","",Entry!$C1818)</f>
        <v/>
      </c>
      <c r="B1818">
        <f>IF($A1818="","",IF(ISNUMBER($A1818),IF(AND($A1818&gt;=10000101,$A1818&lt;=99991231),INT($A1818/10000),""),IFERROR(VALUE(TRIM(LEFT($A1818,FIND("/",$A1818)-1))),"")))</f>
        <v/>
      </c>
      <c r="C1818">
        <f>IF(OR($A1818="",$B1818=""),"",IF(ISNUMBER($A1818),INT(MOD($A1818,10000)/100),IFERROR(VALUE(TRIM(LEFT(MID($A1818,FIND("/",$A1818)+1,20),FIND("/",MID($A1818,FIND("/",$A1818)+1,20))-1))),"")))</f>
        <v/>
      </c>
      <c r="D1818">
        <f>IF(OR($A1818="",$B1818=""),"",IF(ISNUMBER($A1818),MOD($A1818,100),IFERROR(VALUE(TRIM(MID(MID($A1818,FIND("/",$A1818)+1,20),FIND("/",MID($A1818,FIND("/",$A1818)+1,20))+1,20))),"")))</f>
        <v/>
      </c>
      <c r="E1818">
        <f>IF($A1818="","",IF(OR($B1818="",$C1818="",$D1818="",$B1818&lt;1300,$B1818&gt;1500,$C1818&lt;1,$C1818&gt;12,$D1818&lt;1,$D1818&gt;31),"نامعتبر",RIGHT("0000"&amp;$B1818,4)&amp;"/"&amp;RIGHT("00"&amp;$C1818,2)&amp;"/"&amp;RIGHT("00"&amp;$D1818,2)))</f>
        <v/>
      </c>
      <c r="F1818">
        <f>IF(Entry!$D1818&lt;&gt;"",IF(AND(ISNUMBER(Entry!$D1818),Entry!$D1818&gt;=0,Entry!$D1818&lt;1),RIGHT("00"&amp;HOUR(Entry!$D1818),2)&amp;":"&amp;RIGHT("00"&amp;MINUTE(Entry!$D1818),2),IFERROR(RIGHT("00"&amp;VALUE(TRIM(LEFT(Entry!$D1818,FIND(":",Entry!$D1818)-1))),2)&amp;":"&amp;RIGHT("00"&amp;VALUE(TRIM(MID(Entry!$D1818,FIND(":",Entry!$D1818)+1,2))),2),"نامعتبر")),IF(OR($E1818="",$E1818="نامعتبر"),"","00:00"))</f>
        <v/>
      </c>
      <c r="G1818">
        <f>IF(OR($E1818="",$E1818="نامعتبر"),"",IF(Entry!$E1818="","",LEFT(UPPER(TRIM(Entry!$E1818)),6)))</f>
        <v/>
      </c>
      <c r="H1818">
        <f>IF($G1818="","",RIGHT($E1818,4)&amp;MID($E1818,6,2)&amp;RIGHT($E1818,2)&amp;IF($F1818="","0000",IF($F1818="نامعتبر","9999",LEFT($F1818,2)&amp;RIGHT($F1818,2)))&amp;"|"&amp;RIGHT("00000"&amp;1810,5))</f>
        <v/>
      </c>
      <c r="I1818">
        <f>IF($H1818="","",COUNTIFS(CalcBank,$G1818,CalcKey,"&lt;"&amp;$H1818)+1)</f>
        <v/>
      </c>
      <c r="J1818">
        <f>IF($I1818="","",$G1818&amp;"|"&amp;RIGHT("000000"&amp;$I1818,6))</f>
        <v/>
      </c>
      <c r="K1818">
        <f>IF(OR($E1818="",$E1818="نامعتبر"),"",LEFT($E1818,4)&amp;"/"&amp;MID($E1818,6,2))</f>
        <v/>
      </c>
      <c r="L1818">
        <f>IF(Entry!$K1818="",0,Entry!$K1818)</f>
        <v/>
      </c>
      <c r="M1818">
        <f>IF(Entry!$L1818="",0,Entry!$L1818)</f>
        <v/>
      </c>
    </row>
    <row r="1819">
      <c r="A1819">
        <f>IF(Entry!$C1819="","",Entry!$C1819)</f>
        <v/>
      </c>
      <c r="B1819">
        <f>IF($A1819="","",IF(ISNUMBER($A1819),IF(AND($A1819&gt;=10000101,$A1819&lt;=99991231),INT($A1819/10000),""),IFERROR(VALUE(TRIM(LEFT($A1819,FIND("/",$A1819)-1))),"")))</f>
        <v/>
      </c>
      <c r="C1819">
        <f>IF(OR($A1819="",$B1819=""),"",IF(ISNUMBER($A1819),INT(MOD($A1819,10000)/100),IFERROR(VALUE(TRIM(LEFT(MID($A1819,FIND("/",$A1819)+1,20),FIND("/",MID($A1819,FIND("/",$A1819)+1,20))-1))),"")))</f>
        <v/>
      </c>
      <c r="D1819">
        <f>IF(OR($A1819="",$B1819=""),"",IF(ISNUMBER($A1819),MOD($A1819,100),IFERROR(VALUE(TRIM(MID(MID($A1819,FIND("/",$A1819)+1,20),FIND("/",MID($A1819,FIND("/",$A1819)+1,20))+1,20))),"")))</f>
        <v/>
      </c>
      <c r="E1819">
        <f>IF($A1819="","",IF(OR($B1819="",$C1819="",$D1819="",$B1819&lt;1300,$B1819&gt;1500,$C1819&lt;1,$C1819&gt;12,$D1819&lt;1,$D1819&gt;31),"نامعتبر",RIGHT("0000"&amp;$B1819,4)&amp;"/"&amp;RIGHT("00"&amp;$C1819,2)&amp;"/"&amp;RIGHT("00"&amp;$D1819,2)))</f>
        <v/>
      </c>
      <c r="F1819">
        <f>IF(Entry!$D1819&lt;&gt;"",IF(AND(ISNUMBER(Entry!$D1819),Entry!$D1819&gt;=0,Entry!$D1819&lt;1),RIGHT("00"&amp;HOUR(Entry!$D1819),2)&amp;":"&amp;RIGHT("00"&amp;MINUTE(Entry!$D1819),2),IFERROR(RIGHT("00"&amp;VALUE(TRIM(LEFT(Entry!$D1819,FIND(":",Entry!$D1819)-1))),2)&amp;":"&amp;RIGHT("00"&amp;VALUE(TRIM(MID(Entry!$D1819,FIND(":",Entry!$D1819)+1,2))),2),"نامعتبر")),IF(OR($E1819="",$E1819="نامعتبر"),"","00:00"))</f>
        <v/>
      </c>
      <c r="G1819">
        <f>IF(OR($E1819="",$E1819="نامعتبر"),"",IF(Entry!$E1819="","",LEFT(UPPER(TRIM(Entry!$E1819)),6)))</f>
        <v/>
      </c>
      <c r="H1819">
        <f>IF($G1819="","",RIGHT($E1819,4)&amp;MID($E1819,6,2)&amp;RIGHT($E1819,2)&amp;IF($F1819="","0000",IF($F1819="نامعتبر","9999",LEFT($F1819,2)&amp;RIGHT($F1819,2)))&amp;"|"&amp;RIGHT("00000"&amp;1811,5))</f>
        <v/>
      </c>
      <c r="I1819">
        <f>IF($H1819="","",COUNTIFS(CalcBank,$G1819,CalcKey,"&lt;"&amp;$H1819)+1)</f>
        <v/>
      </c>
      <c r="J1819">
        <f>IF($I1819="","",$G1819&amp;"|"&amp;RIGHT("000000"&amp;$I1819,6))</f>
        <v/>
      </c>
      <c r="K1819">
        <f>IF(OR($E1819="",$E1819="نامعتبر"),"",LEFT($E1819,4)&amp;"/"&amp;MID($E1819,6,2))</f>
        <v/>
      </c>
      <c r="L1819">
        <f>IF(Entry!$K1819="",0,Entry!$K1819)</f>
        <v/>
      </c>
      <c r="M1819">
        <f>IF(Entry!$L1819="",0,Entry!$L1819)</f>
        <v/>
      </c>
    </row>
    <row r="1820">
      <c r="A1820">
        <f>IF(Entry!$C1820="","",Entry!$C1820)</f>
        <v/>
      </c>
      <c r="B1820">
        <f>IF($A1820="","",IF(ISNUMBER($A1820),IF(AND($A1820&gt;=10000101,$A1820&lt;=99991231),INT($A1820/10000),""),IFERROR(VALUE(TRIM(LEFT($A1820,FIND("/",$A1820)-1))),"")))</f>
        <v/>
      </c>
      <c r="C1820">
        <f>IF(OR($A1820="",$B1820=""),"",IF(ISNUMBER($A1820),INT(MOD($A1820,10000)/100),IFERROR(VALUE(TRIM(LEFT(MID($A1820,FIND("/",$A1820)+1,20),FIND("/",MID($A1820,FIND("/",$A1820)+1,20))-1))),"")))</f>
        <v/>
      </c>
      <c r="D1820">
        <f>IF(OR($A1820="",$B1820=""),"",IF(ISNUMBER($A1820),MOD($A1820,100),IFERROR(VALUE(TRIM(MID(MID($A1820,FIND("/",$A1820)+1,20),FIND("/",MID($A1820,FIND("/",$A1820)+1,20))+1,20))),"")))</f>
        <v/>
      </c>
      <c r="E1820">
        <f>IF($A1820="","",IF(OR($B1820="",$C1820="",$D1820="",$B1820&lt;1300,$B1820&gt;1500,$C1820&lt;1,$C1820&gt;12,$D1820&lt;1,$D1820&gt;31),"نامعتبر",RIGHT("0000"&amp;$B1820,4)&amp;"/"&amp;RIGHT("00"&amp;$C1820,2)&amp;"/"&amp;RIGHT("00"&amp;$D1820,2)))</f>
        <v/>
      </c>
      <c r="F1820">
        <f>IF(Entry!$D1820&lt;&gt;"",IF(AND(ISNUMBER(Entry!$D1820),Entry!$D1820&gt;=0,Entry!$D1820&lt;1),RIGHT("00"&amp;HOUR(Entry!$D1820),2)&amp;":"&amp;RIGHT("00"&amp;MINUTE(Entry!$D1820),2),IFERROR(RIGHT("00"&amp;VALUE(TRIM(LEFT(Entry!$D1820,FIND(":",Entry!$D1820)-1))),2)&amp;":"&amp;RIGHT("00"&amp;VALUE(TRIM(MID(Entry!$D1820,FIND(":",Entry!$D1820)+1,2))),2),"نامعتبر")),IF(OR($E1820="",$E1820="نامعتبر"),"","00:00"))</f>
        <v/>
      </c>
      <c r="G1820">
        <f>IF(OR($E1820="",$E1820="نامعتبر"),"",IF(Entry!$E1820="","",LEFT(UPPER(TRIM(Entry!$E1820)),6)))</f>
        <v/>
      </c>
      <c r="H1820">
        <f>IF($G1820="","",RIGHT($E1820,4)&amp;MID($E1820,6,2)&amp;RIGHT($E1820,2)&amp;IF($F1820="","0000",IF($F1820="نامعتبر","9999",LEFT($F1820,2)&amp;RIGHT($F1820,2)))&amp;"|"&amp;RIGHT("00000"&amp;1812,5))</f>
        <v/>
      </c>
      <c r="I1820">
        <f>IF($H1820="","",COUNTIFS(CalcBank,$G1820,CalcKey,"&lt;"&amp;$H1820)+1)</f>
        <v/>
      </c>
      <c r="J1820">
        <f>IF($I1820="","",$G1820&amp;"|"&amp;RIGHT("000000"&amp;$I1820,6))</f>
        <v/>
      </c>
      <c r="K1820">
        <f>IF(OR($E1820="",$E1820="نامعتبر"),"",LEFT($E1820,4)&amp;"/"&amp;MID($E1820,6,2))</f>
        <v/>
      </c>
      <c r="L1820">
        <f>IF(Entry!$K1820="",0,Entry!$K1820)</f>
        <v/>
      </c>
      <c r="M1820">
        <f>IF(Entry!$L1820="",0,Entry!$L1820)</f>
        <v/>
      </c>
    </row>
    <row r="1821">
      <c r="A1821">
        <f>IF(Entry!$C1821="","",Entry!$C1821)</f>
        <v/>
      </c>
      <c r="B1821">
        <f>IF($A1821="","",IF(ISNUMBER($A1821),IF(AND($A1821&gt;=10000101,$A1821&lt;=99991231),INT($A1821/10000),""),IFERROR(VALUE(TRIM(LEFT($A1821,FIND("/",$A1821)-1))),"")))</f>
        <v/>
      </c>
      <c r="C1821">
        <f>IF(OR($A1821="",$B1821=""),"",IF(ISNUMBER($A1821),INT(MOD($A1821,10000)/100),IFERROR(VALUE(TRIM(LEFT(MID($A1821,FIND("/",$A1821)+1,20),FIND("/",MID($A1821,FIND("/",$A1821)+1,20))-1))),"")))</f>
        <v/>
      </c>
      <c r="D1821">
        <f>IF(OR($A1821="",$B1821=""),"",IF(ISNUMBER($A1821),MOD($A1821,100),IFERROR(VALUE(TRIM(MID(MID($A1821,FIND("/",$A1821)+1,20),FIND("/",MID($A1821,FIND("/",$A1821)+1,20))+1,20))),"")))</f>
        <v/>
      </c>
      <c r="E1821">
        <f>IF($A1821="","",IF(OR($B1821="",$C1821="",$D1821="",$B1821&lt;1300,$B1821&gt;1500,$C1821&lt;1,$C1821&gt;12,$D1821&lt;1,$D1821&gt;31),"نامعتبر",RIGHT("0000"&amp;$B1821,4)&amp;"/"&amp;RIGHT("00"&amp;$C1821,2)&amp;"/"&amp;RIGHT("00"&amp;$D1821,2)))</f>
        <v/>
      </c>
      <c r="F1821">
        <f>IF(Entry!$D1821&lt;&gt;"",IF(AND(ISNUMBER(Entry!$D1821),Entry!$D1821&gt;=0,Entry!$D1821&lt;1),RIGHT("00"&amp;HOUR(Entry!$D1821),2)&amp;":"&amp;RIGHT("00"&amp;MINUTE(Entry!$D1821),2),IFERROR(RIGHT("00"&amp;VALUE(TRIM(LEFT(Entry!$D1821,FIND(":",Entry!$D1821)-1))),2)&amp;":"&amp;RIGHT("00"&amp;VALUE(TRIM(MID(Entry!$D1821,FIND(":",Entry!$D1821)+1,2))),2),"نامعتبر")),IF(OR($E1821="",$E1821="نامعتبر"),"","00:00"))</f>
        <v/>
      </c>
      <c r="G1821">
        <f>IF(OR($E1821="",$E1821="نامعتبر"),"",IF(Entry!$E1821="","",LEFT(UPPER(TRIM(Entry!$E1821)),6)))</f>
        <v/>
      </c>
      <c r="H1821">
        <f>IF($G1821="","",RIGHT($E1821,4)&amp;MID($E1821,6,2)&amp;RIGHT($E1821,2)&amp;IF($F1821="","0000",IF($F1821="نامعتبر","9999",LEFT($F1821,2)&amp;RIGHT($F1821,2)))&amp;"|"&amp;RIGHT("00000"&amp;1813,5))</f>
        <v/>
      </c>
      <c r="I1821">
        <f>IF($H1821="","",COUNTIFS(CalcBank,$G1821,CalcKey,"&lt;"&amp;$H1821)+1)</f>
        <v/>
      </c>
      <c r="J1821">
        <f>IF($I1821="","",$G1821&amp;"|"&amp;RIGHT("000000"&amp;$I1821,6))</f>
        <v/>
      </c>
      <c r="K1821">
        <f>IF(OR($E1821="",$E1821="نامعتبر"),"",LEFT($E1821,4)&amp;"/"&amp;MID($E1821,6,2))</f>
        <v/>
      </c>
      <c r="L1821">
        <f>IF(Entry!$K1821="",0,Entry!$K1821)</f>
        <v/>
      </c>
      <c r="M1821">
        <f>IF(Entry!$L1821="",0,Entry!$L1821)</f>
        <v/>
      </c>
    </row>
    <row r="1822">
      <c r="A1822">
        <f>IF(Entry!$C1822="","",Entry!$C1822)</f>
        <v/>
      </c>
      <c r="B1822">
        <f>IF($A1822="","",IF(ISNUMBER($A1822),IF(AND($A1822&gt;=10000101,$A1822&lt;=99991231),INT($A1822/10000),""),IFERROR(VALUE(TRIM(LEFT($A1822,FIND("/",$A1822)-1))),"")))</f>
        <v/>
      </c>
      <c r="C1822">
        <f>IF(OR($A1822="",$B1822=""),"",IF(ISNUMBER($A1822),INT(MOD($A1822,10000)/100),IFERROR(VALUE(TRIM(LEFT(MID($A1822,FIND("/",$A1822)+1,20),FIND("/",MID($A1822,FIND("/",$A1822)+1,20))-1))),"")))</f>
        <v/>
      </c>
      <c r="D1822">
        <f>IF(OR($A1822="",$B1822=""),"",IF(ISNUMBER($A1822),MOD($A1822,100),IFERROR(VALUE(TRIM(MID(MID($A1822,FIND("/",$A1822)+1,20),FIND("/",MID($A1822,FIND("/",$A1822)+1,20))+1,20))),"")))</f>
        <v/>
      </c>
      <c r="E1822">
        <f>IF($A1822="","",IF(OR($B1822="",$C1822="",$D1822="",$B1822&lt;1300,$B1822&gt;1500,$C1822&lt;1,$C1822&gt;12,$D1822&lt;1,$D1822&gt;31),"نامعتبر",RIGHT("0000"&amp;$B1822,4)&amp;"/"&amp;RIGHT("00"&amp;$C1822,2)&amp;"/"&amp;RIGHT("00"&amp;$D1822,2)))</f>
        <v/>
      </c>
      <c r="F1822">
        <f>IF(Entry!$D1822&lt;&gt;"",IF(AND(ISNUMBER(Entry!$D1822),Entry!$D1822&gt;=0,Entry!$D1822&lt;1),RIGHT("00"&amp;HOUR(Entry!$D1822),2)&amp;":"&amp;RIGHT("00"&amp;MINUTE(Entry!$D1822),2),IFERROR(RIGHT("00"&amp;VALUE(TRIM(LEFT(Entry!$D1822,FIND(":",Entry!$D1822)-1))),2)&amp;":"&amp;RIGHT("00"&amp;VALUE(TRIM(MID(Entry!$D1822,FIND(":",Entry!$D1822)+1,2))),2),"نامعتبر")),IF(OR($E1822="",$E1822="نامعتبر"),"","00:00"))</f>
        <v/>
      </c>
      <c r="G1822">
        <f>IF(OR($E1822="",$E1822="نامعتبر"),"",IF(Entry!$E1822="","",LEFT(UPPER(TRIM(Entry!$E1822)),6)))</f>
        <v/>
      </c>
      <c r="H1822">
        <f>IF($G1822="","",RIGHT($E1822,4)&amp;MID($E1822,6,2)&amp;RIGHT($E1822,2)&amp;IF($F1822="","0000",IF($F1822="نامعتبر","9999",LEFT($F1822,2)&amp;RIGHT($F1822,2)))&amp;"|"&amp;RIGHT("00000"&amp;1814,5))</f>
        <v/>
      </c>
      <c r="I1822">
        <f>IF($H1822="","",COUNTIFS(CalcBank,$G1822,CalcKey,"&lt;"&amp;$H1822)+1)</f>
        <v/>
      </c>
      <c r="J1822">
        <f>IF($I1822="","",$G1822&amp;"|"&amp;RIGHT("000000"&amp;$I1822,6))</f>
        <v/>
      </c>
      <c r="K1822">
        <f>IF(OR($E1822="",$E1822="نامعتبر"),"",LEFT($E1822,4)&amp;"/"&amp;MID($E1822,6,2))</f>
        <v/>
      </c>
      <c r="L1822">
        <f>IF(Entry!$K1822="",0,Entry!$K1822)</f>
        <v/>
      </c>
      <c r="M1822">
        <f>IF(Entry!$L1822="",0,Entry!$L1822)</f>
        <v/>
      </c>
    </row>
    <row r="1823">
      <c r="A1823">
        <f>IF(Entry!$C1823="","",Entry!$C1823)</f>
        <v/>
      </c>
      <c r="B1823">
        <f>IF($A1823="","",IF(ISNUMBER($A1823),IF(AND($A1823&gt;=10000101,$A1823&lt;=99991231),INT($A1823/10000),""),IFERROR(VALUE(TRIM(LEFT($A1823,FIND("/",$A1823)-1))),"")))</f>
        <v/>
      </c>
      <c r="C1823">
        <f>IF(OR($A1823="",$B1823=""),"",IF(ISNUMBER($A1823),INT(MOD($A1823,10000)/100),IFERROR(VALUE(TRIM(LEFT(MID($A1823,FIND("/",$A1823)+1,20),FIND("/",MID($A1823,FIND("/",$A1823)+1,20))-1))),"")))</f>
        <v/>
      </c>
      <c r="D1823">
        <f>IF(OR($A1823="",$B1823=""),"",IF(ISNUMBER($A1823),MOD($A1823,100),IFERROR(VALUE(TRIM(MID(MID($A1823,FIND("/",$A1823)+1,20),FIND("/",MID($A1823,FIND("/",$A1823)+1,20))+1,20))),"")))</f>
        <v/>
      </c>
      <c r="E1823">
        <f>IF($A1823="","",IF(OR($B1823="",$C1823="",$D1823="",$B1823&lt;1300,$B1823&gt;1500,$C1823&lt;1,$C1823&gt;12,$D1823&lt;1,$D1823&gt;31),"نامعتبر",RIGHT("0000"&amp;$B1823,4)&amp;"/"&amp;RIGHT("00"&amp;$C1823,2)&amp;"/"&amp;RIGHT("00"&amp;$D1823,2)))</f>
        <v/>
      </c>
      <c r="F1823">
        <f>IF(Entry!$D1823&lt;&gt;"",IF(AND(ISNUMBER(Entry!$D1823),Entry!$D1823&gt;=0,Entry!$D1823&lt;1),RIGHT("00"&amp;HOUR(Entry!$D1823),2)&amp;":"&amp;RIGHT("00"&amp;MINUTE(Entry!$D1823),2),IFERROR(RIGHT("00"&amp;VALUE(TRIM(LEFT(Entry!$D1823,FIND(":",Entry!$D1823)-1))),2)&amp;":"&amp;RIGHT("00"&amp;VALUE(TRIM(MID(Entry!$D1823,FIND(":",Entry!$D1823)+1,2))),2),"نامعتبر")),IF(OR($E1823="",$E1823="نامعتبر"),"","00:00"))</f>
        <v/>
      </c>
      <c r="G1823">
        <f>IF(OR($E1823="",$E1823="نامعتبر"),"",IF(Entry!$E1823="","",LEFT(UPPER(TRIM(Entry!$E1823)),6)))</f>
        <v/>
      </c>
      <c r="H1823">
        <f>IF($G1823="","",RIGHT($E1823,4)&amp;MID($E1823,6,2)&amp;RIGHT($E1823,2)&amp;IF($F1823="","0000",IF($F1823="نامعتبر","9999",LEFT($F1823,2)&amp;RIGHT($F1823,2)))&amp;"|"&amp;RIGHT("00000"&amp;1815,5))</f>
        <v/>
      </c>
      <c r="I1823">
        <f>IF($H1823="","",COUNTIFS(CalcBank,$G1823,CalcKey,"&lt;"&amp;$H1823)+1)</f>
        <v/>
      </c>
      <c r="J1823">
        <f>IF($I1823="","",$G1823&amp;"|"&amp;RIGHT("000000"&amp;$I1823,6))</f>
        <v/>
      </c>
      <c r="K1823">
        <f>IF(OR($E1823="",$E1823="نامعتبر"),"",LEFT($E1823,4)&amp;"/"&amp;MID($E1823,6,2))</f>
        <v/>
      </c>
      <c r="L1823">
        <f>IF(Entry!$K1823="",0,Entry!$K1823)</f>
        <v/>
      </c>
      <c r="M1823">
        <f>IF(Entry!$L1823="",0,Entry!$L1823)</f>
        <v/>
      </c>
    </row>
    <row r="1824">
      <c r="A1824">
        <f>IF(Entry!$C1824="","",Entry!$C1824)</f>
        <v/>
      </c>
      <c r="B1824">
        <f>IF($A1824="","",IF(ISNUMBER($A1824),IF(AND($A1824&gt;=10000101,$A1824&lt;=99991231),INT($A1824/10000),""),IFERROR(VALUE(TRIM(LEFT($A1824,FIND("/",$A1824)-1))),"")))</f>
        <v/>
      </c>
      <c r="C1824">
        <f>IF(OR($A1824="",$B1824=""),"",IF(ISNUMBER($A1824),INT(MOD($A1824,10000)/100),IFERROR(VALUE(TRIM(LEFT(MID($A1824,FIND("/",$A1824)+1,20),FIND("/",MID($A1824,FIND("/",$A1824)+1,20))-1))),"")))</f>
        <v/>
      </c>
      <c r="D1824">
        <f>IF(OR($A1824="",$B1824=""),"",IF(ISNUMBER($A1824),MOD($A1824,100),IFERROR(VALUE(TRIM(MID(MID($A1824,FIND("/",$A1824)+1,20),FIND("/",MID($A1824,FIND("/",$A1824)+1,20))+1,20))),"")))</f>
        <v/>
      </c>
      <c r="E1824">
        <f>IF($A1824="","",IF(OR($B1824="",$C1824="",$D1824="",$B1824&lt;1300,$B1824&gt;1500,$C1824&lt;1,$C1824&gt;12,$D1824&lt;1,$D1824&gt;31),"نامعتبر",RIGHT("0000"&amp;$B1824,4)&amp;"/"&amp;RIGHT("00"&amp;$C1824,2)&amp;"/"&amp;RIGHT("00"&amp;$D1824,2)))</f>
        <v/>
      </c>
      <c r="F1824">
        <f>IF(Entry!$D1824&lt;&gt;"",IF(AND(ISNUMBER(Entry!$D1824),Entry!$D1824&gt;=0,Entry!$D1824&lt;1),RIGHT("00"&amp;HOUR(Entry!$D1824),2)&amp;":"&amp;RIGHT("00"&amp;MINUTE(Entry!$D1824),2),IFERROR(RIGHT("00"&amp;VALUE(TRIM(LEFT(Entry!$D1824,FIND(":",Entry!$D1824)-1))),2)&amp;":"&amp;RIGHT("00"&amp;VALUE(TRIM(MID(Entry!$D1824,FIND(":",Entry!$D1824)+1,2))),2),"نامعتبر")),IF(OR($E1824="",$E1824="نامعتبر"),"","00:00"))</f>
        <v/>
      </c>
      <c r="G1824">
        <f>IF(OR($E1824="",$E1824="نامعتبر"),"",IF(Entry!$E1824="","",LEFT(UPPER(TRIM(Entry!$E1824)),6)))</f>
        <v/>
      </c>
      <c r="H1824">
        <f>IF($G1824="","",RIGHT($E1824,4)&amp;MID($E1824,6,2)&amp;RIGHT($E1824,2)&amp;IF($F1824="","0000",IF($F1824="نامعتبر","9999",LEFT($F1824,2)&amp;RIGHT($F1824,2)))&amp;"|"&amp;RIGHT("00000"&amp;1816,5))</f>
        <v/>
      </c>
      <c r="I1824">
        <f>IF($H1824="","",COUNTIFS(CalcBank,$G1824,CalcKey,"&lt;"&amp;$H1824)+1)</f>
        <v/>
      </c>
      <c r="J1824">
        <f>IF($I1824="","",$G1824&amp;"|"&amp;RIGHT("000000"&amp;$I1824,6))</f>
        <v/>
      </c>
      <c r="K1824">
        <f>IF(OR($E1824="",$E1824="نامعتبر"),"",LEFT($E1824,4)&amp;"/"&amp;MID($E1824,6,2))</f>
        <v/>
      </c>
      <c r="L1824">
        <f>IF(Entry!$K1824="",0,Entry!$K1824)</f>
        <v/>
      </c>
      <c r="M1824">
        <f>IF(Entry!$L1824="",0,Entry!$L1824)</f>
        <v/>
      </c>
    </row>
    <row r="1825">
      <c r="A1825">
        <f>IF(Entry!$C1825="","",Entry!$C1825)</f>
        <v/>
      </c>
      <c r="B1825">
        <f>IF($A1825="","",IF(ISNUMBER($A1825),IF(AND($A1825&gt;=10000101,$A1825&lt;=99991231),INT($A1825/10000),""),IFERROR(VALUE(TRIM(LEFT($A1825,FIND("/",$A1825)-1))),"")))</f>
        <v/>
      </c>
      <c r="C1825">
        <f>IF(OR($A1825="",$B1825=""),"",IF(ISNUMBER($A1825),INT(MOD($A1825,10000)/100),IFERROR(VALUE(TRIM(LEFT(MID($A1825,FIND("/",$A1825)+1,20),FIND("/",MID($A1825,FIND("/",$A1825)+1,20))-1))),"")))</f>
        <v/>
      </c>
      <c r="D1825">
        <f>IF(OR($A1825="",$B1825=""),"",IF(ISNUMBER($A1825),MOD($A1825,100),IFERROR(VALUE(TRIM(MID(MID($A1825,FIND("/",$A1825)+1,20),FIND("/",MID($A1825,FIND("/",$A1825)+1,20))+1,20))),"")))</f>
        <v/>
      </c>
      <c r="E1825">
        <f>IF($A1825="","",IF(OR($B1825="",$C1825="",$D1825="",$B1825&lt;1300,$B1825&gt;1500,$C1825&lt;1,$C1825&gt;12,$D1825&lt;1,$D1825&gt;31),"نامعتبر",RIGHT("0000"&amp;$B1825,4)&amp;"/"&amp;RIGHT("00"&amp;$C1825,2)&amp;"/"&amp;RIGHT("00"&amp;$D1825,2)))</f>
        <v/>
      </c>
      <c r="F1825">
        <f>IF(Entry!$D1825&lt;&gt;"",IF(AND(ISNUMBER(Entry!$D1825),Entry!$D1825&gt;=0,Entry!$D1825&lt;1),RIGHT("00"&amp;HOUR(Entry!$D1825),2)&amp;":"&amp;RIGHT("00"&amp;MINUTE(Entry!$D1825),2),IFERROR(RIGHT("00"&amp;VALUE(TRIM(LEFT(Entry!$D1825,FIND(":",Entry!$D1825)-1))),2)&amp;":"&amp;RIGHT("00"&amp;VALUE(TRIM(MID(Entry!$D1825,FIND(":",Entry!$D1825)+1,2))),2),"نامعتبر")),IF(OR($E1825="",$E1825="نامعتبر"),"","00:00"))</f>
        <v/>
      </c>
      <c r="G1825">
        <f>IF(OR($E1825="",$E1825="نامعتبر"),"",IF(Entry!$E1825="","",LEFT(UPPER(TRIM(Entry!$E1825)),6)))</f>
        <v/>
      </c>
      <c r="H1825">
        <f>IF($G1825="","",RIGHT($E1825,4)&amp;MID($E1825,6,2)&amp;RIGHT($E1825,2)&amp;IF($F1825="","0000",IF($F1825="نامعتبر","9999",LEFT($F1825,2)&amp;RIGHT($F1825,2)))&amp;"|"&amp;RIGHT("00000"&amp;1817,5))</f>
        <v/>
      </c>
      <c r="I1825">
        <f>IF($H1825="","",COUNTIFS(CalcBank,$G1825,CalcKey,"&lt;"&amp;$H1825)+1)</f>
        <v/>
      </c>
      <c r="J1825">
        <f>IF($I1825="","",$G1825&amp;"|"&amp;RIGHT("000000"&amp;$I1825,6))</f>
        <v/>
      </c>
      <c r="K1825">
        <f>IF(OR($E1825="",$E1825="نامعتبر"),"",LEFT($E1825,4)&amp;"/"&amp;MID($E1825,6,2))</f>
        <v/>
      </c>
      <c r="L1825">
        <f>IF(Entry!$K1825="",0,Entry!$K1825)</f>
        <v/>
      </c>
      <c r="M1825">
        <f>IF(Entry!$L1825="",0,Entry!$L1825)</f>
        <v/>
      </c>
    </row>
    <row r="1826">
      <c r="A1826">
        <f>IF(Entry!$C1826="","",Entry!$C1826)</f>
        <v/>
      </c>
      <c r="B1826">
        <f>IF($A1826="","",IF(ISNUMBER($A1826),IF(AND($A1826&gt;=10000101,$A1826&lt;=99991231),INT($A1826/10000),""),IFERROR(VALUE(TRIM(LEFT($A1826,FIND("/",$A1826)-1))),"")))</f>
        <v/>
      </c>
      <c r="C1826">
        <f>IF(OR($A1826="",$B1826=""),"",IF(ISNUMBER($A1826),INT(MOD($A1826,10000)/100),IFERROR(VALUE(TRIM(LEFT(MID($A1826,FIND("/",$A1826)+1,20),FIND("/",MID($A1826,FIND("/",$A1826)+1,20))-1))),"")))</f>
        <v/>
      </c>
      <c r="D1826">
        <f>IF(OR($A1826="",$B1826=""),"",IF(ISNUMBER($A1826),MOD($A1826,100),IFERROR(VALUE(TRIM(MID(MID($A1826,FIND("/",$A1826)+1,20),FIND("/",MID($A1826,FIND("/",$A1826)+1,20))+1,20))),"")))</f>
        <v/>
      </c>
      <c r="E1826">
        <f>IF($A1826="","",IF(OR($B1826="",$C1826="",$D1826="",$B1826&lt;1300,$B1826&gt;1500,$C1826&lt;1,$C1826&gt;12,$D1826&lt;1,$D1826&gt;31),"نامعتبر",RIGHT("0000"&amp;$B1826,4)&amp;"/"&amp;RIGHT("00"&amp;$C1826,2)&amp;"/"&amp;RIGHT("00"&amp;$D1826,2)))</f>
        <v/>
      </c>
      <c r="F1826">
        <f>IF(Entry!$D1826&lt;&gt;"",IF(AND(ISNUMBER(Entry!$D1826),Entry!$D1826&gt;=0,Entry!$D1826&lt;1),RIGHT("00"&amp;HOUR(Entry!$D1826),2)&amp;":"&amp;RIGHT("00"&amp;MINUTE(Entry!$D1826),2),IFERROR(RIGHT("00"&amp;VALUE(TRIM(LEFT(Entry!$D1826,FIND(":",Entry!$D1826)-1))),2)&amp;":"&amp;RIGHT("00"&amp;VALUE(TRIM(MID(Entry!$D1826,FIND(":",Entry!$D1826)+1,2))),2),"نامعتبر")),IF(OR($E1826="",$E1826="نامعتبر"),"","00:00"))</f>
        <v/>
      </c>
      <c r="G1826">
        <f>IF(OR($E1826="",$E1826="نامعتبر"),"",IF(Entry!$E1826="","",LEFT(UPPER(TRIM(Entry!$E1826)),6)))</f>
        <v/>
      </c>
      <c r="H1826">
        <f>IF($G1826="","",RIGHT($E1826,4)&amp;MID($E1826,6,2)&amp;RIGHT($E1826,2)&amp;IF($F1826="","0000",IF($F1826="نامعتبر","9999",LEFT($F1826,2)&amp;RIGHT($F1826,2)))&amp;"|"&amp;RIGHT("00000"&amp;1818,5))</f>
        <v/>
      </c>
      <c r="I1826">
        <f>IF($H1826="","",COUNTIFS(CalcBank,$G1826,CalcKey,"&lt;"&amp;$H1826)+1)</f>
        <v/>
      </c>
      <c r="J1826">
        <f>IF($I1826="","",$G1826&amp;"|"&amp;RIGHT("000000"&amp;$I1826,6))</f>
        <v/>
      </c>
      <c r="K1826">
        <f>IF(OR($E1826="",$E1826="نامعتبر"),"",LEFT($E1826,4)&amp;"/"&amp;MID($E1826,6,2))</f>
        <v/>
      </c>
      <c r="L1826">
        <f>IF(Entry!$K1826="",0,Entry!$K1826)</f>
        <v/>
      </c>
      <c r="M1826">
        <f>IF(Entry!$L1826="",0,Entry!$L1826)</f>
        <v/>
      </c>
    </row>
    <row r="1827">
      <c r="A1827">
        <f>IF(Entry!$C1827="","",Entry!$C1827)</f>
        <v/>
      </c>
      <c r="B1827">
        <f>IF($A1827="","",IF(ISNUMBER($A1827),IF(AND($A1827&gt;=10000101,$A1827&lt;=99991231),INT($A1827/10000),""),IFERROR(VALUE(TRIM(LEFT($A1827,FIND("/",$A1827)-1))),"")))</f>
        <v/>
      </c>
      <c r="C1827">
        <f>IF(OR($A1827="",$B1827=""),"",IF(ISNUMBER($A1827),INT(MOD($A1827,10000)/100),IFERROR(VALUE(TRIM(LEFT(MID($A1827,FIND("/",$A1827)+1,20),FIND("/",MID($A1827,FIND("/",$A1827)+1,20))-1))),"")))</f>
        <v/>
      </c>
      <c r="D1827">
        <f>IF(OR($A1827="",$B1827=""),"",IF(ISNUMBER($A1827),MOD($A1827,100),IFERROR(VALUE(TRIM(MID(MID($A1827,FIND("/",$A1827)+1,20),FIND("/",MID($A1827,FIND("/",$A1827)+1,20))+1,20))),"")))</f>
        <v/>
      </c>
      <c r="E1827">
        <f>IF($A1827="","",IF(OR($B1827="",$C1827="",$D1827="",$B1827&lt;1300,$B1827&gt;1500,$C1827&lt;1,$C1827&gt;12,$D1827&lt;1,$D1827&gt;31),"نامعتبر",RIGHT("0000"&amp;$B1827,4)&amp;"/"&amp;RIGHT("00"&amp;$C1827,2)&amp;"/"&amp;RIGHT("00"&amp;$D1827,2)))</f>
        <v/>
      </c>
      <c r="F1827">
        <f>IF(Entry!$D1827&lt;&gt;"",IF(AND(ISNUMBER(Entry!$D1827),Entry!$D1827&gt;=0,Entry!$D1827&lt;1),RIGHT("00"&amp;HOUR(Entry!$D1827),2)&amp;":"&amp;RIGHT("00"&amp;MINUTE(Entry!$D1827),2),IFERROR(RIGHT("00"&amp;VALUE(TRIM(LEFT(Entry!$D1827,FIND(":",Entry!$D1827)-1))),2)&amp;":"&amp;RIGHT("00"&amp;VALUE(TRIM(MID(Entry!$D1827,FIND(":",Entry!$D1827)+1,2))),2),"نامعتبر")),IF(OR($E1827="",$E1827="نامعتبر"),"","00:00"))</f>
        <v/>
      </c>
      <c r="G1827">
        <f>IF(OR($E1827="",$E1827="نامعتبر"),"",IF(Entry!$E1827="","",LEFT(UPPER(TRIM(Entry!$E1827)),6)))</f>
        <v/>
      </c>
      <c r="H1827">
        <f>IF($G1827="","",RIGHT($E1827,4)&amp;MID($E1827,6,2)&amp;RIGHT($E1827,2)&amp;IF($F1827="","0000",IF($F1827="نامعتبر","9999",LEFT($F1827,2)&amp;RIGHT($F1827,2)))&amp;"|"&amp;RIGHT("00000"&amp;1819,5))</f>
        <v/>
      </c>
      <c r="I1827">
        <f>IF($H1827="","",COUNTIFS(CalcBank,$G1827,CalcKey,"&lt;"&amp;$H1827)+1)</f>
        <v/>
      </c>
      <c r="J1827">
        <f>IF($I1827="","",$G1827&amp;"|"&amp;RIGHT("000000"&amp;$I1827,6))</f>
        <v/>
      </c>
      <c r="K1827">
        <f>IF(OR($E1827="",$E1827="نامعتبر"),"",LEFT($E1827,4)&amp;"/"&amp;MID($E1827,6,2))</f>
        <v/>
      </c>
      <c r="L1827">
        <f>IF(Entry!$K1827="",0,Entry!$K1827)</f>
        <v/>
      </c>
      <c r="M1827">
        <f>IF(Entry!$L1827="",0,Entry!$L1827)</f>
        <v/>
      </c>
    </row>
    <row r="1828">
      <c r="A1828">
        <f>IF(Entry!$C1828="","",Entry!$C1828)</f>
        <v/>
      </c>
      <c r="B1828">
        <f>IF($A1828="","",IF(ISNUMBER($A1828),IF(AND($A1828&gt;=10000101,$A1828&lt;=99991231),INT($A1828/10000),""),IFERROR(VALUE(TRIM(LEFT($A1828,FIND("/",$A1828)-1))),"")))</f>
        <v/>
      </c>
      <c r="C1828">
        <f>IF(OR($A1828="",$B1828=""),"",IF(ISNUMBER($A1828),INT(MOD($A1828,10000)/100),IFERROR(VALUE(TRIM(LEFT(MID($A1828,FIND("/",$A1828)+1,20),FIND("/",MID($A1828,FIND("/",$A1828)+1,20))-1))),"")))</f>
        <v/>
      </c>
      <c r="D1828">
        <f>IF(OR($A1828="",$B1828=""),"",IF(ISNUMBER($A1828),MOD($A1828,100),IFERROR(VALUE(TRIM(MID(MID($A1828,FIND("/",$A1828)+1,20),FIND("/",MID($A1828,FIND("/",$A1828)+1,20))+1,20))),"")))</f>
        <v/>
      </c>
      <c r="E1828">
        <f>IF($A1828="","",IF(OR($B1828="",$C1828="",$D1828="",$B1828&lt;1300,$B1828&gt;1500,$C1828&lt;1,$C1828&gt;12,$D1828&lt;1,$D1828&gt;31),"نامعتبر",RIGHT("0000"&amp;$B1828,4)&amp;"/"&amp;RIGHT("00"&amp;$C1828,2)&amp;"/"&amp;RIGHT("00"&amp;$D1828,2)))</f>
        <v/>
      </c>
      <c r="F1828">
        <f>IF(Entry!$D1828&lt;&gt;"",IF(AND(ISNUMBER(Entry!$D1828),Entry!$D1828&gt;=0,Entry!$D1828&lt;1),RIGHT("00"&amp;HOUR(Entry!$D1828),2)&amp;":"&amp;RIGHT("00"&amp;MINUTE(Entry!$D1828),2),IFERROR(RIGHT("00"&amp;VALUE(TRIM(LEFT(Entry!$D1828,FIND(":",Entry!$D1828)-1))),2)&amp;":"&amp;RIGHT("00"&amp;VALUE(TRIM(MID(Entry!$D1828,FIND(":",Entry!$D1828)+1,2))),2),"نامعتبر")),IF(OR($E1828="",$E1828="نامعتبر"),"","00:00"))</f>
        <v/>
      </c>
      <c r="G1828">
        <f>IF(OR($E1828="",$E1828="نامعتبر"),"",IF(Entry!$E1828="","",LEFT(UPPER(TRIM(Entry!$E1828)),6)))</f>
        <v/>
      </c>
      <c r="H1828">
        <f>IF($G1828="","",RIGHT($E1828,4)&amp;MID($E1828,6,2)&amp;RIGHT($E1828,2)&amp;IF($F1828="","0000",IF($F1828="نامعتبر","9999",LEFT($F1828,2)&amp;RIGHT($F1828,2)))&amp;"|"&amp;RIGHT("00000"&amp;1820,5))</f>
        <v/>
      </c>
      <c r="I1828">
        <f>IF($H1828="","",COUNTIFS(CalcBank,$G1828,CalcKey,"&lt;"&amp;$H1828)+1)</f>
        <v/>
      </c>
      <c r="J1828">
        <f>IF($I1828="","",$G1828&amp;"|"&amp;RIGHT("000000"&amp;$I1828,6))</f>
        <v/>
      </c>
      <c r="K1828">
        <f>IF(OR($E1828="",$E1828="نامعتبر"),"",LEFT($E1828,4)&amp;"/"&amp;MID($E1828,6,2))</f>
        <v/>
      </c>
      <c r="L1828">
        <f>IF(Entry!$K1828="",0,Entry!$K1828)</f>
        <v/>
      </c>
      <c r="M1828">
        <f>IF(Entry!$L1828="",0,Entry!$L1828)</f>
        <v/>
      </c>
    </row>
    <row r="1829">
      <c r="A1829">
        <f>IF(Entry!$C1829="","",Entry!$C1829)</f>
        <v/>
      </c>
      <c r="B1829">
        <f>IF($A1829="","",IF(ISNUMBER($A1829),IF(AND($A1829&gt;=10000101,$A1829&lt;=99991231),INT($A1829/10000),""),IFERROR(VALUE(TRIM(LEFT($A1829,FIND("/",$A1829)-1))),"")))</f>
        <v/>
      </c>
      <c r="C1829">
        <f>IF(OR($A1829="",$B1829=""),"",IF(ISNUMBER($A1829),INT(MOD($A1829,10000)/100),IFERROR(VALUE(TRIM(LEFT(MID($A1829,FIND("/",$A1829)+1,20),FIND("/",MID($A1829,FIND("/",$A1829)+1,20))-1))),"")))</f>
        <v/>
      </c>
      <c r="D1829">
        <f>IF(OR($A1829="",$B1829=""),"",IF(ISNUMBER($A1829),MOD($A1829,100),IFERROR(VALUE(TRIM(MID(MID($A1829,FIND("/",$A1829)+1,20),FIND("/",MID($A1829,FIND("/",$A1829)+1,20))+1,20))),"")))</f>
        <v/>
      </c>
      <c r="E1829">
        <f>IF($A1829="","",IF(OR($B1829="",$C1829="",$D1829="",$B1829&lt;1300,$B1829&gt;1500,$C1829&lt;1,$C1829&gt;12,$D1829&lt;1,$D1829&gt;31),"نامعتبر",RIGHT("0000"&amp;$B1829,4)&amp;"/"&amp;RIGHT("00"&amp;$C1829,2)&amp;"/"&amp;RIGHT("00"&amp;$D1829,2)))</f>
        <v/>
      </c>
      <c r="F1829">
        <f>IF(Entry!$D1829&lt;&gt;"",IF(AND(ISNUMBER(Entry!$D1829),Entry!$D1829&gt;=0,Entry!$D1829&lt;1),RIGHT("00"&amp;HOUR(Entry!$D1829),2)&amp;":"&amp;RIGHT("00"&amp;MINUTE(Entry!$D1829),2),IFERROR(RIGHT("00"&amp;VALUE(TRIM(LEFT(Entry!$D1829,FIND(":",Entry!$D1829)-1))),2)&amp;":"&amp;RIGHT("00"&amp;VALUE(TRIM(MID(Entry!$D1829,FIND(":",Entry!$D1829)+1,2))),2),"نامعتبر")),IF(OR($E1829="",$E1829="نامعتبر"),"","00:00"))</f>
        <v/>
      </c>
      <c r="G1829">
        <f>IF(OR($E1829="",$E1829="نامعتبر"),"",IF(Entry!$E1829="","",LEFT(UPPER(TRIM(Entry!$E1829)),6)))</f>
        <v/>
      </c>
      <c r="H1829">
        <f>IF($G1829="","",RIGHT($E1829,4)&amp;MID($E1829,6,2)&amp;RIGHT($E1829,2)&amp;IF($F1829="","0000",IF($F1829="نامعتبر","9999",LEFT($F1829,2)&amp;RIGHT($F1829,2)))&amp;"|"&amp;RIGHT("00000"&amp;1821,5))</f>
        <v/>
      </c>
      <c r="I1829">
        <f>IF($H1829="","",COUNTIFS(CalcBank,$G1829,CalcKey,"&lt;"&amp;$H1829)+1)</f>
        <v/>
      </c>
      <c r="J1829">
        <f>IF($I1829="","",$G1829&amp;"|"&amp;RIGHT("000000"&amp;$I1829,6))</f>
        <v/>
      </c>
      <c r="K1829">
        <f>IF(OR($E1829="",$E1829="نامعتبر"),"",LEFT($E1829,4)&amp;"/"&amp;MID($E1829,6,2))</f>
        <v/>
      </c>
      <c r="L1829">
        <f>IF(Entry!$K1829="",0,Entry!$K1829)</f>
        <v/>
      </c>
      <c r="M1829">
        <f>IF(Entry!$L1829="",0,Entry!$L1829)</f>
        <v/>
      </c>
    </row>
    <row r="1830">
      <c r="A1830">
        <f>IF(Entry!$C1830="","",Entry!$C1830)</f>
        <v/>
      </c>
      <c r="B1830">
        <f>IF($A1830="","",IF(ISNUMBER($A1830),IF(AND($A1830&gt;=10000101,$A1830&lt;=99991231),INT($A1830/10000),""),IFERROR(VALUE(TRIM(LEFT($A1830,FIND("/",$A1830)-1))),"")))</f>
        <v/>
      </c>
      <c r="C1830">
        <f>IF(OR($A1830="",$B1830=""),"",IF(ISNUMBER($A1830),INT(MOD($A1830,10000)/100),IFERROR(VALUE(TRIM(LEFT(MID($A1830,FIND("/",$A1830)+1,20),FIND("/",MID($A1830,FIND("/",$A1830)+1,20))-1))),"")))</f>
        <v/>
      </c>
      <c r="D1830">
        <f>IF(OR($A1830="",$B1830=""),"",IF(ISNUMBER($A1830),MOD($A1830,100),IFERROR(VALUE(TRIM(MID(MID($A1830,FIND("/",$A1830)+1,20),FIND("/",MID($A1830,FIND("/",$A1830)+1,20))+1,20))),"")))</f>
        <v/>
      </c>
      <c r="E1830">
        <f>IF($A1830="","",IF(OR($B1830="",$C1830="",$D1830="",$B1830&lt;1300,$B1830&gt;1500,$C1830&lt;1,$C1830&gt;12,$D1830&lt;1,$D1830&gt;31),"نامعتبر",RIGHT("0000"&amp;$B1830,4)&amp;"/"&amp;RIGHT("00"&amp;$C1830,2)&amp;"/"&amp;RIGHT("00"&amp;$D1830,2)))</f>
        <v/>
      </c>
      <c r="F1830">
        <f>IF(Entry!$D1830&lt;&gt;"",IF(AND(ISNUMBER(Entry!$D1830),Entry!$D1830&gt;=0,Entry!$D1830&lt;1),RIGHT("00"&amp;HOUR(Entry!$D1830),2)&amp;":"&amp;RIGHT("00"&amp;MINUTE(Entry!$D1830),2),IFERROR(RIGHT("00"&amp;VALUE(TRIM(LEFT(Entry!$D1830,FIND(":",Entry!$D1830)-1))),2)&amp;":"&amp;RIGHT("00"&amp;VALUE(TRIM(MID(Entry!$D1830,FIND(":",Entry!$D1830)+1,2))),2),"نامعتبر")),IF(OR($E1830="",$E1830="نامعتبر"),"","00:00"))</f>
        <v/>
      </c>
      <c r="G1830">
        <f>IF(OR($E1830="",$E1830="نامعتبر"),"",IF(Entry!$E1830="","",LEFT(UPPER(TRIM(Entry!$E1830)),6)))</f>
        <v/>
      </c>
      <c r="H1830">
        <f>IF($G1830="","",RIGHT($E1830,4)&amp;MID($E1830,6,2)&amp;RIGHT($E1830,2)&amp;IF($F1830="","0000",IF($F1830="نامعتبر","9999",LEFT($F1830,2)&amp;RIGHT($F1830,2)))&amp;"|"&amp;RIGHT("00000"&amp;1822,5))</f>
        <v/>
      </c>
      <c r="I1830">
        <f>IF($H1830="","",COUNTIFS(CalcBank,$G1830,CalcKey,"&lt;"&amp;$H1830)+1)</f>
        <v/>
      </c>
      <c r="J1830">
        <f>IF($I1830="","",$G1830&amp;"|"&amp;RIGHT("000000"&amp;$I1830,6))</f>
        <v/>
      </c>
      <c r="K1830">
        <f>IF(OR($E1830="",$E1830="نامعتبر"),"",LEFT($E1830,4)&amp;"/"&amp;MID($E1830,6,2))</f>
        <v/>
      </c>
      <c r="L1830">
        <f>IF(Entry!$K1830="",0,Entry!$K1830)</f>
        <v/>
      </c>
      <c r="M1830">
        <f>IF(Entry!$L1830="",0,Entry!$L1830)</f>
        <v/>
      </c>
    </row>
    <row r="1831">
      <c r="A1831">
        <f>IF(Entry!$C1831="","",Entry!$C1831)</f>
        <v/>
      </c>
      <c r="B1831">
        <f>IF($A1831="","",IF(ISNUMBER($A1831),IF(AND($A1831&gt;=10000101,$A1831&lt;=99991231),INT($A1831/10000),""),IFERROR(VALUE(TRIM(LEFT($A1831,FIND("/",$A1831)-1))),"")))</f>
        <v/>
      </c>
      <c r="C1831">
        <f>IF(OR($A1831="",$B1831=""),"",IF(ISNUMBER($A1831),INT(MOD($A1831,10000)/100),IFERROR(VALUE(TRIM(LEFT(MID($A1831,FIND("/",$A1831)+1,20),FIND("/",MID($A1831,FIND("/",$A1831)+1,20))-1))),"")))</f>
        <v/>
      </c>
      <c r="D1831">
        <f>IF(OR($A1831="",$B1831=""),"",IF(ISNUMBER($A1831),MOD($A1831,100),IFERROR(VALUE(TRIM(MID(MID($A1831,FIND("/",$A1831)+1,20),FIND("/",MID($A1831,FIND("/",$A1831)+1,20))+1,20))),"")))</f>
        <v/>
      </c>
      <c r="E1831">
        <f>IF($A1831="","",IF(OR($B1831="",$C1831="",$D1831="",$B1831&lt;1300,$B1831&gt;1500,$C1831&lt;1,$C1831&gt;12,$D1831&lt;1,$D1831&gt;31),"نامعتبر",RIGHT("0000"&amp;$B1831,4)&amp;"/"&amp;RIGHT("00"&amp;$C1831,2)&amp;"/"&amp;RIGHT("00"&amp;$D1831,2)))</f>
        <v/>
      </c>
      <c r="F1831">
        <f>IF(Entry!$D1831&lt;&gt;"",IF(AND(ISNUMBER(Entry!$D1831),Entry!$D1831&gt;=0,Entry!$D1831&lt;1),RIGHT("00"&amp;HOUR(Entry!$D1831),2)&amp;":"&amp;RIGHT("00"&amp;MINUTE(Entry!$D1831),2),IFERROR(RIGHT("00"&amp;VALUE(TRIM(LEFT(Entry!$D1831,FIND(":",Entry!$D1831)-1))),2)&amp;":"&amp;RIGHT("00"&amp;VALUE(TRIM(MID(Entry!$D1831,FIND(":",Entry!$D1831)+1,2))),2),"نامعتبر")),IF(OR($E1831="",$E1831="نامعتبر"),"","00:00"))</f>
        <v/>
      </c>
      <c r="G1831">
        <f>IF(OR($E1831="",$E1831="نامعتبر"),"",IF(Entry!$E1831="","",LEFT(UPPER(TRIM(Entry!$E1831)),6)))</f>
        <v/>
      </c>
      <c r="H1831">
        <f>IF($G1831="","",RIGHT($E1831,4)&amp;MID($E1831,6,2)&amp;RIGHT($E1831,2)&amp;IF($F1831="","0000",IF($F1831="نامعتبر","9999",LEFT($F1831,2)&amp;RIGHT($F1831,2)))&amp;"|"&amp;RIGHT("00000"&amp;1823,5))</f>
        <v/>
      </c>
      <c r="I1831">
        <f>IF($H1831="","",COUNTIFS(CalcBank,$G1831,CalcKey,"&lt;"&amp;$H1831)+1)</f>
        <v/>
      </c>
      <c r="J1831">
        <f>IF($I1831="","",$G1831&amp;"|"&amp;RIGHT("000000"&amp;$I1831,6))</f>
        <v/>
      </c>
      <c r="K1831">
        <f>IF(OR($E1831="",$E1831="نامعتبر"),"",LEFT($E1831,4)&amp;"/"&amp;MID($E1831,6,2))</f>
        <v/>
      </c>
      <c r="L1831">
        <f>IF(Entry!$K1831="",0,Entry!$K1831)</f>
        <v/>
      </c>
      <c r="M1831">
        <f>IF(Entry!$L1831="",0,Entry!$L1831)</f>
        <v/>
      </c>
    </row>
    <row r="1832">
      <c r="A1832">
        <f>IF(Entry!$C1832="","",Entry!$C1832)</f>
        <v/>
      </c>
      <c r="B1832">
        <f>IF($A1832="","",IF(ISNUMBER($A1832),IF(AND($A1832&gt;=10000101,$A1832&lt;=99991231),INT($A1832/10000),""),IFERROR(VALUE(TRIM(LEFT($A1832,FIND("/",$A1832)-1))),"")))</f>
        <v/>
      </c>
      <c r="C1832">
        <f>IF(OR($A1832="",$B1832=""),"",IF(ISNUMBER($A1832),INT(MOD($A1832,10000)/100),IFERROR(VALUE(TRIM(LEFT(MID($A1832,FIND("/",$A1832)+1,20),FIND("/",MID($A1832,FIND("/",$A1832)+1,20))-1))),"")))</f>
        <v/>
      </c>
      <c r="D1832">
        <f>IF(OR($A1832="",$B1832=""),"",IF(ISNUMBER($A1832),MOD($A1832,100),IFERROR(VALUE(TRIM(MID(MID($A1832,FIND("/",$A1832)+1,20),FIND("/",MID($A1832,FIND("/",$A1832)+1,20))+1,20))),"")))</f>
        <v/>
      </c>
      <c r="E1832">
        <f>IF($A1832="","",IF(OR($B1832="",$C1832="",$D1832="",$B1832&lt;1300,$B1832&gt;1500,$C1832&lt;1,$C1832&gt;12,$D1832&lt;1,$D1832&gt;31),"نامعتبر",RIGHT("0000"&amp;$B1832,4)&amp;"/"&amp;RIGHT("00"&amp;$C1832,2)&amp;"/"&amp;RIGHT("00"&amp;$D1832,2)))</f>
        <v/>
      </c>
      <c r="F1832">
        <f>IF(Entry!$D1832&lt;&gt;"",IF(AND(ISNUMBER(Entry!$D1832),Entry!$D1832&gt;=0,Entry!$D1832&lt;1),RIGHT("00"&amp;HOUR(Entry!$D1832),2)&amp;":"&amp;RIGHT("00"&amp;MINUTE(Entry!$D1832),2),IFERROR(RIGHT("00"&amp;VALUE(TRIM(LEFT(Entry!$D1832,FIND(":",Entry!$D1832)-1))),2)&amp;":"&amp;RIGHT("00"&amp;VALUE(TRIM(MID(Entry!$D1832,FIND(":",Entry!$D1832)+1,2))),2),"نامعتبر")),IF(OR($E1832="",$E1832="نامعتبر"),"","00:00"))</f>
        <v/>
      </c>
      <c r="G1832">
        <f>IF(OR($E1832="",$E1832="نامعتبر"),"",IF(Entry!$E1832="","",LEFT(UPPER(TRIM(Entry!$E1832)),6)))</f>
        <v/>
      </c>
      <c r="H1832">
        <f>IF($G1832="","",RIGHT($E1832,4)&amp;MID($E1832,6,2)&amp;RIGHT($E1832,2)&amp;IF($F1832="","0000",IF($F1832="نامعتبر","9999",LEFT($F1832,2)&amp;RIGHT($F1832,2)))&amp;"|"&amp;RIGHT("00000"&amp;1824,5))</f>
        <v/>
      </c>
      <c r="I1832">
        <f>IF($H1832="","",COUNTIFS(CalcBank,$G1832,CalcKey,"&lt;"&amp;$H1832)+1)</f>
        <v/>
      </c>
      <c r="J1832">
        <f>IF($I1832="","",$G1832&amp;"|"&amp;RIGHT("000000"&amp;$I1832,6))</f>
        <v/>
      </c>
      <c r="K1832">
        <f>IF(OR($E1832="",$E1832="نامعتبر"),"",LEFT($E1832,4)&amp;"/"&amp;MID($E1832,6,2))</f>
        <v/>
      </c>
      <c r="L1832">
        <f>IF(Entry!$K1832="",0,Entry!$K1832)</f>
        <v/>
      </c>
      <c r="M1832">
        <f>IF(Entry!$L1832="",0,Entry!$L1832)</f>
        <v/>
      </c>
    </row>
    <row r="1833">
      <c r="A1833">
        <f>IF(Entry!$C1833="","",Entry!$C1833)</f>
        <v/>
      </c>
      <c r="B1833">
        <f>IF($A1833="","",IF(ISNUMBER($A1833),IF(AND($A1833&gt;=10000101,$A1833&lt;=99991231),INT($A1833/10000),""),IFERROR(VALUE(TRIM(LEFT($A1833,FIND("/",$A1833)-1))),"")))</f>
        <v/>
      </c>
      <c r="C1833">
        <f>IF(OR($A1833="",$B1833=""),"",IF(ISNUMBER($A1833),INT(MOD($A1833,10000)/100),IFERROR(VALUE(TRIM(LEFT(MID($A1833,FIND("/",$A1833)+1,20),FIND("/",MID($A1833,FIND("/",$A1833)+1,20))-1))),"")))</f>
        <v/>
      </c>
      <c r="D1833">
        <f>IF(OR($A1833="",$B1833=""),"",IF(ISNUMBER($A1833),MOD($A1833,100),IFERROR(VALUE(TRIM(MID(MID($A1833,FIND("/",$A1833)+1,20),FIND("/",MID($A1833,FIND("/",$A1833)+1,20))+1,20))),"")))</f>
        <v/>
      </c>
      <c r="E1833">
        <f>IF($A1833="","",IF(OR($B1833="",$C1833="",$D1833="",$B1833&lt;1300,$B1833&gt;1500,$C1833&lt;1,$C1833&gt;12,$D1833&lt;1,$D1833&gt;31),"نامعتبر",RIGHT("0000"&amp;$B1833,4)&amp;"/"&amp;RIGHT("00"&amp;$C1833,2)&amp;"/"&amp;RIGHT("00"&amp;$D1833,2)))</f>
        <v/>
      </c>
      <c r="F1833">
        <f>IF(Entry!$D1833&lt;&gt;"",IF(AND(ISNUMBER(Entry!$D1833),Entry!$D1833&gt;=0,Entry!$D1833&lt;1),RIGHT("00"&amp;HOUR(Entry!$D1833),2)&amp;":"&amp;RIGHT("00"&amp;MINUTE(Entry!$D1833),2),IFERROR(RIGHT("00"&amp;VALUE(TRIM(LEFT(Entry!$D1833,FIND(":",Entry!$D1833)-1))),2)&amp;":"&amp;RIGHT("00"&amp;VALUE(TRIM(MID(Entry!$D1833,FIND(":",Entry!$D1833)+1,2))),2),"نامعتبر")),IF(OR($E1833="",$E1833="نامعتبر"),"","00:00"))</f>
        <v/>
      </c>
      <c r="G1833">
        <f>IF(OR($E1833="",$E1833="نامعتبر"),"",IF(Entry!$E1833="","",LEFT(UPPER(TRIM(Entry!$E1833)),6)))</f>
        <v/>
      </c>
      <c r="H1833">
        <f>IF($G1833="","",RIGHT($E1833,4)&amp;MID($E1833,6,2)&amp;RIGHT($E1833,2)&amp;IF($F1833="","0000",IF($F1833="نامعتبر","9999",LEFT($F1833,2)&amp;RIGHT($F1833,2)))&amp;"|"&amp;RIGHT("00000"&amp;1825,5))</f>
        <v/>
      </c>
      <c r="I1833">
        <f>IF($H1833="","",COUNTIFS(CalcBank,$G1833,CalcKey,"&lt;"&amp;$H1833)+1)</f>
        <v/>
      </c>
      <c r="J1833">
        <f>IF($I1833="","",$G1833&amp;"|"&amp;RIGHT("000000"&amp;$I1833,6))</f>
        <v/>
      </c>
      <c r="K1833">
        <f>IF(OR($E1833="",$E1833="نامعتبر"),"",LEFT($E1833,4)&amp;"/"&amp;MID($E1833,6,2))</f>
        <v/>
      </c>
      <c r="L1833">
        <f>IF(Entry!$K1833="",0,Entry!$K1833)</f>
        <v/>
      </c>
      <c r="M1833">
        <f>IF(Entry!$L1833="",0,Entry!$L1833)</f>
        <v/>
      </c>
    </row>
    <row r="1834">
      <c r="A1834">
        <f>IF(Entry!$C1834="","",Entry!$C1834)</f>
        <v/>
      </c>
      <c r="B1834">
        <f>IF($A1834="","",IF(ISNUMBER($A1834),IF(AND($A1834&gt;=10000101,$A1834&lt;=99991231),INT($A1834/10000),""),IFERROR(VALUE(TRIM(LEFT($A1834,FIND("/",$A1834)-1))),"")))</f>
        <v/>
      </c>
      <c r="C1834">
        <f>IF(OR($A1834="",$B1834=""),"",IF(ISNUMBER($A1834),INT(MOD($A1834,10000)/100),IFERROR(VALUE(TRIM(LEFT(MID($A1834,FIND("/",$A1834)+1,20),FIND("/",MID($A1834,FIND("/",$A1834)+1,20))-1))),"")))</f>
        <v/>
      </c>
      <c r="D1834">
        <f>IF(OR($A1834="",$B1834=""),"",IF(ISNUMBER($A1834),MOD($A1834,100),IFERROR(VALUE(TRIM(MID(MID($A1834,FIND("/",$A1834)+1,20),FIND("/",MID($A1834,FIND("/",$A1834)+1,20))+1,20))),"")))</f>
        <v/>
      </c>
      <c r="E1834">
        <f>IF($A1834="","",IF(OR($B1834="",$C1834="",$D1834="",$B1834&lt;1300,$B1834&gt;1500,$C1834&lt;1,$C1834&gt;12,$D1834&lt;1,$D1834&gt;31),"نامعتبر",RIGHT("0000"&amp;$B1834,4)&amp;"/"&amp;RIGHT("00"&amp;$C1834,2)&amp;"/"&amp;RIGHT("00"&amp;$D1834,2)))</f>
        <v/>
      </c>
      <c r="F1834">
        <f>IF(Entry!$D1834&lt;&gt;"",IF(AND(ISNUMBER(Entry!$D1834),Entry!$D1834&gt;=0,Entry!$D1834&lt;1),RIGHT("00"&amp;HOUR(Entry!$D1834),2)&amp;":"&amp;RIGHT("00"&amp;MINUTE(Entry!$D1834),2),IFERROR(RIGHT("00"&amp;VALUE(TRIM(LEFT(Entry!$D1834,FIND(":",Entry!$D1834)-1))),2)&amp;":"&amp;RIGHT("00"&amp;VALUE(TRIM(MID(Entry!$D1834,FIND(":",Entry!$D1834)+1,2))),2),"نامعتبر")),IF(OR($E1834="",$E1834="نامعتبر"),"","00:00"))</f>
        <v/>
      </c>
      <c r="G1834">
        <f>IF(OR($E1834="",$E1834="نامعتبر"),"",IF(Entry!$E1834="","",LEFT(UPPER(TRIM(Entry!$E1834)),6)))</f>
        <v/>
      </c>
      <c r="H1834">
        <f>IF($G1834="","",RIGHT($E1834,4)&amp;MID($E1834,6,2)&amp;RIGHT($E1834,2)&amp;IF($F1834="","0000",IF($F1834="نامعتبر","9999",LEFT($F1834,2)&amp;RIGHT($F1834,2)))&amp;"|"&amp;RIGHT("00000"&amp;1826,5))</f>
        <v/>
      </c>
      <c r="I1834">
        <f>IF($H1834="","",COUNTIFS(CalcBank,$G1834,CalcKey,"&lt;"&amp;$H1834)+1)</f>
        <v/>
      </c>
      <c r="J1834">
        <f>IF($I1834="","",$G1834&amp;"|"&amp;RIGHT("000000"&amp;$I1834,6))</f>
        <v/>
      </c>
      <c r="K1834">
        <f>IF(OR($E1834="",$E1834="نامعتبر"),"",LEFT($E1834,4)&amp;"/"&amp;MID($E1834,6,2))</f>
        <v/>
      </c>
      <c r="L1834">
        <f>IF(Entry!$K1834="",0,Entry!$K1834)</f>
        <v/>
      </c>
      <c r="M1834">
        <f>IF(Entry!$L1834="",0,Entry!$L1834)</f>
        <v/>
      </c>
    </row>
    <row r="1835">
      <c r="A1835">
        <f>IF(Entry!$C1835="","",Entry!$C1835)</f>
        <v/>
      </c>
      <c r="B1835">
        <f>IF($A1835="","",IF(ISNUMBER($A1835),IF(AND($A1835&gt;=10000101,$A1835&lt;=99991231),INT($A1835/10000),""),IFERROR(VALUE(TRIM(LEFT($A1835,FIND("/",$A1835)-1))),"")))</f>
        <v/>
      </c>
      <c r="C1835">
        <f>IF(OR($A1835="",$B1835=""),"",IF(ISNUMBER($A1835),INT(MOD($A1835,10000)/100),IFERROR(VALUE(TRIM(LEFT(MID($A1835,FIND("/",$A1835)+1,20),FIND("/",MID($A1835,FIND("/",$A1835)+1,20))-1))),"")))</f>
        <v/>
      </c>
      <c r="D1835">
        <f>IF(OR($A1835="",$B1835=""),"",IF(ISNUMBER($A1835),MOD($A1835,100),IFERROR(VALUE(TRIM(MID(MID($A1835,FIND("/",$A1835)+1,20),FIND("/",MID($A1835,FIND("/",$A1835)+1,20))+1,20))),"")))</f>
        <v/>
      </c>
      <c r="E1835">
        <f>IF($A1835="","",IF(OR($B1835="",$C1835="",$D1835="",$B1835&lt;1300,$B1835&gt;1500,$C1835&lt;1,$C1835&gt;12,$D1835&lt;1,$D1835&gt;31),"نامعتبر",RIGHT("0000"&amp;$B1835,4)&amp;"/"&amp;RIGHT("00"&amp;$C1835,2)&amp;"/"&amp;RIGHT("00"&amp;$D1835,2)))</f>
        <v/>
      </c>
      <c r="F1835">
        <f>IF(Entry!$D1835&lt;&gt;"",IF(AND(ISNUMBER(Entry!$D1835),Entry!$D1835&gt;=0,Entry!$D1835&lt;1),RIGHT("00"&amp;HOUR(Entry!$D1835),2)&amp;":"&amp;RIGHT("00"&amp;MINUTE(Entry!$D1835),2),IFERROR(RIGHT("00"&amp;VALUE(TRIM(LEFT(Entry!$D1835,FIND(":",Entry!$D1835)-1))),2)&amp;":"&amp;RIGHT("00"&amp;VALUE(TRIM(MID(Entry!$D1835,FIND(":",Entry!$D1835)+1,2))),2),"نامعتبر")),IF(OR($E1835="",$E1835="نامعتبر"),"","00:00"))</f>
        <v/>
      </c>
      <c r="G1835">
        <f>IF(OR($E1835="",$E1835="نامعتبر"),"",IF(Entry!$E1835="","",LEFT(UPPER(TRIM(Entry!$E1835)),6)))</f>
        <v/>
      </c>
      <c r="H1835">
        <f>IF($G1835="","",RIGHT($E1835,4)&amp;MID($E1835,6,2)&amp;RIGHT($E1835,2)&amp;IF($F1835="","0000",IF($F1835="نامعتبر","9999",LEFT($F1835,2)&amp;RIGHT($F1835,2)))&amp;"|"&amp;RIGHT("00000"&amp;1827,5))</f>
        <v/>
      </c>
      <c r="I1835">
        <f>IF($H1835="","",COUNTIFS(CalcBank,$G1835,CalcKey,"&lt;"&amp;$H1835)+1)</f>
        <v/>
      </c>
      <c r="J1835">
        <f>IF($I1835="","",$G1835&amp;"|"&amp;RIGHT("000000"&amp;$I1835,6))</f>
        <v/>
      </c>
      <c r="K1835">
        <f>IF(OR($E1835="",$E1835="نامعتبر"),"",LEFT($E1835,4)&amp;"/"&amp;MID($E1835,6,2))</f>
        <v/>
      </c>
      <c r="L1835">
        <f>IF(Entry!$K1835="",0,Entry!$K1835)</f>
        <v/>
      </c>
      <c r="M1835">
        <f>IF(Entry!$L1835="",0,Entry!$L1835)</f>
        <v/>
      </c>
    </row>
    <row r="1836">
      <c r="A1836">
        <f>IF(Entry!$C1836="","",Entry!$C1836)</f>
        <v/>
      </c>
      <c r="B1836">
        <f>IF($A1836="","",IF(ISNUMBER($A1836),IF(AND($A1836&gt;=10000101,$A1836&lt;=99991231),INT($A1836/10000),""),IFERROR(VALUE(TRIM(LEFT($A1836,FIND("/",$A1836)-1))),"")))</f>
        <v/>
      </c>
      <c r="C1836">
        <f>IF(OR($A1836="",$B1836=""),"",IF(ISNUMBER($A1836),INT(MOD($A1836,10000)/100),IFERROR(VALUE(TRIM(LEFT(MID($A1836,FIND("/",$A1836)+1,20),FIND("/",MID($A1836,FIND("/",$A1836)+1,20))-1))),"")))</f>
        <v/>
      </c>
      <c r="D1836">
        <f>IF(OR($A1836="",$B1836=""),"",IF(ISNUMBER($A1836),MOD($A1836,100),IFERROR(VALUE(TRIM(MID(MID($A1836,FIND("/",$A1836)+1,20),FIND("/",MID($A1836,FIND("/",$A1836)+1,20))+1,20))),"")))</f>
        <v/>
      </c>
      <c r="E1836">
        <f>IF($A1836="","",IF(OR($B1836="",$C1836="",$D1836="",$B1836&lt;1300,$B1836&gt;1500,$C1836&lt;1,$C1836&gt;12,$D1836&lt;1,$D1836&gt;31),"نامعتبر",RIGHT("0000"&amp;$B1836,4)&amp;"/"&amp;RIGHT("00"&amp;$C1836,2)&amp;"/"&amp;RIGHT("00"&amp;$D1836,2)))</f>
        <v/>
      </c>
      <c r="F1836">
        <f>IF(Entry!$D1836&lt;&gt;"",IF(AND(ISNUMBER(Entry!$D1836),Entry!$D1836&gt;=0,Entry!$D1836&lt;1),RIGHT("00"&amp;HOUR(Entry!$D1836),2)&amp;":"&amp;RIGHT("00"&amp;MINUTE(Entry!$D1836),2),IFERROR(RIGHT("00"&amp;VALUE(TRIM(LEFT(Entry!$D1836,FIND(":",Entry!$D1836)-1))),2)&amp;":"&amp;RIGHT("00"&amp;VALUE(TRIM(MID(Entry!$D1836,FIND(":",Entry!$D1836)+1,2))),2),"نامعتبر")),IF(OR($E1836="",$E1836="نامعتبر"),"","00:00"))</f>
        <v/>
      </c>
      <c r="G1836">
        <f>IF(OR($E1836="",$E1836="نامعتبر"),"",IF(Entry!$E1836="","",LEFT(UPPER(TRIM(Entry!$E1836)),6)))</f>
        <v/>
      </c>
      <c r="H1836">
        <f>IF($G1836="","",RIGHT($E1836,4)&amp;MID($E1836,6,2)&amp;RIGHT($E1836,2)&amp;IF($F1836="","0000",IF($F1836="نامعتبر","9999",LEFT($F1836,2)&amp;RIGHT($F1836,2)))&amp;"|"&amp;RIGHT("00000"&amp;1828,5))</f>
        <v/>
      </c>
      <c r="I1836">
        <f>IF($H1836="","",COUNTIFS(CalcBank,$G1836,CalcKey,"&lt;"&amp;$H1836)+1)</f>
        <v/>
      </c>
      <c r="J1836">
        <f>IF($I1836="","",$G1836&amp;"|"&amp;RIGHT("000000"&amp;$I1836,6))</f>
        <v/>
      </c>
      <c r="K1836">
        <f>IF(OR($E1836="",$E1836="نامعتبر"),"",LEFT($E1836,4)&amp;"/"&amp;MID($E1836,6,2))</f>
        <v/>
      </c>
      <c r="L1836">
        <f>IF(Entry!$K1836="",0,Entry!$K1836)</f>
        <v/>
      </c>
      <c r="M1836">
        <f>IF(Entry!$L1836="",0,Entry!$L1836)</f>
        <v/>
      </c>
    </row>
    <row r="1837">
      <c r="A1837">
        <f>IF(Entry!$C1837="","",Entry!$C1837)</f>
        <v/>
      </c>
      <c r="B1837">
        <f>IF($A1837="","",IF(ISNUMBER($A1837),IF(AND($A1837&gt;=10000101,$A1837&lt;=99991231),INT($A1837/10000),""),IFERROR(VALUE(TRIM(LEFT($A1837,FIND("/",$A1837)-1))),"")))</f>
        <v/>
      </c>
      <c r="C1837">
        <f>IF(OR($A1837="",$B1837=""),"",IF(ISNUMBER($A1837),INT(MOD($A1837,10000)/100),IFERROR(VALUE(TRIM(LEFT(MID($A1837,FIND("/",$A1837)+1,20),FIND("/",MID($A1837,FIND("/",$A1837)+1,20))-1))),"")))</f>
        <v/>
      </c>
      <c r="D1837">
        <f>IF(OR($A1837="",$B1837=""),"",IF(ISNUMBER($A1837),MOD($A1837,100),IFERROR(VALUE(TRIM(MID(MID($A1837,FIND("/",$A1837)+1,20),FIND("/",MID($A1837,FIND("/",$A1837)+1,20))+1,20))),"")))</f>
        <v/>
      </c>
      <c r="E1837">
        <f>IF($A1837="","",IF(OR($B1837="",$C1837="",$D1837="",$B1837&lt;1300,$B1837&gt;1500,$C1837&lt;1,$C1837&gt;12,$D1837&lt;1,$D1837&gt;31),"نامعتبر",RIGHT("0000"&amp;$B1837,4)&amp;"/"&amp;RIGHT("00"&amp;$C1837,2)&amp;"/"&amp;RIGHT("00"&amp;$D1837,2)))</f>
        <v/>
      </c>
      <c r="F1837">
        <f>IF(Entry!$D1837&lt;&gt;"",IF(AND(ISNUMBER(Entry!$D1837),Entry!$D1837&gt;=0,Entry!$D1837&lt;1),RIGHT("00"&amp;HOUR(Entry!$D1837),2)&amp;":"&amp;RIGHT("00"&amp;MINUTE(Entry!$D1837),2),IFERROR(RIGHT("00"&amp;VALUE(TRIM(LEFT(Entry!$D1837,FIND(":",Entry!$D1837)-1))),2)&amp;":"&amp;RIGHT("00"&amp;VALUE(TRIM(MID(Entry!$D1837,FIND(":",Entry!$D1837)+1,2))),2),"نامعتبر")),IF(OR($E1837="",$E1837="نامعتبر"),"","00:00"))</f>
        <v/>
      </c>
      <c r="G1837">
        <f>IF(OR($E1837="",$E1837="نامعتبر"),"",IF(Entry!$E1837="","",LEFT(UPPER(TRIM(Entry!$E1837)),6)))</f>
        <v/>
      </c>
      <c r="H1837">
        <f>IF($G1837="","",RIGHT($E1837,4)&amp;MID($E1837,6,2)&amp;RIGHT($E1837,2)&amp;IF($F1837="","0000",IF($F1837="نامعتبر","9999",LEFT($F1837,2)&amp;RIGHT($F1837,2)))&amp;"|"&amp;RIGHT("00000"&amp;1829,5))</f>
        <v/>
      </c>
      <c r="I1837">
        <f>IF($H1837="","",COUNTIFS(CalcBank,$G1837,CalcKey,"&lt;"&amp;$H1837)+1)</f>
        <v/>
      </c>
      <c r="J1837">
        <f>IF($I1837="","",$G1837&amp;"|"&amp;RIGHT("000000"&amp;$I1837,6))</f>
        <v/>
      </c>
      <c r="K1837">
        <f>IF(OR($E1837="",$E1837="نامعتبر"),"",LEFT($E1837,4)&amp;"/"&amp;MID($E1837,6,2))</f>
        <v/>
      </c>
      <c r="L1837">
        <f>IF(Entry!$K1837="",0,Entry!$K1837)</f>
        <v/>
      </c>
      <c r="M1837">
        <f>IF(Entry!$L1837="",0,Entry!$L1837)</f>
        <v/>
      </c>
    </row>
    <row r="1838">
      <c r="A1838">
        <f>IF(Entry!$C1838="","",Entry!$C1838)</f>
        <v/>
      </c>
      <c r="B1838">
        <f>IF($A1838="","",IF(ISNUMBER($A1838),IF(AND($A1838&gt;=10000101,$A1838&lt;=99991231),INT($A1838/10000),""),IFERROR(VALUE(TRIM(LEFT($A1838,FIND("/",$A1838)-1))),"")))</f>
        <v/>
      </c>
      <c r="C1838">
        <f>IF(OR($A1838="",$B1838=""),"",IF(ISNUMBER($A1838),INT(MOD($A1838,10000)/100),IFERROR(VALUE(TRIM(LEFT(MID($A1838,FIND("/",$A1838)+1,20),FIND("/",MID($A1838,FIND("/",$A1838)+1,20))-1))),"")))</f>
        <v/>
      </c>
      <c r="D1838">
        <f>IF(OR($A1838="",$B1838=""),"",IF(ISNUMBER($A1838),MOD($A1838,100),IFERROR(VALUE(TRIM(MID(MID($A1838,FIND("/",$A1838)+1,20),FIND("/",MID($A1838,FIND("/",$A1838)+1,20))+1,20))),"")))</f>
        <v/>
      </c>
      <c r="E1838">
        <f>IF($A1838="","",IF(OR($B1838="",$C1838="",$D1838="",$B1838&lt;1300,$B1838&gt;1500,$C1838&lt;1,$C1838&gt;12,$D1838&lt;1,$D1838&gt;31),"نامعتبر",RIGHT("0000"&amp;$B1838,4)&amp;"/"&amp;RIGHT("00"&amp;$C1838,2)&amp;"/"&amp;RIGHT("00"&amp;$D1838,2)))</f>
        <v/>
      </c>
      <c r="F1838">
        <f>IF(Entry!$D1838&lt;&gt;"",IF(AND(ISNUMBER(Entry!$D1838),Entry!$D1838&gt;=0,Entry!$D1838&lt;1),RIGHT("00"&amp;HOUR(Entry!$D1838),2)&amp;":"&amp;RIGHT("00"&amp;MINUTE(Entry!$D1838),2),IFERROR(RIGHT("00"&amp;VALUE(TRIM(LEFT(Entry!$D1838,FIND(":",Entry!$D1838)-1))),2)&amp;":"&amp;RIGHT("00"&amp;VALUE(TRIM(MID(Entry!$D1838,FIND(":",Entry!$D1838)+1,2))),2),"نامعتبر")),IF(OR($E1838="",$E1838="نامعتبر"),"","00:00"))</f>
        <v/>
      </c>
      <c r="G1838">
        <f>IF(OR($E1838="",$E1838="نامعتبر"),"",IF(Entry!$E1838="","",LEFT(UPPER(TRIM(Entry!$E1838)),6)))</f>
        <v/>
      </c>
      <c r="H1838">
        <f>IF($G1838="","",RIGHT($E1838,4)&amp;MID($E1838,6,2)&amp;RIGHT($E1838,2)&amp;IF($F1838="","0000",IF($F1838="نامعتبر","9999",LEFT($F1838,2)&amp;RIGHT($F1838,2)))&amp;"|"&amp;RIGHT("00000"&amp;1830,5))</f>
        <v/>
      </c>
      <c r="I1838">
        <f>IF($H1838="","",COUNTIFS(CalcBank,$G1838,CalcKey,"&lt;"&amp;$H1838)+1)</f>
        <v/>
      </c>
      <c r="J1838">
        <f>IF($I1838="","",$G1838&amp;"|"&amp;RIGHT("000000"&amp;$I1838,6))</f>
        <v/>
      </c>
      <c r="K1838">
        <f>IF(OR($E1838="",$E1838="نامعتبر"),"",LEFT($E1838,4)&amp;"/"&amp;MID($E1838,6,2))</f>
        <v/>
      </c>
      <c r="L1838">
        <f>IF(Entry!$K1838="",0,Entry!$K1838)</f>
        <v/>
      </c>
      <c r="M1838">
        <f>IF(Entry!$L1838="",0,Entry!$L1838)</f>
        <v/>
      </c>
    </row>
    <row r="1839">
      <c r="A1839">
        <f>IF(Entry!$C1839="","",Entry!$C1839)</f>
        <v/>
      </c>
      <c r="B1839">
        <f>IF($A1839="","",IF(ISNUMBER($A1839),IF(AND($A1839&gt;=10000101,$A1839&lt;=99991231),INT($A1839/10000),""),IFERROR(VALUE(TRIM(LEFT($A1839,FIND("/",$A1839)-1))),"")))</f>
        <v/>
      </c>
      <c r="C1839">
        <f>IF(OR($A1839="",$B1839=""),"",IF(ISNUMBER($A1839),INT(MOD($A1839,10000)/100),IFERROR(VALUE(TRIM(LEFT(MID($A1839,FIND("/",$A1839)+1,20),FIND("/",MID($A1839,FIND("/",$A1839)+1,20))-1))),"")))</f>
        <v/>
      </c>
      <c r="D1839">
        <f>IF(OR($A1839="",$B1839=""),"",IF(ISNUMBER($A1839),MOD($A1839,100),IFERROR(VALUE(TRIM(MID(MID($A1839,FIND("/",$A1839)+1,20),FIND("/",MID($A1839,FIND("/",$A1839)+1,20))+1,20))),"")))</f>
        <v/>
      </c>
      <c r="E1839">
        <f>IF($A1839="","",IF(OR($B1839="",$C1839="",$D1839="",$B1839&lt;1300,$B1839&gt;1500,$C1839&lt;1,$C1839&gt;12,$D1839&lt;1,$D1839&gt;31),"نامعتبر",RIGHT("0000"&amp;$B1839,4)&amp;"/"&amp;RIGHT("00"&amp;$C1839,2)&amp;"/"&amp;RIGHT("00"&amp;$D1839,2)))</f>
        <v/>
      </c>
      <c r="F1839">
        <f>IF(Entry!$D1839&lt;&gt;"",IF(AND(ISNUMBER(Entry!$D1839),Entry!$D1839&gt;=0,Entry!$D1839&lt;1),RIGHT("00"&amp;HOUR(Entry!$D1839),2)&amp;":"&amp;RIGHT("00"&amp;MINUTE(Entry!$D1839),2),IFERROR(RIGHT("00"&amp;VALUE(TRIM(LEFT(Entry!$D1839,FIND(":",Entry!$D1839)-1))),2)&amp;":"&amp;RIGHT("00"&amp;VALUE(TRIM(MID(Entry!$D1839,FIND(":",Entry!$D1839)+1,2))),2),"نامعتبر")),IF(OR($E1839="",$E1839="نامعتبر"),"","00:00"))</f>
        <v/>
      </c>
      <c r="G1839">
        <f>IF(OR($E1839="",$E1839="نامعتبر"),"",IF(Entry!$E1839="","",LEFT(UPPER(TRIM(Entry!$E1839)),6)))</f>
        <v/>
      </c>
      <c r="H1839">
        <f>IF($G1839="","",RIGHT($E1839,4)&amp;MID($E1839,6,2)&amp;RIGHT($E1839,2)&amp;IF($F1839="","0000",IF($F1839="نامعتبر","9999",LEFT($F1839,2)&amp;RIGHT($F1839,2)))&amp;"|"&amp;RIGHT("00000"&amp;1831,5))</f>
        <v/>
      </c>
      <c r="I1839">
        <f>IF($H1839="","",COUNTIFS(CalcBank,$G1839,CalcKey,"&lt;"&amp;$H1839)+1)</f>
        <v/>
      </c>
      <c r="J1839">
        <f>IF($I1839="","",$G1839&amp;"|"&amp;RIGHT("000000"&amp;$I1839,6))</f>
        <v/>
      </c>
      <c r="K1839">
        <f>IF(OR($E1839="",$E1839="نامعتبر"),"",LEFT($E1839,4)&amp;"/"&amp;MID($E1839,6,2))</f>
        <v/>
      </c>
      <c r="L1839">
        <f>IF(Entry!$K1839="",0,Entry!$K1839)</f>
        <v/>
      </c>
      <c r="M1839">
        <f>IF(Entry!$L1839="",0,Entry!$L1839)</f>
        <v/>
      </c>
    </row>
    <row r="1840">
      <c r="A1840">
        <f>IF(Entry!$C1840="","",Entry!$C1840)</f>
        <v/>
      </c>
      <c r="B1840">
        <f>IF($A1840="","",IF(ISNUMBER($A1840),IF(AND($A1840&gt;=10000101,$A1840&lt;=99991231),INT($A1840/10000),""),IFERROR(VALUE(TRIM(LEFT($A1840,FIND("/",$A1840)-1))),"")))</f>
        <v/>
      </c>
      <c r="C1840">
        <f>IF(OR($A1840="",$B1840=""),"",IF(ISNUMBER($A1840),INT(MOD($A1840,10000)/100),IFERROR(VALUE(TRIM(LEFT(MID($A1840,FIND("/",$A1840)+1,20),FIND("/",MID($A1840,FIND("/",$A1840)+1,20))-1))),"")))</f>
        <v/>
      </c>
      <c r="D1840">
        <f>IF(OR($A1840="",$B1840=""),"",IF(ISNUMBER($A1840),MOD($A1840,100),IFERROR(VALUE(TRIM(MID(MID($A1840,FIND("/",$A1840)+1,20),FIND("/",MID($A1840,FIND("/",$A1840)+1,20))+1,20))),"")))</f>
        <v/>
      </c>
      <c r="E1840">
        <f>IF($A1840="","",IF(OR($B1840="",$C1840="",$D1840="",$B1840&lt;1300,$B1840&gt;1500,$C1840&lt;1,$C1840&gt;12,$D1840&lt;1,$D1840&gt;31),"نامعتبر",RIGHT("0000"&amp;$B1840,4)&amp;"/"&amp;RIGHT("00"&amp;$C1840,2)&amp;"/"&amp;RIGHT("00"&amp;$D1840,2)))</f>
        <v/>
      </c>
      <c r="F1840">
        <f>IF(Entry!$D1840&lt;&gt;"",IF(AND(ISNUMBER(Entry!$D1840),Entry!$D1840&gt;=0,Entry!$D1840&lt;1),RIGHT("00"&amp;HOUR(Entry!$D1840),2)&amp;":"&amp;RIGHT("00"&amp;MINUTE(Entry!$D1840),2),IFERROR(RIGHT("00"&amp;VALUE(TRIM(LEFT(Entry!$D1840,FIND(":",Entry!$D1840)-1))),2)&amp;":"&amp;RIGHT("00"&amp;VALUE(TRIM(MID(Entry!$D1840,FIND(":",Entry!$D1840)+1,2))),2),"نامعتبر")),IF(OR($E1840="",$E1840="نامعتبر"),"","00:00"))</f>
        <v/>
      </c>
      <c r="G1840">
        <f>IF(OR($E1840="",$E1840="نامعتبر"),"",IF(Entry!$E1840="","",LEFT(UPPER(TRIM(Entry!$E1840)),6)))</f>
        <v/>
      </c>
      <c r="H1840">
        <f>IF($G1840="","",RIGHT($E1840,4)&amp;MID($E1840,6,2)&amp;RIGHT($E1840,2)&amp;IF($F1840="","0000",IF($F1840="نامعتبر","9999",LEFT($F1840,2)&amp;RIGHT($F1840,2)))&amp;"|"&amp;RIGHT("00000"&amp;1832,5))</f>
        <v/>
      </c>
      <c r="I1840">
        <f>IF($H1840="","",COUNTIFS(CalcBank,$G1840,CalcKey,"&lt;"&amp;$H1840)+1)</f>
        <v/>
      </c>
      <c r="J1840">
        <f>IF($I1840="","",$G1840&amp;"|"&amp;RIGHT("000000"&amp;$I1840,6))</f>
        <v/>
      </c>
      <c r="K1840">
        <f>IF(OR($E1840="",$E1840="نامعتبر"),"",LEFT($E1840,4)&amp;"/"&amp;MID($E1840,6,2))</f>
        <v/>
      </c>
      <c r="L1840">
        <f>IF(Entry!$K1840="",0,Entry!$K1840)</f>
        <v/>
      </c>
      <c r="M1840">
        <f>IF(Entry!$L1840="",0,Entry!$L1840)</f>
        <v/>
      </c>
    </row>
    <row r="1841">
      <c r="A1841">
        <f>IF(Entry!$C1841="","",Entry!$C1841)</f>
        <v/>
      </c>
      <c r="B1841">
        <f>IF($A1841="","",IF(ISNUMBER($A1841),IF(AND($A1841&gt;=10000101,$A1841&lt;=99991231),INT($A1841/10000),""),IFERROR(VALUE(TRIM(LEFT($A1841,FIND("/",$A1841)-1))),"")))</f>
        <v/>
      </c>
      <c r="C1841">
        <f>IF(OR($A1841="",$B1841=""),"",IF(ISNUMBER($A1841),INT(MOD($A1841,10000)/100),IFERROR(VALUE(TRIM(LEFT(MID($A1841,FIND("/",$A1841)+1,20),FIND("/",MID($A1841,FIND("/",$A1841)+1,20))-1))),"")))</f>
        <v/>
      </c>
      <c r="D1841">
        <f>IF(OR($A1841="",$B1841=""),"",IF(ISNUMBER($A1841),MOD($A1841,100),IFERROR(VALUE(TRIM(MID(MID($A1841,FIND("/",$A1841)+1,20),FIND("/",MID($A1841,FIND("/",$A1841)+1,20))+1,20))),"")))</f>
        <v/>
      </c>
      <c r="E1841">
        <f>IF($A1841="","",IF(OR($B1841="",$C1841="",$D1841="",$B1841&lt;1300,$B1841&gt;1500,$C1841&lt;1,$C1841&gt;12,$D1841&lt;1,$D1841&gt;31),"نامعتبر",RIGHT("0000"&amp;$B1841,4)&amp;"/"&amp;RIGHT("00"&amp;$C1841,2)&amp;"/"&amp;RIGHT("00"&amp;$D1841,2)))</f>
        <v/>
      </c>
      <c r="F1841">
        <f>IF(Entry!$D1841&lt;&gt;"",IF(AND(ISNUMBER(Entry!$D1841),Entry!$D1841&gt;=0,Entry!$D1841&lt;1),RIGHT("00"&amp;HOUR(Entry!$D1841),2)&amp;":"&amp;RIGHT("00"&amp;MINUTE(Entry!$D1841),2),IFERROR(RIGHT("00"&amp;VALUE(TRIM(LEFT(Entry!$D1841,FIND(":",Entry!$D1841)-1))),2)&amp;":"&amp;RIGHT("00"&amp;VALUE(TRIM(MID(Entry!$D1841,FIND(":",Entry!$D1841)+1,2))),2),"نامعتبر")),IF(OR($E1841="",$E1841="نامعتبر"),"","00:00"))</f>
        <v/>
      </c>
      <c r="G1841">
        <f>IF(OR($E1841="",$E1841="نامعتبر"),"",IF(Entry!$E1841="","",LEFT(UPPER(TRIM(Entry!$E1841)),6)))</f>
        <v/>
      </c>
      <c r="H1841">
        <f>IF($G1841="","",RIGHT($E1841,4)&amp;MID($E1841,6,2)&amp;RIGHT($E1841,2)&amp;IF($F1841="","0000",IF($F1841="نامعتبر","9999",LEFT($F1841,2)&amp;RIGHT($F1841,2)))&amp;"|"&amp;RIGHT("00000"&amp;1833,5))</f>
        <v/>
      </c>
      <c r="I1841">
        <f>IF($H1841="","",COUNTIFS(CalcBank,$G1841,CalcKey,"&lt;"&amp;$H1841)+1)</f>
        <v/>
      </c>
      <c r="J1841">
        <f>IF($I1841="","",$G1841&amp;"|"&amp;RIGHT("000000"&amp;$I1841,6))</f>
        <v/>
      </c>
      <c r="K1841">
        <f>IF(OR($E1841="",$E1841="نامعتبر"),"",LEFT($E1841,4)&amp;"/"&amp;MID($E1841,6,2))</f>
        <v/>
      </c>
      <c r="L1841">
        <f>IF(Entry!$K1841="",0,Entry!$K1841)</f>
        <v/>
      </c>
      <c r="M1841">
        <f>IF(Entry!$L1841="",0,Entry!$L1841)</f>
        <v/>
      </c>
    </row>
    <row r="1842">
      <c r="A1842">
        <f>IF(Entry!$C1842="","",Entry!$C1842)</f>
        <v/>
      </c>
      <c r="B1842">
        <f>IF($A1842="","",IF(ISNUMBER($A1842),IF(AND($A1842&gt;=10000101,$A1842&lt;=99991231),INT($A1842/10000),""),IFERROR(VALUE(TRIM(LEFT($A1842,FIND("/",$A1842)-1))),"")))</f>
        <v/>
      </c>
      <c r="C1842">
        <f>IF(OR($A1842="",$B1842=""),"",IF(ISNUMBER($A1842),INT(MOD($A1842,10000)/100),IFERROR(VALUE(TRIM(LEFT(MID($A1842,FIND("/",$A1842)+1,20),FIND("/",MID($A1842,FIND("/",$A1842)+1,20))-1))),"")))</f>
        <v/>
      </c>
      <c r="D1842">
        <f>IF(OR($A1842="",$B1842=""),"",IF(ISNUMBER($A1842),MOD($A1842,100),IFERROR(VALUE(TRIM(MID(MID($A1842,FIND("/",$A1842)+1,20),FIND("/",MID($A1842,FIND("/",$A1842)+1,20))+1,20))),"")))</f>
        <v/>
      </c>
      <c r="E1842">
        <f>IF($A1842="","",IF(OR($B1842="",$C1842="",$D1842="",$B1842&lt;1300,$B1842&gt;1500,$C1842&lt;1,$C1842&gt;12,$D1842&lt;1,$D1842&gt;31),"نامعتبر",RIGHT("0000"&amp;$B1842,4)&amp;"/"&amp;RIGHT("00"&amp;$C1842,2)&amp;"/"&amp;RIGHT("00"&amp;$D1842,2)))</f>
        <v/>
      </c>
      <c r="F1842">
        <f>IF(Entry!$D1842&lt;&gt;"",IF(AND(ISNUMBER(Entry!$D1842),Entry!$D1842&gt;=0,Entry!$D1842&lt;1),RIGHT("00"&amp;HOUR(Entry!$D1842),2)&amp;":"&amp;RIGHT("00"&amp;MINUTE(Entry!$D1842),2),IFERROR(RIGHT("00"&amp;VALUE(TRIM(LEFT(Entry!$D1842,FIND(":",Entry!$D1842)-1))),2)&amp;":"&amp;RIGHT("00"&amp;VALUE(TRIM(MID(Entry!$D1842,FIND(":",Entry!$D1842)+1,2))),2),"نامعتبر")),IF(OR($E1842="",$E1842="نامعتبر"),"","00:00"))</f>
        <v/>
      </c>
      <c r="G1842">
        <f>IF(OR($E1842="",$E1842="نامعتبر"),"",IF(Entry!$E1842="","",LEFT(UPPER(TRIM(Entry!$E1842)),6)))</f>
        <v/>
      </c>
      <c r="H1842">
        <f>IF($G1842="","",RIGHT($E1842,4)&amp;MID($E1842,6,2)&amp;RIGHT($E1842,2)&amp;IF($F1842="","0000",IF($F1842="نامعتبر","9999",LEFT($F1842,2)&amp;RIGHT($F1842,2)))&amp;"|"&amp;RIGHT("00000"&amp;1834,5))</f>
        <v/>
      </c>
      <c r="I1842">
        <f>IF($H1842="","",COUNTIFS(CalcBank,$G1842,CalcKey,"&lt;"&amp;$H1842)+1)</f>
        <v/>
      </c>
      <c r="J1842">
        <f>IF($I1842="","",$G1842&amp;"|"&amp;RIGHT("000000"&amp;$I1842,6))</f>
        <v/>
      </c>
      <c r="K1842">
        <f>IF(OR($E1842="",$E1842="نامعتبر"),"",LEFT($E1842,4)&amp;"/"&amp;MID($E1842,6,2))</f>
        <v/>
      </c>
      <c r="L1842">
        <f>IF(Entry!$K1842="",0,Entry!$K1842)</f>
        <v/>
      </c>
      <c r="M1842">
        <f>IF(Entry!$L1842="",0,Entry!$L1842)</f>
        <v/>
      </c>
    </row>
    <row r="1843">
      <c r="A1843">
        <f>IF(Entry!$C1843="","",Entry!$C1843)</f>
        <v/>
      </c>
      <c r="B1843">
        <f>IF($A1843="","",IF(ISNUMBER($A1843),IF(AND($A1843&gt;=10000101,$A1843&lt;=99991231),INT($A1843/10000),""),IFERROR(VALUE(TRIM(LEFT($A1843,FIND("/",$A1843)-1))),"")))</f>
        <v/>
      </c>
      <c r="C1843">
        <f>IF(OR($A1843="",$B1843=""),"",IF(ISNUMBER($A1843),INT(MOD($A1843,10000)/100),IFERROR(VALUE(TRIM(LEFT(MID($A1843,FIND("/",$A1843)+1,20),FIND("/",MID($A1843,FIND("/",$A1843)+1,20))-1))),"")))</f>
        <v/>
      </c>
      <c r="D1843">
        <f>IF(OR($A1843="",$B1843=""),"",IF(ISNUMBER($A1843),MOD($A1843,100),IFERROR(VALUE(TRIM(MID(MID($A1843,FIND("/",$A1843)+1,20),FIND("/",MID($A1843,FIND("/",$A1843)+1,20))+1,20))),"")))</f>
        <v/>
      </c>
      <c r="E1843">
        <f>IF($A1843="","",IF(OR($B1843="",$C1843="",$D1843="",$B1843&lt;1300,$B1843&gt;1500,$C1843&lt;1,$C1843&gt;12,$D1843&lt;1,$D1843&gt;31),"نامعتبر",RIGHT("0000"&amp;$B1843,4)&amp;"/"&amp;RIGHT("00"&amp;$C1843,2)&amp;"/"&amp;RIGHT("00"&amp;$D1843,2)))</f>
        <v/>
      </c>
      <c r="F1843">
        <f>IF(Entry!$D1843&lt;&gt;"",IF(AND(ISNUMBER(Entry!$D1843),Entry!$D1843&gt;=0,Entry!$D1843&lt;1),RIGHT("00"&amp;HOUR(Entry!$D1843),2)&amp;":"&amp;RIGHT("00"&amp;MINUTE(Entry!$D1843),2),IFERROR(RIGHT("00"&amp;VALUE(TRIM(LEFT(Entry!$D1843,FIND(":",Entry!$D1843)-1))),2)&amp;":"&amp;RIGHT("00"&amp;VALUE(TRIM(MID(Entry!$D1843,FIND(":",Entry!$D1843)+1,2))),2),"نامعتبر")),IF(OR($E1843="",$E1843="نامعتبر"),"","00:00"))</f>
        <v/>
      </c>
      <c r="G1843">
        <f>IF(OR($E1843="",$E1843="نامعتبر"),"",IF(Entry!$E1843="","",LEFT(UPPER(TRIM(Entry!$E1843)),6)))</f>
        <v/>
      </c>
      <c r="H1843">
        <f>IF($G1843="","",RIGHT($E1843,4)&amp;MID($E1843,6,2)&amp;RIGHT($E1843,2)&amp;IF($F1843="","0000",IF($F1843="نامعتبر","9999",LEFT($F1843,2)&amp;RIGHT($F1843,2)))&amp;"|"&amp;RIGHT("00000"&amp;1835,5))</f>
        <v/>
      </c>
      <c r="I1843">
        <f>IF($H1843="","",COUNTIFS(CalcBank,$G1843,CalcKey,"&lt;"&amp;$H1843)+1)</f>
        <v/>
      </c>
      <c r="J1843">
        <f>IF($I1843="","",$G1843&amp;"|"&amp;RIGHT("000000"&amp;$I1843,6))</f>
        <v/>
      </c>
      <c r="K1843">
        <f>IF(OR($E1843="",$E1843="نامعتبر"),"",LEFT($E1843,4)&amp;"/"&amp;MID($E1843,6,2))</f>
        <v/>
      </c>
      <c r="L1843">
        <f>IF(Entry!$K1843="",0,Entry!$K1843)</f>
        <v/>
      </c>
      <c r="M1843">
        <f>IF(Entry!$L1843="",0,Entry!$L1843)</f>
        <v/>
      </c>
    </row>
    <row r="1844">
      <c r="A1844">
        <f>IF(Entry!$C1844="","",Entry!$C1844)</f>
        <v/>
      </c>
      <c r="B1844">
        <f>IF($A1844="","",IF(ISNUMBER($A1844),IF(AND($A1844&gt;=10000101,$A1844&lt;=99991231),INT($A1844/10000),""),IFERROR(VALUE(TRIM(LEFT($A1844,FIND("/",$A1844)-1))),"")))</f>
        <v/>
      </c>
      <c r="C1844">
        <f>IF(OR($A1844="",$B1844=""),"",IF(ISNUMBER($A1844),INT(MOD($A1844,10000)/100),IFERROR(VALUE(TRIM(LEFT(MID($A1844,FIND("/",$A1844)+1,20),FIND("/",MID($A1844,FIND("/",$A1844)+1,20))-1))),"")))</f>
        <v/>
      </c>
      <c r="D1844">
        <f>IF(OR($A1844="",$B1844=""),"",IF(ISNUMBER($A1844),MOD($A1844,100),IFERROR(VALUE(TRIM(MID(MID($A1844,FIND("/",$A1844)+1,20),FIND("/",MID($A1844,FIND("/",$A1844)+1,20))+1,20))),"")))</f>
        <v/>
      </c>
      <c r="E1844">
        <f>IF($A1844="","",IF(OR($B1844="",$C1844="",$D1844="",$B1844&lt;1300,$B1844&gt;1500,$C1844&lt;1,$C1844&gt;12,$D1844&lt;1,$D1844&gt;31),"نامعتبر",RIGHT("0000"&amp;$B1844,4)&amp;"/"&amp;RIGHT("00"&amp;$C1844,2)&amp;"/"&amp;RIGHT("00"&amp;$D1844,2)))</f>
        <v/>
      </c>
      <c r="F1844">
        <f>IF(Entry!$D1844&lt;&gt;"",IF(AND(ISNUMBER(Entry!$D1844),Entry!$D1844&gt;=0,Entry!$D1844&lt;1),RIGHT("00"&amp;HOUR(Entry!$D1844),2)&amp;":"&amp;RIGHT("00"&amp;MINUTE(Entry!$D1844),2),IFERROR(RIGHT("00"&amp;VALUE(TRIM(LEFT(Entry!$D1844,FIND(":",Entry!$D1844)-1))),2)&amp;":"&amp;RIGHT("00"&amp;VALUE(TRIM(MID(Entry!$D1844,FIND(":",Entry!$D1844)+1,2))),2),"نامعتبر")),IF(OR($E1844="",$E1844="نامعتبر"),"","00:00"))</f>
        <v/>
      </c>
      <c r="G1844">
        <f>IF(OR($E1844="",$E1844="نامعتبر"),"",IF(Entry!$E1844="","",LEFT(UPPER(TRIM(Entry!$E1844)),6)))</f>
        <v/>
      </c>
      <c r="H1844">
        <f>IF($G1844="","",RIGHT($E1844,4)&amp;MID($E1844,6,2)&amp;RIGHT($E1844,2)&amp;IF($F1844="","0000",IF($F1844="نامعتبر","9999",LEFT($F1844,2)&amp;RIGHT($F1844,2)))&amp;"|"&amp;RIGHT("00000"&amp;1836,5))</f>
        <v/>
      </c>
      <c r="I1844">
        <f>IF($H1844="","",COUNTIFS(CalcBank,$G1844,CalcKey,"&lt;"&amp;$H1844)+1)</f>
        <v/>
      </c>
      <c r="J1844">
        <f>IF($I1844="","",$G1844&amp;"|"&amp;RIGHT("000000"&amp;$I1844,6))</f>
        <v/>
      </c>
      <c r="K1844">
        <f>IF(OR($E1844="",$E1844="نامعتبر"),"",LEFT($E1844,4)&amp;"/"&amp;MID($E1844,6,2))</f>
        <v/>
      </c>
      <c r="L1844">
        <f>IF(Entry!$K1844="",0,Entry!$K1844)</f>
        <v/>
      </c>
      <c r="M1844">
        <f>IF(Entry!$L1844="",0,Entry!$L1844)</f>
        <v/>
      </c>
    </row>
    <row r="1845">
      <c r="A1845">
        <f>IF(Entry!$C1845="","",Entry!$C1845)</f>
        <v/>
      </c>
      <c r="B1845">
        <f>IF($A1845="","",IF(ISNUMBER($A1845),IF(AND($A1845&gt;=10000101,$A1845&lt;=99991231),INT($A1845/10000),""),IFERROR(VALUE(TRIM(LEFT($A1845,FIND("/",$A1845)-1))),"")))</f>
        <v/>
      </c>
      <c r="C1845">
        <f>IF(OR($A1845="",$B1845=""),"",IF(ISNUMBER($A1845),INT(MOD($A1845,10000)/100),IFERROR(VALUE(TRIM(LEFT(MID($A1845,FIND("/",$A1845)+1,20),FIND("/",MID($A1845,FIND("/",$A1845)+1,20))-1))),"")))</f>
        <v/>
      </c>
      <c r="D1845">
        <f>IF(OR($A1845="",$B1845=""),"",IF(ISNUMBER($A1845),MOD($A1845,100),IFERROR(VALUE(TRIM(MID(MID($A1845,FIND("/",$A1845)+1,20),FIND("/",MID($A1845,FIND("/",$A1845)+1,20))+1,20))),"")))</f>
        <v/>
      </c>
      <c r="E1845">
        <f>IF($A1845="","",IF(OR($B1845="",$C1845="",$D1845="",$B1845&lt;1300,$B1845&gt;1500,$C1845&lt;1,$C1845&gt;12,$D1845&lt;1,$D1845&gt;31),"نامعتبر",RIGHT("0000"&amp;$B1845,4)&amp;"/"&amp;RIGHT("00"&amp;$C1845,2)&amp;"/"&amp;RIGHT("00"&amp;$D1845,2)))</f>
        <v/>
      </c>
      <c r="F1845">
        <f>IF(Entry!$D1845&lt;&gt;"",IF(AND(ISNUMBER(Entry!$D1845),Entry!$D1845&gt;=0,Entry!$D1845&lt;1),RIGHT("00"&amp;HOUR(Entry!$D1845),2)&amp;":"&amp;RIGHT("00"&amp;MINUTE(Entry!$D1845),2),IFERROR(RIGHT("00"&amp;VALUE(TRIM(LEFT(Entry!$D1845,FIND(":",Entry!$D1845)-1))),2)&amp;":"&amp;RIGHT("00"&amp;VALUE(TRIM(MID(Entry!$D1845,FIND(":",Entry!$D1845)+1,2))),2),"نامعتبر")),IF(OR($E1845="",$E1845="نامعتبر"),"","00:00"))</f>
        <v/>
      </c>
      <c r="G1845">
        <f>IF(OR($E1845="",$E1845="نامعتبر"),"",IF(Entry!$E1845="","",LEFT(UPPER(TRIM(Entry!$E1845)),6)))</f>
        <v/>
      </c>
      <c r="H1845">
        <f>IF($G1845="","",RIGHT($E1845,4)&amp;MID($E1845,6,2)&amp;RIGHT($E1845,2)&amp;IF($F1845="","0000",IF($F1845="نامعتبر","9999",LEFT($F1845,2)&amp;RIGHT($F1845,2)))&amp;"|"&amp;RIGHT("00000"&amp;1837,5))</f>
        <v/>
      </c>
      <c r="I1845">
        <f>IF($H1845="","",COUNTIFS(CalcBank,$G1845,CalcKey,"&lt;"&amp;$H1845)+1)</f>
        <v/>
      </c>
      <c r="J1845">
        <f>IF($I1845="","",$G1845&amp;"|"&amp;RIGHT("000000"&amp;$I1845,6))</f>
        <v/>
      </c>
      <c r="K1845">
        <f>IF(OR($E1845="",$E1845="نامعتبر"),"",LEFT($E1845,4)&amp;"/"&amp;MID($E1845,6,2))</f>
        <v/>
      </c>
      <c r="L1845">
        <f>IF(Entry!$K1845="",0,Entry!$K1845)</f>
        <v/>
      </c>
      <c r="M1845">
        <f>IF(Entry!$L1845="",0,Entry!$L1845)</f>
        <v/>
      </c>
    </row>
    <row r="1846">
      <c r="A1846">
        <f>IF(Entry!$C1846="","",Entry!$C1846)</f>
        <v/>
      </c>
      <c r="B1846">
        <f>IF($A1846="","",IF(ISNUMBER($A1846),IF(AND($A1846&gt;=10000101,$A1846&lt;=99991231),INT($A1846/10000),""),IFERROR(VALUE(TRIM(LEFT($A1846,FIND("/",$A1846)-1))),"")))</f>
        <v/>
      </c>
      <c r="C1846">
        <f>IF(OR($A1846="",$B1846=""),"",IF(ISNUMBER($A1846),INT(MOD($A1846,10000)/100),IFERROR(VALUE(TRIM(LEFT(MID($A1846,FIND("/",$A1846)+1,20),FIND("/",MID($A1846,FIND("/",$A1846)+1,20))-1))),"")))</f>
        <v/>
      </c>
      <c r="D1846">
        <f>IF(OR($A1846="",$B1846=""),"",IF(ISNUMBER($A1846),MOD($A1846,100),IFERROR(VALUE(TRIM(MID(MID($A1846,FIND("/",$A1846)+1,20),FIND("/",MID($A1846,FIND("/",$A1846)+1,20))+1,20))),"")))</f>
        <v/>
      </c>
      <c r="E1846">
        <f>IF($A1846="","",IF(OR($B1846="",$C1846="",$D1846="",$B1846&lt;1300,$B1846&gt;1500,$C1846&lt;1,$C1846&gt;12,$D1846&lt;1,$D1846&gt;31),"نامعتبر",RIGHT("0000"&amp;$B1846,4)&amp;"/"&amp;RIGHT("00"&amp;$C1846,2)&amp;"/"&amp;RIGHT("00"&amp;$D1846,2)))</f>
        <v/>
      </c>
      <c r="F1846">
        <f>IF(Entry!$D1846&lt;&gt;"",IF(AND(ISNUMBER(Entry!$D1846),Entry!$D1846&gt;=0,Entry!$D1846&lt;1),RIGHT("00"&amp;HOUR(Entry!$D1846),2)&amp;":"&amp;RIGHT("00"&amp;MINUTE(Entry!$D1846),2),IFERROR(RIGHT("00"&amp;VALUE(TRIM(LEFT(Entry!$D1846,FIND(":",Entry!$D1846)-1))),2)&amp;":"&amp;RIGHT("00"&amp;VALUE(TRIM(MID(Entry!$D1846,FIND(":",Entry!$D1846)+1,2))),2),"نامعتبر")),IF(OR($E1846="",$E1846="نامعتبر"),"","00:00"))</f>
        <v/>
      </c>
      <c r="G1846">
        <f>IF(OR($E1846="",$E1846="نامعتبر"),"",IF(Entry!$E1846="","",LEFT(UPPER(TRIM(Entry!$E1846)),6)))</f>
        <v/>
      </c>
      <c r="H1846">
        <f>IF($G1846="","",RIGHT($E1846,4)&amp;MID($E1846,6,2)&amp;RIGHT($E1846,2)&amp;IF($F1846="","0000",IF($F1846="نامعتبر","9999",LEFT($F1846,2)&amp;RIGHT($F1846,2)))&amp;"|"&amp;RIGHT("00000"&amp;1838,5))</f>
        <v/>
      </c>
      <c r="I1846">
        <f>IF($H1846="","",COUNTIFS(CalcBank,$G1846,CalcKey,"&lt;"&amp;$H1846)+1)</f>
        <v/>
      </c>
      <c r="J1846">
        <f>IF($I1846="","",$G1846&amp;"|"&amp;RIGHT("000000"&amp;$I1846,6))</f>
        <v/>
      </c>
      <c r="K1846">
        <f>IF(OR($E1846="",$E1846="نامعتبر"),"",LEFT($E1846,4)&amp;"/"&amp;MID($E1846,6,2))</f>
        <v/>
      </c>
      <c r="L1846">
        <f>IF(Entry!$K1846="",0,Entry!$K1846)</f>
        <v/>
      </c>
      <c r="M1846">
        <f>IF(Entry!$L1846="",0,Entry!$L1846)</f>
        <v/>
      </c>
    </row>
    <row r="1847">
      <c r="A1847">
        <f>IF(Entry!$C1847="","",Entry!$C1847)</f>
        <v/>
      </c>
      <c r="B1847">
        <f>IF($A1847="","",IF(ISNUMBER($A1847),IF(AND($A1847&gt;=10000101,$A1847&lt;=99991231),INT($A1847/10000),""),IFERROR(VALUE(TRIM(LEFT($A1847,FIND("/",$A1847)-1))),"")))</f>
        <v/>
      </c>
      <c r="C1847">
        <f>IF(OR($A1847="",$B1847=""),"",IF(ISNUMBER($A1847),INT(MOD($A1847,10000)/100),IFERROR(VALUE(TRIM(LEFT(MID($A1847,FIND("/",$A1847)+1,20),FIND("/",MID($A1847,FIND("/",$A1847)+1,20))-1))),"")))</f>
        <v/>
      </c>
      <c r="D1847">
        <f>IF(OR($A1847="",$B1847=""),"",IF(ISNUMBER($A1847),MOD($A1847,100),IFERROR(VALUE(TRIM(MID(MID($A1847,FIND("/",$A1847)+1,20),FIND("/",MID($A1847,FIND("/",$A1847)+1,20))+1,20))),"")))</f>
        <v/>
      </c>
      <c r="E1847">
        <f>IF($A1847="","",IF(OR($B1847="",$C1847="",$D1847="",$B1847&lt;1300,$B1847&gt;1500,$C1847&lt;1,$C1847&gt;12,$D1847&lt;1,$D1847&gt;31),"نامعتبر",RIGHT("0000"&amp;$B1847,4)&amp;"/"&amp;RIGHT("00"&amp;$C1847,2)&amp;"/"&amp;RIGHT("00"&amp;$D1847,2)))</f>
        <v/>
      </c>
      <c r="F1847">
        <f>IF(Entry!$D1847&lt;&gt;"",IF(AND(ISNUMBER(Entry!$D1847),Entry!$D1847&gt;=0,Entry!$D1847&lt;1),RIGHT("00"&amp;HOUR(Entry!$D1847),2)&amp;":"&amp;RIGHT("00"&amp;MINUTE(Entry!$D1847),2),IFERROR(RIGHT("00"&amp;VALUE(TRIM(LEFT(Entry!$D1847,FIND(":",Entry!$D1847)-1))),2)&amp;":"&amp;RIGHT("00"&amp;VALUE(TRIM(MID(Entry!$D1847,FIND(":",Entry!$D1847)+1,2))),2),"نامعتبر")),IF(OR($E1847="",$E1847="نامعتبر"),"","00:00"))</f>
        <v/>
      </c>
      <c r="G1847">
        <f>IF(OR($E1847="",$E1847="نامعتبر"),"",IF(Entry!$E1847="","",LEFT(UPPER(TRIM(Entry!$E1847)),6)))</f>
        <v/>
      </c>
      <c r="H1847">
        <f>IF($G1847="","",RIGHT($E1847,4)&amp;MID($E1847,6,2)&amp;RIGHT($E1847,2)&amp;IF($F1847="","0000",IF($F1847="نامعتبر","9999",LEFT($F1847,2)&amp;RIGHT($F1847,2)))&amp;"|"&amp;RIGHT("00000"&amp;1839,5))</f>
        <v/>
      </c>
      <c r="I1847">
        <f>IF($H1847="","",COUNTIFS(CalcBank,$G1847,CalcKey,"&lt;"&amp;$H1847)+1)</f>
        <v/>
      </c>
      <c r="J1847">
        <f>IF($I1847="","",$G1847&amp;"|"&amp;RIGHT("000000"&amp;$I1847,6))</f>
        <v/>
      </c>
      <c r="K1847">
        <f>IF(OR($E1847="",$E1847="نامعتبر"),"",LEFT($E1847,4)&amp;"/"&amp;MID($E1847,6,2))</f>
        <v/>
      </c>
      <c r="L1847">
        <f>IF(Entry!$K1847="",0,Entry!$K1847)</f>
        <v/>
      </c>
      <c r="M1847">
        <f>IF(Entry!$L1847="",0,Entry!$L1847)</f>
        <v/>
      </c>
    </row>
    <row r="1848">
      <c r="A1848">
        <f>IF(Entry!$C1848="","",Entry!$C1848)</f>
        <v/>
      </c>
      <c r="B1848">
        <f>IF($A1848="","",IF(ISNUMBER($A1848),IF(AND($A1848&gt;=10000101,$A1848&lt;=99991231),INT($A1848/10000),""),IFERROR(VALUE(TRIM(LEFT($A1848,FIND("/",$A1848)-1))),"")))</f>
        <v/>
      </c>
      <c r="C1848">
        <f>IF(OR($A1848="",$B1848=""),"",IF(ISNUMBER($A1848),INT(MOD($A1848,10000)/100),IFERROR(VALUE(TRIM(LEFT(MID($A1848,FIND("/",$A1848)+1,20),FIND("/",MID($A1848,FIND("/",$A1848)+1,20))-1))),"")))</f>
        <v/>
      </c>
      <c r="D1848">
        <f>IF(OR($A1848="",$B1848=""),"",IF(ISNUMBER($A1848),MOD($A1848,100),IFERROR(VALUE(TRIM(MID(MID($A1848,FIND("/",$A1848)+1,20),FIND("/",MID($A1848,FIND("/",$A1848)+1,20))+1,20))),"")))</f>
        <v/>
      </c>
      <c r="E1848">
        <f>IF($A1848="","",IF(OR($B1848="",$C1848="",$D1848="",$B1848&lt;1300,$B1848&gt;1500,$C1848&lt;1,$C1848&gt;12,$D1848&lt;1,$D1848&gt;31),"نامعتبر",RIGHT("0000"&amp;$B1848,4)&amp;"/"&amp;RIGHT("00"&amp;$C1848,2)&amp;"/"&amp;RIGHT("00"&amp;$D1848,2)))</f>
        <v/>
      </c>
      <c r="F1848">
        <f>IF(Entry!$D1848&lt;&gt;"",IF(AND(ISNUMBER(Entry!$D1848),Entry!$D1848&gt;=0,Entry!$D1848&lt;1),RIGHT("00"&amp;HOUR(Entry!$D1848),2)&amp;":"&amp;RIGHT("00"&amp;MINUTE(Entry!$D1848),2),IFERROR(RIGHT("00"&amp;VALUE(TRIM(LEFT(Entry!$D1848,FIND(":",Entry!$D1848)-1))),2)&amp;":"&amp;RIGHT("00"&amp;VALUE(TRIM(MID(Entry!$D1848,FIND(":",Entry!$D1848)+1,2))),2),"نامعتبر")),IF(OR($E1848="",$E1848="نامعتبر"),"","00:00"))</f>
        <v/>
      </c>
      <c r="G1848">
        <f>IF(OR($E1848="",$E1848="نامعتبر"),"",IF(Entry!$E1848="","",LEFT(UPPER(TRIM(Entry!$E1848)),6)))</f>
        <v/>
      </c>
      <c r="H1848">
        <f>IF($G1848="","",RIGHT($E1848,4)&amp;MID($E1848,6,2)&amp;RIGHT($E1848,2)&amp;IF($F1848="","0000",IF($F1848="نامعتبر","9999",LEFT($F1848,2)&amp;RIGHT($F1848,2)))&amp;"|"&amp;RIGHT("00000"&amp;1840,5))</f>
        <v/>
      </c>
      <c r="I1848">
        <f>IF($H1848="","",COUNTIFS(CalcBank,$G1848,CalcKey,"&lt;"&amp;$H1848)+1)</f>
        <v/>
      </c>
      <c r="J1848">
        <f>IF($I1848="","",$G1848&amp;"|"&amp;RIGHT("000000"&amp;$I1848,6))</f>
        <v/>
      </c>
      <c r="K1848">
        <f>IF(OR($E1848="",$E1848="نامعتبر"),"",LEFT($E1848,4)&amp;"/"&amp;MID($E1848,6,2))</f>
        <v/>
      </c>
      <c r="L1848">
        <f>IF(Entry!$K1848="",0,Entry!$K1848)</f>
        <v/>
      </c>
      <c r="M1848">
        <f>IF(Entry!$L1848="",0,Entry!$L1848)</f>
        <v/>
      </c>
    </row>
    <row r="1849">
      <c r="A1849">
        <f>IF(Entry!$C1849="","",Entry!$C1849)</f>
        <v/>
      </c>
      <c r="B1849">
        <f>IF($A1849="","",IF(ISNUMBER($A1849),IF(AND($A1849&gt;=10000101,$A1849&lt;=99991231),INT($A1849/10000),""),IFERROR(VALUE(TRIM(LEFT($A1849,FIND("/",$A1849)-1))),"")))</f>
        <v/>
      </c>
      <c r="C1849">
        <f>IF(OR($A1849="",$B1849=""),"",IF(ISNUMBER($A1849),INT(MOD($A1849,10000)/100),IFERROR(VALUE(TRIM(LEFT(MID($A1849,FIND("/",$A1849)+1,20),FIND("/",MID($A1849,FIND("/",$A1849)+1,20))-1))),"")))</f>
        <v/>
      </c>
      <c r="D1849">
        <f>IF(OR($A1849="",$B1849=""),"",IF(ISNUMBER($A1849),MOD($A1849,100),IFERROR(VALUE(TRIM(MID(MID($A1849,FIND("/",$A1849)+1,20),FIND("/",MID($A1849,FIND("/",$A1849)+1,20))+1,20))),"")))</f>
        <v/>
      </c>
      <c r="E1849">
        <f>IF($A1849="","",IF(OR($B1849="",$C1849="",$D1849="",$B1849&lt;1300,$B1849&gt;1500,$C1849&lt;1,$C1849&gt;12,$D1849&lt;1,$D1849&gt;31),"نامعتبر",RIGHT("0000"&amp;$B1849,4)&amp;"/"&amp;RIGHT("00"&amp;$C1849,2)&amp;"/"&amp;RIGHT("00"&amp;$D1849,2)))</f>
        <v/>
      </c>
      <c r="F1849">
        <f>IF(Entry!$D1849&lt;&gt;"",IF(AND(ISNUMBER(Entry!$D1849),Entry!$D1849&gt;=0,Entry!$D1849&lt;1),RIGHT("00"&amp;HOUR(Entry!$D1849),2)&amp;":"&amp;RIGHT("00"&amp;MINUTE(Entry!$D1849),2),IFERROR(RIGHT("00"&amp;VALUE(TRIM(LEFT(Entry!$D1849,FIND(":",Entry!$D1849)-1))),2)&amp;":"&amp;RIGHT("00"&amp;VALUE(TRIM(MID(Entry!$D1849,FIND(":",Entry!$D1849)+1,2))),2),"نامعتبر")),IF(OR($E1849="",$E1849="نامعتبر"),"","00:00"))</f>
        <v/>
      </c>
      <c r="G1849">
        <f>IF(OR($E1849="",$E1849="نامعتبر"),"",IF(Entry!$E1849="","",LEFT(UPPER(TRIM(Entry!$E1849)),6)))</f>
        <v/>
      </c>
      <c r="H1849">
        <f>IF($G1849="","",RIGHT($E1849,4)&amp;MID($E1849,6,2)&amp;RIGHT($E1849,2)&amp;IF($F1849="","0000",IF($F1849="نامعتبر","9999",LEFT($F1849,2)&amp;RIGHT($F1849,2)))&amp;"|"&amp;RIGHT("00000"&amp;1841,5))</f>
        <v/>
      </c>
      <c r="I1849">
        <f>IF($H1849="","",COUNTIFS(CalcBank,$G1849,CalcKey,"&lt;"&amp;$H1849)+1)</f>
        <v/>
      </c>
      <c r="J1849">
        <f>IF($I1849="","",$G1849&amp;"|"&amp;RIGHT("000000"&amp;$I1849,6))</f>
        <v/>
      </c>
      <c r="K1849">
        <f>IF(OR($E1849="",$E1849="نامعتبر"),"",LEFT($E1849,4)&amp;"/"&amp;MID($E1849,6,2))</f>
        <v/>
      </c>
      <c r="L1849">
        <f>IF(Entry!$K1849="",0,Entry!$K1849)</f>
        <v/>
      </c>
      <c r="M1849">
        <f>IF(Entry!$L1849="",0,Entry!$L1849)</f>
        <v/>
      </c>
    </row>
    <row r="1850">
      <c r="A1850">
        <f>IF(Entry!$C1850="","",Entry!$C1850)</f>
        <v/>
      </c>
      <c r="B1850">
        <f>IF($A1850="","",IF(ISNUMBER($A1850),IF(AND($A1850&gt;=10000101,$A1850&lt;=99991231),INT($A1850/10000),""),IFERROR(VALUE(TRIM(LEFT($A1850,FIND("/",$A1850)-1))),"")))</f>
        <v/>
      </c>
      <c r="C1850">
        <f>IF(OR($A1850="",$B1850=""),"",IF(ISNUMBER($A1850),INT(MOD($A1850,10000)/100),IFERROR(VALUE(TRIM(LEFT(MID($A1850,FIND("/",$A1850)+1,20),FIND("/",MID($A1850,FIND("/",$A1850)+1,20))-1))),"")))</f>
        <v/>
      </c>
      <c r="D1850">
        <f>IF(OR($A1850="",$B1850=""),"",IF(ISNUMBER($A1850),MOD($A1850,100),IFERROR(VALUE(TRIM(MID(MID($A1850,FIND("/",$A1850)+1,20),FIND("/",MID($A1850,FIND("/",$A1850)+1,20))+1,20))),"")))</f>
        <v/>
      </c>
      <c r="E1850">
        <f>IF($A1850="","",IF(OR($B1850="",$C1850="",$D1850="",$B1850&lt;1300,$B1850&gt;1500,$C1850&lt;1,$C1850&gt;12,$D1850&lt;1,$D1850&gt;31),"نامعتبر",RIGHT("0000"&amp;$B1850,4)&amp;"/"&amp;RIGHT("00"&amp;$C1850,2)&amp;"/"&amp;RIGHT("00"&amp;$D1850,2)))</f>
        <v/>
      </c>
      <c r="F1850">
        <f>IF(Entry!$D1850&lt;&gt;"",IF(AND(ISNUMBER(Entry!$D1850),Entry!$D1850&gt;=0,Entry!$D1850&lt;1),RIGHT("00"&amp;HOUR(Entry!$D1850),2)&amp;":"&amp;RIGHT("00"&amp;MINUTE(Entry!$D1850),2),IFERROR(RIGHT("00"&amp;VALUE(TRIM(LEFT(Entry!$D1850,FIND(":",Entry!$D1850)-1))),2)&amp;":"&amp;RIGHT("00"&amp;VALUE(TRIM(MID(Entry!$D1850,FIND(":",Entry!$D1850)+1,2))),2),"نامعتبر")),IF(OR($E1850="",$E1850="نامعتبر"),"","00:00"))</f>
        <v/>
      </c>
      <c r="G1850">
        <f>IF(OR($E1850="",$E1850="نامعتبر"),"",IF(Entry!$E1850="","",LEFT(UPPER(TRIM(Entry!$E1850)),6)))</f>
        <v/>
      </c>
      <c r="H1850">
        <f>IF($G1850="","",RIGHT($E1850,4)&amp;MID($E1850,6,2)&amp;RIGHT($E1850,2)&amp;IF($F1850="","0000",IF($F1850="نامعتبر","9999",LEFT($F1850,2)&amp;RIGHT($F1850,2)))&amp;"|"&amp;RIGHT("00000"&amp;1842,5))</f>
        <v/>
      </c>
      <c r="I1850">
        <f>IF($H1850="","",COUNTIFS(CalcBank,$G1850,CalcKey,"&lt;"&amp;$H1850)+1)</f>
        <v/>
      </c>
      <c r="J1850">
        <f>IF($I1850="","",$G1850&amp;"|"&amp;RIGHT("000000"&amp;$I1850,6))</f>
        <v/>
      </c>
      <c r="K1850">
        <f>IF(OR($E1850="",$E1850="نامعتبر"),"",LEFT($E1850,4)&amp;"/"&amp;MID($E1850,6,2))</f>
        <v/>
      </c>
      <c r="L1850">
        <f>IF(Entry!$K1850="",0,Entry!$K1850)</f>
        <v/>
      </c>
      <c r="M1850">
        <f>IF(Entry!$L1850="",0,Entry!$L1850)</f>
        <v/>
      </c>
    </row>
    <row r="1851">
      <c r="A1851">
        <f>IF(Entry!$C1851="","",Entry!$C1851)</f>
        <v/>
      </c>
      <c r="B1851">
        <f>IF($A1851="","",IF(ISNUMBER($A1851),IF(AND($A1851&gt;=10000101,$A1851&lt;=99991231),INT($A1851/10000),""),IFERROR(VALUE(TRIM(LEFT($A1851,FIND("/",$A1851)-1))),"")))</f>
        <v/>
      </c>
      <c r="C1851">
        <f>IF(OR($A1851="",$B1851=""),"",IF(ISNUMBER($A1851),INT(MOD($A1851,10000)/100),IFERROR(VALUE(TRIM(LEFT(MID($A1851,FIND("/",$A1851)+1,20),FIND("/",MID($A1851,FIND("/",$A1851)+1,20))-1))),"")))</f>
        <v/>
      </c>
      <c r="D1851">
        <f>IF(OR($A1851="",$B1851=""),"",IF(ISNUMBER($A1851),MOD($A1851,100),IFERROR(VALUE(TRIM(MID(MID($A1851,FIND("/",$A1851)+1,20),FIND("/",MID($A1851,FIND("/",$A1851)+1,20))+1,20))),"")))</f>
        <v/>
      </c>
      <c r="E1851">
        <f>IF($A1851="","",IF(OR($B1851="",$C1851="",$D1851="",$B1851&lt;1300,$B1851&gt;1500,$C1851&lt;1,$C1851&gt;12,$D1851&lt;1,$D1851&gt;31),"نامعتبر",RIGHT("0000"&amp;$B1851,4)&amp;"/"&amp;RIGHT("00"&amp;$C1851,2)&amp;"/"&amp;RIGHT("00"&amp;$D1851,2)))</f>
        <v/>
      </c>
      <c r="F1851">
        <f>IF(Entry!$D1851&lt;&gt;"",IF(AND(ISNUMBER(Entry!$D1851),Entry!$D1851&gt;=0,Entry!$D1851&lt;1),RIGHT("00"&amp;HOUR(Entry!$D1851),2)&amp;":"&amp;RIGHT("00"&amp;MINUTE(Entry!$D1851),2),IFERROR(RIGHT("00"&amp;VALUE(TRIM(LEFT(Entry!$D1851,FIND(":",Entry!$D1851)-1))),2)&amp;":"&amp;RIGHT("00"&amp;VALUE(TRIM(MID(Entry!$D1851,FIND(":",Entry!$D1851)+1,2))),2),"نامعتبر")),IF(OR($E1851="",$E1851="نامعتبر"),"","00:00"))</f>
        <v/>
      </c>
      <c r="G1851">
        <f>IF(OR($E1851="",$E1851="نامعتبر"),"",IF(Entry!$E1851="","",LEFT(UPPER(TRIM(Entry!$E1851)),6)))</f>
        <v/>
      </c>
      <c r="H1851">
        <f>IF($G1851="","",RIGHT($E1851,4)&amp;MID($E1851,6,2)&amp;RIGHT($E1851,2)&amp;IF($F1851="","0000",IF($F1851="نامعتبر","9999",LEFT($F1851,2)&amp;RIGHT($F1851,2)))&amp;"|"&amp;RIGHT("00000"&amp;1843,5))</f>
        <v/>
      </c>
      <c r="I1851">
        <f>IF($H1851="","",COUNTIFS(CalcBank,$G1851,CalcKey,"&lt;"&amp;$H1851)+1)</f>
        <v/>
      </c>
      <c r="J1851">
        <f>IF($I1851="","",$G1851&amp;"|"&amp;RIGHT("000000"&amp;$I1851,6))</f>
        <v/>
      </c>
      <c r="K1851">
        <f>IF(OR($E1851="",$E1851="نامعتبر"),"",LEFT($E1851,4)&amp;"/"&amp;MID($E1851,6,2))</f>
        <v/>
      </c>
      <c r="L1851">
        <f>IF(Entry!$K1851="",0,Entry!$K1851)</f>
        <v/>
      </c>
      <c r="M1851">
        <f>IF(Entry!$L1851="",0,Entry!$L1851)</f>
        <v/>
      </c>
    </row>
    <row r="1852">
      <c r="A1852">
        <f>IF(Entry!$C1852="","",Entry!$C1852)</f>
        <v/>
      </c>
      <c r="B1852">
        <f>IF($A1852="","",IF(ISNUMBER($A1852),IF(AND($A1852&gt;=10000101,$A1852&lt;=99991231),INT($A1852/10000),""),IFERROR(VALUE(TRIM(LEFT($A1852,FIND("/",$A1852)-1))),"")))</f>
        <v/>
      </c>
      <c r="C1852">
        <f>IF(OR($A1852="",$B1852=""),"",IF(ISNUMBER($A1852),INT(MOD($A1852,10000)/100),IFERROR(VALUE(TRIM(LEFT(MID($A1852,FIND("/",$A1852)+1,20),FIND("/",MID($A1852,FIND("/",$A1852)+1,20))-1))),"")))</f>
        <v/>
      </c>
      <c r="D1852">
        <f>IF(OR($A1852="",$B1852=""),"",IF(ISNUMBER($A1852),MOD($A1852,100),IFERROR(VALUE(TRIM(MID(MID($A1852,FIND("/",$A1852)+1,20),FIND("/",MID($A1852,FIND("/",$A1852)+1,20))+1,20))),"")))</f>
        <v/>
      </c>
      <c r="E1852">
        <f>IF($A1852="","",IF(OR($B1852="",$C1852="",$D1852="",$B1852&lt;1300,$B1852&gt;1500,$C1852&lt;1,$C1852&gt;12,$D1852&lt;1,$D1852&gt;31),"نامعتبر",RIGHT("0000"&amp;$B1852,4)&amp;"/"&amp;RIGHT("00"&amp;$C1852,2)&amp;"/"&amp;RIGHT("00"&amp;$D1852,2)))</f>
        <v/>
      </c>
      <c r="F1852">
        <f>IF(Entry!$D1852&lt;&gt;"",IF(AND(ISNUMBER(Entry!$D1852),Entry!$D1852&gt;=0,Entry!$D1852&lt;1),RIGHT("00"&amp;HOUR(Entry!$D1852),2)&amp;":"&amp;RIGHT("00"&amp;MINUTE(Entry!$D1852),2),IFERROR(RIGHT("00"&amp;VALUE(TRIM(LEFT(Entry!$D1852,FIND(":",Entry!$D1852)-1))),2)&amp;":"&amp;RIGHT("00"&amp;VALUE(TRIM(MID(Entry!$D1852,FIND(":",Entry!$D1852)+1,2))),2),"نامعتبر")),IF(OR($E1852="",$E1852="نامعتبر"),"","00:00"))</f>
        <v/>
      </c>
      <c r="G1852">
        <f>IF(OR($E1852="",$E1852="نامعتبر"),"",IF(Entry!$E1852="","",LEFT(UPPER(TRIM(Entry!$E1852)),6)))</f>
        <v/>
      </c>
      <c r="H1852">
        <f>IF($G1852="","",RIGHT($E1852,4)&amp;MID($E1852,6,2)&amp;RIGHT($E1852,2)&amp;IF($F1852="","0000",IF($F1852="نامعتبر","9999",LEFT($F1852,2)&amp;RIGHT($F1852,2)))&amp;"|"&amp;RIGHT("00000"&amp;1844,5))</f>
        <v/>
      </c>
      <c r="I1852">
        <f>IF($H1852="","",COUNTIFS(CalcBank,$G1852,CalcKey,"&lt;"&amp;$H1852)+1)</f>
        <v/>
      </c>
      <c r="J1852">
        <f>IF($I1852="","",$G1852&amp;"|"&amp;RIGHT("000000"&amp;$I1852,6))</f>
        <v/>
      </c>
      <c r="K1852">
        <f>IF(OR($E1852="",$E1852="نامعتبر"),"",LEFT($E1852,4)&amp;"/"&amp;MID($E1852,6,2))</f>
        <v/>
      </c>
      <c r="L1852">
        <f>IF(Entry!$K1852="",0,Entry!$K1852)</f>
        <v/>
      </c>
      <c r="M1852">
        <f>IF(Entry!$L1852="",0,Entry!$L1852)</f>
        <v/>
      </c>
    </row>
    <row r="1853">
      <c r="A1853">
        <f>IF(Entry!$C1853="","",Entry!$C1853)</f>
        <v/>
      </c>
      <c r="B1853">
        <f>IF($A1853="","",IF(ISNUMBER($A1853),IF(AND($A1853&gt;=10000101,$A1853&lt;=99991231),INT($A1853/10000),""),IFERROR(VALUE(TRIM(LEFT($A1853,FIND("/",$A1853)-1))),"")))</f>
        <v/>
      </c>
      <c r="C1853">
        <f>IF(OR($A1853="",$B1853=""),"",IF(ISNUMBER($A1853),INT(MOD($A1853,10000)/100),IFERROR(VALUE(TRIM(LEFT(MID($A1853,FIND("/",$A1853)+1,20),FIND("/",MID($A1853,FIND("/",$A1853)+1,20))-1))),"")))</f>
        <v/>
      </c>
      <c r="D1853">
        <f>IF(OR($A1853="",$B1853=""),"",IF(ISNUMBER($A1853),MOD($A1853,100),IFERROR(VALUE(TRIM(MID(MID($A1853,FIND("/",$A1853)+1,20),FIND("/",MID($A1853,FIND("/",$A1853)+1,20))+1,20))),"")))</f>
        <v/>
      </c>
      <c r="E1853">
        <f>IF($A1853="","",IF(OR($B1853="",$C1853="",$D1853="",$B1853&lt;1300,$B1853&gt;1500,$C1853&lt;1,$C1853&gt;12,$D1853&lt;1,$D1853&gt;31),"نامعتبر",RIGHT("0000"&amp;$B1853,4)&amp;"/"&amp;RIGHT("00"&amp;$C1853,2)&amp;"/"&amp;RIGHT("00"&amp;$D1853,2)))</f>
        <v/>
      </c>
      <c r="F1853">
        <f>IF(Entry!$D1853&lt;&gt;"",IF(AND(ISNUMBER(Entry!$D1853),Entry!$D1853&gt;=0,Entry!$D1853&lt;1),RIGHT("00"&amp;HOUR(Entry!$D1853),2)&amp;":"&amp;RIGHT("00"&amp;MINUTE(Entry!$D1853),2),IFERROR(RIGHT("00"&amp;VALUE(TRIM(LEFT(Entry!$D1853,FIND(":",Entry!$D1853)-1))),2)&amp;":"&amp;RIGHT("00"&amp;VALUE(TRIM(MID(Entry!$D1853,FIND(":",Entry!$D1853)+1,2))),2),"نامعتبر")),IF(OR($E1853="",$E1853="نامعتبر"),"","00:00"))</f>
        <v/>
      </c>
      <c r="G1853">
        <f>IF(OR($E1853="",$E1853="نامعتبر"),"",IF(Entry!$E1853="","",LEFT(UPPER(TRIM(Entry!$E1853)),6)))</f>
        <v/>
      </c>
      <c r="H1853">
        <f>IF($G1853="","",RIGHT($E1853,4)&amp;MID($E1853,6,2)&amp;RIGHT($E1853,2)&amp;IF($F1853="","0000",IF($F1853="نامعتبر","9999",LEFT($F1853,2)&amp;RIGHT($F1853,2)))&amp;"|"&amp;RIGHT("00000"&amp;1845,5))</f>
        <v/>
      </c>
      <c r="I1853">
        <f>IF($H1853="","",COUNTIFS(CalcBank,$G1853,CalcKey,"&lt;"&amp;$H1853)+1)</f>
        <v/>
      </c>
      <c r="J1853">
        <f>IF($I1853="","",$G1853&amp;"|"&amp;RIGHT("000000"&amp;$I1853,6))</f>
        <v/>
      </c>
      <c r="K1853">
        <f>IF(OR($E1853="",$E1853="نامعتبر"),"",LEFT($E1853,4)&amp;"/"&amp;MID($E1853,6,2))</f>
        <v/>
      </c>
      <c r="L1853">
        <f>IF(Entry!$K1853="",0,Entry!$K1853)</f>
        <v/>
      </c>
      <c r="M1853">
        <f>IF(Entry!$L1853="",0,Entry!$L1853)</f>
        <v/>
      </c>
    </row>
    <row r="1854">
      <c r="A1854">
        <f>IF(Entry!$C1854="","",Entry!$C1854)</f>
        <v/>
      </c>
      <c r="B1854">
        <f>IF($A1854="","",IF(ISNUMBER($A1854),IF(AND($A1854&gt;=10000101,$A1854&lt;=99991231),INT($A1854/10000),""),IFERROR(VALUE(TRIM(LEFT($A1854,FIND("/",$A1854)-1))),"")))</f>
        <v/>
      </c>
      <c r="C1854">
        <f>IF(OR($A1854="",$B1854=""),"",IF(ISNUMBER($A1854),INT(MOD($A1854,10000)/100),IFERROR(VALUE(TRIM(LEFT(MID($A1854,FIND("/",$A1854)+1,20),FIND("/",MID($A1854,FIND("/",$A1854)+1,20))-1))),"")))</f>
        <v/>
      </c>
      <c r="D1854">
        <f>IF(OR($A1854="",$B1854=""),"",IF(ISNUMBER($A1854),MOD($A1854,100),IFERROR(VALUE(TRIM(MID(MID($A1854,FIND("/",$A1854)+1,20),FIND("/",MID($A1854,FIND("/",$A1854)+1,20))+1,20))),"")))</f>
        <v/>
      </c>
      <c r="E1854">
        <f>IF($A1854="","",IF(OR($B1854="",$C1854="",$D1854="",$B1854&lt;1300,$B1854&gt;1500,$C1854&lt;1,$C1854&gt;12,$D1854&lt;1,$D1854&gt;31),"نامعتبر",RIGHT("0000"&amp;$B1854,4)&amp;"/"&amp;RIGHT("00"&amp;$C1854,2)&amp;"/"&amp;RIGHT("00"&amp;$D1854,2)))</f>
        <v/>
      </c>
      <c r="F1854">
        <f>IF(Entry!$D1854&lt;&gt;"",IF(AND(ISNUMBER(Entry!$D1854),Entry!$D1854&gt;=0,Entry!$D1854&lt;1),RIGHT("00"&amp;HOUR(Entry!$D1854),2)&amp;":"&amp;RIGHT("00"&amp;MINUTE(Entry!$D1854),2),IFERROR(RIGHT("00"&amp;VALUE(TRIM(LEFT(Entry!$D1854,FIND(":",Entry!$D1854)-1))),2)&amp;":"&amp;RIGHT("00"&amp;VALUE(TRIM(MID(Entry!$D1854,FIND(":",Entry!$D1854)+1,2))),2),"نامعتبر")),IF(OR($E1854="",$E1854="نامعتبر"),"","00:00"))</f>
        <v/>
      </c>
      <c r="G1854">
        <f>IF(OR($E1854="",$E1854="نامعتبر"),"",IF(Entry!$E1854="","",LEFT(UPPER(TRIM(Entry!$E1854)),6)))</f>
        <v/>
      </c>
      <c r="H1854">
        <f>IF($G1854="","",RIGHT($E1854,4)&amp;MID($E1854,6,2)&amp;RIGHT($E1854,2)&amp;IF($F1854="","0000",IF($F1854="نامعتبر","9999",LEFT($F1854,2)&amp;RIGHT($F1854,2)))&amp;"|"&amp;RIGHT("00000"&amp;1846,5))</f>
        <v/>
      </c>
      <c r="I1854">
        <f>IF($H1854="","",COUNTIFS(CalcBank,$G1854,CalcKey,"&lt;"&amp;$H1854)+1)</f>
        <v/>
      </c>
      <c r="J1854">
        <f>IF($I1854="","",$G1854&amp;"|"&amp;RIGHT("000000"&amp;$I1854,6))</f>
        <v/>
      </c>
      <c r="K1854">
        <f>IF(OR($E1854="",$E1854="نامعتبر"),"",LEFT($E1854,4)&amp;"/"&amp;MID($E1854,6,2))</f>
        <v/>
      </c>
      <c r="L1854">
        <f>IF(Entry!$K1854="",0,Entry!$K1854)</f>
        <v/>
      </c>
      <c r="M1854">
        <f>IF(Entry!$L1854="",0,Entry!$L1854)</f>
        <v/>
      </c>
    </row>
    <row r="1855">
      <c r="A1855">
        <f>IF(Entry!$C1855="","",Entry!$C1855)</f>
        <v/>
      </c>
      <c r="B1855">
        <f>IF($A1855="","",IF(ISNUMBER($A1855),IF(AND($A1855&gt;=10000101,$A1855&lt;=99991231),INT($A1855/10000),""),IFERROR(VALUE(TRIM(LEFT($A1855,FIND("/",$A1855)-1))),"")))</f>
        <v/>
      </c>
      <c r="C1855">
        <f>IF(OR($A1855="",$B1855=""),"",IF(ISNUMBER($A1855),INT(MOD($A1855,10000)/100),IFERROR(VALUE(TRIM(LEFT(MID($A1855,FIND("/",$A1855)+1,20),FIND("/",MID($A1855,FIND("/",$A1855)+1,20))-1))),"")))</f>
        <v/>
      </c>
      <c r="D1855">
        <f>IF(OR($A1855="",$B1855=""),"",IF(ISNUMBER($A1855),MOD($A1855,100),IFERROR(VALUE(TRIM(MID(MID($A1855,FIND("/",$A1855)+1,20),FIND("/",MID($A1855,FIND("/",$A1855)+1,20))+1,20))),"")))</f>
        <v/>
      </c>
      <c r="E1855">
        <f>IF($A1855="","",IF(OR($B1855="",$C1855="",$D1855="",$B1855&lt;1300,$B1855&gt;1500,$C1855&lt;1,$C1855&gt;12,$D1855&lt;1,$D1855&gt;31),"نامعتبر",RIGHT("0000"&amp;$B1855,4)&amp;"/"&amp;RIGHT("00"&amp;$C1855,2)&amp;"/"&amp;RIGHT("00"&amp;$D1855,2)))</f>
        <v/>
      </c>
      <c r="F1855">
        <f>IF(Entry!$D1855&lt;&gt;"",IF(AND(ISNUMBER(Entry!$D1855),Entry!$D1855&gt;=0,Entry!$D1855&lt;1),RIGHT("00"&amp;HOUR(Entry!$D1855),2)&amp;":"&amp;RIGHT("00"&amp;MINUTE(Entry!$D1855),2),IFERROR(RIGHT("00"&amp;VALUE(TRIM(LEFT(Entry!$D1855,FIND(":",Entry!$D1855)-1))),2)&amp;":"&amp;RIGHT("00"&amp;VALUE(TRIM(MID(Entry!$D1855,FIND(":",Entry!$D1855)+1,2))),2),"نامعتبر")),IF(OR($E1855="",$E1855="نامعتبر"),"","00:00"))</f>
        <v/>
      </c>
      <c r="G1855">
        <f>IF(OR($E1855="",$E1855="نامعتبر"),"",IF(Entry!$E1855="","",LEFT(UPPER(TRIM(Entry!$E1855)),6)))</f>
        <v/>
      </c>
      <c r="H1855">
        <f>IF($G1855="","",RIGHT($E1855,4)&amp;MID($E1855,6,2)&amp;RIGHT($E1855,2)&amp;IF($F1855="","0000",IF($F1855="نامعتبر","9999",LEFT($F1855,2)&amp;RIGHT($F1855,2)))&amp;"|"&amp;RIGHT("00000"&amp;1847,5))</f>
        <v/>
      </c>
      <c r="I1855">
        <f>IF($H1855="","",COUNTIFS(CalcBank,$G1855,CalcKey,"&lt;"&amp;$H1855)+1)</f>
        <v/>
      </c>
      <c r="J1855">
        <f>IF($I1855="","",$G1855&amp;"|"&amp;RIGHT("000000"&amp;$I1855,6))</f>
        <v/>
      </c>
      <c r="K1855">
        <f>IF(OR($E1855="",$E1855="نامعتبر"),"",LEFT($E1855,4)&amp;"/"&amp;MID($E1855,6,2))</f>
        <v/>
      </c>
      <c r="L1855">
        <f>IF(Entry!$K1855="",0,Entry!$K1855)</f>
        <v/>
      </c>
      <c r="M1855">
        <f>IF(Entry!$L1855="",0,Entry!$L1855)</f>
        <v/>
      </c>
    </row>
    <row r="1856">
      <c r="A1856">
        <f>IF(Entry!$C1856="","",Entry!$C1856)</f>
        <v/>
      </c>
      <c r="B1856">
        <f>IF($A1856="","",IF(ISNUMBER($A1856),IF(AND($A1856&gt;=10000101,$A1856&lt;=99991231),INT($A1856/10000),""),IFERROR(VALUE(TRIM(LEFT($A1856,FIND("/",$A1856)-1))),"")))</f>
        <v/>
      </c>
      <c r="C1856">
        <f>IF(OR($A1856="",$B1856=""),"",IF(ISNUMBER($A1856),INT(MOD($A1856,10000)/100),IFERROR(VALUE(TRIM(LEFT(MID($A1856,FIND("/",$A1856)+1,20),FIND("/",MID($A1856,FIND("/",$A1856)+1,20))-1))),"")))</f>
        <v/>
      </c>
      <c r="D1856">
        <f>IF(OR($A1856="",$B1856=""),"",IF(ISNUMBER($A1856),MOD($A1856,100),IFERROR(VALUE(TRIM(MID(MID($A1856,FIND("/",$A1856)+1,20),FIND("/",MID($A1856,FIND("/",$A1856)+1,20))+1,20))),"")))</f>
        <v/>
      </c>
      <c r="E1856">
        <f>IF($A1856="","",IF(OR($B1856="",$C1856="",$D1856="",$B1856&lt;1300,$B1856&gt;1500,$C1856&lt;1,$C1856&gt;12,$D1856&lt;1,$D1856&gt;31),"نامعتبر",RIGHT("0000"&amp;$B1856,4)&amp;"/"&amp;RIGHT("00"&amp;$C1856,2)&amp;"/"&amp;RIGHT("00"&amp;$D1856,2)))</f>
        <v/>
      </c>
      <c r="F1856">
        <f>IF(Entry!$D1856&lt;&gt;"",IF(AND(ISNUMBER(Entry!$D1856),Entry!$D1856&gt;=0,Entry!$D1856&lt;1),RIGHT("00"&amp;HOUR(Entry!$D1856),2)&amp;":"&amp;RIGHT("00"&amp;MINUTE(Entry!$D1856),2),IFERROR(RIGHT("00"&amp;VALUE(TRIM(LEFT(Entry!$D1856,FIND(":",Entry!$D1856)-1))),2)&amp;":"&amp;RIGHT("00"&amp;VALUE(TRIM(MID(Entry!$D1856,FIND(":",Entry!$D1856)+1,2))),2),"نامعتبر")),IF(OR($E1856="",$E1856="نامعتبر"),"","00:00"))</f>
        <v/>
      </c>
      <c r="G1856">
        <f>IF(OR($E1856="",$E1856="نامعتبر"),"",IF(Entry!$E1856="","",LEFT(UPPER(TRIM(Entry!$E1856)),6)))</f>
        <v/>
      </c>
      <c r="H1856">
        <f>IF($G1856="","",RIGHT($E1856,4)&amp;MID($E1856,6,2)&amp;RIGHT($E1856,2)&amp;IF($F1856="","0000",IF($F1856="نامعتبر","9999",LEFT($F1856,2)&amp;RIGHT($F1856,2)))&amp;"|"&amp;RIGHT("00000"&amp;1848,5))</f>
        <v/>
      </c>
      <c r="I1856">
        <f>IF($H1856="","",COUNTIFS(CalcBank,$G1856,CalcKey,"&lt;"&amp;$H1856)+1)</f>
        <v/>
      </c>
      <c r="J1856">
        <f>IF($I1856="","",$G1856&amp;"|"&amp;RIGHT("000000"&amp;$I1856,6))</f>
        <v/>
      </c>
      <c r="K1856">
        <f>IF(OR($E1856="",$E1856="نامعتبر"),"",LEFT($E1856,4)&amp;"/"&amp;MID($E1856,6,2))</f>
        <v/>
      </c>
      <c r="L1856">
        <f>IF(Entry!$K1856="",0,Entry!$K1856)</f>
        <v/>
      </c>
      <c r="M1856">
        <f>IF(Entry!$L1856="",0,Entry!$L1856)</f>
        <v/>
      </c>
    </row>
    <row r="1857">
      <c r="A1857">
        <f>IF(Entry!$C1857="","",Entry!$C1857)</f>
        <v/>
      </c>
      <c r="B1857">
        <f>IF($A1857="","",IF(ISNUMBER($A1857),IF(AND($A1857&gt;=10000101,$A1857&lt;=99991231),INT($A1857/10000),""),IFERROR(VALUE(TRIM(LEFT($A1857,FIND("/",$A1857)-1))),"")))</f>
        <v/>
      </c>
      <c r="C1857">
        <f>IF(OR($A1857="",$B1857=""),"",IF(ISNUMBER($A1857),INT(MOD($A1857,10000)/100),IFERROR(VALUE(TRIM(LEFT(MID($A1857,FIND("/",$A1857)+1,20),FIND("/",MID($A1857,FIND("/",$A1857)+1,20))-1))),"")))</f>
        <v/>
      </c>
      <c r="D1857">
        <f>IF(OR($A1857="",$B1857=""),"",IF(ISNUMBER($A1857),MOD($A1857,100),IFERROR(VALUE(TRIM(MID(MID($A1857,FIND("/",$A1857)+1,20),FIND("/",MID($A1857,FIND("/",$A1857)+1,20))+1,20))),"")))</f>
        <v/>
      </c>
      <c r="E1857">
        <f>IF($A1857="","",IF(OR($B1857="",$C1857="",$D1857="",$B1857&lt;1300,$B1857&gt;1500,$C1857&lt;1,$C1857&gt;12,$D1857&lt;1,$D1857&gt;31),"نامعتبر",RIGHT("0000"&amp;$B1857,4)&amp;"/"&amp;RIGHT("00"&amp;$C1857,2)&amp;"/"&amp;RIGHT("00"&amp;$D1857,2)))</f>
        <v/>
      </c>
      <c r="F1857">
        <f>IF(Entry!$D1857&lt;&gt;"",IF(AND(ISNUMBER(Entry!$D1857),Entry!$D1857&gt;=0,Entry!$D1857&lt;1),RIGHT("00"&amp;HOUR(Entry!$D1857),2)&amp;":"&amp;RIGHT("00"&amp;MINUTE(Entry!$D1857),2),IFERROR(RIGHT("00"&amp;VALUE(TRIM(LEFT(Entry!$D1857,FIND(":",Entry!$D1857)-1))),2)&amp;":"&amp;RIGHT("00"&amp;VALUE(TRIM(MID(Entry!$D1857,FIND(":",Entry!$D1857)+1,2))),2),"نامعتبر")),IF(OR($E1857="",$E1857="نامعتبر"),"","00:00"))</f>
        <v/>
      </c>
      <c r="G1857">
        <f>IF(OR($E1857="",$E1857="نامعتبر"),"",IF(Entry!$E1857="","",LEFT(UPPER(TRIM(Entry!$E1857)),6)))</f>
        <v/>
      </c>
      <c r="H1857">
        <f>IF($G1857="","",RIGHT($E1857,4)&amp;MID($E1857,6,2)&amp;RIGHT($E1857,2)&amp;IF($F1857="","0000",IF($F1857="نامعتبر","9999",LEFT($F1857,2)&amp;RIGHT($F1857,2)))&amp;"|"&amp;RIGHT("00000"&amp;1849,5))</f>
        <v/>
      </c>
      <c r="I1857">
        <f>IF($H1857="","",COUNTIFS(CalcBank,$G1857,CalcKey,"&lt;"&amp;$H1857)+1)</f>
        <v/>
      </c>
      <c r="J1857">
        <f>IF($I1857="","",$G1857&amp;"|"&amp;RIGHT("000000"&amp;$I1857,6))</f>
        <v/>
      </c>
      <c r="K1857">
        <f>IF(OR($E1857="",$E1857="نامعتبر"),"",LEFT($E1857,4)&amp;"/"&amp;MID($E1857,6,2))</f>
        <v/>
      </c>
      <c r="L1857">
        <f>IF(Entry!$K1857="",0,Entry!$K1857)</f>
        <v/>
      </c>
      <c r="M1857">
        <f>IF(Entry!$L1857="",0,Entry!$L1857)</f>
        <v/>
      </c>
    </row>
    <row r="1858">
      <c r="A1858">
        <f>IF(Entry!$C1858="","",Entry!$C1858)</f>
        <v/>
      </c>
      <c r="B1858">
        <f>IF($A1858="","",IF(ISNUMBER($A1858),IF(AND($A1858&gt;=10000101,$A1858&lt;=99991231),INT($A1858/10000),""),IFERROR(VALUE(TRIM(LEFT($A1858,FIND("/",$A1858)-1))),"")))</f>
        <v/>
      </c>
      <c r="C1858">
        <f>IF(OR($A1858="",$B1858=""),"",IF(ISNUMBER($A1858),INT(MOD($A1858,10000)/100),IFERROR(VALUE(TRIM(LEFT(MID($A1858,FIND("/",$A1858)+1,20),FIND("/",MID($A1858,FIND("/",$A1858)+1,20))-1))),"")))</f>
        <v/>
      </c>
      <c r="D1858">
        <f>IF(OR($A1858="",$B1858=""),"",IF(ISNUMBER($A1858),MOD($A1858,100),IFERROR(VALUE(TRIM(MID(MID($A1858,FIND("/",$A1858)+1,20),FIND("/",MID($A1858,FIND("/",$A1858)+1,20))+1,20))),"")))</f>
        <v/>
      </c>
      <c r="E1858">
        <f>IF($A1858="","",IF(OR($B1858="",$C1858="",$D1858="",$B1858&lt;1300,$B1858&gt;1500,$C1858&lt;1,$C1858&gt;12,$D1858&lt;1,$D1858&gt;31),"نامعتبر",RIGHT("0000"&amp;$B1858,4)&amp;"/"&amp;RIGHT("00"&amp;$C1858,2)&amp;"/"&amp;RIGHT("00"&amp;$D1858,2)))</f>
        <v/>
      </c>
      <c r="F1858">
        <f>IF(Entry!$D1858&lt;&gt;"",IF(AND(ISNUMBER(Entry!$D1858),Entry!$D1858&gt;=0,Entry!$D1858&lt;1),RIGHT("00"&amp;HOUR(Entry!$D1858),2)&amp;":"&amp;RIGHT("00"&amp;MINUTE(Entry!$D1858),2),IFERROR(RIGHT("00"&amp;VALUE(TRIM(LEFT(Entry!$D1858,FIND(":",Entry!$D1858)-1))),2)&amp;":"&amp;RIGHT("00"&amp;VALUE(TRIM(MID(Entry!$D1858,FIND(":",Entry!$D1858)+1,2))),2),"نامعتبر")),IF(OR($E1858="",$E1858="نامعتبر"),"","00:00"))</f>
        <v/>
      </c>
      <c r="G1858">
        <f>IF(OR($E1858="",$E1858="نامعتبر"),"",IF(Entry!$E1858="","",LEFT(UPPER(TRIM(Entry!$E1858)),6)))</f>
        <v/>
      </c>
      <c r="H1858">
        <f>IF($G1858="","",RIGHT($E1858,4)&amp;MID($E1858,6,2)&amp;RIGHT($E1858,2)&amp;IF($F1858="","0000",IF($F1858="نامعتبر","9999",LEFT($F1858,2)&amp;RIGHT($F1858,2)))&amp;"|"&amp;RIGHT("00000"&amp;1850,5))</f>
        <v/>
      </c>
      <c r="I1858">
        <f>IF($H1858="","",COUNTIFS(CalcBank,$G1858,CalcKey,"&lt;"&amp;$H1858)+1)</f>
        <v/>
      </c>
      <c r="J1858">
        <f>IF($I1858="","",$G1858&amp;"|"&amp;RIGHT("000000"&amp;$I1858,6))</f>
        <v/>
      </c>
      <c r="K1858">
        <f>IF(OR($E1858="",$E1858="نامعتبر"),"",LEFT($E1858,4)&amp;"/"&amp;MID($E1858,6,2))</f>
        <v/>
      </c>
      <c r="L1858">
        <f>IF(Entry!$K1858="",0,Entry!$K1858)</f>
        <v/>
      </c>
      <c r="M1858">
        <f>IF(Entry!$L1858="",0,Entry!$L1858)</f>
        <v/>
      </c>
    </row>
    <row r="1859">
      <c r="A1859">
        <f>IF(Entry!$C1859="","",Entry!$C1859)</f>
        <v/>
      </c>
      <c r="B1859">
        <f>IF($A1859="","",IF(ISNUMBER($A1859),IF(AND($A1859&gt;=10000101,$A1859&lt;=99991231),INT($A1859/10000),""),IFERROR(VALUE(TRIM(LEFT($A1859,FIND("/",$A1859)-1))),"")))</f>
        <v/>
      </c>
      <c r="C1859">
        <f>IF(OR($A1859="",$B1859=""),"",IF(ISNUMBER($A1859),INT(MOD($A1859,10000)/100),IFERROR(VALUE(TRIM(LEFT(MID($A1859,FIND("/",$A1859)+1,20),FIND("/",MID($A1859,FIND("/",$A1859)+1,20))-1))),"")))</f>
        <v/>
      </c>
      <c r="D1859">
        <f>IF(OR($A1859="",$B1859=""),"",IF(ISNUMBER($A1859),MOD($A1859,100),IFERROR(VALUE(TRIM(MID(MID($A1859,FIND("/",$A1859)+1,20),FIND("/",MID($A1859,FIND("/",$A1859)+1,20))+1,20))),"")))</f>
        <v/>
      </c>
      <c r="E1859">
        <f>IF($A1859="","",IF(OR($B1859="",$C1859="",$D1859="",$B1859&lt;1300,$B1859&gt;1500,$C1859&lt;1,$C1859&gt;12,$D1859&lt;1,$D1859&gt;31),"نامعتبر",RIGHT("0000"&amp;$B1859,4)&amp;"/"&amp;RIGHT("00"&amp;$C1859,2)&amp;"/"&amp;RIGHT("00"&amp;$D1859,2)))</f>
        <v/>
      </c>
      <c r="F1859">
        <f>IF(Entry!$D1859&lt;&gt;"",IF(AND(ISNUMBER(Entry!$D1859),Entry!$D1859&gt;=0,Entry!$D1859&lt;1),RIGHT("00"&amp;HOUR(Entry!$D1859),2)&amp;":"&amp;RIGHT("00"&amp;MINUTE(Entry!$D1859),2),IFERROR(RIGHT("00"&amp;VALUE(TRIM(LEFT(Entry!$D1859,FIND(":",Entry!$D1859)-1))),2)&amp;":"&amp;RIGHT("00"&amp;VALUE(TRIM(MID(Entry!$D1859,FIND(":",Entry!$D1859)+1,2))),2),"نامعتبر")),IF(OR($E1859="",$E1859="نامعتبر"),"","00:00"))</f>
        <v/>
      </c>
      <c r="G1859">
        <f>IF(OR($E1859="",$E1859="نامعتبر"),"",IF(Entry!$E1859="","",LEFT(UPPER(TRIM(Entry!$E1859)),6)))</f>
        <v/>
      </c>
      <c r="H1859">
        <f>IF($G1859="","",RIGHT($E1859,4)&amp;MID($E1859,6,2)&amp;RIGHT($E1859,2)&amp;IF($F1859="","0000",IF($F1859="نامعتبر","9999",LEFT($F1859,2)&amp;RIGHT($F1859,2)))&amp;"|"&amp;RIGHT("00000"&amp;1851,5))</f>
        <v/>
      </c>
      <c r="I1859">
        <f>IF($H1859="","",COUNTIFS(CalcBank,$G1859,CalcKey,"&lt;"&amp;$H1859)+1)</f>
        <v/>
      </c>
      <c r="J1859">
        <f>IF($I1859="","",$G1859&amp;"|"&amp;RIGHT("000000"&amp;$I1859,6))</f>
        <v/>
      </c>
      <c r="K1859">
        <f>IF(OR($E1859="",$E1859="نامعتبر"),"",LEFT($E1859,4)&amp;"/"&amp;MID($E1859,6,2))</f>
        <v/>
      </c>
      <c r="L1859">
        <f>IF(Entry!$K1859="",0,Entry!$K1859)</f>
        <v/>
      </c>
      <c r="M1859">
        <f>IF(Entry!$L1859="",0,Entry!$L1859)</f>
        <v/>
      </c>
    </row>
    <row r="1860">
      <c r="A1860">
        <f>IF(Entry!$C1860="","",Entry!$C1860)</f>
        <v/>
      </c>
      <c r="B1860">
        <f>IF($A1860="","",IF(ISNUMBER($A1860),IF(AND($A1860&gt;=10000101,$A1860&lt;=99991231),INT($A1860/10000),""),IFERROR(VALUE(TRIM(LEFT($A1860,FIND("/",$A1860)-1))),"")))</f>
        <v/>
      </c>
      <c r="C1860">
        <f>IF(OR($A1860="",$B1860=""),"",IF(ISNUMBER($A1860),INT(MOD($A1860,10000)/100),IFERROR(VALUE(TRIM(LEFT(MID($A1860,FIND("/",$A1860)+1,20),FIND("/",MID($A1860,FIND("/",$A1860)+1,20))-1))),"")))</f>
        <v/>
      </c>
      <c r="D1860">
        <f>IF(OR($A1860="",$B1860=""),"",IF(ISNUMBER($A1860),MOD($A1860,100),IFERROR(VALUE(TRIM(MID(MID($A1860,FIND("/",$A1860)+1,20),FIND("/",MID($A1860,FIND("/",$A1860)+1,20))+1,20))),"")))</f>
        <v/>
      </c>
      <c r="E1860">
        <f>IF($A1860="","",IF(OR($B1860="",$C1860="",$D1860="",$B1860&lt;1300,$B1860&gt;1500,$C1860&lt;1,$C1860&gt;12,$D1860&lt;1,$D1860&gt;31),"نامعتبر",RIGHT("0000"&amp;$B1860,4)&amp;"/"&amp;RIGHT("00"&amp;$C1860,2)&amp;"/"&amp;RIGHT("00"&amp;$D1860,2)))</f>
        <v/>
      </c>
      <c r="F1860">
        <f>IF(Entry!$D1860&lt;&gt;"",IF(AND(ISNUMBER(Entry!$D1860),Entry!$D1860&gt;=0,Entry!$D1860&lt;1),RIGHT("00"&amp;HOUR(Entry!$D1860),2)&amp;":"&amp;RIGHT("00"&amp;MINUTE(Entry!$D1860),2),IFERROR(RIGHT("00"&amp;VALUE(TRIM(LEFT(Entry!$D1860,FIND(":",Entry!$D1860)-1))),2)&amp;":"&amp;RIGHT("00"&amp;VALUE(TRIM(MID(Entry!$D1860,FIND(":",Entry!$D1860)+1,2))),2),"نامعتبر")),IF(OR($E1860="",$E1860="نامعتبر"),"","00:00"))</f>
        <v/>
      </c>
      <c r="G1860">
        <f>IF(OR($E1860="",$E1860="نامعتبر"),"",IF(Entry!$E1860="","",LEFT(UPPER(TRIM(Entry!$E1860)),6)))</f>
        <v/>
      </c>
      <c r="H1860">
        <f>IF($G1860="","",RIGHT($E1860,4)&amp;MID($E1860,6,2)&amp;RIGHT($E1860,2)&amp;IF($F1860="","0000",IF($F1860="نامعتبر","9999",LEFT($F1860,2)&amp;RIGHT($F1860,2)))&amp;"|"&amp;RIGHT("00000"&amp;1852,5))</f>
        <v/>
      </c>
      <c r="I1860">
        <f>IF($H1860="","",COUNTIFS(CalcBank,$G1860,CalcKey,"&lt;"&amp;$H1860)+1)</f>
        <v/>
      </c>
      <c r="J1860">
        <f>IF($I1860="","",$G1860&amp;"|"&amp;RIGHT("000000"&amp;$I1860,6))</f>
        <v/>
      </c>
      <c r="K1860">
        <f>IF(OR($E1860="",$E1860="نامعتبر"),"",LEFT($E1860,4)&amp;"/"&amp;MID($E1860,6,2))</f>
        <v/>
      </c>
      <c r="L1860">
        <f>IF(Entry!$K1860="",0,Entry!$K1860)</f>
        <v/>
      </c>
      <c r="M1860">
        <f>IF(Entry!$L1860="",0,Entry!$L1860)</f>
        <v/>
      </c>
    </row>
    <row r="1861">
      <c r="A1861">
        <f>IF(Entry!$C1861="","",Entry!$C1861)</f>
        <v/>
      </c>
      <c r="B1861">
        <f>IF($A1861="","",IF(ISNUMBER($A1861),IF(AND($A1861&gt;=10000101,$A1861&lt;=99991231),INT($A1861/10000),""),IFERROR(VALUE(TRIM(LEFT($A1861,FIND("/",$A1861)-1))),"")))</f>
        <v/>
      </c>
      <c r="C1861">
        <f>IF(OR($A1861="",$B1861=""),"",IF(ISNUMBER($A1861),INT(MOD($A1861,10000)/100),IFERROR(VALUE(TRIM(LEFT(MID($A1861,FIND("/",$A1861)+1,20),FIND("/",MID($A1861,FIND("/",$A1861)+1,20))-1))),"")))</f>
        <v/>
      </c>
      <c r="D1861">
        <f>IF(OR($A1861="",$B1861=""),"",IF(ISNUMBER($A1861),MOD($A1861,100),IFERROR(VALUE(TRIM(MID(MID($A1861,FIND("/",$A1861)+1,20),FIND("/",MID($A1861,FIND("/",$A1861)+1,20))+1,20))),"")))</f>
        <v/>
      </c>
      <c r="E1861">
        <f>IF($A1861="","",IF(OR($B1861="",$C1861="",$D1861="",$B1861&lt;1300,$B1861&gt;1500,$C1861&lt;1,$C1861&gt;12,$D1861&lt;1,$D1861&gt;31),"نامعتبر",RIGHT("0000"&amp;$B1861,4)&amp;"/"&amp;RIGHT("00"&amp;$C1861,2)&amp;"/"&amp;RIGHT("00"&amp;$D1861,2)))</f>
        <v/>
      </c>
      <c r="F1861">
        <f>IF(Entry!$D1861&lt;&gt;"",IF(AND(ISNUMBER(Entry!$D1861),Entry!$D1861&gt;=0,Entry!$D1861&lt;1),RIGHT("00"&amp;HOUR(Entry!$D1861),2)&amp;":"&amp;RIGHT("00"&amp;MINUTE(Entry!$D1861),2),IFERROR(RIGHT("00"&amp;VALUE(TRIM(LEFT(Entry!$D1861,FIND(":",Entry!$D1861)-1))),2)&amp;":"&amp;RIGHT("00"&amp;VALUE(TRIM(MID(Entry!$D1861,FIND(":",Entry!$D1861)+1,2))),2),"نامعتبر")),IF(OR($E1861="",$E1861="نامعتبر"),"","00:00"))</f>
        <v/>
      </c>
      <c r="G1861">
        <f>IF(OR($E1861="",$E1861="نامعتبر"),"",IF(Entry!$E1861="","",LEFT(UPPER(TRIM(Entry!$E1861)),6)))</f>
        <v/>
      </c>
      <c r="H1861">
        <f>IF($G1861="","",RIGHT($E1861,4)&amp;MID($E1861,6,2)&amp;RIGHT($E1861,2)&amp;IF($F1861="","0000",IF($F1861="نامعتبر","9999",LEFT($F1861,2)&amp;RIGHT($F1861,2)))&amp;"|"&amp;RIGHT("00000"&amp;1853,5))</f>
        <v/>
      </c>
      <c r="I1861">
        <f>IF($H1861="","",COUNTIFS(CalcBank,$G1861,CalcKey,"&lt;"&amp;$H1861)+1)</f>
        <v/>
      </c>
      <c r="J1861">
        <f>IF($I1861="","",$G1861&amp;"|"&amp;RIGHT("000000"&amp;$I1861,6))</f>
        <v/>
      </c>
      <c r="K1861">
        <f>IF(OR($E1861="",$E1861="نامعتبر"),"",LEFT($E1861,4)&amp;"/"&amp;MID($E1861,6,2))</f>
        <v/>
      </c>
      <c r="L1861">
        <f>IF(Entry!$K1861="",0,Entry!$K1861)</f>
        <v/>
      </c>
      <c r="M1861">
        <f>IF(Entry!$L1861="",0,Entry!$L1861)</f>
        <v/>
      </c>
    </row>
    <row r="1862">
      <c r="A1862">
        <f>IF(Entry!$C1862="","",Entry!$C1862)</f>
        <v/>
      </c>
      <c r="B1862">
        <f>IF($A1862="","",IF(ISNUMBER($A1862),IF(AND($A1862&gt;=10000101,$A1862&lt;=99991231),INT($A1862/10000),""),IFERROR(VALUE(TRIM(LEFT($A1862,FIND("/",$A1862)-1))),"")))</f>
        <v/>
      </c>
      <c r="C1862">
        <f>IF(OR($A1862="",$B1862=""),"",IF(ISNUMBER($A1862),INT(MOD($A1862,10000)/100),IFERROR(VALUE(TRIM(LEFT(MID($A1862,FIND("/",$A1862)+1,20),FIND("/",MID($A1862,FIND("/",$A1862)+1,20))-1))),"")))</f>
        <v/>
      </c>
      <c r="D1862">
        <f>IF(OR($A1862="",$B1862=""),"",IF(ISNUMBER($A1862),MOD($A1862,100),IFERROR(VALUE(TRIM(MID(MID($A1862,FIND("/",$A1862)+1,20),FIND("/",MID($A1862,FIND("/",$A1862)+1,20))+1,20))),"")))</f>
        <v/>
      </c>
      <c r="E1862">
        <f>IF($A1862="","",IF(OR($B1862="",$C1862="",$D1862="",$B1862&lt;1300,$B1862&gt;1500,$C1862&lt;1,$C1862&gt;12,$D1862&lt;1,$D1862&gt;31),"نامعتبر",RIGHT("0000"&amp;$B1862,4)&amp;"/"&amp;RIGHT("00"&amp;$C1862,2)&amp;"/"&amp;RIGHT("00"&amp;$D1862,2)))</f>
        <v/>
      </c>
      <c r="F1862">
        <f>IF(Entry!$D1862&lt;&gt;"",IF(AND(ISNUMBER(Entry!$D1862),Entry!$D1862&gt;=0,Entry!$D1862&lt;1),RIGHT("00"&amp;HOUR(Entry!$D1862),2)&amp;":"&amp;RIGHT("00"&amp;MINUTE(Entry!$D1862),2),IFERROR(RIGHT("00"&amp;VALUE(TRIM(LEFT(Entry!$D1862,FIND(":",Entry!$D1862)-1))),2)&amp;":"&amp;RIGHT("00"&amp;VALUE(TRIM(MID(Entry!$D1862,FIND(":",Entry!$D1862)+1,2))),2),"نامعتبر")),IF(OR($E1862="",$E1862="نامعتبر"),"","00:00"))</f>
        <v/>
      </c>
      <c r="G1862">
        <f>IF(OR($E1862="",$E1862="نامعتبر"),"",IF(Entry!$E1862="","",LEFT(UPPER(TRIM(Entry!$E1862)),6)))</f>
        <v/>
      </c>
      <c r="H1862">
        <f>IF($G1862="","",RIGHT($E1862,4)&amp;MID($E1862,6,2)&amp;RIGHT($E1862,2)&amp;IF($F1862="","0000",IF($F1862="نامعتبر","9999",LEFT($F1862,2)&amp;RIGHT($F1862,2)))&amp;"|"&amp;RIGHT("00000"&amp;1854,5))</f>
        <v/>
      </c>
      <c r="I1862">
        <f>IF($H1862="","",COUNTIFS(CalcBank,$G1862,CalcKey,"&lt;"&amp;$H1862)+1)</f>
        <v/>
      </c>
      <c r="J1862">
        <f>IF($I1862="","",$G1862&amp;"|"&amp;RIGHT("000000"&amp;$I1862,6))</f>
        <v/>
      </c>
      <c r="K1862">
        <f>IF(OR($E1862="",$E1862="نامعتبر"),"",LEFT($E1862,4)&amp;"/"&amp;MID($E1862,6,2))</f>
        <v/>
      </c>
      <c r="L1862">
        <f>IF(Entry!$K1862="",0,Entry!$K1862)</f>
        <v/>
      </c>
      <c r="M1862">
        <f>IF(Entry!$L1862="",0,Entry!$L1862)</f>
        <v/>
      </c>
    </row>
    <row r="1863">
      <c r="A1863">
        <f>IF(Entry!$C1863="","",Entry!$C1863)</f>
        <v/>
      </c>
      <c r="B1863">
        <f>IF($A1863="","",IF(ISNUMBER($A1863),IF(AND($A1863&gt;=10000101,$A1863&lt;=99991231),INT($A1863/10000),""),IFERROR(VALUE(TRIM(LEFT($A1863,FIND("/",$A1863)-1))),"")))</f>
        <v/>
      </c>
      <c r="C1863">
        <f>IF(OR($A1863="",$B1863=""),"",IF(ISNUMBER($A1863),INT(MOD($A1863,10000)/100),IFERROR(VALUE(TRIM(LEFT(MID($A1863,FIND("/",$A1863)+1,20),FIND("/",MID($A1863,FIND("/",$A1863)+1,20))-1))),"")))</f>
        <v/>
      </c>
      <c r="D1863">
        <f>IF(OR($A1863="",$B1863=""),"",IF(ISNUMBER($A1863),MOD($A1863,100),IFERROR(VALUE(TRIM(MID(MID($A1863,FIND("/",$A1863)+1,20),FIND("/",MID($A1863,FIND("/",$A1863)+1,20))+1,20))),"")))</f>
        <v/>
      </c>
      <c r="E1863">
        <f>IF($A1863="","",IF(OR($B1863="",$C1863="",$D1863="",$B1863&lt;1300,$B1863&gt;1500,$C1863&lt;1,$C1863&gt;12,$D1863&lt;1,$D1863&gt;31),"نامعتبر",RIGHT("0000"&amp;$B1863,4)&amp;"/"&amp;RIGHT("00"&amp;$C1863,2)&amp;"/"&amp;RIGHT("00"&amp;$D1863,2)))</f>
        <v/>
      </c>
      <c r="F1863">
        <f>IF(Entry!$D1863&lt;&gt;"",IF(AND(ISNUMBER(Entry!$D1863),Entry!$D1863&gt;=0,Entry!$D1863&lt;1),RIGHT("00"&amp;HOUR(Entry!$D1863),2)&amp;":"&amp;RIGHT("00"&amp;MINUTE(Entry!$D1863),2),IFERROR(RIGHT("00"&amp;VALUE(TRIM(LEFT(Entry!$D1863,FIND(":",Entry!$D1863)-1))),2)&amp;":"&amp;RIGHT("00"&amp;VALUE(TRIM(MID(Entry!$D1863,FIND(":",Entry!$D1863)+1,2))),2),"نامعتبر")),IF(OR($E1863="",$E1863="نامعتبر"),"","00:00"))</f>
        <v/>
      </c>
      <c r="G1863">
        <f>IF(OR($E1863="",$E1863="نامعتبر"),"",IF(Entry!$E1863="","",LEFT(UPPER(TRIM(Entry!$E1863)),6)))</f>
        <v/>
      </c>
      <c r="H1863">
        <f>IF($G1863="","",RIGHT($E1863,4)&amp;MID($E1863,6,2)&amp;RIGHT($E1863,2)&amp;IF($F1863="","0000",IF($F1863="نامعتبر","9999",LEFT($F1863,2)&amp;RIGHT($F1863,2)))&amp;"|"&amp;RIGHT("00000"&amp;1855,5))</f>
        <v/>
      </c>
      <c r="I1863">
        <f>IF($H1863="","",COUNTIFS(CalcBank,$G1863,CalcKey,"&lt;"&amp;$H1863)+1)</f>
        <v/>
      </c>
      <c r="J1863">
        <f>IF($I1863="","",$G1863&amp;"|"&amp;RIGHT("000000"&amp;$I1863,6))</f>
        <v/>
      </c>
      <c r="K1863">
        <f>IF(OR($E1863="",$E1863="نامعتبر"),"",LEFT($E1863,4)&amp;"/"&amp;MID($E1863,6,2))</f>
        <v/>
      </c>
      <c r="L1863">
        <f>IF(Entry!$K1863="",0,Entry!$K1863)</f>
        <v/>
      </c>
      <c r="M1863">
        <f>IF(Entry!$L1863="",0,Entry!$L1863)</f>
        <v/>
      </c>
    </row>
    <row r="1864">
      <c r="A1864">
        <f>IF(Entry!$C1864="","",Entry!$C1864)</f>
        <v/>
      </c>
      <c r="B1864">
        <f>IF($A1864="","",IF(ISNUMBER($A1864),IF(AND($A1864&gt;=10000101,$A1864&lt;=99991231),INT($A1864/10000),""),IFERROR(VALUE(TRIM(LEFT($A1864,FIND("/",$A1864)-1))),"")))</f>
        <v/>
      </c>
      <c r="C1864">
        <f>IF(OR($A1864="",$B1864=""),"",IF(ISNUMBER($A1864),INT(MOD($A1864,10000)/100),IFERROR(VALUE(TRIM(LEFT(MID($A1864,FIND("/",$A1864)+1,20),FIND("/",MID($A1864,FIND("/",$A1864)+1,20))-1))),"")))</f>
        <v/>
      </c>
      <c r="D1864">
        <f>IF(OR($A1864="",$B1864=""),"",IF(ISNUMBER($A1864),MOD($A1864,100),IFERROR(VALUE(TRIM(MID(MID($A1864,FIND("/",$A1864)+1,20),FIND("/",MID($A1864,FIND("/",$A1864)+1,20))+1,20))),"")))</f>
        <v/>
      </c>
      <c r="E1864">
        <f>IF($A1864="","",IF(OR($B1864="",$C1864="",$D1864="",$B1864&lt;1300,$B1864&gt;1500,$C1864&lt;1,$C1864&gt;12,$D1864&lt;1,$D1864&gt;31),"نامعتبر",RIGHT("0000"&amp;$B1864,4)&amp;"/"&amp;RIGHT("00"&amp;$C1864,2)&amp;"/"&amp;RIGHT("00"&amp;$D1864,2)))</f>
        <v/>
      </c>
      <c r="F1864">
        <f>IF(Entry!$D1864&lt;&gt;"",IF(AND(ISNUMBER(Entry!$D1864),Entry!$D1864&gt;=0,Entry!$D1864&lt;1),RIGHT("00"&amp;HOUR(Entry!$D1864),2)&amp;":"&amp;RIGHT("00"&amp;MINUTE(Entry!$D1864),2),IFERROR(RIGHT("00"&amp;VALUE(TRIM(LEFT(Entry!$D1864,FIND(":",Entry!$D1864)-1))),2)&amp;":"&amp;RIGHT("00"&amp;VALUE(TRIM(MID(Entry!$D1864,FIND(":",Entry!$D1864)+1,2))),2),"نامعتبر")),IF(OR($E1864="",$E1864="نامعتبر"),"","00:00"))</f>
        <v/>
      </c>
      <c r="G1864">
        <f>IF(OR($E1864="",$E1864="نامعتبر"),"",IF(Entry!$E1864="","",LEFT(UPPER(TRIM(Entry!$E1864)),6)))</f>
        <v/>
      </c>
      <c r="H1864">
        <f>IF($G1864="","",RIGHT($E1864,4)&amp;MID($E1864,6,2)&amp;RIGHT($E1864,2)&amp;IF($F1864="","0000",IF($F1864="نامعتبر","9999",LEFT($F1864,2)&amp;RIGHT($F1864,2)))&amp;"|"&amp;RIGHT("00000"&amp;1856,5))</f>
        <v/>
      </c>
      <c r="I1864">
        <f>IF($H1864="","",COUNTIFS(CalcBank,$G1864,CalcKey,"&lt;"&amp;$H1864)+1)</f>
        <v/>
      </c>
      <c r="J1864">
        <f>IF($I1864="","",$G1864&amp;"|"&amp;RIGHT("000000"&amp;$I1864,6))</f>
        <v/>
      </c>
      <c r="K1864">
        <f>IF(OR($E1864="",$E1864="نامعتبر"),"",LEFT($E1864,4)&amp;"/"&amp;MID($E1864,6,2))</f>
        <v/>
      </c>
      <c r="L1864">
        <f>IF(Entry!$K1864="",0,Entry!$K1864)</f>
        <v/>
      </c>
      <c r="M1864">
        <f>IF(Entry!$L1864="",0,Entry!$L1864)</f>
        <v/>
      </c>
    </row>
    <row r="1865">
      <c r="A1865">
        <f>IF(Entry!$C1865="","",Entry!$C1865)</f>
        <v/>
      </c>
      <c r="B1865">
        <f>IF($A1865="","",IF(ISNUMBER($A1865),IF(AND($A1865&gt;=10000101,$A1865&lt;=99991231),INT($A1865/10000),""),IFERROR(VALUE(TRIM(LEFT($A1865,FIND("/",$A1865)-1))),"")))</f>
        <v/>
      </c>
      <c r="C1865">
        <f>IF(OR($A1865="",$B1865=""),"",IF(ISNUMBER($A1865),INT(MOD($A1865,10000)/100),IFERROR(VALUE(TRIM(LEFT(MID($A1865,FIND("/",$A1865)+1,20),FIND("/",MID($A1865,FIND("/",$A1865)+1,20))-1))),"")))</f>
        <v/>
      </c>
      <c r="D1865">
        <f>IF(OR($A1865="",$B1865=""),"",IF(ISNUMBER($A1865),MOD($A1865,100),IFERROR(VALUE(TRIM(MID(MID($A1865,FIND("/",$A1865)+1,20),FIND("/",MID($A1865,FIND("/",$A1865)+1,20))+1,20))),"")))</f>
        <v/>
      </c>
      <c r="E1865">
        <f>IF($A1865="","",IF(OR($B1865="",$C1865="",$D1865="",$B1865&lt;1300,$B1865&gt;1500,$C1865&lt;1,$C1865&gt;12,$D1865&lt;1,$D1865&gt;31),"نامعتبر",RIGHT("0000"&amp;$B1865,4)&amp;"/"&amp;RIGHT("00"&amp;$C1865,2)&amp;"/"&amp;RIGHT("00"&amp;$D1865,2)))</f>
        <v/>
      </c>
      <c r="F1865">
        <f>IF(Entry!$D1865&lt;&gt;"",IF(AND(ISNUMBER(Entry!$D1865),Entry!$D1865&gt;=0,Entry!$D1865&lt;1),RIGHT("00"&amp;HOUR(Entry!$D1865),2)&amp;":"&amp;RIGHT("00"&amp;MINUTE(Entry!$D1865),2),IFERROR(RIGHT("00"&amp;VALUE(TRIM(LEFT(Entry!$D1865,FIND(":",Entry!$D1865)-1))),2)&amp;":"&amp;RIGHT("00"&amp;VALUE(TRIM(MID(Entry!$D1865,FIND(":",Entry!$D1865)+1,2))),2),"نامعتبر")),IF(OR($E1865="",$E1865="نامعتبر"),"","00:00"))</f>
        <v/>
      </c>
      <c r="G1865">
        <f>IF(OR($E1865="",$E1865="نامعتبر"),"",IF(Entry!$E1865="","",LEFT(UPPER(TRIM(Entry!$E1865)),6)))</f>
        <v/>
      </c>
      <c r="H1865">
        <f>IF($G1865="","",RIGHT($E1865,4)&amp;MID($E1865,6,2)&amp;RIGHT($E1865,2)&amp;IF($F1865="","0000",IF($F1865="نامعتبر","9999",LEFT($F1865,2)&amp;RIGHT($F1865,2)))&amp;"|"&amp;RIGHT("00000"&amp;1857,5))</f>
        <v/>
      </c>
      <c r="I1865">
        <f>IF($H1865="","",COUNTIFS(CalcBank,$G1865,CalcKey,"&lt;"&amp;$H1865)+1)</f>
        <v/>
      </c>
      <c r="J1865">
        <f>IF($I1865="","",$G1865&amp;"|"&amp;RIGHT("000000"&amp;$I1865,6))</f>
        <v/>
      </c>
      <c r="K1865">
        <f>IF(OR($E1865="",$E1865="نامعتبر"),"",LEFT($E1865,4)&amp;"/"&amp;MID($E1865,6,2))</f>
        <v/>
      </c>
      <c r="L1865">
        <f>IF(Entry!$K1865="",0,Entry!$K1865)</f>
        <v/>
      </c>
      <c r="M1865">
        <f>IF(Entry!$L1865="",0,Entry!$L1865)</f>
        <v/>
      </c>
    </row>
    <row r="1866">
      <c r="A1866">
        <f>IF(Entry!$C1866="","",Entry!$C1866)</f>
        <v/>
      </c>
      <c r="B1866">
        <f>IF($A1866="","",IF(ISNUMBER($A1866),IF(AND($A1866&gt;=10000101,$A1866&lt;=99991231),INT($A1866/10000),""),IFERROR(VALUE(TRIM(LEFT($A1866,FIND("/",$A1866)-1))),"")))</f>
        <v/>
      </c>
      <c r="C1866">
        <f>IF(OR($A1866="",$B1866=""),"",IF(ISNUMBER($A1866),INT(MOD($A1866,10000)/100),IFERROR(VALUE(TRIM(LEFT(MID($A1866,FIND("/",$A1866)+1,20),FIND("/",MID($A1866,FIND("/",$A1866)+1,20))-1))),"")))</f>
        <v/>
      </c>
      <c r="D1866">
        <f>IF(OR($A1866="",$B1866=""),"",IF(ISNUMBER($A1866),MOD($A1866,100),IFERROR(VALUE(TRIM(MID(MID($A1866,FIND("/",$A1866)+1,20),FIND("/",MID($A1866,FIND("/",$A1866)+1,20))+1,20))),"")))</f>
        <v/>
      </c>
      <c r="E1866">
        <f>IF($A1866="","",IF(OR($B1866="",$C1866="",$D1866="",$B1866&lt;1300,$B1866&gt;1500,$C1866&lt;1,$C1866&gt;12,$D1866&lt;1,$D1866&gt;31),"نامعتبر",RIGHT("0000"&amp;$B1866,4)&amp;"/"&amp;RIGHT("00"&amp;$C1866,2)&amp;"/"&amp;RIGHT("00"&amp;$D1866,2)))</f>
        <v/>
      </c>
      <c r="F1866">
        <f>IF(Entry!$D1866&lt;&gt;"",IF(AND(ISNUMBER(Entry!$D1866),Entry!$D1866&gt;=0,Entry!$D1866&lt;1),RIGHT("00"&amp;HOUR(Entry!$D1866),2)&amp;":"&amp;RIGHT("00"&amp;MINUTE(Entry!$D1866),2),IFERROR(RIGHT("00"&amp;VALUE(TRIM(LEFT(Entry!$D1866,FIND(":",Entry!$D1866)-1))),2)&amp;":"&amp;RIGHT("00"&amp;VALUE(TRIM(MID(Entry!$D1866,FIND(":",Entry!$D1866)+1,2))),2),"نامعتبر")),IF(OR($E1866="",$E1866="نامعتبر"),"","00:00"))</f>
        <v/>
      </c>
      <c r="G1866">
        <f>IF(OR($E1866="",$E1866="نامعتبر"),"",IF(Entry!$E1866="","",LEFT(UPPER(TRIM(Entry!$E1866)),6)))</f>
        <v/>
      </c>
      <c r="H1866">
        <f>IF($G1866="","",RIGHT($E1866,4)&amp;MID($E1866,6,2)&amp;RIGHT($E1866,2)&amp;IF($F1866="","0000",IF($F1866="نامعتبر","9999",LEFT($F1866,2)&amp;RIGHT($F1866,2)))&amp;"|"&amp;RIGHT("00000"&amp;1858,5))</f>
        <v/>
      </c>
      <c r="I1866">
        <f>IF($H1866="","",COUNTIFS(CalcBank,$G1866,CalcKey,"&lt;"&amp;$H1866)+1)</f>
        <v/>
      </c>
      <c r="J1866">
        <f>IF($I1866="","",$G1866&amp;"|"&amp;RIGHT("000000"&amp;$I1866,6))</f>
        <v/>
      </c>
      <c r="K1866">
        <f>IF(OR($E1866="",$E1866="نامعتبر"),"",LEFT($E1866,4)&amp;"/"&amp;MID($E1866,6,2))</f>
        <v/>
      </c>
      <c r="L1866">
        <f>IF(Entry!$K1866="",0,Entry!$K1866)</f>
        <v/>
      </c>
      <c r="M1866">
        <f>IF(Entry!$L1866="",0,Entry!$L1866)</f>
        <v/>
      </c>
    </row>
    <row r="1867">
      <c r="A1867">
        <f>IF(Entry!$C1867="","",Entry!$C1867)</f>
        <v/>
      </c>
      <c r="B1867">
        <f>IF($A1867="","",IF(ISNUMBER($A1867),IF(AND($A1867&gt;=10000101,$A1867&lt;=99991231),INT($A1867/10000),""),IFERROR(VALUE(TRIM(LEFT($A1867,FIND("/",$A1867)-1))),"")))</f>
        <v/>
      </c>
      <c r="C1867">
        <f>IF(OR($A1867="",$B1867=""),"",IF(ISNUMBER($A1867),INT(MOD($A1867,10000)/100),IFERROR(VALUE(TRIM(LEFT(MID($A1867,FIND("/",$A1867)+1,20),FIND("/",MID($A1867,FIND("/",$A1867)+1,20))-1))),"")))</f>
        <v/>
      </c>
      <c r="D1867">
        <f>IF(OR($A1867="",$B1867=""),"",IF(ISNUMBER($A1867),MOD($A1867,100),IFERROR(VALUE(TRIM(MID(MID($A1867,FIND("/",$A1867)+1,20),FIND("/",MID($A1867,FIND("/",$A1867)+1,20))+1,20))),"")))</f>
        <v/>
      </c>
      <c r="E1867">
        <f>IF($A1867="","",IF(OR($B1867="",$C1867="",$D1867="",$B1867&lt;1300,$B1867&gt;1500,$C1867&lt;1,$C1867&gt;12,$D1867&lt;1,$D1867&gt;31),"نامعتبر",RIGHT("0000"&amp;$B1867,4)&amp;"/"&amp;RIGHT("00"&amp;$C1867,2)&amp;"/"&amp;RIGHT("00"&amp;$D1867,2)))</f>
        <v/>
      </c>
      <c r="F1867">
        <f>IF(Entry!$D1867&lt;&gt;"",IF(AND(ISNUMBER(Entry!$D1867),Entry!$D1867&gt;=0,Entry!$D1867&lt;1),RIGHT("00"&amp;HOUR(Entry!$D1867),2)&amp;":"&amp;RIGHT("00"&amp;MINUTE(Entry!$D1867),2),IFERROR(RIGHT("00"&amp;VALUE(TRIM(LEFT(Entry!$D1867,FIND(":",Entry!$D1867)-1))),2)&amp;":"&amp;RIGHT("00"&amp;VALUE(TRIM(MID(Entry!$D1867,FIND(":",Entry!$D1867)+1,2))),2),"نامعتبر")),IF(OR($E1867="",$E1867="نامعتبر"),"","00:00"))</f>
        <v/>
      </c>
      <c r="G1867">
        <f>IF(OR($E1867="",$E1867="نامعتبر"),"",IF(Entry!$E1867="","",LEFT(UPPER(TRIM(Entry!$E1867)),6)))</f>
        <v/>
      </c>
      <c r="H1867">
        <f>IF($G1867="","",RIGHT($E1867,4)&amp;MID($E1867,6,2)&amp;RIGHT($E1867,2)&amp;IF($F1867="","0000",IF($F1867="نامعتبر","9999",LEFT($F1867,2)&amp;RIGHT($F1867,2)))&amp;"|"&amp;RIGHT("00000"&amp;1859,5))</f>
        <v/>
      </c>
      <c r="I1867">
        <f>IF($H1867="","",COUNTIFS(CalcBank,$G1867,CalcKey,"&lt;"&amp;$H1867)+1)</f>
        <v/>
      </c>
      <c r="J1867">
        <f>IF($I1867="","",$G1867&amp;"|"&amp;RIGHT("000000"&amp;$I1867,6))</f>
        <v/>
      </c>
      <c r="K1867">
        <f>IF(OR($E1867="",$E1867="نامعتبر"),"",LEFT($E1867,4)&amp;"/"&amp;MID($E1867,6,2))</f>
        <v/>
      </c>
      <c r="L1867">
        <f>IF(Entry!$K1867="",0,Entry!$K1867)</f>
        <v/>
      </c>
      <c r="M1867">
        <f>IF(Entry!$L1867="",0,Entry!$L1867)</f>
        <v/>
      </c>
    </row>
    <row r="1868">
      <c r="A1868">
        <f>IF(Entry!$C1868="","",Entry!$C1868)</f>
        <v/>
      </c>
      <c r="B1868">
        <f>IF($A1868="","",IF(ISNUMBER($A1868),IF(AND($A1868&gt;=10000101,$A1868&lt;=99991231),INT($A1868/10000),""),IFERROR(VALUE(TRIM(LEFT($A1868,FIND("/",$A1868)-1))),"")))</f>
        <v/>
      </c>
      <c r="C1868">
        <f>IF(OR($A1868="",$B1868=""),"",IF(ISNUMBER($A1868),INT(MOD($A1868,10000)/100),IFERROR(VALUE(TRIM(LEFT(MID($A1868,FIND("/",$A1868)+1,20),FIND("/",MID($A1868,FIND("/",$A1868)+1,20))-1))),"")))</f>
        <v/>
      </c>
      <c r="D1868">
        <f>IF(OR($A1868="",$B1868=""),"",IF(ISNUMBER($A1868),MOD($A1868,100),IFERROR(VALUE(TRIM(MID(MID($A1868,FIND("/",$A1868)+1,20),FIND("/",MID($A1868,FIND("/",$A1868)+1,20))+1,20))),"")))</f>
        <v/>
      </c>
      <c r="E1868">
        <f>IF($A1868="","",IF(OR($B1868="",$C1868="",$D1868="",$B1868&lt;1300,$B1868&gt;1500,$C1868&lt;1,$C1868&gt;12,$D1868&lt;1,$D1868&gt;31),"نامعتبر",RIGHT("0000"&amp;$B1868,4)&amp;"/"&amp;RIGHT("00"&amp;$C1868,2)&amp;"/"&amp;RIGHT("00"&amp;$D1868,2)))</f>
        <v/>
      </c>
      <c r="F1868">
        <f>IF(Entry!$D1868&lt;&gt;"",IF(AND(ISNUMBER(Entry!$D1868),Entry!$D1868&gt;=0,Entry!$D1868&lt;1),RIGHT("00"&amp;HOUR(Entry!$D1868),2)&amp;":"&amp;RIGHT("00"&amp;MINUTE(Entry!$D1868),2),IFERROR(RIGHT("00"&amp;VALUE(TRIM(LEFT(Entry!$D1868,FIND(":",Entry!$D1868)-1))),2)&amp;":"&amp;RIGHT("00"&amp;VALUE(TRIM(MID(Entry!$D1868,FIND(":",Entry!$D1868)+1,2))),2),"نامعتبر")),IF(OR($E1868="",$E1868="نامعتبر"),"","00:00"))</f>
        <v/>
      </c>
      <c r="G1868">
        <f>IF(OR($E1868="",$E1868="نامعتبر"),"",IF(Entry!$E1868="","",LEFT(UPPER(TRIM(Entry!$E1868)),6)))</f>
        <v/>
      </c>
      <c r="H1868">
        <f>IF($G1868="","",RIGHT($E1868,4)&amp;MID($E1868,6,2)&amp;RIGHT($E1868,2)&amp;IF($F1868="","0000",IF($F1868="نامعتبر","9999",LEFT($F1868,2)&amp;RIGHT($F1868,2)))&amp;"|"&amp;RIGHT("00000"&amp;1860,5))</f>
        <v/>
      </c>
      <c r="I1868">
        <f>IF($H1868="","",COUNTIFS(CalcBank,$G1868,CalcKey,"&lt;"&amp;$H1868)+1)</f>
        <v/>
      </c>
      <c r="J1868">
        <f>IF($I1868="","",$G1868&amp;"|"&amp;RIGHT("000000"&amp;$I1868,6))</f>
        <v/>
      </c>
      <c r="K1868">
        <f>IF(OR($E1868="",$E1868="نامعتبر"),"",LEFT($E1868,4)&amp;"/"&amp;MID($E1868,6,2))</f>
        <v/>
      </c>
      <c r="L1868">
        <f>IF(Entry!$K1868="",0,Entry!$K1868)</f>
        <v/>
      </c>
      <c r="M1868">
        <f>IF(Entry!$L1868="",0,Entry!$L1868)</f>
        <v/>
      </c>
    </row>
    <row r="1869">
      <c r="A1869">
        <f>IF(Entry!$C1869="","",Entry!$C1869)</f>
        <v/>
      </c>
      <c r="B1869">
        <f>IF($A1869="","",IF(ISNUMBER($A1869),IF(AND($A1869&gt;=10000101,$A1869&lt;=99991231),INT($A1869/10000),""),IFERROR(VALUE(TRIM(LEFT($A1869,FIND("/",$A1869)-1))),"")))</f>
        <v/>
      </c>
      <c r="C1869">
        <f>IF(OR($A1869="",$B1869=""),"",IF(ISNUMBER($A1869),INT(MOD($A1869,10000)/100),IFERROR(VALUE(TRIM(LEFT(MID($A1869,FIND("/",$A1869)+1,20),FIND("/",MID($A1869,FIND("/",$A1869)+1,20))-1))),"")))</f>
        <v/>
      </c>
      <c r="D1869">
        <f>IF(OR($A1869="",$B1869=""),"",IF(ISNUMBER($A1869),MOD($A1869,100),IFERROR(VALUE(TRIM(MID(MID($A1869,FIND("/",$A1869)+1,20),FIND("/",MID($A1869,FIND("/",$A1869)+1,20))+1,20))),"")))</f>
        <v/>
      </c>
      <c r="E1869">
        <f>IF($A1869="","",IF(OR($B1869="",$C1869="",$D1869="",$B1869&lt;1300,$B1869&gt;1500,$C1869&lt;1,$C1869&gt;12,$D1869&lt;1,$D1869&gt;31),"نامعتبر",RIGHT("0000"&amp;$B1869,4)&amp;"/"&amp;RIGHT("00"&amp;$C1869,2)&amp;"/"&amp;RIGHT("00"&amp;$D1869,2)))</f>
        <v/>
      </c>
      <c r="F1869">
        <f>IF(Entry!$D1869&lt;&gt;"",IF(AND(ISNUMBER(Entry!$D1869),Entry!$D1869&gt;=0,Entry!$D1869&lt;1),RIGHT("00"&amp;HOUR(Entry!$D1869),2)&amp;":"&amp;RIGHT("00"&amp;MINUTE(Entry!$D1869),2),IFERROR(RIGHT("00"&amp;VALUE(TRIM(LEFT(Entry!$D1869,FIND(":",Entry!$D1869)-1))),2)&amp;":"&amp;RIGHT("00"&amp;VALUE(TRIM(MID(Entry!$D1869,FIND(":",Entry!$D1869)+1,2))),2),"نامعتبر")),IF(OR($E1869="",$E1869="نامعتبر"),"","00:00"))</f>
        <v/>
      </c>
      <c r="G1869">
        <f>IF(OR($E1869="",$E1869="نامعتبر"),"",IF(Entry!$E1869="","",LEFT(UPPER(TRIM(Entry!$E1869)),6)))</f>
        <v/>
      </c>
      <c r="H1869">
        <f>IF($G1869="","",RIGHT($E1869,4)&amp;MID($E1869,6,2)&amp;RIGHT($E1869,2)&amp;IF($F1869="","0000",IF($F1869="نامعتبر","9999",LEFT($F1869,2)&amp;RIGHT($F1869,2)))&amp;"|"&amp;RIGHT("00000"&amp;1861,5))</f>
        <v/>
      </c>
      <c r="I1869">
        <f>IF($H1869="","",COUNTIFS(CalcBank,$G1869,CalcKey,"&lt;"&amp;$H1869)+1)</f>
        <v/>
      </c>
      <c r="J1869">
        <f>IF($I1869="","",$G1869&amp;"|"&amp;RIGHT("000000"&amp;$I1869,6))</f>
        <v/>
      </c>
      <c r="K1869">
        <f>IF(OR($E1869="",$E1869="نامعتبر"),"",LEFT($E1869,4)&amp;"/"&amp;MID($E1869,6,2))</f>
        <v/>
      </c>
      <c r="L1869">
        <f>IF(Entry!$K1869="",0,Entry!$K1869)</f>
        <v/>
      </c>
      <c r="M1869">
        <f>IF(Entry!$L1869="",0,Entry!$L1869)</f>
        <v/>
      </c>
    </row>
    <row r="1870">
      <c r="A1870">
        <f>IF(Entry!$C1870="","",Entry!$C1870)</f>
        <v/>
      </c>
      <c r="B1870">
        <f>IF($A1870="","",IF(ISNUMBER($A1870),IF(AND($A1870&gt;=10000101,$A1870&lt;=99991231),INT($A1870/10000),""),IFERROR(VALUE(TRIM(LEFT($A1870,FIND("/",$A1870)-1))),"")))</f>
        <v/>
      </c>
      <c r="C1870">
        <f>IF(OR($A1870="",$B1870=""),"",IF(ISNUMBER($A1870),INT(MOD($A1870,10000)/100),IFERROR(VALUE(TRIM(LEFT(MID($A1870,FIND("/",$A1870)+1,20),FIND("/",MID($A1870,FIND("/",$A1870)+1,20))-1))),"")))</f>
        <v/>
      </c>
      <c r="D1870">
        <f>IF(OR($A1870="",$B1870=""),"",IF(ISNUMBER($A1870),MOD($A1870,100),IFERROR(VALUE(TRIM(MID(MID($A1870,FIND("/",$A1870)+1,20),FIND("/",MID($A1870,FIND("/",$A1870)+1,20))+1,20))),"")))</f>
        <v/>
      </c>
      <c r="E1870">
        <f>IF($A1870="","",IF(OR($B1870="",$C1870="",$D1870="",$B1870&lt;1300,$B1870&gt;1500,$C1870&lt;1,$C1870&gt;12,$D1870&lt;1,$D1870&gt;31),"نامعتبر",RIGHT("0000"&amp;$B1870,4)&amp;"/"&amp;RIGHT("00"&amp;$C1870,2)&amp;"/"&amp;RIGHT("00"&amp;$D1870,2)))</f>
        <v/>
      </c>
      <c r="F1870">
        <f>IF(Entry!$D1870&lt;&gt;"",IF(AND(ISNUMBER(Entry!$D1870),Entry!$D1870&gt;=0,Entry!$D1870&lt;1),RIGHT("00"&amp;HOUR(Entry!$D1870),2)&amp;":"&amp;RIGHT("00"&amp;MINUTE(Entry!$D1870),2),IFERROR(RIGHT("00"&amp;VALUE(TRIM(LEFT(Entry!$D1870,FIND(":",Entry!$D1870)-1))),2)&amp;":"&amp;RIGHT("00"&amp;VALUE(TRIM(MID(Entry!$D1870,FIND(":",Entry!$D1870)+1,2))),2),"نامعتبر")),IF(OR($E1870="",$E1870="نامعتبر"),"","00:00"))</f>
        <v/>
      </c>
      <c r="G1870">
        <f>IF(OR($E1870="",$E1870="نامعتبر"),"",IF(Entry!$E1870="","",LEFT(UPPER(TRIM(Entry!$E1870)),6)))</f>
        <v/>
      </c>
      <c r="H1870">
        <f>IF($G1870="","",RIGHT($E1870,4)&amp;MID($E1870,6,2)&amp;RIGHT($E1870,2)&amp;IF($F1870="","0000",IF($F1870="نامعتبر","9999",LEFT($F1870,2)&amp;RIGHT($F1870,2)))&amp;"|"&amp;RIGHT("00000"&amp;1862,5))</f>
        <v/>
      </c>
      <c r="I1870">
        <f>IF($H1870="","",COUNTIFS(CalcBank,$G1870,CalcKey,"&lt;"&amp;$H1870)+1)</f>
        <v/>
      </c>
      <c r="J1870">
        <f>IF($I1870="","",$G1870&amp;"|"&amp;RIGHT("000000"&amp;$I1870,6))</f>
        <v/>
      </c>
      <c r="K1870">
        <f>IF(OR($E1870="",$E1870="نامعتبر"),"",LEFT($E1870,4)&amp;"/"&amp;MID($E1870,6,2))</f>
        <v/>
      </c>
      <c r="L1870">
        <f>IF(Entry!$K1870="",0,Entry!$K1870)</f>
        <v/>
      </c>
      <c r="M1870">
        <f>IF(Entry!$L1870="",0,Entry!$L1870)</f>
        <v/>
      </c>
    </row>
    <row r="1871">
      <c r="A1871">
        <f>IF(Entry!$C1871="","",Entry!$C1871)</f>
        <v/>
      </c>
      <c r="B1871">
        <f>IF($A1871="","",IF(ISNUMBER($A1871),IF(AND($A1871&gt;=10000101,$A1871&lt;=99991231),INT($A1871/10000),""),IFERROR(VALUE(TRIM(LEFT($A1871,FIND("/",$A1871)-1))),"")))</f>
        <v/>
      </c>
      <c r="C1871">
        <f>IF(OR($A1871="",$B1871=""),"",IF(ISNUMBER($A1871),INT(MOD($A1871,10000)/100),IFERROR(VALUE(TRIM(LEFT(MID($A1871,FIND("/",$A1871)+1,20),FIND("/",MID($A1871,FIND("/",$A1871)+1,20))-1))),"")))</f>
        <v/>
      </c>
      <c r="D1871">
        <f>IF(OR($A1871="",$B1871=""),"",IF(ISNUMBER($A1871),MOD($A1871,100),IFERROR(VALUE(TRIM(MID(MID($A1871,FIND("/",$A1871)+1,20),FIND("/",MID($A1871,FIND("/",$A1871)+1,20))+1,20))),"")))</f>
        <v/>
      </c>
      <c r="E1871">
        <f>IF($A1871="","",IF(OR($B1871="",$C1871="",$D1871="",$B1871&lt;1300,$B1871&gt;1500,$C1871&lt;1,$C1871&gt;12,$D1871&lt;1,$D1871&gt;31),"نامعتبر",RIGHT("0000"&amp;$B1871,4)&amp;"/"&amp;RIGHT("00"&amp;$C1871,2)&amp;"/"&amp;RIGHT("00"&amp;$D1871,2)))</f>
        <v/>
      </c>
      <c r="F1871">
        <f>IF(Entry!$D1871&lt;&gt;"",IF(AND(ISNUMBER(Entry!$D1871),Entry!$D1871&gt;=0,Entry!$D1871&lt;1),RIGHT("00"&amp;HOUR(Entry!$D1871),2)&amp;":"&amp;RIGHT("00"&amp;MINUTE(Entry!$D1871),2),IFERROR(RIGHT("00"&amp;VALUE(TRIM(LEFT(Entry!$D1871,FIND(":",Entry!$D1871)-1))),2)&amp;":"&amp;RIGHT("00"&amp;VALUE(TRIM(MID(Entry!$D1871,FIND(":",Entry!$D1871)+1,2))),2),"نامعتبر")),IF(OR($E1871="",$E1871="نامعتبر"),"","00:00"))</f>
        <v/>
      </c>
      <c r="G1871">
        <f>IF(OR($E1871="",$E1871="نامعتبر"),"",IF(Entry!$E1871="","",LEFT(UPPER(TRIM(Entry!$E1871)),6)))</f>
        <v/>
      </c>
      <c r="H1871">
        <f>IF($G1871="","",RIGHT($E1871,4)&amp;MID($E1871,6,2)&amp;RIGHT($E1871,2)&amp;IF($F1871="","0000",IF($F1871="نامعتبر","9999",LEFT($F1871,2)&amp;RIGHT($F1871,2)))&amp;"|"&amp;RIGHT("00000"&amp;1863,5))</f>
        <v/>
      </c>
      <c r="I1871">
        <f>IF($H1871="","",COUNTIFS(CalcBank,$G1871,CalcKey,"&lt;"&amp;$H1871)+1)</f>
        <v/>
      </c>
      <c r="J1871">
        <f>IF($I1871="","",$G1871&amp;"|"&amp;RIGHT("000000"&amp;$I1871,6))</f>
        <v/>
      </c>
      <c r="K1871">
        <f>IF(OR($E1871="",$E1871="نامعتبر"),"",LEFT($E1871,4)&amp;"/"&amp;MID($E1871,6,2))</f>
        <v/>
      </c>
      <c r="L1871">
        <f>IF(Entry!$K1871="",0,Entry!$K1871)</f>
        <v/>
      </c>
      <c r="M1871">
        <f>IF(Entry!$L1871="",0,Entry!$L1871)</f>
        <v/>
      </c>
    </row>
    <row r="1872">
      <c r="A1872">
        <f>IF(Entry!$C1872="","",Entry!$C1872)</f>
        <v/>
      </c>
      <c r="B1872">
        <f>IF($A1872="","",IF(ISNUMBER($A1872),IF(AND($A1872&gt;=10000101,$A1872&lt;=99991231),INT($A1872/10000),""),IFERROR(VALUE(TRIM(LEFT($A1872,FIND("/",$A1872)-1))),"")))</f>
        <v/>
      </c>
      <c r="C1872">
        <f>IF(OR($A1872="",$B1872=""),"",IF(ISNUMBER($A1872),INT(MOD($A1872,10000)/100),IFERROR(VALUE(TRIM(LEFT(MID($A1872,FIND("/",$A1872)+1,20),FIND("/",MID($A1872,FIND("/",$A1872)+1,20))-1))),"")))</f>
        <v/>
      </c>
      <c r="D1872">
        <f>IF(OR($A1872="",$B1872=""),"",IF(ISNUMBER($A1872),MOD($A1872,100),IFERROR(VALUE(TRIM(MID(MID($A1872,FIND("/",$A1872)+1,20),FIND("/",MID($A1872,FIND("/",$A1872)+1,20))+1,20))),"")))</f>
        <v/>
      </c>
      <c r="E1872">
        <f>IF($A1872="","",IF(OR($B1872="",$C1872="",$D1872="",$B1872&lt;1300,$B1872&gt;1500,$C1872&lt;1,$C1872&gt;12,$D1872&lt;1,$D1872&gt;31),"نامعتبر",RIGHT("0000"&amp;$B1872,4)&amp;"/"&amp;RIGHT("00"&amp;$C1872,2)&amp;"/"&amp;RIGHT("00"&amp;$D1872,2)))</f>
        <v/>
      </c>
      <c r="F1872">
        <f>IF(Entry!$D1872&lt;&gt;"",IF(AND(ISNUMBER(Entry!$D1872),Entry!$D1872&gt;=0,Entry!$D1872&lt;1),RIGHT("00"&amp;HOUR(Entry!$D1872),2)&amp;":"&amp;RIGHT("00"&amp;MINUTE(Entry!$D1872),2),IFERROR(RIGHT("00"&amp;VALUE(TRIM(LEFT(Entry!$D1872,FIND(":",Entry!$D1872)-1))),2)&amp;":"&amp;RIGHT("00"&amp;VALUE(TRIM(MID(Entry!$D1872,FIND(":",Entry!$D1872)+1,2))),2),"نامعتبر")),IF(OR($E1872="",$E1872="نامعتبر"),"","00:00"))</f>
        <v/>
      </c>
      <c r="G1872">
        <f>IF(OR($E1872="",$E1872="نامعتبر"),"",IF(Entry!$E1872="","",LEFT(UPPER(TRIM(Entry!$E1872)),6)))</f>
        <v/>
      </c>
      <c r="H1872">
        <f>IF($G1872="","",RIGHT($E1872,4)&amp;MID($E1872,6,2)&amp;RIGHT($E1872,2)&amp;IF($F1872="","0000",IF($F1872="نامعتبر","9999",LEFT($F1872,2)&amp;RIGHT($F1872,2)))&amp;"|"&amp;RIGHT("00000"&amp;1864,5))</f>
        <v/>
      </c>
      <c r="I1872">
        <f>IF($H1872="","",COUNTIFS(CalcBank,$G1872,CalcKey,"&lt;"&amp;$H1872)+1)</f>
        <v/>
      </c>
      <c r="J1872">
        <f>IF($I1872="","",$G1872&amp;"|"&amp;RIGHT("000000"&amp;$I1872,6))</f>
        <v/>
      </c>
      <c r="K1872">
        <f>IF(OR($E1872="",$E1872="نامعتبر"),"",LEFT($E1872,4)&amp;"/"&amp;MID($E1872,6,2))</f>
        <v/>
      </c>
      <c r="L1872">
        <f>IF(Entry!$K1872="",0,Entry!$K1872)</f>
        <v/>
      </c>
      <c r="M1872">
        <f>IF(Entry!$L1872="",0,Entry!$L1872)</f>
        <v/>
      </c>
    </row>
    <row r="1873">
      <c r="A1873">
        <f>IF(Entry!$C1873="","",Entry!$C1873)</f>
        <v/>
      </c>
      <c r="B1873">
        <f>IF($A1873="","",IF(ISNUMBER($A1873),IF(AND($A1873&gt;=10000101,$A1873&lt;=99991231),INT($A1873/10000),""),IFERROR(VALUE(TRIM(LEFT($A1873,FIND("/",$A1873)-1))),"")))</f>
        <v/>
      </c>
      <c r="C1873">
        <f>IF(OR($A1873="",$B1873=""),"",IF(ISNUMBER($A1873),INT(MOD($A1873,10000)/100),IFERROR(VALUE(TRIM(LEFT(MID($A1873,FIND("/",$A1873)+1,20),FIND("/",MID($A1873,FIND("/",$A1873)+1,20))-1))),"")))</f>
        <v/>
      </c>
      <c r="D1873">
        <f>IF(OR($A1873="",$B1873=""),"",IF(ISNUMBER($A1873),MOD($A1873,100),IFERROR(VALUE(TRIM(MID(MID($A1873,FIND("/",$A1873)+1,20),FIND("/",MID($A1873,FIND("/",$A1873)+1,20))+1,20))),"")))</f>
        <v/>
      </c>
      <c r="E1873">
        <f>IF($A1873="","",IF(OR($B1873="",$C1873="",$D1873="",$B1873&lt;1300,$B1873&gt;1500,$C1873&lt;1,$C1873&gt;12,$D1873&lt;1,$D1873&gt;31),"نامعتبر",RIGHT("0000"&amp;$B1873,4)&amp;"/"&amp;RIGHT("00"&amp;$C1873,2)&amp;"/"&amp;RIGHT("00"&amp;$D1873,2)))</f>
        <v/>
      </c>
      <c r="F1873">
        <f>IF(Entry!$D1873&lt;&gt;"",IF(AND(ISNUMBER(Entry!$D1873),Entry!$D1873&gt;=0,Entry!$D1873&lt;1),RIGHT("00"&amp;HOUR(Entry!$D1873),2)&amp;":"&amp;RIGHT("00"&amp;MINUTE(Entry!$D1873),2),IFERROR(RIGHT("00"&amp;VALUE(TRIM(LEFT(Entry!$D1873,FIND(":",Entry!$D1873)-1))),2)&amp;":"&amp;RIGHT("00"&amp;VALUE(TRIM(MID(Entry!$D1873,FIND(":",Entry!$D1873)+1,2))),2),"نامعتبر")),IF(OR($E1873="",$E1873="نامعتبر"),"","00:00"))</f>
        <v/>
      </c>
      <c r="G1873">
        <f>IF(OR($E1873="",$E1873="نامعتبر"),"",IF(Entry!$E1873="","",LEFT(UPPER(TRIM(Entry!$E1873)),6)))</f>
        <v/>
      </c>
      <c r="H1873">
        <f>IF($G1873="","",RIGHT($E1873,4)&amp;MID($E1873,6,2)&amp;RIGHT($E1873,2)&amp;IF($F1873="","0000",IF($F1873="نامعتبر","9999",LEFT($F1873,2)&amp;RIGHT($F1873,2)))&amp;"|"&amp;RIGHT("00000"&amp;1865,5))</f>
        <v/>
      </c>
      <c r="I1873">
        <f>IF($H1873="","",COUNTIFS(CalcBank,$G1873,CalcKey,"&lt;"&amp;$H1873)+1)</f>
        <v/>
      </c>
      <c r="J1873">
        <f>IF($I1873="","",$G1873&amp;"|"&amp;RIGHT("000000"&amp;$I1873,6))</f>
        <v/>
      </c>
      <c r="K1873">
        <f>IF(OR($E1873="",$E1873="نامعتبر"),"",LEFT($E1873,4)&amp;"/"&amp;MID($E1873,6,2))</f>
        <v/>
      </c>
      <c r="L1873">
        <f>IF(Entry!$K1873="",0,Entry!$K1873)</f>
        <v/>
      </c>
      <c r="M1873">
        <f>IF(Entry!$L1873="",0,Entry!$L1873)</f>
        <v/>
      </c>
    </row>
    <row r="1874">
      <c r="A1874">
        <f>IF(Entry!$C1874="","",Entry!$C1874)</f>
        <v/>
      </c>
      <c r="B1874">
        <f>IF($A1874="","",IF(ISNUMBER($A1874),IF(AND($A1874&gt;=10000101,$A1874&lt;=99991231),INT($A1874/10000),""),IFERROR(VALUE(TRIM(LEFT($A1874,FIND("/",$A1874)-1))),"")))</f>
        <v/>
      </c>
      <c r="C1874">
        <f>IF(OR($A1874="",$B1874=""),"",IF(ISNUMBER($A1874),INT(MOD($A1874,10000)/100),IFERROR(VALUE(TRIM(LEFT(MID($A1874,FIND("/",$A1874)+1,20),FIND("/",MID($A1874,FIND("/",$A1874)+1,20))-1))),"")))</f>
        <v/>
      </c>
      <c r="D1874">
        <f>IF(OR($A1874="",$B1874=""),"",IF(ISNUMBER($A1874),MOD($A1874,100),IFERROR(VALUE(TRIM(MID(MID($A1874,FIND("/",$A1874)+1,20),FIND("/",MID($A1874,FIND("/",$A1874)+1,20))+1,20))),"")))</f>
        <v/>
      </c>
      <c r="E1874">
        <f>IF($A1874="","",IF(OR($B1874="",$C1874="",$D1874="",$B1874&lt;1300,$B1874&gt;1500,$C1874&lt;1,$C1874&gt;12,$D1874&lt;1,$D1874&gt;31),"نامعتبر",RIGHT("0000"&amp;$B1874,4)&amp;"/"&amp;RIGHT("00"&amp;$C1874,2)&amp;"/"&amp;RIGHT("00"&amp;$D1874,2)))</f>
        <v/>
      </c>
      <c r="F1874">
        <f>IF(Entry!$D1874&lt;&gt;"",IF(AND(ISNUMBER(Entry!$D1874),Entry!$D1874&gt;=0,Entry!$D1874&lt;1),RIGHT("00"&amp;HOUR(Entry!$D1874),2)&amp;":"&amp;RIGHT("00"&amp;MINUTE(Entry!$D1874),2),IFERROR(RIGHT("00"&amp;VALUE(TRIM(LEFT(Entry!$D1874,FIND(":",Entry!$D1874)-1))),2)&amp;":"&amp;RIGHT("00"&amp;VALUE(TRIM(MID(Entry!$D1874,FIND(":",Entry!$D1874)+1,2))),2),"نامعتبر")),IF(OR($E1874="",$E1874="نامعتبر"),"","00:00"))</f>
        <v/>
      </c>
      <c r="G1874">
        <f>IF(OR($E1874="",$E1874="نامعتبر"),"",IF(Entry!$E1874="","",LEFT(UPPER(TRIM(Entry!$E1874)),6)))</f>
        <v/>
      </c>
      <c r="H1874">
        <f>IF($G1874="","",RIGHT($E1874,4)&amp;MID($E1874,6,2)&amp;RIGHT($E1874,2)&amp;IF($F1874="","0000",IF($F1874="نامعتبر","9999",LEFT($F1874,2)&amp;RIGHT($F1874,2)))&amp;"|"&amp;RIGHT("00000"&amp;1866,5))</f>
        <v/>
      </c>
      <c r="I1874">
        <f>IF($H1874="","",COUNTIFS(CalcBank,$G1874,CalcKey,"&lt;"&amp;$H1874)+1)</f>
        <v/>
      </c>
      <c r="J1874">
        <f>IF($I1874="","",$G1874&amp;"|"&amp;RIGHT("000000"&amp;$I1874,6))</f>
        <v/>
      </c>
      <c r="K1874">
        <f>IF(OR($E1874="",$E1874="نامعتبر"),"",LEFT($E1874,4)&amp;"/"&amp;MID($E1874,6,2))</f>
        <v/>
      </c>
      <c r="L1874">
        <f>IF(Entry!$K1874="",0,Entry!$K1874)</f>
        <v/>
      </c>
      <c r="M1874">
        <f>IF(Entry!$L1874="",0,Entry!$L1874)</f>
        <v/>
      </c>
    </row>
    <row r="1875">
      <c r="A1875">
        <f>IF(Entry!$C1875="","",Entry!$C1875)</f>
        <v/>
      </c>
      <c r="B1875">
        <f>IF($A1875="","",IF(ISNUMBER($A1875),IF(AND($A1875&gt;=10000101,$A1875&lt;=99991231),INT($A1875/10000),""),IFERROR(VALUE(TRIM(LEFT($A1875,FIND("/",$A1875)-1))),"")))</f>
        <v/>
      </c>
      <c r="C1875">
        <f>IF(OR($A1875="",$B1875=""),"",IF(ISNUMBER($A1875),INT(MOD($A1875,10000)/100),IFERROR(VALUE(TRIM(LEFT(MID($A1875,FIND("/",$A1875)+1,20),FIND("/",MID($A1875,FIND("/",$A1875)+1,20))-1))),"")))</f>
        <v/>
      </c>
      <c r="D1875">
        <f>IF(OR($A1875="",$B1875=""),"",IF(ISNUMBER($A1875),MOD($A1875,100),IFERROR(VALUE(TRIM(MID(MID($A1875,FIND("/",$A1875)+1,20),FIND("/",MID($A1875,FIND("/",$A1875)+1,20))+1,20))),"")))</f>
        <v/>
      </c>
      <c r="E1875">
        <f>IF($A1875="","",IF(OR($B1875="",$C1875="",$D1875="",$B1875&lt;1300,$B1875&gt;1500,$C1875&lt;1,$C1875&gt;12,$D1875&lt;1,$D1875&gt;31),"نامعتبر",RIGHT("0000"&amp;$B1875,4)&amp;"/"&amp;RIGHT("00"&amp;$C1875,2)&amp;"/"&amp;RIGHT("00"&amp;$D1875,2)))</f>
        <v/>
      </c>
      <c r="F1875">
        <f>IF(Entry!$D1875&lt;&gt;"",IF(AND(ISNUMBER(Entry!$D1875),Entry!$D1875&gt;=0,Entry!$D1875&lt;1),RIGHT("00"&amp;HOUR(Entry!$D1875),2)&amp;":"&amp;RIGHT("00"&amp;MINUTE(Entry!$D1875),2),IFERROR(RIGHT("00"&amp;VALUE(TRIM(LEFT(Entry!$D1875,FIND(":",Entry!$D1875)-1))),2)&amp;":"&amp;RIGHT("00"&amp;VALUE(TRIM(MID(Entry!$D1875,FIND(":",Entry!$D1875)+1,2))),2),"نامعتبر")),IF(OR($E1875="",$E1875="نامعتبر"),"","00:00"))</f>
        <v/>
      </c>
      <c r="G1875">
        <f>IF(OR($E1875="",$E1875="نامعتبر"),"",IF(Entry!$E1875="","",LEFT(UPPER(TRIM(Entry!$E1875)),6)))</f>
        <v/>
      </c>
      <c r="H1875">
        <f>IF($G1875="","",RIGHT($E1875,4)&amp;MID($E1875,6,2)&amp;RIGHT($E1875,2)&amp;IF($F1875="","0000",IF($F1875="نامعتبر","9999",LEFT($F1875,2)&amp;RIGHT($F1875,2)))&amp;"|"&amp;RIGHT("00000"&amp;1867,5))</f>
        <v/>
      </c>
      <c r="I1875">
        <f>IF($H1875="","",COUNTIFS(CalcBank,$G1875,CalcKey,"&lt;"&amp;$H1875)+1)</f>
        <v/>
      </c>
      <c r="J1875">
        <f>IF($I1875="","",$G1875&amp;"|"&amp;RIGHT("000000"&amp;$I1875,6))</f>
        <v/>
      </c>
      <c r="K1875">
        <f>IF(OR($E1875="",$E1875="نامعتبر"),"",LEFT($E1875,4)&amp;"/"&amp;MID($E1875,6,2))</f>
        <v/>
      </c>
      <c r="L1875">
        <f>IF(Entry!$K1875="",0,Entry!$K1875)</f>
        <v/>
      </c>
      <c r="M1875">
        <f>IF(Entry!$L1875="",0,Entry!$L1875)</f>
        <v/>
      </c>
    </row>
    <row r="1876">
      <c r="A1876">
        <f>IF(Entry!$C1876="","",Entry!$C1876)</f>
        <v/>
      </c>
      <c r="B1876">
        <f>IF($A1876="","",IF(ISNUMBER($A1876),IF(AND($A1876&gt;=10000101,$A1876&lt;=99991231),INT($A1876/10000),""),IFERROR(VALUE(TRIM(LEFT($A1876,FIND("/",$A1876)-1))),"")))</f>
        <v/>
      </c>
      <c r="C1876">
        <f>IF(OR($A1876="",$B1876=""),"",IF(ISNUMBER($A1876),INT(MOD($A1876,10000)/100),IFERROR(VALUE(TRIM(LEFT(MID($A1876,FIND("/",$A1876)+1,20),FIND("/",MID($A1876,FIND("/",$A1876)+1,20))-1))),"")))</f>
        <v/>
      </c>
      <c r="D1876">
        <f>IF(OR($A1876="",$B1876=""),"",IF(ISNUMBER($A1876),MOD($A1876,100),IFERROR(VALUE(TRIM(MID(MID($A1876,FIND("/",$A1876)+1,20),FIND("/",MID($A1876,FIND("/",$A1876)+1,20))+1,20))),"")))</f>
        <v/>
      </c>
      <c r="E1876">
        <f>IF($A1876="","",IF(OR($B1876="",$C1876="",$D1876="",$B1876&lt;1300,$B1876&gt;1500,$C1876&lt;1,$C1876&gt;12,$D1876&lt;1,$D1876&gt;31),"نامعتبر",RIGHT("0000"&amp;$B1876,4)&amp;"/"&amp;RIGHT("00"&amp;$C1876,2)&amp;"/"&amp;RIGHT("00"&amp;$D1876,2)))</f>
        <v/>
      </c>
      <c r="F1876">
        <f>IF(Entry!$D1876&lt;&gt;"",IF(AND(ISNUMBER(Entry!$D1876),Entry!$D1876&gt;=0,Entry!$D1876&lt;1),RIGHT("00"&amp;HOUR(Entry!$D1876),2)&amp;":"&amp;RIGHT("00"&amp;MINUTE(Entry!$D1876),2),IFERROR(RIGHT("00"&amp;VALUE(TRIM(LEFT(Entry!$D1876,FIND(":",Entry!$D1876)-1))),2)&amp;":"&amp;RIGHT("00"&amp;VALUE(TRIM(MID(Entry!$D1876,FIND(":",Entry!$D1876)+1,2))),2),"نامعتبر")),IF(OR($E1876="",$E1876="نامعتبر"),"","00:00"))</f>
        <v/>
      </c>
      <c r="G1876">
        <f>IF(OR($E1876="",$E1876="نامعتبر"),"",IF(Entry!$E1876="","",LEFT(UPPER(TRIM(Entry!$E1876)),6)))</f>
        <v/>
      </c>
      <c r="H1876">
        <f>IF($G1876="","",RIGHT($E1876,4)&amp;MID($E1876,6,2)&amp;RIGHT($E1876,2)&amp;IF($F1876="","0000",IF($F1876="نامعتبر","9999",LEFT($F1876,2)&amp;RIGHT($F1876,2)))&amp;"|"&amp;RIGHT("00000"&amp;1868,5))</f>
        <v/>
      </c>
      <c r="I1876">
        <f>IF($H1876="","",COUNTIFS(CalcBank,$G1876,CalcKey,"&lt;"&amp;$H1876)+1)</f>
        <v/>
      </c>
      <c r="J1876">
        <f>IF($I1876="","",$G1876&amp;"|"&amp;RIGHT("000000"&amp;$I1876,6))</f>
        <v/>
      </c>
      <c r="K1876">
        <f>IF(OR($E1876="",$E1876="نامعتبر"),"",LEFT($E1876,4)&amp;"/"&amp;MID($E1876,6,2))</f>
        <v/>
      </c>
      <c r="L1876">
        <f>IF(Entry!$K1876="",0,Entry!$K1876)</f>
        <v/>
      </c>
      <c r="M1876">
        <f>IF(Entry!$L1876="",0,Entry!$L1876)</f>
        <v/>
      </c>
    </row>
    <row r="1877">
      <c r="A1877">
        <f>IF(Entry!$C1877="","",Entry!$C1877)</f>
        <v/>
      </c>
      <c r="B1877">
        <f>IF($A1877="","",IF(ISNUMBER($A1877),IF(AND($A1877&gt;=10000101,$A1877&lt;=99991231),INT($A1877/10000),""),IFERROR(VALUE(TRIM(LEFT($A1877,FIND("/",$A1877)-1))),"")))</f>
        <v/>
      </c>
      <c r="C1877">
        <f>IF(OR($A1877="",$B1877=""),"",IF(ISNUMBER($A1877),INT(MOD($A1877,10000)/100),IFERROR(VALUE(TRIM(LEFT(MID($A1877,FIND("/",$A1877)+1,20),FIND("/",MID($A1877,FIND("/",$A1877)+1,20))-1))),"")))</f>
        <v/>
      </c>
      <c r="D1877">
        <f>IF(OR($A1877="",$B1877=""),"",IF(ISNUMBER($A1877),MOD($A1877,100),IFERROR(VALUE(TRIM(MID(MID($A1877,FIND("/",$A1877)+1,20),FIND("/",MID($A1877,FIND("/",$A1877)+1,20))+1,20))),"")))</f>
        <v/>
      </c>
      <c r="E1877">
        <f>IF($A1877="","",IF(OR($B1877="",$C1877="",$D1877="",$B1877&lt;1300,$B1877&gt;1500,$C1877&lt;1,$C1877&gt;12,$D1877&lt;1,$D1877&gt;31),"نامعتبر",RIGHT("0000"&amp;$B1877,4)&amp;"/"&amp;RIGHT("00"&amp;$C1877,2)&amp;"/"&amp;RIGHT("00"&amp;$D1877,2)))</f>
        <v/>
      </c>
      <c r="F1877">
        <f>IF(Entry!$D1877&lt;&gt;"",IF(AND(ISNUMBER(Entry!$D1877),Entry!$D1877&gt;=0,Entry!$D1877&lt;1),RIGHT("00"&amp;HOUR(Entry!$D1877),2)&amp;":"&amp;RIGHT("00"&amp;MINUTE(Entry!$D1877),2),IFERROR(RIGHT("00"&amp;VALUE(TRIM(LEFT(Entry!$D1877,FIND(":",Entry!$D1877)-1))),2)&amp;":"&amp;RIGHT("00"&amp;VALUE(TRIM(MID(Entry!$D1877,FIND(":",Entry!$D1877)+1,2))),2),"نامعتبر")),IF(OR($E1877="",$E1877="نامعتبر"),"","00:00"))</f>
        <v/>
      </c>
      <c r="G1877">
        <f>IF(OR($E1877="",$E1877="نامعتبر"),"",IF(Entry!$E1877="","",LEFT(UPPER(TRIM(Entry!$E1877)),6)))</f>
        <v/>
      </c>
      <c r="H1877">
        <f>IF($G1877="","",RIGHT($E1877,4)&amp;MID($E1877,6,2)&amp;RIGHT($E1877,2)&amp;IF($F1877="","0000",IF($F1877="نامعتبر","9999",LEFT($F1877,2)&amp;RIGHT($F1877,2)))&amp;"|"&amp;RIGHT("00000"&amp;1869,5))</f>
        <v/>
      </c>
      <c r="I1877">
        <f>IF($H1877="","",COUNTIFS(CalcBank,$G1877,CalcKey,"&lt;"&amp;$H1877)+1)</f>
        <v/>
      </c>
      <c r="J1877">
        <f>IF($I1877="","",$G1877&amp;"|"&amp;RIGHT("000000"&amp;$I1877,6))</f>
        <v/>
      </c>
      <c r="K1877">
        <f>IF(OR($E1877="",$E1877="نامعتبر"),"",LEFT($E1877,4)&amp;"/"&amp;MID($E1877,6,2))</f>
        <v/>
      </c>
      <c r="L1877">
        <f>IF(Entry!$K1877="",0,Entry!$K1877)</f>
        <v/>
      </c>
      <c r="M1877">
        <f>IF(Entry!$L1877="",0,Entry!$L1877)</f>
        <v/>
      </c>
    </row>
    <row r="1878">
      <c r="A1878">
        <f>IF(Entry!$C1878="","",Entry!$C1878)</f>
        <v/>
      </c>
      <c r="B1878">
        <f>IF($A1878="","",IF(ISNUMBER($A1878),IF(AND($A1878&gt;=10000101,$A1878&lt;=99991231),INT($A1878/10000),""),IFERROR(VALUE(TRIM(LEFT($A1878,FIND("/",$A1878)-1))),"")))</f>
        <v/>
      </c>
      <c r="C1878">
        <f>IF(OR($A1878="",$B1878=""),"",IF(ISNUMBER($A1878),INT(MOD($A1878,10000)/100),IFERROR(VALUE(TRIM(LEFT(MID($A1878,FIND("/",$A1878)+1,20),FIND("/",MID($A1878,FIND("/",$A1878)+1,20))-1))),"")))</f>
        <v/>
      </c>
      <c r="D1878">
        <f>IF(OR($A1878="",$B1878=""),"",IF(ISNUMBER($A1878),MOD($A1878,100),IFERROR(VALUE(TRIM(MID(MID($A1878,FIND("/",$A1878)+1,20),FIND("/",MID($A1878,FIND("/",$A1878)+1,20))+1,20))),"")))</f>
        <v/>
      </c>
      <c r="E1878">
        <f>IF($A1878="","",IF(OR($B1878="",$C1878="",$D1878="",$B1878&lt;1300,$B1878&gt;1500,$C1878&lt;1,$C1878&gt;12,$D1878&lt;1,$D1878&gt;31),"نامعتبر",RIGHT("0000"&amp;$B1878,4)&amp;"/"&amp;RIGHT("00"&amp;$C1878,2)&amp;"/"&amp;RIGHT("00"&amp;$D1878,2)))</f>
        <v/>
      </c>
      <c r="F1878">
        <f>IF(Entry!$D1878&lt;&gt;"",IF(AND(ISNUMBER(Entry!$D1878),Entry!$D1878&gt;=0,Entry!$D1878&lt;1),RIGHT("00"&amp;HOUR(Entry!$D1878),2)&amp;":"&amp;RIGHT("00"&amp;MINUTE(Entry!$D1878),2),IFERROR(RIGHT("00"&amp;VALUE(TRIM(LEFT(Entry!$D1878,FIND(":",Entry!$D1878)-1))),2)&amp;":"&amp;RIGHT("00"&amp;VALUE(TRIM(MID(Entry!$D1878,FIND(":",Entry!$D1878)+1,2))),2),"نامعتبر")),IF(OR($E1878="",$E1878="نامعتبر"),"","00:00"))</f>
        <v/>
      </c>
      <c r="G1878">
        <f>IF(OR($E1878="",$E1878="نامعتبر"),"",IF(Entry!$E1878="","",LEFT(UPPER(TRIM(Entry!$E1878)),6)))</f>
        <v/>
      </c>
      <c r="H1878">
        <f>IF($G1878="","",RIGHT($E1878,4)&amp;MID($E1878,6,2)&amp;RIGHT($E1878,2)&amp;IF($F1878="","0000",IF($F1878="نامعتبر","9999",LEFT($F1878,2)&amp;RIGHT($F1878,2)))&amp;"|"&amp;RIGHT("00000"&amp;1870,5))</f>
        <v/>
      </c>
      <c r="I1878">
        <f>IF($H1878="","",COUNTIFS(CalcBank,$G1878,CalcKey,"&lt;"&amp;$H1878)+1)</f>
        <v/>
      </c>
      <c r="J1878">
        <f>IF($I1878="","",$G1878&amp;"|"&amp;RIGHT("000000"&amp;$I1878,6))</f>
        <v/>
      </c>
      <c r="K1878">
        <f>IF(OR($E1878="",$E1878="نامعتبر"),"",LEFT($E1878,4)&amp;"/"&amp;MID($E1878,6,2))</f>
        <v/>
      </c>
      <c r="L1878">
        <f>IF(Entry!$K1878="",0,Entry!$K1878)</f>
        <v/>
      </c>
      <c r="M1878">
        <f>IF(Entry!$L1878="",0,Entry!$L1878)</f>
        <v/>
      </c>
    </row>
    <row r="1879">
      <c r="A1879">
        <f>IF(Entry!$C1879="","",Entry!$C1879)</f>
        <v/>
      </c>
      <c r="B1879">
        <f>IF($A1879="","",IF(ISNUMBER($A1879),IF(AND($A1879&gt;=10000101,$A1879&lt;=99991231),INT($A1879/10000),""),IFERROR(VALUE(TRIM(LEFT($A1879,FIND("/",$A1879)-1))),"")))</f>
        <v/>
      </c>
      <c r="C1879">
        <f>IF(OR($A1879="",$B1879=""),"",IF(ISNUMBER($A1879),INT(MOD($A1879,10000)/100),IFERROR(VALUE(TRIM(LEFT(MID($A1879,FIND("/",$A1879)+1,20),FIND("/",MID($A1879,FIND("/",$A1879)+1,20))-1))),"")))</f>
        <v/>
      </c>
      <c r="D1879">
        <f>IF(OR($A1879="",$B1879=""),"",IF(ISNUMBER($A1879),MOD($A1879,100),IFERROR(VALUE(TRIM(MID(MID($A1879,FIND("/",$A1879)+1,20),FIND("/",MID($A1879,FIND("/",$A1879)+1,20))+1,20))),"")))</f>
        <v/>
      </c>
      <c r="E1879">
        <f>IF($A1879="","",IF(OR($B1879="",$C1879="",$D1879="",$B1879&lt;1300,$B1879&gt;1500,$C1879&lt;1,$C1879&gt;12,$D1879&lt;1,$D1879&gt;31),"نامعتبر",RIGHT("0000"&amp;$B1879,4)&amp;"/"&amp;RIGHT("00"&amp;$C1879,2)&amp;"/"&amp;RIGHT("00"&amp;$D1879,2)))</f>
        <v/>
      </c>
      <c r="F1879">
        <f>IF(Entry!$D1879&lt;&gt;"",IF(AND(ISNUMBER(Entry!$D1879),Entry!$D1879&gt;=0,Entry!$D1879&lt;1),RIGHT("00"&amp;HOUR(Entry!$D1879),2)&amp;":"&amp;RIGHT("00"&amp;MINUTE(Entry!$D1879),2),IFERROR(RIGHT("00"&amp;VALUE(TRIM(LEFT(Entry!$D1879,FIND(":",Entry!$D1879)-1))),2)&amp;":"&amp;RIGHT("00"&amp;VALUE(TRIM(MID(Entry!$D1879,FIND(":",Entry!$D1879)+1,2))),2),"نامعتبر")),IF(OR($E1879="",$E1879="نامعتبر"),"","00:00"))</f>
        <v/>
      </c>
      <c r="G1879">
        <f>IF(OR($E1879="",$E1879="نامعتبر"),"",IF(Entry!$E1879="","",LEFT(UPPER(TRIM(Entry!$E1879)),6)))</f>
        <v/>
      </c>
      <c r="H1879">
        <f>IF($G1879="","",RIGHT($E1879,4)&amp;MID($E1879,6,2)&amp;RIGHT($E1879,2)&amp;IF($F1879="","0000",IF($F1879="نامعتبر","9999",LEFT($F1879,2)&amp;RIGHT($F1879,2)))&amp;"|"&amp;RIGHT("00000"&amp;1871,5))</f>
        <v/>
      </c>
      <c r="I1879">
        <f>IF($H1879="","",COUNTIFS(CalcBank,$G1879,CalcKey,"&lt;"&amp;$H1879)+1)</f>
        <v/>
      </c>
      <c r="J1879">
        <f>IF($I1879="","",$G1879&amp;"|"&amp;RIGHT("000000"&amp;$I1879,6))</f>
        <v/>
      </c>
      <c r="K1879">
        <f>IF(OR($E1879="",$E1879="نامعتبر"),"",LEFT($E1879,4)&amp;"/"&amp;MID($E1879,6,2))</f>
        <v/>
      </c>
      <c r="L1879">
        <f>IF(Entry!$K1879="",0,Entry!$K1879)</f>
        <v/>
      </c>
      <c r="M1879">
        <f>IF(Entry!$L1879="",0,Entry!$L1879)</f>
        <v/>
      </c>
    </row>
    <row r="1880">
      <c r="A1880">
        <f>IF(Entry!$C1880="","",Entry!$C1880)</f>
        <v/>
      </c>
      <c r="B1880">
        <f>IF($A1880="","",IF(ISNUMBER($A1880),IF(AND($A1880&gt;=10000101,$A1880&lt;=99991231),INT($A1880/10000),""),IFERROR(VALUE(TRIM(LEFT($A1880,FIND("/",$A1880)-1))),"")))</f>
        <v/>
      </c>
      <c r="C1880">
        <f>IF(OR($A1880="",$B1880=""),"",IF(ISNUMBER($A1880),INT(MOD($A1880,10000)/100),IFERROR(VALUE(TRIM(LEFT(MID($A1880,FIND("/",$A1880)+1,20),FIND("/",MID($A1880,FIND("/",$A1880)+1,20))-1))),"")))</f>
        <v/>
      </c>
      <c r="D1880">
        <f>IF(OR($A1880="",$B1880=""),"",IF(ISNUMBER($A1880),MOD($A1880,100),IFERROR(VALUE(TRIM(MID(MID($A1880,FIND("/",$A1880)+1,20),FIND("/",MID($A1880,FIND("/",$A1880)+1,20))+1,20))),"")))</f>
        <v/>
      </c>
      <c r="E1880">
        <f>IF($A1880="","",IF(OR($B1880="",$C1880="",$D1880="",$B1880&lt;1300,$B1880&gt;1500,$C1880&lt;1,$C1880&gt;12,$D1880&lt;1,$D1880&gt;31),"نامعتبر",RIGHT("0000"&amp;$B1880,4)&amp;"/"&amp;RIGHT("00"&amp;$C1880,2)&amp;"/"&amp;RIGHT("00"&amp;$D1880,2)))</f>
        <v/>
      </c>
      <c r="F1880">
        <f>IF(Entry!$D1880&lt;&gt;"",IF(AND(ISNUMBER(Entry!$D1880),Entry!$D1880&gt;=0,Entry!$D1880&lt;1),RIGHT("00"&amp;HOUR(Entry!$D1880),2)&amp;":"&amp;RIGHT("00"&amp;MINUTE(Entry!$D1880),2),IFERROR(RIGHT("00"&amp;VALUE(TRIM(LEFT(Entry!$D1880,FIND(":",Entry!$D1880)-1))),2)&amp;":"&amp;RIGHT("00"&amp;VALUE(TRIM(MID(Entry!$D1880,FIND(":",Entry!$D1880)+1,2))),2),"نامعتبر")),IF(OR($E1880="",$E1880="نامعتبر"),"","00:00"))</f>
        <v/>
      </c>
      <c r="G1880">
        <f>IF(OR($E1880="",$E1880="نامعتبر"),"",IF(Entry!$E1880="","",LEFT(UPPER(TRIM(Entry!$E1880)),6)))</f>
        <v/>
      </c>
      <c r="H1880">
        <f>IF($G1880="","",RIGHT($E1880,4)&amp;MID($E1880,6,2)&amp;RIGHT($E1880,2)&amp;IF($F1880="","0000",IF($F1880="نامعتبر","9999",LEFT($F1880,2)&amp;RIGHT($F1880,2)))&amp;"|"&amp;RIGHT("00000"&amp;1872,5))</f>
        <v/>
      </c>
      <c r="I1880">
        <f>IF($H1880="","",COUNTIFS(CalcBank,$G1880,CalcKey,"&lt;"&amp;$H1880)+1)</f>
        <v/>
      </c>
      <c r="J1880">
        <f>IF($I1880="","",$G1880&amp;"|"&amp;RIGHT("000000"&amp;$I1880,6))</f>
        <v/>
      </c>
      <c r="K1880">
        <f>IF(OR($E1880="",$E1880="نامعتبر"),"",LEFT($E1880,4)&amp;"/"&amp;MID($E1880,6,2))</f>
        <v/>
      </c>
      <c r="L1880">
        <f>IF(Entry!$K1880="",0,Entry!$K1880)</f>
        <v/>
      </c>
      <c r="M1880">
        <f>IF(Entry!$L1880="",0,Entry!$L1880)</f>
        <v/>
      </c>
    </row>
    <row r="1881">
      <c r="A1881">
        <f>IF(Entry!$C1881="","",Entry!$C1881)</f>
        <v/>
      </c>
      <c r="B1881">
        <f>IF($A1881="","",IF(ISNUMBER($A1881),IF(AND($A1881&gt;=10000101,$A1881&lt;=99991231),INT($A1881/10000),""),IFERROR(VALUE(TRIM(LEFT($A1881,FIND("/",$A1881)-1))),"")))</f>
        <v/>
      </c>
      <c r="C1881">
        <f>IF(OR($A1881="",$B1881=""),"",IF(ISNUMBER($A1881),INT(MOD($A1881,10000)/100),IFERROR(VALUE(TRIM(LEFT(MID($A1881,FIND("/",$A1881)+1,20),FIND("/",MID($A1881,FIND("/",$A1881)+1,20))-1))),"")))</f>
        <v/>
      </c>
      <c r="D1881">
        <f>IF(OR($A1881="",$B1881=""),"",IF(ISNUMBER($A1881),MOD($A1881,100),IFERROR(VALUE(TRIM(MID(MID($A1881,FIND("/",$A1881)+1,20),FIND("/",MID($A1881,FIND("/",$A1881)+1,20))+1,20))),"")))</f>
        <v/>
      </c>
      <c r="E1881">
        <f>IF($A1881="","",IF(OR($B1881="",$C1881="",$D1881="",$B1881&lt;1300,$B1881&gt;1500,$C1881&lt;1,$C1881&gt;12,$D1881&lt;1,$D1881&gt;31),"نامعتبر",RIGHT("0000"&amp;$B1881,4)&amp;"/"&amp;RIGHT("00"&amp;$C1881,2)&amp;"/"&amp;RIGHT("00"&amp;$D1881,2)))</f>
        <v/>
      </c>
      <c r="F1881">
        <f>IF(Entry!$D1881&lt;&gt;"",IF(AND(ISNUMBER(Entry!$D1881),Entry!$D1881&gt;=0,Entry!$D1881&lt;1),RIGHT("00"&amp;HOUR(Entry!$D1881),2)&amp;":"&amp;RIGHT("00"&amp;MINUTE(Entry!$D1881),2),IFERROR(RIGHT("00"&amp;VALUE(TRIM(LEFT(Entry!$D1881,FIND(":",Entry!$D1881)-1))),2)&amp;":"&amp;RIGHT("00"&amp;VALUE(TRIM(MID(Entry!$D1881,FIND(":",Entry!$D1881)+1,2))),2),"نامعتبر")),IF(OR($E1881="",$E1881="نامعتبر"),"","00:00"))</f>
        <v/>
      </c>
      <c r="G1881">
        <f>IF(OR($E1881="",$E1881="نامعتبر"),"",IF(Entry!$E1881="","",LEFT(UPPER(TRIM(Entry!$E1881)),6)))</f>
        <v/>
      </c>
      <c r="H1881">
        <f>IF($G1881="","",RIGHT($E1881,4)&amp;MID($E1881,6,2)&amp;RIGHT($E1881,2)&amp;IF($F1881="","0000",IF($F1881="نامعتبر","9999",LEFT($F1881,2)&amp;RIGHT($F1881,2)))&amp;"|"&amp;RIGHT("00000"&amp;1873,5))</f>
        <v/>
      </c>
      <c r="I1881">
        <f>IF($H1881="","",COUNTIFS(CalcBank,$G1881,CalcKey,"&lt;"&amp;$H1881)+1)</f>
        <v/>
      </c>
      <c r="J1881">
        <f>IF($I1881="","",$G1881&amp;"|"&amp;RIGHT("000000"&amp;$I1881,6))</f>
        <v/>
      </c>
      <c r="K1881">
        <f>IF(OR($E1881="",$E1881="نامعتبر"),"",LEFT($E1881,4)&amp;"/"&amp;MID($E1881,6,2))</f>
        <v/>
      </c>
      <c r="L1881">
        <f>IF(Entry!$K1881="",0,Entry!$K1881)</f>
        <v/>
      </c>
      <c r="M1881">
        <f>IF(Entry!$L1881="",0,Entry!$L1881)</f>
        <v/>
      </c>
    </row>
    <row r="1882">
      <c r="A1882">
        <f>IF(Entry!$C1882="","",Entry!$C1882)</f>
        <v/>
      </c>
      <c r="B1882">
        <f>IF($A1882="","",IF(ISNUMBER($A1882),IF(AND($A1882&gt;=10000101,$A1882&lt;=99991231),INT($A1882/10000),""),IFERROR(VALUE(TRIM(LEFT($A1882,FIND("/",$A1882)-1))),"")))</f>
        <v/>
      </c>
      <c r="C1882">
        <f>IF(OR($A1882="",$B1882=""),"",IF(ISNUMBER($A1882),INT(MOD($A1882,10000)/100),IFERROR(VALUE(TRIM(LEFT(MID($A1882,FIND("/",$A1882)+1,20),FIND("/",MID($A1882,FIND("/",$A1882)+1,20))-1))),"")))</f>
        <v/>
      </c>
      <c r="D1882">
        <f>IF(OR($A1882="",$B1882=""),"",IF(ISNUMBER($A1882),MOD($A1882,100),IFERROR(VALUE(TRIM(MID(MID($A1882,FIND("/",$A1882)+1,20),FIND("/",MID($A1882,FIND("/",$A1882)+1,20))+1,20))),"")))</f>
        <v/>
      </c>
      <c r="E1882">
        <f>IF($A1882="","",IF(OR($B1882="",$C1882="",$D1882="",$B1882&lt;1300,$B1882&gt;1500,$C1882&lt;1,$C1882&gt;12,$D1882&lt;1,$D1882&gt;31),"نامعتبر",RIGHT("0000"&amp;$B1882,4)&amp;"/"&amp;RIGHT("00"&amp;$C1882,2)&amp;"/"&amp;RIGHT("00"&amp;$D1882,2)))</f>
        <v/>
      </c>
      <c r="F1882">
        <f>IF(Entry!$D1882&lt;&gt;"",IF(AND(ISNUMBER(Entry!$D1882),Entry!$D1882&gt;=0,Entry!$D1882&lt;1),RIGHT("00"&amp;HOUR(Entry!$D1882),2)&amp;":"&amp;RIGHT("00"&amp;MINUTE(Entry!$D1882),2),IFERROR(RIGHT("00"&amp;VALUE(TRIM(LEFT(Entry!$D1882,FIND(":",Entry!$D1882)-1))),2)&amp;":"&amp;RIGHT("00"&amp;VALUE(TRIM(MID(Entry!$D1882,FIND(":",Entry!$D1882)+1,2))),2),"نامعتبر")),IF(OR($E1882="",$E1882="نامعتبر"),"","00:00"))</f>
        <v/>
      </c>
      <c r="G1882">
        <f>IF(OR($E1882="",$E1882="نامعتبر"),"",IF(Entry!$E1882="","",LEFT(UPPER(TRIM(Entry!$E1882)),6)))</f>
        <v/>
      </c>
      <c r="H1882">
        <f>IF($G1882="","",RIGHT($E1882,4)&amp;MID($E1882,6,2)&amp;RIGHT($E1882,2)&amp;IF($F1882="","0000",IF($F1882="نامعتبر","9999",LEFT($F1882,2)&amp;RIGHT($F1882,2)))&amp;"|"&amp;RIGHT("00000"&amp;1874,5))</f>
        <v/>
      </c>
      <c r="I1882">
        <f>IF($H1882="","",COUNTIFS(CalcBank,$G1882,CalcKey,"&lt;"&amp;$H1882)+1)</f>
        <v/>
      </c>
      <c r="J1882">
        <f>IF($I1882="","",$G1882&amp;"|"&amp;RIGHT("000000"&amp;$I1882,6))</f>
        <v/>
      </c>
      <c r="K1882">
        <f>IF(OR($E1882="",$E1882="نامعتبر"),"",LEFT($E1882,4)&amp;"/"&amp;MID($E1882,6,2))</f>
        <v/>
      </c>
      <c r="L1882">
        <f>IF(Entry!$K1882="",0,Entry!$K1882)</f>
        <v/>
      </c>
      <c r="M1882">
        <f>IF(Entry!$L1882="",0,Entry!$L1882)</f>
        <v/>
      </c>
    </row>
    <row r="1883">
      <c r="A1883">
        <f>IF(Entry!$C1883="","",Entry!$C1883)</f>
        <v/>
      </c>
      <c r="B1883">
        <f>IF($A1883="","",IF(ISNUMBER($A1883),IF(AND($A1883&gt;=10000101,$A1883&lt;=99991231),INT($A1883/10000),""),IFERROR(VALUE(TRIM(LEFT($A1883,FIND("/",$A1883)-1))),"")))</f>
        <v/>
      </c>
      <c r="C1883">
        <f>IF(OR($A1883="",$B1883=""),"",IF(ISNUMBER($A1883),INT(MOD($A1883,10000)/100),IFERROR(VALUE(TRIM(LEFT(MID($A1883,FIND("/",$A1883)+1,20),FIND("/",MID($A1883,FIND("/",$A1883)+1,20))-1))),"")))</f>
        <v/>
      </c>
      <c r="D1883">
        <f>IF(OR($A1883="",$B1883=""),"",IF(ISNUMBER($A1883),MOD($A1883,100),IFERROR(VALUE(TRIM(MID(MID($A1883,FIND("/",$A1883)+1,20),FIND("/",MID($A1883,FIND("/",$A1883)+1,20))+1,20))),"")))</f>
        <v/>
      </c>
      <c r="E1883">
        <f>IF($A1883="","",IF(OR($B1883="",$C1883="",$D1883="",$B1883&lt;1300,$B1883&gt;1500,$C1883&lt;1,$C1883&gt;12,$D1883&lt;1,$D1883&gt;31),"نامعتبر",RIGHT("0000"&amp;$B1883,4)&amp;"/"&amp;RIGHT("00"&amp;$C1883,2)&amp;"/"&amp;RIGHT("00"&amp;$D1883,2)))</f>
        <v/>
      </c>
      <c r="F1883">
        <f>IF(Entry!$D1883&lt;&gt;"",IF(AND(ISNUMBER(Entry!$D1883),Entry!$D1883&gt;=0,Entry!$D1883&lt;1),RIGHT("00"&amp;HOUR(Entry!$D1883),2)&amp;":"&amp;RIGHT("00"&amp;MINUTE(Entry!$D1883),2),IFERROR(RIGHT("00"&amp;VALUE(TRIM(LEFT(Entry!$D1883,FIND(":",Entry!$D1883)-1))),2)&amp;":"&amp;RIGHT("00"&amp;VALUE(TRIM(MID(Entry!$D1883,FIND(":",Entry!$D1883)+1,2))),2),"نامعتبر")),IF(OR($E1883="",$E1883="نامعتبر"),"","00:00"))</f>
        <v/>
      </c>
      <c r="G1883">
        <f>IF(OR($E1883="",$E1883="نامعتبر"),"",IF(Entry!$E1883="","",LEFT(UPPER(TRIM(Entry!$E1883)),6)))</f>
        <v/>
      </c>
      <c r="H1883">
        <f>IF($G1883="","",RIGHT($E1883,4)&amp;MID($E1883,6,2)&amp;RIGHT($E1883,2)&amp;IF($F1883="","0000",IF($F1883="نامعتبر","9999",LEFT($F1883,2)&amp;RIGHT($F1883,2)))&amp;"|"&amp;RIGHT("00000"&amp;1875,5))</f>
        <v/>
      </c>
      <c r="I1883">
        <f>IF($H1883="","",COUNTIFS(CalcBank,$G1883,CalcKey,"&lt;"&amp;$H1883)+1)</f>
        <v/>
      </c>
      <c r="J1883">
        <f>IF($I1883="","",$G1883&amp;"|"&amp;RIGHT("000000"&amp;$I1883,6))</f>
        <v/>
      </c>
      <c r="K1883">
        <f>IF(OR($E1883="",$E1883="نامعتبر"),"",LEFT($E1883,4)&amp;"/"&amp;MID($E1883,6,2))</f>
        <v/>
      </c>
      <c r="L1883">
        <f>IF(Entry!$K1883="",0,Entry!$K1883)</f>
        <v/>
      </c>
      <c r="M1883">
        <f>IF(Entry!$L1883="",0,Entry!$L1883)</f>
        <v/>
      </c>
    </row>
    <row r="1884">
      <c r="A1884">
        <f>IF(Entry!$C1884="","",Entry!$C1884)</f>
        <v/>
      </c>
      <c r="B1884">
        <f>IF($A1884="","",IF(ISNUMBER($A1884),IF(AND($A1884&gt;=10000101,$A1884&lt;=99991231),INT($A1884/10000),""),IFERROR(VALUE(TRIM(LEFT($A1884,FIND("/",$A1884)-1))),"")))</f>
        <v/>
      </c>
      <c r="C1884">
        <f>IF(OR($A1884="",$B1884=""),"",IF(ISNUMBER($A1884),INT(MOD($A1884,10000)/100),IFERROR(VALUE(TRIM(LEFT(MID($A1884,FIND("/",$A1884)+1,20),FIND("/",MID($A1884,FIND("/",$A1884)+1,20))-1))),"")))</f>
        <v/>
      </c>
      <c r="D1884">
        <f>IF(OR($A1884="",$B1884=""),"",IF(ISNUMBER($A1884),MOD($A1884,100),IFERROR(VALUE(TRIM(MID(MID($A1884,FIND("/",$A1884)+1,20),FIND("/",MID($A1884,FIND("/",$A1884)+1,20))+1,20))),"")))</f>
        <v/>
      </c>
      <c r="E1884">
        <f>IF($A1884="","",IF(OR($B1884="",$C1884="",$D1884="",$B1884&lt;1300,$B1884&gt;1500,$C1884&lt;1,$C1884&gt;12,$D1884&lt;1,$D1884&gt;31),"نامعتبر",RIGHT("0000"&amp;$B1884,4)&amp;"/"&amp;RIGHT("00"&amp;$C1884,2)&amp;"/"&amp;RIGHT("00"&amp;$D1884,2)))</f>
        <v/>
      </c>
      <c r="F1884">
        <f>IF(Entry!$D1884&lt;&gt;"",IF(AND(ISNUMBER(Entry!$D1884),Entry!$D1884&gt;=0,Entry!$D1884&lt;1),RIGHT("00"&amp;HOUR(Entry!$D1884),2)&amp;":"&amp;RIGHT("00"&amp;MINUTE(Entry!$D1884),2),IFERROR(RIGHT("00"&amp;VALUE(TRIM(LEFT(Entry!$D1884,FIND(":",Entry!$D1884)-1))),2)&amp;":"&amp;RIGHT("00"&amp;VALUE(TRIM(MID(Entry!$D1884,FIND(":",Entry!$D1884)+1,2))),2),"نامعتبر")),IF(OR($E1884="",$E1884="نامعتبر"),"","00:00"))</f>
        <v/>
      </c>
      <c r="G1884">
        <f>IF(OR($E1884="",$E1884="نامعتبر"),"",IF(Entry!$E1884="","",LEFT(UPPER(TRIM(Entry!$E1884)),6)))</f>
        <v/>
      </c>
      <c r="H1884">
        <f>IF($G1884="","",RIGHT($E1884,4)&amp;MID($E1884,6,2)&amp;RIGHT($E1884,2)&amp;IF($F1884="","0000",IF($F1884="نامعتبر","9999",LEFT($F1884,2)&amp;RIGHT($F1884,2)))&amp;"|"&amp;RIGHT("00000"&amp;1876,5))</f>
        <v/>
      </c>
      <c r="I1884">
        <f>IF($H1884="","",COUNTIFS(CalcBank,$G1884,CalcKey,"&lt;"&amp;$H1884)+1)</f>
        <v/>
      </c>
      <c r="J1884">
        <f>IF($I1884="","",$G1884&amp;"|"&amp;RIGHT("000000"&amp;$I1884,6))</f>
        <v/>
      </c>
      <c r="K1884">
        <f>IF(OR($E1884="",$E1884="نامعتبر"),"",LEFT($E1884,4)&amp;"/"&amp;MID($E1884,6,2))</f>
        <v/>
      </c>
      <c r="L1884">
        <f>IF(Entry!$K1884="",0,Entry!$K1884)</f>
        <v/>
      </c>
      <c r="M1884">
        <f>IF(Entry!$L1884="",0,Entry!$L1884)</f>
        <v/>
      </c>
    </row>
    <row r="1885">
      <c r="A1885">
        <f>IF(Entry!$C1885="","",Entry!$C1885)</f>
        <v/>
      </c>
      <c r="B1885">
        <f>IF($A1885="","",IF(ISNUMBER($A1885),IF(AND($A1885&gt;=10000101,$A1885&lt;=99991231),INT($A1885/10000),""),IFERROR(VALUE(TRIM(LEFT($A1885,FIND("/",$A1885)-1))),"")))</f>
        <v/>
      </c>
      <c r="C1885">
        <f>IF(OR($A1885="",$B1885=""),"",IF(ISNUMBER($A1885),INT(MOD($A1885,10000)/100),IFERROR(VALUE(TRIM(LEFT(MID($A1885,FIND("/",$A1885)+1,20),FIND("/",MID($A1885,FIND("/",$A1885)+1,20))-1))),"")))</f>
        <v/>
      </c>
      <c r="D1885">
        <f>IF(OR($A1885="",$B1885=""),"",IF(ISNUMBER($A1885),MOD($A1885,100),IFERROR(VALUE(TRIM(MID(MID($A1885,FIND("/",$A1885)+1,20),FIND("/",MID($A1885,FIND("/",$A1885)+1,20))+1,20))),"")))</f>
        <v/>
      </c>
      <c r="E1885">
        <f>IF($A1885="","",IF(OR($B1885="",$C1885="",$D1885="",$B1885&lt;1300,$B1885&gt;1500,$C1885&lt;1,$C1885&gt;12,$D1885&lt;1,$D1885&gt;31),"نامعتبر",RIGHT("0000"&amp;$B1885,4)&amp;"/"&amp;RIGHT("00"&amp;$C1885,2)&amp;"/"&amp;RIGHT("00"&amp;$D1885,2)))</f>
        <v/>
      </c>
      <c r="F1885">
        <f>IF(Entry!$D1885&lt;&gt;"",IF(AND(ISNUMBER(Entry!$D1885),Entry!$D1885&gt;=0,Entry!$D1885&lt;1),RIGHT("00"&amp;HOUR(Entry!$D1885),2)&amp;":"&amp;RIGHT("00"&amp;MINUTE(Entry!$D1885),2),IFERROR(RIGHT("00"&amp;VALUE(TRIM(LEFT(Entry!$D1885,FIND(":",Entry!$D1885)-1))),2)&amp;":"&amp;RIGHT("00"&amp;VALUE(TRIM(MID(Entry!$D1885,FIND(":",Entry!$D1885)+1,2))),2),"نامعتبر")),IF(OR($E1885="",$E1885="نامعتبر"),"","00:00"))</f>
        <v/>
      </c>
      <c r="G1885">
        <f>IF(OR($E1885="",$E1885="نامعتبر"),"",IF(Entry!$E1885="","",LEFT(UPPER(TRIM(Entry!$E1885)),6)))</f>
        <v/>
      </c>
      <c r="H1885">
        <f>IF($G1885="","",RIGHT($E1885,4)&amp;MID($E1885,6,2)&amp;RIGHT($E1885,2)&amp;IF($F1885="","0000",IF($F1885="نامعتبر","9999",LEFT($F1885,2)&amp;RIGHT($F1885,2)))&amp;"|"&amp;RIGHT("00000"&amp;1877,5))</f>
        <v/>
      </c>
      <c r="I1885">
        <f>IF($H1885="","",COUNTIFS(CalcBank,$G1885,CalcKey,"&lt;"&amp;$H1885)+1)</f>
        <v/>
      </c>
      <c r="J1885">
        <f>IF($I1885="","",$G1885&amp;"|"&amp;RIGHT("000000"&amp;$I1885,6))</f>
        <v/>
      </c>
      <c r="K1885">
        <f>IF(OR($E1885="",$E1885="نامعتبر"),"",LEFT($E1885,4)&amp;"/"&amp;MID($E1885,6,2))</f>
        <v/>
      </c>
      <c r="L1885">
        <f>IF(Entry!$K1885="",0,Entry!$K1885)</f>
        <v/>
      </c>
      <c r="M1885">
        <f>IF(Entry!$L1885="",0,Entry!$L1885)</f>
        <v/>
      </c>
    </row>
    <row r="1886">
      <c r="A1886">
        <f>IF(Entry!$C1886="","",Entry!$C1886)</f>
        <v/>
      </c>
      <c r="B1886">
        <f>IF($A1886="","",IF(ISNUMBER($A1886),IF(AND($A1886&gt;=10000101,$A1886&lt;=99991231),INT($A1886/10000),""),IFERROR(VALUE(TRIM(LEFT($A1886,FIND("/",$A1886)-1))),"")))</f>
        <v/>
      </c>
      <c r="C1886">
        <f>IF(OR($A1886="",$B1886=""),"",IF(ISNUMBER($A1886),INT(MOD($A1886,10000)/100),IFERROR(VALUE(TRIM(LEFT(MID($A1886,FIND("/",$A1886)+1,20),FIND("/",MID($A1886,FIND("/",$A1886)+1,20))-1))),"")))</f>
        <v/>
      </c>
      <c r="D1886">
        <f>IF(OR($A1886="",$B1886=""),"",IF(ISNUMBER($A1886),MOD($A1886,100),IFERROR(VALUE(TRIM(MID(MID($A1886,FIND("/",$A1886)+1,20),FIND("/",MID($A1886,FIND("/",$A1886)+1,20))+1,20))),"")))</f>
        <v/>
      </c>
      <c r="E1886">
        <f>IF($A1886="","",IF(OR($B1886="",$C1886="",$D1886="",$B1886&lt;1300,$B1886&gt;1500,$C1886&lt;1,$C1886&gt;12,$D1886&lt;1,$D1886&gt;31),"نامعتبر",RIGHT("0000"&amp;$B1886,4)&amp;"/"&amp;RIGHT("00"&amp;$C1886,2)&amp;"/"&amp;RIGHT("00"&amp;$D1886,2)))</f>
        <v/>
      </c>
      <c r="F1886">
        <f>IF(Entry!$D1886&lt;&gt;"",IF(AND(ISNUMBER(Entry!$D1886),Entry!$D1886&gt;=0,Entry!$D1886&lt;1),RIGHT("00"&amp;HOUR(Entry!$D1886),2)&amp;":"&amp;RIGHT("00"&amp;MINUTE(Entry!$D1886),2),IFERROR(RIGHT("00"&amp;VALUE(TRIM(LEFT(Entry!$D1886,FIND(":",Entry!$D1886)-1))),2)&amp;":"&amp;RIGHT("00"&amp;VALUE(TRIM(MID(Entry!$D1886,FIND(":",Entry!$D1886)+1,2))),2),"نامعتبر")),IF(OR($E1886="",$E1886="نامعتبر"),"","00:00"))</f>
        <v/>
      </c>
      <c r="G1886">
        <f>IF(OR($E1886="",$E1886="نامعتبر"),"",IF(Entry!$E1886="","",LEFT(UPPER(TRIM(Entry!$E1886)),6)))</f>
        <v/>
      </c>
      <c r="H1886">
        <f>IF($G1886="","",RIGHT($E1886,4)&amp;MID($E1886,6,2)&amp;RIGHT($E1886,2)&amp;IF($F1886="","0000",IF($F1886="نامعتبر","9999",LEFT($F1886,2)&amp;RIGHT($F1886,2)))&amp;"|"&amp;RIGHT("00000"&amp;1878,5))</f>
        <v/>
      </c>
      <c r="I1886">
        <f>IF($H1886="","",COUNTIFS(CalcBank,$G1886,CalcKey,"&lt;"&amp;$H1886)+1)</f>
        <v/>
      </c>
      <c r="J1886">
        <f>IF($I1886="","",$G1886&amp;"|"&amp;RIGHT("000000"&amp;$I1886,6))</f>
        <v/>
      </c>
      <c r="K1886">
        <f>IF(OR($E1886="",$E1886="نامعتبر"),"",LEFT($E1886,4)&amp;"/"&amp;MID($E1886,6,2))</f>
        <v/>
      </c>
      <c r="L1886">
        <f>IF(Entry!$K1886="",0,Entry!$K1886)</f>
        <v/>
      </c>
      <c r="M1886">
        <f>IF(Entry!$L1886="",0,Entry!$L1886)</f>
        <v/>
      </c>
    </row>
    <row r="1887">
      <c r="A1887">
        <f>IF(Entry!$C1887="","",Entry!$C1887)</f>
        <v/>
      </c>
      <c r="B1887">
        <f>IF($A1887="","",IF(ISNUMBER($A1887),IF(AND($A1887&gt;=10000101,$A1887&lt;=99991231),INT($A1887/10000),""),IFERROR(VALUE(TRIM(LEFT($A1887,FIND("/",$A1887)-1))),"")))</f>
        <v/>
      </c>
      <c r="C1887">
        <f>IF(OR($A1887="",$B1887=""),"",IF(ISNUMBER($A1887),INT(MOD($A1887,10000)/100),IFERROR(VALUE(TRIM(LEFT(MID($A1887,FIND("/",$A1887)+1,20),FIND("/",MID($A1887,FIND("/",$A1887)+1,20))-1))),"")))</f>
        <v/>
      </c>
      <c r="D1887">
        <f>IF(OR($A1887="",$B1887=""),"",IF(ISNUMBER($A1887),MOD($A1887,100),IFERROR(VALUE(TRIM(MID(MID($A1887,FIND("/",$A1887)+1,20),FIND("/",MID($A1887,FIND("/",$A1887)+1,20))+1,20))),"")))</f>
        <v/>
      </c>
      <c r="E1887">
        <f>IF($A1887="","",IF(OR($B1887="",$C1887="",$D1887="",$B1887&lt;1300,$B1887&gt;1500,$C1887&lt;1,$C1887&gt;12,$D1887&lt;1,$D1887&gt;31),"نامعتبر",RIGHT("0000"&amp;$B1887,4)&amp;"/"&amp;RIGHT("00"&amp;$C1887,2)&amp;"/"&amp;RIGHT("00"&amp;$D1887,2)))</f>
        <v/>
      </c>
      <c r="F1887">
        <f>IF(Entry!$D1887&lt;&gt;"",IF(AND(ISNUMBER(Entry!$D1887),Entry!$D1887&gt;=0,Entry!$D1887&lt;1),RIGHT("00"&amp;HOUR(Entry!$D1887),2)&amp;":"&amp;RIGHT("00"&amp;MINUTE(Entry!$D1887),2),IFERROR(RIGHT("00"&amp;VALUE(TRIM(LEFT(Entry!$D1887,FIND(":",Entry!$D1887)-1))),2)&amp;":"&amp;RIGHT("00"&amp;VALUE(TRIM(MID(Entry!$D1887,FIND(":",Entry!$D1887)+1,2))),2),"نامعتبر")),IF(OR($E1887="",$E1887="نامعتبر"),"","00:00"))</f>
        <v/>
      </c>
      <c r="G1887">
        <f>IF(OR($E1887="",$E1887="نامعتبر"),"",IF(Entry!$E1887="","",LEFT(UPPER(TRIM(Entry!$E1887)),6)))</f>
        <v/>
      </c>
      <c r="H1887">
        <f>IF($G1887="","",RIGHT($E1887,4)&amp;MID($E1887,6,2)&amp;RIGHT($E1887,2)&amp;IF($F1887="","0000",IF($F1887="نامعتبر","9999",LEFT($F1887,2)&amp;RIGHT($F1887,2)))&amp;"|"&amp;RIGHT("00000"&amp;1879,5))</f>
        <v/>
      </c>
      <c r="I1887">
        <f>IF($H1887="","",COUNTIFS(CalcBank,$G1887,CalcKey,"&lt;"&amp;$H1887)+1)</f>
        <v/>
      </c>
      <c r="J1887">
        <f>IF($I1887="","",$G1887&amp;"|"&amp;RIGHT("000000"&amp;$I1887,6))</f>
        <v/>
      </c>
      <c r="K1887">
        <f>IF(OR($E1887="",$E1887="نامعتبر"),"",LEFT($E1887,4)&amp;"/"&amp;MID($E1887,6,2))</f>
        <v/>
      </c>
      <c r="L1887">
        <f>IF(Entry!$K1887="",0,Entry!$K1887)</f>
        <v/>
      </c>
      <c r="M1887">
        <f>IF(Entry!$L1887="",0,Entry!$L1887)</f>
        <v/>
      </c>
    </row>
    <row r="1888">
      <c r="A1888">
        <f>IF(Entry!$C1888="","",Entry!$C1888)</f>
        <v/>
      </c>
      <c r="B1888">
        <f>IF($A1888="","",IF(ISNUMBER($A1888),IF(AND($A1888&gt;=10000101,$A1888&lt;=99991231),INT($A1888/10000),""),IFERROR(VALUE(TRIM(LEFT($A1888,FIND("/",$A1888)-1))),"")))</f>
        <v/>
      </c>
      <c r="C1888">
        <f>IF(OR($A1888="",$B1888=""),"",IF(ISNUMBER($A1888),INT(MOD($A1888,10000)/100),IFERROR(VALUE(TRIM(LEFT(MID($A1888,FIND("/",$A1888)+1,20),FIND("/",MID($A1888,FIND("/",$A1888)+1,20))-1))),"")))</f>
        <v/>
      </c>
      <c r="D1888">
        <f>IF(OR($A1888="",$B1888=""),"",IF(ISNUMBER($A1888),MOD($A1888,100),IFERROR(VALUE(TRIM(MID(MID($A1888,FIND("/",$A1888)+1,20),FIND("/",MID($A1888,FIND("/",$A1888)+1,20))+1,20))),"")))</f>
        <v/>
      </c>
      <c r="E1888">
        <f>IF($A1888="","",IF(OR($B1888="",$C1888="",$D1888="",$B1888&lt;1300,$B1888&gt;1500,$C1888&lt;1,$C1888&gt;12,$D1888&lt;1,$D1888&gt;31),"نامعتبر",RIGHT("0000"&amp;$B1888,4)&amp;"/"&amp;RIGHT("00"&amp;$C1888,2)&amp;"/"&amp;RIGHT("00"&amp;$D1888,2)))</f>
        <v/>
      </c>
      <c r="F1888">
        <f>IF(Entry!$D1888&lt;&gt;"",IF(AND(ISNUMBER(Entry!$D1888),Entry!$D1888&gt;=0,Entry!$D1888&lt;1),RIGHT("00"&amp;HOUR(Entry!$D1888),2)&amp;":"&amp;RIGHT("00"&amp;MINUTE(Entry!$D1888),2),IFERROR(RIGHT("00"&amp;VALUE(TRIM(LEFT(Entry!$D1888,FIND(":",Entry!$D1888)-1))),2)&amp;":"&amp;RIGHT("00"&amp;VALUE(TRIM(MID(Entry!$D1888,FIND(":",Entry!$D1888)+1,2))),2),"نامعتبر")),IF(OR($E1888="",$E1888="نامعتبر"),"","00:00"))</f>
        <v/>
      </c>
      <c r="G1888">
        <f>IF(OR($E1888="",$E1888="نامعتبر"),"",IF(Entry!$E1888="","",LEFT(UPPER(TRIM(Entry!$E1888)),6)))</f>
        <v/>
      </c>
      <c r="H1888">
        <f>IF($G1888="","",RIGHT($E1888,4)&amp;MID($E1888,6,2)&amp;RIGHT($E1888,2)&amp;IF($F1888="","0000",IF($F1888="نامعتبر","9999",LEFT($F1888,2)&amp;RIGHT($F1888,2)))&amp;"|"&amp;RIGHT("00000"&amp;1880,5))</f>
        <v/>
      </c>
      <c r="I1888">
        <f>IF($H1888="","",COUNTIFS(CalcBank,$G1888,CalcKey,"&lt;"&amp;$H1888)+1)</f>
        <v/>
      </c>
      <c r="J1888">
        <f>IF($I1888="","",$G1888&amp;"|"&amp;RIGHT("000000"&amp;$I1888,6))</f>
        <v/>
      </c>
      <c r="K1888">
        <f>IF(OR($E1888="",$E1888="نامعتبر"),"",LEFT($E1888,4)&amp;"/"&amp;MID($E1888,6,2))</f>
        <v/>
      </c>
      <c r="L1888">
        <f>IF(Entry!$K1888="",0,Entry!$K1888)</f>
        <v/>
      </c>
      <c r="M1888">
        <f>IF(Entry!$L1888="",0,Entry!$L1888)</f>
        <v/>
      </c>
    </row>
    <row r="1889">
      <c r="A1889">
        <f>IF(Entry!$C1889="","",Entry!$C1889)</f>
        <v/>
      </c>
      <c r="B1889">
        <f>IF($A1889="","",IF(ISNUMBER($A1889),IF(AND($A1889&gt;=10000101,$A1889&lt;=99991231),INT($A1889/10000),""),IFERROR(VALUE(TRIM(LEFT($A1889,FIND("/",$A1889)-1))),"")))</f>
        <v/>
      </c>
      <c r="C1889">
        <f>IF(OR($A1889="",$B1889=""),"",IF(ISNUMBER($A1889),INT(MOD($A1889,10000)/100),IFERROR(VALUE(TRIM(LEFT(MID($A1889,FIND("/",$A1889)+1,20),FIND("/",MID($A1889,FIND("/",$A1889)+1,20))-1))),"")))</f>
        <v/>
      </c>
      <c r="D1889">
        <f>IF(OR($A1889="",$B1889=""),"",IF(ISNUMBER($A1889),MOD($A1889,100),IFERROR(VALUE(TRIM(MID(MID($A1889,FIND("/",$A1889)+1,20),FIND("/",MID($A1889,FIND("/",$A1889)+1,20))+1,20))),"")))</f>
        <v/>
      </c>
      <c r="E1889">
        <f>IF($A1889="","",IF(OR($B1889="",$C1889="",$D1889="",$B1889&lt;1300,$B1889&gt;1500,$C1889&lt;1,$C1889&gt;12,$D1889&lt;1,$D1889&gt;31),"نامعتبر",RIGHT("0000"&amp;$B1889,4)&amp;"/"&amp;RIGHT("00"&amp;$C1889,2)&amp;"/"&amp;RIGHT("00"&amp;$D1889,2)))</f>
        <v/>
      </c>
      <c r="F1889">
        <f>IF(Entry!$D1889&lt;&gt;"",IF(AND(ISNUMBER(Entry!$D1889),Entry!$D1889&gt;=0,Entry!$D1889&lt;1),RIGHT("00"&amp;HOUR(Entry!$D1889),2)&amp;":"&amp;RIGHT("00"&amp;MINUTE(Entry!$D1889),2),IFERROR(RIGHT("00"&amp;VALUE(TRIM(LEFT(Entry!$D1889,FIND(":",Entry!$D1889)-1))),2)&amp;":"&amp;RIGHT("00"&amp;VALUE(TRIM(MID(Entry!$D1889,FIND(":",Entry!$D1889)+1,2))),2),"نامعتبر")),IF(OR($E1889="",$E1889="نامعتبر"),"","00:00"))</f>
        <v/>
      </c>
      <c r="G1889">
        <f>IF(OR($E1889="",$E1889="نامعتبر"),"",IF(Entry!$E1889="","",LEFT(UPPER(TRIM(Entry!$E1889)),6)))</f>
        <v/>
      </c>
      <c r="H1889">
        <f>IF($G1889="","",RIGHT($E1889,4)&amp;MID($E1889,6,2)&amp;RIGHT($E1889,2)&amp;IF($F1889="","0000",IF($F1889="نامعتبر","9999",LEFT($F1889,2)&amp;RIGHT($F1889,2)))&amp;"|"&amp;RIGHT("00000"&amp;1881,5))</f>
        <v/>
      </c>
      <c r="I1889">
        <f>IF($H1889="","",COUNTIFS(CalcBank,$G1889,CalcKey,"&lt;"&amp;$H1889)+1)</f>
        <v/>
      </c>
      <c r="J1889">
        <f>IF($I1889="","",$G1889&amp;"|"&amp;RIGHT("000000"&amp;$I1889,6))</f>
        <v/>
      </c>
      <c r="K1889">
        <f>IF(OR($E1889="",$E1889="نامعتبر"),"",LEFT($E1889,4)&amp;"/"&amp;MID($E1889,6,2))</f>
        <v/>
      </c>
      <c r="L1889">
        <f>IF(Entry!$K1889="",0,Entry!$K1889)</f>
        <v/>
      </c>
      <c r="M1889">
        <f>IF(Entry!$L1889="",0,Entry!$L1889)</f>
        <v/>
      </c>
    </row>
    <row r="1890">
      <c r="A1890">
        <f>IF(Entry!$C1890="","",Entry!$C1890)</f>
        <v/>
      </c>
      <c r="B1890">
        <f>IF($A1890="","",IF(ISNUMBER($A1890),IF(AND($A1890&gt;=10000101,$A1890&lt;=99991231),INT($A1890/10000),""),IFERROR(VALUE(TRIM(LEFT($A1890,FIND("/",$A1890)-1))),"")))</f>
        <v/>
      </c>
      <c r="C1890">
        <f>IF(OR($A1890="",$B1890=""),"",IF(ISNUMBER($A1890),INT(MOD($A1890,10000)/100),IFERROR(VALUE(TRIM(LEFT(MID($A1890,FIND("/",$A1890)+1,20),FIND("/",MID($A1890,FIND("/",$A1890)+1,20))-1))),"")))</f>
        <v/>
      </c>
      <c r="D1890">
        <f>IF(OR($A1890="",$B1890=""),"",IF(ISNUMBER($A1890),MOD($A1890,100),IFERROR(VALUE(TRIM(MID(MID($A1890,FIND("/",$A1890)+1,20),FIND("/",MID($A1890,FIND("/",$A1890)+1,20))+1,20))),"")))</f>
        <v/>
      </c>
      <c r="E1890">
        <f>IF($A1890="","",IF(OR($B1890="",$C1890="",$D1890="",$B1890&lt;1300,$B1890&gt;1500,$C1890&lt;1,$C1890&gt;12,$D1890&lt;1,$D1890&gt;31),"نامعتبر",RIGHT("0000"&amp;$B1890,4)&amp;"/"&amp;RIGHT("00"&amp;$C1890,2)&amp;"/"&amp;RIGHT("00"&amp;$D1890,2)))</f>
        <v/>
      </c>
      <c r="F1890">
        <f>IF(Entry!$D1890&lt;&gt;"",IF(AND(ISNUMBER(Entry!$D1890),Entry!$D1890&gt;=0,Entry!$D1890&lt;1),RIGHT("00"&amp;HOUR(Entry!$D1890),2)&amp;":"&amp;RIGHT("00"&amp;MINUTE(Entry!$D1890),2),IFERROR(RIGHT("00"&amp;VALUE(TRIM(LEFT(Entry!$D1890,FIND(":",Entry!$D1890)-1))),2)&amp;":"&amp;RIGHT("00"&amp;VALUE(TRIM(MID(Entry!$D1890,FIND(":",Entry!$D1890)+1,2))),2),"نامعتبر")),IF(OR($E1890="",$E1890="نامعتبر"),"","00:00"))</f>
        <v/>
      </c>
      <c r="G1890">
        <f>IF(OR($E1890="",$E1890="نامعتبر"),"",IF(Entry!$E1890="","",LEFT(UPPER(TRIM(Entry!$E1890)),6)))</f>
        <v/>
      </c>
      <c r="H1890">
        <f>IF($G1890="","",RIGHT($E1890,4)&amp;MID($E1890,6,2)&amp;RIGHT($E1890,2)&amp;IF($F1890="","0000",IF($F1890="نامعتبر","9999",LEFT($F1890,2)&amp;RIGHT($F1890,2)))&amp;"|"&amp;RIGHT("00000"&amp;1882,5))</f>
        <v/>
      </c>
      <c r="I1890">
        <f>IF($H1890="","",COUNTIFS(CalcBank,$G1890,CalcKey,"&lt;"&amp;$H1890)+1)</f>
        <v/>
      </c>
      <c r="J1890">
        <f>IF($I1890="","",$G1890&amp;"|"&amp;RIGHT("000000"&amp;$I1890,6))</f>
        <v/>
      </c>
      <c r="K1890">
        <f>IF(OR($E1890="",$E1890="نامعتبر"),"",LEFT($E1890,4)&amp;"/"&amp;MID($E1890,6,2))</f>
        <v/>
      </c>
      <c r="L1890">
        <f>IF(Entry!$K1890="",0,Entry!$K1890)</f>
        <v/>
      </c>
      <c r="M1890">
        <f>IF(Entry!$L1890="",0,Entry!$L1890)</f>
        <v/>
      </c>
    </row>
    <row r="1891">
      <c r="A1891">
        <f>IF(Entry!$C1891="","",Entry!$C1891)</f>
        <v/>
      </c>
      <c r="B1891">
        <f>IF($A1891="","",IF(ISNUMBER($A1891),IF(AND($A1891&gt;=10000101,$A1891&lt;=99991231),INT($A1891/10000),""),IFERROR(VALUE(TRIM(LEFT($A1891,FIND("/",$A1891)-1))),"")))</f>
        <v/>
      </c>
      <c r="C1891">
        <f>IF(OR($A1891="",$B1891=""),"",IF(ISNUMBER($A1891),INT(MOD($A1891,10000)/100),IFERROR(VALUE(TRIM(LEFT(MID($A1891,FIND("/",$A1891)+1,20),FIND("/",MID($A1891,FIND("/",$A1891)+1,20))-1))),"")))</f>
        <v/>
      </c>
      <c r="D1891">
        <f>IF(OR($A1891="",$B1891=""),"",IF(ISNUMBER($A1891),MOD($A1891,100),IFERROR(VALUE(TRIM(MID(MID($A1891,FIND("/",$A1891)+1,20),FIND("/",MID($A1891,FIND("/",$A1891)+1,20))+1,20))),"")))</f>
        <v/>
      </c>
      <c r="E1891">
        <f>IF($A1891="","",IF(OR($B1891="",$C1891="",$D1891="",$B1891&lt;1300,$B1891&gt;1500,$C1891&lt;1,$C1891&gt;12,$D1891&lt;1,$D1891&gt;31),"نامعتبر",RIGHT("0000"&amp;$B1891,4)&amp;"/"&amp;RIGHT("00"&amp;$C1891,2)&amp;"/"&amp;RIGHT("00"&amp;$D1891,2)))</f>
        <v/>
      </c>
      <c r="F1891">
        <f>IF(Entry!$D1891&lt;&gt;"",IF(AND(ISNUMBER(Entry!$D1891),Entry!$D1891&gt;=0,Entry!$D1891&lt;1),RIGHT("00"&amp;HOUR(Entry!$D1891),2)&amp;":"&amp;RIGHT("00"&amp;MINUTE(Entry!$D1891),2),IFERROR(RIGHT("00"&amp;VALUE(TRIM(LEFT(Entry!$D1891,FIND(":",Entry!$D1891)-1))),2)&amp;":"&amp;RIGHT("00"&amp;VALUE(TRIM(MID(Entry!$D1891,FIND(":",Entry!$D1891)+1,2))),2),"نامعتبر")),IF(OR($E1891="",$E1891="نامعتبر"),"","00:00"))</f>
        <v/>
      </c>
      <c r="G1891">
        <f>IF(OR($E1891="",$E1891="نامعتبر"),"",IF(Entry!$E1891="","",LEFT(UPPER(TRIM(Entry!$E1891)),6)))</f>
        <v/>
      </c>
      <c r="H1891">
        <f>IF($G1891="","",RIGHT($E1891,4)&amp;MID($E1891,6,2)&amp;RIGHT($E1891,2)&amp;IF($F1891="","0000",IF($F1891="نامعتبر","9999",LEFT($F1891,2)&amp;RIGHT($F1891,2)))&amp;"|"&amp;RIGHT("00000"&amp;1883,5))</f>
        <v/>
      </c>
      <c r="I1891">
        <f>IF($H1891="","",COUNTIFS(CalcBank,$G1891,CalcKey,"&lt;"&amp;$H1891)+1)</f>
        <v/>
      </c>
      <c r="J1891">
        <f>IF($I1891="","",$G1891&amp;"|"&amp;RIGHT("000000"&amp;$I1891,6))</f>
        <v/>
      </c>
      <c r="K1891">
        <f>IF(OR($E1891="",$E1891="نامعتبر"),"",LEFT($E1891,4)&amp;"/"&amp;MID($E1891,6,2))</f>
        <v/>
      </c>
      <c r="L1891">
        <f>IF(Entry!$K1891="",0,Entry!$K1891)</f>
        <v/>
      </c>
      <c r="M1891">
        <f>IF(Entry!$L1891="",0,Entry!$L1891)</f>
        <v/>
      </c>
    </row>
    <row r="1892">
      <c r="A1892">
        <f>IF(Entry!$C1892="","",Entry!$C1892)</f>
        <v/>
      </c>
      <c r="B1892">
        <f>IF($A1892="","",IF(ISNUMBER($A1892),IF(AND($A1892&gt;=10000101,$A1892&lt;=99991231),INT($A1892/10000),""),IFERROR(VALUE(TRIM(LEFT($A1892,FIND("/",$A1892)-1))),"")))</f>
        <v/>
      </c>
      <c r="C1892">
        <f>IF(OR($A1892="",$B1892=""),"",IF(ISNUMBER($A1892),INT(MOD($A1892,10000)/100),IFERROR(VALUE(TRIM(LEFT(MID($A1892,FIND("/",$A1892)+1,20),FIND("/",MID($A1892,FIND("/",$A1892)+1,20))-1))),"")))</f>
        <v/>
      </c>
      <c r="D1892">
        <f>IF(OR($A1892="",$B1892=""),"",IF(ISNUMBER($A1892),MOD($A1892,100),IFERROR(VALUE(TRIM(MID(MID($A1892,FIND("/",$A1892)+1,20),FIND("/",MID($A1892,FIND("/",$A1892)+1,20))+1,20))),"")))</f>
        <v/>
      </c>
      <c r="E1892">
        <f>IF($A1892="","",IF(OR($B1892="",$C1892="",$D1892="",$B1892&lt;1300,$B1892&gt;1500,$C1892&lt;1,$C1892&gt;12,$D1892&lt;1,$D1892&gt;31),"نامعتبر",RIGHT("0000"&amp;$B1892,4)&amp;"/"&amp;RIGHT("00"&amp;$C1892,2)&amp;"/"&amp;RIGHT("00"&amp;$D1892,2)))</f>
        <v/>
      </c>
      <c r="F1892">
        <f>IF(Entry!$D1892&lt;&gt;"",IF(AND(ISNUMBER(Entry!$D1892),Entry!$D1892&gt;=0,Entry!$D1892&lt;1),RIGHT("00"&amp;HOUR(Entry!$D1892),2)&amp;":"&amp;RIGHT("00"&amp;MINUTE(Entry!$D1892),2),IFERROR(RIGHT("00"&amp;VALUE(TRIM(LEFT(Entry!$D1892,FIND(":",Entry!$D1892)-1))),2)&amp;":"&amp;RIGHT("00"&amp;VALUE(TRIM(MID(Entry!$D1892,FIND(":",Entry!$D1892)+1,2))),2),"نامعتبر")),IF(OR($E1892="",$E1892="نامعتبر"),"","00:00"))</f>
        <v/>
      </c>
      <c r="G1892">
        <f>IF(OR($E1892="",$E1892="نامعتبر"),"",IF(Entry!$E1892="","",LEFT(UPPER(TRIM(Entry!$E1892)),6)))</f>
        <v/>
      </c>
      <c r="H1892">
        <f>IF($G1892="","",RIGHT($E1892,4)&amp;MID($E1892,6,2)&amp;RIGHT($E1892,2)&amp;IF($F1892="","0000",IF($F1892="نامعتبر","9999",LEFT($F1892,2)&amp;RIGHT($F1892,2)))&amp;"|"&amp;RIGHT("00000"&amp;1884,5))</f>
        <v/>
      </c>
      <c r="I1892">
        <f>IF($H1892="","",COUNTIFS(CalcBank,$G1892,CalcKey,"&lt;"&amp;$H1892)+1)</f>
        <v/>
      </c>
      <c r="J1892">
        <f>IF($I1892="","",$G1892&amp;"|"&amp;RIGHT("000000"&amp;$I1892,6))</f>
        <v/>
      </c>
      <c r="K1892">
        <f>IF(OR($E1892="",$E1892="نامعتبر"),"",LEFT($E1892,4)&amp;"/"&amp;MID($E1892,6,2))</f>
        <v/>
      </c>
      <c r="L1892">
        <f>IF(Entry!$K1892="",0,Entry!$K1892)</f>
        <v/>
      </c>
      <c r="M1892">
        <f>IF(Entry!$L1892="",0,Entry!$L1892)</f>
        <v/>
      </c>
    </row>
    <row r="1893">
      <c r="A1893">
        <f>IF(Entry!$C1893="","",Entry!$C1893)</f>
        <v/>
      </c>
      <c r="B1893">
        <f>IF($A1893="","",IF(ISNUMBER($A1893),IF(AND($A1893&gt;=10000101,$A1893&lt;=99991231),INT($A1893/10000),""),IFERROR(VALUE(TRIM(LEFT($A1893,FIND("/",$A1893)-1))),"")))</f>
        <v/>
      </c>
      <c r="C1893">
        <f>IF(OR($A1893="",$B1893=""),"",IF(ISNUMBER($A1893),INT(MOD($A1893,10000)/100),IFERROR(VALUE(TRIM(LEFT(MID($A1893,FIND("/",$A1893)+1,20),FIND("/",MID($A1893,FIND("/",$A1893)+1,20))-1))),"")))</f>
        <v/>
      </c>
      <c r="D1893">
        <f>IF(OR($A1893="",$B1893=""),"",IF(ISNUMBER($A1893),MOD($A1893,100),IFERROR(VALUE(TRIM(MID(MID($A1893,FIND("/",$A1893)+1,20),FIND("/",MID($A1893,FIND("/",$A1893)+1,20))+1,20))),"")))</f>
        <v/>
      </c>
      <c r="E1893">
        <f>IF($A1893="","",IF(OR($B1893="",$C1893="",$D1893="",$B1893&lt;1300,$B1893&gt;1500,$C1893&lt;1,$C1893&gt;12,$D1893&lt;1,$D1893&gt;31),"نامعتبر",RIGHT("0000"&amp;$B1893,4)&amp;"/"&amp;RIGHT("00"&amp;$C1893,2)&amp;"/"&amp;RIGHT("00"&amp;$D1893,2)))</f>
        <v/>
      </c>
      <c r="F1893">
        <f>IF(Entry!$D1893&lt;&gt;"",IF(AND(ISNUMBER(Entry!$D1893),Entry!$D1893&gt;=0,Entry!$D1893&lt;1),RIGHT("00"&amp;HOUR(Entry!$D1893),2)&amp;":"&amp;RIGHT("00"&amp;MINUTE(Entry!$D1893),2),IFERROR(RIGHT("00"&amp;VALUE(TRIM(LEFT(Entry!$D1893,FIND(":",Entry!$D1893)-1))),2)&amp;":"&amp;RIGHT("00"&amp;VALUE(TRIM(MID(Entry!$D1893,FIND(":",Entry!$D1893)+1,2))),2),"نامعتبر")),IF(OR($E1893="",$E1893="نامعتبر"),"","00:00"))</f>
        <v/>
      </c>
      <c r="G1893">
        <f>IF(OR($E1893="",$E1893="نامعتبر"),"",IF(Entry!$E1893="","",LEFT(UPPER(TRIM(Entry!$E1893)),6)))</f>
        <v/>
      </c>
      <c r="H1893">
        <f>IF($G1893="","",RIGHT($E1893,4)&amp;MID($E1893,6,2)&amp;RIGHT($E1893,2)&amp;IF($F1893="","0000",IF($F1893="نامعتبر","9999",LEFT($F1893,2)&amp;RIGHT($F1893,2)))&amp;"|"&amp;RIGHT("00000"&amp;1885,5))</f>
        <v/>
      </c>
      <c r="I1893">
        <f>IF($H1893="","",COUNTIFS(CalcBank,$G1893,CalcKey,"&lt;"&amp;$H1893)+1)</f>
        <v/>
      </c>
      <c r="J1893">
        <f>IF($I1893="","",$G1893&amp;"|"&amp;RIGHT("000000"&amp;$I1893,6))</f>
        <v/>
      </c>
      <c r="K1893">
        <f>IF(OR($E1893="",$E1893="نامعتبر"),"",LEFT($E1893,4)&amp;"/"&amp;MID($E1893,6,2))</f>
        <v/>
      </c>
      <c r="L1893">
        <f>IF(Entry!$K1893="",0,Entry!$K1893)</f>
        <v/>
      </c>
      <c r="M1893">
        <f>IF(Entry!$L1893="",0,Entry!$L1893)</f>
        <v/>
      </c>
    </row>
    <row r="1894">
      <c r="A1894">
        <f>IF(Entry!$C1894="","",Entry!$C1894)</f>
        <v/>
      </c>
      <c r="B1894">
        <f>IF($A1894="","",IF(ISNUMBER($A1894),IF(AND($A1894&gt;=10000101,$A1894&lt;=99991231),INT($A1894/10000),""),IFERROR(VALUE(TRIM(LEFT($A1894,FIND("/",$A1894)-1))),"")))</f>
        <v/>
      </c>
      <c r="C1894">
        <f>IF(OR($A1894="",$B1894=""),"",IF(ISNUMBER($A1894),INT(MOD($A1894,10000)/100),IFERROR(VALUE(TRIM(LEFT(MID($A1894,FIND("/",$A1894)+1,20),FIND("/",MID($A1894,FIND("/",$A1894)+1,20))-1))),"")))</f>
        <v/>
      </c>
      <c r="D1894">
        <f>IF(OR($A1894="",$B1894=""),"",IF(ISNUMBER($A1894),MOD($A1894,100),IFERROR(VALUE(TRIM(MID(MID($A1894,FIND("/",$A1894)+1,20),FIND("/",MID($A1894,FIND("/",$A1894)+1,20))+1,20))),"")))</f>
        <v/>
      </c>
      <c r="E1894">
        <f>IF($A1894="","",IF(OR($B1894="",$C1894="",$D1894="",$B1894&lt;1300,$B1894&gt;1500,$C1894&lt;1,$C1894&gt;12,$D1894&lt;1,$D1894&gt;31),"نامعتبر",RIGHT("0000"&amp;$B1894,4)&amp;"/"&amp;RIGHT("00"&amp;$C1894,2)&amp;"/"&amp;RIGHT("00"&amp;$D1894,2)))</f>
        <v/>
      </c>
      <c r="F1894">
        <f>IF(Entry!$D1894&lt;&gt;"",IF(AND(ISNUMBER(Entry!$D1894),Entry!$D1894&gt;=0,Entry!$D1894&lt;1),RIGHT("00"&amp;HOUR(Entry!$D1894),2)&amp;":"&amp;RIGHT("00"&amp;MINUTE(Entry!$D1894),2),IFERROR(RIGHT("00"&amp;VALUE(TRIM(LEFT(Entry!$D1894,FIND(":",Entry!$D1894)-1))),2)&amp;":"&amp;RIGHT("00"&amp;VALUE(TRIM(MID(Entry!$D1894,FIND(":",Entry!$D1894)+1,2))),2),"نامعتبر")),IF(OR($E1894="",$E1894="نامعتبر"),"","00:00"))</f>
        <v/>
      </c>
      <c r="G1894">
        <f>IF(OR($E1894="",$E1894="نامعتبر"),"",IF(Entry!$E1894="","",LEFT(UPPER(TRIM(Entry!$E1894)),6)))</f>
        <v/>
      </c>
      <c r="H1894">
        <f>IF($G1894="","",RIGHT($E1894,4)&amp;MID($E1894,6,2)&amp;RIGHT($E1894,2)&amp;IF($F1894="","0000",IF($F1894="نامعتبر","9999",LEFT($F1894,2)&amp;RIGHT($F1894,2)))&amp;"|"&amp;RIGHT("00000"&amp;1886,5))</f>
        <v/>
      </c>
      <c r="I1894">
        <f>IF($H1894="","",COUNTIFS(CalcBank,$G1894,CalcKey,"&lt;"&amp;$H1894)+1)</f>
        <v/>
      </c>
      <c r="J1894">
        <f>IF($I1894="","",$G1894&amp;"|"&amp;RIGHT("000000"&amp;$I1894,6))</f>
        <v/>
      </c>
      <c r="K1894">
        <f>IF(OR($E1894="",$E1894="نامعتبر"),"",LEFT($E1894,4)&amp;"/"&amp;MID($E1894,6,2))</f>
        <v/>
      </c>
      <c r="L1894">
        <f>IF(Entry!$K1894="",0,Entry!$K1894)</f>
        <v/>
      </c>
      <c r="M1894">
        <f>IF(Entry!$L1894="",0,Entry!$L1894)</f>
        <v/>
      </c>
    </row>
    <row r="1895">
      <c r="A1895">
        <f>IF(Entry!$C1895="","",Entry!$C1895)</f>
        <v/>
      </c>
      <c r="B1895">
        <f>IF($A1895="","",IF(ISNUMBER($A1895),IF(AND($A1895&gt;=10000101,$A1895&lt;=99991231),INT($A1895/10000),""),IFERROR(VALUE(TRIM(LEFT($A1895,FIND("/",$A1895)-1))),"")))</f>
        <v/>
      </c>
      <c r="C1895">
        <f>IF(OR($A1895="",$B1895=""),"",IF(ISNUMBER($A1895),INT(MOD($A1895,10000)/100),IFERROR(VALUE(TRIM(LEFT(MID($A1895,FIND("/",$A1895)+1,20),FIND("/",MID($A1895,FIND("/",$A1895)+1,20))-1))),"")))</f>
        <v/>
      </c>
      <c r="D1895">
        <f>IF(OR($A1895="",$B1895=""),"",IF(ISNUMBER($A1895),MOD($A1895,100),IFERROR(VALUE(TRIM(MID(MID($A1895,FIND("/",$A1895)+1,20),FIND("/",MID($A1895,FIND("/",$A1895)+1,20))+1,20))),"")))</f>
        <v/>
      </c>
      <c r="E1895">
        <f>IF($A1895="","",IF(OR($B1895="",$C1895="",$D1895="",$B1895&lt;1300,$B1895&gt;1500,$C1895&lt;1,$C1895&gt;12,$D1895&lt;1,$D1895&gt;31),"نامعتبر",RIGHT("0000"&amp;$B1895,4)&amp;"/"&amp;RIGHT("00"&amp;$C1895,2)&amp;"/"&amp;RIGHT("00"&amp;$D1895,2)))</f>
        <v/>
      </c>
      <c r="F1895">
        <f>IF(Entry!$D1895&lt;&gt;"",IF(AND(ISNUMBER(Entry!$D1895),Entry!$D1895&gt;=0,Entry!$D1895&lt;1),RIGHT("00"&amp;HOUR(Entry!$D1895),2)&amp;":"&amp;RIGHT("00"&amp;MINUTE(Entry!$D1895),2),IFERROR(RIGHT("00"&amp;VALUE(TRIM(LEFT(Entry!$D1895,FIND(":",Entry!$D1895)-1))),2)&amp;":"&amp;RIGHT("00"&amp;VALUE(TRIM(MID(Entry!$D1895,FIND(":",Entry!$D1895)+1,2))),2),"نامعتبر")),IF(OR($E1895="",$E1895="نامعتبر"),"","00:00"))</f>
        <v/>
      </c>
      <c r="G1895">
        <f>IF(OR($E1895="",$E1895="نامعتبر"),"",IF(Entry!$E1895="","",LEFT(UPPER(TRIM(Entry!$E1895)),6)))</f>
        <v/>
      </c>
      <c r="H1895">
        <f>IF($G1895="","",RIGHT($E1895,4)&amp;MID($E1895,6,2)&amp;RIGHT($E1895,2)&amp;IF($F1895="","0000",IF($F1895="نامعتبر","9999",LEFT($F1895,2)&amp;RIGHT($F1895,2)))&amp;"|"&amp;RIGHT("00000"&amp;1887,5))</f>
        <v/>
      </c>
      <c r="I1895">
        <f>IF($H1895="","",COUNTIFS(CalcBank,$G1895,CalcKey,"&lt;"&amp;$H1895)+1)</f>
        <v/>
      </c>
      <c r="J1895">
        <f>IF($I1895="","",$G1895&amp;"|"&amp;RIGHT("000000"&amp;$I1895,6))</f>
        <v/>
      </c>
      <c r="K1895">
        <f>IF(OR($E1895="",$E1895="نامعتبر"),"",LEFT($E1895,4)&amp;"/"&amp;MID($E1895,6,2))</f>
        <v/>
      </c>
      <c r="L1895">
        <f>IF(Entry!$K1895="",0,Entry!$K1895)</f>
        <v/>
      </c>
      <c r="M1895">
        <f>IF(Entry!$L1895="",0,Entry!$L1895)</f>
        <v/>
      </c>
    </row>
    <row r="1896">
      <c r="A1896">
        <f>IF(Entry!$C1896="","",Entry!$C1896)</f>
        <v/>
      </c>
      <c r="B1896">
        <f>IF($A1896="","",IF(ISNUMBER($A1896),IF(AND($A1896&gt;=10000101,$A1896&lt;=99991231),INT($A1896/10000),""),IFERROR(VALUE(TRIM(LEFT($A1896,FIND("/",$A1896)-1))),"")))</f>
        <v/>
      </c>
      <c r="C1896">
        <f>IF(OR($A1896="",$B1896=""),"",IF(ISNUMBER($A1896),INT(MOD($A1896,10000)/100),IFERROR(VALUE(TRIM(LEFT(MID($A1896,FIND("/",$A1896)+1,20),FIND("/",MID($A1896,FIND("/",$A1896)+1,20))-1))),"")))</f>
        <v/>
      </c>
      <c r="D1896">
        <f>IF(OR($A1896="",$B1896=""),"",IF(ISNUMBER($A1896),MOD($A1896,100),IFERROR(VALUE(TRIM(MID(MID($A1896,FIND("/",$A1896)+1,20),FIND("/",MID($A1896,FIND("/",$A1896)+1,20))+1,20))),"")))</f>
        <v/>
      </c>
      <c r="E1896">
        <f>IF($A1896="","",IF(OR($B1896="",$C1896="",$D1896="",$B1896&lt;1300,$B1896&gt;1500,$C1896&lt;1,$C1896&gt;12,$D1896&lt;1,$D1896&gt;31),"نامعتبر",RIGHT("0000"&amp;$B1896,4)&amp;"/"&amp;RIGHT("00"&amp;$C1896,2)&amp;"/"&amp;RIGHT("00"&amp;$D1896,2)))</f>
        <v/>
      </c>
      <c r="F1896">
        <f>IF(Entry!$D1896&lt;&gt;"",IF(AND(ISNUMBER(Entry!$D1896),Entry!$D1896&gt;=0,Entry!$D1896&lt;1),RIGHT("00"&amp;HOUR(Entry!$D1896),2)&amp;":"&amp;RIGHT("00"&amp;MINUTE(Entry!$D1896),2),IFERROR(RIGHT("00"&amp;VALUE(TRIM(LEFT(Entry!$D1896,FIND(":",Entry!$D1896)-1))),2)&amp;":"&amp;RIGHT("00"&amp;VALUE(TRIM(MID(Entry!$D1896,FIND(":",Entry!$D1896)+1,2))),2),"نامعتبر")),IF(OR($E1896="",$E1896="نامعتبر"),"","00:00"))</f>
        <v/>
      </c>
      <c r="G1896">
        <f>IF(OR($E1896="",$E1896="نامعتبر"),"",IF(Entry!$E1896="","",LEFT(UPPER(TRIM(Entry!$E1896)),6)))</f>
        <v/>
      </c>
      <c r="H1896">
        <f>IF($G1896="","",RIGHT($E1896,4)&amp;MID($E1896,6,2)&amp;RIGHT($E1896,2)&amp;IF($F1896="","0000",IF($F1896="نامعتبر","9999",LEFT($F1896,2)&amp;RIGHT($F1896,2)))&amp;"|"&amp;RIGHT("00000"&amp;1888,5))</f>
        <v/>
      </c>
      <c r="I1896">
        <f>IF($H1896="","",COUNTIFS(CalcBank,$G1896,CalcKey,"&lt;"&amp;$H1896)+1)</f>
        <v/>
      </c>
      <c r="J1896">
        <f>IF($I1896="","",$G1896&amp;"|"&amp;RIGHT("000000"&amp;$I1896,6))</f>
        <v/>
      </c>
      <c r="K1896">
        <f>IF(OR($E1896="",$E1896="نامعتبر"),"",LEFT($E1896,4)&amp;"/"&amp;MID($E1896,6,2))</f>
        <v/>
      </c>
      <c r="L1896">
        <f>IF(Entry!$K1896="",0,Entry!$K1896)</f>
        <v/>
      </c>
      <c r="M1896">
        <f>IF(Entry!$L1896="",0,Entry!$L1896)</f>
        <v/>
      </c>
    </row>
    <row r="1897">
      <c r="A1897">
        <f>IF(Entry!$C1897="","",Entry!$C1897)</f>
        <v/>
      </c>
      <c r="B1897">
        <f>IF($A1897="","",IF(ISNUMBER($A1897),IF(AND($A1897&gt;=10000101,$A1897&lt;=99991231),INT($A1897/10000),""),IFERROR(VALUE(TRIM(LEFT($A1897,FIND("/",$A1897)-1))),"")))</f>
        <v/>
      </c>
      <c r="C1897">
        <f>IF(OR($A1897="",$B1897=""),"",IF(ISNUMBER($A1897),INT(MOD($A1897,10000)/100),IFERROR(VALUE(TRIM(LEFT(MID($A1897,FIND("/",$A1897)+1,20),FIND("/",MID($A1897,FIND("/",$A1897)+1,20))-1))),"")))</f>
        <v/>
      </c>
      <c r="D1897">
        <f>IF(OR($A1897="",$B1897=""),"",IF(ISNUMBER($A1897),MOD($A1897,100),IFERROR(VALUE(TRIM(MID(MID($A1897,FIND("/",$A1897)+1,20),FIND("/",MID($A1897,FIND("/",$A1897)+1,20))+1,20))),"")))</f>
        <v/>
      </c>
      <c r="E1897">
        <f>IF($A1897="","",IF(OR($B1897="",$C1897="",$D1897="",$B1897&lt;1300,$B1897&gt;1500,$C1897&lt;1,$C1897&gt;12,$D1897&lt;1,$D1897&gt;31),"نامعتبر",RIGHT("0000"&amp;$B1897,4)&amp;"/"&amp;RIGHT("00"&amp;$C1897,2)&amp;"/"&amp;RIGHT("00"&amp;$D1897,2)))</f>
        <v/>
      </c>
      <c r="F1897">
        <f>IF(Entry!$D1897&lt;&gt;"",IF(AND(ISNUMBER(Entry!$D1897),Entry!$D1897&gt;=0,Entry!$D1897&lt;1),RIGHT("00"&amp;HOUR(Entry!$D1897),2)&amp;":"&amp;RIGHT("00"&amp;MINUTE(Entry!$D1897),2),IFERROR(RIGHT("00"&amp;VALUE(TRIM(LEFT(Entry!$D1897,FIND(":",Entry!$D1897)-1))),2)&amp;":"&amp;RIGHT("00"&amp;VALUE(TRIM(MID(Entry!$D1897,FIND(":",Entry!$D1897)+1,2))),2),"نامعتبر")),IF(OR($E1897="",$E1897="نامعتبر"),"","00:00"))</f>
        <v/>
      </c>
      <c r="G1897">
        <f>IF(OR($E1897="",$E1897="نامعتبر"),"",IF(Entry!$E1897="","",LEFT(UPPER(TRIM(Entry!$E1897)),6)))</f>
        <v/>
      </c>
      <c r="H1897">
        <f>IF($G1897="","",RIGHT($E1897,4)&amp;MID($E1897,6,2)&amp;RIGHT($E1897,2)&amp;IF($F1897="","0000",IF($F1897="نامعتبر","9999",LEFT($F1897,2)&amp;RIGHT($F1897,2)))&amp;"|"&amp;RIGHT("00000"&amp;1889,5))</f>
        <v/>
      </c>
      <c r="I1897">
        <f>IF($H1897="","",COUNTIFS(CalcBank,$G1897,CalcKey,"&lt;"&amp;$H1897)+1)</f>
        <v/>
      </c>
      <c r="J1897">
        <f>IF($I1897="","",$G1897&amp;"|"&amp;RIGHT("000000"&amp;$I1897,6))</f>
        <v/>
      </c>
      <c r="K1897">
        <f>IF(OR($E1897="",$E1897="نامعتبر"),"",LEFT($E1897,4)&amp;"/"&amp;MID($E1897,6,2))</f>
        <v/>
      </c>
      <c r="L1897">
        <f>IF(Entry!$K1897="",0,Entry!$K1897)</f>
        <v/>
      </c>
      <c r="M1897">
        <f>IF(Entry!$L1897="",0,Entry!$L1897)</f>
        <v/>
      </c>
    </row>
    <row r="1898">
      <c r="A1898">
        <f>IF(Entry!$C1898="","",Entry!$C1898)</f>
        <v/>
      </c>
      <c r="B1898">
        <f>IF($A1898="","",IF(ISNUMBER($A1898),IF(AND($A1898&gt;=10000101,$A1898&lt;=99991231),INT($A1898/10000),""),IFERROR(VALUE(TRIM(LEFT($A1898,FIND("/",$A1898)-1))),"")))</f>
        <v/>
      </c>
      <c r="C1898">
        <f>IF(OR($A1898="",$B1898=""),"",IF(ISNUMBER($A1898),INT(MOD($A1898,10000)/100),IFERROR(VALUE(TRIM(LEFT(MID($A1898,FIND("/",$A1898)+1,20),FIND("/",MID($A1898,FIND("/",$A1898)+1,20))-1))),"")))</f>
        <v/>
      </c>
      <c r="D1898">
        <f>IF(OR($A1898="",$B1898=""),"",IF(ISNUMBER($A1898),MOD($A1898,100),IFERROR(VALUE(TRIM(MID(MID($A1898,FIND("/",$A1898)+1,20),FIND("/",MID($A1898,FIND("/",$A1898)+1,20))+1,20))),"")))</f>
        <v/>
      </c>
      <c r="E1898">
        <f>IF($A1898="","",IF(OR($B1898="",$C1898="",$D1898="",$B1898&lt;1300,$B1898&gt;1500,$C1898&lt;1,$C1898&gt;12,$D1898&lt;1,$D1898&gt;31),"نامعتبر",RIGHT("0000"&amp;$B1898,4)&amp;"/"&amp;RIGHT("00"&amp;$C1898,2)&amp;"/"&amp;RIGHT("00"&amp;$D1898,2)))</f>
        <v/>
      </c>
      <c r="F1898">
        <f>IF(Entry!$D1898&lt;&gt;"",IF(AND(ISNUMBER(Entry!$D1898),Entry!$D1898&gt;=0,Entry!$D1898&lt;1),RIGHT("00"&amp;HOUR(Entry!$D1898),2)&amp;":"&amp;RIGHT("00"&amp;MINUTE(Entry!$D1898),2),IFERROR(RIGHT("00"&amp;VALUE(TRIM(LEFT(Entry!$D1898,FIND(":",Entry!$D1898)-1))),2)&amp;":"&amp;RIGHT("00"&amp;VALUE(TRIM(MID(Entry!$D1898,FIND(":",Entry!$D1898)+1,2))),2),"نامعتبر")),IF(OR($E1898="",$E1898="نامعتبر"),"","00:00"))</f>
        <v/>
      </c>
      <c r="G1898">
        <f>IF(OR($E1898="",$E1898="نامعتبر"),"",IF(Entry!$E1898="","",LEFT(UPPER(TRIM(Entry!$E1898)),6)))</f>
        <v/>
      </c>
      <c r="H1898">
        <f>IF($G1898="","",RIGHT($E1898,4)&amp;MID($E1898,6,2)&amp;RIGHT($E1898,2)&amp;IF($F1898="","0000",IF($F1898="نامعتبر","9999",LEFT($F1898,2)&amp;RIGHT($F1898,2)))&amp;"|"&amp;RIGHT("00000"&amp;1890,5))</f>
        <v/>
      </c>
      <c r="I1898">
        <f>IF($H1898="","",COUNTIFS(CalcBank,$G1898,CalcKey,"&lt;"&amp;$H1898)+1)</f>
        <v/>
      </c>
      <c r="J1898">
        <f>IF($I1898="","",$G1898&amp;"|"&amp;RIGHT("000000"&amp;$I1898,6))</f>
        <v/>
      </c>
      <c r="K1898">
        <f>IF(OR($E1898="",$E1898="نامعتبر"),"",LEFT($E1898,4)&amp;"/"&amp;MID($E1898,6,2))</f>
        <v/>
      </c>
      <c r="L1898">
        <f>IF(Entry!$K1898="",0,Entry!$K1898)</f>
        <v/>
      </c>
      <c r="M1898">
        <f>IF(Entry!$L1898="",0,Entry!$L1898)</f>
        <v/>
      </c>
    </row>
    <row r="1899">
      <c r="A1899">
        <f>IF(Entry!$C1899="","",Entry!$C1899)</f>
        <v/>
      </c>
      <c r="B1899">
        <f>IF($A1899="","",IF(ISNUMBER($A1899),IF(AND($A1899&gt;=10000101,$A1899&lt;=99991231),INT($A1899/10000),""),IFERROR(VALUE(TRIM(LEFT($A1899,FIND("/",$A1899)-1))),"")))</f>
        <v/>
      </c>
      <c r="C1899">
        <f>IF(OR($A1899="",$B1899=""),"",IF(ISNUMBER($A1899),INT(MOD($A1899,10000)/100),IFERROR(VALUE(TRIM(LEFT(MID($A1899,FIND("/",$A1899)+1,20),FIND("/",MID($A1899,FIND("/",$A1899)+1,20))-1))),"")))</f>
        <v/>
      </c>
      <c r="D1899">
        <f>IF(OR($A1899="",$B1899=""),"",IF(ISNUMBER($A1899),MOD($A1899,100),IFERROR(VALUE(TRIM(MID(MID($A1899,FIND("/",$A1899)+1,20),FIND("/",MID($A1899,FIND("/",$A1899)+1,20))+1,20))),"")))</f>
        <v/>
      </c>
      <c r="E1899">
        <f>IF($A1899="","",IF(OR($B1899="",$C1899="",$D1899="",$B1899&lt;1300,$B1899&gt;1500,$C1899&lt;1,$C1899&gt;12,$D1899&lt;1,$D1899&gt;31),"نامعتبر",RIGHT("0000"&amp;$B1899,4)&amp;"/"&amp;RIGHT("00"&amp;$C1899,2)&amp;"/"&amp;RIGHT("00"&amp;$D1899,2)))</f>
        <v/>
      </c>
      <c r="F1899">
        <f>IF(Entry!$D1899&lt;&gt;"",IF(AND(ISNUMBER(Entry!$D1899),Entry!$D1899&gt;=0,Entry!$D1899&lt;1),RIGHT("00"&amp;HOUR(Entry!$D1899),2)&amp;":"&amp;RIGHT("00"&amp;MINUTE(Entry!$D1899),2),IFERROR(RIGHT("00"&amp;VALUE(TRIM(LEFT(Entry!$D1899,FIND(":",Entry!$D1899)-1))),2)&amp;":"&amp;RIGHT("00"&amp;VALUE(TRIM(MID(Entry!$D1899,FIND(":",Entry!$D1899)+1,2))),2),"نامعتبر")),IF(OR($E1899="",$E1899="نامعتبر"),"","00:00"))</f>
        <v/>
      </c>
      <c r="G1899">
        <f>IF(OR($E1899="",$E1899="نامعتبر"),"",IF(Entry!$E1899="","",LEFT(UPPER(TRIM(Entry!$E1899)),6)))</f>
        <v/>
      </c>
      <c r="H1899">
        <f>IF($G1899="","",RIGHT($E1899,4)&amp;MID($E1899,6,2)&amp;RIGHT($E1899,2)&amp;IF($F1899="","0000",IF($F1899="نامعتبر","9999",LEFT($F1899,2)&amp;RIGHT($F1899,2)))&amp;"|"&amp;RIGHT("00000"&amp;1891,5))</f>
        <v/>
      </c>
      <c r="I1899">
        <f>IF($H1899="","",COUNTIFS(CalcBank,$G1899,CalcKey,"&lt;"&amp;$H1899)+1)</f>
        <v/>
      </c>
      <c r="J1899">
        <f>IF($I1899="","",$G1899&amp;"|"&amp;RIGHT("000000"&amp;$I1899,6))</f>
        <v/>
      </c>
      <c r="K1899">
        <f>IF(OR($E1899="",$E1899="نامعتبر"),"",LEFT($E1899,4)&amp;"/"&amp;MID($E1899,6,2))</f>
        <v/>
      </c>
      <c r="L1899">
        <f>IF(Entry!$K1899="",0,Entry!$K1899)</f>
        <v/>
      </c>
      <c r="M1899">
        <f>IF(Entry!$L1899="",0,Entry!$L1899)</f>
        <v/>
      </c>
    </row>
    <row r="1900">
      <c r="A1900">
        <f>IF(Entry!$C1900="","",Entry!$C1900)</f>
        <v/>
      </c>
      <c r="B1900">
        <f>IF($A1900="","",IF(ISNUMBER($A1900),IF(AND($A1900&gt;=10000101,$A1900&lt;=99991231),INT($A1900/10000),""),IFERROR(VALUE(TRIM(LEFT($A1900,FIND("/",$A1900)-1))),"")))</f>
        <v/>
      </c>
      <c r="C1900">
        <f>IF(OR($A1900="",$B1900=""),"",IF(ISNUMBER($A1900),INT(MOD($A1900,10000)/100),IFERROR(VALUE(TRIM(LEFT(MID($A1900,FIND("/",$A1900)+1,20),FIND("/",MID($A1900,FIND("/",$A1900)+1,20))-1))),"")))</f>
        <v/>
      </c>
      <c r="D1900">
        <f>IF(OR($A1900="",$B1900=""),"",IF(ISNUMBER($A1900),MOD($A1900,100),IFERROR(VALUE(TRIM(MID(MID($A1900,FIND("/",$A1900)+1,20),FIND("/",MID($A1900,FIND("/",$A1900)+1,20))+1,20))),"")))</f>
        <v/>
      </c>
      <c r="E1900">
        <f>IF($A1900="","",IF(OR($B1900="",$C1900="",$D1900="",$B1900&lt;1300,$B1900&gt;1500,$C1900&lt;1,$C1900&gt;12,$D1900&lt;1,$D1900&gt;31),"نامعتبر",RIGHT("0000"&amp;$B1900,4)&amp;"/"&amp;RIGHT("00"&amp;$C1900,2)&amp;"/"&amp;RIGHT("00"&amp;$D1900,2)))</f>
        <v/>
      </c>
      <c r="F1900">
        <f>IF(Entry!$D1900&lt;&gt;"",IF(AND(ISNUMBER(Entry!$D1900),Entry!$D1900&gt;=0,Entry!$D1900&lt;1),RIGHT("00"&amp;HOUR(Entry!$D1900),2)&amp;":"&amp;RIGHT("00"&amp;MINUTE(Entry!$D1900),2),IFERROR(RIGHT("00"&amp;VALUE(TRIM(LEFT(Entry!$D1900,FIND(":",Entry!$D1900)-1))),2)&amp;":"&amp;RIGHT("00"&amp;VALUE(TRIM(MID(Entry!$D1900,FIND(":",Entry!$D1900)+1,2))),2),"نامعتبر")),IF(OR($E1900="",$E1900="نامعتبر"),"","00:00"))</f>
        <v/>
      </c>
      <c r="G1900">
        <f>IF(OR($E1900="",$E1900="نامعتبر"),"",IF(Entry!$E1900="","",LEFT(UPPER(TRIM(Entry!$E1900)),6)))</f>
        <v/>
      </c>
      <c r="H1900">
        <f>IF($G1900="","",RIGHT($E1900,4)&amp;MID($E1900,6,2)&amp;RIGHT($E1900,2)&amp;IF($F1900="","0000",IF($F1900="نامعتبر","9999",LEFT($F1900,2)&amp;RIGHT($F1900,2)))&amp;"|"&amp;RIGHT("00000"&amp;1892,5))</f>
        <v/>
      </c>
      <c r="I1900">
        <f>IF($H1900="","",COUNTIFS(CalcBank,$G1900,CalcKey,"&lt;"&amp;$H1900)+1)</f>
        <v/>
      </c>
      <c r="J1900">
        <f>IF($I1900="","",$G1900&amp;"|"&amp;RIGHT("000000"&amp;$I1900,6))</f>
        <v/>
      </c>
      <c r="K1900">
        <f>IF(OR($E1900="",$E1900="نامعتبر"),"",LEFT($E1900,4)&amp;"/"&amp;MID($E1900,6,2))</f>
        <v/>
      </c>
      <c r="L1900">
        <f>IF(Entry!$K1900="",0,Entry!$K1900)</f>
        <v/>
      </c>
      <c r="M1900">
        <f>IF(Entry!$L1900="",0,Entry!$L1900)</f>
        <v/>
      </c>
    </row>
    <row r="1901">
      <c r="A1901">
        <f>IF(Entry!$C1901="","",Entry!$C1901)</f>
        <v/>
      </c>
      <c r="B1901">
        <f>IF($A1901="","",IF(ISNUMBER($A1901),IF(AND($A1901&gt;=10000101,$A1901&lt;=99991231),INT($A1901/10000),""),IFERROR(VALUE(TRIM(LEFT($A1901,FIND("/",$A1901)-1))),"")))</f>
        <v/>
      </c>
      <c r="C1901">
        <f>IF(OR($A1901="",$B1901=""),"",IF(ISNUMBER($A1901),INT(MOD($A1901,10000)/100),IFERROR(VALUE(TRIM(LEFT(MID($A1901,FIND("/",$A1901)+1,20),FIND("/",MID($A1901,FIND("/",$A1901)+1,20))-1))),"")))</f>
        <v/>
      </c>
      <c r="D1901">
        <f>IF(OR($A1901="",$B1901=""),"",IF(ISNUMBER($A1901),MOD($A1901,100),IFERROR(VALUE(TRIM(MID(MID($A1901,FIND("/",$A1901)+1,20),FIND("/",MID($A1901,FIND("/",$A1901)+1,20))+1,20))),"")))</f>
        <v/>
      </c>
      <c r="E1901">
        <f>IF($A1901="","",IF(OR($B1901="",$C1901="",$D1901="",$B1901&lt;1300,$B1901&gt;1500,$C1901&lt;1,$C1901&gt;12,$D1901&lt;1,$D1901&gt;31),"نامعتبر",RIGHT("0000"&amp;$B1901,4)&amp;"/"&amp;RIGHT("00"&amp;$C1901,2)&amp;"/"&amp;RIGHT("00"&amp;$D1901,2)))</f>
        <v/>
      </c>
      <c r="F1901">
        <f>IF(Entry!$D1901&lt;&gt;"",IF(AND(ISNUMBER(Entry!$D1901),Entry!$D1901&gt;=0,Entry!$D1901&lt;1),RIGHT("00"&amp;HOUR(Entry!$D1901),2)&amp;":"&amp;RIGHT("00"&amp;MINUTE(Entry!$D1901),2),IFERROR(RIGHT("00"&amp;VALUE(TRIM(LEFT(Entry!$D1901,FIND(":",Entry!$D1901)-1))),2)&amp;":"&amp;RIGHT("00"&amp;VALUE(TRIM(MID(Entry!$D1901,FIND(":",Entry!$D1901)+1,2))),2),"نامعتبر")),IF(OR($E1901="",$E1901="نامعتبر"),"","00:00"))</f>
        <v/>
      </c>
      <c r="G1901">
        <f>IF(OR($E1901="",$E1901="نامعتبر"),"",IF(Entry!$E1901="","",LEFT(UPPER(TRIM(Entry!$E1901)),6)))</f>
        <v/>
      </c>
      <c r="H1901">
        <f>IF($G1901="","",RIGHT($E1901,4)&amp;MID($E1901,6,2)&amp;RIGHT($E1901,2)&amp;IF($F1901="","0000",IF($F1901="نامعتبر","9999",LEFT($F1901,2)&amp;RIGHT($F1901,2)))&amp;"|"&amp;RIGHT("00000"&amp;1893,5))</f>
        <v/>
      </c>
      <c r="I1901">
        <f>IF($H1901="","",COUNTIFS(CalcBank,$G1901,CalcKey,"&lt;"&amp;$H1901)+1)</f>
        <v/>
      </c>
      <c r="J1901">
        <f>IF($I1901="","",$G1901&amp;"|"&amp;RIGHT("000000"&amp;$I1901,6))</f>
        <v/>
      </c>
      <c r="K1901">
        <f>IF(OR($E1901="",$E1901="نامعتبر"),"",LEFT($E1901,4)&amp;"/"&amp;MID($E1901,6,2))</f>
        <v/>
      </c>
      <c r="L1901">
        <f>IF(Entry!$K1901="",0,Entry!$K1901)</f>
        <v/>
      </c>
      <c r="M1901">
        <f>IF(Entry!$L1901="",0,Entry!$L1901)</f>
        <v/>
      </c>
    </row>
    <row r="1902">
      <c r="A1902">
        <f>IF(Entry!$C1902="","",Entry!$C1902)</f>
        <v/>
      </c>
      <c r="B1902">
        <f>IF($A1902="","",IF(ISNUMBER($A1902),IF(AND($A1902&gt;=10000101,$A1902&lt;=99991231),INT($A1902/10000),""),IFERROR(VALUE(TRIM(LEFT($A1902,FIND("/",$A1902)-1))),"")))</f>
        <v/>
      </c>
      <c r="C1902">
        <f>IF(OR($A1902="",$B1902=""),"",IF(ISNUMBER($A1902),INT(MOD($A1902,10000)/100),IFERROR(VALUE(TRIM(LEFT(MID($A1902,FIND("/",$A1902)+1,20),FIND("/",MID($A1902,FIND("/",$A1902)+1,20))-1))),"")))</f>
        <v/>
      </c>
      <c r="D1902">
        <f>IF(OR($A1902="",$B1902=""),"",IF(ISNUMBER($A1902),MOD($A1902,100),IFERROR(VALUE(TRIM(MID(MID($A1902,FIND("/",$A1902)+1,20),FIND("/",MID($A1902,FIND("/",$A1902)+1,20))+1,20))),"")))</f>
        <v/>
      </c>
      <c r="E1902">
        <f>IF($A1902="","",IF(OR($B1902="",$C1902="",$D1902="",$B1902&lt;1300,$B1902&gt;1500,$C1902&lt;1,$C1902&gt;12,$D1902&lt;1,$D1902&gt;31),"نامعتبر",RIGHT("0000"&amp;$B1902,4)&amp;"/"&amp;RIGHT("00"&amp;$C1902,2)&amp;"/"&amp;RIGHT("00"&amp;$D1902,2)))</f>
        <v/>
      </c>
      <c r="F1902">
        <f>IF(Entry!$D1902&lt;&gt;"",IF(AND(ISNUMBER(Entry!$D1902),Entry!$D1902&gt;=0,Entry!$D1902&lt;1),RIGHT("00"&amp;HOUR(Entry!$D1902),2)&amp;":"&amp;RIGHT("00"&amp;MINUTE(Entry!$D1902),2),IFERROR(RIGHT("00"&amp;VALUE(TRIM(LEFT(Entry!$D1902,FIND(":",Entry!$D1902)-1))),2)&amp;":"&amp;RIGHT("00"&amp;VALUE(TRIM(MID(Entry!$D1902,FIND(":",Entry!$D1902)+1,2))),2),"نامعتبر")),IF(OR($E1902="",$E1902="نامعتبر"),"","00:00"))</f>
        <v/>
      </c>
      <c r="G1902">
        <f>IF(OR($E1902="",$E1902="نامعتبر"),"",IF(Entry!$E1902="","",LEFT(UPPER(TRIM(Entry!$E1902)),6)))</f>
        <v/>
      </c>
      <c r="H1902">
        <f>IF($G1902="","",RIGHT($E1902,4)&amp;MID($E1902,6,2)&amp;RIGHT($E1902,2)&amp;IF($F1902="","0000",IF($F1902="نامعتبر","9999",LEFT($F1902,2)&amp;RIGHT($F1902,2)))&amp;"|"&amp;RIGHT("00000"&amp;1894,5))</f>
        <v/>
      </c>
      <c r="I1902">
        <f>IF($H1902="","",COUNTIFS(CalcBank,$G1902,CalcKey,"&lt;"&amp;$H1902)+1)</f>
        <v/>
      </c>
      <c r="J1902">
        <f>IF($I1902="","",$G1902&amp;"|"&amp;RIGHT("000000"&amp;$I1902,6))</f>
        <v/>
      </c>
      <c r="K1902">
        <f>IF(OR($E1902="",$E1902="نامعتبر"),"",LEFT($E1902,4)&amp;"/"&amp;MID($E1902,6,2))</f>
        <v/>
      </c>
      <c r="L1902">
        <f>IF(Entry!$K1902="",0,Entry!$K1902)</f>
        <v/>
      </c>
      <c r="M1902">
        <f>IF(Entry!$L1902="",0,Entry!$L1902)</f>
        <v/>
      </c>
    </row>
    <row r="1903">
      <c r="A1903">
        <f>IF(Entry!$C1903="","",Entry!$C1903)</f>
        <v/>
      </c>
      <c r="B1903">
        <f>IF($A1903="","",IF(ISNUMBER($A1903),IF(AND($A1903&gt;=10000101,$A1903&lt;=99991231),INT($A1903/10000),""),IFERROR(VALUE(TRIM(LEFT($A1903,FIND("/",$A1903)-1))),"")))</f>
        <v/>
      </c>
      <c r="C1903">
        <f>IF(OR($A1903="",$B1903=""),"",IF(ISNUMBER($A1903),INT(MOD($A1903,10000)/100),IFERROR(VALUE(TRIM(LEFT(MID($A1903,FIND("/",$A1903)+1,20),FIND("/",MID($A1903,FIND("/",$A1903)+1,20))-1))),"")))</f>
        <v/>
      </c>
      <c r="D1903">
        <f>IF(OR($A1903="",$B1903=""),"",IF(ISNUMBER($A1903),MOD($A1903,100),IFERROR(VALUE(TRIM(MID(MID($A1903,FIND("/",$A1903)+1,20),FIND("/",MID($A1903,FIND("/",$A1903)+1,20))+1,20))),"")))</f>
        <v/>
      </c>
      <c r="E1903">
        <f>IF($A1903="","",IF(OR($B1903="",$C1903="",$D1903="",$B1903&lt;1300,$B1903&gt;1500,$C1903&lt;1,$C1903&gt;12,$D1903&lt;1,$D1903&gt;31),"نامعتبر",RIGHT("0000"&amp;$B1903,4)&amp;"/"&amp;RIGHT("00"&amp;$C1903,2)&amp;"/"&amp;RIGHT("00"&amp;$D1903,2)))</f>
        <v/>
      </c>
      <c r="F1903">
        <f>IF(Entry!$D1903&lt;&gt;"",IF(AND(ISNUMBER(Entry!$D1903),Entry!$D1903&gt;=0,Entry!$D1903&lt;1),RIGHT("00"&amp;HOUR(Entry!$D1903),2)&amp;":"&amp;RIGHT("00"&amp;MINUTE(Entry!$D1903),2),IFERROR(RIGHT("00"&amp;VALUE(TRIM(LEFT(Entry!$D1903,FIND(":",Entry!$D1903)-1))),2)&amp;":"&amp;RIGHT("00"&amp;VALUE(TRIM(MID(Entry!$D1903,FIND(":",Entry!$D1903)+1,2))),2),"نامعتبر")),IF(OR($E1903="",$E1903="نامعتبر"),"","00:00"))</f>
        <v/>
      </c>
      <c r="G1903">
        <f>IF(OR($E1903="",$E1903="نامعتبر"),"",IF(Entry!$E1903="","",LEFT(UPPER(TRIM(Entry!$E1903)),6)))</f>
        <v/>
      </c>
      <c r="H1903">
        <f>IF($G1903="","",RIGHT($E1903,4)&amp;MID($E1903,6,2)&amp;RIGHT($E1903,2)&amp;IF($F1903="","0000",IF($F1903="نامعتبر","9999",LEFT($F1903,2)&amp;RIGHT($F1903,2)))&amp;"|"&amp;RIGHT("00000"&amp;1895,5))</f>
        <v/>
      </c>
      <c r="I1903">
        <f>IF($H1903="","",COUNTIFS(CalcBank,$G1903,CalcKey,"&lt;"&amp;$H1903)+1)</f>
        <v/>
      </c>
      <c r="J1903">
        <f>IF($I1903="","",$G1903&amp;"|"&amp;RIGHT("000000"&amp;$I1903,6))</f>
        <v/>
      </c>
      <c r="K1903">
        <f>IF(OR($E1903="",$E1903="نامعتبر"),"",LEFT($E1903,4)&amp;"/"&amp;MID($E1903,6,2))</f>
        <v/>
      </c>
      <c r="L1903">
        <f>IF(Entry!$K1903="",0,Entry!$K1903)</f>
        <v/>
      </c>
      <c r="M1903">
        <f>IF(Entry!$L1903="",0,Entry!$L1903)</f>
        <v/>
      </c>
    </row>
    <row r="1904">
      <c r="A1904">
        <f>IF(Entry!$C1904="","",Entry!$C1904)</f>
        <v/>
      </c>
      <c r="B1904">
        <f>IF($A1904="","",IF(ISNUMBER($A1904),IF(AND($A1904&gt;=10000101,$A1904&lt;=99991231),INT($A1904/10000),""),IFERROR(VALUE(TRIM(LEFT($A1904,FIND("/",$A1904)-1))),"")))</f>
        <v/>
      </c>
      <c r="C1904">
        <f>IF(OR($A1904="",$B1904=""),"",IF(ISNUMBER($A1904),INT(MOD($A1904,10000)/100),IFERROR(VALUE(TRIM(LEFT(MID($A1904,FIND("/",$A1904)+1,20),FIND("/",MID($A1904,FIND("/",$A1904)+1,20))-1))),"")))</f>
        <v/>
      </c>
      <c r="D1904">
        <f>IF(OR($A1904="",$B1904=""),"",IF(ISNUMBER($A1904),MOD($A1904,100),IFERROR(VALUE(TRIM(MID(MID($A1904,FIND("/",$A1904)+1,20),FIND("/",MID($A1904,FIND("/",$A1904)+1,20))+1,20))),"")))</f>
        <v/>
      </c>
      <c r="E1904">
        <f>IF($A1904="","",IF(OR($B1904="",$C1904="",$D1904="",$B1904&lt;1300,$B1904&gt;1500,$C1904&lt;1,$C1904&gt;12,$D1904&lt;1,$D1904&gt;31),"نامعتبر",RIGHT("0000"&amp;$B1904,4)&amp;"/"&amp;RIGHT("00"&amp;$C1904,2)&amp;"/"&amp;RIGHT("00"&amp;$D1904,2)))</f>
        <v/>
      </c>
      <c r="F1904">
        <f>IF(Entry!$D1904&lt;&gt;"",IF(AND(ISNUMBER(Entry!$D1904),Entry!$D1904&gt;=0,Entry!$D1904&lt;1),RIGHT("00"&amp;HOUR(Entry!$D1904),2)&amp;":"&amp;RIGHT("00"&amp;MINUTE(Entry!$D1904),2),IFERROR(RIGHT("00"&amp;VALUE(TRIM(LEFT(Entry!$D1904,FIND(":",Entry!$D1904)-1))),2)&amp;":"&amp;RIGHT("00"&amp;VALUE(TRIM(MID(Entry!$D1904,FIND(":",Entry!$D1904)+1,2))),2),"نامعتبر")),IF(OR($E1904="",$E1904="نامعتبر"),"","00:00"))</f>
        <v/>
      </c>
      <c r="G1904">
        <f>IF(OR($E1904="",$E1904="نامعتبر"),"",IF(Entry!$E1904="","",LEFT(UPPER(TRIM(Entry!$E1904)),6)))</f>
        <v/>
      </c>
      <c r="H1904">
        <f>IF($G1904="","",RIGHT($E1904,4)&amp;MID($E1904,6,2)&amp;RIGHT($E1904,2)&amp;IF($F1904="","0000",IF($F1904="نامعتبر","9999",LEFT($F1904,2)&amp;RIGHT($F1904,2)))&amp;"|"&amp;RIGHT("00000"&amp;1896,5))</f>
        <v/>
      </c>
      <c r="I1904">
        <f>IF($H1904="","",COUNTIFS(CalcBank,$G1904,CalcKey,"&lt;"&amp;$H1904)+1)</f>
        <v/>
      </c>
      <c r="J1904">
        <f>IF($I1904="","",$G1904&amp;"|"&amp;RIGHT("000000"&amp;$I1904,6))</f>
        <v/>
      </c>
      <c r="K1904">
        <f>IF(OR($E1904="",$E1904="نامعتبر"),"",LEFT($E1904,4)&amp;"/"&amp;MID($E1904,6,2))</f>
        <v/>
      </c>
      <c r="L1904">
        <f>IF(Entry!$K1904="",0,Entry!$K1904)</f>
        <v/>
      </c>
      <c r="M1904">
        <f>IF(Entry!$L1904="",0,Entry!$L1904)</f>
        <v/>
      </c>
    </row>
    <row r="1905">
      <c r="A1905">
        <f>IF(Entry!$C1905="","",Entry!$C1905)</f>
        <v/>
      </c>
      <c r="B1905">
        <f>IF($A1905="","",IF(ISNUMBER($A1905),IF(AND($A1905&gt;=10000101,$A1905&lt;=99991231),INT($A1905/10000),""),IFERROR(VALUE(TRIM(LEFT($A1905,FIND("/",$A1905)-1))),"")))</f>
        <v/>
      </c>
      <c r="C1905">
        <f>IF(OR($A1905="",$B1905=""),"",IF(ISNUMBER($A1905),INT(MOD($A1905,10000)/100),IFERROR(VALUE(TRIM(LEFT(MID($A1905,FIND("/",$A1905)+1,20),FIND("/",MID($A1905,FIND("/",$A1905)+1,20))-1))),"")))</f>
        <v/>
      </c>
      <c r="D1905">
        <f>IF(OR($A1905="",$B1905=""),"",IF(ISNUMBER($A1905),MOD($A1905,100),IFERROR(VALUE(TRIM(MID(MID($A1905,FIND("/",$A1905)+1,20),FIND("/",MID($A1905,FIND("/",$A1905)+1,20))+1,20))),"")))</f>
        <v/>
      </c>
      <c r="E1905">
        <f>IF($A1905="","",IF(OR($B1905="",$C1905="",$D1905="",$B1905&lt;1300,$B1905&gt;1500,$C1905&lt;1,$C1905&gt;12,$D1905&lt;1,$D1905&gt;31),"نامعتبر",RIGHT("0000"&amp;$B1905,4)&amp;"/"&amp;RIGHT("00"&amp;$C1905,2)&amp;"/"&amp;RIGHT("00"&amp;$D1905,2)))</f>
        <v/>
      </c>
      <c r="F1905">
        <f>IF(Entry!$D1905&lt;&gt;"",IF(AND(ISNUMBER(Entry!$D1905),Entry!$D1905&gt;=0,Entry!$D1905&lt;1),RIGHT("00"&amp;HOUR(Entry!$D1905),2)&amp;":"&amp;RIGHT("00"&amp;MINUTE(Entry!$D1905),2),IFERROR(RIGHT("00"&amp;VALUE(TRIM(LEFT(Entry!$D1905,FIND(":",Entry!$D1905)-1))),2)&amp;":"&amp;RIGHT("00"&amp;VALUE(TRIM(MID(Entry!$D1905,FIND(":",Entry!$D1905)+1,2))),2),"نامعتبر")),IF(OR($E1905="",$E1905="نامعتبر"),"","00:00"))</f>
        <v/>
      </c>
      <c r="G1905">
        <f>IF(OR($E1905="",$E1905="نامعتبر"),"",IF(Entry!$E1905="","",LEFT(UPPER(TRIM(Entry!$E1905)),6)))</f>
        <v/>
      </c>
      <c r="H1905">
        <f>IF($G1905="","",RIGHT($E1905,4)&amp;MID($E1905,6,2)&amp;RIGHT($E1905,2)&amp;IF($F1905="","0000",IF($F1905="نامعتبر","9999",LEFT($F1905,2)&amp;RIGHT($F1905,2)))&amp;"|"&amp;RIGHT("00000"&amp;1897,5))</f>
        <v/>
      </c>
      <c r="I1905">
        <f>IF($H1905="","",COUNTIFS(CalcBank,$G1905,CalcKey,"&lt;"&amp;$H1905)+1)</f>
        <v/>
      </c>
      <c r="J1905">
        <f>IF($I1905="","",$G1905&amp;"|"&amp;RIGHT("000000"&amp;$I1905,6))</f>
        <v/>
      </c>
      <c r="K1905">
        <f>IF(OR($E1905="",$E1905="نامعتبر"),"",LEFT($E1905,4)&amp;"/"&amp;MID($E1905,6,2))</f>
        <v/>
      </c>
      <c r="L1905">
        <f>IF(Entry!$K1905="",0,Entry!$K1905)</f>
        <v/>
      </c>
      <c r="M1905">
        <f>IF(Entry!$L1905="",0,Entry!$L1905)</f>
        <v/>
      </c>
    </row>
    <row r="1906">
      <c r="A1906">
        <f>IF(Entry!$C1906="","",Entry!$C1906)</f>
        <v/>
      </c>
      <c r="B1906">
        <f>IF($A1906="","",IF(ISNUMBER($A1906),IF(AND($A1906&gt;=10000101,$A1906&lt;=99991231),INT($A1906/10000),""),IFERROR(VALUE(TRIM(LEFT($A1906,FIND("/",$A1906)-1))),"")))</f>
        <v/>
      </c>
      <c r="C1906">
        <f>IF(OR($A1906="",$B1906=""),"",IF(ISNUMBER($A1906),INT(MOD($A1906,10000)/100),IFERROR(VALUE(TRIM(LEFT(MID($A1906,FIND("/",$A1906)+1,20),FIND("/",MID($A1906,FIND("/",$A1906)+1,20))-1))),"")))</f>
        <v/>
      </c>
      <c r="D1906">
        <f>IF(OR($A1906="",$B1906=""),"",IF(ISNUMBER($A1906),MOD($A1906,100),IFERROR(VALUE(TRIM(MID(MID($A1906,FIND("/",$A1906)+1,20),FIND("/",MID($A1906,FIND("/",$A1906)+1,20))+1,20))),"")))</f>
        <v/>
      </c>
      <c r="E1906">
        <f>IF($A1906="","",IF(OR($B1906="",$C1906="",$D1906="",$B1906&lt;1300,$B1906&gt;1500,$C1906&lt;1,$C1906&gt;12,$D1906&lt;1,$D1906&gt;31),"نامعتبر",RIGHT("0000"&amp;$B1906,4)&amp;"/"&amp;RIGHT("00"&amp;$C1906,2)&amp;"/"&amp;RIGHT("00"&amp;$D1906,2)))</f>
        <v/>
      </c>
      <c r="F1906">
        <f>IF(Entry!$D1906&lt;&gt;"",IF(AND(ISNUMBER(Entry!$D1906),Entry!$D1906&gt;=0,Entry!$D1906&lt;1),RIGHT("00"&amp;HOUR(Entry!$D1906),2)&amp;":"&amp;RIGHT("00"&amp;MINUTE(Entry!$D1906),2),IFERROR(RIGHT("00"&amp;VALUE(TRIM(LEFT(Entry!$D1906,FIND(":",Entry!$D1906)-1))),2)&amp;":"&amp;RIGHT("00"&amp;VALUE(TRIM(MID(Entry!$D1906,FIND(":",Entry!$D1906)+1,2))),2),"نامعتبر")),IF(OR($E1906="",$E1906="نامعتبر"),"","00:00"))</f>
        <v/>
      </c>
      <c r="G1906">
        <f>IF(OR($E1906="",$E1906="نامعتبر"),"",IF(Entry!$E1906="","",LEFT(UPPER(TRIM(Entry!$E1906)),6)))</f>
        <v/>
      </c>
      <c r="H1906">
        <f>IF($G1906="","",RIGHT($E1906,4)&amp;MID($E1906,6,2)&amp;RIGHT($E1906,2)&amp;IF($F1906="","0000",IF($F1906="نامعتبر","9999",LEFT($F1906,2)&amp;RIGHT($F1906,2)))&amp;"|"&amp;RIGHT("00000"&amp;1898,5))</f>
        <v/>
      </c>
      <c r="I1906">
        <f>IF($H1906="","",COUNTIFS(CalcBank,$G1906,CalcKey,"&lt;"&amp;$H1906)+1)</f>
        <v/>
      </c>
      <c r="J1906">
        <f>IF($I1906="","",$G1906&amp;"|"&amp;RIGHT("000000"&amp;$I1906,6))</f>
        <v/>
      </c>
      <c r="K1906">
        <f>IF(OR($E1906="",$E1906="نامعتبر"),"",LEFT($E1906,4)&amp;"/"&amp;MID($E1906,6,2))</f>
        <v/>
      </c>
      <c r="L1906">
        <f>IF(Entry!$K1906="",0,Entry!$K1906)</f>
        <v/>
      </c>
      <c r="M1906">
        <f>IF(Entry!$L1906="",0,Entry!$L1906)</f>
        <v/>
      </c>
    </row>
    <row r="1907">
      <c r="A1907">
        <f>IF(Entry!$C1907="","",Entry!$C1907)</f>
        <v/>
      </c>
      <c r="B1907">
        <f>IF($A1907="","",IF(ISNUMBER($A1907),IF(AND($A1907&gt;=10000101,$A1907&lt;=99991231),INT($A1907/10000),""),IFERROR(VALUE(TRIM(LEFT($A1907,FIND("/",$A1907)-1))),"")))</f>
        <v/>
      </c>
      <c r="C1907">
        <f>IF(OR($A1907="",$B1907=""),"",IF(ISNUMBER($A1907),INT(MOD($A1907,10000)/100),IFERROR(VALUE(TRIM(LEFT(MID($A1907,FIND("/",$A1907)+1,20),FIND("/",MID($A1907,FIND("/",$A1907)+1,20))-1))),"")))</f>
        <v/>
      </c>
      <c r="D1907">
        <f>IF(OR($A1907="",$B1907=""),"",IF(ISNUMBER($A1907),MOD($A1907,100),IFERROR(VALUE(TRIM(MID(MID($A1907,FIND("/",$A1907)+1,20),FIND("/",MID($A1907,FIND("/",$A1907)+1,20))+1,20))),"")))</f>
        <v/>
      </c>
      <c r="E1907">
        <f>IF($A1907="","",IF(OR($B1907="",$C1907="",$D1907="",$B1907&lt;1300,$B1907&gt;1500,$C1907&lt;1,$C1907&gt;12,$D1907&lt;1,$D1907&gt;31),"نامعتبر",RIGHT("0000"&amp;$B1907,4)&amp;"/"&amp;RIGHT("00"&amp;$C1907,2)&amp;"/"&amp;RIGHT("00"&amp;$D1907,2)))</f>
        <v/>
      </c>
      <c r="F1907">
        <f>IF(Entry!$D1907&lt;&gt;"",IF(AND(ISNUMBER(Entry!$D1907),Entry!$D1907&gt;=0,Entry!$D1907&lt;1),RIGHT("00"&amp;HOUR(Entry!$D1907),2)&amp;":"&amp;RIGHT("00"&amp;MINUTE(Entry!$D1907),2),IFERROR(RIGHT("00"&amp;VALUE(TRIM(LEFT(Entry!$D1907,FIND(":",Entry!$D1907)-1))),2)&amp;":"&amp;RIGHT("00"&amp;VALUE(TRIM(MID(Entry!$D1907,FIND(":",Entry!$D1907)+1,2))),2),"نامعتبر")),IF(OR($E1907="",$E1907="نامعتبر"),"","00:00"))</f>
        <v/>
      </c>
      <c r="G1907">
        <f>IF(OR($E1907="",$E1907="نامعتبر"),"",IF(Entry!$E1907="","",LEFT(UPPER(TRIM(Entry!$E1907)),6)))</f>
        <v/>
      </c>
      <c r="H1907">
        <f>IF($G1907="","",RIGHT($E1907,4)&amp;MID($E1907,6,2)&amp;RIGHT($E1907,2)&amp;IF($F1907="","0000",IF($F1907="نامعتبر","9999",LEFT($F1907,2)&amp;RIGHT($F1907,2)))&amp;"|"&amp;RIGHT("00000"&amp;1899,5))</f>
        <v/>
      </c>
      <c r="I1907">
        <f>IF($H1907="","",COUNTIFS(CalcBank,$G1907,CalcKey,"&lt;"&amp;$H1907)+1)</f>
        <v/>
      </c>
      <c r="J1907">
        <f>IF($I1907="","",$G1907&amp;"|"&amp;RIGHT("000000"&amp;$I1907,6))</f>
        <v/>
      </c>
      <c r="K1907">
        <f>IF(OR($E1907="",$E1907="نامعتبر"),"",LEFT($E1907,4)&amp;"/"&amp;MID($E1907,6,2))</f>
        <v/>
      </c>
      <c r="L1907">
        <f>IF(Entry!$K1907="",0,Entry!$K1907)</f>
        <v/>
      </c>
      <c r="M1907">
        <f>IF(Entry!$L1907="",0,Entry!$L1907)</f>
        <v/>
      </c>
    </row>
    <row r="1908">
      <c r="A1908">
        <f>IF(Entry!$C1908="","",Entry!$C1908)</f>
        <v/>
      </c>
      <c r="B1908">
        <f>IF($A1908="","",IF(ISNUMBER($A1908),IF(AND($A1908&gt;=10000101,$A1908&lt;=99991231),INT($A1908/10000),""),IFERROR(VALUE(TRIM(LEFT($A1908,FIND("/",$A1908)-1))),"")))</f>
        <v/>
      </c>
      <c r="C1908">
        <f>IF(OR($A1908="",$B1908=""),"",IF(ISNUMBER($A1908),INT(MOD($A1908,10000)/100),IFERROR(VALUE(TRIM(LEFT(MID($A1908,FIND("/",$A1908)+1,20),FIND("/",MID($A1908,FIND("/",$A1908)+1,20))-1))),"")))</f>
        <v/>
      </c>
      <c r="D1908">
        <f>IF(OR($A1908="",$B1908=""),"",IF(ISNUMBER($A1908),MOD($A1908,100),IFERROR(VALUE(TRIM(MID(MID($A1908,FIND("/",$A1908)+1,20),FIND("/",MID($A1908,FIND("/",$A1908)+1,20))+1,20))),"")))</f>
        <v/>
      </c>
      <c r="E1908">
        <f>IF($A1908="","",IF(OR($B1908="",$C1908="",$D1908="",$B1908&lt;1300,$B1908&gt;1500,$C1908&lt;1,$C1908&gt;12,$D1908&lt;1,$D1908&gt;31),"نامعتبر",RIGHT("0000"&amp;$B1908,4)&amp;"/"&amp;RIGHT("00"&amp;$C1908,2)&amp;"/"&amp;RIGHT("00"&amp;$D1908,2)))</f>
        <v/>
      </c>
      <c r="F1908">
        <f>IF(Entry!$D1908&lt;&gt;"",IF(AND(ISNUMBER(Entry!$D1908),Entry!$D1908&gt;=0,Entry!$D1908&lt;1),RIGHT("00"&amp;HOUR(Entry!$D1908),2)&amp;":"&amp;RIGHT("00"&amp;MINUTE(Entry!$D1908),2),IFERROR(RIGHT("00"&amp;VALUE(TRIM(LEFT(Entry!$D1908,FIND(":",Entry!$D1908)-1))),2)&amp;":"&amp;RIGHT("00"&amp;VALUE(TRIM(MID(Entry!$D1908,FIND(":",Entry!$D1908)+1,2))),2),"نامعتبر")),IF(OR($E1908="",$E1908="نامعتبر"),"","00:00"))</f>
        <v/>
      </c>
      <c r="G1908">
        <f>IF(OR($E1908="",$E1908="نامعتبر"),"",IF(Entry!$E1908="","",LEFT(UPPER(TRIM(Entry!$E1908)),6)))</f>
        <v/>
      </c>
      <c r="H1908">
        <f>IF($G1908="","",RIGHT($E1908,4)&amp;MID($E1908,6,2)&amp;RIGHT($E1908,2)&amp;IF($F1908="","0000",IF($F1908="نامعتبر","9999",LEFT($F1908,2)&amp;RIGHT($F1908,2)))&amp;"|"&amp;RIGHT("00000"&amp;1900,5))</f>
        <v/>
      </c>
      <c r="I1908">
        <f>IF($H1908="","",COUNTIFS(CalcBank,$G1908,CalcKey,"&lt;"&amp;$H1908)+1)</f>
        <v/>
      </c>
      <c r="J1908">
        <f>IF($I1908="","",$G1908&amp;"|"&amp;RIGHT("000000"&amp;$I1908,6))</f>
        <v/>
      </c>
      <c r="K1908">
        <f>IF(OR($E1908="",$E1908="نامعتبر"),"",LEFT($E1908,4)&amp;"/"&amp;MID($E1908,6,2))</f>
        <v/>
      </c>
      <c r="L1908">
        <f>IF(Entry!$K1908="",0,Entry!$K1908)</f>
        <v/>
      </c>
      <c r="M1908">
        <f>IF(Entry!$L1908="",0,Entry!$L1908)</f>
        <v/>
      </c>
    </row>
    <row r="1909">
      <c r="A1909">
        <f>IF(Entry!$C1909="","",Entry!$C1909)</f>
        <v/>
      </c>
      <c r="B1909">
        <f>IF($A1909="","",IF(ISNUMBER($A1909),IF(AND($A1909&gt;=10000101,$A1909&lt;=99991231),INT($A1909/10000),""),IFERROR(VALUE(TRIM(LEFT($A1909,FIND("/",$A1909)-1))),"")))</f>
        <v/>
      </c>
      <c r="C1909">
        <f>IF(OR($A1909="",$B1909=""),"",IF(ISNUMBER($A1909),INT(MOD($A1909,10000)/100),IFERROR(VALUE(TRIM(LEFT(MID($A1909,FIND("/",$A1909)+1,20),FIND("/",MID($A1909,FIND("/",$A1909)+1,20))-1))),"")))</f>
        <v/>
      </c>
      <c r="D1909">
        <f>IF(OR($A1909="",$B1909=""),"",IF(ISNUMBER($A1909),MOD($A1909,100),IFERROR(VALUE(TRIM(MID(MID($A1909,FIND("/",$A1909)+1,20),FIND("/",MID($A1909,FIND("/",$A1909)+1,20))+1,20))),"")))</f>
        <v/>
      </c>
      <c r="E1909">
        <f>IF($A1909="","",IF(OR($B1909="",$C1909="",$D1909="",$B1909&lt;1300,$B1909&gt;1500,$C1909&lt;1,$C1909&gt;12,$D1909&lt;1,$D1909&gt;31),"نامعتبر",RIGHT("0000"&amp;$B1909,4)&amp;"/"&amp;RIGHT("00"&amp;$C1909,2)&amp;"/"&amp;RIGHT("00"&amp;$D1909,2)))</f>
        <v/>
      </c>
      <c r="F1909">
        <f>IF(Entry!$D1909&lt;&gt;"",IF(AND(ISNUMBER(Entry!$D1909),Entry!$D1909&gt;=0,Entry!$D1909&lt;1),RIGHT("00"&amp;HOUR(Entry!$D1909),2)&amp;":"&amp;RIGHT("00"&amp;MINUTE(Entry!$D1909),2),IFERROR(RIGHT("00"&amp;VALUE(TRIM(LEFT(Entry!$D1909,FIND(":",Entry!$D1909)-1))),2)&amp;":"&amp;RIGHT("00"&amp;VALUE(TRIM(MID(Entry!$D1909,FIND(":",Entry!$D1909)+1,2))),2),"نامعتبر")),IF(OR($E1909="",$E1909="نامعتبر"),"","00:00"))</f>
        <v/>
      </c>
      <c r="G1909">
        <f>IF(OR($E1909="",$E1909="نامعتبر"),"",IF(Entry!$E1909="","",LEFT(UPPER(TRIM(Entry!$E1909)),6)))</f>
        <v/>
      </c>
      <c r="H1909">
        <f>IF($G1909="","",RIGHT($E1909,4)&amp;MID($E1909,6,2)&amp;RIGHT($E1909,2)&amp;IF($F1909="","0000",IF($F1909="نامعتبر","9999",LEFT($F1909,2)&amp;RIGHT($F1909,2)))&amp;"|"&amp;RIGHT("00000"&amp;1901,5))</f>
        <v/>
      </c>
      <c r="I1909">
        <f>IF($H1909="","",COUNTIFS(CalcBank,$G1909,CalcKey,"&lt;"&amp;$H1909)+1)</f>
        <v/>
      </c>
      <c r="J1909">
        <f>IF($I1909="","",$G1909&amp;"|"&amp;RIGHT("000000"&amp;$I1909,6))</f>
        <v/>
      </c>
      <c r="K1909">
        <f>IF(OR($E1909="",$E1909="نامعتبر"),"",LEFT($E1909,4)&amp;"/"&amp;MID($E1909,6,2))</f>
        <v/>
      </c>
      <c r="L1909">
        <f>IF(Entry!$K1909="",0,Entry!$K1909)</f>
        <v/>
      </c>
      <c r="M1909">
        <f>IF(Entry!$L1909="",0,Entry!$L1909)</f>
        <v/>
      </c>
    </row>
    <row r="1910">
      <c r="A1910">
        <f>IF(Entry!$C1910="","",Entry!$C1910)</f>
        <v/>
      </c>
      <c r="B1910">
        <f>IF($A1910="","",IF(ISNUMBER($A1910),IF(AND($A1910&gt;=10000101,$A1910&lt;=99991231),INT($A1910/10000),""),IFERROR(VALUE(TRIM(LEFT($A1910,FIND("/",$A1910)-1))),"")))</f>
        <v/>
      </c>
      <c r="C1910">
        <f>IF(OR($A1910="",$B1910=""),"",IF(ISNUMBER($A1910),INT(MOD($A1910,10000)/100),IFERROR(VALUE(TRIM(LEFT(MID($A1910,FIND("/",$A1910)+1,20),FIND("/",MID($A1910,FIND("/",$A1910)+1,20))-1))),"")))</f>
        <v/>
      </c>
      <c r="D1910">
        <f>IF(OR($A1910="",$B1910=""),"",IF(ISNUMBER($A1910),MOD($A1910,100),IFERROR(VALUE(TRIM(MID(MID($A1910,FIND("/",$A1910)+1,20),FIND("/",MID($A1910,FIND("/",$A1910)+1,20))+1,20))),"")))</f>
        <v/>
      </c>
      <c r="E1910">
        <f>IF($A1910="","",IF(OR($B1910="",$C1910="",$D1910="",$B1910&lt;1300,$B1910&gt;1500,$C1910&lt;1,$C1910&gt;12,$D1910&lt;1,$D1910&gt;31),"نامعتبر",RIGHT("0000"&amp;$B1910,4)&amp;"/"&amp;RIGHT("00"&amp;$C1910,2)&amp;"/"&amp;RIGHT("00"&amp;$D1910,2)))</f>
        <v/>
      </c>
      <c r="F1910">
        <f>IF(Entry!$D1910&lt;&gt;"",IF(AND(ISNUMBER(Entry!$D1910),Entry!$D1910&gt;=0,Entry!$D1910&lt;1),RIGHT("00"&amp;HOUR(Entry!$D1910),2)&amp;":"&amp;RIGHT("00"&amp;MINUTE(Entry!$D1910),2),IFERROR(RIGHT("00"&amp;VALUE(TRIM(LEFT(Entry!$D1910,FIND(":",Entry!$D1910)-1))),2)&amp;":"&amp;RIGHT("00"&amp;VALUE(TRIM(MID(Entry!$D1910,FIND(":",Entry!$D1910)+1,2))),2),"نامعتبر")),IF(OR($E1910="",$E1910="نامعتبر"),"","00:00"))</f>
        <v/>
      </c>
      <c r="G1910">
        <f>IF(OR($E1910="",$E1910="نامعتبر"),"",IF(Entry!$E1910="","",LEFT(UPPER(TRIM(Entry!$E1910)),6)))</f>
        <v/>
      </c>
      <c r="H1910">
        <f>IF($G1910="","",RIGHT($E1910,4)&amp;MID($E1910,6,2)&amp;RIGHT($E1910,2)&amp;IF($F1910="","0000",IF($F1910="نامعتبر","9999",LEFT($F1910,2)&amp;RIGHT($F1910,2)))&amp;"|"&amp;RIGHT("00000"&amp;1902,5))</f>
        <v/>
      </c>
      <c r="I1910">
        <f>IF($H1910="","",COUNTIFS(CalcBank,$G1910,CalcKey,"&lt;"&amp;$H1910)+1)</f>
        <v/>
      </c>
      <c r="J1910">
        <f>IF($I1910="","",$G1910&amp;"|"&amp;RIGHT("000000"&amp;$I1910,6))</f>
        <v/>
      </c>
      <c r="K1910">
        <f>IF(OR($E1910="",$E1910="نامعتبر"),"",LEFT($E1910,4)&amp;"/"&amp;MID($E1910,6,2))</f>
        <v/>
      </c>
      <c r="L1910">
        <f>IF(Entry!$K1910="",0,Entry!$K1910)</f>
        <v/>
      </c>
      <c r="M1910">
        <f>IF(Entry!$L1910="",0,Entry!$L1910)</f>
        <v/>
      </c>
    </row>
    <row r="1911">
      <c r="A1911">
        <f>IF(Entry!$C1911="","",Entry!$C1911)</f>
        <v/>
      </c>
      <c r="B1911">
        <f>IF($A1911="","",IF(ISNUMBER($A1911),IF(AND($A1911&gt;=10000101,$A1911&lt;=99991231),INT($A1911/10000),""),IFERROR(VALUE(TRIM(LEFT($A1911,FIND("/",$A1911)-1))),"")))</f>
        <v/>
      </c>
      <c r="C1911">
        <f>IF(OR($A1911="",$B1911=""),"",IF(ISNUMBER($A1911),INT(MOD($A1911,10000)/100),IFERROR(VALUE(TRIM(LEFT(MID($A1911,FIND("/",$A1911)+1,20),FIND("/",MID($A1911,FIND("/",$A1911)+1,20))-1))),"")))</f>
        <v/>
      </c>
      <c r="D1911">
        <f>IF(OR($A1911="",$B1911=""),"",IF(ISNUMBER($A1911),MOD($A1911,100),IFERROR(VALUE(TRIM(MID(MID($A1911,FIND("/",$A1911)+1,20),FIND("/",MID($A1911,FIND("/",$A1911)+1,20))+1,20))),"")))</f>
        <v/>
      </c>
      <c r="E1911">
        <f>IF($A1911="","",IF(OR($B1911="",$C1911="",$D1911="",$B1911&lt;1300,$B1911&gt;1500,$C1911&lt;1,$C1911&gt;12,$D1911&lt;1,$D1911&gt;31),"نامعتبر",RIGHT("0000"&amp;$B1911,4)&amp;"/"&amp;RIGHT("00"&amp;$C1911,2)&amp;"/"&amp;RIGHT("00"&amp;$D1911,2)))</f>
        <v/>
      </c>
      <c r="F1911">
        <f>IF(Entry!$D1911&lt;&gt;"",IF(AND(ISNUMBER(Entry!$D1911),Entry!$D1911&gt;=0,Entry!$D1911&lt;1),RIGHT("00"&amp;HOUR(Entry!$D1911),2)&amp;":"&amp;RIGHT("00"&amp;MINUTE(Entry!$D1911),2),IFERROR(RIGHT("00"&amp;VALUE(TRIM(LEFT(Entry!$D1911,FIND(":",Entry!$D1911)-1))),2)&amp;":"&amp;RIGHT("00"&amp;VALUE(TRIM(MID(Entry!$D1911,FIND(":",Entry!$D1911)+1,2))),2),"نامعتبر")),IF(OR($E1911="",$E1911="نامعتبر"),"","00:00"))</f>
        <v/>
      </c>
      <c r="G1911">
        <f>IF(OR($E1911="",$E1911="نامعتبر"),"",IF(Entry!$E1911="","",LEFT(UPPER(TRIM(Entry!$E1911)),6)))</f>
        <v/>
      </c>
      <c r="H1911">
        <f>IF($G1911="","",RIGHT($E1911,4)&amp;MID($E1911,6,2)&amp;RIGHT($E1911,2)&amp;IF($F1911="","0000",IF($F1911="نامعتبر","9999",LEFT($F1911,2)&amp;RIGHT($F1911,2)))&amp;"|"&amp;RIGHT("00000"&amp;1903,5))</f>
        <v/>
      </c>
      <c r="I1911">
        <f>IF($H1911="","",COUNTIFS(CalcBank,$G1911,CalcKey,"&lt;"&amp;$H1911)+1)</f>
        <v/>
      </c>
      <c r="J1911">
        <f>IF($I1911="","",$G1911&amp;"|"&amp;RIGHT("000000"&amp;$I1911,6))</f>
        <v/>
      </c>
      <c r="K1911">
        <f>IF(OR($E1911="",$E1911="نامعتبر"),"",LEFT($E1911,4)&amp;"/"&amp;MID($E1911,6,2))</f>
        <v/>
      </c>
      <c r="L1911">
        <f>IF(Entry!$K1911="",0,Entry!$K1911)</f>
        <v/>
      </c>
      <c r="M1911">
        <f>IF(Entry!$L1911="",0,Entry!$L1911)</f>
        <v/>
      </c>
    </row>
    <row r="1912">
      <c r="A1912">
        <f>IF(Entry!$C1912="","",Entry!$C1912)</f>
        <v/>
      </c>
      <c r="B1912">
        <f>IF($A1912="","",IF(ISNUMBER($A1912),IF(AND($A1912&gt;=10000101,$A1912&lt;=99991231),INT($A1912/10000),""),IFERROR(VALUE(TRIM(LEFT($A1912,FIND("/",$A1912)-1))),"")))</f>
        <v/>
      </c>
      <c r="C1912">
        <f>IF(OR($A1912="",$B1912=""),"",IF(ISNUMBER($A1912),INT(MOD($A1912,10000)/100),IFERROR(VALUE(TRIM(LEFT(MID($A1912,FIND("/",$A1912)+1,20),FIND("/",MID($A1912,FIND("/",$A1912)+1,20))-1))),"")))</f>
        <v/>
      </c>
      <c r="D1912">
        <f>IF(OR($A1912="",$B1912=""),"",IF(ISNUMBER($A1912),MOD($A1912,100),IFERROR(VALUE(TRIM(MID(MID($A1912,FIND("/",$A1912)+1,20),FIND("/",MID($A1912,FIND("/",$A1912)+1,20))+1,20))),"")))</f>
        <v/>
      </c>
      <c r="E1912">
        <f>IF($A1912="","",IF(OR($B1912="",$C1912="",$D1912="",$B1912&lt;1300,$B1912&gt;1500,$C1912&lt;1,$C1912&gt;12,$D1912&lt;1,$D1912&gt;31),"نامعتبر",RIGHT("0000"&amp;$B1912,4)&amp;"/"&amp;RIGHT("00"&amp;$C1912,2)&amp;"/"&amp;RIGHT("00"&amp;$D1912,2)))</f>
        <v/>
      </c>
      <c r="F1912">
        <f>IF(Entry!$D1912&lt;&gt;"",IF(AND(ISNUMBER(Entry!$D1912),Entry!$D1912&gt;=0,Entry!$D1912&lt;1),RIGHT("00"&amp;HOUR(Entry!$D1912),2)&amp;":"&amp;RIGHT("00"&amp;MINUTE(Entry!$D1912),2),IFERROR(RIGHT("00"&amp;VALUE(TRIM(LEFT(Entry!$D1912,FIND(":",Entry!$D1912)-1))),2)&amp;":"&amp;RIGHT("00"&amp;VALUE(TRIM(MID(Entry!$D1912,FIND(":",Entry!$D1912)+1,2))),2),"نامعتبر")),IF(OR($E1912="",$E1912="نامعتبر"),"","00:00"))</f>
        <v/>
      </c>
      <c r="G1912">
        <f>IF(OR($E1912="",$E1912="نامعتبر"),"",IF(Entry!$E1912="","",LEFT(UPPER(TRIM(Entry!$E1912)),6)))</f>
        <v/>
      </c>
      <c r="H1912">
        <f>IF($G1912="","",RIGHT($E1912,4)&amp;MID($E1912,6,2)&amp;RIGHT($E1912,2)&amp;IF($F1912="","0000",IF($F1912="نامعتبر","9999",LEFT($F1912,2)&amp;RIGHT($F1912,2)))&amp;"|"&amp;RIGHT("00000"&amp;1904,5))</f>
        <v/>
      </c>
      <c r="I1912">
        <f>IF($H1912="","",COUNTIFS(CalcBank,$G1912,CalcKey,"&lt;"&amp;$H1912)+1)</f>
        <v/>
      </c>
      <c r="J1912">
        <f>IF($I1912="","",$G1912&amp;"|"&amp;RIGHT("000000"&amp;$I1912,6))</f>
        <v/>
      </c>
      <c r="K1912">
        <f>IF(OR($E1912="",$E1912="نامعتبر"),"",LEFT($E1912,4)&amp;"/"&amp;MID($E1912,6,2))</f>
        <v/>
      </c>
      <c r="L1912">
        <f>IF(Entry!$K1912="",0,Entry!$K1912)</f>
        <v/>
      </c>
      <c r="M1912">
        <f>IF(Entry!$L1912="",0,Entry!$L1912)</f>
        <v/>
      </c>
    </row>
    <row r="1913">
      <c r="A1913">
        <f>IF(Entry!$C1913="","",Entry!$C1913)</f>
        <v/>
      </c>
      <c r="B1913">
        <f>IF($A1913="","",IF(ISNUMBER($A1913),IF(AND($A1913&gt;=10000101,$A1913&lt;=99991231),INT($A1913/10000),""),IFERROR(VALUE(TRIM(LEFT($A1913,FIND("/",$A1913)-1))),"")))</f>
        <v/>
      </c>
      <c r="C1913">
        <f>IF(OR($A1913="",$B1913=""),"",IF(ISNUMBER($A1913),INT(MOD($A1913,10000)/100),IFERROR(VALUE(TRIM(LEFT(MID($A1913,FIND("/",$A1913)+1,20),FIND("/",MID($A1913,FIND("/",$A1913)+1,20))-1))),"")))</f>
        <v/>
      </c>
      <c r="D1913">
        <f>IF(OR($A1913="",$B1913=""),"",IF(ISNUMBER($A1913),MOD($A1913,100),IFERROR(VALUE(TRIM(MID(MID($A1913,FIND("/",$A1913)+1,20),FIND("/",MID($A1913,FIND("/",$A1913)+1,20))+1,20))),"")))</f>
        <v/>
      </c>
      <c r="E1913">
        <f>IF($A1913="","",IF(OR($B1913="",$C1913="",$D1913="",$B1913&lt;1300,$B1913&gt;1500,$C1913&lt;1,$C1913&gt;12,$D1913&lt;1,$D1913&gt;31),"نامعتبر",RIGHT("0000"&amp;$B1913,4)&amp;"/"&amp;RIGHT("00"&amp;$C1913,2)&amp;"/"&amp;RIGHT("00"&amp;$D1913,2)))</f>
        <v/>
      </c>
      <c r="F1913">
        <f>IF(Entry!$D1913&lt;&gt;"",IF(AND(ISNUMBER(Entry!$D1913),Entry!$D1913&gt;=0,Entry!$D1913&lt;1),RIGHT("00"&amp;HOUR(Entry!$D1913),2)&amp;":"&amp;RIGHT("00"&amp;MINUTE(Entry!$D1913),2),IFERROR(RIGHT("00"&amp;VALUE(TRIM(LEFT(Entry!$D1913,FIND(":",Entry!$D1913)-1))),2)&amp;":"&amp;RIGHT("00"&amp;VALUE(TRIM(MID(Entry!$D1913,FIND(":",Entry!$D1913)+1,2))),2),"نامعتبر")),IF(OR($E1913="",$E1913="نامعتبر"),"","00:00"))</f>
        <v/>
      </c>
      <c r="G1913">
        <f>IF(OR($E1913="",$E1913="نامعتبر"),"",IF(Entry!$E1913="","",LEFT(UPPER(TRIM(Entry!$E1913)),6)))</f>
        <v/>
      </c>
      <c r="H1913">
        <f>IF($G1913="","",RIGHT($E1913,4)&amp;MID($E1913,6,2)&amp;RIGHT($E1913,2)&amp;IF($F1913="","0000",IF($F1913="نامعتبر","9999",LEFT($F1913,2)&amp;RIGHT($F1913,2)))&amp;"|"&amp;RIGHT("00000"&amp;1905,5))</f>
        <v/>
      </c>
      <c r="I1913">
        <f>IF($H1913="","",COUNTIFS(CalcBank,$G1913,CalcKey,"&lt;"&amp;$H1913)+1)</f>
        <v/>
      </c>
      <c r="J1913">
        <f>IF($I1913="","",$G1913&amp;"|"&amp;RIGHT("000000"&amp;$I1913,6))</f>
        <v/>
      </c>
      <c r="K1913">
        <f>IF(OR($E1913="",$E1913="نامعتبر"),"",LEFT($E1913,4)&amp;"/"&amp;MID($E1913,6,2))</f>
        <v/>
      </c>
      <c r="L1913">
        <f>IF(Entry!$K1913="",0,Entry!$K1913)</f>
        <v/>
      </c>
      <c r="M1913">
        <f>IF(Entry!$L1913="",0,Entry!$L1913)</f>
        <v/>
      </c>
    </row>
    <row r="1914">
      <c r="A1914">
        <f>IF(Entry!$C1914="","",Entry!$C1914)</f>
        <v/>
      </c>
      <c r="B1914">
        <f>IF($A1914="","",IF(ISNUMBER($A1914),IF(AND($A1914&gt;=10000101,$A1914&lt;=99991231),INT($A1914/10000),""),IFERROR(VALUE(TRIM(LEFT($A1914,FIND("/",$A1914)-1))),"")))</f>
        <v/>
      </c>
      <c r="C1914">
        <f>IF(OR($A1914="",$B1914=""),"",IF(ISNUMBER($A1914),INT(MOD($A1914,10000)/100),IFERROR(VALUE(TRIM(LEFT(MID($A1914,FIND("/",$A1914)+1,20),FIND("/",MID($A1914,FIND("/",$A1914)+1,20))-1))),"")))</f>
        <v/>
      </c>
      <c r="D1914">
        <f>IF(OR($A1914="",$B1914=""),"",IF(ISNUMBER($A1914),MOD($A1914,100),IFERROR(VALUE(TRIM(MID(MID($A1914,FIND("/",$A1914)+1,20),FIND("/",MID($A1914,FIND("/",$A1914)+1,20))+1,20))),"")))</f>
        <v/>
      </c>
      <c r="E1914">
        <f>IF($A1914="","",IF(OR($B1914="",$C1914="",$D1914="",$B1914&lt;1300,$B1914&gt;1500,$C1914&lt;1,$C1914&gt;12,$D1914&lt;1,$D1914&gt;31),"نامعتبر",RIGHT("0000"&amp;$B1914,4)&amp;"/"&amp;RIGHT("00"&amp;$C1914,2)&amp;"/"&amp;RIGHT("00"&amp;$D1914,2)))</f>
        <v/>
      </c>
      <c r="F1914">
        <f>IF(Entry!$D1914&lt;&gt;"",IF(AND(ISNUMBER(Entry!$D1914),Entry!$D1914&gt;=0,Entry!$D1914&lt;1),RIGHT("00"&amp;HOUR(Entry!$D1914),2)&amp;":"&amp;RIGHT("00"&amp;MINUTE(Entry!$D1914),2),IFERROR(RIGHT("00"&amp;VALUE(TRIM(LEFT(Entry!$D1914,FIND(":",Entry!$D1914)-1))),2)&amp;":"&amp;RIGHT("00"&amp;VALUE(TRIM(MID(Entry!$D1914,FIND(":",Entry!$D1914)+1,2))),2),"نامعتبر")),IF(OR($E1914="",$E1914="نامعتبر"),"","00:00"))</f>
        <v/>
      </c>
      <c r="G1914">
        <f>IF(OR($E1914="",$E1914="نامعتبر"),"",IF(Entry!$E1914="","",LEFT(UPPER(TRIM(Entry!$E1914)),6)))</f>
        <v/>
      </c>
      <c r="H1914">
        <f>IF($G1914="","",RIGHT($E1914,4)&amp;MID($E1914,6,2)&amp;RIGHT($E1914,2)&amp;IF($F1914="","0000",IF($F1914="نامعتبر","9999",LEFT($F1914,2)&amp;RIGHT($F1914,2)))&amp;"|"&amp;RIGHT("00000"&amp;1906,5))</f>
        <v/>
      </c>
      <c r="I1914">
        <f>IF($H1914="","",COUNTIFS(CalcBank,$G1914,CalcKey,"&lt;"&amp;$H1914)+1)</f>
        <v/>
      </c>
      <c r="J1914">
        <f>IF($I1914="","",$G1914&amp;"|"&amp;RIGHT("000000"&amp;$I1914,6))</f>
        <v/>
      </c>
      <c r="K1914">
        <f>IF(OR($E1914="",$E1914="نامعتبر"),"",LEFT($E1914,4)&amp;"/"&amp;MID($E1914,6,2))</f>
        <v/>
      </c>
      <c r="L1914">
        <f>IF(Entry!$K1914="",0,Entry!$K1914)</f>
        <v/>
      </c>
      <c r="M1914">
        <f>IF(Entry!$L1914="",0,Entry!$L1914)</f>
        <v/>
      </c>
    </row>
    <row r="1915">
      <c r="A1915">
        <f>IF(Entry!$C1915="","",Entry!$C1915)</f>
        <v/>
      </c>
      <c r="B1915">
        <f>IF($A1915="","",IF(ISNUMBER($A1915),IF(AND($A1915&gt;=10000101,$A1915&lt;=99991231),INT($A1915/10000),""),IFERROR(VALUE(TRIM(LEFT($A1915,FIND("/",$A1915)-1))),"")))</f>
        <v/>
      </c>
      <c r="C1915">
        <f>IF(OR($A1915="",$B1915=""),"",IF(ISNUMBER($A1915),INT(MOD($A1915,10000)/100),IFERROR(VALUE(TRIM(LEFT(MID($A1915,FIND("/",$A1915)+1,20),FIND("/",MID($A1915,FIND("/",$A1915)+1,20))-1))),"")))</f>
        <v/>
      </c>
      <c r="D1915">
        <f>IF(OR($A1915="",$B1915=""),"",IF(ISNUMBER($A1915),MOD($A1915,100),IFERROR(VALUE(TRIM(MID(MID($A1915,FIND("/",$A1915)+1,20),FIND("/",MID($A1915,FIND("/",$A1915)+1,20))+1,20))),"")))</f>
        <v/>
      </c>
      <c r="E1915">
        <f>IF($A1915="","",IF(OR($B1915="",$C1915="",$D1915="",$B1915&lt;1300,$B1915&gt;1500,$C1915&lt;1,$C1915&gt;12,$D1915&lt;1,$D1915&gt;31),"نامعتبر",RIGHT("0000"&amp;$B1915,4)&amp;"/"&amp;RIGHT("00"&amp;$C1915,2)&amp;"/"&amp;RIGHT("00"&amp;$D1915,2)))</f>
        <v/>
      </c>
      <c r="F1915">
        <f>IF(Entry!$D1915&lt;&gt;"",IF(AND(ISNUMBER(Entry!$D1915),Entry!$D1915&gt;=0,Entry!$D1915&lt;1),RIGHT("00"&amp;HOUR(Entry!$D1915),2)&amp;":"&amp;RIGHT("00"&amp;MINUTE(Entry!$D1915),2),IFERROR(RIGHT("00"&amp;VALUE(TRIM(LEFT(Entry!$D1915,FIND(":",Entry!$D1915)-1))),2)&amp;":"&amp;RIGHT("00"&amp;VALUE(TRIM(MID(Entry!$D1915,FIND(":",Entry!$D1915)+1,2))),2),"نامعتبر")),IF(OR($E1915="",$E1915="نامعتبر"),"","00:00"))</f>
        <v/>
      </c>
      <c r="G1915">
        <f>IF(OR($E1915="",$E1915="نامعتبر"),"",IF(Entry!$E1915="","",LEFT(UPPER(TRIM(Entry!$E1915)),6)))</f>
        <v/>
      </c>
      <c r="H1915">
        <f>IF($G1915="","",RIGHT($E1915,4)&amp;MID($E1915,6,2)&amp;RIGHT($E1915,2)&amp;IF($F1915="","0000",IF($F1915="نامعتبر","9999",LEFT($F1915,2)&amp;RIGHT($F1915,2)))&amp;"|"&amp;RIGHT("00000"&amp;1907,5))</f>
        <v/>
      </c>
      <c r="I1915">
        <f>IF($H1915="","",COUNTIFS(CalcBank,$G1915,CalcKey,"&lt;"&amp;$H1915)+1)</f>
        <v/>
      </c>
      <c r="J1915">
        <f>IF($I1915="","",$G1915&amp;"|"&amp;RIGHT("000000"&amp;$I1915,6))</f>
        <v/>
      </c>
      <c r="K1915">
        <f>IF(OR($E1915="",$E1915="نامعتبر"),"",LEFT($E1915,4)&amp;"/"&amp;MID($E1915,6,2))</f>
        <v/>
      </c>
      <c r="L1915">
        <f>IF(Entry!$K1915="",0,Entry!$K1915)</f>
        <v/>
      </c>
      <c r="M1915">
        <f>IF(Entry!$L1915="",0,Entry!$L1915)</f>
        <v/>
      </c>
    </row>
    <row r="1916">
      <c r="A1916">
        <f>IF(Entry!$C1916="","",Entry!$C1916)</f>
        <v/>
      </c>
      <c r="B1916">
        <f>IF($A1916="","",IF(ISNUMBER($A1916),IF(AND($A1916&gt;=10000101,$A1916&lt;=99991231),INT($A1916/10000),""),IFERROR(VALUE(TRIM(LEFT($A1916,FIND("/",$A1916)-1))),"")))</f>
        <v/>
      </c>
      <c r="C1916">
        <f>IF(OR($A1916="",$B1916=""),"",IF(ISNUMBER($A1916),INT(MOD($A1916,10000)/100),IFERROR(VALUE(TRIM(LEFT(MID($A1916,FIND("/",$A1916)+1,20),FIND("/",MID($A1916,FIND("/",$A1916)+1,20))-1))),"")))</f>
        <v/>
      </c>
      <c r="D1916">
        <f>IF(OR($A1916="",$B1916=""),"",IF(ISNUMBER($A1916),MOD($A1916,100),IFERROR(VALUE(TRIM(MID(MID($A1916,FIND("/",$A1916)+1,20),FIND("/",MID($A1916,FIND("/",$A1916)+1,20))+1,20))),"")))</f>
        <v/>
      </c>
      <c r="E1916">
        <f>IF($A1916="","",IF(OR($B1916="",$C1916="",$D1916="",$B1916&lt;1300,$B1916&gt;1500,$C1916&lt;1,$C1916&gt;12,$D1916&lt;1,$D1916&gt;31),"نامعتبر",RIGHT("0000"&amp;$B1916,4)&amp;"/"&amp;RIGHT("00"&amp;$C1916,2)&amp;"/"&amp;RIGHT("00"&amp;$D1916,2)))</f>
        <v/>
      </c>
      <c r="F1916">
        <f>IF(Entry!$D1916&lt;&gt;"",IF(AND(ISNUMBER(Entry!$D1916),Entry!$D1916&gt;=0,Entry!$D1916&lt;1),RIGHT("00"&amp;HOUR(Entry!$D1916),2)&amp;":"&amp;RIGHT("00"&amp;MINUTE(Entry!$D1916),2),IFERROR(RIGHT("00"&amp;VALUE(TRIM(LEFT(Entry!$D1916,FIND(":",Entry!$D1916)-1))),2)&amp;":"&amp;RIGHT("00"&amp;VALUE(TRIM(MID(Entry!$D1916,FIND(":",Entry!$D1916)+1,2))),2),"نامعتبر")),IF(OR($E1916="",$E1916="نامعتبر"),"","00:00"))</f>
        <v/>
      </c>
      <c r="G1916">
        <f>IF(OR($E1916="",$E1916="نامعتبر"),"",IF(Entry!$E1916="","",LEFT(UPPER(TRIM(Entry!$E1916)),6)))</f>
        <v/>
      </c>
      <c r="H1916">
        <f>IF($G1916="","",RIGHT($E1916,4)&amp;MID($E1916,6,2)&amp;RIGHT($E1916,2)&amp;IF($F1916="","0000",IF($F1916="نامعتبر","9999",LEFT($F1916,2)&amp;RIGHT($F1916,2)))&amp;"|"&amp;RIGHT("00000"&amp;1908,5))</f>
        <v/>
      </c>
      <c r="I1916">
        <f>IF($H1916="","",COUNTIFS(CalcBank,$G1916,CalcKey,"&lt;"&amp;$H1916)+1)</f>
        <v/>
      </c>
      <c r="J1916">
        <f>IF($I1916="","",$G1916&amp;"|"&amp;RIGHT("000000"&amp;$I1916,6))</f>
        <v/>
      </c>
      <c r="K1916">
        <f>IF(OR($E1916="",$E1916="نامعتبر"),"",LEFT($E1916,4)&amp;"/"&amp;MID($E1916,6,2))</f>
        <v/>
      </c>
      <c r="L1916">
        <f>IF(Entry!$K1916="",0,Entry!$K1916)</f>
        <v/>
      </c>
      <c r="M1916">
        <f>IF(Entry!$L1916="",0,Entry!$L1916)</f>
        <v/>
      </c>
    </row>
    <row r="1917">
      <c r="A1917">
        <f>IF(Entry!$C1917="","",Entry!$C1917)</f>
        <v/>
      </c>
      <c r="B1917">
        <f>IF($A1917="","",IF(ISNUMBER($A1917),IF(AND($A1917&gt;=10000101,$A1917&lt;=99991231),INT($A1917/10000),""),IFERROR(VALUE(TRIM(LEFT($A1917,FIND("/",$A1917)-1))),"")))</f>
        <v/>
      </c>
      <c r="C1917">
        <f>IF(OR($A1917="",$B1917=""),"",IF(ISNUMBER($A1917),INT(MOD($A1917,10000)/100),IFERROR(VALUE(TRIM(LEFT(MID($A1917,FIND("/",$A1917)+1,20),FIND("/",MID($A1917,FIND("/",$A1917)+1,20))-1))),"")))</f>
        <v/>
      </c>
      <c r="D1917">
        <f>IF(OR($A1917="",$B1917=""),"",IF(ISNUMBER($A1917),MOD($A1917,100),IFERROR(VALUE(TRIM(MID(MID($A1917,FIND("/",$A1917)+1,20),FIND("/",MID($A1917,FIND("/",$A1917)+1,20))+1,20))),"")))</f>
        <v/>
      </c>
      <c r="E1917">
        <f>IF($A1917="","",IF(OR($B1917="",$C1917="",$D1917="",$B1917&lt;1300,$B1917&gt;1500,$C1917&lt;1,$C1917&gt;12,$D1917&lt;1,$D1917&gt;31),"نامعتبر",RIGHT("0000"&amp;$B1917,4)&amp;"/"&amp;RIGHT("00"&amp;$C1917,2)&amp;"/"&amp;RIGHT("00"&amp;$D1917,2)))</f>
        <v/>
      </c>
      <c r="F1917">
        <f>IF(Entry!$D1917&lt;&gt;"",IF(AND(ISNUMBER(Entry!$D1917),Entry!$D1917&gt;=0,Entry!$D1917&lt;1),RIGHT("00"&amp;HOUR(Entry!$D1917),2)&amp;":"&amp;RIGHT("00"&amp;MINUTE(Entry!$D1917),2),IFERROR(RIGHT("00"&amp;VALUE(TRIM(LEFT(Entry!$D1917,FIND(":",Entry!$D1917)-1))),2)&amp;":"&amp;RIGHT("00"&amp;VALUE(TRIM(MID(Entry!$D1917,FIND(":",Entry!$D1917)+1,2))),2),"نامعتبر")),IF(OR($E1917="",$E1917="نامعتبر"),"","00:00"))</f>
        <v/>
      </c>
      <c r="G1917">
        <f>IF(OR($E1917="",$E1917="نامعتبر"),"",IF(Entry!$E1917="","",LEFT(UPPER(TRIM(Entry!$E1917)),6)))</f>
        <v/>
      </c>
      <c r="H1917">
        <f>IF($G1917="","",RIGHT($E1917,4)&amp;MID($E1917,6,2)&amp;RIGHT($E1917,2)&amp;IF($F1917="","0000",IF($F1917="نامعتبر","9999",LEFT($F1917,2)&amp;RIGHT($F1917,2)))&amp;"|"&amp;RIGHT("00000"&amp;1909,5))</f>
        <v/>
      </c>
      <c r="I1917">
        <f>IF($H1917="","",COUNTIFS(CalcBank,$G1917,CalcKey,"&lt;"&amp;$H1917)+1)</f>
        <v/>
      </c>
      <c r="J1917">
        <f>IF($I1917="","",$G1917&amp;"|"&amp;RIGHT("000000"&amp;$I1917,6))</f>
        <v/>
      </c>
      <c r="K1917">
        <f>IF(OR($E1917="",$E1917="نامعتبر"),"",LEFT($E1917,4)&amp;"/"&amp;MID($E1917,6,2))</f>
        <v/>
      </c>
      <c r="L1917">
        <f>IF(Entry!$K1917="",0,Entry!$K1917)</f>
        <v/>
      </c>
      <c r="M1917">
        <f>IF(Entry!$L1917="",0,Entry!$L1917)</f>
        <v/>
      </c>
    </row>
    <row r="1918">
      <c r="A1918">
        <f>IF(Entry!$C1918="","",Entry!$C1918)</f>
        <v/>
      </c>
      <c r="B1918">
        <f>IF($A1918="","",IF(ISNUMBER($A1918),IF(AND($A1918&gt;=10000101,$A1918&lt;=99991231),INT($A1918/10000),""),IFERROR(VALUE(TRIM(LEFT($A1918,FIND("/",$A1918)-1))),"")))</f>
        <v/>
      </c>
      <c r="C1918">
        <f>IF(OR($A1918="",$B1918=""),"",IF(ISNUMBER($A1918),INT(MOD($A1918,10000)/100),IFERROR(VALUE(TRIM(LEFT(MID($A1918,FIND("/",$A1918)+1,20),FIND("/",MID($A1918,FIND("/",$A1918)+1,20))-1))),"")))</f>
        <v/>
      </c>
      <c r="D1918">
        <f>IF(OR($A1918="",$B1918=""),"",IF(ISNUMBER($A1918),MOD($A1918,100),IFERROR(VALUE(TRIM(MID(MID($A1918,FIND("/",$A1918)+1,20),FIND("/",MID($A1918,FIND("/",$A1918)+1,20))+1,20))),"")))</f>
        <v/>
      </c>
      <c r="E1918">
        <f>IF($A1918="","",IF(OR($B1918="",$C1918="",$D1918="",$B1918&lt;1300,$B1918&gt;1500,$C1918&lt;1,$C1918&gt;12,$D1918&lt;1,$D1918&gt;31),"نامعتبر",RIGHT("0000"&amp;$B1918,4)&amp;"/"&amp;RIGHT("00"&amp;$C1918,2)&amp;"/"&amp;RIGHT("00"&amp;$D1918,2)))</f>
        <v/>
      </c>
      <c r="F1918">
        <f>IF(Entry!$D1918&lt;&gt;"",IF(AND(ISNUMBER(Entry!$D1918),Entry!$D1918&gt;=0,Entry!$D1918&lt;1),RIGHT("00"&amp;HOUR(Entry!$D1918),2)&amp;":"&amp;RIGHT("00"&amp;MINUTE(Entry!$D1918),2),IFERROR(RIGHT("00"&amp;VALUE(TRIM(LEFT(Entry!$D1918,FIND(":",Entry!$D1918)-1))),2)&amp;":"&amp;RIGHT("00"&amp;VALUE(TRIM(MID(Entry!$D1918,FIND(":",Entry!$D1918)+1,2))),2),"نامعتبر")),IF(OR($E1918="",$E1918="نامعتبر"),"","00:00"))</f>
        <v/>
      </c>
      <c r="G1918">
        <f>IF(OR($E1918="",$E1918="نامعتبر"),"",IF(Entry!$E1918="","",LEFT(UPPER(TRIM(Entry!$E1918)),6)))</f>
        <v/>
      </c>
      <c r="H1918">
        <f>IF($G1918="","",RIGHT($E1918,4)&amp;MID($E1918,6,2)&amp;RIGHT($E1918,2)&amp;IF($F1918="","0000",IF($F1918="نامعتبر","9999",LEFT($F1918,2)&amp;RIGHT($F1918,2)))&amp;"|"&amp;RIGHT("00000"&amp;1910,5))</f>
        <v/>
      </c>
      <c r="I1918">
        <f>IF($H1918="","",COUNTIFS(CalcBank,$G1918,CalcKey,"&lt;"&amp;$H1918)+1)</f>
        <v/>
      </c>
      <c r="J1918">
        <f>IF($I1918="","",$G1918&amp;"|"&amp;RIGHT("000000"&amp;$I1918,6))</f>
        <v/>
      </c>
      <c r="K1918">
        <f>IF(OR($E1918="",$E1918="نامعتبر"),"",LEFT($E1918,4)&amp;"/"&amp;MID($E1918,6,2))</f>
        <v/>
      </c>
      <c r="L1918">
        <f>IF(Entry!$K1918="",0,Entry!$K1918)</f>
        <v/>
      </c>
      <c r="M1918">
        <f>IF(Entry!$L1918="",0,Entry!$L1918)</f>
        <v/>
      </c>
    </row>
    <row r="1919">
      <c r="A1919">
        <f>IF(Entry!$C1919="","",Entry!$C1919)</f>
        <v/>
      </c>
      <c r="B1919">
        <f>IF($A1919="","",IF(ISNUMBER($A1919),IF(AND($A1919&gt;=10000101,$A1919&lt;=99991231),INT($A1919/10000),""),IFERROR(VALUE(TRIM(LEFT($A1919,FIND("/",$A1919)-1))),"")))</f>
        <v/>
      </c>
      <c r="C1919">
        <f>IF(OR($A1919="",$B1919=""),"",IF(ISNUMBER($A1919),INT(MOD($A1919,10000)/100),IFERROR(VALUE(TRIM(LEFT(MID($A1919,FIND("/",$A1919)+1,20),FIND("/",MID($A1919,FIND("/",$A1919)+1,20))-1))),"")))</f>
        <v/>
      </c>
      <c r="D1919">
        <f>IF(OR($A1919="",$B1919=""),"",IF(ISNUMBER($A1919),MOD($A1919,100),IFERROR(VALUE(TRIM(MID(MID($A1919,FIND("/",$A1919)+1,20),FIND("/",MID($A1919,FIND("/",$A1919)+1,20))+1,20))),"")))</f>
        <v/>
      </c>
      <c r="E1919">
        <f>IF($A1919="","",IF(OR($B1919="",$C1919="",$D1919="",$B1919&lt;1300,$B1919&gt;1500,$C1919&lt;1,$C1919&gt;12,$D1919&lt;1,$D1919&gt;31),"نامعتبر",RIGHT("0000"&amp;$B1919,4)&amp;"/"&amp;RIGHT("00"&amp;$C1919,2)&amp;"/"&amp;RIGHT("00"&amp;$D1919,2)))</f>
        <v/>
      </c>
      <c r="F1919">
        <f>IF(Entry!$D1919&lt;&gt;"",IF(AND(ISNUMBER(Entry!$D1919),Entry!$D1919&gt;=0,Entry!$D1919&lt;1),RIGHT("00"&amp;HOUR(Entry!$D1919),2)&amp;":"&amp;RIGHT("00"&amp;MINUTE(Entry!$D1919),2),IFERROR(RIGHT("00"&amp;VALUE(TRIM(LEFT(Entry!$D1919,FIND(":",Entry!$D1919)-1))),2)&amp;":"&amp;RIGHT("00"&amp;VALUE(TRIM(MID(Entry!$D1919,FIND(":",Entry!$D1919)+1,2))),2),"نامعتبر")),IF(OR($E1919="",$E1919="نامعتبر"),"","00:00"))</f>
        <v/>
      </c>
      <c r="G1919">
        <f>IF(OR($E1919="",$E1919="نامعتبر"),"",IF(Entry!$E1919="","",LEFT(UPPER(TRIM(Entry!$E1919)),6)))</f>
        <v/>
      </c>
      <c r="H1919">
        <f>IF($G1919="","",RIGHT($E1919,4)&amp;MID($E1919,6,2)&amp;RIGHT($E1919,2)&amp;IF($F1919="","0000",IF($F1919="نامعتبر","9999",LEFT($F1919,2)&amp;RIGHT($F1919,2)))&amp;"|"&amp;RIGHT("00000"&amp;1911,5))</f>
        <v/>
      </c>
      <c r="I1919">
        <f>IF($H1919="","",COUNTIFS(CalcBank,$G1919,CalcKey,"&lt;"&amp;$H1919)+1)</f>
        <v/>
      </c>
      <c r="J1919">
        <f>IF($I1919="","",$G1919&amp;"|"&amp;RIGHT("000000"&amp;$I1919,6))</f>
        <v/>
      </c>
      <c r="K1919">
        <f>IF(OR($E1919="",$E1919="نامعتبر"),"",LEFT($E1919,4)&amp;"/"&amp;MID($E1919,6,2))</f>
        <v/>
      </c>
      <c r="L1919">
        <f>IF(Entry!$K1919="",0,Entry!$K1919)</f>
        <v/>
      </c>
      <c r="M1919">
        <f>IF(Entry!$L1919="",0,Entry!$L1919)</f>
        <v/>
      </c>
    </row>
    <row r="1920">
      <c r="A1920">
        <f>IF(Entry!$C1920="","",Entry!$C1920)</f>
        <v/>
      </c>
      <c r="B1920">
        <f>IF($A1920="","",IF(ISNUMBER($A1920),IF(AND($A1920&gt;=10000101,$A1920&lt;=99991231),INT($A1920/10000),""),IFERROR(VALUE(TRIM(LEFT($A1920,FIND("/",$A1920)-1))),"")))</f>
        <v/>
      </c>
      <c r="C1920">
        <f>IF(OR($A1920="",$B1920=""),"",IF(ISNUMBER($A1920),INT(MOD($A1920,10000)/100),IFERROR(VALUE(TRIM(LEFT(MID($A1920,FIND("/",$A1920)+1,20),FIND("/",MID($A1920,FIND("/",$A1920)+1,20))-1))),"")))</f>
        <v/>
      </c>
      <c r="D1920">
        <f>IF(OR($A1920="",$B1920=""),"",IF(ISNUMBER($A1920),MOD($A1920,100),IFERROR(VALUE(TRIM(MID(MID($A1920,FIND("/",$A1920)+1,20),FIND("/",MID($A1920,FIND("/",$A1920)+1,20))+1,20))),"")))</f>
        <v/>
      </c>
      <c r="E1920">
        <f>IF($A1920="","",IF(OR($B1920="",$C1920="",$D1920="",$B1920&lt;1300,$B1920&gt;1500,$C1920&lt;1,$C1920&gt;12,$D1920&lt;1,$D1920&gt;31),"نامعتبر",RIGHT("0000"&amp;$B1920,4)&amp;"/"&amp;RIGHT("00"&amp;$C1920,2)&amp;"/"&amp;RIGHT("00"&amp;$D1920,2)))</f>
        <v/>
      </c>
      <c r="F1920">
        <f>IF(Entry!$D1920&lt;&gt;"",IF(AND(ISNUMBER(Entry!$D1920),Entry!$D1920&gt;=0,Entry!$D1920&lt;1),RIGHT("00"&amp;HOUR(Entry!$D1920),2)&amp;":"&amp;RIGHT("00"&amp;MINUTE(Entry!$D1920),2),IFERROR(RIGHT("00"&amp;VALUE(TRIM(LEFT(Entry!$D1920,FIND(":",Entry!$D1920)-1))),2)&amp;":"&amp;RIGHT("00"&amp;VALUE(TRIM(MID(Entry!$D1920,FIND(":",Entry!$D1920)+1,2))),2),"نامعتبر")),IF(OR($E1920="",$E1920="نامعتبر"),"","00:00"))</f>
        <v/>
      </c>
      <c r="G1920">
        <f>IF(OR($E1920="",$E1920="نامعتبر"),"",IF(Entry!$E1920="","",LEFT(UPPER(TRIM(Entry!$E1920)),6)))</f>
        <v/>
      </c>
      <c r="H1920">
        <f>IF($G1920="","",RIGHT($E1920,4)&amp;MID($E1920,6,2)&amp;RIGHT($E1920,2)&amp;IF($F1920="","0000",IF($F1920="نامعتبر","9999",LEFT($F1920,2)&amp;RIGHT($F1920,2)))&amp;"|"&amp;RIGHT("00000"&amp;1912,5))</f>
        <v/>
      </c>
      <c r="I1920">
        <f>IF($H1920="","",COUNTIFS(CalcBank,$G1920,CalcKey,"&lt;"&amp;$H1920)+1)</f>
        <v/>
      </c>
      <c r="J1920">
        <f>IF($I1920="","",$G1920&amp;"|"&amp;RIGHT("000000"&amp;$I1920,6))</f>
        <v/>
      </c>
      <c r="K1920">
        <f>IF(OR($E1920="",$E1920="نامعتبر"),"",LEFT($E1920,4)&amp;"/"&amp;MID($E1920,6,2))</f>
        <v/>
      </c>
      <c r="L1920">
        <f>IF(Entry!$K1920="",0,Entry!$K1920)</f>
        <v/>
      </c>
      <c r="M1920">
        <f>IF(Entry!$L1920="",0,Entry!$L1920)</f>
        <v/>
      </c>
    </row>
    <row r="1921">
      <c r="A1921">
        <f>IF(Entry!$C1921="","",Entry!$C1921)</f>
        <v/>
      </c>
      <c r="B1921">
        <f>IF($A1921="","",IF(ISNUMBER($A1921),IF(AND($A1921&gt;=10000101,$A1921&lt;=99991231),INT($A1921/10000),""),IFERROR(VALUE(TRIM(LEFT($A1921,FIND("/",$A1921)-1))),"")))</f>
        <v/>
      </c>
      <c r="C1921">
        <f>IF(OR($A1921="",$B1921=""),"",IF(ISNUMBER($A1921),INT(MOD($A1921,10000)/100),IFERROR(VALUE(TRIM(LEFT(MID($A1921,FIND("/",$A1921)+1,20),FIND("/",MID($A1921,FIND("/",$A1921)+1,20))-1))),"")))</f>
        <v/>
      </c>
      <c r="D1921">
        <f>IF(OR($A1921="",$B1921=""),"",IF(ISNUMBER($A1921),MOD($A1921,100),IFERROR(VALUE(TRIM(MID(MID($A1921,FIND("/",$A1921)+1,20),FIND("/",MID($A1921,FIND("/",$A1921)+1,20))+1,20))),"")))</f>
        <v/>
      </c>
      <c r="E1921">
        <f>IF($A1921="","",IF(OR($B1921="",$C1921="",$D1921="",$B1921&lt;1300,$B1921&gt;1500,$C1921&lt;1,$C1921&gt;12,$D1921&lt;1,$D1921&gt;31),"نامعتبر",RIGHT("0000"&amp;$B1921,4)&amp;"/"&amp;RIGHT("00"&amp;$C1921,2)&amp;"/"&amp;RIGHT("00"&amp;$D1921,2)))</f>
        <v/>
      </c>
      <c r="F1921">
        <f>IF(Entry!$D1921&lt;&gt;"",IF(AND(ISNUMBER(Entry!$D1921),Entry!$D1921&gt;=0,Entry!$D1921&lt;1),RIGHT("00"&amp;HOUR(Entry!$D1921),2)&amp;":"&amp;RIGHT("00"&amp;MINUTE(Entry!$D1921),2),IFERROR(RIGHT("00"&amp;VALUE(TRIM(LEFT(Entry!$D1921,FIND(":",Entry!$D1921)-1))),2)&amp;":"&amp;RIGHT("00"&amp;VALUE(TRIM(MID(Entry!$D1921,FIND(":",Entry!$D1921)+1,2))),2),"نامعتبر")),IF(OR($E1921="",$E1921="نامعتبر"),"","00:00"))</f>
        <v/>
      </c>
      <c r="G1921">
        <f>IF(OR($E1921="",$E1921="نامعتبر"),"",IF(Entry!$E1921="","",LEFT(UPPER(TRIM(Entry!$E1921)),6)))</f>
        <v/>
      </c>
      <c r="H1921">
        <f>IF($G1921="","",RIGHT($E1921,4)&amp;MID($E1921,6,2)&amp;RIGHT($E1921,2)&amp;IF($F1921="","0000",IF($F1921="نامعتبر","9999",LEFT($F1921,2)&amp;RIGHT($F1921,2)))&amp;"|"&amp;RIGHT("00000"&amp;1913,5))</f>
        <v/>
      </c>
      <c r="I1921">
        <f>IF($H1921="","",COUNTIFS(CalcBank,$G1921,CalcKey,"&lt;"&amp;$H1921)+1)</f>
        <v/>
      </c>
      <c r="J1921">
        <f>IF($I1921="","",$G1921&amp;"|"&amp;RIGHT("000000"&amp;$I1921,6))</f>
        <v/>
      </c>
      <c r="K1921">
        <f>IF(OR($E1921="",$E1921="نامعتبر"),"",LEFT($E1921,4)&amp;"/"&amp;MID($E1921,6,2))</f>
        <v/>
      </c>
      <c r="L1921">
        <f>IF(Entry!$K1921="",0,Entry!$K1921)</f>
        <v/>
      </c>
      <c r="M1921">
        <f>IF(Entry!$L1921="",0,Entry!$L1921)</f>
        <v/>
      </c>
    </row>
    <row r="1922">
      <c r="A1922">
        <f>IF(Entry!$C1922="","",Entry!$C1922)</f>
        <v/>
      </c>
      <c r="B1922">
        <f>IF($A1922="","",IF(ISNUMBER($A1922),IF(AND($A1922&gt;=10000101,$A1922&lt;=99991231),INT($A1922/10000),""),IFERROR(VALUE(TRIM(LEFT($A1922,FIND("/",$A1922)-1))),"")))</f>
        <v/>
      </c>
      <c r="C1922">
        <f>IF(OR($A1922="",$B1922=""),"",IF(ISNUMBER($A1922),INT(MOD($A1922,10000)/100),IFERROR(VALUE(TRIM(LEFT(MID($A1922,FIND("/",$A1922)+1,20),FIND("/",MID($A1922,FIND("/",$A1922)+1,20))-1))),"")))</f>
        <v/>
      </c>
      <c r="D1922">
        <f>IF(OR($A1922="",$B1922=""),"",IF(ISNUMBER($A1922),MOD($A1922,100),IFERROR(VALUE(TRIM(MID(MID($A1922,FIND("/",$A1922)+1,20),FIND("/",MID($A1922,FIND("/",$A1922)+1,20))+1,20))),"")))</f>
        <v/>
      </c>
      <c r="E1922">
        <f>IF($A1922="","",IF(OR($B1922="",$C1922="",$D1922="",$B1922&lt;1300,$B1922&gt;1500,$C1922&lt;1,$C1922&gt;12,$D1922&lt;1,$D1922&gt;31),"نامعتبر",RIGHT("0000"&amp;$B1922,4)&amp;"/"&amp;RIGHT("00"&amp;$C1922,2)&amp;"/"&amp;RIGHT("00"&amp;$D1922,2)))</f>
        <v/>
      </c>
      <c r="F1922">
        <f>IF(Entry!$D1922&lt;&gt;"",IF(AND(ISNUMBER(Entry!$D1922),Entry!$D1922&gt;=0,Entry!$D1922&lt;1),RIGHT("00"&amp;HOUR(Entry!$D1922),2)&amp;":"&amp;RIGHT("00"&amp;MINUTE(Entry!$D1922),2),IFERROR(RIGHT("00"&amp;VALUE(TRIM(LEFT(Entry!$D1922,FIND(":",Entry!$D1922)-1))),2)&amp;":"&amp;RIGHT("00"&amp;VALUE(TRIM(MID(Entry!$D1922,FIND(":",Entry!$D1922)+1,2))),2),"نامعتبر")),IF(OR($E1922="",$E1922="نامعتبر"),"","00:00"))</f>
        <v/>
      </c>
      <c r="G1922">
        <f>IF(OR($E1922="",$E1922="نامعتبر"),"",IF(Entry!$E1922="","",LEFT(UPPER(TRIM(Entry!$E1922)),6)))</f>
        <v/>
      </c>
      <c r="H1922">
        <f>IF($G1922="","",RIGHT($E1922,4)&amp;MID($E1922,6,2)&amp;RIGHT($E1922,2)&amp;IF($F1922="","0000",IF($F1922="نامعتبر","9999",LEFT($F1922,2)&amp;RIGHT($F1922,2)))&amp;"|"&amp;RIGHT("00000"&amp;1914,5))</f>
        <v/>
      </c>
      <c r="I1922">
        <f>IF($H1922="","",COUNTIFS(CalcBank,$G1922,CalcKey,"&lt;"&amp;$H1922)+1)</f>
        <v/>
      </c>
      <c r="J1922">
        <f>IF($I1922="","",$G1922&amp;"|"&amp;RIGHT("000000"&amp;$I1922,6))</f>
        <v/>
      </c>
      <c r="K1922">
        <f>IF(OR($E1922="",$E1922="نامعتبر"),"",LEFT($E1922,4)&amp;"/"&amp;MID($E1922,6,2))</f>
        <v/>
      </c>
      <c r="L1922">
        <f>IF(Entry!$K1922="",0,Entry!$K1922)</f>
        <v/>
      </c>
      <c r="M1922">
        <f>IF(Entry!$L1922="",0,Entry!$L1922)</f>
        <v/>
      </c>
    </row>
    <row r="1923">
      <c r="A1923">
        <f>IF(Entry!$C1923="","",Entry!$C1923)</f>
        <v/>
      </c>
      <c r="B1923">
        <f>IF($A1923="","",IF(ISNUMBER($A1923),IF(AND($A1923&gt;=10000101,$A1923&lt;=99991231),INT($A1923/10000),""),IFERROR(VALUE(TRIM(LEFT($A1923,FIND("/",$A1923)-1))),"")))</f>
        <v/>
      </c>
      <c r="C1923">
        <f>IF(OR($A1923="",$B1923=""),"",IF(ISNUMBER($A1923),INT(MOD($A1923,10000)/100),IFERROR(VALUE(TRIM(LEFT(MID($A1923,FIND("/",$A1923)+1,20),FIND("/",MID($A1923,FIND("/",$A1923)+1,20))-1))),"")))</f>
        <v/>
      </c>
      <c r="D1923">
        <f>IF(OR($A1923="",$B1923=""),"",IF(ISNUMBER($A1923),MOD($A1923,100),IFERROR(VALUE(TRIM(MID(MID($A1923,FIND("/",$A1923)+1,20),FIND("/",MID($A1923,FIND("/",$A1923)+1,20))+1,20))),"")))</f>
        <v/>
      </c>
      <c r="E1923">
        <f>IF($A1923="","",IF(OR($B1923="",$C1923="",$D1923="",$B1923&lt;1300,$B1923&gt;1500,$C1923&lt;1,$C1923&gt;12,$D1923&lt;1,$D1923&gt;31),"نامعتبر",RIGHT("0000"&amp;$B1923,4)&amp;"/"&amp;RIGHT("00"&amp;$C1923,2)&amp;"/"&amp;RIGHT("00"&amp;$D1923,2)))</f>
        <v/>
      </c>
      <c r="F1923">
        <f>IF(Entry!$D1923&lt;&gt;"",IF(AND(ISNUMBER(Entry!$D1923),Entry!$D1923&gt;=0,Entry!$D1923&lt;1),RIGHT("00"&amp;HOUR(Entry!$D1923),2)&amp;":"&amp;RIGHT("00"&amp;MINUTE(Entry!$D1923),2),IFERROR(RIGHT("00"&amp;VALUE(TRIM(LEFT(Entry!$D1923,FIND(":",Entry!$D1923)-1))),2)&amp;":"&amp;RIGHT("00"&amp;VALUE(TRIM(MID(Entry!$D1923,FIND(":",Entry!$D1923)+1,2))),2),"نامعتبر")),IF(OR($E1923="",$E1923="نامعتبر"),"","00:00"))</f>
        <v/>
      </c>
      <c r="G1923">
        <f>IF(OR($E1923="",$E1923="نامعتبر"),"",IF(Entry!$E1923="","",LEFT(UPPER(TRIM(Entry!$E1923)),6)))</f>
        <v/>
      </c>
      <c r="H1923">
        <f>IF($G1923="","",RIGHT($E1923,4)&amp;MID($E1923,6,2)&amp;RIGHT($E1923,2)&amp;IF($F1923="","0000",IF($F1923="نامعتبر","9999",LEFT($F1923,2)&amp;RIGHT($F1923,2)))&amp;"|"&amp;RIGHT("00000"&amp;1915,5))</f>
        <v/>
      </c>
      <c r="I1923">
        <f>IF($H1923="","",COUNTIFS(CalcBank,$G1923,CalcKey,"&lt;"&amp;$H1923)+1)</f>
        <v/>
      </c>
      <c r="J1923">
        <f>IF($I1923="","",$G1923&amp;"|"&amp;RIGHT("000000"&amp;$I1923,6))</f>
        <v/>
      </c>
      <c r="K1923">
        <f>IF(OR($E1923="",$E1923="نامعتبر"),"",LEFT($E1923,4)&amp;"/"&amp;MID($E1923,6,2))</f>
        <v/>
      </c>
      <c r="L1923">
        <f>IF(Entry!$K1923="",0,Entry!$K1923)</f>
        <v/>
      </c>
      <c r="M1923">
        <f>IF(Entry!$L1923="",0,Entry!$L1923)</f>
        <v/>
      </c>
    </row>
    <row r="1924">
      <c r="A1924">
        <f>IF(Entry!$C1924="","",Entry!$C1924)</f>
        <v/>
      </c>
      <c r="B1924">
        <f>IF($A1924="","",IF(ISNUMBER($A1924),IF(AND($A1924&gt;=10000101,$A1924&lt;=99991231),INT($A1924/10000),""),IFERROR(VALUE(TRIM(LEFT($A1924,FIND("/",$A1924)-1))),"")))</f>
        <v/>
      </c>
      <c r="C1924">
        <f>IF(OR($A1924="",$B1924=""),"",IF(ISNUMBER($A1924),INT(MOD($A1924,10000)/100),IFERROR(VALUE(TRIM(LEFT(MID($A1924,FIND("/",$A1924)+1,20),FIND("/",MID($A1924,FIND("/",$A1924)+1,20))-1))),"")))</f>
        <v/>
      </c>
      <c r="D1924">
        <f>IF(OR($A1924="",$B1924=""),"",IF(ISNUMBER($A1924),MOD($A1924,100),IFERROR(VALUE(TRIM(MID(MID($A1924,FIND("/",$A1924)+1,20),FIND("/",MID($A1924,FIND("/",$A1924)+1,20))+1,20))),"")))</f>
        <v/>
      </c>
      <c r="E1924">
        <f>IF($A1924="","",IF(OR($B1924="",$C1924="",$D1924="",$B1924&lt;1300,$B1924&gt;1500,$C1924&lt;1,$C1924&gt;12,$D1924&lt;1,$D1924&gt;31),"نامعتبر",RIGHT("0000"&amp;$B1924,4)&amp;"/"&amp;RIGHT("00"&amp;$C1924,2)&amp;"/"&amp;RIGHT("00"&amp;$D1924,2)))</f>
        <v/>
      </c>
      <c r="F1924">
        <f>IF(Entry!$D1924&lt;&gt;"",IF(AND(ISNUMBER(Entry!$D1924),Entry!$D1924&gt;=0,Entry!$D1924&lt;1),RIGHT("00"&amp;HOUR(Entry!$D1924),2)&amp;":"&amp;RIGHT("00"&amp;MINUTE(Entry!$D1924),2),IFERROR(RIGHT("00"&amp;VALUE(TRIM(LEFT(Entry!$D1924,FIND(":",Entry!$D1924)-1))),2)&amp;":"&amp;RIGHT("00"&amp;VALUE(TRIM(MID(Entry!$D1924,FIND(":",Entry!$D1924)+1,2))),2),"نامعتبر")),IF(OR($E1924="",$E1924="نامعتبر"),"","00:00"))</f>
        <v/>
      </c>
      <c r="G1924">
        <f>IF(OR($E1924="",$E1924="نامعتبر"),"",IF(Entry!$E1924="","",LEFT(UPPER(TRIM(Entry!$E1924)),6)))</f>
        <v/>
      </c>
      <c r="H1924">
        <f>IF($G1924="","",RIGHT($E1924,4)&amp;MID($E1924,6,2)&amp;RIGHT($E1924,2)&amp;IF($F1924="","0000",IF($F1924="نامعتبر","9999",LEFT($F1924,2)&amp;RIGHT($F1924,2)))&amp;"|"&amp;RIGHT("00000"&amp;1916,5))</f>
        <v/>
      </c>
      <c r="I1924">
        <f>IF($H1924="","",COUNTIFS(CalcBank,$G1924,CalcKey,"&lt;"&amp;$H1924)+1)</f>
        <v/>
      </c>
      <c r="J1924">
        <f>IF($I1924="","",$G1924&amp;"|"&amp;RIGHT("000000"&amp;$I1924,6))</f>
        <v/>
      </c>
      <c r="K1924">
        <f>IF(OR($E1924="",$E1924="نامعتبر"),"",LEFT($E1924,4)&amp;"/"&amp;MID($E1924,6,2))</f>
        <v/>
      </c>
      <c r="L1924">
        <f>IF(Entry!$K1924="",0,Entry!$K1924)</f>
        <v/>
      </c>
      <c r="M1924">
        <f>IF(Entry!$L1924="",0,Entry!$L1924)</f>
        <v/>
      </c>
    </row>
    <row r="1925">
      <c r="A1925">
        <f>IF(Entry!$C1925="","",Entry!$C1925)</f>
        <v/>
      </c>
      <c r="B1925">
        <f>IF($A1925="","",IF(ISNUMBER($A1925),IF(AND($A1925&gt;=10000101,$A1925&lt;=99991231),INT($A1925/10000),""),IFERROR(VALUE(TRIM(LEFT($A1925,FIND("/",$A1925)-1))),"")))</f>
        <v/>
      </c>
      <c r="C1925">
        <f>IF(OR($A1925="",$B1925=""),"",IF(ISNUMBER($A1925),INT(MOD($A1925,10000)/100),IFERROR(VALUE(TRIM(LEFT(MID($A1925,FIND("/",$A1925)+1,20),FIND("/",MID($A1925,FIND("/",$A1925)+1,20))-1))),"")))</f>
        <v/>
      </c>
      <c r="D1925">
        <f>IF(OR($A1925="",$B1925=""),"",IF(ISNUMBER($A1925),MOD($A1925,100),IFERROR(VALUE(TRIM(MID(MID($A1925,FIND("/",$A1925)+1,20),FIND("/",MID($A1925,FIND("/",$A1925)+1,20))+1,20))),"")))</f>
        <v/>
      </c>
      <c r="E1925">
        <f>IF($A1925="","",IF(OR($B1925="",$C1925="",$D1925="",$B1925&lt;1300,$B1925&gt;1500,$C1925&lt;1,$C1925&gt;12,$D1925&lt;1,$D1925&gt;31),"نامعتبر",RIGHT("0000"&amp;$B1925,4)&amp;"/"&amp;RIGHT("00"&amp;$C1925,2)&amp;"/"&amp;RIGHT("00"&amp;$D1925,2)))</f>
        <v/>
      </c>
      <c r="F1925">
        <f>IF(Entry!$D1925&lt;&gt;"",IF(AND(ISNUMBER(Entry!$D1925),Entry!$D1925&gt;=0,Entry!$D1925&lt;1),RIGHT("00"&amp;HOUR(Entry!$D1925),2)&amp;":"&amp;RIGHT("00"&amp;MINUTE(Entry!$D1925),2),IFERROR(RIGHT("00"&amp;VALUE(TRIM(LEFT(Entry!$D1925,FIND(":",Entry!$D1925)-1))),2)&amp;":"&amp;RIGHT("00"&amp;VALUE(TRIM(MID(Entry!$D1925,FIND(":",Entry!$D1925)+1,2))),2),"نامعتبر")),IF(OR($E1925="",$E1925="نامعتبر"),"","00:00"))</f>
        <v/>
      </c>
      <c r="G1925">
        <f>IF(OR($E1925="",$E1925="نامعتبر"),"",IF(Entry!$E1925="","",LEFT(UPPER(TRIM(Entry!$E1925)),6)))</f>
        <v/>
      </c>
      <c r="H1925">
        <f>IF($G1925="","",RIGHT($E1925,4)&amp;MID($E1925,6,2)&amp;RIGHT($E1925,2)&amp;IF($F1925="","0000",IF($F1925="نامعتبر","9999",LEFT($F1925,2)&amp;RIGHT($F1925,2)))&amp;"|"&amp;RIGHT("00000"&amp;1917,5))</f>
        <v/>
      </c>
      <c r="I1925">
        <f>IF($H1925="","",COUNTIFS(CalcBank,$G1925,CalcKey,"&lt;"&amp;$H1925)+1)</f>
        <v/>
      </c>
      <c r="J1925">
        <f>IF($I1925="","",$G1925&amp;"|"&amp;RIGHT("000000"&amp;$I1925,6))</f>
        <v/>
      </c>
      <c r="K1925">
        <f>IF(OR($E1925="",$E1925="نامعتبر"),"",LEFT($E1925,4)&amp;"/"&amp;MID($E1925,6,2))</f>
        <v/>
      </c>
      <c r="L1925">
        <f>IF(Entry!$K1925="",0,Entry!$K1925)</f>
        <v/>
      </c>
      <c r="M1925">
        <f>IF(Entry!$L1925="",0,Entry!$L1925)</f>
        <v/>
      </c>
    </row>
    <row r="1926">
      <c r="A1926">
        <f>IF(Entry!$C1926="","",Entry!$C1926)</f>
        <v/>
      </c>
      <c r="B1926">
        <f>IF($A1926="","",IF(ISNUMBER($A1926),IF(AND($A1926&gt;=10000101,$A1926&lt;=99991231),INT($A1926/10000),""),IFERROR(VALUE(TRIM(LEFT($A1926,FIND("/",$A1926)-1))),"")))</f>
        <v/>
      </c>
      <c r="C1926">
        <f>IF(OR($A1926="",$B1926=""),"",IF(ISNUMBER($A1926),INT(MOD($A1926,10000)/100),IFERROR(VALUE(TRIM(LEFT(MID($A1926,FIND("/",$A1926)+1,20),FIND("/",MID($A1926,FIND("/",$A1926)+1,20))-1))),"")))</f>
        <v/>
      </c>
      <c r="D1926">
        <f>IF(OR($A1926="",$B1926=""),"",IF(ISNUMBER($A1926),MOD($A1926,100),IFERROR(VALUE(TRIM(MID(MID($A1926,FIND("/",$A1926)+1,20),FIND("/",MID($A1926,FIND("/",$A1926)+1,20))+1,20))),"")))</f>
        <v/>
      </c>
      <c r="E1926">
        <f>IF($A1926="","",IF(OR($B1926="",$C1926="",$D1926="",$B1926&lt;1300,$B1926&gt;1500,$C1926&lt;1,$C1926&gt;12,$D1926&lt;1,$D1926&gt;31),"نامعتبر",RIGHT("0000"&amp;$B1926,4)&amp;"/"&amp;RIGHT("00"&amp;$C1926,2)&amp;"/"&amp;RIGHT("00"&amp;$D1926,2)))</f>
        <v/>
      </c>
      <c r="F1926">
        <f>IF(Entry!$D1926&lt;&gt;"",IF(AND(ISNUMBER(Entry!$D1926),Entry!$D1926&gt;=0,Entry!$D1926&lt;1),RIGHT("00"&amp;HOUR(Entry!$D1926),2)&amp;":"&amp;RIGHT("00"&amp;MINUTE(Entry!$D1926),2),IFERROR(RIGHT("00"&amp;VALUE(TRIM(LEFT(Entry!$D1926,FIND(":",Entry!$D1926)-1))),2)&amp;":"&amp;RIGHT("00"&amp;VALUE(TRIM(MID(Entry!$D1926,FIND(":",Entry!$D1926)+1,2))),2),"نامعتبر")),IF(OR($E1926="",$E1926="نامعتبر"),"","00:00"))</f>
        <v/>
      </c>
      <c r="G1926">
        <f>IF(OR($E1926="",$E1926="نامعتبر"),"",IF(Entry!$E1926="","",LEFT(UPPER(TRIM(Entry!$E1926)),6)))</f>
        <v/>
      </c>
      <c r="H1926">
        <f>IF($G1926="","",RIGHT($E1926,4)&amp;MID($E1926,6,2)&amp;RIGHT($E1926,2)&amp;IF($F1926="","0000",IF($F1926="نامعتبر","9999",LEFT($F1926,2)&amp;RIGHT($F1926,2)))&amp;"|"&amp;RIGHT("00000"&amp;1918,5))</f>
        <v/>
      </c>
      <c r="I1926">
        <f>IF($H1926="","",COUNTIFS(CalcBank,$G1926,CalcKey,"&lt;"&amp;$H1926)+1)</f>
        <v/>
      </c>
      <c r="J1926">
        <f>IF($I1926="","",$G1926&amp;"|"&amp;RIGHT("000000"&amp;$I1926,6))</f>
        <v/>
      </c>
      <c r="K1926">
        <f>IF(OR($E1926="",$E1926="نامعتبر"),"",LEFT($E1926,4)&amp;"/"&amp;MID($E1926,6,2))</f>
        <v/>
      </c>
      <c r="L1926">
        <f>IF(Entry!$K1926="",0,Entry!$K1926)</f>
        <v/>
      </c>
      <c r="M1926">
        <f>IF(Entry!$L1926="",0,Entry!$L1926)</f>
        <v/>
      </c>
    </row>
    <row r="1927">
      <c r="A1927">
        <f>IF(Entry!$C1927="","",Entry!$C1927)</f>
        <v/>
      </c>
      <c r="B1927">
        <f>IF($A1927="","",IF(ISNUMBER($A1927),IF(AND($A1927&gt;=10000101,$A1927&lt;=99991231),INT($A1927/10000),""),IFERROR(VALUE(TRIM(LEFT($A1927,FIND("/",$A1927)-1))),"")))</f>
        <v/>
      </c>
      <c r="C1927">
        <f>IF(OR($A1927="",$B1927=""),"",IF(ISNUMBER($A1927),INT(MOD($A1927,10000)/100),IFERROR(VALUE(TRIM(LEFT(MID($A1927,FIND("/",$A1927)+1,20),FIND("/",MID($A1927,FIND("/",$A1927)+1,20))-1))),"")))</f>
        <v/>
      </c>
      <c r="D1927">
        <f>IF(OR($A1927="",$B1927=""),"",IF(ISNUMBER($A1927),MOD($A1927,100),IFERROR(VALUE(TRIM(MID(MID($A1927,FIND("/",$A1927)+1,20),FIND("/",MID($A1927,FIND("/",$A1927)+1,20))+1,20))),"")))</f>
        <v/>
      </c>
      <c r="E1927">
        <f>IF($A1927="","",IF(OR($B1927="",$C1927="",$D1927="",$B1927&lt;1300,$B1927&gt;1500,$C1927&lt;1,$C1927&gt;12,$D1927&lt;1,$D1927&gt;31),"نامعتبر",RIGHT("0000"&amp;$B1927,4)&amp;"/"&amp;RIGHT("00"&amp;$C1927,2)&amp;"/"&amp;RIGHT("00"&amp;$D1927,2)))</f>
        <v/>
      </c>
      <c r="F1927">
        <f>IF(Entry!$D1927&lt;&gt;"",IF(AND(ISNUMBER(Entry!$D1927),Entry!$D1927&gt;=0,Entry!$D1927&lt;1),RIGHT("00"&amp;HOUR(Entry!$D1927),2)&amp;":"&amp;RIGHT("00"&amp;MINUTE(Entry!$D1927),2),IFERROR(RIGHT("00"&amp;VALUE(TRIM(LEFT(Entry!$D1927,FIND(":",Entry!$D1927)-1))),2)&amp;":"&amp;RIGHT("00"&amp;VALUE(TRIM(MID(Entry!$D1927,FIND(":",Entry!$D1927)+1,2))),2),"نامعتبر")),IF(OR($E1927="",$E1927="نامعتبر"),"","00:00"))</f>
        <v/>
      </c>
      <c r="G1927">
        <f>IF(OR($E1927="",$E1927="نامعتبر"),"",IF(Entry!$E1927="","",LEFT(UPPER(TRIM(Entry!$E1927)),6)))</f>
        <v/>
      </c>
      <c r="H1927">
        <f>IF($G1927="","",RIGHT($E1927,4)&amp;MID($E1927,6,2)&amp;RIGHT($E1927,2)&amp;IF($F1927="","0000",IF($F1927="نامعتبر","9999",LEFT($F1927,2)&amp;RIGHT($F1927,2)))&amp;"|"&amp;RIGHT("00000"&amp;1919,5))</f>
        <v/>
      </c>
      <c r="I1927">
        <f>IF($H1927="","",COUNTIFS(CalcBank,$G1927,CalcKey,"&lt;"&amp;$H1927)+1)</f>
        <v/>
      </c>
      <c r="J1927">
        <f>IF($I1927="","",$G1927&amp;"|"&amp;RIGHT("000000"&amp;$I1927,6))</f>
        <v/>
      </c>
      <c r="K1927">
        <f>IF(OR($E1927="",$E1927="نامعتبر"),"",LEFT($E1927,4)&amp;"/"&amp;MID($E1927,6,2))</f>
        <v/>
      </c>
      <c r="L1927">
        <f>IF(Entry!$K1927="",0,Entry!$K1927)</f>
        <v/>
      </c>
      <c r="M1927">
        <f>IF(Entry!$L1927="",0,Entry!$L1927)</f>
        <v/>
      </c>
    </row>
    <row r="1928">
      <c r="A1928">
        <f>IF(Entry!$C1928="","",Entry!$C1928)</f>
        <v/>
      </c>
      <c r="B1928">
        <f>IF($A1928="","",IF(ISNUMBER($A1928),IF(AND($A1928&gt;=10000101,$A1928&lt;=99991231),INT($A1928/10000),""),IFERROR(VALUE(TRIM(LEFT($A1928,FIND("/",$A1928)-1))),"")))</f>
        <v/>
      </c>
      <c r="C1928">
        <f>IF(OR($A1928="",$B1928=""),"",IF(ISNUMBER($A1928),INT(MOD($A1928,10000)/100),IFERROR(VALUE(TRIM(LEFT(MID($A1928,FIND("/",$A1928)+1,20),FIND("/",MID($A1928,FIND("/",$A1928)+1,20))-1))),"")))</f>
        <v/>
      </c>
      <c r="D1928">
        <f>IF(OR($A1928="",$B1928=""),"",IF(ISNUMBER($A1928),MOD($A1928,100),IFERROR(VALUE(TRIM(MID(MID($A1928,FIND("/",$A1928)+1,20),FIND("/",MID($A1928,FIND("/",$A1928)+1,20))+1,20))),"")))</f>
        <v/>
      </c>
      <c r="E1928">
        <f>IF($A1928="","",IF(OR($B1928="",$C1928="",$D1928="",$B1928&lt;1300,$B1928&gt;1500,$C1928&lt;1,$C1928&gt;12,$D1928&lt;1,$D1928&gt;31),"نامعتبر",RIGHT("0000"&amp;$B1928,4)&amp;"/"&amp;RIGHT("00"&amp;$C1928,2)&amp;"/"&amp;RIGHT("00"&amp;$D1928,2)))</f>
        <v/>
      </c>
      <c r="F1928">
        <f>IF(Entry!$D1928&lt;&gt;"",IF(AND(ISNUMBER(Entry!$D1928),Entry!$D1928&gt;=0,Entry!$D1928&lt;1),RIGHT("00"&amp;HOUR(Entry!$D1928),2)&amp;":"&amp;RIGHT("00"&amp;MINUTE(Entry!$D1928),2),IFERROR(RIGHT("00"&amp;VALUE(TRIM(LEFT(Entry!$D1928,FIND(":",Entry!$D1928)-1))),2)&amp;":"&amp;RIGHT("00"&amp;VALUE(TRIM(MID(Entry!$D1928,FIND(":",Entry!$D1928)+1,2))),2),"نامعتبر")),IF(OR($E1928="",$E1928="نامعتبر"),"","00:00"))</f>
        <v/>
      </c>
      <c r="G1928">
        <f>IF(OR($E1928="",$E1928="نامعتبر"),"",IF(Entry!$E1928="","",LEFT(UPPER(TRIM(Entry!$E1928)),6)))</f>
        <v/>
      </c>
      <c r="H1928">
        <f>IF($G1928="","",RIGHT($E1928,4)&amp;MID($E1928,6,2)&amp;RIGHT($E1928,2)&amp;IF($F1928="","0000",IF($F1928="نامعتبر","9999",LEFT($F1928,2)&amp;RIGHT($F1928,2)))&amp;"|"&amp;RIGHT("00000"&amp;1920,5))</f>
        <v/>
      </c>
      <c r="I1928">
        <f>IF($H1928="","",COUNTIFS(CalcBank,$G1928,CalcKey,"&lt;"&amp;$H1928)+1)</f>
        <v/>
      </c>
      <c r="J1928">
        <f>IF($I1928="","",$G1928&amp;"|"&amp;RIGHT("000000"&amp;$I1928,6))</f>
        <v/>
      </c>
      <c r="K1928">
        <f>IF(OR($E1928="",$E1928="نامعتبر"),"",LEFT($E1928,4)&amp;"/"&amp;MID($E1928,6,2))</f>
        <v/>
      </c>
      <c r="L1928">
        <f>IF(Entry!$K1928="",0,Entry!$K1928)</f>
        <v/>
      </c>
      <c r="M1928">
        <f>IF(Entry!$L1928="",0,Entry!$L1928)</f>
        <v/>
      </c>
    </row>
    <row r="1929">
      <c r="A1929">
        <f>IF(Entry!$C1929="","",Entry!$C1929)</f>
        <v/>
      </c>
      <c r="B1929">
        <f>IF($A1929="","",IF(ISNUMBER($A1929),IF(AND($A1929&gt;=10000101,$A1929&lt;=99991231),INT($A1929/10000),""),IFERROR(VALUE(TRIM(LEFT($A1929,FIND("/",$A1929)-1))),"")))</f>
        <v/>
      </c>
      <c r="C1929">
        <f>IF(OR($A1929="",$B1929=""),"",IF(ISNUMBER($A1929),INT(MOD($A1929,10000)/100),IFERROR(VALUE(TRIM(LEFT(MID($A1929,FIND("/",$A1929)+1,20),FIND("/",MID($A1929,FIND("/",$A1929)+1,20))-1))),"")))</f>
        <v/>
      </c>
      <c r="D1929">
        <f>IF(OR($A1929="",$B1929=""),"",IF(ISNUMBER($A1929),MOD($A1929,100),IFERROR(VALUE(TRIM(MID(MID($A1929,FIND("/",$A1929)+1,20),FIND("/",MID($A1929,FIND("/",$A1929)+1,20))+1,20))),"")))</f>
        <v/>
      </c>
      <c r="E1929">
        <f>IF($A1929="","",IF(OR($B1929="",$C1929="",$D1929="",$B1929&lt;1300,$B1929&gt;1500,$C1929&lt;1,$C1929&gt;12,$D1929&lt;1,$D1929&gt;31),"نامعتبر",RIGHT("0000"&amp;$B1929,4)&amp;"/"&amp;RIGHT("00"&amp;$C1929,2)&amp;"/"&amp;RIGHT("00"&amp;$D1929,2)))</f>
        <v/>
      </c>
      <c r="F1929">
        <f>IF(Entry!$D1929&lt;&gt;"",IF(AND(ISNUMBER(Entry!$D1929),Entry!$D1929&gt;=0,Entry!$D1929&lt;1),RIGHT("00"&amp;HOUR(Entry!$D1929),2)&amp;":"&amp;RIGHT("00"&amp;MINUTE(Entry!$D1929),2),IFERROR(RIGHT("00"&amp;VALUE(TRIM(LEFT(Entry!$D1929,FIND(":",Entry!$D1929)-1))),2)&amp;":"&amp;RIGHT("00"&amp;VALUE(TRIM(MID(Entry!$D1929,FIND(":",Entry!$D1929)+1,2))),2),"نامعتبر")),IF(OR($E1929="",$E1929="نامعتبر"),"","00:00"))</f>
        <v/>
      </c>
      <c r="G1929">
        <f>IF(OR($E1929="",$E1929="نامعتبر"),"",IF(Entry!$E1929="","",LEFT(UPPER(TRIM(Entry!$E1929)),6)))</f>
        <v/>
      </c>
      <c r="H1929">
        <f>IF($G1929="","",RIGHT($E1929,4)&amp;MID($E1929,6,2)&amp;RIGHT($E1929,2)&amp;IF($F1929="","0000",IF($F1929="نامعتبر","9999",LEFT($F1929,2)&amp;RIGHT($F1929,2)))&amp;"|"&amp;RIGHT("00000"&amp;1921,5))</f>
        <v/>
      </c>
      <c r="I1929">
        <f>IF($H1929="","",COUNTIFS(CalcBank,$G1929,CalcKey,"&lt;"&amp;$H1929)+1)</f>
        <v/>
      </c>
      <c r="J1929">
        <f>IF($I1929="","",$G1929&amp;"|"&amp;RIGHT("000000"&amp;$I1929,6))</f>
        <v/>
      </c>
      <c r="K1929">
        <f>IF(OR($E1929="",$E1929="نامعتبر"),"",LEFT($E1929,4)&amp;"/"&amp;MID($E1929,6,2))</f>
        <v/>
      </c>
      <c r="L1929">
        <f>IF(Entry!$K1929="",0,Entry!$K1929)</f>
        <v/>
      </c>
      <c r="M1929">
        <f>IF(Entry!$L1929="",0,Entry!$L1929)</f>
        <v/>
      </c>
    </row>
    <row r="1930">
      <c r="A1930">
        <f>IF(Entry!$C1930="","",Entry!$C1930)</f>
        <v/>
      </c>
      <c r="B1930">
        <f>IF($A1930="","",IF(ISNUMBER($A1930),IF(AND($A1930&gt;=10000101,$A1930&lt;=99991231),INT($A1930/10000),""),IFERROR(VALUE(TRIM(LEFT($A1930,FIND("/",$A1930)-1))),"")))</f>
        <v/>
      </c>
      <c r="C1930">
        <f>IF(OR($A1930="",$B1930=""),"",IF(ISNUMBER($A1930),INT(MOD($A1930,10000)/100),IFERROR(VALUE(TRIM(LEFT(MID($A1930,FIND("/",$A1930)+1,20),FIND("/",MID($A1930,FIND("/",$A1930)+1,20))-1))),"")))</f>
        <v/>
      </c>
      <c r="D1930">
        <f>IF(OR($A1930="",$B1930=""),"",IF(ISNUMBER($A1930),MOD($A1930,100),IFERROR(VALUE(TRIM(MID(MID($A1930,FIND("/",$A1930)+1,20),FIND("/",MID($A1930,FIND("/",$A1930)+1,20))+1,20))),"")))</f>
        <v/>
      </c>
      <c r="E1930">
        <f>IF($A1930="","",IF(OR($B1930="",$C1930="",$D1930="",$B1930&lt;1300,$B1930&gt;1500,$C1930&lt;1,$C1930&gt;12,$D1930&lt;1,$D1930&gt;31),"نامعتبر",RIGHT("0000"&amp;$B1930,4)&amp;"/"&amp;RIGHT("00"&amp;$C1930,2)&amp;"/"&amp;RIGHT("00"&amp;$D1930,2)))</f>
        <v/>
      </c>
      <c r="F1930">
        <f>IF(Entry!$D1930&lt;&gt;"",IF(AND(ISNUMBER(Entry!$D1930),Entry!$D1930&gt;=0,Entry!$D1930&lt;1),RIGHT("00"&amp;HOUR(Entry!$D1930),2)&amp;":"&amp;RIGHT("00"&amp;MINUTE(Entry!$D1930),2),IFERROR(RIGHT("00"&amp;VALUE(TRIM(LEFT(Entry!$D1930,FIND(":",Entry!$D1930)-1))),2)&amp;":"&amp;RIGHT("00"&amp;VALUE(TRIM(MID(Entry!$D1930,FIND(":",Entry!$D1930)+1,2))),2),"نامعتبر")),IF(OR($E1930="",$E1930="نامعتبر"),"","00:00"))</f>
        <v/>
      </c>
      <c r="G1930">
        <f>IF(OR($E1930="",$E1930="نامعتبر"),"",IF(Entry!$E1930="","",LEFT(UPPER(TRIM(Entry!$E1930)),6)))</f>
        <v/>
      </c>
      <c r="H1930">
        <f>IF($G1930="","",RIGHT($E1930,4)&amp;MID($E1930,6,2)&amp;RIGHT($E1930,2)&amp;IF($F1930="","0000",IF($F1930="نامعتبر","9999",LEFT($F1930,2)&amp;RIGHT($F1930,2)))&amp;"|"&amp;RIGHT("00000"&amp;1922,5))</f>
        <v/>
      </c>
      <c r="I1930">
        <f>IF($H1930="","",COUNTIFS(CalcBank,$G1930,CalcKey,"&lt;"&amp;$H1930)+1)</f>
        <v/>
      </c>
      <c r="J1930">
        <f>IF($I1930="","",$G1930&amp;"|"&amp;RIGHT("000000"&amp;$I1930,6))</f>
        <v/>
      </c>
      <c r="K1930">
        <f>IF(OR($E1930="",$E1930="نامعتبر"),"",LEFT($E1930,4)&amp;"/"&amp;MID($E1930,6,2))</f>
        <v/>
      </c>
      <c r="L1930">
        <f>IF(Entry!$K1930="",0,Entry!$K1930)</f>
        <v/>
      </c>
      <c r="M1930">
        <f>IF(Entry!$L1930="",0,Entry!$L1930)</f>
        <v/>
      </c>
    </row>
    <row r="1931">
      <c r="A1931">
        <f>IF(Entry!$C1931="","",Entry!$C1931)</f>
        <v/>
      </c>
      <c r="B1931">
        <f>IF($A1931="","",IF(ISNUMBER($A1931),IF(AND($A1931&gt;=10000101,$A1931&lt;=99991231),INT($A1931/10000),""),IFERROR(VALUE(TRIM(LEFT($A1931,FIND("/",$A1931)-1))),"")))</f>
        <v/>
      </c>
      <c r="C1931">
        <f>IF(OR($A1931="",$B1931=""),"",IF(ISNUMBER($A1931),INT(MOD($A1931,10000)/100),IFERROR(VALUE(TRIM(LEFT(MID($A1931,FIND("/",$A1931)+1,20),FIND("/",MID($A1931,FIND("/",$A1931)+1,20))-1))),"")))</f>
        <v/>
      </c>
      <c r="D1931">
        <f>IF(OR($A1931="",$B1931=""),"",IF(ISNUMBER($A1931),MOD($A1931,100),IFERROR(VALUE(TRIM(MID(MID($A1931,FIND("/",$A1931)+1,20),FIND("/",MID($A1931,FIND("/",$A1931)+1,20))+1,20))),"")))</f>
        <v/>
      </c>
      <c r="E1931">
        <f>IF($A1931="","",IF(OR($B1931="",$C1931="",$D1931="",$B1931&lt;1300,$B1931&gt;1500,$C1931&lt;1,$C1931&gt;12,$D1931&lt;1,$D1931&gt;31),"نامعتبر",RIGHT("0000"&amp;$B1931,4)&amp;"/"&amp;RIGHT("00"&amp;$C1931,2)&amp;"/"&amp;RIGHT("00"&amp;$D1931,2)))</f>
        <v/>
      </c>
      <c r="F1931">
        <f>IF(Entry!$D1931&lt;&gt;"",IF(AND(ISNUMBER(Entry!$D1931),Entry!$D1931&gt;=0,Entry!$D1931&lt;1),RIGHT("00"&amp;HOUR(Entry!$D1931),2)&amp;":"&amp;RIGHT("00"&amp;MINUTE(Entry!$D1931),2),IFERROR(RIGHT("00"&amp;VALUE(TRIM(LEFT(Entry!$D1931,FIND(":",Entry!$D1931)-1))),2)&amp;":"&amp;RIGHT("00"&amp;VALUE(TRIM(MID(Entry!$D1931,FIND(":",Entry!$D1931)+1,2))),2),"نامعتبر")),IF(OR($E1931="",$E1931="نامعتبر"),"","00:00"))</f>
        <v/>
      </c>
      <c r="G1931">
        <f>IF(OR($E1931="",$E1931="نامعتبر"),"",IF(Entry!$E1931="","",LEFT(UPPER(TRIM(Entry!$E1931)),6)))</f>
        <v/>
      </c>
      <c r="H1931">
        <f>IF($G1931="","",RIGHT($E1931,4)&amp;MID($E1931,6,2)&amp;RIGHT($E1931,2)&amp;IF($F1931="","0000",IF($F1931="نامعتبر","9999",LEFT($F1931,2)&amp;RIGHT($F1931,2)))&amp;"|"&amp;RIGHT("00000"&amp;1923,5))</f>
        <v/>
      </c>
      <c r="I1931">
        <f>IF($H1931="","",COUNTIFS(CalcBank,$G1931,CalcKey,"&lt;"&amp;$H1931)+1)</f>
        <v/>
      </c>
      <c r="J1931">
        <f>IF($I1931="","",$G1931&amp;"|"&amp;RIGHT("000000"&amp;$I1931,6))</f>
        <v/>
      </c>
      <c r="K1931">
        <f>IF(OR($E1931="",$E1931="نامعتبر"),"",LEFT($E1931,4)&amp;"/"&amp;MID($E1931,6,2))</f>
        <v/>
      </c>
      <c r="L1931">
        <f>IF(Entry!$K1931="",0,Entry!$K1931)</f>
        <v/>
      </c>
      <c r="M1931">
        <f>IF(Entry!$L1931="",0,Entry!$L1931)</f>
        <v/>
      </c>
    </row>
    <row r="1932">
      <c r="A1932">
        <f>IF(Entry!$C1932="","",Entry!$C1932)</f>
        <v/>
      </c>
      <c r="B1932">
        <f>IF($A1932="","",IF(ISNUMBER($A1932),IF(AND($A1932&gt;=10000101,$A1932&lt;=99991231),INT($A1932/10000),""),IFERROR(VALUE(TRIM(LEFT($A1932,FIND("/",$A1932)-1))),"")))</f>
        <v/>
      </c>
      <c r="C1932">
        <f>IF(OR($A1932="",$B1932=""),"",IF(ISNUMBER($A1932),INT(MOD($A1932,10000)/100),IFERROR(VALUE(TRIM(LEFT(MID($A1932,FIND("/",$A1932)+1,20),FIND("/",MID($A1932,FIND("/",$A1932)+1,20))-1))),"")))</f>
        <v/>
      </c>
      <c r="D1932">
        <f>IF(OR($A1932="",$B1932=""),"",IF(ISNUMBER($A1932),MOD($A1932,100),IFERROR(VALUE(TRIM(MID(MID($A1932,FIND("/",$A1932)+1,20),FIND("/",MID($A1932,FIND("/",$A1932)+1,20))+1,20))),"")))</f>
        <v/>
      </c>
      <c r="E1932">
        <f>IF($A1932="","",IF(OR($B1932="",$C1932="",$D1932="",$B1932&lt;1300,$B1932&gt;1500,$C1932&lt;1,$C1932&gt;12,$D1932&lt;1,$D1932&gt;31),"نامعتبر",RIGHT("0000"&amp;$B1932,4)&amp;"/"&amp;RIGHT("00"&amp;$C1932,2)&amp;"/"&amp;RIGHT("00"&amp;$D1932,2)))</f>
        <v/>
      </c>
      <c r="F1932">
        <f>IF(Entry!$D1932&lt;&gt;"",IF(AND(ISNUMBER(Entry!$D1932),Entry!$D1932&gt;=0,Entry!$D1932&lt;1),RIGHT("00"&amp;HOUR(Entry!$D1932),2)&amp;":"&amp;RIGHT("00"&amp;MINUTE(Entry!$D1932),2),IFERROR(RIGHT("00"&amp;VALUE(TRIM(LEFT(Entry!$D1932,FIND(":",Entry!$D1932)-1))),2)&amp;":"&amp;RIGHT("00"&amp;VALUE(TRIM(MID(Entry!$D1932,FIND(":",Entry!$D1932)+1,2))),2),"نامعتبر")),IF(OR($E1932="",$E1932="نامعتبر"),"","00:00"))</f>
        <v/>
      </c>
      <c r="G1932">
        <f>IF(OR($E1932="",$E1932="نامعتبر"),"",IF(Entry!$E1932="","",LEFT(UPPER(TRIM(Entry!$E1932)),6)))</f>
        <v/>
      </c>
      <c r="H1932">
        <f>IF($G1932="","",RIGHT($E1932,4)&amp;MID($E1932,6,2)&amp;RIGHT($E1932,2)&amp;IF($F1932="","0000",IF($F1932="نامعتبر","9999",LEFT($F1932,2)&amp;RIGHT($F1932,2)))&amp;"|"&amp;RIGHT("00000"&amp;1924,5))</f>
        <v/>
      </c>
      <c r="I1932">
        <f>IF($H1932="","",COUNTIFS(CalcBank,$G1932,CalcKey,"&lt;"&amp;$H1932)+1)</f>
        <v/>
      </c>
      <c r="J1932">
        <f>IF($I1932="","",$G1932&amp;"|"&amp;RIGHT("000000"&amp;$I1932,6))</f>
        <v/>
      </c>
      <c r="K1932">
        <f>IF(OR($E1932="",$E1932="نامعتبر"),"",LEFT($E1932,4)&amp;"/"&amp;MID($E1932,6,2))</f>
        <v/>
      </c>
      <c r="L1932">
        <f>IF(Entry!$K1932="",0,Entry!$K1932)</f>
        <v/>
      </c>
      <c r="M1932">
        <f>IF(Entry!$L1932="",0,Entry!$L1932)</f>
        <v/>
      </c>
    </row>
    <row r="1933">
      <c r="A1933">
        <f>IF(Entry!$C1933="","",Entry!$C1933)</f>
        <v/>
      </c>
      <c r="B1933">
        <f>IF($A1933="","",IF(ISNUMBER($A1933),IF(AND($A1933&gt;=10000101,$A1933&lt;=99991231),INT($A1933/10000),""),IFERROR(VALUE(TRIM(LEFT($A1933,FIND("/",$A1933)-1))),"")))</f>
        <v/>
      </c>
      <c r="C1933">
        <f>IF(OR($A1933="",$B1933=""),"",IF(ISNUMBER($A1933),INT(MOD($A1933,10000)/100),IFERROR(VALUE(TRIM(LEFT(MID($A1933,FIND("/",$A1933)+1,20),FIND("/",MID($A1933,FIND("/",$A1933)+1,20))-1))),"")))</f>
        <v/>
      </c>
      <c r="D1933">
        <f>IF(OR($A1933="",$B1933=""),"",IF(ISNUMBER($A1933),MOD($A1933,100),IFERROR(VALUE(TRIM(MID(MID($A1933,FIND("/",$A1933)+1,20),FIND("/",MID($A1933,FIND("/",$A1933)+1,20))+1,20))),"")))</f>
        <v/>
      </c>
      <c r="E1933">
        <f>IF($A1933="","",IF(OR($B1933="",$C1933="",$D1933="",$B1933&lt;1300,$B1933&gt;1500,$C1933&lt;1,$C1933&gt;12,$D1933&lt;1,$D1933&gt;31),"نامعتبر",RIGHT("0000"&amp;$B1933,4)&amp;"/"&amp;RIGHT("00"&amp;$C1933,2)&amp;"/"&amp;RIGHT("00"&amp;$D1933,2)))</f>
        <v/>
      </c>
      <c r="F1933">
        <f>IF(Entry!$D1933&lt;&gt;"",IF(AND(ISNUMBER(Entry!$D1933),Entry!$D1933&gt;=0,Entry!$D1933&lt;1),RIGHT("00"&amp;HOUR(Entry!$D1933),2)&amp;":"&amp;RIGHT("00"&amp;MINUTE(Entry!$D1933),2),IFERROR(RIGHT("00"&amp;VALUE(TRIM(LEFT(Entry!$D1933,FIND(":",Entry!$D1933)-1))),2)&amp;":"&amp;RIGHT("00"&amp;VALUE(TRIM(MID(Entry!$D1933,FIND(":",Entry!$D1933)+1,2))),2),"نامعتبر")),IF(OR($E1933="",$E1933="نامعتبر"),"","00:00"))</f>
        <v/>
      </c>
      <c r="G1933">
        <f>IF(OR($E1933="",$E1933="نامعتبر"),"",IF(Entry!$E1933="","",LEFT(UPPER(TRIM(Entry!$E1933)),6)))</f>
        <v/>
      </c>
      <c r="H1933">
        <f>IF($G1933="","",RIGHT($E1933,4)&amp;MID($E1933,6,2)&amp;RIGHT($E1933,2)&amp;IF($F1933="","0000",IF($F1933="نامعتبر","9999",LEFT($F1933,2)&amp;RIGHT($F1933,2)))&amp;"|"&amp;RIGHT("00000"&amp;1925,5))</f>
        <v/>
      </c>
      <c r="I1933">
        <f>IF($H1933="","",COUNTIFS(CalcBank,$G1933,CalcKey,"&lt;"&amp;$H1933)+1)</f>
        <v/>
      </c>
      <c r="J1933">
        <f>IF($I1933="","",$G1933&amp;"|"&amp;RIGHT("000000"&amp;$I1933,6))</f>
        <v/>
      </c>
      <c r="K1933">
        <f>IF(OR($E1933="",$E1933="نامعتبر"),"",LEFT($E1933,4)&amp;"/"&amp;MID($E1933,6,2))</f>
        <v/>
      </c>
      <c r="L1933">
        <f>IF(Entry!$K1933="",0,Entry!$K1933)</f>
        <v/>
      </c>
      <c r="M1933">
        <f>IF(Entry!$L1933="",0,Entry!$L1933)</f>
        <v/>
      </c>
    </row>
    <row r="1934">
      <c r="A1934">
        <f>IF(Entry!$C1934="","",Entry!$C1934)</f>
        <v/>
      </c>
      <c r="B1934">
        <f>IF($A1934="","",IF(ISNUMBER($A1934),IF(AND($A1934&gt;=10000101,$A1934&lt;=99991231),INT($A1934/10000),""),IFERROR(VALUE(TRIM(LEFT($A1934,FIND("/",$A1934)-1))),"")))</f>
        <v/>
      </c>
      <c r="C1934">
        <f>IF(OR($A1934="",$B1934=""),"",IF(ISNUMBER($A1934),INT(MOD($A1934,10000)/100),IFERROR(VALUE(TRIM(LEFT(MID($A1934,FIND("/",$A1934)+1,20),FIND("/",MID($A1934,FIND("/",$A1934)+1,20))-1))),"")))</f>
        <v/>
      </c>
      <c r="D1934">
        <f>IF(OR($A1934="",$B1934=""),"",IF(ISNUMBER($A1934),MOD($A1934,100),IFERROR(VALUE(TRIM(MID(MID($A1934,FIND("/",$A1934)+1,20),FIND("/",MID($A1934,FIND("/",$A1934)+1,20))+1,20))),"")))</f>
        <v/>
      </c>
      <c r="E1934">
        <f>IF($A1934="","",IF(OR($B1934="",$C1934="",$D1934="",$B1934&lt;1300,$B1934&gt;1500,$C1934&lt;1,$C1934&gt;12,$D1934&lt;1,$D1934&gt;31),"نامعتبر",RIGHT("0000"&amp;$B1934,4)&amp;"/"&amp;RIGHT("00"&amp;$C1934,2)&amp;"/"&amp;RIGHT("00"&amp;$D1934,2)))</f>
        <v/>
      </c>
      <c r="F1934">
        <f>IF(Entry!$D1934&lt;&gt;"",IF(AND(ISNUMBER(Entry!$D1934),Entry!$D1934&gt;=0,Entry!$D1934&lt;1),RIGHT("00"&amp;HOUR(Entry!$D1934),2)&amp;":"&amp;RIGHT("00"&amp;MINUTE(Entry!$D1934),2),IFERROR(RIGHT("00"&amp;VALUE(TRIM(LEFT(Entry!$D1934,FIND(":",Entry!$D1934)-1))),2)&amp;":"&amp;RIGHT("00"&amp;VALUE(TRIM(MID(Entry!$D1934,FIND(":",Entry!$D1934)+1,2))),2),"نامعتبر")),IF(OR($E1934="",$E1934="نامعتبر"),"","00:00"))</f>
        <v/>
      </c>
      <c r="G1934">
        <f>IF(OR($E1934="",$E1934="نامعتبر"),"",IF(Entry!$E1934="","",LEFT(UPPER(TRIM(Entry!$E1934)),6)))</f>
        <v/>
      </c>
      <c r="H1934">
        <f>IF($G1934="","",RIGHT($E1934,4)&amp;MID($E1934,6,2)&amp;RIGHT($E1934,2)&amp;IF($F1934="","0000",IF($F1934="نامعتبر","9999",LEFT($F1934,2)&amp;RIGHT($F1934,2)))&amp;"|"&amp;RIGHT("00000"&amp;1926,5))</f>
        <v/>
      </c>
      <c r="I1934">
        <f>IF($H1934="","",COUNTIFS(CalcBank,$G1934,CalcKey,"&lt;"&amp;$H1934)+1)</f>
        <v/>
      </c>
      <c r="J1934">
        <f>IF($I1934="","",$G1934&amp;"|"&amp;RIGHT("000000"&amp;$I1934,6))</f>
        <v/>
      </c>
      <c r="K1934">
        <f>IF(OR($E1934="",$E1934="نامعتبر"),"",LEFT($E1934,4)&amp;"/"&amp;MID($E1934,6,2))</f>
        <v/>
      </c>
      <c r="L1934">
        <f>IF(Entry!$K1934="",0,Entry!$K1934)</f>
        <v/>
      </c>
      <c r="M1934">
        <f>IF(Entry!$L1934="",0,Entry!$L1934)</f>
        <v/>
      </c>
    </row>
    <row r="1935">
      <c r="A1935">
        <f>IF(Entry!$C1935="","",Entry!$C1935)</f>
        <v/>
      </c>
      <c r="B1935">
        <f>IF($A1935="","",IF(ISNUMBER($A1935),IF(AND($A1935&gt;=10000101,$A1935&lt;=99991231),INT($A1935/10000),""),IFERROR(VALUE(TRIM(LEFT($A1935,FIND("/",$A1935)-1))),"")))</f>
        <v/>
      </c>
      <c r="C1935">
        <f>IF(OR($A1935="",$B1935=""),"",IF(ISNUMBER($A1935),INT(MOD($A1935,10000)/100),IFERROR(VALUE(TRIM(LEFT(MID($A1935,FIND("/",$A1935)+1,20),FIND("/",MID($A1935,FIND("/",$A1935)+1,20))-1))),"")))</f>
        <v/>
      </c>
      <c r="D1935">
        <f>IF(OR($A1935="",$B1935=""),"",IF(ISNUMBER($A1935),MOD($A1935,100),IFERROR(VALUE(TRIM(MID(MID($A1935,FIND("/",$A1935)+1,20),FIND("/",MID($A1935,FIND("/",$A1935)+1,20))+1,20))),"")))</f>
        <v/>
      </c>
      <c r="E1935">
        <f>IF($A1935="","",IF(OR($B1935="",$C1935="",$D1935="",$B1935&lt;1300,$B1935&gt;1500,$C1935&lt;1,$C1935&gt;12,$D1935&lt;1,$D1935&gt;31),"نامعتبر",RIGHT("0000"&amp;$B1935,4)&amp;"/"&amp;RIGHT("00"&amp;$C1935,2)&amp;"/"&amp;RIGHT("00"&amp;$D1935,2)))</f>
        <v/>
      </c>
      <c r="F1935">
        <f>IF(Entry!$D1935&lt;&gt;"",IF(AND(ISNUMBER(Entry!$D1935),Entry!$D1935&gt;=0,Entry!$D1935&lt;1),RIGHT("00"&amp;HOUR(Entry!$D1935),2)&amp;":"&amp;RIGHT("00"&amp;MINUTE(Entry!$D1935),2),IFERROR(RIGHT("00"&amp;VALUE(TRIM(LEFT(Entry!$D1935,FIND(":",Entry!$D1935)-1))),2)&amp;":"&amp;RIGHT("00"&amp;VALUE(TRIM(MID(Entry!$D1935,FIND(":",Entry!$D1935)+1,2))),2),"نامعتبر")),IF(OR($E1935="",$E1935="نامعتبر"),"","00:00"))</f>
        <v/>
      </c>
      <c r="G1935">
        <f>IF(OR($E1935="",$E1935="نامعتبر"),"",IF(Entry!$E1935="","",LEFT(UPPER(TRIM(Entry!$E1935)),6)))</f>
        <v/>
      </c>
      <c r="H1935">
        <f>IF($G1935="","",RIGHT($E1935,4)&amp;MID($E1935,6,2)&amp;RIGHT($E1935,2)&amp;IF($F1935="","0000",IF($F1935="نامعتبر","9999",LEFT($F1935,2)&amp;RIGHT($F1935,2)))&amp;"|"&amp;RIGHT("00000"&amp;1927,5))</f>
        <v/>
      </c>
      <c r="I1935">
        <f>IF($H1935="","",COUNTIFS(CalcBank,$G1935,CalcKey,"&lt;"&amp;$H1935)+1)</f>
        <v/>
      </c>
      <c r="J1935">
        <f>IF($I1935="","",$G1935&amp;"|"&amp;RIGHT("000000"&amp;$I1935,6))</f>
        <v/>
      </c>
      <c r="K1935">
        <f>IF(OR($E1935="",$E1935="نامعتبر"),"",LEFT($E1935,4)&amp;"/"&amp;MID($E1935,6,2))</f>
        <v/>
      </c>
      <c r="L1935">
        <f>IF(Entry!$K1935="",0,Entry!$K1935)</f>
        <v/>
      </c>
      <c r="M1935">
        <f>IF(Entry!$L1935="",0,Entry!$L1935)</f>
        <v/>
      </c>
    </row>
    <row r="1936">
      <c r="A1936">
        <f>IF(Entry!$C1936="","",Entry!$C1936)</f>
        <v/>
      </c>
      <c r="B1936">
        <f>IF($A1936="","",IF(ISNUMBER($A1936),IF(AND($A1936&gt;=10000101,$A1936&lt;=99991231),INT($A1936/10000),""),IFERROR(VALUE(TRIM(LEFT($A1936,FIND("/",$A1936)-1))),"")))</f>
        <v/>
      </c>
      <c r="C1936">
        <f>IF(OR($A1936="",$B1936=""),"",IF(ISNUMBER($A1936),INT(MOD($A1936,10000)/100),IFERROR(VALUE(TRIM(LEFT(MID($A1936,FIND("/",$A1936)+1,20),FIND("/",MID($A1936,FIND("/",$A1936)+1,20))-1))),"")))</f>
        <v/>
      </c>
      <c r="D1936">
        <f>IF(OR($A1936="",$B1936=""),"",IF(ISNUMBER($A1936),MOD($A1936,100),IFERROR(VALUE(TRIM(MID(MID($A1936,FIND("/",$A1936)+1,20),FIND("/",MID($A1936,FIND("/",$A1936)+1,20))+1,20))),"")))</f>
        <v/>
      </c>
      <c r="E1936">
        <f>IF($A1936="","",IF(OR($B1936="",$C1936="",$D1936="",$B1936&lt;1300,$B1936&gt;1500,$C1936&lt;1,$C1936&gt;12,$D1936&lt;1,$D1936&gt;31),"نامعتبر",RIGHT("0000"&amp;$B1936,4)&amp;"/"&amp;RIGHT("00"&amp;$C1936,2)&amp;"/"&amp;RIGHT("00"&amp;$D1936,2)))</f>
        <v/>
      </c>
      <c r="F1936">
        <f>IF(Entry!$D1936&lt;&gt;"",IF(AND(ISNUMBER(Entry!$D1936),Entry!$D1936&gt;=0,Entry!$D1936&lt;1),RIGHT("00"&amp;HOUR(Entry!$D1936),2)&amp;":"&amp;RIGHT("00"&amp;MINUTE(Entry!$D1936),2),IFERROR(RIGHT("00"&amp;VALUE(TRIM(LEFT(Entry!$D1936,FIND(":",Entry!$D1936)-1))),2)&amp;":"&amp;RIGHT("00"&amp;VALUE(TRIM(MID(Entry!$D1936,FIND(":",Entry!$D1936)+1,2))),2),"نامعتبر")),IF(OR($E1936="",$E1936="نامعتبر"),"","00:00"))</f>
        <v/>
      </c>
      <c r="G1936">
        <f>IF(OR($E1936="",$E1936="نامعتبر"),"",IF(Entry!$E1936="","",LEFT(UPPER(TRIM(Entry!$E1936)),6)))</f>
        <v/>
      </c>
      <c r="H1936">
        <f>IF($G1936="","",RIGHT($E1936,4)&amp;MID($E1936,6,2)&amp;RIGHT($E1936,2)&amp;IF($F1936="","0000",IF($F1936="نامعتبر","9999",LEFT($F1936,2)&amp;RIGHT($F1936,2)))&amp;"|"&amp;RIGHT("00000"&amp;1928,5))</f>
        <v/>
      </c>
      <c r="I1936">
        <f>IF($H1936="","",COUNTIFS(CalcBank,$G1936,CalcKey,"&lt;"&amp;$H1936)+1)</f>
        <v/>
      </c>
      <c r="J1936">
        <f>IF($I1936="","",$G1936&amp;"|"&amp;RIGHT("000000"&amp;$I1936,6))</f>
        <v/>
      </c>
      <c r="K1936">
        <f>IF(OR($E1936="",$E1936="نامعتبر"),"",LEFT($E1936,4)&amp;"/"&amp;MID($E1936,6,2))</f>
        <v/>
      </c>
      <c r="L1936">
        <f>IF(Entry!$K1936="",0,Entry!$K1936)</f>
        <v/>
      </c>
      <c r="M1936">
        <f>IF(Entry!$L1936="",0,Entry!$L1936)</f>
        <v/>
      </c>
    </row>
    <row r="1937">
      <c r="A1937">
        <f>IF(Entry!$C1937="","",Entry!$C1937)</f>
        <v/>
      </c>
      <c r="B1937">
        <f>IF($A1937="","",IF(ISNUMBER($A1937),IF(AND($A1937&gt;=10000101,$A1937&lt;=99991231),INT($A1937/10000),""),IFERROR(VALUE(TRIM(LEFT($A1937,FIND("/",$A1937)-1))),"")))</f>
        <v/>
      </c>
      <c r="C1937">
        <f>IF(OR($A1937="",$B1937=""),"",IF(ISNUMBER($A1937),INT(MOD($A1937,10000)/100),IFERROR(VALUE(TRIM(LEFT(MID($A1937,FIND("/",$A1937)+1,20),FIND("/",MID($A1937,FIND("/",$A1937)+1,20))-1))),"")))</f>
        <v/>
      </c>
      <c r="D1937">
        <f>IF(OR($A1937="",$B1937=""),"",IF(ISNUMBER($A1937),MOD($A1937,100),IFERROR(VALUE(TRIM(MID(MID($A1937,FIND("/",$A1937)+1,20),FIND("/",MID($A1937,FIND("/",$A1937)+1,20))+1,20))),"")))</f>
        <v/>
      </c>
      <c r="E1937">
        <f>IF($A1937="","",IF(OR($B1937="",$C1937="",$D1937="",$B1937&lt;1300,$B1937&gt;1500,$C1937&lt;1,$C1937&gt;12,$D1937&lt;1,$D1937&gt;31),"نامعتبر",RIGHT("0000"&amp;$B1937,4)&amp;"/"&amp;RIGHT("00"&amp;$C1937,2)&amp;"/"&amp;RIGHT("00"&amp;$D1937,2)))</f>
        <v/>
      </c>
      <c r="F1937">
        <f>IF(Entry!$D1937&lt;&gt;"",IF(AND(ISNUMBER(Entry!$D1937),Entry!$D1937&gt;=0,Entry!$D1937&lt;1),RIGHT("00"&amp;HOUR(Entry!$D1937),2)&amp;":"&amp;RIGHT("00"&amp;MINUTE(Entry!$D1937),2),IFERROR(RIGHT("00"&amp;VALUE(TRIM(LEFT(Entry!$D1937,FIND(":",Entry!$D1937)-1))),2)&amp;":"&amp;RIGHT("00"&amp;VALUE(TRIM(MID(Entry!$D1937,FIND(":",Entry!$D1937)+1,2))),2),"نامعتبر")),IF(OR($E1937="",$E1937="نامعتبر"),"","00:00"))</f>
        <v/>
      </c>
      <c r="G1937">
        <f>IF(OR($E1937="",$E1937="نامعتبر"),"",IF(Entry!$E1937="","",LEFT(UPPER(TRIM(Entry!$E1937)),6)))</f>
        <v/>
      </c>
      <c r="H1937">
        <f>IF($G1937="","",RIGHT($E1937,4)&amp;MID($E1937,6,2)&amp;RIGHT($E1937,2)&amp;IF($F1937="","0000",IF($F1937="نامعتبر","9999",LEFT($F1937,2)&amp;RIGHT($F1937,2)))&amp;"|"&amp;RIGHT("00000"&amp;1929,5))</f>
        <v/>
      </c>
      <c r="I1937">
        <f>IF($H1937="","",COUNTIFS(CalcBank,$G1937,CalcKey,"&lt;"&amp;$H1937)+1)</f>
        <v/>
      </c>
      <c r="J1937">
        <f>IF($I1937="","",$G1937&amp;"|"&amp;RIGHT("000000"&amp;$I1937,6))</f>
        <v/>
      </c>
      <c r="K1937">
        <f>IF(OR($E1937="",$E1937="نامعتبر"),"",LEFT($E1937,4)&amp;"/"&amp;MID($E1937,6,2))</f>
        <v/>
      </c>
      <c r="L1937">
        <f>IF(Entry!$K1937="",0,Entry!$K1937)</f>
        <v/>
      </c>
      <c r="M1937">
        <f>IF(Entry!$L1937="",0,Entry!$L1937)</f>
        <v/>
      </c>
    </row>
    <row r="1938">
      <c r="A1938">
        <f>IF(Entry!$C1938="","",Entry!$C1938)</f>
        <v/>
      </c>
      <c r="B1938">
        <f>IF($A1938="","",IF(ISNUMBER($A1938),IF(AND($A1938&gt;=10000101,$A1938&lt;=99991231),INT($A1938/10000),""),IFERROR(VALUE(TRIM(LEFT($A1938,FIND("/",$A1938)-1))),"")))</f>
        <v/>
      </c>
      <c r="C1938">
        <f>IF(OR($A1938="",$B1938=""),"",IF(ISNUMBER($A1938),INT(MOD($A1938,10000)/100),IFERROR(VALUE(TRIM(LEFT(MID($A1938,FIND("/",$A1938)+1,20),FIND("/",MID($A1938,FIND("/",$A1938)+1,20))-1))),"")))</f>
        <v/>
      </c>
      <c r="D1938">
        <f>IF(OR($A1938="",$B1938=""),"",IF(ISNUMBER($A1938),MOD($A1938,100),IFERROR(VALUE(TRIM(MID(MID($A1938,FIND("/",$A1938)+1,20),FIND("/",MID($A1938,FIND("/",$A1938)+1,20))+1,20))),"")))</f>
        <v/>
      </c>
      <c r="E1938">
        <f>IF($A1938="","",IF(OR($B1938="",$C1938="",$D1938="",$B1938&lt;1300,$B1938&gt;1500,$C1938&lt;1,$C1938&gt;12,$D1938&lt;1,$D1938&gt;31),"نامعتبر",RIGHT("0000"&amp;$B1938,4)&amp;"/"&amp;RIGHT("00"&amp;$C1938,2)&amp;"/"&amp;RIGHT("00"&amp;$D1938,2)))</f>
        <v/>
      </c>
      <c r="F1938">
        <f>IF(Entry!$D1938&lt;&gt;"",IF(AND(ISNUMBER(Entry!$D1938),Entry!$D1938&gt;=0,Entry!$D1938&lt;1),RIGHT("00"&amp;HOUR(Entry!$D1938),2)&amp;":"&amp;RIGHT("00"&amp;MINUTE(Entry!$D1938),2),IFERROR(RIGHT("00"&amp;VALUE(TRIM(LEFT(Entry!$D1938,FIND(":",Entry!$D1938)-1))),2)&amp;":"&amp;RIGHT("00"&amp;VALUE(TRIM(MID(Entry!$D1938,FIND(":",Entry!$D1938)+1,2))),2),"نامعتبر")),IF(OR($E1938="",$E1938="نامعتبر"),"","00:00"))</f>
        <v/>
      </c>
      <c r="G1938">
        <f>IF(OR($E1938="",$E1938="نامعتبر"),"",IF(Entry!$E1938="","",LEFT(UPPER(TRIM(Entry!$E1938)),6)))</f>
        <v/>
      </c>
      <c r="H1938">
        <f>IF($G1938="","",RIGHT($E1938,4)&amp;MID($E1938,6,2)&amp;RIGHT($E1938,2)&amp;IF($F1938="","0000",IF($F1938="نامعتبر","9999",LEFT($F1938,2)&amp;RIGHT($F1938,2)))&amp;"|"&amp;RIGHT("00000"&amp;1930,5))</f>
        <v/>
      </c>
      <c r="I1938">
        <f>IF($H1938="","",COUNTIFS(CalcBank,$G1938,CalcKey,"&lt;"&amp;$H1938)+1)</f>
        <v/>
      </c>
      <c r="J1938">
        <f>IF($I1938="","",$G1938&amp;"|"&amp;RIGHT("000000"&amp;$I1938,6))</f>
        <v/>
      </c>
      <c r="K1938">
        <f>IF(OR($E1938="",$E1938="نامعتبر"),"",LEFT($E1938,4)&amp;"/"&amp;MID($E1938,6,2))</f>
        <v/>
      </c>
      <c r="L1938">
        <f>IF(Entry!$K1938="",0,Entry!$K1938)</f>
        <v/>
      </c>
      <c r="M1938">
        <f>IF(Entry!$L1938="",0,Entry!$L1938)</f>
        <v/>
      </c>
    </row>
    <row r="1939">
      <c r="A1939">
        <f>IF(Entry!$C1939="","",Entry!$C1939)</f>
        <v/>
      </c>
      <c r="B1939">
        <f>IF($A1939="","",IF(ISNUMBER($A1939),IF(AND($A1939&gt;=10000101,$A1939&lt;=99991231),INT($A1939/10000),""),IFERROR(VALUE(TRIM(LEFT($A1939,FIND("/",$A1939)-1))),"")))</f>
        <v/>
      </c>
      <c r="C1939">
        <f>IF(OR($A1939="",$B1939=""),"",IF(ISNUMBER($A1939),INT(MOD($A1939,10000)/100),IFERROR(VALUE(TRIM(LEFT(MID($A1939,FIND("/",$A1939)+1,20),FIND("/",MID($A1939,FIND("/",$A1939)+1,20))-1))),"")))</f>
        <v/>
      </c>
      <c r="D1939">
        <f>IF(OR($A1939="",$B1939=""),"",IF(ISNUMBER($A1939),MOD($A1939,100),IFERROR(VALUE(TRIM(MID(MID($A1939,FIND("/",$A1939)+1,20),FIND("/",MID($A1939,FIND("/",$A1939)+1,20))+1,20))),"")))</f>
        <v/>
      </c>
      <c r="E1939">
        <f>IF($A1939="","",IF(OR($B1939="",$C1939="",$D1939="",$B1939&lt;1300,$B1939&gt;1500,$C1939&lt;1,$C1939&gt;12,$D1939&lt;1,$D1939&gt;31),"نامعتبر",RIGHT("0000"&amp;$B1939,4)&amp;"/"&amp;RIGHT("00"&amp;$C1939,2)&amp;"/"&amp;RIGHT("00"&amp;$D1939,2)))</f>
        <v/>
      </c>
      <c r="F1939">
        <f>IF(Entry!$D1939&lt;&gt;"",IF(AND(ISNUMBER(Entry!$D1939),Entry!$D1939&gt;=0,Entry!$D1939&lt;1),RIGHT("00"&amp;HOUR(Entry!$D1939),2)&amp;":"&amp;RIGHT("00"&amp;MINUTE(Entry!$D1939),2),IFERROR(RIGHT("00"&amp;VALUE(TRIM(LEFT(Entry!$D1939,FIND(":",Entry!$D1939)-1))),2)&amp;":"&amp;RIGHT("00"&amp;VALUE(TRIM(MID(Entry!$D1939,FIND(":",Entry!$D1939)+1,2))),2),"نامعتبر")),IF(OR($E1939="",$E1939="نامعتبر"),"","00:00"))</f>
        <v/>
      </c>
      <c r="G1939">
        <f>IF(OR($E1939="",$E1939="نامعتبر"),"",IF(Entry!$E1939="","",LEFT(UPPER(TRIM(Entry!$E1939)),6)))</f>
        <v/>
      </c>
      <c r="H1939">
        <f>IF($G1939="","",RIGHT($E1939,4)&amp;MID($E1939,6,2)&amp;RIGHT($E1939,2)&amp;IF($F1939="","0000",IF($F1939="نامعتبر","9999",LEFT($F1939,2)&amp;RIGHT($F1939,2)))&amp;"|"&amp;RIGHT("00000"&amp;1931,5))</f>
        <v/>
      </c>
      <c r="I1939">
        <f>IF($H1939="","",COUNTIFS(CalcBank,$G1939,CalcKey,"&lt;"&amp;$H1939)+1)</f>
        <v/>
      </c>
      <c r="J1939">
        <f>IF($I1939="","",$G1939&amp;"|"&amp;RIGHT("000000"&amp;$I1939,6))</f>
        <v/>
      </c>
      <c r="K1939">
        <f>IF(OR($E1939="",$E1939="نامعتبر"),"",LEFT($E1939,4)&amp;"/"&amp;MID($E1939,6,2))</f>
        <v/>
      </c>
      <c r="L1939">
        <f>IF(Entry!$K1939="",0,Entry!$K1939)</f>
        <v/>
      </c>
      <c r="M1939">
        <f>IF(Entry!$L1939="",0,Entry!$L1939)</f>
        <v/>
      </c>
    </row>
    <row r="1940">
      <c r="A1940">
        <f>IF(Entry!$C1940="","",Entry!$C1940)</f>
        <v/>
      </c>
      <c r="B1940">
        <f>IF($A1940="","",IF(ISNUMBER($A1940),IF(AND($A1940&gt;=10000101,$A1940&lt;=99991231),INT($A1940/10000),""),IFERROR(VALUE(TRIM(LEFT($A1940,FIND("/",$A1940)-1))),"")))</f>
        <v/>
      </c>
      <c r="C1940">
        <f>IF(OR($A1940="",$B1940=""),"",IF(ISNUMBER($A1940),INT(MOD($A1940,10000)/100),IFERROR(VALUE(TRIM(LEFT(MID($A1940,FIND("/",$A1940)+1,20),FIND("/",MID($A1940,FIND("/",$A1940)+1,20))-1))),"")))</f>
        <v/>
      </c>
      <c r="D1940">
        <f>IF(OR($A1940="",$B1940=""),"",IF(ISNUMBER($A1940),MOD($A1940,100),IFERROR(VALUE(TRIM(MID(MID($A1940,FIND("/",$A1940)+1,20),FIND("/",MID($A1940,FIND("/",$A1940)+1,20))+1,20))),"")))</f>
        <v/>
      </c>
      <c r="E1940">
        <f>IF($A1940="","",IF(OR($B1940="",$C1940="",$D1940="",$B1940&lt;1300,$B1940&gt;1500,$C1940&lt;1,$C1940&gt;12,$D1940&lt;1,$D1940&gt;31),"نامعتبر",RIGHT("0000"&amp;$B1940,4)&amp;"/"&amp;RIGHT("00"&amp;$C1940,2)&amp;"/"&amp;RIGHT("00"&amp;$D1940,2)))</f>
        <v/>
      </c>
      <c r="F1940">
        <f>IF(Entry!$D1940&lt;&gt;"",IF(AND(ISNUMBER(Entry!$D1940),Entry!$D1940&gt;=0,Entry!$D1940&lt;1),RIGHT("00"&amp;HOUR(Entry!$D1940),2)&amp;":"&amp;RIGHT("00"&amp;MINUTE(Entry!$D1940),2),IFERROR(RIGHT("00"&amp;VALUE(TRIM(LEFT(Entry!$D1940,FIND(":",Entry!$D1940)-1))),2)&amp;":"&amp;RIGHT("00"&amp;VALUE(TRIM(MID(Entry!$D1940,FIND(":",Entry!$D1940)+1,2))),2),"نامعتبر")),IF(OR($E1940="",$E1940="نامعتبر"),"","00:00"))</f>
        <v/>
      </c>
      <c r="G1940">
        <f>IF(OR($E1940="",$E1940="نامعتبر"),"",IF(Entry!$E1940="","",LEFT(UPPER(TRIM(Entry!$E1940)),6)))</f>
        <v/>
      </c>
      <c r="H1940">
        <f>IF($G1940="","",RIGHT($E1940,4)&amp;MID($E1940,6,2)&amp;RIGHT($E1940,2)&amp;IF($F1940="","0000",IF($F1940="نامعتبر","9999",LEFT($F1940,2)&amp;RIGHT($F1940,2)))&amp;"|"&amp;RIGHT("00000"&amp;1932,5))</f>
        <v/>
      </c>
      <c r="I1940">
        <f>IF($H1940="","",COUNTIFS(CalcBank,$G1940,CalcKey,"&lt;"&amp;$H1940)+1)</f>
        <v/>
      </c>
      <c r="J1940">
        <f>IF($I1940="","",$G1940&amp;"|"&amp;RIGHT("000000"&amp;$I1940,6))</f>
        <v/>
      </c>
      <c r="K1940">
        <f>IF(OR($E1940="",$E1940="نامعتبر"),"",LEFT($E1940,4)&amp;"/"&amp;MID($E1940,6,2))</f>
        <v/>
      </c>
      <c r="L1940">
        <f>IF(Entry!$K1940="",0,Entry!$K1940)</f>
        <v/>
      </c>
      <c r="M1940">
        <f>IF(Entry!$L1940="",0,Entry!$L1940)</f>
        <v/>
      </c>
    </row>
    <row r="1941">
      <c r="A1941">
        <f>IF(Entry!$C1941="","",Entry!$C1941)</f>
        <v/>
      </c>
      <c r="B1941">
        <f>IF($A1941="","",IF(ISNUMBER($A1941),IF(AND($A1941&gt;=10000101,$A1941&lt;=99991231),INT($A1941/10000),""),IFERROR(VALUE(TRIM(LEFT($A1941,FIND("/",$A1941)-1))),"")))</f>
        <v/>
      </c>
      <c r="C1941">
        <f>IF(OR($A1941="",$B1941=""),"",IF(ISNUMBER($A1941),INT(MOD($A1941,10000)/100),IFERROR(VALUE(TRIM(LEFT(MID($A1941,FIND("/",$A1941)+1,20),FIND("/",MID($A1941,FIND("/",$A1941)+1,20))-1))),"")))</f>
        <v/>
      </c>
      <c r="D1941">
        <f>IF(OR($A1941="",$B1941=""),"",IF(ISNUMBER($A1941),MOD($A1941,100),IFERROR(VALUE(TRIM(MID(MID($A1941,FIND("/",$A1941)+1,20),FIND("/",MID($A1941,FIND("/",$A1941)+1,20))+1,20))),"")))</f>
        <v/>
      </c>
      <c r="E1941">
        <f>IF($A1941="","",IF(OR($B1941="",$C1941="",$D1941="",$B1941&lt;1300,$B1941&gt;1500,$C1941&lt;1,$C1941&gt;12,$D1941&lt;1,$D1941&gt;31),"نامعتبر",RIGHT("0000"&amp;$B1941,4)&amp;"/"&amp;RIGHT("00"&amp;$C1941,2)&amp;"/"&amp;RIGHT("00"&amp;$D1941,2)))</f>
        <v/>
      </c>
      <c r="F1941">
        <f>IF(Entry!$D1941&lt;&gt;"",IF(AND(ISNUMBER(Entry!$D1941),Entry!$D1941&gt;=0,Entry!$D1941&lt;1),RIGHT("00"&amp;HOUR(Entry!$D1941),2)&amp;":"&amp;RIGHT("00"&amp;MINUTE(Entry!$D1941),2),IFERROR(RIGHT("00"&amp;VALUE(TRIM(LEFT(Entry!$D1941,FIND(":",Entry!$D1941)-1))),2)&amp;":"&amp;RIGHT("00"&amp;VALUE(TRIM(MID(Entry!$D1941,FIND(":",Entry!$D1941)+1,2))),2),"نامعتبر")),IF(OR($E1941="",$E1941="نامعتبر"),"","00:00"))</f>
        <v/>
      </c>
      <c r="G1941">
        <f>IF(OR($E1941="",$E1941="نامعتبر"),"",IF(Entry!$E1941="","",LEFT(UPPER(TRIM(Entry!$E1941)),6)))</f>
        <v/>
      </c>
      <c r="H1941">
        <f>IF($G1941="","",RIGHT($E1941,4)&amp;MID($E1941,6,2)&amp;RIGHT($E1941,2)&amp;IF($F1941="","0000",IF($F1941="نامعتبر","9999",LEFT($F1941,2)&amp;RIGHT($F1941,2)))&amp;"|"&amp;RIGHT("00000"&amp;1933,5))</f>
        <v/>
      </c>
      <c r="I1941">
        <f>IF($H1941="","",COUNTIFS(CalcBank,$G1941,CalcKey,"&lt;"&amp;$H1941)+1)</f>
        <v/>
      </c>
      <c r="J1941">
        <f>IF($I1941="","",$G1941&amp;"|"&amp;RIGHT("000000"&amp;$I1941,6))</f>
        <v/>
      </c>
      <c r="K1941">
        <f>IF(OR($E1941="",$E1941="نامعتبر"),"",LEFT($E1941,4)&amp;"/"&amp;MID($E1941,6,2))</f>
        <v/>
      </c>
      <c r="L1941">
        <f>IF(Entry!$K1941="",0,Entry!$K1941)</f>
        <v/>
      </c>
      <c r="M1941">
        <f>IF(Entry!$L1941="",0,Entry!$L1941)</f>
        <v/>
      </c>
    </row>
    <row r="1942">
      <c r="A1942">
        <f>IF(Entry!$C1942="","",Entry!$C1942)</f>
        <v/>
      </c>
      <c r="B1942">
        <f>IF($A1942="","",IF(ISNUMBER($A1942),IF(AND($A1942&gt;=10000101,$A1942&lt;=99991231),INT($A1942/10000),""),IFERROR(VALUE(TRIM(LEFT($A1942,FIND("/",$A1942)-1))),"")))</f>
        <v/>
      </c>
      <c r="C1942">
        <f>IF(OR($A1942="",$B1942=""),"",IF(ISNUMBER($A1942),INT(MOD($A1942,10000)/100),IFERROR(VALUE(TRIM(LEFT(MID($A1942,FIND("/",$A1942)+1,20),FIND("/",MID($A1942,FIND("/",$A1942)+1,20))-1))),"")))</f>
        <v/>
      </c>
      <c r="D1942">
        <f>IF(OR($A1942="",$B1942=""),"",IF(ISNUMBER($A1942),MOD($A1942,100),IFERROR(VALUE(TRIM(MID(MID($A1942,FIND("/",$A1942)+1,20),FIND("/",MID($A1942,FIND("/",$A1942)+1,20))+1,20))),"")))</f>
        <v/>
      </c>
      <c r="E1942">
        <f>IF($A1942="","",IF(OR($B1942="",$C1942="",$D1942="",$B1942&lt;1300,$B1942&gt;1500,$C1942&lt;1,$C1942&gt;12,$D1942&lt;1,$D1942&gt;31),"نامعتبر",RIGHT("0000"&amp;$B1942,4)&amp;"/"&amp;RIGHT("00"&amp;$C1942,2)&amp;"/"&amp;RIGHT("00"&amp;$D1942,2)))</f>
        <v/>
      </c>
      <c r="F1942">
        <f>IF(Entry!$D1942&lt;&gt;"",IF(AND(ISNUMBER(Entry!$D1942),Entry!$D1942&gt;=0,Entry!$D1942&lt;1),RIGHT("00"&amp;HOUR(Entry!$D1942),2)&amp;":"&amp;RIGHT("00"&amp;MINUTE(Entry!$D1942),2),IFERROR(RIGHT("00"&amp;VALUE(TRIM(LEFT(Entry!$D1942,FIND(":",Entry!$D1942)-1))),2)&amp;":"&amp;RIGHT("00"&amp;VALUE(TRIM(MID(Entry!$D1942,FIND(":",Entry!$D1942)+1,2))),2),"نامعتبر")),IF(OR($E1942="",$E1942="نامعتبر"),"","00:00"))</f>
        <v/>
      </c>
      <c r="G1942">
        <f>IF(OR($E1942="",$E1942="نامعتبر"),"",IF(Entry!$E1942="","",LEFT(UPPER(TRIM(Entry!$E1942)),6)))</f>
        <v/>
      </c>
      <c r="H1942">
        <f>IF($G1942="","",RIGHT($E1942,4)&amp;MID($E1942,6,2)&amp;RIGHT($E1942,2)&amp;IF($F1942="","0000",IF($F1942="نامعتبر","9999",LEFT($F1942,2)&amp;RIGHT($F1942,2)))&amp;"|"&amp;RIGHT("00000"&amp;1934,5))</f>
        <v/>
      </c>
      <c r="I1942">
        <f>IF($H1942="","",COUNTIFS(CalcBank,$G1942,CalcKey,"&lt;"&amp;$H1942)+1)</f>
        <v/>
      </c>
      <c r="J1942">
        <f>IF($I1942="","",$G1942&amp;"|"&amp;RIGHT("000000"&amp;$I1942,6))</f>
        <v/>
      </c>
      <c r="K1942">
        <f>IF(OR($E1942="",$E1942="نامعتبر"),"",LEFT($E1942,4)&amp;"/"&amp;MID($E1942,6,2))</f>
        <v/>
      </c>
      <c r="L1942">
        <f>IF(Entry!$K1942="",0,Entry!$K1942)</f>
        <v/>
      </c>
      <c r="M1942">
        <f>IF(Entry!$L1942="",0,Entry!$L1942)</f>
        <v/>
      </c>
    </row>
    <row r="1943">
      <c r="A1943">
        <f>IF(Entry!$C1943="","",Entry!$C1943)</f>
        <v/>
      </c>
      <c r="B1943">
        <f>IF($A1943="","",IF(ISNUMBER($A1943),IF(AND($A1943&gt;=10000101,$A1943&lt;=99991231),INT($A1943/10000),""),IFERROR(VALUE(TRIM(LEFT($A1943,FIND("/",$A1943)-1))),"")))</f>
        <v/>
      </c>
      <c r="C1943">
        <f>IF(OR($A1943="",$B1943=""),"",IF(ISNUMBER($A1943),INT(MOD($A1943,10000)/100),IFERROR(VALUE(TRIM(LEFT(MID($A1943,FIND("/",$A1943)+1,20),FIND("/",MID($A1943,FIND("/",$A1943)+1,20))-1))),"")))</f>
        <v/>
      </c>
      <c r="D1943">
        <f>IF(OR($A1943="",$B1943=""),"",IF(ISNUMBER($A1943),MOD($A1943,100),IFERROR(VALUE(TRIM(MID(MID($A1943,FIND("/",$A1943)+1,20),FIND("/",MID($A1943,FIND("/",$A1943)+1,20))+1,20))),"")))</f>
        <v/>
      </c>
      <c r="E1943">
        <f>IF($A1943="","",IF(OR($B1943="",$C1943="",$D1943="",$B1943&lt;1300,$B1943&gt;1500,$C1943&lt;1,$C1943&gt;12,$D1943&lt;1,$D1943&gt;31),"نامعتبر",RIGHT("0000"&amp;$B1943,4)&amp;"/"&amp;RIGHT("00"&amp;$C1943,2)&amp;"/"&amp;RIGHT("00"&amp;$D1943,2)))</f>
        <v/>
      </c>
      <c r="F1943">
        <f>IF(Entry!$D1943&lt;&gt;"",IF(AND(ISNUMBER(Entry!$D1943),Entry!$D1943&gt;=0,Entry!$D1943&lt;1),RIGHT("00"&amp;HOUR(Entry!$D1943),2)&amp;":"&amp;RIGHT("00"&amp;MINUTE(Entry!$D1943),2),IFERROR(RIGHT("00"&amp;VALUE(TRIM(LEFT(Entry!$D1943,FIND(":",Entry!$D1943)-1))),2)&amp;":"&amp;RIGHT("00"&amp;VALUE(TRIM(MID(Entry!$D1943,FIND(":",Entry!$D1943)+1,2))),2),"نامعتبر")),IF(OR($E1943="",$E1943="نامعتبر"),"","00:00"))</f>
        <v/>
      </c>
      <c r="G1943">
        <f>IF(OR($E1943="",$E1943="نامعتبر"),"",IF(Entry!$E1943="","",LEFT(UPPER(TRIM(Entry!$E1943)),6)))</f>
        <v/>
      </c>
      <c r="H1943">
        <f>IF($G1943="","",RIGHT($E1943,4)&amp;MID($E1943,6,2)&amp;RIGHT($E1943,2)&amp;IF($F1943="","0000",IF($F1943="نامعتبر","9999",LEFT($F1943,2)&amp;RIGHT($F1943,2)))&amp;"|"&amp;RIGHT("00000"&amp;1935,5))</f>
        <v/>
      </c>
      <c r="I1943">
        <f>IF($H1943="","",COUNTIFS(CalcBank,$G1943,CalcKey,"&lt;"&amp;$H1943)+1)</f>
        <v/>
      </c>
      <c r="J1943">
        <f>IF($I1943="","",$G1943&amp;"|"&amp;RIGHT("000000"&amp;$I1943,6))</f>
        <v/>
      </c>
      <c r="K1943">
        <f>IF(OR($E1943="",$E1943="نامعتبر"),"",LEFT($E1943,4)&amp;"/"&amp;MID($E1943,6,2))</f>
        <v/>
      </c>
      <c r="L1943">
        <f>IF(Entry!$K1943="",0,Entry!$K1943)</f>
        <v/>
      </c>
      <c r="M1943">
        <f>IF(Entry!$L1943="",0,Entry!$L1943)</f>
        <v/>
      </c>
    </row>
    <row r="1944">
      <c r="A1944">
        <f>IF(Entry!$C1944="","",Entry!$C1944)</f>
        <v/>
      </c>
      <c r="B1944">
        <f>IF($A1944="","",IF(ISNUMBER($A1944),IF(AND($A1944&gt;=10000101,$A1944&lt;=99991231),INT($A1944/10000),""),IFERROR(VALUE(TRIM(LEFT($A1944,FIND("/",$A1944)-1))),"")))</f>
        <v/>
      </c>
      <c r="C1944">
        <f>IF(OR($A1944="",$B1944=""),"",IF(ISNUMBER($A1944),INT(MOD($A1944,10000)/100),IFERROR(VALUE(TRIM(LEFT(MID($A1944,FIND("/",$A1944)+1,20),FIND("/",MID($A1944,FIND("/",$A1944)+1,20))-1))),"")))</f>
        <v/>
      </c>
      <c r="D1944">
        <f>IF(OR($A1944="",$B1944=""),"",IF(ISNUMBER($A1944),MOD($A1944,100),IFERROR(VALUE(TRIM(MID(MID($A1944,FIND("/",$A1944)+1,20),FIND("/",MID($A1944,FIND("/",$A1944)+1,20))+1,20))),"")))</f>
        <v/>
      </c>
      <c r="E1944">
        <f>IF($A1944="","",IF(OR($B1944="",$C1944="",$D1944="",$B1944&lt;1300,$B1944&gt;1500,$C1944&lt;1,$C1944&gt;12,$D1944&lt;1,$D1944&gt;31),"نامعتبر",RIGHT("0000"&amp;$B1944,4)&amp;"/"&amp;RIGHT("00"&amp;$C1944,2)&amp;"/"&amp;RIGHT("00"&amp;$D1944,2)))</f>
        <v/>
      </c>
      <c r="F1944">
        <f>IF(Entry!$D1944&lt;&gt;"",IF(AND(ISNUMBER(Entry!$D1944),Entry!$D1944&gt;=0,Entry!$D1944&lt;1),RIGHT("00"&amp;HOUR(Entry!$D1944),2)&amp;":"&amp;RIGHT("00"&amp;MINUTE(Entry!$D1944),2),IFERROR(RIGHT("00"&amp;VALUE(TRIM(LEFT(Entry!$D1944,FIND(":",Entry!$D1944)-1))),2)&amp;":"&amp;RIGHT("00"&amp;VALUE(TRIM(MID(Entry!$D1944,FIND(":",Entry!$D1944)+1,2))),2),"نامعتبر")),IF(OR($E1944="",$E1944="نامعتبر"),"","00:00"))</f>
        <v/>
      </c>
      <c r="G1944">
        <f>IF(OR($E1944="",$E1944="نامعتبر"),"",IF(Entry!$E1944="","",LEFT(UPPER(TRIM(Entry!$E1944)),6)))</f>
        <v/>
      </c>
      <c r="H1944">
        <f>IF($G1944="","",RIGHT($E1944,4)&amp;MID($E1944,6,2)&amp;RIGHT($E1944,2)&amp;IF($F1944="","0000",IF($F1944="نامعتبر","9999",LEFT($F1944,2)&amp;RIGHT($F1944,2)))&amp;"|"&amp;RIGHT("00000"&amp;1936,5))</f>
        <v/>
      </c>
      <c r="I1944">
        <f>IF($H1944="","",COUNTIFS(CalcBank,$G1944,CalcKey,"&lt;"&amp;$H1944)+1)</f>
        <v/>
      </c>
      <c r="J1944">
        <f>IF($I1944="","",$G1944&amp;"|"&amp;RIGHT("000000"&amp;$I1944,6))</f>
        <v/>
      </c>
      <c r="K1944">
        <f>IF(OR($E1944="",$E1944="نامعتبر"),"",LEFT($E1944,4)&amp;"/"&amp;MID($E1944,6,2))</f>
        <v/>
      </c>
      <c r="L1944">
        <f>IF(Entry!$K1944="",0,Entry!$K1944)</f>
        <v/>
      </c>
      <c r="M1944">
        <f>IF(Entry!$L1944="",0,Entry!$L1944)</f>
        <v/>
      </c>
    </row>
    <row r="1945">
      <c r="A1945">
        <f>IF(Entry!$C1945="","",Entry!$C1945)</f>
        <v/>
      </c>
      <c r="B1945">
        <f>IF($A1945="","",IF(ISNUMBER($A1945),IF(AND($A1945&gt;=10000101,$A1945&lt;=99991231),INT($A1945/10000),""),IFERROR(VALUE(TRIM(LEFT($A1945,FIND("/",$A1945)-1))),"")))</f>
        <v/>
      </c>
      <c r="C1945">
        <f>IF(OR($A1945="",$B1945=""),"",IF(ISNUMBER($A1945),INT(MOD($A1945,10000)/100),IFERROR(VALUE(TRIM(LEFT(MID($A1945,FIND("/",$A1945)+1,20),FIND("/",MID($A1945,FIND("/",$A1945)+1,20))-1))),"")))</f>
        <v/>
      </c>
      <c r="D1945">
        <f>IF(OR($A1945="",$B1945=""),"",IF(ISNUMBER($A1945),MOD($A1945,100),IFERROR(VALUE(TRIM(MID(MID($A1945,FIND("/",$A1945)+1,20),FIND("/",MID($A1945,FIND("/",$A1945)+1,20))+1,20))),"")))</f>
        <v/>
      </c>
      <c r="E1945">
        <f>IF($A1945="","",IF(OR($B1945="",$C1945="",$D1945="",$B1945&lt;1300,$B1945&gt;1500,$C1945&lt;1,$C1945&gt;12,$D1945&lt;1,$D1945&gt;31),"نامعتبر",RIGHT("0000"&amp;$B1945,4)&amp;"/"&amp;RIGHT("00"&amp;$C1945,2)&amp;"/"&amp;RIGHT("00"&amp;$D1945,2)))</f>
        <v/>
      </c>
      <c r="F1945">
        <f>IF(Entry!$D1945&lt;&gt;"",IF(AND(ISNUMBER(Entry!$D1945),Entry!$D1945&gt;=0,Entry!$D1945&lt;1),RIGHT("00"&amp;HOUR(Entry!$D1945),2)&amp;":"&amp;RIGHT("00"&amp;MINUTE(Entry!$D1945),2),IFERROR(RIGHT("00"&amp;VALUE(TRIM(LEFT(Entry!$D1945,FIND(":",Entry!$D1945)-1))),2)&amp;":"&amp;RIGHT("00"&amp;VALUE(TRIM(MID(Entry!$D1945,FIND(":",Entry!$D1945)+1,2))),2),"نامعتبر")),IF(OR($E1945="",$E1945="نامعتبر"),"","00:00"))</f>
        <v/>
      </c>
      <c r="G1945">
        <f>IF(OR($E1945="",$E1945="نامعتبر"),"",IF(Entry!$E1945="","",LEFT(UPPER(TRIM(Entry!$E1945)),6)))</f>
        <v/>
      </c>
      <c r="H1945">
        <f>IF($G1945="","",RIGHT($E1945,4)&amp;MID($E1945,6,2)&amp;RIGHT($E1945,2)&amp;IF($F1945="","0000",IF($F1945="نامعتبر","9999",LEFT($F1945,2)&amp;RIGHT($F1945,2)))&amp;"|"&amp;RIGHT("00000"&amp;1937,5))</f>
        <v/>
      </c>
      <c r="I1945">
        <f>IF($H1945="","",COUNTIFS(CalcBank,$G1945,CalcKey,"&lt;"&amp;$H1945)+1)</f>
        <v/>
      </c>
      <c r="J1945">
        <f>IF($I1945="","",$G1945&amp;"|"&amp;RIGHT("000000"&amp;$I1945,6))</f>
        <v/>
      </c>
      <c r="K1945">
        <f>IF(OR($E1945="",$E1945="نامعتبر"),"",LEFT($E1945,4)&amp;"/"&amp;MID($E1945,6,2))</f>
        <v/>
      </c>
      <c r="L1945">
        <f>IF(Entry!$K1945="",0,Entry!$K1945)</f>
        <v/>
      </c>
      <c r="M1945">
        <f>IF(Entry!$L1945="",0,Entry!$L1945)</f>
        <v/>
      </c>
    </row>
    <row r="1946">
      <c r="A1946">
        <f>IF(Entry!$C1946="","",Entry!$C1946)</f>
        <v/>
      </c>
      <c r="B1946">
        <f>IF($A1946="","",IF(ISNUMBER($A1946),IF(AND($A1946&gt;=10000101,$A1946&lt;=99991231),INT($A1946/10000),""),IFERROR(VALUE(TRIM(LEFT($A1946,FIND("/",$A1946)-1))),"")))</f>
        <v/>
      </c>
      <c r="C1946">
        <f>IF(OR($A1946="",$B1946=""),"",IF(ISNUMBER($A1946),INT(MOD($A1946,10000)/100),IFERROR(VALUE(TRIM(LEFT(MID($A1946,FIND("/",$A1946)+1,20),FIND("/",MID($A1946,FIND("/",$A1946)+1,20))-1))),"")))</f>
        <v/>
      </c>
      <c r="D1946">
        <f>IF(OR($A1946="",$B1946=""),"",IF(ISNUMBER($A1946),MOD($A1946,100),IFERROR(VALUE(TRIM(MID(MID($A1946,FIND("/",$A1946)+1,20),FIND("/",MID($A1946,FIND("/",$A1946)+1,20))+1,20))),"")))</f>
        <v/>
      </c>
      <c r="E1946">
        <f>IF($A1946="","",IF(OR($B1946="",$C1946="",$D1946="",$B1946&lt;1300,$B1946&gt;1500,$C1946&lt;1,$C1946&gt;12,$D1946&lt;1,$D1946&gt;31),"نامعتبر",RIGHT("0000"&amp;$B1946,4)&amp;"/"&amp;RIGHT("00"&amp;$C1946,2)&amp;"/"&amp;RIGHT("00"&amp;$D1946,2)))</f>
        <v/>
      </c>
      <c r="F1946">
        <f>IF(Entry!$D1946&lt;&gt;"",IF(AND(ISNUMBER(Entry!$D1946),Entry!$D1946&gt;=0,Entry!$D1946&lt;1),RIGHT("00"&amp;HOUR(Entry!$D1946),2)&amp;":"&amp;RIGHT("00"&amp;MINUTE(Entry!$D1946),2),IFERROR(RIGHT("00"&amp;VALUE(TRIM(LEFT(Entry!$D1946,FIND(":",Entry!$D1946)-1))),2)&amp;":"&amp;RIGHT("00"&amp;VALUE(TRIM(MID(Entry!$D1946,FIND(":",Entry!$D1946)+1,2))),2),"نامعتبر")),IF(OR($E1946="",$E1946="نامعتبر"),"","00:00"))</f>
        <v/>
      </c>
      <c r="G1946">
        <f>IF(OR($E1946="",$E1946="نامعتبر"),"",IF(Entry!$E1946="","",LEFT(UPPER(TRIM(Entry!$E1946)),6)))</f>
        <v/>
      </c>
      <c r="H1946">
        <f>IF($G1946="","",RIGHT($E1946,4)&amp;MID($E1946,6,2)&amp;RIGHT($E1946,2)&amp;IF($F1946="","0000",IF($F1946="نامعتبر","9999",LEFT($F1946,2)&amp;RIGHT($F1946,2)))&amp;"|"&amp;RIGHT("00000"&amp;1938,5))</f>
        <v/>
      </c>
      <c r="I1946">
        <f>IF($H1946="","",COUNTIFS(CalcBank,$G1946,CalcKey,"&lt;"&amp;$H1946)+1)</f>
        <v/>
      </c>
      <c r="J1946">
        <f>IF($I1946="","",$G1946&amp;"|"&amp;RIGHT("000000"&amp;$I1946,6))</f>
        <v/>
      </c>
      <c r="K1946">
        <f>IF(OR($E1946="",$E1946="نامعتبر"),"",LEFT($E1946,4)&amp;"/"&amp;MID($E1946,6,2))</f>
        <v/>
      </c>
      <c r="L1946">
        <f>IF(Entry!$K1946="",0,Entry!$K1946)</f>
        <v/>
      </c>
      <c r="M1946">
        <f>IF(Entry!$L1946="",0,Entry!$L1946)</f>
        <v/>
      </c>
    </row>
    <row r="1947">
      <c r="A1947">
        <f>IF(Entry!$C1947="","",Entry!$C1947)</f>
        <v/>
      </c>
      <c r="B1947">
        <f>IF($A1947="","",IF(ISNUMBER($A1947),IF(AND($A1947&gt;=10000101,$A1947&lt;=99991231),INT($A1947/10000),""),IFERROR(VALUE(TRIM(LEFT($A1947,FIND("/",$A1947)-1))),"")))</f>
        <v/>
      </c>
      <c r="C1947">
        <f>IF(OR($A1947="",$B1947=""),"",IF(ISNUMBER($A1947),INT(MOD($A1947,10000)/100),IFERROR(VALUE(TRIM(LEFT(MID($A1947,FIND("/",$A1947)+1,20),FIND("/",MID($A1947,FIND("/",$A1947)+1,20))-1))),"")))</f>
        <v/>
      </c>
      <c r="D1947">
        <f>IF(OR($A1947="",$B1947=""),"",IF(ISNUMBER($A1947),MOD($A1947,100),IFERROR(VALUE(TRIM(MID(MID($A1947,FIND("/",$A1947)+1,20),FIND("/",MID($A1947,FIND("/",$A1947)+1,20))+1,20))),"")))</f>
        <v/>
      </c>
      <c r="E1947">
        <f>IF($A1947="","",IF(OR($B1947="",$C1947="",$D1947="",$B1947&lt;1300,$B1947&gt;1500,$C1947&lt;1,$C1947&gt;12,$D1947&lt;1,$D1947&gt;31),"نامعتبر",RIGHT("0000"&amp;$B1947,4)&amp;"/"&amp;RIGHT("00"&amp;$C1947,2)&amp;"/"&amp;RIGHT("00"&amp;$D1947,2)))</f>
        <v/>
      </c>
      <c r="F1947">
        <f>IF(Entry!$D1947&lt;&gt;"",IF(AND(ISNUMBER(Entry!$D1947),Entry!$D1947&gt;=0,Entry!$D1947&lt;1),RIGHT("00"&amp;HOUR(Entry!$D1947),2)&amp;":"&amp;RIGHT("00"&amp;MINUTE(Entry!$D1947),2),IFERROR(RIGHT("00"&amp;VALUE(TRIM(LEFT(Entry!$D1947,FIND(":",Entry!$D1947)-1))),2)&amp;":"&amp;RIGHT("00"&amp;VALUE(TRIM(MID(Entry!$D1947,FIND(":",Entry!$D1947)+1,2))),2),"نامعتبر")),IF(OR($E1947="",$E1947="نامعتبر"),"","00:00"))</f>
        <v/>
      </c>
      <c r="G1947">
        <f>IF(OR($E1947="",$E1947="نامعتبر"),"",IF(Entry!$E1947="","",LEFT(UPPER(TRIM(Entry!$E1947)),6)))</f>
        <v/>
      </c>
      <c r="H1947">
        <f>IF($G1947="","",RIGHT($E1947,4)&amp;MID($E1947,6,2)&amp;RIGHT($E1947,2)&amp;IF($F1947="","0000",IF($F1947="نامعتبر","9999",LEFT($F1947,2)&amp;RIGHT($F1947,2)))&amp;"|"&amp;RIGHT("00000"&amp;1939,5))</f>
        <v/>
      </c>
      <c r="I1947">
        <f>IF($H1947="","",COUNTIFS(CalcBank,$G1947,CalcKey,"&lt;"&amp;$H1947)+1)</f>
        <v/>
      </c>
      <c r="J1947">
        <f>IF($I1947="","",$G1947&amp;"|"&amp;RIGHT("000000"&amp;$I1947,6))</f>
        <v/>
      </c>
      <c r="K1947">
        <f>IF(OR($E1947="",$E1947="نامعتبر"),"",LEFT($E1947,4)&amp;"/"&amp;MID($E1947,6,2))</f>
        <v/>
      </c>
      <c r="L1947">
        <f>IF(Entry!$K1947="",0,Entry!$K1947)</f>
        <v/>
      </c>
      <c r="M1947">
        <f>IF(Entry!$L1947="",0,Entry!$L1947)</f>
        <v/>
      </c>
    </row>
    <row r="1948">
      <c r="A1948">
        <f>IF(Entry!$C1948="","",Entry!$C1948)</f>
        <v/>
      </c>
      <c r="B1948">
        <f>IF($A1948="","",IF(ISNUMBER($A1948),IF(AND($A1948&gt;=10000101,$A1948&lt;=99991231),INT($A1948/10000),""),IFERROR(VALUE(TRIM(LEFT($A1948,FIND("/",$A1948)-1))),"")))</f>
        <v/>
      </c>
      <c r="C1948">
        <f>IF(OR($A1948="",$B1948=""),"",IF(ISNUMBER($A1948),INT(MOD($A1948,10000)/100),IFERROR(VALUE(TRIM(LEFT(MID($A1948,FIND("/",$A1948)+1,20),FIND("/",MID($A1948,FIND("/",$A1948)+1,20))-1))),"")))</f>
        <v/>
      </c>
      <c r="D1948">
        <f>IF(OR($A1948="",$B1948=""),"",IF(ISNUMBER($A1948),MOD($A1948,100),IFERROR(VALUE(TRIM(MID(MID($A1948,FIND("/",$A1948)+1,20),FIND("/",MID($A1948,FIND("/",$A1948)+1,20))+1,20))),"")))</f>
        <v/>
      </c>
      <c r="E1948">
        <f>IF($A1948="","",IF(OR($B1948="",$C1948="",$D1948="",$B1948&lt;1300,$B1948&gt;1500,$C1948&lt;1,$C1948&gt;12,$D1948&lt;1,$D1948&gt;31),"نامعتبر",RIGHT("0000"&amp;$B1948,4)&amp;"/"&amp;RIGHT("00"&amp;$C1948,2)&amp;"/"&amp;RIGHT("00"&amp;$D1948,2)))</f>
        <v/>
      </c>
      <c r="F1948">
        <f>IF(Entry!$D1948&lt;&gt;"",IF(AND(ISNUMBER(Entry!$D1948),Entry!$D1948&gt;=0,Entry!$D1948&lt;1),RIGHT("00"&amp;HOUR(Entry!$D1948),2)&amp;":"&amp;RIGHT("00"&amp;MINUTE(Entry!$D1948),2),IFERROR(RIGHT("00"&amp;VALUE(TRIM(LEFT(Entry!$D1948,FIND(":",Entry!$D1948)-1))),2)&amp;":"&amp;RIGHT("00"&amp;VALUE(TRIM(MID(Entry!$D1948,FIND(":",Entry!$D1948)+1,2))),2),"نامعتبر")),IF(OR($E1948="",$E1948="نامعتبر"),"","00:00"))</f>
        <v/>
      </c>
      <c r="G1948">
        <f>IF(OR($E1948="",$E1948="نامعتبر"),"",IF(Entry!$E1948="","",LEFT(UPPER(TRIM(Entry!$E1948)),6)))</f>
        <v/>
      </c>
      <c r="H1948">
        <f>IF($G1948="","",RIGHT($E1948,4)&amp;MID($E1948,6,2)&amp;RIGHT($E1948,2)&amp;IF($F1948="","0000",IF($F1948="نامعتبر","9999",LEFT($F1948,2)&amp;RIGHT($F1948,2)))&amp;"|"&amp;RIGHT("00000"&amp;1940,5))</f>
        <v/>
      </c>
      <c r="I1948">
        <f>IF($H1948="","",COUNTIFS(CalcBank,$G1948,CalcKey,"&lt;"&amp;$H1948)+1)</f>
        <v/>
      </c>
      <c r="J1948">
        <f>IF($I1948="","",$G1948&amp;"|"&amp;RIGHT("000000"&amp;$I1948,6))</f>
        <v/>
      </c>
      <c r="K1948">
        <f>IF(OR($E1948="",$E1948="نامعتبر"),"",LEFT($E1948,4)&amp;"/"&amp;MID($E1948,6,2))</f>
        <v/>
      </c>
      <c r="L1948">
        <f>IF(Entry!$K1948="",0,Entry!$K1948)</f>
        <v/>
      </c>
      <c r="M1948">
        <f>IF(Entry!$L1948="",0,Entry!$L1948)</f>
        <v/>
      </c>
    </row>
    <row r="1949">
      <c r="A1949">
        <f>IF(Entry!$C1949="","",Entry!$C1949)</f>
        <v/>
      </c>
      <c r="B1949">
        <f>IF($A1949="","",IF(ISNUMBER($A1949),IF(AND($A1949&gt;=10000101,$A1949&lt;=99991231),INT($A1949/10000),""),IFERROR(VALUE(TRIM(LEFT($A1949,FIND("/",$A1949)-1))),"")))</f>
        <v/>
      </c>
      <c r="C1949">
        <f>IF(OR($A1949="",$B1949=""),"",IF(ISNUMBER($A1949),INT(MOD($A1949,10000)/100),IFERROR(VALUE(TRIM(LEFT(MID($A1949,FIND("/",$A1949)+1,20),FIND("/",MID($A1949,FIND("/",$A1949)+1,20))-1))),"")))</f>
        <v/>
      </c>
      <c r="D1949">
        <f>IF(OR($A1949="",$B1949=""),"",IF(ISNUMBER($A1949),MOD($A1949,100),IFERROR(VALUE(TRIM(MID(MID($A1949,FIND("/",$A1949)+1,20),FIND("/",MID($A1949,FIND("/",$A1949)+1,20))+1,20))),"")))</f>
        <v/>
      </c>
      <c r="E1949">
        <f>IF($A1949="","",IF(OR($B1949="",$C1949="",$D1949="",$B1949&lt;1300,$B1949&gt;1500,$C1949&lt;1,$C1949&gt;12,$D1949&lt;1,$D1949&gt;31),"نامعتبر",RIGHT("0000"&amp;$B1949,4)&amp;"/"&amp;RIGHT("00"&amp;$C1949,2)&amp;"/"&amp;RIGHT("00"&amp;$D1949,2)))</f>
        <v/>
      </c>
      <c r="F1949">
        <f>IF(Entry!$D1949&lt;&gt;"",IF(AND(ISNUMBER(Entry!$D1949),Entry!$D1949&gt;=0,Entry!$D1949&lt;1),RIGHT("00"&amp;HOUR(Entry!$D1949),2)&amp;":"&amp;RIGHT("00"&amp;MINUTE(Entry!$D1949),2),IFERROR(RIGHT("00"&amp;VALUE(TRIM(LEFT(Entry!$D1949,FIND(":",Entry!$D1949)-1))),2)&amp;":"&amp;RIGHT("00"&amp;VALUE(TRIM(MID(Entry!$D1949,FIND(":",Entry!$D1949)+1,2))),2),"نامعتبر")),IF(OR($E1949="",$E1949="نامعتبر"),"","00:00"))</f>
        <v/>
      </c>
      <c r="G1949">
        <f>IF(OR($E1949="",$E1949="نامعتبر"),"",IF(Entry!$E1949="","",LEFT(UPPER(TRIM(Entry!$E1949)),6)))</f>
        <v/>
      </c>
      <c r="H1949">
        <f>IF($G1949="","",RIGHT($E1949,4)&amp;MID($E1949,6,2)&amp;RIGHT($E1949,2)&amp;IF($F1949="","0000",IF($F1949="نامعتبر","9999",LEFT($F1949,2)&amp;RIGHT($F1949,2)))&amp;"|"&amp;RIGHT("00000"&amp;1941,5))</f>
        <v/>
      </c>
      <c r="I1949">
        <f>IF($H1949="","",COUNTIFS(CalcBank,$G1949,CalcKey,"&lt;"&amp;$H1949)+1)</f>
        <v/>
      </c>
      <c r="J1949">
        <f>IF($I1949="","",$G1949&amp;"|"&amp;RIGHT("000000"&amp;$I1949,6))</f>
        <v/>
      </c>
      <c r="K1949">
        <f>IF(OR($E1949="",$E1949="نامعتبر"),"",LEFT($E1949,4)&amp;"/"&amp;MID($E1949,6,2))</f>
        <v/>
      </c>
      <c r="L1949">
        <f>IF(Entry!$K1949="",0,Entry!$K1949)</f>
        <v/>
      </c>
      <c r="M1949">
        <f>IF(Entry!$L1949="",0,Entry!$L1949)</f>
        <v/>
      </c>
    </row>
    <row r="1950">
      <c r="A1950">
        <f>IF(Entry!$C1950="","",Entry!$C1950)</f>
        <v/>
      </c>
      <c r="B1950">
        <f>IF($A1950="","",IF(ISNUMBER($A1950),IF(AND($A1950&gt;=10000101,$A1950&lt;=99991231),INT($A1950/10000),""),IFERROR(VALUE(TRIM(LEFT($A1950,FIND("/",$A1950)-1))),"")))</f>
        <v/>
      </c>
      <c r="C1950">
        <f>IF(OR($A1950="",$B1950=""),"",IF(ISNUMBER($A1950),INT(MOD($A1950,10000)/100),IFERROR(VALUE(TRIM(LEFT(MID($A1950,FIND("/",$A1950)+1,20),FIND("/",MID($A1950,FIND("/",$A1950)+1,20))-1))),"")))</f>
        <v/>
      </c>
      <c r="D1950">
        <f>IF(OR($A1950="",$B1950=""),"",IF(ISNUMBER($A1950),MOD($A1950,100),IFERROR(VALUE(TRIM(MID(MID($A1950,FIND("/",$A1950)+1,20),FIND("/",MID($A1950,FIND("/",$A1950)+1,20))+1,20))),"")))</f>
        <v/>
      </c>
      <c r="E1950">
        <f>IF($A1950="","",IF(OR($B1950="",$C1950="",$D1950="",$B1950&lt;1300,$B1950&gt;1500,$C1950&lt;1,$C1950&gt;12,$D1950&lt;1,$D1950&gt;31),"نامعتبر",RIGHT("0000"&amp;$B1950,4)&amp;"/"&amp;RIGHT("00"&amp;$C1950,2)&amp;"/"&amp;RIGHT("00"&amp;$D1950,2)))</f>
        <v/>
      </c>
      <c r="F1950">
        <f>IF(Entry!$D1950&lt;&gt;"",IF(AND(ISNUMBER(Entry!$D1950),Entry!$D1950&gt;=0,Entry!$D1950&lt;1),RIGHT("00"&amp;HOUR(Entry!$D1950),2)&amp;":"&amp;RIGHT("00"&amp;MINUTE(Entry!$D1950),2),IFERROR(RIGHT("00"&amp;VALUE(TRIM(LEFT(Entry!$D1950,FIND(":",Entry!$D1950)-1))),2)&amp;":"&amp;RIGHT("00"&amp;VALUE(TRIM(MID(Entry!$D1950,FIND(":",Entry!$D1950)+1,2))),2),"نامعتبر")),IF(OR($E1950="",$E1950="نامعتبر"),"","00:00"))</f>
        <v/>
      </c>
      <c r="G1950">
        <f>IF(OR($E1950="",$E1950="نامعتبر"),"",IF(Entry!$E1950="","",LEFT(UPPER(TRIM(Entry!$E1950)),6)))</f>
        <v/>
      </c>
      <c r="H1950">
        <f>IF($G1950="","",RIGHT($E1950,4)&amp;MID($E1950,6,2)&amp;RIGHT($E1950,2)&amp;IF($F1950="","0000",IF($F1950="نامعتبر","9999",LEFT($F1950,2)&amp;RIGHT($F1950,2)))&amp;"|"&amp;RIGHT("00000"&amp;1942,5))</f>
        <v/>
      </c>
      <c r="I1950">
        <f>IF($H1950="","",COUNTIFS(CalcBank,$G1950,CalcKey,"&lt;"&amp;$H1950)+1)</f>
        <v/>
      </c>
      <c r="J1950">
        <f>IF($I1950="","",$G1950&amp;"|"&amp;RIGHT("000000"&amp;$I1950,6))</f>
        <v/>
      </c>
      <c r="K1950">
        <f>IF(OR($E1950="",$E1950="نامعتبر"),"",LEFT($E1950,4)&amp;"/"&amp;MID($E1950,6,2))</f>
        <v/>
      </c>
      <c r="L1950">
        <f>IF(Entry!$K1950="",0,Entry!$K1950)</f>
        <v/>
      </c>
      <c r="M1950">
        <f>IF(Entry!$L1950="",0,Entry!$L1950)</f>
        <v/>
      </c>
    </row>
    <row r="1951">
      <c r="A1951">
        <f>IF(Entry!$C1951="","",Entry!$C1951)</f>
        <v/>
      </c>
      <c r="B1951">
        <f>IF($A1951="","",IF(ISNUMBER($A1951),IF(AND($A1951&gt;=10000101,$A1951&lt;=99991231),INT($A1951/10000),""),IFERROR(VALUE(TRIM(LEFT($A1951,FIND("/",$A1951)-1))),"")))</f>
        <v/>
      </c>
      <c r="C1951">
        <f>IF(OR($A1951="",$B1951=""),"",IF(ISNUMBER($A1951),INT(MOD($A1951,10000)/100),IFERROR(VALUE(TRIM(LEFT(MID($A1951,FIND("/",$A1951)+1,20),FIND("/",MID($A1951,FIND("/",$A1951)+1,20))-1))),"")))</f>
        <v/>
      </c>
      <c r="D1951">
        <f>IF(OR($A1951="",$B1951=""),"",IF(ISNUMBER($A1951),MOD($A1951,100),IFERROR(VALUE(TRIM(MID(MID($A1951,FIND("/",$A1951)+1,20),FIND("/",MID($A1951,FIND("/",$A1951)+1,20))+1,20))),"")))</f>
        <v/>
      </c>
      <c r="E1951">
        <f>IF($A1951="","",IF(OR($B1951="",$C1951="",$D1951="",$B1951&lt;1300,$B1951&gt;1500,$C1951&lt;1,$C1951&gt;12,$D1951&lt;1,$D1951&gt;31),"نامعتبر",RIGHT("0000"&amp;$B1951,4)&amp;"/"&amp;RIGHT("00"&amp;$C1951,2)&amp;"/"&amp;RIGHT("00"&amp;$D1951,2)))</f>
        <v/>
      </c>
      <c r="F1951">
        <f>IF(Entry!$D1951&lt;&gt;"",IF(AND(ISNUMBER(Entry!$D1951),Entry!$D1951&gt;=0,Entry!$D1951&lt;1),RIGHT("00"&amp;HOUR(Entry!$D1951),2)&amp;":"&amp;RIGHT("00"&amp;MINUTE(Entry!$D1951),2),IFERROR(RIGHT("00"&amp;VALUE(TRIM(LEFT(Entry!$D1951,FIND(":",Entry!$D1951)-1))),2)&amp;":"&amp;RIGHT("00"&amp;VALUE(TRIM(MID(Entry!$D1951,FIND(":",Entry!$D1951)+1,2))),2),"نامعتبر")),IF(OR($E1951="",$E1951="نامعتبر"),"","00:00"))</f>
        <v/>
      </c>
      <c r="G1951">
        <f>IF(OR($E1951="",$E1951="نامعتبر"),"",IF(Entry!$E1951="","",LEFT(UPPER(TRIM(Entry!$E1951)),6)))</f>
        <v/>
      </c>
      <c r="H1951">
        <f>IF($G1951="","",RIGHT($E1951,4)&amp;MID($E1951,6,2)&amp;RIGHT($E1951,2)&amp;IF($F1951="","0000",IF($F1951="نامعتبر","9999",LEFT($F1951,2)&amp;RIGHT($F1951,2)))&amp;"|"&amp;RIGHT("00000"&amp;1943,5))</f>
        <v/>
      </c>
      <c r="I1951">
        <f>IF($H1951="","",COUNTIFS(CalcBank,$G1951,CalcKey,"&lt;"&amp;$H1951)+1)</f>
        <v/>
      </c>
      <c r="J1951">
        <f>IF($I1951="","",$G1951&amp;"|"&amp;RIGHT("000000"&amp;$I1951,6))</f>
        <v/>
      </c>
      <c r="K1951">
        <f>IF(OR($E1951="",$E1951="نامعتبر"),"",LEFT($E1951,4)&amp;"/"&amp;MID($E1951,6,2))</f>
        <v/>
      </c>
      <c r="L1951">
        <f>IF(Entry!$K1951="",0,Entry!$K1951)</f>
        <v/>
      </c>
      <c r="M1951">
        <f>IF(Entry!$L1951="",0,Entry!$L1951)</f>
        <v/>
      </c>
    </row>
    <row r="1952">
      <c r="A1952">
        <f>IF(Entry!$C1952="","",Entry!$C1952)</f>
        <v/>
      </c>
      <c r="B1952">
        <f>IF($A1952="","",IF(ISNUMBER($A1952),IF(AND($A1952&gt;=10000101,$A1952&lt;=99991231),INT($A1952/10000),""),IFERROR(VALUE(TRIM(LEFT($A1952,FIND("/",$A1952)-1))),"")))</f>
        <v/>
      </c>
      <c r="C1952">
        <f>IF(OR($A1952="",$B1952=""),"",IF(ISNUMBER($A1952),INT(MOD($A1952,10000)/100),IFERROR(VALUE(TRIM(LEFT(MID($A1952,FIND("/",$A1952)+1,20),FIND("/",MID($A1952,FIND("/",$A1952)+1,20))-1))),"")))</f>
        <v/>
      </c>
      <c r="D1952">
        <f>IF(OR($A1952="",$B1952=""),"",IF(ISNUMBER($A1952),MOD($A1952,100),IFERROR(VALUE(TRIM(MID(MID($A1952,FIND("/",$A1952)+1,20),FIND("/",MID($A1952,FIND("/",$A1952)+1,20))+1,20))),"")))</f>
        <v/>
      </c>
      <c r="E1952">
        <f>IF($A1952="","",IF(OR($B1952="",$C1952="",$D1952="",$B1952&lt;1300,$B1952&gt;1500,$C1952&lt;1,$C1952&gt;12,$D1952&lt;1,$D1952&gt;31),"نامعتبر",RIGHT("0000"&amp;$B1952,4)&amp;"/"&amp;RIGHT("00"&amp;$C1952,2)&amp;"/"&amp;RIGHT("00"&amp;$D1952,2)))</f>
        <v/>
      </c>
      <c r="F1952">
        <f>IF(Entry!$D1952&lt;&gt;"",IF(AND(ISNUMBER(Entry!$D1952),Entry!$D1952&gt;=0,Entry!$D1952&lt;1),RIGHT("00"&amp;HOUR(Entry!$D1952),2)&amp;":"&amp;RIGHT("00"&amp;MINUTE(Entry!$D1952),2),IFERROR(RIGHT("00"&amp;VALUE(TRIM(LEFT(Entry!$D1952,FIND(":",Entry!$D1952)-1))),2)&amp;":"&amp;RIGHT("00"&amp;VALUE(TRIM(MID(Entry!$D1952,FIND(":",Entry!$D1952)+1,2))),2),"نامعتبر")),IF(OR($E1952="",$E1952="نامعتبر"),"","00:00"))</f>
        <v/>
      </c>
      <c r="G1952">
        <f>IF(OR($E1952="",$E1952="نامعتبر"),"",IF(Entry!$E1952="","",LEFT(UPPER(TRIM(Entry!$E1952)),6)))</f>
        <v/>
      </c>
      <c r="H1952">
        <f>IF($G1952="","",RIGHT($E1952,4)&amp;MID($E1952,6,2)&amp;RIGHT($E1952,2)&amp;IF($F1952="","0000",IF($F1952="نامعتبر","9999",LEFT($F1952,2)&amp;RIGHT($F1952,2)))&amp;"|"&amp;RIGHT("00000"&amp;1944,5))</f>
        <v/>
      </c>
      <c r="I1952">
        <f>IF($H1952="","",COUNTIFS(CalcBank,$G1952,CalcKey,"&lt;"&amp;$H1952)+1)</f>
        <v/>
      </c>
      <c r="J1952">
        <f>IF($I1952="","",$G1952&amp;"|"&amp;RIGHT("000000"&amp;$I1952,6))</f>
        <v/>
      </c>
      <c r="K1952">
        <f>IF(OR($E1952="",$E1952="نامعتبر"),"",LEFT($E1952,4)&amp;"/"&amp;MID($E1952,6,2))</f>
        <v/>
      </c>
      <c r="L1952">
        <f>IF(Entry!$K1952="",0,Entry!$K1952)</f>
        <v/>
      </c>
      <c r="M1952">
        <f>IF(Entry!$L1952="",0,Entry!$L1952)</f>
        <v/>
      </c>
    </row>
    <row r="1953">
      <c r="A1953">
        <f>IF(Entry!$C1953="","",Entry!$C1953)</f>
        <v/>
      </c>
      <c r="B1953">
        <f>IF($A1953="","",IF(ISNUMBER($A1953),IF(AND($A1953&gt;=10000101,$A1953&lt;=99991231),INT($A1953/10000),""),IFERROR(VALUE(TRIM(LEFT($A1953,FIND("/",$A1953)-1))),"")))</f>
        <v/>
      </c>
      <c r="C1953">
        <f>IF(OR($A1953="",$B1953=""),"",IF(ISNUMBER($A1953),INT(MOD($A1953,10000)/100),IFERROR(VALUE(TRIM(LEFT(MID($A1953,FIND("/",$A1953)+1,20),FIND("/",MID($A1953,FIND("/",$A1953)+1,20))-1))),"")))</f>
        <v/>
      </c>
      <c r="D1953">
        <f>IF(OR($A1953="",$B1953=""),"",IF(ISNUMBER($A1953),MOD($A1953,100),IFERROR(VALUE(TRIM(MID(MID($A1953,FIND("/",$A1953)+1,20),FIND("/",MID($A1953,FIND("/",$A1953)+1,20))+1,20))),"")))</f>
        <v/>
      </c>
      <c r="E1953">
        <f>IF($A1953="","",IF(OR($B1953="",$C1953="",$D1953="",$B1953&lt;1300,$B1953&gt;1500,$C1953&lt;1,$C1953&gt;12,$D1953&lt;1,$D1953&gt;31),"نامعتبر",RIGHT("0000"&amp;$B1953,4)&amp;"/"&amp;RIGHT("00"&amp;$C1953,2)&amp;"/"&amp;RIGHT("00"&amp;$D1953,2)))</f>
        <v/>
      </c>
      <c r="F1953">
        <f>IF(Entry!$D1953&lt;&gt;"",IF(AND(ISNUMBER(Entry!$D1953),Entry!$D1953&gt;=0,Entry!$D1953&lt;1),RIGHT("00"&amp;HOUR(Entry!$D1953),2)&amp;":"&amp;RIGHT("00"&amp;MINUTE(Entry!$D1953),2),IFERROR(RIGHT("00"&amp;VALUE(TRIM(LEFT(Entry!$D1953,FIND(":",Entry!$D1953)-1))),2)&amp;":"&amp;RIGHT("00"&amp;VALUE(TRIM(MID(Entry!$D1953,FIND(":",Entry!$D1953)+1,2))),2),"نامعتبر")),IF(OR($E1953="",$E1953="نامعتبر"),"","00:00"))</f>
        <v/>
      </c>
      <c r="G1953">
        <f>IF(OR($E1953="",$E1953="نامعتبر"),"",IF(Entry!$E1953="","",LEFT(UPPER(TRIM(Entry!$E1953)),6)))</f>
        <v/>
      </c>
      <c r="H1953">
        <f>IF($G1953="","",RIGHT($E1953,4)&amp;MID($E1953,6,2)&amp;RIGHT($E1953,2)&amp;IF($F1953="","0000",IF($F1953="نامعتبر","9999",LEFT($F1953,2)&amp;RIGHT($F1953,2)))&amp;"|"&amp;RIGHT("00000"&amp;1945,5))</f>
        <v/>
      </c>
      <c r="I1953">
        <f>IF($H1953="","",COUNTIFS(CalcBank,$G1953,CalcKey,"&lt;"&amp;$H1953)+1)</f>
        <v/>
      </c>
      <c r="J1953">
        <f>IF($I1953="","",$G1953&amp;"|"&amp;RIGHT("000000"&amp;$I1953,6))</f>
        <v/>
      </c>
      <c r="K1953">
        <f>IF(OR($E1953="",$E1953="نامعتبر"),"",LEFT($E1953,4)&amp;"/"&amp;MID($E1953,6,2))</f>
        <v/>
      </c>
      <c r="L1953">
        <f>IF(Entry!$K1953="",0,Entry!$K1953)</f>
        <v/>
      </c>
      <c r="M1953">
        <f>IF(Entry!$L1953="",0,Entry!$L1953)</f>
        <v/>
      </c>
    </row>
    <row r="1954">
      <c r="A1954">
        <f>IF(Entry!$C1954="","",Entry!$C1954)</f>
        <v/>
      </c>
      <c r="B1954">
        <f>IF($A1954="","",IF(ISNUMBER($A1954),IF(AND($A1954&gt;=10000101,$A1954&lt;=99991231),INT($A1954/10000),""),IFERROR(VALUE(TRIM(LEFT($A1954,FIND("/",$A1954)-1))),"")))</f>
        <v/>
      </c>
      <c r="C1954">
        <f>IF(OR($A1954="",$B1954=""),"",IF(ISNUMBER($A1954),INT(MOD($A1954,10000)/100),IFERROR(VALUE(TRIM(LEFT(MID($A1954,FIND("/",$A1954)+1,20),FIND("/",MID($A1954,FIND("/",$A1954)+1,20))-1))),"")))</f>
        <v/>
      </c>
      <c r="D1954">
        <f>IF(OR($A1954="",$B1954=""),"",IF(ISNUMBER($A1954),MOD($A1954,100),IFERROR(VALUE(TRIM(MID(MID($A1954,FIND("/",$A1954)+1,20),FIND("/",MID($A1954,FIND("/",$A1954)+1,20))+1,20))),"")))</f>
        <v/>
      </c>
      <c r="E1954">
        <f>IF($A1954="","",IF(OR($B1954="",$C1954="",$D1954="",$B1954&lt;1300,$B1954&gt;1500,$C1954&lt;1,$C1954&gt;12,$D1954&lt;1,$D1954&gt;31),"نامعتبر",RIGHT("0000"&amp;$B1954,4)&amp;"/"&amp;RIGHT("00"&amp;$C1954,2)&amp;"/"&amp;RIGHT("00"&amp;$D1954,2)))</f>
        <v/>
      </c>
      <c r="F1954">
        <f>IF(Entry!$D1954&lt;&gt;"",IF(AND(ISNUMBER(Entry!$D1954),Entry!$D1954&gt;=0,Entry!$D1954&lt;1),RIGHT("00"&amp;HOUR(Entry!$D1954),2)&amp;":"&amp;RIGHT("00"&amp;MINUTE(Entry!$D1954),2),IFERROR(RIGHT("00"&amp;VALUE(TRIM(LEFT(Entry!$D1954,FIND(":",Entry!$D1954)-1))),2)&amp;":"&amp;RIGHT("00"&amp;VALUE(TRIM(MID(Entry!$D1954,FIND(":",Entry!$D1954)+1,2))),2),"نامعتبر")),IF(OR($E1954="",$E1954="نامعتبر"),"","00:00"))</f>
        <v/>
      </c>
      <c r="G1954">
        <f>IF(OR($E1954="",$E1954="نامعتبر"),"",IF(Entry!$E1954="","",LEFT(UPPER(TRIM(Entry!$E1954)),6)))</f>
        <v/>
      </c>
      <c r="H1954">
        <f>IF($G1954="","",RIGHT($E1954,4)&amp;MID($E1954,6,2)&amp;RIGHT($E1954,2)&amp;IF($F1954="","0000",IF($F1954="نامعتبر","9999",LEFT($F1954,2)&amp;RIGHT($F1954,2)))&amp;"|"&amp;RIGHT("00000"&amp;1946,5))</f>
        <v/>
      </c>
      <c r="I1954">
        <f>IF($H1954="","",COUNTIFS(CalcBank,$G1954,CalcKey,"&lt;"&amp;$H1954)+1)</f>
        <v/>
      </c>
      <c r="J1954">
        <f>IF($I1954="","",$G1954&amp;"|"&amp;RIGHT("000000"&amp;$I1954,6))</f>
        <v/>
      </c>
      <c r="K1954">
        <f>IF(OR($E1954="",$E1954="نامعتبر"),"",LEFT($E1954,4)&amp;"/"&amp;MID($E1954,6,2))</f>
        <v/>
      </c>
      <c r="L1954">
        <f>IF(Entry!$K1954="",0,Entry!$K1954)</f>
        <v/>
      </c>
      <c r="M1954">
        <f>IF(Entry!$L1954="",0,Entry!$L1954)</f>
        <v/>
      </c>
    </row>
    <row r="1955">
      <c r="A1955">
        <f>IF(Entry!$C1955="","",Entry!$C1955)</f>
        <v/>
      </c>
      <c r="B1955">
        <f>IF($A1955="","",IF(ISNUMBER($A1955),IF(AND($A1955&gt;=10000101,$A1955&lt;=99991231),INT($A1955/10000),""),IFERROR(VALUE(TRIM(LEFT($A1955,FIND("/",$A1955)-1))),"")))</f>
        <v/>
      </c>
      <c r="C1955">
        <f>IF(OR($A1955="",$B1955=""),"",IF(ISNUMBER($A1955),INT(MOD($A1955,10000)/100),IFERROR(VALUE(TRIM(LEFT(MID($A1955,FIND("/",$A1955)+1,20),FIND("/",MID($A1955,FIND("/",$A1955)+1,20))-1))),"")))</f>
        <v/>
      </c>
      <c r="D1955">
        <f>IF(OR($A1955="",$B1955=""),"",IF(ISNUMBER($A1955),MOD($A1955,100),IFERROR(VALUE(TRIM(MID(MID($A1955,FIND("/",$A1955)+1,20),FIND("/",MID($A1955,FIND("/",$A1955)+1,20))+1,20))),"")))</f>
        <v/>
      </c>
      <c r="E1955">
        <f>IF($A1955="","",IF(OR($B1955="",$C1955="",$D1955="",$B1955&lt;1300,$B1955&gt;1500,$C1955&lt;1,$C1955&gt;12,$D1955&lt;1,$D1955&gt;31),"نامعتبر",RIGHT("0000"&amp;$B1955,4)&amp;"/"&amp;RIGHT("00"&amp;$C1955,2)&amp;"/"&amp;RIGHT("00"&amp;$D1955,2)))</f>
        <v/>
      </c>
      <c r="F1955">
        <f>IF(Entry!$D1955&lt;&gt;"",IF(AND(ISNUMBER(Entry!$D1955),Entry!$D1955&gt;=0,Entry!$D1955&lt;1),RIGHT("00"&amp;HOUR(Entry!$D1955),2)&amp;":"&amp;RIGHT("00"&amp;MINUTE(Entry!$D1955),2),IFERROR(RIGHT("00"&amp;VALUE(TRIM(LEFT(Entry!$D1955,FIND(":",Entry!$D1955)-1))),2)&amp;":"&amp;RIGHT("00"&amp;VALUE(TRIM(MID(Entry!$D1955,FIND(":",Entry!$D1955)+1,2))),2),"نامعتبر")),IF(OR($E1955="",$E1955="نامعتبر"),"","00:00"))</f>
        <v/>
      </c>
      <c r="G1955">
        <f>IF(OR($E1955="",$E1955="نامعتبر"),"",IF(Entry!$E1955="","",LEFT(UPPER(TRIM(Entry!$E1955)),6)))</f>
        <v/>
      </c>
      <c r="H1955">
        <f>IF($G1955="","",RIGHT($E1955,4)&amp;MID($E1955,6,2)&amp;RIGHT($E1955,2)&amp;IF($F1955="","0000",IF($F1955="نامعتبر","9999",LEFT($F1955,2)&amp;RIGHT($F1955,2)))&amp;"|"&amp;RIGHT("00000"&amp;1947,5))</f>
        <v/>
      </c>
      <c r="I1955">
        <f>IF($H1955="","",COUNTIFS(CalcBank,$G1955,CalcKey,"&lt;"&amp;$H1955)+1)</f>
        <v/>
      </c>
      <c r="J1955">
        <f>IF($I1955="","",$G1955&amp;"|"&amp;RIGHT("000000"&amp;$I1955,6))</f>
        <v/>
      </c>
      <c r="K1955">
        <f>IF(OR($E1955="",$E1955="نامعتبر"),"",LEFT($E1955,4)&amp;"/"&amp;MID($E1955,6,2))</f>
        <v/>
      </c>
      <c r="L1955">
        <f>IF(Entry!$K1955="",0,Entry!$K1955)</f>
        <v/>
      </c>
      <c r="M1955">
        <f>IF(Entry!$L1955="",0,Entry!$L1955)</f>
        <v/>
      </c>
    </row>
    <row r="1956">
      <c r="A1956">
        <f>IF(Entry!$C1956="","",Entry!$C1956)</f>
        <v/>
      </c>
      <c r="B1956">
        <f>IF($A1956="","",IF(ISNUMBER($A1956),IF(AND($A1956&gt;=10000101,$A1956&lt;=99991231),INT($A1956/10000),""),IFERROR(VALUE(TRIM(LEFT($A1956,FIND("/",$A1956)-1))),"")))</f>
        <v/>
      </c>
      <c r="C1956">
        <f>IF(OR($A1956="",$B1956=""),"",IF(ISNUMBER($A1956),INT(MOD($A1956,10000)/100),IFERROR(VALUE(TRIM(LEFT(MID($A1956,FIND("/",$A1956)+1,20),FIND("/",MID($A1956,FIND("/",$A1956)+1,20))-1))),"")))</f>
        <v/>
      </c>
      <c r="D1956">
        <f>IF(OR($A1956="",$B1956=""),"",IF(ISNUMBER($A1956),MOD($A1956,100),IFERROR(VALUE(TRIM(MID(MID($A1956,FIND("/",$A1956)+1,20),FIND("/",MID($A1956,FIND("/",$A1956)+1,20))+1,20))),"")))</f>
        <v/>
      </c>
      <c r="E1956">
        <f>IF($A1956="","",IF(OR($B1956="",$C1956="",$D1956="",$B1956&lt;1300,$B1956&gt;1500,$C1956&lt;1,$C1956&gt;12,$D1956&lt;1,$D1956&gt;31),"نامعتبر",RIGHT("0000"&amp;$B1956,4)&amp;"/"&amp;RIGHT("00"&amp;$C1956,2)&amp;"/"&amp;RIGHT("00"&amp;$D1956,2)))</f>
        <v/>
      </c>
      <c r="F1956">
        <f>IF(Entry!$D1956&lt;&gt;"",IF(AND(ISNUMBER(Entry!$D1956),Entry!$D1956&gt;=0,Entry!$D1956&lt;1),RIGHT("00"&amp;HOUR(Entry!$D1956),2)&amp;":"&amp;RIGHT("00"&amp;MINUTE(Entry!$D1956),2),IFERROR(RIGHT("00"&amp;VALUE(TRIM(LEFT(Entry!$D1956,FIND(":",Entry!$D1956)-1))),2)&amp;":"&amp;RIGHT("00"&amp;VALUE(TRIM(MID(Entry!$D1956,FIND(":",Entry!$D1956)+1,2))),2),"نامعتبر")),IF(OR($E1956="",$E1956="نامعتبر"),"","00:00"))</f>
        <v/>
      </c>
      <c r="G1956">
        <f>IF(OR($E1956="",$E1956="نامعتبر"),"",IF(Entry!$E1956="","",LEFT(UPPER(TRIM(Entry!$E1956)),6)))</f>
        <v/>
      </c>
      <c r="H1956">
        <f>IF($G1956="","",RIGHT($E1956,4)&amp;MID($E1956,6,2)&amp;RIGHT($E1956,2)&amp;IF($F1956="","0000",IF($F1956="نامعتبر","9999",LEFT($F1956,2)&amp;RIGHT($F1956,2)))&amp;"|"&amp;RIGHT("00000"&amp;1948,5))</f>
        <v/>
      </c>
      <c r="I1956">
        <f>IF($H1956="","",COUNTIFS(CalcBank,$G1956,CalcKey,"&lt;"&amp;$H1956)+1)</f>
        <v/>
      </c>
      <c r="J1956">
        <f>IF($I1956="","",$G1956&amp;"|"&amp;RIGHT("000000"&amp;$I1956,6))</f>
        <v/>
      </c>
      <c r="K1956">
        <f>IF(OR($E1956="",$E1956="نامعتبر"),"",LEFT($E1956,4)&amp;"/"&amp;MID($E1956,6,2))</f>
        <v/>
      </c>
      <c r="L1956">
        <f>IF(Entry!$K1956="",0,Entry!$K1956)</f>
        <v/>
      </c>
      <c r="M1956">
        <f>IF(Entry!$L1956="",0,Entry!$L1956)</f>
        <v/>
      </c>
    </row>
    <row r="1957">
      <c r="A1957">
        <f>IF(Entry!$C1957="","",Entry!$C1957)</f>
        <v/>
      </c>
      <c r="B1957">
        <f>IF($A1957="","",IF(ISNUMBER($A1957),IF(AND($A1957&gt;=10000101,$A1957&lt;=99991231),INT($A1957/10000),""),IFERROR(VALUE(TRIM(LEFT($A1957,FIND("/",$A1957)-1))),"")))</f>
        <v/>
      </c>
      <c r="C1957">
        <f>IF(OR($A1957="",$B1957=""),"",IF(ISNUMBER($A1957),INT(MOD($A1957,10000)/100),IFERROR(VALUE(TRIM(LEFT(MID($A1957,FIND("/",$A1957)+1,20),FIND("/",MID($A1957,FIND("/",$A1957)+1,20))-1))),"")))</f>
        <v/>
      </c>
      <c r="D1957">
        <f>IF(OR($A1957="",$B1957=""),"",IF(ISNUMBER($A1957),MOD($A1957,100),IFERROR(VALUE(TRIM(MID(MID($A1957,FIND("/",$A1957)+1,20),FIND("/",MID($A1957,FIND("/",$A1957)+1,20))+1,20))),"")))</f>
        <v/>
      </c>
      <c r="E1957">
        <f>IF($A1957="","",IF(OR($B1957="",$C1957="",$D1957="",$B1957&lt;1300,$B1957&gt;1500,$C1957&lt;1,$C1957&gt;12,$D1957&lt;1,$D1957&gt;31),"نامعتبر",RIGHT("0000"&amp;$B1957,4)&amp;"/"&amp;RIGHT("00"&amp;$C1957,2)&amp;"/"&amp;RIGHT("00"&amp;$D1957,2)))</f>
        <v/>
      </c>
      <c r="F1957">
        <f>IF(Entry!$D1957&lt;&gt;"",IF(AND(ISNUMBER(Entry!$D1957),Entry!$D1957&gt;=0,Entry!$D1957&lt;1),RIGHT("00"&amp;HOUR(Entry!$D1957),2)&amp;":"&amp;RIGHT("00"&amp;MINUTE(Entry!$D1957),2),IFERROR(RIGHT("00"&amp;VALUE(TRIM(LEFT(Entry!$D1957,FIND(":",Entry!$D1957)-1))),2)&amp;":"&amp;RIGHT("00"&amp;VALUE(TRIM(MID(Entry!$D1957,FIND(":",Entry!$D1957)+1,2))),2),"نامعتبر")),IF(OR($E1957="",$E1957="نامعتبر"),"","00:00"))</f>
        <v/>
      </c>
      <c r="G1957">
        <f>IF(OR($E1957="",$E1957="نامعتبر"),"",IF(Entry!$E1957="","",LEFT(UPPER(TRIM(Entry!$E1957)),6)))</f>
        <v/>
      </c>
      <c r="H1957">
        <f>IF($G1957="","",RIGHT($E1957,4)&amp;MID($E1957,6,2)&amp;RIGHT($E1957,2)&amp;IF($F1957="","0000",IF($F1957="نامعتبر","9999",LEFT($F1957,2)&amp;RIGHT($F1957,2)))&amp;"|"&amp;RIGHT("00000"&amp;1949,5))</f>
        <v/>
      </c>
      <c r="I1957">
        <f>IF($H1957="","",COUNTIFS(CalcBank,$G1957,CalcKey,"&lt;"&amp;$H1957)+1)</f>
        <v/>
      </c>
      <c r="J1957">
        <f>IF($I1957="","",$G1957&amp;"|"&amp;RIGHT("000000"&amp;$I1957,6))</f>
        <v/>
      </c>
      <c r="K1957">
        <f>IF(OR($E1957="",$E1957="نامعتبر"),"",LEFT($E1957,4)&amp;"/"&amp;MID($E1957,6,2))</f>
        <v/>
      </c>
      <c r="L1957">
        <f>IF(Entry!$K1957="",0,Entry!$K1957)</f>
        <v/>
      </c>
      <c r="M1957">
        <f>IF(Entry!$L1957="",0,Entry!$L1957)</f>
        <v/>
      </c>
    </row>
    <row r="1958">
      <c r="A1958">
        <f>IF(Entry!$C1958="","",Entry!$C1958)</f>
        <v/>
      </c>
      <c r="B1958">
        <f>IF($A1958="","",IF(ISNUMBER($A1958),IF(AND($A1958&gt;=10000101,$A1958&lt;=99991231),INT($A1958/10000),""),IFERROR(VALUE(TRIM(LEFT($A1958,FIND("/",$A1958)-1))),"")))</f>
        <v/>
      </c>
      <c r="C1958">
        <f>IF(OR($A1958="",$B1958=""),"",IF(ISNUMBER($A1958),INT(MOD($A1958,10000)/100),IFERROR(VALUE(TRIM(LEFT(MID($A1958,FIND("/",$A1958)+1,20),FIND("/",MID($A1958,FIND("/",$A1958)+1,20))-1))),"")))</f>
        <v/>
      </c>
      <c r="D1958">
        <f>IF(OR($A1958="",$B1958=""),"",IF(ISNUMBER($A1958),MOD($A1958,100),IFERROR(VALUE(TRIM(MID(MID($A1958,FIND("/",$A1958)+1,20),FIND("/",MID($A1958,FIND("/",$A1958)+1,20))+1,20))),"")))</f>
        <v/>
      </c>
      <c r="E1958">
        <f>IF($A1958="","",IF(OR($B1958="",$C1958="",$D1958="",$B1958&lt;1300,$B1958&gt;1500,$C1958&lt;1,$C1958&gt;12,$D1958&lt;1,$D1958&gt;31),"نامعتبر",RIGHT("0000"&amp;$B1958,4)&amp;"/"&amp;RIGHT("00"&amp;$C1958,2)&amp;"/"&amp;RIGHT("00"&amp;$D1958,2)))</f>
        <v/>
      </c>
      <c r="F1958">
        <f>IF(Entry!$D1958&lt;&gt;"",IF(AND(ISNUMBER(Entry!$D1958),Entry!$D1958&gt;=0,Entry!$D1958&lt;1),RIGHT("00"&amp;HOUR(Entry!$D1958),2)&amp;":"&amp;RIGHT("00"&amp;MINUTE(Entry!$D1958),2),IFERROR(RIGHT("00"&amp;VALUE(TRIM(LEFT(Entry!$D1958,FIND(":",Entry!$D1958)-1))),2)&amp;":"&amp;RIGHT("00"&amp;VALUE(TRIM(MID(Entry!$D1958,FIND(":",Entry!$D1958)+1,2))),2),"نامعتبر")),IF(OR($E1958="",$E1958="نامعتبر"),"","00:00"))</f>
        <v/>
      </c>
      <c r="G1958">
        <f>IF(OR($E1958="",$E1958="نامعتبر"),"",IF(Entry!$E1958="","",LEFT(UPPER(TRIM(Entry!$E1958)),6)))</f>
        <v/>
      </c>
      <c r="H1958">
        <f>IF($G1958="","",RIGHT($E1958,4)&amp;MID($E1958,6,2)&amp;RIGHT($E1958,2)&amp;IF($F1958="","0000",IF($F1958="نامعتبر","9999",LEFT($F1958,2)&amp;RIGHT($F1958,2)))&amp;"|"&amp;RIGHT("00000"&amp;1950,5))</f>
        <v/>
      </c>
      <c r="I1958">
        <f>IF($H1958="","",COUNTIFS(CalcBank,$G1958,CalcKey,"&lt;"&amp;$H1958)+1)</f>
        <v/>
      </c>
      <c r="J1958">
        <f>IF($I1958="","",$G1958&amp;"|"&amp;RIGHT("000000"&amp;$I1958,6))</f>
        <v/>
      </c>
      <c r="K1958">
        <f>IF(OR($E1958="",$E1958="نامعتبر"),"",LEFT($E1958,4)&amp;"/"&amp;MID($E1958,6,2))</f>
        <v/>
      </c>
      <c r="L1958">
        <f>IF(Entry!$K1958="",0,Entry!$K1958)</f>
        <v/>
      </c>
      <c r="M1958">
        <f>IF(Entry!$L1958="",0,Entry!$L1958)</f>
        <v/>
      </c>
    </row>
    <row r="1959">
      <c r="A1959">
        <f>IF(Entry!$C1959="","",Entry!$C1959)</f>
        <v/>
      </c>
      <c r="B1959">
        <f>IF($A1959="","",IF(ISNUMBER($A1959),IF(AND($A1959&gt;=10000101,$A1959&lt;=99991231),INT($A1959/10000),""),IFERROR(VALUE(TRIM(LEFT($A1959,FIND("/",$A1959)-1))),"")))</f>
        <v/>
      </c>
      <c r="C1959">
        <f>IF(OR($A1959="",$B1959=""),"",IF(ISNUMBER($A1959),INT(MOD($A1959,10000)/100),IFERROR(VALUE(TRIM(LEFT(MID($A1959,FIND("/",$A1959)+1,20),FIND("/",MID($A1959,FIND("/",$A1959)+1,20))-1))),"")))</f>
        <v/>
      </c>
      <c r="D1959">
        <f>IF(OR($A1959="",$B1959=""),"",IF(ISNUMBER($A1959),MOD($A1959,100),IFERROR(VALUE(TRIM(MID(MID($A1959,FIND("/",$A1959)+1,20),FIND("/",MID($A1959,FIND("/",$A1959)+1,20))+1,20))),"")))</f>
        <v/>
      </c>
      <c r="E1959">
        <f>IF($A1959="","",IF(OR($B1959="",$C1959="",$D1959="",$B1959&lt;1300,$B1959&gt;1500,$C1959&lt;1,$C1959&gt;12,$D1959&lt;1,$D1959&gt;31),"نامعتبر",RIGHT("0000"&amp;$B1959,4)&amp;"/"&amp;RIGHT("00"&amp;$C1959,2)&amp;"/"&amp;RIGHT("00"&amp;$D1959,2)))</f>
        <v/>
      </c>
      <c r="F1959">
        <f>IF(Entry!$D1959&lt;&gt;"",IF(AND(ISNUMBER(Entry!$D1959),Entry!$D1959&gt;=0,Entry!$D1959&lt;1),RIGHT("00"&amp;HOUR(Entry!$D1959),2)&amp;":"&amp;RIGHT("00"&amp;MINUTE(Entry!$D1959),2),IFERROR(RIGHT("00"&amp;VALUE(TRIM(LEFT(Entry!$D1959,FIND(":",Entry!$D1959)-1))),2)&amp;":"&amp;RIGHT("00"&amp;VALUE(TRIM(MID(Entry!$D1959,FIND(":",Entry!$D1959)+1,2))),2),"نامعتبر")),IF(OR($E1959="",$E1959="نامعتبر"),"","00:00"))</f>
        <v/>
      </c>
      <c r="G1959">
        <f>IF(OR($E1959="",$E1959="نامعتبر"),"",IF(Entry!$E1959="","",LEFT(UPPER(TRIM(Entry!$E1959)),6)))</f>
        <v/>
      </c>
      <c r="H1959">
        <f>IF($G1959="","",RIGHT($E1959,4)&amp;MID($E1959,6,2)&amp;RIGHT($E1959,2)&amp;IF($F1959="","0000",IF($F1959="نامعتبر","9999",LEFT($F1959,2)&amp;RIGHT($F1959,2)))&amp;"|"&amp;RIGHT("00000"&amp;1951,5))</f>
        <v/>
      </c>
      <c r="I1959">
        <f>IF($H1959="","",COUNTIFS(CalcBank,$G1959,CalcKey,"&lt;"&amp;$H1959)+1)</f>
        <v/>
      </c>
      <c r="J1959">
        <f>IF($I1959="","",$G1959&amp;"|"&amp;RIGHT("000000"&amp;$I1959,6))</f>
        <v/>
      </c>
      <c r="K1959">
        <f>IF(OR($E1959="",$E1959="نامعتبر"),"",LEFT($E1959,4)&amp;"/"&amp;MID($E1959,6,2))</f>
        <v/>
      </c>
      <c r="L1959">
        <f>IF(Entry!$K1959="",0,Entry!$K1959)</f>
        <v/>
      </c>
      <c r="M1959">
        <f>IF(Entry!$L1959="",0,Entry!$L1959)</f>
        <v/>
      </c>
    </row>
    <row r="1960">
      <c r="A1960">
        <f>IF(Entry!$C1960="","",Entry!$C1960)</f>
        <v/>
      </c>
      <c r="B1960">
        <f>IF($A1960="","",IF(ISNUMBER($A1960),IF(AND($A1960&gt;=10000101,$A1960&lt;=99991231),INT($A1960/10000),""),IFERROR(VALUE(TRIM(LEFT($A1960,FIND("/",$A1960)-1))),"")))</f>
        <v/>
      </c>
      <c r="C1960">
        <f>IF(OR($A1960="",$B1960=""),"",IF(ISNUMBER($A1960),INT(MOD($A1960,10000)/100),IFERROR(VALUE(TRIM(LEFT(MID($A1960,FIND("/",$A1960)+1,20),FIND("/",MID($A1960,FIND("/",$A1960)+1,20))-1))),"")))</f>
        <v/>
      </c>
      <c r="D1960">
        <f>IF(OR($A1960="",$B1960=""),"",IF(ISNUMBER($A1960),MOD($A1960,100),IFERROR(VALUE(TRIM(MID(MID($A1960,FIND("/",$A1960)+1,20),FIND("/",MID($A1960,FIND("/",$A1960)+1,20))+1,20))),"")))</f>
        <v/>
      </c>
      <c r="E1960">
        <f>IF($A1960="","",IF(OR($B1960="",$C1960="",$D1960="",$B1960&lt;1300,$B1960&gt;1500,$C1960&lt;1,$C1960&gt;12,$D1960&lt;1,$D1960&gt;31),"نامعتبر",RIGHT("0000"&amp;$B1960,4)&amp;"/"&amp;RIGHT("00"&amp;$C1960,2)&amp;"/"&amp;RIGHT("00"&amp;$D1960,2)))</f>
        <v/>
      </c>
      <c r="F1960">
        <f>IF(Entry!$D1960&lt;&gt;"",IF(AND(ISNUMBER(Entry!$D1960),Entry!$D1960&gt;=0,Entry!$D1960&lt;1),RIGHT("00"&amp;HOUR(Entry!$D1960),2)&amp;":"&amp;RIGHT("00"&amp;MINUTE(Entry!$D1960),2),IFERROR(RIGHT("00"&amp;VALUE(TRIM(LEFT(Entry!$D1960,FIND(":",Entry!$D1960)-1))),2)&amp;":"&amp;RIGHT("00"&amp;VALUE(TRIM(MID(Entry!$D1960,FIND(":",Entry!$D1960)+1,2))),2),"نامعتبر")),IF(OR($E1960="",$E1960="نامعتبر"),"","00:00"))</f>
        <v/>
      </c>
      <c r="G1960">
        <f>IF(OR($E1960="",$E1960="نامعتبر"),"",IF(Entry!$E1960="","",LEFT(UPPER(TRIM(Entry!$E1960)),6)))</f>
        <v/>
      </c>
      <c r="H1960">
        <f>IF($G1960="","",RIGHT($E1960,4)&amp;MID($E1960,6,2)&amp;RIGHT($E1960,2)&amp;IF($F1960="","0000",IF($F1960="نامعتبر","9999",LEFT($F1960,2)&amp;RIGHT($F1960,2)))&amp;"|"&amp;RIGHT("00000"&amp;1952,5))</f>
        <v/>
      </c>
      <c r="I1960">
        <f>IF($H1960="","",COUNTIFS(CalcBank,$G1960,CalcKey,"&lt;"&amp;$H1960)+1)</f>
        <v/>
      </c>
      <c r="J1960">
        <f>IF($I1960="","",$G1960&amp;"|"&amp;RIGHT("000000"&amp;$I1960,6))</f>
        <v/>
      </c>
      <c r="K1960">
        <f>IF(OR($E1960="",$E1960="نامعتبر"),"",LEFT($E1960,4)&amp;"/"&amp;MID($E1960,6,2))</f>
        <v/>
      </c>
      <c r="L1960">
        <f>IF(Entry!$K1960="",0,Entry!$K1960)</f>
        <v/>
      </c>
      <c r="M1960">
        <f>IF(Entry!$L1960="",0,Entry!$L1960)</f>
        <v/>
      </c>
    </row>
    <row r="1961">
      <c r="A1961">
        <f>IF(Entry!$C1961="","",Entry!$C1961)</f>
        <v/>
      </c>
      <c r="B1961">
        <f>IF($A1961="","",IF(ISNUMBER($A1961),IF(AND($A1961&gt;=10000101,$A1961&lt;=99991231),INT($A1961/10000),""),IFERROR(VALUE(TRIM(LEFT($A1961,FIND("/",$A1961)-1))),"")))</f>
        <v/>
      </c>
      <c r="C1961">
        <f>IF(OR($A1961="",$B1961=""),"",IF(ISNUMBER($A1961),INT(MOD($A1961,10000)/100),IFERROR(VALUE(TRIM(LEFT(MID($A1961,FIND("/",$A1961)+1,20),FIND("/",MID($A1961,FIND("/",$A1961)+1,20))-1))),"")))</f>
        <v/>
      </c>
      <c r="D1961">
        <f>IF(OR($A1961="",$B1961=""),"",IF(ISNUMBER($A1961),MOD($A1961,100),IFERROR(VALUE(TRIM(MID(MID($A1961,FIND("/",$A1961)+1,20),FIND("/",MID($A1961,FIND("/",$A1961)+1,20))+1,20))),"")))</f>
        <v/>
      </c>
      <c r="E1961">
        <f>IF($A1961="","",IF(OR($B1961="",$C1961="",$D1961="",$B1961&lt;1300,$B1961&gt;1500,$C1961&lt;1,$C1961&gt;12,$D1961&lt;1,$D1961&gt;31),"نامعتبر",RIGHT("0000"&amp;$B1961,4)&amp;"/"&amp;RIGHT("00"&amp;$C1961,2)&amp;"/"&amp;RIGHT("00"&amp;$D1961,2)))</f>
        <v/>
      </c>
      <c r="F1961">
        <f>IF(Entry!$D1961&lt;&gt;"",IF(AND(ISNUMBER(Entry!$D1961),Entry!$D1961&gt;=0,Entry!$D1961&lt;1),RIGHT("00"&amp;HOUR(Entry!$D1961),2)&amp;":"&amp;RIGHT("00"&amp;MINUTE(Entry!$D1961),2),IFERROR(RIGHT("00"&amp;VALUE(TRIM(LEFT(Entry!$D1961,FIND(":",Entry!$D1961)-1))),2)&amp;":"&amp;RIGHT("00"&amp;VALUE(TRIM(MID(Entry!$D1961,FIND(":",Entry!$D1961)+1,2))),2),"نامعتبر")),IF(OR($E1961="",$E1961="نامعتبر"),"","00:00"))</f>
        <v/>
      </c>
      <c r="G1961">
        <f>IF(OR($E1961="",$E1961="نامعتبر"),"",IF(Entry!$E1961="","",LEFT(UPPER(TRIM(Entry!$E1961)),6)))</f>
        <v/>
      </c>
      <c r="H1961">
        <f>IF($G1961="","",RIGHT($E1961,4)&amp;MID($E1961,6,2)&amp;RIGHT($E1961,2)&amp;IF($F1961="","0000",IF($F1961="نامعتبر","9999",LEFT($F1961,2)&amp;RIGHT($F1961,2)))&amp;"|"&amp;RIGHT("00000"&amp;1953,5))</f>
        <v/>
      </c>
      <c r="I1961">
        <f>IF($H1961="","",COUNTIFS(CalcBank,$G1961,CalcKey,"&lt;"&amp;$H1961)+1)</f>
        <v/>
      </c>
      <c r="J1961">
        <f>IF($I1961="","",$G1961&amp;"|"&amp;RIGHT("000000"&amp;$I1961,6))</f>
        <v/>
      </c>
      <c r="K1961">
        <f>IF(OR($E1961="",$E1961="نامعتبر"),"",LEFT($E1961,4)&amp;"/"&amp;MID($E1961,6,2))</f>
        <v/>
      </c>
      <c r="L1961">
        <f>IF(Entry!$K1961="",0,Entry!$K1961)</f>
        <v/>
      </c>
      <c r="M1961">
        <f>IF(Entry!$L1961="",0,Entry!$L1961)</f>
        <v/>
      </c>
    </row>
    <row r="1962">
      <c r="A1962">
        <f>IF(Entry!$C1962="","",Entry!$C1962)</f>
        <v/>
      </c>
      <c r="B1962">
        <f>IF($A1962="","",IF(ISNUMBER($A1962),IF(AND($A1962&gt;=10000101,$A1962&lt;=99991231),INT($A1962/10000),""),IFERROR(VALUE(TRIM(LEFT($A1962,FIND("/",$A1962)-1))),"")))</f>
        <v/>
      </c>
      <c r="C1962">
        <f>IF(OR($A1962="",$B1962=""),"",IF(ISNUMBER($A1962),INT(MOD($A1962,10000)/100),IFERROR(VALUE(TRIM(LEFT(MID($A1962,FIND("/",$A1962)+1,20),FIND("/",MID($A1962,FIND("/",$A1962)+1,20))-1))),"")))</f>
        <v/>
      </c>
      <c r="D1962">
        <f>IF(OR($A1962="",$B1962=""),"",IF(ISNUMBER($A1962),MOD($A1962,100),IFERROR(VALUE(TRIM(MID(MID($A1962,FIND("/",$A1962)+1,20),FIND("/",MID($A1962,FIND("/",$A1962)+1,20))+1,20))),"")))</f>
        <v/>
      </c>
      <c r="E1962">
        <f>IF($A1962="","",IF(OR($B1962="",$C1962="",$D1962="",$B1962&lt;1300,$B1962&gt;1500,$C1962&lt;1,$C1962&gt;12,$D1962&lt;1,$D1962&gt;31),"نامعتبر",RIGHT("0000"&amp;$B1962,4)&amp;"/"&amp;RIGHT("00"&amp;$C1962,2)&amp;"/"&amp;RIGHT("00"&amp;$D1962,2)))</f>
        <v/>
      </c>
      <c r="F1962">
        <f>IF(Entry!$D1962&lt;&gt;"",IF(AND(ISNUMBER(Entry!$D1962),Entry!$D1962&gt;=0,Entry!$D1962&lt;1),RIGHT("00"&amp;HOUR(Entry!$D1962),2)&amp;":"&amp;RIGHT("00"&amp;MINUTE(Entry!$D1962),2),IFERROR(RIGHT("00"&amp;VALUE(TRIM(LEFT(Entry!$D1962,FIND(":",Entry!$D1962)-1))),2)&amp;":"&amp;RIGHT("00"&amp;VALUE(TRIM(MID(Entry!$D1962,FIND(":",Entry!$D1962)+1,2))),2),"نامعتبر")),IF(OR($E1962="",$E1962="نامعتبر"),"","00:00"))</f>
        <v/>
      </c>
      <c r="G1962">
        <f>IF(OR($E1962="",$E1962="نامعتبر"),"",IF(Entry!$E1962="","",LEFT(UPPER(TRIM(Entry!$E1962)),6)))</f>
        <v/>
      </c>
      <c r="H1962">
        <f>IF($G1962="","",RIGHT($E1962,4)&amp;MID($E1962,6,2)&amp;RIGHT($E1962,2)&amp;IF($F1962="","0000",IF($F1962="نامعتبر","9999",LEFT($F1962,2)&amp;RIGHT($F1962,2)))&amp;"|"&amp;RIGHT("00000"&amp;1954,5))</f>
        <v/>
      </c>
      <c r="I1962">
        <f>IF($H1962="","",COUNTIFS(CalcBank,$G1962,CalcKey,"&lt;"&amp;$H1962)+1)</f>
        <v/>
      </c>
      <c r="J1962">
        <f>IF($I1962="","",$G1962&amp;"|"&amp;RIGHT("000000"&amp;$I1962,6))</f>
        <v/>
      </c>
      <c r="K1962">
        <f>IF(OR($E1962="",$E1962="نامعتبر"),"",LEFT($E1962,4)&amp;"/"&amp;MID($E1962,6,2))</f>
        <v/>
      </c>
      <c r="L1962">
        <f>IF(Entry!$K1962="",0,Entry!$K1962)</f>
        <v/>
      </c>
      <c r="M1962">
        <f>IF(Entry!$L1962="",0,Entry!$L1962)</f>
        <v/>
      </c>
    </row>
    <row r="1963">
      <c r="A1963">
        <f>IF(Entry!$C1963="","",Entry!$C1963)</f>
        <v/>
      </c>
      <c r="B1963">
        <f>IF($A1963="","",IF(ISNUMBER($A1963),IF(AND($A1963&gt;=10000101,$A1963&lt;=99991231),INT($A1963/10000),""),IFERROR(VALUE(TRIM(LEFT($A1963,FIND("/",$A1963)-1))),"")))</f>
        <v/>
      </c>
      <c r="C1963">
        <f>IF(OR($A1963="",$B1963=""),"",IF(ISNUMBER($A1963),INT(MOD($A1963,10000)/100),IFERROR(VALUE(TRIM(LEFT(MID($A1963,FIND("/",$A1963)+1,20),FIND("/",MID($A1963,FIND("/",$A1963)+1,20))-1))),"")))</f>
        <v/>
      </c>
      <c r="D1963">
        <f>IF(OR($A1963="",$B1963=""),"",IF(ISNUMBER($A1963),MOD($A1963,100),IFERROR(VALUE(TRIM(MID(MID($A1963,FIND("/",$A1963)+1,20),FIND("/",MID($A1963,FIND("/",$A1963)+1,20))+1,20))),"")))</f>
        <v/>
      </c>
      <c r="E1963">
        <f>IF($A1963="","",IF(OR($B1963="",$C1963="",$D1963="",$B1963&lt;1300,$B1963&gt;1500,$C1963&lt;1,$C1963&gt;12,$D1963&lt;1,$D1963&gt;31),"نامعتبر",RIGHT("0000"&amp;$B1963,4)&amp;"/"&amp;RIGHT("00"&amp;$C1963,2)&amp;"/"&amp;RIGHT("00"&amp;$D1963,2)))</f>
        <v/>
      </c>
      <c r="F1963">
        <f>IF(Entry!$D1963&lt;&gt;"",IF(AND(ISNUMBER(Entry!$D1963),Entry!$D1963&gt;=0,Entry!$D1963&lt;1),RIGHT("00"&amp;HOUR(Entry!$D1963),2)&amp;":"&amp;RIGHT("00"&amp;MINUTE(Entry!$D1963),2),IFERROR(RIGHT("00"&amp;VALUE(TRIM(LEFT(Entry!$D1963,FIND(":",Entry!$D1963)-1))),2)&amp;":"&amp;RIGHT("00"&amp;VALUE(TRIM(MID(Entry!$D1963,FIND(":",Entry!$D1963)+1,2))),2),"نامعتبر")),IF(OR($E1963="",$E1963="نامعتبر"),"","00:00"))</f>
        <v/>
      </c>
      <c r="G1963">
        <f>IF(OR($E1963="",$E1963="نامعتبر"),"",IF(Entry!$E1963="","",LEFT(UPPER(TRIM(Entry!$E1963)),6)))</f>
        <v/>
      </c>
      <c r="H1963">
        <f>IF($G1963="","",RIGHT($E1963,4)&amp;MID($E1963,6,2)&amp;RIGHT($E1963,2)&amp;IF($F1963="","0000",IF($F1963="نامعتبر","9999",LEFT($F1963,2)&amp;RIGHT($F1963,2)))&amp;"|"&amp;RIGHT("00000"&amp;1955,5))</f>
        <v/>
      </c>
      <c r="I1963">
        <f>IF($H1963="","",COUNTIFS(CalcBank,$G1963,CalcKey,"&lt;"&amp;$H1963)+1)</f>
        <v/>
      </c>
      <c r="J1963">
        <f>IF($I1963="","",$G1963&amp;"|"&amp;RIGHT("000000"&amp;$I1963,6))</f>
        <v/>
      </c>
      <c r="K1963">
        <f>IF(OR($E1963="",$E1963="نامعتبر"),"",LEFT($E1963,4)&amp;"/"&amp;MID($E1963,6,2))</f>
        <v/>
      </c>
      <c r="L1963">
        <f>IF(Entry!$K1963="",0,Entry!$K1963)</f>
        <v/>
      </c>
      <c r="M1963">
        <f>IF(Entry!$L1963="",0,Entry!$L1963)</f>
        <v/>
      </c>
    </row>
    <row r="1964">
      <c r="A1964">
        <f>IF(Entry!$C1964="","",Entry!$C1964)</f>
        <v/>
      </c>
      <c r="B1964">
        <f>IF($A1964="","",IF(ISNUMBER($A1964),IF(AND($A1964&gt;=10000101,$A1964&lt;=99991231),INT($A1964/10000),""),IFERROR(VALUE(TRIM(LEFT($A1964,FIND("/",$A1964)-1))),"")))</f>
        <v/>
      </c>
      <c r="C1964">
        <f>IF(OR($A1964="",$B1964=""),"",IF(ISNUMBER($A1964),INT(MOD($A1964,10000)/100),IFERROR(VALUE(TRIM(LEFT(MID($A1964,FIND("/",$A1964)+1,20),FIND("/",MID($A1964,FIND("/",$A1964)+1,20))-1))),"")))</f>
        <v/>
      </c>
      <c r="D1964">
        <f>IF(OR($A1964="",$B1964=""),"",IF(ISNUMBER($A1964),MOD($A1964,100),IFERROR(VALUE(TRIM(MID(MID($A1964,FIND("/",$A1964)+1,20),FIND("/",MID($A1964,FIND("/",$A1964)+1,20))+1,20))),"")))</f>
        <v/>
      </c>
      <c r="E1964">
        <f>IF($A1964="","",IF(OR($B1964="",$C1964="",$D1964="",$B1964&lt;1300,$B1964&gt;1500,$C1964&lt;1,$C1964&gt;12,$D1964&lt;1,$D1964&gt;31),"نامعتبر",RIGHT("0000"&amp;$B1964,4)&amp;"/"&amp;RIGHT("00"&amp;$C1964,2)&amp;"/"&amp;RIGHT("00"&amp;$D1964,2)))</f>
        <v/>
      </c>
      <c r="F1964">
        <f>IF(Entry!$D1964&lt;&gt;"",IF(AND(ISNUMBER(Entry!$D1964),Entry!$D1964&gt;=0,Entry!$D1964&lt;1),RIGHT("00"&amp;HOUR(Entry!$D1964),2)&amp;":"&amp;RIGHT("00"&amp;MINUTE(Entry!$D1964),2),IFERROR(RIGHT("00"&amp;VALUE(TRIM(LEFT(Entry!$D1964,FIND(":",Entry!$D1964)-1))),2)&amp;":"&amp;RIGHT("00"&amp;VALUE(TRIM(MID(Entry!$D1964,FIND(":",Entry!$D1964)+1,2))),2),"نامعتبر")),IF(OR($E1964="",$E1964="نامعتبر"),"","00:00"))</f>
        <v/>
      </c>
      <c r="G1964">
        <f>IF(OR($E1964="",$E1964="نامعتبر"),"",IF(Entry!$E1964="","",LEFT(UPPER(TRIM(Entry!$E1964)),6)))</f>
        <v/>
      </c>
      <c r="H1964">
        <f>IF($G1964="","",RIGHT($E1964,4)&amp;MID($E1964,6,2)&amp;RIGHT($E1964,2)&amp;IF($F1964="","0000",IF($F1964="نامعتبر","9999",LEFT($F1964,2)&amp;RIGHT($F1964,2)))&amp;"|"&amp;RIGHT("00000"&amp;1956,5))</f>
        <v/>
      </c>
      <c r="I1964">
        <f>IF($H1964="","",COUNTIFS(CalcBank,$G1964,CalcKey,"&lt;"&amp;$H1964)+1)</f>
        <v/>
      </c>
      <c r="J1964">
        <f>IF($I1964="","",$G1964&amp;"|"&amp;RIGHT("000000"&amp;$I1964,6))</f>
        <v/>
      </c>
      <c r="K1964">
        <f>IF(OR($E1964="",$E1964="نامعتبر"),"",LEFT($E1964,4)&amp;"/"&amp;MID($E1964,6,2))</f>
        <v/>
      </c>
      <c r="L1964">
        <f>IF(Entry!$K1964="",0,Entry!$K1964)</f>
        <v/>
      </c>
      <c r="M1964">
        <f>IF(Entry!$L1964="",0,Entry!$L1964)</f>
        <v/>
      </c>
    </row>
    <row r="1965">
      <c r="A1965">
        <f>IF(Entry!$C1965="","",Entry!$C1965)</f>
        <v/>
      </c>
      <c r="B1965">
        <f>IF($A1965="","",IF(ISNUMBER($A1965),IF(AND($A1965&gt;=10000101,$A1965&lt;=99991231),INT($A1965/10000),""),IFERROR(VALUE(TRIM(LEFT($A1965,FIND("/",$A1965)-1))),"")))</f>
        <v/>
      </c>
      <c r="C1965">
        <f>IF(OR($A1965="",$B1965=""),"",IF(ISNUMBER($A1965),INT(MOD($A1965,10000)/100),IFERROR(VALUE(TRIM(LEFT(MID($A1965,FIND("/",$A1965)+1,20),FIND("/",MID($A1965,FIND("/",$A1965)+1,20))-1))),"")))</f>
        <v/>
      </c>
      <c r="D1965">
        <f>IF(OR($A1965="",$B1965=""),"",IF(ISNUMBER($A1965),MOD($A1965,100),IFERROR(VALUE(TRIM(MID(MID($A1965,FIND("/",$A1965)+1,20),FIND("/",MID($A1965,FIND("/",$A1965)+1,20))+1,20))),"")))</f>
        <v/>
      </c>
      <c r="E1965">
        <f>IF($A1965="","",IF(OR($B1965="",$C1965="",$D1965="",$B1965&lt;1300,$B1965&gt;1500,$C1965&lt;1,$C1965&gt;12,$D1965&lt;1,$D1965&gt;31),"نامعتبر",RIGHT("0000"&amp;$B1965,4)&amp;"/"&amp;RIGHT("00"&amp;$C1965,2)&amp;"/"&amp;RIGHT("00"&amp;$D1965,2)))</f>
        <v/>
      </c>
      <c r="F1965">
        <f>IF(Entry!$D1965&lt;&gt;"",IF(AND(ISNUMBER(Entry!$D1965),Entry!$D1965&gt;=0,Entry!$D1965&lt;1),RIGHT("00"&amp;HOUR(Entry!$D1965),2)&amp;":"&amp;RIGHT("00"&amp;MINUTE(Entry!$D1965),2),IFERROR(RIGHT("00"&amp;VALUE(TRIM(LEFT(Entry!$D1965,FIND(":",Entry!$D1965)-1))),2)&amp;":"&amp;RIGHT("00"&amp;VALUE(TRIM(MID(Entry!$D1965,FIND(":",Entry!$D1965)+1,2))),2),"نامعتبر")),IF(OR($E1965="",$E1965="نامعتبر"),"","00:00"))</f>
        <v/>
      </c>
      <c r="G1965">
        <f>IF(OR($E1965="",$E1965="نامعتبر"),"",IF(Entry!$E1965="","",LEFT(UPPER(TRIM(Entry!$E1965)),6)))</f>
        <v/>
      </c>
      <c r="H1965">
        <f>IF($G1965="","",RIGHT($E1965,4)&amp;MID($E1965,6,2)&amp;RIGHT($E1965,2)&amp;IF($F1965="","0000",IF($F1965="نامعتبر","9999",LEFT($F1965,2)&amp;RIGHT($F1965,2)))&amp;"|"&amp;RIGHT("00000"&amp;1957,5))</f>
        <v/>
      </c>
      <c r="I1965">
        <f>IF($H1965="","",COUNTIFS(CalcBank,$G1965,CalcKey,"&lt;"&amp;$H1965)+1)</f>
        <v/>
      </c>
      <c r="J1965">
        <f>IF($I1965="","",$G1965&amp;"|"&amp;RIGHT("000000"&amp;$I1965,6))</f>
        <v/>
      </c>
      <c r="K1965">
        <f>IF(OR($E1965="",$E1965="نامعتبر"),"",LEFT($E1965,4)&amp;"/"&amp;MID($E1965,6,2))</f>
        <v/>
      </c>
      <c r="L1965">
        <f>IF(Entry!$K1965="",0,Entry!$K1965)</f>
        <v/>
      </c>
      <c r="M1965">
        <f>IF(Entry!$L1965="",0,Entry!$L1965)</f>
        <v/>
      </c>
    </row>
    <row r="1966">
      <c r="A1966">
        <f>IF(Entry!$C1966="","",Entry!$C1966)</f>
        <v/>
      </c>
      <c r="B1966">
        <f>IF($A1966="","",IF(ISNUMBER($A1966),IF(AND($A1966&gt;=10000101,$A1966&lt;=99991231),INT($A1966/10000),""),IFERROR(VALUE(TRIM(LEFT($A1966,FIND("/",$A1966)-1))),"")))</f>
        <v/>
      </c>
      <c r="C1966">
        <f>IF(OR($A1966="",$B1966=""),"",IF(ISNUMBER($A1966),INT(MOD($A1966,10000)/100),IFERROR(VALUE(TRIM(LEFT(MID($A1966,FIND("/",$A1966)+1,20),FIND("/",MID($A1966,FIND("/",$A1966)+1,20))-1))),"")))</f>
        <v/>
      </c>
      <c r="D1966">
        <f>IF(OR($A1966="",$B1966=""),"",IF(ISNUMBER($A1966),MOD($A1966,100),IFERROR(VALUE(TRIM(MID(MID($A1966,FIND("/",$A1966)+1,20),FIND("/",MID($A1966,FIND("/",$A1966)+1,20))+1,20))),"")))</f>
        <v/>
      </c>
      <c r="E1966">
        <f>IF($A1966="","",IF(OR($B1966="",$C1966="",$D1966="",$B1966&lt;1300,$B1966&gt;1500,$C1966&lt;1,$C1966&gt;12,$D1966&lt;1,$D1966&gt;31),"نامعتبر",RIGHT("0000"&amp;$B1966,4)&amp;"/"&amp;RIGHT("00"&amp;$C1966,2)&amp;"/"&amp;RIGHT("00"&amp;$D1966,2)))</f>
        <v/>
      </c>
      <c r="F1966">
        <f>IF(Entry!$D1966&lt;&gt;"",IF(AND(ISNUMBER(Entry!$D1966),Entry!$D1966&gt;=0,Entry!$D1966&lt;1),RIGHT("00"&amp;HOUR(Entry!$D1966),2)&amp;":"&amp;RIGHT("00"&amp;MINUTE(Entry!$D1966),2),IFERROR(RIGHT("00"&amp;VALUE(TRIM(LEFT(Entry!$D1966,FIND(":",Entry!$D1966)-1))),2)&amp;":"&amp;RIGHT("00"&amp;VALUE(TRIM(MID(Entry!$D1966,FIND(":",Entry!$D1966)+1,2))),2),"نامعتبر")),IF(OR($E1966="",$E1966="نامعتبر"),"","00:00"))</f>
        <v/>
      </c>
      <c r="G1966">
        <f>IF(OR($E1966="",$E1966="نامعتبر"),"",IF(Entry!$E1966="","",LEFT(UPPER(TRIM(Entry!$E1966)),6)))</f>
        <v/>
      </c>
      <c r="H1966">
        <f>IF($G1966="","",RIGHT($E1966,4)&amp;MID($E1966,6,2)&amp;RIGHT($E1966,2)&amp;IF($F1966="","0000",IF($F1966="نامعتبر","9999",LEFT($F1966,2)&amp;RIGHT($F1966,2)))&amp;"|"&amp;RIGHT("00000"&amp;1958,5))</f>
        <v/>
      </c>
      <c r="I1966">
        <f>IF($H1966="","",COUNTIFS(CalcBank,$G1966,CalcKey,"&lt;"&amp;$H1966)+1)</f>
        <v/>
      </c>
      <c r="J1966">
        <f>IF($I1966="","",$G1966&amp;"|"&amp;RIGHT("000000"&amp;$I1966,6))</f>
        <v/>
      </c>
      <c r="K1966">
        <f>IF(OR($E1966="",$E1966="نامعتبر"),"",LEFT($E1966,4)&amp;"/"&amp;MID($E1966,6,2))</f>
        <v/>
      </c>
      <c r="L1966">
        <f>IF(Entry!$K1966="",0,Entry!$K1966)</f>
        <v/>
      </c>
      <c r="M1966">
        <f>IF(Entry!$L1966="",0,Entry!$L1966)</f>
        <v/>
      </c>
    </row>
    <row r="1967">
      <c r="A1967">
        <f>IF(Entry!$C1967="","",Entry!$C1967)</f>
        <v/>
      </c>
      <c r="B1967">
        <f>IF($A1967="","",IF(ISNUMBER($A1967),IF(AND($A1967&gt;=10000101,$A1967&lt;=99991231),INT($A1967/10000),""),IFERROR(VALUE(TRIM(LEFT($A1967,FIND("/",$A1967)-1))),"")))</f>
        <v/>
      </c>
      <c r="C1967">
        <f>IF(OR($A1967="",$B1967=""),"",IF(ISNUMBER($A1967),INT(MOD($A1967,10000)/100),IFERROR(VALUE(TRIM(LEFT(MID($A1967,FIND("/",$A1967)+1,20),FIND("/",MID($A1967,FIND("/",$A1967)+1,20))-1))),"")))</f>
        <v/>
      </c>
      <c r="D1967">
        <f>IF(OR($A1967="",$B1967=""),"",IF(ISNUMBER($A1967),MOD($A1967,100),IFERROR(VALUE(TRIM(MID(MID($A1967,FIND("/",$A1967)+1,20),FIND("/",MID($A1967,FIND("/",$A1967)+1,20))+1,20))),"")))</f>
        <v/>
      </c>
      <c r="E1967">
        <f>IF($A1967="","",IF(OR($B1967="",$C1967="",$D1967="",$B1967&lt;1300,$B1967&gt;1500,$C1967&lt;1,$C1967&gt;12,$D1967&lt;1,$D1967&gt;31),"نامعتبر",RIGHT("0000"&amp;$B1967,4)&amp;"/"&amp;RIGHT("00"&amp;$C1967,2)&amp;"/"&amp;RIGHT("00"&amp;$D1967,2)))</f>
        <v/>
      </c>
      <c r="F1967">
        <f>IF(Entry!$D1967&lt;&gt;"",IF(AND(ISNUMBER(Entry!$D1967),Entry!$D1967&gt;=0,Entry!$D1967&lt;1),RIGHT("00"&amp;HOUR(Entry!$D1967),2)&amp;":"&amp;RIGHT("00"&amp;MINUTE(Entry!$D1967),2),IFERROR(RIGHT("00"&amp;VALUE(TRIM(LEFT(Entry!$D1967,FIND(":",Entry!$D1967)-1))),2)&amp;":"&amp;RIGHT("00"&amp;VALUE(TRIM(MID(Entry!$D1967,FIND(":",Entry!$D1967)+1,2))),2),"نامعتبر")),IF(OR($E1967="",$E1967="نامعتبر"),"","00:00"))</f>
        <v/>
      </c>
      <c r="G1967">
        <f>IF(OR($E1967="",$E1967="نامعتبر"),"",IF(Entry!$E1967="","",LEFT(UPPER(TRIM(Entry!$E1967)),6)))</f>
        <v/>
      </c>
      <c r="H1967">
        <f>IF($G1967="","",RIGHT($E1967,4)&amp;MID($E1967,6,2)&amp;RIGHT($E1967,2)&amp;IF($F1967="","0000",IF($F1967="نامعتبر","9999",LEFT($F1967,2)&amp;RIGHT($F1967,2)))&amp;"|"&amp;RIGHT("00000"&amp;1959,5))</f>
        <v/>
      </c>
      <c r="I1967">
        <f>IF($H1967="","",COUNTIFS(CalcBank,$G1967,CalcKey,"&lt;"&amp;$H1967)+1)</f>
        <v/>
      </c>
      <c r="J1967">
        <f>IF($I1967="","",$G1967&amp;"|"&amp;RIGHT("000000"&amp;$I1967,6))</f>
        <v/>
      </c>
      <c r="K1967">
        <f>IF(OR($E1967="",$E1967="نامعتبر"),"",LEFT($E1967,4)&amp;"/"&amp;MID($E1967,6,2))</f>
        <v/>
      </c>
      <c r="L1967">
        <f>IF(Entry!$K1967="",0,Entry!$K1967)</f>
        <v/>
      </c>
      <c r="M1967">
        <f>IF(Entry!$L1967="",0,Entry!$L1967)</f>
        <v/>
      </c>
    </row>
    <row r="1968">
      <c r="A1968">
        <f>IF(Entry!$C1968="","",Entry!$C1968)</f>
        <v/>
      </c>
      <c r="B1968">
        <f>IF($A1968="","",IF(ISNUMBER($A1968),IF(AND($A1968&gt;=10000101,$A1968&lt;=99991231),INT($A1968/10000),""),IFERROR(VALUE(TRIM(LEFT($A1968,FIND("/",$A1968)-1))),"")))</f>
        <v/>
      </c>
      <c r="C1968">
        <f>IF(OR($A1968="",$B1968=""),"",IF(ISNUMBER($A1968),INT(MOD($A1968,10000)/100),IFERROR(VALUE(TRIM(LEFT(MID($A1968,FIND("/",$A1968)+1,20),FIND("/",MID($A1968,FIND("/",$A1968)+1,20))-1))),"")))</f>
        <v/>
      </c>
      <c r="D1968">
        <f>IF(OR($A1968="",$B1968=""),"",IF(ISNUMBER($A1968),MOD($A1968,100),IFERROR(VALUE(TRIM(MID(MID($A1968,FIND("/",$A1968)+1,20),FIND("/",MID($A1968,FIND("/",$A1968)+1,20))+1,20))),"")))</f>
        <v/>
      </c>
      <c r="E1968">
        <f>IF($A1968="","",IF(OR($B1968="",$C1968="",$D1968="",$B1968&lt;1300,$B1968&gt;1500,$C1968&lt;1,$C1968&gt;12,$D1968&lt;1,$D1968&gt;31),"نامعتبر",RIGHT("0000"&amp;$B1968,4)&amp;"/"&amp;RIGHT("00"&amp;$C1968,2)&amp;"/"&amp;RIGHT("00"&amp;$D1968,2)))</f>
        <v/>
      </c>
      <c r="F1968">
        <f>IF(Entry!$D1968&lt;&gt;"",IF(AND(ISNUMBER(Entry!$D1968),Entry!$D1968&gt;=0,Entry!$D1968&lt;1),RIGHT("00"&amp;HOUR(Entry!$D1968),2)&amp;":"&amp;RIGHT("00"&amp;MINUTE(Entry!$D1968),2),IFERROR(RIGHT("00"&amp;VALUE(TRIM(LEFT(Entry!$D1968,FIND(":",Entry!$D1968)-1))),2)&amp;":"&amp;RIGHT("00"&amp;VALUE(TRIM(MID(Entry!$D1968,FIND(":",Entry!$D1968)+1,2))),2),"نامعتبر")),IF(OR($E1968="",$E1968="نامعتبر"),"","00:00"))</f>
        <v/>
      </c>
      <c r="G1968">
        <f>IF(OR($E1968="",$E1968="نامعتبر"),"",IF(Entry!$E1968="","",LEFT(UPPER(TRIM(Entry!$E1968)),6)))</f>
        <v/>
      </c>
      <c r="H1968">
        <f>IF($G1968="","",RIGHT($E1968,4)&amp;MID($E1968,6,2)&amp;RIGHT($E1968,2)&amp;IF($F1968="","0000",IF($F1968="نامعتبر","9999",LEFT($F1968,2)&amp;RIGHT($F1968,2)))&amp;"|"&amp;RIGHT("00000"&amp;1960,5))</f>
        <v/>
      </c>
      <c r="I1968">
        <f>IF($H1968="","",COUNTIFS(CalcBank,$G1968,CalcKey,"&lt;"&amp;$H1968)+1)</f>
        <v/>
      </c>
      <c r="J1968">
        <f>IF($I1968="","",$G1968&amp;"|"&amp;RIGHT("000000"&amp;$I1968,6))</f>
        <v/>
      </c>
      <c r="K1968">
        <f>IF(OR($E1968="",$E1968="نامعتبر"),"",LEFT($E1968,4)&amp;"/"&amp;MID($E1968,6,2))</f>
        <v/>
      </c>
      <c r="L1968">
        <f>IF(Entry!$K1968="",0,Entry!$K1968)</f>
        <v/>
      </c>
      <c r="M1968">
        <f>IF(Entry!$L1968="",0,Entry!$L1968)</f>
        <v/>
      </c>
    </row>
    <row r="1969">
      <c r="A1969">
        <f>IF(Entry!$C1969="","",Entry!$C1969)</f>
        <v/>
      </c>
      <c r="B1969">
        <f>IF($A1969="","",IF(ISNUMBER($A1969),IF(AND($A1969&gt;=10000101,$A1969&lt;=99991231),INT($A1969/10000),""),IFERROR(VALUE(TRIM(LEFT($A1969,FIND("/",$A1969)-1))),"")))</f>
        <v/>
      </c>
      <c r="C1969">
        <f>IF(OR($A1969="",$B1969=""),"",IF(ISNUMBER($A1969),INT(MOD($A1969,10000)/100),IFERROR(VALUE(TRIM(LEFT(MID($A1969,FIND("/",$A1969)+1,20),FIND("/",MID($A1969,FIND("/",$A1969)+1,20))-1))),"")))</f>
        <v/>
      </c>
      <c r="D1969">
        <f>IF(OR($A1969="",$B1969=""),"",IF(ISNUMBER($A1969),MOD($A1969,100),IFERROR(VALUE(TRIM(MID(MID($A1969,FIND("/",$A1969)+1,20),FIND("/",MID($A1969,FIND("/",$A1969)+1,20))+1,20))),"")))</f>
        <v/>
      </c>
      <c r="E1969">
        <f>IF($A1969="","",IF(OR($B1969="",$C1969="",$D1969="",$B1969&lt;1300,$B1969&gt;1500,$C1969&lt;1,$C1969&gt;12,$D1969&lt;1,$D1969&gt;31),"نامعتبر",RIGHT("0000"&amp;$B1969,4)&amp;"/"&amp;RIGHT("00"&amp;$C1969,2)&amp;"/"&amp;RIGHT("00"&amp;$D1969,2)))</f>
        <v/>
      </c>
      <c r="F1969">
        <f>IF(Entry!$D1969&lt;&gt;"",IF(AND(ISNUMBER(Entry!$D1969),Entry!$D1969&gt;=0,Entry!$D1969&lt;1),RIGHT("00"&amp;HOUR(Entry!$D1969),2)&amp;":"&amp;RIGHT("00"&amp;MINUTE(Entry!$D1969),2),IFERROR(RIGHT("00"&amp;VALUE(TRIM(LEFT(Entry!$D1969,FIND(":",Entry!$D1969)-1))),2)&amp;":"&amp;RIGHT("00"&amp;VALUE(TRIM(MID(Entry!$D1969,FIND(":",Entry!$D1969)+1,2))),2),"نامعتبر")),IF(OR($E1969="",$E1969="نامعتبر"),"","00:00"))</f>
        <v/>
      </c>
      <c r="G1969">
        <f>IF(OR($E1969="",$E1969="نامعتبر"),"",IF(Entry!$E1969="","",LEFT(UPPER(TRIM(Entry!$E1969)),6)))</f>
        <v/>
      </c>
      <c r="H1969">
        <f>IF($G1969="","",RIGHT($E1969,4)&amp;MID($E1969,6,2)&amp;RIGHT($E1969,2)&amp;IF($F1969="","0000",IF($F1969="نامعتبر","9999",LEFT($F1969,2)&amp;RIGHT($F1969,2)))&amp;"|"&amp;RIGHT("00000"&amp;1961,5))</f>
        <v/>
      </c>
      <c r="I1969">
        <f>IF($H1969="","",COUNTIFS(CalcBank,$G1969,CalcKey,"&lt;"&amp;$H1969)+1)</f>
        <v/>
      </c>
      <c r="J1969">
        <f>IF($I1969="","",$G1969&amp;"|"&amp;RIGHT("000000"&amp;$I1969,6))</f>
        <v/>
      </c>
      <c r="K1969">
        <f>IF(OR($E1969="",$E1969="نامعتبر"),"",LEFT($E1969,4)&amp;"/"&amp;MID($E1969,6,2))</f>
        <v/>
      </c>
      <c r="L1969">
        <f>IF(Entry!$K1969="",0,Entry!$K1969)</f>
        <v/>
      </c>
      <c r="M1969">
        <f>IF(Entry!$L1969="",0,Entry!$L1969)</f>
        <v/>
      </c>
    </row>
    <row r="1970">
      <c r="A1970">
        <f>IF(Entry!$C1970="","",Entry!$C1970)</f>
        <v/>
      </c>
      <c r="B1970">
        <f>IF($A1970="","",IF(ISNUMBER($A1970),IF(AND($A1970&gt;=10000101,$A1970&lt;=99991231),INT($A1970/10000),""),IFERROR(VALUE(TRIM(LEFT($A1970,FIND("/",$A1970)-1))),"")))</f>
        <v/>
      </c>
      <c r="C1970">
        <f>IF(OR($A1970="",$B1970=""),"",IF(ISNUMBER($A1970),INT(MOD($A1970,10000)/100),IFERROR(VALUE(TRIM(LEFT(MID($A1970,FIND("/",$A1970)+1,20),FIND("/",MID($A1970,FIND("/",$A1970)+1,20))-1))),"")))</f>
        <v/>
      </c>
      <c r="D1970">
        <f>IF(OR($A1970="",$B1970=""),"",IF(ISNUMBER($A1970),MOD($A1970,100),IFERROR(VALUE(TRIM(MID(MID($A1970,FIND("/",$A1970)+1,20),FIND("/",MID($A1970,FIND("/",$A1970)+1,20))+1,20))),"")))</f>
        <v/>
      </c>
      <c r="E1970">
        <f>IF($A1970="","",IF(OR($B1970="",$C1970="",$D1970="",$B1970&lt;1300,$B1970&gt;1500,$C1970&lt;1,$C1970&gt;12,$D1970&lt;1,$D1970&gt;31),"نامعتبر",RIGHT("0000"&amp;$B1970,4)&amp;"/"&amp;RIGHT("00"&amp;$C1970,2)&amp;"/"&amp;RIGHT("00"&amp;$D1970,2)))</f>
        <v/>
      </c>
      <c r="F1970">
        <f>IF(Entry!$D1970&lt;&gt;"",IF(AND(ISNUMBER(Entry!$D1970),Entry!$D1970&gt;=0,Entry!$D1970&lt;1),RIGHT("00"&amp;HOUR(Entry!$D1970),2)&amp;":"&amp;RIGHT("00"&amp;MINUTE(Entry!$D1970),2),IFERROR(RIGHT("00"&amp;VALUE(TRIM(LEFT(Entry!$D1970,FIND(":",Entry!$D1970)-1))),2)&amp;":"&amp;RIGHT("00"&amp;VALUE(TRIM(MID(Entry!$D1970,FIND(":",Entry!$D1970)+1,2))),2),"نامعتبر")),IF(OR($E1970="",$E1970="نامعتبر"),"","00:00"))</f>
        <v/>
      </c>
      <c r="G1970">
        <f>IF(OR($E1970="",$E1970="نامعتبر"),"",IF(Entry!$E1970="","",LEFT(UPPER(TRIM(Entry!$E1970)),6)))</f>
        <v/>
      </c>
      <c r="H1970">
        <f>IF($G1970="","",RIGHT($E1970,4)&amp;MID($E1970,6,2)&amp;RIGHT($E1970,2)&amp;IF($F1970="","0000",IF($F1970="نامعتبر","9999",LEFT($F1970,2)&amp;RIGHT($F1970,2)))&amp;"|"&amp;RIGHT("00000"&amp;1962,5))</f>
        <v/>
      </c>
      <c r="I1970">
        <f>IF($H1970="","",COUNTIFS(CalcBank,$G1970,CalcKey,"&lt;"&amp;$H1970)+1)</f>
        <v/>
      </c>
      <c r="J1970">
        <f>IF($I1970="","",$G1970&amp;"|"&amp;RIGHT("000000"&amp;$I1970,6))</f>
        <v/>
      </c>
      <c r="K1970">
        <f>IF(OR($E1970="",$E1970="نامعتبر"),"",LEFT($E1970,4)&amp;"/"&amp;MID($E1970,6,2))</f>
        <v/>
      </c>
      <c r="L1970">
        <f>IF(Entry!$K1970="",0,Entry!$K1970)</f>
        <v/>
      </c>
      <c r="M1970">
        <f>IF(Entry!$L1970="",0,Entry!$L1970)</f>
        <v/>
      </c>
    </row>
    <row r="1971">
      <c r="A1971">
        <f>IF(Entry!$C1971="","",Entry!$C1971)</f>
        <v/>
      </c>
      <c r="B1971">
        <f>IF($A1971="","",IF(ISNUMBER($A1971),IF(AND($A1971&gt;=10000101,$A1971&lt;=99991231),INT($A1971/10000),""),IFERROR(VALUE(TRIM(LEFT($A1971,FIND("/",$A1971)-1))),"")))</f>
        <v/>
      </c>
      <c r="C1971">
        <f>IF(OR($A1971="",$B1971=""),"",IF(ISNUMBER($A1971),INT(MOD($A1971,10000)/100),IFERROR(VALUE(TRIM(LEFT(MID($A1971,FIND("/",$A1971)+1,20),FIND("/",MID($A1971,FIND("/",$A1971)+1,20))-1))),"")))</f>
        <v/>
      </c>
      <c r="D1971">
        <f>IF(OR($A1971="",$B1971=""),"",IF(ISNUMBER($A1971),MOD($A1971,100),IFERROR(VALUE(TRIM(MID(MID($A1971,FIND("/",$A1971)+1,20),FIND("/",MID($A1971,FIND("/",$A1971)+1,20))+1,20))),"")))</f>
        <v/>
      </c>
      <c r="E1971">
        <f>IF($A1971="","",IF(OR($B1971="",$C1971="",$D1971="",$B1971&lt;1300,$B1971&gt;1500,$C1971&lt;1,$C1971&gt;12,$D1971&lt;1,$D1971&gt;31),"نامعتبر",RIGHT("0000"&amp;$B1971,4)&amp;"/"&amp;RIGHT("00"&amp;$C1971,2)&amp;"/"&amp;RIGHT("00"&amp;$D1971,2)))</f>
        <v/>
      </c>
      <c r="F1971">
        <f>IF(Entry!$D1971&lt;&gt;"",IF(AND(ISNUMBER(Entry!$D1971),Entry!$D1971&gt;=0,Entry!$D1971&lt;1),RIGHT("00"&amp;HOUR(Entry!$D1971),2)&amp;":"&amp;RIGHT("00"&amp;MINUTE(Entry!$D1971),2),IFERROR(RIGHT("00"&amp;VALUE(TRIM(LEFT(Entry!$D1971,FIND(":",Entry!$D1971)-1))),2)&amp;":"&amp;RIGHT("00"&amp;VALUE(TRIM(MID(Entry!$D1971,FIND(":",Entry!$D1971)+1,2))),2),"نامعتبر")),IF(OR($E1971="",$E1971="نامعتبر"),"","00:00"))</f>
        <v/>
      </c>
      <c r="G1971">
        <f>IF(OR($E1971="",$E1971="نامعتبر"),"",IF(Entry!$E1971="","",LEFT(UPPER(TRIM(Entry!$E1971)),6)))</f>
        <v/>
      </c>
      <c r="H1971">
        <f>IF($G1971="","",RIGHT($E1971,4)&amp;MID($E1971,6,2)&amp;RIGHT($E1971,2)&amp;IF($F1971="","0000",IF($F1971="نامعتبر","9999",LEFT($F1971,2)&amp;RIGHT($F1971,2)))&amp;"|"&amp;RIGHT("00000"&amp;1963,5))</f>
        <v/>
      </c>
      <c r="I1971">
        <f>IF($H1971="","",COUNTIFS(CalcBank,$G1971,CalcKey,"&lt;"&amp;$H1971)+1)</f>
        <v/>
      </c>
      <c r="J1971">
        <f>IF($I1971="","",$G1971&amp;"|"&amp;RIGHT("000000"&amp;$I1971,6))</f>
        <v/>
      </c>
      <c r="K1971">
        <f>IF(OR($E1971="",$E1971="نامعتبر"),"",LEFT($E1971,4)&amp;"/"&amp;MID($E1971,6,2))</f>
        <v/>
      </c>
      <c r="L1971">
        <f>IF(Entry!$K1971="",0,Entry!$K1971)</f>
        <v/>
      </c>
      <c r="M1971">
        <f>IF(Entry!$L1971="",0,Entry!$L1971)</f>
        <v/>
      </c>
    </row>
    <row r="1972">
      <c r="A1972">
        <f>IF(Entry!$C1972="","",Entry!$C1972)</f>
        <v/>
      </c>
      <c r="B1972">
        <f>IF($A1972="","",IF(ISNUMBER($A1972),IF(AND($A1972&gt;=10000101,$A1972&lt;=99991231),INT($A1972/10000),""),IFERROR(VALUE(TRIM(LEFT($A1972,FIND("/",$A1972)-1))),"")))</f>
        <v/>
      </c>
      <c r="C1972">
        <f>IF(OR($A1972="",$B1972=""),"",IF(ISNUMBER($A1972),INT(MOD($A1972,10000)/100),IFERROR(VALUE(TRIM(LEFT(MID($A1972,FIND("/",$A1972)+1,20),FIND("/",MID($A1972,FIND("/",$A1972)+1,20))-1))),"")))</f>
        <v/>
      </c>
      <c r="D1972">
        <f>IF(OR($A1972="",$B1972=""),"",IF(ISNUMBER($A1972),MOD($A1972,100),IFERROR(VALUE(TRIM(MID(MID($A1972,FIND("/",$A1972)+1,20),FIND("/",MID($A1972,FIND("/",$A1972)+1,20))+1,20))),"")))</f>
        <v/>
      </c>
      <c r="E1972">
        <f>IF($A1972="","",IF(OR($B1972="",$C1972="",$D1972="",$B1972&lt;1300,$B1972&gt;1500,$C1972&lt;1,$C1972&gt;12,$D1972&lt;1,$D1972&gt;31),"نامعتبر",RIGHT("0000"&amp;$B1972,4)&amp;"/"&amp;RIGHT("00"&amp;$C1972,2)&amp;"/"&amp;RIGHT("00"&amp;$D1972,2)))</f>
        <v/>
      </c>
      <c r="F1972">
        <f>IF(Entry!$D1972&lt;&gt;"",IF(AND(ISNUMBER(Entry!$D1972),Entry!$D1972&gt;=0,Entry!$D1972&lt;1),RIGHT("00"&amp;HOUR(Entry!$D1972),2)&amp;":"&amp;RIGHT("00"&amp;MINUTE(Entry!$D1972),2),IFERROR(RIGHT("00"&amp;VALUE(TRIM(LEFT(Entry!$D1972,FIND(":",Entry!$D1972)-1))),2)&amp;":"&amp;RIGHT("00"&amp;VALUE(TRIM(MID(Entry!$D1972,FIND(":",Entry!$D1972)+1,2))),2),"نامعتبر")),IF(OR($E1972="",$E1972="نامعتبر"),"","00:00"))</f>
        <v/>
      </c>
      <c r="G1972">
        <f>IF(OR($E1972="",$E1972="نامعتبر"),"",IF(Entry!$E1972="","",LEFT(UPPER(TRIM(Entry!$E1972)),6)))</f>
        <v/>
      </c>
      <c r="H1972">
        <f>IF($G1972="","",RIGHT($E1972,4)&amp;MID($E1972,6,2)&amp;RIGHT($E1972,2)&amp;IF($F1972="","0000",IF($F1972="نامعتبر","9999",LEFT($F1972,2)&amp;RIGHT($F1972,2)))&amp;"|"&amp;RIGHT("00000"&amp;1964,5))</f>
        <v/>
      </c>
      <c r="I1972">
        <f>IF($H1972="","",COUNTIFS(CalcBank,$G1972,CalcKey,"&lt;"&amp;$H1972)+1)</f>
        <v/>
      </c>
      <c r="J1972">
        <f>IF($I1972="","",$G1972&amp;"|"&amp;RIGHT("000000"&amp;$I1972,6))</f>
        <v/>
      </c>
      <c r="K1972">
        <f>IF(OR($E1972="",$E1972="نامعتبر"),"",LEFT($E1972,4)&amp;"/"&amp;MID($E1972,6,2))</f>
        <v/>
      </c>
      <c r="L1972">
        <f>IF(Entry!$K1972="",0,Entry!$K1972)</f>
        <v/>
      </c>
      <c r="M1972">
        <f>IF(Entry!$L1972="",0,Entry!$L1972)</f>
        <v/>
      </c>
    </row>
    <row r="1973">
      <c r="A1973">
        <f>IF(Entry!$C1973="","",Entry!$C1973)</f>
        <v/>
      </c>
      <c r="B1973">
        <f>IF($A1973="","",IF(ISNUMBER($A1973),IF(AND($A1973&gt;=10000101,$A1973&lt;=99991231),INT($A1973/10000),""),IFERROR(VALUE(TRIM(LEFT($A1973,FIND("/",$A1973)-1))),"")))</f>
        <v/>
      </c>
      <c r="C1973">
        <f>IF(OR($A1973="",$B1973=""),"",IF(ISNUMBER($A1973),INT(MOD($A1973,10000)/100),IFERROR(VALUE(TRIM(LEFT(MID($A1973,FIND("/",$A1973)+1,20),FIND("/",MID($A1973,FIND("/",$A1973)+1,20))-1))),"")))</f>
        <v/>
      </c>
      <c r="D1973">
        <f>IF(OR($A1973="",$B1973=""),"",IF(ISNUMBER($A1973),MOD($A1973,100),IFERROR(VALUE(TRIM(MID(MID($A1973,FIND("/",$A1973)+1,20),FIND("/",MID($A1973,FIND("/",$A1973)+1,20))+1,20))),"")))</f>
        <v/>
      </c>
      <c r="E1973">
        <f>IF($A1973="","",IF(OR($B1973="",$C1973="",$D1973="",$B1973&lt;1300,$B1973&gt;1500,$C1973&lt;1,$C1973&gt;12,$D1973&lt;1,$D1973&gt;31),"نامعتبر",RIGHT("0000"&amp;$B1973,4)&amp;"/"&amp;RIGHT("00"&amp;$C1973,2)&amp;"/"&amp;RIGHT("00"&amp;$D1973,2)))</f>
        <v/>
      </c>
      <c r="F1973">
        <f>IF(Entry!$D1973&lt;&gt;"",IF(AND(ISNUMBER(Entry!$D1973),Entry!$D1973&gt;=0,Entry!$D1973&lt;1),RIGHT("00"&amp;HOUR(Entry!$D1973),2)&amp;":"&amp;RIGHT("00"&amp;MINUTE(Entry!$D1973),2),IFERROR(RIGHT("00"&amp;VALUE(TRIM(LEFT(Entry!$D1973,FIND(":",Entry!$D1973)-1))),2)&amp;":"&amp;RIGHT("00"&amp;VALUE(TRIM(MID(Entry!$D1973,FIND(":",Entry!$D1973)+1,2))),2),"نامعتبر")),IF(OR($E1973="",$E1973="نامعتبر"),"","00:00"))</f>
        <v/>
      </c>
      <c r="G1973">
        <f>IF(OR($E1973="",$E1973="نامعتبر"),"",IF(Entry!$E1973="","",LEFT(UPPER(TRIM(Entry!$E1973)),6)))</f>
        <v/>
      </c>
      <c r="H1973">
        <f>IF($G1973="","",RIGHT($E1973,4)&amp;MID($E1973,6,2)&amp;RIGHT($E1973,2)&amp;IF($F1973="","0000",IF($F1973="نامعتبر","9999",LEFT($F1973,2)&amp;RIGHT($F1973,2)))&amp;"|"&amp;RIGHT("00000"&amp;1965,5))</f>
        <v/>
      </c>
      <c r="I1973">
        <f>IF($H1973="","",COUNTIFS(CalcBank,$G1973,CalcKey,"&lt;"&amp;$H1973)+1)</f>
        <v/>
      </c>
      <c r="J1973">
        <f>IF($I1973="","",$G1973&amp;"|"&amp;RIGHT("000000"&amp;$I1973,6))</f>
        <v/>
      </c>
      <c r="K1973">
        <f>IF(OR($E1973="",$E1973="نامعتبر"),"",LEFT($E1973,4)&amp;"/"&amp;MID($E1973,6,2))</f>
        <v/>
      </c>
      <c r="L1973">
        <f>IF(Entry!$K1973="",0,Entry!$K1973)</f>
        <v/>
      </c>
      <c r="M1973">
        <f>IF(Entry!$L1973="",0,Entry!$L1973)</f>
        <v/>
      </c>
    </row>
    <row r="1974">
      <c r="A1974">
        <f>IF(Entry!$C1974="","",Entry!$C1974)</f>
        <v/>
      </c>
      <c r="B1974">
        <f>IF($A1974="","",IF(ISNUMBER($A1974),IF(AND($A1974&gt;=10000101,$A1974&lt;=99991231),INT($A1974/10000),""),IFERROR(VALUE(TRIM(LEFT($A1974,FIND("/",$A1974)-1))),"")))</f>
        <v/>
      </c>
      <c r="C1974">
        <f>IF(OR($A1974="",$B1974=""),"",IF(ISNUMBER($A1974),INT(MOD($A1974,10000)/100),IFERROR(VALUE(TRIM(LEFT(MID($A1974,FIND("/",$A1974)+1,20),FIND("/",MID($A1974,FIND("/",$A1974)+1,20))-1))),"")))</f>
        <v/>
      </c>
      <c r="D1974">
        <f>IF(OR($A1974="",$B1974=""),"",IF(ISNUMBER($A1974),MOD($A1974,100),IFERROR(VALUE(TRIM(MID(MID($A1974,FIND("/",$A1974)+1,20),FIND("/",MID($A1974,FIND("/",$A1974)+1,20))+1,20))),"")))</f>
        <v/>
      </c>
      <c r="E1974">
        <f>IF($A1974="","",IF(OR($B1974="",$C1974="",$D1974="",$B1974&lt;1300,$B1974&gt;1500,$C1974&lt;1,$C1974&gt;12,$D1974&lt;1,$D1974&gt;31),"نامعتبر",RIGHT("0000"&amp;$B1974,4)&amp;"/"&amp;RIGHT("00"&amp;$C1974,2)&amp;"/"&amp;RIGHT("00"&amp;$D1974,2)))</f>
        <v/>
      </c>
      <c r="F1974">
        <f>IF(Entry!$D1974&lt;&gt;"",IF(AND(ISNUMBER(Entry!$D1974),Entry!$D1974&gt;=0,Entry!$D1974&lt;1),RIGHT("00"&amp;HOUR(Entry!$D1974),2)&amp;":"&amp;RIGHT("00"&amp;MINUTE(Entry!$D1974),2),IFERROR(RIGHT("00"&amp;VALUE(TRIM(LEFT(Entry!$D1974,FIND(":",Entry!$D1974)-1))),2)&amp;":"&amp;RIGHT("00"&amp;VALUE(TRIM(MID(Entry!$D1974,FIND(":",Entry!$D1974)+1,2))),2),"نامعتبر")),IF(OR($E1974="",$E1974="نامعتبر"),"","00:00"))</f>
        <v/>
      </c>
      <c r="G1974">
        <f>IF(OR($E1974="",$E1974="نامعتبر"),"",IF(Entry!$E1974="","",LEFT(UPPER(TRIM(Entry!$E1974)),6)))</f>
        <v/>
      </c>
      <c r="H1974">
        <f>IF($G1974="","",RIGHT($E1974,4)&amp;MID($E1974,6,2)&amp;RIGHT($E1974,2)&amp;IF($F1974="","0000",IF($F1974="نامعتبر","9999",LEFT($F1974,2)&amp;RIGHT($F1974,2)))&amp;"|"&amp;RIGHT("00000"&amp;1966,5))</f>
        <v/>
      </c>
      <c r="I1974">
        <f>IF($H1974="","",COUNTIFS(CalcBank,$G1974,CalcKey,"&lt;"&amp;$H1974)+1)</f>
        <v/>
      </c>
      <c r="J1974">
        <f>IF($I1974="","",$G1974&amp;"|"&amp;RIGHT("000000"&amp;$I1974,6))</f>
        <v/>
      </c>
      <c r="K1974">
        <f>IF(OR($E1974="",$E1974="نامعتبر"),"",LEFT($E1974,4)&amp;"/"&amp;MID($E1974,6,2))</f>
        <v/>
      </c>
      <c r="L1974">
        <f>IF(Entry!$K1974="",0,Entry!$K1974)</f>
        <v/>
      </c>
      <c r="M1974">
        <f>IF(Entry!$L1974="",0,Entry!$L1974)</f>
        <v/>
      </c>
    </row>
    <row r="1975">
      <c r="A1975">
        <f>IF(Entry!$C1975="","",Entry!$C1975)</f>
        <v/>
      </c>
      <c r="B1975">
        <f>IF($A1975="","",IF(ISNUMBER($A1975),IF(AND($A1975&gt;=10000101,$A1975&lt;=99991231),INT($A1975/10000),""),IFERROR(VALUE(TRIM(LEFT($A1975,FIND("/",$A1975)-1))),"")))</f>
        <v/>
      </c>
      <c r="C1975">
        <f>IF(OR($A1975="",$B1975=""),"",IF(ISNUMBER($A1975),INT(MOD($A1975,10000)/100),IFERROR(VALUE(TRIM(LEFT(MID($A1975,FIND("/",$A1975)+1,20),FIND("/",MID($A1975,FIND("/",$A1975)+1,20))-1))),"")))</f>
        <v/>
      </c>
      <c r="D1975">
        <f>IF(OR($A1975="",$B1975=""),"",IF(ISNUMBER($A1975),MOD($A1975,100),IFERROR(VALUE(TRIM(MID(MID($A1975,FIND("/",$A1975)+1,20),FIND("/",MID($A1975,FIND("/",$A1975)+1,20))+1,20))),"")))</f>
        <v/>
      </c>
      <c r="E1975">
        <f>IF($A1975="","",IF(OR($B1975="",$C1975="",$D1975="",$B1975&lt;1300,$B1975&gt;1500,$C1975&lt;1,$C1975&gt;12,$D1975&lt;1,$D1975&gt;31),"نامعتبر",RIGHT("0000"&amp;$B1975,4)&amp;"/"&amp;RIGHT("00"&amp;$C1975,2)&amp;"/"&amp;RIGHT("00"&amp;$D1975,2)))</f>
        <v/>
      </c>
      <c r="F1975">
        <f>IF(Entry!$D1975&lt;&gt;"",IF(AND(ISNUMBER(Entry!$D1975),Entry!$D1975&gt;=0,Entry!$D1975&lt;1),RIGHT("00"&amp;HOUR(Entry!$D1975),2)&amp;":"&amp;RIGHT("00"&amp;MINUTE(Entry!$D1975),2),IFERROR(RIGHT("00"&amp;VALUE(TRIM(LEFT(Entry!$D1975,FIND(":",Entry!$D1975)-1))),2)&amp;":"&amp;RIGHT("00"&amp;VALUE(TRIM(MID(Entry!$D1975,FIND(":",Entry!$D1975)+1,2))),2),"نامعتبر")),IF(OR($E1975="",$E1975="نامعتبر"),"","00:00"))</f>
        <v/>
      </c>
      <c r="G1975">
        <f>IF(OR($E1975="",$E1975="نامعتبر"),"",IF(Entry!$E1975="","",LEFT(UPPER(TRIM(Entry!$E1975)),6)))</f>
        <v/>
      </c>
      <c r="H1975">
        <f>IF($G1975="","",RIGHT($E1975,4)&amp;MID($E1975,6,2)&amp;RIGHT($E1975,2)&amp;IF($F1975="","0000",IF($F1975="نامعتبر","9999",LEFT($F1975,2)&amp;RIGHT($F1975,2)))&amp;"|"&amp;RIGHT("00000"&amp;1967,5))</f>
        <v/>
      </c>
      <c r="I1975">
        <f>IF($H1975="","",COUNTIFS(CalcBank,$G1975,CalcKey,"&lt;"&amp;$H1975)+1)</f>
        <v/>
      </c>
      <c r="J1975">
        <f>IF($I1975="","",$G1975&amp;"|"&amp;RIGHT("000000"&amp;$I1975,6))</f>
        <v/>
      </c>
      <c r="K1975">
        <f>IF(OR($E1975="",$E1975="نامعتبر"),"",LEFT($E1975,4)&amp;"/"&amp;MID($E1975,6,2))</f>
        <v/>
      </c>
      <c r="L1975">
        <f>IF(Entry!$K1975="",0,Entry!$K1975)</f>
        <v/>
      </c>
      <c r="M1975">
        <f>IF(Entry!$L1975="",0,Entry!$L1975)</f>
        <v/>
      </c>
    </row>
    <row r="1976">
      <c r="A1976">
        <f>IF(Entry!$C1976="","",Entry!$C1976)</f>
        <v/>
      </c>
      <c r="B1976">
        <f>IF($A1976="","",IF(ISNUMBER($A1976),IF(AND($A1976&gt;=10000101,$A1976&lt;=99991231),INT($A1976/10000),""),IFERROR(VALUE(TRIM(LEFT($A1976,FIND("/",$A1976)-1))),"")))</f>
        <v/>
      </c>
      <c r="C1976">
        <f>IF(OR($A1976="",$B1976=""),"",IF(ISNUMBER($A1976),INT(MOD($A1976,10000)/100),IFERROR(VALUE(TRIM(LEFT(MID($A1976,FIND("/",$A1976)+1,20),FIND("/",MID($A1976,FIND("/",$A1976)+1,20))-1))),"")))</f>
        <v/>
      </c>
      <c r="D1976">
        <f>IF(OR($A1976="",$B1976=""),"",IF(ISNUMBER($A1976),MOD($A1976,100),IFERROR(VALUE(TRIM(MID(MID($A1976,FIND("/",$A1976)+1,20),FIND("/",MID($A1976,FIND("/",$A1976)+1,20))+1,20))),"")))</f>
        <v/>
      </c>
      <c r="E1976">
        <f>IF($A1976="","",IF(OR($B1976="",$C1976="",$D1976="",$B1976&lt;1300,$B1976&gt;1500,$C1976&lt;1,$C1976&gt;12,$D1976&lt;1,$D1976&gt;31),"نامعتبر",RIGHT("0000"&amp;$B1976,4)&amp;"/"&amp;RIGHT("00"&amp;$C1976,2)&amp;"/"&amp;RIGHT("00"&amp;$D1976,2)))</f>
        <v/>
      </c>
      <c r="F1976">
        <f>IF(Entry!$D1976&lt;&gt;"",IF(AND(ISNUMBER(Entry!$D1976),Entry!$D1976&gt;=0,Entry!$D1976&lt;1),RIGHT("00"&amp;HOUR(Entry!$D1976),2)&amp;":"&amp;RIGHT("00"&amp;MINUTE(Entry!$D1976),2),IFERROR(RIGHT("00"&amp;VALUE(TRIM(LEFT(Entry!$D1976,FIND(":",Entry!$D1976)-1))),2)&amp;":"&amp;RIGHT("00"&amp;VALUE(TRIM(MID(Entry!$D1976,FIND(":",Entry!$D1976)+1,2))),2),"نامعتبر")),IF(OR($E1976="",$E1976="نامعتبر"),"","00:00"))</f>
        <v/>
      </c>
      <c r="G1976">
        <f>IF(OR($E1976="",$E1976="نامعتبر"),"",IF(Entry!$E1976="","",LEFT(UPPER(TRIM(Entry!$E1976)),6)))</f>
        <v/>
      </c>
      <c r="H1976">
        <f>IF($G1976="","",RIGHT($E1976,4)&amp;MID($E1976,6,2)&amp;RIGHT($E1976,2)&amp;IF($F1976="","0000",IF($F1976="نامعتبر","9999",LEFT($F1976,2)&amp;RIGHT($F1976,2)))&amp;"|"&amp;RIGHT("00000"&amp;1968,5))</f>
        <v/>
      </c>
      <c r="I1976">
        <f>IF($H1976="","",COUNTIFS(CalcBank,$G1976,CalcKey,"&lt;"&amp;$H1976)+1)</f>
        <v/>
      </c>
      <c r="J1976">
        <f>IF($I1976="","",$G1976&amp;"|"&amp;RIGHT("000000"&amp;$I1976,6))</f>
        <v/>
      </c>
      <c r="K1976">
        <f>IF(OR($E1976="",$E1976="نامعتبر"),"",LEFT($E1976,4)&amp;"/"&amp;MID($E1976,6,2))</f>
        <v/>
      </c>
      <c r="L1976">
        <f>IF(Entry!$K1976="",0,Entry!$K1976)</f>
        <v/>
      </c>
      <c r="M1976">
        <f>IF(Entry!$L1976="",0,Entry!$L1976)</f>
        <v/>
      </c>
    </row>
    <row r="1977">
      <c r="A1977">
        <f>IF(Entry!$C1977="","",Entry!$C1977)</f>
        <v/>
      </c>
      <c r="B1977">
        <f>IF($A1977="","",IF(ISNUMBER($A1977),IF(AND($A1977&gt;=10000101,$A1977&lt;=99991231),INT($A1977/10000),""),IFERROR(VALUE(TRIM(LEFT($A1977,FIND("/",$A1977)-1))),"")))</f>
        <v/>
      </c>
      <c r="C1977">
        <f>IF(OR($A1977="",$B1977=""),"",IF(ISNUMBER($A1977),INT(MOD($A1977,10000)/100),IFERROR(VALUE(TRIM(LEFT(MID($A1977,FIND("/",$A1977)+1,20),FIND("/",MID($A1977,FIND("/",$A1977)+1,20))-1))),"")))</f>
        <v/>
      </c>
      <c r="D1977">
        <f>IF(OR($A1977="",$B1977=""),"",IF(ISNUMBER($A1977),MOD($A1977,100),IFERROR(VALUE(TRIM(MID(MID($A1977,FIND("/",$A1977)+1,20),FIND("/",MID($A1977,FIND("/",$A1977)+1,20))+1,20))),"")))</f>
        <v/>
      </c>
      <c r="E1977">
        <f>IF($A1977="","",IF(OR($B1977="",$C1977="",$D1977="",$B1977&lt;1300,$B1977&gt;1500,$C1977&lt;1,$C1977&gt;12,$D1977&lt;1,$D1977&gt;31),"نامعتبر",RIGHT("0000"&amp;$B1977,4)&amp;"/"&amp;RIGHT("00"&amp;$C1977,2)&amp;"/"&amp;RIGHT("00"&amp;$D1977,2)))</f>
        <v/>
      </c>
      <c r="F1977">
        <f>IF(Entry!$D1977&lt;&gt;"",IF(AND(ISNUMBER(Entry!$D1977),Entry!$D1977&gt;=0,Entry!$D1977&lt;1),RIGHT("00"&amp;HOUR(Entry!$D1977),2)&amp;":"&amp;RIGHT("00"&amp;MINUTE(Entry!$D1977),2),IFERROR(RIGHT("00"&amp;VALUE(TRIM(LEFT(Entry!$D1977,FIND(":",Entry!$D1977)-1))),2)&amp;":"&amp;RIGHT("00"&amp;VALUE(TRIM(MID(Entry!$D1977,FIND(":",Entry!$D1977)+1,2))),2),"نامعتبر")),IF(OR($E1977="",$E1977="نامعتبر"),"","00:00"))</f>
        <v/>
      </c>
      <c r="G1977">
        <f>IF(OR($E1977="",$E1977="نامعتبر"),"",IF(Entry!$E1977="","",LEFT(UPPER(TRIM(Entry!$E1977)),6)))</f>
        <v/>
      </c>
      <c r="H1977">
        <f>IF($G1977="","",RIGHT($E1977,4)&amp;MID($E1977,6,2)&amp;RIGHT($E1977,2)&amp;IF($F1977="","0000",IF($F1977="نامعتبر","9999",LEFT($F1977,2)&amp;RIGHT($F1977,2)))&amp;"|"&amp;RIGHT("00000"&amp;1969,5))</f>
        <v/>
      </c>
      <c r="I1977">
        <f>IF($H1977="","",COUNTIFS(CalcBank,$G1977,CalcKey,"&lt;"&amp;$H1977)+1)</f>
        <v/>
      </c>
      <c r="J1977">
        <f>IF($I1977="","",$G1977&amp;"|"&amp;RIGHT("000000"&amp;$I1977,6))</f>
        <v/>
      </c>
      <c r="K1977">
        <f>IF(OR($E1977="",$E1977="نامعتبر"),"",LEFT($E1977,4)&amp;"/"&amp;MID($E1977,6,2))</f>
        <v/>
      </c>
      <c r="L1977">
        <f>IF(Entry!$K1977="",0,Entry!$K1977)</f>
        <v/>
      </c>
      <c r="M1977">
        <f>IF(Entry!$L1977="",0,Entry!$L1977)</f>
        <v/>
      </c>
    </row>
    <row r="1978">
      <c r="A1978">
        <f>IF(Entry!$C1978="","",Entry!$C1978)</f>
        <v/>
      </c>
      <c r="B1978">
        <f>IF($A1978="","",IF(ISNUMBER($A1978),IF(AND($A1978&gt;=10000101,$A1978&lt;=99991231),INT($A1978/10000),""),IFERROR(VALUE(TRIM(LEFT($A1978,FIND("/",$A1978)-1))),"")))</f>
        <v/>
      </c>
      <c r="C1978">
        <f>IF(OR($A1978="",$B1978=""),"",IF(ISNUMBER($A1978),INT(MOD($A1978,10000)/100),IFERROR(VALUE(TRIM(LEFT(MID($A1978,FIND("/",$A1978)+1,20),FIND("/",MID($A1978,FIND("/",$A1978)+1,20))-1))),"")))</f>
        <v/>
      </c>
      <c r="D1978">
        <f>IF(OR($A1978="",$B1978=""),"",IF(ISNUMBER($A1978),MOD($A1978,100),IFERROR(VALUE(TRIM(MID(MID($A1978,FIND("/",$A1978)+1,20),FIND("/",MID($A1978,FIND("/",$A1978)+1,20))+1,20))),"")))</f>
        <v/>
      </c>
      <c r="E1978">
        <f>IF($A1978="","",IF(OR($B1978="",$C1978="",$D1978="",$B1978&lt;1300,$B1978&gt;1500,$C1978&lt;1,$C1978&gt;12,$D1978&lt;1,$D1978&gt;31),"نامعتبر",RIGHT("0000"&amp;$B1978,4)&amp;"/"&amp;RIGHT("00"&amp;$C1978,2)&amp;"/"&amp;RIGHT("00"&amp;$D1978,2)))</f>
        <v/>
      </c>
      <c r="F1978">
        <f>IF(Entry!$D1978&lt;&gt;"",IF(AND(ISNUMBER(Entry!$D1978),Entry!$D1978&gt;=0,Entry!$D1978&lt;1),RIGHT("00"&amp;HOUR(Entry!$D1978),2)&amp;":"&amp;RIGHT("00"&amp;MINUTE(Entry!$D1978),2),IFERROR(RIGHT("00"&amp;VALUE(TRIM(LEFT(Entry!$D1978,FIND(":",Entry!$D1978)-1))),2)&amp;":"&amp;RIGHT("00"&amp;VALUE(TRIM(MID(Entry!$D1978,FIND(":",Entry!$D1978)+1,2))),2),"نامعتبر")),IF(OR($E1978="",$E1978="نامعتبر"),"","00:00"))</f>
        <v/>
      </c>
      <c r="G1978">
        <f>IF(OR($E1978="",$E1978="نامعتبر"),"",IF(Entry!$E1978="","",LEFT(UPPER(TRIM(Entry!$E1978)),6)))</f>
        <v/>
      </c>
      <c r="H1978">
        <f>IF($G1978="","",RIGHT($E1978,4)&amp;MID($E1978,6,2)&amp;RIGHT($E1978,2)&amp;IF($F1978="","0000",IF($F1978="نامعتبر","9999",LEFT($F1978,2)&amp;RIGHT($F1978,2)))&amp;"|"&amp;RIGHT("00000"&amp;1970,5))</f>
        <v/>
      </c>
      <c r="I1978">
        <f>IF($H1978="","",COUNTIFS(CalcBank,$G1978,CalcKey,"&lt;"&amp;$H1978)+1)</f>
        <v/>
      </c>
      <c r="J1978">
        <f>IF($I1978="","",$G1978&amp;"|"&amp;RIGHT("000000"&amp;$I1978,6))</f>
        <v/>
      </c>
      <c r="K1978">
        <f>IF(OR($E1978="",$E1978="نامعتبر"),"",LEFT($E1978,4)&amp;"/"&amp;MID($E1978,6,2))</f>
        <v/>
      </c>
      <c r="L1978">
        <f>IF(Entry!$K1978="",0,Entry!$K1978)</f>
        <v/>
      </c>
      <c r="M1978">
        <f>IF(Entry!$L1978="",0,Entry!$L1978)</f>
        <v/>
      </c>
    </row>
    <row r="1979">
      <c r="A1979">
        <f>IF(Entry!$C1979="","",Entry!$C1979)</f>
        <v/>
      </c>
      <c r="B1979">
        <f>IF($A1979="","",IF(ISNUMBER($A1979),IF(AND($A1979&gt;=10000101,$A1979&lt;=99991231),INT($A1979/10000),""),IFERROR(VALUE(TRIM(LEFT($A1979,FIND("/",$A1979)-1))),"")))</f>
        <v/>
      </c>
      <c r="C1979">
        <f>IF(OR($A1979="",$B1979=""),"",IF(ISNUMBER($A1979),INT(MOD($A1979,10000)/100),IFERROR(VALUE(TRIM(LEFT(MID($A1979,FIND("/",$A1979)+1,20),FIND("/",MID($A1979,FIND("/",$A1979)+1,20))-1))),"")))</f>
        <v/>
      </c>
      <c r="D1979">
        <f>IF(OR($A1979="",$B1979=""),"",IF(ISNUMBER($A1979),MOD($A1979,100),IFERROR(VALUE(TRIM(MID(MID($A1979,FIND("/",$A1979)+1,20),FIND("/",MID($A1979,FIND("/",$A1979)+1,20))+1,20))),"")))</f>
        <v/>
      </c>
      <c r="E1979">
        <f>IF($A1979="","",IF(OR($B1979="",$C1979="",$D1979="",$B1979&lt;1300,$B1979&gt;1500,$C1979&lt;1,$C1979&gt;12,$D1979&lt;1,$D1979&gt;31),"نامعتبر",RIGHT("0000"&amp;$B1979,4)&amp;"/"&amp;RIGHT("00"&amp;$C1979,2)&amp;"/"&amp;RIGHT("00"&amp;$D1979,2)))</f>
        <v/>
      </c>
      <c r="F1979">
        <f>IF(Entry!$D1979&lt;&gt;"",IF(AND(ISNUMBER(Entry!$D1979),Entry!$D1979&gt;=0,Entry!$D1979&lt;1),RIGHT("00"&amp;HOUR(Entry!$D1979),2)&amp;":"&amp;RIGHT("00"&amp;MINUTE(Entry!$D1979),2),IFERROR(RIGHT("00"&amp;VALUE(TRIM(LEFT(Entry!$D1979,FIND(":",Entry!$D1979)-1))),2)&amp;":"&amp;RIGHT("00"&amp;VALUE(TRIM(MID(Entry!$D1979,FIND(":",Entry!$D1979)+1,2))),2),"نامعتبر")),IF(OR($E1979="",$E1979="نامعتبر"),"","00:00"))</f>
        <v/>
      </c>
      <c r="G1979">
        <f>IF(OR($E1979="",$E1979="نامعتبر"),"",IF(Entry!$E1979="","",LEFT(UPPER(TRIM(Entry!$E1979)),6)))</f>
        <v/>
      </c>
      <c r="H1979">
        <f>IF($G1979="","",RIGHT($E1979,4)&amp;MID($E1979,6,2)&amp;RIGHT($E1979,2)&amp;IF($F1979="","0000",IF($F1979="نامعتبر","9999",LEFT($F1979,2)&amp;RIGHT($F1979,2)))&amp;"|"&amp;RIGHT("00000"&amp;1971,5))</f>
        <v/>
      </c>
      <c r="I1979">
        <f>IF($H1979="","",COUNTIFS(CalcBank,$G1979,CalcKey,"&lt;"&amp;$H1979)+1)</f>
        <v/>
      </c>
      <c r="J1979">
        <f>IF($I1979="","",$G1979&amp;"|"&amp;RIGHT("000000"&amp;$I1979,6))</f>
        <v/>
      </c>
      <c r="K1979">
        <f>IF(OR($E1979="",$E1979="نامعتبر"),"",LEFT($E1979,4)&amp;"/"&amp;MID($E1979,6,2))</f>
        <v/>
      </c>
      <c r="L1979">
        <f>IF(Entry!$K1979="",0,Entry!$K1979)</f>
        <v/>
      </c>
      <c r="M1979">
        <f>IF(Entry!$L1979="",0,Entry!$L1979)</f>
        <v/>
      </c>
    </row>
    <row r="1980">
      <c r="A1980">
        <f>IF(Entry!$C1980="","",Entry!$C1980)</f>
        <v/>
      </c>
      <c r="B1980">
        <f>IF($A1980="","",IF(ISNUMBER($A1980),IF(AND($A1980&gt;=10000101,$A1980&lt;=99991231),INT($A1980/10000),""),IFERROR(VALUE(TRIM(LEFT($A1980,FIND("/",$A1980)-1))),"")))</f>
        <v/>
      </c>
      <c r="C1980">
        <f>IF(OR($A1980="",$B1980=""),"",IF(ISNUMBER($A1980),INT(MOD($A1980,10000)/100),IFERROR(VALUE(TRIM(LEFT(MID($A1980,FIND("/",$A1980)+1,20),FIND("/",MID($A1980,FIND("/",$A1980)+1,20))-1))),"")))</f>
        <v/>
      </c>
      <c r="D1980">
        <f>IF(OR($A1980="",$B1980=""),"",IF(ISNUMBER($A1980),MOD($A1980,100),IFERROR(VALUE(TRIM(MID(MID($A1980,FIND("/",$A1980)+1,20),FIND("/",MID($A1980,FIND("/",$A1980)+1,20))+1,20))),"")))</f>
        <v/>
      </c>
      <c r="E1980">
        <f>IF($A1980="","",IF(OR($B1980="",$C1980="",$D1980="",$B1980&lt;1300,$B1980&gt;1500,$C1980&lt;1,$C1980&gt;12,$D1980&lt;1,$D1980&gt;31),"نامعتبر",RIGHT("0000"&amp;$B1980,4)&amp;"/"&amp;RIGHT("00"&amp;$C1980,2)&amp;"/"&amp;RIGHT("00"&amp;$D1980,2)))</f>
        <v/>
      </c>
      <c r="F1980">
        <f>IF(Entry!$D1980&lt;&gt;"",IF(AND(ISNUMBER(Entry!$D1980),Entry!$D1980&gt;=0,Entry!$D1980&lt;1),RIGHT("00"&amp;HOUR(Entry!$D1980),2)&amp;":"&amp;RIGHT("00"&amp;MINUTE(Entry!$D1980),2),IFERROR(RIGHT("00"&amp;VALUE(TRIM(LEFT(Entry!$D1980,FIND(":",Entry!$D1980)-1))),2)&amp;":"&amp;RIGHT("00"&amp;VALUE(TRIM(MID(Entry!$D1980,FIND(":",Entry!$D1980)+1,2))),2),"نامعتبر")),IF(OR($E1980="",$E1980="نامعتبر"),"","00:00"))</f>
        <v/>
      </c>
      <c r="G1980">
        <f>IF(OR($E1980="",$E1980="نامعتبر"),"",IF(Entry!$E1980="","",LEFT(UPPER(TRIM(Entry!$E1980)),6)))</f>
        <v/>
      </c>
      <c r="H1980">
        <f>IF($G1980="","",RIGHT($E1980,4)&amp;MID($E1980,6,2)&amp;RIGHT($E1980,2)&amp;IF($F1980="","0000",IF($F1980="نامعتبر","9999",LEFT($F1980,2)&amp;RIGHT($F1980,2)))&amp;"|"&amp;RIGHT("00000"&amp;1972,5))</f>
        <v/>
      </c>
      <c r="I1980">
        <f>IF($H1980="","",COUNTIFS(CalcBank,$G1980,CalcKey,"&lt;"&amp;$H1980)+1)</f>
        <v/>
      </c>
      <c r="J1980">
        <f>IF($I1980="","",$G1980&amp;"|"&amp;RIGHT("000000"&amp;$I1980,6))</f>
        <v/>
      </c>
      <c r="K1980">
        <f>IF(OR($E1980="",$E1980="نامعتبر"),"",LEFT($E1980,4)&amp;"/"&amp;MID($E1980,6,2))</f>
        <v/>
      </c>
      <c r="L1980">
        <f>IF(Entry!$K1980="",0,Entry!$K1980)</f>
        <v/>
      </c>
      <c r="M1980">
        <f>IF(Entry!$L1980="",0,Entry!$L1980)</f>
        <v/>
      </c>
    </row>
    <row r="1981">
      <c r="A1981">
        <f>IF(Entry!$C1981="","",Entry!$C1981)</f>
        <v/>
      </c>
      <c r="B1981">
        <f>IF($A1981="","",IF(ISNUMBER($A1981),IF(AND($A1981&gt;=10000101,$A1981&lt;=99991231),INT($A1981/10000),""),IFERROR(VALUE(TRIM(LEFT($A1981,FIND("/",$A1981)-1))),"")))</f>
        <v/>
      </c>
      <c r="C1981">
        <f>IF(OR($A1981="",$B1981=""),"",IF(ISNUMBER($A1981),INT(MOD($A1981,10000)/100),IFERROR(VALUE(TRIM(LEFT(MID($A1981,FIND("/",$A1981)+1,20),FIND("/",MID($A1981,FIND("/",$A1981)+1,20))-1))),"")))</f>
        <v/>
      </c>
      <c r="D1981">
        <f>IF(OR($A1981="",$B1981=""),"",IF(ISNUMBER($A1981),MOD($A1981,100),IFERROR(VALUE(TRIM(MID(MID($A1981,FIND("/",$A1981)+1,20),FIND("/",MID($A1981,FIND("/",$A1981)+1,20))+1,20))),"")))</f>
        <v/>
      </c>
      <c r="E1981">
        <f>IF($A1981="","",IF(OR($B1981="",$C1981="",$D1981="",$B1981&lt;1300,$B1981&gt;1500,$C1981&lt;1,$C1981&gt;12,$D1981&lt;1,$D1981&gt;31),"نامعتبر",RIGHT("0000"&amp;$B1981,4)&amp;"/"&amp;RIGHT("00"&amp;$C1981,2)&amp;"/"&amp;RIGHT("00"&amp;$D1981,2)))</f>
        <v/>
      </c>
      <c r="F1981">
        <f>IF(Entry!$D1981&lt;&gt;"",IF(AND(ISNUMBER(Entry!$D1981),Entry!$D1981&gt;=0,Entry!$D1981&lt;1),RIGHT("00"&amp;HOUR(Entry!$D1981),2)&amp;":"&amp;RIGHT("00"&amp;MINUTE(Entry!$D1981),2),IFERROR(RIGHT("00"&amp;VALUE(TRIM(LEFT(Entry!$D1981,FIND(":",Entry!$D1981)-1))),2)&amp;":"&amp;RIGHT("00"&amp;VALUE(TRIM(MID(Entry!$D1981,FIND(":",Entry!$D1981)+1,2))),2),"نامعتبر")),IF(OR($E1981="",$E1981="نامعتبر"),"","00:00"))</f>
        <v/>
      </c>
      <c r="G1981">
        <f>IF(OR($E1981="",$E1981="نامعتبر"),"",IF(Entry!$E1981="","",LEFT(UPPER(TRIM(Entry!$E1981)),6)))</f>
        <v/>
      </c>
      <c r="H1981">
        <f>IF($G1981="","",RIGHT($E1981,4)&amp;MID($E1981,6,2)&amp;RIGHT($E1981,2)&amp;IF($F1981="","0000",IF($F1981="نامعتبر","9999",LEFT($F1981,2)&amp;RIGHT($F1981,2)))&amp;"|"&amp;RIGHT("00000"&amp;1973,5))</f>
        <v/>
      </c>
      <c r="I1981">
        <f>IF($H1981="","",COUNTIFS(CalcBank,$G1981,CalcKey,"&lt;"&amp;$H1981)+1)</f>
        <v/>
      </c>
      <c r="J1981">
        <f>IF($I1981="","",$G1981&amp;"|"&amp;RIGHT("000000"&amp;$I1981,6))</f>
        <v/>
      </c>
      <c r="K1981">
        <f>IF(OR($E1981="",$E1981="نامعتبر"),"",LEFT($E1981,4)&amp;"/"&amp;MID($E1981,6,2))</f>
        <v/>
      </c>
      <c r="L1981">
        <f>IF(Entry!$K1981="",0,Entry!$K1981)</f>
        <v/>
      </c>
      <c r="M1981">
        <f>IF(Entry!$L1981="",0,Entry!$L1981)</f>
        <v/>
      </c>
    </row>
    <row r="1982">
      <c r="A1982">
        <f>IF(Entry!$C1982="","",Entry!$C1982)</f>
        <v/>
      </c>
      <c r="B1982">
        <f>IF($A1982="","",IF(ISNUMBER($A1982),IF(AND($A1982&gt;=10000101,$A1982&lt;=99991231),INT($A1982/10000),""),IFERROR(VALUE(TRIM(LEFT($A1982,FIND("/",$A1982)-1))),"")))</f>
        <v/>
      </c>
      <c r="C1982">
        <f>IF(OR($A1982="",$B1982=""),"",IF(ISNUMBER($A1982),INT(MOD($A1982,10000)/100),IFERROR(VALUE(TRIM(LEFT(MID($A1982,FIND("/",$A1982)+1,20),FIND("/",MID($A1982,FIND("/",$A1982)+1,20))-1))),"")))</f>
        <v/>
      </c>
      <c r="D1982">
        <f>IF(OR($A1982="",$B1982=""),"",IF(ISNUMBER($A1982),MOD($A1982,100),IFERROR(VALUE(TRIM(MID(MID($A1982,FIND("/",$A1982)+1,20),FIND("/",MID($A1982,FIND("/",$A1982)+1,20))+1,20))),"")))</f>
        <v/>
      </c>
      <c r="E1982">
        <f>IF($A1982="","",IF(OR($B1982="",$C1982="",$D1982="",$B1982&lt;1300,$B1982&gt;1500,$C1982&lt;1,$C1982&gt;12,$D1982&lt;1,$D1982&gt;31),"نامعتبر",RIGHT("0000"&amp;$B1982,4)&amp;"/"&amp;RIGHT("00"&amp;$C1982,2)&amp;"/"&amp;RIGHT("00"&amp;$D1982,2)))</f>
        <v/>
      </c>
      <c r="F1982">
        <f>IF(Entry!$D1982&lt;&gt;"",IF(AND(ISNUMBER(Entry!$D1982),Entry!$D1982&gt;=0,Entry!$D1982&lt;1),RIGHT("00"&amp;HOUR(Entry!$D1982),2)&amp;":"&amp;RIGHT("00"&amp;MINUTE(Entry!$D1982),2),IFERROR(RIGHT("00"&amp;VALUE(TRIM(LEFT(Entry!$D1982,FIND(":",Entry!$D1982)-1))),2)&amp;":"&amp;RIGHT("00"&amp;VALUE(TRIM(MID(Entry!$D1982,FIND(":",Entry!$D1982)+1,2))),2),"نامعتبر")),IF(OR($E1982="",$E1982="نامعتبر"),"","00:00"))</f>
        <v/>
      </c>
      <c r="G1982">
        <f>IF(OR($E1982="",$E1982="نامعتبر"),"",IF(Entry!$E1982="","",LEFT(UPPER(TRIM(Entry!$E1982)),6)))</f>
        <v/>
      </c>
      <c r="H1982">
        <f>IF($G1982="","",RIGHT($E1982,4)&amp;MID($E1982,6,2)&amp;RIGHT($E1982,2)&amp;IF($F1982="","0000",IF($F1982="نامعتبر","9999",LEFT($F1982,2)&amp;RIGHT($F1982,2)))&amp;"|"&amp;RIGHT("00000"&amp;1974,5))</f>
        <v/>
      </c>
      <c r="I1982">
        <f>IF($H1982="","",COUNTIFS(CalcBank,$G1982,CalcKey,"&lt;"&amp;$H1982)+1)</f>
        <v/>
      </c>
      <c r="J1982">
        <f>IF($I1982="","",$G1982&amp;"|"&amp;RIGHT("000000"&amp;$I1982,6))</f>
        <v/>
      </c>
      <c r="K1982">
        <f>IF(OR($E1982="",$E1982="نامعتبر"),"",LEFT($E1982,4)&amp;"/"&amp;MID($E1982,6,2))</f>
        <v/>
      </c>
      <c r="L1982">
        <f>IF(Entry!$K1982="",0,Entry!$K1982)</f>
        <v/>
      </c>
      <c r="M1982">
        <f>IF(Entry!$L1982="",0,Entry!$L1982)</f>
        <v/>
      </c>
    </row>
    <row r="1983">
      <c r="A1983">
        <f>IF(Entry!$C1983="","",Entry!$C1983)</f>
        <v/>
      </c>
      <c r="B1983">
        <f>IF($A1983="","",IF(ISNUMBER($A1983),IF(AND($A1983&gt;=10000101,$A1983&lt;=99991231),INT($A1983/10000),""),IFERROR(VALUE(TRIM(LEFT($A1983,FIND("/",$A1983)-1))),"")))</f>
        <v/>
      </c>
      <c r="C1983">
        <f>IF(OR($A1983="",$B1983=""),"",IF(ISNUMBER($A1983),INT(MOD($A1983,10000)/100),IFERROR(VALUE(TRIM(LEFT(MID($A1983,FIND("/",$A1983)+1,20),FIND("/",MID($A1983,FIND("/",$A1983)+1,20))-1))),"")))</f>
        <v/>
      </c>
      <c r="D1983">
        <f>IF(OR($A1983="",$B1983=""),"",IF(ISNUMBER($A1983),MOD($A1983,100),IFERROR(VALUE(TRIM(MID(MID($A1983,FIND("/",$A1983)+1,20),FIND("/",MID($A1983,FIND("/",$A1983)+1,20))+1,20))),"")))</f>
        <v/>
      </c>
      <c r="E1983">
        <f>IF($A1983="","",IF(OR($B1983="",$C1983="",$D1983="",$B1983&lt;1300,$B1983&gt;1500,$C1983&lt;1,$C1983&gt;12,$D1983&lt;1,$D1983&gt;31),"نامعتبر",RIGHT("0000"&amp;$B1983,4)&amp;"/"&amp;RIGHT("00"&amp;$C1983,2)&amp;"/"&amp;RIGHT("00"&amp;$D1983,2)))</f>
        <v/>
      </c>
      <c r="F1983">
        <f>IF(Entry!$D1983&lt;&gt;"",IF(AND(ISNUMBER(Entry!$D1983),Entry!$D1983&gt;=0,Entry!$D1983&lt;1),RIGHT("00"&amp;HOUR(Entry!$D1983),2)&amp;":"&amp;RIGHT("00"&amp;MINUTE(Entry!$D1983),2),IFERROR(RIGHT("00"&amp;VALUE(TRIM(LEFT(Entry!$D1983,FIND(":",Entry!$D1983)-1))),2)&amp;":"&amp;RIGHT("00"&amp;VALUE(TRIM(MID(Entry!$D1983,FIND(":",Entry!$D1983)+1,2))),2),"نامعتبر")),IF(OR($E1983="",$E1983="نامعتبر"),"","00:00"))</f>
        <v/>
      </c>
      <c r="G1983">
        <f>IF(OR($E1983="",$E1983="نامعتبر"),"",IF(Entry!$E1983="","",LEFT(UPPER(TRIM(Entry!$E1983)),6)))</f>
        <v/>
      </c>
      <c r="H1983">
        <f>IF($G1983="","",RIGHT($E1983,4)&amp;MID($E1983,6,2)&amp;RIGHT($E1983,2)&amp;IF($F1983="","0000",IF($F1983="نامعتبر","9999",LEFT($F1983,2)&amp;RIGHT($F1983,2)))&amp;"|"&amp;RIGHT("00000"&amp;1975,5))</f>
        <v/>
      </c>
      <c r="I1983">
        <f>IF($H1983="","",COUNTIFS(CalcBank,$G1983,CalcKey,"&lt;"&amp;$H1983)+1)</f>
        <v/>
      </c>
      <c r="J1983">
        <f>IF($I1983="","",$G1983&amp;"|"&amp;RIGHT("000000"&amp;$I1983,6))</f>
        <v/>
      </c>
      <c r="K1983">
        <f>IF(OR($E1983="",$E1983="نامعتبر"),"",LEFT($E1983,4)&amp;"/"&amp;MID($E1983,6,2))</f>
        <v/>
      </c>
      <c r="L1983">
        <f>IF(Entry!$K1983="",0,Entry!$K1983)</f>
        <v/>
      </c>
      <c r="M1983">
        <f>IF(Entry!$L1983="",0,Entry!$L1983)</f>
        <v/>
      </c>
    </row>
    <row r="1984">
      <c r="A1984">
        <f>IF(Entry!$C1984="","",Entry!$C1984)</f>
        <v/>
      </c>
      <c r="B1984">
        <f>IF($A1984="","",IF(ISNUMBER($A1984),IF(AND($A1984&gt;=10000101,$A1984&lt;=99991231),INT($A1984/10000),""),IFERROR(VALUE(TRIM(LEFT($A1984,FIND("/",$A1984)-1))),"")))</f>
        <v/>
      </c>
      <c r="C1984">
        <f>IF(OR($A1984="",$B1984=""),"",IF(ISNUMBER($A1984),INT(MOD($A1984,10000)/100),IFERROR(VALUE(TRIM(LEFT(MID($A1984,FIND("/",$A1984)+1,20),FIND("/",MID($A1984,FIND("/",$A1984)+1,20))-1))),"")))</f>
        <v/>
      </c>
      <c r="D1984">
        <f>IF(OR($A1984="",$B1984=""),"",IF(ISNUMBER($A1984),MOD($A1984,100),IFERROR(VALUE(TRIM(MID(MID($A1984,FIND("/",$A1984)+1,20),FIND("/",MID($A1984,FIND("/",$A1984)+1,20))+1,20))),"")))</f>
        <v/>
      </c>
      <c r="E1984">
        <f>IF($A1984="","",IF(OR($B1984="",$C1984="",$D1984="",$B1984&lt;1300,$B1984&gt;1500,$C1984&lt;1,$C1984&gt;12,$D1984&lt;1,$D1984&gt;31),"نامعتبر",RIGHT("0000"&amp;$B1984,4)&amp;"/"&amp;RIGHT("00"&amp;$C1984,2)&amp;"/"&amp;RIGHT("00"&amp;$D1984,2)))</f>
        <v/>
      </c>
      <c r="F1984">
        <f>IF(Entry!$D1984&lt;&gt;"",IF(AND(ISNUMBER(Entry!$D1984),Entry!$D1984&gt;=0,Entry!$D1984&lt;1),RIGHT("00"&amp;HOUR(Entry!$D1984),2)&amp;":"&amp;RIGHT("00"&amp;MINUTE(Entry!$D1984),2),IFERROR(RIGHT("00"&amp;VALUE(TRIM(LEFT(Entry!$D1984,FIND(":",Entry!$D1984)-1))),2)&amp;":"&amp;RIGHT("00"&amp;VALUE(TRIM(MID(Entry!$D1984,FIND(":",Entry!$D1984)+1,2))),2),"نامعتبر")),IF(OR($E1984="",$E1984="نامعتبر"),"","00:00"))</f>
        <v/>
      </c>
      <c r="G1984">
        <f>IF(OR($E1984="",$E1984="نامعتبر"),"",IF(Entry!$E1984="","",LEFT(UPPER(TRIM(Entry!$E1984)),6)))</f>
        <v/>
      </c>
      <c r="H1984">
        <f>IF($G1984="","",RIGHT($E1984,4)&amp;MID($E1984,6,2)&amp;RIGHT($E1984,2)&amp;IF($F1984="","0000",IF($F1984="نامعتبر","9999",LEFT($F1984,2)&amp;RIGHT($F1984,2)))&amp;"|"&amp;RIGHT("00000"&amp;1976,5))</f>
        <v/>
      </c>
      <c r="I1984">
        <f>IF($H1984="","",COUNTIFS(CalcBank,$G1984,CalcKey,"&lt;"&amp;$H1984)+1)</f>
        <v/>
      </c>
      <c r="J1984">
        <f>IF($I1984="","",$G1984&amp;"|"&amp;RIGHT("000000"&amp;$I1984,6))</f>
        <v/>
      </c>
      <c r="K1984">
        <f>IF(OR($E1984="",$E1984="نامعتبر"),"",LEFT($E1984,4)&amp;"/"&amp;MID($E1984,6,2))</f>
        <v/>
      </c>
      <c r="L1984">
        <f>IF(Entry!$K1984="",0,Entry!$K1984)</f>
        <v/>
      </c>
      <c r="M1984">
        <f>IF(Entry!$L1984="",0,Entry!$L1984)</f>
        <v/>
      </c>
    </row>
    <row r="1985">
      <c r="A1985">
        <f>IF(Entry!$C1985="","",Entry!$C1985)</f>
        <v/>
      </c>
      <c r="B1985">
        <f>IF($A1985="","",IF(ISNUMBER($A1985),IF(AND($A1985&gt;=10000101,$A1985&lt;=99991231),INT($A1985/10000),""),IFERROR(VALUE(TRIM(LEFT($A1985,FIND("/",$A1985)-1))),"")))</f>
        <v/>
      </c>
      <c r="C1985">
        <f>IF(OR($A1985="",$B1985=""),"",IF(ISNUMBER($A1985),INT(MOD($A1985,10000)/100),IFERROR(VALUE(TRIM(LEFT(MID($A1985,FIND("/",$A1985)+1,20),FIND("/",MID($A1985,FIND("/",$A1985)+1,20))-1))),"")))</f>
        <v/>
      </c>
      <c r="D1985">
        <f>IF(OR($A1985="",$B1985=""),"",IF(ISNUMBER($A1985),MOD($A1985,100),IFERROR(VALUE(TRIM(MID(MID($A1985,FIND("/",$A1985)+1,20),FIND("/",MID($A1985,FIND("/",$A1985)+1,20))+1,20))),"")))</f>
        <v/>
      </c>
      <c r="E1985">
        <f>IF($A1985="","",IF(OR($B1985="",$C1985="",$D1985="",$B1985&lt;1300,$B1985&gt;1500,$C1985&lt;1,$C1985&gt;12,$D1985&lt;1,$D1985&gt;31),"نامعتبر",RIGHT("0000"&amp;$B1985,4)&amp;"/"&amp;RIGHT("00"&amp;$C1985,2)&amp;"/"&amp;RIGHT("00"&amp;$D1985,2)))</f>
        <v/>
      </c>
      <c r="F1985">
        <f>IF(Entry!$D1985&lt;&gt;"",IF(AND(ISNUMBER(Entry!$D1985),Entry!$D1985&gt;=0,Entry!$D1985&lt;1),RIGHT("00"&amp;HOUR(Entry!$D1985),2)&amp;":"&amp;RIGHT("00"&amp;MINUTE(Entry!$D1985),2),IFERROR(RIGHT("00"&amp;VALUE(TRIM(LEFT(Entry!$D1985,FIND(":",Entry!$D1985)-1))),2)&amp;":"&amp;RIGHT("00"&amp;VALUE(TRIM(MID(Entry!$D1985,FIND(":",Entry!$D1985)+1,2))),2),"نامعتبر")),IF(OR($E1985="",$E1985="نامعتبر"),"","00:00"))</f>
        <v/>
      </c>
      <c r="G1985">
        <f>IF(OR($E1985="",$E1985="نامعتبر"),"",IF(Entry!$E1985="","",LEFT(UPPER(TRIM(Entry!$E1985)),6)))</f>
        <v/>
      </c>
      <c r="H1985">
        <f>IF($G1985="","",RIGHT($E1985,4)&amp;MID($E1985,6,2)&amp;RIGHT($E1985,2)&amp;IF($F1985="","0000",IF($F1985="نامعتبر","9999",LEFT($F1985,2)&amp;RIGHT($F1985,2)))&amp;"|"&amp;RIGHT("00000"&amp;1977,5))</f>
        <v/>
      </c>
      <c r="I1985">
        <f>IF($H1985="","",COUNTIFS(CalcBank,$G1985,CalcKey,"&lt;"&amp;$H1985)+1)</f>
        <v/>
      </c>
      <c r="J1985">
        <f>IF($I1985="","",$G1985&amp;"|"&amp;RIGHT("000000"&amp;$I1985,6))</f>
        <v/>
      </c>
      <c r="K1985">
        <f>IF(OR($E1985="",$E1985="نامعتبر"),"",LEFT($E1985,4)&amp;"/"&amp;MID($E1985,6,2))</f>
        <v/>
      </c>
      <c r="L1985">
        <f>IF(Entry!$K1985="",0,Entry!$K1985)</f>
        <v/>
      </c>
      <c r="M1985">
        <f>IF(Entry!$L1985="",0,Entry!$L1985)</f>
        <v/>
      </c>
    </row>
    <row r="1986">
      <c r="A1986">
        <f>IF(Entry!$C1986="","",Entry!$C1986)</f>
        <v/>
      </c>
      <c r="B1986">
        <f>IF($A1986="","",IF(ISNUMBER($A1986),IF(AND($A1986&gt;=10000101,$A1986&lt;=99991231),INT($A1986/10000),""),IFERROR(VALUE(TRIM(LEFT($A1986,FIND("/",$A1986)-1))),"")))</f>
        <v/>
      </c>
      <c r="C1986">
        <f>IF(OR($A1986="",$B1986=""),"",IF(ISNUMBER($A1986),INT(MOD($A1986,10000)/100),IFERROR(VALUE(TRIM(LEFT(MID($A1986,FIND("/",$A1986)+1,20),FIND("/",MID($A1986,FIND("/",$A1986)+1,20))-1))),"")))</f>
        <v/>
      </c>
      <c r="D1986">
        <f>IF(OR($A1986="",$B1986=""),"",IF(ISNUMBER($A1986),MOD($A1986,100),IFERROR(VALUE(TRIM(MID(MID($A1986,FIND("/",$A1986)+1,20),FIND("/",MID($A1986,FIND("/",$A1986)+1,20))+1,20))),"")))</f>
        <v/>
      </c>
      <c r="E1986">
        <f>IF($A1986="","",IF(OR($B1986="",$C1986="",$D1986="",$B1986&lt;1300,$B1986&gt;1500,$C1986&lt;1,$C1986&gt;12,$D1986&lt;1,$D1986&gt;31),"نامعتبر",RIGHT("0000"&amp;$B1986,4)&amp;"/"&amp;RIGHT("00"&amp;$C1986,2)&amp;"/"&amp;RIGHT("00"&amp;$D1986,2)))</f>
        <v/>
      </c>
      <c r="F1986">
        <f>IF(Entry!$D1986&lt;&gt;"",IF(AND(ISNUMBER(Entry!$D1986),Entry!$D1986&gt;=0,Entry!$D1986&lt;1),RIGHT("00"&amp;HOUR(Entry!$D1986),2)&amp;":"&amp;RIGHT("00"&amp;MINUTE(Entry!$D1986),2),IFERROR(RIGHT("00"&amp;VALUE(TRIM(LEFT(Entry!$D1986,FIND(":",Entry!$D1986)-1))),2)&amp;":"&amp;RIGHT("00"&amp;VALUE(TRIM(MID(Entry!$D1986,FIND(":",Entry!$D1986)+1,2))),2),"نامعتبر")),IF(OR($E1986="",$E1986="نامعتبر"),"","00:00"))</f>
        <v/>
      </c>
      <c r="G1986">
        <f>IF(OR($E1986="",$E1986="نامعتبر"),"",IF(Entry!$E1986="","",LEFT(UPPER(TRIM(Entry!$E1986)),6)))</f>
        <v/>
      </c>
      <c r="H1986">
        <f>IF($G1986="","",RIGHT($E1986,4)&amp;MID($E1986,6,2)&amp;RIGHT($E1986,2)&amp;IF($F1986="","0000",IF($F1986="نامعتبر","9999",LEFT($F1986,2)&amp;RIGHT($F1986,2)))&amp;"|"&amp;RIGHT("00000"&amp;1978,5))</f>
        <v/>
      </c>
      <c r="I1986">
        <f>IF($H1986="","",COUNTIFS(CalcBank,$G1986,CalcKey,"&lt;"&amp;$H1986)+1)</f>
        <v/>
      </c>
      <c r="J1986">
        <f>IF($I1986="","",$G1986&amp;"|"&amp;RIGHT("000000"&amp;$I1986,6))</f>
        <v/>
      </c>
      <c r="K1986">
        <f>IF(OR($E1986="",$E1986="نامعتبر"),"",LEFT($E1986,4)&amp;"/"&amp;MID($E1986,6,2))</f>
        <v/>
      </c>
      <c r="L1986">
        <f>IF(Entry!$K1986="",0,Entry!$K1986)</f>
        <v/>
      </c>
      <c r="M1986">
        <f>IF(Entry!$L1986="",0,Entry!$L1986)</f>
        <v/>
      </c>
    </row>
    <row r="1987">
      <c r="A1987">
        <f>IF(Entry!$C1987="","",Entry!$C1987)</f>
        <v/>
      </c>
      <c r="B1987">
        <f>IF($A1987="","",IF(ISNUMBER($A1987),IF(AND($A1987&gt;=10000101,$A1987&lt;=99991231),INT($A1987/10000),""),IFERROR(VALUE(TRIM(LEFT($A1987,FIND("/",$A1987)-1))),"")))</f>
        <v/>
      </c>
      <c r="C1987">
        <f>IF(OR($A1987="",$B1987=""),"",IF(ISNUMBER($A1987),INT(MOD($A1987,10000)/100),IFERROR(VALUE(TRIM(LEFT(MID($A1987,FIND("/",$A1987)+1,20),FIND("/",MID($A1987,FIND("/",$A1987)+1,20))-1))),"")))</f>
        <v/>
      </c>
      <c r="D1987">
        <f>IF(OR($A1987="",$B1987=""),"",IF(ISNUMBER($A1987),MOD($A1987,100),IFERROR(VALUE(TRIM(MID(MID($A1987,FIND("/",$A1987)+1,20),FIND("/",MID($A1987,FIND("/",$A1987)+1,20))+1,20))),"")))</f>
        <v/>
      </c>
      <c r="E1987">
        <f>IF($A1987="","",IF(OR($B1987="",$C1987="",$D1987="",$B1987&lt;1300,$B1987&gt;1500,$C1987&lt;1,$C1987&gt;12,$D1987&lt;1,$D1987&gt;31),"نامعتبر",RIGHT("0000"&amp;$B1987,4)&amp;"/"&amp;RIGHT("00"&amp;$C1987,2)&amp;"/"&amp;RIGHT("00"&amp;$D1987,2)))</f>
        <v/>
      </c>
      <c r="F1987">
        <f>IF(Entry!$D1987&lt;&gt;"",IF(AND(ISNUMBER(Entry!$D1987),Entry!$D1987&gt;=0,Entry!$D1987&lt;1),RIGHT("00"&amp;HOUR(Entry!$D1987),2)&amp;":"&amp;RIGHT("00"&amp;MINUTE(Entry!$D1987),2),IFERROR(RIGHT("00"&amp;VALUE(TRIM(LEFT(Entry!$D1987,FIND(":",Entry!$D1987)-1))),2)&amp;":"&amp;RIGHT("00"&amp;VALUE(TRIM(MID(Entry!$D1987,FIND(":",Entry!$D1987)+1,2))),2),"نامعتبر")),IF(OR($E1987="",$E1987="نامعتبر"),"","00:00"))</f>
        <v/>
      </c>
      <c r="G1987">
        <f>IF(OR($E1987="",$E1987="نامعتبر"),"",IF(Entry!$E1987="","",LEFT(UPPER(TRIM(Entry!$E1987)),6)))</f>
        <v/>
      </c>
      <c r="H1987">
        <f>IF($G1987="","",RIGHT($E1987,4)&amp;MID($E1987,6,2)&amp;RIGHT($E1987,2)&amp;IF($F1987="","0000",IF($F1987="نامعتبر","9999",LEFT($F1987,2)&amp;RIGHT($F1987,2)))&amp;"|"&amp;RIGHT("00000"&amp;1979,5))</f>
        <v/>
      </c>
      <c r="I1987">
        <f>IF($H1987="","",COUNTIFS(CalcBank,$G1987,CalcKey,"&lt;"&amp;$H1987)+1)</f>
        <v/>
      </c>
      <c r="J1987">
        <f>IF($I1987="","",$G1987&amp;"|"&amp;RIGHT("000000"&amp;$I1987,6))</f>
        <v/>
      </c>
      <c r="K1987">
        <f>IF(OR($E1987="",$E1987="نامعتبر"),"",LEFT($E1987,4)&amp;"/"&amp;MID($E1987,6,2))</f>
        <v/>
      </c>
      <c r="L1987">
        <f>IF(Entry!$K1987="",0,Entry!$K1987)</f>
        <v/>
      </c>
      <c r="M1987">
        <f>IF(Entry!$L1987="",0,Entry!$L1987)</f>
        <v/>
      </c>
    </row>
    <row r="1988">
      <c r="A1988">
        <f>IF(Entry!$C1988="","",Entry!$C1988)</f>
        <v/>
      </c>
      <c r="B1988">
        <f>IF($A1988="","",IF(ISNUMBER($A1988),IF(AND($A1988&gt;=10000101,$A1988&lt;=99991231),INT($A1988/10000),""),IFERROR(VALUE(TRIM(LEFT($A1988,FIND("/",$A1988)-1))),"")))</f>
        <v/>
      </c>
      <c r="C1988">
        <f>IF(OR($A1988="",$B1988=""),"",IF(ISNUMBER($A1988),INT(MOD($A1988,10000)/100),IFERROR(VALUE(TRIM(LEFT(MID($A1988,FIND("/",$A1988)+1,20),FIND("/",MID($A1988,FIND("/",$A1988)+1,20))-1))),"")))</f>
        <v/>
      </c>
      <c r="D1988">
        <f>IF(OR($A1988="",$B1988=""),"",IF(ISNUMBER($A1988),MOD($A1988,100),IFERROR(VALUE(TRIM(MID(MID($A1988,FIND("/",$A1988)+1,20),FIND("/",MID($A1988,FIND("/",$A1988)+1,20))+1,20))),"")))</f>
        <v/>
      </c>
      <c r="E1988">
        <f>IF($A1988="","",IF(OR($B1988="",$C1988="",$D1988="",$B1988&lt;1300,$B1988&gt;1500,$C1988&lt;1,$C1988&gt;12,$D1988&lt;1,$D1988&gt;31),"نامعتبر",RIGHT("0000"&amp;$B1988,4)&amp;"/"&amp;RIGHT("00"&amp;$C1988,2)&amp;"/"&amp;RIGHT("00"&amp;$D1988,2)))</f>
        <v/>
      </c>
      <c r="F1988">
        <f>IF(Entry!$D1988&lt;&gt;"",IF(AND(ISNUMBER(Entry!$D1988),Entry!$D1988&gt;=0,Entry!$D1988&lt;1),RIGHT("00"&amp;HOUR(Entry!$D1988),2)&amp;":"&amp;RIGHT("00"&amp;MINUTE(Entry!$D1988),2),IFERROR(RIGHT("00"&amp;VALUE(TRIM(LEFT(Entry!$D1988,FIND(":",Entry!$D1988)-1))),2)&amp;":"&amp;RIGHT("00"&amp;VALUE(TRIM(MID(Entry!$D1988,FIND(":",Entry!$D1988)+1,2))),2),"نامعتبر")),IF(OR($E1988="",$E1988="نامعتبر"),"","00:00"))</f>
        <v/>
      </c>
      <c r="G1988">
        <f>IF(OR($E1988="",$E1988="نامعتبر"),"",IF(Entry!$E1988="","",LEFT(UPPER(TRIM(Entry!$E1988)),6)))</f>
        <v/>
      </c>
      <c r="H1988">
        <f>IF($G1988="","",RIGHT($E1988,4)&amp;MID($E1988,6,2)&amp;RIGHT($E1988,2)&amp;IF($F1988="","0000",IF($F1988="نامعتبر","9999",LEFT($F1988,2)&amp;RIGHT($F1988,2)))&amp;"|"&amp;RIGHT("00000"&amp;1980,5))</f>
        <v/>
      </c>
      <c r="I1988">
        <f>IF($H1988="","",COUNTIFS(CalcBank,$G1988,CalcKey,"&lt;"&amp;$H1988)+1)</f>
        <v/>
      </c>
      <c r="J1988">
        <f>IF($I1988="","",$G1988&amp;"|"&amp;RIGHT("000000"&amp;$I1988,6))</f>
        <v/>
      </c>
      <c r="K1988">
        <f>IF(OR($E1988="",$E1988="نامعتبر"),"",LEFT($E1988,4)&amp;"/"&amp;MID($E1988,6,2))</f>
        <v/>
      </c>
      <c r="L1988">
        <f>IF(Entry!$K1988="",0,Entry!$K1988)</f>
        <v/>
      </c>
      <c r="M1988">
        <f>IF(Entry!$L1988="",0,Entry!$L1988)</f>
        <v/>
      </c>
    </row>
    <row r="1989">
      <c r="A1989">
        <f>IF(Entry!$C1989="","",Entry!$C1989)</f>
        <v/>
      </c>
      <c r="B1989">
        <f>IF($A1989="","",IF(ISNUMBER($A1989),IF(AND($A1989&gt;=10000101,$A1989&lt;=99991231),INT($A1989/10000),""),IFERROR(VALUE(TRIM(LEFT($A1989,FIND("/",$A1989)-1))),"")))</f>
        <v/>
      </c>
      <c r="C1989">
        <f>IF(OR($A1989="",$B1989=""),"",IF(ISNUMBER($A1989),INT(MOD($A1989,10000)/100),IFERROR(VALUE(TRIM(LEFT(MID($A1989,FIND("/",$A1989)+1,20),FIND("/",MID($A1989,FIND("/",$A1989)+1,20))-1))),"")))</f>
        <v/>
      </c>
      <c r="D1989">
        <f>IF(OR($A1989="",$B1989=""),"",IF(ISNUMBER($A1989),MOD($A1989,100),IFERROR(VALUE(TRIM(MID(MID($A1989,FIND("/",$A1989)+1,20),FIND("/",MID($A1989,FIND("/",$A1989)+1,20))+1,20))),"")))</f>
        <v/>
      </c>
      <c r="E1989">
        <f>IF($A1989="","",IF(OR($B1989="",$C1989="",$D1989="",$B1989&lt;1300,$B1989&gt;1500,$C1989&lt;1,$C1989&gt;12,$D1989&lt;1,$D1989&gt;31),"نامعتبر",RIGHT("0000"&amp;$B1989,4)&amp;"/"&amp;RIGHT("00"&amp;$C1989,2)&amp;"/"&amp;RIGHT("00"&amp;$D1989,2)))</f>
        <v/>
      </c>
      <c r="F1989">
        <f>IF(Entry!$D1989&lt;&gt;"",IF(AND(ISNUMBER(Entry!$D1989),Entry!$D1989&gt;=0,Entry!$D1989&lt;1),RIGHT("00"&amp;HOUR(Entry!$D1989),2)&amp;":"&amp;RIGHT("00"&amp;MINUTE(Entry!$D1989),2),IFERROR(RIGHT("00"&amp;VALUE(TRIM(LEFT(Entry!$D1989,FIND(":",Entry!$D1989)-1))),2)&amp;":"&amp;RIGHT("00"&amp;VALUE(TRIM(MID(Entry!$D1989,FIND(":",Entry!$D1989)+1,2))),2),"نامعتبر")),IF(OR($E1989="",$E1989="نامعتبر"),"","00:00"))</f>
        <v/>
      </c>
      <c r="G1989">
        <f>IF(OR($E1989="",$E1989="نامعتبر"),"",IF(Entry!$E1989="","",LEFT(UPPER(TRIM(Entry!$E1989)),6)))</f>
        <v/>
      </c>
      <c r="H1989">
        <f>IF($G1989="","",RIGHT($E1989,4)&amp;MID($E1989,6,2)&amp;RIGHT($E1989,2)&amp;IF($F1989="","0000",IF($F1989="نامعتبر","9999",LEFT($F1989,2)&amp;RIGHT($F1989,2)))&amp;"|"&amp;RIGHT("00000"&amp;1981,5))</f>
        <v/>
      </c>
      <c r="I1989">
        <f>IF($H1989="","",COUNTIFS(CalcBank,$G1989,CalcKey,"&lt;"&amp;$H1989)+1)</f>
        <v/>
      </c>
      <c r="J1989">
        <f>IF($I1989="","",$G1989&amp;"|"&amp;RIGHT("000000"&amp;$I1989,6))</f>
        <v/>
      </c>
      <c r="K1989">
        <f>IF(OR($E1989="",$E1989="نامعتبر"),"",LEFT($E1989,4)&amp;"/"&amp;MID($E1989,6,2))</f>
        <v/>
      </c>
      <c r="L1989">
        <f>IF(Entry!$K1989="",0,Entry!$K1989)</f>
        <v/>
      </c>
      <c r="M1989">
        <f>IF(Entry!$L1989="",0,Entry!$L1989)</f>
        <v/>
      </c>
    </row>
    <row r="1990">
      <c r="A1990">
        <f>IF(Entry!$C1990="","",Entry!$C1990)</f>
        <v/>
      </c>
      <c r="B1990">
        <f>IF($A1990="","",IF(ISNUMBER($A1990),IF(AND($A1990&gt;=10000101,$A1990&lt;=99991231),INT($A1990/10000),""),IFERROR(VALUE(TRIM(LEFT($A1990,FIND("/",$A1990)-1))),"")))</f>
        <v/>
      </c>
      <c r="C1990">
        <f>IF(OR($A1990="",$B1990=""),"",IF(ISNUMBER($A1990),INT(MOD($A1990,10000)/100),IFERROR(VALUE(TRIM(LEFT(MID($A1990,FIND("/",$A1990)+1,20),FIND("/",MID($A1990,FIND("/",$A1990)+1,20))-1))),"")))</f>
        <v/>
      </c>
      <c r="D1990">
        <f>IF(OR($A1990="",$B1990=""),"",IF(ISNUMBER($A1990),MOD($A1990,100),IFERROR(VALUE(TRIM(MID(MID($A1990,FIND("/",$A1990)+1,20),FIND("/",MID($A1990,FIND("/",$A1990)+1,20))+1,20))),"")))</f>
        <v/>
      </c>
      <c r="E1990">
        <f>IF($A1990="","",IF(OR($B1990="",$C1990="",$D1990="",$B1990&lt;1300,$B1990&gt;1500,$C1990&lt;1,$C1990&gt;12,$D1990&lt;1,$D1990&gt;31),"نامعتبر",RIGHT("0000"&amp;$B1990,4)&amp;"/"&amp;RIGHT("00"&amp;$C1990,2)&amp;"/"&amp;RIGHT("00"&amp;$D1990,2)))</f>
        <v/>
      </c>
      <c r="F1990">
        <f>IF(Entry!$D1990&lt;&gt;"",IF(AND(ISNUMBER(Entry!$D1990),Entry!$D1990&gt;=0,Entry!$D1990&lt;1),RIGHT("00"&amp;HOUR(Entry!$D1990),2)&amp;":"&amp;RIGHT("00"&amp;MINUTE(Entry!$D1990),2),IFERROR(RIGHT("00"&amp;VALUE(TRIM(LEFT(Entry!$D1990,FIND(":",Entry!$D1990)-1))),2)&amp;":"&amp;RIGHT("00"&amp;VALUE(TRIM(MID(Entry!$D1990,FIND(":",Entry!$D1990)+1,2))),2),"نامعتبر")),IF(OR($E1990="",$E1990="نامعتبر"),"","00:00"))</f>
        <v/>
      </c>
      <c r="G1990">
        <f>IF(OR($E1990="",$E1990="نامعتبر"),"",IF(Entry!$E1990="","",LEFT(UPPER(TRIM(Entry!$E1990)),6)))</f>
        <v/>
      </c>
      <c r="H1990">
        <f>IF($G1990="","",RIGHT($E1990,4)&amp;MID($E1990,6,2)&amp;RIGHT($E1990,2)&amp;IF($F1990="","0000",IF($F1990="نامعتبر","9999",LEFT($F1990,2)&amp;RIGHT($F1990,2)))&amp;"|"&amp;RIGHT("00000"&amp;1982,5))</f>
        <v/>
      </c>
      <c r="I1990">
        <f>IF($H1990="","",COUNTIFS(CalcBank,$G1990,CalcKey,"&lt;"&amp;$H1990)+1)</f>
        <v/>
      </c>
      <c r="J1990">
        <f>IF($I1990="","",$G1990&amp;"|"&amp;RIGHT("000000"&amp;$I1990,6))</f>
        <v/>
      </c>
      <c r="K1990">
        <f>IF(OR($E1990="",$E1990="نامعتبر"),"",LEFT($E1990,4)&amp;"/"&amp;MID($E1990,6,2))</f>
        <v/>
      </c>
      <c r="L1990">
        <f>IF(Entry!$K1990="",0,Entry!$K1990)</f>
        <v/>
      </c>
      <c r="M1990">
        <f>IF(Entry!$L1990="",0,Entry!$L1990)</f>
        <v/>
      </c>
    </row>
    <row r="1991">
      <c r="A1991">
        <f>IF(Entry!$C1991="","",Entry!$C1991)</f>
        <v/>
      </c>
      <c r="B1991">
        <f>IF($A1991="","",IF(ISNUMBER($A1991),IF(AND($A1991&gt;=10000101,$A1991&lt;=99991231),INT($A1991/10000),""),IFERROR(VALUE(TRIM(LEFT($A1991,FIND("/",$A1991)-1))),"")))</f>
        <v/>
      </c>
      <c r="C1991">
        <f>IF(OR($A1991="",$B1991=""),"",IF(ISNUMBER($A1991),INT(MOD($A1991,10000)/100),IFERROR(VALUE(TRIM(LEFT(MID($A1991,FIND("/",$A1991)+1,20),FIND("/",MID($A1991,FIND("/",$A1991)+1,20))-1))),"")))</f>
        <v/>
      </c>
      <c r="D1991">
        <f>IF(OR($A1991="",$B1991=""),"",IF(ISNUMBER($A1991),MOD($A1991,100),IFERROR(VALUE(TRIM(MID(MID($A1991,FIND("/",$A1991)+1,20),FIND("/",MID($A1991,FIND("/",$A1991)+1,20))+1,20))),"")))</f>
        <v/>
      </c>
      <c r="E1991">
        <f>IF($A1991="","",IF(OR($B1991="",$C1991="",$D1991="",$B1991&lt;1300,$B1991&gt;1500,$C1991&lt;1,$C1991&gt;12,$D1991&lt;1,$D1991&gt;31),"نامعتبر",RIGHT("0000"&amp;$B1991,4)&amp;"/"&amp;RIGHT("00"&amp;$C1991,2)&amp;"/"&amp;RIGHT("00"&amp;$D1991,2)))</f>
        <v/>
      </c>
      <c r="F1991">
        <f>IF(Entry!$D1991&lt;&gt;"",IF(AND(ISNUMBER(Entry!$D1991),Entry!$D1991&gt;=0,Entry!$D1991&lt;1),RIGHT("00"&amp;HOUR(Entry!$D1991),2)&amp;":"&amp;RIGHT("00"&amp;MINUTE(Entry!$D1991),2),IFERROR(RIGHT("00"&amp;VALUE(TRIM(LEFT(Entry!$D1991,FIND(":",Entry!$D1991)-1))),2)&amp;":"&amp;RIGHT("00"&amp;VALUE(TRIM(MID(Entry!$D1991,FIND(":",Entry!$D1991)+1,2))),2),"نامعتبر")),IF(OR($E1991="",$E1991="نامعتبر"),"","00:00"))</f>
        <v/>
      </c>
      <c r="G1991">
        <f>IF(OR($E1991="",$E1991="نامعتبر"),"",IF(Entry!$E1991="","",LEFT(UPPER(TRIM(Entry!$E1991)),6)))</f>
        <v/>
      </c>
      <c r="H1991">
        <f>IF($G1991="","",RIGHT($E1991,4)&amp;MID($E1991,6,2)&amp;RIGHT($E1991,2)&amp;IF($F1991="","0000",IF($F1991="نامعتبر","9999",LEFT($F1991,2)&amp;RIGHT($F1991,2)))&amp;"|"&amp;RIGHT("00000"&amp;1983,5))</f>
        <v/>
      </c>
      <c r="I1991">
        <f>IF($H1991="","",COUNTIFS(CalcBank,$G1991,CalcKey,"&lt;"&amp;$H1991)+1)</f>
        <v/>
      </c>
      <c r="J1991">
        <f>IF($I1991="","",$G1991&amp;"|"&amp;RIGHT("000000"&amp;$I1991,6))</f>
        <v/>
      </c>
      <c r="K1991">
        <f>IF(OR($E1991="",$E1991="نامعتبر"),"",LEFT($E1991,4)&amp;"/"&amp;MID($E1991,6,2))</f>
        <v/>
      </c>
      <c r="L1991">
        <f>IF(Entry!$K1991="",0,Entry!$K1991)</f>
        <v/>
      </c>
      <c r="M1991">
        <f>IF(Entry!$L1991="",0,Entry!$L1991)</f>
        <v/>
      </c>
    </row>
    <row r="1992">
      <c r="A1992">
        <f>IF(Entry!$C1992="","",Entry!$C1992)</f>
        <v/>
      </c>
      <c r="B1992">
        <f>IF($A1992="","",IF(ISNUMBER($A1992),IF(AND($A1992&gt;=10000101,$A1992&lt;=99991231),INT($A1992/10000),""),IFERROR(VALUE(TRIM(LEFT($A1992,FIND("/",$A1992)-1))),"")))</f>
        <v/>
      </c>
      <c r="C1992">
        <f>IF(OR($A1992="",$B1992=""),"",IF(ISNUMBER($A1992),INT(MOD($A1992,10000)/100),IFERROR(VALUE(TRIM(LEFT(MID($A1992,FIND("/",$A1992)+1,20),FIND("/",MID($A1992,FIND("/",$A1992)+1,20))-1))),"")))</f>
        <v/>
      </c>
      <c r="D1992">
        <f>IF(OR($A1992="",$B1992=""),"",IF(ISNUMBER($A1992),MOD($A1992,100),IFERROR(VALUE(TRIM(MID(MID($A1992,FIND("/",$A1992)+1,20),FIND("/",MID($A1992,FIND("/",$A1992)+1,20))+1,20))),"")))</f>
        <v/>
      </c>
      <c r="E1992">
        <f>IF($A1992="","",IF(OR($B1992="",$C1992="",$D1992="",$B1992&lt;1300,$B1992&gt;1500,$C1992&lt;1,$C1992&gt;12,$D1992&lt;1,$D1992&gt;31),"نامعتبر",RIGHT("0000"&amp;$B1992,4)&amp;"/"&amp;RIGHT("00"&amp;$C1992,2)&amp;"/"&amp;RIGHT("00"&amp;$D1992,2)))</f>
        <v/>
      </c>
      <c r="F1992">
        <f>IF(Entry!$D1992&lt;&gt;"",IF(AND(ISNUMBER(Entry!$D1992),Entry!$D1992&gt;=0,Entry!$D1992&lt;1),RIGHT("00"&amp;HOUR(Entry!$D1992),2)&amp;":"&amp;RIGHT("00"&amp;MINUTE(Entry!$D1992),2),IFERROR(RIGHT("00"&amp;VALUE(TRIM(LEFT(Entry!$D1992,FIND(":",Entry!$D1992)-1))),2)&amp;":"&amp;RIGHT("00"&amp;VALUE(TRIM(MID(Entry!$D1992,FIND(":",Entry!$D1992)+1,2))),2),"نامعتبر")),IF(OR($E1992="",$E1992="نامعتبر"),"","00:00"))</f>
        <v/>
      </c>
      <c r="G1992">
        <f>IF(OR($E1992="",$E1992="نامعتبر"),"",IF(Entry!$E1992="","",LEFT(UPPER(TRIM(Entry!$E1992)),6)))</f>
        <v/>
      </c>
      <c r="H1992">
        <f>IF($G1992="","",RIGHT($E1992,4)&amp;MID($E1992,6,2)&amp;RIGHT($E1992,2)&amp;IF($F1992="","0000",IF($F1992="نامعتبر","9999",LEFT($F1992,2)&amp;RIGHT($F1992,2)))&amp;"|"&amp;RIGHT("00000"&amp;1984,5))</f>
        <v/>
      </c>
      <c r="I1992">
        <f>IF($H1992="","",COUNTIFS(CalcBank,$G1992,CalcKey,"&lt;"&amp;$H1992)+1)</f>
        <v/>
      </c>
      <c r="J1992">
        <f>IF($I1992="","",$G1992&amp;"|"&amp;RIGHT("000000"&amp;$I1992,6))</f>
        <v/>
      </c>
      <c r="K1992">
        <f>IF(OR($E1992="",$E1992="نامعتبر"),"",LEFT($E1992,4)&amp;"/"&amp;MID($E1992,6,2))</f>
        <v/>
      </c>
      <c r="L1992">
        <f>IF(Entry!$K1992="",0,Entry!$K1992)</f>
        <v/>
      </c>
      <c r="M1992">
        <f>IF(Entry!$L1992="",0,Entry!$L1992)</f>
        <v/>
      </c>
    </row>
    <row r="1993">
      <c r="A1993">
        <f>IF(Entry!$C1993="","",Entry!$C1993)</f>
        <v/>
      </c>
      <c r="B1993">
        <f>IF($A1993="","",IF(ISNUMBER($A1993),IF(AND($A1993&gt;=10000101,$A1993&lt;=99991231),INT($A1993/10000),""),IFERROR(VALUE(TRIM(LEFT($A1993,FIND("/",$A1993)-1))),"")))</f>
        <v/>
      </c>
      <c r="C1993">
        <f>IF(OR($A1993="",$B1993=""),"",IF(ISNUMBER($A1993),INT(MOD($A1993,10000)/100),IFERROR(VALUE(TRIM(LEFT(MID($A1993,FIND("/",$A1993)+1,20),FIND("/",MID($A1993,FIND("/",$A1993)+1,20))-1))),"")))</f>
        <v/>
      </c>
      <c r="D1993">
        <f>IF(OR($A1993="",$B1993=""),"",IF(ISNUMBER($A1993),MOD($A1993,100),IFERROR(VALUE(TRIM(MID(MID($A1993,FIND("/",$A1993)+1,20),FIND("/",MID($A1993,FIND("/",$A1993)+1,20))+1,20))),"")))</f>
        <v/>
      </c>
      <c r="E1993">
        <f>IF($A1993="","",IF(OR($B1993="",$C1993="",$D1993="",$B1993&lt;1300,$B1993&gt;1500,$C1993&lt;1,$C1993&gt;12,$D1993&lt;1,$D1993&gt;31),"نامعتبر",RIGHT("0000"&amp;$B1993,4)&amp;"/"&amp;RIGHT("00"&amp;$C1993,2)&amp;"/"&amp;RIGHT("00"&amp;$D1993,2)))</f>
        <v/>
      </c>
      <c r="F1993">
        <f>IF(Entry!$D1993&lt;&gt;"",IF(AND(ISNUMBER(Entry!$D1993),Entry!$D1993&gt;=0,Entry!$D1993&lt;1),RIGHT("00"&amp;HOUR(Entry!$D1993),2)&amp;":"&amp;RIGHT("00"&amp;MINUTE(Entry!$D1993),2),IFERROR(RIGHT("00"&amp;VALUE(TRIM(LEFT(Entry!$D1993,FIND(":",Entry!$D1993)-1))),2)&amp;":"&amp;RIGHT("00"&amp;VALUE(TRIM(MID(Entry!$D1993,FIND(":",Entry!$D1993)+1,2))),2),"نامعتبر")),IF(OR($E1993="",$E1993="نامعتبر"),"","00:00"))</f>
        <v/>
      </c>
      <c r="G1993">
        <f>IF(OR($E1993="",$E1993="نامعتبر"),"",IF(Entry!$E1993="","",LEFT(UPPER(TRIM(Entry!$E1993)),6)))</f>
        <v/>
      </c>
      <c r="H1993">
        <f>IF($G1993="","",RIGHT($E1993,4)&amp;MID($E1993,6,2)&amp;RIGHT($E1993,2)&amp;IF($F1993="","0000",IF($F1993="نامعتبر","9999",LEFT($F1993,2)&amp;RIGHT($F1993,2)))&amp;"|"&amp;RIGHT("00000"&amp;1985,5))</f>
        <v/>
      </c>
      <c r="I1993">
        <f>IF($H1993="","",COUNTIFS(CalcBank,$G1993,CalcKey,"&lt;"&amp;$H1993)+1)</f>
        <v/>
      </c>
      <c r="J1993">
        <f>IF($I1993="","",$G1993&amp;"|"&amp;RIGHT("000000"&amp;$I1993,6))</f>
        <v/>
      </c>
      <c r="K1993">
        <f>IF(OR($E1993="",$E1993="نامعتبر"),"",LEFT($E1993,4)&amp;"/"&amp;MID($E1993,6,2))</f>
        <v/>
      </c>
      <c r="L1993">
        <f>IF(Entry!$K1993="",0,Entry!$K1993)</f>
        <v/>
      </c>
      <c r="M1993">
        <f>IF(Entry!$L1993="",0,Entry!$L1993)</f>
        <v/>
      </c>
    </row>
    <row r="1994">
      <c r="A1994">
        <f>IF(Entry!$C1994="","",Entry!$C1994)</f>
        <v/>
      </c>
      <c r="B1994">
        <f>IF($A1994="","",IF(ISNUMBER($A1994),IF(AND($A1994&gt;=10000101,$A1994&lt;=99991231),INT($A1994/10000),""),IFERROR(VALUE(TRIM(LEFT($A1994,FIND("/",$A1994)-1))),"")))</f>
        <v/>
      </c>
      <c r="C1994">
        <f>IF(OR($A1994="",$B1994=""),"",IF(ISNUMBER($A1994),INT(MOD($A1994,10000)/100),IFERROR(VALUE(TRIM(LEFT(MID($A1994,FIND("/",$A1994)+1,20),FIND("/",MID($A1994,FIND("/",$A1994)+1,20))-1))),"")))</f>
        <v/>
      </c>
      <c r="D1994">
        <f>IF(OR($A1994="",$B1994=""),"",IF(ISNUMBER($A1994),MOD($A1994,100),IFERROR(VALUE(TRIM(MID(MID($A1994,FIND("/",$A1994)+1,20),FIND("/",MID($A1994,FIND("/",$A1994)+1,20))+1,20))),"")))</f>
        <v/>
      </c>
      <c r="E1994">
        <f>IF($A1994="","",IF(OR($B1994="",$C1994="",$D1994="",$B1994&lt;1300,$B1994&gt;1500,$C1994&lt;1,$C1994&gt;12,$D1994&lt;1,$D1994&gt;31),"نامعتبر",RIGHT("0000"&amp;$B1994,4)&amp;"/"&amp;RIGHT("00"&amp;$C1994,2)&amp;"/"&amp;RIGHT("00"&amp;$D1994,2)))</f>
        <v/>
      </c>
      <c r="F1994">
        <f>IF(Entry!$D1994&lt;&gt;"",IF(AND(ISNUMBER(Entry!$D1994),Entry!$D1994&gt;=0,Entry!$D1994&lt;1),RIGHT("00"&amp;HOUR(Entry!$D1994),2)&amp;":"&amp;RIGHT("00"&amp;MINUTE(Entry!$D1994),2),IFERROR(RIGHT("00"&amp;VALUE(TRIM(LEFT(Entry!$D1994,FIND(":",Entry!$D1994)-1))),2)&amp;":"&amp;RIGHT("00"&amp;VALUE(TRIM(MID(Entry!$D1994,FIND(":",Entry!$D1994)+1,2))),2),"نامعتبر")),IF(OR($E1994="",$E1994="نامعتبر"),"","00:00"))</f>
        <v/>
      </c>
      <c r="G1994">
        <f>IF(OR($E1994="",$E1994="نامعتبر"),"",IF(Entry!$E1994="","",LEFT(UPPER(TRIM(Entry!$E1994)),6)))</f>
        <v/>
      </c>
      <c r="H1994">
        <f>IF($G1994="","",RIGHT($E1994,4)&amp;MID($E1994,6,2)&amp;RIGHT($E1994,2)&amp;IF($F1994="","0000",IF($F1994="نامعتبر","9999",LEFT($F1994,2)&amp;RIGHT($F1994,2)))&amp;"|"&amp;RIGHT("00000"&amp;1986,5))</f>
        <v/>
      </c>
      <c r="I1994">
        <f>IF($H1994="","",COUNTIFS(CalcBank,$G1994,CalcKey,"&lt;"&amp;$H1994)+1)</f>
        <v/>
      </c>
      <c r="J1994">
        <f>IF($I1994="","",$G1994&amp;"|"&amp;RIGHT("000000"&amp;$I1994,6))</f>
        <v/>
      </c>
      <c r="K1994">
        <f>IF(OR($E1994="",$E1994="نامعتبر"),"",LEFT($E1994,4)&amp;"/"&amp;MID($E1994,6,2))</f>
        <v/>
      </c>
      <c r="L1994">
        <f>IF(Entry!$K1994="",0,Entry!$K1994)</f>
        <v/>
      </c>
      <c r="M1994">
        <f>IF(Entry!$L1994="",0,Entry!$L1994)</f>
        <v/>
      </c>
    </row>
    <row r="1995">
      <c r="A1995">
        <f>IF(Entry!$C1995="","",Entry!$C1995)</f>
        <v/>
      </c>
      <c r="B1995">
        <f>IF($A1995="","",IF(ISNUMBER($A1995),IF(AND($A1995&gt;=10000101,$A1995&lt;=99991231),INT($A1995/10000),""),IFERROR(VALUE(TRIM(LEFT($A1995,FIND("/",$A1995)-1))),"")))</f>
        <v/>
      </c>
      <c r="C1995">
        <f>IF(OR($A1995="",$B1995=""),"",IF(ISNUMBER($A1995),INT(MOD($A1995,10000)/100),IFERROR(VALUE(TRIM(LEFT(MID($A1995,FIND("/",$A1995)+1,20),FIND("/",MID($A1995,FIND("/",$A1995)+1,20))-1))),"")))</f>
        <v/>
      </c>
      <c r="D1995">
        <f>IF(OR($A1995="",$B1995=""),"",IF(ISNUMBER($A1995),MOD($A1995,100),IFERROR(VALUE(TRIM(MID(MID($A1995,FIND("/",$A1995)+1,20),FIND("/",MID($A1995,FIND("/",$A1995)+1,20))+1,20))),"")))</f>
        <v/>
      </c>
      <c r="E1995">
        <f>IF($A1995="","",IF(OR($B1995="",$C1995="",$D1995="",$B1995&lt;1300,$B1995&gt;1500,$C1995&lt;1,$C1995&gt;12,$D1995&lt;1,$D1995&gt;31),"نامعتبر",RIGHT("0000"&amp;$B1995,4)&amp;"/"&amp;RIGHT("00"&amp;$C1995,2)&amp;"/"&amp;RIGHT("00"&amp;$D1995,2)))</f>
        <v/>
      </c>
      <c r="F1995">
        <f>IF(Entry!$D1995&lt;&gt;"",IF(AND(ISNUMBER(Entry!$D1995),Entry!$D1995&gt;=0,Entry!$D1995&lt;1),RIGHT("00"&amp;HOUR(Entry!$D1995),2)&amp;":"&amp;RIGHT("00"&amp;MINUTE(Entry!$D1995),2),IFERROR(RIGHT("00"&amp;VALUE(TRIM(LEFT(Entry!$D1995,FIND(":",Entry!$D1995)-1))),2)&amp;":"&amp;RIGHT("00"&amp;VALUE(TRIM(MID(Entry!$D1995,FIND(":",Entry!$D1995)+1,2))),2),"نامعتبر")),IF(OR($E1995="",$E1995="نامعتبر"),"","00:00"))</f>
        <v/>
      </c>
      <c r="G1995">
        <f>IF(OR($E1995="",$E1995="نامعتبر"),"",IF(Entry!$E1995="","",LEFT(UPPER(TRIM(Entry!$E1995)),6)))</f>
        <v/>
      </c>
      <c r="H1995">
        <f>IF($G1995="","",RIGHT($E1995,4)&amp;MID($E1995,6,2)&amp;RIGHT($E1995,2)&amp;IF($F1995="","0000",IF($F1995="نامعتبر","9999",LEFT($F1995,2)&amp;RIGHT($F1995,2)))&amp;"|"&amp;RIGHT("00000"&amp;1987,5))</f>
        <v/>
      </c>
      <c r="I1995">
        <f>IF($H1995="","",COUNTIFS(CalcBank,$G1995,CalcKey,"&lt;"&amp;$H1995)+1)</f>
        <v/>
      </c>
      <c r="J1995">
        <f>IF($I1995="","",$G1995&amp;"|"&amp;RIGHT("000000"&amp;$I1995,6))</f>
        <v/>
      </c>
      <c r="K1995">
        <f>IF(OR($E1995="",$E1995="نامعتبر"),"",LEFT($E1995,4)&amp;"/"&amp;MID($E1995,6,2))</f>
        <v/>
      </c>
      <c r="L1995">
        <f>IF(Entry!$K1995="",0,Entry!$K1995)</f>
        <v/>
      </c>
      <c r="M1995">
        <f>IF(Entry!$L1995="",0,Entry!$L1995)</f>
        <v/>
      </c>
    </row>
    <row r="1996">
      <c r="A1996">
        <f>IF(Entry!$C1996="","",Entry!$C1996)</f>
        <v/>
      </c>
      <c r="B1996">
        <f>IF($A1996="","",IF(ISNUMBER($A1996),IF(AND($A1996&gt;=10000101,$A1996&lt;=99991231),INT($A1996/10000),""),IFERROR(VALUE(TRIM(LEFT($A1996,FIND("/",$A1996)-1))),"")))</f>
        <v/>
      </c>
      <c r="C1996">
        <f>IF(OR($A1996="",$B1996=""),"",IF(ISNUMBER($A1996),INT(MOD($A1996,10000)/100),IFERROR(VALUE(TRIM(LEFT(MID($A1996,FIND("/",$A1996)+1,20),FIND("/",MID($A1996,FIND("/",$A1996)+1,20))-1))),"")))</f>
        <v/>
      </c>
      <c r="D1996">
        <f>IF(OR($A1996="",$B1996=""),"",IF(ISNUMBER($A1996),MOD($A1996,100),IFERROR(VALUE(TRIM(MID(MID($A1996,FIND("/",$A1996)+1,20),FIND("/",MID($A1996,FIND("/",$A1996)+1,20))+1,20))),"")))</f>
        <v/>
      </c>
      <c r="E1996">
        <f>IF($A1996="","",IF(OR($B1996="",$C1996="",$D1996="",$B1996&lt;1300,$B1996&gt;1500,$C1996&lt;1,$C1996&gt;12,$D1996&lt;1,$D1996&gt;31),"نامعتبر",RIGHT("0000"&amp;$B1996,4)&amp;"/"&amp;RIGHT("00"&amp;$C1996,2)&amp;"/"&amp;RIGHT("00"&amp;$D1996,2)))</f>
        <v/>
      </c>
      <c r="F1996">
        <f>IF(Entry!$D1996&lt;&gt;"",IF(AND(ISNUMBER(Entry!$D1996),Entry!$D1996&gt;=0,Entry!$D1996&lt;1),RIGHT("00"&amp;HOUR(Entry!$D1996),2)&amp;":"&amp;RIGHT("00"&amp;MINUTE(Entry!$D1996),2),IFERROR(RIGHT("00"&amp;VALUE(TRIM(LEFT(Entry!$D1996,FIND(":",Entry!$D1996)-1))),2)&amp;":"&amp;RIGHT("00"&amp;VALUE(TRIM(MID(Entry!$D1996,FIND(":",Entry!$D1996)+1,2))),2),"نامعتبر")),IF(OR($E1996="",$E1996="نامعتبر"),"","00:00"))</f>
        <v/>
      </c>
      <c r="G1996">
        <f>IF(OR($E1996="",$E1996="نامعتبر"),"",IF(Entry!$E1996="","",LEFT(UPPER(TRIM(Entry!$E1996)),6)))</f>
        <v/>
      </c>
      <c r="H1996">
        <f>IF($G1996="","",RIGHT($E1996,4)&amp;MID($E1996,6,2)&amp;RIGHT($E1996,2)&amp;IF($F1996="","0000",IF($F1996="نامعتبر","9999",LEFT($F1996,2)&amp;RIGHT($F1996,2)))&amp;"|"&amp;RIGHT("00000"&amp;1988,5))</f>
        <v/>
      </c>
      <c r="I1996">
        <f>IF($H1996="","",COUNTIFS(CalcBank,$G1996,CalcKey,"&lt;"&amp;$H1996)+1)</f>
        <v/>
      </c>
      <c r="J1996">
        <f>IF($I1996="","",$G1996&amp;"|"&amp;RIGHT("000000"&amp;$I1996,6))</f>
        <v/>
      </c>
      <c r="K1996">
        <f>IF(OR($E1996="",$E1996="نامعتبر"),"",LEFT($E1996,4)&amp;"/"&amp;MID($E1996,6,2))</f>
        <v/>
      </c>
      <c r="L1996">
        <f>IF(Entry!$K1996="",0,Entry!$K1996)</f>
        <v/>
      </c>
      <c r="M1996">
        <f>IF(Entry!$L1996="",0,Entry!$L1996)</f>
        <v/>
      </c>
    </row>
    <row r="1997">
      <c r="A1997">
        <f>IF(Entry!$C1997="","",Entry!$C1997)</f>
        <v/>
      </c>
      <c r="B1997">
        <f>IF($A1997="","",IF(ISNUMBER($A1997),IF(AND($A1997&gt;=10000101,$A1997&lt;=99991231),INT($A1997/10000),""),IFERROR(VALUE(TRIM(LEFT($A1997,FIND("/",$A1997)-1))),"")))</f>
        <v/>
      </c>
      <c r="C1997">
        <f>IF(OR($A1997="",$B1997=""),"",IF(ISNUMBER($A1997),INT(MOD($A1997,10000)/100),IFERROR(VALUE(TRIM(LEFT(MID($A1997,FIND("/",$A1997)+1,20),FIND("/",MID($A1997,FIND("/",$A1997)+1,20))-1))),"")))</f>
        <v/>
      </c>
      <c r="D1997">
        <f>IF(OR($A1997="",$B1997=""),"",IF(ISNUMBER($A1997),MOD($A1997,100),IFERROR(VALUE(TRIM(MID(MID($A1997,FIND("/",$A1997)+1,20),FIND("/",MID($A1997,FIND("/",$A1997)+1,20))+1,20))),"")))</f>
        <v/>
      </c>
      <c r="E1997">
        <f>IF($A1997="","",IF(OR($B1997="",$C1997="",$D1997="",$B1997&lt;1300,$B1997&gt;1500,$C1997&lt;1,$C1997&gt;12,$D1997&lt;1,$D1997&gt;31),"نامعتبر",RIGHT("0000"&amp;$B1997,4)&amp;"/"&amp;RIGHT("00"&amp;$C1997,2)&amp;"/"&amp;RIGHT("00"&amp;$D1997,2)))</f>
        <v/>
      </c>
      <c r="F1997">
        <f>IF(Entry!$D1997&lt;&gt;"",IF(AND(ISNUMBER(Entry!$D1997),Entry!$D1997&gt;=0,Entry!$D1997&lt;1),RIGHT("00"&amp;HOUR(Entry!$D1997),2)&amp;":"&amp;RIGHT("00"&amp;MINUTE(Entry!$D1997),2),IFERROR(RIGHT("00"&amp;VALUE(TRIM(LEFT(Entry!$D1997,FIND(":",Entry!$D1997)-1))),2)&amp;":"&amp;RIGHT("00"&amp;VALUE(TRIM(MID(Entry!$D1997,FIND(":",Entry!$D1997)+1,2))),2),"نامعتبر")),IF(OR($E1997="",$E1997="نامعتبر"),"","00:00"))</f>
        <v/>
      </c>
      <c r="G1997">
        <f>IF(OR($E1997="",$E1997="نامعتبر"),"",IF(Entry!$E1997="","",LEFT(UPPER(TRIM(Entry!$E1997)),6)))</f>
        <v/>
      </c>
      <c r="H1997">
        <f>IF($G1997="","",RIGHT($E1997,4)&amp;MID($E1997,6,2)&amp;RIGHT($E1997,2)&amp;IF($F1997="","0000",IF($F1997="نامعتبر","9999",LEFT($F1997,2)&amp;RIGHT($F1997,2)))&amp;"|"&amp;RIGHT("00000"&amp;1989,5))</f>
        <v/>
      </c>
      <c r="I1997">
        <f>IF($H1997="","",COUNTIFS(CalcBank,$G1997,CalcKey,"&lt;"&amp;$H1997)+1)</f>
        <v/>
      </c>
      <c r="J1997">
        <f>IF($I1997="","",$G1997&amp;"|"&amp;RIGHT("000000"&amp;$I1997,6))</f>
        <v/>
      </c>
      <c r="K1997">
        <f>IF(OR($E1997="",$E1997="نامعتبر"),"",LEFT($E1997,4)&amp;"/"&amp;MID($E1997,6,2))</f>
        <v/>
      </c>
      <c r="L1997">
        <f>IF(Entry!$K1997="",0,Entry!$K1997)</f>
        <v/>
      </c>
      <c r="M1997">
        <f>IF(Entry!$L1997="",0,Entry!$L1997)</f>
        <v/>
      </c>
    </row>
    <row r="1998">
      <c r="A1998">
        <f>IF(Entry!$C1998="","",Entry!$C1998)</f>
        <v/>
      </c>
      <c r="B1998">
        <f>IF($A1998="","",IF(ISNUMBER($A1998),IF(AND($A1998&gt;=10000101,$A1998&lt;=99991231),INT($A1998/10000),""),IFERROR(VALUE(TRIM(LEFT($A1998,FIND("/",$A1998)-1))),"")))</f>
        <v/>
      </c>
      <c r="C1998">
        <f>IF(OR($A1998="",$B1998=""),"",IF(ISNUMBER($A1998),INT(MOD($A1998,10000)/100),IFERROR(VALUE(TRIM(LEFT(MID($A1998,FIND("/",$A1998)+1,20),FIND("/",MID($A1998,FIND("/",$A1998)+1,20))-1))),"")))</f>
        <v/>
      </c>
      <c r="D1998">
        <f>IF(OR($A1998="",$B1998=""),"",IF(ISNUMBER($A1998),MOD($A1998,100),IFERROR(VALUE(TRIM(MID(MID($A1998,FIND("/",$A1998)+1,20),FIND("/",MID($A1998,FIND("/",$A1998)+1,20))+1,20))),"")))</f>
        <v/>
      </c>
      <c r="E1998">
        <f>IF($A1998="","",IF(OR($B1998="",$C1998="",$D1998="",$B1998&lt;1300,$B1998&gt;1500,$C1998&lt;1,$C1998&gt;12,$D1998&lt;1,$D1998&gt;31),"نامعتبر",RIGHT("0000"&amp;$B1998,4)&amp;"/"&amp;RIGHT("00"&amp;$C1998,2)&amp;"/"&amp;RIGHT("00"&amp;$D1998,2)))</f>
        <v/>
      </c>
      <c r="F1998">
        <f>IF(Entry!$D1998&lt;&gt;"",IF(AND(ISNUMBER(Entry!$D1998),Entry!$D1998&gt;=0,Entry!$D1998&lt;1),RIGHT("00"&amp;HOUR(Entry!$D1998),2)&amp;":"&amp;RIGHT("00"&amp;MINUTE(Entry!$D1998),2),IFERROR(RIGHT("00"&amp;VALUE(TRIM(LEFT(Entry!$D1998,FIND(":",Entry!$D1998)-1))),2)&amp;":"&amp;RIGHT("00"&amp;VALUE(TRIM(MID(Entry!$D1998,FIND(":",Entry!$D1998)+1,2))),2),"نامعتبر")),IF(OR($E1998="",$E1998="نامعتبر"),"","00:00"))</f>
        <v/>
      </c>
      <c r="G1998">
        <f>IF(OR($E1998="",$E1998="نامعتبر"),"",IF(Entry!$E1998="","",LEFT(UPPER(TRIM(Entry!$E1998)),6)))</f>
        <v/>
      </c>
      <c r="H1998">
        <f>IF($G1998="","",RIGHT($E1998,4)&amp;MID($E1998,6,2)&amp;RIGHT($E1998,2)&amp;IF($F1998="","0000",IF($F1998="نامعتبر","9999",LEFT($F1998,2)&amp;RIGHT($F1998,2)))&amp;"|"&amp;RIGHT("00000"&amp;1990,5))</f>
        <v/>
      </c>
      <c r="I1998">
        <f>IF($H1998="","",COUNTIFS(CalcBank,$G1998,CalcKey,"&lt;"&amp;$H1998)+1)</f>
        <v/>
      </c>
      <c r="J1998">
        <f>IF($I1998="","",$G1998&amp;"|"&amp;RIGHT("000000"&amp;$I1998,6))</f>
        <v/>
      </c>
      <c r="K1998">
        <f>IF(OR($E1998="",$E1998="نامعتبر"),"",LEFT($E1998,4)&amp;"/"&amp;MID($E1998,6,2))</f>
        <v/>
      </c>
      <c r="L1998">
        <f>IF(Entry!$K1998="",0,Entry!$K1998)</f>
        <v/>
      </c>
      <c r="M1998">
        <f>IF(Entry!$L1998="",0,Entry!$L1998)</f>
        <v/>
      </c>
    </row>
    <row r="1999">
      <c r="A1999">
        <f>IF(Entry!$C1999="","",Entry!$C1999)</f>
        <v/>
      </c>
      <c r="B1999">
        <f>IF($A1999="","",IF(ISNUMBER($A1999),IF(AND($A1999&gt;=10000101,$A1999&lt;=99991231),INT($A1999/10000),""),IFERROR(VALUE(TRIM(LEFT($A1999,FIND("/",$A1999)-1))),"")))</f>
        <v/>
      </c>
      <c r="C1999">
        <f>IF(OR($A1999="",$B1999=""),"",IF(ISNUMBER($A1999),INT(MOD($A1999,10000)/100),IFERROR(VALUE(TRIM(LEFT(MID($A1999,FIND("/",$A1999)+1,20),FIND("/",MID($A1999,FIND("/",$A1999)+1,20))-1))),"")))</f>
        <v/>
      </c>
      <c r="D1999">
        <f>IF(OR($A1999="",$B1999=""),"",IF(ISNUMBER($A1999),MOD($A1999,100),IFERROR(VALUE(TRIM(MID(MID($A1999,FIND("/",$A1999)+1,20),FIND("/",MID($A1999,FIND("/",$A1999)+1,20))+1,20))),"")))</f>
        <v/>
      </c>
      <c r="E1999">
        <f>IF($A1999="","",IF(OR($B1999="",$C1999="",$D1999="",$B1999&lt;1300,$B1999&gt;1500,$C1999&lt;1,$C1999&gt;12,$D1999&lt;1,$D1999&gt;31),"نامعتبر",RIGHT("0000"&amp;$B1999,4)&amp;"/"&amp;RIGHT("00"&amp;$C1999,2)&amp;"/"&amp;RIGHT("00"&amp;$D1999,2)))</f>
        <v/>
      </c>
      <c r="F1999">
        <f>IF(Entry!$D1999&lt;&gt;"",IF(AND(ISNUMBER(Entry!$D1999),Entry!$D1999&gt;=0,Entry!$D1999&lt;1),RIGHT("00"&amp;HOUR(Entry!$D1999),2)&amp;":"&amp;RIGHT("00"&amp;MINUTE(Entry!$D1999),2),IFERROR(RIGHT("00"&amp;VALUE(TRIM(LEFT(Entry!$D1999,FIND(":",Entry!$D1999)-1))),2)&amp;":"&amp;RIGHT("00"&amp;VALUE(TRIM(MID(Entry!$D1999,FIND(":",Entry!$D1999)+1,2))),2),"نامعتبر")),IF(OR($E1999="",$E1999="نامعتبر"),"","00:00"))</f>
        <v/>
      </c>
      <c r="G1999">
        <f>IF(OR($E1999="",$E1999="نامعتبر"),"",IF(Entry!$E1999="","",LEFT(UPPER(TRIM(Entry!$E1999)),6)))</f>
        <v/>
      </c>
      <c r="H1999">
        <f>IF($G1999="","",RIGHT($E1999,4)&amp;MID($E1999,6,2)&amp;RIGHT($E1999,2)&amp;IF($F1999="","0000",IF($F1999="نامعتبر","9999",LEFT($F1999,2)&amp;RIGHT($F1999,2)))&amp;"|"&amp;RIGHT("00000"&amp;1991,5))</f>
        <v/>
      </c>
      <c r="I1999">
        <f>IF($H1999="","",COUNTIFS(CalcBank,$G1999,CalcKey,"&lt;"&amp;$H1999)+1)</f>
        <v/>
      </c>
      <c r="J1999">
        <f>IF($I1999="","",$G1999&amp;"|"&amp;RIGHT("000000"&amp;$I1999,6))</f>
        <v/>
      </c>
      <c r="K1999">
        <f>IF(OR($E1999="",$E1999="نامعتبر"),"",LEFT($E1999,4)&amp;"/"&amp;MID($E1999,6,2))</f>
        <v/>
      </c>
      <c r="L1999">
        <f>IF(Entry!$K1999="",0,Entry!$K1999)</f>
        <v/>
      </c>
      <c r="M1999">
        <f>IF(Entry!$L1999="",0,Entry!$L1999)</f>
        <v/>
      </c>
    </row>
    <row r="2000">
      <c r="A2000">
        <f>IF(Entry!$C2000="","",Entry!$C2000)</f>
        <v/>
      </c>
      <c r="B2000">
        <f>IF($A2000="","",IF(ISNUMBER($A2000),IF(AND($A2000&gt;=10000101,$A2000&lt;=99991231),INT($A2000/10000),""),IFERROR(VALUE(TRIM(LEFT($A2000,FIND("/",$A2000)-1))),"")))</f>
        <v/>
      </c>
      <c r="C2000">
        <f>IF(OR($A2000="",$B2000=""),"",IF(ISNUMBER($A2000),INT(MOD($A2000,10000)/100),IFERROR(VALUE(TRIM(LEFT(MID($A2000,FIND("/",$A2000)+1,20),FIND("/",MID($A2000,FIND("/",$A2000)+1,20))-1))),"")))</f>
        <v/>
      </c>
      <c r="D2000">
        <f>IF(OR($A2000="",$B2000=""),"",IF(ISNUMBER($A2000),MOD($A2000,100),IFERROR(VALUE(TRIM(MID(MID($A2000,FIND("/",$A2000)+1,20),FIND("/",MID($A2000,FIND("/",$A2000)+1,20))+1,20))),"")))</f>
        <v/>
      </c>
      <c r="E2000">
        <f>IF($A2000="","",IF(OR($B2000="",$C2000="",$D2000="",$B2000&lt;1300,$B2000&gt;1500,$C2000&lt;1,$C2000&gt;12,$D2000&lt;1,$D2000&gt;31),"نامعتبر",RIGHT("0000"&amp;$B2000,4)&amp;"/"&amp;RIGHT("00"&amp;$C2000,2)&amp;"/"&amp;RIGHT("00"&amp;$D2000,2)))</f>
        <v/>
      </c>
      <c r="F2000">
        <f>IF(Entry!$D2000&lt;&gt;"",IF(AND(ISNUMBER(Entry!$D2000),Entry!$D2000&gt;=0,Entry!$D2000&lt;1),RIGHT("00"&amp;HOUR(Entry!$D2000),2)&amp;":"&amp;RIGHT("00"&amp;MINUTE(Entry!$D2000),2),IFERROR(RIGHT("00"&amp;VALUE(TRIM(LEFT(Entry!$D2000,FIND(":",Entry!$D2000)-1))),2)&amp;":"&amp;RIGHT("00"&amp;VALUE(TRIM(MID(Entry!$D2000,FIND(":",Entry!$D2000)+1,2))),2),"نامعتبر")),IF(OR($E2000="",$E2000="نامعتبر"),"","00:00"))</f>
        <v/>
      </c>
      <c r="G2000">
        <f>IF(OR($E2000="",$E2000="نامعتبر"),"",IF(Entry!$E2000="","",LEFT(UPPER(TRIM(Entry!$E2000)),6)))</f>
        <v/>
      </c>
      <c r="H2000">
        <f>IF($G2000="","",RIGHT($E2000,4)&amp;MID($E2000,6,2)&amp;RIGHT($E2000,2)&amp;IF($F2000="","0000",IF($F2000="نامعتبر","9999",LEFT($F2000,2)&amp;RIGHT($F2000,2)))&amp;"|"&amp;RIGHT("00000"&amp;1992,5))</f>
        <v/>
      </c>
      <c r="I2000">
        <f>IF($H2000="","",COUNTIFS(CalcBank,$G2000,CalcKey,"&lt;"&amp;$H2000)+1)</f>
        <v/>
      </c>
      <c r="J2000">
        <f>IF($I2000="","",$G2000&amp;"|"&amp;RIGHT("000000"&amp;$I2000,6))</f>
        <v/>
      </c>
      <c r="K2000">
        <f>IF(OR($E2000="",$E2000="نامعتبر"),"",LEFT($E2000,4)&amp;"/"&amp;MID($E2000,6,2))</f>
        <v/>
      </c>
      <c r="L2000">
        <f>IF(Entry!$K2000="",0,Entry!$K2000)</f>
        <v/>
      </c>
      <c r="M2000">
        <f>IF(Entry!$L2000="",0,Entry!$L2000)</f>
        <v/>
      </c>
    </row>
    <row r="2001">
      <c r="A2001">
        <f>IF(Entry!$C2001="","",Entry!$C2001)</f>
        <v/>
      </c>
      <c r="B2001">
        <f>IF($A2001="","",IF(ISNUMBER($A2001),IF(AND($A2001&gt;=10000101,$A2001&lt;=99991231),INT($A2001/10000),""),IFERROR(VALUE(TRIM(LEFT($A2001,FIND("/",$A2001)-1))),"")))</f>
        <v/>
      </c>
      <c r="C2001">
        <f>IF(OR($A2001="",$B2001=""),"",IF(ISNUMBER($A2001),INT(MOD($A2001,10000)/100),IFERROR(VALUE(TRIM(LEFT(MID($A2001,FIND("/",$A2001)+1,20),FIND("/",MID($A2001,FIND("/",$A2001)+1,20))-1))),"")))</f>
        <v/>
      </c>
      <c r="D2001">
        <f>IF(OR($A2001="",$B2001=""),"",IF(ISNUMBER($A2001),MOD($A2001,100),IFERROR(VALUE(TRIM(MID(MID($A2001,FIND("/",$A2001)+1,20),FIND("/",MID($A2001,FIND("/",$A2001)+1,20))+1,20))),"")))</f>
        <v/>
      </c>
      <c r="E2001">
        <f>IF($A2001="","",IF(OR($B2001="",$C2001="",$D2001="",$B2001&lt;1300,$B2001&gt;1500,$C2001&lt;1,$C2001&gt;12,$D2001&lt;1,$D2001&gt;31),"نامعتبر",RIGHT("0000"&amp;$B2001,4)&amp;"/"&amp;RIGHT("00"&amp;$C2001,2)&amp;"/"&amp;RIGHT("00"&amp;$D2001,2)))</f>
        <v/>
      </c>
      <c r="F2001">
        <f>IF(Entry!$D2001&lt;&gt;"",IF(AND(ISNUMBER(Entry!$D2001),Entry!$D2001&gt;=0,Entry!$D2001&lt;1),RIGHT("00"&amp;HOUR(Entry!$D2001),2)&amp;":"&amp;RIGHT("00"&amp;MINUTE(Entry!$D2001),2),IFERROR(RIGHT("00"&amp;VALUE(TRIM(LEFT(Entry!$D2001,FIND(":",Entry!$D2001)-1))),2)&amp;":"&amp;RIGHT("00"&amp;VALUE(TRIM(MID(Entry!$D2001,FIND(":",Entry!$D2001)+1,2))),2),"نامعتبر")),IF(OR($E2001="",$E2001="نامعتبر"),"","00:00"))</f>
        <v/>
      </c>
      <c r="G2001">
        <f>IF(OR($E2001="",$E2001="نامعتبر"),"",IF(Entry!$E2001="","",LEFT(UPPER(TRIM(Entry!$E2001)),6)))</f>
        <v/>
      </c>
      <c r="H2001">
        <f>IF($G2001="","",RIGHT($E2001,4)&amp;MID($E2001,6,2)&amp;RIGHT($E2001,2)&amp;IF($F2001="","0000",IF($F2001="نامعتبر","9999",LEFT($F2001,2)&amp;RIGHT($F2001,2)))&amp;"|"&amp;RIGHT("00000"&amp;1993,5))</f>
        <v/>
      </c>
      <c r="I2001">
        <f>IF($H2001="","",COUNTIFS(CalcBank,$G2001,CalcKey,"&lt;"&amp;$H2001)+1)</f>
        <v/>
      </c>
      <c r="J2001">
        <f>IF($I2001="","",$G2001&amp;"|"&amp;RIGHT("000000"&amp;$I2001,6))</f>
        <v/>
      </c>
      <c r="K2001">
        <f>IF(OR($E2001="",$E2001="نامعتبر"),"",LEFT($E2001,4)&amp;"/"&amp;MID($E2001,6,2))</f>
        <v/>
      </c>
      <c r="L2001">
        <f>IF(Entry!$K2001="",0,Entry!$K2001)</f>
        <v/>
      </c>
      <c r="M2001">
        <f>IF(Entry!$L2001="",0,Entry!$L2001)</f>
        <v/>
      </c>
    </row>
    <row r="2002">
      <c r="A2002">
        <f>IF(Entry!$C2002="","",Entry!$C2002)</f>
        <v/>
      </c>
      <c r="B2002">
        <f>IF($A2002="","",IF(ISNUMBER($A2002),IF(AND($A2002&gt;=10000101,$A2002&lt;=99991231),INT($A2002/10000),""),IFERROR(VALUE(TRIM(LEFT($A2002,FIND("/",$A2002)-1))),"")))</f>
        <v/>
      </c>
      <c r="C2002">
        <f>IF(OR($A2002="",$B2002=""),"",IF(ISNUMBER($A2002),INT(MOD($A2002,10000)/100),IFERROR(VALUE(TRIM(LEFT(MID($A2002,FIND("/",$A2002)+1,20),FIND("/",MID($A2002,FIND("/",$A2002)+1,20))-1))),"")))</f>
        <v/>
      </c>
      <c r="D2002">
        <f>IF(OR($A2002="",$B2002=""),"",IF(ISNUMBER($A2002),MOD($A2002,100),IFERROR(VALUE(TRIM(MID(MID($A2002,FIND("/",$A2002)+1,20),FIND("/",MID($A2002,FIND("/",$A2002)+1,20))+1,20))),"")))</f>
        <v/>
      </c>
      <c r="E2002">
        <f>IF($A2002="","",IF(OR($B2002="",$C2002="",$D2002="",$B2002&lt;1300,$B2002&gt;1500,$C2002&lt;1,$C2002&gt;12,$D2002&lt;1,$D2002&gt;31),"نامعتبر",RIGHT("0000"&amp;$B2002,4)&amp;"/"&amp;RIGHT("00"&amp;$C2002,2)&amp;"/"&amp;RIGHT("00"&amp;$D2002,2)))</f>
        <v/>
      </c>
      <c r="F2002">
        <f>IF(Entry!$D2002&lt;&gt;"",IF(AND(ISNUMBER(Entry!$D2002),Entry!$D2002&gt;=0,Entry!$D2002&lt;1),RIGHT("00"&amp;HOUR(Entry!$D2002),2)&amp;":"&amp;RIGHT("00"&amp;MINUTE(Entry!$D2002),2),IFERROR(RIGHT("00"&amp;VALUE(TRIM(LEFT(Entry!$D2002,FIND(":",Entry!$D2002)-1))),2)&amp;":"&amp;RIGHT("00"&amp;VALUE(TRIM(MID(Entry!$D2002,FIND(":",Entry!$D2002)+1,2))),2),"نامعتبر")),IF(OR($E2002="",$E2002="نامعتبر"),"","00:00"))</f>
        <v/>
      </c>
      <c r="G2002">
        <f>IF(OR($E2002="",$E2002="نامعتبر"),"",IF(Entry!$E2002="","",LEFT(UPPER(TRIM(Entry!$E2002)),6)))</f>
        <v/>
      </c>
      <c r="H2002">
        <f>IF($G2002="","",RIGHT($E2002,4)&amp;MID($E2002,6,2)&amp;RIGHT($E2002,2)&amp;IF($F2002="","0000",IF($F2002="نامعتبر","9999",LEFT($F2002,2)&amp;RIGHT($F2002,2)))&amp;"|"&amp;RIGHT("00000"&amp;1994,5))</f>
        <v/>
      </c>
      <c r="I2002">
        <f>IF($H2002="","",COUNTIFS(CalcBank,$G2002,CalcKey,"&lt;"&amp;$H2002)+1)</f>
        <v/>
      </c>
      <c r="J2002">
        <f>IF($I2002="","",$G2002&amp;"|"&amp;RIGHT("000000"&amp;$I2002,6))</f>
        <v/>
      </c>
      <c r="K2002">
        <f>IF(OR($E2002="",$E2002="نامعتبر"),"",LEFT($E2002,4)&amp;"/"&amp;MID($E2002,6,2))</f>
        <v/>
      </c>
      <c r="L2002">
        <f>IF(Entry!$K2002="",0,Entry!$K2002)</f>
        <v/>
      </c>
      <c r="M2002">
        <f>IF(Entry!$L2002="",0,Entry!$L2002)</f>
        <v/>
      </c>
    </row>
    <row r="2003">
      <c r="A2003">
        <f>IF(Entry!$C2003="","",Entry!$C2003)</f>
        <v/>
      </c>
      <c r="B2003">
        <f>IF($A2003="","",IF(ISNUMBER($A2003),IF(AND($A2003&gt;=10000101,$A2003&lt;=99991231),INT($A2003/10000),""),IFERROR(VALUE(TRIM(LEFT($A2003,FIND("/",$A2003)-1))),"")))</f>
        <v/>
      </c>
      <c r="C2003">
        <f>IF(OR($A2003="",$B2003=""),"",IF(ISNUMBER($A2003),INT(MOD($A2003,10000)/100),IFERROR(VALUE(TRIM(LEFT(MID($A2003,FIND("/",$A2003)+1,20),FIND("/",MID($A2003,FIND("/",$A2003)+1,20))-1))),"")))</f>
        <v/>
      </c>
      <c r="D2003">
        <f>IF(OR($A2003="",$B2003=""),"",IF(ISNUMBER($A2003),MOD($A2003,100),IFERROR(VALUE(TRIM(MID(MID($A2003,FIND("/",$A2003)+1,20),FIND("/",MID($A2003,FIND("/",$A2003)+1,20))+1,20))),"")))</f>
        <v/>
      </c>
      <c r="E2003">
        <f>IF($A2003="","",IF(OR($B2003="",$C2003="",$D2003="",$B2003&lt;1300,$B2003&gt;1500,$C2003&lt;1,$C2003&gt;12,$D2003&lt;1,$D2003&gt;31),"نامعتبر",RIGHT("0000"&amp;$B2003,4)&amp;"/"&amp;RIGHT("00"&amp;$C2003,2)&amp;"/"&amp;RIGHT("00"&amp;$D2003,2)))</f>
        <v/>
      </c>
      <c r="F2003">
        <f>IF(Entry!$D2003&lt;&gt;"",IF(AND(ISNUMBER(Entry!$D2003),Entry!$D2003&gt;=0,Entry!$D2003&lt;1),RIGHT("00"&amp;HOUR(Entry!$D2003),2)&amp;":"&amp;RIGHT("00"&amp;MINUTE(Entry!$D2003),2),IFERROR(RIGHT("00"&amp;VALUE(TRIM(LEFT(Entry!$D2003,FIND(":",Entry!$D2003)-1))),2)&amp;":"&amp;RIGHT("00"&amp;VALUE(TRIM(MID(Entry!$D2003,FIND(":",Entry!$D2003)+1,2))),2),"نامعتبر")),IF(OR($E2003="",$E2003="نامعتبر"),"","00:00"))</f>
        <v/>
      </c>
      <c r="G2003">
        <f>IF(OR($E2003="",$E2003="نامعتبر"),"",IF(Entry!$E2003="","",LEFT(UPPER(TRIM(Entry!$E2003)),6)))</f>
        <v/>
      </c>
      <c r="H2003">
        <f>IF($G2003="","",RIGHT($E2003,4)&amp;MID($E2003,6,2)&amp;RIGHT($E2003,2)&amp;IF($F2003="","0000",IF($F2003="نامعتبر","9999",LEFT($F2003,2)&amp;RIGHT($F2003,2)))&amp;"|"&amp;RIGHT("00000"&amp;1995,5))</f>
        <v/>
      </c>
      <c r="I2003">
        <f>IF($H2003="","",COUNTIFS(CalcBank,$G2003,CalcKey,"&lt;"&amp;$H2003)+1)</f>
        <v/>
      </c>
      <c r="J2003">
        <f>IF($I2003="","",$G2003&amp;"|"&amp;RIGHT("000000"&amp;$I2003,6))</f>
        <v/>
      </c>
      <c r="K2003">
        <f>IF(OR($E2003="",$E2003="نامعتبر"),"",LEFT($E2003,4)&amp;"/"&amp;MID($E2003,6,2))</f>
        <v/>
      </c>
      <c r="L2003">
        <f>IF(Entry!$K2003="",0,Entry!$K2003)</f>
        <v/>
      </c>
      <c r="M2003">
        <f>IF(Entry!$L2003="",0,Entry!$L2003)</f>
        <v/>
      </c>
    </row>
    <row r="2004">
      <c r="A2004">
        <f>IF(Entry!$C2004="","",Entry!$C2004)</f>
        <v/>
      </c>
      <c r="B2004">
        <f>IF($A2004="","",IF(ISNUMBER($A2004),IF(AND($A2004&gt;=10000101,$A2004&lt;=99991231),INT($A2004/10000),""),IFERROR(VALUE(TRIM(LEFT($A2004,FIND("/",$A2004)-1))),"")))</f>
        <v/>
      </c>
      <c r="C2004">
        <f>IF(OR($A2004="",$B2004=""),"",IF(ISNUMBER($A2004),INT(MOD($A2004,10000)/100),IFERROR(VALUE(TRIM(LEFT(MID($A2004,FIND("/",$A2004)+1,20),FIND("/",MID($A2004,FIND("/",$A2004)+1,20))-1))),"")))</f>
        <v/>
      </c>
      <c r="D2004">
        <f>IF(OR($A2004="",$B2004=""),"",IF(ISNUMBER($A2004),MOD($A2004,100),IFERROR(VALUE(TRIM(MID(MID($A2004,FIND("/",$A2004)+1,20),FIND("/",MID($A2004,FIND("/",$A2004)+1,20))+1,20))),"")))</f>
        <v/>
      </c>
      <c r="E2004">
        <f>IF($A2004="","",IF(OR($B2004="",$C2004="",$D2004="",$B2004&lt;1300,$B2004&gt;1500,$C2004&lt;1,$C2004&gt;12,$D2004&lt;1,$D2004&gt;31),"نامعتبر",RIGHT("0000"&amp;$B2004,4)&amp;"/"&amp;RIGHT("00"&amp;$C2004,2)&amp;"/"&amp;RIGHT("00"&amp;$D2004,2)))</f>
        <v/>
      </c>
      <c r="F2004">
        <f>IF(Entry!$D2004&lt;&gt;"",IF(AND(ISNUMBER(Entry!$D2004),Entry!$D2004&gt;=0,Entry!$D2004&lt;1),RIGHT("00"&amp;HOUR(Entry!$D2004),2)&amp;":"&amp;RIGHT("00"&amp;MINUTE(Entry!$D2004),2),IFERROR(RIGHT("00"&amp;VALUE(TRIM(LEFT(Entry!$D2004,FIND(":",Entry!$D2004)-1))),2)&amp;":"&amp;RIGHT("00"&amp;VALUE(TRIM(MID(Entry!$D2004,FIND(":",Entry!$D2004)+1,2))),2),"نامعتبر")),IF(OR($E2004="",$E2004="نامعتبر"),"","00:00"))</f>
        <v/>
      </c>
      <c r="G2004">
        <f>IF(OR($E2004="",$E2004="نامعتبر"),"",IF(Entry!$E2004="","",LEFT(UPPER(TRIM(Entry!$E2004)),6)))</f>
        <v/>
      </c>
      <c r="H2004">
        <f>IF($G2004="","",RIGHT($E2004,4)&amp;MID($E2004,6,2)&amp;RIGHT($E2004,2)&amp;IF($F2004="","0000",IF($F2004="نامعتبر","9999",LEFT($F2004,2)&amp;RIGHT($F2004,2)))&amp;"|"&amp;RIGHT("00000"&amp;1996,5))</f>
        <v/>
      </c>
      <c r="I2004">
        <f>IF($H2004="","",COUNTIFS(CalcBank,$G2004,CalcKey,"&lt;"&amp;$H2004)+1)</f>
        <v/>
      </c>
      <c r="J2004">
        <f>IF($I2004="","",$G2004&amp;"|"&amp;RIGHT("000000"&amp;$I2004,6))</f>
        <v/>
      </c>
      <c r="K2004">
        <f>IF(OR($E2004="",$E2004="نامعتبر"),"",LEFT($E2004,4)&amp;"/"&amp;MID($E2004,6,2))</f>
        <v/>
      </c>
      <c r="L2004">
        <f>IF(Entry!$K2004="",0,Entry!$K2004)</f>
        <v/>
      </c>
      <c r="M2004">
        <f>IF(Entry!$L2004="",0,Entry!$L2004)</f>
        <v/>
      </c>
    </row>
    <row r="2005">
      <c r="A2005">
        <f>IF(Entry!$C2005="","",Entry!$C2005)</f>
        <v/>
      </c>
      <c r="B2005">
        <f>IF($A2005="","",IF(ISNUMBER($A2005),IF(AND($A2005&gt;=10000101,$A2005&lt;=99991231),INT($A2005/10000),""),IFERROR(VALUE(TRIM(LEFT($A2005,FIND("/",$A2005)-1))),"")))</f>
        <v/>
      </c>
      <c r="C2005">
        <f>IF(OR($A2005="",$B2005=""),"",IF(ISNUMBER($A2005),INT(MOD($A2005,10000)/100),IFERROR(VALUE(TRIM(LEFT(MID($A2005,FIND("/",$A2005)+1,20),FIND("/",MID($A2005,FIND("/",$A2005)+1,20))-1))),"")))</f>
        <v/>
      </c>
      <c r="D2005">
        <f>IF(OR($A2005="",$B2005=""),"",IF(ISNUMBER($A2005),MOD($A2005,100),IFERROR(VALUE(TRIM(MID(MID($A2005,FIND("/",$A2005)+1,20),FIND("/",MID($A2005,FIND("/",$A2005)+1,20))+1,20))),"")))</f>
        <v/>
      </c>
      <c r="E2005">
        <f>IF($A2005="","",IF(OR($B2005="",$C2005="",$D2005="",$B2005&lt;1300,$B2005&gt;1500,$C2005&lt;1,$C2005&gt;12,$D2005&lt;1,$D2005&gt;31),"نامعتبر",RIGHT("0000"&amp;$B2005,4)&amp;"/"&amp;RIGHT("00"&amp;$C2005,2)&amp;"/"&amp;RIGHT("00"&amp;$D2005,2)))</f>
        <v/>
      </c>
      <c r="F2005">
        <f>IF(Entry!$D2005&lt;&gt;"",IF(AND(ISNUMBER(Entry!$D2005),Entry!$D2005&gt;=0,Entry!$D2005&lt;1),RIGHT("00"&amp;HOUR(Entry!$D2005),2)&amp;":"&amp;RIGHT("00"&amp;MINUTE(Entry!$D2005),2),IFERROR(RIGHT("00"&amp;VALUE(TRIM(LEFT(Entry!$D2005,FIND(":",Entry!$D2005)-1))),2)&amp;":"&amp;RIGHT("00"&amp;VALUE(TRIM(MID(Entry!$D2005,FIND(":",Entry!$D2005)+1,2))),2),"نامعتبر")),IF(OR($E2005="",$E2005="نامعتبر"),"","00:00"))</f>
        <v/>
      </c>
      <c r="G2005">
        <f>IF(OR($E2005="",$E2005="نامعتبر"),"",IF(Entry!$E2005="","",LEFT(UPPER(TRIM(Entry!$E2005)),6)))</f>
        <v/>
      </c>
      <c r="H2005">
        <f>IF($G2005="","",RIGHT($E2005,4)&amp;MID($E2005,6,2)&amp;RIGHT($E2005,2)&amp;IF($F2005="","0000",IF($F2005="نامعتبر","9999",LEFT($F2005,2)&amp;RIGHT($F2005,2)))&amp;"|"&amp;RIGHT("00000"&amp;1997,5))</f>
        <v/>
      </c>
      <c r="I2005">
        <f>IF($H2005="","",COUNTIFS(CalcBank,$G2005,CalcKey,"&lt;"&amp;$H2005)+1)</f>
        <v/>
      </c>
      <c r="J2005">
        <f>IF($I2005="","",$G2005&amp;"|"&amp;RIGHT("000000"&amp;$I2005,6))</f>
        <v/>
      </c>
      <c r="K2005">
        <f>IF(OR($E2005="",$E2005="نامعتبر"),"",LEFT($E2005,4)&amp;"/"&amp;MID($E2005,6,2))</f>
        <v/>
      </c>
      <c r="L2005">
        <f>IF(Entry!$K2005="",0,Entry!$K2005)</f>
        <v/>
      </c>
      <c r="M2005">
        <f>IF(Entry!$L2005="",0,Entry!$L2005)</f>
        <v/>
      </c>
    </row>
    <row r="2006">
      <c r="A2006">
        <f>IF(Entry!$C2006="","",Entry!$C2006)</f>
        <v/>
      </c>
      <c r="B2006">
        <f>IF($A2006="","",IF(ISNUMBER($A2006),IF(AND($A2006&gt;=10000101,$A2006&lt;=99991231),INT($A2006/10000),""),IFERROR(VALUE(TRIM(LEFT($A2006,FIND("/",$A2006)-1))),"")))</f>
        <v/>
      </c>
      <c r="C2006">
        <f>IF(OR($A2006="",$B2006=""),"",IF(ISNUMBER($A2006),INT(MOD($A2006,10000)/100),IFERROR(VALUE(TRIM(LEFT(MID($A2006,FIND("/",$A2006)+1,20),FIND("/",MID($A2006,FIND("/",$A2006)+1,20))-1))),"")))</f>
        <v/>
      </c>
      <c r="D2006">
        <f>IF(OR($A2006="",$B2006=""),"",IF(ISNUMBER($A2006),MOD($A2006,100),IFERROR(VALUE(TRIM(MID(MID($A2006,FIND("/",$A2006)+1,20),FIND("/",MID($A2006,FIND("/",$A2006)+1,20))+1,20))),"")))</f>
        <v/>
      </c>
      <c r="E2006">
        <f>IF($A2006="","",IF(OR($B2006="",$C2006="",$D2006="",$B2006&lt;1300,$B2006&gt;1500,$C2006&lt;1,$C2006&gt;12,$D2006&lt;1,$D2006&gt;31),"نامعتبر",RIGHT("0000"&amp;$B2006,4)&amp;"/"&amp;RIGHT("00"&amp;$C2006,2)&amp;"/"&amp;RIGHT("00"&amp;$D2006,2)))</f>
        <v/>
      </c>
      <c r="F2006">
        <f>IF(Entry!$D2006&lt;&gt;"",IF(AND(ISNUMBER(Entry!$D2006),Entry!$D2006&gt;=0,Entry!$D2006&lt;1),RIGHT("00"&amp;HOUR(Entry!$D2006),2)&amp;":"&amp;RIGHT("00"&amp;MINUTE(Entry!$D2006),2),IFERROR(RIGHT("00"&amp;VALUE(TRIM(LEFT(Entry!$D2006,FIND(":",Entry!$D2006)-1))),2)&amp;":"&amp;RIGHT("00"&amp;VALUE(TRIM(MID(Entry!$D2006,FIND(":",Entry!$D2006)+1,2))),2),"نامعتبر")),IF(OR($E2006="",$E2006="نامعتبر"),"","00:00"))</f>
        <v/>
      </c>
      <c r="G2006">
        <f>IF(OR($E2006="",$E2006="نامعتبر"),"",IF(Entry!$E2006="","",LEFT(UPPER(TRIM(Entry!$E2006)),6)))</f>
        <v/>
      </c>
      <c r="H2006">
        <f>IF($G2006="","",RIGHT($E2006,4)&amp;MID($E2006,6,2)&amp;RIGHT($E2006,2)&amp;IF($F2006="","0000",IF($F2006="نامعتبر","9999",LEFT($F2006,2)&amp;RIGHT($F2006,2)))&amp;"|"&amp;RIGHT("00000"&amp;1998,5))</f>
        <v/>
      </c>
      <c r="I2006">
        <f>IF($H2006="","",COUNTIFS(CalcBank,$G2006,CalcKey,"&lt;"&amp;$H2006)+1)</f>
        <v/>
      </c>
      <c r="J2006">
        <f>IF($I2006="","",$G2006&amp;"|"&amp;RIGHT("000000"&amp;$I2006,6))</f>
        <v/>
      </c>
      <c r="K2006">
        <f>IF(OR($E2006="",$E2006="نامعتبر"),"",LEFT($E2006,4)&amp;"/"&amp;MID($E2006,6,2))</f>
        <v/>
      </c>
      <c r="L2006">
        <f>IF(Entry!$K2006="",0,Entry!$K2006)</f>
        <v/>
      </c>
      <c r="M2006">
        <f>IF(Entry!$L2006="",0,Entry!$L2006)</f>
        <v/>
      </c>
    </row>
    <row r="2007">
      <c r="A2007">
        <f>IF(Entry!$C2007="","",Entry!$C2007)</f>
        <v/>
      </c>
      <c r="B2007">
        <f>IF($A2007="","",IF(ISNUMBER($A2007),IF(AND($A2007&gt;=10000101,$A2007&lt;=99991231),INT($A2007/10000),""),IFERROR(VALUE(TRIM(LEFT($A2007,FIND("/",$A2007)-1))),"")))</f>
        <v/>
      </c>
      <c r="C2007">
        <f>IF(OR($A2007="",$B2007=""),"",IF(ISNUMBER($A2007),INT(MOD($A2007,10000)/100),IFERROR(VALUE(TRIM(LEFT(MID($A2007,FIND("/",$A2007)+1,20),FIND("/",MID($A2007,FIND("/",$A2007)+1,20))-1))),"")))</f>
        <v/>
      </c>
      <c r="D2007">
        <f>IF(OR($A2007="",$B2007=""),"",IF(ISNUMBER($A2007),MOD($A2007,100),IFERROR(VALUE(TRIM(MID(MID($A2007,FIND("/",$A2007)+1,20),FIND("/",MID($A2007,FIND("/",$A2007)+1,20))+1,20))),"")))</f>
        <v/>
      </c>
      <c r="E2007">
        <f>IF($A2007="","",IF(OR($B2007="",$C2007="",$D2007="",$B2007&lt;1300,$B2007&gt;1500,$C2007&lt;1,$C2007&gt;12,$D2007&lt;1,$D2007&gt;31),"نامعتبر",RIGHT("0000"&amp;$B2007,4)&amp;"/"&amp;RIGHT("00"&amp;$C2007,2)&amp;"/"&amp;RIGHT("00"&amp;$D2007,2)))</f>
        <v/>
      </c>
      <c r="F2007">
        <f>IF(Entry!$D2007&lt;&gt;"",IF(AND(ISNUMBER(Entry!$D2007),Entry!$D2007&gt;=0,Entry!$D2007&lt;1),RIGHT("00"&amp;HOUR(Entry!$D2007),2)&amp;":"&amp;RIGHT("00"&amp;MINUTE(Entry!$D2007),2),IFERROR(RIGHT("00"&amp;VALUE(TRIM(LEFT(Entry!$D2007,FIND(":",Entry!$D2007)-1))),2)&amp;":"&amp;RIGHT("00"&amp;VALUE(TRIM(MID(Entry!$D2007,FIND(":",Entry!$D2007)+1,2))),2),"نامعتبر")),IF(OR($E2007="",$E2007="نامعتبر"),"","00:00"))</f>
        <v/>
      </c>
      <c r="G2007">
        <f>IF(OR($E2007="",$E2007="نامعتبر"),"",IF(Entry!$E2007="","",LEFT(UPPER(TRIM(Entry!$E2007)),6)))</f>
        <v/>
      </c>
      <c r="H2007">
        <f>IF($G2007="","",RIGHT($E2007,4)&amp;MID($E2007,6,2)&amp;RIGHT($E2007,2)&amp;IF($F2007="","0000",IF($F2007="نامعتبر","9999",LEFT($F2007,2)&amp;RIGHT($F2007,2)))&amp;"|"&amp;RIGHT("00000"&amp;1999,5))</f>
        <v/>
      </c>
      <c r="I2007">
        <f>IF($H2007="","",COUNTIFS(CalcBank,$G2007,CalcKey,"&lt;"&amp;$H2007)+1)</f>
        <v/>
      </c>
      <c r="J2007">
        <f>IF($I2007="","",$G2007&amp;"|"&amp;RIGHT("000000"&amp;$I2007,6))</f>
        <v/>
      </c>
      <c r="K2007">
        <f>IF(OR($E2007="",$E2007="نامعتبر"),"",LEFT($E2007,4)&amp;"/"&amp;MID($E2007,6,2))</f>
        <v/>
      </c>
      <c r="L2007">
        <f>IF(Entry!$K2007="",0,Entry!$K2007)</f>
        <v/>
      </c>
      <c r="M2007">
        <f>IF(Entry!$L2007="",0,Entry!$L2007)</f>
        <v/>
      </c>
    </row>
    <row r="2008">
      <c r="A2008">
        <f>IF(Entry!$C2008="","",Entry!$C2008)</f>
        <v/>
      </c>
      <c r="B2008">
        <f>IF($A2008="","",IF(ISNUMBER($A2008),IF(AND($A2008&gt;=10000101,$A2008&lt;=99991231),INT($A2008/10000),""),IFERROR(VALUE(TRIM(LEFT($A2008,FIND("/",$A2008)-1))),"")))</f>
        <v/>
      </c>
      <c r="C2008">
        <f>IF(OR($A2008="",$B2008=""),"",IF(ISNUMBER($A2008),INT(MOD($A2008,10000)/100),IFERROR(VALUE(TRIM(LEFT(MID($A2008,FIND("/",$A2008)+1,20),FIND("/",MID($A2008,FIND("/",$A2008)+1,20))-1))),"")))</f>
        <v/>
      </c>
      <c r="D2008">
        <f>IF(OR($A2008="",$B2008=""),"",IF(ISNUMBER($A2008),MOD($A2008,100),IFERROR(VALUE(TRIM(MID(MID($A2008,FIND("/",$A2008)+1,20),FIND("/",MID($A2008,FIND("/",$A2008)+1,20))+1,20))),"")))</f>
        <v/>
      </c>
      <c r="E2008">
        <f>IF($A2008="","",IF(OR($B2008="",$C2008="",$D2008="",$B2008&lt;1300,$B2008&gt;1500,$C2008&lt;1,$C2008&gt;12,$D2008&lt;1,$D2008&gt;31),"نامعتبر",RIGHT("0000"&amp;$B2008,4)&amp;"/"&amp;RIGHT("00"&amp;$C2008,2)&amp;"/"&amp;RIGHT("00"&amp;$D2008,2)))</f>
        <v/>
      </c>
      <c r="F2008">
        <f>IF(Entry!$D2008&lt;&gt;"",IF(AND(ISNUMBER(Entry!$D2008),Entry!$D2008&gt;=0,Entry!$D2008&lt;1),RIGHT("00"&amp;HOUR(Entry!$D2008),2)&amp;":"&amp;RIGHT("00"&amp;MINUTE(Entry!$D2008),2),IFERROR(RIGHT("00"&amp;VALUE(TRIM(LEFT(Entry!$D2008,FIND(":",Entry!$D2008)-1))),2)&amp;":"&amp;RIGHT("00"&amp;VALUE(TRIM(MID(Entry!$D2008,FIND(":",Entry!$D2008)+1,2))),2),"نامعتبر")),IF(OR($E2008="",$E2008="نامعتبر"),"","00:00"))</f>
        <v/>
      </c>
      <c r="G2008">
        <f>IF(OR($E2008="",$E2008="نامعتبر"),"",IF(Entry!$E2008="","",LEFT(UPPER(TRIM(Entry!$E2008)),6)))</f>
        <v/>
      </c>
      <c r="H2008">
        <f>IF($G2008="","",RIGHT($E2008,4)&amp;MID($E2008,6,2)&amp;RIGHT($E2008,2)&amp;IF($F2008="","0000",IF($F2008="نامعتبر","9999",LEFT($F2008,2)&amp;RIGHT($F2008,2)))&amp;"|"&amp;RIGHT("00000"&amp;2000,5))</f>
        <v/>
      </c>
      <c r="I2008">
        <f>IF($H2008="","",COUNTIFS(CalcBank,$G2008,CalcKey,"&lt;"&amp;$H2008)+1)</f>
        <v/>
      </c>
      <c r="J2008">
        <f>IF($I2008="","",$G2008&amp;"|"&amp;RIGHT("000000"&amp;$I2008,6))</f>
        <v/>
      </c>
      <c r="K2008">
        <f>IF(OR($E2008="",$E2008="نامعتبر"),"",LEFT($E2008,4)&amp;"/"&amp;MID($E2008,6,2))</f>
        <v/>
      </c>
      <c r="L2008">
        <f>IF(Entry!$K2008="",0,Entry!$K2008)</f>
        <v/>
      </c>
      <c r="M2008">
        <f>IF(Entry!$L2008="",0,Entry!$L2008)</f>
        <v/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H40"/>
  <sheetViews>
    <sheetView showGridLines="0" rightToLeft="1" zoomScale="10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43" t="inlineStr">
        <is>
          <t>راهنمای فایل تراکنش‌ها (Mazandasht_Transactions.xlsx)</t>
        </is>
      </c>
      <c r="B3" s="43" t="n"/>
      <c r="C3" s="43" t="n"/>
      <c r="D3" s="43" t="n"/>
      <c r="E3" s="43" t="n"/>
      <c r="F3" s="43" t="n"/>
      <c r="G3" s="43" t="n"/>
      <c r="H3" s="43" t="n"/>
    </row>
    <row r="5" ht="19" customHeight="1">
      <c r="A5" s="44" t="inlineStr">
        <is>
          <t>۱) ساختار فایل</t>
        </is>
      </c>
      <c r="B5" s="44" t="n"/>
      <c r="C5" s="44" t="n"/>
      <c r="D5" s="44" t="n"/>
      <c r="E5" s="44" t="n"/>
      <c r="F5" s="44" t="n"/>
      <c r="G5" s="44" t="n"/>
      <c r="H5" s="44" t="n"/>
    </row>
    <row r="6" ht="17" customHeight="1">
      <c r="A6" s="45" t="inlineStr">
        <is>
          <t>• Entry — ورود داده: همه تراکنش‌ها را همین‌جا، به هر ترتیبی، زیر هم ثبت کنید (مرتب بودن لازم نیست).</t>
        </is>
      </c>
      <c r="B6" s="45" t="n"/>
      <c r="C6" s="45" t="n"/>
      <c r="D6" s="45" t="n"/>
      <c r="E6" s="45" t="n"/>
      <c r="F6" s="45" t="n"/>
      <c r="G6" s="45" t="n"/>
      <c r="H6" s="45" t="n"/>
    </row>
    <row r="7" ht="17" customHeight="1">
      <c r="A7" s="46" t="inlineStr">
        <is>
          <t>• Bank1 تا Bank10 — صورت‌حساب هر بانک: به‌صورت خودکار مرتب‌شده به تاریخ و ساعت + مانده سیستم + کنترل مغایرت.</t>
        </is>
      </c>
      <c r="B7" s="46" t="n"/>
      <c r="C7" s="46" t="n"/>
      <c r="D7" s="46" t="n"/>
      <c r="E7" s="46" t="n"/>
      <c r="F7" s="46" t="n"/>
      <c r="G7" s="46" t="n"/>
      <c r="H7" s="46" t="n"/>
    </row>
    <row r="8" ht="17" customHeight="1">
      <c r="A8" s="45" t="inlineStr">
        <is>
          <t>• Summary — خلاصه کل حساب‌ها، تحلیل ماهانه و نمودارها.</t>
        </is>
      </c>
      <c r="B8" s="45" t="n"/>
      <c r="C8" s="45" t="n"/>
      <c r="D8" s="45" t="n"/>
      <c r="E8" s="45" t="n"/>
      <c r="F8" s="45" t="n"/>
      <c r="G8" s="45" t="n"/>
      <c r="H8" s="45" t="n"/>
    </row>
    <row r="9" ht="17" customHeight="1">
      <c r="A9" s="46" t="inlineStr">
        <is>
          <t>• Sync — آینه فایل مادر (INFO)؛ منبع کشوها و کدها. دست نزنید.</t>
        </is>
      </c>
      <c r="B9" s="46" t="n"/>
      <c r="C9" s="46" t="n"/>
      <c r="D9" s="46" t="n"/>
      <c r="E9" s="46" t="n"/>
      <c r="F9" s="46" t="n"/>
      <c r="G9" s="46" t="n"/>
      <c r="H9" s="46" t="n"/>
    </row>
    <row r="10" ht="17" customHeight="1">
      <c r="A10" s="45" t="inlineStr">
        <is>
          <t>• Calc — موتور محاسبات (نرمال‌سازی و رتبه‌بندی). دست نزنید.</t>
        </is>
      </c>
      <c r="B10" s="45" t="n"/>
      <c r="C10" s="45" t="n"/>
      <c r="D10" s="45" t="n"/>
      <c r="E10" s="45" t="n"/>
      <c r="F10" s="45" t="n"/>
      <c r="G10" s="45" t="n"/>
      <c r="H10" s="45" t="n"/>
    </row>
    <row r="12" ht="19" customHeight="1">
      <c r="A12" s="44" t="inlineStr">
        <is>
          <t>۲) رنگ‌ها و نشانه‌ها</t>
        </is>
      </c>
      <c r="B12" s="44" t="n"/>
      <c r="C12" s="44" t="n"/>
      <c r="D12" s="44" t="n"/>
      <c r="E12" s="44" t="n"/>
      <c r="F12" s="44" t="n"/>
      <c r="G12" s="44" t="n"/>
      <c r="H12" s="44" t="n"/>
    </row>
    <row r="13" ht="17" customHeight="1">
      <c r="A13" s="45" t="inlineStr">
        <is>
          <t>• زرد = سلول ورودی شما | خاکستری = محاسباتی خودکار.</t>
        </is>
      </c>
      <c r="B13" s="45" t="n"/>
      <c r="C13" s="45" t="n"/>
      <c r="D13" s="45" t="n"/>
      <c r="E13" s="45" t="n"/>
      <c r="F13" s="45" t="n"/>
      <c r="G13" s="45" t="n"/>
      <c r="H13" s="45" t="n"/>
    </row>
    <row r="14" ht="17" customHeight="1">
      <c r="A14" s="46" t="inlineStr">
        <is>
          <t>• √ = موجودی بانک با محاسبات سیستم منطبق است.</t>
        </is>
      </c>
      <c r="B14" s="46" t="n"/>
      <c r="C14" s="46" t="n"/>
      <c r="D14" s="46" t="n"/>
      <c r="E14" s="46" t="n"/>
      <c r="F14" s="46" t="n"/>
      <c r="G14" s="46" t="n"/>
      <c r="H14" s="46" t="n"/>
    </row>
    <row r="15" ht="17" customHeight="1">
      <c r="A15" s="45" t="inlineStr">
        <is>
          <t>• × = مغایرت! ردیف‌های قبل از آن و خودش را با صورت‌حساب بانک چک کنید.</t>
        </is>
      </c>
      <c r="B15" s="45" t="n"/>
      <c r="C15" s="45" t="n"/>
      <c r="D15" s="45" t="n"/>
      <c r="E15" s="45" t="n"/>
      <c r="F15" s="45" t="n"/>
      <c r="G15" s="45" t="n"/>
      <c r="H15" s="45" t="n"/>
    </row>
    <row r="16" ht="17" customHeight="1">
      <c r="A16" s="46" t="inlineStr">
        <is>
          <t>• — = موجودی بانک برای آن ردیف ثبت نشده (بدون کنترل).</t>
        </is>
      </c>
      <c r="B16" s="46" t="n"/>
      <c r="C16" s="46" t="n"/>
      <c r="D16" s="46" t="n"/>
      <c r="E16" s="46" t="n"/>
      <c r="F16" s="46" t="n"/>
      <c r="G16" s="46" t="n"/>
      <c r="H16" s="46" t="n"/>
    </row>
    <row r="17" ht="17" customHeight="1">
      <c r="A17" s="45" t="inlineStr">
        <is>
          <t>• ؟ = تاریخ/بانک نامعتبر است و سیستم نمی‌تواند مانده بسازد.</t>
        </is>
      </c>
      <c r="B17" s="45" t="n"/>
      <c r="C17" s="45" t="n"/>
      <c r="D17" s="45" t="n"/>
      <c r="E17" s="45" t="n"/>
      <c r="F17" s="45" t="n"/>
      <c r="G17" s="45" t="n"/>
      <c r="H17" s="45" t="n"/>
    </row>
    <row r="18" ht="17" customHeight="1">
      <c r="A18" s="46" t="inlineStr">
        <is>
          <t>• تکرار = این ردیف با ردیف دیگری (تاریخ، ساعت، بانک، طرف و مبالغ یکسان) تکراری است.</t>
        </is>
      </c>
      <c r="B18" s="46" t="n"/>
      <c r="C18" s="46" t="n"/>
      <c r="D18" s="46" t="n"/>
      <c r="E18" s="46" t="n"/>
      <c r="F18" s="46" t="n"/>
      <c r="G18" s="46" t="n"/>
      <c r="H18" s="46" t="n"/>
    </row>
    <row r="20" ht="19" customHeight="1">
      <c r="A20" s="44" t="inlineStr">
        <is>
          <t>۳) اتصال به فایل مادر</t>
        </is>
      </c>
      <c r="B20" s="44" t="n"/>
      <c r="C20" s="44" t="n"/>
      <c r="D20" s="44" t="n"/>
      <c r="E20" s="44" t="n"/>
      <c r="F20" s="44" t="n"/>
      <c r="G20" s="44" t="n"/>
      <c r="H20" s="44" t="n"/>
    </row>
    <row r="21" ht="17" customHeight="1">
      <c r="A21" s="45" t="inlineStr">
        <is>
          <t>• هر دو فایل همیشه در یک پوشه باشند (لینک نسبی است).</t>
        </is>
      </c>
      <c r="B21" s="45" t="n"/>
      <c r="C21" s="45" t="n"/>
      <c r="D21" s="45" t="n"/>
      <c r="E21" s="45" t="n"/>
      <c r="F21" s="45" t="n"/>
      <c r="G21" s="45" t="n"/>
      <c r="H21" s="45" t="n"/>
    </row>
    <row r="22" ht="17" customHeight="1">
      <c r="A22" s="46" t="inlineStr">
        <is>
          <t>• پس از تغییر INFO، در این فایل: Data ← Edit Links ← Update Values (یا هنگام باز شدن، Update را بزنید).</t>
        </is>
      </c>
      <c r="B22" s="46" t="n"/>
      <c r="C22" s="46" t="n"/>
      <c r="D22" s="46" t="n"/>
      <c r="E22" s="46" t="n"/>
      <c r="F22" s="46" t="n"/>
      <c r="G22" s="46" t="n"/>
      <c r="H22" s="46" t="n"/>
    </row>
    <row r="23" ht="17" customHeight="1">
      <c r="A23" s="45" t="inlineStr">
        <is>
          <t>• اگر فایل INFO جابه‌جا شد: Edit Links ← Change Source و مسیر جدید را بدهید.</t>
        </is>
      </c>
      <c r="B23" s="45" t="n"/>
      <c r="C23" s="45" t="n"/>
      <c r="D23" s="45" t="n"/>
      <c r="E23" s="45" t="n"/>
      <c r="F23" s="45" t="n"/>
      <c r="G23" s="45" t="n"/>
      <c r="H23" s="45" t="n"/>
    </row>
    <row r="24" ht="17" customHeight="1">
      <c r="A24" s="46" t="inlineStr">
        <is>
          <t>• کد بانک‌ها (BANK01…) ثابت است؛ با تغییر «عنوان نمایشی» در INFO، عنوان برگه‌ها خودکار عوض می‌شود (نام زبانه Bank1.. ثابت می‌ماند).</t>
        </is>
      </c>
      <c r="B24" s="46" t="n"/>
      <c r="C24" s="46" t="n"/>
      <c r="D24" s="46" t="n"/>
      <c r="E24" s="46" t="n"/>
      <c r="F24" s="46" t="n"/>
      <c r="G24" s="46" t="n"/>
      <c r="H24" s="46" t="n"/>
    </row>
    <row r="26" ht="19" customHeight="1">
      <c r="A26" s="44" t="inlineStr">
        <is>
          <t>۴) نکات ثبت</t>
        </is>
      </c>
      <c r="B26" s="44" t="n"/>
      <c r="C26" s="44" t="n"/>
      <c r="D26" s="44" t="n"/>
      <c r="E26" s="44" t="n"/>
      <c r="F26" s="44" t="n"/>
      <c r="G26" s="44" t="n"/>
      <c r="H26" s="44" t="n"/>
    </row>
    <row r="27" ht="17" customHeight="1">
      <c r="A27" s="45" t="inlineStr">
        <is>
          <t>• تاریخ: 1405/07/10 یا 14050710 — ساعت: 09:30 یا 9:30 (ارقام لاتین).</t>
        </is>
      </c>
      <c r="B27" s="45" t="n"/>
      <c r="C27" s="45" t="n"/>
      <c r="D27" s="45" t="n"/>
      <c r="E27" s="45" t="n"/>
      <c r="F27" s="45" t="n"/>
      <c r="G27" s="45" t="n"/>
      <c r="H27" s="45" t="n"/>
    </row>
    <row r="28" ht="17" customHeight="1">
      <c r="A28" s="46" t="inlineStr">
        <is>
          <t>• واریزکننده/برداشت‌کننده = کد طرف حساب (C…/S…/X…/E…)؛ نامش خودکار می‌آید.</t>
        </is>
      </c>
      <c r="B28" s="46" t="n"/>
      <c r="C28" s="46" t="n"/>
      <c r="D28" s="46" t="n"/>
      <c r="E28" s="46" t="n"/>
      <c r="F28" s="46" t="n"/>
      <c r="G28" s="46" t="n"/>
      <c r="H28" s="46" t="n"/>
    </row>
    <row r="29" ht="17" customHeight="1">
      <c r="A29" s="45" t="inlineStr">
        <is>
          <t>• در هر ردیف فقط یکی از «واریز» یا «برداشت» پر شود.</t>
        </is>
      </c>
      <c r="B29" s="45" t="n"/>
      <c r="C29" s="45" t="n"/>
      <c r="D29" s="45" t="n"/>
      <c r="E29" s="45" t="n"/>
      <c r="F29" s="45" t="n"/>
      <c r="G29" s="45" t="n"/>
      <c r="H29" s="45" t="n"/>
    </row>
    <row r="30" ht="17" customHeight="1">
      <c r="A30" s="46" t="inlineStr">
        <is>
          <t>• موجودی بانک (M) را همان‌طور که از پیامک/صورت‌حساب می‌خوانید بنویسید؛ سیستم مقایسه می‌کند.</t>
        </is>
      </c>
      <c r="B30" s="46" t="n"/>
      <c r="C30" s="46" t="n"/>
      <c r="D30" s="46" t="n"/>
      <c r="E30" s="46" t="n"/>
      <c r="F30" s="46" t="n"/>
      <c r="G30" s="46" t="n"/>
      <c r="H30" s="46" t="n"/>
    </row>
    <row r="31" ht="17" customHeight="1">
      <c r="A31" s="45" t="inlineStr">
        <is>
          <t>• انتقال بین بانکی = دو ردیف: یک برداشت از بانک مبدا، یک واریز به بانک مقصد (نوع تراکنش: انتقال بین بانکی).</t>
        </is>
      </c>
      <c r="B31" s="45" t="n"/>
      <c r="C31" s="45" t="n"/>
      <c r="D31" s="45" t="n"/>
      <c r="E31" s="45" t="n"/>
      <c r="F31" s="45" t="n"/>
      <c r="G31" s="45" t="n"/>
      <c r="H31" s="45" t="n"/>
    </row>
    <row r="32" ht="17" customHeight="1">
      <c r="A32" s="46" t="inlineStr">
        <is>
          <t>• برای حذف ردیف، محتوای سلول‌ها را پاک کنید؛ کل ردیف را حذف نکنید.</t>
        </is>
      </c>
      <c r="B32" s="46" t="n"/>
      <c r="C32" s="46" t="n"/>
      <c r="D32" s="46" t="n"/>
      <c r="E32" s="46" t="n"/>
      <c r="F32" s="46" t="n"/>
      <c r="G32" s="46" t="n"/>
      <c r="H32" s="46" t="n"/>
    </row>
    <row r="34" ht="19" customHeight="1">
      <c r="A34" s="44" t="inlineStr">
        <is>
          <t>۵) چاپ</t>
        </is>
      </c>
      <c r="B34" s="44" t="n"/>
      <c r="C34" s="44" t="n"/>
      <c r="D34" s="44" t="n"/>
      <c r="E34" s="44" t="n"/>
      <c r="F34" s="44" t="n"/>
      <c r="G34" s="44" t="n"/>
      <c r="H34" s="44" t="n"/>
    </row>
    <row r="35" ht="17" customHeight="1">
      <c r="A35" s="45" t="inlineStr">
        <is>
          <t>• همه برگه‌ها A4 و آماده چاپ‌اند؛ سرستون‌ها در هر صفحه تکرار می‌شوند.</t>
        </is>
      </c>
      <c r="B35" s="45" t="n"/>
      <c r="C35" s="45" t="n"/>
      <c r="D35" s="45" t="n"/>
      <c r="E35" s="45" t="n"/>
      <c r="F35" s="45" t="n"/>
      <c r="G35" s="45" t="n"/>
      <c r="H35" s="45" t="n"/>
    </row>
    <row r="36" ht="17" customHeight="1">
      <c r="A36" s="46" t="inlineStr">
        <is>
          <t>• برگه‌های بانکی: افقی (Landscape) — سربرگ و پاصفحه با نام شرکت و شماره صفحه.</t>
        </is>
      </c>
      <c r="B36" s="46" t="n"/>
      <c r="C36" s="46" t="n"/>
      <c r="D36" s="46" t="n"/>
      <c r="E36" s="46" t="n"/>
      <c r="F36" s="46" t="n"/>
      <c r="G36" s="46" t="n"/>
      <c r="H36" s="46" t="n"/>
    </row>
    <row r="38" ht="19" customHeight="1">
      <c r="A38" s="44" t="inlineStr">
        <is>
          <t>۶) گسترش در آینده</t>
        </is>
      </c>
      <c r="B38" s="44" t="n"/>
      <c r="C38" s="44" t="n"/>
      <c r="D38" s="44" t="n"/>
      <c r="E38" s="44" t="n"/>
      <c r="F38" s="44" t="n"/>
      <c r="G38" s="44" t="n"/>
      <c r="H38" s="44" t="n"/>
    </row>
    <row r="39" ht="17" customHeight="1">
      <c r="A39" s="45" t="inlineStr">
        <is>
          <t>• ظرفیت Entry در این نسخه: 2000 ردیف و هر برگه بانک: 500 ردیف. برای بیشتر، آخرین ردیف را انتخاب و تا پایین کپی کنید.</t>
        </is>
      </c>
      <c r="B39" s="45" t="n"/>
      <c r="C39" s="45" t="n"/>
      <c r="D39" s="45" t="n"/>
      <c r="E39" s="45" t="n"/>
      <c r="F39" s="45" t="n"/>
      <c r="G39" s="45" t="n"/>
      <c r="H39" s="45" t="n"/>
    </row>
    <row r="40" ht="17" customHeight="1">
      <c r="A40" s="46" t="inlineStr">
        <is>
          <t>• فایل‌های آینده (فروش هر فروشنده، انبار، خرید و…) به همین سبک روی کدهای INFO ساخته می‌شوند.</t>
        </is>
      </c>
      <c r="B40" s="46" t="n"/>
      <c r="C40" s="46" t="n"/>
      <c r="D40" s="46" t="n"/>
      <c r="E40" s="46" t="n"/>
      <c r="F40" s="46" t="n"/>
      <c r="G40" s="46" t="n"/>
      <c r="H40" s="46" t="n"/>
    </row>
  </sheetData>
  <mergeCells count="34">
    <mergeCell ref="A9:H9"/>
    <mergeCell ref="A30:H30"/>
    <mergeCell ref="A39:H39"/>
    <mergeCell ref="A15:H15"/>
    <mergeCell ref="A24:H24"/>
    <mergeCell ref="A36:H36"/>
    <mergeCell ref="A1:H1"/>
    <mergeCell ref="A6:H6"/>
    <mergeCell ref="A7:H7"/>
    <mergeCell ref="A16:H16"/>
    <mergeCell ref="A27:H27"/>
    <mergeCell ref="A12:H12"/>
    <mergeCell ref="A18:H18"/>
    <mergeCell ref="A3:H3"/>
    <mergeCell ref="A21:H21"/>
    <mergeCell ref="A26:H26"/>
    <mergeCell ref="A2:H2"/>
    <mergeCell ref="A14:H14"/>
    <mergeCell ref="A5:H5"/>
    <mergeCell ref="A23:H23"/>
    <mergeCell ref="A32:H32"/>
    <mergeCell ref="A8:H8"/>
    <mergeCell ref="A22:H22"/>
    <mergeCell ref="A17:H17"/>
    <mergeCell ref="A40:H40"/>
    <mergeCell ref="A29:H29"/>
    <mergeCell ref="A35:H35"/>
    <mergeCell ref="A20:H20"/>
    <mergeCell ref="A38:H38"/>
    <mergeCell ref="A10:H10"/>
    <mergeCell ref="A28:H28"/>
    <mergeCell ref="A13:H13"/>
    <mergeCell ref="A31:H31"/>
    <mergeCell ref="A34:H34"/>
  </mergeCell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راهنما&amp;R&amp;"Tahoma"&amp;8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مازندشت</dc:creator>
  <dc:title>Mazandasht Transactions — تراکنش‌های بانکی</dc:title>
  <dcterms:created xsi:type="dcterms:W3CDTF">2026-10-02T11:04:20Z</dcterms:created>
  <dcterms:modified xsi:type="dcterms:W3CDTF">2026-10-02T11:04:28Z</dcterms:modified>
</cp:coreProperties>
</file>